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_settings" sheetId="1" r:id="rId5"/>
    <sheet state="visible" name="Temp_agence_Immo" sheetId="2" r:id="rId6"/>
    <sheet state="visible" name="Etab_track" sheetId="3" r:id="rId7"/>
    <sheet state="visible" name="Etablissements" sheetId="4" r:id="rId8"/>
    <sheet state="visible" name="IdSupaToSheet" sheetId="5" r:id="rId9"/>
    <sheet state="visible" name="nomanclature" sheetId="6" r:id="rId10"/>
    <sheet state="visible" name="Feuille 8" sheetId="7" r:id="rId11"/>
    <sheet state="visible" name="formulaire" sheetId="8" r:id="rId12"/>
    <sheet state="visible" name="Regions" sheetId="9" r:id="rId13"/>
    <sheet state="visible" name="Prestataires" sheetId="10" r:id="rId14"/>
    <sheet state="visible" name="form_j_h" sheetId="11" r:id="rId15"/>
    <sheet state="visible" name="Launcher" sheetId="12" r:id="rId16"/>
    <sheet state="visible" name="back up" sheetId="13" r:id="rId17"/>
    <sheet state="visible" name="galerie" sheetId="14" r:id="rId18"/>
    <sheet state="visible" name="image_spprim" sheetId="15" r:id="rId19"/>
    <sheet state="visible" name="CRM" sheetId="16" r:id="rId20"/>
    <sheet state="visible" name="Labels" sheetId="17" r:id="rId21"/>
    <sheet state="visible" name="RS_Type" sheetId="18" r:id="rId22"/>
    <sheet state="visible" name="Commentaires" sheetId="19" r:id="rId23"/>
    <sheet state="visible" name="Contacts sup" sheetId="20" r:id="rId24"/>
    <sheet state="visible" name="Tarifs" sheetId="21" r:id="rId25"/>
    <sheet state="visible" name="Resaux sociaux" sheetId="22" r:id="rId26"/>
    <sheet state="visible" name="D_Durable" sheetId="23" r:id="rId27"/>
    <sheet state="visible" name="relations_formulaires_prestatai" sheetId="24" r:id="rId28"/>
  </sheets>
  <definedNames>
    <definedName hidden="1" localSheetId="3" name="_xlnm._FilterDatabase">Etablissements!$A$1:$CB$897</definedName>
    <definedName hidden="1" localSheetId="7" name="_xlnm._FilterDatabase">formulaire!$A$1:$AS$1390</definedName>
    <definedName hidden="1" localSheetId="9" name="_xlnm._FilterDatabase">Prestataires!$A$1:$Z$999</definedName>
    <definedName hidden="1" localSheetId="13" name="_xlnm._FilterDatabase">galerie!$A$1:$Z$4300</definedName>
    <definedName hidden="1" localSheetId="15" name="_xlnm._FilterDatabase">CRM!$A$1:$AB$2758</definedName>
    <definedName hidden="1" localSheetId="18" name="_xlnm._FilterDatabase">Commentaires!$A$1:$AB$2252</definedName>
    <definedName hidden="1" localSheetId="9" name="Z_D3931867_340C_4A2D_A332_108AFECB548D_.wvu.FilterData">Prestataires!$A$1:$Z$999</definedName>
  </definedNames>
  <calcPr/>
  <customWorkbookViews>
    <customWorkbookView activeSheetId="0" maximized="1" windowHeight="0" windowWidth="0" guid="{D3931867-340C-4A2D-A332-108AFECB548D}" name="Filtre 1"/>
  </customWorkbookViews>
</workbook>
</file>

<file path=xl/sharedStrings.xml><?xml version="1.0" encoding="utf-8"?>
<sst xmlns="http://schemas.openxmlformats.org/spreadsheetml/2006/main" count="130129" uniqueCount="51548">
  <si>
    <t xml:space="preserve"> </t>
  </si>
  <si>
    <t>Utilisateur</t>
  </si>
  <si>
    <t>Animaux</t>
  </si>
  <si>
    <t>Handicap</t>
  </si>
  <si>
    <t>Commune</t>
  </si>
  <si>
    <t>Catégorie</t>
  </si>
  <si>
    <t>Type</t>
  </si>
  <si>
    <t xml:space="preserve">Nb de pers </t>
  </si>
  <si>
    <t>Capacité</t>
  </si>
  <si>
    <t>Nom</t>
  </si>
  <si>
    <t>Prénom</t>
  </si>
  <si>
    <t>Active_Presta_ID</t>
  </si>
  <si>
    <t>Active_Etab_ID</t>
  </si>
  <si>
    <t>Role</t>
  </si>
  <si>
    <t>Etab_id_galerie_slice</t>
  </si>
  <si>
    <t>Photo</t>
  </si>
  <si>
    <t>L_D</t>
  </si>
  <si>
    <t>Capacité_max</t>
  </si>
  <si>
    <t>c6b29517</t>
  </si>
  <si>
    <t>d.philippe@otisud.com</t>
  </si>
  <si>
    <t>Philippe</t>
  </si>
  <si>
    <t>David</t>
  </si>
  <si>
    <t>Admin</t>
  </si>
  <si>
    <t>Etab1</t>
  </si>
  <si>
    <t>https://ui-avatars.com/api/?name=David+Philippe&amp;background=random&amp;rounded=true</t>
  </si>
  <si>
    <t>af0011a8</t>
  </si>
  <si>
    <t>a.mir@otisud.com</t>
  </si>
  <si>
    <t>Mir</t>
  </si>
  <si>
    <t>Annabelle</t>
  </si>
  <si>
    <t>BTB</t>
  </si>
  <si>
    <t>https://ui-avatars.com/api/?name=Annabelle+Mir&amp;background=random&amp;rounded=true</t>
  </si>
  <si>
    <t>7c769294</t>
  </si>
  <si>
    <t>e.terral@otisud.com</t>
  </si>
  <si>
    <t>Saint-Philippe</t>
  </si>
  <si>
    <t>Restauration</t>
  </si>
  <si>
    <t>Terral</t>
  </si>
  <si>
    <t>Elodie</t>
  </si>
  <si>
    <t>https://ui-avatars.com/api/?name=Elodie+Terral&amp;background=random&amp;rounded=true</t>
  </si>
  <si>
    <t>8e8c588e</t>
  </si>
  <si>
    <t>l.bardil@otisud.com</t>
  </si>
  <si>
    <t>Entre-Deux</t>
  </si>
  <si>
    <t>Loisirs - se divertir ; Découverte</t>
  </si>
  <si>
    <t>Larissa</t>
  </si>
  <si>
    <t>Bardil</t>
  </si>
  <si>
    <t>BTC</t>
  </si>
  <si>
    <t>https://ui-avatars.com/api/?name=Bardil+Larissa&amp;background=random&amp;rounded=true</t>
  </si>
  <si>
    <t>17a7e218</t>
  </si>
  <si>
    <t>m.lallement@otisud.com</t>
  </si>
  <si>
    <t>Lallement</t>
  </si>
  <si>
    <t>Mélodie</t>
  </si>
  <si>
    <t>https://ui-avatars.com/api/?name=Mélodie+Lallement&amp;background=random&amp;rounded=true</t>
  </si>
  <si>
    <t>4b11a48e</t>
  </si>
  <si>
    <t>a.sarpedon@otisud.com</t>
  </si>
  <si>
    <t>Sarpedon</t>
  </si>
  <si>
    <t>Angélica</t>
  </si>
  <si>
    <t>https://ui-avatars.com/api/?name=Angélica+Sarpedon&amp;background=random&amp;rounded=true</t>
  </si>
  <si>
    <t>eed6a6e2</t>
  </si>
  <si>
    <t>a.turpin@otisud.com</t>
  </si>
  <si>
    <t>Hébergement</t>
  </si>
  <si>
    <t>Location saisonnière</t>
  </si>
  <si>
    <t>Turpin</t>
  </si>
  <si>
    <t>Anne</t>
  </si>
  <si>
    <t>https://ui-avatars.com/api/?name=Anne+Turpin&amp;background=random&amp;rounded=true</t>
  </si>
  <si>
    <t>b721c633</t>
  </si>
  <si>
    <t>a.payet@otisud.com</t>
  </si>
  <si>
    <t>Saint-Joseph , Saint-Philippe</t>
  </si>
  <si>
    <t>Payet</t>
  </si>
  <si>
    <t>Audrey</t>
  </si>
  <si>
    <t>https://ui-avatars.com/api/?name=Audrey+Payet&amp;background=random&amp;rounded=true</t>
  </si>
  <si>
    <t>acacfb52</t>
  </si>
  <si>
    <t>c.duprey@otisud.com</t>
  </si>
  <si>
    <t>Le Tampon</t>
  </si>
  <si>
    <t>DUPREY</t>
  </si>
  <si>
    <t>Christophe</t>
  </si>
  <si>
    <t>https://ui-avatars.com/api/?name=Christophe+DUPREY&amp;background=random&amp;rounded=true</t>
  </si>
  <si>
    <t>e24d5bd6</t>
  </si>
  <si>
    <t>c.metro@otisud.com</t>
  </si>
  <si>
    <t>METRO</t>
  </si>
  <si>
    <t>https://ui-avatars.com/api/?name=Christophe+METRO&amp;background=random&amp;rounded=true</t>
  </si>
  <si>
    <t>132ad2e4</t>
  </si>
  <si>
    <t>d.allart@otisud.com</t>
  </si>
  <si>
    <t>ALLART</t>
  </si>
  <si>
    <t>https://ui-avatars.com/api/?name=David+ALLART&amp;background=random&amp;rounded=true</t>
  </si>
  <si>
    <t>1221c2b6</t>
  </si>
  <si>
    <t>j.guichard@otisud.com</t>
  </si>
  <si>
    <t>GUICHARD</t>
  </si>
  <si>
    <t>Joëlle</t>
  </si>
  <si>
    <t>https://ui-avatars.com/api/?name=Joëlle+GUICHARD&amp;background=random&amp;rounded=true</t>
  </si>
  <si>
    <t>b7d2fd08</t>
  </si>
  <si>
    <t>c.pose@otisud.com</t>
  </si>
  <si>
    <t>null</t>
  </si>
  <si>
    <t>Pose</t>
  </si>
  <si>
    <t>Claudia</t>
  </si>
  <si>
    <t>User</t>
  </si>
  <si>
    <t>https://ui-avatars.com/api/?name=Claudia+Pose&amp;background=random&amp;rounded=true</t>
  </si>
  <si>
    <t>faa1d782</t>
  </si>
  <si>
    <t>j.raoeliarison@otisud.com</t>
  </si>
  <si>
    <t>Raoeliarison</t>
  </si>
  <si>
    <t>Joan</t>
  </si>
  <si>
    <t>https://ui-avatars.com/api/?name=Joan+Raoeliarison&amp;background=random&amp;rounded=true</t>
  </si>
  <si>
    <t>f80d7b78</t>
  </si>
  <si>
    <t>m.lauret@otisud.com</t>
  </si>
  <si>
    <t>Lauret</t>
  </si>
  <si>
    <t>Mellie</t>
  </si>
  <si>
    <t>https://ui-avatars.com/api/?name=Mellie+Lauret&amp;background=random&amp;rounded=true</t>
  </si>
  <si>
    <t>e5fb3a79</t>
  </si>
  <si>
    <t>j.brosch@otisud.com</t>
  </si>
  <si>
    <t>Brosch</t>
  </si>
  <si>
    <t>Julie</t>
  </si>
  <si>
    <t>https://ui-avatars.com/api/?name=Brosch+Julie&amp;background=random&amp;rounded=true</t>
  </si>
  <si>
    <t>5a024c42</t>
  </si>
  <si>
    <t>m.benoiton@otisud.com</t>
  </si>
  <si>
    <t>Benoiton</t>
  </si>
  <si>
    <t>Mélissa</t>
  </si>
  <si>
    <t>https://ui-avatars.com/api/?name=Benoiton+Mélissa&amp;background=random&amp;rounded=true</t>
  </si>
  <si>
    <t>1e5d8cdd</t>
  </si>
  <si>
    <t>l.malet@otisud.com</t>
  </si>
  <si>
    <t>Loisirs - se divertir</t>
  </si>
  <si>
    <t>Malet</t>
  </si>
  <si>
    <t>Loic</t>
  </si>
  <si>
    <t>https://ui-avatars.com/api/?name=Loic+Malet&amp;background=random&amp;rounded=true</t>
  </si>
  <si>
    <t>ba5e3c54</t>
  </si>
  <si>
    <t>r.clerville@otisud.com</t>
  </si>
  <si>
    <t>Saint-Joseph</t>
  </si>
  <si>
    <t>Clerville</t>
  </si>
  <si>
    <t>Rita</t>
  </si>
  <si>
    <t>https://ui-avatars.com/api/?name=Rita+Clerville&amp;background=random&amp;rounded=true</t>
  </si>
  <si>
    <t>12cf72ce</t>
  </si>
  <si>
    <t>stagiaire@otisud.com</t>
  </si>
  <si>
    <t>https://ui-avatars.com/api/?name=+&amp;background=random&amp;rounded=true</t>
  </si>
  <si>
    <t>54fe21db</t>
  </si>
  <si>
    <t>n.chevalier@otisud.com</t>
  </si>
  <si>
    <t>Chevalier</t>
  </si>
  <si>
    <t>Noémie</t>
  </si>
  <si>
    <t>https://ui-avatars.com/api/?name=Noémie+Chevalier&amp;background=random&amp;rounded=true</t>
  </si>
  <si>
    <t>ec3c2c3e</t>
  </si>
  <si>
    <t>l.derouault@otisud.com</t>
  </si>
  <si>
    <t>Gîte d'étape et de randonnée</t>
  </si>
  <si>
    <t>Lilian</t>
  </si>
  <si>
    <t>Derouault</t>
  </si>
  <si>
    <t>https://ui-avatars.com/api/?name=Derouault+Lilian&amp;background=random&amp;rounded=true</t>
  </si>
  <si>
    <t>224c8632</t>
  </si>
  <si>
    <t>s.georges@otisud.com</t>
  </si>
  <si>
    <t>Georges</t>
  </si>
  <si>
    <t>Soléne</t>
  </si>
  <si>
    <t>https://ui-avatars.com/api/?name=Soléne+Georges&amp;background=random&amp;rounded=true</t>
  </si>
  <si>
    <t>912fdca5</t>
  </si>
  <si>
    <t>s.riviere@otisud.com</t>
  </si>
  <si>
    <t>Location saisonnière ; Chambre d'hôtes ; Hôtel ; Camping</t>
  </si>
  <si>
    <t>Stéphane</t>
  </si>
  <si>
    <t>Rivière</t>
  </si>
  <si>
    <t>https://ui-avatars.com/api/?name=Rivière+Stéphane&amp;background=random&amp;rounded=true</t>
  </si>
  <si>
    <t>08db3c3c</t>
  </si>
  <si>
    <t>e.morel@otisud.com</t>
  </si>
  <si>
    <t>Emilie</t>
  </si>
  <si>
    <t>Morel</t>
  </si>
  <si>
    <t>https://ui-avatars.com/api/?name=Morel+Emilie&amp;background=random&amp;rounded=true</t>
  </si>
  <si>
    <t>231b0833</t>
  </si>
  <si>
    <t>s.galletier@otisud.com</t>
  </si>
  <si>
    <t>Galletier</t>
  </si>
  <si>
    <t>https://ui-avatars.com/api/?name=Galletier+Stéphane&amp;background=random&amp;rounded=true</t>
  </si>
  <si>
    <t>Jean Petit , Bézaves , Les Jacques</t>
  </si>
  <si>
    <t>33168eff</t>
  </si>
  <si>
    <t>g.dijoux@otisud.com</t>
  </si>
  <si>
    <t>Gille</t>
  </si>
  <si>
    <t>Dijoux</t>
  </si>
  <si>
    <t>https://ui-avatars.com/api/?name=Dijoux+Gille&amp;background=random&amp;rounded=true</t>
  </si>
  <si>
    <t>005c44c0</t>
  </si>
  <si>
    <t>a.aboubacar@otisud.com</t>
  </si>
  <si>
    <t>Aboubacar</t>
  </si>
  <si>
    <t>Abou Youssouf</t>
  </si>
  <si>
    <t>https://ui-avatars.com/api/?name=Abou Youssouf+Aboubacar&amp;background=random&amp;rounded=true</t>
  </si>
  <si>
    <t>Bois Court</t>
  </si>
  <si>
    <t>89d04080</t>
  </si>
  <si>
    <t>akesharwani@google.com</t>
  </si>
  <si>
    <t>a458923d</t>
  </si>
  <si>
    <t>l.wan@otisud.com</t>
  </si>
  <si>
    <t>Lupsine</t>
  </si>
  <si>
    <t>Wan</t>
  </si>
  <si>
    <t>0923421f</t>
  </si>
  <si>
    <t>charlotte.stagiaire@otisud.com</t>
  </si>
  <si>
    <t>Charlotte</t>
  </si>
  <si>
    <t>Posé</t>
  </si>
  <si>
    <t>https://ui-avatars.com/api/?name=Posé+Charlotte&amp;background=random&amp;rounded=true</t>
  </si>
  <si>
    <t>44c3be64</t>
  </si>
  <si>
    <t>stagiaire.accueil@otisud.com</t>
  </si>
  <si>
    <t>Vincendo , Saint Joseph , centre ville , Les Jacques , Manapany-Les-Bains , Langevin , Les Gregues</t>
  </si>
  <si>
    <t>f4a724e2</t>
  </si>
  <si>
    <t>k.doressamy@otisud.com</t>
  </si>
  <si>
    <t>Doressamy</t>
  </si>
  <si>
    <t>Korane</t>
  </si>
  <si>
    <t>https://ui-avatars.com/api/?name=Korane+Doressamy&amp;background=random&amp;rounded=true</t>
  </si>
  <si>
    <t>bb0fe186</t>
  </si>
  <si>
    <t>a.lebon@otisud.com</t>
  </si>
  <si>
    <t>b5f10456</t>
  </si>
  <si>
    <t>a99c5b4c</t>
  </si>
  <si>
    <t>s.fumar@otisud.com</t>
  </si>
  <si>
    <t>Artisanat</t>
  </si>
  <si>
    <t>Fumar</t>
  </si>
  <si>
    <t>Solène</t>
  </si>
  <si>
    <t>1bb00cdf</t>
  </si>
  <si>
    <t>mn.severin@otisud.com</t>
  </si>
  <si>
    <t>Location saisonnière ; Chambre d'hôtes</t>
  </si>
  <si>
    <t>Severin</t>
  </si>
  <si>
    <t>Marie-Noël</t>
  </si>
  <si>
    <t>https://ui-avatars.com/api/?name=Marie-Noël+Severin&amp;background=random&amp;rounded=true</t>
  </si>
  <si>
    <t>Manapany-Les-Bains</t>
  </si>
  <si>
    <t>fec68a13</t>
  </si>
  <si>
    <t>stagiaire.presta@otisud.com</t>
  </si>
  <si>
    <t>Entre-Deux , Le Tampon</t>
  </si>
  <si>
    <t>d38bbdd1</t>
  </si>
  <si>
    <t>g.grondin@otisud.com</t>
  </si>
  <si>
    <t>1431d5e9</t>
  </si>
  <si>
    <t>t.grondin@otisud.com</t>
  </si>
  <si>
    <t>Tamara</t>
  </si>
  <si>
    <t>Grondin</t>
  </si>
  <si>
    <t>La Plaine des Cafres</t>
  </si>
  <si>
    <t>75ac465d</t>
  </si>
  <si>
    <t>cl.metro@otisud.com</t>
  </si>
  <si>
    <t>Métro</t>
  </si>
  <si>
    <t>Cloé</t>
  </si>
  <si>
    <t>https://ui-avatars.com/api/?name=Cloé+Métro&amp;background=random&amp;rounded=true</t>
  </si>
  <si>
    <t>e1821006</t>
  </si>
  <si>
    <t>softap.reunion@gmail.com</t>
  </si>
  <si>
    <t>Saint Philippe</t>
  </si>
  <si>
    <t>Email</t>
  </si>
  <si>
    <t>Etab_ID</t>
  </si>
  <si>
    <t>Presta_List</t>
  </si>
  <si>
    <t>Temp_presta ID</t>
  </si>
  <si>
    <t>Immo_selec</t>
  </si>
  <si>
    <t>Presta_List8_Immo_selec</t>
  </si>
  <si>
    <t>recL2CazKYKlnB6az</t>
  </si>
  <si>
    <t>MuMa6223Yx</t>
  </si>
  <si>
    <t>5c119d2f</t>
  </si>
  <si>
    <t>96b0af71</t>
  </si>
  <si>
    <t>e10b60a7 , 2b96c273</t>
  </si>
  <si>
    <t>97b53bf2</t>
  </si>
  <si>
    <t>759d38b7</t>
  </si>
  <si>
    <t>cc50a92c</t>
  </si>
  <si>
    <t>6d8c2c96</t>
  </si>
  <si>
    <t>6acc7667</t>
  </si>
  <si>
    <t>d46fbd77</t>
  </si>
  <si>
    <t>b87b97c9</t>
  </si>
  <si>
    <t>recqlrw688v3ayk46</t>
  </si>
  <si>
    <t>reckOZ7OU50TrRb1v</t>
  </si>
  <si>
    <t>rec07c8tTqu6IivCN</t>
  </si>
  <si>
    <t>recdYDKpysnem09GC</t>
  </si>
  <si>
    <t>6d65a518</t>
  </si>
  <si>
    <t>c8c614c6</t>
  </si>
  <si>
    <t>rec5Xr38CzqCc6d1f</t>
  </si>
  <si>
    <t>3f1a6fa1</t>
  </si>
  <si>
    <t>recCz37zq42LWcgFJ</t>
  </si>
  <si>
    <t>f8006f39</t>
  </si>
  <si>
    <t>l.calpetard@otisud.com</t>
  </si>
  <si>
    <t>8f122929</t>
  </si>
  <si>
    <t>recjVuOypOyayuqqy</t>
  </si>
  <si>
    <t>ea42ebb4</t>
  </si>
  <si>
    <t>2ebf141a</t>
  </si>
  <si>
    <t>de4e1be5</t>
  </si>
  <si>
    <t>f62afb0c</t>
  </si>
  <si>
    <t>5685d96f</t>
  </si>
  <si>
    <t>recIVYS9o5mvkvjDi</t>
  </si>
  <si>
    <t>recJK4upgE96mO8Rr</t>
  </si>
  <si>
    <t>69f746b8</t>
  </si>
  <si>
    <t>b0045aef</t>
  </si>
  <si>
    <t>recvVfwpQJxSLM8gw</t>
  </si>
  <si>
    <t>reczq9MjKzK8unDnR</t>
  </si>
  <si>
    <t>recpoMrt052WGicmB</t>
  </si>
  <si>
    <t>34b3834f</t>
  </si>
  <si>
    <t>3619adfc</t>
  </si>
  <si>
    <t>79b55a85</t>
  </si>
  <si>
    <t>rec5zED36Is1fQBbm</t>
  </si>
  <si>
    <t>ca865c08</t>
  </si>
  <si>
    <t>recLjUyJFdNesBiuw</t>
  </si>
  <si>
    <t>2805db88</t>
  </si>
  <si>
    <t>rec7seiW9ctVpsUhX</t>
  </si>
  <si>
    <t>recJbOa03QazF8GUQ</t>
  </si>
  <si>
    <t>id</t>
  </si>
  <si>
    <t>id OTI</t>
  </si>
  <si>
    <t>Nom commercial</t>
  </si>
  <si>
    <t>Raison sociale</t>
  </si>
  <si>
    <t>Motif Hors ligne</t>
  </si>
  <si>
    <t>En ligne</t>
  </si>
  <si>
    <t>Zone</t>
  </si>
  <si>
    <t>Nom de la commune</t>
  </si>
  <si>
    <t>Adresse</t>
  </si>
  <si>
    <t>Site web</t>
  </si>
  <si>
    <t>Groupe catégorie</t>
  </si>
  <si>
    <t>Nom catégorie</t>
  </si>
  <si>
    <t>Nom sous catégorie</t>
  </si>
  <si>
    <t>Localisations</t>
  </si>
  <si>
    <t>Code postal</t>
  </si>
  <si>
    <t>Bureau postal</t>
  </si>
  <si>
    <t>Lieux-dits</t>
  </si>
  <si>
    <t>Prestations sur place</t>
  </si>
  <si>
    <t>Prestations à proximité</t>
  </si>
  <si>
    <t>Mode de paiement</t>
  </si>
  <si>
    <t>Langues</t>
  </si>
  <si>
    <t>Fixe</t>
  </si>
  <si>
    <t>Mobile</t>
  </si>
  <si>
    <t>Autre téléphone</t>
  </si>
  <si>
    <t>Fax</t>
  </si>
  <si>
    <t>E-Mail</t>
  </si>
  <si>
    <t>Classement</t>
  </si>
  <si>
    <t>Accroche</t>
  </si>
  <si>
    <t>Descriptif</t>
  </si>
  <si>
    <t>Descriptif du plan d'accès</t>
  </si>
  <si>
    <t>Jours et horaires d'ouverture</t>
  </si>
  <si>
    <t>Labels</t>
  </si>
  <si>
    <t>Date de création - Etablissement</t>
  </si>
  <si>
    <t>Date de fermeture</t>
  </si>
  <si>
    <t>Fournisseur - Nom</t>
  </si>
  <si>
    <t>Fournisseur - SIRET</t>
  </si>
  <si>
    <t>Fournisseur - adresse</t>
  </si>
  <si>
    <t>Fournisseur - contacts</t>
  </si>
  <si>
    <t>Fournisseur - date de création</t>
  </si>
  <si>
    <t>Fournisseur - Code postal</t>
  </si>
  <si>
    <t>Fournisseur - Bureau</t>
  </si>
  <si>
    <t>Fournisseur - Code NAF</t>
  </si>
  <si>
    <t>Fournisseur - Chambre consulaire</t>
  </si>
  <si>
    <t>Fournisseur - Forme juridique</t>
  </si>
  <si>
    <t>Fournisseur - CFE</t>
  </si>
  <si>
    <t>Nb Produits</t>
  </si>
  <si>
    <t>Coordonnées GPS</t>
  </si>
  <si>
    <t>Liste URL moteur</t>
  </si>
  <si>
    <t>Tarif Montant</t>
  </si>
  <si>
    <t>Tarif libellé</t>
  </si>
  <si>
    <t>Num taxe de séjour</t>
  </si>
  <si>
    <t>Descriptif OTI</t>
  </si>
  <si>
    <t>Accroche OTI</t>
  </si>
  <si>
    <t>Status</t>
  </si>
  <si>
    <t>Date de derniere modification</t>
  </si>
  <si>
    <t>Colones modifiées</t>
  </si>
  <si>
    <t>commentaire</t>
  </si>
  <si>
    <t>Date du dernier contact</t>
  </si>
  <si>
    <t>Fournisseur - SIREN</t>
  </si>
  <si>
    <t>Adresse formatée</t>
  </si>
  <si>
    <t>Site Tiers</t>
  </si>
  <si>
    <t>Photos</t>
  </si>
  <si>
    <t>Nom_app</t>
  </si>
  <si>
    <t>2 Chênes (Les)</t>
  </si>
  <si>
    <t>test</t>
  </si>
  <si>
    <t>Oui</t>
  </si>
  <si>
    <t>Sud</t>
  </si>
  <si>
    <t>Tampon (Le)</t>
  </si>
  <si>
    <t>2 Chênes (Les)
17, rue du Commandeur - Bois Court
Plaine des Cafres
97418 La Plaine des Cafres</t>
  </si>
  <si>
    <t>Gîte &amp; Villa</t>
  </si>
  <si>
    <t>Village,Montagne,Milieu rural</t>
  </si>
  <si>
    <t>Plaine des Cafres (La)</t>
  </si>
  <si>
    <t>Plaine des Cafres / Plaines et volcan</t>
  </si>
  <si>
    <t>barbecue,jardin,lave linge privatif,micro-ondes,parking,TV</t>
  </si>
  <si>
    <t>sentier de randonnée,équitation,forêt</t>
  </si>
  <si>
    <t>Chèque,Chèques vacances,Espèces</t>
  </si>
  <si>
    <t>français,créole</t>
  </si>
  <si>
    <t>contact@llm.re</t>
  </si>
  <si>
    <t>2 Etoile(s)</t>
  </si>
  <si>
    <t>Située à 5 min du centre ville de Saint-Joseph, la villa des 3 soleils peut accueillir 6 personnes.</t>
  </si>
  <si>
    <t>Situé à la Plaine des Cafres, les 2 chalets pour 4 personnes sont entourés d'un jardin de plantes endémiques et sont gardés par 2 splendides chênes qui lui ont donné son nom. La décoration est assortie au linge de maison: chaque détail à son importance pour le bien-être de tous. Le calme règne en ces lieux sécurisés et assure une complète détente. L'accueil y est chaleureux et attentionné. A proximité du Volcan et des forêts. Chèques vacances acceptés.</t>
  </si>
  <si>
    <t>Prendre la 4 voies en direction du Tampon/Plaine des Cafres. Suivre la RN 3 et aller  jusqu'au 23ème km. Juste après le supermarché U Express, tourner à gauche dans la rue Raphaël Douyère. Aller au bout de la rue jusqu'au village de Bois Court. 5 km plus loin, tourner à gauche dans le chemin Thomas Payet, faire 500 m et tourner de nouveau à gauche dans la rue du Commandeur. La structure se situe au n° 17.</t>
  </si>
  <si>
    <t>LIBELLE Jean Marc</t>
  </si>
  <si>
    <t>17, rue du Commandeur - Bois Court, 97422 Le Tampon</t>
  </si>
  <si>
    <t xml:space="preserve">Ethève Luc : contact@bungalow.re / 0262593022 / 0692002347 / Propriétaire , Ethève Luc : contact@bungalow.re / 0262593022 / 0692002347 / Propriétaire , Etheve Luc : contact@bungalow.re / 0262593022 / 0692002347 / Propriétaire </t>
  </si>
  <si>
    <t>Sud - Plaine des Cafres (La)</t>
  </si>
  <si>
    <t>-21.19595688, 55.53499445</t>
  </si>
  <si>
    <t>https://book.reunion.fr/fr/hebergements/a1718917/adrianna-n°-1/reserver | Réunion.fr</t>
  </si>
  <si>
    <t>CSC250HT@</t>
  </si>
  <si>
    <t>Fermer</t>
  </si>
  <si>
    <t>Mode de paiment,Mobile,Fournisseur - contacts</t>
  </si>
  <si>
    <t>Bois Court, 17 Rue du Commandeur, La Plaine des Cafres 97418, Réunion</t>
  </si>
  <si>
    <t>airbnb,booking</t>
  </si>
  <si>
    <t>JPG</t>
  </si>
  <si>
    <t>2 palmiers (Les)</t>
  </si>
  <si>
    <t>les 2 palmiers</t>
  </si>
  <si>
    <t>2 palmiers (Les)
61, rue Bourgine, impasse des Clématites
97480 Saint-Joseph</t>
  </si>
  <si>
    <t>Appartement</t>
  </si>
  <si>
    <t>Littoral</t>
  </si>
  <si>
    <t>barbecue,fer et planche à repasser,lave linge privatif,micro-ondes,parking,piscine,sèche linge privatif,TV,wifi</t>
  </si>
  <si>
    <t>Chèque,Espèces</t>
  </si>
  <si>
    <t>français</t>
  </si>
  <si>
    <t>hoagab@hotmail.fr</t>
  </si>
  <si>
    <t>Situés dans le Sud Sauvage, Les 2 Palmiers proposent un appartement de plain pied et disposent d'une chambre double, d'une mezzanine avec un lit double, d'une cuisine /salle à manger et d'une terrasse.</t>
  </si>
  <si>
    <t>Après le pont de la Rivière des Remparts, prendre à gauche la rue Maury, puis tourner à gauche la rue Henry Payet. Continuer tout droit après le croisement rue joseph Hubert. Au croisement avec la rue Bougine, en face impasse des Clématites.</t>
  </si>
  <si>
    <t>2 Palmiers (Les) - Hoareau Gabriel</t>
  </si>
  <si>
    <t>61, rue Bourgine, 97412 Saint-Joseph</t>
  </si>
  <si>
    <t xml:space="preserve">Hoareau Gabriel : hoagab@hotmail.fr / 0262560845 / 0692768249 / Propriétaire , Hoareau Gabriel : hoagab@hotmail.fr / 0262560845 / 0692768249 / Propriétaire </t>
  </si>
  <si>
    <t>Sud - Saint-Joseph</t>
  </si>
  <si>
    <t>-21.373201, 55.61874</t>
  </si>
  <si>
    <t>61 Rue Bourgine, Réunion</t>
  </si>
  <si>
    <t>recfnk0sEMlgWUqUH</t>
  </si>
  <si>
    <t>3 soleils (Les)</t>
  </si>
  <si>
    <t>3 soleils (Les)
31 A rue Victor Hugo
97480 Saint-Joseph</t>
  </si>
  <si>
    <t>barbecue,climatisation,fer et planche à repasser,parking public,piscine,jacuzzi</t>
  </si>
  <si>
    <t>Chèque,Chèques vacances,Virement,Espèces</t>
  </si>
  <si>
    <t>français (Expérimenté (Nv.3))</t>
  </si>
  <si>
    <t>les3soleils@yahoo.com</t>
  </si>
  <si>
    <t>4 Etoile(s)</t>
  </si>
  <si>
    <t>Avec une superficie de 80 m² et une véranda de 22 m², le logement dispose d'un lit double (matelas 160x220), d'un clic clac situé dans le salon et d'une "mezzanine" pouvant accueillir 2 personnes (matelas 160x220).</t>
  </si>
  <si>
    <t>3 soleils (Les) - Celle Benoite</t>
  </si>
  <si>
    <t>31 A rue Victor Hugo, 97412 Saint-Joseph</t>
  </si>
  <si>
    <t>Celle Benoite : les3soleils@yahoo.com / 0692662628 / Propriétaire</t>
  </si>
  <si>
    <t>-21.380255, 55.638431</t>
  </si>
  <si>
    <t>Ouvert</t>
  </si>
  <si>
    <t>31 Rue Victor Hugo, 97480, Réunion</t>
  </si>
  <si>
    <t>4 Epices (Les)</t>
  </si>
  <si>
    <t>Non</t>
  </si>
  <si>
    <t>4 Epices (Les)
2 impasse de l'Erebus - Chemin Mathias - La Petite Ferme
Plaine des Cafres
97418 La Plaine des Cafres</t>
  </si>
  <si>
    <t>http://www.les4epices.com</t>
  </si>
  <si>
    <t>Village,Milieu rural</t>
  </si>
  <si>
    <t>jardin,linge de maison,micro-ondes,TV</t>
  </si>
  <si>
    <t>sentier de randonnée,commerce alimentaire,équitation</t>
  </si>
  <si>
    <t>les4epices.reunion@gmail.com</t>
  </si>
  <si>
    <t>Le gîte Les 4 Epices se situe à la Plaine des Cafres. Il propose 3 chambres dont 2 avec un lit double et une avec 4 lits simples (superposés). Le gîte dispose de : table et chaises, une terrasse, un grand séjour avec une cheminée, un canapé lit, une cuisine équipée de gazinière, frigidaire, grille-pain, vaisselle et ustensiles de cuisine. A disposition : chaîne hifi, chaise haute et lit parapluie. Capacité de 8 à 10 personnes.
A proximité : la Maison du Volcan, le Volcan, randonnées du Piton de l'Eau, du Piton des Neiges et de Grand Bassin et randonnées équestres.</t>
  </si>
  <si>
    <t xml:space="preserve">De l'Ouest : prendre la direction du Sud jusqu'à Saint-Pierre puis aller en direction de la ville du Tampon. Prendre ensuite la direction de la Plaine des Cafres.
Du Nord : prendre la direction de l'Est jusqu'à Saint-Benoit puis la direction de la Plaine des Palmistes et enfin la direction de la Plaine des Cafres. </t>
  </si>
  <si>
    <t>4 Epices (Les) - Lavergne Joël</t>
  </si>
  <si>
    <t>59, rue des Ecoles, 97415 Saint-Paul</t>
  </si>
  <si>
    <t>les4epices.reunion@gmail.com / 0262557866 / 0692664046</t>
  </si>
  <si>
    <t>Ouest - Saint-Gilles-les-Hauts</t>
  </si>
  <si>
    <t>-21.228622, 55.575594</t>
  </si>
  <si>
    <t>Chemin Mathias, La Plaine des Cafres, Réunion</t>
  </si>
  <si>
    <t>7 Jardins (Les)</t>
  </si>
  <si>
    <t>Les 7 Jardins</t>
  </si>
  <si>
    <t>7 Jardins (Les)
25, rue Loulou Bardeur
97414 Entre-Deux</t>
  </si>
  <si>
    <t>Village</t>
  </si>
  <si>
    <t>jardin,lave linge privatif,micro-ondes,parking,TV</t>
  </si>
  <si>
    <t>français,anglais</t>
  </si>
  <si>
    <t>g.belmas@wanadoo.fr</t>
  </si>
  <si>
    <t>Situé dans le village de l'Entre-Deux, Les 7 Jardins proposent la location d'un appartement tout confort de 60 m² dans une maison créole tout en bois. Le logement dispose de 2 chambres doubles, d'un salon, d'une cuisine équipée et d'une grande terrasse pouvant accueillir 4 personnes.  Vue panoramique sur le village, proche des sentiers familiaux et randonnées.</t>
  </si>
  <si>
    <t>25, rue Loulou Bardeur, 97403 Entre-Deux</t>
  </si>
  <si>
    <t>Belmas-Fortez Geneviève : g.belmas@wanadoo.fr / 0262241269 / 0692880826</t>
  </si>
  <si>
    <t>Sud - Entre-Deux</t>
  </si>
  <si>
    <t>-21.249222, 55.473381</t>
  </si>
  <si>
    <t>CSC10HTA</t>
  </si>
  <si>
    <t>25 Rue Loulou Bardeur, Réunion</t>
  </si>
  <si>
    <t>recTZly2M01UJSe5M</t>
  </si>
  <si>
    <t>A l'Case Césaire</t>
  </si>
  <si>
    <t>Marti Jean Christophe</t>
  </si>
  <si>
    <t>A l'Case Césaire
9, rue Césaire
97414 Entre-Deux</t>
  </si>
  <si>
    <t>chauffage,jardin,lave linge privatif,piscine,salle de bain privée,TV,ventilateur</t>
  </si>
  <si>
    <t>sentier de randonnée,sentier de grande randonnée,tennis,riviere,centre commercial,parking public,site - lieu culturel,point de vue panoramique</t>
  </si>
  <si>
    <t>Chèque,Virement,Mandat postal,Espèces</t>
  </si>
  <si>
    <t>français,créole,anglais,allemand,espagnol</t>
  </si>
  <si>
    <t>jc.marti@sfr.fr</t>
  </si>
  <si>
    <t>Situé à l'Entre-Deux, A l'Case Césaire propose un appartement mitoyen de la maison du propriétaire avec un lit double et un lit superposé, cuisine équipée. Piscine privée et terrasse du propriétaire à disposition. Connexion Wifi.
Tarifs dégressifs selon la durée du séjour.</t>
  </si>
  <si>
    <t>Sur la commune de l'Entre-Deux, suivre  la direction de l'Office de Tourisme, tourner à droite direction le parking de l'Office. La maison se trouve à gauche du restaurant l'Arbre à Palabre au fond du parking.</t>
  </si>
  <si>
    <t>A l'Case Césaire - Marti Jean Christophe</t>
  </si>
  <si>
    <t>9, rue Césaire, 97403 Entre-Deux</t>
  </si>
  <si>
    <t xml:space="preserve">Marti Jean Christophe : jc.marti@sfr.fr / 0262396869 / Propriétaire ,  alcasecesaire@sfr.fr / 0262396869 / 0262396869 </t>
  </si>
  <si>
    <t>-21.25041836, 55.46993601</t>
  </si>
  <si>
    <t>CSC103HTD</t>
  </si>
  <si>
    <t>Mode de paiment,Descriptif</t>
  </si>
  <si>
    <t>9 Rue Cesaire, Réunion</t>
  </si>
  <si>
    <t>A La Maison</t>
  </si>
  <si>
    <t>A La Maison
108, chemin des Prunes
97480 Saint-Joseph</t>
  </si>
  <si>
    <t>Chambre d'hôtes</t>
  </si>
  <si>
    <t>Chambre d'hôte</t>
  </si>
  <si>
    <t>Milieu rural</t>
  </si>
  <si>
    <t>rosemay97480@gmail.com</t>
  </si>
  <si>
    <t>Pour le dépaysement, le calme, la beauté, le paradis !
Bienvenue  "A La Maison".</t>
  </si>
  <si>
    <t>A La Maison propose 2 chambres d'hôtes de qualité dans une maison style coloniale. Vue sur mer imprenable. Les nombreux équipements proposés sont inclus dans le prix de la chambre: piscine, vaste varangue (terrasse). Les chambres sont modernes et bien équipées avec salle de bain et toilettes indépendantes ainsi qu'un accès privatif pour les chambres. Wi-fi gratuit.  Table d'hôte en supplément et sur réservation.</t>
  </si>
  <si>
    <t xml:space="preserve">Depuis l'entrée ouest de Saint-Joseph, suivre la déviation et prendre direction Jean-Petit. Après le pont de la rivière des Remparts, tourner à gauche au prochain giratoire, poursuivre sur environ 1 km et tourner à droite dans la rue des Prunes. Continuer sur 300 m au
n°108. </t>
  </si>
  <si>
    <t>A La Maison - Debril Rose-May</t>
  </si>
  <si>
    <t>108, rue des Prunes, 97412 Saint-Joseph</t>
  </si>
  <si>
    <t>Debril Rose-May : rosemay97480@gmail.com / 0262102944 / 0692253320 / Propriétaire</t>
  </si>
  <si>
    <t>-21.369707, 55.632864</t>
  </si>
  <si>
    <t>108 Rue des Prunes, 97480, Réunion</t>
  </si>
  <si>
    <t>recB2JTuDBL25FrkJ</t>
  </si>
  <si>
    <t>A'RaNd'O</t>
  </si>
  <si>
    <t>A'Rand'O</t>
  </si>
  <si>
    <t>A'RaNd'O
12, impasse des evis
97414 Entre-Deux</t>
  </si>
  <si>
    <t>"Loisirs - se divertir"</t>
  </si>
  <si>
    <t>Terre</t>
  </si>
  <si>
    <t>V.T.T. - Autres cycles,Randonnée pédestre</t>
  </si>
  <si>
    <t>Montagne</t>
  </si>
  <si>
    <t>arnorando2@gmail.com</t>
  </si>
  <si>
    <t>Basé dans le cœur montagneux du cirque de Cilaos, A'Rand'O organise des randonnées pédestres à la découverte des secrets du cœur de La Réunion qui recèle une faune et une flore rares. Au programme: Dimitile, Mafate, Cilaos, Piton des Neiges, la Fournaise en journée ou en trek.
A'Rand'O propose aussi des descentes VTT du volcan à Saint-Pierre ou de la randonnée en VTT au volcan en demi-journée.
Toutes les sorties sont encadrées par un accompagnateur en montagne diplômé d'Etat.</t>
  </si>
  <si>
    <t>Points de rendez-vous différents selon les activités, contacter A'Rand'O.</t>
  </si>
  <si>
    <t>A'RaNd'O - Arnaud Carle</t>
  </si>
  <si>
    <t>12, impasse des Devis, 97403 Entre-Deux</t>
  </si>
  <si>
    <t>Arnaud Carle : arnorando2@gmail.com / 0692667144 / 0262370804 / Gérant€</t>
  </si>
  <si>
    <t>-21.245474,55.4706661</t>
  </si>
  <si>
    <t>Adresse,Mode de paiment,Fax,E-Mail,Descriptif,Fournisseur - contacts</t>
  </si>
  <si>
    <t>O, 12 Impasse des Evis, Réunion</t>
  </si>
  <si>
    <t>Acacia Bleu (L')</t>
  </si>
  <si>
    <t>Grondin Nadine</t>
  </si>
  <si>
    <t>Acacia Bleu (L')
110, chemin A. B. Louvins
97430 Le Tampon</t>
  </si>
  <si>
    <t>Table d'hôtes</t>
  </si>
  <si>
    <t>Table d'hôte</t>
  </si>
  <si>
    <t>chauffage,jardin,parking</t>
  </si>
  <si>
    <t>sentier de randonnée,équitation,centre commercial,parking public,site - lieu culturel,point de vue panoramique</t>
  </si>
  <si>
    <t>nadine.grondin@izi.re</t>
  </si>
  <si>
    <t>Situé au Tampon, avec vue sur une partie de la côte sud, la table d'hôte propose une cuisine créole traditionnelle et métropolitaine à base de produits locaux. Spécialités : framboises, escargots.</t>
  </si>
  <si>
    <t>Acacia Bleu (L') - Grondin Nadine</t>
  </si>
  <si>
    <t>110, chemin A. B. Louvins, 97422 Le Tampon</t>
  </si>
  <si>
    <t>Grondin Nadine : nadine.grondin@izi.re / 0262273201 / 0692768929 / Propriétaire , Grondin Nadine : nadine.grondin@izi.re / 0262273201 / 0692768929 / Gérant€</t>
  </si>
  <si>
    <t>Sud - Tampon (Le)</t>
  </si>
  <si>
    <t>-21.23597114, 55.51811425</t>
  </si>
  <si>
    <t>165 Chemin Leroy, La Plaine des Cafres, Réunion</t>
  </si>
  <si>
    <t>GRONDIN Nadine</t>
  </si>
  <si>
    <t>chauffage,jardin,lave linge privatif,parking,salle de bain privée,sanitaires privés,TV</t>
  </si>
  <si>
    <t>Chèque,Virement,Espèces</t>
  </si>
  <si>
    <t>Situé au Tampon, entre mer et montagne, l'Acacia Bleu dispose d'une chambre d'hôte d'une capacité de 3 personnes au-dessus de la maison du propriétaire. La chambre comprend un lit double et un lit simple. Repas possible en table d'hôte.
Loisirs : plongée et voile à 15 km, équitation à 6 km, artisanat à 4 km. Randonnées pédestres: Grand Bassin, le volcan. Visites : Maison du Volcan, Maison du Caméléon, jardin botaniques.</t>
  </si>
  <si>
    <t>Du rond-point du 17ème km prendre la route des Caféiers jusqu'au rond-point suivant. Continuer tout droit direction Piton Hyacinthe. Passer les trois dos d’ânes. Au troisième dos d'âne, prendre à gauche la rue A.B. Louvins.</t>
  </si>
  <si>
    <t>Accueil (L')</t>
  </si>
  <si>
    <t>Accueil (L’)</t>
  </si>
  <si>
    <t>Accueil (L')
24, rue de Saint Etienne - PK 23
Plaine des Cafres
97418 La Plaine des Cafres</t>
  </si>
  <si>
    <t>chauffage,jardin,parking autocar,parking,TV</t>
  </si>
  <si>
    <t>sentier de randonnée,sentier de grande randonnée,équitation,parking public,site - lieu culturel,point de vue panoramique</t>
  </si>
  <si>
    <t>esat@favron.org</t>
  </si>
  <si>
    <t>L'Accueil propose 2 structures de type gîte de séjour au cœur de la ville du Tampon, au 23ème km, sur un immense terrain vert, dans un endroit calme et reposant. 2 villas, une de 6 places et une de 18 places, avec cuisine à disposition des occupants. Tarifs dégressifs à partir de la troisième nuit.</t>
  </si>
  <si>
    <t>Accueil (L') - Huet Eloi</t>
  </si>
  <si>
    <t>ESAT Les Ateliers du Pont Neuf 
BP380
Bois d' Olive
97456 Saint Pierre Cedex, 97416 Saint-Pierre</t>
  </si>
  <si>
    <t>Huet Eloi : esat@favron.org / 0692649358</t>
  </si>
  <si>
    <t>Sud - Saint-Pierre</t>
  </si>
  <si>
    <t>-21.22287149, 55.55333219</t>
  </si>
  <si>
    <t>Plaine des Cafres, La Plaine des Cafres, Réunion</t>
  </si>
  <si>
    <t>Adrianna n°1</t>
  </si>
  <si>
    <t>Adrianna n°1
16, impasse des Filaos
97480 Saint-Joseph</t>
  </si>
  <si>
    <t>fer et planche à repasser,parking,TV satellite,ventilateur,wifi</t>
  </si>
  <si>
    <t>arrêt bus,commerce alimentaire</t>
  </si>
  <si>
    <t>marie.hangard@gmail.com</t>
  </si>
  <si>
    <t>Dans le sud Sauvage, Adrianna dispose de 3 maisons.
Adrianna n° 1 peut accueillir 7 personnes.</t>
  </si>
  <si>
    <t>Les locations offrent le confort nécessaire, des chambres en passant par le séjour, ou encore le coin cuisine.
Ambassadeurs touristiques, les propriétaires ne manqueront pas de donner les petites astuces de ce qu'il y a à faire et de ce qu'il ne faut pas manquer.
Leur maison se trouve à quelques mètres des locations de vacances.
Situé à 15 min à pied du centre ville de la gare routière de Saint-Joseph, Adrianna est un lieu très calme et est en retrait des autres habitations.</t>
  </si>
  <si>
    <t>De l'entrée Ouest de Saint-Joseph, prendre le premier giratoire et prendre  à gauche, continuer tout droit sur 1,5 km, puis tourner à droite au troisième giratoire et première à droite.</t>
  </si>
  <si>
    <t>Morque Olivier - Adrianna</t>
  </si>
  <si>
    <t>16, impasse des Filaos, 97412 Saint-Joseph</t>
  </si>
  <si>
    <t>Morque Olivier : olivier.m57@hotmail.fr / 0692384054 / Gérant(e) , Maulat  : marie.hangard@gmail.com / 0625790833 / Propriétaire</t>
  </si>
  <si>
    <t>-21.372843, 55.625501</t>
  </si>
  <si>
    <t>1, 16 Impasse Des Filaos, 97480, Réunion</t>
  </si>
  <si>
    <t>Adrianna n°2</t>
  </si>
  <si>
    <t>Adrianna n°2
16, impasse des Filaos
97480 Saint-Joseph</t>
  </si>
  <si>
    <t>Dans le sud Sauvage, Adrianna dispose de 3 maisons.
Adrianna n° 2 peut accueillir 4 personnes.</t>
  </si>
  <si>
    <t>Les locations offrent le confort nécessaire, des chambres en passant par le séjour, ou encore le coin cuisine.
Ambassadeurs touristiques, les propriétaires ne manqueront pas de donner les petites astuces de ce qu'il y a à faire et de ce qu'il ne faut pas manquer.
Leur maison se trouve à quelques mètres des locations de vacances.
Situé à 15 min à pied du centre ville de la gare routière de Saint-Joseph, Adrianna est un lieu très calme et est en retrait des autres habitations.</t>
  </si>
  <si>
    <t>De l'entrée Ouest de Saint-Joseph, prendre le premier giratoire et prendre à gauche, continuer tout droit sur 1,5 km, puis tourner à droite au troisième giratoire et première à droite.</t>
  </si>
  <si>
    <t>https://book.reunion.fr/fr/hebergements/a1718918/adrianna-n°-2/reserver? | Réunion.fr</t>
  </si>
  <si>
    <t>2, 16 Impasse Des Filaos, 97480, Réunion</t>
  </si>
  <si>
    <t>Adrianna n°3</t>
  </si>
  <si>
    <t>Adrianna n°3
16, impasse des Filaos
97480 Saint-Joseph</t>
  </si>
  <si>
    <t>Dans le sud Sauvage, Adrianna dispose de 3 maisons.
Adrianna n° 3 peut accueillir 3 personnes.</t>
  </si>
  <si>
    <t>https://book.reunion.fr/fr/hebergements/a1718919/adrianna-n°-3/reserver? | Réunion.fr</t>
  </si>
  <si>
    <t>3, 16 Impasse Des Filaos, 97480, Réunion</t>
  </si>
  <si>
    <t>recCnuIMDBBKcIbhh</t>
  </si>
  <si>
    <t>Agapanthes (Les)</t>
  </si>
  <si>
    <t>Les Agapenthes</t>
  </si>
  <si>
    <t>Agapanthes (Les)
89, chemin Isautier
97430 Le Tampon</t>
  </si>
  <si>
    <t>http://www.lesagapanthes.re</t>
  </si>
  <si>
    <t>Bungalow &amp; Chalet</t>
  </si>
  <si>
    <t>barbecue,fer et planche à repasser,lave linge collectif,linge de maison,parking,TV satellite,ventilateur</t>
  </si>
  <si>
    <t>lois.irena@wanadoo.fr</t>
  </si>
  <si>
    <t>Situés dans le sud de l'île au Tampon, les Agapanthes proposent la location de 2 bungalows entièrement équipés à proximité de la maison du propriétaire. Les 2 logements peuvent accueillir 4 personnes chacun. Kiosque mis à disposition pour soirée. Buanderie avec lave-linge.</t>
  </si>
  <si>
    <t>Depuis Saint-Pierre, suivre la Nationale 3 en direction du Tampon. Arrivé au Tampon, prendre la première sortie au rond-point, au deuxième rond-point prendre la deuxième sortie, puis au troisième rond-point la deuxième sortie et au quatrième rond-point la troisième sortie, suivre le boulevard Général de Gaulle jusqu'au bout, au rand-point prendre la première sortie chemin Isautier et continuer jusqu'au n°89.</t>
  </si>
  <si>
    <t>Agapanthes (Les) - Payet Loïs</t>
  </si>
  <si>
    <t>89, chemin Isautier, 97422 Le Tampon</t>
  </si>
  <si>
    <t>Payet Loïs : lois.irene@wanadoo.fr / 0262572014 / 0692402163 / 0692402155 / Propriétaire</t>
  </si>
  <si>
    <t>-21.264705, 55.51723</t>
  </si>
  <si>
    <t>CSC127HTJ</t>
  </si>
  <si>
    <t>Mode de paiment,Fournisseur - Nom,Fournisseur - contacts</t>
  </si>
  <si>
    <t>89 Chemin Isautier, Entre-Deux, Réunion</t>
  </si>
  <si>
    <t>Albert Harry Clain</t>
  </si>
  <si>
    <t>Albert Harry Clain
30, impasse Elsa Triolet - Trois Mares
97430 Le Tampon</t>
  </si>
  <si>
    <t>Art &amp; Artisanat</t>
  </si>
  <si>
    <t>Sciure de bois et peintures sur verre</t>
  </si>
  <si>
    <t>30, impasse Elsa Triolet - Trois Mares, 97422 Le Tampon</t>
  </si>
  <si>
    <t>Clain Albert Harry : 0262259734 / 0692642274</t>
  </si>
  <si>
    <t>-21.258584, 55.511036</t>
  </si>
  <si>
    <t>30 Impasse Elsa Triolet, Réunion</t>
  </si>
  <si>
    <t>rec32hF9oHx4POksO</t>
  </si>
  <si>
    <t>Alicalapa-Tenon Clément</t>
  </si>
  <si>
    <t>ALICALAPA-TENON Clément</t>
  </si>
  <si>
    <t>Alicalapa-Tenon Clément
154, chemin Champ de Foire - Bourg-Murat
Bourg Murat
97418 La Plaine des Cafres</t>
  </si>
  <si>
    <t>Village,Milieu rural,Volcan</t>
  </si>
  <si>
    <t>Bourg Murat / Plaines et volcan</t>
  </si>
  <si>
    <t>chauffage,espace de restauration,jardin,parking,TV</t>
  </si>
  <si>
    <t>sentier de randonnée,sentier de grande randonnée,commerce alimentaire,équitation,parking public,site - lieu culturel,point de vue panoramique</t>
  </si>
  <si>
    <t>calicalapatenon@gmail.com</t>
  </si>
  <si>
    <t>3 Epi(s)</t>
  </si>
  <si>
    <t>Chambres d'hôtes dans un endroit calme et reposant avec vue sur le Piton des Neiges !</t>
  </si>
  <si>
    <t>Situé dans le village de la Plaine des Cafres sur la route principale qui mène vers le volcan, Clément propose 5 chambres d'hôtes tout confort. A proximité du volcan, des principaux sites et activités touristiques, des sentiers de randonnée et des commerces et stations essence.
Possibilité de repas en table d'hôte. Le repas comprend  le punch maison, l'entrée, le plat de résistance, le dessert, la boisson et le rhum arrangé. Plats créoles traditionnels et originaux à base de vanille, combavas. Demi-tarif pour les enfants de - 10 ans (repas).</t>
  </si>
  <si>
    <t xml:space="preserve">En venant de Saint-Pierre par la RN 3, prendre tout droit au carrefour giratoire de la Maison du Volcan. Faire 1 km en direction de la Plaine des Palmistes, prendre sur la droite la direction la Grande Ferme. Faire 800 m la chambre d'hôte se trouve sur la droite.
En venant de La Plaine des Palmistes, de la RN3 après le Col de Bellevue faire 4 km environ, prendre la sortie de gauche en direction le Volcan et la Grande Ferme, (route du Champ de Foire), faire 800 m la chambre d'hôte se trouve sur la droite. </t>
  </si>
  <si>
    <t>Gîtes de France</t>
  </si>
  <si>
    <t>154, chemin du Champ de Foire - Bourg-Murat, 97422 Le Tampon</t>
  </si>
  <si>
    <t>Alicalapa-Tenon Clément : calicalapatenon@gmail.com / 0262591041 / 0692088009</t>
  </si>
  <si>
    <t>-21.20251359, 55.58138859</t>
  </si>
  <si>
    <t>https://book.reunion.fr/fr/hebergements/a310830/product/reserver | Réunion.fr</t>
  </si>
  <si>
    <t>CSC4HTD</t>
  </si>
  <si>
    <t>Mode de paiment,Descriptif,Descriptif du plan d'accès,Fournisseur - contacts</t>
  </si>
  <si>
    <t>154 chemin du Champ de Foire Bourg Murat, La Plaine des Cafres 97418, Réunion</t>
  </si>
  <si>
    <t>recwhRDfmwSLBFmGp</t>
  </si>
  <si>
    <t>Allon Bat A Pat Rando</t>
  </si>
  <si>
    <t>Allon Bat A Pat</t>
  </si>
  <si>
    <t>Allon Bat A Pat Rando
45, impasse Gustave Courbet
97430 Le Tampon</t>
  </si>
  <si>
    <t>http://www.allonbatapat-rando.fr</t>
  </si>
  <si>
    <t>Randonnée pédestre</t>
  </si>
  <si>
    <t>français,créole,anglais</t>
  </si>
  <si>
    <t>allonbatapat@orange.fr</t>
  </si>
  <si>
    <t>Sorties guidées en montagne, à la découverte du patrimoine mondial de l'île intense.
Allon Bat A Pat propose différentes randonnées ou guidages touristiques/mini rando encadrées par un accompagnateur en montagne diplômé d'Etat d'Alpinisme.</t>
  </si>
  <si>
    <t>Ces sorties "guidées" permettent la découverte complète des différentes facettes de l'île (histoire, volcanisme, flore, faune, traditions...) dans la bonne humeur.
Randos découvertes à la journée programmée (départ dès la première personne) : forêt de Bélouve - Trou de Fer (le lundi), la Fournaise (le jeudi), Piton cabris - forêt des Makes (le vendredi), rando du jour du samedi (Dimitile, Grand Bassin, volcan à thème, etc...).
Prestations à la demande possibles  à partir de 2 personnes : rando journée, 2 jours, guidages touristiques/mini rando, sorties privatives et circuits sur toute l'île selon disponibilités et réservations en cours.
Possibilité de transferts en minibus, tarifs sur demande.
Engagement accompagnateur en montagne pour les groupes (à partir de 4 pers.).</t>
  </si>
  <si>
    <t>Contacter Allon Bat A Pat Rando pour les points de rendez-vous, différents selon les randonnées.</t>
  </si>
  <si>
    <t>Qualité Tourisme Ile de La Réunion</t>
  </si>
  <si>
    <t>Allon Bat A Pat Rando - Leu Patrick</t>
  </si>
  <si>
    <t>45, impasse Gustave Courbet, 97422 Le Tampon</t>
  </si>
  <si>
    <t>Leu Patrick : allonbatapat@orange.fr / 0692879516 / Gérant€</t>
  </si>
  <si>
    <t>-21.261858, 55.520889</t>
  </si>
  <si>
    <t>https://book.reunion.fr/fr/voir-faire/a310908/allonbat-a-patrando/afficher-les-details | Réunion.fr</t>
  </si>
  <si>
    <t>Mode de paiment,Accroche,Descriptif,Fournisseur - contacts</t>
  </si>
  <si>
    <t>Impasse Gustave Courbet, Réunion</t>
  </si>
  <si>
    <t>rechmcunWsnk7RIUK</t>
  </si>
  <si>
    <t>Alti Merens</t>
  </si>
  <si>
    <t>Alti Merens
120, rue Maurice Kraft  - PK 26 - Bourg Murat
Plaine des Cafres
97418 La Plaine des Cafres</t>
  </si>
  <si>
    <t>Centre d'équitation</t>
  </si>
  <si>
    <t>sentier de randonnée,commerce alimentaire,parking public,point de vue panoramique</t>
  </si>
  <si>
    <t>j-b.fontaine@alti-merens.fr</t>
  </si>
  <si>
    <t>Situé à 1 500 m d'altitude au cœur de la Plaine des Cafres, Alti Mérens accueille tous les cavaliers, du débutant au confirmé. Ses chevaux mérens, originaires des Pyrénées sont particulièrement adaptés au sol volcanique de La Réunion.
Le centre équestre propose de découvrir une superbe région.
Toutes les activités sont encadrées par Jean Paul Sautron, accompagnateur de Tourisme Equestre.
Prestations : tour de prairie, balade d'1h (visite du village de Bourg Murat), balade d'1 journée dans la région du Piton Textor,
randonnée 2 jours et plus au Volcan : visite de la rivière des Remparts et du Volcan.</t>
  </si>
  <si>
    <t xml:space="preserve">Depuis le Sud : prendre la RN 3 en direction du Tampon/Plaine des Cafres et aller jusqu'au 26ème km. Au panneau "Centre équestre Alti Mérens", tourner à droite dans le chemin.
Depuis les Plaines : suivre la RN 3, traverser le village de Bourg Murat, rouler encore 1 km. Au panneau "centre équestre Alti Mérens", tourner à gauche dans le chemin. </t>
  </si>
  <si>
    <t>; sur réservation</t>
  </si>
  <si>
    <t>Alti Merens - Fontaine J-B</t>
  </si>
  <si>
    <t>120, rue Maurice Kraft - PK 26 - Bourg Murat, 97422 Le Tampon</t>
  </si>
  <si>
    <t xml:space="preserve">Sautron Jean-Paul : centreequestre.alti-merens@orange.fr / 0262591884 / 0692041238 / 0262591884 , FONTAINE Jean-Bernard : j-b.fontaine@alti-merens.fr / 0262591884 / 0692041238 </t>
  </si>
  <si>
    <t>-21.2022173,55.5742169</t>
  </si>
  <si>
    <t>Mode de paiment,Mobile,Descriptif,Descriptif du plan d'accès,Fournisseur - Nom</t>
  </si>
  <si>
    <t>120 Rue Maurice et Katia Krafft, La Plaine des Cafres 97418, Réunion</t>
  </si>
  <si>
    <t>Amandine (L')</t>
  </si>
  <si>
    <t>Amandine (L')
Rue Nativel
97414 Entre-Deux</t>
  </si>
  <si>
    <t>Restaurant</t>
  </si>
  <si>
    <t>L'Amandine propose une restauration rapide à l'Entre-Deux.</t>
  </si>
  <si>
    <t>Rue Nativel, 97403 Entre-Deux</t>
  </si>
  <si>
    <t>-21.2466101,55.4693891</t>
  </si>
  <si>
    <t>Rue Victor Natvel, Réunion</t>
  </si>
  <si>
    <t>recl3YsjDvax0JOqx</t>
  </si>
  <si>
    <t>Amarys</t>
  </si>
  <si>
    <t>Amarys
37, chemin de la Concession Les Bas - Piton de la Ravine Blanche
Plaine des Cafres
97418 La Plaine des Cafres</t>
  </si>
  <si>
    <t>Montagne,Milieu rural</t>
  </si>
  <si>
    <t>barbecue,jardin,lave linge collectif,lave vaisselle,parking,TV</t>
  </si>
  <si>
    <t>loc.amarysreunion@orange.fr</t>
  </si>
  <si>
    <t>Située à La Plaine des Cafres, la villa Amarys peut accueillir 10 personnes.</t>
  </si>
  <si>
    <t>Elle dispose d'un grand séjour-salle à manger, une cuisine équipée, une chambre double (possibilité de lit supplémentaire), 2 chambres avec lits doubles, une chambre triple et d'une véranda avec vue sur le littoral.
Dans la dépendance à l'extérieure, une deuxième cuisine, salle d'eau et buanderie sont à la disposition.
Un coin de barbecue avec cuisine au feu de bois est disponible dans le jardin.</t>
  </si>
  <si>
    <t>Prendre direction Plaine des Cafres jusqu'au 24ème km. En contre-bas du restaurant Le Vieux Bardeau, prendre à droite rue du Père Favron en direction du Piton de la Ravine Blanche. Rouler 1 km et prendre à droite chemin de la Concession les bas en face de l'épicerie du coin.</t>
  </si>
  <si>
    <t>Amarys - Adenor Jean-Luc</t>
  </si>
  <si>
    <t>37, rue Bois Joly Potier, 97422 Le Tampon</t>
  </si>
  <si>
    <t>Adenor Jean-Luc : lerelaiscommerson97418@orange.fr / 0262275287 / 0692600544 , Adenor Jean-Luc : loc.amarysreunion@orange.fr / 0262275287 / 0692600544 / Propriétaire</t>
  </si>
  <si>
    <t>-21.23469579, 55.56706215</t>
  </si>
  <si>
    <t>CSC3HTC</t>
  </si>
  <si>
    <t>Mode de paiment,Classement,Descriptif,Fournisseur - Nom,Fournisseur - contacts</t>
  </si>
  <si>
    <t>37 Chemin de la Concession les Bas, La Plaine des Cafres 97418, Réunion</t>
  </si>
  <si>
    <t>recAsc3ifkQlTlZ4s</t>
  </si>
  <si>
    <t>Ambéric (L')</t>
  </si>
  <si>
    <t>Ambéric (L')
3, chemin Raoul Hoarau - Trois Mares
97430 Le Tampon</t>
  </si>
  <si>
    <t>jardin</t>
  </si>
  <si>
    <t>sentier de randonnée,commerce alimentaire,équitation,parking public,point de vue panoramique</t>
  </si>
  <si>
    <t>Carte Bancaire,Eurocard,Chèque,Espèces</t>
  </si>
  <si>
    <t>amberic@hotmail.fr</t>
  </si>
  <si>
    <t>Situé sur la commune du Tampon au lieu dit Trois Mares, le restaurant l'Ambéric fait cohabiter modernité et tradition avec sa cuisine au feu de bois, ses caris et autres préparations.</t>
  </si>
  <si>
    <t>Equipé pour accueillir les handicapés, ce restaurant traditionnel propose aussi de redécouvrir le charme d'un jardin créole avec ses plantes et essences rares.
Il dispose d'une capacité d'accueil de 50 à 60 couverts. Restaurant labellisé Maître Restaurateur.</t>
  </si>
  <si>
    <t xml:space="preserve">Depuis le Sud: Prendre la 4 voies en direction du Tampon et aller jusqu'au village de Trois Mares. Dans le village, tourner à droite dans le chemin Raoul Hoarau. Le restaurant se situe au n°13.
Depuis les Plaines, suivre la RN 3 et aller jusqu'au 14ème km. Tourner à droite avant l'aire de jeux dans le chemin de l'Hermitage, descendre toute la rue. L'Ambéric se situe à 150 m du  chemin. </t>
  </si>
  <si>
    <t>Maître Restaurateur</t>
  </si>
  <si>
    <t>Ambéric (L') - Fourmand Vincent</t>
  </si>
  <si>
    <t>3 chemin Raoul Hoarau, 97422 Le Tampon</t>
  </si>
  <si>
    <t xml:space="preserve">Hoarau Armande Marie : 0262577768 , Hoarau Armande Marie : amberic@hotmail.fr / 0262577768 </t>
  </si>
  <si>
    <t>-21.26140614, 55.51272363</t>
  </si>
  <si>
    <t>Mode de paiment,Descriptif,Descriptif du plan d'accès,Fournisseur - Nom</t>
  </si>
  <si>
    <t>13 Chemin Raoul Hoarau, Réunion</t>
  </si>
  <si>
    <t>https://static1.tables-auberges.com/wp-content/plugins/taf-members/medias/42649/42649.jpg</t>
  </si>
  <si>
    <t>Ambroisie (L')</t>
  </si>
  <si>
    <t>Ambroisie (L’)</t>
  </si>
  <si>
    <t>Ambroisie (L')
306, rue Raphaël Babet
97480 Saint-Joseph</t>
  </si>
  <si>
    <t>Centre ville</t>
  </si>
  <si>
    <t>climatisation,jardin,ventilateur</t>
  </si>
  <si>
    <t>sentier de randonnée,tennis,pêche,riviere,centre commercial,parking public,point de vue panoramique</t>
  </si>
  <si>
    <t>Carte Bancaire,Chèque,Tickets restaurant,Espèces,American express</t>
  </si>
  <si>
    <t>Situé sur la route principale traversant le centre ville de Saint-Joseph, l'Ambroisie propose une cuisine créole traditionnelle et européenne.
Repas sur place et à emporter, sandwicherie, boisson fraîches ou chaudes.</t>
  </si>
  <si>
    <t>De Saint-Pierre, prendre direction le centre ville de Saint-Joseph, puis la direction Saint-Philippe. Le restaurant se trouve à environ 500 m, à droite.</t>
  </si>
  <si>
    <t>Ambroisie (L’) - Lebon Patrice</t>
  </si>
  <si>
    <t>306, rue Raphaël Babet, 97412 Saint-Joseph</t>
  </si>
  <si>
    <t xml:space="preserve">Lebon Patrice : 0262315199 / 0692381101 / Gérant(e) ,  0262315199 / 0692381101 </t>
  </si>
  <si>
    <t>-21.37934353, 55.62299444</t>
  </si>
  <si>
    <t>L, 306 Rue Raphaël Babet, Réunion</t>
  </si>
  <si>
    <t>recQGhTRtKSnl1FW0</t>
  </si>
  <si>
    <t>Anime Pique Nique</t>
  </si>
  <si>
    <t>Anime Pique Nique
37, rue Vaitonne - La Cayenne
97480 Saint-Joseph</t>
  </si>
  <si>
    <t>Autre type de restauration</t>
  </si>
  <si>
    <t>Traiteur</t>
  </si>
  <si>
    <t>animepiquenique@gmail.com</t>
  </si>
  <si>
    <t>Anime Pique Nique propose une cuisine créole, de l'animation touristique, des ateliers de cuisine sur les airs de pique-niques.</t>
  </si>
  <si>
    <t>Plusieurs activités sont proposées: visite guidée de la Maison des Terroirs, promouvoir le patrimoine historique et culinaire de La Réunion, vente de produits alimentaires de La Réunion (chips de patate douce, samoussas). Service traiteur.  
Uniquement sur réservation.</t>
  </si>
  <si>
    <t>Anime Pique Nique - Robert Willem</t>
  </si>
  <si>
    <t>37, rue Vaïtonne - La Cayenne, 97412 Saint-Joseph</t>
  </si>
  <si>
    <t xml:space="preserve">Robert Willem : animepiquenique@gmail.com / 0692171181 / Gérant(e) , Robert Willem : animepiquenique@gmail.com / 0692171181 / Gérant(e) </t>
  </si>
  <si>
    <t>-21.383258, 55.610899</t>
  </si>
  <si>
    <t>37 Rue Vaitonne, 97480, Réunion</t>
  </si>
  <si>
    <t>rec6dejyDi7Joy3vA</t>
  </si>
  <si>
    <t>Aquasens</t>
  </si>
  <si>
    <t>Aquasens
.
97480 Saint-Joseph</t>
  </si>
  <si>
    <t>http://www.aquasens.re</t>
  </si>
  <si>
    <t>Etangs et rivières,Mer</t>
  </si>
  <si>
    <t>Randonnée aquatique,kayak de mer</t>
  </si>
  <si>
    <t>Chèque,PassLoisirs,Espèces</t>
  </si>
  <si>
    <t>tof@aquasens.re</t>
  </si>
  <si>
    <t>Découvrir l'île autrement avec Aquasens, de la rivière à la mer au rythme de chacun, des sorties en kayak de mer et de la randonnée aquatique.</t>
  </si>
  <si>
    <t>Langevin:
Equipé d’un gilet de sauvetage, d’une combinaison intégrale et d’un casque, vous vous laisserez guidez en toute sécurité à la découverte de la rivière Langevin. Cette activité se situe entre le canyoning et la nage en eau vive : en alternant, marche dans le lit de la rivière, toboggans, nage dans des piscines naturelles et sauts de cascades (non obligatoire)… . Très ludique encadré par des brevet d’état eaux vives, la Rando aqua se pratique dans un contexte unique à La Réunion et toute l’année. La Rando aquatique de Langevin est fabuleuse opportunité de découvrir un site merveilleux en famille ou/et entre ami(e)s ayant des niveaux de pratique totalement hétérogènes. (à partir de 7 ans) 1h30 à 2h de descente avec immersion au cœur des cascades et visite de petite grotte, découvertes de plusieurs bassins présentant de nombreuses possibilités de sauts ou de toboggans, aucun franchissement n’est obligatoire.
Capacité d’accueil : 16 personnes
À partir de 7 ans
Départ 9h, 13h et 16h
RDV à la balance de la canne à sucre de Langevin près de la Boulangerie
Prévoir : Maillot de bains, serviette de bain et chaussures fermées.
Rivière des Roches:
Parcours expert, faites le plein de sensation avec cette randonnée aquatique de la Rivière des Roches se situant dans l'est de l'île de La Réunion (Saint-Benoit). Équipé d’un gilet de sauvetage, d’une combinaison intégrale et d’un casque, vous vous laisserez guidez en toute sécurité à la découverte d'un site naturel hors du commun. Cette activité se situe entre le canyoning et la nage en eau vive : en alternant , marche dans le lit de la rivière, toboggans, nage dans des piscine naturelles et sauts de cascades …. Parcours sportif, encadré par des brevets d’états eaux vives, la Randonnée aquatique se pratique dans un contexte unique à La Réunion et toute l’année. La Randonnée aquatique de la Rivière des Roches vous offrira des sensations uniques et des souvenirs plein la tête. 2h à 2h30 de descente avec immersion au cœur de la Rivière des Roches. Créneau ouvert uniquement le dernier dimanche de chaque mois, avec bivouac autonome ou pas la veille. Nombre de personne minimum: 4
Capacité d’accueil : 16 personnes
À partir de 10 ans
Départ 8h et 13h 
RDV au parking de Bassin la Paix (Saint- Benoit) 
Prévoir : Maillot de bains, serviette de bain et chaussures fermées .
Kayak et paddle
Lieux : Plage de Trou d’Eau (La Saline-les-Bains), Bassin Pirogue (Etang Salé-les-Bains), Lagon de Saint-Pierre
Différentes formules sont proposées : Balade couché de soleil (avec apéro offert) / Balade avec sensibilisation à la faune et flore sous-marine.
Découverte des lagons de l’île de La Réunion, son écosystème, ses coraux et ses poissons. Malgré la faible surface des récifs coralliens, la biodiversité marine de La Réunion est comparable aux autres îles du secteur, qui vaut à l'archipel des Mascareignes son inscription parmi les 10 principaux « hot spots » de biodiversité mondiale 19. Les récifs coralliens de La Réunion, aussi bien au niveau des platiers que des barrières, sont principalement dominés par des espèces de corail branchu à croissance rapide du genre Acropora (famille des Acroporidae), qui permettent d'héberger et de nourrir de très nombreuses espèces tropicales. Les recherches scientifiques récentes font état à La Réunion de plus de 190 espèces de coraux, plus de 1300 espèces de mollusques, plus de 500 espèces de crustacés plus de 130 espèces d'échinodermes et plus de 1000 espèces de poissons. 
Capacité d’accueil : 16 personnes
À partir de 7 ans
Départ selon marée
RDV en fonction du Lagon choisit
Prévoir : Maillot de bains, serviette de bain et chaussures fermées</t>
  </si>
  <si>
    <t>Rendez-vous sur les sites d'activités, prendre contact auprès d'Aquasens.</t>
  </si>
  <si>
    <t>Aquasens - Ortega Christophe</t>
  </si>
  <si>
    <t>9, ruelle Moïse Brabant - Résidence Cannelle, Apt 6, 97416 Saint-Pierre</t>
  </si>
  <si>
    <t>Ortega Christophe : tof@aquasens.re / 0692200903 / Gérant€</t>
  </si>
  <si>
    <t>-21.3212, 55.641414</t>
  </si>
  <si>
    <t>https://book.reunion.fr/fr/voir-faire/a392871/aquasens/afficher-les-details | Réunion.fr</t>
  </si>
  <si>
    <t>Mode de paiment,Descriptif,Fournisseur - contacts</t>
  </si>
  <si>
    <t>Chemin de Cap Blanc, Réunion</t>
  </si>
  <si>
    <t>recuMxv5GGYZCUvaR</t>
  </si>
  <si>
    <t>Arbre à Palabres (L')</t>
  </si>
  <si>
    <t>Arbre à Palabres</t>
  </si>
  <si>
    <t>Arbre à Palabres (L')
29, rue Césaire
97414 Entre-Deux</t>
  </si>
  <si>
    <t>arrêt bus,sentier de randonnée,sentier de grande randonnée,poste - boite aux lettres,commerce alimentaire,parking public,jardin</t>
  </si>
  <si>
    <t>mathieuhondet@hotmaail.fr</t>
  </si>
  <si>
    <t>Situé dans le village de l'Entre-Deux, le restaurant L'Arbre à Palabres propose des plats traditionnels africains, asiatiques et créoles dans une magnifique case créole classée.</t>
  </si>
  <si>
    <t>La musique est présente, les clients peuvent prendre leur rafraîchissement au salon, au comptoir, à l'extérieur dans le jardin.
Ouvert tous les midis du mardi au dimanche et le samedi soir.</t>
  </si>
  <si>
    <t>Par Pierrefonds, prendre la CD 26, jusqu’au village, puis de l’Office de Tourisme, prendre la première rue sur la droite (impasse des Gréviléas) le restaurant se trouve juste en face dans le rond point.</t>
  </si>
  <si>
    <t>Jeudi : 11:30 14:30 -,Vendredi : 11:30 14:30 -,Samedi : 11:30 14:30 -,Dimanche : 11:30 14:30 -</t>
  </si>
  <si>
    <t>Arbre à Palabres (L') - HONDET Mathieu</t>
  </si>
  <si>
    <t>29, rue Césaire, 97403 Entre-Deux</t>
  </si>
  <si>
    <t>HONDET Mathieu : mathieuhondet@hotmaail.fr / 0262444723 / 693709822 / Gérant</t>
  </si>
  <si>
    <t>-21.250611, 55.469793</t>
  </si>
  <si>
    <t>Mode de paiment,Mobile,E-Mail,Descriptif,Fournisseur - contacts</t>
  </si>
  <si>
    <t>29 Rue Aimé Césaire, Entre-Deux 97414, Réunion</t>
  </si>
  <si>
    <t>recR9kjiaOAoduSpN</t>
  </si>
  <si>
    <t>Arbre de Vie (L')</t>
  </si>
  <si>
    <t>Arbre de Vie (L')
1, allée des Rameaux
Vincendo
97480 Saint-Joseph</t>
  </si>
  <si>
    <t>https://www.larbredevie-reunion.fr/</t>
  </si>
  <si>
    <t>Vincendo / Sud</t>
  </si>
  <si>
    <t>climatisation,jardin,parking</t>
  </si>
  <si>
    <t>français,anglais,allemand,espagnol,italien</t>
  </si>
  <si>
    <t>larbredevie.reunion@gmail.com</t>
  </si>
  <si>
    <t>Une parenthèse nature aux portes du Sud Sauvage !
L'arbre de Vie à Saint-Joseph dispose de 4 chambres d'hôtes climatisées.</t>
  </si>
  <si>
    <t>Le jardin arboré, la terrasse, le salon et la véranda sont à la disposition des hôtes. Les chambres de plain-pied avec pour chacune une vive personnalité.
Le petit-déjeuner est à base de produits bio et fait maison avec les fruits du jardin selon la saison.
Des dîners végétariens sont proposés à la fois complets, équilibrés, colorés et bio. Les personnes végétaliennes, allergiques à certains produits pourront faire part de leurs attentes, le propriétaire sera à l'écoute et fera de son mieux. Possibilité de se rendre aux restaurants  à quelques centaines de mètres.
Tarif dégressif pour séjour semaine.</t>
  </si>
  <si>
    <t xml:space="preserve">De Saint-Joseph, RN2 direction Saint-Philippe, prendre la première rue à droite après la pharmacie de Vincendo, L'Arbre de Vie se trouve à 30 m.
En bus, arrêt Eglise de Vincendo, 10 min à pied. </t>
  </si>
  <si>
    <t>Arbre de Vie (L') - Marchesi Stéphane</t>
  </si>
  <si>
    <t>1, allée des Rameaux - Vincendo, 97412 Saint-Joseph</t>
  </si>
  <si>
    <t>Marchesi Stéphane : larbredevie.reunion@gmail.com / 0262778430 / Propriétaire</t>
  </si>
  <si>
    <t>-21.372, 55.674</t>
  </si>
  <si>
    <t>https://book.reunion.fr/fr/hebergements/1824242/aux-graines-sauvages/reserver | Réunion.fr</t>
  </si>
  <si>
    <t>CSC101HTB</t>
  </si>
  <si>
    <t>Mode de paiment,Mobile,Accroche,Descriptif,Descriptif du plan d'accès,Fournisseur - contacts</t>
  </si>
  <si>
    <t>1 Allée Des Rameaux, 97480, Réunion</t>
  </si>
  <si>
    <t>recywlCVj6wd5yGdt</t>
  </si>
  <si>
    <t>Arbre du Voyageur (L')</t>
  </si>
  <si>
    <t>Arbre du Voyageur (L')
99, CD.26
97414 Entre-Deux</t>
  </si>
  <si>
    <t>http://www.arbreduvoyageur.re</t>
  </si>
  <si>
    <t>barbecue,espace spa - bien être,jardin,lave linge privatif,lave vaisselle,micro-ondes,parking,piscine,TV</t>
  </si>
  <si>
    <t>contact@arbreduvoyageur.re</t>
  </si>
  <si>
    <t>4 Clé(s)</t>
  </si>
  <si>
    <t>Située dans un verger de 5000 m², L'Arbre du Voyageur est composée d'une villa duplex et d'un studio classés Meublé de Tourisme 4 étoiles et labellisés Clévacances 4 clés.</t>
  </si>
  <si>
    <t>La villa est meublée et est de tout confort. Elle est composée de 3 structures : une villa F5, une villa F3 et un studio. L'ensemble est équipé de climatiseurs, d'internet, de la wifi et de téléphones en illimité. 
Le jardin de 1400m² est équipé d'une piscine, d'un jacuzzi, d'abris pour voitures, d'un abri de jardin, d'un kiosque abritant un barbecue et une cuisine d'été. A proximité, un verger de 4000m² pour découvrir les fruits exotiques saisonniers (en particulier letchis, mangues, longanis). 
La capacité d'hébergement de la villa principale est de 8 personnes. Celle-ci peut être étendue à 12 personnes avec le studio et 4 voir 6 de plus dans le F3 mitoyen. Donc au total la structure peut accueillir 16 à 18 personnes. 
Ces trois structures de vacances sont indépendantes avec leurs équipements, un abri de voiture, un jardin, une varangue, une entrée individuelle. Cette indépendance sera appréciée par les membres du groupe souhaitant un peu plus de retrait de l’ensemble, comme les familles avec enfants, les couples seniors voulant rester au calme ou les adolescents préférant se retrouver entre eux dans le studio ou le F3. L’ensemble du groupe peut se retrouver dans la salle à manger commune,  autour de la piscine, du barbecue, dans le jardin.</t>
  </si>
  <si>
    <t xml:space="preserve">Arrivée de Saint Denis, direction Saint Pierre après le radier de la rivière Saint-Etienne prendre direction "D26 Entre-Deux Bois d'olives, Ravine des Cabris". En entrant dans l'agglomération de l'Entre-Deux ,  l' Arbre du Voyageur se trouve à droite 200 m après deux dos d'ânes .
Arrivée de l'aéroport de Pierrefonds après 300 à 400 m, à hauteur de l'entrée du 2 ème RPIMA prendre la première à gauche, une petite route qui borde la 2X2 voies , à 300 m prendre à droite direction "D26 Entre-Deux, Bois d'olives, Ravine des Cabris".En entrant dans l'agglomération de l'Entre-Deux ,  L'Arbre du Voyageur se trouve à 200 m à droite après deux dos d'ânes. </t>
  </si>
  <si>
    <t>Clévacances</t>
  </si>
  <si>
    <t>Arbre du Voyageur (L') - Rifosta Jacky</t>
  </si>
  <si>
    <t>101, CD. 26, 97403 Entre-Deux</t>
  </si>
  <si>
    <t>Rifosta Jacky : contact@arbreduvoyageur.re / 0693617981 / Propriétaire</t>
  </si>
  <si>
    <t>-21.256655, 55.46543</t>
  </si>
  <si>
    <t>CSC140HTE</t>
  </si>
  <si>
    <t>Mode de paiment,Fixe,Capacité,Descriptif,Descriptif du plan d'accès,Fournisseur - contacts</t>
  </si>
  <si>
    <t>99 Cd 26, Réunion</t>
  </si>
  <si>
    <t>recW5SKUQWWgrDLvC</t>
  </si>
  <si>
    <t>Arc En Ciel</t>
  </si>
  <si>
    <t>Arc En Ciel
124, chemin Farjeau - Trois Mares
97430 Le Tampon</t>
  </si>
  <si>
    <t>fer et planche à repasser,lave linge privatif,micro-ondes,TV</t>
  </si>
  <si>
    <t>commerce alimentaire,centre commercial,parking public</t>
  </si>
  <si>
    <t>marianne.techer5@gmail.com</t>
  </si>
  <si>
    <t>Situé au Tampon, à proximité du centre-ville, Arc En Ciel propose 2 appartements et 2 chambres d'hôtes.</t>
  </si>
  <si>
    <t>Les appartements d'une capacité de 2 personnes chacune sont entièrement équipés. Les chambres d'hôtes pour 5 personnes, une double et une triple.</t>
  </si>
  <si>
    <t>Arc En Ciel - Techer Marie Anne</t>
  </si>
  <si>
    <t>124, chemin Farjeau - Trois Mares, 97422 Le Tampon</t>
  </si>
  <si>
    <t>marianne.techer5@gmail.com / 0262278875 / 0692207926</t>
  </si>
  <si>
    <t>-21.25358, 55.509122</t>
  </si>
  <si>
    <t>CSC215HT@</t>
  </si>
  <si>
    <t>Mode de paiment,Fixe,Mobile,E-Mail,Capacité,Fournisseur - Nom,Fournisseur - contacts</t>
  </si>
  <si>
    <t>124 Chemin Farjeau, Réunion</t>
  </si>
  <si>
    <t>Arcade (L')</t>
  </si>
  <si>
    <t>Arcade (L’)</t>
  </si>
  <si>
    <t>Arcade (L')
1, rue Paul Demange.
97480 Saint-Joseph</t>
  </si>
  <si>
    <t>1, rue Paul Demange., 97412 Saint-Joseph</t>
  </si>
  <si>
    <t>-21.3786022,55.6207643</t>
  </si>
  <si>
    <t>L, 1 Rue Paul Demange, Réunion</t>
  </si>
  <si>
    <t>recRUiR0YdDeL80Nh</t>
  </si>
  <si>
    <t>Arpège Austral (L')</t>
  </si>
  <si>
    <t>Arpège Austral (L')
53, rue des Prunes
97480 Saint-Joseph</t>
  </si>
  <si>
    <t>http://www.arpegeaustral.minisite.fr</t>
  </si>
  <si>
    <t>espace de restauration,jardin,parking,salle de bain privée,sanitaires privés,TV,ventilateur</t>
  </si>
  <si>
    <t>sentier de randonnée,tennis,pêche,riviere,centre commercial,parking public,site - lieu culturel,point de vue panoramique</t>
  </si>
  <si>
    <t>français,créole,anglais,allemand</t>
  </si>
  <si>
    <t>arpegeaustral@orange.fr</t>
  </si>
  <si>
    <t>2 Epi(s)</t>
  </si>
  <si>
    <t>L'Arpège Austral dispose de 2 chambres d'hôtes labellisées Gîtes de France, situées dans la maison du propriétaire entièrement équipées.</t>
  </si>
  <si>
    <t>Pièce musicale commune avec piano, bibliothèque et jeux de société à disposition.
Située à 5 min du centre ville aux portes du Sud Sauvage, à 15 min de Grand-Anse, entre la rivière Langevin et la rivière des Remparts. 
Possibilité de repas sur place le soir, sur réservation la veille.</t>
  </si>
  <si>
    <t>De Saint-Denis direction Saint-Pierre, Saint-Joseph, D33 Jean Petit, Grand Coude, prendre la première rue à droite après le dernier rond point en direction de Jean Petit.</t>
  </si>
  <si>
    <t>Arpège Austral (L') - Briant Sylvie</t>
  </si>
  <si>
    <t>53, rue des Prunes, 97412 Saint-Joseph</t>
  </si>
  <si>
    <t xml:space="preserve">Briant Sylvie : arpegeaustral@orange.fr / 0262563689 / 0692707412 / Gérant(e) ,  arpegeaustral@orange.fr / 0262563689 / 0692707412 </t>
  </si>
  <si>
    <t>-21.37013736, 55.62725636</t>
  </si>
  <si>
    <t>https://book.reunion.fr/fr/hebergements/a310826/product/reserver | Réunion.fr</t>
  </si>
  <si>
    <t>CSC22HTD</t>
  </si>
  <si>
    <t>53 Rue des Prunes, Réunion</t>
  </si>
  <si>
    <t>Art et Plaisir</t>
  </si>
  <si>
    <t>Art et Plaisir
51 ter, rue Raphaël Douyère
97418 La Plaine des Cafres</t>
  </si>
  <si>
    <t>parking</t>
  </si>
  <si>
    <t>équitation,parking public,site - lieu culturel,point de vue panoramique</t>
  </si>
  <si>
    <t>Art et Plaisir propose de l'artisanat local dans le village de la Plaine des Cafres.</t>
  </si>
  <si>
    <t>51 ter, rue Raphaël Douyère, 97422 Le Tampon</t>
  </si>
  <si>
    <t xml:space="preserve"> 0262577342 ,  0262577342 </t>
  </si>
  <si>
    <t>-21.2171033,55.5517419</t>
  </si>
  <si>
    <t>51 Rue Raphael Douyere, La Plaine des Cafres, Réunion</t>
  </si>
  <si>
    <t>recuzXY9up4hotU42</t>
  </si>
  <si>
    <t>Art Sud</t>
  </si>
  <si>
    <t>Art Sud
6, impasse du Bellay
97480 Saint-Joseph</t>
  </si>
  <si>
    <t>https://www.artsud.re/</t>
  </si>
  <si>
    <t>art.sud@wanadoo.fr</t>
  </si>
  <si>
    <t>Artiste céramiste, c'est à Saint-Joseph que M. Claude Berlie-Caillat fait découvrir son atelier des Arts du Feu et son travail contemporain autour du basalte. 
Ouvert du lundi au vendredi de 8h à 12h et de 14h à 17h. Visite possible le samedi sur rendez-vous.
Fermé le dimanche. 
Capacité : environ 15 personnes par visite.</t>
  </si>
  <si>
    <t>Art Sud - Berlie-Caillat Claude</t>
  </si>
  <si>
    <t>6, impasse du Bellay, 97412 Saint-Joseph</t>
  </si>
  <si>
    <t xml:space="preserve">Caillat Claude Berlie : art.sud@wanadoo.fr / 0262566721 / 0692660711 / 0262314020 , Berlie-Caillat Claude : art.sud@wanadoo.fr / 0262566721 / 0692660711 / 0262314020 ,  0262566721 </t>
  </si>
  <si>
    <t>-21.379245,55.60828979999999</t>
  </si>
  <si>
    <t>Mode de paiment,Fax,Descriptif</t>
  </si>
  <si>
    <t>43 Rue Juliette Dodu, Réunion</t>
  </si>
  <si>
    <t>Art Thé</t>
  </si>
  <si>
    <t>Art Thé
1, rue Marius et Ary Leblond
97480 Saint-Joseph</t>
  </si>
  <si>
    <t>Découverte</t>
  </si>
  <si>
    <t>Art</t>
  </si>
  <si>
    <t>Galerie d'art</t>
  </si>
  <si>
    <t>marie.peron3@wanadoo.fr</t>
  </si>
  <si>
    <t>La galerie propose de découvrir les peintures et sculptures d'artistes locaux et internationaux autour de savoureux thés.  
Ouvert toute la semaine de 11h à 18h sauf le samedi (possibilité sur rendez-vous). 
Possibilité de repas sur place ou à emporter.</t>
  </si>
  <si>
    <t>172, rue Leconte Delisle, 97412 Saint-Joseph</t>
  </si>
  <si>
    <t xml:space="preserve">Péron Marie : marie.peron3@wanadoo.fr / 0692834768 , Péron Marie : marie.peron3@wanadoo.fr / 0692834768 ,  0692834768 </t>
  </si>
  <si>
    <t>-21.3761273,55.6152239</t>
  </si>
  <si>
    <t>1 Rue Marius et Ary Leblond, Réunion</t>
  </si>
  <si>
    <t>Arts Passions</t>
  </si>
  <si>
    <t>Arts Passions
65, rue Concession Jean-Petit
97480 Saint-Joseph</t>
  </si>
  <si>
    <t>français,espagnol</t>
  </si>
  <si>
    <t>artspassions@orange.fr</t>
  </si>
  <si>
    <t>Dans le Sud Sauvage, Arts Passions propose de la gravure sur lino et impression sur écorce de Niaouli de La Réunion.</t>
  </si>
  <si>
    <t>Visite de l'exposition des tableaux en Niaouli, créations originales, 
A partir de 5 personnes, visite de l'atelier avec animation d'une heure : choix de l'écorce de Niaouli, du motif sur lino, encrage et impression d'un marque page. Chaque réalisation est unique.
Les visites se font sur sur rendez-vous et sont gratuites.
Animation à partir de 5 personnes, 12 maxi.</t>
  </si>
  <si>
    <t>A Saint-Joseph, prendre direction Jean-Petit - Grand Coude. Après la pharmacie de Jean-Petit, prendre à gauche au magasin Sicalait, puis prendre la première rue à droite rue Concession. L'atelier se trouve au n° 65 à gauche après le gîte Le Lapin d'Or.</t>
  </si>
  <si>
    <t>Arts Passions - Lopez Maria Soledad</t>
  </si>
  <si>
    <t>65, rue Concession Jean-Petit, 97412 Saint-Joseph</t>
  </si>
  <si>
    <t xml:space="preserve">Lopez Maria Soledad : artspassions@orange.fr / 0262371501 / 0692212501 / Gérant(e) ,  artspassions@orange.fr / 0262371501 / 0692212501 </t>
  </si>
  <si>
    <t>-21.333474, 55.630564</t>
  </si>
  <si>
    <t>65 Rue Concession, Réunion</t>
  </si>
  <si>
    <t>recdw4lpGQlrscCXF</t>
  </si>
  <si>
    <t>Ascendance Parapente</t>
  </si>
  <si>
    <t>Ascendance Parapente
15,impasse des Kakis
97414 Entre-Deux</t>
  </si>
  <si>
    <t>http://www.ascendance-parapente.re</t>
  </si>
  <si>
    <t>Air</t>
  </si>
  <si>
    <t>Parapente</t>
  </si>
  <si>
    <t>sanitaires communs</t>
  </si>
  <si>
    <t>commerce alimentaire,site - lieu culturel</t>
  </si>
  <si>
    <t>français,anglais,espagnol</t>
  </si>
  <si>
    <t>alex@ascendance-parapente.re</t>
  </si>
  <si>
    <t>A Saint-Leu, Ascendance Parapente propose des baptêmes de parapente sur l’île de La Réunion et permettra à chacun de découvrir le site de Saint-Leu sous différentes façons.</t>
  </si>
  <si>
    <t>Pour les amoureux inconditionnels de haute montagne, Ascendance Parapente propose également de prendre de la hauteur en partant des plus hauts sommets de l’île.</t>
  </si>
  <si>
    <t>Sur la route des Tamarins, sortir en direction de la D12, sortie Colimaçons. Suivre la D12 en direction de la N1A, direction Saint-Leu. Arrivée au stop, rejoindre le parking au bord de l'océan en face de ce stop.</t>
  </si>
  <si>
    <t>Ascendance Parapente - Marcadal Alexis</t>
  </si>
  <si>
    <t>15 impasse des Kakis, 97403 Entre-Deux</t>
  </si>
  <si>
    <t xml:space="preserve">Mercadal Alexis : alex@ascendance-parapente.re / 0692933210 / Gérant(e) ,  alex@ascendance-parapente.re / 0692933210 </t>
  </si>
  <si>
    <t>-21.152734, 55.279613</t>
  </si>
  <si>
    <t>Adresse,Mode de paiment</t>
  </si>
  <si>
    <t>46 Rue Gral de Gaulle, Saint-Leu 97436, Réunion</t>
  </si>
  <si>
    <t>rec5H4bXi0gHkoOGC</t>
  </si>
  <si>
    <t>Assiette Fleurie</t>
  </si>
  <si>
    <t>Assiette Fleurie
110, rue Général de Gaulle
97430 Le Tampon</t>
  </si>
  <si>
    <t>sentier de randonnée,parking public,point de vue panoramique</t>
  </si>
  <si>
    <t>Situé au Tampon, l'Assiette Fleurie propose une cuisine créole, chinoise et des grillades. Service self. Repas sur place ou à emporter.
Ouvert du lundi au samedi midi de 11h à 13h30.</t>
  </si>
  <si>
    <t>Assiette Fleurie - Quintal</t>
  </si>
  <si>
    <t>110, rue Général de Gaulle, 97422 Le Tampon</t>
  </si>
  <si>
    <t>0262020719 / 0692077695</t>
  </si>
  <si>
    <t>-21.271126, 55.51512</t>
  </si>
  <si>
    <t>Mode de paiment,Descriptif,Fournisseur - SIRET</t>
  </si>
  <si>
    <t>110 Rue du Gral de Gaulle, Réunion</t>
  </si>
  <si>
    <t>Association Cass' le Coin - Kiosque Artisanal</t>
  </si>
  <si>
    <t>Cass le Coin</t>
  </si>
  <si>
    <t>Association Cass' le Coin - Kiosque Artisanal
57, rue Labourdonnais - Basse Vallée
97442 Saint-Philippe</t>
  </si>
  <si>
    <t>créole</t>
  </si>
  <si>
    <t>Le travail du vacoa est un savoir faire artisanal centenaire</t>
  </si>
  <si>
    <t>A Saint-Philippe, l'Association Cass le Coin dispose d'un kiosque artisanal pour découvrir ou redécouvrir l'art de tressage. Exposition vente de produits en vacoa, issus de la tradition d'hier et d'aujourd'hui.
Fabrication de produits artisanaux sur commande.
Kiosque ouvert du lundi au samedi de 10h à 16h.
Démonstration de tressage artisanale (gratuit) tous les jours.
Atelier d’initiation au tressage tous les samedis de 14h à 16h30.
Un cadeau souvenir en vacoa est remis aux participants</t>
  </si>
  <si>
    <t xml:space="preserve">En venant de Saint Joseph, passer les rampes de Basse Vallée et traverser le village jusqu’à sa sortie à 1 km. Au rond pont face à l’Eglise, prendre à droite, le kiosque se trouve dans l’angle.
En arrivant de St Philippe, suivre la direction St Joseph, à 200 m après l’entrée du village, prendre à gauche face à l’église de Basse Vallée. </t>
  </si>
  <si>
    <t>Lundi : 09:00 - 17:00,Mardi : 09:00 - 17:00,Mercredi : 09:00 - 17:00,Jeudi : 09:00 - 17:00,Vendredi : 09:00 - 17:00,Samedi : 09:00 - 17:00,Dimanche : 09:00 - 17:00</t>
  </si>
  <si>
    <t>Association Cass' Le Coin - Kiosque Artisan</t>
  </si>
  <si>
    <t>57, rue Labourdonnais - Basse Vallée, 97417 Saint-Philippe</t>
  </si>
  <si>
    <t xml:space="preserve">Orange Aïdée : 0262370961 / 0262370961 / Président(e) , Orange Aïdée : 0692194866 / Président(e) </t>
  </si>
  <si>
    <t>Sud - Saint-Philippe</t>
  </si>
  <si>
    <t>-21.3718653,55.7155356</t>
  </si>
  <si>
    <t>57 Route Labourdonnais, 97442, Réunion</t>
  </si>
  <si>
    <t>Atelier de la Fournaise</t>
  </si>
  <si>
    <t>Atelier de la Fournaise
27, RN2 - Ravine Ango
97442 Saint-Philippe</t>
  </si>
  <si>
    <t>sentier de randonnée,sentier de grande randonnée,pêche,point de vue panoramique</t>
  </si>
  <si>
    <t>helene-rotta@wanadoo.fr</t>
  </si>
  <si>
    <t>Situé à Saint-Philippe, l'Atelier de la Fournaise propose des objets en laves émaillées, décor sur céramique et porcelaine.
Travail personnalisé sur demande.
Ouvert tous les jours de 10h à 18h sauf le mercredi.</t>
  </si>
  <si>
    <t>Atelier de la Fournaise - Rotta Hélène</t>
  </si>
  <si>
    <t>27, RN2 - Ravine Ango, 97417 Saint-Philippe</t>
  </si>
  <si>
    <t xml:space="preserve">Rotta Hélène : helene-rotta@wanadoo.fr / 0262371996 , Rotta Hélène : helene-rotta@wanadoo.fr / 0262371996 </t>
  </si>
  <si>
    <t>-21.242499,55.7088893</t>
  </si>
  <si>
    <t>Piton de la Fournaise, Réunion</t>
  </si>
  <si>
    <t>Atelier des Fleurs Pressées</t>
  </si>
  <si>
    <t>Atelier des Fleurs Pressées
35 rue Bourgine
97480 Saint-Joseph</t>
  </si>
  <si>
    <t>bea-riviere@wanadoo.fr</t>
  </si>
  <si>
    <t>Recyclerie</t>
  </si>
  <si>
    <t>107, rue Aimé Turpin, 97412 Saint-Joseph</t>
  </si>
  <si>
    <t>Rivière Béatrice : 0262566727</t>
  </si>
  <si>
    <t>-21.370233, 55.633279</t>
  </si>
  <si>
    <t>35 Rue Bourgine, Réunion</t>
  </si>
  <si>
    <t>Ateliers Bourbon (Les)</t>
  </si>
  <si>
    <t>Ateliers Bourbon (Les)
234, rue J. Hoareau - Plaine des Grègues
97480 Saint-Joseph</t>
  </si>
  <si>
    <t>point de vue panoramique</t>
  </si>
  <si>
    <t>ab@izi.re</t>
  </si>
  <si>
    <t>Située au cœur du Village Créole de la Plaine des Grègues, Laurent Hosxe, décorateur verrier propose la visite de son atelier. Spécialiste de la gravure sur verre, il ouvre ses portes afin de découvrir des pièces uniques et différents objets  qui peuvent être personnalisés sur commande : décor vitrail, gravure et décoration sur verre, arts de la table personnalisés, objets divers et variés. Ouvert du jeudi au samedi de 14h à 18h30 ou sur rendez-vous.</t>
  </si>
  <si>
    <t>A Saint-Joseph, à partir de la Rivière des Remparts, prendre la direction de la Plaine des Grègues. A la Plaine des Grègues au bout de 20 min de route, à 200 m après le stade Les Ateliers de Bourbon se trouvent à droite.</t>
  </si>
  <si>
    <t>Jeudi :  - 14:00 18:30,Vendredi :  - 14:00 18:30,Samedi :  - 14:00 18:30</t>
  </si>
  <si>
    <t>Ateliers Bourbon (Les) - Hosxe Laurent</t>
  </si>
  <si>
    <t>234, rue J. Hoareau - Plaine des Grègues, 97412 Saint-Joseph</t>
  </si>
  <si>
    <t>Hosxe Laurent : ab@izi.re / 0692472510 / 0262316244</t>
  </si>
  <si>
    <t>-21.329024, 55.607041</t>
  </si>
  <si>
    <t>234 Rue Jules Hoareau, Réunion</t>
  </si>
  <si>
    <t>Atmosphère Péi</t>
  </si>
  <si>
    <t>LVR Cycles</t>
  </si>
  <si>
    <t>Atmosphère Péi
.
Bourg Murat
97418 La Plaine des Cafres</t>
  </si>
  <si>
    <t>http://www.atmospherepei.com</t>
  </si>
  <si>
    <t>V.T.T. - Autres cycles</t>
  </si>
  <si>
    <t>contact@atmospherepei.com</t>
  </si>
  <si>
    <t>Découverte des paysages intenses de l'île de La Réunion... en pédalant autrement... sur un vélo couché.</t>
  </si>
  <si>
    <t>Situé au sud de l'île à La Plaine des Cafres, Atmosphère Péi propose des balades en vélo couché dans une atmosphère conviviale, originale et soignée. 
De la simple balade à la randonnée sportive, rouler en toute sécurité sur les routes et chemins dans un grand confort.
Stable, confortable, sécurisant, ludique, fun en descente, facile en montée, il offre à son utilisateur l’opportunité de visiter et de profiter du paysage tout en prenant soin de son corps.
Ainsi, l'activité peut être une autre façon de pédaler pour le sportif avide de performances, les randonneurs à la recherche de nouvelles expériences. Il offre la possibilité de tracter une remorque enfant, à marchandises… . Il est très malléable et peut convenir à des personnes rencontrant certains handicaps physiques, ou n’ayant jamais fait de vélo. Le vélo couché trois roues est le moyen le plus juste pour admirer, en toute décontraction, les paysages intenses qu'offre l’île de La Réunion. 
Pour les connaisseurs, Atmosphère Péi dispose d'un vélo couché deux roues pour aller au bout des paysages grandioses.
Possibilité d'accueillir des personnes à mobilité réduite.
Capacité: 14 personnes selon le parcours   2 remorques porte enfant   2 vélos couchés enfants.
A préciser lors de la réservation, le poids et la taille.
Information technique : taille maxi : 1,90 m et poids : 110 kg.</t>
  </si>
  <si>
    <t xml:space="preserve">Parcours sur le site du Volcan/Piton de l'eau ou Bol d'air frais à la Plaine des Cafres: rendez-vous ruelle du commerce côté station essence Engen
Parcours au Maïdo; rendez vous donné au moment de la réservation
Parcours Etang-Salé; rendez vous donné au moment de la réservation
Parcours Bélouve-Bébourg ou Visite de la Plaine des Palmistes; rendez vous donné lors de la réservation
Parcours Littoral Nord; rendez vous donné lors de la réservation
Parcours Sud Sauvage (enclos route des laves), rendez vous donné lors de la réservation </t>
  </si>
  <si>
    <t>LVR Cycles - Laurent Aurore</t>
  </si>
  <si>
    <t>396 B, chemin Henri Cabeu, 97422 Le Tampon</t>
  </si>
  <si>
    <t xml:space="preserve">Laurent Aurore : contact@atmospherepei.com / 0262455590 / 0062444717 / Gérant(e) , BENARD Mickaël : contact@atmospherepei.com / 0692444717 / Gérant(e) </t>
  </si>
  <si>
    <t>-21.204097, 55.572418</t>
  </si>
  <si>
    <t>https://book.reunion.fr/fr/voir-faire/a379836/atmosphere-pei/afficher-les-details | Réunion.fr</t>
  </si>
  <si>
    <t>reca5pLJzSFX1LfB0</t>
  </si>
  <si>
    <t>Au 20 Cœurs</t>
  </si>
  <si>
    <t>Au 20 Cœurs
20 rue Hubert Delisle
97430 Le Tampon</t>
  </si>
  <si>
    <t>Le restaurant Au 20 Cœurs est situé au Tampon.</t>
  </si>
  <si>
    <t>Il propose des carrys, des grillades, des salades, des pâtes, des pizzas, des galettes et des burgers. 
Ouvert du lundi au vendredi de 10h à 14h et de 17h à 21h. Sauf le mercredi de 10h à 14. Fermé le dimanche.</t>
  </si>
  <si>
    <t>Au 20 Cœurs -Marie Landon</t>
  </si>
  <si>
    <t>20 rue Hubert Delisle, 97422 Le Tampon</t>
  </si>
  <si>
    <t xml:space="preserve">Marie Landon:  0262912137 ,  0262912137 </t>
  </si>
  <si>
    <t>-21.286516, 55.522649</t>
  </si>
  <si>
    <t>Descriptif,Fournisseur - SIRET</t>
  </si>
  <si>
    <t>20 Rue Hubert Delisle, Réunion</t>
  </si>
  <si>
    <t>recvlazHYiTRiE0nE</t>
  </si>
  <si>
    <t>Au Bois Noir</t>
  </si>
  <si>
    <t>Au Bois Noir
52, rue Guichard
Langevin
97480 Saint-Joseph</t>
  </si>
  <si>
    <t>http://www.aubergeboisnoir.e-monsite.com</t>
  </si>
  <si>
    <t>Langevin / Sud</t>
  </si>
  <si>
    <t>piscine,TV,jacuzzi</t>
  </si>
  <si>
    <t>auboisnoir974@gmail.com</t>
  </si>
  <si>
    <t>Dans le Sud Sauvage, à Saint-Joseph, Au Bois Noir propose des chambres d'hôtes.</t>
  </si>
  <si>
    <t>L'hébergement dispose de 3 chambres, d'un dortoir, d'un séjour, d'une piscine intérieure ainsi qu'un jacuzzi.</t>
  </si>
  <si>
    <t>De Saint-Joseph, prendre direction Langevin, 100 m avant le pont tourner à gauche dans la rue Maunier, puis tourner de nouveau à gauche rue Guichard, continuer sur 300 m, Au Bois Noir est situé au n° 52.</t>
  </si>
  <si>
    <t>Au Bois Bois - Mussard Guito</t>
  </si>
  <si>
    <t>52, rue Guichard - Langevin, 97412 Saint-Joseph</t>
  </si>
  <si>
    <t>Mussard Guito : 0262191197 / 0692544199 / Propriétaire</t>
  </si>
  <si>
    <t>-21.378866, 55.644509</t>
  </si>
  <si>
    <t>CSC115HTG</t>
  </si>
  <si>
    <t>Site web,Mode de paiment,E-Mail,Fournisseur - contacts</t>
  </si>
  <si>
    <t>52 Rue Guichard, 97480, Réunion</t>
  </si>
  <si>
    <t>Au Buffet</t>
  </si>
  <si>
    <t>Au Buffet
20, rue Roland Garros
97480 Saint-Joseph</t>
  </si>
  <si>
    <t>http://www.victoriaclub.fr</t>
  </si>
  <si>
    <t>climatisation,jardin,parking,piscine,TV,aire de jeux pour enfant</t>
  </si>
  <si>
    <t>Carte Bancaire,Chèque,Tickets restaurant,Espèces</t>
  </si>
  <si>
    <t>Au cœur du centre ville de Saint-Joseph, Au Buffet, restaurant du Victoria Club dispose d'une salle spacieuse, d'une grande terrasse ainsi que d'un jardin avec deux îlots ombragés. Il propose une carte avec un grand choix de grillades ainsi qu'une formule gourmande variée (buffet froid et chaud à volonté   dessert   café), ou possibilité de sauté au choix cuisiné devant le client. Tous les dimanches midi, barbecue géant à volonté (buffet froid   grillades). Animations hebdomadaires: karaoké, soirées musicales tous les vendredis et samedis soir. Ouvert du mardi au samedi de 12h à 14h &amp; 19h30 à 22h - fermé le dimanche soir.</t>
  </si>
  <si>
    <t>Première à gauche après le stade Raphaël Babet de Saint-Joseph en direction de Saint-Philippe, la gendarmerie se trouve à gauche continuer  tout droit, Au Buffet se trouve quelques mètres à droite après l’intersection.</t>
  </si>
  <si>
    <t>Mardi : 12:00 14:00 - 19:30 22:00,Mercredi : 12:00 14:00 - 19:30 22:00,Jeudi : 12:00 14:00 - 19:30 22:00,Vendredi : 12:00 14:00 - 19:30 22:00,Samedi : 12:00 14:00 - 19:30 22:00,Dimanche : 12:00 14:00 - 19:30 22:00</t>
  </si>
  <si>
    <t>Au Buffet - Auffray Julien</t>
  </si>
  <si>
    <t>20, rue Roland Garros, 97412 Saint-Joseph</t>
  </si>
  <si>
    <t>Auffray Julien : 0262235882</t>
  </si>
  <si>
    <t>-21.376716, 55.611057</t>
  </si>
  <si>
    <t>20 Rue Roland Garros, Réunion</t>
  </si>
  <si>
    <t>Au Coeur du  Palmiste</t>
  </si>
  <si>
    <t>Au Coeur du  Palmiste
24, RN2 - la Trinité
97442 Saint-Philippe</t>
  </si>
  <si>
    <t>Carte Bancaire,Chèque,Espèces</t>
  </si>
  <si>
    <t>Située à Saint-Philippe, la table d'hôte Au Coeur du Palmiste propose une cuisine créole traditionnelle. Spécialités :  le palmiste, le chou de vacoa et des mets à la papaye.</t>
  </si>
  <si>
    <t xml:space="preserve">De l'ouest, dépasser le centre ville de Saint-Philippe, rouler sur 1 km la table d'hôte se trouve à droite.
De l'est,  dépasser le village de Ravine Ango, rouler sur environ  300 m, la table d'hôte se trouve à gauche. </t>
  </si>
  <si>
    <t>Au Coeur du Palmiste - Turpin</t>
  </si>
  <si>
    <t>24, RN2 - la Trinité, 97417 Saint-Philippe</t>
  </si>
  <si>
    <t>Turpin  : 0262371216 / 0692952137</t>
  </si>
  <si>
    <t>-21.3069121,55.80177</t>
  </si>
  <si>
    <t>24 RN2, Réunion</t>
  </si>
  <si>
    <t>recpeXA5JajtmOaTo</t>
  </si>
  <si>
    <t>Au Cyprès Bleu</t>
  </si>
  <si>
    <t>Cyprès Bleu</t>
  </si>
  <si>
    <t>Au Cyprès Bleu
114 bis, rue du Dr Charrière
97430 Le Tampon</t>
  </si>
  <si>
    <t>http://www.cypresbleu-reunion.com/</t>
  </si>
  <si>
    <t>barbecue,climatisation,fer et planche à repasser,jardin,lave linge privatif,linge de maison,micro-ondes,parking,TV</t>
  </si>
  <si>
    <t>sentier de grande randonnée</t>
  </si>
  <si>
    <t>etheve.josie.colette@gmail.com</t>
  </si>
  <si>
    <t>Au Tampon, Au Cyprès Bleu dispose d'une chambre double, d'un canapé convertible, d'une terrasse et d'une cuisine de 16 m² toute équipée. L'appartement de 40 m² se trouve au rez-de-chaussée d'une villa avec cour clôturée et portail électrique. Location non fumeur. A proximité : Grand Bassin, 20 min de la plage de Saint-Pierre, 1h du volcan...</t>
  </si>
  <si>
    <t>Au Cyprès Bleu - Luc Ethève</t>
  </si>
  <si>
    <t>Ethève Luc : contact@bungalow.re / 0262834352 / 0692002347 / Propriétaire</t>
  </si>
  <si>
    <t>-21.257286, 55.515691</t>
  </si>
  <si>
    <t>CSC47HTK</t>
  </si>
  <si>
    <t>Mode de paiment,Fixe,E-Mail,Fournisseur - contacts</t>
  </si>
  <si>
    <t>114 Rue du Docteur Charriere, Réunion</t>
  </si>
  <si>
    <t>recnrwOK2ZcOdiQDq</t>
  </si>
  <si>
    <t>Au Domaine du Vacoa</t>
  </si>
  <si>
    <t>Domaine du Vacoa (Au)</t>
  </si>
  <si>
    <t>Au Domaine du Vacoa
12, chemin Vacoa
97442 Saint-Philippe</t>
  </si>
  <si>
    <t>Milieu rural,Littoral</t>
  </si>
  <si>
    <t>jardin,parking,wifi</t>
  </si>
  <si>
    <t>sentier de randonnée,commerce alimentaire,pêche,parking public,site - lieu culturel,point de vue panoramique</t>
  </si>
  <si>
    <t>bigot.anna@live.fr</t>
  </si>
  <si>
    <t>Située dans le Sud Sauvage, à Saint-Philippe, la table d'hôte "Au Domaine du Vacoa" propose une cuisine créole traditionnelle. Spécialités : plats à base de palmiste, de vacoa et de pinpin (beignets, samoussas, caris).
Possibilité de séjourner dans les chambres d'hôte au Domaine du Vacoa, à la même adresse. Accès aux personnes à mobilité réduite.</t>
  </si>
  <si>
    <t xml:space="preserve">En arrivant de Sainte-Rose, au départ de la RN 2 qui traverse le centre ville de Saint-Philippe, se rendre jusqu’à la hauteur de la mairie. Puis prendre la première à droite, rue du Centre et suivre la signalétique.
En arrivant de Saint-Joseph, au départ de la RN 2 qui traverse le centre ville de Saint-Philippe, se rendre jusqu’à la hauteur de la station essence. Passer l’Ecomusée, puis prendre la première à gauche, rue du Centre et suivre la signalétique. </t>
  </si>
  <si>
    <t>Au Domaine du Vacoa - Bigot Yvon</t>
  </si>
  <si>
    <t>12, chemin Vacoa, 97417 Saint-Philippe</t>
  </si>
  <si>
    <t xml:space="preserve">Bigot Yvon : bigot.anna@live.fr / 0262370312 / 0692648989 ,  domainevacoa@wanadoo.fr / 0262370312 / 0692648989 </t>
  </si>
  <si>
    <t>-21.35860825, 55.7653794</t>
  </si>
  <si>
    <t>Mode de paiment,Descriptif,Descriptif du plan d'accès</t>
  </si>
  <si>
    <t>9 Chemin du Centre, Réunion</t>
  </si>
  <si>
    <t>recP65RYkZMUdYTBH</t>
  </si>
  <si>
    <t>BIGOT YVON</t>
  </si>
  <si>
    <t>climatisation,espace de restauration,jardin,parking,salle de bain privée,sanitaires privés,wifi</t>
  </si>
  <si>
    <t>sentier de randonnée,sentier de grande randonnée,commerce alimentaire,pêche,parking public,site - lieu culturel,point de vue panoramique</t>
  </si>
  <si>
    <t>Au cœur du Sud Sauvage, Au Domaine du Vacoa propose 2 chambres d'hôte dans la ville de Saint-Philippe.</t>
  </si>
  <si>
    <t>Labellisées Gîtes de France, les 2 chambres doubles sont situées à proximité de la maison du propriétaire. Commerces et services à 300 m.
Possibilité de goûter aux spécialités locales dans la table d'hôte d'Yvon Bigot, à la même adresse. Accès aux personnes à mobilité réduite.</t>
  </si>
  <si>
    <t xml:space="preserve">En arrivant de Sainte-Rose, au départ de la RN 2 qui traverse le centre ville de Saint-Philippe, se rendre à hauteur de la mairie. Prendre la première à droite, rue du Centre et suivre la signalétique.
En arrivant de Saint-Joseph, au départ de la RN2 qui traverse le centre ville de Saint-Philippe, se rendre à hauteur de la station essence. Passer l’Ecomusée puis prendre la première à gauche, rue du Centre et suivre la signalétique. </t>
  </si>
  <si>
    <t>https://book.reunion.fr/fr/hebergements/a310823/product/reserver | Réunion.fr</t>
  </si>
  <si>
    <t>CSC17HTH</t>
  </si>
  <si>
    <t>Au Goût du Terroir - Serv's Péï</t>
  </si>
  <si>
    <t>Serv's PEÏ ( Table d'hôte)</t>
  </si>
  <si>
    <t>Au Goût du Terroir - Serv's Péï
5, impasse des Avocats - Grand Fond Intérieur
97414 Entre-Deux</t>
  </si>
  <si>
    <t>http://www.servpei.re</t>
  </si>
  <si>
    <t>jardin,parking</t>
  </si>
  <si>
    <t>info@servpei.re</t>
  </si>
  <si>
    <t>Situé dans le village de l'Entre-Deux, la table d'hôte labellisée Villages Créoles propose dans un lieu dépaysant, une cuisine traditionnelle, à savourer dans une ambiance familiale et authentique. Sylvie et Marcel invitent les visiteurs à participer à la réalisation de leur repas; un moment de partage et de convivialité autour d'un bon carri et l'occasion de retrouver les saveurs d'antan de la cuisine au feu de bois. Visite  du jardin, découverte des légumes "lontan," etc.
Nombreuses activités : randonnées, balades dans le village, découverte des cases créoles et leurs jardins...
Des formules toutes comprises sont également proposées (visites guidées et commentées, activités et repas en table d'hôte) :
- Découverte de la cuisine péi : de 9h à 15h (25 €/pers.),
- Culture et Nature : durée de 2h (31 €/pers.),
- Goût et Tradition : de 9h à 15h30 (36 €/pers.),
- Ambians Kréol : de 12h à 16h (32 €/pers.).</t>
  </si>
  <si>
    <t>A l'entrée du village, en face de l'Office de Tourisme, tourner à gauche, puis suivre les panneaux (durée 4 min).</t>
  </si>
  <si>
    <t>5, impasse des Avocats -, 97403 Entre-Deux</t>
  </si>
  <si>
    <t xml:space="preserve">Rivière Marcel : info@servpei.re / 0262396247 / 0692003783 / Propriétaire ,  0262396247 / 0692003783 / 0262396247 </t>
  </si>
  <si>
    <t>-21.24056286, 55.46689676</t>
  </si>
  <si>
    <t>5 Impasse des Avocats, Réunion</t>
  </si>
  <si>
    <t>recKsK9PlCgoN4rKl</t>
  </si>
  <si>
    <t>Au Grand R'</t>
  </si>
  <si>
    <t>Au Grand R'
19 rue Jules Hoareau - Les Lianes
97480 Saint-Joseph</t>
  </si>
  <si>
    <t>barbecue,fer et planche à repasser,lave linge collectif,parking,piscine,ventilateur,wifi</t>
  </si>
  <si>
    <t>sentier de randonnée,commerce alimentaire</t>
  </si>
  <si>
    <t>jean-luc.techer@laposte.net</t>
  </si>
  <si>
    <t>Dans le Sud Sauvage, Au Grand R' dispose de 2 gîtes équipés pour 4 et 2 personnes.</t>
  </si>
  <si>
    <t>De Manapany-les-Bas, prendre l'intersection menant à Carosse et suivre la direction Plaine des Grègues. Arrivé à Bézaves à l'intersection, prendre à gauche Au Grand R' se trouve à 150 m au n°19.</t>
  </si>
  <si>
    <t>Au Grand R' - Técher Jean-Luc</t>
  </si>
  <si>
    <t>19 rue Jules Hoareau, 97412 Saint-Joseph</t>
  </si>
  <si>
    <t xml:space="preserve">Técher Jean-Luc : jean-luc.techer@laposte.net / 0692746321 / Propriétaire , Técher Jean-Luc : jean-luc.techer@laposte.net / 0692746321 / Propriétaire , Técher Jean-Luc : jean-luc.techer@laposte.net / 0692746321 / Propriétaire </t>
  </si>
  <si>
    <t>-21.347, 55.613</t>
  </si>
  <si>
    <t>CSC213HT@</t>
  </si>
  <si>
    <t>Mode de paiment</t>
  </si>
  <si>
    <t>19 Rue Jules Hoareau, Réunion</t>
  </si>
  <si>
    <t>recSBFdQrES7WyBxv</t>
  </si>
  <si>
    <t>Au Lapin d'Or</t>
  </si>
  <si>
    <t>Au Lapin d'Or
55 bis, chemin Concession
97480 Saint-Joseph</t>
  </si>
  <si>
    <t>sentier de randonnée,site - lieu culturel,point de vue panoramique</t>
  </si>
  <si>
    <t>rolande.sadehe@wanadoo.fr</t>
  </si>
  <si>
    <t>Au Lapin d'Or est une table d'hôte labellisée Gîtes de France, située à Saint-Joseph. Elle propose une cuisine traditionnelle créole offrant des spécialités innovantes sur réservation. Demi-tarif pour les enfants.
Possibilité de séjourner dans les chambres d'hôtes du même nom.</t>
  </si>
  <si>
    <t>En remontant le CD 33,  prendre direction Jean Petit-Grand Coude. Rouler environ 15 à 20 min jusqu'au 10ème Km, après la quincaillerie et le panneau stade Duchemann,  prendre à gauche le chemin Chérimond et suivre la signalétique jusqu’au Lapin d’Or.</t>
  </si>
  <si>
    <t>Au Lapin d'Or - Sadehe Jean-Luc</t>
  </si>
  <si>
    <t>55 bis, chemin Concession - Km 10, 97412 Saint-Joseph</t>
  </si>
  <si>
    <t xml:space="preserve">Sadehe Jean-Luc : sadehe.e.lucjl@gmail.com / 0262566648 / 0692668929 / Gérant(e) ,  rolande.sadehe@wanadoo.fr / 0262566648 / 0692700918 </t>
  </si>
  <si>
    <t>-21.3342, 55.630171</t>
  </si>
  <si>
    <t>Mode de paiment,Mobile,Autre téléphone,E-Mail,Classement,Descriptif</t>
  </si>
  <si>
    <t>55 Rue Concession, Réunion</t>
  </si>
  <si>
    <t>recmlkfusePI2Jmwl</t>
  </si>
  <si>
    <t>Lapin d'Or (Au)</t>
  </si>
  <si>
    <t>chauffage,espace de restauration,jardin,parking,salle de bain privée,sanitaires privés,TV</t>
  </si>
  <si>
    <t>sadehe.e.lucjl@gmail.com</t>
  </si>
  <si>
    <t>Entre Mer, Montagne et Volcan</t>
  </si>
  <si>
    <t>Le Lapin d'Or propose un moment de convivialité et de détente, un accueil en famille. Il dispose de 3 chambres d'hôtes de 2 personnes labellisées Gîtes de France, au-dessus de la maison du propriétaire. 
Sur réservation possibilité de se restaurer.</t>
  </si>
  <si>
    <t>-21.33388049, 55.62984047</t>
  </si>
  <si>
    <t>https://book.reunion.fr/fr/hebergements/a310827/product/reserver | Réunion.fr</t>
  </si>
  <si>
    <t>CSC143HTH</t>
  </si>
  <si>
    <t>Mode de paiment,Mobile,Descriptif</t>
  </si>
  <si>
    <t>Au P'ti Coin Langevin</t>
  </si>
  <si>
    <t>Au P'ti Coin Langevin
4 rue des Citronniers - Bois Noir
97480 Saint-Joseph</t>
  </si>
  <si>
    <t>climatisation,lave linge privatif,parking,TV satellite,ventilateur,wifi</t>
  </si>
  <si>
    <t>sentier de randonnée,riviere</t>
  </si>
  <si>
    <t>Carte Bancaire,Espèces</t>
  </si>
  <si>
    <t>français (Expérimenté (Nv.3)),anglais (Avancé (Nv.2))</t>
  </si>
  <si>
    <t>alm974@hotmail.com</t>
  </si>
  <si>
    <t>Situé à Saint-Joseph, Au P'ti Coin Langevin propose un appartement pouvant accueillir 4 personnes.</t>
  </si>
  <si>
    <t>Douillet, il est situé au rez-de-chaussée et comporte une chambre séparée, une cuisine et une salle de bains aménagées.  Il dispose également de la climatisation. 
Idéal point de départ pour de belles balades à la découverte du Sud Sauvage, entre mer et montagne.</t>
  </si>
  <si>
    <t xml:space="preserve">Après la ville de Saint-Joseph, continuer en direction de Saint-Philippe, lieu-dit "Bois noirs" à Langevin, la rue des Citronniers se trouve juste après une résidence couleurs bois et rouge, aux formes rappelant la mer. 
L'appartement se situe dans un immeuble de couleur crème. </t>
  </si>
  <si>
    <t>Miranville Anne Lise</t>
  </si>
  <si>
    <t>36 rue Léon Dehaulme, 97412 Saint-Joseph</t>
  </si>
  <si>
    <t>Miranville Anne-Lise : alm974@hotmail.com / 0692556548 / Propriétaire</t>
  </si>
  <si>
    <t>-21.381065, 55.642527</t>
  </si>
  <si>
    <t>CSC363HT@</t>
  </si>
  <si>
    <t>Saint Joseph, Réunion</t>
  </si>
  <si>
    <t>recwULghI2J0HRSLs</t>
  </si>
  <si>
    <t>Auberge de Grand Bassin</t>
  </si>
  <si>
    <t>Auberge de Grand Bassin
Grand Bassin
Plaine des Cafres
97418 La Plaine des Cafres</t>
  </si>
  <si>
    <t>Gîte de randonnée</t>
  </si>
  <si>
    <t>Village,Montagne</t>
  </si>
  <si>
    <t>douche,sanitaires communs</t>
  </si>
  <si>
    <t>sentier de randonnée,sentier de grande randonnée,équitation,parking public,point de vue panoramique</t>
  </si>
  <si>
    <t>serydamien974@yahoo.fr</t>
  </si>
  <si>
    <t>Située à la Plaine des Cafres, l'Auberge de Grand Bassin dispose d'un dortoir de 16 personnes, d'un de 8 personnes, 2 dortoirs de 6 personnes et 2 dortoirs de 4 personnes.</t>
  </si>
  <si>
    <t>Auberge de Grand Bassin - Séry Jean-Yves</t>
  </si>
  <si>
    <t>Grand Bassin, 97422 Le Tampon</t>
  </si>
  <si>
    <t>Séry Jean-Yves : 0262592199 / 0262591034 / 0692267455 / Propriétaire</t>
  </si>
  <si>
    <t>-21.181921, 55.534643</t>
  </si>
  <si>
    <t>CSC149HTN</t>
  </si>
  <si>
    <t>Mode de paiment,E-Mail,Fournisseur - SIRET,Fournisseur - contacts</t>
  </si>
  <si>
    <t>21°10'58.0"S 55°32'05., Route Forestière 2 de Bébour-Bélouve, La Plaine des Cafres, Réunion</t>
  </si>
  <si>
    <t>Auberge de Jeunesse de l'Entre-Deux</t>
  </si>
  <si>
    <t>Auberge de Jeunesse de l'Entre-Deux
120, rue Défaud
97414 Entre-Deux</t>
  </si>
  <si>
    <t>Auberge de Jeunesse</t>
  </si>
  <si>
    <t>jardin,parking,piscine,salle de bain privée,sanitaires communs,sanitaires privés,TV,aire de jeux pour enfant</t>
  </si>
  <si>
    <t>sentier de randonnée,sentier de grande randonnée,parking public,site - lieu culturel,point de vue panoramique</t>
  </si>
  <si>
    <t>Chèque,Chèques vacances,Virement,Mandat postal,Bon CE,Espèces,American express</t>
  </si>
  <si>
    <t>Le village créole de l'Entre-Deux tire son nom de la situation qu'elle occupe dans le sud-ouest de l'île. La commune est sise entre deux bras de la rivière Saint Etienne (à l'ouest le bras de Cilaos, à l'est le Bras de la Plaine).
Elle s'étend, du Nord au Sud, des sommets abrupts du "Dimitile" à une pointe qui surplombe le confluent des ces deux courts d'eau. L'Entre Deux, presque entièrement entourée de cours d'eau, est le plus grand "îlet" de La Réunion. La commune s'étale sur 6633 ha de 100 à 2000 m d'altitude, et offre un climat plaisant ainsi qu'une végétation luxuriante dont la beauté est mise en valeur par un parcours balisé.</t>
  </si>
  <si>
    <t>L'Auberge de Jeunesse est située au cœur du village de la Ravine des Citrons. Structure récente au milieu d'un jardin. 
Le site se prête aux randonnées et courses de montagnes.
Idéalement situé pour découvrir de nombreux sites touristiques charmants des hauts : 
. Le "Dimitile" pour les amoureux de la montagne
. Le circuit "entre architecture et art de vivre" avec l'Office de Tourisme de l'Entre-Deux (tél : 02.62.39.69.80)
. Les nombreux circuits de randonnées
. Les nombreux équipements sportifs</t>
  </si>
  <si>
    <t xml:space="preserve">En bus : De Saint Pierre, gare routière, rue Luc Lorion ( Tél. 0262 35 67 28) : Prendre la direction Entre Deux. 
En voiture : Au carrefour de Pierrefonds, à la sortie de Saint-Louis en direction de Saint Pierre, prendre la direction "Ravine des Cabris" et Entre Deux. Devant la mairie de l'Entre Deux, suivre les pancartes de signalisation de l'Auberge de Jeunesse. L'auberge se trouve à la Ravine Citrons, à environ 3 km du centre ville, en montant vers le Dimitile. </t>
  </si>
  <si>
    <t>Auberge de Jeunesse de l’Entre-Deux </t>
  </si>
  <si>
    <t>120, rue Défaud, 97403 Entre-Deux</t>
  </si>
  <si>
    <t xml:space="preserve">LAURENT Caty : ajoi@wanadoo.fr / 0262411534 / 0692195283 / Secrétariat comptabilité reservation AJOI , PETARD Noel : auberge.entredeux@wanadoo.fr / 0262395920 / 0692757590 / Responsable aubergiste ,  auberge.entredeux@wanadoo.fr / 0262411534 / 0262395920 / 0692757590 / 0262395920 </t>
  </si>
  <si>
    <t>-21.24232468, 55.48292094</t>
  </si>
  <si>
    <t>35 Rue Defaud, 97414, Réunion</t>
  </si>
  <si>
    <t>Auberge de Jeunesse de l'Entre-Deux
120, rue Defaud - Ravine des Citrons
97414 Entre-Deux</t>
  </si>
  <si>
    <t>Carte Bancaire,Chèque,Virement,Espèces</t>
  </si>
  <si>
    <t>Une auberge est un lieu de convivialité et de découverte ouvert à tous sans limite d'age.
L'auberge accueille et renseigne les adhérents de tous pays dans un total esprit de neutralité afin de favoriser les rencontres.  Chaleureuses, amicales et internationales, les auberges reçoivent pour des séjours adaptés à leurs besoins : les individuels, les familles, les groupes. 
Le secrétariat et les aubergistes sont à disposition pour conseiller et  guider vers toutes les activités sportives et touristiques dans l'île.</t>
  </si>
  <si>
    <t>Devant la mairie de l'Entre-Deux, suivre les pancartes de signalisation de l'Auberge de Jeunesse. L'auberge se trouve à la ravine à Citrons, à environ 3 km du centre ville, en montant vers le Dimitile.</t>
  </si>
  <si>
    <t>120, rue Defaud - Ravine des Citrons, 97403 Entre-Deux</t>
  </si>
  <si>
    <t>-21.2433502,55.4827333</t>
  </si>
  <si>
    <t>recePf1vuFY5Mm5by</t>
  </si>
  <si>
    <t>Auberge des Cratères (L')</t>
  </si>
  <si>
    <t>Auberge des Cratères (L')
137, route du Volcan - Bourg-Murat
Plaine des Cafres
97418 La Plaine des Cafres</t>
  </si>
  <si>
    <t>Restaurant de l'hôtel</t>
  </si>
  <si>
    <t>jardin,parking,salle de réunion - séminaire</t>
  </si>
  <si>
    <t>Chèque,Chèques vacances,Virement,PassLoisirs,Espèces</t>
  </si>
  <si>
    <t>itworksrun@gmail.com</t>
  </si>
  <si>
    <t>A la Plaine des Cafres, L'Auberge des Cratères, restaurant de l'hôtel propose une cuisine créole.</t>
  </si>
  <si>
    <t>Le restaurant propose des menus variés. Repas gratuit pour les enfants de moins de 3 ans. Demi tarif pour les enfants -12 ans.</t>
  </si>
  <si>
    <t>Auberge des Cratères (L') - Legros Jean-Marceau</t>
  </si>
  <si>
    <t>137, route du Volcan, 97422 Le Tampon</t>
  </si>
  <si>
    <t>Legros Angélique : angie.legros@gmail.com / 0262334836 / 0692909342 / Gérant(e) ,  dieseauberge@gmail.com / 0262082579 ,  0262334836 / 0262336405</t>
  </si>
  <si>
    <t>-21.21001142, 55.59111406</t>
  </si>
  <si>
    <t>Mode de paiment,Mobile,Autre téléphone,E-Mail,Fournisseur - contacts</t>
  </si>
  <si>
    <t>Route du Volcan, La Plaine des Cafres, Réunion</t>
  </si>
  <si>
    <t>Cratères (L’Auberge des)</t>
  </si>
  <si>
    <t>Auberge des Cratères (L')
137, route du Volcan - Bourg Murat
Bourg Murat
97418 La Plaine des Cafres</t>
  </si>
  <si>
    <t>Hôtel</t>
  </si>
  <si>
    <t>chauffage,jardin,parking autocar,parking,salle de réunion - séminaire,TV</t>
  </si>
  <si>
    <t>sentier de randonnée,sentier de grande randonnée,équitation,site - lieu culturel,point de vue panoramique</t>
  </si>
  <si>
    <t>Chèque,Chèques vacances,Virement,PassLoisirs,Bon CE,Espèces</t>
  </si>
  <si>
    <t>contact@aubergedescrateres.fr</t>
  </si>
  <si>
    <t>L'Auberge des Cratères, à la Plaine des Cafres, propose 12 chambres :</t>
  </si>
  <si>
    <t>2 chambres doubles et 10 chambres familiales pouvant accueillir jusqu'à 6 personnes. L'auberge dispose d'un restaurant.</t>
  </si>
  <si>
    <t xml:space="preserve">Legros Angélique : angie.legros@gmail.com / 0262334836 / 0692909342 / Gérant(e) ,  dieseauberge@gmail.com / 0262082579 ,  0262334836 / 0262336404 </t>
  </si>
  <si>
    <t>CSC171HTI</t>
  </si>
  <si>
    <t>recYktplxCsh6Dsen</t>
  </si>
  <si>
    <t>Auberge du Volcan (L')</t>
  </si>
  <si>
    <t>Auberge du Volcan
194, rue Maurice Kraft - RN 3 - PK 27
Plaine des Cafres
97418 La Plaine des Cafres</t>
  </si>
  <si>
    <t>chauffage,parking</t>
  </si>
  <si>
    <t>sentier de randonnée,sentier de grande randonnée,équitation,centre commercial,parking public,point de vue panoramique</t>
  </si>
  <si>
    <t>Carte Bancaire,Eurocard,Chèque,Espèces,American express</t>
  </si>
  <si>
    <t>aubvolcan@wanadoo.fr</t>
  </si>
  <si>
    <t>Le restaurant de l'auberge du Volcan est situé au cœur du village de Bourg Murat, à la Plaine des Cafres.</t>
  </si>
  <si>
    <t>Il propose une cuisine métropolitaine et créole. Salle chauffée.
Le restaurant a une capacité de 130 couverts.</t>
  </si>
  <si>
    <t xml:space="preserve">Depuis le Sud, prendre la 4 voies en direction du Tampon/Plaine des Cafres. Aller jusqu'au village de Bourg Murat, l'Auberge se situe juste après la Maison du Volcan sur la gauche de la route (face à l'hôtel Le Volcan).
Depuis les Plaines, suivre la RN 3, traverser le village de Bourg Murat, l'Auberge se situe avant la Maison du Volcan à droite de la route (face à l'hôtel Le Volcan). </t>
  </si>
  <si>
    <t>Auberge du Volcan - Ollivier Suzanne</t>
  </si>
  <si>
    <t>194, rue Maurice Kraft - RN 3 - PK 27, 97422 Le Tampon</t>
  </si>
  <si>
    <t>Ollivier Suzanne : aubvolcan@wanadoo.fr / 0262275091 / 0262591721</t>
  </si>
  <si>
    <t>-21.20215631, 55.57436006</t>
  </si>
  <si>
    <t>Mode de paiment,Fax,Descriptif,Descriptif du plan d'accès,Fournisseur - contacts</t>
  </si>
  <si>
    <t>213-215 Rue Maurice et Katia Krafft, La Plaine des Cafres, Réunion</t>
  </si>
  <si>
    <t>recXej1WibudDrBPL</t>
  </si>
  <si>
    <t>Auberge du Volcan</t>
  </si>
  <si>
    <t>Auberge du Volcan (L')
194, rue Maurice Kraft - Bourg Murat
Bourg Murat
97418 La Plaine des Cafres</t>
  </si>
  <si>
    <t>chauffage,espace de restauration,parking,téléphone,TV</t>
  </si>
  <si>
    <t>L'Auberge du Volcan est un hôtel de tourisme situé au cœur du village de Bourg Murat, à la Plaine des Cafres.</t>
  </si>
  <si>
    <t>Il dispose de 9 chambres et accueille ses hôtes dans une atmosphère intime et chaleureuse. Appartient au Club de l'Hôtellerie créole indépendante et familiale.
Après des heures de marche, il est agréable de retrouver la convivialité d'un repas créole ou métropolitain dans le restaurant.</t>
  </si>
  <si>
    <t xml:space="preserve">Depuis le Sud, prendre la 4 voies en direction du Tampon/Plaine des Cafres. Aller jusqu'au village de Bourg Murat, l'Auberge se situe juste après la Maison du Volcan sur la gauche de la route (face à l'hôtel Le Volcan).
Depuis les Plaines, suivre la RN3, traverser le village de Bourg Murat, l'Auberge se situe avant la Maison du Volcan à droite de la route (face à l'hôtel Le Volcan). </t>
  </si>
  <si>
    <t>Lundi :  -,Mardi :  -,Mercredi :  -,Jeudi :  -,Vendredi :  -,Samedi :  -,Dimanche :  -</t>
  </si>
  <si>
    <t>CSC121HTD</t>
  </si>
  <si>
    <t>Mode de paiment,Fax,Descriptif,Descriptif du plan d'accès,Jours et horaires d'ouverture,Fournisseur - contacts</t>
  </si>
  <si>
    <t>Auberge la Fermette</t>
  </si>
  <si>
    <t>Auberge la Fermette
40, rue Raphaël Douyère - 23ème km
Plaine des Cafres
97418 La Plaine des Cafres</t>
  </si>
  <si>
    <t>jardin,parking autocar,parking</t>
  </si>
  <si>
    <t>sentier de randonnée,sentier de grande randonnée,commerce alimentaire,équitation,parking public,point de vue panoramique</t>
  </si>
  <si>
    <t>auberge-la-fermette@wanadoo.fr</t>
  </si>
  <si>
    <t>Située à La Plaine des Cafres, Auberge la Fermette restaurant de l'hôtel propose une cuisine créole et métropolitaine.</t>
  </si>
  <si>
    <t>Après des heures de marche, il est agréable de retrouver la convivialité dans une atmosphère intime et chaleureuse. Salle chauffée.
Restaurant ouvert tous les jours sauf le mercredi. Le soir sur réservation.</t>
  </si>
  <si>
    <t>Auberge la Fermette - Payet Annick Michel et Marie Andrée</t>
  </si>
  <si>
    <t>40, rue Raphaël Douyère - 23 ème km, 97422 Le Tampon</t>
  </si>
  <si>
    <t>Payet Annick Michel et Marie-Andrée : auberge-la-fermette@wanadoo.fr / 0262275008 / 0692009836 / 0262275378</t>
  </si>
  <si>
    <t>-21.21663967, 55.55241031</t>
  </si>
  <si>
    <t>40 Rue Raphael Douyere, La Plaine des Cafres, Réunion</t>
  </si>
  <si>
    <t>rechj4Z465inGAsGN</t>
  </si>
  <si>
    <t>Fermette (Auberge la)</t>
  </si>
  <si>
    <t>Auberge la Fermette
40, rue Raphaël Douyère - 23 ème km
Plaine des Cafres
97418 La Plaine des Cafres</t>
  </si>
  <si>
    <t>Située à La Plaine des Cafres,  L'Auberge la Fermette est un hôtel.</t>
  </si>
  <si>
    <t>Il dispose de 8 chambres doubles, d'une chambre triple et d'une chambre quadruple. Il dispose également d'un restaurant.</t>
  </si>
  <si>
    <t>CSC124HTG</t>
  </si>
  <si>
    <t>Mode de paiment,Fournisseur - contacts</t>
  </si>
  <si>
    <t>recsinOHawUF3oqCt</t>
  </si>
  <si>
    <t>Austral Taxis Réunion</t>
  </si>
  <si>
    <t>Austral Taxis Réunion
36 rue du Commandeur
Plaine des Cafres
97418 La Plaine des Cafres</t>
  </si>
  <si>
    <t>Transport</t>
  </si>
  <si>
    <t>Autocar (compagnie)</t>
  </si>
  <si>
    <t>Excursion touristique</t>
  </si>
  <si>
    <t>Carte Bancaire,Virement,Espèces</t>
  </si>
  <si>
    <t>australtaxis@gmail.com</t>
  </si>
  <si>
    <t>Situé dans le sud de l'île, plus particulièrement à la Plaine des Cafres, Austral Taxis Réunion propose des excursions touristiques sur toute l'île et principalement à la découverte du Volcan.</t>
  </si>
  <si>
    <t>La société propose également des transferts depuis et vers les hôtels et aéroports. Le véhicule est récent, confortable et climatisé, il peut accueillir 8 passagers. Les chauffeurs sont expérimentés et seront à l'écoute des clients. Pas de surprise, le tarif est défini avant le départ.</t>
  </si>
  <si>
    <t>Sur toute l'île</t>
  </si>
  <si>
    <t>Austral Taxis Réunion - Elissalde Arnaud</t>
  </si>
  <si>
    <t>33 bis rue Vitry, 97422 Le Tampon</t>
  </si>
  <si>
    <t>CADET Guillaume : australtaxis@gmail.com / 0692445495 / Gérant(e)</t>
  </si>
  <si>
    <t>-21.196774, 55.535015</t>
  </si>
  <si>
    <t>Rue du Commandeur, La Plaine des Cafres, Réunion</t>
  </si>
  <si>
    <t>Autour du Bois</t>
  </si>
  <si>
    <t>Autour du Bois
7, rue Jean Lauret
97414 Entre-Deux</t>
  </si>
  <si>
    <t>poirier.caro@wanadoo.fr</t>
  </si>
  <si>
    <t>Production d'objets de décoration à partir du bois de La Réunion, spécialisé en tournage sur bois, fabrication de pièces uniques : stylos, porte clés, vaporisateurs, bols dans les essences de l'île, tamarin, letchi, jacque, camphre. Autour du Bois est situé à l'Entre-Deux. Présence le samedi matin sur le marché forain de Saint Pierre. Pas de boutique permanente.</t>
  </si>
  <si>
    <t>7, rue Jean Lauret, 97403 Entre-Deux</t>
  </si>
  <si>
    <t>Poirier Caroline : poirier.caro@wanadoo.fr / 0262885774 / 0692057381</t>
  </si>
  <si>
    <t>-21.247482, 55.472078</t>
  </si>
  <si>
    <t>2 Rue Jean Lauret, Réunion</t>
  </si>
  <si>
    <t>Aux 3 Letchis</t>
  </si>
  <si>
    <t>Aux 3 Letchis
179, rue Charles Beaudelaire - Trois Mares
97430 Le Tampon</t>
  </si>
  <si>
    <t>barbecue,four,jardin,lave linge privatif,micro-ondes,parking,TV</t>
  </si>
  <si>
    <t>équitation</t>
  </si>
  <si>
    <t>j.techer793@laposte.net</t>
  </si>
  <si>
    <t>Aux 3 Letchis est niché au cœur du village de Trois Mares à quelques min de la ville du Tampon, entre mer et montagne, dans un cadre verdoyant et apaisant</t>
  </si>
  <si>
    <t>Aux 3 Letchis est une villa pleine de charme, totalement indépendante confortable et bien équipée. Au rez de chaussée, une grande véranda avec vue sur la mer et le coucher du soleil, une salle à manger avec vaisselle complète et une chambre double.
A l'étage, une mezzanine avec 2 lits (une et 2 places). Ménage et nettoyage en fin de séjour en option.</t>
  </si>
  <si>
    <t xml:space="preserve">Depuis le Sud, prendre la direction du Tampon et aller jusqu'aux Trois Mares. Au rond-point du Crédit Agricole, continuer tout droit dans la rue Charles Beaudelaire. Juste après la pizzéria “Manzelle Pizza”, prendre tout de suite sur la gauche. Aux 3 Letchis se trouve au n° 179.
Depuis les Plaines, suivre la RN 3, traverser le  village de Bourg Murat et descendre jusqu'aux Trois Mares. Au rond-point du Crédit Agricole, tourner à droite dans la rue Charles Beaudelaire. Puis 1 km plus loin prendre tout de suite à gauche. Aux 3 Letchis se trouve au n° 179. </t>
  </si>
  <si>
    <t>Aux 3 Letchis - Técher Jean-Marc</t>
  </si>
  <si>
    <t>179, rue Charles Beaudelaire, 97422 Le Tampon</t>
  </si>
  <si>
    <t xml:space="preserve">Técher Jean-Marc : j.techer793@laposte.net / 0262576085 / 0692719443 / 0262576085 / Propriétaire ,  contact@aux3letchis.com </t>
  </si>
  <si>
    <t>-21.248639, 55.496074</t>
  </si>
  <si>
    <t>CSC157HTM</t>
  </si>
  <si>
    <t>179 Rue Charles Baudelaire, 97430, Réunion</t>
  </si>
  <si>
    <t>recXvnqHcPh0QoC1K</t>
  </si>
  <si>
    <t>Aux Crypto des Laves</t>
  </si>
  <si>
    <t>Aux Crypto des Laves
223 rue Maurice &amp; Katia Kraft
Plaine des Cafres
97418 La Plaine des Cafres</t>
  </si>
  <si>
    <t>chauffage,four,lave linge privatif,lave vaisselle,lecteur DVD,sèche linge privatif,TV,aire de jeux pour enfant</t>
  </si>
  <si>
    <t>sentier de randonnée,sentier de grande randonnée,commerce alimentaire,parking public</t>
  </si>
  <si>
    <t>samuelhoarau97430@orange.fr</t>
  </si>
  <si>
    <t>Au tampon, Au Crypto des Laves propose un chalet équipé pour 8 personnes.</t>
  </si>
  <si>
    <t>Le chalet dispose de 3 chambres avec lits doubles et lit superposé, cuisine équipée, cheminée, grand espace de pique nique avec barbecue / jeux de plein air pour les enfants.</t>
  </si>
  <si>
    <t>Couteaux Bourbon - Hoarau Samuel</t>
  </si>
  <si>
    <t>72, rue Georges Hoarau, 97430 Le Tampon</t>
  </si>
  <si>
    <t xml:space="preserve">Hoarau Samuel : couteauxbourbon@gmail.com / 0692047245 , Hoarau Samuel : couteauxbourbon@gmail.com / 0692047245 ,  samuel.tiphaine@wanadoo.fr / 0262015131 / 0692047245 </t>
  </si>
  <si>
    <t>-21.200775, 55.574089</t>
  </si>
  <si>
    <t>CSC216HT@</t>
  </si>
  <si>
    <t>Mode de paiment,E-Mail,Capacité,Fournisseur - adresse</t>
  </si>
  <si>
    <t>rec5yC36m9peYuToo</t>
  </si>
  <si>
    <t>Aux Délices des Iles</t>
  </si>
  <si>
    <t>Aux Délices des Iles
87, rue Général de Gaulle
97430 Le Tampon</t>
  </si>
  <si>
    <t>sentier de randonnée,point de vue panoramique,aéroport de Pierrefonds</t>
  </si>
  <si>
    <t>Carte Bancaire,Espèces,Tickets restaurant</t>
  </si>
  <si>
    <t>moniquebezaza@hotmail.fr</t>
  </si>
  <si>
    <t>Aux Délices des Iles propose des spécialités créoles et asiatiques dans la ville du Tampon, salades pates, gratins, en vitrine une 20aine de plats aux choix</t>
  </si>
  <si>
    <t>Aux Délices des Iles - CHAN Monique</t>
  </si>
  <si>
    <t>87, rue Général de Gaulle, 97422 Le Tampon</t>
  </si>
  <si>
    <t xml:space="preserve"> 0262573431 ,  0262573431 </t>
  </si>
  <si>
    <t>-21.273282, 55.516764</t>
  </si>
  <si>
    <t>Mode de paiment,Mobile,E-Mail,Capacité,Descriptif,Fournisseur - Nom,Fournisseur - SIRET</t>
  </si>
  <si>
    <t>87 Rue du General de Gaulle, Réunion</t>
  </si>
  <si>
    <t>recjSuoNLECT3806L</t>
  </si>
  <si>
    <t>Aux Deux Orangers</t>
  </si>
  <si>
    <t>Aux Deux Orangers
31, chemin Raphaël Babet - Trois Mares
97430 Le Tampon</t>
  </si>
  <si>
    <t>parking,piscine,TV,wifi</t>
  </si>
  <si>
    <t>974auxdeuxorangers@gmail.com</t>
  </si>
  <si>
    <t>Situé dans le sud de l'île de La Réunion, au Tampon à 1000 m d'altitude et face à l'océan, Aux Deux Orangers propose 3 chambres d'hôtes.</t>
  </si>
  <si>
    <t>Les chambres disposent d'un lit double, possibilité de rajouter un lit pour enfant.
La table d'hôte propose des repas traditionnels le soir uniquement et sur réservation 24h à l'avance.
Endroit calme et convivial. Simplicité et tranquillité avec accès rapides (4 voies à 2 min) pour se rendre au volcan , à Saint-Pierre, ... .</t>
  </si>
  <si>
    <t>Aux 2 Orangers - Le Saulnier Christophe</t>
  </si>
  <si>
    <t>31, chemin Raphaël Babet - Trois Mares, 97422 Le Tampon</t>
  </si>
  <si>
    <t xml:space="preserve">Le Saulnier Christophe : 0262384180 / Propriétaire , Le Saulnier Christophe : 0262384180 / 0693465293 / Propriétaire </t>
  </si>
  <si>
    <t>-21.240252, 55.498131</t>
  </si>
  <si>
    <t>CSC104HTE</t>
  </si>
  <si>
    <t>Mode de paiment,Mobile,E-Mail,Capacité,Descriptif,Fournisseur - Nom,Fournisseur - contacts</t>
  </si>
  <si>
    <t>31 Chemin Raphael Babet, Réunion</t>
  </si>
  <si>
    <t>recQYocIze3BFp7BR</t>
  </si>
  <si>
    <t>Aux Saveurs des Grègues</t>
  </si>
  <si>
    <t>Aux Saveurs des Grègues
6, chemin Conflors - Plaine des Grègues
Plaine des Grègues
97480 Saint-Joseph</t>
  </si>
  <si>
    <t>http://www.saveursdesgregues.com</t>
  </si>
  <si>
    <t>Plaine des Grègues / Sud</t>
  </si>
  <si>
    <t>four,micro-ondes,piscine,sanitaires communs,wifi</t>
  </si>
  <si>
    <t>hoarau.michel@orange.fr</t>
  </si>
  <si>
    <t>A Saint-Joseph, Aux Saveurs des Grègues propose 3 chambres d'hôtes.</t>
  </si>
  <si>
    <t>2 chambres doubles et une chambre avec lit double et lits superposés. A disposition des résidents une cuisine équipée et une salle de détente, piscine, ... . Possibilité de repas en table d'hôte.</t>
  </si>
  <si>
    <t xml:space="preserve">En arrivant de Saint-Pierre au rond-point de Petite-Ile, Manapany les Bains  en sortant de la N2 prendre la direction Plaine des Grègues D32 suivre la D32 par la rue Jules Hoareau. Après le stade tourner a gauche rue du Bel Air, ensuite à 50 m tourner à droite chemin Conflors, Aux Saveurs Des Grègues se trouve au n°6. 
En sortant de la ville après le pont de Saint-Joseph prendre la première à droite suivre la D3 direction la Plaine des Grègues, prendre la D32 par la rue Jules Hoareau. Après le stade tourner à gauche sur la rue du Bel Air, ensuite à 50 m tourner à droite chemin Conflors, Aux Saveurs Des Grègues se trouve au n°6. </t>
  </si>
  <si>
    <t>Aux Saveurs des Grègues - Hoarau Michel</t>
  </si>
  <si>
    <t>6, chemin Conflors - Plaine des Grègues, 97412 Saint-Joseph</t>
  </si>
  <si>
    <t>Hoarau Michel : hoarau.michel@orange.fr / 0262412833 / 0692443849</t>
  </si>
  <si>
    <t>-21.329899, 55.6048</t>
  </si>
  <si>
    <t>CSC67HTM</t>
  </si>
  <si>
    <t>Mode de paiment,Descriptif du plan d'accès,Fournisseur - contacts</t>
  </si>
  <si>
    <t>6 chemin des conflors, Réunion</t>
  </si>
  <si>
    <t>recqN19d2eJTgPzZy</t>
  </si>
  <si>
    <t>Spéléolave</t>
  </si>
  <si>
    <t>Avril Teddy Henry</t>
  </si>
  <si>
    <t>Avril Teddy
63, chemin Auguste Boyer
Plaine des Grègues
97480 Saint-Joseph</t>
  </si>
  <si>
    <t>Randonnée pédestre,Spéléologie / tunnels de lave</t>
  </si>
  <si>
    <t>sentier de randonnée,commerce alimentaire,parking public</t>
  </si>
  <si>
    <t>speleolave@gmail.com</t>
  </si>
  <si>
    <t>Accompagnateur en montagne natif de l’île de La Réunion, passionné de volcanisme, d'histoire et de patrimoine.</t>
  </si>
  <si>
    <t>Teddy propose de découvrir  en toute convivialité toutes les richesses de ce joyau de l'océan Indien!</t>
  </si>
  <si>
    <t>Contactez le prestataire pour les lieux de rendez-vous</t>
  </si>
  <si>
    <t>Spéléolave - Avril Teddy Henry</t>
  </si>
  <si>
    <t>63, chemin Auguste Boyer - Plaine des Grègues, 97412 Saint-Joseph</t>
  </si>
  <si>
    <t>Avril Teddy : teddy.avril@live.fr / 0692375314 / Gérant€</t>
  </si>
  <si>
    <t>-21.332284, 55.610924</t>
  </si>
  <si>
    <t>Nom commercial,Mode de paiment,E-Mail,Fournisseur - SIRET,Fournisseur - contacts</t>
  </si>
  <si>
    <t>63 Chemin Auguste Boyer, Réunion</t>
  </si>
  <si>
    <t>reci48o801z9UJFB8</t>
  </si>
  <si>
    <t>Babouk Kréation</t>
  </si>
  <si>
    <t>Babouk Kréation
61, route de Bras Long
97414 Entre-Deux</t>
  </si>
  <si>
    <t>https://www.facebook.com/pages/Horloges-Réunion-Utinam/427161880823179</t>
  </si>
  <si>
    <t>d-prevel@wanadoo.fr</t>
  </si>
  <si>
    <t>Que d'objets truculents et éclectiques  pour ce créateur, s’engageant dans le développement durable, et dont les pièces sont tout sauf éphémères.</t>
  </si>
  <si>
    <t>Dans le village de l'Entre-Deux, Didier Prevel réalise des objets à partir de matériaux nobles tels que le bois, le basalte et le métal. 
Possibilité de visites sur simple appel et selon disponibilité. Atelier d'artisan travaillant différentes matières et des supports originaux. Installation d'une fonderie d'art en cours. Visite gratuite.</t>
  </si>
  <si>
    <t>En haut de la rue du Commerce en centre ville de l’Entre Deux, au stop tout droit direction Bras Long. Continuer sur 800 m environ. L’atelier est au fond de l’impasse à gauche, juste en face de l’arrêt de bus “Avocatier”.</t>
  </si>
  <si>
    <t>Babouk kréation - Prével Didier</t>
  </si>
  <si>
    <t>65, chemin de l'Adieu, 97422 Le Tampon</t>
  </si>
  <si>
    <t>Prével Didier : d-prevel@wanadoo.fr / 0262398110 / 0692097358 / Gérant€</t>
  </si>
  <si>
    <t>-21.272481, 55.461722</t>
  </si>
  <si>
    <t>61 Rue Bras Long, Réunion</t>
  </si>
  <si>
    <t>Bambino (Le)</t>
  </si>
  <si>
    <t>Bambino (Le)
4, rue Hubert Delisle
97414 Entre-Deux</t>
  </si>
  <si>
    <t>climatisation,jardin,salle de réunion - séminaire</t>
  </si>
  <si>
    <t>sentier de randonnée,sentier de grande randonnée,tennis,centre commercial,parking public,site - lieu culturel,point de vue panoramique</t>
  </si>
  <si>
    <t>Situé dans la village de l'Entre-Deux, Le Bambino propose une cuisine créole et chinoise : sautés, saucisse baba-figues, choux de vacoas. 
Desserts : coupe de fruits, bananes flambées, coupe de glace, gâteaux pays.
Ouvert tous les jours de 11h à 22h. Fermé le mercredi.</t>
  </si>
  <si>
    <t>Sur la commune de l'Entre-Deux, passer devant l'office de tourisme. Monter au centre ville et arriver devant la mairie. Continuer tout droit sur 80 m.</t>
  </si>
  <si>
    <t>4, rue Hubert Delisle, 97403 Entre-Deux</t>
  </si>
  <si>
    <t xml:space="preserve">Alanoix Vincent Stéphane : 0692108880 / Gérant(e) ,  0692108880 </t>
  </si>
  <si>
    <t>-21.2497318, 55.47092592</t>
  </si>
  <si>
    <t>4 Rue Hubert Delisle, 97414, Réunion</t>
  </si>
  <si>
    <t>Bambous (Les)</t>
  </si>
  <si>
    <t>HORAU Sylvie</t>
  </si>
  <si>
    <t>Bambous (Les)
10, rue Fidélio Robert
97430 Le Tampon</t>
  </si>
  <si>
    <t>jardin,lave linge privatif,parking,TV</t>
  </si>
  <si>
    <t>équitation,tennis,centre commercial,parking public,site - lieu culturel,point de vue panoramique</t>
  </si>
  <si>
    <t>Chèque,Chèques vacances,Virement,Mandat postal,Espèces</t>
  </si>
  <si>
    <t>lesbambous974@hotmail.fr</t>
  </si>
  <si>
    <t>Situé au Tampon, Les Bambous dispose d'un appartement de type T4, pour 6 personnes, avec 3 chambres indépendantes, un séjour, une cuisine équipée.
L’appartement est situé au rez-de-chaussée d’une villa et donne sur une petite terrasse.</t>
  </si>
  <si>
    <t>Direction le Tampon par la RN 3, au niveau de la pharmacie du 11ème, prendre à droite sur 400 m direction église du 12ème, la structure se trouve sur la droite au n° 10.</t>
  </si>
  <si>
    <t>Bambous (Les) - Hoareau Sylvie</t>
  </si>
  <si>
    <t>5 Chemin des Dahlias, 97422 Le Tampon</t>
  </si>
  <si>
    <t>Hoareau Sylvie : hoareau.sylvie@wanadoo.fr / 0262599480 / 0692786158 / 0692738700 / Gérant(e)</t>
  </si>
  <si>
    <t>-21.26939073, 55.52704107</t>
  </si>
  <si>
    <t>10 Chemin Fidelio Robert, Réunion</t>
  </si>
  <si>
    <t>recxXRG93JqXCrVZr</t>
  </si>
  <si>
    <t>Bar A 4</t>
  </si>
  <si>
    <t>Bar A 4
212, rue Hubert Delisle
97430 Le Tampon</t>
  </si>
  <si>
    <t>Snack-bar</t>
  </si>
  <si>
    <t>banque - guichet automatique,commerce alimentaire,parking public,site - lieu culturel,point de vue panoramique</t>
  </si>
  <si>
    <t>Situé au Tampon Le restaurant Bar A 4 propose des spécialités indiennes, des sandwichs, des salades, des samoussas, des bouchons faits maison, des pâtisseries indiennes et orientales</t>
  </si>
  <si>
    <t xml:space="preserve">Depuis le Sud : Prendre la 4 voies en direction le Tampon/Plaine des Cafres ; arrivé au rond point de la tour des Azalées prendre à droite et continuer tout droit jusqu’au 3ème rond-point puis prendre direction centre-ville : rue Hubert Delisle. Continuer tout droit le Bar 4 se trouve sur la droite.
Depuis les Plaines : Suivre la RN3 en direction le Tampon, jusqu’au rond-point du 11ème km prendre la direction « la Poste » rue Jules Bertaut. Continuer tout droit, au stop à droite le Bar 4 se trouve de suite à droite. </t>
  </si>
  <si>
    <t>Bar A 4 - Dauharry</t>
  </si>
  <si>
    <t>212, rue Hubert Delisle, 97422 Le Tampon</t>
  </si>
  <si>
    <t xml:space="preserve"> 0262279657 , Dauharry  : 0262279657 </t>
  </si>
  <si>
    <t>-21.280269, 55.516668</t>
  </si>
  <si>
    <t>Mode de paiment,Descriptif du plan d'accès</t>
  </si>
  <si>
    <t>212 Rue Jules Bertaut, Réunion</t>
  </si>
  <si>
    <t>Bar le 3615 El Pesciofi</t>
  </si>
  <si>
    <t>Bar le 3615 El Pesciofi
1, rue Henri Roussel
97430 Le Tampon</t>
  </si>
  <si>
    <t>Restauration,"Loisirs - se divertir"</t>
  </si>
  <si>
    <t>Divertissement,Restaurant</t>
  </si>
  <si>
    <t>Bar,Restaurant</t>
  </si>
  <si>
    <t>Situé au Tampon, le Bar Le 3615 El Pesciofi propose une cuisine créole. Bar à concerts avec jeux (billard-belote de comptoir) il est également possible d'organiser des cocktails, repas d'anniversaire ou autres. Ouvert 7j/7 de 10h à 00h30.</t>
  </si>
  <si>
    <t xml:space="preserve">Venant de Saint-Pierre, depuis la Tour des Azalées, prendre la direction du boulodrome puis prendre la première à droite au prochain rond point. Le bar-restaurant se trouve à gauche à la prochaine intersection.
Venant des Plaines : rouler jusqu'au village de Bourg Murat, prendre la direction du centre-ville vers le site des Florilèges/boulodrome, puis prendre la première à droite au prochain rond point. Le bar-restaurant se trouve à gauche à la prochaine intersection. </t>
  </si>
  <si>
    <t>1, rue Docteur Henri Roussel, 97422 Le Tampon</t>
  </si>
  <si>
    <t xml:space="preserve"> 0262270098 ,  0262270098 </t>
  </si>
  <si>
    <t>-21.281643,55.5147989</t>
  </si>
  <si>
    <t>1 Rue du Docteur Henri Roussel, Réunion</t>
  </si>
  <si>
    <t>Bar Le Coq</t>
  </si>
  <si>
    <t>Bar Le Coq
Rue du Commerce
97414 Entre-Deux</t>
  </si>
  <si>
    <t>sentier de randonnée,parking public,site - lieu culturel</t>
  </si>
  <si>
    <t>Bar Le Coq, à l'Entre-Deux, propose une cuisine rapide de type créole.</t>
  </si>
  <si>
    <t>Rue du Commerce, 97403 Entre-Deux</t>
  </si>
  <si>
    <t>-21.247474, 55.470662</t>
  </si>
  <si>
    <t>Rue du Commerce, Réunion</t>
  </si>
  <si>
    <t>Baril (Le)</t>
  </si>
  <si>
    <t>Baril (Le)
62, RN 2
97442 Saint-Philippe</t>
  </si>
  <si>
    <t>sentier de randonnée,sentier de grande randonnée,commerce alimentaire,pêche,parking public,point de vue panoramique</t>
  </si>
  <si>
    <t>Carte Bancaire,Eurocard,Chèque,Chèques vacances,Espèces,American express</t>
  </si>
  <si>
    <t>lebaril@wanadoo.fr</t>
  </si>
  <si>
    <t>Le Baril restaurant de l'hôtel propose une cuisine traditionnelle créole.</t>
  </si>
  <si>
    <t>Il propose des spécialités comme l'incontournable cari porc palmiste. Dégustation de ti punch maison au bar de l'hôtel.</t>
  </si>
  <si>
    <t xml:space="preserve">De Saint-Pierre, prendre la direction de Saint-Philippe. L'hôtel est à 3 km avant la ville de Saint-Philippe, dans le village du Baril.
De l'Est, prendre la direction de Saint-Philippe. L'hôtel est à 3 km après Saint-Philippe, sur la Route Nationale, dans le village du Baril. </t>
  </si>
  <si>
    <t>Baril (Le) - EN TRAVAUX</t>
  </si>
  <si>
    <t>62 RN 2, 97417 Saint-Philippe</t>
  </si>
  <si>
    <t xml:space="preserve">Tesnière Sonia : 0262370104 ,  lebaril@wanadoo.fr / 0262370104 / 0262370762 </t>
  </si>
  <si>
    <t>-21.36915083, 55.72791019</t>
  </si>
  <si>
    <t>62 RN2, Saint Philippe La Réunion 97442, Réunion</t>
  </si>
  <si>
    <t>Le Baril (SARL)</t>
  </si>
  <si>
    <t>bar,espace de restauration,parking,piscine,téléphone,mini-bar</t>
  </si>
  <si>
    <t>Carte Bancaire,Chèque,Chèques vacances,American express</t>
  </si>
  <si>
    <t>Hôtel-Restaurant dans le Sud Sauvage</t>
  </si>
  <si>
    <t>L'hôtel Le Baril, à Saint-Philippe, dispose de 13 chambres dans une ambiance authentique, près du bord de mer. Accès aux personnes à mobilité réduite. Appartient au club de l'Hôtellerie créole indépendante et familiale.
Dégustation de ti punch maison au bar de l'hôtel.</t>
  </si>
  <si>
    <t>rec153kqdkp8MR6eW</t>
  </si>
  <si>
    <t>Baril de Poudre (Le)</t>
  </si>
  <si>
    <t>Baril de Poudre (Le)
59 A  - RN2 - Le Baril
Le Baril
97442 Saint-Philippe</t>
  </si>
  <si>
    <t>Le Baril / Plaines et volcan</t>
  </si>
  <si>
    <t>lebarildepoudrereunion@orange.fr</t>
  </si>
  <si>
    <t>A Saint-Philippe, Le Baril de Poudre propose des produits artisanaux.</t>
  </si>
  <si>
    <t>Boutique d'artisanat regroupant des produits artisanaux de La Réunion. Des produits locaux de qualité et authentique (vanille, thé, café, rhum arrangé, curcuma, huiles essentielles, confitures, sirops, ... et plein d'autres produits sont proposés.</t>
  </si>
  <si>
    <t>Baril de Poudre (Le) - Fontaine Marie</t>
  </si>
  <si>
    <t>61 B RN2 - Le Baril, 97417 Saint-Philippe</t>
  </si>
  <si>
    <t>Fontaine Marie : lebarildepoudrereunion@orange.fr / 0692260991 / Gérant€</t>
  </si>
  <si>
    <t>-21.369115, 55.726609</t>
  </si>
  <si>
    <t>59A Route Nationale 2 Baril, 97442, Réunion</t>
  </si>
  <si>
    <t>Terroir</t>
  </si>
  <si>
    <t>Produits du terroir</t>
  </si>
  <si>
    <t>Boutique d'artisanat regroupant des produits artisanaux de La Réunion. Des produits locaux de qualité et authentique, vanille, thé, café, rhum arrangé, curcuma, huiles essentielles, confitures, sirops, ... et plein d'autres produits sont proposés.</t>
  </si>
  <si>
    <t>Angle de la RN2, chemin Paul Hoareau, quartier du Baril.</t>
  </si>
  <si>
    <t>-21.369139, 55.726624</t>
  </si>
  <si>
    <t>recJ0tP4935MwgGZ2</t>
  </si>
  <si>
    <t>Bel Air (Le)</t>
  </si>
  <si>
    <t>Ferme auberge le Bel Air</t>
  </si>
  <si>
    <t>Bel Air (Le)
39, rue Lesquelin - Les Lianes
97480 Saint-Joseph</t>
  </si>
  <si>
    <t>Auberge</t>
  </si>
  <si>
    <t>Ferme auberge</t>
  </si>
  <si>
    <t>yanis.folio@yahoo.com</t>
  </si>
  <si>
    <t>Saveurs et traditions dans les hauts de Saint-Joseph</t>
  </si>
  <si>
    <t>Situé sur les hauteurs de Saint-Joseph, dans un cadre agréable et chaleureux, la ferme auberge Le Bel Air propose une cuisine traditionnelle réunionnaise, élevage “la cour” et légumes de l’exploitation.  Vue imprenable sur le littoral. 
Ouvert tous les jours, midis et soirs. Réservation obligatoire, minimum 48h avant.</t>
  </si>
  <si>
    <t>Bienvenue à la ferme</t>
  </si>
  <si>
    <t>Bel'Air (Le) - Folio Yanis</t>
  </si>
  <si>
    <t>39, rue Lesquelin - Les Lianes, 97412 Saint-Joseph</t>
  </si>
  <si>
    <t xml:space="preserve">Folio Yanis &amp; Vanessa : yanis.folio@yahoo.com / 0692736902 / Propriétaire ,  yanis.folio@yahoo.com / 0692691247 </t>
  </si>
  <si>
    <t>-21.344356, 55.605817</t>
  </si>
  <si>
    <t>Mode de paiment,Fixe,Descriptif</t>
  </si>
  <si>
    <t>39 Rue Lesquelin, Réunion</t>
  </si>
  <si>
    <t>Belvédère (Le)</t>
  </si>
  <si>
    <t>Belvédère (Le)
10, ruelle des Goyaviers - Petit Tampon
97430 Le Tampon</t>
  </si>
  <si>
    <t>charles.dijoux@wanadoo.fr</t>
  </si>
  <si>
    <t>2 Clé(s)</t>
  </si>
  <si>
    <t>Le Belvédère, labellisé Clévacances, est situé au Tampon dans un cadre agréable, au sein d'un jardin fleuri avec 3 villas toutes équipées pour 2 à 6 personnes chacune.</t>
  </si>
  <si>
    <t>Les villas possèdent chacune une terrasse. Idéalement situées entre mer et montagne : à 1h30 du Volcan, à 1h15 de Grand Bassin et à 15 min du lagon de Saint-Pierre.</t>
  </si>
  <si>
    <t xml:space="preserve">Depuis le Sud, prendre la 4 voies en direction du Tampon.  Arrivé au rond-point des chandelles du Tampon, prendre à droite la direction du Petit Tampon. Une fois arrivé dans le chemin du Petit Tampon, prendre à droite la rue Jean-Baptiste Huet. Faire à peu près 1 km, la structure se situe sur la gauche dans la ruelle des Goyaviers.
Depuis les Plaines, suivre la RN 3 et descendre jusqu'au rond-point de la caserne des pompiers du Tampon. A ce rond-point, prendre à gauche la direction du Petit Tampon. Une fois arrivé dans le chemin du Petit Tampon, prendre à droite la rue Jean-Baptiste Huet. Faire à peu près 1 km, la structure se situe sur la gauche dans la ruelle des Goyaviers. </t>
  </si>
  <si>
    <t>Belvédère (Le) - Dijoux Charles</t>
  </si>
  <si>
    <t>10, ruelle des goyaviers, 97422 Le Tampon</t>
  </si>
  <si>
    <t>Dijoux Charles : charles.dijoux@wanadoo.fr / 0262277090 / 0692655996 / 0262277090 / Propriétaire</t>
  </si>
  <si>
    <t>-21.282423, 55.536532</t>
  </si>
  <si>
    <t>Chemin du Petit Tampon, Réunion</t>
  </si>
  <si>
    <t>Bengali (Le)</t>
  </si>
  <si>
    <t>Le Bengali</t>
  </si>
  <si>
    <t>Bengali (Le)
8, impasse des Grévilléas
97414 Entre-Deux</t>
  </si>
  <si>
    <t>http://www.lebengali.com</t>
  </si>
  <si>
    <t>fer et planche à repasser,four,jardin,lave linge privatif,micro-ondes,parking</t>
  </si>
  <si>
    <t>grondin.marie-paule@orange.fr</t>
  </si>
  <si>
    <t>Dans le sud de l'île, au cœur d'un village authentique</t>
  </si>
  <si>
    <t>Le Bengali propose 3 chambres doubles, un coin salon/salle à manger et une cuisine équipée.
Le meublé se situe au centre du village de l'Entre-Deux, en face de l'arborétum et à proximité de l’Office de Tourisme.</t>
  </si>
  <si>
    <t>Entre Saint-Louis et Saint-Pierre, à Pierrefonds prendre la D26 direction Entre-Deux, à partir du panneau "Commune de l'Entre-Deux", continuer jusqu'à l'Office de Tourisme, tourner à droite au niveau du parking, à proximité de l'arborétum, continuer dans l'impasse des Grévilléas jusqu'au n° 8.</t>
  </si>
  <si>
    <t>Bengali (le) - Grondin Jean René</t>
  </si>
  <si>
    <t>28, chemin Dijoux, 97403 Entre-Deux</t>
  </si>
  <si>
    <t>Grondin Jean René : grondin.marie-paule@orange.fr / 0692335452 / Propriétaire</t>
  </si>
  <si>
    <t>-21.249885, 55.470193</t>
  </si>
  <si>
    <t>CSC56HTK</t>
  </si>
  <si>
    <t>8 Impasse des Grevilleas, Réunion</t>
  </si>
  <si>
    <t>recvyUiaGu16a8JBz</t>
  </si>
  <si>
    <t>Bengali 1 (Le)</t>
  </si>
  <si>
    <t>Bengali 1 (Le)
17, rue Raphaël Babet
97480 Saint-Joseph</t>
  </si>
  <si>
    <t>zone résidentielle</t>
  </si>
  <si>
    <t>climatisation,jardin,lave linge privatif,parking,piscine,TV</t>
  </si>
  <si>
    <t>plage,sentier de randonnée,riviere,VTT,forêt</t>
  </si>
  <si>
    <t>Chèque,Chèques vacances,Virement,Chèques vacances,Mandat postal,Espèces</t>
  </si>
  <si>
    <t>bengali.kerebel@wanadoo.fr</t>
  </si>
  <si>
    <t>Meublé de 45m² climatisé avec terrasse grand standing, proche toutes commodités, parc boisé et fleuri, piscine, garage.
Studio situé à moins de 5 min des centres d'intérêts de la commune de Saint Joseph (rivière, plage, route des parfums et des épices,...).</t>
  </si>
  <si>
    <t>A l'entrée de Saint Joseph direction Saint Philippe, 100 m à gauche après le Quick.</t>
  </si>
  <si>
    <t>Bengali (Le) - Kerebel Antoinette</t>
  </si>
  <si>
    <t>17, rue Raphaël Babet, 97412 Saint-Joseph</t>
  </si>
  <si>
    <t>Kerebel Antoinette : bengali.kerebel@wanadoo.fr / 0262565401 / 0692765252 / 0262565401 / Propriétaire</t>
  </si>
  <si>
    <t>-21.37899353, 55.60577273</t>
  </si>
  <si>
    <t>CSC79HTP</t>
  </si>
  <si>
    <t>Mode de paiment,Fax,Descriptif,Fournisseur - Nom,Fournisseur - contacts</t>
  </si>
  <si>
    <t>17 Rue Raphael Babet, Réunion</t>
  </si>
  <si>
    <t>rec9bIz9rYYHTHuWQ</t>
  </si>
  <si>
    <t>Bengali 2 (Le)</t>
  </si>
  <si>
    <t>Bengali (Le) 2</t>
  </si>
  <si>
    <t>Bengali 2 (Le)
17, rue Raphaël Babet
97480 Saint-Joseph</t>
  </si>
  <si>
    <t>barbecue,climatisation,four,jardin,lave linge privatif,micro-ondes,parking,piscine,TV</t>
  </si>
  <si>
    <t>Situé à Saint-Joseph, le Bengali 2 propose une villa pour 8 personnes en partie climatisée, tout confort dans grand jardin tropical boisé et fleuri, piscine, barbecue, parking.
Villa proche de toutes les commodités et des centres d'intérêts du Sud : baie de Manapany, plage, marines, rivières...</t>
  </si>
  <si>
    <t>A l'entrée de Saint-Joseph, direction Saint-Philippe, 100 m à gauche après le Quick.</t>
  </si>
  <si>
    <t>CSC80HTH</t>
  </si>
  <si>
    <t>Benjoin (Le)</t>
  </si>
  <si>
    <t>Benjoin (STE  Le)</t>
  </si>
  <si>
    <t>Benjoin (Le)
114, route de la Passerelle - Langevin
97480 Saint-Joseph</t>
  </si>
  <si>
    <t>climatisation,espace spa - bien être,jardin,parking,salle de réunion - séminaire,ventilateur</t>
  </si>
  <si>
    <t>pêche,riviere,parking public,site - lieu culturel,point de vue panoramique</t>
  </si>
  <si>
    <t>Carte Bancaire,Eurocard,Chèque,Chèques vacances,Chèques vacances,Tickets restaurant,Espèces</t>
  </si>
  <si>
    <t>Situé à Saint-Joseph, Le Benjoin propose des thés et des repas dansants, ainsi que divers services : hébergement, herboristerie, loto-quine, location de chambres...</t>
  </si>
  <si>
    <t>Sur la commune de Saint-Joseph à Langevin, à partir de la balance de canne à sucre, prendre la direction La Passerelle sur environ 800 mètres, en face d'un grand parking.</t>
  </si>
  <si>
    <t>Benjoin (Le) - Hoareau Jacky</t>
  </si>
  <si>
    <t>114, route de la Passerelle, 97412 Saint-Joseph</t>
  </si>
  <si>
    <t xml:space="preserve">Hoarau Jacky : 0262562390 / 0262562390 / Gérant(e) ,  0262562390 </t>
  </si>
  <si>
    <t>-21.37532446, 55.64976596</t>
  </si>
  <si>
    <t>Rue De La Passerelle, Réunion</t>
  </si>
  <si>
    <t>rec8Me15UborYXZbY</t>
  </si>
  <si>
    <t>Bergerie (La)</t>
  </si>
  <si>
    <t>Bergerie (La)
33 chemin de la Chapelle - Notre Dame de la Paix
Plaine des Cafres
97418 La Plaine des Cafres</t>
  </si>
  <si>
    <t>http://www.labergeriedu974.canalblog.com</t>
  </si>
  <si>
    <t>iletfleurjaune@yahoo.fr</t>
  </si>
  <si>
    <t>Située à La Plaine des Cafres, La Bergerie propose 2 gîtes pour 8 personnes.</t>
  </si>
  <si>
    <t>Un gîte dispose de 2 lits doubles, coin repas et l'autre de 5 couchages. Cuisine et chauffage au feu de bois. Toilettes sèches.</t>
  </si>
  <si>
    <t>Bergerie (La) - Muller Mercey</t>
  </si>
  <si>
    <t>33 chemin de la Chapelle - Notre Dame de la Paix, 97430 Le Tampon</t>
  </si>
  <si>
    <t xml:space="preserve"> letfleurjaune@yahoo.fr / 0692099384 ,  iletfleurjaune@yahoo.fr / 0692099384 </t>
  </si>
  <si>
    <t>-21.2541087,55.58502</t>
  </si>
  <si>
    <t>CSC219HT@</t>
  </si>
  <si>
    <t>Adresse,Nom catégorie,Nom sous catégorie,Mode de paiment,Fournisseur - Nom,Fournisseur - adresse</t>
  </si>
  <si>
    <t>La Plaine des Cafres, Réunion</t>
  </si>
  <si>
    <t>Bertelle (La)</t>
  </si>
  <si>
    <t>Rose des Bois (La)</t>
  </si>
  <si>
    <t>Bertelle (La)
47, rue du Général de Gaulle
97442 Saint-Philippe</t>
  </si>
  <si>
    <t>français,créole,anglais,espagnol</t>
  </si>
  <si>
    <t>Située à Saint-Philippe, l'association  La Bertelle propose divers objets issus du tressage du vacoa : bertel, cartable, bijoux et cache pot. Découverte du savoir faire artisanal de Saint-Philippe. Ouvert du lundi au vendredi de 9h à 17h - Fermé le samedi. Dimanche et jours fériés : ouvert de 9h à 17h.</t>
  </si>
  <si>
    <t xml:space="preserve">De l'Ouest, passer l'église de Basse Vallée, continuer vers l'Est. Prendre à la 3ème rue à gauche.
De l'Est, dépasser la balance cannes, continuer après la supérette, rouler 50 m, après le virage tourner à droite. </t>
  </si>
  <si>
    <t>Lundi :  -,Mardi :  -,Mercredi :  -,Jeudi :  -,Vendredi :  -,Dimanche : 09:00 - 17:00</t>
  </si>
  <si>
    <t>Bertelle (La) - Marie-Andrée Clerville</t>
  </si>
  <si>
    <t>47, rue du Général de Gaulle, 97417 Saint-Philippe</t>
  </si>
  <si>
    <t xml:space="preserve">Clerville Marie-Andrée : 0693916652 , Clerville Marie-Andrée : 0693916652 </t>
  </si>
  <si>
    <t>-21.369303, 55.721545</t>
  </si>
  <si>
    <t>47 rue du Général de Gaulle, Saint-Philippe 97442, Réunion</t>
  </si>
  <si>
    <t>Bertha (La)</t>
  </si>
  <si>
    <t>La Bertha</t>
  </si>
  <si>
    <t>Bertha (La)
128, rue Raphaël Douyère - Bois Court
Plaine des Cafres
97418 La Plaine des Cafres</t>
  </si>
  <si>
    <t>barbecue,chauffage,jardin,lave linge privatif,lave vaisselle,sèche linge privatif,TV</t>
  </si>
  <si>
    <t>sentier de randonnée,sentier de grande randonnée,équitation,point de vue panoramique</t>
  </si>
  <si>
    <t>jean-luc.deurveilher@orange.fr</t>
  </si>
  <si>
    <t>Située à La Plaine des Cafres, La Bertha dispose de 3 chambres doubles avec chauffage, d'un vaste séjour - salle à manger avec cheminée et Télévison, d'une cuisine équipée, d'une salle d’eau  et d'une terrasse  donnant sur un grand jardin clôturé. Logement pouvant accueillir 6 personnes.
Possibilité de cuisine au feu de bois, divers jeux disponibles et  2 VTT. Situation privilégiée, à proximité du village de la Plaine des Cafres (1km) et de ses principaux sites touristiques: le Belvédère de Bois Court,  le Volcan (1 h) , la Maison du Volcan,..) et à environ 30 minutes de Saint-Pierre (plage , port de plaisance, ....).
A disposition : barbecue et Aire de jeux : pétanque, basket, volley-ball.</t>
  </si>
  <si>
    <t>Bertha (La) - D'Eurveilher Jean-Luc</t>
  </si>
  <si>
    <t>15, lotissement les Letchis - Route des Canots, 97404 Etang-Salé</t>
  </si>
  <si>
    <t xml:space="preserve">D'Eurveilher Jean-Luc : jean-luc.deurveilher@orange.fr / 0262316284 / 0692851711 , D'Eurveilher Jean-Luc : jean-luc.deurveilher@orange.fr / 0262316284 / 0692851711 / Propriétaire </t>
  </si>
  <si>
    <t>Sud - Etang-Salé</t>
  </si>
  <si>
    <t>-21.212449, 55.551193</t>
  </si>
  <si>
    <t>128 Rue Raphael Douyere, La Plaine des Cafres, Réunion</t>
  </si>
  <si>
    <t>recnjutP2i5dK4m2t</t>
  </si>
  <si>
    <t>Bicyclette Gourmande (La)</t>
  </si>
  <si>
    <t>La Bicyclette Gourmande</t>
  </si>
  <si>
    <t>Bicyclette Gourmande (La)
43, rue Leconte Delisle
97442 Saint-Philippe</t>
  </si>
  <si>
    <t>parking public</t>
  </si>
  <si>
    <t>sentier de randonnée,sentier de grande randonnée,pêche,point de vue panoramique,jardin,forêt</t>
  </si>
  <si>
    <t>Carte Bancaire,Chèque,Chèques vacances,Tickets restaurant,Espèces,American express</t>
  </si>
  <si>
    <t>bicyclette.gourmande@gmail.com</t>
  </si>
  <si>
    <t xml:space="preserve">Situé dans le Sud Sauvage à Saint-Philippe, le restaurant La Bicyclette Gourmande propose une cuisine créole, chinoise et métropolitaine, et des pizzas cuites au feu de bois. Le restaurant dispose de 2 salles ventilées et de deux terrasses couvertes, végétalisées et ventilées d'une capacité de 65 couverts. Accès à mobilité réduite. 
En face, l'Eco-musée, parking de bus à 20 m, accès direct au chemin des Vacoas avec des aires de repos et de balades, piscine eau de mer à 5 min, l'Office de Tourisme à 20 m et à 10 min des coulées de laves et autres points touristiques.
</t>
  </si>
  <si>
    <t>Direction Saint-Benoît, après la mairie de 20 m à droite, direction Saint-Joseph après la station service du village 50 m à gauche.</t>
  </si>
  <si>
    <t>Bicyclette Gourmande (La) - Berthomé Dany</t>
  </si>
  <si>
    <t>43, rue Leconte Delisle, 97417 Saint-Philippe</t>
  </si>
  <si>
    <t>Berthomé Dany : dany.berthome@sfr.fr / 0262977863 / 0693937193 / Gérant(e)</t>
  </si>
  <si>
    <t>-21.3594581, 55.7665785</t>
  </si>
  <si>
    <t>Mode de paiment,E-Mail,Capacité,Descriptif,Fournisseur - SIRET</t>
  </si>
  <si>
    <t>Route Nationale 2 Baril, Réunion</t>
  </si>
  <si>
    <t>recMcNCWM2VrsrdMJ</t>
  </si>
  <si>
    <t>Biens Fées de Graziella (Les)</t>
  </si>
  <si>
    <t>Biens Fées de Graziella (Les)
39 bis cité Alamanda - Langevin
Langevin
97480 Saint-Joseph</t>
  </si>
  <si>
    <t>Remise en forme</t>
  </si>
  <si>
    <t>Spa-massage &amp; Bien-être</t>
  </si>
  <si>
    <t>commerce alimentaire,riviere</t>
  </si>
  <si>
    <t>grazouteva@yahoo.fr</t>
  </si>
  <si>
    <t>Salon de massage de bien-être situé à Saint-Joseph dans le Sud Sauvage.</t>
  </si>
  <si>
    <t>Pratique sur toute l'île dans les gîtes du secteur de Langevin, Vincendo Saint-Philippe.
Les Biens Fées de Graziella fait partie d'une association de praticiens de massage qui intervient lors des séminaires d'entreprises ou des fêtes et animations commerciales, fête Guandi à Saint-Denis, Tous en Selle à Bras-Panon, ...</t>
  </si>
  <si>
    <t>En venant de Saint-Joseph, passer le pont de la Rivière Langevin près de la balance de canne, le centre de réception. Au rond-point tourner à droite vers la mer puis tout de suite à gauche Cité Alamanda, maison orange à étage au fond à gauche de la ruelle.</t>
  </si>
  <si>
    <t>Biens Fées de Graziella - Tévané Marie Graziella</t>
  </si>
  <si>
    <t>39 bis, cité Alamanda - Langevin, 97412 Saint-Joseph</t>
  </si>
  <si>
    <t xml:space="preserve">Tévané Graziella : grazouteva@yahoo.fr / 0262974355 / 0692657454 / Gérant(e) ,  grazouteva@yahoo.fr / 0262974355 </t>
  </si>
  <si>
    <t>-21.383162, 55.649129</t>
  </si>
  <si>
    <t>39 Cité Alamanda, 97480, Réunion</t>
  </si>
  <si>
    <t>rec5sUyLAXxYXVrm5</t>
  </si>
  <si>
    <t>Bleu du Sud</t>
  </si>
  <si>
    <t>Bleu du Sud
5, rue Aristide Briand
97430 Le Tampon</t>
  </si>
  <si>
    <t>http://www.bleudusudreunion.re</t>
  </si>
  <si>
    <t>fer et planche à repasser,lave linge privatif,TV,wifi,jacuzzi</t>
  </si>
  <si>
    <t>commerce alimentaire,parking public</t>
  </si>
  <si>
    <t>Virement</t>
  </si>
  <si>
    <t>contact@bleudusudreunion.re</t>
  </si>
  <si>
    <t>Au Tampon, Villa Bleu du Sud propose une villa équipée pour 8 personnes et 2 enfants, avec jacuzzi.</t>
  </si>
  <si>
    <t>La villa dispose de 3 chambres doubles et d'une chambre twin, un salon créole avec télévision   chaines satellites, une salle à manger, une cuisine entièrement équipée, 2 salles de bains, une buanderie équipée, un patio et un garage.
Possibilité de profiter des terrasses, du jardin créole arboré et entretenu, et du grand jacuzzi. Tarifs dégressifs, frais de ménage et caution voir le propriétaire.</t>
  </si>
  <si>
    <t xml:space="preserve">De l'aéroport de Roland Garros :
Itinéraire par les bas :
Sortir de l'aéroport  et prendre la direction de Saint-Denis et sortir de Saint-Denis en prenant la route du littoral, direction Saint-Pierre (environ 90  km et 1h-1h30 de trajet)
A Saint-Pierre, prendre la direction Le Tampon (N3), environ 10km.
Au rond point, après le panneau "Le Tampon", prendre à droite la direction "Saint-Benoit - Centre Ville" (rue Marius et Ary Leblond).
Au rond point suivant, prendre la 3ème à gauche, suivre la direction "Centre Ville" (rue Méziaire Guignard) pendant environ 500 m.
Au rond point suivant, prendre direction Hôtel de ville.
Au rond point suivant, prendre la 1ère à droite, direction "Centre ville - Hôtel de ville" jusqu'au Stop.
Au stop, tourner à gauche, direction Trois Mares (D3).
Dépasser l'Hôtel de ville (à droite), arriver à la Caisse d'Epargne (à droite).
Tourner juste après la Caisse d'Epargne, rue Aristide Briand, panneaux "Parking gratuit" et "Bleu du Sud". C'est la 3ème maison sur la gauche au n° 5.
Itinéraire par les hauts :
Sortir de l'aéroport et prendre la direction de Saint-Benoit, puis du Tampon (environ 1h à 1h30).
Après le panneau de la ville "Le Tampon - N3", à environ 200m, suivre à droite la direction  "Université" - la Châtoire - Clinique".
Descendre environ 1.5km.
Au rond point, prendre en face et continuer à descendre.
Au rond point suivant, prendre la 3ème sortie, direction "Centre Ville - Clinique".
Au rond point suivant, environ 300m prendre la 2ème sortie direction "Tampon Centre".
Poursuivre sur 1 km environ, dépasser le pont et tourner à gauche juste avant la Caisse d'Epargne rue Aristide Briand, panneau "Parking Gratuit".
C'est la 3ème maison sur la gauche au n° 5 </t>
  </si>
  <si>
    <t>Bleu du Sud - Leriche Dominique</t>
  </si>
  <si>
    <t>31, rue Luc Lorion, 97416 Saint-Pierre</t>
  </si>
  <si>
    <t xml:space="preserve">Leriche Dominique : contact@bleudusudreunion.re / 0692664493 / Propriétaire , Leriche Dominique : contact@bleudusudreunion.re / 0692664493 </t>
  </si>
  <si>
    <t>-21.277058, 55.514533</t>
  </si>
  <si>
    <t>https://book.reunion.fr/fr/hebergements/a1575322/villa-bleu-du-sud/reserver | Réunion.fr</t>
  </si>
  <si>
    <t>CSC98HTQ</t>
  </si>
  <si>
    <t>5 Rue Aristide Briand, 97430, Réunion</t>
  </si>
  <si>
    <t>recniIbY7hhxvXBg2</t>
  </si>
  <si>
    <t>Bungalow Ti'Fleur</t>
  </si>
  <si>
    <t>Bungalow Ti'Fleur
222, rue Pierre Rivals
97418 La Plaine des Cafres</t>
  </si>
  <si>
    <t>bungalowtifleur@gmail.com</t>
  </si>
  <si>
    <t>A La Plaine des Cafres, Bungalow Ti'Fleur propose un bungalow entre mer et montagne.</t>
  </si>
  <si>
    <t>Il dispose d'une cuisine équipée et séjour, d'un coin détente, d'un lit double, d'une terrasse avec table et chaises.</t>
  </si>
  <si>
    <t>Bungalow Ti'Fleur - Grondin Marie Françoise</t>
  </si>
  <si>
    <t>222, rue Pierre Rivals, 97422 Le Tampon</t>
  </si>
  <si>
    <t xml:space="preserve"> 0692237622 ,  0692237622 </t>
  </si>
  <si>
    <t>-21.232826, 55.552792</t>
  </si>
  <si>
    <t>37.00</t>
  </si>
  <si>
    <t>/nuit</t>
  </si>
  <si>
    <t>CSC221HT@</t>
  </si>
  <si>
    <t>Nom commercial,Adresse,Mode de paiment,E-Mail,Capacité,Fournisseur - Nom</t>
  </si>
  <si>
    <t>222 Rue Pierre Rivals, La Plaine des Cafres, Réunion</t>
  </si>
  <si>
    <t>recDTnaJMOGrMbHRs</t>
  </si>
  <si>
    <t>Bongo</t>
  </si>
  <si>
    <t>Bongo
185, rue Hubert Delisle
97430 Le Tampon</t>
  </si>
  <si>
    <t>superdan007@live.fr</t>
  </si>
  <si>
    <t>Bongo est un restaurant proposant une cuisine européenne et des spécialités créoles dans la ville du Tampon.</t>
  </si>
  <si>
    <t>Le restaurant propose également des pizzas. Repas sur place ou à emporter.</t>
  </si>
  <si>
    <t>Qualité Tourisme Ile de La Réunion,Qualité Tourisme</t>
  </si>
  <si>
    <t>Bongo - Lavalle Daniel</t>
  </si>
  <si>
    <t>185, rue Hubert Delisle, 97422 Le Tampon</t>
  </si>
  <si>
    <t xml:space="preserve"> superdan007@live.fr / 0262576969 / 0692762889 , Lavalle Daniel : superdan007@live.fr / 0262576969 / 0692762889 </t>
  </si>
  <si>
    <t>-21.280944, 55.517508</t>
  </si>
  <si>
    <t>97430, 187 Rue Hubert Delisle, 97430, Réunion</t>
  </si>
  <si>
    <t>Bonne Cuisine (La)</t>
  </si>
  <si>
    <t>Bonne Cuisine (Restaurant la)</t>
  </si>
  <si>
    <t>Bonne Cuisine (La)
37, rue Victor Hugo
97430 Le Tampon</t>
  </si>
  <si>
    <t>Centre ville,Milieu rural</t>
  </si>
  <si>
    <t>chauffage,climatisation,jardin,salle de réunion - séminaire,TV,ventilateur</t>
  </si>
  <si>
    <t>sentier de randonnée,équitation,tennis,centre commercial,parking public,site - lieu culturel,point de vue panoramique</t>
  </si>
  <si>
    <t>Carte Bancaire,Eurocard,Chèque,Tickets restaurant,Espèces</t>
  </si>
  <si>
    <t>la-bonne-cuisine@zeop.re</t>
  </si>
  <si>
    <t>La Bonne Cuisine est un restaurant semi-gastronomique proposant une cuisine créole, chinoise et métropolitaine.
Ouvert tous les jours de 11h00 à 14h30 et de 18h00 à 21h00-21h30, sauf le dimanche soir.</t>
  </si>
  <si>
    <t>Le restaurant est situé à côté de la médiathèque du Tampon, en face de la PEEP et de la clinique vétérinaire.</t>
  </si>
  <si>
    <t>Bonne Cuisine (La) - Guichard Frédéric</t>
  </si>
  <si>
    <t>37, rue Victor Hugo, 97422 Le Tampon</t>
  </si>
  <si>
    <t xml:space="preserve">Legros Miguel : legros.mig@hotmail.fr / 0262277063 / 0692650315 / 0262277063 / Gérant(e) ,  legros-mig@hotmail.fr / 0262277063 / 0692441406 / 0262277063 </t>
  </si>
  <si>
    <t>-21.2792339, 55.5194932</t>
  </si>
  <si>
    <t>37 Rue Victor Hugo, Réunion</t>
  </si>
  <si>
    <t>Bonne Idée (La)</t>
  </si>
  <si>
    <t>Bonne Idée Sonaflor (La)</t>
  </si>
  <si>
    <t>Bonne Idée (La)
172, route de la Passerelle
97480 Saint-Joseph</t>
  </si>
  <si>
    <t>jardin,parking autocar,parking,ventilateur</t>
  </si>
  <si>
    <t>Restaurant-dancing situé sur les berges de la rivière Langevin à 15 km des plages du Sud, 15 km des coulées volcaniques et 15 km des sentiers de randonnée. 
Capacité : de 250 à 300 couverts. Parking pour 6 bus.
Spécialités : palmiste frais, choux de vacoas, camarons, poissons rouges et ti jaques.</t>
  </si>
  <si>
    <t>Sur la commune de Saint-Joseph à Langevin, prendre la direction La Passerelle au niveau de la balance de canne à sucre. Le restaurant se trouve à environ 1 km.</t>
  </si>
  <si>
    <t>Bonne Idée (La) - Lebon Claude André</t>
  </si>
  <si>
    <t>172, route de la Passerelle, 97412 Saint-Joseph</t>
  </si>
  <si>
    <t xml:space="preserve">Lebon Claude André : 0262562076 / 0692278494 / Propriétaire ,  0262562076 </t>
  </si>
  <si>
    <t>-21.36898615, 55.64903328</t>
  </si>
  <si>
    <t>recWVRahMpDuRPveo</t>
  </si>
  <si>
    <t>Bons Enfants (Les)</t>
  </si>
  <si>
    <t>Bons Enfants (Les)
65, rue Général de Gaulle
97430 Le Tampon</t>
  </si>
  <si>
    <t>wen97410@hotmail.com</t>
  </si>
  <si>
    <t>Le restaurant Les Bons Enfants au Tampon propose une cuisine créole et asiatique. Le restaurant est ouvert 7j/7, midi &amp; soir.</t>
  </si>
  <si>
    <t>65, rue Général de Gaulle, 97422 Le Tampon</t>
  </si>
  <si>
    <t>wen97410@hotmail.com / 0262272095</t>
  </si>
  <si>
    <t>-21.278715, 55.524568</t>
  </si>
  <si>
    <t>65 Rue du General de Gaulle, Réunion</t>
  </si>
  <si>
    <t>recjwoZbFSRr8t5Sl</t>
  </si>
  <si>
    <t>Bost Stéphane VTC</t>
  </si>
  <si>
    <t>Bost Stéphane VTC
42, chemin de la Citerne - Bras-Pontho
97430 Le Tampon</t>
  </si>
  <si>
    <t>https://www.mesenseignes.fr/stephane-bost-vtc/</t>
  </si>
  <si>
    <t>Services</t>
  </si>
  <si>
    <t>Location de voiture avec chauffeur</t>
  </si>
  <si>
    <t>Carte Bancaire,Virement,Espèces,American express</t>
  </si>
  <si>
    <t>contactbost.stephane@gmail.com</t>
  </si>
  <si>
    <t>Bost Stéphane VTC propose des excursions touristiques, des transferts aéroports pour les particuliers et les professionnels.</t>
  </si>
  <si>
    <t>Plusieurs prestations sont proposées : des transferts de l'aéroport vers l'hôtel ou autre lieu de résidence, des circuits touristiques à la journée ou demi-journée, transport de bagages. Un prix juste et fixe connu à l'avance.
Le tarif comprend la prestation, le confort d'une voiture française avec toit panoramique, hybride et équipée d'une tablette, de câble USB, de l'eau, de siège auto, de rehausseur, de chargeur de téléphone sans supplément de tarif.
Courtoisie et bonne présentation sont de rigueur.</t>
  </si>
  <si>
    <t>Point de rendez-vous.</t>
  </si>
  <si>
    <t>113 bis chemin Mazeau, 97422 Le Tampon</t>
  </si>
  <si>
    <t xml:space="preserve">Bost Stéphane : contactbost.stephane@gmail.com / 0693471272 / Gérant(e) ,  contactbost.stephane@gmail.com / 0693471272 ,  contactbost.stephane@gmail.com / 0693471272 </t>
  </si>
  <si>
    <t>-21.254258, 55.510729</t>
  </si>
  <si>
    <t>https://book.reunion.fr/fr/voir-faire/a1749939/bost-stéphane-vtc/afficher-les-details | Réunion.fr</t>
  </si>
  <si>
    <t>42 Chemin Citerne Bras de Pontho, 97430, Réunion</t>
  </si>
  <si>
    <t>recDvHw4sjf9E8DIn</t>
  </si>
  <si>
    <t>Bouc Josiane</t>
  </si>
  <si>
    <t>Bouc Josiane
25, impasse des Cerises
97414 Entre-Deux</t>
  </si>
  <si>
    <t>bouc.olivia@gmail.com</t>
  </si>
  <si>
    <t>Situé à l'Entre-Deux, Josiane Bouc propose de la broderie et le travail de la paille de bananier et la fibre de choca</t>
  </si>
  <si>
    <t>25, impasse des Cerises, 97403 Entre-Deux</t>
  </si>
  <si>
    <t xml:space="preserve">Bouc Josiane : bouc.olivia@gmail.com / 0262396379 , Bouc Josiane : bouc.olivia@gmail.com / 0262449489 </t>
  </si>
  <si>
    <t>-21.254747, 55.466328</t>
  </si>
  <si>
    <t>Impasse des Cerises, Réunion</t>
  </si>
  <si>
    <t>Bougainvillier (Le)</t>
  </si>
  <si>
    <t>Bougainvillier (Le)
141 F chemin Neuf Pont d’Yves
97430 Le Tampon</t>
  </si>
  <si>
    <t>villa meublée située au Tampon 14ème Km avec une vue sur la côte Sud de l’Ile. Endroit calme et chaleureux. 1 meublé de 4 personnes</t>
  </si>
  <si>
    <t>141 F chemin Neuf Pont d’Yves, 97422 Le Tampon</t>
  </si>
  <si>
    <t xml:space="preserve"> lebougainvillier.tampon@hotmail.fr / 0692616622 ,  0692616622 </t>
  </si>
  <si>
    <t>-21.241666, 55.510752</t>
  </si>
  <si>
    <t>Piton Hyacinthe, 13 Chemin de la Petite Chapelle, La Plaine des Cafres 97418, Réunion</t>
  </si>
  <si>
    <t>Lauret André</t>
  </si>
  <si>
    <t>Bougainvillier (Le)
154, boulevard de l’Océan
97480 Saint-Joseph</t>
  </si>
  <si>
    <t>plage,zone résidentielle</t>
  </si>
  <si>
    <t>jardin,lave linge privatif,parking,salle de sport,TV,ventilateur</t>
  </si>
  <si>
    <t>sentier de randonnée,tennis,pêche,centre commercial,parking public,site - lieu culturel,point de vue panoramique</t>
  </si>
  <si>
    <t>Chèque,Mandat postal,Espèces</t>
  </si>
  <si>
    <t>andrelo@hotmail.fr</t>
  </si>
  <si>
    <t>Situé au bord de la mer avec vue exceptionnelle, Le Bougainvillier peut accueillir 3 personnes,  il dispose d'une  chambre, d'un séjour, d'une cuisine et d'une terrasse.
Tarifs dégressifs selon la durée du séjour. 10 € supplémentaire pour la troisième personne.</t>
  </si>
  <si>
    <t>Sur la commune de Saint-Joseph, dans le quartier de Manapany-les-Bains, la structure est située sur le boulevard de l' Océan.</t>
  </si>
  <si>
    <t>Bougainvillier (Le) - Lauret André</t>
  </si>
  <si>
    <t>154, boulevard de l’Océan, 97412 Saint-Joseph</t>
  </si>
  <si>
    <t xml:space="preserve">Lauret André : andrelo@wandoo.fr / 0262561638 / 0692082584 / Gérant(e) ,  andrelo@hotmail.fr / 0262561238 / 0692082584 </t>
  </si>
  <si>
    <t>-21.37109701, 55.58616437</t>
  </si>
  <si>
    <t>154 Blvrd de l'Ocean, Manapany-Les-Bains, Réunion</t>
  </si>
  <si>
    <t>Bourbon Nature</t>
  </si>
  <si>
    <t>Bourbon Nature
88, rue du Paille-en-Queue
97430 Le Tampon</t>
  </si>
  <si>
    <t>Bourbon Nature propose des sorties encadrées par un guide diplômé d'Etat. Prestations à la demi-journée, à la journée ou plus.</t>
  </si>
  <si>
    <t>88, rue du Paille-en-Queue, 97422 Le Tampon</t>
  </si>
  <si>
    <t xml:space="preserve"> 0262386825 / 0692085458 / 0262386825 ,  0262386825 / 0692085458 / 0262386825 </t>
  </si>
  <si>
    <t>-21.3048786,55.5343836</t>
  </si>
  <si>
    <t>88 Rue du Paille en Queue, Réunion</t>
  </si>
  <si>
    <t>Boutique de la Réunion (La)</t>
  </si>
  <si>
    <t>Boutique de la Réunion (La)
20, rue Juliette Dodu
97480 Saint-Joseph</t>
  </si>
  <si>
    <t>http://www.reunionboutik.com</t>
  </si>
  <si>
    <t>Souvenirs,salle d'exposition</t>
  </si>
  <si>
    <t>Carte Bancaire,Chèque</t>
  </si>
  <si>
    <t>français,anglais,allemand</t>
  </si>
  <si>
    <t>ybek.com@gmail.com</t>
  </si>
  <si>
    <t>La Boutique de la Réunion est une boutique en ligne offrant un grand choix de produits de La Réunion. Ce site de vente par correspondance propose des colis composés exclusivement de fruits de la production locale : letchis, ananas victoria, fruits de la passion, mangues, longanis, fruits exotiques de saison, etc.</t>
  </si>
  <si>
    <t>La Boutique de la Réunion propose également une large gamme d'autres produits réunionnais tels que : le café bourbon pointu, le curcuma, la vanille Bourbon Réunion, la vanille de la Réunion bio, les punchs, les rhums vieux, les rhums agricoles, le chocolat, l'artisanat, les huiles essentielles, les achards et confitures artisanales, les produits bio de la Réunion et la cuisine réunionnaise avec ses caris et rougails prêts à déguster.</t>
  </si>
  <si>
    <t>Boutique de la Réunion (La) - Beauval Jean-François</t>
  </si>
  <si>
    <t>10, rue de la Balance, 97412 Saint-Joseph</t>
  </si>
  <si>
    <t xml:space="preserve">Beauval Jean François : ybek.com@gmail.com / 0262480539 / 0692661098 / Gérant(e) , Beauval Jean-François : ybek.com@gmail.com / 0262480539 / 0692661098 </t>
  </si>
  <si>
    <t>-21.378911, 55.613504</t>
  </si>
  <si>
    <t>20 Rue Juliette Dodu, 97480, Réunion</t>
  </si>
  <si>
    <t>rec7tVqsIQR6g76PL</t>
  </si>
  <si>
    <t>Bras Lontan</t>
  </si>
  <si>
    <t>Bras Lontan
10, impasse Cézanne - Bras de Pontho
97430 Le Tampon</t>
  </si>
  <si>
    <t>http://www.location-gite-la-reunion.com</t>
  </si>
  <si>
    <t>barbecue,espace spa - bien être,four,jardin,lave linge collectif,parking,TV</t>
  </si>
  <si>
    <t>sentier de randonnée,équitation,VTT</t>
  </si>
  <si>
    <t>braslontan@zeop.re</t>
  </si>
  <si>
    <t>Situé à proximité du Bras de la Plaine, Bras Lontan propose aux amoureux de nature et d'authenticité, un lieu privilégié pour la baignade en rivière et la randonnée. Les 3 cases en bois disposent d'une terrasse avec vue sur la mer. Chaque bungalow est équipé pour 2 personnes avec kitchenette et salle de bain.
Possibilité accès wifi.
A disposition : jacuzzi en plein air, terrain de pétanque, baby foot, etc.
Tarif : 280 €/semaine, tarif dégressif à partir de 2 semaines.</t>
  </si>
  <si>
    <t>Bras Lontan - Liberbaum Danielle</t>
  </si>
  <si>
    <t>10, impasse Cézanne, 97422 Le Tampon</t>
  </si>
  <si>
    <t xml:space="preserve">Liberbaum Danielle : braslontan@zeop.re / 0262498188 / 0692362756 / 0262498188 , Liberbaum Danielle : braslontan@zeop.re / 0262498188 / 0692362756 / 0262498188 ,  0262498188 </t>
  </si>
  <si>
    <t>-21.239932, 55.49988</t>
  </si>
  <si>
    <t>CSC99HTR</t>
  </si>
  <si>
    <t>Mode de paiment,Fax,Classement,Descriptif</t>
  </si>
  <si>
    <t>10 Impasse Cezanne, Réunion</t>
  </si>
  <si>
    <t>rec7A3PQcyu4JvIDU</t>
  </si>
  <si>
    <t>Bras Sec</t>
  </si>
  <si>
    <t>Bras Sec
Grand Bassin
Plaine des Cafres
97418 La Plaine des Cafres</t>
  </si>
  <si>
    <t>sentier de randonnée,sentier de grande randonnée,commerce alimentaire,parking public,site - lieu culturel</t>
  </si>
  <si>
    <t>gitelebrassec48@gmail.com</t>
  </si>
  <si>
    <t>Le Bras Sec propose un gîte de randonnée à Grand Bassin dans un cadre chaleureux.</t>
  </si>
  <si>
    <t xml:space="preserve">Le gîte dispose d'une chambre double e d'un dortoir de 10 places. Découverte de l'authenticité du village et de la convivialité des habitants.
Cuisine au feu de bois. </t>
  </si>
  <si>
    <t>Bras Sec - Riviere Franck Joseph</t>
  </si>
  <si>
    <t xml:space="preserve"> 0692056919 ,  0692056919 </t>
  </si>
  <si>
    <t>-21.180774, 55.535201</t>
  </si>
  <si>
    <t>CSC220HT@</t>
  </si>
  <si>
    <t>Mode de paiment,Autre téléphone,E-Mail,Capacité,Descriptif,Fournisseur - Nom</t>
  </si>
  <si>
    <t>Unnamed Road, La Plaine des Cafres, Réunion</t>
  </si>
  <si>
    <t>Brisset Michel</t>
  </si>
  <si>
    <t>Brisset Michel
65, route du Bras-Long
97414 Entre-Deux</t>
  </si>
  <si>
    <t>http://www.michel-brisset.fr</t>
  </si>
  <si>
    <t>Expression artistique</t>
  </si>
  <si>
    <t>studiograph2@wanadoo.fr</t>
  </si>
  <si>
    <t>Situé à l'Entre-Deux, Michel, peintre illustrateur, est spécialisé dans l'Aéronautique et la Marine civile et militaire.</t>
  </si>
  <si>
    <t>Il réalise des dessins de cases créoles, des paysages réunionnais, des portraits de mariage, communion. Il exécute tous type de portraits au crayons de couleurs aquarellables, pastels et huile.
Il propose également des dessins personnalisés pour les départs, départs en retraite, anniversaires, Noël, fêtes des mères etc... .</t>
  </si>
  <si>
    <t>Arrivé au village de l'Entre-Deux, passer devant la mairie, tourner toute de suite à gauche, prendre la rue du Commerce (rue principale), aller jusqu'au panneau stop et ensuite tout droit, prendre la route du Bras Long, passer l'hôtel Le Dimitile et juste après l'arrêt de bus Les Avocatiers, la case en bois sous tôle rose à gauche en contrebas de la route au N°65, une pancarte indique l'activité.</t>
  </si>
  <si>
    <t>65, route du Bras-Long, 97403 Entre-Deux</t>
  </si>
  <si>
    <t xml:space="preserve">Brisset Michel : studiograph2@wanadoo.fr / 0262497055 / 0692205312 , Brisset Michel : studiograph2@wanadoo.fr / 0262497055 / 0692205312 ,  0262491055 </t>
  </si>
  <si>
    <t>-21.241027, 55.471657</t>
  </si>
  <si>
    <t>65 Rue Bras Long, Réunion</t>
  </si>
  <si>
    <t>recqYZHLP3govSfwM</t>
  </si>
  <si>
    <t>Bungalow du Puits (Le)</t>
  </si>
  <si>
    <t>Le Bungalow du Puits</t>
  </si>
  <si>
    <t>Bungalow du Puits (Le)
81, RN 2 - Le Baril
Le Baril
97442 Saint-Philippe</t>
  </si>
  <si>
    <t>benard.yoland@gmail.com</t>
  </si>
  <si>
    <t>Dans le Sud Sauvage à Saint-Philippe, à proximité de nombreux sites touristiques.</t>
  </si>
  <si>
    <t>Le Bungalow du Puits propose un hébergement pouvant accueillir 6 personnes, le bungalow dispose de 2 chambres.
Accès aux personnes à mobilité réduite.</t>
  </si>
  <si>
    <t>En venant le l'ouest, après Basse Vallée, prendre la direction Le Baril, tourner à gauche en face du Puits des Anglais.</t>
  </si>
  <si>
    <t>Bungalow du Puits (Le) - Bénard Yoland</t>
  </si>
  <si>
    <t>81, RN2, le Baril, 97417 Saint-Philippe</t>
  </si>
  <si>
    <t xml:space="preserve">Bénard Yoland : benard.yoland@gmail.com / 0262565297 / 0692738298 / Propriétaire , Bénard Yoland : benard.yoland@gmail.com / 0262565297 / 0692738298 / Propriétaire </t>
  </si>
  <si>
    <t>-21.368484, 55.732559</t>
  </si>
  <si>
    <t>CSC11HTB</t>
  </si>
  <si>
    <t>81 RN2, Réunion</t>
  </si>
  <si>
    <t>Bungalows Gabriel</t>
  </si>
  <si>
    <t>Bungalows Gabriel
63 - 65 - 67, chemin Jeamblu - Pont d'Yves
97430 Le Tampon</t>
  </si>
  <si>
    <t>https://bungalowsgabriel.blogspot.com/</t>
  </si>
  <si>
    <t>barbecue,chauffage,fer et planche à repasser,lave linge privatif,linge de maison,micro-ondes,parking,TV satellite,aire de jeux pour enfant</t>
  </si>
  <si>
    <t>mondon.corinne@gmail.com</t>
  </si>
  <si>
    <t>Situés au Tampon, les Bungalows Gabriel se composent de 3 chalets en bois équipés.
Le Dodo d'une capacité de 2 personnes dispose d'une chambre double, le Paille en Queue d'une chambre triple.
Le Papangue comprend 3 chambres pour une capacité de 10 personnes. Il est également accessible aux personnes à mobilité réduite.
Les 3 chalets disposent d'une cuisine aménagée avec coin repas, d'une terrasse avec vue sur mer, d'un coin barbecue et d'un aire de jeux. Animaux acceptés. A proximité : le Volcan, 20 min de l'aéroport de Pierrefonds.</t>
  </si>
  <si>
    <t>Prendre direction Tampon - Plaine des Cafres, passer le rond point du centre ville, continuer en direction du rond point du 14ème km et direction Pont d'Yves. Rouler 2.5 km et prendre le chemin de Notre Dame de la Salette sur la droite puis à 150 m plus haut tourner à gauche chemin Jeamblu et continuer jusqu'au panneau Bungalows Gabriel.</t>
  </si>
  <si>
    <t>Bungalows Gabriel - Mondon Daniel</t>
  </si>
  <si>
    <t>70, impasse Claire Pierrefonds, 97416 Saint-Pierre</t>
  </si>
  <si>
    <t xml:space="preserve">Mondon Daniel &amp; Corinne : mondon.corinne@gmail.com / 0692902947 / Propriétaire , Mondon Daniel &amp; Corinne : mondon.corinne@gmail.com / 0692902947 </t>
  </si>
  <si>
    <t>-21.227634, 55.516412</t>
  </si>
  <si>
    <t>CSC109HTJ</t>
  </si>
  <si>
    <t>Chemin Jeamblu, Réunion</t>
  </si>
  <si>
    <t>Bungalows Marjorie</t>
  </si>
  <si>
    <t>Bungalows Majorie</t>
  </si>
  <si>
    <t>Bungalows Majorie
25, rue Fontaine
97414 Entre-Deux</t>
  </si>
  <si>
    <t>http://www.majorie-bungalows.com</t>
  </si>
  <si>
    <t>jardin,parking,TV</t>
  </si>
  <si>
    <t>sentier de randonnée,sentier de grande randonnée,centre commercial,parking public,site - lieu culturel,point de vue panoramique</t>
  </si>
  <si>
    <t>lesbungalowsmajorie@yahoo.fr</t>
  </si>
  <si>
    <t>Situé à l'Entre-Deux, les Bungalows Majorie disposent d'une chambre double, un coin salon avec clic-clac 2 places, une couchette pour 2 personnes en mezzanine, une kitchenette, un coin canapé et une véranda dans les 3 bungalows. Cuisine au feu de bois à l'extérieur.
Possibilité de service petit-déjeuner.</t>
  </si>
  <si>
    <t>Bungalows de Majorie - Legros Jocelyn</t>
  </si>
  <si>
    <t>25, rue Fontaine, 97403 Entre-Deux</t>
  </si>
  <si>
    <t xml:space="preserve">Legros Jocelyn : lesbungalowsmajorie@yahoo.fr / 0692871027 / 0693049911 / Gérant(e) , Legros Jocelyn : lesbungalowsmajorie@yahoo.fr / 0692871027 / 0693049911 / Gérant(e) </t>
  </si>
  <si>
    <t>-21.249221, 55.467135</t>
  </si>
  <si>
    <t>Entre-Deux, Réunion</t>
  </si>
  <si>
    <t>recqqYy1KnXoVFHaO</t>
  </si>
  <si>
    <t>Cabaret Pat'Jaune (Le)</t>
  </si>
  <si>
    <t>Cabaret Pat'Jaune</t>
  </si>
  <si>
    <t>Cabaret Pat'Jaune (Le)
39, rue du Père Favron - Piton Ravine Blanche
Plaine des Cafres
97418 La Plaine des Cafres</t>
  </si>
  <si>
    <t>http://www.patjaune.com</t>
  </si>
  <si>
    <t>Divertissement</t>
  </si>
  <si>
    <t>Théâtre ou salle de spectacle</t>
  </si>
  <si>
    <t>patjaune@wanadoo.fr</t>
  </si>
  <si>
    <t>Situé à la Plaine des Cafres, le Cabaret Pat'Jaune fera vivre aux spectateurs, un moment inoubliable en compagnie de l'un des groupes les plus emblématiques de La Réunion.</t>
  </si>
  <si>
    <t>Découverte de l'univers authentique des habitants des hauts de l'île,
à travers un spectacle musical original avec une bonne dose de bonne humeur.
La soirée sera aussi l'occasion de découvrir l’authentique cari cuit au feu de bois ainsi que d’autres spécialités locales, dans un cadre chaleureux... 
Dépaysement et émotions garantis !
Le cabaret est ouvert tous les vendredis et samedis. Réservation obligatoire</t>
  </si>
  <si>
    <t>Compagnie Pat'Jaune (La) - Tarby Claudine</t>
  </si>
  <si>
    <t>39, rue du Père Favron- Piton Ravine Blanche, 97422 Le Tampon</t>
  </si>
  <si>
    <t xml:space="preserve">Tarby Claudine : patjaune@wanadoo.fr / 0262592448 / 0692858114 ,  patjaune@wanadoo.fr / 0262223696 / 0692858114 </t>
  </si>
  <si>
    <t>-21.209377, 55.558234</t>
  </si>
  <si>
    <t>Père Favron, 39 Rue Jean de Fos du Rau, La Plaine des Cafres, Réunion</t>
  </si>
  <si>
    <t>Café ou l'Arôme d'une Histoire (Le)</t>
  </si>
  <si>
    <t>Le Café ou l'Arôme d'une Histoire</t>
  </si>
  <si>
    <t>Café ou l'Arôme d'une Histoire (Le)
Office de Tourisme - 9, rue Fortuné Hoareau
97414 Entre-Deux</t>
  </si>
  <si>
    <t>Patrimoine culturel</t>
  </si>
  <si>
    <t>Visite guidée</t>
  </si>
  <si>
    <t>ot.entredeux@wanadoo.fr</t>
  </si>
  <si>
    <t>A l'Entre-Deux, découverte de la magnifique histoire du café à l'Ile de La Réunion et les différentes espèces qui y poussent.
Diaporama et visite d'une caféière. Découverte des étapes de la préparation du café péi, torréfaction au feu de bois. Dégustation d'un précieux Arabica : le café pointu.
Tarifs : à partir de 4 personnes : 7 €,   de 20 personnes : 5 €
Scolaire et association : Plus de 20 pers : 3 €
Visite les mercredis et vendredis à 15h30 et à la demande sur réservation.</t>
  </si>
  <si>
    <t xml:space="preserve">Rendez-vous à l'Office de Tourisme de l'Entre-Deux.
Entre Saint-Louis et Saint-Pierre, à l'échangeur de Pierrefonds,
prendre la direction Entre-Deux par la RD 26. Temps de parcours de la nationale : environ 20 minutes. </t>
  </si>
  <si>
    <t>Mercredi :  -,Vendredi :  -,Lundi :  -,Mardi :  -,Jeudi :  -</t>
  </si>
  <si>
    <t>Office de Tourisme - 9, rue Fortuné Hoareau, 97403 Entre-Deux</t>
  </si>
  <si>
    <t xml:space="preserve">Dijoux Alexandre : 0262396980 / Guide , Dijoux Alexandre : ot.entredeux@wanadoo.fr / 0262396980 / Guide </t>
  </si>
  <si>
    <t>-21.250346, 55.469217</t>
  </si>
  <si>
    <t>recs82ArpkH5fQU1c</t>
  </si>
  <si>
    <t>Caloupilé (Le)</t>
  </si>
  <si>
    <t>Caloupilé (Le)
9, rue du Général Bonnier
97430 Le Tampon</t>
  </si>
  <si>
    <t>http://www.caloupile.fr</t>
  </si>
  <si>
    <t>parking,piscine,salle de bain privée,sanitaires privés,TV,ventilateur,wifi</t>
  </si>
  <si>
    <t>caloupile@outlook.com</t>
  </si>
  <si>
    <t>Le Caloupilé situé au Tampon propose des chambres d'hôtes. La maison est dotée d'une vue imprenable, idéalement placée entre mer et montagne, entre le beau lagon de Saint-Pierre et la route du Volcan et des Plaines et leurs nombreuses randonnées.</t>
  </si>
  <si>
    <t>La maison dispose de 2 chambres doubles et d'une chambre triple à la décoration soignée, elles sont équipées de salle de bain privée, d'une télévision et de wifi.
Le Caloupilé dispose également d'un grand jardin arboré et d'une piscine chauffée. Parking privé.</t>
  </si>
  <si>
    <t xml:space="preserve">prendre la N3 direction Saint-Benoît, sortie Le Tampon. Sur la route du volcan/Saint-Benoît et continuer sur 2,5 km. Sur la gauche pharmacie du 11 ème puis la pharmacie Sautron (bâtiment orange). Continuer sur 1 km environ puis suivre le panneau Bras Creux (sur la droite).
Le Caloupilé se trouve au n°9 sur la gauche. </t>
  </si>
  <si>
    <t>Caloupilé (Le) - Gevez Alice</t>
  </si>
  <si>
    <t>9, rue du Général Bonnier, 97422 Le Tampon</t>
  </si>
  <si>
    <t xml:space="preserve">Gevez Alice : caloupile@outlook.com / 0693116657 / Propriétaire , Gevez Alice : caloupile@outlook.com / 0693116657 / Propriétaire </t>
  </si>
  <si>
    <t>-21.2628, 55.5244</t>
  </si>
  <si>
    <t>https://caloupile.amenitiz.io/fr/booking/room | Auto gestion</t>
  </si>
  <si>
    <t>90.00</t>
  </si>
  <si>
    <t>/chambre double/nuit</t>
  </si>
  <si>
    <t>CSC53HTH</t>
  </si>
  <si>
    <t>Mode de paiment,Fixe,Descriptif,Descriptif du plan d'accès</t>
  </si>
  <si>
    <t>9 Rue du General Bonnier, 97430, Réunion</t>
  </si>
  <si>
    <t>Calypso (La)</t>
  </si>
  <si>
    <t>La Colombe</t>
  </si>
  <si>
    <t>Calypso (La)
56 bis, rue Raphaël Babet
97480 Saint-Joseph</t>
  </si>
  <si>
    <t>jardin,ventilateur</t>
  </si>
  <si>
    <t>plage,sentier de randonnée,pêche,centre commercial,parking public,site - lieu culturel,point de vue panoramique</t>
  </si>
  <si>
    <t>Chèque,Tickets restaurant,Espèces</t>
  </si>
  <si>
    <t>Situé à l'entrée de Saint-Joseph, le restaurant La Calypso propose des pizzas et salades sur place où à emporter.</t>
  </si>
  <si>
    <t xml:space="preserve">Venant de Saint-Pierre, prendre direction Saint-Joseph et tourner à droite, 300 m après le supermarché Score.
Venant de l'Est, traverser la ville de Saint-Joseph et 50 m après Briconaute Butor, tourner à gauche. </t>
  </si>
  <si>
    <t>Calypso (La) - Ferrant Michel</t>
  </si>
  <si>
    <t>56 bis, rue Raphaël Babet, 97412 Saint-Joseph</t>
  </si>
  <si>
    <t xml:space="preserve">Ferrant Michel : 0262316630 / 0692298713 / Gérant(e) ,  0262316630 </t>
  </si>
  <si>
    <t>-21.3811537, 55.61136541</t>
  </si>
  <si>
    <t>56 Rue Raphael Babet, 97480, Réunion</t>
  </si>
  <si>
    <t>Camélias (Les)</t>
  </si>
  <si>
    <t>Camélias (Les)
8 rue Bory St Vincent  - Bourg-Murat
Plaine des Cafres
97418 La Plaine des Cafres</t>
  </si>
  <si>
    <t>joellauret@sfr.fr</t>
  </si>
  <si>
    <t>Grande maison F5 composée de 4 chambres, d’un séjour, d’une cuisine équipée, wc, salle de bain,une véranda, un barbecue (feu de bois). Le terrain fait 1000m² et est clôturé et gazonné.</t>
  </si>
  <si>
    <t>8 rue Bory St Vincent - Bourg-Murat, 97422 Le Tampon</t>
  </si>
  <si>
    <t xml:space="preserve"> joellauret@sfr.fr / 0262272192 / 0692539238 , LAURET Joël : joellauret@sfr.fr / 0262272192 / 0692539238 </t>
  </si>
  <si>
    <t>-21.201177, 55.576326</t>
  </si>
  <si>
    <t>8 Chemin Bory de Saint Vincent, La Plaine des Cafres, Réunion</t>
  </si>
  <si>
    <t>recnhduaXvdeVbMyx</t>
  </si>
  <si>
    <t>Camping Pré-Vert Entre 2 Songes</t>
  </si>
  <si>
    <t>Camping Entre 2 Songes</t>
  </si>
  <si>
    <t>Camping Pré-Vert Entre 2 Songes
9 Chemin Macaire - Bras Long
97414 Entre-Deux</t>
  </si>
  <si>
    <t>http://www.entre2songes.re/</t>
  </si>
  <si>
    <t>Camping</t>
  </si>
  <si>
    <t>Bras Long</t>
  </si>
  <si>
    <t>barbecue,chauffage,douche,fer et planche à repasser,jardin,lave linge collectif,micro-ondes,parking,sanitaires communs,TV,wifi</t>
  </si>
  <si>
    <t>sentier de randonnée,sentier de grande randonnée,commerce alimentaire,piscine,parking public</t>
  </si>
  <si>
    <t>Virement,Espèces</t>
  </si>
  <si>
    <t>entre2songes@orange.fr</t>
  </si>
  <si>
    <t>4 Epi(s)</t>
  </si>
  <si>
    <t>Vrai paradis exotique, où fruits et fleurs seront vos abris, les espaces camping sont lovés sous les papayers, letchis, et divers arbres fruitiers de La Réunion.</t>
  </si>
  <si>
    <t>Camping Pré-Vert Entre 2 Songes à l’Entre-Deux, propose un hébergement en jardin créole, équipé d’espace tente, de tentes équipées pouvant accueillir jusqu’à 5 personnes, de carbet avec hamac ou non, de cabanes perchée ou non, de capacité de 2 à 6 personnes. 
Cette halte chez l'habitant est plus pour les amateurs de tranquillité dans la sécurité, des impressions d’extraordinaires, avec le confort . Placé au village, cet accueil est là halte services pour tous les randonneurs, francophones ou étrangers ( wifi, parking privé, commerces, formalités, lessive, santé ).</t>
  </si>
  <si>
    <t>Après Saint-Louis sur la voie rapide prendre sortie Entre-Deux. Arrivé au village, centre ville, direction Bras Long,n 400 m après le village, première à gauche chemin Macaire, faire 2 virages dans la rue Macaire, Entre 2 Songes se situe au n° 9.</t>
  </si>
  <si>
    <t>Qualité Tourisme Ile de La Réunion,Gîtes de France</t>
  </si>
  <si>
    <t>Entre 2 Songes - Grosset-Paris Isabelle</t>
  </si>
  <si>
    <t>9, chemin Macaire, 97414 Entre-Deux</t>
  </si>
  <si>
    <t xml:space="preserve">Paris - Grosset Isabelle : entre2songes@orange.fr / 0692825775 / Propriétaire , Paris Isabelle &amp; Rodolphe : entre2songes@orange.fr / 0692825775 / Propriétaire , Paris Isabelle &amp; Rodolphe  : entre2songes@orange.fr / 0692825775 / Propriétaire </t>
  </si>
  <si>
    <t>-21.2398, 55.4699</t>
  </si>
  <si>
    <t>https://book.reunion.fr/fr/hebergements/a426234/entre-2-songes/reserver | Réunion.fr</t>
  </si>
  <si>
    <t>12.00</t>
  </si>
  <si>
    <t>/pers.</t>
  </si>
  <si>
    <t>CSC61HTG</t>
  </si>
  <si>
    <t>Site web,Lieux-dits,Mode de paiment,Capacité,Classement,Descriptif,Fournisseur - adresse</t>
  </si>
  <si>
    <t>Camping Entre2songes, 9 Rue Macaire, Réunion</t>
  </si>
  <si>
    <t>rectoH9CeGaP9kY6Y</t>
  </si>
  <si>
    <t>Canard Bourbon (Le)</t>
  </si>
  <si>
    <t>Canard Bourbon (Le)
30, rue Vallon Hoarau
97430 Le Tampon</t>
  </si>
  <si>
    <t>https://www.facebook.com/Le-Canard-Bourbon-904580412892628/</t>
  </si>
  <si>
    <t>lecanardbourbon974@gmail.com</t>
  </si>
  <si>
    <t>Situé au Tampon, le restaurant Le Canard Bourbon propose une cuisine métropolitaine.</t>
  </si>
  <si>
    <t>Cuisine du Sud-Ouest avec des produits péi. Toutes les préparations et desserts sont fait maison. Restaurant ouvert du mardi soir au dimanche midi.</t>
  </si>
  <si>
    <t>Canard Bourbon - Rodzinka Jean Pierre</t>
  </si>
  <si>
    <t>30, rue Vallon Hoarau, 97422 Le Tampon</t>
  </si>
  <si>
    <t xml:space="preserve"> 0262012011 / 0692489387 ,  0262012011 / 0692489387 </t>
  </si>
  <si>
    <t>-21.284135, 55.517122</t>
  </si>
  <si>
    <t>Site web,Mode de paiment,E-Mail,Fournisseur - Nom,Fournisseur - SIRET</t>
  </si>
  <si>
    <t>30 Rue Vallon Hoarau, Réunion</t>
  </si>
  <si>
    <t>recBZ4ADG51j65fjG</t>
  </si>
  <si>
    <t>Candela (La)</t>
  </si>
  <si>
    <t>Candela (La)
14, chemin Jean-Baptiste - Coin Tranquille
Plaine des Cafres
97418 La Plaine des Cafres</t>
  </si>
  <si>
    <t>lacandela97@hotmail.com</t>
  </si>
  <si>
    <t>Situé à la Plaine des Cafres, La Candela propose la vente de bougies parfumées. Possibilité sur commande de bougie personnalisée.</t>
  </si>
  <si>
    <t>Candela (La) - Thermes Chantal</t>
  </si>
  <si>
    <t>14, chemin Jean-Baptiste - Coin tranquille, 97422 Le Tampon</t>
  </si>
  <si>
    <t xml:space="preserve">Fraillon Chantal : lacandela@voila.fr / 0692273419 / 0262593295 , Fraillon Chantal : lacandela97@hotmail.com / 0692273419 / 0262593295 </t>
  </si>
  <si>
    <t>-21.2284956,55.55251999999999</t>
  </si>
  <si>
    <t>Mode de paiment,Fax,Fournisseur - Nom,Fournisseur - SIRET</t>
  </si>
  <si>
    <t>14 Chemin Jean Baptiste, La Plaine des Cafres, Réunion</t>
  </si>
  <si>
    <t>recCSnhcZo4XxocjX</t>
  </si>
  <si>
    <t>Canyon Aventure</t>
  </si>
  <si>
    <t>Canyon Aventure
194 route de la Passerelle - Langevin
97480 Saint-Joseph</t>
  </si>
  <si>
    <t>http://www.canyonaventure.re</t>
  </si>
  <si>
    <t>Etangs et rivières</t>
  </si>
  <si>
    <t>Canyoning</t>
  </si>
  <si>
    <t>canyonaventure@gmail.com</t>
  </si>
  <si>
    <t>La Réunion est le spot idéal pour le canyoning!
Découverte des plus beaux canyons de l'île avec Canyon Aventure!</t>
  </si>
  <si>
    <t>Aquatiques ou aériens, en famille ou entre amis, il y en a pour tous les goûts!
Accessible aux enfants à partir de 7 ans, l'expérience canyoning restera un des meilleurs souvenirs de vos vacances.
Découvrir La Réunion autrement</t>
  </si>
  <si>
    <t>Canyon Aventure - Janisset Rémi</t>
  </si>
  <si>
    <t>54 bis chemin de l'Union, 97404 Etang-Salé</t>
  </si>
  <si>
    <t xml:space="preserve">Janisset Rémi : canyonaventure@gmail.com / 0693402408 / Gérant(e) , Janisset Rémi : canyonaventure@gmail.com / 0693402408 / Gérant(e) </t>
  </si>
  <si>
    <t>-21.362018, 55.647534</t>
  </si>
  <si>
    <t>Mode de paiment,Accroche,Descriptif</t>
  </si>
  <si>
    <t>194 Rue De La Passerelle, 97480, Réunion</t>
  </si>
  <si>
    <t>recEtCXzryjmXCyG3</t>
  </si>
  <si>
    <t>Cap Méchant (Le)</t>
  </si>
  <si>
    <t>Cap Méchant (Le)
15 rue de l'école - Cap Méchant
97442 Saint-Philippe</t>
  </si>
  <si>
    <t>sentier de randonnée,sentier de grande randonnée,site - lieu culturel,point de vue panoramique</t>
  </si>
  <si>
    <t>capmechant@gmail.com</t>
  </si>
  <si>
    <t>Restaurant typique dans le Sud Sauvage sur le lieu-dit Cap Méchant.</t>
  </si>
  <si>
    <t>Le restaurant Cap Méchant est situé à Saint-Philippe. Il propose des spécialités locales : palmiste en salade, gratin ou cari, cari poulet, canard à la vanille, etc. 
Une promenade digestive et vivifiante peut ensuite être effectuée sur le lieu-dit Cap Méchant, à l'ombre des vacoas. Ouvert tous les jours de 11h à 15h. Fermé le lundi. Sur réservation dimanche et jours fériés. Sur commande service traiteur possible.</t>
  </si>
  <si>
    <t>Prendre la direction du site Cap Méchant, le restaurant se trouve sur place.</t>
  </si>
  <si>
    <t>Cap Méchant (Le) - Jacky Courtois</t>
  </si>
  <si>
    <t>15, rue de l'école, 97417 Saint-Philippe</t>
  </si>
  <si>
    <t>Courtois Jacky : capmechant@gmail.com / 0262370061 / 0692853032 / 0262370871</t>
  </si>
  <si>
    <t>-21.374133, 55.711141</t>
  </si>
  <si>
    <t>Adresse,Mode de paiment,Fax,Descriptif</t>
  </si>
  <si>
    <t>Cap Méchant, Réunion</t>
  </si>
  <si>
    <t>Capucines (Les)</t>
  </si>
  <si>
    <t>Les Capucines</t>
  </si>
  <si>
    <t>Capucines (Les)
87, chemin d'Eurveilher les Bas
Plaine des Cafres
97418 La Plaine des Cafres</t>
  </si>
  <si>
    <t>barbecue,chauffage,jardin,lave linge privatif,lave vaisselle,linge de maison,parking,TV</t>
  </si>
  <si>
    <t>sentier de randonnée,équitation,VTT,forêt</t>
  </si>
  <si>
    <t>francoise.lauret88@gmail.com</t>
  </si>
  <si>
    <t>3 Etoile(s),3 Clé(s)</t>
  </si>
  <si>
    <t>Située à La Plaine des Cafres, la villa Les Capucines dispose d'un grand séjour avec canapé-lit et cheminée, une salle à manger, une cuisine indépendante équipée, 4 chambres doubles,  une chambre simple, une buanderie (avec sèche-linge) et d’une terrasse équipée d’un barbecue avec coin cuisine au feu de bois.</t>
  </si>
  <si>
    <t>Cour clôturée avec parking dans la propriété et garage. La villa peut accueillir 11 personnes. A proximité des  attraits touristiques des Hautes-Plaines (volcan, forêt, aires de pique-nique...) et des activités de pleine nature (VTT, équitation, randonnées…).</t>
  </si>
  <si>
    <t>Capucines (Les) - Mounoussamy Françoise</t>
  </si>
  <si>
    <t>32, impasse des Cévennes - PK 19 - Bois Court, 97422 Le Tampon</t>
  </si>
  <si>
    <t xml:space="preserve">Mounoussamy Françoise : francoise.lauret88@gmail.com / 0262880327 / 0692666191 / Propriétaire , Mounoussamy Françoise : francoise.lauret88@gmail.com / 0262880327 / 0692666191 / Propriétaire ,  francoise.mounoussamy@izi.fr </t>
  </si>
  <si>
    <t>-21.2151171, 55.54447748</t>
  </si>
  <si>
    <t>87 Chemin Deurveiller les Hauts, La Plaine des Cafres, Réunion</t>
  </si>
  <si>
    <t>recGcbCzQoxY9ymi4</t>
  </si>
  <si>
    <t>Casalis (Les)</t>
  </si>
  <si>
    <t>Hoarau Alix</t>
  </si>
  <si>
    <t>Casalis (Les)
78, chemin Philomar - Dassy
97430 Le Tampon</t>
  </si>
  <si>
    <t>http://www.gite-casalis974.fr</t>
  </si>
  <si>
    <t>barbecue,fer et planche à repasser,jardin,lave linge collectif,parking,piscine,TV</t>
  </si>
  <si>
    <t>flohoacasalis@hotmail.com</t>
  </si>
  <si>
    <t>Situé au Tampon, Les Casalis sont 4 petites maisons indépendantes situées dans un jardin arborée de 5000 m².</t>
  </si>
  <si>
    <t>Hébergement tout confort, piscine commune, jardin calme, barbecue. 
Tarifs dégressifs à partir de 3 semaines. 
A proximité des plages du Sud et des attraits touristiques des Hautes Plaines.</t>
  </si>
  <si>
    <t>De Pierrefonds, prendre direction Entre-Deux. Au pont direction Bras de Pontho, après 3 km tourner à droite dans le chemin Dassy, puis à 1 km tourner à droite chemin Nicolas Boileau, suivre les panneaux Casalis.</t>
  </si>
  <si>
    <t>Casalis (Les) - Lebeau Florence</t>
  </si>
  <si>
    <t>78, chemin Philomar, 97430 Le Tampon</t>
  </si>
  <si>
    <t xml:space="preserve">Lebeau Florence : flohoacasalis@orange.fr / 0262577809 / 0692590350 / 0262577809 / Propriétaire ,  alix.rosemay@wanadoo.fr / 0262270774 / 0692590350 / 0262270774 </t>
  </si>
  <si>
    <t>-21.257047, 55.489671</t>
  </si>
  <si>
    <t>335.00</t>
  </si>
  <si>
    <t>/semaine</t>
  </si>
  <si>
    <t>CSC94HTM</t>
  </si>
  <si>
    <t>Mode de paiment,Mobile,Descriptif,Fournisseur - Nom,Fournisseur - adresse,Fournisseur - contacts</t>
  </si>
  <si>
    <t>78 Chemin Philomar, Réunion</t>
  </si>
  <si>
    <t>rec5VZhd6zBZNeCk5</t>
  </si>
  <si>
    <t>Cascade (La)</t>
  </si>
  <si>
    <t>Cascade (La)
Grand Bassin
Plaine des Cafres
97418 La Plaine des Cafres</t>
  </si>
  <si>
    <t>Situé à Grand Bassin à la  Plaine des Cafres, la Cascade dispose de 5 chambres doubles et 13 places en dortoir.</t>
  </si>
  <si>
    <t>Cascade (La) - Nativel Marie Hélène</t>
  </si>
  <si>
    <t xml:space="preserve">Nativel Marie Hélène : 0262595732 / 0692765281 , Nativel Marie Hélène : 0262595732 / 0692765281 </t>
  </si>
  <si>
    <t>-21.182431, 55.533865</t>
  </si>
  <si>
    <t>CSC117HTI</t>
  </si>
  <si>
    <t>Grand Bassin, La Plaine des Cafres 97418, Réunion</t>
  </si>
  <si>
    <t>Cascatelle</t>
  </si>
  <si>
    <t>Cascatelle
19 rue des Abeilles - Terrain Fleury
97430 Le Tampon</t>
  </si>
  <si>
    <t>cascatelle.lmtm@wanadoo.fr</t>
  </si>
  <si>
    <t>Au Tampon, à 5 min à pied du centre-ville, cascatelle propose 2 appartements avec piscine.</t>
  </si>
  <si>
    <t>Les appartements sont équipés pour une capacité de 9 personnes.</t>
  </si>
  <si>
    <t>19 rue des Abeilles, Terrain Fleury, 97422 Le Tampon</t>
  </si>
  <si>
    <t xml:space="preserve"> cascatelle.lmtm@wanadoo.fr / 0262382513 / 0692300926 ,  cascatelle.lmtm@wanadoo.fr / 0262382513 / 0692300926 </t>
  </si>
  <si>
    <t>-21.289038, 55.521806</t>
  </si>
  <si>
    <t>19 Rue des Abeilles, Réunion</t>
  </si>
  <si>
    <t>Case (La)</t>
  </si>
  <si>
    <t>Case (La)
31, rue Leconte Delisle
97480 Saint-Joseph</t>
  </si>
  <si>
    <t>climatisation,jardin</t>
  </si>
  <si>
    <t>sentier de randonnée,pêche,riviere,centre commercial,parking public,site - lieu culturel,point de vue panoramique</t>
  </si>
  <si>
    <t>Carte Bancaire,Eurocard,Chèque,Chèques vacances,Virement,Tickets restaurant,Espèces,American express</t>
  </si>
  <si>
    <t>stephane.nourry974@orange.fr</t>
  </si>
  <si>
    <t>Situé dans une authentique maison créole, à l'entrée du Sud sauvage, le restaurant "La Case" propose une cuisine traditionnelle créole et européenne.</t>
  </si>
  <si>
    <t>Prendre direction Saint-Joseph, traverser la ville. Le restaurant se trouve à droite, 150 m avant le pont de la rivière des Remparts dans le sens Saint-Joseph/Saint-Pierre.</t>
  </si>
  <si>
    <t>Case (La) -Dallenbach Kevin</t>
  </si>
  <si>
    <t>31, rue Leconte Delisle, 97412 Saint-Joseph</t>
  </si>
  <si>
    <t xml:space="preserve">Dallenbach Kévin : stephane.nourry974@orange.fr / 2624166 / Maître d'hôtel ,  stephane.nourry974@orange.fr / 0262564166 </t>
  </si>
  <si>
    <t>-21.37621187, 55.6178544</t>
  </si>
  <si>
    <t>31 Rue du Général de Gaulle, Réunion</t>
  </si>
  <si>
    <t>Case à Sylvie (La)</t>
  </si>
  <si>
    <t>Case à Sylvie (La)
32, rue du Tampon, 97430, Le Tampon</t>
  </si>
  <si>
    <t>climatisation</t>
  </si>
  <si>
    <t>sylvie.ducrocq.02@gmail.com</t>
  </si>
  <si>
    <t>Situé au Tampon, le restaurant La Case à Sylvie propose une cuisine du monde avec comme spécialités coucous, paella...ect. Ouvert du lundi au mardi et du jeudi au dimanche de 11h à 14h et de 18h00 à 21h30.</t>
  </si>
  <si>
    <t xml:space="preserve">Prendre la quatre voies du Tampon/Plaine des Cafres. Passer les 3 rond-points, au 3ème rond-point (rond-point des chandelles) continuer tout droit et prendre sur la gauche Rue du Tampon.
Depuis les Plaines : Suivre la RN3 vers le Tampon. Passer le rond-point de la caserne des pompiers prendre à droite (U express) rue du Tampon. </t>
  </si>
  <si>
    <t>Lundi : 11:00 14:00 - 18:00 21:30,Mardi : 11:00 14:00 - 18:00 21:30</t>
  </si>
  <si>
    <t>Case à Sylvie (La) - Fayolle</t>
  </si>
  <si>
    <t>32, rue du Tampon, 97422 Le Tampon</t>
  </si>
  <si>
    <t xml:space="preserve">Fayolle  : sylvie.ducrocq.02@gmail.com / 0692343494 ,  sylvie.ducrocq.02@gmail.com / 0692343494 </t>
  </si>
  <si>
    <t>-21.281382, 55.523008</t>
  </si>
  <si>
    <t>32, rue du Tampon, 97430, Le Tampon, Réunion</t>
  </si>
  <si>
    <t>rec5qmfxcwAOTt2xK</t>
  </si>
  <si>
    <t>Case Bel Air</t>
  </si>
  <si>
    <t>GUICHON Dominique</t>
  </si>
  <si>
    <t>Case Bel Air
140, rue de Bel Air - la Plaine des Grègues
Plaine des Grègues
97480 Saint-Joseph</t>
  </si>
  <si>
    <t>Gîte rural</t>
  </si>
  <si>
    <t>barbecue,fer et planche à repasser,four,jardin,lave linge privatif,linge de maison,micro-ondes,salon de jardin,TV</t>
  </si>
  <si>
    <t>activités aériennes,VTT,forêt</t>
  </si>
  <si>
    <t>casebelair@orange.fr</t>
  </si>
  <si>
    <t>2 Epi(s),2 Etoile(s)</t>
  </si>
  <si>
    <t>Sud Sauvage : au cœur du village, gîte créole de 100 m² indépendant de plain-pied avec 3 chambres.</t>
  </si>
  <si>
    <t>Possibilité de chambre double supplémentaire. Offre long séjour et weekend. Jardin clos avec mobilier et barbecue. Animaux acceptés. 2 chambres lit double, 1 chambre lit superposé et 2 lits bébés. Cuisine équipée, salon salle à manger. 
Linge de maison, lave linge privatif, wifi illimité. 
A pied : artisanat et produits locaux, restaurants et commerces, Maison du Curcuma. Randonnées dans l’un des cirques naturels du Parc National à la découverte du curcuma, ses panoramas, sa cascade et sa forêt de bois de couleur avec coins pique-nique.
En voiture : à 15 minutes des plages et de Saint-Joseph, à 30 minutes du Tampon et de Saint-Pierre (vols touristiques à l’aéroport).</t>
  </si>
  <si>
    <t xml:space="preserve">Depuis Saint-Pierre : prendre la RN2 jusqu’à Manapany les Bas puis prendre la D32 jusqu’à la Plaine des Grègues 
Depuis Saint-Joseph : prendre la D3 (les Rampes de Saint-Joseph) jusqu’à la Plaine des Grègues 
Depuis le Tampon : prendre la D3 (la route de Bérive) jusqu’à la Plaine des Grègues </t>
  </si>
  <si>
    <t>Case Bel Air - Guichon Dominique</t>
  </si>
  <si>
    <t>140, rue de Bel Air, 97412 Saint-Joseph</t>
  </si>
  <si>
    <t xml:space="preserve">Guichon Dominique : casebelair@orange.fr / 0692685499 / 0262577936 / Propriétaire ,  casebelair@orange.fr / 0692685499 / 0262577936 </t>
  </si>
  <si>
    <t>-21.33026539, 55.60546236</t>
  </si>
  <si>
    <t>https://book.reunion.fr/fr/hebergements/a310868/case-bel-air/reserver | Réunion.fr</t>
  </si>
  <si>
    <t>420.00</t>
  </si>
  <si>
    <t>CSC63HTI</t>
  </si>
  <si>
    <t>140, rue de Bel Air, la Plaine des Grègues, 97480, Saint-Joseph, Réunion</t>
  </si>
  <si>
    <t>reccMrDJTa1lyK06z</t>
  </si>
  <si>
    <t>Case Cardinale (La)</t>
  </si>
  <si>
    <t>Case Cardinale (La)
145 G, CD 36 - Route Notre Dame de la Paix
Plaine des Cafres
97418 La Plaine des Cafres</t>
  </si>
  <si>
    <t>http://www.lacasecardinale.fr/</t>
  </si>
  <si>
    <t>barbecue,chauffage,fer et planche à repasser,four,jardin,lave linge privatif,lave vaisselle,micro-ondes,parking,téléphone,TV satellite,wifi</t>
  </si>
  <si>
    <t>sentier de randonnée,équitation,parking public,point de vue panoramique,VTT</t>
  </si>
  <si>
    <t>lacasecardinale@gmail.com</t>
  </si>
  <si>
    <t>3 Epi(s),3 Etoile(s)</t>
  </si>
  <si>
    <t>A proximité de la route forestière menant au volcan du Piton de la Fournaise, La Case Cardinale propose une maison créole bien équipée.
Dépaysement et calme sont assurés en ce lieu, qui porte bien son nom : Notre Dame de la Paix.</t>
  </si>
  <si>
    <t>La villa est aménagée pour accueillir confortablement 6 personnes, elle dispose d’un séjour équipé d’un poêle à bois avec TV et accès Wifi gratuit, d’une salle à manger, d’une cuisine américaine, de 3 chambres doubles avec chauffage électrique d’appoint dont une, avec lits d’appoint, d’une salle d’eau et de toilette indépendante.
Pour les amateurs de cuisine authentique, un espace cuisine au feu de bois et barbecue est à leur disposition dans une annexe.
La Case Cardinale est idéalement située pour permettre de profiter des attraits de La Plaine des Cafres : Belvédère de Bois Court, village de Grand Bassin, Maison du Volcan, le Piton de la Fournaise, sentier botanique de Notre Dame de la Paix…, et de ses activités sportives : VTT, équitation, randonnées, quad, pétanque… .
Les pointes des forêts que les brises agitent, bercent l'ombre et la fraîcheur pour le chœur des oiseaux (A. Lamartine – Un lever de soleil)</t>
  </si>
  <si>
    <t>A partir de Saint-Pierre ou de Saint-Benoît, prendre la RN3 en direction de La Plaine des Cafres. En arrivant au 24ème km, prendre la direction de Notre Dame de la Paix et continuer environ sur 6 km, la villa se trouve sur la droite en face de l'école, tourner à gauche après le chemin de la Chapelle (terrain de pétanque).</t>
  </si>
  <si>
    <t>Case Cardinale (La) - Lauret Rose-Mery</t>
  </si>
  <si>
    <t>140, chemin Jean Baptiste Huet - Petit Tampon, 97422 Le Tampon</t>
  </si>
  <si>
    <t xml:space="preserve">Lauret Rose-Méry : rose.lauret@laposte.net / 0262421582 / 0692073001 / Propriétaire , Lauret Rose-Méry : lacasecardinale@gmail.com / 0692073001 / Propriétaire </t>
  </si>
  <si>
    <t>-21.24579, 55.593205</t>
  </si>
  <si>
    <t>https://book.reunion.fr/fr/hebergements/a1205681/case-cardinale-la/reserver? | Réunion.fr</t>
  </si>
  <si>
    <t>350.00</t>
  </si>
  <si>
    <t>/week-end</t>
  </si>
  <si>
    <t>CSC88HTP</t>
  </si>
  <si>
    <t>Site web,Mode de paiment,Accroche,Descriptif</t>
  </si>
  <si>
    <t>145 G, Cd 36 Nd de la Paix, La Plaine des Cafres, Réunion</t>
  </si>
  <si>
    <t>recu1nfYf2rXKbrkb</t>
  </si>
  <si>
    <t>Case d'Amélie</t>
  </si>
  <si>
    <t>Case d'Amélie
6 impasse des Lys - Bois Court
Plaine des Cafres
97418 La Plaine des Cafres</t>
  </si>
  <si>
    <t>sentier de randonnée</t>
  </si>
  <si>
    <t>casedamelie@aol.com</t>
  </si>
  <si>
    <t>Située à plus de 1300 m d’altitude,</t>
  </si>
  <si>
    <t>Villa toute équipée pour 25 à 27 personnes située dans le village de Bois Court, la ville dispose de 7 chambres, la maison est équipée d’une cheminée.</t>
  </si>
  <si>
    <t>Case d'Amélie - Turpin Amélie</t>
  </si>
  <si>
    <t>6 impasse des Lys, 97422 Le Tampon</t>
  </si>
  <si>
    <t xml:space="preserve"> 0262108485 / 0692684856 , TURPIN Amélie : casedamelie@aol.com / 0692684856 </t>
  </si>
  <si>
    <t>-21.244668, 55.48304</t>
  </si>
  <si>
    <t>CSC223HT@</t>
  </si>
  <si>
    <t>Adresse,Capacité,Fournisseur - Nom</t>
  </si>
  <si>
    <t>6 Impasse des Lys, La Plaine des Cafres, Réunion</t>
  </si>
  <si>
    <t>Case des Hauts (La)</t>
  </si>
  <si>
    <t>Case des Hauts (La)
250, chemin Jean Lauret
97414 Entre-Deux</t>
  </si>
  <si>
    <t>chauffage,climatisation,jardin,parking,TV</t>
  </si>
  <si>
    <t>sentier de randonnée,sentier de grande randonnée,tennis,riviere,site - lieu culturel,point de vue panoramique</t>
  </si>
  <si>
    <t>jsouchard@wanadoo.fr</t>
  </si>
  <si>
    <t>Le Meublé de Tourisme La Case des Hauts est une petite maison créole de 85 m2 tout confort, pour 4 à 5 personnes comprenant 2 chambres indépendantes avec lits 2 places et climatisation, un grand séjour (avec un lit d'appoint), une terrasse couverte avec barbecue, donnant sur un petit jardin privatif arboré à l'arrière de la villa. Il est agréable de passer des moments de détente, de se restaurer ou tout simplement de prendre l'apéritif en famille ou entre amis dans un cadre verdoyant et paisible. Parking privatif avec abri-voiture et portail sécurisé. La Case des Hauts est idéalement située entre mer et montagne et sera le point de départ pour de nombreuses activités terrestres (balades, visites, randonnées pédestres etc....) ou nautiques (plages de l'Etang-Salé et de Saint-Pierre à environ 15 min).</t>
  </si>
  <si>
    <t>Dans le village de l'Entre-Deux, prendre direction Dimitile Ravine des Citrons. Après 2,5 km, le meublé est situé à droite avec des panonceaux indiquant "La Case des Hauts", Meublé de Tourisme.</t>
  </si>
  <si>
    <t>Case des Hauts (La) - Souchard Jean Luc</t>
  </si>
  <si>
    <t>Résidence le Verger
Appt. 2
38, rue Evariste de Parny, 97408 La Possession</t>
  </si>
  <si>
    <t xml:space="preserve">Souchard Jean-Luc : JSouchard@wanadoo.fr / 0692087869 / Propriétaire ,  JSouchard@wanadoo.fr / 0692087869 </t>
  </si>
  <si>
    <t>Ouest - Possession (La)</t>
  </si>
  <si>
    <t>-21.24572038, 55.47983179</t>
  </si>
  <si>
    <t>250 Rue Jean Lauret, Réunion</t>
  </si>
  <si>
    <t>Case l'Endormi</t>
  </si>
  <si>
    <t>Case l'Endormi
4 bis, chemin des Rêves - Bras Long
97414 Entre-Deux</t>
  </si>
  <si>
    <t>barbecue,fer et planche à repasser,jardin,parking,TV satellite,ventilateur</t>
  </si>
  <si>
    <t>sentier de randonnée,commerce alimentaire,centre de remise en forme,parking public,point de vue panoramique</t>
  </si>
  <si>
    <t>Maison en bois située dans le village de l'Entre-Deux...</t>
  </si>
  <si>
    <t>La Case l'Endormi dispose de 3 chambres doubles dont 2 en mezzanine, d'un séjour, d'une cuisine, d'une terrasse couverte avec barbecue et d'un jardin. Cour clôturée.</t>
  </si>
  <si>
    <t>Arrivé à la mairie,, prendre à gauche la rue Marchande. Au stop, direction Bras Long, à 100 m de l'école du Bras Long, tourner à gauche rue Trou de Magasin et à 250 m, le chemin des Rêves.</t>
  </si>
  <si>
    <t>Case l'Endormi - Técher Murielle</t>
  </si>
  <si>
    <t>58, rue du Père Delaporte, 97414 Saint-Louis</t>
  </si>
  <si>
    <t xml:space="preserve">Técher Murielle : ytecher@yahoo.fr / 0262394348 / 0692097690 / Mandataire , Técher Murielle : 0262394348 / 0692097690 / Mandataire </t>
  </si>
  <si>
    <t>Sud - Rivière Saint-Louis (La)</t>
  </si>
  <si>
    <t>-21.232145, 55.470104</t>
  </si>
  <si>
    <t>4 Chemin des Reves, Réunion</t>
  </si>
  <si>
    <t>Case Le Margouillat</t>
  </si>
  <si>
    <t>Case Le Margouillat
8, impasse des Margouillats - Manapany-les-Bains
Manapany-les-Bains
97480 Saint-Joseph</t>
  </si>
  <si>
    <t>Manapany-les-Bains / Sud</t>
  </si>
  <si>
    <t>climatisation,four,lave linge privatif,micro-ondes,TV,wifi</t>
  </si>
  <si>
    <t>samirmessai@zeop.re</t>
  </si>
  <si>
    <t>Dans le Sud Sauvage, Case Le Margouillat propose une maison en bois dans un quartier résidentiel, calme et située dans une rue privée.</t>
  </si>
  <si>
    <t>La maison dispose de 2 chambres doubles, d'un salon cuisine, d'une varangue de 40 m², d'un jardin arboré de 400 m².
Maison équipée pour 4 personnes.</t>
  </si>
  <si>
    <t>Case le Margouillat - Messaï Samir</t>
  </si>
  <si>
    <t>69, chemin de la Savane, 97415 Saint-Paul</t>
  </si>
  <si>
    <t xml:space="preserve">Messaï Samir : samirmessai@zeop.re / 0692676789 / Gérant(e) ,  samirmessai@zeop.re / 0692676789 </t>
  </si>
  <si>
    <t>Ouest - Saint-Paul</t>
  </si>
  <si>
    <t>-21.3749287,55.594181</t>
  </si>
  <si>
    <t>Impasse des Margouillats, Manapany-Les-Bains, Réunion</t>
  </si>
  <si>
    <t>Case Manin</t>
  </si>
  <si>
    <t>OMCT</t>
  </si>
  <si>
    <t>Case Manin
115, rue Payet
97414 Entre-Deux</t>
  </si>
  <si>
    <t>sentier de randonnée,tennis,riviere,centre commercial,parking public,site - lieu culturel,point de vue panoramique</t>
  </si>
  <si>
    <t>Case créole en bois sous tôle disposant de 2 chambres de 10 personnes, une chambre de 6 personnes et 1 chambre de 4 personnes. Uniquement sur réservation.</t>
  </si>
  <si>
    <t>Sur la commune de l'Entre-Deux, prendre la rue Fontaine juste en face de l'Office de Tourisme. A la première intersection, tourner à gauche rue Payet. A 400 m de l'intersection, la Case Manin est à gauche.</t>
  </si>
  <si>
    <t>Office Municipal de la Culture et du Temps libre</t>
  </si>
  <si>
    <t>115, rue Payet, 97403 Entre-Deux</t>
  </si>
  <si>
    <t xml:space="preserve">Grondin Dominique : omag.entre-deux@orange.fr / 0262396960 / 0692433232 / Directeur , Omct  : 0262396960 / 0692433232 / Gérant(e) ,  0262396960 / 0692433232 </t>
  </si>
  <si>
    <t>-21.247719, 55.468034</t>
  </si>
  <si>
    <t>115 Rue Payet, Réunion</t>
  </si>
  <si>
    <t>Case Manin
115 rue Payet
97414 Entre-Deux</t>
  </si>
  <si>
    <t>Chèque,Chèques vacances,Virement,Chèques vacances,Espèces,American express</t>
  </si>
  <si>
    <t>français,créole,espagnol,italien</t>
  </si>
  <si>
    <t>Village créole : village famille...</t>
  </si>
  <si>
    <t>Case créole en bois sous tôle disposant de 2 chambres de 10 places, 1 chambre de 6 places et 1 chambre de 4 places. Uniquement sur réservation.</t>
  </si>
  <si>
    <t>Sur la commune de l'Entre-D'Eux, prendre la rue Fontaine juste en face de l'office de tourisme. A la première intersection, tourner à gauche rue Payet. A 400 m de l'intersection, la Case Manin  est sur le coté gauche.</t>
  </si>
  <si>
    <t xml:space="preserve">OMCT  : omct.entre_deux@wanadoo.fr / 0262396360 / 0692433232 / Gérant(e) ,  omct.entre-deux@wanadoo.fr / 0262396960 / 0692433232 </t>
  </si>
  <si>
    <t>-21.247078, 55.46814941</t>
  </si>
  <si>
    <t>recdMvYzg3DHC0HF8</t>
  </si>
  <si>
    <t>Case O Gecko (La)</t>
  </si>
  <si>
    <t>Case O Gecko (La)
56 B rue Léon Dierx - Les Jacques
97480 Saint-Joseph</t>
  </si>
  <si>
    <t>wifi,jacuzzi</t>
  </si>
  <si>
    <t>caseogecko@gmail.com</t>
  </si>
  <si>
    <t>Dans le Sud Sauvage, La Case O Gecko propose une chambre d'hôte équipée pour 2 personnes.</t>
  </si>
  <si>
    <t>Odile et Philippe accueillent les hôtes chaleureusement dans un cadre calme et verdoyant.
Possibilité de profiter et d'apprécier un moment de détente et de bien-être dans le jacuzzi.
Proche de toutes commodités, découverte des spécialités locales : culture du thé blanc, vanille, curcuma, tressage de vacoa, ... .</t>
  </si>
  <si>
    <t>Case O Gecko (La) - Segaux Philippe</t>
  </si>
  <si>
    <t>56 B rue Léon Dierx, 97412 Saint-Joseph</t>
  </si>
  <si>
    <t>Segaux Philippe : caseogecko@gmail.com / 0262583047 / 0692480332 / Propriétaire</t>
  </si>
  <si>
    <t>-21.3764505,55.6306995</t>
  </si>
  <si>
    <t>CSC148HTM</t>
  </si>
  <si>
    <t>Adresse,Mode de paiment,Fixe,Mobile,E-Mail,Descriptif</t>
  </si>
  <si>
    <t>56 b Rue Léon Dierx, 97480, Réunion</t>
  </si>
  <si>
    <t>recIzjbG6ZkQo1moe</t>
  </si>
  <si>
    <t>Case O Zoizos (La)</t>
  </si>
  <si>
    <t>Case O Zoizos (La)
10 rue Léon Dehaulme
97480 Saint-Joseph</t>
  </si>
  <si>
    <t>https://www.lacaseozoizos.com/</t>
  </si>
  <si>
    <t>barbecue,climatisation,jardin,piscine,sanitaires privés</t>
  </si>
  <si>
    <t>plage</t>
  </si>
  <si>
    <t>Chèque,Virement,Espèces,Paypal</t>
  </si>
  <si>
    <t>martine.huahine@gmail.com</t>
  </si>
  <si>
    <t>Situé à Saint-Joseph, La Case O Zoizos peut accueillir 2 personnes.</t>
  </si>
  <si>
    <t>La chambre Paille en Queue accueille 2 personnes et est équipée du wifi gratuit, d'un barbecue, d'une cuisine extérieure, d'une terrasse, de la climatisation et d'une salle de bain privative. Elle est située à 5 minutes du centre ville, à 10 minutes de marche d'une superbe plage de sable noir et de toutes commodités.</t>
  </si>
  <si>
    <t xml:space="preserve">En venant de l'ouest, après Saint-Pierre, suivre Petite-Ile et Manapany les Bains. Après le 2ème rond point (au Quick), prendre la 1ère rue à gauche (à 300m), c'est la rue Léon Dehaulme.
En venant de l'est, suivre la direction de Saint-Pierre. Après le pont de la rivière des Remparts suivre "Le Butor" puis la rue Raphaël Babet. Tourner à droite 50m après le Leader Price dans la rue Léon Dehaulme. </t>
  </si>
  <si>
    <t>Case O Zoizos (La) - Le Floch Martine</t>
  </si>
  <si>
    <t>10 rue Léon Dehaulme, 97412 Saint-Joseph</t>
  </si>
  <si>
    <t>Le Floch Martine : martine.huahine@gmail.com / 0693469948 / Propriétaire</t>
  </si>
  <si>
    <t>-21.378405, 55.606527</t>
  </si>
  <si>
    <t>CSC372HT@</t>
  </si>
  <si>
    <t>10 Rue Leon Dehaulme, 97480, Réunion</t>
  </si>
  <si>
    <t>Case O' Doudous (La)</t>
  </si>
  <si>
    <t>La Case O' Doudous</t>
  </si>
  <si>
    <t>Case O' Doudous (La)
11, chemin Bancoule - La Passerelle
97480 Saint-Joseph</t>
  </si>
  <si>
    <t>http://casedoudous.wordpress.com</t>
  </si>
  <si>
    <t>jardin,salle de bain privée,sanitaires privés</t>
  </si>
  <si>
    <t>sentier de randonnée,pêche,riviere,point de vue panoramique,aéroport de Pierrefonds</t>
  </si>
  <si>
    <t>casedoudous@live.fr</t>
  </si>
  <si>
    <t>Située non loin de Saint-Joseph le long de la Rivière Langevin, La Case O' Doudous propose une chambre d'hôte.</t>
  </si>
  <si>
    <t>Meublée et décorée avec soin, la chambre peut accueillir 2 personnes.  Endroit calme et reposant.</t>
  </si>
  <si>
    <t>Le village de la Passerelle se trouve le long de la Rivière Langevin, à 6 km de la RN2. Au niveau de la balance de Langevin, il faut remonter la route qui longe la rivière et qui mène aux cascades.</t>
  </si>
  <si>
    <t>Case O' Doudous - Caillens Frédéric</t>
  </si>
  <si>
    <t>11, chemin Bancoule - La Passerelle, 97412 Saint-Joseph</t>
  </si>
  <si>
    <t xml:space="preserve">Caillens Frédéric : casedoudous@live.fr / 0262203254 / 0692460847 / Gérant(e) , Caillens Frédéric : casedoudous@live.fr / 0262203254 / 0692460847 / Gérant(e) </t>
  </si>
  <si>
    <t>-21.34139043, 55.64583437</t>
  </si>
  <si>
    <t>La Passerelle, 11 Chemin Bancoule, 97480, Réunion</t>
  </si>
  <si>
    <t>Case Soleil (La)</t>
  </si>
  <si>
    <t>Case Soleil (La)
28, chemin Stéphane - Trois Mares
97430 Le Tampon</t>
  </si>
  <si>
    <t>http://la-case-soleil.vadif.com/</t>
  </si>
  <si>
    <t>barbecue,jardin,lave linge privatif,lecteur DVD,linge de maison,micro-ondes,parking,TV satellite</t>
  </si>
  <si>
    <t>wiwi.locations@gmail.com</t>
  </si>
  <si>
    <t>La Case Soleil propose un bungalow tout équipé situé dans le village de Trois Mares au Tampon, à 15 min des plages et du port de Saint-Pierre et à 1h du Volcan.</t>
  </si>
  <si>
    <t>Idéal pour les amateurs de randonnées ou de farniente. Tarif dégressif selon la durée si location à la semaine.</t>
  </si>
  <si>
    <t xml:space="preserve">Depuis le Sud, prendre la 4 voies en direction du Tampon. Sortir à droite (chemin la Pointe avant la Tour des Azalées). Au rond-point, prendre à gauche et passer sous le pont. Continuer tout droit et passer deux ronds-points. Au stop, tourner à droite dans le chemin Stéphane. La Case Soleil se trouve au n°28 sur votre droite.
Depuis les Plaines, prendre la RN 3, traverser le village de Bourg Murat et descendre jusqu'au Tampon. Une fois arrivé au rond-point du lycée du 14ème Km, tourner à gauche dans la rue Georges Pompidou puis tourner à droite dans la rue du Docteur Charrière 2 km après. Descendre toute la rue et aller jusqu'au village de Trois Mares. Prendre à gauche au rond-point du Crédit Agricole. La Case Soleil se trouve au n°28 de la rue sur votre gauche. </t>
  </si>
  <si>
    <t>Case Soleil (La) - Strub Daniel</t>
  </si>
  <si>
    <t>28, chemin Stéphane - Trois Mares, 97422 Le Tampon</t>
  </si>
  <si>
    <t xml:space="preserve">Strub Daniel : wiwi.locations@gmail.com / 0262271265 / 0692158921 , Strub Daniel : wiwi.locations@gmail.com / 0262271265 / 0692158921 </t>
  </si>
  <si>
    <t>-21.26817087, 55.4963212</t>
  </si>
  <si>
    <t>28 Chemin Stephane, Réunion</t>
  </si>
  <si>
    <t>recW7uGt8JkBfexcV</t>
  </si>
  <si>
    <t>Case Volcan (La)</t>
  </si>
  <si>
    <t>Case Volcan (La)
123, RN2 - le Tremblet
97442 Saint-Philippe</t>
  </si>
  <si>
    <t>Situé au Tremblet, à Saint-Philippe le restaurant La Case Volcan propose une cuisine créole traditionnelle.</t>
  </si>
  <si>
    <t>Parmi les spécialités sur réservation : ti jacques, le baba-figue, le chou de vacoa, le palmiste, jus de fruits frais selon la saison...Ouvert tous les jours de 08h30 à 18h. Fermé le vendredi. Le restaurant dispose également d'une exposition de photos du volcan "le Piton de la Fournaise". Un coin boutique est disponible pour l'achat d'objets souvenirs.</t>
  </si>
  <si>
    <t xml:space="preserve">De l'Ouest, dépasser le centre ville de Saint-Philippe, prendre direction le Tremblet, le restaurant se trouve sur la route juste avant la coulée de 2007 à gauche.
De l'Est, dépasser la coulée de lave de 2007, monter la rampe, le restaurant se situe tout de suite à droite. </t>
  </si>
  <si>
    <t>Case Volcan (La) - Mussard Auguste</t>
  </si>
  <si>
    <t>123, RN2 - le Tremblet, 97417 Saint-Philippe</t>
  </si>
  <si>
    <t xml:space="preserve">Mussard Auguste : 0692183753 ,  0692183753 </t>
  </si>
  <si>
    <t>-21.281557, 55.795649</t>
  </si>
  <si>
    <t>Mode de paiment,Fixe,Capacité,Descriptif du plan d'accès</t>
  </si>
  <si>
    <t>123 Route Nationale 2 le Tremblet, Réunion</t>
  </si>
  <si>
    <t>recZxHOj4xjVaDNcB</t>
  </si>
  <si>
    <t>Cases Carlou</t>
  </si>
  <si>
    <t>Cases Carlou
36 A chemin cafres - Bras Long
97414 Entre-Deux</t>
  </si>
  <si>
    <t>http://www.casecarlou.re</t>
  </si>
  <si>
    <t>barbecue,fer et planche à repasser,jardin,lave linge collectif,lecteur DVD,linge de maison,linge de toilette,piscine,TV</t>
  </si>
  <si>
    <t>sentier de randonnée,sentier de grande randonnée,commerce alimentaire,parking public,site - lieu culturel,point de vue panoramique</t>
  </si>
  <si>
    <t>contact@casecarlou.re</t>
  </si>
  <si>
    <t>Situé à l'Entre-Deux, dans un cadre convivial et familial, les Cases Carlou disposent de 3 meublés.
La petite case 1 peut accueillir 2 personnes, composée d'une chambre double, une cuisine équipée, coin salon et terrasse avec table, chaises et 2 relax.</t>
  </si>
  <si>
    <t>La case 2 est sur 2 niveaux, pour 4 personnes, avec une chambre double à l'étage, une terrasse avec 2 relax avec vue sur la piscine. Au rez de chaussée, un séjour-cuisine avec un clic-clac, cuisine équipée. A l'extérieur, une terrasse avec table, chaises et relax.
La Case Carlou équipée pour 6 personnes, dispose de 2 chambres doubles, salon avec canapé convertible, une cuisine équipée et une terrasse avec table et chaises.</t>
  </si>
  <si>
    <t>Case Carlou - Donz Carl</t>
  </si>
  <si>
    <t>36 A chemin cafres - Bras Long 97414 Entre-Deux</t>
  </si>
  <si>
    <t xml:space="preserve">Donz Carl : contact@casecarlou.re / 0262395963 / 0692603761 / Gérant(e) , Donz Karl : contact@casecarlou.re / 0262395963 / 0692603761 / Gérant(e) ,  0262395963 </t>
  </si>
  <si>
    <t>-21.237877, 55.47066</t>
  </si>
  <si>
    <t>300.00</t>
  </si>
  <si>
    <t>CSC38HTK</t>
  </si>
  <si>
    <t>Adresse,Nom sous catégorie,Mode de paiment,Capacité,Accroche,Descriptif,Fournisseur - Nom,Fournisseur - adresse,Fournisseur - contacts</t>
  </si>
  <si>
    <t>36 A Rue Cafre, 97414, Réunion</t>
  </si>
  <si>
    <t>recJmmiZopFqKoL85</t>
  </si>
  <si>
    <t>Caumes Jean Patrice</t>
  </si>
  <si>
    <t>Caumes Jean Patrice
196, route du Coin Tranquille- PK22
Plaine des Cafres
97418 La Plaine des Cafres</t>
  </si>
  <si>
    <t>jeanpatricecaumes@hotmail.fr</t>
  </si>
  <si>
    <t>Situé à la Plaine des Cafres, Jean Patrice Caumes propose des photographies de paysages, d'architectures créoles, des cirques,  du volcan ect. La vente de cartes postales en séries limitées ou en coffret est également possible. 25 points de vente dont le Musée du Volcan, Conservatoire Botanique de Mascarin, Aéroport Roland Garros.</t>
  </si>
  <si>
    <t xml:space="preserve">Venant du Sud : depuis la Tour des Azalées, prendre direction Plaines des Cafres, après le panneau d’agglomération, au niveau de la station, prendre à droite. Sur le chemin du coin tranquille, l’établissement se situe à droite. 
Venant des Plaines  : depuis le village de Bourg-Murat, prendre direction Plaines des Cafres, après le panneau d’agglomération, au niveau de la station, prendre à gauche. Sur le chemin du coin tranquille, l’établissement se situe à droite. </t>
  </si>
  <si>
    <t>196, route du Coin Tranquille - PK22, 97422 Le Tampon</t>
  </si>
  <si>
    <t xml:space="preserve">Caumes Jean Patrice : jeanpatricecaumes@hotmail.fr / 0692661885 , Caumes Jean Patrice : jeanpatricecaumes@hotmail.fr / 0692661885 </t>
  </si>
  <si>
    <t>-21.1621066,55.5701646</t>
  </si>
  <si>
    <t>recrXpfhr4ww18lTF</t>
  </si>
  <si>
    <t>Caverne  des Hirondelles (La)</t>
  </si>
  <si>
    <t>Caverne  des Hirondelles (La)
10, rue de Parny
97480 Saint-Joseph</t>
  </si>
  <si>
    <t>http://www.location-chambre-bungalow-reunion.com</t>
  </si>
  <si>
    <t>climatisation,linge de toilette,piscine,salon de jardin,sanitaires privés</t>
  </si>
  <si>
    <t>lacavernedeshirondelles@hotmail.com</t>
  </si>
  <si>
    <t>Situé à Saint-Joseph, La Caverne des Hirondelles dispose de 2 chambres d'hôtes.</t>
  </si>
  <si>
    <t>Elles sont climatisées et indépendantes dans la maison du propriétaire. Vue sur mer, piscine et montagne.
Accès possible à la piscine commune et au jardin créole. Le petit déjeuner est en supplément.</t>
  </si>
  <si>
    <t>Prendre direction Saint-Pierre, puis Saint-Joseph. Traverser la ville de Saint-Joseph. Passer la mairie, l'église et suivre direction Saint-Philippe. La rue de Parny est la 4ème rue à droite (juste avant la Croix de Jubilé).</t>
  </si>
  <si>
    <t>Caverne des Hirondelles (La) - Dupont Jean Jacques et Elsa</t>
  </si>
  <si>
    <t>347, avenue du Général de Gaulle - Grand Bois, 97416 Saint-Pierre</t>
  </si>
  <si>
    <t xml:space="preserve">Dupont Jean Jacques : lacavernedeshirondelles@hotmail.com / 0262318086 / 0692644370 , Dupont Jean Jacques : lacavernedeshirondelles@hotmail.com / 0262318086 / 0692644370 , Dupont Jean Jacques : lacavernedeshirondelles@hotmail.com / 0262318086 / 0692644370 ,  0262318086 / 0692644370 </t>
  </si>
  <si>
    <t>-21.38096414, 55.6278498</t>
  </si>
  <si>
    <t>CSC44HTH</t>
  </si>
  <si>
    <t>10 Chemin Parny, Saint-Joseph 97480, Réunion</t>
  </si>
  <si>
    <t>recO1uEKQ3APjOMKe</t>
  </si>
  <si>
    <t>Caverne des Hirondelles (La)</t>
  </si>
  <si>
    <t>Caverne des Hirondelles (La)
10, rue de Parny
97480 Saint-Joseph</t>
  </si>
  <si>
    <t>barbecue,fer et planche à repasser,four,jardin,linge de maison,micro-ondes,parking,piscine,salon de jardin,TV satellite,wifi</t>
  </si>
  <si>
    <t>sentier de randonnée,pêche,point de vue panoramique</t>
  </si>
  <si>
    <t>La Caverne des Hirondelles est située sur le littoral de Saint-Joseph, dans un jardin créole de 5000m². Dans un écrin de verdure, une villa pouvant accueillir 10 personnes et un bungalow de capacité 5 personnes, avec vue sur la mer et la montagne. La villa climatisée dispose de 3 chambres, d'une cuisine équipée, d'une salle à manger, d'un salon et d'une terrasse extérieure couverte. La piscine est commune. Le bungalow est doté d'une terrasse, d'une cuisine équipée, d'une chambre double et d'une chambre triple ( 1 lit simple et 2 lits superposés).</t>
  </si>
  <si>
    <t>Prendre direction Saint-Pierre, puis Saint-Joseph. Traverser la ville de Saint-Joseph. Passer la mairie, l'église et suivre direction Saint-Philippe. La rue de Parny est à la 4ème rue à droite (juste avant la Croix de Jubilé).</t>
  </si>
  <si>
    <t>CSC45HTI</t>
  </si>
  <si>
    <t>recGrWckq8Ku6srPF</t>
  </si>
  <si>
    <t>Caz à Éva (La)</t>
  </si>
  <si>
    <t>Caz à Éva (La)
225 bis rue Raphaël Babet
97480 Saint-Joseph</t>
  </si>
  <si>
    <t>La Caz à Éva est situé à Saint-Joseph.</t>
  </si>
  <si>
    <t>Il propose une cuisine créole et française.
Ouvert du mardi au samedi de 11h30 à 14h et de 18h30 à 21h30. Fermé le lundi et le dimanche.</t>
  </si>
  <si>
    <t>225 bis rue Raphaël Babet, 97412 Saint-Joseph</t>
  </si>
  <si>
    <t xml:space="preserve"> 0262475895 ,  0262475895 </t>
  </si>
  <si>
    <t>-21.377636, 55.617765</t>
  </si>
  <si>
    <t>182-243 Rue Raphaël Babet, Réunion</t>
  </si>
  <si>
    <t>Cazalys</t>
  </si>
  <si>
    <t>Cazalys
33, chemin Epidor Hoarau - Trois Mares
97430 Le Tampon</t>
  </si>
  <si>
    <t>barbecue,climatisation,four,jardin,lave linge privatif,lave vaisselle,micro-ondes,parking,TV</t>
  </si>
  <si>
    <t>mariepaule.gironcel@mediaserv.net</t>
  </si>
  <si>
    <t>2 Clé(s),2 Etoile(s)</t>
  </si>
  <si>
    <t>Entre mer et montagne, la villa Cazalys se trouve dans un jardin arboré et fleuri.  Cette grande maison peut accueillir jusqu'à 8 personnes. Elle dispose de trois grandes chambres, dont deux climatisées avec terrasses et vue panoramique sur littoral côtier et montagne, de deux salles de bain indépendantes (douche et baignoire). Proche de toutes commodités et des principaux attraits touristiques (Plaine des Cafres, volcan, Dimitile, Sud Sauvage, plage...).</t>
  </si>
  <si>
    <t>Cazalys - Gironcel Marie-Paule</t>
  </si>
  <si>
    <t>33, chemin Epidor Hoarau, 97422 Le Tampon</t>
  </si>
  <si>
    <t xml:space="preserve">Gironcel Marie-Paule : mariepaule.gironcel@mediaserv.net / 0262599242 / 0692256969 / Propriétaire , Gironcel Marie-Paule : mariepaule.gironcel@mediaserv.net / 0262599242 / 0692256969 ,  mariepaule.gironcel@mediaserv.net </t>
  </si>
  <si>
    <t>-21.2504739,55.5042753</t>
  </si>
  <si>
    <t>33 Chemin Epidor Hoarau, Réunion</t>
  </si>
  <si>
    <t>Celife</t>
  </si>
  <si>
    <t>Celife
4, rue Notre Dame de Rosaire - Langevin
Langevin
97480 Saint-Joseph</t>
  </si>
  <si>
    <t>barbecue,fer et planche à repasser,four,lave linge privatif,lave vaisselle,micro-ondes,parking,TV satellite,ventilateur,wifi</t>
  </si>
  <si>
    <t>sentier de randonnée,commerce alimentaire,pêche,riviere,parking public</t>
  </si>
  <si>
    <t>locationcelife974@gmail.com</t>
  </si>
  <si>
    <t>Dans le Sud Sauvage, dans une petite rue paisible, Celife est une maison créole offrant quiétude et confort.</t>
  </si>
  <si>
    <t>La maison de 100 m² dispose d'un salon-salle à manger, d'une cuisine équipée et de 3 chambres doubles dont une twin.
A quelques minutes de sites touristiques majeurs du Sud Sauvage.</t>
  </si>
  <si>
    <t>Celife se situe juste après l'intersection menant aux berges de la rivière Langevin en direction de la Marine.</t>
  </si>
  <si>
    <t>Celife - Félicie Josiane</t>
  </si>
  <si>
    <t>8, rue Méziaire de Guignard - appt 2 - Résidence les Rivebois, 97411 Saint-Denis</t>
  </si>
  <si>
    <t xml:space="preserve">Félicie Josiane : josiane.felicie@yahoo.fr / 0262972427 / 0692184663 / Propriétaire ,  locationcelife974@gmail.com / 0262972427 / 0692184664 </t>
  </si>
  <si>
    <t>Nord - Sainte-Clotilde</t>
  </si>
  <si>
    <t>-21.381796, 55.64715</t>
  </si>
  <si>
    <t>CSC25HTG</t>
  </si>
  <si>
    <t>4 Chemin Notre-Dame Du Rosaire, 97480, Réunion</t>
  </si>
  <si>
    <t>Chalet (Le)</t>
  </si>
  <si>
    <t>Le Chalet</t>
  </si>
  <si>
    <t>Chalet (Le)
8, chemin Melin - Bas du Ruisseau
97414 Entre-Deux</t>
  </si>
  <si>
    <t>Gîte de groupe</t>
  </si>
  <si>
    <t>chauffage</t>
  </si>
  <si>
    <t>nadegejosian.legros@wanadoo.fr</t>
  </si>
  <si>
    <t>Situé à l'Entre-Deux à 1550 m d'altitude, Le Chalet dispose d'une capacité de 21 personnes. Cuisine au feu de bois. Cheminée et vue panoramique sur les hautes plaines. Repas : 17/pers.</t>
  </si>
  <si>
    <t>Chalet (Le) - Legros Nadège</t>
  </si>
  <si>
    <t>8, chemin Melin - Bas du Ruisseau, 97403 Entre-Deux</t>
  </si>
  <si>
    <t xml:space="preserve">Legros Nadège : 0692273322 / 0692672454 / Gérant(e) , Legros Nadège : nadegejosian.legros@wanadoo.fr / 0692273322 / 0692273324 / Gérant(e) </t>
  </si>
  <si>
    <t>-21.253519, 55.467173</t>
  </si>
  <si>
    <t>8 Chemin Melin, Réunion</t>
  </si>
  <si>
    <t>Chalet Aïna</t>
  </si>
  <si>
    <t>Chalet Aïna
16 ter, chemin Louis Gabriel - 23ème Km
Plaine des Cafres
97418 La Plaine des Cafres</t>
  </si>
  <si>
    <t>barbecue,chauffage,fer et planche à repasser,four,jardin,lave linge privatif,lave vaisselle,micro-ondes,sèche linge privatif,TV satellite,wifi</t>
  </si>
  <si>
    <t>reunionlocationcontacts@gmail.com</t>
  </si>
  <si>
    <t>Situé à La Plaine des Cafres, le Chalet Aïna propose un chalet en bois sur 2 niveaux pour 6 personnes.</t>
  </si>
  <si>
    <t>Le chalet dispose d'un séjour-salon avec cheminée, 3 chambres doubles, dont une en mezzanine avec un espace de jeu, une cuisine équipée, une terrasse avec barbecue, un jardin et parking.</t>
  </si>
  <si>
    <t>De Saint-Pierre, ou de Saint-benoît, prendre la RN3, direction La Plaine des Cafres. avant d'arriver au village du 23ème, après la station service, continuer environ 100m, tourner dans le chemin Coin Tranquille, puis prendre le chemin Gervais Barret, après 200 m tourner dans le petit chemin en béton sur la droite et continuer jusqu'au n°16 ter.</t>
  </si>
  <si>
    <t>Chalet Aïna - Pigonat Thierry</t>
  </si>
  <si>
    <t>27, impasse des Manguiers, 97403 Entre-Deux</t>
  </si>
  <si>
    <t xml:space="preserve">Pigonat Thierry : reunionlocationcontacts@gmail.com / 0692776191 / Propriétaire , Thomas Jean-Philippe : reunionlocationcontacts@gmail.com / 0692457992 </t>
  </si>
  <si>
    <t>-21.228622, 55.554218</t>
  </si>
  <si>
    <t>23ème, 16 Chemin Louis Gabriel, La Plaine des Cafres, Réunion</t>
  </si>
  <si>
    <t>recyC0TgzVv5pzOzS</t>
  </si>
  <si>
    <t>Chalet Bourg-Murat</t>
  </si>
  <si>
    <t>Labaune Kaz</t>
  </si>
  <si>
    <t>Chalet Bourg-Murat
8 impasse les Topazes - Bourg Murat
97418 La Plaine des Cafres</t>
  </si>
  <si>
    <t>barbecue,chauffage,fer et planche à repasser,parking,TV satellite,wifi</t>
  </si>
  <si>
    <t>sentier de randonnée,sentier de grande randonnée,équitation,site - lieu culturel</t>
  </si>
  <si>
    <t>sci.labaunekaz97418@gmail.com</t>
  </si>
  <si>
    <t>A La Plaine des Cafres, Chalet Bourg-Murat est équipé pour accueillir 8 personnes</t>
  </si>
  <si>
    <t>Le chalet comprend 4 chambres, une salle de bain avec WC, une salle d'eau avec WC, une terrasse fermée, une terrasse extérieur, un barbecue, un parking 2 voitures.</t>
  </si>
  <si>
    <t xml:space="preserve">Direction la Plaine des Cafres, Bourg-Murat, champ de Foire à 5 min de la Cité du Volcan.
Saint-Pierre, Le Tampon, La Plaine des Cafres 27 ème km
Saint-Denis, Saint-Benoît, La Plaine des Cafres 27 ème km </t>
  </si>
  <si>
    <t>Labaune Kaz - Labaune Pascal</t>
  </si>
  <si>
    <t>18 rue Pastel -La Pastel, La Convenance, 97418 Sainte-Marie</t>
  </si>
  <si>
    <t>Labaune Pascal : palabaune@wanadoo.fr / 0262610854 / 0692660769 / Gérant(e)</t>
  </si>
  <si>
    <t>Nord - Sainte-Marie</t>
  </si>
  <si>
    <t>-21.199815, 55.5819</t>
  </si>
  <si>
    <t>CSC271HT@</t>
  </si>
  <si>
    <t>Adresse,Mode de paiment,Mobile,Descriptif du plan d'accès,Fournisseur - Nom</t>
  </si>
  <si>
    <t>Chalet du Piton</t>
  </si>
  <si>
    <t>Chalet du Piton
15, chemin du Petit Bois
Plaine des Cafres
97418 La Plaine des Cafres</t>
  </si>
  <si>
    <t>http://www.allonslareunion.com/hebergement-reunion/villas/chalet-du-piton/index.html</t>
  </si>
  <si>
    <t>barbecue,chauffage,jardin,parking,TV satellite</t>
  </si>
  <si>
    <t>A La Plaine des Cafres, Chalet du Piton propose un chalet pouvant accueillir 8 personnes.</t>
  </si>
  <si>
    <t>Le chalet dispose de 2 chambres triples, une chambre double, une cuisine américaine équipée donnant sur le salon, une terrasse et un jardin avec barbecue et un espaace cuisine au feu de bois. Chalet entièrement chauffé en hiver.</t>
  </si>
  <si>
    <t>Chalets du Piton</t>
  </si>
  <si>
    <t>15, chemin du Petit Bois, 97422 Le Tampon</t>
  </si>
  <si>
    <t xml:space="preserve"> 0692204535 ,  0692204535 </t>
  </si>
  <si>
    <t>-21.221476, 55.529339</t>
  </si>
  <si>
    <t>15 Chemin du Petit Bois, La Plaine des Cafres, Réunion</t>
  </si>
  <si>
    <t>recl9uvlNfH70ndXp</t>
  </si>
  <si>
    <t>Chalets Annie et Eric</t>
  </si>
  <si>
    <t>Chalets Annie et Eric
21, chemin Grande Ferme
Plaine des Cafres
97418 La Plaine des Cafres</t>
  </si>
  <si>
    <t>chauffage,jardin,parking,TV</t>
  </si>
  <si>
    <t>le.forgeron@wanadoo.fr</t>
  </si>
  <si>
    <t>Les Chalets Annie et Eric sont situés à la Plaine des Cafres, dans les hauteurs de l'île, dans un climat de fraîcheur. Entièrement équipés. A proximité de la Maison du Volcan et des sentiers de randonnées telles que le Volcan, le Piton des Neiges et Grand Bassin. Tarifs dégressifs selon la saison et le nombre de personnes.</t>
  </si>
  <si>
    <t>Chalets Annie et Eric - Hoarau Eric</t>
  </si>
  <si>
    <t>21, chemin Grande Ferme, 97422 Le Tampon</t>
  </si>
  <si>
    <t xml:space="preserve">Hoarau Eric : le.forgeron@wandoo.fr / 0262592762 / 0692660338 / 0262592762 ,  le.forgeron@wanadoo.fr / 0262592762 / 0692660338 / 0262353629 </t>
  </si>
  <si>
    <t>-21.21512329, 55.58990951</t>
  </si>
  <si>
    <t>Mode de paiment,Fax</t>
  </si>
  <si>
    <t>21 Chemin de la Grande-Ferme, La Plaine des Cafres 97418, Réunion</t>
  </si>
  <si>
    <t>Chalets Aurore (Les)</t>
  </si>
  <si>
    <t>Chalets Aurore (Les)
292, rue Raphaël Douyère - Bois Court
Plaine des Cafres
97418 La Plaine des Cafres</t>
  </si>
  <si>
    <t>Chambre meublée</t>
  </si>
  <si>
    <t>sentier de randonnée,sentier de grande randonnée,poste - boite aux lettres,banque - guichet automatique,commerce alimentaire,parking public,site - lieu culturel,point de vue panoramique</t>
  </si>
  <si>
    <t>jpchrismounier@wanadoo.fr</t>
  </si>
  <si>
    <t>Situés à 1380 m d’altitude à La Plaine des Cafres, Les Chalets Aurore disposent de 4 chambres.</t>
  </si>
  <si>
    <t>Dans un grand chalet, 2 chambres doubles, une chambre triple et une quadruple sont proposées. Les chambres sont chauffées. Possibilité de petit déjeuner.</t>
  </si>
  <si>
    <t>Chalets Aurore (Les) - Mounier Christiane</t>
  </si>
  <si>
    <t>292, rue Raphaël Douyère - Bois Court, 97422 Le Tampon</t>
  </si>
  <si>
    <t xml:space="preserve">Mounier Christiane : jpchrismounier@wanadoo.fr / 0262445391 / 0692760372 / Propriétaire , Mounier Christiane : jpchrismounier@wanadoo.fr / 0262445391 / 0692760372 / Propriétaire , Mounier Christiane : jpchrismounier@wanadoo.fr / 0262445391 / 0692760372 / Propriétaire , Mounier Christiane : jpchrismounier@wanadoo.fr / 0262445391 / 0692760372 / Propriétaire </t>
  </si>
  <si>
    <t>-21.196104, 55.539127</t>
  </si>
  <si>
    <t>CSC113HTE</t>
  </si>
  <si>
    <t>292 Rue Raphael Douyere, La Plaine des Cafres, Réunion</t>
  </si>
  <si>
    <t>recPf1tZEmYyCLTFs</t>
  </si>
  <si>
    <t>chauffage,jardin,micro-ondes,TV</t>
  </si>
  <si>
    <t>Situé à 1380 m d’altitude à La Plaine des Cafres, Les Chalets Aurore disposent de 2 chalets.</t>
  </si>
  <si>
    <t>Les 2 chalets peuvent accueillir chacun un couple avec un ou deux jeunes enfants. Ils sont loués au minimum 2 nuits. Tarif dégressif selon durée. Possibilité de petit déjeuner.
Les chalets sont chauffés.</t>
  </si>
  <si>
    <t>80.00</t>
  </si>
  <si>
    <t>Mode de paiment,E-Mail,Descriptif,Fournisseur - Nom,Fournisseur - contacts</t>
  </si>
  <si>
    <t>Chalets des Rêves</t>
  </si>
  <si>
    <t>Chalets des Rêves
27, chemin des Rêves
97414 Entre-Deux</t>
  </si>
  <si>
    <t>jardin,lave linge privatif,parking,salle de bain privée,sanitaires privés,TV,ventilateur</t>
  </si>
  <si>
    <t>sentier de randonnée,sentier de grande randonnée,tennis,parking public,site - lieu culturel,point de vue panoramique</t>
  </si>
  <si>
    <t>Carte Bancaire,Chèque,Chèques vacances,Espèces,American express</t>
  </si>
  <si>
    <t>teddy.clain@wanadoo.fr</t>
  </si>
  <si>
    <t>Endroit calme, chalet indépendant de la maison du propriétaire, accueil chaleureux, cuisine équipée de 32 m², une chambre équipée d'un lit superposé de 3 places et un lit de 2 places, une mezzanine avec un lit de 2 places. Dégustation de fruits de saison.</t>
  </si>
  <si>
    <t xml:space="preserve">Entre Saint-Louis et Saint-Pierre, à l'échangeur de Pierrefonds, prendre la direction Entre-Deux par la RD 26.
Temps de parcours de la nationale: 20 min. Suivre la direction le sculpteur de pierre dans le chemin des rêves. </t>
  </si>
  <si>
    <t>Chalets des Rêves - Clain Léonce</t>
  </si>
  <si>
    <t>27 Chalets des Rêves, 97403 Entre-Deux</t>
  </si>
  <si>
    <t xml:space="preserve">Clain Léonce : teddy.clain@wanadoo.fr / 0262433389 / 0692122761 ,  teddy.clain@wanadoo.fr / 0262433389 / 0692122761 </t>
  </si>
  <si>
    <t>-21.23057407, 55.47106571</t>
  </si>
  <si>
    <t>27 Chemin des Reves, Réunion</t>
  </si>
  <si>
    <t>Chalets du Sud</t>
  </si>
  <si>
    <t>Chalets du Sud
67, boulevard de l’Océan
97480 Saint-Joseph</t>
  </si>
  <si>
    <t>climatisation,jardin,lave linge privatif,parking,piscine,salle de sport,tennis,TV,aire de jeux pour enfant</t>
  </si>
  <si>
    <t>plage,tennis,pêche,parking public,point de vue panoramique</t>
  </si>
  <si>
    <t>Carte Bancaire,Chèque,Virement,Mandat postal,Espèces</t>
  </si>
  <si>
    <t>Chalets du Sud proposent la location de chalets à Manapany les Bains. 5 chalets de 5 personnes dans un fabuleux espace de loisirs situé à deux pas de la mer. Terrasse avec vue sur l’océan.</t>
  </si>
  <si>
    <t>De Saint-Pierre, prendre direction Saint-Joseph, passer le rond- point de Petite-Île et franchir le pont de la ravine Manapany jusqu'au croisement avec Manapany les bains, 1,5 km avant Saint-Joseph. Quitter la nationale sur la droite et rejoindre le boulevard de l'océan.</t>
  </si>
  <si>
    <t>Chalets du Sud  - Lefevre Ginot Gabriel</t>
  </si>
  <si>
    <t>67, boulevard de l’Océan, 97412 Saint-Joseph</t>
  </si>
  <si>
    <t xml:space="preserve">Lefevre Ginot Gabriel : 0692067949 ,  0692607929 </t>
  </si>
  <si>
    <t>-21.37627479, 55.59389751</t>
  </si>
  <si>
    <t>Manapany Les Bains, 69 Blvrd de l'Ocean, Saint-Joseph 97480, Réunion</t>
  </si>
  <si>
    <t>recuTyBQOgIlWc2zY</t>
  </si>
  <si>
    <t>Chambre et Table d'Hôte Les Hortensias</t>
  </si>
  <si>
    <t>Chambre et Table d'Hôte Les Hortensias
44 chemin de la Grande Ferme
97418 La Plaine des Cafres</t>
  </si>
  <si>
    <t>chauffage,parking,wifi</t>
  </si>
  <si>
    <t>sentier de randonnée,site - lieu culturel,jardin</t>
  </si>
  <si>
    <t>Espèces</t>
  </si>
  <si>
    <t>leshortensiasgrandeferme@gmail.com</t>
  </si>
  <si>
    <t>Parce que les Hauts de l'île se différencient par leur générosité,  La Chambre et Table d'hôte Les Hortensias à la Grande Ferme saura séduire les visiteurs pour son authenticité.</t>
  </si>
  <si>
    <t>Avec la pétillante Maryse à la baguette, possibilité de retrouver les traditions culinaires ainsi qu'un lieu propice au "Lâcher-prise". Maryse, l'hôtesse et maîtresse de maison guidera chacun dans son établissement pour que chaque passage ne laisse personne indifférent. La proximité des chambres avec la route forestière du volcan en font un atout majeur.</t>
  </si>
  <si>
    <t>En venant de la Nationale 3, tourner à droite vers la Cité du Volcan, puis suivre les panneaux. Au carrefour de la route forestière du volcan, prendre la direction la Grande Ferme sur 2, 5 km après 4 ralentisseurs à droite l'église de la Grande Ferme, continuer dans l'impasse et suivre les panneaux.</t>
  </si>
  <si>
    <t>Chambre d'Hôtes Les Hortensias - Payet Maryse</t>
  </si>
  <si>
    <t>44 chemin de la Grande Ferme, 97422 Le Tampon</t>
  </si>
  <si>
    <t>Payet Maryse : leshortensiasgrandeferme@gmail.com / 0692241433</t>
  </si>
  <si>
    <t>-21.2212, 55.589312</t>
  </si>
  <si>
    <t>70.00</t>
  </si>
  <si>
    <t>CSC231HT@</t>
  </si>
  <si>
    <t>Mode de paiment,Mobile,Capacité,Fournisseur - Nom,Fournisseur - contacts</t>
  </si>
  <si>
    <t>44 Chemin de la Grande Ferme plaine des Cafres, Le Tampon 97418, Réunion</t>
  </si>
  <si>
    <t>Chez Alex</t>
  </si>
  <si>
    <t>Chez Alex
2 bis, rue Josémont Lauret - Bourg Murat
Bourg Murat
97418 La Plaine des Cafres</t>
  </si>
  <si>
    <t>Restaurant,Snack-bar</t>
  </si>
  <si>
    <t>josiane.robert@mediaserv.net</t>
  </si>
  <si>
    <t>Situé à Bourg-Murat, le restaurant/snack propose une restauration rapide, sandwichs, poulet rôti et cuisine créole. Ouvert du jeudi au lundi de 9h00 à 19h30. Fermé le mardi et mercredi.</t>
  </si>
  <si>
    <t>Prendre la 4 voies du Tampon/Plaine des Cafres. Arrivé au rond-point de la tour des Azalées suivre la RN3 jusqu’à la Plaine des Cafres/Bourg Murat. A l’entrée village de Bourg-Murat prendre à droite au rond-point en direction de la route du volcan. Le restaurant snack Chez Alex se trouve à gauche sur la route.</t>
  </si>
  <si>
    <t>Chez Alex - Robert Alex</t>
  </si>
  <si>
    <t>2 bis, rue Josémont Lauret - Bourg Murat, 97422 Le Tampon</t>
  </si>
  <si>
    <t xml:space="preserve">Robert Alex : josiane.robert@mediaserv.net / 02062574059 / 0692082367 / 0262574059 ,  josiane.robert@mediaserv.net / 0262574059 / 0692082367 / 0262574059 </t>
  </si>
  <si>
    <t>-21.2042256,55.5780448</t>
  </si>
  <si>
    <t>2 Rue Josemont Lauret, La Plaine des Cafres, Réunion</t>
  </si>
  <si>
    <t>recUBqeeg4AJGfuv4</t>
  </si>
  <si>
    <t>Chez Alexis</t>
  </si>
  <si>
    <t>Chez Alexis
57, CD36 Notre Dame de la Paix
Plaine des Cafres
97418 La Plaine des Cafres</t>
  </si>
  <si>
    <t>alexis.irene@wanadoo.fr</t>
  </si>
  <si>
    <t>A La Plaine des Cafres, Chez Alexis propose une maison créole équipée pour 15 personnes.</t>
  </si>
  <si>
    <t>La maison comprend 4 chambres avec 3 lits doubles et 9 lits simples, une cuisine entièrement équipée, une cuisine au feu de bois, un abri de jardin, parking et un jardin de 500 m².</t>
  </si>
  <si>
    <t>Chez Alexis - Georget Jean Philippe</t>
  </si>
  <si>
    <t>57, CD Notre Dame de la Paix, 97422 Le Tampon</t>
  </si>
  <si>
    <t xml:space="preserve">Georget Jean Philippe: alexis.irene@wanadoo.fr / 0692561322 ,  alexis.irene@wanadoo.fr / 0692561322 </t>
  </si>
  <si>
    <t>CSC224HT@</t>
  </si>
  <si>
    <t>Adresse,Autre téléphone,Capacité,Fournisseur - Nom,Fournisseur - contacts</t>
  </si>
  <si>
    <t>Chez Bernadette</t>
  </si>
  <si>
    <t>Chez Bernadette
15 Ter Impasse des Lys - Bois Court
97430 Le Tampon</t>
  </si>
  <si>
    <t>rande maison à étage située dans un endroit calme avec belle vue sur le Dimitile</t>
  </si>
  <si>
    <t>15 Ter Impasse des Lys - Bois Court, 97422 Le Tampon</t>
  </si>
  <si>
    <t xml:space="preserve"> 0262591517 / 0692446031 ,  0262591517 / 0692446031 </t>
  </si>
  <si>
    <t>-21.324246, 55.554554</t>
  </si>
  <si>
    <t>15 Impasse des Lys, La Plaine des Cafres, Réunion</t>
  </si>
  <si>
    <t>recgHOUQzXpvpDXM2</t>
  </si>
  <si>
    <t>Chez Bibi</t>
  </si>
  <si>
    <t>Chez Bibi
8, rue Macaire
97414 Entre-Deux</t>
  </si>
  <si>
    <t>barbecue,climatisation,four,linge de maison,micro-ondes,parking,TV</t>
  </si>
  <si>
    <t>centre commercial</t>
  </si>
  <si>
    <t>chezbibi974@hotmail.com</t>
  </si>
  <si>
    <t>Dans le village de l'Entre-Deux, labellisé Village Créoles, Chez Bibi propose un meublé équipé pour 6 personnes.</t>
  </si>
  <si>
    <t>Il dispose de 2 chambres doubles, d'un coin salon avec clic-clac, d'une cuisine équipée, d'une varangue et d'un jardin.</t>
  </si>
  <si>
    <t>Direction Bras-Long, chemin Macaire en face du chemin Cafre au N°8.</t>
  </si>
  <si>
    <t>Chez Bibi - Clain Marie-Jeanne</t>
  </si>
  <si>
    <t>10, chemin Macaire, 97403 Entre-Deux</t>
  </si>
  <si>
    <t>Clain Marie Jeanne : chezbibi974@hotmail.com / 0262395747 / 0692678859 / Propriétaire , Clain Marie Jeanne : chezbibi974@hotmail.com / 0262395747 / 0692678859</t>
  </si>
  <si>
    <t>-21.239982, 55.46978</t>
  </si>
  <si>
    <t>CSC28HTJ</t>
  </si>
  <si>
    <t>Mode de paiment,Mobile,Autre téléphone,Capacité,Fournisseur - Nom,Fournisseur - contacts</t>
  </si>
  <si>
    <t>8 Rue Macaire, Réunion</t>
  </si>
  <si>
    <t>Chez Dan's</t>
  </si>
  <si>
    <t>Chez Dan's
40 A, route Notre-Dame de la Paix - Petite Ferme
Plaine des Cafres
97418 La Plaine des Cafres</t>
  </si>
  <si>
    <t>https://www.chezdans.fr</t>
  </si>
  <si>
    <t>Location de voiture</t>
  </si>
  <si>
    <t>Location de voiture de tourisme</t>
  </si>
  <si>
    <t>chez.dan.s@wanadoo.fr</t>
  </si>
  <si>
    <t>Chez Dan's propose la location de voiture climatisée. Kilométrage illimité. Possibilité de prise en charge à l'aéroport.</t>
  </si>
  <si>
    <t>Chez Dan's - Tachet Monique</t>
  </si>
  <si>
    <t>40 A, route Notre-Dame de la Paix, 97422 Le Tampon</t>
  </si>
  <si>
    <t xml:space="preserve">Tachet Daniel : chez.dan.s@wanadoo.fr / 0262591484 / 0692265022 ,  chez.dan.s@wanadoo.fr / 0262591484 / 0692265022 ,  chez.dan.s@wanadoo.fr / 0262591484 / 0692265022 ,  chez.dan.s@wanadoo.fr / 0262591484 / 0692265022 ,  chez.dan.s@wanadoo.fr / 0262591484 / 0692265022 </t>
  </si>
  <si>
    <t>-21.22618101, 55.57281904</t>
  </si>
  <si>
    <t>40 A route notre dame de la paix, cd36 petite ferme, La Plaine des Cafres 97418, Réunion</t>
  </si>
  <si>
    <t>http://www.chezdans.fr</t>
  </si>
  <si>
    <t>chez.dans@orange.fr</t>
  </si>
  <si>
    <t>A La Plaine des Cafres Chez Dan's dispose d'une table d'hôte.</t>
  </si>
  <si>
    <t>La table propose une cuisine métropolitaine et créole, à la demande et sur réservation. 2 formules sont proposées : entrée ou dessert, plat principal et boisson ou : entrée, plat de résistance, dessert et boissons. Dans les deux formules, l'apéritif, le digestif et le café sont offerts.</t>
  </si>
  <si>
    <t xml:space="preserve">Tachet Monique : chez.dans@orange.fr / 0262591484 / 0692265022 ,  chez.dans@orange.fr / 0262591484 / 0692265022 ,  chez.dans@orange.fr / 0262591484 / 0692265022 ,  chez.dans@orange.fr / 0262591484 / 0692265022 ,  chez.dans@orange.fr / 0262591484 / 0692265022 </t>
  </si>
  <si>
    <t>Chez Dan’s</t>
  </si>
  <si>
    <t>chauffage,jardin,lave linge privatif,linge de maison,linge de toilette,parking,salle de bain privée,sanitaires privés,TV</t>
  </si>
  <si>
    <t>Carte Bancaire,Eurocard,Chèque,Virement,Espèces,American express</t>
  </si>
  <si>
    <t>Chez Dan's, à la Plaine des Cafres, propose des chambres meublées tout confort et une table d’hôte à La Petite Ferme.</t>
  </si>
  <si>
    <t>Un petit village calme situé à quelques minutes de la route du volcan et à 7 km du sentier botanique de Notre Dame de la Paix. Un coin cuisine et une cuisine extérieure sont à disposition. Capacité de 13 personnes au rez-de-chaussée et de 4 personnes à l'étage.
Possibilité de petit-déjeuner sur réservation.</t>
  </si>
  <si>
    <t>CSC155HTK</t>
  </si>
  <si>
    <t>recFI3gPgFIdt1ds1</t>
  </si>
  <si>
    <t>Chez Guilaine</t>
  </si>
  <si>
    <t>Chez Guilaine
182, chemin Champ de Foire - PK 27
Plaine des Cafres
97418 La Plaine des Cafres</t>
  </si>
  <si>
    <t>Village,Volcan</t>
  </si>
  <si>
    <t>chezguilaine@gmail.com</t>
  </si>
  <si>
    <t>A La Plaine des Cafres, le restaurant Chez Guilaine propose une cuisine créole traditionnelle et métropolitaine dans un cadre convivial.</t>
  </si>
  <si>
    <t>Spécialités : boucané ti jaque, baba figue, rougail morue, rougail z'andouille, cari pat'cochon, gâteau patate-chouchou, crème brûlée.
Endroit calme à proximité du volcan.
Restaurant ouvert du lundi au dimanche et jours fériés de 11h à 14h30 et de 18h30 à 22h.</t>
  </si>
  <si>
    <t>Chez Guilaine - Noël Marie Guilaine</t>
  </si>
  <si>
    <t>3b, allées des Œillets - PK3 - Bassin Plat, 97416 Saint-Pierre</t>
  </si>
  <si>
    <t xml:space="preserve">Noël Marie Guilaine : chez-guilaine@gmail.com / 0262446330 / 0692670329 / Gérant(e) , NOEL Guilaine : chezguilaine@gmail.com / 0262446330 / 0692670329 / Propriétaire </t>
  </si>
  <si>
    <t>-21.204571, 55.582736</t>
  </si>
  <si>
    <t>182 Chemin du Champ de Foire, La Plaine des Cafres, Réunion</t>
  </si>
  <si>
    <t>recgWmAh3cvUhcnp7</t>
  </si>
  <si>
    <t>Chez Guimard</t>
  </si>
  <si>
    <t>Chez Guimard
4, route Forestière - Mare Longue
97442 Saint-Philippe</t>
  </si>
  <si>
    <t>marguerite.guimard@wanadoo.fr</t>
  </si>
  <si>
    <t>Située à Mare Longue à Saint-Philippe, la table d'hôte Chez Guimard propose une cuisine créole.</t>
  </si>
  <si>
    <t>Cuisine à partir des produits phares de la région : le palmiste, le vacoa et la papaye. Ouvert tous les jours sur réservation uniquement. Connexion internet possible. Ouvert tous les jours sauf le lundi.</t>
  </si>
  <si>
    <t xml:space="preserve">De l'Est, dépasser la gendarmerie, rouler jusqu'à la forêt de Mare Longue puis suivre la signalétique du "Jardin des Parfums et des Epices".
De l'ouest, passer le site du "Puits des Anglais", rouler jusqu'à la forêt de Mare Longue puis suivre la signalétique du "Jardin des Parfums et des Epices". </t>
  </si>
  <si>
    <t>Chez Guimard - Guimard</t>
  </si>
  <si>
    <t>4, route Forestière - Mare Longue, 97417 Saint-Philippe</t>
  </si>
  <si>
    <t xml:space="preserve">Guimard  : marguerite.guimard@wanadoo.fr / 0262370963 / 0262370758 , Guimard  : marguerite.guimard@wanadoo.fr / 0262370963 / 0262370758 </t>
  </si>
  <si>
    <t>-21.354676, 55.741561</t>
  </si>
  <si>
    <t>Mode de paiment,Fax,Capacité,Descriptif du plan d'accès</t>
  </si>
  <si>
    <t>4 Route Forestiere Mare Longue, Saint-Philippe 97400, Réunion</t>
  </si>
  <si>
    <t>recOgVXEaxn2YOO2r</t>
  </si>
  <si>
    <t>Chez Jim</t>
  </si>
  <si>
    <t>Chez Jim
194, route de la Passerelle
Langevin
97480 Saint-Joseph</t>
  </si>
  <si>
    <t>boyermatho@gmail.com</t>
  </si>
  <si>
    <t>Situé dans le Sud Sauvage, dans le quartier de Langevin à Saint-Joseph, le snack Chez Jim propose une cuisine créole.</t>
  </si>
  <si>
    <t>Plusieurs plats du jour sont proposés. Repas sur place et à emporter.</t>
  </si>
  <si>
    <t>Chez Jim - Boyer Fabrice</t>
  </si>
  <si>
    <t>194, route de la Passerelle, 97412 Saint-Joseph</t>
  </si>
  <si>
    <t>Boyer Fabrice: boyermatho@gmail.com / 0262565601 / 0262565601</t>
  </si>
  <si>
    <t>-21.361674, 55.646508</t>
  </si>
  <si>
    <t>Mode de paiment,E-Mail,Capacité,Fournisseur - SIRET</t>
  </si>
  <si>
    <t>194,route de la passerelle langevin Saint Joseph RE 97480, 194 Rue De La Passerelle, Réunion</t>
  </si>
  <si>
    <t>recsyXbRKSA67ITRW</t>
  </si>
  <si>
    <t>Chez Jo</t>
  </si>
  <si>
    <t>Chez Jo
143, boulevard de l’Océan - Place Luc Donat - Manapany les Bains
97480 Saint-Joseph</t>
  </si>
  <si>
    <t>parking autocar,parking,ventilateur</t>
  </si>
  <si>
    <t>plage,tennis,pêche,centre commercial,parking public,site - lieu culturel,point de vue panoramique</t>
  </si>
  <si>
    <t>n.patchanelacane@hotmail.fr</t>
  </si>
  <si>
    <t>Situé à Saint-Joseph, le bar-restaurant Chez Jo propose de la cuisine créole et métropolitaine.</t>
  </si>
  <si>
    <t>Spécialités : espadon grillé, zourite (en saison), rougail saucisses, sauté de mines, jus de fruits maison.</t>
  </si>
  <si>
    <t>Chez Jo - Labenne Joseph</t>
  </si>
  <si>
    <t>143, boulevard de l’Océan - Place Luc Donat, 97412 Saint-Joseph</t>
  </si>
  <si>
    <t xml:space="preserve">Labenne Joseph : 0262314883 / Gérant(e) ,  0262314883 </t>
  </si>
  <si>
    <t>-21.37321543, 55.58886363</t>
  </si>
  <si>
    <t>Mode de paiment,E-Mail,Capacité</t>
  </si>
  <si>
    <t>101 Blvrd de l'Ocean, Manapany-Les-Bains, Réunion</t>
  </si>
  <si>
    <t>rec8DhsZsYfVea4Pd</t>
  </si>
  <si>
    <t>Chez Madame Mézino</t>
  </si>
  <si>
    <t>Chez Madame Mézino
81, rue Alexandre Fleming - PK 12
97430 Le Tampon</t>
  </si>
  <si>
    <t>Milieu rural,zone résidentielle</t>
  </si>
  <si>
    <t>barbecue,jardin,linge de maison,parking,TV,ventilateur</t>
  </si>
  <si>
    <t>mezino.bungalow@yahoo.fr</t>
  </si>
  <si>
    <t>Chez Madame Mézino  propose 3 meublés entièrement équipés et indépendants, situés dans un cadre agréable avec jardin clos.</t>
  </si>
  <si>
    <t>L'un, contigu à la maison du propriétaire offre un confort à 6 personnes, avec 3 chambres, 2 salles d'eau et un vaste séjour cuisine avec terrasse.
L'autre, charmante petite case créole en mitoyenneté accueille 2 personnes.
Madame Mézino propose aussi un gîte mitoyen, équipé pour 5 personnes avec une chambre double et des couchages individuels en mezzanine.
A 2 km du centre ville, à 10 km de la mer et des Hautes Plaines avec ses départs de randonnées.</t>
  </si>
  <si>
    <t>A partir de Saint-Pierre, prendre la direction Le Tampon. Rester sur  la RN 3 et à partir du rond point des palmiers et la quincaillerie Catena, sortir au quatrième virage sur la droite. Suivre le fléchage jusqu'au 81t de la rue Alexandre Flemming.</t>
  </si>
  <si>
    <t>Chez Madame Mézino - Mézino Astérie</t>
  </si>
  <si>
    <t>81, rue Alexandre Fleming - PK 12, 97422 Le Tampon</t>
  </si>
  <si>
    <t xml:space="preserve">Mezino Asterie : mezino.bungalow@yahoo.fr / 0262272238 / 0692699218 / 0262272238 / Propriétaire ,  mezino.bungalow@voila.fr / 0262272238 / 0692699218 / 0262272238 </t>
  </si>
  <si>
    <t>-21.271438, 55.529032</t>
  </si>
  <si>
    <t>250.00</t>
  </si>
  <si>
    <t>CSC107HTH</t>
  </si>
  <si>
    <t>Mode de paiment,Fax,Capacité,Descriptif</t>
  </si>
  <si>
    <t>81 Rue Alexandre Flemming, Réunion</t>
  </si>
  <si>
    <t>Chez Malika</t>
  </si>
  <si>
    <t>Chez Malika
30, rue Vallon Hoarau
97430 Le Tampon</t>
  </si>
  <si>
    <t>poste - boite aux lettres,banque - guichet automatique,commerce alimentaire,parking public</t>
  </si>
  <si>
    <t>Dans le sud de l'île au Tampon, Chez Malika propose une cuisine du sud-ouest avec des produits péi.</t>
  </si>
  <si>
    <t>Foie gras, magret de canard frais ou fumé, cassoulet maison, confits, etc... . Tous les plats et desserts sont faits maison.
Ouvert du mardi soir au dimanche midi.</t>
  </si>
  <si>
    <t>-21.28452, 55.51716</t>
  </si>
  <si>
    <t>recmiDV28icOd30Zx</t>
  </si>
  <si>
    <t>Chez Manman</t>
  </si>
  <si>
    <t>Chez Manman
325 rue Jules Bertaut
97430 Le Tampon</t>
  </si>
  <si>
    <t>https://www.chezmanman.com/</t>
  </si>
  <si>
    <t>contactchezmanman@gmail.com</t>
  </si>
  <si>
    <t>Chez Manman est une entreprise familiale cuisinant pour vous des recettes authentiques et traditionnelles, transmises de générations en générations favorisant les productions locales.</t>
  </si>
  <si>
    <t>Le restaurant propose des plats cuisinés exclusivement sur place avec essentiellement des produits frais (poulet d'élevage, porc, grattons de charcuterie etc) sans exhausteurs de goût (vetsin) et en attachant une attention particulière à l'utilisation modéré de matière grasse (huile, beurre etc).
Tout cela dans le seul but d'assurer une cuisine de qualité, à un prix très abordable, en toute simplicité, "comme chez Maman!".
Clé de leur succès : "Un service rapide et efficace, proposant des repas variés, de bonne qualité, et d'un goût exceptionnel à chaque fois."</t>
  </si>
  <si>
    <t>325 rue Jules Bertaut, 97422 Le Tampon</t>
  </si>
  <si>
    <t xml:space="preserve"> contactchezmanman@gmail.com / 0262421053 ,  contactchezmanman@gmail.com / 0262421053 </t>
  </si>
  <si>
    <t>-21.27648, 55.521566</t>
  </si>
  <si>
    <t>325 Rue Jules Bertaut, Réunion</t>
  </si>
  <si>
    <t>Chez Marie</t>
  </si>
  <si>
    <t>Chez Marie
223, chemin du Petit Tampon
97430 Le Tampon</t>
  </si>
  <si>
    <t>micro-ondes,parking,salle de bain privée,sanitaires privés,wifi</t>
  </si>
  <si>
    <t>chezmariechambredhotes@gmail.com</t>
  </si>
  <si>
    <t>Entre mer et volcan, Chez Marie propose 2 chambres d'hôtes</t>
  </si>
  <si>
    <t>La chambre située en rez de jardin est équipée d'une kitchenette (sans plaque de cuisson) et d'une petite terrasse et l'autre chambre située à l'étage est équipée d'un frigo, d'un micro-ondes,d' une bouilloire électrique et d'un balcon. Le petit déjeuner est servi sur la terrasse de la maison principale du propriétaire. Vue panoramique sur le littoral. Bien située pour rayonner vers les plaines et les côtes.</t>
  </si>
  <si>
    <t>De Saint-Pierre, prendre la N3, au rond-point (Muta), tourner à droite direction Petit Tampon, au rond-point tourner à gauche (rue Edgar Avril), au rond-point en haut du collège Terrain Fleury, tourner à droite. A l'intersection prendre chemin Jean Baptiste Huet, continuer sur 2 km environ jusqu'à l'agence postale, tourner à gauche chemin de la Chapelle. a l'intersection tourner à droite (chemin du Petit Tampon), continuer sur 700 m environ la chambre d'hôte se trouve au n°223 à gauche en montant.</t>
  </si>
  <si>
    <t>Chez Marie - Hoarau Marie-France</t>
  </si>
  <si>
    <t>223, chemin du Petit-Tampon, 97422 Le Tampon</t>
  </si>
  <si>
    <t xml:space="preserve">Hoarau Marie-France : chezmariechambredhotes@gmail.com / 0692052797 / Propriétaire , Hoarau Marie-France : chezmariechambredhotes@gmail.com / 0692052797 / Propriétaire </t>
  </si>
  <si>
    <t>-21.27515, 55.548311</t>
  </si>
  <si>
    <t>223 Chemin du Petit Tampon, Le Tampon 97430, Réunion</t>
  </si>
  <si>
    <t>recBwIkZXrkiVim1Q</t>
  </si>
  <si>
    <t>Chez Moustache et Rose-May</t>
  </si>
  <si>
    <t>Chez Moustache et Rose-May
9, RN2 - le Tremblet
97442 Saint-Philippe</t>
  </si>
  <si>
    <t>rmdugain974@gmail.com</t>
  </si>
  <si>
    <t>Situé au Tremblet à Saint-Philippe, le restaurant Chez Moustache et Rose-May propose une cuisine créole traditionnelle au feu de bois.</t>
  </si>
  <si>
    <t>Ouvert tous les jours de 11h30 à 14h30. Fermé le vendredi sauf réservation.</t>
  </si>
  <si>
    <t>De l'Ouest, dépasser le centre ville de Saint-Philippe, direction le Tremblet, le restaurant se trouve à gauche à quelques mètres de "l'Escale Bleue". De l'Est, direction centre-ville de Saint-Philippe le restaurant se situe à 500 m de la coulée de 1986.</t>
  </si>
  <si>
    <t>9, RN2 - Tremblet, 97417 Saint-Philippe</t>
  </si>
  <si>
    <t>Rosely  : rmdugain974@gmail.com / 0692344149 ,  rmdugain974@gmail.com / 0692344149</t>
  </si>
  <si>
    <t>-21.32162, 55.800042</t>
  </si>
  <si>
    <t>Mode de paiment,Mobile,Autre téléphone,Capacité,Fournisseur - contacts</t>
  </si>
  <si>
    <t>9 Route Nationale 2 le Tremblet, Réunion</t>
  </si>
  <si>
    <t>Chez Myris</t>
  </si>
  <si>
    <t>Chez Myris
8, rue Josémont Lauret - Bourg Murat
Bourg Murat
97418 La Plaine des Cafres</t>
  </si>
  <si>
    <t>parking,salle de bain commune,sanitaires communs,TV</t>
  </si>
  <si>
    <t>maeva.picard@orange.fr</t>
  </si>
  <si>
    <t>Situé à la Plaine des Cafres, le gîte Chez Myris propose 2 chambres doubles et 12 places en dortoir. Un repas chaud sera servi aux randonneurs. Vue panoramique sur le Piton des Neiges. Chambre double : 36 €, repas à 17 € sur réservation 48h à l'avance et petit déjeuner 5 € par personne. Le gîte propose également des paniers pique-nique à 5 € (sur réservation).
Ce gîte adhère au réseau de l'Association des Gestionnaires des Gîtes de Montagne (AGGM). Animaux non admis.</t>
  </si>
  <si>
    <t xml:space="preserve">Depuis le Sud, à Saint-Pierre prendre la 4 voies en direction du Tampon/Plaine des Cafres et aller jusqu'au village de Bourg Murat. Tourner à droite au rond-point de la Maison du Volcan et continuer tout droit jusqu'à la rue Josémont Lauret. Le gîte Chez Myris se situe au n°8 de la rue à droite.
Depuis les Plaines, prendre la RN 3, traverser le village de Bourg Murat jusqu'au rond-point de la Maison du Volcan. Au rond-point, prendre à gauche et continuer tout droit jusqu'à la rue Josémont Lauret. Le gîte Chez Myris se situe au n°8 de la rue à droite. </t>
  </si>
  <si>
    <t>Chez Myris - Picard Sébastien</t>
  </si>
  <si>
    <t>8 rue Josémont Lauret, 97422 Le Tampon</t>
  </si>
  <si>
    <t xml:space="preserve">Picard Sébastien : maeva.picard@orange.fr / 0262499843 / 0692875266 , Picard Sébastien : maeva.picard@orange.fr / 0692546843 / 0262499843 / Propriétaire </t>
  </si>
  <si>
    <t>-21.20416777, 55.57722099</t>
  </si>
  <si>
    <t>8 Rue Josemont Lauret, La Plaine des Cafres, Réunion</t>
  </si>
  <si>
    <t>Chez Noella</t>
  </si>
  <si>
    <t>Chez Noella
11, chemin Bois d'Osto - Petit Tampon
97430 Le Tampon</t>
  </si>
  <si>
    <t>chauffage,jardin,lave linge privatif,parking</t>
  </si>
  <si>
    <t>sentier de randonnée,tennis,parking public,point de vue panoramique</t>
  </si>
  <si>
    <t>Appartement agréable avec terrasse situé à l'étage de la maison du propriétaire. Entouré de canne à sucre, dans un cadre plaisant avec vue imprenable sur l'océan. Equipé avec goût pour 4  à 5 personnes. Idéal pour les amateurs de randonnées, de la plage ou aspirant à la tranquillité...</t>
  </si>
  <si>
    <t xml:space="preserve">Depuis le Sud, prendre la 4 voies en direction du Tampon.  Arrivé au rond point des Chandelles du Tampon, prendre à droite direction du Petit Tampon. Une fois dans le chemin du Petit Tampon, prendre à gauche juste après le ralentisseur. Faire à peu près 2,5 km au n° 11 du chemin Bois d'Osto.
Depuis les Plaines, suivre la RN 3 et descendre jusqu'au rond-point de la caserne des pompiers du Tampon. A ce rond-point, prendre à gauche direction du Petit Tampon. Une fois dans le chemin du Petit Tampon, prendre à gauche juste après le ralentisseur. Faire à peu près 2,5 km au n° 11 du chemin Bois d'Osto. </t>
  </si>
  <si>
    <t>Chez Noella - Morel Noella</t>
  </si>
  <si>
    <t>11, chemin Bois d'Osto - Petit Tampon, 97422 Le Tampon</t>
  </si>
  <si>
    <t xml:space="preserve">Morel Noella : 0262570640 , Morel Noella : 0262570640 </t>
  </si>
  <si>
    <t>-21.27581294, 55.54048886</t>
  </si>
  <si>
    <t>11 Chemin Bois D Osto, Réunion</t>
  </si>
  <si>
    <t>Chez Orlando</t>
  </si>
  <si>
    <t>Chez Orlando
3, allée Saint Exupéry - Trois Mares
97430 Le Tampon</t>
  </si>
  <si>
    <t>barbecue,four,jardin,lave linge privatif,parking,TV</t>
  </si>
  <si>
    <t>équitation,VTT</t>
  </si>
  <si>
    <t>moniquelapierre-974@wanadoo.fr</t>
  </si>
  <si>
    <t>Situé dans le quartier de Trois Mares, Chez Orlando se trouve à moins de 5 min du centre ville du Tampon, à 25 min en voiture de la plage de Saint-Pierre et à 1 h du Volcan.</t>
  </si>
  <si>
    <t>Logement indépendant situé au rez-de-chaussée d'une villa  occupée par les propriétaires, entièrement équipée pour 4 personnes, avec 2 chambres, un coin-cuisine et séjour.
Jardin gazonné, fleuri et clôturé. Eau chaude alimentant salle de bains et cuisine. Possibilité berceau sur demande. Tarifs dégressifs pour les longs séjours.</t>
  </si>
  <si>
    <t xml:space="preserve">Depuis le Sud, prendre la 4 voies en direction du Tampon/Trois Mares. Au rond-point du Crédit Agricole du Trois Mares, continuer tout droit sur 300 m environ et tourner ensuite à droite dans l'allée Saint Exupéry. Le meublé se trouve au n° 3.
Depuis les Plaines, suivre la RN 3, traverser le  village de bourg Murat et descendre jusqu'au Tampon/Trois Mares. Au rond-point du Crédit Agricole du Trois Mares, continuer tout droit sur 300 m environ et tourner ensuite à droite dans l'allée Saint Exupéry. Le meublé se trouve au n° 3. </t>
  </si>
  <si>
    <t>Chez Orlando - Lapierre Monique</t>
  </si>
  <si>
    <t>3, allée Saint Exupéry, 97422 Le Tampon</t>
  </si>
  <si>
    <t xml:space="preserve">Lapierre Monique : moniquelapierre-974@wanadoo.fr / 0262271235 / 0692100792 / Propriétaire , Lapierre Monique : moniquelapierre-974@wanadoo.fr / 0262271235 / 0692100792 / 0262271235 / Propriétaire </t>
  </si>
  <si>
    <t>-21.25762676, 55.50212324</t>
  </si>
  <si>
    <t>3 allée Saint Exupéry, Trois Mares, 97430, Le Tampon, Réunion</t>
  </si>
  <si>
    <t>recbVc5mFSqsbL3Va</t>
  </si>
  <si>
    <t>Chez Rolande Chamand</t>
  </si>
  <si>
    <t>Chez Rolande Chamand
93, route Notre Dame de la Paix – Petite Ferme
Plaine aux Sables
97418 La Plaine des Cafres</t>
  </si>
  <si>
    <t>Plaine aux Sables / Cirque de Mafate</t>
  </si>
  <si>
    <t>Case typique créole dans les hauts de l’île.</t>
  </si>
  <si>
    <t>2 chambres de 6 personnes.</t>
  </si>
  <si>
    <t>93, route Notre Dame de la Paix – Petite Ferme, 97422 Le Tampon</t>
  </si>
  <si>
    <t xml:space="preserve"> 0262597592 / 0692656867 ,  0262597592 / 0692656867 </t>
  </si>
  <si>
    <t>-21.246126, 55.594081</t>
  </si>
  <si>
    <t>Chez Ti Jean</t>
  </si>
  <si>
    <t>Chez Ti Jean
7, rue du Dr Roussel
97430 Le Tampon</t>
  </si>
  <si>
    <t>banque - guichet automatique,équitation,parking public,site - lieu culturel,point de vue panoramique</t>
  </si>
  <si>
    <t>Carte Bancaire,Eurocard,Espèces</t>
  </si>
  <si>
    <t>Chez Ti Jean est un restaurant situé dans la ville du Tampon proposant des spécialités chinoises.</t>
  </si>
  <si>
    <t>7, rue du Dr Roussel, 97422 Le Tampon</t>
  </si>
  <si>
    <t xml:space="preserve"> 0262220708 ,  0262220708 </t>
  </si>
  <si>
    <t>-21.2209911,55.5579927</t>
  </si>
  <si>
    <t>Le Tampon, Réunion</t>
  </si>
  <si>
    <t>Chez Ti Jean
7, rue du Docteur Roussel
97430 Le Tampon</t>
  </si>
  <si>
    <t>Situé au Tampon, le restaurant Chez Ti Jean propose une cuisine asiatique.</t>
  </si>
  <si>
    <t>7, rue du Docteur Roussel, 97422 Le Tampon</t>
  </si>
  <si>
    <t>-21.281121,55.514088</t>
  </si>
  <si>
    <t>7 Rue du Docteur Henri Roussel, Réunion</t>
  </si>
  <si>
    <t>Chez Turpin</t>
  </si>
  <si>
    <t>Chez Turpin
6, impasse des Lys - Bois Court
97430 Le Tampon</t>
  </si>
  <si>
    <t>chauffage,jardin,lave linge privatif,parking,TV</t>
  </si>
  <si>
    <t>Charmante villa toute équipée pour 20 personnes située dans le village de Bois Court à plus de 1 300 m d'altitude, pour des séjours remplis de fraîcheur. Disposant de 7 chambres, la maison est équipée d'une cheminée, dans un environnement calme et chaleureux. 
A proximité de randonnées telles que Grand Bassin, le Volcan, le Piton des Neiges...</t>
  </si>
  <si>
    <t xml:space="preserve">Depuis le Sud, prendre la 4 voies en direction du Tampon/ Plaine des Cafres. Suivre la RN 3 jusqu'au 23ème km. Juste après le supermarché Casino, tourner à gauche dans la rue Raphaël Douyère et aller au bout de la rue jusqu'au village de Bois Court. 5 km plus loin, après la pâtisserie du Bois Court, tourner à gauche dans l'impasse des Lys. La structure se situe au n° 6.
Depuis les Plaines, suivre la RN3 et aller jusqu'au 23ème km. Juste après l'église du 23ème Km et avant le supermarché Casino, tourner à droite dans la rue Raphaël Douyère. Aller au bout de la rue jusqu'au village de Bois Court. 5 km  plus loin, après la pâtisserie du Bois Court, tourner à gauche dans l'impasse des Lys. La structure se situe au n° 6. </t>
  </si>
  <si>
    <t>Chez Turpin - Turpin Amélie</t>
  </si>
  <si>
    <t>6, impasse des Lys, 97422 Le Tampon</t>
  </si>
  <si>
    <t>Turpin Amélie : amelieturpin648@orange.fr / 0262277733 / 0692684856</t>
  </si>
  <si>
    <t>-21.19486308, 55.53698947</t>
  </si>
  <si>
    <t>CheZot</t>
  </si>
  <si>
    <t>CheZot
13, allée des Hibiscus
97480 Saint-Joseph</t>
  </si>
  <si>
    <t>contact@chezot.re</t>
  </si>
  <si>
    <t>A Saint-Joseph, le restaurant CheZot propose une cuisine métropolitaine et créole.</t>
  </si>
  <si>
    <t>Des plats sont préparés a base de produits frais et le pain fait maison.
Ouvert du lundi au jeudi de 10h à 17h, vendredi et samedi de 10h à 23h. Accès wifi gratuit.</t>
  </si>
  <si>
    <t>13, allée des Hibiscus, 97412 Saint-Joseph</t>
  </si>
  <si>
    <t xml:space="preserve"> contact@chezot.re / 0262882796 / 0693307041 ,  contact@chezot.re / 0262882796 / 0693307041 </t>
  </si>
  <si>
    <t>-21.381272, 55.609975</t>
  </si>
  <si>
    <t>13 Allée des Hibiscus, Réunion</t>
  </si>
  <si>
    <t>Cho-Cho (Le)</t>
  </si>
  <si>
    <t>Cho-Cho (Le)
Rue du Commerce
97414 Entre-Deux</t>
  </si>
  <si>
    <t>sentier de randonnée,parking public,site - lieu culturel,point de vue panoramique</t>
  </si>
  <si>
    <t>Le Cho-Cho, à l'Entre-Deux, propose une cuisine créole et chinoise principalement sous forme de restauration rapide.</t>
  </si>
  <si>
    <t>-21.247889, 55.47074</t>
  </si>
  <si>
    <t>Chocas (Le)</t>
  </si>
  <si>
    <t>Chocas (Le)
12, rue de l’église
97414 Entre-Deux</t>
  </si>
  <si>
    <t>Situé dans le village de l'Entre-Deux, le Restaurant Le Chocas propose une cuisine traditionnelle. Spécialités : chocas, desserts créoles. Ouvert le midi, du mardi au dimanche et le soir, vendredi et samedi.</t>
  </si>
  <si>
    <t>Sur la commune de l'Entre-Deux, suivre les panneaux signalétiques et prendre la rue en face de l'église.</t>
  </si>
  <si>
    <t>Chocas (Le) - Richard André</t>
  </si>
  <si>
    <t>12, rue de l’église, 97403 Entre-Deux</t>
  </si>
  <si>
    <t>André Richard : 0262393000 / 0692695606 / 0262393000 / Gérant€</t>
  </si>
  <si>
    <t>-21.24796696, 55.47254361</t>
  </si>
  <si>
    <t>12 Rue de L'Eglise, Entre-Deux, Réunion</t>
  </si>
  <si>
    <t>Cinéma Le Royal</t>
  </si>
  <si>
    <t>Cinéma Le Royal
8, rue Amiral Lacaze
97480 Saint-Joseph</t>
  </si>
  <si>
    <t>Théâtre ou salle de spectacle,Cinéma</t>
  </si>
  <si>
    <t>Situé à Saint-Joseph, le Cinéma Royal se compose d'une salle de projection de films d'environ 435 places. C'est aussi une salle de spectacle. Séances de cinéma tous les jours sauf le lundi et le dimanche.</t>
  </si>
  <si>
    <t>Cinéma le Royal</t>
  </si>
  <si>
    <t>8, rue Amiral Lacaze, 97412 Saint-Joseph</t>
  </si>
  <si>
    <t xml:space="preserve"> 0262204976 ,  0262204976 </t>
  </si>
  <si>
    <t>-21.380129, 55.615896</t>
  </si>
  <si>
    <t>8 Rue Amiral Lacaze, Réunion</t>
  </si>
  <si>
    <t>recmG8eVRN6kwvyRU</t>
  </si>
  <si>
    <t>Cité du Volcan (La)</t>
  </si>
  <si>
    <t>Réunion des Musées Régionaux - RMR</t>
  </si>
  <si>
    <t>Cité du Volcan (La)
RN 3 -  Bourg Murat
Bourg Murat
97418 La Plaine des Cafres</t>
  </si>
  <si>
    <t>http://www.museesreunion.fr/la-cite-du-volcan/</t>
  </si>
  <si>
    <t>Musée</t>
  </si>
  <si>
    <t>Montagne,Milieu rural,Volcan,Parc National de la Réunion</t>
  </si>
  <si>
    <t>français,anglais,chinois,Langue des Signes Française</t>
  </si>
  <si>
    <t>cdv.reservations@museesreunion.re</t>
  </si>
  <si>
    <t>Rénovée par la Région Réunion de 2010 à 2014, la Cité du Volcan a ouvert ses portes au public le 5 août 2014. Ce pôle d’attraction touristique de premier plan est également un centre pédagogique et scientifique international.
Cet équipement de 6 000 m² propose une muséographie innovante qui intègre de nombreux dispositifs et maquettes interactives pour une visite ludique, attractive et pédagogique : salle de spectacle à 270°, cinéma 4D, tunnel de lave multisensoriel, effets sonores, etc.
Billet valable pendant 12 mois à partir de la date d'achat.</t>
  </si>
  <si>
    <t>Cette muséographie d’immersion est obtenue par l’utilisation de nombreux dispositifs innovants et interactifs tels que la projection holographique, la réalité augmentée, les surfaces «multitouch» grand format, les ambiances sonores et visuelles…
L'ensemble de ces procédés technologiques place le visiteur dans des conditions reproduisant certaines caractéristiques des volcans et lui permet d’éprouver des sensations et de vivre pleinement le propos de l’exposition.
La découverte de La Réunion à la Cité du Volcan se décline en 3 niveaux : 
-Niveau 1 : tunnel de lave, le hall, le film panoramique etc...
-Niveau 2 : la salle aux trésors (la lithothèque), le Piton de la Fournaise au cœur des mythes, l’observatoire volcanique etc...
-Niveau 3 : le centre de documentation, l’auditorium
Fermé les 25 décembre, 1er janvier et 1er mai.
Informations pratiques : 
Le cinéma 4D est à réserver directement auprès de la Cité du Volcan
Fermeture de la billetterie à 16h15
Musée ouvert de 13h à 17h le lundi et de 9h30 à 17h du mardi au dimanche
Durée de la visite : environ 2h
A noter : 
-Fermée les 1er janvier, 1er mai, 1er novembre et 25 décembre
-Fermeture à 13h30 les 24 et 31 décembre
Les points forts : 
-Différents niveaux de découverte de La Réunion
Informations pratiques : 
Le cinéma 4D est à réserver directement auprès de la Cité du Volcan
Fermeture de la billetterie à 16h15
Musée ouvert de 13h à 17h le lundi et de 9h30 à 17h du mardi au dimanche. Durée de la visite : environ 2h
A noter : 
-Fermée les 1er janvier, 1er mai, 1er novembre et 25 décembre
-Fermeture à 13h30 les 24 et 31 décembre
Les points forts : 
-Différents niveaux de découverte de La Réunion
- Chaque dimanche, retrouvez la mascotte Ti'Krator dans les allées de la Cité du Volcan pour une animation/déambulation des plus ludiques (de 9h30 à 12h30 et de 13h30 à 16h30). 
- Un espace dédié au jeune public pour leur permettre de se détendre en leur proposant des jeux sur la thématique des volcans.</t>
  </si>
  <si>
    <t>Lundi :  - 13:00 17:00</t>
  </si>
  <si>
    <t>Qualité Tourisme Ile de La Réunion,Qualité Tourisme,Certification pour l’accueil de la clientèle indienne</t>
  </si>
  <si>
    <t>Réunion des Musées Régionaux</t>
  </si>
  <si>
    <t>20F, immeuble Qtech - Rue de l'Etang - ZI Bel Air, 97414 Saint-Louis</t>
  </si>
  <si>
    <t xml:space="preserve">Sita Jean François : dgd@museesreunion.re / 0262575757 / 0262965228 / Président(e) ,  citeduvolcan@museesreunion.re / 0262590026 ,  kelonia@museesreunion.re / 0262348110 / 0262347687 ,  contact@madoi.re / 0262912430 / 0262912435 ,  contact@museesreunion.re / 0262345960 </t>
  </si>
  <si>
    <t>Sud - Saint-Louis</t>
  </si>
  <si>
    <t>-21.202908, 55.574574</t>
  </si>
  <si>
    <t>https://book.reunion.fr/fr/evenements/a1397870/cité-du-volcan-visite-du-musée-billet-open/booking | Réunion.fr</t>
  </si>
  <si>
    <t>Site web,E-Mail,Accroche,Descriptif,Fournisseur - Nom</t>
  </si>
  <si>
    <t>RN3, Tampon (Le), Réunion</t>
  </si>
  <si>
    <t>Claire et Babette</t>
  </si>
  <si>
    <t>Claire et Babette
166, rue Albert Fréjaville
97430 Le Tampon</t>
  </si>
  <si>
    <t>Carte Bancaire,Eurocard,Chèque,Chèques vacances,Mandat postal,Espèces,American express</t>
  </si>
  <si>
    <t>Situé au Tampon, le restaurant Claire et Babette propose une cuisine du monde. Repas enfant sur demande.
Ouvert du mardi au samedi, fermé le mardi et mercredi soir soir et dimanche et lundi toute la journée.</t>
  </si>
  <si>
    <t xml:space="preserve">Depuis le Sud : Prendre la 4 voies en direction le Tampon/Plaine des Cafres, arrivé au rond point de la tour des Azalée prendre la 3ème sortie sur la droite direction le marché couvert du Tampon, au second rond point-prendre la 1ère à droite, après l’école tourner à gauche toujours en direction du marché couvert du Tampon. Au rond point du marché couvert prendre à droite et le restaurant se trouve à droite tout en haut de la rue.
Depuis les Plaines : Suivre la RN3 en direction le Tampon, jusqu’au rond point du 11ème km, prendre la première sortie à droite, descendre la rue Jules Bertaut, au second rond point continuer tout droit, au stop continuer à descendre puis prendre à droite direction le marché couvert du Tampon. Au rond point prendre sur la droite et le restaurant se trouve sur votre droite en haut de la rue. </t>
  </si>
  <si>
    <t>166, rue Albert Fréjaville, 97422 Le Tampon</t>
  </si>
  <si>
    <t>0262335799 / 0692881337</t>
  </si>
  <si>
    <t>-21.279112, 55.515238</t>
  </si>
  <si>
    <t>166 Rue Albert Frejaville, 97430, Réunion</t>
  </si>
  <si>
    <t>recq84y7vJYhhyPAZ</t>
  </si>
  <si>
    <t>Clotilis</t>
  </si>
  <si>
    <t>Clotilis
54, chemin Isautier
97430 Le Tampon</t>
  </si>
  <si>
    <t>http://www.clotilis.com</t>
  </si>
  <si>
    <t>barbecue,chauffage,fer et planche à repasser,four,jardin,lave linge privatif,lave vaisselle,micro-ondes,parking,TV,ventilateur,wifi</t>
  </si>
  <si>
    <t>commerce alimentaire</t>
  </si>
  <si>
    <t>contact@clotilis.com</t>
  </si>
  <si>
    <t>3 Etoile(s)</t>
  </si>
  <si>
    <t>Dans le Sud de l’île, entre mer et montagne, dans un climat plus frais que la côte, Clotilis propose un appartement récent en rez de jardin de la villa, meublé tout confort.</t>
  </si>
  <si>
    <t>L'appartement dispose d'une belle terrasse de 100 m², équipée d'une cuisine extérieure (barbecue, gazinière) donnant sur un joli jardin arboré et d'un parking sécurisé.
Mise à votre disposition d'un nécessaire pour bébé (lit parapluie, matelas à langer, baignoire et chaise haute). Accessoires plage disponibles (serviettes, glacière) et un matelas gonflable confortable 1 personne.
Le Tampon est un point idéal pour visiter le sud sauvage mais aussi le volcan, la cité du volcan en 20 min, ainsi que les plages de Saint-Pierre. Le magnifique Parc aux 1800 Palmiers à 5 min pour des promenades toute en douceur et pour les sportifs l'agréable parcours de santé Bel Air d'environ 2 km en boucle. Le marché forain du Tampon, et de Saint-Pierre le samedi, tous commerces à proximités, restaurants et discothèques.
Pour les sportifs, terrain de Golf à 20 min, 2 centres équestres, Plongée autonome ainsi que sports nautiques sur Saint Pierre.
Une caution est demandée à l'arrivée non encaissable et remboursable le jour du départ.
Tarif dégressif dès la 3ème semaine ainsi que pour un long séjour.
Enfant de moins 5 ans Gratuit. Le premier petit déjeuner est offert.</t>
  </si>
  <si>
    <t xml:space="preserve">En direction de l'Est : De l’aéroport Roland Garros. Direction Saint-André,
Prendre la N 3 (2X2 voies). Passer Sainte-Marie, Sainte-Suzanne, Saint- André. Direction Saint-Benoit. Passer Bras-Panon, Saint-Benoit.
Au rond-point prendre la première sortie. Sur la N 3 route à double sens. Direction Le Tampon. Passer La Plaine des Palmistes, col de Bellevue, Bourg Murat, La Plaine des Cafres. Passez le 19ème km, le 17ème km, le 14ème km. Passer une station-service à droite à 50 m de la station prendre à droite. Direction la Chatoire, Université du Tampon, panneau clotilis chemin Isautier continuer sur 1 km 200, le n° 54 est à gauche (repaire panneau 50 km/h, portail fer forgé vert).
En direction du Nord : De l’aéroport Roland Garros, direction Saint-Denis.
au rond-point prendre la deuxième sortie, prendre le boulevard Jean Jaurès  Direction Saint-Paul, Le Port.
Suivre le boulevard du prince Vinh-San. Direction Saint-Paul, Le Port. Rouler à gauche, prendre la route du Littoral (2X2 voies).
Direction Saint-Paul, Saint-Pierre. Passer La Possession, Le Port, Saint- Paul, continuer sur la route des Tamarins (2X2 voies). Direction Saint- Pierre. Passer Saint-Gilles, Saint-Leu, L'Etang-Salé, Saint-Louis, Saint- Pierre. Direction Le Tampon. Jusqu’au rond-point de la Tour des Azalées.
Arrivée sur un rond-point première sortie N3 . Passer 3 ronds-points (entre le 2ème et le 3ème rond-point distance 1 km 100). 
Au 3ème rond-point prendre la troisième sortie rue du Général de Gaulle.
Continuer sur la rue du Général de Gaulle après avoir passé 6 ronds-points. Juste avant le 7ème rond-point restaurant "MAXOU" à droite
Au 7ème et dernier rond-point tourner à droite sur le Chemin Isautier. Panneau Clotlis. Monter sur 160 m Clotilis se trouve au n° 54 sur la droite (repaire panneau 50 km/h, portail fer forgé vert). </t>
  </si>
  <si>
    <t>Clotilis - Hurot Daniel</t>
  </si>
  <si>
    <t>54, chemin Isautier, 97422 Le Tampon</t>
  </si>
  <si>
    <t xml:space="preserve">Hurot Daniel : contact@clotilis.com / 0262572791 / 0692968574 / Propriétaire , Hurot Daniel : contact@clotilis.com / 0262572791 / 0692968574 / Propriétaire </t>
  </si>
  <si>
    <t>-21.266205, 55.515381</t>
  </si>
  <si>
    <t>https://book.reunion.fr/fr/hebergements/a1571405/clotilis/reserver | Réunion.fr</t>
  </si>
  <si>
    <t>CSC75HTL</t>
  </si>
  <si>
    <t>Chemin Isautier, Réunion</t>
  </si>
  <si>
    <t>Club Maui</t>
  </si>
  <si>
    <t>Club Maui
128 Chemin Thomas Payet, La Plaine des Cafres, Réunion</t>
  </si>
  <si>
    <t>Discothèque</t>
  </si>
  <si>
    <t>Montagne,Littoral</t>
  </si>
  <si>
    <t>Le Club Maui se situe à La Plaine des Cafres.</t>
  </si>
  <si>
    <t>128, chemin Thomas Payet, 97422 Le Tampon</t>
  </si>
  <si>
    <t xml:space="preserve"> 0262277373 ,  0262277373 </t>
  </si>
  <si>
    <t>-21.1955995,55.5299687</t>
  </si>
  <si>
    <t>128 Chemin Thomas Payet, La Plaine des Cafres, Réunion</t>
  </si>
  <si>
    <t>recQnhaVWed2cOYUi</t>
  </si>
  <si>
    <t>Coco-Vanille</t>
  </si>
  <si>
    <t>Coco-Vanille
68, rue Labourdonnais
97442 Saint-Philippe</t>
  </si>
  <si>
    <t>http://www.coco-vanille.com</t>
  </si>
  <si>
    <t>jardin,linge de maison,parking,piscine,salle de bain privée,sanitaires privés,wifi</t>
  </si>
  <si>
    <t>contact.cocovanille.974@gmail.com</t>
  </si>
  <si>
    <t>Situé dans le Sud Sauvage à Saint-Philippe, Coco-Vanille propose 4 chambres d'hôtes équipées de sanitaires privées.</t>
  </si>
  <si>
    <t>Le petit déjeuner est servi sous la varangue avec vue sur le Piton de la Fournaise.
Une piscine-balnéothérapie avec traitement naturel au magnésium est à disposition des résidents. Détente, zénitude et revitalisation seront assurées après les randonnées. A disposition des clients, table et réfrigérateur sous la varangue.
Le dîner est uniquement sur réservation.</t>
  </si>
  <si>
    <t xml:space="preserve">De l'Ouest, passer la pharmacie le Grand Bleu, puis tourner à droite au terre plein central, Coco-Vanille se trouve à 30 m à gauche. 
De l'Est, dépasser l'église de Basse Vallée, puis tourner à gauche au terre plein central, Coco-Vanille se situe à 30 m à gauche. </t>
  </si>
  <si>
    <t>Coco-Vanille - Heitzler Jenny</t>
  </si>
  <si>
    <t>68, rue Labourdonnais, 97417 Saint-Philippe</t>
  </si>
  <si>
    <t xml:space="preserve">Heitzler Jenny : contact.cocovanille.974@gmail.com / 0262931876 / 0692945112 / Propriétaire , Heitzler Jenny : contact.cocovanille.974@gmail.com / 0262931876 / 0692945112 / Propriétaire </t>
  </si>
  <si>
    <t>-21.371813, 55.715687</t>
  </si>
  <si>
    <t>68.00</t>
  </si>
  <si>
    <t>CSC66HTL</t>
  </si>
  <si>
    <t>Mode de paiment,Descriptif,Descriptif du plan d'accès,Fournisseur - Nom,Fournisseur - contacts</t>
  </si>
  <si>
    <t>68 Route Labourdonnais, 97442, Réunion</t>
  </si>
  <si>
    <t>Cocotier (Le)</t>
  </si>
  <si>
    <t>Le Manacoel</t>
  </si>
  <si>
    <t>Cocotier (Le)
6-12, Allée des Cormorans
97480 Saint-Joseph</t>
  </si>
  <si>
    <t>http://manacoel.com</t>
  </si>
  <si>
    <t>plage,sentier de randonnée,tennis,pêche,parking public,site - lieu culturel,point de vue panoramique</t>
  </si>
  <si>
    <t>français,créole,anglais,allemand,espagnol,italien</t>
  </si>
  <si>
    <t>info@manacoel.com</t>
  </si>
  <si>
    <t>Appartement d’environ 56m² entièrement équipé, de plain-pied, 3 pièces susceptibles d’accueillir un maximum de 6 personnes. Climatisayion dans les chambres. 2 parkings privés, piscine, grande terrasse de plein air. Vue sur la baie de Manapany et le Cap de Petite-Ile. 
Tarifs réduit si linge de maison non fourni. Caution 400€.</t>
  </si>
  <si>
    <t>A l'entrée ouest de  la commune de Saint-Joseph, se diriger vers le bassin artificiel de Manapany et suivre les panneaux signalétiques.</t>
  </si>
  <si>
    <t>Manacoel - Gigan Nice</t>
  </si>
  <si>
    <t>8, allée des cormorans, 97412 Saint-Joseph</t>
  </si>
  <si>
    <t xml:space="preserve">Gigan Nice : nice.gigan@hotmail.fr / 0262563106 / 0693016161 / Gérant(e) ,  nice.gigan@hotmail.fr / 0262563106 / 0693016161 </t>
  </si>
  <si>
    <t>-21.3742841,55.5919475</t>
  </si>
  <si>
    <t>6 Allée des Cormorans, Manapany-Les-Bains, Réunion</t>
  </si>
  <si>
    <t>recf4PScUvfaDzZFG</t>
  </si>
  <si>
    <t>Cœur de Café</t>
  </si>
  <si>
    <t>Cœur de Café
6 rue Nativel
97414 Entre-Deux</t>
  </si>
  <si>
    <t>https://www.facebook.com/Coeur-de-caf%C3%A9-1804250489832029/</t>
  </si>
  <si>
    <t>barbecue,climatisation,lave linge privatif,salon de jardin,TV,wifi</t>
  </si>
  <si>
    <t>patou6505@hotmail.fr</t>
  </si>
  <si>
    <t>Situé dans le village de l'Entre-Deux, Cœur de Café propose une petite case équipée pour 4 personnes.</t>
  </si>
  <si>
    <t>La maison dispose d'un séjour avec coin cuisine entièrement équipée, d'un clic-clac, de 2 chambres doubles. Terrasse et table de jardin.</t>
  </si>
  <si>
    <t>Entre Saint-Louis et Saint-Pierre, à Pierrefonds prendre direction Entre-Deux, arrivée au centre ville, prendre la rue du Commerce, au stop première à gauche rue Nativel, Cœur de Café se trouve au n°6</t>
  </si>
  <si>
    <t>Cœur de Café - Beldan Patricia</t>
  </si>
  <si>
    <t>6 rue Nativel, 97403 Entre-Deux</t>
  </si>
  <si>
    <t xml:space="preserve">Bladan Patricia : patou6505@hotmail.fr / 0692643964 / Propriétaire , Beldan Patricia : patou6505@hotmail.fr / 0692643964 / Propriétaire </t>
  </si>
  <si>
    <t>-21.246667, 55.469722</t>
  </si>
  <si>
    <t>CSC175HT@</t>
  </si>
  <si>
    <t>Site web,Mode de paiment</t>
  </si>
  <si>
    <t>6 Rue Victor Natvel, Réunion</t>
  </si>
  <si>
    <t>Coeur Voyageur (Le)</t>
  </si>
  <si>
    <t>Le Cœur Voyageur</t>
  </si>
  <si>
    <t>Coeur Voyageur (Le)
443 bis, rue Raphaël Babet
97480 Saint-Joseph</t>
  </si>
  <si>
    <t>fer et planche à repasser,lave linge privatif,TV</t>
  </si>
  <si>
    <t>arrêt bus,commerce alimentaire,parking public</t>
  </si>
  <si>
    <t>jeanrene.kerbidi@gmail.com</t>
  </si>
  <si>
    <t>Situé dans le Sud Sauvage à la sortie Est du centre ville, Le Cœur Voyageur est équipé pour accueillir 3 personnes.</t>
  </si>
  <si>
    <t>Il dispose d'une chambre triple, d'une cuisine équipée et d'un espace séjour.</t>
  </si>
  <si>
    <t>En venant de l'ouest, traverser le centre ville de Saint-Joseph, à la sortie après la croix sur la droite, continuer sur 150 m. Le Cœur Voyageur se situe au n° 443 bis à gauche.</t>
  </si>
  <si>
    <t>Coeur Voyageur (Le) - K/Bidi Jean-René</t>
  </si>
  <si>
    <t>443 bis, rue Raphaël Babet, 97412 Saint-Joseph</t>
  </si>
  <si>
    <t xml:space="preserve">K/Bidi Jean-René : jeanrene.kerbidi@gmail.com / 0262234133 / 0692760262 / Propriétaire , K/Bidi Jean-René : jeanrene.kerbidi@gmail.com / 0262234133 / 0692760262 / Propriétaire </t>
  </si>
  <si>
    <t>-21.379669, 55.63421</t>
  </si>
  <si>
    <t>443 Rue Raphaël Babet, Réunion</t>
  </si>
  <si>
    <t>recF43Hv19LghjB6K</t>
  </si>
  <si>
    <t>Coeurs d'Amants (Les)</t>
  </si>
  <si>
    <t>Les Cœurs d'Amants</t>
  </si>
  <si>
    <t>Coeurs d'Amants (Les)
168, rue Jean de Cambiaire - Carosse
97480 Saint-Joseph</t>
  </si>
  <si>
    <t>http://www.lescoeursdamants.re</t>
  </si>
  <si>
    <t>jardin,parking,piscine,salle de bain privée,sanitaires privés,wifi</t>
  </si>
  <si>
    <t>parking public,jardin</t>
  </si>
  <si>
    <t>lescoeursdamants@gmail.com</t>
  </si>
  <si>
    <t>A Saint-Joseph, Les Cœurs d'Amants proposent 2 chambres d'hôtes.</t>
  </si>
  <si>
    <t>Situées à proximité de la maison du propriétaire, les chambres doubles disposent de sanitaires privés, une chambre est accessible aux personnes à mobilité réduite.</t>
  </si>
  <si>
    <t>De la RN2 au niveau de Manapany, prendre la D32 direction les Lianes - Carosse, rue de l'Etablissement qui devient la rue Jean de Cambiaire après le petit pont, Les Coeurs d'Amants se situent au N°168.</t>
  </si>
  <si>
    <t>Coeurs d'Amants (Les) - Lebon Christine</t>
  </si>
  <si>
    <t>168, rue jean de Cambiaire - Carosse, 97412 Saint-Joseph</t>
  </si>
  <si>
    <t xml:space="preserve">Lebon Christine : lescoeursdamants@gmail.com / 0262230151 / Propriétaire , Lebon Christine : lescoeursdamants@gmail.com / 0262230151 / Propriétaire </t>
  </si>
  <si>
    <t>-21.355672, 55.605459</t>
  </si>
  <si>
    <t>CSC95HTN</t>
  </si>
  <si>
    <t>168 Rue Jean de Cambiaire, SAINT JOSEPH 97480, Réunion</t>
  </si>
  <si>
    <t>recTR4EZHOjvNt0tr</t>
  </si>
  <si>
    <t>Colibri (Le)</t>
  </si>
  <si>
    <t>Colibri (Le)
79, rue Pierre Rivals - PK 18
Plaine des Cafres
97418 La Plaine des Cafres</t>
  </si>
  <si>
    <t>http://www.lecolibri.jimdo.com</t>
  </si>
  <si>
    <t>linge de maison,parking,salle de bain commune,sanitaires communs,TV</t>
  </si>
  <si>
    <t>gg.berthilde@gmail.com</t>
  </si>
  <si>
    <t>Le Colibri est une chambre d'hôtes proposant 3 chambres (une chambre double et deux chambres triples), à la Plaine des Cafres.</t>
  </si>
  <si>
    <t>Les chambres se situent à l'étage de la maison avec une entrée indépendante. possibilité de lit supplémentaire.
A proximité : randonnées sur la région du Volcan, à Grand Bassin. Proche de toutes commodités.</t>
  </si>
  <si>
    <t xml:space="preserve">Depuis le Sud : prendre la 4 voies en direction du Tampon. Arrivé au rond-point des Azalées, suivre la RN3 en direction de Saint-Benoît. Passer le rond-point du 17ème km. La chambre d’hôtes Le Colibri se trouve sur la gauche au n°79.
Depuis les Plaines : suivre la RN3 en direction du Tampon jusqu’au 19ème km. La structure se trouve sur la droite juste après l’école primaire. </t>
  </si>
  <si>
    <t>Colibri (Le) - Berthilde Ginette</t>
  </si>
  <si>
    <t>79, rue Pierre Rivals - PK 18, 97422 Le Tampon</t>
  </si>
  <si>
    <t>Berthilde Ginette : buchner.berthilde@izi.re / 0262354028 / 0692870357</t>
  </si>
  <si>
    <t>-21.226702, 55.55111</t>
  </si>
  <si>
    <t>CSC15HTF</t>
  </si>
  <si>
    <t>Mode de paiment,E-Mail,Descriptif,Descriptif du plan d'accès</t>
  </si>
  <si>
    <t>Réunion, Le Dix-Septième 79 rue Pierre Rivals</t>
  </si>
  <si>
    <t>Consulat des Seychelles</t>
  </si>
  <si>
    <t>Consulat des Seychelles
67, rue de Kerveguen-Villa "Bel Air"
97430 Le Tampon</t>
  </si>
  <si>
    <t>Information et service touristique</t>
  </si>
  <si>
    <t>Accueil et information</t>
  </si>
  <si>
    <t>Ambassades-consulats</t>
  </si>
  <si>
    <t>hrop@wanadoo.fr</t>
  </si>
  <si>
    <t>67, rue de Kerveguen-Villa "Bel Air", 97422 Le Tampon</t>
  </si>
  <si>
    <t xml:space="preserve">Hoarau Pierre : hrop@wanadoo.fr / 02625726 / 02622520 / Consul Honoraire , Hoarau Pierre : hrop@wanadoo.fr / 02625726 / 02622520 / Consul Honoraire ,  Pierre Hoarau </t>
  </si>
  <si>
    <t>Coopemiel</t>
  </si>
  <si>
    <t>Coopemiel
9, rue de la Compagnie - Zone Artisanale des Grègues
97480 Saint-Joseph</t>
  </si>
  <si>
    <t>Patrimoine agricole,Patrimoine culturel</t>
  </si>
  <si>
    <t>Apiculture,Visite guidée</t>
  </si>
  <si>
    <t>sentier de randonnée,sentier de grande randonnée,point de vue panoramique</t>
  </si>
  <si>
    <t>Vente de miel. Période de visite pour assister à l'extraction et à la mise en pot du miel, octobre - novembre : miel letchi, décembre - janvier : miel de forêt, mars à juin : miel de baie rose. Ouvert du lundi au jeudi de 7h à 15h en journée continue et le vendredi de 7h à 14h. Visite gratuite sur réservation, durée : 30 min.</t>
  </si>
  <si>
    <t>Lundi : 07:00 - 15:00,Mardi : 07:00 - 15:00,Mercredi : 07:00 - 15:00,Jeudi : 07:00 - 15:00,Vendredi : 07:00 14:00 -</t>
  </si>
  <si>
    <t>9, rue de la Compagnie des Indes - Zone Artisanale des Grègues, 97412 Saint-Joseph</t>
  </si>
  <si>
    <t>-21.375895, 55.615394</t>
  </si>
  <si>
    <t>Rue de la Compagnie, Saint-Denis 97400, Réunion</t>
  </si>
  <si>
    <t>rech5cqzU6ONX2AVL</t>
  </si>
  <si>
    <t>Coopérative Agricole des Huiles Essentielles de Bourbon - CAHEB</t>
  </si>
  <si>
    <t>Coopérative Agricole des Huiles Essentielles de Bourbon - CAHEB
83, rue Kervéguen
97430 Le Tampon</t>
  </si>
  <si>
    <t>http://www.geranium-bourbon.com</t>
  </si>
  <si>
    <t>Plantation,Visite guidée</t>
  </si>
  <si>
    <t>caheb@geranium-bourbon.com</t>
  </si>
  <si>
    <t>Visite du jardin aux senteurs, découverte des huiles essentielles de Bourbon, création d'un parfum et divers ateliers tels que atelier découverte olfactive et atelier découverte gustative.</t>
  </si>
  <si>
    <t>Visite guidée (du lundi au vendredi à 15h) du jardin de plantes à parfum (durée d'une demi heure) puis explications sur le procédé de distillation du géranium et du vétyver. Pour les séances de création de parfums et les ateliers, la réservation est impérative. Pour assister à une distillation, il est préférable de réserver et de s'inscrire.</t>
  </si>
  <si>
    <t>Lundi : 09:00 12:00 - 14:00 17:00,Mardi : 09:00 12:00 - 14:00 17:00,Mercredi : 09:00 12:00 - 14:00 17:00,Jeudi : 09:00 12:00 - 14:00 17:00,Vendredi : 09:00 12:00 - 14:00 17:00,Samedi : 09:00 12:00 - 14:00 17:00</t>
  </si>
  <si>
    <t>83, rue Kervéguen, 97422 Le Tampon</t>
  </si>
  <si>
    <t xml:space="preserve">Severin Marie Rose : caheb@geranium-bourbon.com / 0262270227 / 0262273554 ,  caheb@geranium-bourbon.com / 0262270227 / 0262273554 </t>
  </si>
  <si>
    <t>-21.287056, 55.520454</t>
  </si>
  <si>
    <t>Réunion</t>
  </si>
  <si>
    <t>Copacabana (Le)</t>
  </si>
  <si>
    <t>Bouillon d'Aventures</t>
  </si>
  <si>
    <t>Copacabana (Le)
Immeuble Premium, B1 impasse Mahot
97414 Entre-Deux</t>
  </si>
  <si>
    <t>http://www.copacabanareunion.com</t>
  </si>
  <si>
    <t>climatisation,fer et planche à repasser,jardin,parking,TV satellite,wifi</t>
  </si>
  <si>
    <t>ericbrochier@hotmail.com</t>
  </si>
  <si>
    <t>Situé à l'Entre-Deux, village labellisé Villages Créoles,  Le Copacabana propose un appartement au rez-de-chaussée d'un immeuble de 2 étages.</t>
  </si>
  <si>
    <t>Il comprend 2 chambres doubles, une avec lit double et l'autre un lit gigogne, une cuisine équipée, un coin salon avec canapé lit, une terrasse et un petit jardin. 
Vue sur montagne et mer, endroit calme, ambiance zen et relaxant.</t>
  </si>
  <si>
    <t>Au centre-ville de l'entre-Deux, prendre la direction du Dimitile, prendre la première rue à gauche, chemin le Bord.</t>
  </si>
  <si>
    <t>Bouillon d'Aventures - Brochier Eric</t>
  </si>
  <si>
    <t>Impasse Aurélien Simone, 97416 Saint-Pierre</t>
  </si>
  <si>
    <t xml:space="preserve">Brochier Eric : ericbrochier@hotmail.com / 0692669387 / Gérant(e) , Brochier Eric : ericbrochier@hotmail.com / 0692669387 / Gérant(e) </t>
  </si>
  <si>
    <t>Sud - Ravine des Cabris (La)</t>
  </si>
  <si>
    <t>-21.246802, 55.473023</t>
  </si>
  <si>
    <t>Impasse Mahot, Réunion</t>
  </si>
  <si>
    <t>recWGlho5lzql7U3w</t>
  </si>
  <si>
    <t>Coq d'Or (Le)</t>
  </si>
  <si>
    <t>Coq d'Or (Le)
57, route de Grand Coude
Grand Coude
97480 Saint-Joseph</t>
  </si>
  <si>
    <t>Grand Coude / Sud</t>
  </si>
  <si>
    <t>Dans la commune de Saint-Joseph, le restaurant Le Coq d'Or propose une cuisine créole.</t>
  </si>
  <si>
    <t>57, route de Grand Coude, 97412 Saint-Joseph</t>
  </si>
  <si>
    <t xml:space="preserve"> 0262465651 ,  0262465651 </t>
  </si>
  <si>
    <t>-21.32882, 55.63297</t>
  </si>
  <si>
    <t>Mode de paiment,Mobile</t>
  </si>
  <si>
    <t>57 Route de Grand Coude, 97480, Réunion</t>
  </si>
  <si>
    <t>Cosy du Piton (Le)</t>
  </si>
  <si>
    <t>Le Cosy du Piton</t>
  </si>
  <si>
    <t>Cosy du Piton (Le)
9 bis, chemin des Courges
Plaine des Cafres
97418 La Plaine des Cafres</t>
  </si>
  <si>
    <t>http://www.osezlareunion.com</t>
  </si>
  <si>
    <t>barbecue,jardin,linge de maison,parking,TV</t>
  </si>
  <si>
    <t>sentier de randonnée,sentier de grande randonnée,commerce alimentaire,parking public,point de vue panoramique</t>
  </si>
  <si>
    <t>contact@osezlareunion.com</t>
  </si>
  <si>
    <t>Un bungalow tout équipé et confortable avec jardin privatif à Piton Hyacinthe.</t>
  </si>
  <si>
    <t>Le bungalow comprend une chambre double donnant sur le petit jardin, un espace cuisine et repas avec canapé-lit, un espace repas extérieur avec barbecue et feu de bois.
Le linge de maison est fourni ainsi que l'équipement de la cuisine.
A 45 min du Pas de Bellecombe, point de vue pour admirer le Piton de la Fournaise. A proximité de La Plaine des Cafres et de La Plaine des Palmistes.</t>
  </si>
  <si>
    <t>De Saint-Denis, prendre direction de Saint-Benoît sur la 2X2 voies, puis direction La Plaine des Palmistes/Saint-Pierre (RN3) et suivre cette route sur 70 km environ toujours en direction de Saint-Pierre/Le Tampon. Au niveau du rond-point du 19ième km prendre à droite la route du Piton Hyacinthe. Environ 3 km plus loin, prendre à gauche le chemin des Acacias qui descend. Puis prendre à gauche le chemin des Courges qui remonte. Le bungalow se situe au n° 9 bis en face du terrain de football.</t>
  </si>
  <si>
    <t>Osez la Réunion - Cadarsi Mélissa</t>
  </si>
  <si>
    <t>9, rue de la Digue - N°20 B, résidence Ylang Ylang, 97411 Saint-Denis</t>
  </si>
  <si>
    <t xml:space="preserve">Cadarsi Mélissa : contact@osezlareunion.com / 0692083807 / Gérant(e) ,  contact@osezlareunion.com / 0692083807 ,  contact@osezlareunion.com / 0692083807 ,  contact@osezlareunion.com / 0692083807 ,  contact@osezlareunion.com / 0692083807 ,  contact@osezlareunion.com / 0692083807 ,  contact@osezlareunion.com / 0692083807 </t>
  </si>
  <si>
    <t>Nord - Saint-Denis</t>
  </si>
  <si>
    <t>-21.223201, 55.531135</t>
  </si>
  <si>
    <t>9 Chemin des Courges, La Plaine des Cafres, Réunion</t>
  </si>
  <si>
    <t>recr1yhoYV0cSykCz</t>
  </si>
  <si>
    <t>Côté Volcan</t>
  </si>
  <si>
    <t>Côté Volcan
8 rue Josemont Lauret
Bourg Murat
97418 La Plaine des Cafres</t>
  </si>
  <si>
    <t>https://www.cote-volcan.fr/</t>
  </si>
  <si>
    <t>chauffage,sanitaires privés</t>
  </si>
  <si>
    <t>sentier de randonnée,commerce alimentaire,site - lieu culturel</t>
  </si>
  <si>
    <t>contact@cote-volcan.fr</t>
  </si>
  <si>
    <t>Située à la Plaine des Cafres, à Bourg Murat, Côté Volcan propose 2 chambres doubles et une chambre familiale labellisées Gîtes de France.</t>
  </si>
  <si>
    <t>Elles sont équipées de salle de bain privative, de chauffage et d'une literie de qualité avec des matelas à mémoire de forme. 
Situé à moins de 15 minutes à pieds de la Cité du Volcan et à proximité des GR tel que le Piton des Neiges et le Piton de la Fournaise.</t>
  </si>
  <si>
    <t xml:space="preserve">Depuis Saint-Pierre, au rond-point après la station de Bourg-Murat, prendre la première sortie. 
Arrivée au restaurant "La Kaz" prendre la rue Josemont Lauret située à gauche du restaurant. Côté Volcan est à environ 100 m sur la droite. </t>
  </si>
  <si>
    <t>Côté Volcan - Perrault Laurie</t>
  </si>
  <si>
    <t>8 rue Josemont Lauret, 97422 Le Tampon</t>
  </si>
  <si>
    <t xml:space="preserve">Perrault Laurie : contact@cote-volcan.fr / 0262704053 / 0692480308 / Propriétaire , Perrault Laurie : contact@cote-volcan.fr / 0262704053 / Propriétaire </t>
  </si>
  <si>
    <t>-21.203585, 55.578521</t>
  </si>
  <si>
    <t>https://book.reunion.fr/fr/hebergements/a1619091/côté-volcan/reserver? | Réunion.fr</t>
  </si>
  <si>
    <t>75.00</t>
  </si>
  <si>
    <t>CSC133HTG</t>
  </si>
  <si>
    <t>Mode de paiment,Capacité,Descriptif,Descriptif du plan d'accès</t>
  </si>
  <si>
    <t>recd2tgUGHFZVOMtm</t>
  </si>
  <si>
    <t>Couloutchy Transports</t>
  </si>
  <si>
    <t>Couloutchy Transports
41, chemin Mazeau - Trois Mares
97430 Le Tampon</t>
  </si>
  <si>
    <t>français,anglais,espagnol,arabe</t>
  </si>
  <si>
    <t>couloutchytransports@hotmail.fr</t>
  </si>
  <si>
    <t>Transfert aéroport Saint-Denis / Saint-Pierre,
Excursion touristiques, manifestations sportives, sortie nocturne (concert, discothèque...), pèlerinage, sortie en famille...</t>
  </si>
  <si>
    <t>Les véhicules peuvent accueillir jusqu'à 8 personnes, ils sont également aménagés pour accueillir 4 fauteuils roulants et 4 places assises.
La location peut se faire avec ou sans chauffeur.</t>
  </si>
  <si>
    <t>Situé au rond-point entre la gendarmerie et le lycée Pierre Lagourgue au Trois Mares.</t>
  </si>
  <si>
    <t>Couloutchy Transports - Couloutchy Pascal</t>
  </si>
  <si>
    <t>107, chemin Farjeau - Trois Mares, 97422 Le Tampon</t>
  </si>
  <si>
    <t xml:space="preserve">Couloutchy Pascal : couloutchytransports@hotmail.fr / 0262775388 / 0692750762 / Gérant(e) ,  couloutchytransports@hotmail.fr / 0262775388 / 0692750762 / Gérant(e) </t>
  </si>
  <si>
    <t>-21.253945, 55.508248</t>
  </si>
  <si>
    <t>41 Chemin Mazeau, Réunion</t>
  </si>
  <si>
    <t>recd35RAACGXmxl78</t>
  </si>
  <si>
    <t>Couteaux Bourbon</t>
  </si>
  <si>
    <t>Hoarau Samuel</t>
  </si>
  <si>
    <t>Couteaux Bourbon
72, rue Georges Hoarau - Trois Mares
97430 Le Tampon</t>
  </si>
  <si>
    <t>http://www.couteauxbourbon.canalblog.com</t>
  </si>
  <si>
    <t>Chèque,Espèces,Carte Bancaire</t>
  </si>
  <si>
    <t>couteauxbourbon@gmail.com</t>
  </si>
  <si>
    <t>Samuel Hoarau est un coutelier - forgeron du Tampon. Cet artisan s'adonne à la fabrication de couteaux de table, de cuisine, de chasse, avec des matériaux locaux, forgés et montés main. Gravure sur lame et autres supports. Point de vente sur les diverses expositions artisanales Fait-Main, Expo-Bois, etc. Magasin au Tampon</t>
  </si>
  <si>
    <t>72, rue Georges Hoarau, 97422 Le Tampon</t>
  </si>
  <si>
    <t>-21.25857, 55.497173</t>
  </si>
  <si>
    <t>72 Rue Georges Hoarau, Réunion</t>
  </si>
  <si>
    <t>rec3tQoHttdUUoQed</t>
  </si>
  <si>
    <t>Crabe Sous la Varangue (Le)</t>
  </si>
  <si>
    <t>Le Crabe Sous la Varangue</t>
  </si>
  <si>
    <t>Crabe Sous la Varangue (Le)
1, RN2 Le Tremblet
97442 Saint-Philippe</t>
  </si>
  <si>
    <t>jardin,parking,salle de bain privée,sanitaires privés,ventilateur</t>
  </si>
  <si>
    <t>sentier de randonnée,sentier de grande randonnée,point de vue panoramique,jardin</t>
  </si>
  <si>
    <t>lacazboyer@laposte.net</t>
  </si>
  <si>
    <t>Dans le Sud Sauvage à Saint-Philippe, Le Crabe Sous la Varangue propose des chambres de charme.</t>
  </si>
  <si>
    <t>Une chambre double et une triple sont situées en rez de jardin et une quadruple indépendante de la maison du propriétaire. Les 3 chambres d'hôtes disposent de sanitaires privés et d'un espace commun. Chambre triple accessible aux personnes à mobilité réduite.
Les repas et petits déjeuners sont  servis sous la varangue, repas sur réservation en table d'hôte.</t>
  </si>
  <si>
    <t>Crabe sous la Varangue (Le) - Boyer Catherine</t>
  </si>
  <si>
    <t>1, RN1 le Tremblet, 97417 Saint-Philippe</t>
  </si>
  <si>
    <t xml:space="preserve">Boyer Catherine : lacazboyer@laposte.net / 0262989185 / 0692921356 / Propriétaire , Boyer Catherine : lacazboyer@laposte.net / 0262989185 / 0692921356 / Propriétaire </t>
  </si>
  <si>
    <t>-21.325941, 55.800217</t>
  </si>
  <si>
    <t>CSC21HTC</t>
  </si>
  <si>
    <t>1 Route Nationale 2 le Tremblet, 97442, Réunion</t>
  </si>
  <si>
    <t>CREP'N SNACK</t>
  </si>
  <si>
    <t>CREP'N SNACK
39 rue Roland Garros
97430 Le Tampon</t>
  </si>
  <si>
    <t>CREP'N SNACK se situe au Tampon.</t>
  </si>
  <si>
    <t>Le snack propose divers sandwichs tels que américains, lords, burgers, wraps et paninis. 
Ouvert du lundi au vendredi de 09h30 à 13h30 et de 18h à 21h. Fermé le samedi et le dimanche.</t>
  </si>
  <si>
    <t>39 rue Roland Garros, 97422 Le Tampon</t>
  </si>
  <si>
    <t xml:space="preserve"> 0692725492 ,  0692725492 </t>
  </si>
  <si>
    <t>-21.275786, 55.519799</t>
  </si>
  <si>
    <t>39 Rue Roland Garros, Réunion</t>
  </si>
  <si>
    <t>Crête (La)</t>
  </si>
  <si>
    <t>TURPIN Elvina</t>
  </si>
  <si>
    <t>Crête (La)
31, rue Edouard Turpin - La Crête - 2ème Village
97480 Saint-Joseph</t>
  </si>
  <si>
    <t>jardin,parking,ventilateur</t>
  </si>
  <si>
    <t>La ferme auberge La Crête adhère au réseau Bienvenue à la Ferme et propose une restauration traditionnelle à base de produits de la ferme (légumes oubliés, brèdes, volailles, ect). Elle se situe à La Crête, deuxième village des hauts de Saint-Joseph, au cœur des champs de canne à sucre et des élevages. 
Spécialités : gratin de banane verte, boucané baba figue, canard fumé et salade de palmiste.</t>
  </si>
  <si>
    <t>Prendre direction Saint-Joseph. De Vincendo, suivre la route de la Crête (CD 34). A 8 km, tourner à droite au panneau indicateur. Faire 600 m, après le transformateur EDF, tourner à gauche chemin Tamarin.</t>
  </si>
  <si>
    <t>Turpin Elvina</t>
  </si>
  <si>
    <t>31,rue Edouard Turpin, 97412 Saint-Joseph</t>
  </si>
  <si>
    <t xml:space="preserve">Turpin Elvina : 0262374062 / 0692724260 / Gérant(e) ,  0262374062 / 0692724260 </t>
  </si>
  <si>
    <t>-21.3356967,55.6621724</t>
  </si>
  <si>
    <t>31, Rue Edouard Turpin La Crète, 2ème village, 97480, Réunion</t>
  </si>
  <si>
    <t>rec3bDNQbcQSRGepN</t>
  </si>
  <si>
    <t>Croisières Australes</t>
  </si>
  <si>
    <t>Croisières Australes
71, rue Raphaël Babet
97480 Saint-Joseph</t>
  </si>
  <si>
    <t>http://www.bellile.re/</t>
  </si>
  <si>
    <t>Mer</t>
  </si>
  <si>
    <t>Promenade en mer</t>
  </si>
  <si>
    <t>TV,wifi</t>
  </si>
  <si>
    <t>croisieresaustrales@bellile.re</t>
  </si>
  <si>
    <t>Croisières Australes dispose d'un catamaran moteur Le Bell'Ile, puissant et spacieux au design résolument moderne.</t>
  </si>
  <si>
    <t>Il comprend 4 cabines doubles, des transats, 2 salles de douches, une cuisine moderne et 3 salons. Idéal pour vivre une expérience inoubliable entre famille ou amis. Les   du catamaran, wifi à bord, internet, télévision, ordinateur, frigo, machine à glaçons, un grill et la climatisation dans les cabines. Le Bell'Ile offre la possibilité de découvrir La Réunion autrement, rencontre des dauphins et des baleines en saison et d'autres surprises de la nature ne sont pas à exclure.</t>
  </si>
  <si>
    <t>SARL Croisières Australes - Kibidy Laurent Stéphane</t>
  </si>
  <si>
    <t>38, rue de Père Rognard, 97422 Le Tampon</t>
  </si>
  <si>
    <t xml:space="preserve">Kibidy Laurent Stéphane : croisieresaustrales@bellile.re / 0692696531 / 0262563792 / Gérant(e) ,  croisieresaustrales@bellile.re / 0693024174 / 0262563792 </t>
  </si>
  <si>
    <t>-21.3809121,55.61080920000001</t>
  </si>
  <si>
    <t>Site web,Mode de paiment,Fax</t>
  </si>
  <si>
    <t>71 Rue Raphael Babet, Réunion</t>
  </si>
  <si>
    <t>recE5VNa96vaxikyC</t>
  </si>
  <si>
    <t>Crypto-Sign  n° 561 (Le)</t>
  </si>
  <si>
    <t>Crypto-Sign  n° 561 (Le)
48 bis, chemin de La Chapelle de Notre Dame de la Paix
Plaine des Cafres
97418 La Plaine des Cafres</t>
  </si>
  <si>
    <t>https://www.les-gites-de-signole.re/</t>
  </si>
  <si>
    <t>barbecue,chauffage,fer et planche à repasser,four,lave linge privatif,lave vaisselle,linge de maison,micro-ondes,parking,TV</t>
  </si>
  <si>
    <t>Carte Bancaire,Eurocard,Chèque,Chèques vacances,Virement,Mandat postal,PassKdo,PassLoisirs,Espèces</t>
  </si>
  <si>
    <t>waro-lauret@wanadoo.fr</t>
  </si>
  <si>
    <t>Gite Nature-Confort indépendant labellisé Gîtes de France. Chalet en rondins cryptomérias et en pierre composée d'une chambre avec 1 lit double   berceau, et d'une chambre avec 3 lits simples. Accueil original pour les voyages de noces, radiateurs électriques, cheminée, électricité et bois en supplément. Agréable à vivre en toute saison, le gîte est situé sur la croisée des chemins de randonnée, au plus près du volcan. Possibilité de cuisiner au feu de bois et découvrir le volcan à cheval, avec l'écurie Notre Dame, située à 100 m et dirigée par un membre de la famille.</t>
  </si>
  <si>
    <t>Prendre direction la Plaine des Cafres puis le chemin Notre Dame de la Paix. Traverser le village de Petite Ferme, la forêt de tamarin. En arrivant au village de Notre Dame de la Paix, prendre la route "chemin Notre Dame de la paix La Chapelle" et aller jusqu'au n° 48 ter.</t>
  </si>
  <si>
    <t>Crypto-Sign (Le) - Lauret Signole</t>
  </si>
  <si>
    <t>5 Impasse les Alamandas, 97404 Etang-Salé</t>
  </si>
  <si>
    <t xml:space="preserve">Lauret Signole : waro-lauret@wanadoo.fr / 0262265773 / 0692823326 / 0262265773 , Lauret Signole : waro-lauret@wanadoo.fr / 0262265773 / 0692823326 / 0262265773 , Lauret Signole : waro-lauret@wanadoo.fr / 0262265773 / 0692823326 / 0262265773 , Lauret Signole : waro-lauret@wanadoo.fr / 0262265773 / 0692823326 / 0262265773 , Lauret Signole : waro-lauret@wanadoo.fr / 0262265773 / 0692823326 / 0262265773 , Lauret Signole : waro-lauret@wanadoo.fr / 0262265773 / 0692823326 / 0262265773 ,  0262265773 / 0692823326 / 0262265773 </t>
  </si>
  <si>
    <t>-21.252117, 55.58256</t>
  </si>
  <si>
    <t>CSC90HTI</t>
  </si>
  <si>
    <t>48, chemin de la Chapelle Notre Dame de la Paix, La Plaine des Cafres, Réunion</t>
  </si>
  <si>
    <t>recsmtZHio13LzMT1</t>
  </si>
  <si>
    <t>Crypto-Sign n° 56 (Le)</t>
  </si>
  <si>
    <t>Crypto-Sign n° 56 (Le)
48 bis, chemin de La Chapelle de Notre Dame de la Paix
Plaine des Cafres
97418 La Plaine des Cafres</t>
  </si>
  <si>
    <t>barbecue,chauffage,fer et planche à repasser,four,lave linge privatif,linge de maison,linge de toilette,micro-ondes,parking,TV</t>
  </si>
  <si>
    <t>Carte Bancaire,Eurocard,Chèque,Chèques vacances,Virement,Mandat postal,PassKdo,PassLoisirs,Bon CE,Espèces</t>
  </si>
  <si>
    <t>Gîte Nature-Confort indépendant labellisé Gîtes de France, 1 étage, chalet demi-rondins cryptomérias/pierre entièrement équipé (3 chambres avec 1 lit 2 places   1 pièce détente) berceau, radiateur électrique, cheminée, kiosque à grillades, électricité et bois en supplément. Forfait de ménage non obligatoire, à régler au propriétaire en fin de séjour : 30 €/séjour. Pour le week-end, voir le propriétaire.</t>
  </si>
  <si>
    <t>Prendre direction la Plaine des Cafres puis le chemin Notre Dame de la paix. Traverser le village de Petite Ferme et la forêt de tamarins. En arrivant au village de Notre Dame de la Paix,  prendre la route "chemin Notre Dame de la Paix la Chapelle" et aller jusqu'au n° 48.</t>
  </si>
  <si>
    <t>-21.251501, 55.583435</t>
  </si>
  <si>
    <t>CSC89HTQ</t>
  </si>
  <si>
    <t>recpW8Env2k0SRElr</t>
  </si>
  <si>
    <t>Crypto-Sign n° 562 (Le)</t>
  </si>
  <si>
    <t>Crypto-Sign n° 562 (Le)
48 bis, chemin de La Chapelle de Notre Dame de la Paix
Plaine des Cafres
97418 La Plaine des Cafres</t>
  </si>
  <si>
    <t>barbecue,chauffage,fer et planche à repasser,four,jardin,lave linge privatif,lave vaisselle,linge de maison,micro-ondes,parking,sèche linge privatif,téléphone,TV</t>
  </si>
  <si>
    <t>4 Epi(s),4 Etoile(s)</t>
  </si>
  <si>
    <t>Chalet "Nature-Confort" indépendant, labellisé Gîtes de France, de 5 chambres avec 1 étage, dans une végétation tropicale des hauts, tout en bois Merbeau extérieur et en teck intérieur, accessible aux personnes à mobilité réduite. Trois chambres avec 3 lits 1 place, 1 chambre avec 1 lit 2 places et 1 lit 1 place, 1 chambre avec 1 lit 2 places   berceau. Maison du volcan à 10 km, sentier Botanique à 5 km et possibilité de découvrir le Volcan à cheval. Electricité et bois de chauffage en supplément. Pour le week-end, voir le propriétaire.</t>
  </si>
  <si>
    <t>Prendre direction la Plaine des Cafres puis le chemin Notre Dame de la paix. Traverser le village de Petite Ferme, la forêt de tamarins. En arrivant au village de Notre Dame de la paix,  prendre la route "chemin Notre Dame de la paix La Chapelle" et aller jusqu'au n° 48 bis.</t>
  </si>
  <si>
    <t>-21.251809, 55.583083</t>
  </si>
  <si>
    <t>CSC91HTJ</t>
  </si>
  <si>
    <t>recVBxXzaBHzsZOaD</t>
  </si>
  <si>
    <t>Cryptoméria (Le)</t>
  </si>
  <si>
    <t>Cryptoméria (Le)
109, rue Martinel Lassays
97430 Le Tampon</t>
  </si>
  <si>
    <t>mdpicard974@gmail.com</t>
  </si>
  <si>
    <t>Situé dans un havre de verdure, le Cryptoméria est composé de 2 appartements de type T1 et T3 très agréablement meublés et bien équipés comprenant une cuisine et une salle d'eau indépendante. Situé à mi-hauteur, à proximité du centre ville du Tampon et à moins de 10 min de Saint-Pierre.</t>
  </si>
  <si>
    <t xml:space="preserve">En venant du Sud, prendre la direction du Tampon en suivant la 4 voies jusqu'au rond-point de la Tour des Azalées. Prendre la troisième sortie à droite jusqu'au rond-point suivant. Tourner à gauche, faire à peu près 300 m et tourner à droite dans la rue Martinel Lassays. Le meublé se trouve sur la gauche au n° 109.
En venant des Plaines, suivre la RN 3, traverser le village de Bourg Murat et descendre jusqu'au centre ville du Tampon. Après avoir dépassé la mairie du Tampon à gauche, tourner à droite dans la rue Fréjaville. Descendre la rue jusqu'au rond-point. Prendre à gauche, faire à peu près 200 m, tourner ensuite à droite dans la rue Martinel Lassays. Le meublé se trouve au n° 109. </t>
  </si>
  <si>
    <t>Cryptoméria (Le) - Joseph Marguerite</t>
  </si>
  <si>
    <t>109, rue Martinel Lassays, 97422 Le Tampon</t>
  </si>
  <si>
    <t xml:space="preserve">Joseph Marguerite : 0262270606 / 0692259377 / Propriétaire ,  0262270606 </t>
  </si>
  <si>
    <t>-21.28130344, 55.50325218</t>
  </si>
  <si>
    <t>CSC76HTM</t>
  </si>
  <si>
    <t>Mode de paiment,E-Mail,Classement,Descriptif du plan d'accès</t>
  </si>
  <si>
    <t>106 Rue Martinel Lassays, 97430, Réunion</t>
  </si>
  <si>
    <t>recvSr38RvOo1oBlP</t>
  </si>
  <si>
    <t>Kaz Mauricien</t>
  </si>
  <si>
    <t>Le Mauricien</t>
  </si>
  <si>
    <t>Cuisine le Mauricien
430, rue Hubert Delisle
97430 Le Tampon</t>
  </si>
  <si>
    <t>https://www.facebook.com/Cuisine-le-Mauricien-1082839705094589/?ref=hl</t>
  </si>
  <si>
    <t>arrêt bus,poste - boite aux lettres,banque - guichet automatique,commerce alimentaire,parking public</t>
  </si>
  <si>
    <t>kazmauricien@gmail.com</t>
  </si>
  <si>
    <t>Au Tampon, le restaurant Cuisine le Mauricien propose une cuisine traditionnelle de l'île Maurice.</t>
  </si>
  <si>
    <t xml:space="preserve">Repas à emporter ou sur place.
Ouverture du lundi au vendredi de 11h30 à 14h et de 18h30 à 20h30 et le samedi de 10h à 14h.
Langues parlées : Créole réunionnais et mauricien. </t>
  </si>
  <si>
    <t>Le restaurant est situé sur la route principale du Tampon, à 5 min de la mairie, en direction des Trois Mares entre le rond-point de l'université et la station essence Total face à Sécuritest.</t>
  </si>
  <si>
    <t>Cuisine le Mauricien - MUHAMMAD THOOPHANY</t>
  </si>
  <si>
    <t>20, chemin Jean François Revel, 97422 Le Tampon</t>
  </si>
  <si>
    <t xml:space="preserve">Chamtyoo Louis : kazmauricien@gmail.com / 0692602394 / Gérant(e) ,  kazmauricien@gmail.com / 0692602394 / Gérant(e) </t>
  </si>
  <si>
    <t>-21.268, 55.51</t>
  </si>
  <si>
    <t>Nom commercial,Mode de paiment,E-Mail,Descriptif,Fournisseur - Nom,Fournisseur - SIRET,Fournisseur - contacts</t>
  </si>
  <si>
    <t>430 Rue Hubert Delisle, 97430, Réunion</t>
  </si>
  <si>
    <t>rece9uELyn8ZtWYFS</t>
  </si>
  <si>
    <t>D. Nat Créations</t>
  </si>
  <si>
    <t>D. Nat Créations
53 chemin Avril Amaye - Bras Pontho
97430 Le Tampon</t>
  </si>
  <si>
    <t>wifi</t>
  </si>
  <si>
    <t>d.natcreations@gmail.com</t>
  </si>
  <si>
    <t>Au Tampon, D. Nat Créations propose des œuvres en bois. 
C'est au détour de son jardin et voyant une vieille souche de cryptoméria que son grand-père avait planté, que l'inspiration lui est venue.</t>
  </si>
  <si>
    <t>David a créé sa première œuvre. Depuis il parcours les forêts et plages de l'île pour ramasser les bois morts et bois flottés pour réaliser des œuvres uniques.
Découverte des créations de David du lundi au vendredi de 9h à 12h et de 14h à 18h.</t>
  </si>
  <si>
    <t>D. Nat Créations - Nativel David</t>
  </si>
  <si>
    <t>53 chemin Amaye Avril - Bras de Pontho, 97422 Le Tampon</t>
  </si>
  <si>
    <t xml:space="preserve">Nativel David : d.natcreations@gmail.com / 0692088193 / Gérant(e) , Nativel David : d.natcreations@gmail.com / 0692088193 </t>
  </si>
  <si>
    <t>-21.243693, 55.498546</t>
  </si>
  <si>
    <t>53 Chemin Avril Amaye, Réunion</t>
  </si>
  <si>
    <t>Dalleau Didier</t>
  </si>
  <si>
    <t>Didier Dalleau</t>
  </si>
  <si>
    <t>Dalleau Didier
.
97480 Saint-Joseph</t>
  </si>
  <si>
    <t>Terre,Mer</t>
  </si>
  <si>
    <t>Randonnée pédestre,Plongée</t>
  </si>
  <si>
    <t>meretmontagne974@orange.fr</t>
  </si>
  <si>
    <t>Entre Volcan et Océan...</t>
  </si>
  <si>
    <t>Didier Dalleau, guide créole, propose de découvrir l'île de La Réunion à travers des randonnées et/ou des plongées. Sous l'océan ou sur cette île volcanique, le partage et les découvertes seront au rendez-vous.  Voici quelques exemples :
- Coté Volcan : 
Volcanisme hors enclos : sortie alliant balade pédestre et découverte de sites atypiques dans le Sud sauvage.
La Fournaise autrement : rando-balade permettant l'observation de différents sites pour mieux interpréter la construction de cet édifice en constante évolution...
- Coté Océan : 
L'initiation et la formation à la plongée : une vision sous-marine de la continuité de l'île sous l'océan.
Découverte d'environ 2 heures sur la formation des récifs et du relief littoral de la côte ouest.
Zone d'activité : toute l'île</t>
  </si>
  <si>
    <t>1, impasse des Pluies d'Or, 97412 Saint-Joseph</t>
  </si>
  <si>
    <t xml:space="preserve">Dalleau Didier : meretmontagne974@orange.fr / 0692089093 , Dalleau Didier : meretmontagne974@orange.fr / 0692089093 </t>
  </si>
  <si>
    <t>-21.168175, 55.285926</t>
  </si>
  <si>
    <t>recZYCbaJbEYDPyJv</t>
  </si>
  <si>
    <t>Dan'n Tan Lontan</t>
  </si>
  <si>
    <t>Dan'n Tan Lontan
19, allée des Palmiers
97442 Saint-Philippe</t>
  </si>
  <si>
    <t>https://www.dantanlontan.com/</t>
  </si>
  <si>
    <t>barbecue,climatisation,fer et planche à repasser,four,jardin,lave linge privatif,lave vaisselle,micro-ondes,téléphone,TV,wifi</t>
  </si>
  <si>
    <t>arrêt bus,sentier de randonnée,poste - boite aux lettres,commerce alimentaire,parking public</t>
  </si>
  <si>
    <t>contact@dantanlontan.com</t>
  </si>
  <si>
    <t>Dans le Sud Sauvage à Saint-Philippe, Dan'n tan Lontan propose 3 bungalows de type créole, nichés au cœur d'un jardin arboré (jacquiers, letchis ...).</t>
  </si>
  <si>
    <t>Chaque bungalow dispose d'une chambre double, d'un salon-salle à manger, d'une cuisine équipée et d'une véranda.
2 bungalows peuvent accueillir 4 personnes et le 3ème a une capacité de 2 personnes. Ils possèdent un jardin privatif avec barbecue.
A disposition : berceau, chaise BB 
Dégustation des fruits du jardin selon saison. Endroit calme.
A proximité : les sentiers de randonnées, le Parc National, les tunnels de lave, piscine d'eau de mer du Baril, le Cap Méchant et découvrir la gastronomie locale et l'artisanat.</t>
  </si>
  <si>
    <t>De Saint-Joseph, passer la station essence et tourner à droite, ou de Sainte-Rose, passer l'église et la mairie et tourner à gauche chemin de la Marine, puis tourner à la quatrième ruelle à droite (allées des Palmiers). Aller au bout de l'allée et tourner à gauche juste après le portail, puis tout de suite à droite.</t>
  </si>
  <si>
    <t>Dan'n Tan Lontan - Orange Laurent</t>
  </si>
  <si>
    <t>19, allée des Palmiers, 97417 Saint-Philippe</t>
  </si>
  <si>
    <t xml:space="preserve">Orange Laurent : lacailleorange@orange.fr / 0262477106 / 0692651429 / Propriétaire , Orange Laurent : lacailleorange@orange.fr / 0262477106 / 0692651429 / Propriétaire </t>
  </si>
  <si>
    <t>-21.361944, 55.764722</t>
  </si>
  <si>
    <t>CSC122HTE</t>
  </si>
  <si>
    <t>Mode de paiment,E-Mail,Capacité,Descriptif</t>
  </si>
  <si>
    <t>19 Allée des Palmiers, 97442, Réunion</t>
  </si>
  <si>
    <t>recgWggnQnLivhwUK</t>
  </si>
  <si>
    <t>Délices du Sud (Les) -</t>
  </si>
  <si>
    <t>Délices du Sud (Les) -
14 bis, rue du Père Rognard
97430 Le Tampon</t>
  </si>
  <si>
    <t>geraldvirassamy@hotmail.com</t>
  </si>
  <si>
    <t xml:space="preserve">Situé au Tampon, le restaurant Les O délices propose une cuisine chinoise. Spécialités: sauté mine, riz cantonnais... Possibilité de repas sur place et à emporter. </t>
  </si>
  <si>
    <t xml:space="preserve">Le restaurant se situe à 5 minutes à pied de la grande église du centre-ville de Tampon, en face du parc Jean de Cambiaire (à proximité du théâtre Luc Donat).   </t>
  </si>
  <si>
    <t>O Délices - Gérald MOURGAYA VIRAPATRIN</t>
  </si>
  <si>
    <t>14 bis, rue du Père Rognard, 97422 Le Tampon</t>
  </si>
  <si>
    <t xml:space="preserve">Mourgaya  : geraldvirassamy@hotmail.com / 0262887589 / 0692382799 ,  0262887589 / 0692382799 </t>
  </si>
  <si>
    <t>-21.2812321,55.5205541</t>
  </si>
  <si>
    <t>Mode de paiment,Mobile,E-Mail,Capacité,Descriptif,Descriptif du plan d'accès,Fournisseur - Nom,Fournisseur - SIRET</t>
  </si>
  <si>
    <t>14 Rue Père Rognard, Réunion</t>
  </si>
  <si>
    <t>Descories</t>
  </si>
  <si>
    <t>Descories
151 A, route de la Passerelle - Langevin
97480 Saint-Joseph</t>
  </si>
  <si>
    <t>descories@gmail.com</t>
  </si>
  <si>
    <t>Déco de jardins en scories...</t>
  </si>
  <si>
    <t>Situé à Langevin Descories propose la création et la réa de décoration de jardins à base de pierres volcanique, les scories. Créations diverses : pots, vases et bassins, produits entièrement fait main. Présent  sur le marché forain de Saint Joseph, tous les vendredis matin de 6h à12h. Sur simple appel passer commande.</t>
  </si>
  <si>
    <t>Descories - Grondin Ludovic</t>
  </si>
  <si>
    <t>151 A, route de la Passerelle - Langevin, 97412 Saint-Joseph</t>
  </si>
  <si>
    <t xml:space="preserve">Grondin Ludovic : descories@gmail.com / 0692999507 , Grondin Ludovic : descories@gmail.com / 0692999507 </t>
  </si>
  <si>
    <t>-21.3798106,55.6495337</t>
  </si>
  <si>
    <t>Langevin, Réunion</t>
  </si>
  <si>
    <t>Détente Créole</t>
  </si>
  <si>
    <t>Détente Créole
8, chemin des Cévennes - PK 20 - A RN3
Plaine des Cafres
97418 La Plaine des Cafres</t>
  </si>
  <si>
    <t>detentecreole@gmail.com</t>
  </si>
  <si>
    <t>A la Plaine des Cafres, Détente Créole dispose d'une table d'hôte.</t>
  </si>
  <si>
    <t>La table d'hôte propose une cuisine créole, dégustation des boulettes de snoek, de coq pays, glacé de chouchou-passion.
Découverte ou redécouverte de la cuisine créole typique et du folklore de La Réunion.</t>
  </si>
  <si>
    <t xml:space="preserve">Depuis le Sud, prendre le rond-point du 20ème tout de suite à droite, 4ème entrée à droite.
Depuis le nord, prendre le rond-point du 20ème, tourner à gauche, 4ème entrée à droite. </t>
  </si>
  <si>
    <t>Détente Créole - Smith Josie</t>
  </si>
  <si>
    <t>8, chemin des Cévènnes - PK 20 -A RN3, 97422 Le Tampon</t>
  </si>
  <si>
    <t xml:space="preserve">Smith Josie : detentecreole@gmail.com / 0692737714 / 0262591313 / Gérant(e) , Smith Josie : detentecreole@gmail.com / 0692737714 / Gérant(e) , Smith Josie : detentecreole@gmail.com / 0692737714 / 0262591313 / Gérant(e) </t>
  </si>
  <si>
    <t>-21.23257, 55.541792</t>
  </si>
  <si>
    <t>8 Chemin des Cevennes, La Plaine des Cafres, Réunion</t>
  </si>
  <si>
    <t>rec8V96z3M3TU00Ae</t>
  </si>
  <si>
    <t>http://www.detentecréole.e-monsite.com</t>
  </si>
  <si>
    <t>chauffage,parking,sanitaires privés,TV</t>
  </si>
  <si>
    <t>A la Plaine des Cafres dans la fraicheur des hauts, Détente Créole propose 2 chambres d'hôtes.</t>
  </si>
  <si>
    <t>Une chambre triple comprenant un lit double et un lit simple et une chambre quadruple avec lit double et clic-clac pour 2 personnes. les chambres sont aménagées typiquement en créole.
La salle d'accueil dispose d'un coin détente avec un salon créole et une salle à manger.
Possibilité de se restaurer sur place et de découvrir la culture culinaire et le folklore de La Réunion. Attention : minimum 2 nuits</t>
  </si>
  <si>
    <t>58.00</t>
  </si>
  <si>
    <t>CSC173HTK</t>
  </si>
  <si>
    <t>Site web,Mode de paiment,Autre téléphone,Capacité,Descriptif,Descriptif du plan d'accès,Jours et horaires d'ouverture</t>
  </si>
  <si>
    <t>Dijoux Marie Ange</t>
  </si>
  <si>
    <t>Dijoux Marie Ange
1, rue Casabianca appt 1003
97414 Entre-Deux</t>
  </si>
  <si>
    <t>Artisane de l'Entre-Deux, Rosette exploite les richesses du "choca", plante grasse de la famille des agavacées. Ses feuilles, rigides sont généralement munies d'une épine au bout et peuvent atteindre 2,50m de long. A maturité, du cœur se dégage une hampe florale de 4 à 7 m de haut, de laquelle les très nombreuses bulbilles aériennes se détachent et s'implantent de manière envahissante au détriment des espèces endémiques et indigènes de l'île.
A partir de cette plante sont fabriqués : boucles d'oreilles, colliers, porte-clés, sacs, porte-lettres et les indétrônables "Savates Choca".</t>
  </si>
  <si>
    <t>1, rue Casabianca appt 1003, 97403 Entre-Deux</t>
  </si>
  <si>
    <t xml:space="preserve">Dijoux Marie Ange : 0692420097 , Dijoux Marie Ange : 0692420097 ,  0692420097 </t>
  </si>
  <si>
    <t>-21.24639, 55.470804</t>
  </si>
  <si>
    <t>Dijoux Marie-Ange</t>
  </si>
  <si>
    <t>Dijoux Marie-Ange
249, chemin Jean Lauret
97414 Entre-Deux</t>
  </si>
  <si>
    <t>Artisane de l'Entre-Deux, Marie-Ange exploite les richesses du "choca", plante grasse de la famille des agavacées. Ses feuilles, rigides sont généralement munies d'une épine au bout et peuvent atteindre 2,50m de long. A maturité, du cœur se dégage une hampe florale de 4 à 7 m de haut, de laquelle les très nombreuses bulbilles aériennes se détachent et s'implantent de manière envahissante au détriment des espèces endémiques et indigènes de l'île.
A partir de cette plante sont fabriqués : boucles d'oreilles, colliers, porte-clés, sacs, porte-lettres et les indétrônables "Savates Choca".</t>
  </si>
  <si>
    <t>Dijoux Marie-Ange - fermeture car fiche en double ds la base syl</t>
  </si>
  <si>
    <t>249, chemin Jean Lauret, 97403 Entre-Deux</t>
  </si>
  <si>
    <t xml:space="preserve">Dijoux Marie-Ange : 0692420097 , Dijoux Marie-Ange : 0692420097 ,  0692420097 </t>
  </si>
  <si>
    <t>-21.242722, 55.480506</t>
  </si>
  <si>
    <t>249 Rue Jean Lauret, Réunion</t>
  </si>
  <si>
    <t>Dijoux Renée</t>
  </si>
  <si>
    <t>Dijoux Renée
43, rue Défaud
97414 Entre-Deux</t>
  </si>
  <si>
    <t>Artisane de l'Entre-Deux, Renée exploite les richesses du "choca", plante grasse de la famille des agavacées. Ses feuilles, rigides sont généralement munies d'une épine au bout et peuvent atteindre 2,50m de long. A maturité, du cœur se dégage une hampe florale de 4 à 7 m de haut, de laquelle les très nombreuses bulbilles aériennes se détachent et s'implantent de manière envahissante au détriment des espèces endémiques et indigènes de l'île.
A partir de cette plante sont fabriqués : boucles d'oreilles, colliers, porte-clés, sacs, porte-lettres et les indétrônables "Savates Choca".</t>
  </si>
  <si>
    <t>43, rue Défaud, 97403 Entre-Deux</t>
  </si>
  <si>
    <t xml:space="preserve">Dijoux Renée : 0262395730 , Dijoux Renée : 0262395730 ,  0262395730 </t>
  </si>
  <si>
    <t>-21.242445, 55.482807</t>
  </si>
  <si>
    <t>43 Rue Defaud, Réunion</t>
  </si>
  <si>
    <t>rec5vqdPwSdrFzsvs</t>
  </si>
  <si>
    <t>Dimitile Hôtel</t>
  </si>
  <si>
    <t>Hôtel restaurant Le Dimitile</t>
  </si>
  <si>
    <t>Dimitile Hôtel
30, rue Bras Long
97414 Entre-Deux</t>
  </si>
  <si>
    <t>http://www.dimitile.eu</t>
  </si>
  <si>
    <t>bar,climatisation,espace de restauration,jardin,parking,piscine,salle de réunion - séminaire,téléphone,TV satellite,wifi,coffre-fort,mini-bar,pressing</t>
  </si>
  <si>
    <t>resa@dimitile.eu</t>
  </si>
  <si>
    <t>Dimitile Hôtel, labellisé Exclusive Island Hotels &amp; Resorts, propose 18 chambres intimistes de charme et luxe.</t>
  </si>
  <si>
    <t>Il est situé dans le village de l'Entre-Deux, en plein cœur d'un circuit des cases et jardins créoles. Les chambres bénéficient d'un balcon ou d'une grande terrasse privative qui donne sur la piscine et les montagnes. Véritable jardin créole avec plus de 2000 plantes et fleurs. Dîner aux chandelles et cave à vins au restaurant de l'hôtel "Entre Nous." 
A 15 min de Saint-Pierre et à 30 min de la Maison du Volcan. Accès aux personnes à mobilité réduite. Autre langue parlée : la langue des signes.
Hôtel labellisé Tourisme et Handicap.</t>
  </si>
  <si>
    <t>Depuis l’aéroport de Roland Garros (Saint-Denis) : prendre la direction de Saint-Pierre par la Route des Tamarins. Arrivé à l'Etang-Salé, poursuivre sur la RN 1 jusqu'à la sortie Saint-Louis (c'est-à-dire après le pont qui enjambe la rivière Saint-Etienne). Cette sortie indique la Ravine des Cabris, l'Entre-Deux et Pierrefonds. Passer au-dessus de la 4 voies. Au rond-point, continuer tout droit sur le CD 26. Suivre les signalétiques. Compter environ une heure de route entre Saint-Denis et l'Entre-Deux.</t>
  </si>
  <si>
    <t>Tourisme &amp; Handicaps</t>
  </si>
  <si>
    <t>Dimitile Hôtel - Ballandras David</t>
  </si>
  <si>
    <t>30, rue Bras Long, 97403 Entre-Deux</t>
  </si>
  <si>
    <t>Ballandras David : david.ballandras@dimitile.eu / 0262392000 / 0262247011 / Directeur</t>
  </si>
  <si>
    <t>-21.24462365, 55.47042942</t>
  </si>
  <si>
    <t>https://www.secure-hotel-booking.com/smart/Dimitile-Hotel/2QE6/fr/ | Secure Hotel Booking</t>
  </si>
  <si>
    <t>CSC7HTG</t>
  </si>
  <si>
    <t>Mode de paiment,Fax,Capacité,Descriptif,Jours et horaires d'ouverture,Labels,Fournisseur - Nom</t>
  </si>
  <si>
    <t>30 Rue Bras Long, Entre-Deux 97414, Réunion</t>
  </si>
  <si>
    <t>Djoossy's</t>
  </si>
  <si>
    <t>Djoossy's
131 rue Raphaël Babet
97480 Saint-Joseph</t>
  </si>
  <si>
    <t>Djoossy's propose des burgers artisanaux, des frites maisons, des nuggets maison et plein d'autres choses!</t>
  </si>
  <si>
    <t>Ouvert du mardi au jeudi et le dimanche de 10h30 à 21h, du vendredi au samedi de 10h30 à 22h. Fermé le dimanche.</t>
  </si>
  <si>
    <t>131 rue Raphaël Babet, 97412 Saint-Joseph</t>
  </si>
  <si>
    <t xml:space="preserve"> 0262690303 ,  0262690303 </t>
  </si>
  <si>
    <t>-21.380496, 55.613634</t>
  </si>
  <si>
    <t>131 Rue Raphael Babet, Réunion</t>
  </si>
  <si>
    <t>recujgdTvkLdV2oDK</t>
  </si>
  <si>
    <t>Domaine Archambaud</t>
  </si>
  <si>
    <t>Domaine Archambaud
.
97430 Le Tampon</t>
  </si>
  <si>
    <t>pole.animation@gceip.fr</t>
  </si>
  <si>
    <t>Ancien maire de Saint-Pierre, conseiller général et député de La Réunion, Pierre Edouard Augustin Archambaud était l'heureux propriétaire du domaine qui porte aujourd'hui son nom, au Tampon.</t>
  </si>
  <si>
    <t>Dans ce jardin de 1,8 hectare situé au 19ème km, la case de changement d'air du propriétaire est toujours debout. Mais c'est le patrimoine naturel autour que l'on vient admirer.
La visite guidée dure trois heures et permet aux curieux d'apprécier la diversité de la flore locale réunionnaise.</t>
  </si>
  <si>
    <t>Conseil Départemental de La Réunion</t>
  </si>
  <si>
    <t>2, rue de la Source, 97411 Saint-Denis</t>
  </si>
  <si>
    <t xml:space="preserve">DINDAR Nassimah : 0262903030 / 0262903999 / Président(e) du Conseil Général ,  artotheque@cg974.fr / 0262417550 / 0626210503 , Ribes Sonia : museum@cg974.fr / 0262200219 / 0262213393 / Conservateur ,  musee.dierx@cg974.fr / 0262202482 / 0262218287 / Conservateur ,  museum@cg974.fr / 0262200219 / 0262213393 ,  pole.animation@gceip.fr / 0692652940 ,  pole.animation@gceip.fr / 0692652940 ,  villagecorail@cg974.fr / 0262242929 / 0262244102 ,  Madame Sonia RIBES </t>
  </si>
  <si>
    <t>-21.2380515,55.5395257</t>
  </si>
  <si>
    <t>Fixe,Autre téléphone,Descriptif</t>
  </si>
  <si>
    <t>Route Nat 3 Pk 19, La Plaine des Cafres, Réunion</t>
  </si>
  <si>
    <t>Domaine d'Eglantine (Le)</t>
  </si>
  <si>
    <t>Domaine d'Eglantine (Le)
10 chemin des Planteurs
97418 La Plaine des Cafres</t>
  </si>
  <si>
    <t>Situé à La Plaine des Cafres, à 5 km de la Cité du Volcan, Le Domaine d'Eglantine propose gratuitement une connexion Wi-Fi et un parking privé. Vous pourrez y contempler le jardin.
Chaque logement comprend un balcon, une kitchenette entièrement équipée munie d’un micro-ondes, un coin salon avec un canapé, une télévision à écran plat et une salle de bains privative dotée d’une douche. Un réfrigérateur, des plaques de cuisson, un grille-pain et une bouilloire sont à votre disposition.
Vous bénéficierez d’une terrasse.
Un jardin avec un barbecue est disponible. Les environs se prêtent au vélo et à la plongée avec tuba.</t>
  </si>
  <si>
    <t>10 chemin des Planteurs, 97422 Le Tampon</t>
  </si>
  <si>
    <t>-21.201329, 55.542284</t>
  </si>
  <si>
    <t>10 Chemin des Planteurs, La Plaine des Cafres, Réunion</t>
  </si>
  <si>
    <t>recb5EMH9K8Qtm9Ze</t>
  </si>
  <si>
    <t>Domaine Paille en Queue - Esprit Bourbon</t>
  </si>
  <si>
    <t>Domaine Paille en Queue - Esprit Bourbon
16 impasse des Filaos
97480 Saint-Joseph</t>
  </si>
  <si>
    <t>http://www.domainepailleenqueue.com</t>
  </si>
  <si>
    <t>climatisation,parking,TV satellite,wifi,piscine</t>
  </si>
  <si>
    <t>anglais (Expérimenté (Nv.3)),français (Expérimenté (Nv.3))</t>
  </si>
  <si>
    <t>Situé à Saint-Joseph, le Domaine Paille en Queue propose 3 maisonnettes, toutes les 3 décorées différemment. Esprit Bourbon peut accueillir jusqu'à 5 personnes.</t>
  </si>
  <si>
    <t>Décoration d'inspiration bouddhiste, la sensation et le sentiment d'apaisement de bien-être  font le charme de la maisonnette Esprit Bourbon. Elle est composée d'un lit double au rez de chaussée, un lit simple et un lit double à l'étage, un canapé convertible, un salon, une salle de bain avec douche italienne, des toilettes séparés, une cuisine équipée, un accès à un grand jardin avec vue sur la mer. A l'extérieur il y a une chaise et une table sur la terrasse.</t>
  </si>
  <si>
    <t>Domaine Paille en Queue - Maulat Marie-Nadège</t>
  </si>
  <si>
    <t>14 rue de la Fontaine, 97412 Saint-Joseph</t>
  </si>
  <si>
    <t>Maulat Marie-Nadège : marie.hangard@gmail.com / 0625790833 / Propriétaire</t>
  </si>
  <si>
    <t>-21.372224, 55.625556</t>
  </si>
  <si>
    <t>https://book.reunion.fr/fr/hebergements/1718919/domaine-paille-en-queue-esprit-bourbon/reserver | Réunion.fr</t>
  </si>
  <si>
    <t>1060.00</t>
  </si>
  <si>
    <t>/week end le domaine</t>
  </si>
  <si>
    <t>CSC111HTC</t>
  </si>
  <si>
    <t>Localisations,Prestations sur place,Mode de paiment,Fixe,Fournisseur - Nom,Fournisseur - contacts</t>
  </si>
  <si>
    <t>16 Impasse Des Filaos, 97480, Réunion</t>
  </si>
  <si>
    <t>rec81WSvSWza2HMKr</t>
  </si>
  <si>
    <t>Domaine Paille en Queue - Ile Intense</t>
  </si>
  <si>
    <t>Domaine Paille en Queue - Ile Intense
16 impasse des Filaos
97480 Saint-Joseph</t>
  </si>
  <si>
    <t>Situé à Saint-Joseph, le Domaine Paille en Queue propose 3 maisonnettes, toutes les 3 décorées différemment. Ile Intense peut accueillir jusqu'à 3 personnes.</t>
  </si>
  <si>
    <t>Ambiance exotique et décoration avec quelques touches d'exotisme et de modernité, Ile Intense est composée d'une chambre triple (un lit double et un lit simple), un canapé convertible, un salon, une salle de bain / douche, des toilettes séparés, une cuisine équipée, un accès à un grand jardin avec vue sur la mer. A l'extérieur il y a une chaise et une table sur la terrasse.</t>
  </si>
  <si>
    <t>https://book.reunion.fr/fr/hebergements/1718918/domaine-paille-en-queue-ile-intense/reserver | Réunion.fr</t>
  </si>
  <si>
    <t>recr8fxU0od0bvvnh</t>
  </si>
  <si>
    <t>Domaine Paille en Queue - Sud Sauvage</t>
  </si>
  <si>
    <t>Domaine Paille en Queue - Sud Sauvage
16 impasse des Filaos
97480 Saint-Joseph</t>
  </si>
  <si>
    <t>Situé à Saint-Joseph, le Domaine Paille en Queue propose 3 maisonnettes, toutes les 3 décorées différemment. Sud Sauvage peut accueillir jusqu'à 7 personnes.</t>
  </si>
  <si>
    <t>Ambiance tropical à travers une décoration à tendance jungle toute en délicatesse, Sud Sauvage est composée d'une chambre avec d'un lit double au rez de chaussée, deux lits doubles et un lit simple à l'étage, un canapé convertible, un salon, une salle de bain / douche, des toilettes séparés, une cuisine équipée, un accès à un grand jardin avec vue sur la mer. A l'extérieur il y a une chaise et une table sur la terrasse.</t>
  </si>
  <si>
    <t>https://book.reunion.fr/fr/hebergements/1718917/domaine-paille-en-queue-sud-sauvage/reserver | Réunion.fr</t>
  </si>
  <si>
    <t>recTnUeCbJOndXMtv</t>
  </si>
  <si>
    <t>Domitile Artisanat</t>
  </si>
  <si>
    <t>Domitile Artisanat
522 rue Hubert Delisle
97430 Le Tampon</t>
  </si>
  <si>
    <t>domitile.d@hotmail.fr</t>
  </si>
  <si>
    <t>Situé au Tampon, Domitile Artisanat dispose d'une boutique de souvenirs de La Réunion et d'ailleurs.</t>
  </si>
  <si>
    <t>Kayamb, bertel, porte stylo, accroche clés, pilon, tee-shirt, miroir, produit du terroir, ... sont proposés. Initiation au tressage sur demande.</t>
  </si>
  <si>
    <t>Domitile Artisanat - Domitile</t>
  </si>
  <si>
    <t>522 rue Hubert Delisle, 97422 Le Tampon</t>
  </si>
  <si>
    <t xml:space="preserve">Domitile David : domitile.d@hotmail.fr / 0262599174 / 0692693126 / Gérant(e) , Domitile David : domitile.d@hotmail.fr / 0262599174 / 0692693126 / Gérant(e) </t>
  </si>
  <si>
    <t>-21.267034, 55.509916</t>
  </si>
  <si>
    <t>522 Rue Hubert Delisle, Réunion</t>
  </si>
  <si>
    <t>Durentas (Les)</t>
  </si>
  <si>
    <t>Durentas (Les)
35 bis, rue Defaud - Ravine des Citrons
97414 Entre-Deux</t>
  </si>
  <si>
    <t>http://www.lesdurentas.com</t>
  </si>
  <si>
    <t>espace de restauration,jardin,parking,piscine,salle de bain privée,sanitaires privés</t>
  </si>
  <si>
    <t>nicole@lesdurentas.com</t>
  </si>
  <si>
    <t>Situé dans le village de l'Entre-Deux, les Durentas propose 2 chambres d'hôtes indépendantes de 2 personnes labellisées Gîtes de France. A proximité de la maison du propriétaire.
De nombreuses randonnées vers les pittoresques sentiers du Dimitile ainsi que les balades dans le village comme par exemple circuit des cases et jardins créoles feront le bonheur des amoureux de la nature.</t>
  </si>
  <si>
    <t>Prendre la direction de l'Entre-Deux puis la Ravine des Citrons et enfin, direction Auberge de Jeunesse. La structure se situe à 100 m de l'Auberge sur la droite (panneau Gîtes de France).</t>
  </si>
  <si>
    <t>Durentas (Les) - Vienne Mario</t>
  </si>
  <si>
    <t>35 bis, rue Defaud, 97403 Entre-Deux</t>
  </si>
  <si>
    <t xml:space="preserve">Vienne Mario : nicole@lesdurentas.com / 0262396403 / 0692686882 / Propriétaire ,  nicole@lesdurentas.com / 0262396403 / 0692686882 </t>
  </si>
  <si>
    <t>-21.24347298, 55.48304408</t>
  </si>
  <si>
    <t>CSC165HTL</t>
  </si>
  <si>
    <t>recwIlCEX9xuH8gkn</t>
  </si>
  <si>
    <t>Eau Forte (L')</t>
  </si>
  <si>
    <t>Suzana DUCROS</t>
  </si>
  <si>
    <t>Eau Forte (L')
137 bis, boulevard de l'Océan
97480 Saint-Joseph</t>
  </si>
  <si>
    <t>http://www.eau-forte.fr</t>
  </si>
  <si>
    <t>barbecue,climatisation,four,jardin,micro-ondes,parking,TV</t>
  </si>
  <si>
    <t>français,anglais,allemand,italien</t>
  </si>
  <si>
    <t>eau-forte@wanadoo.fr</t>
  </si>
  <si>
    <t>Meublé de Tourisme tout confort pour 2 personnes, situé au bord de l'océan avec une vue imprenable sur la baie de Manapany. A 2 km de Saint-Joseph, situation privilégiée au dessus du bassin de baignade.</t>
  </si>
  <si>
    <t>De Saint-Pierre, prendre direction Saint-Joseph, passer le rond point de Petite-Île et franchir le pont de la ravine Manapany jusqu'au croisement de Manapany les Bains, 1,5 km avant Saint-Joseph. Quitter la nationale sur la droite et rejoindre le boulevard de l'Océan, poursuivre jusqu'au restaurant chez Jo, derrière lequel se trouve une petite impasse. Rouler jusqu'à la troisième maison de cette impasse sur la droite.</t>
  </si>
  <si>
    <t>Eau Forte (L') - Ducros Suzana</t>
  </si>
  <si>
    <t>137 bis, Boulevard de l'Océan, 97412 Saint-Joseph</t>
  </si>
  <si>
    <t xml:space="preserve">Ducros Suzanna : eau-forte@wanadoo.fr / 0262563284 / 0692790872 / Propriétaire ,  eau-forte@wanadoo.fr / 0262563284 / 0692790872 </t>
  </si>
  <si>
    <t>-21.37360367, 55.58884062</t>
  </si>
  <si>
    <t>60.00</t>
  </si>
  <si>
    <t>CSC41HTE</t>
  </si>
  <si>
    <t>Lieux-dits,Mode de paiment</t>
  </si>
  <si>
    <t>L, L'eau-forte, 137b Blvrd de l'Ocean, Manapany-Les-Bains 97480, Réunion</t>
  </si>
  <si>
    <t>recdLUuHoOI36h9NF</t>
  </si>
  <si>
    <t>Echappée Belle (L')</t>
  </si>
  <si>
    <t>Echappée Belle (L')
13, impasse du Palmier
97414 Entre-Deux</t>
  </si>
  <si>
    <t>http://www.lechappee-belle.com</t>
  </si>
  <si>
    <t>jardin,lecteur DVD,parking,piscine,TV,wifi</t>
  </si>
  <si>
    <t>lechappee-belle974@orange.fr</t>
  </si>
  <si>
    <t>L'Echappée Belle propose 4 chambres d'hôtes indépendantes labellisées Gîtes de France, sur la commune de l'Entre-Deux.</t>
  </si>
  <si>
    <t>La maison dispose de 3 chambres doubles avec lits 180 x 200, d'une chambre triple, d'un salon de détente avec une bibliothèque, d'un jacuzzi, d'un jardin de 4000 m², d'une piscine ainsi qu'une cuisine extérieure avec terrasse couverte, coin salon et espace repas.  A disposition : matériel de puériculture, ...</t>
  </si>
  <si>
    <t>Depuis la RN1, entre Saint-Louis et Saint-Pierre, prendre la sortie Pierrefonds. Suivre la D26 jusqu'au village de l'Entre-Deux. Passer l'Office de Tourisme à droite et continuer sur la route principale. Dans la courbe de la D26, face à la mairie, prendre tout de suite à gauche et suivre l'Impasse du Palmier. Continuer tout droit jusqu'au n°13.</t>
  </si>
  <si>
    <t>Echappée Belle (L') - Tholozan Sébastien</t>
  </si>
  <si>
    <t>13, impasse du Palmier, 97403 Entre-Deux</t>
  </si>
  <si>
    <t>Tholozan Sébastien : lechappee-belle974@orange.fr / 0262229131 / 0692555537</t>
  </si>
  <si>
    <t>-21.247044, 55.470019</t>
  </si>
  <si>
    <t>https://www.lechappee-belle.com/reservez | Auto gestion</t>
  </si>
  <si>
    <t>CSC159HTO</t>
  </si>
  <si>
    <t>Mode de paiment,Labels</t>
  </si>
  <si>
    <t>13 Impasse du Palmier, Réunion</t>
  </si>
  <si>
    <t>Eclats d'Arômes</t>
  </si>
  <si>
    <t>Eclats d'aromes (SARL)</t>
  </si>
  <si>
    <t>Eclats d'Arômes
136, rue Marius et Ary Leblond
97430 Le Tampon</t>
  </si>
  <si>
    <t>http://www.eclatsdaromes.com</t>
  </si>
  <si>
    <t>Carte Bancaire,Chèque,Virement,Tickets restaurant,Espèces</t>
  </si>
  <si>
    <t>français,anglais,allemand,espagnol</t>
  </si>
  <si>
    <t>eclatsdaromes@izi.re</t>
  </si>
  <si>
    <t>Profitant de sa terrasse ombragée, le restaurant Eclats d'Arômes fait découvrir, dans un cadre chaleureux, une cuisine libanaise et métropolitaine de qualité. Voyage culinaire garanti entre Beyrouth et Paris, unique sur l'île. Il propose une cuisine qui allie tant de saveurs, des mezzés aux grillades, ou pour les moins audacieux, une cuisine française traditionnelle ou des produits pays.
Accès aux personnes à mobilité réduite. Ouvert du mardi au dimanche midi et jours fériés de 12h à 14h et de 19h à 22h.</t>
  </si>
  <si>
    <t>Eclats d'Arômes - Roula Eid</t>
  </si>
  <si>
    <t>136, rue Marius et Ary Leblond, 97422 Le Tampon</t>
  </si>
  <si>
    <t xml:space="preserve">Elwert David : 0262396797 / 0692001375 / Co-gérant(e) , Eid Roula : 0262396797 / 0693001375 / Co-gérant(e) ,  0262396797 / 0693001375 </t>
  </si>
  <si>
    <t>-21.28354596, 55.52397986</t>
  </si>
  <si>
    <t>136 RN3, 97430, Réunion</t>
  </si>
  <si>
    <t>Eco-Musée Au Bon Roi Louis</t>
  </si>
  <si>
    <t>Eco Musée Du Bon Roi Louis</t>
  </si>
  <si>
    <t>Eco-Musée Au Bon Roi Louis
1, rue de la Marine
97442 Saint-Philippe</t>
  </si>
  <si>
    <t>sentier de randonnée,sentier de grande randonnée,commerce alimentaire,point de vue panoramique</t>
  </si>
  <si>
    <t>Situé dans le Sud Sauvage à Saint Philippe, l'Eco Musée Du Bon Roi Louis propose de découvrir des objets quotidiens des premiers colons : moulins maïs, alambics, outils de charpentier, tonneliers, bardeautiers etc..., ces objets qui racontent mille anecdotes sur la vie lontan. Durée de la visite : 1h30.
Ouvert du lundi au samedi de 9h à 12h et de 14h à 16h30.
Dimanche et jours fériés sur réservation.
Groupe de plus de 10 personnes : -10%.</t>
  </si>
  <si>
    <t xml:space="preserve">De l'Ouest, prendre la direction centre ville de Saint-Philippe, juste après la station service se trouve l'Eco Musée.
De l'Est, prendre la direction de Saint-Philippe, 20 m à droite de la mairie l'Eco Musée se situe à l'angle de la rue Leconte Delisle et de la Marine. </t>
  </si>
  <si>
    <t>1, rue de la Marine, 97417 Saint-Philippe</t>
  </si>
  <si>
    <t xml:space="preserve">Piras Raphaël : 0262371643 / 0262371298 / 0262371298 / Responsable , Piras Raphaël : 0262371298 / 0262371643 / Responsable </t>
  </si>
  <si>
    <t>-21.36389, 55.76739</t>
  </si>
  <si>
    <t>1 Rue De La Marine, 97442, Réunion</t>
  </si>
  <si>
    <t>recIx0OIAAGnmOiIg</t>
  </si>
  <si>
    <t>Ecrin (L')</t>
  </si>
  <si>
    <t>Ecrin (L')
RN 3 - PK 27 - Bourg Murat
Bourg Murat
97418 La Plaine des Cafres</t>
  </si>
  <si>
    <t>http://www.hotel-ecrin.re</t>
  </si>
  <si>
    <t>chauffage,espace de restauration,parking,salle de réunion - séminaire,téléphone,TV satellite,wifi</t>
  </si>
  <si>
    <t>Carte Bancaire,Eurocard,Chèque,Chèques vacances,Virement,Espèces</t>
  </si>
  <si>
    <t>reception@hotel-ecrin.re</t>
  </si>
  <si>
    <t>Au cœur du village de Bourg Murat à plus de 1 500 m d'altitude, l'Ecrin dispose de 21 chambres en formule bungalow, équipées de chauffage actif pendant la saison fraîche et de TV écran plat LCD.</t>
  </si>
  <si>
    <t>Le petit déjeuner continental est servi sous forme de buffet en salle. Activités sur place : sauna, hammam, jacuzzi et mini golf. A proximité de : artisans, VTT et quad.
Point de départ incontournable de nombreuses randonnées telles que le Volcan, le Piton des Neiges, Grand Bassin, etc.
Accès aux personnes à mobilité réduite.</t>
  </si>
  <si>
    <t xml:space="preserve">L'hôtel l'Ecrin se situe à 150 m de la Maison du Volcan, le Piton de la Fournaise. Depuis le Sud, prendre la 4 voies en direction du Tampon/Plaine des Cafres. Aller jusqu'au village de Bourg Murat, l'hôtel se situe à l'entrée du village à gauche (face aux Grands Kiosques).
Depuis les Plaines, suivre la Route Nationale 3, traverser le village de Bourg Murat, l'hôtel se situe à la sortie du village sur votre droite (face aux Grands Kiosques). </t>
  </si>
  <si>
    <t>Ecrin (L') - Payet Thierry</t>
  </si>
  <si>
    <t>RN 3 - Bourg Murat - PK 27, 97422 Le Tampon</t>
  </si>
  <si>
    <t>Payet Thierry : direction@hotel-ecrin.re / 0262590202 / 0692508863 / 0262593610</t>
  </si>
  <si>
    <t>-21.20449705, 55.57128395</t>
  </si>
  <si>
    <t>CSC125HTH</t>
  </si>
  <si>
    <t>Site web,Mode de paiment,Fax,Descriptif,Descriptif du plan d'accès,Jours et horaires d'ouverture,Fournisseur - Nom</t>
  </si>
  <si>
    <t>RN3 PK27 Bourg-murat, La Plaine des Cafres 97418, Réunion</t>
  </si>
  <si>
    <t>recBETKNEHdD0q8d5</t>
  </si>
  <si>
    <t>Ecurie Notre Dame de la Paix</t>
  </si>
  <si>
    <t>Ecurie Notre Dame de la Paix
35, chemin de la Chapelle - Notre Dame de la Paix
Plaine des Cafres
97418 La Plaine des Cafres</t>
  </si>
  <si>
    <t>sentier de randonnée,sentier de grande randonnée,parking public,point de vue panoramique</t>
  </si>
  <si>
    <t>antoine-patrick.lauret@wanadoo.fr</t>
  </si>
  <si>
    <t>Randonnée équestre à la Plaine des Cafres</t>
  </si>
  <si>
    <t>Le centre équestre Ecurie de Notre Dame de la Paix propose des balades de 1h00, des randonnées de un à plusieurs jours avec des itinéraires personnalisés, des cours d'équitation pour tous les âges les mercredis et samedis, des stages pour enfants et adultes en journée pendant les vacances. Randonnée au Volcan et à la Plaine des Sables en une journée avec transfert des chevaux en camions au Pas de Bellecombe minimum  4 personnes, maximum 8 personnes. Réservation par téléphone.</t>
  </si>
  <si>
    <t>En venant du Tampon, suivre la RN 3 jusqu'à la gendarmerie de la Plaine des Cafres puis prendre la première à droite (sur 6 km). Au village de Notre Dame de la Paix, prendre à droite au chemin de la Chapelle, le centre d'équitation se trouve à 2 km.</t>
  </si>
  <si>
    <t>Centre de Tourisme Equestre</t>
  </si>
  <si>
    <t>Ecurie Notre Dame de la Paix - Lauret Patrick</t>
  </si>
  <si>
    <t>37, chemin de la Chapelle, 97422 Le Tampon</t>
  </si>
  <si>
    <t xml:space="preserve">Lauret Patrick : antoine-patrick.lauret@wanadoo.fr / 0692614679 / Gérant(e) ,  antoine-patrick.lauret@wanadoo.fr / 0262593449 / 0692614679 / 0262593449 </t>
  </si>
  <si>
    <t>-21.25198989, 55.58361346</t>
  </si>
  <si>
    <t>Mode de paiment,Capacité</t>
  </si>
  <si>
    <t>Nd de la Paix, 37 Chemin de la Chapelle, La Plaine des Cafres, Réunion</t>
  </si>
  <si>
    <t>recsH7mY4eboRjWUR</t>
  </si>
  <si>
    <t>Ecuries du Volcan (Les)</t>
  </si>
  <si>
    <t>Ecuries du Volcan (Les)
9 bis, Domaine de Bellevue
Bourg Murat
97418 La Plaine des Cafres</t>
  </si>
  <si>
    <t>http://www.ecuriesduvolcan.e-monsite.com</t>
  </si>
  <si>
    <t>ecuriesduvolcan@orange.fr</t>
  </si>
  <si>
    <t>Les Ecuries du Volcan, centre de tourisme équestre, situées à la Plaine des Cafres à 1600 m d'altitude proposent des baptêmes poney, cheval, la baby rando, des balades à thème, des randonnées d'un jour et plus (ex: la rando volcan), des visites du village, en forêt en attelage, des prestations de prestige et d’événementiel (mariage en calèche), des prestations familiales à la demande, des cours.</t>
  </si>
  <si>
    <t>Les activités sont accessibles aux débutant et les chevaux sont adaptés aux circuits. Accès aux personnes à mobilité réduite. Accueil les groupes, les C.E et C.O.S. Encadrement : BPJEPS, ATE. Langues parlées : mauricien et le malgache.
Ouvert 7 jours sur 7, de 9h à 17h.</t>
  </si>
  <si>
    <t>A la Plaine des Cafres, prendre à gauche sur la route Nationale 3, à 1 km au dessus de la Maison du Volcan.</t>
  </si>
  <si>
    <t>Ecuries du Volcan (Les) - Casimir Jean François</t>
  </si>
  <si>
    <t>9 bis, Domaine de Bellevue, 97422 Le Tampon</t>
  </si>
  <si>
    <t xml:space="preserve">Casimir Jean-François : ecuriesduvolcan@orange.fr / 0692666290 / 0262351056 ,  ecuriesduvolcan@orange.fr / 0692666290 </t>
  </si>
  <si>
    <t>-21.19374871, 55.57572182</t>
  </si>
  <si>
    <t>28 Rue Du Domaine De Bellevue, La Plaine des Cafres 97418, Réunion</t>
  </si>
  <si>
    <t>Eden (L')</t>
  </si>
  <si>
    <t>L'Eden</t>
  </si>
  <si>
    <t>Eden (L')
72, rue Hubert Delisle
97430 Le Tampon</t>
  </si>
  <si>
    <t>Cinéma</t>
  </si>
  <si>
    <t>L'Eden, cinéma au Tampon</t>
  </si>
  <si>
    <t>72, route Hubert Delisle, 97422 Le Tampon</t>
  </si>
  <si>
    <t xml:space="preserve"> 0262571489 ,  0262571489 </t>
  </si>
  <si>
    <t>-21.284072, 55.521526</t>
  </si>
  <si>
    <t>72 Route Hubert Delisle, 97430, Réunion</t>
  </si>
  <si>
    <t>recET3fUKEiA1NBPx</t>
  </si>
  <si>
    <t>Edgar Edition</t>
  </si>
  <si>
    <t>Edgar Photographie</t>
  </si>
  <si>
    <t>Edgar Photographie
16, rue Hubert Delisle
97414 Entre-Deux</t>
  </si>
  <si>
    <t>http://www.edgar.re/?fbclid=IwAR31r5oyLXT4N8T3CAPAJe0K9B5QeNbr805QL0RjPwWOcnZ-neNLFOjjWKY</t>
  </si>
  <si>
    <t>Art &amp; Artisanat,Souvenirs,salle d'exposition</t>
  </si>
  <si>
    <t>sentier de randonnée,sentier de grande randonnée,commerce alimentaire,parking public,aéroport de Pierrefonds</t>
  </si>
  <si>
    <t>edgar@edgar.re</t>
  </si>
  <si>
    <t>Situé à l'Entre-Deux, Edgar Photographie dispose d'un atelier et propose des expositions de photos en noir et blanc, vente de tirage de cartes postales et des posters.</t>
  </si>
  <si>
    <t>Lundi :  -,Mardi :  -,Jeudi :  -,Vendredi :  -,Samedi :  -,Dimanche :  -</t>
  </si>
  <si>
    <t>Edgar Edition - Edgar Marsy</t>
  </si>
  <si>
    <t>16, rue Hubert Delisle, 97403 Entre-Deux</t>
  </si>
  <si>
    <t xml:space="preserve"> Edgar Marsy : edgar@edgar.re / 0692603038 ,  edgar@edgar.re / 0262498023 / 0692603038 </t>
  </si>
  <si>
    <t>-21.250322, 55.472298</t>
  </si>
  <si>
    <t>Nom commercial,Site web,Mode de paiment,E-Mail,Jours et horaires d'ouverture,Fournisseur - Nom,Fournisseur - SIRET,Fournisseur - contacts</t>
  </si>
  <si>
    <t>16 Rue Justinien Vitry, 97414, Réunion</t>
  </si>
  <si>
    <t>recEmvs9ixOOZTfhk</t>
  </si>
  <si>
    <t>El latino</t>
  </si>
  <si>
    <t>El Latino</t>
  </si>
  <si>
    <t>El latino
337, rue Hubert Delisle - Trois Mares
97430 Le Tampon</t>
  </si>
  <si>
    <t>http://www.el.latino.com</t>
  </si>
  <si>
    <t>Restaurant,Divertissement</t>
  </si>
  <si>
    <t>Restaurant,Pub</t>
  </si>
  <si>
    <t>mogunmagic@yahoo.fr</t>
  </si>
  <si>
    <t>Situé au Tampon, le restaurant El Latino propose une cuisine traditionnelle du sud-ouest : viandes et poissons à la plancha, confit de canard maison, salades et desserts maison. Le restaurant propose également un bar à tapas, il dispose de 2 terrasses fumeur et non fumeur. Concerts tous les vendredis soirs.
Ouvert le lundi uniquement de 10h à 14h, le mardi au samedi de 10h à 14h et de 17h à minuit.</t>
  </si>
  <si>
    <t xml:space="preserve">Depuis le Sud  : Prendre la 4 voies du Tampon, arrivé au rond-point de la tour des Azalées suivre la direction centre ville à  droite. Continuer tout droit au 3ème rond-point prendre la 3ème sortie, traverser le centre ville du Tampon. Passer la mairie, le restaurant se trouve à gauche.
Depuis les Plaines : Suivre la RN3 en direction du Tampon. Au rond-point «Chandelle» suivre la direction centre ville première sortie à droite. Traverser le centre ville du Tampon, passer la mairie, le restaurant se trouve à gauche. </t>
  </si>
  <si>
    <t>El Latino - Mogun Nathalie</t>
  </si>
  <si>
    <t>337, rue Hubert Delisle - Trois Mares, 97422 Le Tampon</t>
  </si>
  <si>
    <t xml:space="preserve">Mogun Nathalie : ntarrago7@hotmail.com / 0262596858 ,  mogunmagic@yahoo.fr / 0262596858 / 0692020342 </t>
  </si>
  <si>
    <t>-21.272066, 55.511494</t>
  </si>
  <si>
    <t>337 Rue Hubert Delisle, 97430, Réunion</t>
  </si>
  <si>
    <t>Emi'Liane</t>
  </si>
  <si>
    <t>Emi'Liane
44 A rue du Père Favron
Plaine des Cafres
97418 La Plaine des Cafres</t>
  </si>
  <si>
    <t>jolymy974@hotmail.fr</t>
  </si>
  <si>
    <t>Charmante maisonnée en bois, Emi’Liane est un meublé de tourisme</t>
  </si>
  <si>
    <t>composé de 2 chambres doubles   lit bébé / salle de bain (douche) / cuisine équipé. Equipé PMR.</t>
  </si>
  <si>
    <t>Emi'Liane - Reboule Virginie</t>
  </si>
  <si>
    <t>44 A rue du Père Favron, 97422 Le Tampon</t>
  </si>
  <si>
    <t xml:space="preserve"> jolymy974@hotmail.fr / 0692636314 ,  jolymy974@hotmail.fr / 0692636314 </t>
  </si>
  <si>
    <t>-21.336308, 55.462455</t>
  </si>
  <si>
    <t>CSC139HTM</t>
  </si>
  <si>
    <t>Rue du Père Favron, La Plaine des Cafres, Réunion</t>
  </si>
  <si>
    <t>rec51lamuq2SLLHHA</t>
  </si>
  <si>
    <t>Enis Rockel</t>
  </si>
  <si>
    <t>Enis Rockel
2 bis, rue Lin Bénard
97430 Le Tampon</t>
  </si>
  <si>
    <t>enis.rockel@gmail.com</t>
  </si>
  <si>
    <t>Voir et regarder, entendre et écouter, sentir et percevoir, visiter un pays, et vivre un pays à travers l'accompagnement d'un guide touristique professionnel. Cela change tout!</t>
  </si>
  <si>
    <t>La Réunion mérite qu'on aille au-delà de la beauté de ses paysages. C'est une île passionnante à plusieurs égards : les visites que proposent le guide mènent à la découverte de l'authenticité que renferme cette île.
Rockel Enis est un conférencier, spécialiste en histoire de La Réunion et un guide interprète régional. Il parle français, anglais, espagnol et portugais, et possède des connaissances en italien. 
Guidages en excursions classiques, à thème et circuits naturels, labellisées Réunion Qualité Tourisme. Tarifs sur consultation.</t>
  </si>
  <si>
    <t>2 bis, rue Lin Bénard, 97422 Le Tampon</t>
  </si>
  <si>
    <t xml:space="preserve">Rockel Enis : enis.rockel@wanadoo.fr / 0262575036 / 0692999888 / 0262575036 , Rockel Enis : enis.rockel@gmail.com / 0262575036 / 0692999888 / 0262575036 ,  0262575036 </t>
  </si>
  <si>
    <t>-21.277565, 55.525951</t>
  </si>
  <si>
    <t>2 Rue Lin Benard, Réunion</t>
  </si>
  <si>
    <t>rece8RyzBW3w2cOb5</t>
  </si>
  <si>
    <t>Entre 2 Songes</t>
  </si>
  <si>
    <t>Entre 2 Songes
9 Chemin Macaire
97414 Entre-Deux</t>
  </si>
  <si>
    <t>A l'Entre-Deux, Entre 2 Songes propose la visite d'un jardin créole typique retraçant les traditions créoles d'antan.</t>
  </si>
  <si>
    <t>Visite d’une vieille propriété créole rurale et agricole, traversée par un cour d’eau pérenne. Histoire de la propriété, technique en agro-écologie, implantation des arbres fruitiers, variétés des fruits et légumes de La Réunion.
Visite agrémentée des préparations maison en salées et sucrées à partir des productions de l’exploitation en production raisonnée.
Réservation 24h à l’avance, 1h30 de visite en moyenne.</t>
  </si>
  <si>
    <t>Arrivé devant la Mairie de l’Entre Deux, Direction Bras Long. A 400 m, prendre à gauche, chemin Macaire. Suivre panneau directionnel «Entre 2 Songes». A la croisée de chemin Macaire et Cafres, Entre 2 Songes se situe au n° 9. Une vrai case créole orange et verte sous de gros letchis.</t>
  </si>
  <si>
    <t>9, chemin Macaire, 97403 Entre-Deux</t>
  </si>
  <si>
    <t>-21.240205, 55.470061</t>
  </si>
  <si>
    <t>Mode de paiment,Capacité,Descriptif,Jours et horaires d'ouverture,Labels</t>
  </si>
  <si>
    <t>Entre Deux Marmites</t>
  </si>
  <si>
    <t>Entre Deux Marmites
18, chemin Fontaine
97414 Entre-Deux</t>
  </si>
  <si>
    <t>Village,Littoral</t>
  </si>
  <si>
    <t>Entre Deux Marmites propose une restauration rapide à l'Entre-Deux.</t>
  </si>
  <si>
    <t>18, chemin Fontaine, 97403 Entre-Deux</t>
  </si>
  <si>
    <t>0262247008 / 0692365534</t>
  </si>
  <si>
    <t>-21.248764, 55.467736</t>
  </si>
  <si>
    <t>recsiobm7nPsxCU8B</t>
  </si>
  <si>
    <t>Entre Deux Rêves</t>
  </si>
  <si>
    <t>Entre Deux Rêves
8, impasse du Margouillat
97414 Entre-Deux</t>
  </si>
  <si>
    <t>http://www.entre-deux-reves.com</t>
  </si>
  <si>
    <t>jardin,parking,piscine,sanitaires privés,TV,wifi</t>
  </si>
  <si>
    <t>arrêt bus,sentier de randonnée,sentier de grande randonnée,commerce alimentaire,parking public,point de vue panoramique,jardin</t>
  </si>
  <si>
    <t>entredeuxreves@gmail.com</t>
  </si>
  <si>
    <t>La résidence Entre Deux Rêves se situe à l’entrée du village de l’Entre-Deux, labellisé Village Créole. La résidence se compose de 2 bâtiments donnant directement sur la piscine, une aile avec les principales chambres aux noms évocateurs des fruits de La Réunion (Litchi, Papaye, Sapotille, Zévi, Passion).</t>
  </si>
  <si>
    <t>Entre Deux Rêves dispose de 4 chambres d'hôtes labellisées Clévacances, 
les chambres Litchi, Papaye, Sapotille, et Zévi sont classées  2 clés. Elles disposent d'un lit double, d'un accès wifi et d'une terrasse.
Découverte de la gastronomie réunionnaise lors des repas du soir en table d'hôte.</t>
  </si>
  <si>
    <t>A l'entrée du village de l'Entre-deux, sur le CD 26, prendre la rue Rémy Fontaine et l'impasse Margouillat, la résidence se trouve au n°8.</t>
  </si>
  <si>
    <t>Entre Deux Rêves - Jacquot Maryse</t>
  </si>
  <si>
    <t>8, impasse du Margouillat, 97403 Entre-Deux</t>
  </si>
  <si>
    <t>Jacquot Maryse : entredeuxreves@gmail.com / 0262115731 / 0692703743 / propriétaire</t>
  </si>
  <si>
    <t>-21.254807, 55.464525</t>
  </si>
  <si>
    <t>| Réunion.fr</t>
  </si>
  <si>
    <t>85.00</t>
  </si>
  <si>
    <t>/chambre /nuit en semaine</t>
  </si>
  <si>
    <t>CSC145HTJ</t>
  </si>
  <si>
    <t>8 Impasse du Margouillat, 97414, Réunion</t>
  </si>
  <si>
    <t>recEBk4LA7NmOo6cL</t>
  </si>
  <si>
    <t>Entre Deux Rêves - Passion</t>
  </si>
  <si>
    <t>Entre Deux Rêves - Passion
8, impasse du Margouillat
97414 Entre-Deux</t>
  </si>
  <si>
    <t>parking,piscine,TV,wifi,mini-bar</t>
  </si>
  <si>
    <t>arrêt bus,sentier de randonnée,sentier de grande randonnée,poste - boite aux lettres,commerce alimentaire,parking public,point de vue panoramique</t>
  </si>
  <si>
    <t>3 Clé(s)</t>
  </si>
  <si>
    <t>Entre Deux Rêves dispose d'une chambre d'hôte classée 3 clés, la chambre Passion est spécialement conçue pour les amoureux, elle est équipée d'un lit double de 160x200 cm, d'un coin salon, d'un mini-bar, d'un accès wifi et d'une terrasse. 
Découverte de la gastronomie réunionnaise lors des repas du soir en table d'hôte.</t>
  </si>
  <si>
    <t>-21.254827, 55.464525</t>
  </si>
  <si>
    <t>105.00</t>
  </si>
  <si>
    <t>recXQr75TtnS6XXik</t>
  </si>
  <si>
    <t>Entre Deux Rêves - Pitaya</t>
  </si>
  <si>
    <t>Entre Deux Rêves - Pitaya
8, impasse du Margouillat
97414 Entre-Deux</t>
  </si>
  <si>
    <t>lave vaisselle,micro-ondes,parking,piscine,salon de jardin</t>
  </si>
  <si>
    <t>La résidence Entre Deux Rêves se situe à l’entrée du village de l’Entre-Deux, labellisé Village Créole.</t>
  </si>
  <si>
    <t>L'appartement Pitaya est labellisé Clévacances et classé 2 clés. Il dispose d'un séjour-cuisine avec canapé-lit, d'une chambre double et d'un jardin. 
L'appartement est climatisé et équipé pour 4 personnes. Une salle de courtoisie est à la disposition des hôtes à la fin du séjour.</t>
  </si>
  <si>
    <t>115.00</t>
  </si>
  <si>
    <t>/appartement /nuit en semaine</t>
  </si>
  <si>
    <t>CSC146HTK</t>
  </si>
  <si>
    <t>Entre Deux Z'Epok</t>
  </si>
  <si>
    <t>Entre Deux Z'Epok
10, rue Victor Nativel
97414 Entre-Deux</t>
  </si>
  <si>
    <t>entre2zepok@wanadoo.fr</t>
  </si>
  <si>
    <t>Après la réhabilitation du Four à pain "Duportail" situé au Grand Fond Intérieur à l'Entre-Deux.
L'association Entre-Deux Z'Epok met en place une nouvelle animation culturelle intitulée "Dimension culinaire"</t>
  </si>
  <si>
    <t>L’objectif de cette activité est d’inviter les familles à redécouvrir la cuisine et les saveurs d’antan. Au programme, fabrication et cuisson du pain de manière traditionnelle
et un repas cuit au feu de bois (riz, Grains, cari, dessert gâteau péi cuit à la braise, café...)
Tout public : 15 pers min, 30 maxi
Activité du lundi au samedi. Le tarif comprend un punch, du vin et du rhum arrangé(de 21 à 30 personnes).</t>
  </si>
  <si>
    <t>Lundi : 08:30 - 15:00,Mardi : 08:30 - 15:00,Mercredi : 08:30 - 15:00,Jeudi : 08:30 - 15:00,Vendredi : 08:30 - 15:00,Samedi : 08:30 - 15:00</t>
  </si>
  <si>
    <t>Entre Deux Z'Epok - Magon Désiré</t>
  </si>
  <si>
    <t>10, rue Victor Nativel, 97403 Entre-Deux</t>
  </si>
  <si>
    <t>Magon Désiré : entre2zepok@wanadoo.fr / 0262396006 / 0692652806 / président ,  Dany Apaya : 06 92 14 52 13 / encadrant</t>
  </si>
  <si>
    <t>-21.246465, 55.469284</t>
  </si>
  <si>
    <t>Mode de paiment,Autre téléphone,Capacité,Accroche,Descriptif,Jours et horaires d'ouverture,Fournisseur - contacts</t>
  </si>
  <si>
    <t>21 Rue Bras Long, Réunion</t>
  </si>
  <si>
    <t>Entre Lambrequin et Patrimoine</t>
  </si>
  <si>
    <t>Entre Lambrequin et Patrimoine
2, rue Victor Nativel
97414 Entre-Deux</t>
  </si>
  <si>
    <t>http://visiteslareunion.com</t>
  </si>
  <si>
    <t>arrêt bus,commerce alimentaire,parking public,site - lieu culturel,point de vue panoramique</t>
  </si>
  <si>
    <t>benardetienne@hotmail.fr</t>
  </si>
  <si>
    <t>Au fil des cases et jardins créoles, découvrir avec passion, les grandes pages de l'histoire de l'île de La Réunion avec Etienne.
Histoire du peuplement, du café, du marronnage, de l'esclavage, de la botanique.
Les influences de l’architecture de l'ile, des éléments décoratifs et utilitaires, de l'organisation de l'espace des jardins.</t>
  </si>
  <si>
    <t>Après 1h30 de balade à travers le village, la tête remplie d'images, d'informations et d'anecdotes, les cases créoles n'auront pour vous plus aucun secret. Parcours accessible à tous.</t>
  </si>
  <si>
    <t>Lundi : 10:00 14:00 -,Mardi : 10:00 14:00 -,Mercredi : 10:00 14:00 -,Jeudi : 10:00 14:00 -,Vendredi : 10:00 14:00 -,Samedi : 10:00 14:00 -,Dimanche : 10:00 14:00 -</t>
  </si>
  <si>
    <t>2, rue Victor Nativel, 97403 Entre-Deux</t>
  </si>
  <si>
    <t xml:space="preserve">Bénard Etienne : 0692368925 , Bénard Etienne : benardetienne@hotmail.fr / 0692368925 </t>
  </si>
  <si>
    <t>-21.246847, 55.470558</t>
  </si>
  <si>
    <t>2 Rue Victor Natvel, Réunion</t>
  </si>
  <si>
    <t>recJQJSyzPhwSYxQq</t>
  </si>
  <si>
    <t>Meublés Entre Mer et Montagne (Les) (meublé volcan)</t>
  </si>
  <si>
    <t>Entre Mer et Montagne
167, chemin Raphaël Babet - Trois Mares
97430 Le Tampon</t>
  </si>
  <si>
    <t>http://www.meuble-tampon.fr</t>
  </si>
  <si>
    <t>Trois Mares</t>
  </si>
  <si>
    <t>accès internet,piscine chauffée,barbecue,jardin,micro-ondes,parking,TV,table de ping-pong,climatisation</t>
  </si>
  <si>
    <t>commerce alimentaire,centre commercial,restaurants,transports en commun</t>
  </si>
  <si>
    <t>Virement,Chèque,Espèces</t>
  </si>
  <si>
    <t>entre.mer.et.montagne2@gmail.com</t>
  </si>
  <si>
    <t>Dans la ville du Tampon, Entre Mer et Montagne propose 3 meublés.</t>
  </si>
  <si>
    <t>Les meublés Mer et Montagne sont équipés pour 4 personnes et le meublé Volcan pour 2 personnes.</t>
  </si>
  <si>
    <t>Entre Mer et Montagne - Hoareau Josian Noam</t>
  </si>
  <si>
    <t>167, chemin Raphaël Babet - 3 Mares, 97422 Le Tampon</t>
  </si>
  <si>
    <t>Hoareau Josian : entre.mer.et.montagne2@gmail.com / 0262019849 / 0693428268 / Propriétaire</t>
  </si>
  <si>
    <t>-21.266558, 55.502466</t>
  </si>
  <si>
    <t>CSC273HT@</t>
  </si>
  <si>
    <t>Nom commercial,Lieux-dits,Prestations sur place,Prestations à Proximité,Mode de paiment,Capacité,Fournisseur - contacts</t>
  </si>
  <si>
    <t>75 Chemin Mussard, La Plaine des Cafres, Réunion</t>
  </si>
  <si>
    <t>recwnAf36kcAw7rJr</t>
  </si>
  <si>
    <t>Entre Nous</t>
  </si>
  <si>
    <t>Hotel restaurant Le Dimitile</t>
  </si>
  <si>
    <t>Entre Nous
30, rue Bras long
97414 Entre-Deux</t>
  </si>
  <si>
    <t>jardin,parking autocar,parking,piscine,salle de réunion - séminaire,tennis,TV,ventilateur,aire de jeux pour enfant</t>
  </si>
  <si>
    <t>sentier de randonnée,sentier de grande randonnée,riviere,centre commercial,parking public,site - lieu culturel,point de vue panoramique</t>
  </si>
  <si>
    <t>Situé à l'Entre-Deux, Entre Nous, restaurant de l'hôtel Le Dimitile, dispose d'une salle et d'une terrasse spacieuse sous un Letchi bi-centenaire.</t>
  </si>
  <si>
    <t>La carte offre une cuisine créative, gastronomique et métissée. Dîner aux chandelles et cave à vins. 
A 15 min de Saint-Pierre et à 30 min de la Maison du Volcan.
Ouvert tous les jours, midi et soir.</t>
  </si>
  <si>
    <t>Depuis l’aéroport de Roland Garros (Saint-Denis) : prendre la direction de Saint-Pierre par la Route des Tamarins puis arrivé à l'Etang-Salé, poursuivre sur la RN 1 jusqu'à la sortie Saint-Louis (c'est-à-dire après le pont qui enjambe la rivière Saint-Etienne). Cette sortie indique la Ravine des Cabris, l'Entre-Deux et Pierrefonds. Passer au-dessus de la 4 voies. Au rond-point, continuer tout droit sur le CD 26. Suivre les signalétiques. Compter environ une heure de route entre Saint-Denis et l'Entre-Deux.</t>
  </si>
  <si>
    <t>Tourisme &amp; Handicap MME</t>
  </si>
  <si>
    <t>Entre Nous - Schwartz Philippe</t>
  </si>
  <si>
    <t>Mode de paiment,Fax,Descriptif,Labels</t>
  </si>
  <si>
    <t>recpQ5dvqvvWt7rCt</t>
  </si>
  <si>
    <t>Entre-Deux Délices</t>
  </si>
  <si>
    <t>Entre-Deux Délices
2 rue Jean Lauret
97414 Entre-Deux</t>
  </si>
  <si>
    <t>Glacier,Crêperie</t>
  </si>
  <si>
    <t>hardouin@live.fr</t>
  </si>
  <si>
    <t>Entre-Deux Délices est situé à l'Entre-Deux.</t>
  </si>
  <si>
    <t>C'est une crêperie, une saladerie et un glacier.</t>
  </si>
  <si>
    <t>Entre-Deux Délices - Guillaume HARDOUIN</t>
  </si>
  <si>
    <t>2 rue Jean Lauret, 97403 Entre-Deux</t>
  </si>
  <si>
    <t>Guillaume HARDOUIN : hardouin@live.fr / 0693409986 / 0262915743</t>
  </si>
  <si>
    <t>-21.209337, 55.493506</t>
  </si>
  <si>
    <t>Nom catégorie,Mobile,E-Mail,Fournisseur - Nom,Fournisseur - SIRET,Fournisseur - contacts</t>
  </si>
  <si>
    <t>Entre-Deux Lys</t>
  </si>
  <si>
    <t>Entre-Deux Lys
3, impasse des Lys - ravine des Citrons
97414 Entre-Deux</t>
  </si>
  <si>
    <t>barbecue,fer et planche à repasser,jardin,parking,TV,ventilateur,wifi</t>
  </si>
  <si>
    <t>bernard.malet3@orange.fr</t>
  </si>
  <si>
    <t>Situé proche du Bourg de l'Entre-Deux et au départ de nombreuses randonnées, Entre-Deux Lys est situé dans un endroit calme et ensoleillé.</t>
  </si>
  <si>
    <t>Il est composé de 3 chambres doubles dont une équipée d'une salle de bain privative, d'un salon, d'une cuisine, d'une varangue et d'un jardin avec barbecue.</t>
  </si>
  <si>
    <t>Depuis l'Office de Tourisme, prendre direction Ravine des Citrons, tourner à droite au cinquième croisement dans le chemin Défaud. Continuer jusqu'à l'école, après l'école prendre la première impasse sur la gauche, Impasse des Lys, Entre-Deux Lys se trouve au début de l'impasse.</t>
  </si>
  <si>
    <t>Entre-Deux Lys - Malet Chantale</t>
  </si>
  <si>
    <t>57, rue du Lagon, 97413 Saint-Leu</t>
  </si>
  <si>
    <t xml:space="preserve">Malet Chantale : bernard.malet3@orange.fr / 0692852459 / 0262498845 / Propriétaire , Malet Chantale : bernard.malet3@orange.fr / 0692852459 / 0262498845 / Propriétaire </t>
  </si>
  <si>
    <t>Ouest - Saint-Leu</t>
  </si>
  <si>
    <t>-21.24467, 55.483571</t>
  </si>
  <si>
    <t>3 Impasse des Lys, Réunion</t>
  </si>
  <si>
    <t>recsx8UCnt4S1dcKn</t>
  </si>
  <si>
    <t>Epidendrum (L')</t>
  </si>
  <si>
    <t>Epidendrum (L')
31, rue Gabriel Macé
97480 Saint-Joseph</t>
  </si>
  <si>
    <t>http://www.lepidendrum.com</t>
  </si>
  <si>
    <t>Langevin</t>
  </si>
  <si>
    <t>barbecue,climatisation,four,jardin,parking,TV</t>
  </si>
  <si>
    <t>Chèque,Espèces,Carte Bancaire,Chèques vacances,Virement</t>
  </si>
  <si>
    <t>contact@lepidendrum.com</t>
  </si>
  <si>
    <t>Petite villa, située dans un jardin calme et arboré sur la petite voie d'accès à la marine de Langevin.</t>
  </si>
  <si>
    <t>L'Epidendrum est équipé pour accueillir de 1 a 4 personnes. Le Meublé de Tourisme dispose d'un séjour, de 2 chambres individuelles entièrement climatisées, d'une kitchenette et d'une véranda donnant sur un jardin privatif.
A proximité immédiate des sites touristiques du Sud sauvage</t>
  </si>
  <si>
    <t xml:space="preserve">De Saint-Joseph, prendre la direction de saint-Philippe, prendre la sortie à droite du giratoire de Langevin, suivre la rue Gabriel Macé jusqu'au n°31.
Arrivant de Saint-Philippe, prendre la direction de Saint-Joseph et prendre à gauche au giratoire de Langevin. </t>
  </si>
  <si>
    <t>Epidendrum (L') - Lao-Yec Alix</t>
  </si>
  <si>
    <t>31, rue Gabriel Macé, 97412 Saint-Joseph</t>
  </si>
  <si>
    <t xml:space="preserve">Lao-Yec Alix : contact@lepidendrum.com / 0262566244 / Propriétaire ,  contact@lepidendrum.com / 0262566244 / 0692418054 ,  contact@lepidendrum.com / 0262566244 </t>
  </si>
  <si>
    <t>-21.38518551, 55.64598147</t>
  </si>
  <si>
    <t>https://book.reunion.fr/fr/hebergements/a1534806/lepidendrum/reserver | Réunion.fr</t>
  </si>
  <si>
    <t>55.00</t>
  </si>
  <si>
    <t>CSC83HTK</t>
  </si>
  <si>
    <t>Lieux-dits,Mode de paiment,Mobile,Descriptif,Descriptif du plan d'accès</t>
  </si>
  <si>
    <t>31 Rue Gabriel Macé, 97480, Réunion</t>
  </si>
  <si>
    <t>Epidendrums (Les)</t>
  </si>
  <si>
    <t>Epidendrums (Les)
7 ter, chemin Antoine Naze - RN 3 - PK 20
Plaine des Cafres
97418 La Plaine des Cafres</t>
  </si>
  <si>
    <t>http://www.grevilaire.com</t>
  </si>
  <si>
    <t>barbecue,chauffage,fer et planche à repasser,four,jardin,lave linge privatif,micro-ondes,parking,TV</t>
  </si>
  <si>
    <t>info@grevilaire.com</t>
  </si>
  <si>
    <t>Situé à la Plaine des Cafres, à proximité de la maison du propriétaire, Les Epidendrums, chalet indépendant comprend 3 chambres, un salon/salle à manger et une cuisine équipée d'un réfrigérateur et congélateur. Cheminée, terrasse avec vue sur le Piton des Neiges jusqu'à Saint-Pierre et jardin clos. Point de départ idéal pour la visite du volcan et toutes les randonnées sur le territoire de la Plaine des Cafres. 
Possibilité de tarif à la nuitée et de dîner à la table familiale (voir propriétaire). Tarifs dégressifs suivant le nombre de personnes.</t>
  </si>
  <si>
    <t>Prendre la direction de la Plaine des Cafres, en venant de Saint-Pierre. Passer le 19ème km. La structure se situe au 20ème km sur la gauche en montant dans le chemin Antoine Naze.</t>
  </si>
  <si>
    <t>Grévilleas (Les) - Vilcourt Marie-Laure</t>
  </si>
  <si>
    <t>7 ter, chemin Antoine Naze - RN 3 - PK 20, 97422 Le Tampon</t>
  </si>
  <si>
    <t xml:space="preserve">Vilcourt Marie Laure : info@grevilaire.com / 0262591797 / 0692692614 / 0262591797 ,  info@grevilaire.com / 0262591797 / 0692692614 / 0262591797 </t>
  </si>
  <si>
    <t>-21.23231646, 55.54553234</t>
  </si>
  <si>
    <t>7 Chemin Antoine Naze, La Plaine des Cafres, Réunion</t>
  </si>
  <si>
    <t>Epidor (L')</t>
  </si>
  <si>
    <t>Epidor (L')
165, rue Epidor Hoarau - PK 14
97430 Le Tampon</t>
  </si>
  <si>
    <t>http://www.cocolistoo.com</t>
  </si>
  <si>
    <t>barbecue,fer et planche à repasser,four,jardin,lave linge privatif,linge de maison,micro-ondes,parking,TV</t>
  </si>
  <si>
    <t>sentier de randonnée,commerce alimentaire,centre commercial,site - lieu culturel,point de vue panoramique</t>
  </si>
  <si>
    <t>malou.taty@wanadoo.fr</t>
  </si>
  <si>
    <t>A 780 m d'altitude et à 30 min des plages du Sud, dans un grand jardin clos, le meublé Epidor est équipé pour 8 personnes. Situé chez le propriétaire, au Tampon, il comprend 4 chambres, un séjour, une cuisine aménagée et 2 salles de bain. Entrée indépendante, vue panoramique, à proximité de toutes commodités et sites touristiques (volcan, Grand Bassin, Piton des Neiges, etc.)</t>
  </si>
  <si>
    <t>Epidor (L') - Lauret Maryvon</t>
  </si>
  <si>
    <t>165, rue Epidor Hoarau - PK 14, 97422 Le Tampon</t>
  </si>
  <si>
    <t xml:space="preserve">Lauret Maryvon : malou.taty@wanadoo.fr / 0262272904 / 0692906840 / 0262272904 , Lauret Maryvon : malou.taty@wanadoo.fr / 0262272904 / 0692906840 / 0262272904 ,  0262272904 </t>
  </si>
  <si>
    <t>-21.2454535,55.5119202</t>
  </si>
  <si>
    <t>L, 165 Chemin Epidor Hoarau, Réunion</t>
  </si>
  <si>
    <t>Eric Traiteur</t>
  </si>
  <si>
    <t>Eric Traiteur
245, rue Hubert Delisle
97430 Le Tampon</t>
  </si>
  <si>
    <t>eric.lavalle@live.fr</t>
  </si>
  <si>
    <t>Eric traiteur est un chef à domicile, un organisateur de réception, anniversaire ou cocktail. Cuisine européenne ou locale. Ouvert tous les jours sur réservation. Devis sur demande, se déplace sur toute l'île.</t>
  </si>
  <si>
    <t xml:space="preserve">Venant du Sud : depuis la Tour des Azalées, direction Mairie du Tampon, face à la mairie se trouve à l’établissement.
Venant des Plaines : depuis Bourg-Murat, prendre la direction du centre-ville, face à la mairie se trouve à l’établissement. </t>
  </si>
  <si>
    <t>Eric Traiteur - Lavalle Eric</t>
  </si>
  <si>
    <t>245, rue Hubert Delisle, 97422 Le Tampon</t>
  </si>
  <si>
    <t xml:space="preserve">Lavalle Eric : eric.lavalle@live.fr / 0692704360 / 0262274939 ,  eric.lavalle@live.fr / 0692704360 / 0692348555 / 0262274939 </t>
  </si>
  <si>
    <t>-21.2786925,55.5148642</t>
  </si>
  <si>
    <t>245 Rue Hubert Delisle, Le Tampon 97430, Réunion</t>
  </si>
  <si>
    <t>recsIeI9EbAWzHyOB</t>
  </si>
  <si>
    <t>Escale Bleue - Atelier Vanille</t>
  </si>
  <si>
    <t>L'Escale Bleue</t>
  </si>
  <si>
    <t>Escale Bleue - Atelier Vanille
7 RN 2 - Le Tremblet
97442 Saint-Philippe</t>
  </si>
  <si>
    <t>http://www.escale-bleue.fr</t>
  </si>
  <si>
    <t>boutique</t>
  </si>
  <si>
    <t>contact@escale-bleue.fr</t>
  </si>
  <si>
    <t>Créée en 1986, Escale Bleue est une entreprise artisanale spécialisée dans la production et préparation de vanille. Située au Tremblet, entre Saint-Philippe et Sainte-Rose, c’est le premier atelier vanille du Sud Sauvage et l’un des préparateurs de vanille les plus expérimentés de l’île.</t>
  </si>
  <si>
    <t>Des visites guidées sont proposées pour découvrir l'ensemble du processus de plantation, transformation, conditionnement de la vanille traditionnelle mais aussi découvrir la Vanille Bleue, une vanille révolutionnaire, développée et brevetée par Escale Bleue, avec la spécificité de pouvoir se manger entièrement (même la gousse !). Trouvable nulle part ailleurs, cette vanille d’exception a été primée à Bruxelles par un jury composé entièrement de chefs et a valu à Escale Bleue le statut étatique d’Entreprise du Patrimoine Vivant pour son savoir-faire rare et d’excellence. 
Dans la boutique, la vanille est disponible en gousses, en poudre, en extrait, ou entrant dans la composition de produits dérivés (condiments, thé, produits spa, etc…).
Boutique et visite guidée : du lundi au samedi, de 9h30 à 17h30.</t>
  </si>
  <si>
    <t xml:space="preserve">De l'Ouest, passer le centre ville de Saint-Philippe, rouler environ 9 km l'Escale Bleue se situe à gauche sur la route principale.
De l'Est, passer le restaurant Chez Moustache, l'Escale Bleue se trouve quelques mètres plus loin à droite. </t>
  </si>
  <si>
    <t>Lundi : 09:30 - 17:30,Mardi : 09:30 - 17:30,Mercredi : 09:30 - 17:30,Jeudi : 09:30 - 17:30,Vendredi : 09:30 - 17:30,Samedi : 09:30 - 17:30</t>
  </si>
  <si>
    <t>Escale Bleue (L') - Leichnig Aimé</t>
  </si>
  <si>
    <t>7, Route Nationale 2 - le Tremblet, 97417 Saint-Philippe</t>
  </si>
  <si>
    <t xml:space="preserve">Leichnig Aimé : aimeleichnig@wanadoo.fr / 0262370399 / 0262370399 , Leichnig Aimé : contact@escale-bleue.fr / 0262370399 / 0262370399 </t>
  </si>
  <si>
    <t>-21.324999, 55.799859</t>
  </si>
  <si>
    <t>Mode de paiment,Fax,Descriptif,Descriptif du plan d'accès</t>
  </si>
  <si>
    <t>Route Nationale 2 le Tremblet, Saint-Philippe 97442, Réunion</t>
  </si>
  <si>
    <t>Espace Culturel Muséographique - Camp Marron</t>
  </si>
  <si>
    <t>Espace Culturel Muséographique - Camp Marron
Dimitile
97414 Entre-Deux</t>
  </si>
  <si>
    <t>Sur les traces du marronnage, en visite guidée ou libre l'Espace Culturel Muséographique Camp Marron propose la découverte d'une période de l'histoire de l'île à l'Entre-Deux. Au travers d'expositions sur l'esclavage, le marronnage, camp de marrons reconstitué un voyage authentique dans le temps. Visite de 9h à 12h réservation conseillée.</t>
  </si>
  <si>
    <t>Dimitile, 97403 Entre-Deux</t>
  </si>
  <si>
    <t xml:space="preserve"> 0692251034 , Riviere Pierrique : 0692251034 </t>
  </si>
  <si>
    <t>-21.1888251,55.4817924</t>
  </si>
  <si>
    <t>Espace Océan Indien</t>
  </si>
  <si>
    <t>Espace Océan Indien
160, chemin de la Salette
97430 Le Tampon</t>
  </si>
  <si>
    <t>http://perso.wanadoo.fr/espace-ocean-indien/</t>
  </si>
  <si>
    <t>espace-ocean-indien@wanadoo.fr</t>
  </si>
  <si>
    <t>Espace Océan Indien propose l'organisation de vacances en montagne pour tous les amoureux de la nature avec des guides accompagnateurs diplômés d'Etat. Grâce à ses 10 années d'expérience, le but de la structure est de faire découvrir l'Ile de La Réunion par le biais de la randonnée pédestre en toute sécurité avec le maximum de confort possible. 
Différents circuits s'offrent aux amateurs de randonnée : "Découverte des Mascareignes," "Cascades et Volcan," "A travers Cirques et Volcan" et "Du Battant des Lames au Sommet des Montagnes."
Programme et tarifs sur demande.</t>
  </si>
  <si>
    <t>160, chemin de la Salette, 97422 Le Tampon</t>
  </si>
  <si>
    <t xml:space="preserve"> espace-ocean-indien@wanadoo.fr / 0262574405 / 0692416299 / 0262574405 ,  espace-ocean-indien@wanadoo.fr / 0262574405 / 0692416299 / 0262574405 </t>
  </si>
  <si>
    <t>-21.2625757,55.50514099999999</t>
  </si>
  <si>
    <t>459 Rue Hubert Delisle, Tampon (Le 97430, Réunion</t>
  </si>
  <si>
    <t>rec8MEwXzZOyroHld</t>
  </si>
  <si>
    <t>Estagnon (L')</t>
  </si>
  <si>
    <t>Estagnon (L')
197, chemin Henri Cabeu
Plaine des Cafres
97418 La Plaine des Cafres</t>
  </si>
  <si>
    <t>chauffage,espace de restauration,linge de toilette,parking,salle de bain privée,sanitaires privés</t>
  </si>
  <si>
    <t>arrêt bus,sentier de randonnée,commerce alimentaire</t>
  </si>
  <si>
    <t>lestagnon@gmail.com</t>
  </si>
  <si>
    <t>L'Estagnon propose 3 chambres d'hôtes labellisées Gîtes de France.</t>
  </si>
  <si>
    <t>Splendide vue sur les montagnes et sur la mer, à proximité de la maison du propriétaire. Les chambres sont aménagées avec goût et équipées de sanitaires privés.</t>
  </si>
  <si>
    <t xml:space="preserve">De Saint-Benoît, prendre direction La Plaine des Palmistes, arrivé à Bourg Murat (ne pas prendre direction Bois Court au rond point de Bourg Murat), direction La Plaine des Cafres. Arrivée au village de La Plaine des Cafres, face à l’église et Leclerc, prendre à droite vers Bois Court. Rouler env. 3 km puis prendre à gauche chemin Henri Cabeu.(Foss PTT, COGOR,……..) Rouler env. 5 km 5 dans les pâturages et enfin  panneau Gîtes de France à droite.
De Saint Pierre, prendre direction Le Tampon, rouler jusqu’au village du 14ème. Au rond-point face à l’école prendre direction Pont d’Yves et rouler environ 3 km 5. Au village du Pont d’Yves (pharmacie du Pont d’Yves),  continuer tout droit et prendre direction chemin des Longoses, la Poste, et la mairie sur la droite juste devant l’épicerie .
Ou prendre la rue suivante chemin Henri Cabeu direction Bois Court (Stade, école). Rouler sur env. 2 km passer 2 grosses citernes, panneau Gîtes de France à gauche. </t>
  </si>
  <si>
    <t>Estagnon (L') - Payet Patricia</t>
  </si>
  <si>
    <t>197, Chemin Henri Cabeu - Bois Court, 97422 Le Tampon</t>
  </si>
  <si>
    <t xml:space="preserve">Payet Patricia : lestagnon@gmail.com / 0262599689 / 0692824585 ,  pataniel@wanadoo.fr </t>
  </si>
  <si>
    <t>-21.227594, 55.512017</t>
  </si>
  <si>
    <t>https://book.reunion.fr/fr/hebergements/a310900/product/reserver | Réunion.fr</t>
  </si>
  <si>
    <t>CSC126HTI</t>
  </si>
  <si>
    <t>197 Chemin Henri Cabeu, La Plaine des Cafres 97418, Réunion</t>
  </si>
  <si>
    <t>Estanco (L')</t>
  </si>
  <si>
    <t>Estanco (L')
1, rue Payet
97414 Entre-Deux</t>
  </si>
  <si>
    <t>lestanco@live.fr</t>
  </si>
  <si>
    <t>Situé au cœur du village de l'Entre-Deux, L'Estanco propose une cuisine créole.</t>
  </si>
  <si>
    <t>Il propose également des salades.</t>
  </si>
  <si>
    <t>1, rue Payet, 97403 Entre-Deux</t>
  </si>
  <si>
    <t xml:space="preserve"> 0262441428 ,  lestanco@live.fr / 0262441428 </t>
  </si>
  <si>
    <t>-21.248861, 55.469805</t>
  </si>
  <si>
    <t>1 Bis Rue Payet, Réunion</t>
  </si>
  <si>
    <t>recFdQEKlRXOW6IiR</t>
  </si>
  <si>
    <t>Etoile de Mer (L')</t>
  </si>
  <si>
    <t>Etoile de Mer (L’)</t>
  </si>
  <si>
    <t>Etoile de Mer (L')
13, rue de l'Ecole - Cap Méchant
97442 Saint-Philippe</t>
  </si>
  <si>
    <t>climatisation,parking,ventilateur</t>
  </si>
  <si>
    <t>sentier de randonnée,pêche,riviere,site - lieu culturel,point de vue panoramique</t>
  </si>
  <si>
    <t>Le restaurant l'Etoile de Mer, au cœur du Sud Sauvage, à Saint-Philippe, propose une cuisine traditionnelle au feu de bois, à déguster sur place ou à emporter. Spécialités : palmistes frais en salade et cuisiné, poissons et fruits de mer. Possibilité d'organiser des réceptions. Ouvert tous les jours de 09h à 20h.</t>
  </si>
  <si>
    <t>En arrivant de Saint-Pierre, au pont de Basse Vallée prendre à droite vers le site du Cap Méchant. Le restaurant est le deuxième bâtiment sur le site.</t>
  </si>
  <si>
    <t>Etoile de Mer (L’) - Salvan Maxime</t>
  </si>
  <si>
    <t>13, rue de l'Ecole - Cap Méchant, 97417 Saint-Philippe</t>
  </si>
  <si>
    <t xml:space="preserve">Salvan Joseph Maxime : 0262370460 / 0262370911 / Gérant(e) ,  0262370460 / 0262370911 </t>
  </si>
  <si>
    <t>-21.3743687, 55.7108716</t>
  </si>
  <si>
    <t>Mode de paiment,Fax,Capacité</t>
  </si>
  <si>
    <t>Etoile des Neiges (L')</t>
  </si>
  <si>
    <t>Etoiles des Neiges (L’)</t>
  </si>
  <si>
    <t>Etoile des Neiges (L')
14, rue Pierre Rival RN 3 - 22ème km
Plaine des Cafres
97418 La Plaine des Cafres</t>
  </si>
  <si>
    <t>http://www.gite-etoiledesneiges.com</t>
  </si>
  <si>
    <t>Hébergement,Restauration</t>
  </si>
  <si>
    <t>Chambre d'hôtes,Table d'hôtes</t>
  </si>
  <si>
    <t>Chambre d'hôte,Table d'hôte</t>
  </si>
  <si>
    <t>chauffage,jardin,parking,sanitaires communs,TV</t>
  </si>
  <si>
    <t>sentier de randonnée,sentier de grande randonnée,commerce alimentaire,équitation,site - lieu culturel,point de vue panoramique</t>
  </si>
  <si>
    <t>français,créole,espagnol</t>
  </si>
  <si>
    <t>rodriguez-henri-emile@wanadoo.fr</t>
  </si>
  <si>
    <t>L'Etoile des Neiges, à la Plaine des Cafres, dispose de 6 chambres  doubles meublées (avec un lit supplémentaire) dans une grande villa avec 2 séjours, un séjour-salle à manger et une cuisine. La table d'hôte peut accueillir jusqu'à 15 personnes. Possibilité petit déjeuner à 4 €. Tarifs dégressifs selon la durée. A proximité du port de plaisance de Saint-Pierre et de l'aéroport de Pierrefond.</t>
  </si>
  <si>
    <t>Etoile des Neiges (L') - Rodriguez Suzanne</t>
  </si>
  <si>
    <t>14, rue Pierre Rival RN 3 - 22ème km, 97422 Le Tampon</t>
  </si>
  <si>
    <t xml:space="preserve">Rodriguez Suzanne et Henri : rodriguez-henri-emile@wanadoo.fr / 0262574152 / 0692875722 / 0262572190 ,  rodriguez-henri-emile@wanadoo.fr / 0262574152 / 0692875722 / 0692851563 / 0262572190 </t>
  </si>
  <si>
    <t>-21.23189111, 55.55174122</t>
  </si>
  <si>
    <t>reczW3r1Y9cjywTS9</t>
  </si>
  <si>
    <t>Eucalyptus (L')</t>
  </si>
  <si>
    <t>Eucalyptus (L')
24, chemin de la Croizure - Grand Coude
Grand Coude
97480 Saint-Joseph</t>
  </si>
  <si>
    <t>chauffage,jardin,parking,salle de réunion - séminaire</t>
  </si>
  <si>
    <t>eucalyptus.grondin@wanadoo.fr</t>
  </si>
  <si>
    <t>Dans la fraîcheur des hauts de Saint-Joseph, la table d'hôte l’Eucalyptus est labellisée Gîtes de France.</t>
  </si>
  <si>
    <t>La table propose une cuisine locale élaborée avec des produits de la ferme, et met en valeur les fruits et légumes "lontan." Spécialités autour du Bourbon Pointu.
Possibilité d'assister à une cuite de géranium en saison.</t>
  </si>
  <si>
    <t xml:space="preserve">De Saint-Joseph, direction CD33 route de Jean Petit/Grand Coude puis Emile Mussard, chemin de la Croizure au n°24.
Environ 15 km de la ville et 30 min de temps de parcours. </t>
  </si>
  <si>
    <t>Eucalyptus (L') - Grondin Marie-Claude</t>
  </si>
  <si>
    <t>24, chemin de la Croizure, 97412 Saint-Joseph</t>
  </si>
  <si>
    <t xml:space="preserve">Grondin Marie Claude : eucalyptus.grondin@wanadoo.fr / 0692035478 / Gérant(e) , Grondin Marie-Claude : eucalyptus.grondin@wanadoo.fr / 0692687873 , Grondin Marie-Claude : 0692687873 ,  eucalyptus.grondin@wanadoo.fr / 0262563948 / 0692035478 </t>
  </si>
  <si>
    <t>-21.29776549, 55.63101414</t>
  </si>
  <si>
    <t>Mode de paiment,Descriptif,Descriptif du plan d'accès,Fournisseur - SIRET</t>
  </si>
  <si>
    <t>15 chemin de la Croizure, Grand Coude, 97480 Saint Joseph, Ile de la Réunion, 15 Chemin de la Croizure, 97480, Réunion</t>
  </si>
  <si>
    <t>Eucalyptus (L')
25, chemin de la Croisure - Grand Coude
97480 Saint-Joseph</t>
  </si>
  <si>
    <t>chauffage,jardin,lave linge privatif,parking,salle de bain privée,sanitaires communs,TV</t>
  </si>
  <si>
    <t>Chèque,Chèques vacances,Virement,Chèques vacances,Mandat postal,Bon CE,Espèces,American express</t>
  </si>
  <si>
    <t>Petite maison dans la prairie...</t>
  </si>
  <si>
    <t>Chalet avec une petite chambre, une mezzanine, une salle cuisine avec clic-clac.</t>
  </si>
  <si>
    <t>Grand Coude est perché à 15 km du centre ville de Saint-Joseph. A l’entrée du village (au panneau) poursuivre à 600 m jusqu’à la croisée principale, puis prendre à droite, en suivant la signalétique Gdf. A 400 m, prendre à droite le chemin de la Croizure et le descendre jusqu’au bout.</t>
  </si>
  <si>
    <t>Route de Grand Coude, Réunion</t>
  </si>
  <si>
    <t>recoJ74xoQIidLPQY</t>
  </si>
  <si>
    <t>Eucalyptus (l')</t>
  </si>
  <si>
    <t>http://www.eucalyptus.grondin.pagesperso-orange.fr</t>
  </si>
  <si>
    <t>chauffage,espace de restauration,jardin,parking,salle de bain privée,sanitaires privés,TV,wifi</t>
  </si>
  <si>
    <t>Niché au cœur du village, dans une case créole accueillante, l'Eucalyptus offre une étape reposante, calme et parfumée.</t>
  </si>
  <si>
    <t>L'Eucalyptus propose 2 chambres d'hôtes de 3 personnes, labellisées Gîtes de France, situées à proximité de la maison du propriétaire. A 15 km du centre de Saint-Joseph et à 7 km de toutes commodités.</t>
  </si>
  <si>
    <t>CSC57HTL</t>
  </si>
  <si>
    <t>Site web,Mode de paiment,Descriptif du plan d'accès,Fournisseur - SIRET</t>
  </si>
  <si>
    <t>rectPEb7fUqmeGRb4</t>
  </si>
  <si>
    <t>Euro Bar</t>
  </si>
  <si>
    <t>Euro Bar
24ème KM - RN3
Plaine des Cafres
97418 La Plaine des Cafres</t>
  </si>
  <si>
    <t>sentier de randonnée,sentier de grande randonnée,équitation,parking public,point de vue panoramique,aéroport de Pierrefonds</t>
  </si>
  <si>
    <t>.</t>
  </si>
  <si>
    <t>Euro Bar - PAYET PATRICK</t>
  </si>
  <si>
    <t>24ème KM - RN3, 97422 Le Tampon</t>
  </si>
  <si>
    <t xml:space="preserve"> 0692690135 ,  0692690135 </t>
  </si>
  <si>
    <t>-21.2233323,55.55715259999999</t>
  </si>
  <si>
    <t>185 rue jean defos durau pk24 plaine des cafres Tampon (Le, La Plaine des Cafres 97418, Réunion</t>
  </si>
  <si>
    <t>Evasion Kréol</t>
  </si>
  <si>
    <t>Evasion Kréol
71 B, rue Edmand Albius
97480 Saint-Joseph</t>
  </si>
  <si>
    <t>http://www.evasionkreol.com</t>
  </si>
  <si>
    <t>Escalade,Randonnée pédestre</t>
  </si>
  <si>
    <t>contact@evasionkreol.com</t>
  </si>
  <si>
    <t>Sécurité, convivialité et compétence. Qualité des équipements individuels et collectifs. Evasion Kréol propose des activités de loisirs de pleine nature sur toute l'île : canyoning et trekking.</t>
  </si>
  <si>
    <t>En canyoning, divers parcours sont adaptés au niveau des participants. Encadrement par un moniteur diplômé d’Etat et une aide quelque soit le nombre. Départ garanti à partir de 2 personnes.
Exemples d’activités : 
- tous les dimanches (toute l'année) : initiation découverte au canyoning à la rivière Sainte-Suzanne par groupe de 12 personnes maximum;
- tous les samedis (hors période cyclonique ): canyon sportif à Trou Blanc dans le cirque de Salazie. Un véritable "aqualand," un des plus beaux dans sa catégorie par groupe de 10 personnes maximum (conditions normales). 
Randonnée liberté sur plusieurs jours : départ à partir de 2 personnes, consulter le site internet.
Montage vidéo HD sur DVD offert gracieusement à chaque prestatio</t>
  </si>
  <si>
    <t>Lieux de rendez-vous différents selon les activités. Se renseigner auprès d’Evasion Kréol.</t>
  </si>
  <si>
    <t>Evasion Kréol - Ah-Fat Gilbert</t>
  </si>
  <si>
    <t>71, rue Edmond Albius, 97412 Saint-Joseph</t>
  </si>
  <si>
    <t xml:space="preserve">Abadia Gérard : contact@evasionkreol.com / 0692616379 / 0692613455 / Gérant(e) , Wiss Nadine : nadine@evasionkreol.com / 0692616379 / Associé(e) , Lebris Denis : denis@evasionkreol.com / Commercial(e) , Ah-Fat Gilbert : contact@evasionkreol.com / 0692613455 ,  contact@evasionkreol.com / 0692613455 / 0692616379 </t>
  </si>
  <si>
    <t>-21.364143, 55.606661</t>
  </si>
  <si>
    <t>1 Chemin des Pois de Senteur, 97480, Réunion</t>
  </si>
  <si>
    <t>recSWQkXd82Rx7EWA</t>
  </si>
  <si>
    <t>Evasion Kréol
1 chemin des pois de senteur
97480 Saint-Joseph</t>
  </si>
  <si>
    <t>En canyoning, divers parcours sont adaptés au niveau des participants. Encadrement par un moniteur diplômé d’Etat et une aide quelque soit le nombre. Départ garanti à partir de 2 personnes.
Exemples d’activités : 
- tous les dimanches (toute l'année) : initiation découverte au canyoning à la rivière Sainte-Suzanne par groupe de 12 personnes maximum;
- tous les samedis (hors période cyclonique ): canyon sportif à Trou Blanc dans le cirque de Salazie. Un véritable "aqualand," un des plus beaux dans sa catégorie par groupe de 10 personnes maximum (conditions normales). 
Randonnée liberté sur plusieurs jours : départ à partir de 2 personnes, consulter le site internet.
Montage vidéo HD sur DVD offert gracieusement à chaque prestation.</t>
  </si>
  <si>
    <t>1 chemin des pois de senteur, 97480 Saint-Joseph</t>
  </si>
  <si>
    <t>-20.996862, 55.681264</t>
  </si>
  <si>
    <t>Adresse,Mode de paiment,Capacité,Descriptif,Fournisseur - adresse</t>
  </si>
  <si>
    <t>Far Far de Bézaves</t>
  </si>
  <si>
    <t>Far Far de Bézaves
205, rue Edmond Albius - Bézaves
97480 Saint-Joseph</t>
  </si>
  <si>
    <t>parking public,sanitaires communs,wifi</t>
  </si>
  <si>
    <t>arrêt bus,plage,sentier de randonnée,sentier de grande randonnée,commerce alimentaire,parking public,site - lieu culturel,point de vue panoramique</t>
  </si>
  <si>
    <t>didier.hoareau@wanadoo.fr</t>
  </si>
  <si>
    <t>A l'île de La Réunion, une exploitation agricole est souvent organisée autour d’une seule activité. Au Far Far de Bezaves, exploitation dans les Hauts de Saint-Joseph, il en est autrement !
Didier emmènera les visiteurs dans son univers et leur fera découvrir sa plantation comprenant diverses cultures de produits agricoles locaux qui font la richesse des plats créoles.</t>
  </si>
  <si>
    <t>De la plantation à la récolte, en passant par la transformation en aliment prêt à être consommé, toutes les étapes seront abordées. Canne à sucre, ananas, bourbon pointu, brèdes divers, agrumes, curcuma ou encore arrow-root, les visiteurs se retrouveront plongés dans la ruralité réunionnaise.
Mais Didier n’est pas seulement un agriculteur passionné désireux de valoriser le patrimoine agricole local ; il fait partie de ceux qui ne souhaitent pas voir s’éteindre l’une des richesses de l’ile : le vétiver. Tous les lundis et mercredis, il propose d’ailleurs une visite de son exploitation davantage orientée vers l’univers de cette graminée en y intégrant un atelier participatif. De la racine à la feuille, le vétiver dévoilera tous ses secrets !
« Conteur moderne », Didier invite donc les voyageurs à découvrir ou à redécouvrir aussi bien la richesse et la diversité du Sud Sauvage que la splendeur de son terroir. Une richesse de curiosités pour une pluralité de connaissances.
Visites tous les lundis et mercredis
Horaires : Rdv 9h15 et 13h45. La visite débutera 15 min après.</t>
  </si>
  <si>
    <t xml:space="preserve">Du Sud, de Saint-Pierre après la commune de Petite-Ile, prendre la D32 en direction de Carosse/Bézarves. Arrivée au stop, tourner à droite, 100 m plus bas, Far far de Bézaves se trouve sur la droite.
De l'Est, prendre la D3, juste après le pont de la rivière des Remparts (Saint-Joseph) au rond-point direction Plaine des Grègues et rouler environ 12 min, Far far de Bézaves se trouve sur la gauche. </t>
  </si>
  <si>
    <t>Far Far de Bézaves - Hoareau Didier</t>
  </si>
  <si>
    <t>205, rue Edmond Albius, 97412 Saint-Joseph</t>
  </si>
  <si>
    <t xml:space="preserve">Hoareau Didier : didier.hoareau@wanadoo.fr / 0692199793 / Guide ,  farfarhd@yaoo.fr / 0262376192 </t>
  </si>
  <si>
    <t>-21.35326414, 55.61309405</t>
  </si>
  <si>
    <t>https://book.reunion.fr/fr/evenements/a1596536/de-la-feuille-%C3%A0-la-racine-visite-guid%C3%A9e/booking | Réunion.fr</t>
  </si>
  <si>
    <t>Mode de paiment,Accroche,Descriptif,Descriptif du plan d'accès</t>
  </si>
  <si>
    <t>Rue Harry Truman, Saint-Joseph, Réunion</t>
  </si>
  <si>
    <t>recyo9vN3jZJkMCaG</t>
  </si>
  <si>
    <t>Ferme Auberge Desprairies</t>
  </si>
  <si>
    <t>SCEA DEPRAIRIES</t>
  </si>
  <si>
    <t>Ferme Auberge Desprairies
44, route de Matouta
97480 Saint-Joseph</t>
  </si>
  <si>
    <t>http://www.ferme-auberge-desprairies.com</t>
  </si>
  <si>
    <t>climatisation,jardin,parking,salle de bain privée,sanitaires privés,TV</t>
  </si>
  <si>
    <t>matouta@wanadoo.fr</t>
  </si>
  <si>
    <t>Au bout du monde, niché dans une végétation tropicale, sur une terre basaltique très fertile, près d'une ravine et au dessous du plus haut volcan de l'île.</t>
  </si>
  <si>
    <t>Située à mi-chemin entre Saint-Philippe et Saint-Joseph, sur les versants boisés du volcan, la ferme auberge Desprairies propose 6 chambres toutes équipées, au cœur d'une végétation tropicale, et une salle de restauration (sur commande). Petit déjeuner inclus dans la nuitée. Les légumes ainsi que les viandes viennent de la ferme qui adhère au réseau Bienvenue à la Ferme. Productions de la ferme : élevage divers, maraîchage et fruits oubliés, palmiste.  
Spécialités: feuilletés de palmiste, canard fumé aux petits légumes, mousse de patate douce ou manioc avec coulis de goyavier. Tarif: adulte : 20 €, enfant (moins de 10 ans) : 10 € et enfant (moins de 5 ans) : 5 €.</t>
  </si>
  <si>
    <t>En venant de l'Est : 2 km après la sortie de Basse Vallée, prendre la D37 sur la droite et suivre les panneaux directionnels. En venant du Sud : 200 m après panneau d'agglomération de Vincendo, prendre la D37 et suivre les panneaux directionnels.</t>
  </si>
  <si>
    <t>Ferme Auberge Desprairies - Desprairies Willy</t>
  </si>
  <si>
    <t>44, route de Matouta, 97412 Saint-Joseph</t>
  </si>
  <si>
    <t xml:space="preserve">Desprairies Willy : WILLY.DESPRAIRIES@wanadoo.fr / 0262372027 / 0262372027 / 0692646170 / Propriétaire ,  WILLY.DESPRAIRIES@wanadoo.fr / 0262372027 </t>
  </si>
  <si>
    <t>-21.36087649, 55.70083506</t>
  </si>
  <si>
    <t>44 Chemin Matouta, Matouta 97480, Réunion</t>
  </si>
  <si>
    <t>Ferme d'El Pio (La)</t>
  </si>
  <si>
    <t>La Ferme d'El Pio</t>
  </si>
  <si>
    <t>Ferme d'El Pio (La)
106, route du Géranium
97430 Le Tampon</t>
  </si>
  <si>
    <t>sentier de randonnée,sentier de grande randonnée,site - lieu culturel,jardin</t>
  </si>
  <si>
    <t>lafermedelpio@orange.fr</t>
  </si>
  <si>
    <t>Situé au Tampon, La Ferme d'El Pio propose une table d'hôte d'une capacité de 15 personnes.</t>
  </si>
  <si>
    <t>Découverte de la culture réunionnaise à travers la cuisine créole. Des plats originaux sont proposés tels que : caille au café bourbon pointu, feuillés au bois de songe dans un cadre familial et convivial.
Visite de la caféière Bourbon Pointu qui abrite un élevage de canards.</t>
  </si>
  <si>
    <t>Accueil Paysan</t>
  </si>
  <si>
    <t>Ferme d'El Pio - Corrée Josian</t>
  </si>
  <si>
    <t>106, route du Géranium, 97422 Le Tampon</t>
  </si>
  <si>
    <t xml:space="preserve">Corré Josian : josian.corre0506@orange.fr / 0262579415 / 0692643979 / Propriétaire , Corré Laurence : lafermedelpio@orange.fr / 0262579415 / 0692643979 / Propriétaire </t>
  </si>
  <si>
    <t>-21.247574, 55.537811</t>
  </si>
  <si>
    <t>Chemin Geranium, La Plaine des Cafres, Réunion</t>
  </si>
  <si>
    <t>recebgRn0tzBfwmsl</t>
  </si>
  <si>
    <t>Ferme des Pitayas (La)</t>
  </si>
  <si>
    <t>La Ferme des Pitayas</t>
  </si>
  <si>
    <t>Ferme des Pitayas (La)
212 rue des Passerines , Bérive, 97430, Le Tampon, Réunion</t>
  </si>
  <si>
    <t>accès internet,wifi,barbecue,TV,lave vaisselle,linge de maison,serviettes.</t>
  </si>
  <si>
    <t>sentier de randonnée,commerce alimentaire,centre commercial,aéroport de Pierrefonds</t>
  </si>
  <si>
    <t>gitedespitayas@orange.fr</t>
  </si>
  <si>
    <t>Situé au Tampon, La Ferme des Pitayas propose 2 gîtes pouvant accueillir 4 personnes chacun.</t>
  </si>
  <si>
    <t>Possibilité de voir le vol des papangues pendant la récolte de la canne à sucre, oiseau endémique à La Réunion, participation à la cueillette ou à la plantation d’ananas et de voir comment couper et charger la canne à sucre.
Animaux acceptés.</t>
  </si>
  <si>
    <t>Ferme des Pitayas (La) - Apostin Catherine &amp; Serge</t>
  </si>
  <si>
    <t>212, rue des Basserines - Bérive, 97422 Le Tampon</t>
  </si>
  <si>
    <t xml:space="preserve">Apostin Catherine &amp; Serge : gitedespitayas@orange.fr / 0692043088 / Propriétaire , Apostin Catherine &amp; Serge : 0692043088 / Propriétaire </t>
  </si>
  <si>
    <t>-21.304786784615978, 55.524903802234455</t>
  </si>
  <si>
    <t>50.00</t>
  </si>
  <si>
    <t>CSC2HTB</t>
  </si>
  <si>
    <t>Adresse,Prestations sur place,Mode de paiment,E-Mail,Capacité,Descriptif,Fournisseur - SIRET,Fournisseur - contacts</t>
  </si>
  <si>
    <t>212 rue des Passerines , Bérive, 97430, Le Tampon, Réunion</t>
  </si>
  <si>
    <t>recHEZWTMQ8a9lBp5</t>
  </si>
  <si>
    <t>Ferme du Kilimandjaro (La)</t>
  </si>
  <si>
    <t>Ferme du Kilimandjaro (La)
10, impasse Bernard Céleste - Petite Ferme
Plaine des Cafres
97418 La Plaine des Cafres</t>
  </si>
  <si>
    <t>http://www.lafermedukilimandjaro.fr</t>
  </si>
  <si>
    <t>chauffage,linge de maison,parking,sanitaires privés,wifi</t>
  </si>
  <si>
    <t>sentier de randonnée,commerce alimentaire,parking public,site - lieu culturel</t>
  </si>
  <si>
    <t>Espèces,Chèque,Virement</t>
  </si>
  <si>
    <t>serena.hajek@hotmail.fr</t>
  </si>
  <si>
    <t>Située à La Plaine des Cafres, La Ferme du Kilimandjaro propose des chambres d'hôtes.</t>
  </si>
  <si>
    <t>La ferme dispose de 2 roulottes qui comprend une chambre double et des sanitaires avec solarium privé sur un terrain de 3000 m² avec vue sur le littoral sud et le massif du Piton des Neiges au cœur de la ferme agricole. Visite gratuite du rucher. Capacité 2 adultes et un enfant par roulotte. Poêle à bois et électricité solaire.</t>
  </si>
  <si>
    <t xml:space="preserve">Depuis Saint-Benoît, prendre la RN3 direction La Plaine des Cafres - Le Tampon, Au rond-point de la Cité du Volcan suivre "Volcan, direction grande Ferme sur 1-2 km environ, puis à l'intersection à gauche direction Notre Dame de la Paix puis tourner à gauche impasse Bernard Céleste.
Depuis Saint-Pierre, prendre la RN3 direction La Plaine des Cafres. A la gendarmerie prendre la première à droite direction Petite Ferme, continuer jusqu'à l'impasse Bernard Céleste à gauche. </t>
  </si>
  <si>
    <t>Ferme du Kilimandjaro - Maréchal Sergio</t>
  </si>
  <si>
    <t>10, impasse Bernard Céleste, 97422 Le Tampon</t>
  </si>
  <si>
    <t xml:space="preserve">Marechal Sergio : serena.hajek@hotmail.fr / 0262431341 / 0692592519 / Propriétaire , Marechal Sergio : serena.hajek@hotmail.fr / 0262431341 / 0692592519 / Propriétaire </t>
  </si>
  <si>
    <t>-21.233558, 55.580576</t>
  </si>
  <si>
    <t>CSC102HTC</t>
  </si>
  <si>
    <t>10 Impasse Bernard Celeste, La Plaine des Cafres 97418, Réunion</t>
  </si>
  <si>
    <t>recTTSlj16dRzY3u5</t>
  </si>
  <si>
    <t>Ferme du Pêcher Gourmand (La)</t>
  </si>
  <si>
    <t>Ferme du Pêcher Gourmand (La)
141, rue Alfred Lacroix - RN 3 - PK 25
Plaine des Cafres
97418 La Plaine des Cafres</t>
  </si>
  <si>
    <t>http://www.pechergourmand.re</t>
  </si>
  <si>
    <t>chauffage,jardin,parking,aire de jeux pour enfant</t>
  </si>
  <si>
    <t>Carte Bancaire,Eurocard,Chèque,Chèques vacances,Espèces</t>
  </si>
  <si>
    <t>pecher-gourmand@orange.fr</t>
  </si>
  <si>
    <t>Située face au Piton des Neiges et des remparts du Dimitile, la Ferme du Pêcher Gourmand offre une cuisine traditionnelle avec des produits issus de la ferme.</t>
  </si>
  <si>
    <t>Plats à base de canard et de produit du terroir façon du sud-ouest et réunionnaise. 
Spécialités: foie gras de canard, cassoulet, confits, cari de canard fumé, porc palmiste ... . 
L'auberge dispose de plusieurs espaces intérieurs chauffés et d'une grande terrasse couverte.</t>
  </si>
  <si>
    <t>Prendre la RN3 (route des Plaines), les panneaux Ferme du Pêcher Gourmand se trouvent en bordure de route à mi-chemin entre le village de La Plaine des Cafres (dit 23ème) et le village de Bourg Murat (dit 27ème). L'entrée se situe entre les filaos qui bordent la Route Nationale et la ferme se trouve à 50 m en contrebas.</t>
  </si>
  <si>
    <t>Jeudi :  -,Vendredi :  -,Samedi :  -,Dimanche :  -</t>
  </si>
  <si>
    <t>Ferme du Pêcher Gourmand (La) - Dijoux Dany</t>
  </si>
  <si>
    <t>141, rue Alfred Lacroix RN 3, 97422 Le Tampon</t>
  </si>
  <si>
    <t xml:space="preserve">Dijoux Dany : pecher-gourmand@orange.fr / 0262592979 / 0692661248 / Propriétaire , Dijoux Dany : pecher-gourmand@orange.fr / 0262592979 / 0692661248 / 0262592978 / Propriétaire , Dijoux Dany : pecher-gourmand@orange.fr / 0262592979 / 0692661248 / 0262592978 / Propriétaire </t>
  </si>
  <si>
    <t>-21.21511067, 55.56164455</t>
  </si>
  <si>
    <t>Mode de paiment,Fax,Descriptif,Jours et horaires d'ouverture,Fournisseur - Nom,Fournisseur - contacts</t>
  </si>
  <si>
    <t>RN3, La Plaine des Cafres, Réunion</t>
  </si>
  <si>
    <t>rectkcd9c376ecSPi</t>
  </si>
  <si>
    <t>http://www.pagesperso-orange.fr/pecher-gourmand</t>
  </si>
  <si>
    <t>boutique,chauffage,espace de restauration,jardin,parking,salle de bain privée,sanitaires privés,aire de jeux pour enfant</t>
  </si>
  <si>
    <t>Située à la Plaine des Cafres, dans un cadre calme et verdoyant et face au Piton des Neiges, la Ferme du Pêcher Gourmand dispose de 5 chambres de 2 à 4 personnes très confortables, une salle commune avec cheminée et un coin lecture.
Activités sur place: balançoire, ping-pong, toboggan, badminton, visite de la ferme.
Vente de produits fermiers et de conserves à l'ancienne. Possibilité de repas sur place.</t>
  </si>
  <si>
    <t xml:space="preserve">Depuis le Sud, prendre la 4 voies en direction du Tampon/Plaine des Cafres. Suivre la RN 3 et aller jusqu'au 25ème km. La Ferme du Pêcher Gourmand se situe à gauche de la RN 3 au 25ème km.
Depuis les Plaines, suivre la RN 3 et aller jusqu'au 25ème km. La Ferme du Pêcher Gourmand se situe à droite de la RN 3 au 25ème après le village de Bourg Murat. </t>
  </si>
  <si>
    <t>65.00</t>
  </si>
  <si>
    <t>CSC246HT@</t>
  </si>
  <si>
    <t>Mode de paiment,Fax,Capacité,Descriptif,Descriptif du plan d'accès,Fournisseur - Nom,Fournisseur - contacts</t>
  </si>
  <si>
    <t>recaPQdy6VVmodk5M</t>
  </si>
  <si>
    <t>Ferme équestre du Sud Sauvage</t>
  </si>
  <si>
    <t>Ferme équestre du Sud Sauvage
4 chemin Pompe
97442 Saint-Philippe</t>
  </si>
  <si>
    <t>parking,wifi</t>
  </si>
  <si>
    <t>fermequestre.dss@gmail.com</t>
  </si>
  <si>
    <t>La Ferme Equestre du Sud Sauvage est un centre de tourisme équestre située à Saint-Philippe.</t>
  </si>
  <si>
    <t>La ferme propose des balades en calèche.
Les activités sont encadrées par Véronique, diplômée de Galop 5 d'attelage.</t>
  </si>
  <si>
    <t>Ferme équestre du Sud Sauvage - Martin Véronique</t>
  </si>
  <si>
    <t>4 chemin Pompe, 97417 Saint-Philippe</t>
  </si>
  <si>
    <t xml:space="preserve">Martin Véronique : fermequestre.dss@gmail.com / 0693136925 / Gérant(e) , Martin Véronique : fermequestre.dss@gmail.com / 0693136925 / Gérant(e) </t>
  </si>
  <si>
    <t>-21.359, 55.77</t>
  </si>
  <si>
    <t>4 Rue De La Pompe, 97442, Réunion</t>
  </si>
  <si>
    <t>recR99OmSXnqpQRCv</t>
  </si>
  <si>
    <t>Ferme Lebon Papillon</t>
  </si>
  <si>
    <t>Ferme Lebon Papillon
90 chemin des Papillons - Pont d'Yves
97430 Le Tampon</t>
  </si>
  <si>
    <t>http://www.fermelebon.fr</t>
  </si>
  <si>
    <t>murielleetdavid@fermelebon.fr</t>
  </si>
  <si>
    <t>Située au Tampon, Ferme Lebon Papillon dispose d'une table d'hôte labellisée Accueil Paysan qui propose une cuisine créole traditionnelle.</t>
  </si>
  <si>
    <t>Spécialités : poulet songe, poulet papaye sont proposés à la table paysanne. Découvrir ou redécouvrir les produits lontan avec Murielle et David.
Dans une ambiance calme et verdoyante, fraîcheur garantie avec les produits maraîchers cultivés sur place en agriculture bio.
Ouvert tous les jours midi et soir sur réservation 2 jours avant (min de 5 personnes) .</t>
  </si>
  <si>
    <t xml:space="preserve">De Saint-Pierre  RN3 jusqu'au RP du 17ème km, prendre à gauche au petit RP, prendre le chemin de la Salette point de repère le champ d'agrume à droite, tourner au chemin Tiguet puis au radier le chemin Papillon,  panneau Ferme Lebon Papillon à gauche, suivre le panneau. 
Depuis Saint-Benoît RN3 jusqu'au RP du 17ème km prendre à droite, même itinéraire. </t>
  </si>
  <si>
    <t>ferme Lebon Papillon - Lebon Murielle</t>
  </si>
  <si>
    <t>90, chemin des Papillons, 97422 Le Tampon</t>
  </si>
  <si>
    <t>Lebon Murielle : murielleetdavid@fermelebon.fr / 0692882704 / Gérant€</t>
  </si>
  <si>
    <t>-21.229921, 55.516313</t>
  </si>
  <si>
    <t>90 Chemin des Papillons Pont d'Yves Tampon, 97430, Réunion</t>
  </si>
  <si>
    <t>Ficus (Le)</t>
  </si>
  <si>
    <t>Ficus (Le)
31, chemin Léon - PK 12
97430 Le Tampon</t>
  </si>
  <si>
    <t>http://www.leficus.com</t>
  </si>
  <si>
    <t>chauffage,jardin,parking,TV,aire de jeux pour enfant</t>
  </si>
  <si>
    <t>leficus@free.fr</t>
  </si>
  <si>
    <t>Au cœur d'un havre de verdure et de tranquillité au Tampon, le Meublé de Tourisme le Ficus est tout équipé pour 4 personnes (cafetière, batterie de cuisine...) avec entrée indépendante et  terrasse. Possibilité d'utiliser la machine à laver du propriétaire.
Situé à 2 km du centre ville du Tampon, à 15 min en voiture des plages de l'Etang-Salé et de Saint-Pierre.</t>
  </si>
  <si>
    <t xml:space="preserve">Depuis le Sud, prendre la 4 voies en direction du Tampon. Au rond-point de la Tour des Azalées, prendre la première à droite direction Plaine des Cafres et aller jusqu'au 13ème km. Tourner à gauche dans le chemin Léon, juste après l'enseigne Vidéo TN. Le meublé se situe au n° 31 du chemin à gauche.
Depuis les Plaines, suivre la RN 3 et aller jusqu'au 13ème km. Après le Super U du 13ème km à gauche, tourner à droite dans le chemin Léon juste avant l'enseigne Vidéo TN. Le meublé se situe au n° 31 du chemin à gauche. </t>
  </si>
  <si>
    <t>Ficus (Le) - Celestre Expédite</t>
  </si>
  <si>
    <t>31 chemin Léon  - PK 12, 97422 Le Tampon</t>
  </si>
  <si>
    <t xml:space="preserve">Celestre Expédite : leficus@free.fr / 0262277656 / Propriétaire , Celestre Expédite : leficus@free.fr / 0262277656 / 0692334615 / Propriétaire </t>
  </si>
  <si>
    <t>-21.263102, 55.522053</t>
  </si>
  <si>
    <t>31 Chemin Leon, Réunion</t>
  </si>
  <si>
    <t>recbTtVrr0l0DVGHj</t>
  </si>
  <si>
    <t>Diables Ô Thym</t>
  </si>
  <si>
    <t>Fiesta (La)</t>
  </si>
  <si>
    <t>Fiesta (La)
186, rue Hubert Delisle
97430 Le Tampon</t>
  </si>
  <si>
    <t>diablesothym@gmail.com</t>
  </si>
  <si>
    <t>La Fiesta est un restaurant situé en plein centre ville du Tampon. Un cadre agréable avec un mobilier coloré et une décoration originale, il dispose d'un accès pour les personnes à mobilité réduite. La Fiesta propose une cuisine authentique et traditionnelle à base de produits frais. Fermé les mercredis, dimanches et jours fériés.</t>
  </si>
  <si>
    <t>Diables Ô Thym - Anthony CLAUDIN</t>
  </si>
  <si>
    <t>186, rue Hubert Delisle, 97422 Le Tampon</t>
  </si>
  <si>
    <t>Anthony CLAUDIN</t>
  </si>
  <si>
    <t>-21.281116, 55.51794</t>
  </si>
  <si>
    <t>Nom commercial,Mode de paiment,Fixe,E-Mail,Fournisseur - Nom</t>
  </si>
  <si>
    <t>186 rue Hubert delisle Le Tampon RE 97430, 186 Route Hubert Delisle, Réunion</t>
  </si>
  <si>
    <t>Figurines Candice Gillot</t>
  </si>
  <si>
    <t>Figurines Candice Gillot
19, chemin des Camphriers - La Plaine des Grègues
97480 Saint-Joseph</t>
  </si>
  <si>
    <t>candice.gillot@wanadoo.fr</t>
  </si>
  <si>
    <t>19, chemin des Camphriers - Plaine des Grègues, 97412 Saint-Joseph</t>
  </si>
  <si>
    <t xml:space="preserve">Gillot Candice : candice.gillot@wanadoo.fr / 0692691016 / 0262376542 , Gillot Candice : candice.gillot@wanadoo.fr / 0692691016 / 0262376542 </t>
  </si>
  <si>
    <t>-21.335407, 55.611103</t>
  </si>
  <si>
    <t>19 Chemin des Camphriers, Réunion</t>
  </si>
  <si>
    <t>Flamboyant (Le)</t>
  </si>
  <si>
    <t>Flamboyant (Le)
82, rue Raphaël Babet
97480 Saint-Joseph</t>
  </si>
  <si>
    <t>sentier de randonnée,riviere,centre commercial,parking public,site - lieu culturel,point de vue panoramique</t>
  </si>
  <si>
    <t>Situé à Saint-Joseph, Le Flamboyant propose une gamme très variée de salades et de sandwichs.</t>
  </si>
  <si>
    <t>Prendre la direction Saint-Pierre/Saint-Joseph et parcourir 60 m après, le restaurant se situe après l'église du Butor.</t>
  </si>
  <si>
    <t>Flamboyant (Le) - Pedre Joël</t>
  </si>
  <si>
    <t>82, rue Raphaël Babet, 97412 Saint-Joseph</t>
  </si>
  <si>
    <t xml:space="preserve">Pedre Joël : 0262561290 / 0690654176 / Gérant(e) ,  0262561290 / 0692654176 </t>
  </si>
  <si>
    <t>-21.38069401, 55.61476463</t>
  </si>
  <si>
    <t>82 Rue Raphael Babet, Réunion</t>
  </si>
  <si>
    <t>Fler Kann (Le)</t>
  </si>
  <si>
    <t>Le Fler Kann</t>
  </si>
  <si>
    <t>Fler Kann (Le)
23, chemin du Coteau Sec
97414 Entre-Deux</t>
  </si>
  <si>
    <t>http://www.leflerkann.sitew.com</t>
  </si>
  <si>
    <t>barbecue,fer et planche à repasser,four,jardin,micro-ondes,parking,TV,ventilateur</t>
  </si>
  <si>
    <t>sentier de grande randonnée,commerce alimentaire,parking public,site - lieu culturel,jardin</t>
  </si>
  <si>
    <t>eclain@wanadoo.fr</t>
  </si>
  <si>
    <t>Situé à l'Entre-Deux dans un des plus beaux villages, Le Fler Kann propose une villa de type T3.</t>
  </si>
  <si>
    <t>La villa dispose d'un séjour avec canapé-lit pour 2 personnes, de 2 chambres doubles, d'un coin cuisine  avec table et chaises et une terrasse.</t>
  </si>
  <si>
    <t>Fler Kann (Le) - Clain Sophie</t>
  </si>
  <si>
    <t>18, impasse des Cerises, 97403 Entre-Deux</t>
  </si>
  <si>
    <t xml:space="preserve">Clain Sophie : eclain@wanadoo.fr / 0262397231 / 0692698652 / Propriétaire , Clain Sophie : eclain@wanadoo.fr / 0262397231 / 0692698652 / Propriétaire </t>
  </si>
  <si>
    <t>-21.249822, 55.462787</t>
  </si>
  <si>
    <t>23 Chemin du Coteau Sec, Réunion</t>
  </si>
  <si>
    <t>Fleur de K'Fé</t>
  </si>
  <si>
    <t>Fleur de K'Fé
64, rue Auguste Brunet - Trois Mares
97430 Le Tampon</t>
  </si>
  <si>
    <t>http://www.fleursdecafe.com</t>
  </si>
  <si>
    <t>gite.fleurdecafe@orange.fr</t>
  </si>
  <si>
    <t>Au Tampon, Fleur de K'Fé propose des visites guidées.</t>
  </si>
  <si>
    <t>Visite et découverte d'une caféière de Bourbon Pointu chez le producteur, dégustation et vente de café.
Durée de la visite environ 1h30.</t>
  </si>
  <si>
    <t xml:space="preserve">Au Tampon, depuis la Tour des Azalées, direction la mairie, continuer jusqu'à la mairie de Trois Mares par la rue Hubert Delisle. Continuer tout droit, passer devant le stade, tourner à droite dans le chemin Epidor Hoarau (panneau Plaine des Cafres). Continuer à monter, passer la grande citerne, puis prendre la première rue à droite (rue Edouard Glissant) jusqu'à la rue Auguste Brunet, puis descendre jusqu'au bout.
Depuis le village de Bourg-Murat, descendre la RN3 jusqu'au rond-point du 14ème km, prendre la première sortie à droite,chemin neuf, direction pont d'yves. Continuer jusqu'à la quincaillerie des Orchidées et prendre à gauche chemin Epidor Hoarau, prendre à gauche la rue Edouard Glissant, continuer jusqu'à la rue Auguste Brunet, puis descendre jusqu'au bout. </t>
  </si>
  <si>
    <t>Qualité Tourisme Ile de La Réunion,Bienvenue à la ferme</t>
  </si>
  <si>
    <t>Fleur de K'Fé - Bénard Patrick</t>
  </si>
  <si>
    <t>70, rue Auguste Brunet - Trois Mares, 97422 Le Tampon</t>
  </si>
  <si>
    <t xml:space="preserve">Bénard Patrick : gite.fleurdecafe@orange.fr / 0692671179 / Propriétaire , Bénard Patrick : gite.fleurdecafe@orange.fr / 0692671179 / Propriétaire </t>
  </si>
  <si>
    <t>-21.2499114, 55.5075415</t>
  </si>
  <si>
    <t>97430, 64 Rue Auguste Brunet, Réunion</t>
  </si>
  <si>
    <t>recMAHWlXFaSg3ehS</t>
  </si>
  <si>
    <t>Fleur de Prune</t>
  </si>
  <si>
    <t>Fleur de Prune
96, route Notre Dame de la Paix - Petite Ferme
Plaine des Cafres
97418 La Plaine des Cafres</t>
  </si>
  <si>
    <t>barbecue,chauffage,climatisation,fer et planche à repasser,four,jardin,lave linge privatif,lave vaisselle,linge de maison,micro-ondes,parking,piscine,TV satellite,wifi</t>
  </si>
  <si>
    <t>sentier de randonnée,commerce alimentaire,centre commercial,parking public,site - lieu culturel</t>
  </si>
  <si>
    <t>Virement,Espèces,Chèque</t>
  </si>
  <si>
    <t>lasource.coco@hotmail.fr</t>
  </si>
  <si>
    <t>A La Plaine des Cafres, Fleur de Prune invite à la détente en famille dans une grande villa.</t>
  </si>
  <si>
    <t>La villa dispose de 5 chambres, d'une piscine chauffée intérieure, de 4 WC et 3 douches, le linge de maison est fourni.  Possibilité de profiter des environs avec la location de vélos, la proximité des sentiers de randonnées et des balades. Côté cocooning, la piscine, un billard, un coin de lecture et un espace de remise en forme avec tapis de course, ping-pong ... , sont à disposition.</t>
  </si>
  <si>
    <t xml:space="preserve">Depuis Saint-Pierre, suivre la RN3 jusqu'au 23ème km juste après la gendarmerie tourner à droite direction Notre Dame de la Paix.
Depuis Saint-Benoit, après la maison du Volcan, suivre la RN3 et avant la gendarmerie tourner à gauche, direction Notre Dame de la Paix.
Fleur de Prune se situe 3 min depuis l'intersection. </t>
  </si>
  <si>
    <t>Fleur de Prune - Grondin Corinne</t>
  </si>
  <si>
    <t>24, chemin Luspol - PK 13, 97422 Le Tampon</t>
  </si>
  <si>
    <t xml:space="preserve">Grondin Corinne : lasource.coco@hotmail.fr / 0692334231 / Propriétaire , Grondin Corinne : lasource.coco@hotmail.fr / 0692334231 / Propriétaire </t>
  </si>
  <si>
    <t>-21.245361, 55.591922</t>
  </si>
  <si>
    <t>https://book.reunion.fr/fr/hebergements/a1590199/fleur-de-prune/reserver | Réunion.fr</t>
  </si>
  <si>
    <t>CSC59HTN</t>
  </si>
  <si>
    <t>Mode de paiment,Capacité,Descriptif du plan d'accès</t>
  </si>
  <si>
    <t>Chemin Notre-Dame-de-la-Paix, La Plaine des Cafres, Réunion</t>
  </si>
  <si>
    <t>rec4Sp1Kc7fr9A3H4</t>
  </si>
  <si>
    <t>Fleur de Vanille</t>
  </si>
  <si>
    <t>CARRON Reine May</t>
  </si>
  <si>
    <t>Fleur de Vanille
227 C, route Georges Pompidou - PK 14
97430 Le Tampon</t>
  </si>
  <si>
    <t>Auberge de campagne</t>
  </si>
  <si>
    <t>barbecue,chauffage,jardin,parking</t>
  </si>
  <si>
    <t>fleur-de-vanille@wanadoo.fr</t>
  </si>
  <si>
    <t>Situé dans la commune du Tampon, l'Auberge de Campagne Fleur de Vanille, labellisée Gîtes de France, propose une cuisine créole traditionnelle dans un cadre agréable et reposant.</t>
  </si>
  <si>
    <t>Sur la RN 3 de la commune du Tampon, au 14ème km, l’accès à la structure se trouve entre la pâtisserie l’Etoile du Berger et l’arrêt de bus.</t>
  </si>
  <si>
    <t>Fleur de Vanille - Carron Reine-May</t>
  </si>
  <si>
    <t>227 C, route Georges Pompidou - PK 14, 97422 Le Tampon</t>
  </si>
  <si>
    <t xml:space="preserve">Carron Reine-May : fleur-de-vanille@wanadoo.fr / 0262591743 / 0692116118 ,  fleur-de-vanille@wanadoo.fr / 0262591743 / 0692730303 / 0692116118 </t>
  </si>
  <si>
    <t>-21.25154364, 55.5200977</t>
  </si>
  <si>
    <t>227 C Rue Georges Pompidou, 97430, Réunion</t>
  </si>
  <si>
    <t>CARRON Reine may</t>
  </si>
  <si>
    <t>https://www.aubergefleurdevanille.com/</t>
  </si>
  <si>
    <t>chauffage,espace de restauration,jardin,parking,piscine,TV,ventilateur,wifi</t>
  </si>
  <si>
    <t>Située au Tampon, Fleur de Vanille dispose de 5 chambres d’hôtes  labellisées Gîtes de France.</t>
  </si>
  <si>
    <t>Idéales pour une lune de miel, 3 chambres avec séjour se situent à l'étage et 2 chambres en rez-de-chaussée. Toutes les chambres sont équipées d'un coin séjour avec thé, café, bouilloire, télévision. La structure comprend une piscine (accès libre). Entrée indépendante. Plusieurs kiosques sont mis à la disposition des hôtes.</t>
  </si>
  <si>
    <t>Sur la RN 3 de la commune du Tampon, au 14ème km, l’accès à la  structure se trouve entre la pâtisserie l’Etoile du Berger et l’arrêt de bus.</t>
  </si>
  <si>
    <t>https://book.reunion.fr/fr/hebergements/a310847/product/reserver | Réunion.fr</t>
  </si>
  <si>
    <t>CSC23HTE</t>
  </si>
  <si>
    <t>Fleur'Episs</t>
  </si>
  <si>
    <t>Fleur’Episs</t>
  </si>
  <si>
    <t>Fleur'Episs
149, rue Raphaël Babet
97480 Saint-Joseph</t>
  </si>
  <si>
    <t>fer et planche à repasser,jardin,lave linge privatif,linge de maison,parking,TV,ventilateur</t>
  </si>
  <si>
    <t>plage,sentier de randonnée,tennis,pêche,riviere,centre commercial,parking public,site - lieu culturel,point de vue panoramique</t>
  </si>
  <si>
    <t>mariemarthe.turpin@outlook.fr</t>
  </si>
  <si>
    <t>Maison créole authentique, sol encaustiqué à l'ancienne, carrelage à l'ancienne, mur en moellon, dans un jardin fleuri et arboré (évis, sapotilles, caramboles, poivre...)</t>
  </si>
  <si>
    <t>Fleur'Episs dispose de 2 chambres (une chambre familiale avec 2 lits doubles, une chambre avec 1 lit double) avec 6 couchages. Une véranda, un barbecue, une cuisine équipée, linge de maison fourni et renouvelé régulièrement. Mobilier de qualité en teck et décoration soignée. Une salle de bain équipée avec baignoire et douche, sèche cheveux. Activités ludiques pour les enfants: livres, puzzles, jouets. Des activités sont proposées par la propriétaire à la demande (cours de cuisine créole, danses traditionnelles, randonnée, VTT).</t>
  </si>
  <si>
    <t>Prendre direction Saint-Joseph jusqu'au centre ville. Rester sur la rue Raphaël Babet jusqu'au Butor et repérer le  n° 149 à gauche.</t>
  </si>
  <si>
    <t>Fleur’Episs - Turpin Jean Louis</t>
  </si>
  <si>
    <t>149, rue Raphaël Babet, 97412 Saint-Joseph</t>
  </si>
  <si>
    <t xml:space="preserve">Turpin Jean-Louis : 0262371091 ,  0262371091 </t>
  </si>
  <si>
    <t>-21.380593, 55.614567</t>
  </si>
  <si>
    <t>CSC161HTH</t>
  </si>
  <si>
    <t>149 Rue Raphael Babet, Réunion</t>
  </si>
  <si>
    <t>recZUGINnXHGGNbNs</t>
  </si>
  <si>
    <t>Fleurettes (Les)</t>
  </si>
  <si>
    <t>Fleurettes (Les)
Maison de la Ruralité de Langevin
97480 Saint-Joseph</t>
  </si>
  <si>
    <t>lesfleurettes97480@gmail.com</t>
  </si>
  <si>
    <t>L’association « les Fleurettes » propose de l’artisanat vacoa : démonstration de tressage du vacoa par les artisanes, boutique artisanale et exposition vente. 
Ouvert du lundi au vendredi de 8h à 16h.</t>
  </si>
  <si>
    <t>Fleurettes (Les) - Behari Bertrand</t>
  </si>
  <si>
    <t>23, rue Charles Baudelaire, 97412 Saint-Joseph</t>
  </si>
  <si>
    <t xml:space="preserve">Behari Bertrand : 0692031856 , GRONDIN Harry-Claude : 0692031856 </t>
  </si>
  <si>
    <t>-21.3812455,55.64628039999999</t>
  </si>
  <si>
    <t>Mode de paiment,Fixe,E-Mail,Descriptif</t>
  </si>
  <si>
    <t>8 Rue De La Passerelle, Réunion</t>
  </si>
  <si>
    <t>reccRUqRPZ0v29qHD</t>
  </si>
  <si>
    <t>Forgeron (Le)</t>
  </si>
  <si>
    <t>Forgeron (Le)
21, chemin de la Grande Ferme
Plaine des Cafres
97418 La Plaine des Cafres</t>
  </si>
  <si>
    <t>eric.le.forgeron@hotmail.fr</t>
  </si>
  <si>
    <t>Situé à la Plaine des Cafres, Le Forgeron propose un grand choix d'outils, une fabrication à l'ancienne de produits variés en fer forgé.</t>
  </si>
  <si>
    <t>Taillandier et ferronnier, Eric Hoarau, passionné de la forge crée des produits contemporains avec des techniques presque aussi vieilles que l'histoire de l'homme. Visite possible de l'atelier sur réservation. Ouvert du lundi au vendredi de 08h30 à 12h et de 13h30 à 16h. Vente des objets sur commande.</t>
  </si>
  <si>
    <t>Forgeron (Le) - Hoarau Eric</t>
  </si>
  <si>
    <t>21, chemin de la Grande Ferme, 97422 Le Tampon</t>
  </si>
  <si>
    <t xml:space="preserve">Hoarau Eric : eric.le.forgeron@hotmail.fr / 0262592762 , Hoarau Eric : eric.le.forgeron@hotmail.fr / 0262592762 </t>
  </si>
  <si>
    <t>-21.2143458,55.5901674</t>
  </si>
  <si>
    <t>FOS Réunion</t>
  </si>
  <si>
    <t>FOS Réunion
323 chemin Cabeu
Plaine des Cafres
97418 La Plaine des Cafres</t>
  </si>
  <si>
    <t>chauffage,jardin,lave linge privatif,parking,salle de bain privée,sanitaires privés,tennis,TV,aire de jeux pour enfant</t>
  </si>
  <si>
    <t>sentier de randonnée,sentier de grande randonnée,équitation,centre commercial,parking public,site - lieu culturel,point de vue panoramique</t>
  </si>
  <si>
    <t>Carte Bancaire,Chèque,Chèques vacances,Mandat postal,Bon CE,Espèces</t>
  </si>
  <si>
    <t>français,créole,italien</t>
  </si>
  <si>
    <t xml:space="preserve">au 23eme km prendre la direction Bois Court, suivre flechage </t>
  </si>
  <si>
    <t>FOS Réunion - Ognard Pierre</t>
  </si>
  <si>
    <t>1, chemin Nativel, 97415 Saint-Paul</t>
  </si>
  <si>
    <t>fos.ptt-reunion@wanadoo.fr / 0262973100 / 0262973117</t>
  </si>
  <si>
    <t>Ouest - Saline-les-Bains (La)</t>
  </si>
  <si>
    <t>-21.2036172,55.53477580000001</t>
  </si>
  <si>
    <t>FOS Réunion La Plaine des Cafres, La Plaine des Cafres, Réunion</t>
  </si>
  <si>
    <t>recI8HW0JOu8UrmFs</t>
  </si>
  <si>
    <t>Four à Pain (Le)</t>
  </si>
  <si>
    <t>Four à Pain (Le)
63, RN2 Le Baril
97442 Saint-Philippe</t>
  </si>
  <si>
    <t>huet-jean-marc@hotmail.fr</t>
  </si>
  <si>
    <t>Le Four à Pain propose une table d'hôte à Saint-Philippe.</t>
  </si>
  <si>
    <t>Une maison principale avec marquise peut accueillir 25 personnes en table d'hôte. Une façon pour le propriétaire des lieux de faire découvrir les produits de son exploitation : palmiste, vacoa, chou de coco, fruits de saison, ...).</t>
  </si>
  <si>
    <t>Four à Pain (Le) - Huet Joseph Jean Marc</t>
  </si>
  <si>
    <t>63, RN2 Le Baril, 97417 Saint-Philippe</t>
  </si>
  <si>
    <t xml:space="preserve">Huet Joseph Jean Marc : huet-jean-marc@hotmail.fr / 0692366155 / Propriétaire , Huet Joseph Jean Marc : huet-jean-marc@hotmail.fr / 0692366155 / Propriétaire , Huet Joseph Jean Marc : huet-jean-marc@hotmail.fr / 0692366155 / Propriétaire </t>
  </si>
  <si>
    <t>-21.367744, 55.727471</t>
  </si>
  <si>
    <t>63C RN2 Le Baril, Saint-Philippe 97442, Réunion</t>
  </si>
  <si>
    <t>rechFFrgz5BbO2egc</t>
  </si>
  <si>
    <t>climatisation,jardin,parking,piscine,sanitaires privés</t>
  </si>
  <si>
    <t>commerce alimentaire,parking public,jardin</t>
  </si>
  <si>
    <t>Dans le Sud Sauvage à Saint-Philippe, Le Four à Pain dispose de 5 chambres d'hôtes.</t>
  </si>
  <si>
    <t>Dans un jardin où il y a encore les traces de l'histoire, la construction des chambres et de la table d'hôtes a été pensé pour retrouver un cachet des anciennes maisons créoles (construction en bois).
Les chambres doubles sont situées dans des petites dépendances (bungalows) avec lambrequin. 
Pour agrémenter le séjour, une piscine est à disposition.
Une visite guidée des lieux est proposée afin de découvrir la vanille, le palmiste, le jardin créole et bien sûr le four à pain qui fait parti du petit patrimoine local.</t>
  </si>
  <si>
    <t>https://book.reunion.fr/fr/hebergements/a931372/four-a-pain-le/reserver | Réunion.fr</t>
  </si>
  <si>
    <t>CSC74HTK</t>
  </si>
  <si>
    <t>Fraîcheur du Jour</t>
  </si>
  <si>
    <t>Fraîcheur du Jour
5, rue Raphaël Douyère
Plaine des Cafres
97418 La Plaine des Cafres</t>
  </si>
  <si>
    <t>Carte Bancaire,Eurocard,Chèque,Chèques vacances,Tickets restaurant,Espèces</t>
  </si>
  <si>
    <t>Situé à la Plaine des Cafres, le restaurant Fraîcheur du Jour propose une cuisine créole et chinoise sur place ou à emporter. Ouvert tous les jours. Menu enfant à 4 €. Repas sur place : 7 €, à emporter : 6 €.</t>
  </si>
  <si>
    <t>Fraîcheur du Jour - Sandrine GRONDIN</t>
  </si>
  <si>
    <t>5, rue Raphaël Douyère, 97422 Le Tampon</t>
  </si>
  <si>
    <t xml:space="preserve"> 0262591990 ,  0262591990 </t>
  </si>
  <si>
    <t>-21.218976, 55.552936</t>
  </si>
  <si>
    <t>5 Rue Raphael Douyere, La Plaine des Cafres, Réunion</t>
  </si>
  <si>
    <t>Framboisiers (Les)</t>
  </si>
  <si>
    <t>SCI Les Framboisiers</t>
  </si>
  <si>
    <t>Framboisiers (Les)
7, impasse des Radis - Piton Hyacinthe
Plaine des Cafres
97418 La Plaine des Cafres</t>
  </si>
  <si>
    <t>jardin,lave linge privatif,lave vaisselle,parking</t>
  </si>
  <si>
    <t>Situés à La Plaine des Cafres au Piton Hyacinthe, Les Framboisiers proposent 3 gîtes en pleine nature. Chaque gîte est composée de 3 chambres doubles, d'un salon avec 2 clic-clacs et d'une cuisine équipée. Endroit calme et reposant. Capacité : 10 personnes par gîte.
A proximité : randonnée sur la région du volcan, Grand Bassin, proche de toutes commodités.</t>
  </si>
  <si>
    <t xml:space="preserve">Depuis le Sud : Suivre la 2X2 voies en direction du Tampon. Arrivé au rond-point des Azalées, prendre la direction Plaine des Cafres. Au village du 23ème km, tourner à gauche en direction Bois Court. Rouler environ 5 km, puis tourner à gauche chemin Frappier de Mont Benoit. Rouler sur environ 1 km et prendre à droite Impasse des Radis. Les Framboisiers se trouvent sur la gauche.
Depuis Les Plaines : Suivre la RN3 en direction de la Plaine des Cafres. Au village du 23ème km, tourner à droite en direction Bois Court. Rouler environ 5 km, puis tourner à gauche chemin Frappier de Mont Benoit. Rouler sur environ 1 km et prendre à droite Impasse des Radis. Les Framboisiers se trouvent sur la gauche. </t>
  </si>
  <si>
    <t xml:space="preserve">Grondin Nadine : nadine.grondin@izi.re / 0262273201 / 0692768929 / Propriétaire , Grondin Nadine : nadine.grondin@izi.re / 0262273201 / 0692768929 / Gérant(e) ,  nadine.grondin@izi.re / 0262273201 / 0692768929 </t>
  </si>
  <si>
    <t>-21.2080633,55.5398705</t>
  </si>
  <si>
    <t>Impasse des Radis, La Plaine des Cafres, Réunion</t>
  </si>
  <si>
    <t>Franciscéas</t>
  </si>
  <si>
    <t>Franciscéas
64, rue Georges Azéma
97430 Le Tampon</t>
  </si>
  <si>
    <t>http://bungalow-tampon.com</t>
  </si>
  <si>
    <t>barbecue,jardin,lave linge collectif,linge de maison,parking,piscine,salle de bain privée,sanitaires privés,TV,wifi</t>
  </si>
  <si>
    <t>sentier de randonnée,banque - guichet automatique,commerce alimentaire,équitation,parking public,site - lieu culturel,point de vue panoramique</t>
  </si>
  <si>
    <t>architecteur.reunion@wanadoo.fr</t>
  </si>
  <si>
    <t>Franciscéas propose des locations saisonnières sur les hauteurs du Sud de l'île, au Tampon. Il dispose de 8 chambres doubles meublées, d'un bungalow de 2 personnes et de 2 bungalows de 4 personnes. Cuisine au feu de bois, jardin d'épices, 1500 m² de verger tropical.</t>
  </si>
  <si>
    <t>Franciscéas - Nguyen-Legros Alain</t>
  </si>
  <si>
    <t>64, rue Georges Azéma, 97422 Le Tampon</t>
  </si>
  <si>
    <t xml:space="preserve"> 0692664661 , Nguyen-Legros Alain : architecteur.reunion@wanadoo.fr / 0262272726 / 0692272726 </t>
  </si>
  <si>
    <t>-21.276598, 55.526952</t>
  </si>
  <si>
    <t>64 Rue Georges Azema, Réunion</t>
  </si>
  <si>
    <t>Francomme Georges</t>
  </si>
  <si>
    <t>FRANCOMME Georges</t>
  </si>
  <si>
    <t>Francomme Georges
489, Rue Raphaël Babet
97480 Saint-Joseph</t>
  </si>
  <si>
    <t>xxxxxxxxxxxx</t>
  </si>
  <si>
    <t>489, Rue Raphaël Babet, 97412 Saint-Joseph</t>
  </si>
  <si>
    <t>-21.3319275,55.6324812</t>
  </si>
  <si>
    <t>Chemin Francomme, Réunion</t>
  </si>
  <si>
    <t>recm363jik6qQvAIJ</t>
  </si>
  <si>
    <t>Frangipaniers (Les)</t>
  </si>
  <si>
    <t>Frangipaniers (Les)
165, rue Jean Lauret - Ravine des Citrons
97414 Entre-Deux</t>
  </si>
  <si>
    <t>http://www.lesfrangipaniers.re</t>
  </si>
  <si>
    <t>espace spa - bien être,parking,salle de bain privée,sanitaires privés</t>
  </si>
  <si>
    <t>arrêt bus,sentier de randonnée,sentier de grande randonnée,commerce alimentaire,parking public,site - lieu culturel</t>
  </si>
  <si>
    <t>français,anglais,espagnol,créole</t>
  </si>
  <si>
    <t>frangipaniers@orange.fr</t>
  </si>
  <si>
    <t>Situé entre mer et montagne, le village de l’Entre-Deux est l’un de ces endroits au cadre de vie privilégié où " il fait bon vivre".</t>
  </si>
  <si>
    <t>Les Frangipaniers disposent de 2 chambres d'hôtes situées dans un pavillon indépendant. Elles sont spacieuses et agréablement aménagées, elles disposent chacune d’un coin de détente, d’une salle d’eau individuelle. Pour profiter pleinement du séjour, un solarium et un spa sont à disposition. Une salle de sport très bien équipée est également à disposition des plus courageux.</t>
  </si>
  <si>
    <t>A partir de la mairie, prendre la direction du Dimitile Ravine des Citrons sur 1,700 km environ, le n° 165 se trouve à gauche.</t>
  </si>
  <si>
    <t>Frangipaniers (les) - Bernadeau Liliane</t>
  </si>
  <si>
    <t>165 A, rue Jean Lauret -Ravine Citrons, 97403 Entre-Deux</t>
  </si>
  <si>
    <t xml:space="preserve">Bernadeau Liliane : frangipaniers@orange.fr / 0262395108 / Gérant(e) , Bernardeau Liliane : frangipaniers@orange.fr / 0262395108 / 0692238919 , Bernadeau Liliane : frangipaniers@orange.fr / 0262395108 / 0692238919 / Propriétaire </t>
  </si>
  <si>
    <t>-21.281816, 55.478893</t>
  </si>
  <si>
    <t>CSC14HTE</t>
  </si>
  <si>
    <t>165 A Rue Jean Lauret, Ravine des Citrons, Entre-Deux 97414, Réunion</t>
  </si>
  <si>
    <t>recAUYluxAfp1ft4c</t>
  </si>
  <si>
    <t>Les Frangipaniers</t>
  </si>
  <si>
    <t>jardin,parking,salon de jardin</t>
  </si>
  <si>
    <t>arrêt bus,sentier de randonnée,sentier de grande randonnée,centre commercial,parking public,site - lieu culturel,point de vue panoramique,aéroport de Pierrefonds</t>
  </si>
  <si>
    <t>Remise en forme, détente, relaxation, méditation...</t>
  </si>
  <si>
    <t>Situé dans le village de l'Entre-Deux, Les Frangipaniers disposent d'une station de bien-être avec spa en plein air, sauna, hammam, espace fitness,.. dans un luxuriant jardin tropical. Endroit calme et reposant.
Pour un séjour de remise en forme Les Frangipaniers proposent la location de 2 chambres meublées avec sobriété. Pour les autres prestations consulter la station.</t>
  </si>
  <si>
    <t>Fresh Bourbon</t>
  </si>
  <si>
    <t>Fresh Bourbon
10, rue Charles Baudelaire
97480 Saint-Joseph</t>
  </si>
  <si>
    <t>restauration métropolitaine</t>
  </si>
  <si>
    <t>rivière langevin et activité d'eaux vives,points de vie,boulangerie en bas</t>
  </si>
  <si>
    <t>A Saint-Joseph, le restaurant Fresh Bourbon propose une cuisine métropolitaine.</t>
  </si>
  <si>
    <t>10, rue Charles Baudelaire, 97412 Saint-Joseph</t>
  </si>
  <si>
    <t xml:space="preserve"> 0262516114 ,  0262516114 </t>
  </si>
  <si>
    <t>-21.382089, 55.64744</t>
  </si>
  <si>
    <t>10 Rue Charles Baudelaire, Réunion</t>
  </si>
  <si>
    <t>recMNd8ISYzDXc7iM</t>
  </si>
  <si>
    <t>Fruit à Pain (Le)</t>
  </si>
  <si>
    <t>Fruit à Pain (Le)
5 rue Guichard
97480 Saint-Joseph</t>
  </si>
  <si>
    <t>Bois Noir</t>
  </si>
  <si>
    <t>wifi,barbecue,four,plaque de cuisson,lave vaisselle,jardin,micro-ondes,parking,TV,climatisation</t>
  </si>
  <si>
    <t>sentiers de randonnées,commerces,riviere,sites - lieux culturels,point de vue panoramique,centre médical</t>
  </si>
  <si>
    <t>fruitapain97480@gmail.com</t>
  </si>
  <si>
    <t>Doté de la climatisation et d'une terrasse, l'établissement LE FRUIT A PAIN est situé à Saint-Joseph. Vous séjournerez à 32 km de Saint-Pierre et bénéficierez d'un parking privé gratuit.</t>
  </si>
  <si>
    <t>La villa comprend 2 chambres, une télévision par satellite à écran plat, une cuisine équipée d'un lave-vaisselle et d'un micro-ondes, un lave-linge ainsi qu'une salle de bains pourvue d'un jacuzzi.
La réception de la villa pourra vous fournir des informations sur la région.
Le FRUIT A PAIN possède un centre de spa. Lors de votre séjour, vous pourrez profiter d'un barbecue.</t>
  </si>
  <si>
    <t>Fruit à Pain (Le) - Francomme Brigitte</t>
  </si>
  <si>
    <t>7 rue guichard, 97480 Saint-Joseph</t>
  </si>
  <si>
    <t>Francomme Brigitte : fruitapain97480@gmail.com / 0692046051</t>
  </si>
  <si>
    <t>-21.381251, 55.644229</t>
  </si>
  <si>
    <t>110.00</t>
  </si>
  <si>
    <t>CSC282HT@</t>
  </si>
  <si>
    <t>Adresse,Localisations,Lieux-dits,Prestations sur place,Prestations à Proximité,Mode de paiment,E-Mail,Descriptif,Fournisseur - Nom,Fournisseur - adresse,Fournisseur - contacts</t>
  </si>
  <si>
    <t>5 Rue Guichard, 97480, Réunion</t>
  </si>
  <si>
    <t>Gadjack (Le)</t>
  </si>
  <si>
    <t>Gadjack (Le)
1, rue Fortuné Hoareau
97414 Entre-Deux</t>
  </si>
  <si>
    <t>Situé à l'Entre-Deux dans une maison de plus de 150 ans classé au patrimoine de France, le restaurant Le Gadjack propose une cuisine créole. Spécialité sur réservation et selon saison plats à base du choka. Ouvert du lundi au vendredi de 08h30 à 16h.</t>
  </si>
  <si>
    <t>Gadjack (Le) - Thebault Rafaël</t>
  </si>
  <si>
    <t>1, rue Fortuné Hoareau, 97403 Entre-Deux</t>
  </si>
  <si>
    <t xml:space="preserve">Thebault Rafaël : thebaultr@wanadoo.fr / 0692410369 ,  0692410369 </t>
  </si>
  <si>
    <t>-21.2491963,55.47037570000001</t>
  </si>
  <si>
    <t>1 Rue Fortune Hoarau, Réunion</t>
  </si>
  <si>
    <t>rec7uNHsQPt5wZPCY</t>
  </si>
  <si>
    <t>Gadjak (Le)</t>
  </si>
  <si>
    <t>Gadjak (Le)
1, rue Fortuné Hoarau - La Mare
97414 Entre-Deux</t>
  </si>
  <si>
    <t>Centre ville,Village</t>
  </si>
  <si>
    <t>ventilateur</t>
  </si>
  <si>
    <t>tboram@hotmail.fr</t>
  </si>
  <si>
    <t>Restaurant situé au centre ville de l'Entre-Deux dans une vieille case créole qui a plus d'un siècle et demi. Il propose une cuisine créole.</t>
  </si>
  <si>
    <t>Le Gadjak propose des plats du jour de cuisine traditionnelle créole, des grillades de viande et de poissons frais.
Ouvert du lundi au vendredi de 11h30 à 14h et de 18h30 à 20h30.</t>
  </si>
  <si>
    <t>Centre ville de l'Entre-Deux, vieille case créole en bardeau avec des volets rouges, face à la mairie</t>
  </si>
  <si>
    <t xml:space="preserve">Lundi : 11:30 14:00 -,Mardi : 11:30 14:00 -,Mercredi : 11:30 14:00 -,Jeudi : 11:30 14:00 -,Vendredi : 11:30 14:00 -,Samedi :  -,Dimanche :  - </t>
  </si>
  <si>
    <t>Gadjak (Le) - Thebault Raphaël</t>
  </si>
  <si>
    <t>19 impasse des Bougainvilliers, 97403 Entre-Deux</t>
  </si>
  <si>
    <t xml:space="preserve">Thebault Raphaël : tboram@hotmail.fr / 0692410369 / Gérant(e) ,  tboram@hotmail.fr / 0692410369 </t>
  </si>
  <si>
    <t>-21.2493334, 55.470689699</t>
  </si>
  <si>
    <t>Adresse,Mode de paiment,Descriptif,Jours et horaires d'ouverture</t>
  </si>
  <si>
    <t>recYHFqrcGF3uRbra</t>
  </si>
  <si>
    <t>Galabert (Le)</t>
  </si>
  <si>
    <t>Le Galabert</t>
  </si>
  <si>
    <t>Galabert (Le)
215 A, route de Jean Petit - Km 7
97480 Saint-Joseph</t>
  </si>
  <si>
    <t>http://www.legalabert.e-monsite.com</t>
  </si>
  <si>
    <t>barbecue,fer et planche à repasser,four,jardin,lave linge privatif,linge de maison,linge de toilette,micro-ondes,parking,TV,ventilateur</t>
  </si>
  <si>
    <t>peger974@live.fr</t>
  </si>
  <si>
    <t>Entre mer et montagne, à 400 m d'altitude et à 5 km de la ville de Saint-Joseph.</t>
  </si>
  <si>
    <t>Le Galabert est une maison meublée, comprenant 3 chambres doubles dont une avec lit bébé et l'autre avec lits superposés, un salon, une cuisine équipée avec salle à manger, une varangue, une salle de bain avec douche à l'italienne, un jardin, un parking privatif et un coin barbecue.
A proximité des sites touristiques du Sud Sauvage et de point de vue panoramique.</t>
  </si>
  <si>
    <t>De Saint-Joseph, prendre la direction de Jean Petit/Grand Coude sur le CD 33, arrivé au panneau lieu dit "Jean Petit", continuer sur 100 m, prendre le petit chemin à gauche juste avant l'arrêt de bus "Ti car jaune Le Galabert". Le Galabert se trouve à 40 m sur la gauche au n° 215 A.</t>
  </si>
  <si>
    <t>Galabert (Le) - Lebon Mickaëla</t>
  </si>
  <si>
    <t>215, route de Jean Petit - Km 7, 97412 Saint-Joseph</t>
  </si>
  <si>
    <t xml:space="preserve">Lebon Mickaëla : peger974@live.fr / 0262977304 / 0692692766 / Propriétaire , Lebon Mickaëla : peger974@live.fr / 0262977304 / 0692692766 / Propriétaire </t>
  </si>
  <si>
    <t>-21.351655, 55.631909</t>
  </si>
  <si>
    <t>215 Route de Jean Petit, 97480, Réunion</t>
  </si>
  <si>
    <t>recXXhBx8iC8nShoV</t>
  </si>
  <si>
    <t>Gandalf Safari Camp</t>
  </si>
  <si>
    <t>Gandalf Safari Camp
87, boulevard de l’Océan - Manapany-les-Bains
Manapany-les-Bains
97480 Saint-Joseph</t>
  </si>
  <si>
    <t>http://www.gandalfsafaricamp.de</t>
  </si>
  <si>
    <t>climatisation,jardin,lecteur DVD,salle de bain privée,sanitaires privés,TV,wifi</t>
  </si>
  <si>
    <t>sentier de randonnée,sentier de grande randonnée,commerce alimentaire,riviere,site - lieu culturel,point de vue panoramique</t>
  </si>
  <si>
    <t>info@gandalfsafaricamp.de</t>
  </si>
  <si>
    <t>Le Gandalf Safari Camp est une petite structure touristique de type hôtelière, située à Manapany-les-Bains dans le Sud Sauvage. Christina et Claus accueillent les clients dans un cadre de verdure tropical.</t>
  </si>
  <si>
    <t>Le Gandalf Safari Camp propose 5 chambres doubles à l'étage avec sanitaires privés, elles sont équipées de climatisation, de télévision et de WiFi, à seulement 250 mètres du Bassin de Manapany. La multitude culturelle présente à La Réunion se retrouve dans la décoration des chambres : une chambre indienne (2 lits), une chambre arabe (grand lit), une chambre chinoise (grand lit  canapé), une chambre créole (grand lit) et une chambre malgache (2 lits). La terrasse est équipée d'une cuisine complète et d'un barbecue. Accès et salle de bain pour personnes à mobilité réduite disponible. 2 lits parapluie à disposition</t>
  </si>
  <si>
    <t xml:space="preserve">En venant du Nord, prendre la direction de Saint-Pierre puis suivre la N2 en direction de Saint-Joseph. A Manapany-les-Bains, prendre à droite droite au premier carrefour puis suivre les écriteaux "Gandalf Safari Camp" en blanc sur fond marron jusqu'au Gandalf Safari Camp (à 300 m).
En arrivant du Sud, continuer sur la N2 en prenant la direction de Saint-Joseph puis Saint-Pierre. Après le restaurant Quick, prendre à gauche au deuxième carrefour, puis suivre les écriteaux "Gandalf Safari Camp" en blanc sur fond marron jusqu'au Gandalf Safari Camp (à 300 m). </t>
  </si>
  <si>
    <t>Gandalf Safari Camp - Moreno Christina et Claus KOELHER</t>
  </si>
  <si>
    <t>87, boulevard de l’Océan, 97412 Saint-Joseph</t>
  </si>
  <si>
    <t xml:space="preserve">Moreno Christina et Claus : info@gandalfsafaricamp.de / 0262584559 / 0692330936 / 0692407839 ,  0262584559 / 0692407839 </t>
  </si>
  <si>
    <t>-21.37584, 55.592495</t>
  </si>
  <si>
    <t>CSC81HTI</t>
  </si>
  <si>
    <t>Mode de paiment,Capacité,Descriptif,Descriptif du plan d'accès,Fournisseur - Nom,Fournisseur - SIRET,Tarif libellé</t>
  </si>
  <si>
    <t>87 Blvrd de l'Ocean, Manapany-Les-Bains 97480, Réunion</t>
  </si>
  <si>
    <t>recD5BtUZul1AMUmq</t>
  </si>
  <si>
    <t>Gecko Vert (Le)</t>
  </si>
  <si>
    <t>Gecko Vert (Le)
9 impasse des Pipangayes
Résidence Le Manapany - Appt G
Manapany-les-Bains
97480 Saint-Joseph</t>
  </si>
  <si>
    <t>http://www.lamaisondeshotes.re/</t>
  </si>
  <si>
    <t>climatisation,fer et planche à repasser,lave linge privatif,lave vaisselle,linge de maison,parking,piscine,TV satellite,ventilateur,wifi,coffre-fort</t>
  </si>
  <si>
    <t>lamaisondeshotes974@gmail.com</t>
  </si>
  <si>
    <t>Situé au coeur de Manapany les Bains, Le Gecko Vert propose un appartement entièrement meublé pouvant accueillir 6 personnes.</t>
  </si>
  <si>
    <t>L'appartement équipé de 2 chambres avec canapé lits. Entièrement rénové et tout équipé, il est situé au rez-de-chaussée en face d'une grande piscine. 
Le Gecko Vert se trouve à 8 minutes à pied du bassin de baignade, a une vue sur mer et montagne dans un endroit particulièrement calme.
La location se fait à partir de 3 nuits minimum. Dépose bagages disponible</t>
  </si>
  <si>
    <t xml:space="preserve">Venant de l'ouest, traverser la ville de Saint-Pierre puis prendre la direction de Grand Bois. Arrivé à Manapany les Bains, prendre la première route à droite puis encore la première à droite. 
La résidence est recouverte d'un toit en bois.
Venant de l'est, prendre la sortie Saint-Jospeh en direction de Saint-Pierre. Arrivé à Manapany les Bains (juste après un grand rond point), tourner à gauche au premier carrefour puis à droite. La résidence est à 100m, recouverte d'un toit en bois. </t>
  </si>
  <si>
    <t>Gecko Vert (Le) - Heuvrard Denis</t>
  </si>
  <si>
    <t>7 rue Joseph de Souville, 97480 Saint-Joseph</t>
  </si>
  <si>
    <t>Heuvrard Denis : lamaisondeshotes974@gmail.com / 0262565849 / 0692646996 / Propriétaire</t>
  </si>
  <si>
    <t>-21.3736985,55.5943578</t>
  </si>
  <si>
    <t>69.00</t>
  </si>
  <si>
    <t>CSC310HT@</t>
  </si>
  <si>
    <t>Mode de paiment,Autre téléphone,Descriptif,Descriptif du plan d'accès,Fournisseur - adresse</t>
  </si>
  <si>
    <t>Appt G Résidence, Le MANAPANY, 9 Impasse des Pipengayes, Manapany-Les-Bains 97480, Réunion</t>
  </si>
  <si>
    <t>recR7TTdU2Cd6LXtY</t>
  </si>
  <si>
    <t>Géraniums (Les)</t>
  </si>
  <si>
    <t>Géraniums (Les)
RN 3- PK 24 - Bourg-Murat
Plaine des Cafres
97418 La Plaine des Cafres</t>
  </si>
  <si>
    <t>http://www.hotelrestaurantlesgeraniums.com/</t>
  </si>
  <si>
    <t>parking,salle de réunion - séminaire</t>
  </si>
  <si>
    <t>hotelgeranium@wanadoo.fr</t>
  </si>
  <si>
    <t>A la Plaine des Cafres, Les Géraniums, restaurant de l'hôtel propose une cuisine créole et métropolitaine.</t>
  </si>
  <si>
    <t>Restaurant gastronomique, lieu de détente et de relaxation pour savourer les délicieux plats proposés.</t>
  </si>
  <si>
    <t>Géraniums (Les) - Mainfroi Wilfrid</t>
  </si>
  <si>
    <t>RN 3 - PK 24, 97422 Le Tampon</t>
  </si>
  <si>
    <t xml:space="preserve">Mainfroi Wilfrid : hotelgeranium@wanadoo.fr / 0262591106 / 0262592183 ,  hotelgeranium@wanadoo.fr / 0262591106 / 0692709578 / 0262592183 ,  hotelgeranium@wanadoo.fr / 0262591106 / 0262592183 </t>
  </si>
  <si>
    <t>-21.21837816, 55.56028342</t>
  </si>
  <si>
    <t>Mode de paiment,Fax,Fournisseur - Nom,Fournisseur - contacts</t>
  </si>
  <si>
    <t>11 Rue Alfred Lacroix, La Plaine des Cafres 97418, Réunion</t>
  </si>
  <si>
    <t>recd0bjcfRVLbyOCv</t>
  </si>
  <si>
    <t>Géraniums (Les)
RN 3 - PK 24 - Bourg Murat
Plaine des Cafres
97418 La Plaine des Cafres</t>
  </si>
  <si>
    <t>bar,chauffage,espace de restauration,parking,salle de réunion - séminaire,téléphone,TV,pressing</t>
  </si>
  <si>
    <t>Carte Bancaire,Chèque,Chèques vacances,Espèces</t>
  </si>
  <si>
    <t>Situé à proximité de la Maison du Volcan et point de départ de nombreuses excursions dans la région des hautes plaines.</t>
  </si>
  <si>
    <t>L'hôtel Les Géraniums dispose de 23 chambres dans un endroit calme, frais et reposant, à la Plaine des Cafres. Vue panoramique sur le Piton des Neiges, Bois Court et Dimitile. Accès aux personnes à mobilité réduite.</t>
  </si>
  <si>
    <t>CSC30HTC</t>
  </si>
  <si>
    <t>Mode de paiment,Fax,Jours et horaires d'ouverture,Fournisseur - Nom,Fournisseur - contacts</t>
  </si>
  <si>
    <t>Gironcel Guy</t>
  </si>
  <si>
    <t>Gironcel Guy
Rue Fortuné Hoarau - Derrière l'Office de Tourisme
97414 Entre-Deux</t>
  </si>
  <si>
    <t>Tourneur sur bois, Guy fabrique la "toupie lontan".
Exposition et vente à l'Office de Tourisme.</t>
  </si>
  <si>
    <t>Rue Fortuné Hoareau, 97403 Entre-Deux</t>
  </si>
  <si>
    <t xml:space="preserve">Gironcel Guy : 0692675910 , Gironcel Guy : 0692675910 ,  0692675910 </t>
  </si>
  <si>
    <t>-21.2133885,55.480396</t>
  </si>
  <si>
    <t>Gîte Chan Chit Sang Jean Pierre</t>
  </si>
  <si>
    <t>Chan Chit Sang</t>
  </si>
  <si>
    <t>Gîte Chan Chit Sang Jean Pierre
151, route de Grand Coude
Grand Coude
97480 Saint-Joseph</t>
  </si>
  <si>
    <t>http://www.gite-css.com</t>
  </si>
  <si>
    <t>Situé au pied du Morne Langevin, entre 2 bras de rivières, la Rivière des Remparts et la Rivière de Langevin, sur le domaine de Grand Coude, sur une ancienne exploitation de thé</t>
  </si>
  <si>
    <t>La table d'hôte Chan Chit Sang propose une cuisine créole et chinoise avec les produits frais de l'exploitation du propriétaire
poulet pays, canard ..., légumes.
Le repas est servi dans une salle aménagée pouvant accueillir 30 personnes.
Le repas comprend le punch, l'entrée, le plat principal, le dessert, le café et les boissons.
Spécialités : Cœur de fanjan, poulet valeur à la chinoise, omelette vapeur, cari poulet.</t>
  </si>
  <si>
    <t>Sur la commune de Saint-Joseph, prendre la direction du domaine de Grand Coude. Suivre la route principale, la structure se trouve sur la gauche.</t>
  </si>
  <si>
    <t>151, route de Grand Coude, 97412 Saint-Joseph</t>
  </si>
  <si>
    <t xml:space="preserve">Chan Chit Sang Jean-Pierre : 0262561444 / 0692001245 , Chan Chit Sang Jean-Pierre : 0262561444 / 0692001245 / Propriétaire , Chan Chit Sang Jean-Pierre : 0262561444 / 0692001245 / Propriétaire ,  0262561444 / 0692001245 </t>
  </si>
  <si>
    <t>-21.358852, 55.630541</t>
  </si>
  <si>
    <t>151 Route de Grand Coude, 97480, Réunion</t>
  </si>
  <si>
    <t>Chan Shit Chang Jean Pierre</t>
  </si>
  <si>
    <t>Le Gîte Chan Chit Sang Jean Pierre dispose de 3 grandes chambres meublées comprenant un lit double et des sanitaires privés chacune. Possibilité d'accueillir 2 enfants. 
La table d'hôte propose une cuisine chinoise et créole avec des produits de la ferme (poulet pays, canard... et des légumes).
Spécialités : Cœur de fanjan, poulet valeur à la chinoise, omelette vapeur, cari poulet.
Le repas comprend le punch, l'entrée, le plat principal, le dessert, le café et les boissons. Le repas est servi dans une salle avec cheminée.</t>
  </si>
  <si>
    <t>Situé au pied du Morne Langevin, entre 2 bras de rivières la Rivière des Remparts et la Rivière de Langevin, sur le domaine de Grand Coude, sur une ancienne exploitation de thé</t>
  </si>
  <si>
    <t>Le Gîte Chan Chit Sang Jean Pierre propose un gîte de groupe comprenant 6 chambres doubles, une chambre triple avec une salle à manger et des sanitaires communs.
La table d'hôte propose une cuisine chinoise et créole avec des produits de la ferme (poulet pays, canard... et des légumes).
Spécialités : Cœur de fanjan,  poulet vapeur à la chinoise, omelette vapeur, cari poulet.
Le repas comprend le punch, l'entrée, le plat principal, le dessert, le café et les boissons. Le repas est servi dans une salle avec cheminée.</t>
  </si>
  <si>
    <t>recxQP6ZkcgLG5r3S</t>
  </si>
  <si>
    <t>Gîte de Bellevue</t>
  </si>
  <si>
    <t>Gîte de Bellevue
32 rue du domaine de Bellevue - PK 28 - Bourg Murat
Bourg Murat
97418 La Plaine des Cafres</t>
  </si>
  <si>
    <t>http://www.gitedebellevue.re</t>
  </si>
  <si>
    <t>chauffage,jardin,linge de toilette,parking,salle de bain privée,sanitaires privés,TV</t>
  </si>
  <si>
    <t>gitedebellevue@orange.fr</t>
  </si>
  <si>
    <t>Le Gîte de Bellevue se trouve au cœur de l'île de La Réunion à 1600 m d'altitude, dans l'air frais et pur de nos montagnes à Bourg-Murat à La Plaine des Cafres.</t>
  </si>
  <si>
    <t>On peut se loger au gîte ou dans des chalets plus confortables au milieu d'une nature verdoyante et paisible. Les chalets sont conçus pour 2, 3, 4, ou 5 personnes à des prix raisonnables.
Bellevue est au carrefour des promenades à pied, à cheval, en vélo ou en voiture. C'est la structure d'accueil la plus proche du G.R.2 avec le Piton des Neiges à l'ouest et le volcan à l'est.</t>
  </si>
  <si>
    <t>Depuis le Sud, prendre la 4 voies en direction du Tampon et ensuite suivre la RN3 jusqu'au village de Bourg Murat. 1 km après le village de Bourg Murat, tourner à gauche dans le chemin des militaires et suivre les panneaux indiquant “Gîte de Bellevue.”</t>
  </si>
  <si>
    <t>Gîte de Bellevue - D'ambelle De Peindray Gladys</t>
  </si>
  <si>
    <t>5, domaine de Bellevue - PK 28 - Bourg Murat, 97422 Le Tampon</t>
  </si>
  <si>
    <t xml:space="preserve">D'ambelle De Peindray Gladys : gitedebellevue@orange.fr / 0262591502 / 0692078003 / 0262591502 , D'ambelle De Peindray Gladys : gitedebellevue@orange.fr / 0262591502 / 0692078083 </t>
  </si>
  <si>
    <t>-21.191804, 55.576682</t>
  </si>
  <si>
    <t>20.00</t>
  </si>
  <si>
    <t>CSC31HTD</t>
  </si>
  <si>
    <t>Adresse,Mode de paiment,Descriptif,Jours et horaires d'ouverture,Fournisseur - Nom,Fournisseur - SIRET,Fournisseur - contacts,Tarif libellé</t>
  </si>
  <si>
    <t>recj6bxDm7H2Yd6mt</t>
  </si>
  <si>
    <t>Gîte de la Fournaise</t>
  </si>
  <si>
    <t>Gîte de la Fournaise
202 RN3 - PK27 - Bourg Murat
Bourg Murat
97418 La Plaine des Cafres</t>
  </si>
  <si>
    <t>http://www.gitedelafournaise.re</t>
  </si>
  <si>
    <t>sentier de randonnée,sentier de grande randonnée,commerce alimentaire,équitation,parking public,site - lieu culturel</t>
  </si>
  <si>
    <t>français,créole,anglais,grec</t>
  </si>
  <si>
    <t>gitedelafournaise@wanadoo.fr</t>
  </si>
  <si>
    <t>A La Plaine des Cafres, situé à 1600 m d'altitude au cœur du village de Bourg Murat, Le Gîte de la Fournaise propose un gîte.</t>
  </si>
  <si>
    <t>Le gîte dispose de 3 chambres et d'un chalet indépendant pour une capacité totale de 14 personnes.
Repas du soir et petit déjeuner sur réservation.
A proximité de plusieurs activités et de sentiers de randonnées.</t>
  </si>
  <si>
    <t>Le gîte se trouve à Bourg Murat, à 200 m de la Cité du Volcan.</t>
  </si>
  <si>
    <t>Gîte de la Fournaise - Mesresse Pascal</t>
  </si>
  <si>
    <t>202 RN3 - PK7 - Bourg-Murat, 97422 Le Tampon</t>
  </si>
  <si>
    <t xml:space="preserve">Meresse Pascal : gitedelafournaise@wanadoo.fr / 0262592975 / 0692228988 / Propriétaire , Meresse Pascal : gitedelafournaise@wanadoo.fr / 0262592975 / 0692228988 / Propriétaire </t>
  </si>
  <si>
    <t>-21.200977, 55.574434</t>
  </si>
  <si>
    <t>36.00</t>
  </si>
  <si>
    <t>CSC105HTF</t>
  </si>
  <si>
    <t>Mode de paiment,Descriptif,Jours et horaires d'ouverture</t>
  </si>
  <si>
    <t>202 Rue Maurice et Katia Krafft, La Plaine des Cafres 97418, Réunion</t>
  </si>
  <si>
    <t>Gîte de la Plaine</t>
  </si>
  <si>
    <t>Gîte de La Plaine</t>
  </si>
  <si>
    <t>Gîte de la Plaine
150, rue Alfred Lacroix
Plaine des Cafres
97418 La Plaine des Cafres</t>
  </si>
  <si>
    <t>http://lesgitesdelaplaine.monsite-orange.fr</t>
  </si>
  <si>
    <t>Milieu rural,Volcan</t>
  </si>
  <si>
    <t>barbecue,chauffage,fer et planche à repasser,four,lave vaisselle,micro-ondes,parking,TV satellite</t>
  </si>
  <si>
    <t>olivier.tuaillon@wanadoo.fr</t>
  </si>
  <si>
    <t>Situé à La Plaine des Cafres, le Gîte de la Plaine est tout en bois et entièrement équipé.</t>
  </si>
  <si>
    <t>A l'étage, le gîte dispose de 2 grandes chambres familiale de 25 m² chacune avec un lit double et 2 lits simples et au rez de chaussé, un salon avec cheminée, une salle à manger et une cuisine équipée.
Les chambres ont un accès sur le balcon.</t>
  </si>
  <si>
    <t>Depuis Saint-Pierre, direction Le Tampon, après le village de La Plaine des cafres, prendre la direction Bourg-Murat. Le Gîte de La Plaine se trouve avant le village sur la droite au bout des 3 voies au n°150 Alfred Lacroix.</t>
  </si>
  <si>
    <t>Gîtes du Verger (Les) - Tuaillon Olivier</t>
  </si>
  <si>
    <t>142, Hameau du Grand Pourpier, 97415 Saint-Paul</t>
  </si>
  <si>
    <t xml:space="preserve">Tuaillon Olivier : olivier.tuaillon@wanadoo.fr / 0262451105 / 0692698380 / 0262451105 , Tuaillon Olivier : olivier.tuaillon@wanadoo.fr / 0262451105 / 0692698380 / 0262451105 / Propriétaire ,  olivier.tuaillon@wanadoo.fr / 0262451105 / 0692698380 </t>
  </si>
  <si>
    <t>-21.206544, 55.568407</t>
  </si>
  <si>
    <t>CSC160HTG</t>
  </si>
  <si>
    <t>recSjqfh5cXc6yUFr</t>
  </si>
  <si>
    <t>Gîte de la Rivière des Remparts</t>
  </si>
  <si>
    <t>Rivière des Remparts (Gîte de la)</t>
  </si>
  <si>
    <t>Gîte de la Rivière des Remparts
Rivière des Remparts
97480 Saint-Joseph</t>
  </si>
  <si>
    <t>Village,Montagne,Milieu rural,inaccessible aux véhicules</t>
  </si>
  <si>
    <t>jardin,sanitaires communs</t>
  </si>
  <si>
    <t>sentier de randonnée,sentier de grande randonnée,pêche,point de vue panoramique,forêt</t>
  </si>
  <si>
    <t>moreljacqueline974@hotmail.fr</t>
  </si>
  <si>
    <t>Au cœur des traditions...Situé à l’arrière pays du Grand Sud, le «hameau» de Roche Plate-Rivière des Remparts, baigne dans un calme profond, au creux de l’alcove des remparts.</t>
  </si>
  <si>
    <t>Dans le petit village "lontan", accessible uniquement à pied (depuis le nez de boeuf au volcan), à proximité de beaux bassins et d'un site de pêche de truites sauvages, le gîte de Roche-Plate-Rivière des Remparts (à ne pas confondre avec Roche Plate-Mafate) dispose d’un bungalow de 16 personnes (2 chambres de 8 personnes) et un bungalow de 15 dont 3 chambres de 2 personnes, une de 3 personnes, une mezzanine de 6 places.
Jacqueline propose une cuisine authentique au feu de bois : Choca bleu, boucané maison, achard de papaye, jus de fruit maison, gâteaux, fruits de saison et punch maison. Crêpes au petit déjeuner. Tarif indiqué basse saison.
Ce gîte adhère au réseau de l'Association des Gestionnaires des Gîtes de Montagne (AGGM). Animaux non admis.</t>
  </si>
  <si>
    <t>Accès : à pied depuis le Nez-de-Boeuf sur la route forestière du volcan.</t>
  </si>
  <si>
    <t>Gîte de la Rivière des Remparts  - Morel Marie Jacqueline</t>
  </si>
  <si>
    <t>22 route de Jean Petit, 97480 Saint-Joseph</t>
  </si>
  <si>
    <t xml:space="preserve">Morel Marie Jacqueline : 0262591394 / 0692683532 / Gestionnaire ,  0262591394 / 0692683532 </t>
  </si>
  <si>
    <t>-21.245817, 55.616092</t>
  </si>
  <si>
    <t>https://book.reunion.fr/fr/hebergements/a310775/product/reserver | Réunion.fr</t>
  </si>
  <si>
    <t>45.00</t>
  </si>
  <si>
    <t>/pers. /nuit en demi-pension</t>
  </si>
  <si>
    <t>CSC172HTJ</t>
  </si>
  <si>
    <t>Mode de paiment,Fixe,Mobile,E-Mail,Descriptif,Fournisseur - SIRET,Fournisseur - adresse</t>
  </si>
  <si>
    <t>Sentier de la Rivière des Remparts Roche Plate, Réunion</t>
  </si>
  <si>
    <t>Gîte de Manapany les Bains</t>
  </si>
  <si>
    <t>LEMASSON Lucette &amp; HASSID Jean Luc</t>
  </si>
  <si>
    <t>Gîte de Manapany les Bains
127, boulevard de l’Océan
97480 Saint-Joseph</t>
  </si>
  <si>
    <t>http://www.gite-lareunion.com</t>
  </si>
  <si>
    <t>climatisation,fer et planche à repasser,four,jardin,lave linge privatif,parking,ventilateur</t>
  </si>
  <si>
    <t>plage,sentier de randonnée,sentier de grande randonnée,tennis,pêche,centre commercial,parking public,site - lieu culturel,point de vue panoramique</t>
  </si>
  <si>
    <t>contact@gite-lareunion.com</t>
  </si>
  <si>
    <t>4 appartements meublés, pour 1 à 9 personnes. A deux pas du gîte, la mer (à 100 m) et ses activités nautiques, de nombreux sentiers de randonnées, des dégustation de produits régionaux, ainsi que de nombreuses autres activités. 
Des équipements et fournitures sont à disposition: cuisinière, réfrigérateur, salon de jardin etc..</t>
  </si>
  <si>
    <t>Prendre direction Saint-Pierre puis Saint-Joseph. Avant l'entrée de Saint-Joseph, prendre direction Manapany les Bains, la structure se trouve 100 m avant le bassin de Manapany les Bains.</t>
  </si>
  <si>
    <t>Gîte de Manapany les Bains - Lemasson</t>
  </si>
  <si>
    <t>127, Boulevard de l’Océan, 97412 Saint-Joseph</t>
  </si>
  <si>
    <t xml:space="preserve">Lemasson Lucette : contact@gite-lareunion.com / 0262565166 / 0692356985 / Propriétaire ,  contact@gite-lareunion.com / 0262565166 / 0692356985 </t>
  </si>
  <si>
    <t>-21.37397397, 55.58990756</t>
  </si>
  <si>
    <t>recDzw3shtVyBGBsv</t>
  </si>
  <si>
    <t>Gîte des Cormorans</t>
  </si>
  <si>
    <t>Gîte des Cormorans
12B, allée des Cormorans - Manapany les Bains
97480 Saint-Joseph</t>
  </si>
  <si>
    <t>http://www.gite-des-cormorans-manapany.com</t>
  </si>
  <si>
    <t>barbecue,climatisation,fer et planche à repasser,jardin,lave linge collectif,piscine,TV</t>
  </si>
  <si>
    <t>plage,sentier de randonnée,tennis,pêche</t>
  </si>
  <si>
    <t>duflotfamily@orange.fr</t>
  </si>
  <si>
    <t>Situé à Manapany les Bains dans un endroit calme et reposant, le gîte des Cormorans dispose de 3 logements dont 2 studios « Récif et Corail » pouvant accueillir 2 personnes (possibilité de lit 90 cm pour enfant ou lit BB gratuit) et 1 appartement 'Le Lagon" pour 4 personnes. Terrasse couverte de 13 m² et kitchenette équipée pour les studios; petit balcon et cuisine équipée pour l’appartement. Chambres climatisées, terrasse et balcon avec vue sur mer, piscine et jardin. Le tarif pour 4 personnes pour l'appartement est de 75€ par nuit.</t>
  </si>
  <si>
    <t>De Saint-Pierre, prendre la direction de Saint-Joseph, Manapany les Bains, au premier carrefour, prendre la première route à droite, tourner tout de suite à droite puis à gauche au bout de la rue, suivre les panneaux "Gite des Cormorans".</t>
  </si>
  <si>
    <t>Gîte des Cormorans - Duflot Alain</t>
  </si>
  <si>
    <t>12b, allée des Cormorans - Manapany les Bains, 97412 Saint-Joseph</t>
  </si>
  <si>
    <t xml:space="preserve">Duflot Alain : info@gite-des-cormorans-manapany.com / 0262305113 / 0692448215 / Gérant(e) , Duflot Alain : duflotfamily@orange.fr / 0692448215 </t>
  </si>
  <si>
    <t>-21.372903, 55.592461</t>
  </si>
  <si>
    <t>CSC42HTF</t>
  </si>
  <si>
    <t>12b Allée des Cormorans, Manapany-Les-Bains, Réunion</t>
  </si>
  <si>
    <t>recxbFAb21PaP3LUg</t>
  </si>
  <si>
    <t>Gite du Malmany</t>
  </si>
  <si>
    <t>Domaine Malmany (SCEA)</t>
  </si>
  <si>
    <t>Gite du Malmany
50, chemin des Géraniums - Grand Coude
Grand Coude
97480 Saint-Joseph</t>
  </si>
  <si>
    <t>malmany@hotmail.fr</t>
  </si>
  <si>
    <t>En famille ou entre amis, passer un moment unique dans un écrin de nature où la convivialité est le seul mot d’ordre. Un accueil personnalisé et une philosophie respectueuse des valeurs familiales, le Malmany se compose de 3 bungalows tout en bois et d’un espace convivial au coin du feu.</t>
  </si>
  <si>
    <t>Dans le village de Grand Coude, passer devant la salle de l’usine à Thé, jusque dans le haut du village. Prendre à droite la route du Chemin Safer. Suivre le fléchage jusqu’à la structure. Sur le chemin géranium à la première intersection prendre tout droit. A la seconde, prendre à gauche jusqu'au gîte.</t>
  </si>
  <si>
    <t>Gite du Malmany - Morel Jean Jules</t>
  </si>
  <si>
    <t>6, chemin Boulanger, 97412 Saint-Joseph</t>
  </si>
  <si>
    <t xml:space="preserve">Morel Jean-Jules : 0262314192 / 0692204849 / 0262258219 / Gérant(e) ,  0262314192 / 0692204849 / 0262258219 </t>
  </si>
  <si>
    <t>-21.28190791, 55.63721371</t>
  </si>
  <si>
    <t>CSC110HTB</t>
  </si>
  <si>
    <t>Chemin des Geraniums, Réunion</t>
  </si>
  <si>
    <t>recOwhIrwisfKgBXu</t>
  </si>
  <si>
    <t>Gîte Emi'Liane</t>
  </si>
  <si>
    <t>Gîte Emi'Liane
44 A, rue du Père Favron
Plaine des Cafres
97418 La Plaine des Cafres</t>
  </si>
  <si>
    <t>barbecue,chauffage,fer et planche à repasser,four,micro-ondes,TV</t>
  </si>
  <si>
    <t>Chèque,Espèces,Virement</t>
  </si>
  <si>
    <t>français,anglais,créole</t>
  </si>
  <si>
    <t>Situé à La Plaine des Cafres, Gîte Emi'Liane est un petit havre de paix en plein cœur du Piton Ravine Blanche.</t>
  </si>
  <si>
    <t>Le gîte est équipé pour 4 personnes. Il comprend 2 chambres doubles, un séjour, une cuisine et une grande terrasse avec feu de bois pour cuisiner des caris ou des grillades. Vue de l'Etang-Salé à La Petite-Ile. Accès aux personnes à mobilité réduite.
Visite de l'exploitation agricole (vache, poule, canard, lapin, jardin raisonné). Possibilité d'acheter des produits de la ferme selon les disponibilités.
Caution obligatoire et forfait ménage possible.</t>
  </si>
  <si>
    <t xml:space="preserve">De Saint-Pierre, prendre direction Le Tampon - La Plaine des Cafres. Suivre la RN30. Passer l'église du 23 ème km. Arrivée au niveau du panneau le restaurant le Vieux Bardeau, prendre tout de suite à droite. Longer la rue du Père Favron, passer devant le Cabaret Pat'jaune, faire 800 m le gite se situe à droite (chemin en béton qui descend au milieu du piton de la Ravine Blanche).
En venant de Saint-Benoit, prendre direction La Plaine des Cafres. Longer Bourg-Murat. Passer devant l'hôtel Les Géraniums, et la gendarmerie. Arrivée au niveau du panneau restaurant le Vieux Bardeau, tourner à gauche dans la rue du Père Favron. Longer la rue, passer devant le Cabaret Pat'jaune, faire 800 m le gite se situe à droite (chemin en béton qui descend au milieu du Piton de la Ravine Blanche). </t>
  </si>
  <si>
    <t>Gîte Emi'Liane - Reboule Virginie</t>
  </si>
  <si>
    <t>28, rue de la Pépinière - 23ème km, 97422 Le Tampon</t>
  </si>
  <si>
    <t xml:space="preserve">Reboule Virginie : jolymy974@hotmail.fr / 0692636314 / Propriétaire , Reboule Virginie : jolymy974@hotmail.fr / 0692581245 / Propriétaire </t>
  </si>
  <si>
    <t>-21.231111, 55.560556</t>
  </si>
  <si>
    <t>https://book.reunion.fr/fr/hebergements/a1301618/gite-emiliane/reserver | Réunion.fr</t>
  </si>
  <si>
    <t>Mode de paiment,Descriptif,Descriptif du plan d'accès,Jours et horaires d'ouverture</t>
  </si>
  <si>
    <t>recMBcA6RuglrBoc5</t>
  </si>
  <si>
    <t>Gîte Emile</t>
  </si>
  <si>
    <t>Gîte Emile
31, rue Bras Long - Dimitile
97414 Entre-Deux</t>
  </si>
  <si>
    <t>francoispayet974@orange.fr</t>
  </si>
  <si>
    <t>Situé au Dimitile, le Gîte Emile a une une vue imprenable sur le littoral sud et la Plaine des Cafres.  
Tarif demi-pension : adulte : 32 €, enfant : 20 €
Dîner : adulte : 16 €, enfant : 8 €.</t>
  </si>
  <si>
    <t>Gîte Emile - SCA Payet Frères</t>
  </si>
  <si>
    <t>31, rue Bras-Long - Dimitile, 97403 Entre-Deux</t>
  </si>
  <si>
    <t xml:space="preserve">Payet François : françoispayet974@orange.fr / 0262574303 / 0692672454 , Payet François : francoispayet974@orange.fr / 0262574303 / 0692672454 </t>
  </si>
  <si>
    <t>-21.244507, 55.470131</t>
  </si>
  <si>
    <t>CSC123HTF</t>
  </si>
  <si>
    <t>Gîte les Toulites</t>
  </si>
  <si>
    <t>Gîte les Toulites
12, impasse des Toulites - Terrain Fleury
97430 Le Tampon</t>
  </si>
  <si>
    <t>http://www.gite-reunion.com</t>
  </si>
  <si>
    <t>les-toulites@gite-reunion.com</t>
  </si>
  <si>
    <t>Idéalement situé entre mer et montagne et à proximité du centre ville du Tampon, le Gîte les Toulites est une authentique case créole entièrement restaurée avec tout le confort pour 4 personnes. Il dispose de 2 chambres séparées, d'un séjour, d'une cuisine, d'une salle d'eau et d'un agréable jardin arboré.</t>
  </si>
  <si>
    <t>Gîte les Toulites - Marsoudet Christophe</t>
  </si>
  <si>
    <t>12, impasse des Toulites - Terrain Fleury, 97422 Le Tampon</t>
  </si>
  <si>
    <t xml:space="preserve">Marsoudet Christophe : les-toulites@gite-reunion.com / 0262350973 / 0692331989 , Marsoudet Christophe : les-toulites@gite-reunion.com / 0262350973 / 0692331989 ,  0262350973 / 0692331989 </t>
  </si>
  <si>
    <t>-21.292707, 55.524146</t>
  </si>
  <si>
    <t>4 bis Rue des Palmiers, 97430, Réunion</t>
  </si>
  <si>
    <t>Gîte Mélodie</t>
  </si>
  <si>
    <t>Mélodie (Gîte)</t>
  </si>
  <si>
    <t>Gîte Mélodie
16, allée des Mouettes - Bérive
97430 Le Tampon</t>
  </si>
  <si>
    <t>barbecue,fer et planche à repasser,four,jardin,lave linge privatif,micro-ondes,parking,TV,ventilateur</t>
  </si>
  <si>
    <t>Chèque,Virement,Mandat postal,PassKdo,PassLoisirs,Bon CE,Espèces</t>
  </si>
  <si>
    <t>gite.melodie@gmail.com</t>
  </si>
  <si>
    <t>Situé au Tampon, le Gîte Mélodie labellisé Gîtes de France propose une petite maison à côté de la maison du propriétaire dans un cadre agréable et calme. 
A proximité des loisirs, des randonnées. Commerces et services à 5 min.</t>
  </si>
  <si>
    <t>En ville du Tampon au niveau du rond-point au Chandelle, tourner à droite direction Montvert et continuer sur environ 5 km jusqu’au village de Bérive. Continuer sur la route principale jusqu’au terrain de football et prendre à gauche allée des Mouettes et continuer jusqu'au panneau Gîtes de France..</t>
  </si>
  <si>
    <t>Gîte Mélodie - Damour Estelle</t>
  </si>
  <si>
    <t>16, allée des Mouettes, 97422 Le Tampon</t>
  </si>
  <si>
    <t xml:space="preserve">Damour Estelle : gite.melodie@gmail.com / 0692667137 / 0692800518 / Propriétaire ,  melodie.gite@free.fr / 0692667137 / 0692800518 </t>
  </si>
  <si>
    <t>-21.30788963, 55.53943956</t>
  </si>
  <si>
    <t>16 Allée des Mouettes, 97430, Réunion</t>
  </si>
  <si>
    <t>Gîte Tamponna</t>
  </si>
  <si>
    <t>Gîte Tamponna
60, chemin Epidor Hoarau - Trois Mares
97430 Le Tampon</t>
  </si>
  <si>
    <t>fer et planche à repasser,jardin,lave linge privatif,linge de maison,wifi</t>
  </si>
  <si>
    <t>etheve.jeanmax@orange.fr</t>
  </si>
  <si>
    <t>Situé au Tampon, le Gîte Tamponna dispose de 2 chambres doubles (lit de 140X190), d'une chambre (2 lits de 90X190  berceau), d'un séjour avec cuisine équipée d'une gazinière avec four, d'un réfrigérateur avec congélateur, batterie de cuisine.... table et chaises. Case créole avec  jardin à 20 min des plages et à 1 km des commerces.</t>
  </si>
  <si>
    <t>Arrivé au rond point des chandelles (centre ville du Tampon) suivre la rue Hubert Delisle (ligne des 600) vers Bras de Pontho. Après le quartier de Trois Mares (gymnase sur la gauche) prendre le chemin Epidor Hoarau sur la droite (300 m après gymnase et terrain de foot).</t>
  </si>
  <si>
    <t>Gîte Tamponna - Ethève Jean-Max</t>
  </si>
  <si>
    <t>62, chemin Epidor Hoarau - Trois Mares, 97430 Le Tampon</t>
  </si>
  <si>
    <t xml:space="preserve">Ethève Jean-Max : etheve.jeanmax@orange.fr / 0262273822 / 0692665924 / Gérant(e) , Ethève Jean-Max : etheve.jeanmax@orange.fr / 0262273822 / 0692665924 / Gérant(e) </t>
  </si>
  <si>
    <t>-21.2511182, 55.504312</t>
  </si>
  <si>
    <t>60 Chemin Epidor Hoarau, Réunion</t>
  </si>
  <si>
    <t>recUJhNJJKosGUk1J</t>
  </si>
  <si>
    <t>Gîte Théophane &amp; Yoleine</t>
  </si>
  <si>
    <t>Chrislène</t>
  </si>
  <si>
    <t>Gîte Théophane &amp; Yoleine
80, route Forestière Basse Vallée
97442 Saint-Philippe</t>
  </si>
  <si>
    <t>Volcan</t>
  </si>
  <si>
    <t>salle de bain commune,sanitaires communs</t>
  </si>
  <si>
    <t>forêt</t>
  </si>
  <si>
    <t>jimpaul.begue@gmail.com</t>
  </si>
  <si>
    <t>Le Gîte Théophane &amp; Yoleine dispose de 24 places en dortoir et se situe à Basse Vallée Saint Phillipe.</t>
  </si>
  <si>
    <t>Le Gîte Théophane &amp; Yoleine se compose d'un dortoir de 24 places avec table d’hôtes. La restauration est une cuisine créole traditionnelle avec des spécialités du Sud Sauvage, salade de palmiste et bien d’autres. Situé en plein cœur de la forêt de Basse Vallée, le gite se situe dans une forêt aux espèces endémiques de Saint Phillipe. Endroit calme et conviviale.</t>
  </si>
  <si>
    <t>En venant de l'ouest, 6 km avant le centre ville, juste après l'église de Basse Vallée à gauche, prendre direction route Forestière, continuer sur 8 km. Le gîte se trouve sur la droite après 30 min de marche.</t>
  </si>
  <si>
    <t>Gîte Théophane &amp; Yoleine - Bègue Jim Paul</t>
  </si>
  <si>
    <t>80, route Forestière de Basse Vallée, 97417 Saint-Philippe</t>
  </si>
  <si>
    <t xml:space="preserve">Bègue Paul Jim : jimpaul.begue@gmail.com / 0692872543 / Propriétaire , Bègue Jim Paul : jimpaul.begue@gmail.com / 0692872543 / Propriétaire ,  0262371314 / 0692188684 </t>
  </si>
  <si>
    <t>-21.348255, 55.707653</t>
  </si>
  <si>
    <t>https://book.reunion.fr/fr/hebergements/a1199840/gite-theophane-et-yoleine/reserver? | Réunion.fr</t>
  </si>
  <si>
    <t>CSC9HTI</t>
  </si>
  <si>
    <t>80 Route Forestière 36 de Basse Vallée, 97442, Réunion</t>
  </si>
  <si>
    <t>Gîte Ti Bon'Er</t>
  </si>
  <si>
    <t>Gîte Ti Bon'Er
130, chemin Zazo Dassy
97430 Le Tampon</t>
  </si>
  <si>
    <t>http://www.gitetiboner.fr</t>
  </si>
  <si>
    <t>jardin,micro-ondes,parking,TV</t>
  </si>
  <si>
    <t>sentier de randonnée,sentier de grande randonnée,commerce alimentaire,centre commercial,parking public,site - lieu culturel</t>
  </si>
  <si>
    <t>gitetiboner@gmail.com</t>
  </si>
  <si>
    <t>Au Tampon, Gite le Ti Bon'er propose 2 appartements entièrement équipés et meublés, avec vue sur mer.</t>
  </si>
  <si>
    <t>Le paille en queue équipé pour 4 personnes et le margouillat 2 personnes.
Cuisine toute équipée, lave linge, TV, canapé-lit, terrasse,...</t>
  </si>
  <si>
    <t>130, chemin Zazo Dassy, 97430 Le Tampon</t>
  </si>
  <si>
    <t xml:space="preserve"> gitetiboner@gmail.com / 0692249815 ,  gitetiboner@gmail.com / 0692249815 </t>
  </si>
  <si>
    <t>-21.257674, 55.492927</t>
  </si>
  <si>
    <t>130 Chemin Zazo, Réunion</t>
  </si>
  <si>
    <t>recfu2qVCsgCe5hXW</t>
  </si>
  <si>
    <t>Gîtes Bassin Julien</t>
  </si>
  <si>
    <t>Gîtes Bassin Julien
21 A, chemin Bassin Julien - Les Lianes
97480 Saint-Joseph</t>
  </si>
  <si>
    <t>Les Lianes</t>
  </si>
  <si>
    <t>lave linge privatif,micro-ondes,TV</t>
  </si>
  <si>
    <t>Point chaud,sentiers de randonnée</t>
  </si>
  <si>
    <t>hoareaugr974@gmail.com</t>
  </si>
  <si>
    <t>Installés dans le quartier des Lianes à 15 min du centre de Saint-Joseph, Gîtes Bassin Julien se situent au beau milieu d'un espace cannier et de champs de vétiver.</t>
  </si>
  <si>
    <t>Le gîte comprend 2 chambres, dont une chambre double et une chambre quintuple, une cuisine équipée et un coin salon. 
Dans un cadre purement rural, les hôtes seront bercés durant les vacances par l'hospitalité réunionnaise.
Séjourner ici c'est se laisser séduire par un cadre mêlant vue plongeante sur mer et un lieu où il n'y a pas de bruit, juste des champs à proximité.</t>
  </si>
  <si>
    <t>En venant de Saint-Pierre, après Petite-Ile, prendre direction Carosse/Les Lianes, continuer sur la Départementale 32 sur 5,5 km et tourner à gauche avent darriver sur le quartier de Bésaves dans la rue Bassin Julien, continuer sur 600 m environ et tourner à gauche, continuer sur 150 m au n°21 A.</t>
  </si>
  <si>
    <t>Gîtes Bassin Julien - Hoareau Gérard</t>
  </si>
  <si>
    <t>21, chemin Bory de Saint-Vincent, Carosse 97480 Saint-Joseph</t>
  </si>
  <si>
    <t xml:space="preserve">Hoareau Gérard : hoareaugr974@gmail.com / 0262239737 / 0692767643 / Propriétaire , Hoareau Gérard : hoareaugr974@gmail.com / 0262239737 / 0692767643 / Propriétaire </t>
  </si>
  <si>
    <t>-21.35027, 55.606715</t>
  </si>
  <si>
    <t>CSC69HTO</t>
  </si>
  <si>
    <t>Lieux-dits,Prestations à Proximité,Mode de paiment,Descriptif,Jours et horaires d'ouverture,Fournisseur - Nom,Fournisseur - adresse,Fournisseur - contacts,Tarif libellé</t>
  </si>
  <si>
    <t>Rue Bassin Julien, Réunion</t>
  </si>
  <si>
    <t>recFYtX4YX3xFNdjQ</t>
  </si>
  <si>
    <t>Gîtes des Canelles</t>
  </si>
  <si>
    <t>Gîtes des Canelles
14/16 impasse des Canelles
Bras-Long
97414 Entre-Deux</t>
  </si>
  <si>
    <t>chauffage,fer et planche à repasser,four,micro-ondes,parking,TV satellite,ventilateur,wifi</t>
  </si>
  <si>
    <t>arrêt bus,sentier de randonnée</t>
  </si>
  <si>
    <t>Dans le village de l'Entre-Deux, Gîtes des Canelles proposent 2 gîtes indépendants de 50 m² chacun.</t>
  </si>
  <si>
    <t>Ils se composent de 2 chambres , une avec un lit de 160 et l'autre de 2 lits 90,  lit et matériel de puériculture à disposition (draps, couverture, matelas à langer, baignoire, chaise haute), un salon-salle à manger et cuisine (réfrigérateur, congélateur, four, micro-ondes, machine à espresso, ..., lave linge, chauffage, ...),  une salle d'eau et WC, et une terrasse couverte et aménagée (table, chaises, plancha, chaises longues, balançoire) de 25 m², un jardin clôturé de 200 m² environ, place de parking, animaux acceptés.
Linge de maison et de toilette fournis.</t>
  </si>
  <si>
    <t>Entre-Deux, route de Bras-Long, chemin Jamerosa, impasse des Canelles.</t>
  </si>
  <si>
    <t>Gites des Canelles - Bader Kerbrat Virginie</t>
  </si>
  <si>
    <t>16 impasse des Canelles, 97414 Entre-Deux</t>
  </si>
  <si>
    <t>Bader Kerbrat Virginie : 0692697431 / 0692698538 / Gérant(e)</t>
  </si>
  <si>
    <t>-21.245799, 55.470196</t>
  </si>
  <si>
    <t>Mode de paiment,Descriptif,Fournisseur - adresse</t>
  </si>
  <si>
    <t>14, 16 Impasse des Canelles, Réunion</t>
  </si>
  <si>
    <t>Gourmandise Créole</t>
  </si>
  <si>
    <t>Gourmandise Créole OI</t>
  </si>
  <si>
    <t>Gourmandise Créole
9, impasse des Grévilléas
97414 Entre-Deux</t>
  </si>
  <si>
    <t>Le snack bar, Gourmandise Créole, spécialisé dans le chocas, propose aussi des paninis, kébabs, gâteaux pays et repas à emporter.
Ouvert de 9h à 16h30.</t>
  </si>
  <si>
    <t>Sur la commune de l'Entre-Deux, le snack se situe derrière l'Office de Tourisme.</t>
  </si>
  <si>
    <t>9, impasse des Grévilléas, 97403 Entre-Deux</t>
  </si>
  <si>
    <t xml:space="preserve">Berrichon Marie Sylvette : 0692339004 / Gérant(e) ,  0692339004 </t>
  </si>
  <si>
    <t>-21.25043126, 55.46936737</t>
  </si>
  <si>
    <t>Impasse des Grevilleas, Réunion</t>
  </si>
  <si>
    <t>Gousse de Vanille</t>
  </si>
  <si>
    <t>Gousse de Vanille
6B, allée des cormorans
97480 Saint-Joseph</t>
  </si>
  <si>
    <t>chauffage,climatisation,jardin,lave linge privatif,parking,piscine,TV,ventilateur</t>
  </si>
  <si>
    <t>Carte Bancaire,Eurocard,Chèque,Chèques vacances,Virement,Mandat postal,Espèces</t>
  </si>
  <si>
    <t>Appartement spacieux pour 2/6 personnes situé au dessous de la Villa Combava. 2 chambres, grand séjour. Terrasse et parking privé. Entièrement climatisé.
Cuisine américaine entièrement équipée.
Tarif réduit si linge de maison non founi. Caution 400€.</t>
  </si>
  <si>
    <t>8, allée des cormorans, 97480 Saint-Joseph</t>
  </si>
  <si>
    <t>-21.37348895, 55.59239072</t>
  </si>
  <si>
    <t>Grand Bleu (Le)</t>
  </si>
  <si>
    <t>Grand Bleu (Le)
2, Route Nationale 2,
97480, Saint-Joseph, Réunion</t>
  </si>
  <si>
    <t>2, Route Nationale 2, 97480 Saint-Joseph</t>
  </si>
  <si>
    <t>-20.9844844,55.65175199999999</t>
  </si>
  <si>
    <t>Route nationale 2, Réunion</t>
  </si>
  <si>
    <t>recgIBIb9zwi9yZoN</t>
  </si>
  <si>
    <t>Grands Monts (Les)</t>
  </si>
  <si>
    <t>Grands Monts (Les)
2 A, impasse Sabine - Vincendo
97480 Saint-Joseph</t>
  </si>
  <si>
    <t>piscine,TV satellite</t>
  </si>
  <si>
    <t>morelmariereine@gmail.com</t>
  </si>
  <si>
    <t>Situé à Saint-Joseph, Les Grands Monts disposent de 3 chambres d'hôtes avec lit double dont une avec coin cuisine.</t>
  </si>
  <si>
    <t>Cette construction fut une ancienne écurie, puis une rhumerie avant d'être réhabilitée.
Les Grands Monts proposent également une table d'hôte et disposent d'un jacuzzi.</t>
  </si>
  <si>
    <t>A partir de Saint-Joseph, prendre la direction de l'Est. A Vincendo, passer l'église juste après le croisement indiquant la direction la Crête traverser le pont. Prendre tout de suite à gauche le chemin Orré Fanfan, Les Grands Monts se trouvent à 100 m à gauche.</t>
  </si>
  <si>
    <t>Grands Monts (Les) - Morel Marie-Reine</t>
  </si>
  <si>
    <t>2 A, impasse Sabine - Vincendo, 97480 Saint-Joseph</t>
  </si>
  <si>
    <t xml:space="preserve">Ndiaye Sabine : lesgrandsmonts@gmail.com / 0262236016 / 0693205205 / Propriétaire ,  lesgrandsmonts@gmail.com / 0262236016 / 0693205205 / Propriétaire </t>
  </si>
  <si>
    <t>-21.368993, 55.671424</t>
  </si>
  <si>
    <t>1600.00</t>
  </si>
  <si>
    <t>CSC120HTC</t>
  </si>
  <si>
    <t>Nom catégorie,Nom sous catégorie,Prestations sur place,Mode de paiment,Mobile,E-Mail,Capacité,Descriptif,Fournisseur - Nom,Fournisseur - adresse,Fournisseur - contacts,Tarif libellé</t>
  </si>
  <si>
    <t>2 Impasse Sabine, Réunion</t>
  </si>
  <si>
    <t>recTNHzJV8A77bkdk</t>
  </si>
  <si>
    <t>Gréguois (Le)</t>
  </si>
  <si>
    <t>Gréguois (Le)
193 B, rue Jules Hoareau - Plaine des Grègues
Plaine des Grègues
97480 Saint-Joseph</t>
  </si>
  <si>
    <t>stade de foot,sentiers de randonnées</t>
  </si>
  <si>
    <t>legreguois@gmail.com</t>
  </si>
  <si>
    <t>Les petits délices créoles...</t>
  </si>
  <si>
    <t>Situé au cœur du village créole de la Plaine des Grègues, le restaurant Le Gréguois propose une cuisine créole traditionnelle. Parmi les spécialités : le poulet à la patate douce ou encore le porc au manioc. La cuisine est réalisée avec des produits frais et de saisons. Possibilité de plats à emporter et de repas festifs à thème. Ouvert du mardi au samedi de 10h à 14h et de 17h30 à 21h. Fermé le lundi et le dimanche ouvert uniquement sur réservation.</t>
  </si>
  <si>
    <t>Gréguois (Le) - Bègue Jacky</t>
  </si>
  <si>
    <t>193 B, rue Jules Hoareau - Plaine des Grègues, 97412 Saint-Joseph</t>
  </si>
  <si>
    <t xml:space="preserve">Begue Jacky : 0692684454 ,  0692684454 </t>
  </si>
  <si>
    <t>-21.330064, 55.605963</t>
  </si>
  <si>
    <t>Prestations à Proximité,Mode de paiment,E-Mail,Fournisseur - SIRET,Tarif libellé</t>
  </si>
  <si>
    <t>193 Rue Jules Hoareau, Réunion</t>
  </si>
  <si>
    <t>Grenouillère (La)</t>
  </si>
  <si>
    <t>La Grenouillère</t>
  </si>
  <si>
    <t>Grenouillère (La)
1, allée des Rameaux
Vincendo
97480 Saint-Joseph</t>
  </si>
  <si>
    <t>barbecue,fer et planche à repasser,parking,piscine,sanitaires privés,TV,ventilateur,wifi</t>
  </si>
  <si>
    <t>claudienicolas17@gmail.com</t>
  </si>
  <si>
    <t>4 Chambres d'hôtes dans le Sud Sauvage à Saint-Joseph équipées pour 10 personnes, piscine, jardin zen et parking privé.</t>
  </si>
  <si>
    <t xml:space="preserve">Les chambres sont spacieuses, 2 d'entre elles sont équipées de sanitaires privés. La chambre parentale dispose d'une petite terrasse et d'un dressing.
Un salon, une varangue fermée donnant sur la terrasse de la piscine et une cuisine sont à la disposition des hôtes. Lit bébé et linge de maison fournis. </t>
  </si>
  <si>
    <t>A Saint-Joseph, prendre direction Saint-Philippe, traverser Langevin, Vincendo, à la sortie une pharmacie à droite, tourner à l'angle, panneau Stade, les chambres se trouvent au n°1.</t>
  </si>
  <si>
    <t>Grenouillère (La) - Nicolas Claudie</t>
  </si>
  <si>
    <t xml:space="preserve">Nicolas Claudie : claudienicolas17@gmail.com / 0262882571 / 0692467564 / Propriétaire , Nicolas Claudie : claudienicolas17@gmail.com / 0262882571 / 0692467564 / Propriétaire </t>
  </si>
  <si>
    <t>-21.372438, 55.673566</t>
  </si>
  <si>
    <t>reczXMtCwsT2mUUG6</t>
  </si>
  <si>
    <t>Grévilléas (Les)</t>
  </si>
  <si>
    <t>Grevilleas (les)</t>
  </si>
  <si>
    <t>Grévilléas (Les)
7 ter, chemin Antoine Naze - RN 3 - PK 20
Plaine des Cafres
97418 La Plaine des Cafres</t>
  </si>
  <si>
    <t>chauffage,espace de restauration,jardin,parking,piscine,salle de bain privée,sanitaires privés,wifi</t>
  </si>
  <si>
    <t>Situé à la Plaine des Cafres, les Grévilleas propose 5 chambres tout confort.</t>
  </si>
  <si>
    <t>La maîtresse de maison accueille ses hôtes dans un cadre verdoyant et propose des spécialités créoles cuisinées à l'ancienne, au feu de bois, autour d'une table conviviale et familiale. La demeure s'étend sur un hectare arboré d'arbres fruitiers, avec une ferme spécialement aménagée pour le bonheur des enfants. Wifi et piscine gratuit.
Table d'hôte : demi-tarif pour les enfants de - 10 ans.</t>
  </si>
  <si>
    <t xml:space="preserve">Depuis le Nord en passant par les Plaines : à partir de la Maison du Volcan, descendre en direction du Tampon sur 7 km. Les Grévilleas se trouvent à droite, à 1 km de la station Vito. 
Depuis le Sud, après le panneau du 19ème km et le rond-point de Piton Hyacinthe, en restant sur la nationale, les Grévilleas se trouvent à 1 km au dessus du rond-point, sur la gauche. </t>
  </si>
  <si>
    <t>Lundi :  -,Mardi :  -,Mercredi :  -,Vendredi :  -,Samedi :  -,Dimanche :  -</t>
  </si>
  <si>
    <t>https://book.reunion.fr/fr/hebergements/a310835/product/reserver | Réunion.fr</t>
  </si>
  <si>
    <t>62.00</t>
  </si>
  <si>
    <t>CSC168HTO</t>
  </si>
  <si>
    <t>Nom commercial,Adresse,Mode de paiment,Fax,Descriptif,Descriptif du plan d'accès,Jours et horaires d'ouverture,Tarif libellé</t>
  </si>
  <si>
    <t>7 ter Chemin Antoine Naze, La Plaine des Cafres, Réunion</t>
  </si>
  <si>
    <t>rec7nn72zemiuY6kV</t>
  </si>
  <si>
    <t>Grill de Virginie (Le)</t>
  </si>
  <si>
    <t>Grill de Virginie (Le)
Route Nationale 3 - PK 27
Plaine des Cafres
97418 La Plaine des Cafres</t>
  </si>
  <si>
    <t>sentier de randonnée,équitation,parking public,site - lieu culturel,point de vue panoramique</t>
  </si>
  <si>
    <t>Le Grill de Virginie propose des spécialités créoles ainsi qu'une cuisine rapide dans le village de la Plaine des Cafres.</t>
  </si>
  <si>
    <t>Route Nationale 3 - PK 27, 97422 Le Tampon</t>
  </si>
  <si>
    <t xml:space="preserve"> 0262592957 ,  0262592957 </t>
  </si>
  <si>
    <t>-21.1968135,55.578922</t>
  </si>
  <si>
    <t>N3, Réunion</t>
  </si>
  <si>
    <t>recPSE7kaNd2ah5OF</t>
  </si>
  <si>
    <t>Grillanoo (Le)</t>
  </si>
  <si>
    <t>La Diligence</t>
  </si>
  <si>
    <t xml:space="preserve">Grillanoo (Le)
8, rue Paul Depaindray - PK28
Bourg Murat
97418 La Plaine des Cafres </t>
  </si>
  <si>
    <t>http://www.grillanoo.fr</t>
  </si>
  <si>
    <t>chauffage,climatisation,parking autocar,salle de réunion - séminaire,wifi</t>
  </si>
  <si>
    <t>Carte Bancaire,Chèques vacances,Tickets restaurant,Espèces</t>
  </si>
  <si>
    <t>le.grillanoo@gmail.com</t>
  </si>
  <si>
    <t>Dans un cadre reposant et verdoyant à 45 min du volcan Le Piton de la Fournaise, le restaurant Le Grillanoo, à la Plaine des Cafres, propose une cuisine créole et des grillades.</t>
  </si>
  <si>
    <t xml:space="preserve">Restaurant équipé de cheminée, de chauffage réversible d'une capacité de 220 personnes. Spécialités : grillades et cuisines créoles, buffet le dimanche.
Le restaurant dispose d'une salle de réception, accueille des groupes, organise des mariages, anniversaires, communions etc. ... .
Vue panoramique sur les pitons avoisinants.
ouvert du mardi au dimanche de 11h30 à 14h30 et de 18h30 à 22h. </t>
  </si>
  <si>
    <t xml:space="preserve">Depuis le Sud : prendre la 4 voies du Tampon/Plaine des Cafres. Arrivé au rond-point de la Tour des Azalées, suivre la RN3 en direction de la Plaine des Cafres. Arrivé au village de Bourg-Murat, continuer tout droit au rond-point. Le restaurant se trouve à gauche à la sortie du village.
Depuis les Plaines : suivre la RN3 en direction du Tampon/Plaine des Cafres. Le restaurant se trouve à droite à l’entrée du village de Bourg-Murat.   </t>
  </si>
  <si>
    <t>Diligence (La)  - Clain Gilles</t>
  </si>
  <si>
    <t xml:space="preserve">8, rue Paul Depaindray PK28 Bourg-Murat, 97422 Le Tampon </t>
  </si>
  <si>
    <t xml:space="preserve">Clain Gilles : le.grillanoo@gmail.com / 0262591010 / 0692638921 / Gérant(e) , Clain Gilles : volcanoreunion@gmail.com / 0692404276 / Propriétaire </t>
  </si>
  <si>
    <t>-21.1935, 55.575945</t>
  </si>
  <si>
    <t>CSC253HT@</t>
  </si>
  <si>
    <t>Adresse,Groupe catégorie,Nom catégorie,Lieux-dits,Mode de paiment,Descriptif,Descriptif du plan d'accès,Fournisseur - Nom,Fournisseur - adresse</t>
  </si>
  <si>
    <t>Guang Dong (Le)</t>
  </si>
  <si>
    <t>Guang Dong (Restaurant Le)</t>
  </si>
  <si>
    <t>Guang Dong (Le)
120, rue Albert Fréjaville
97430 Le Tampon</t>
  </si>
  <si>
    <t>sentier de randonnée,centre commercial,parking public,site - lieu culturel,point de vue panoramique</t>
  </si>
  <si>
    <t>français,anglais,italien</t>
  </si>
  <si>
    <t>Le Guang Dong est un restaurant traditionnel chinois, spécialités laqués. Il propose principalement des plats à emporter.
Ouvert du lundi au samedi de 11h00 à 14h00 et de 18h00 à 20h30-21h00.</t>
  </si>
  <si>
    <t>120, rue Albert Fréjaville, 97422 Le Tampon</t>
  </si>
  <si>
    <t xml:space="preserve">He Rong Sheng : 0262576796 / Gérant(e) ,  0262576796 </t>
  </si>
  <si>
    <t>-21.27992993, 55.51339523</t>
  </si>
  <si>
    <t>120 Rue Albert Frejaville, Réunion</t>
  </si>
  <si>
    <t>Guesdon Chantal</t>
  </si>
  <si>
    <t>GUESDON Michel et Chantal</t>
  </si>
  <si>
    <t>Guesdon Chantal
15, chemin Grande Ferme - 27ème km
Plaine des Cafres
97418 La Plaine des Cafres</t>
  </si>
  <si>
    <t>chauffage,espace de restauration,jardin,parking,salle de bain privée,sanitaires privés</t>
  </si>
  <si>
    <t>Chèque,Virement,Chèques vacances,Mandat postal,Espèces</t>
  </si>
  <si>
    <t>chantalguesdon974@gmail.com</t>
  </si>
  <si>
    <t>Guesdon Chantal propose deux chambres d'hôtes, d'une capacité totale de 6 personnes, et une table d'hôte nationale (pour les clients en chambre d'hôte). Situés à la Grande Ferme, à deux pas de la route forestière du volcan et des principaux sites touristiques de la Plaine des Cafres, dans un endroit calme et frais. Demi-tarif table d'hôte pour les enfants de moins de 10 ans.</t>
  </si>
  <si>
    <t xml:space="preserve">En venant de Saint-Pierre, prendre direction Tampon/Plaine des Cafres, au village de Bourg-Murat continuer 1 km et prendre à droite direction la Grande Ferme. Rouler 2.5 km et prendre à gauche (en face du stade).
En venant de la Plaine des Palmistes, de la RN3 après le Col de Bellevue faire 4 km environ, prendre la sortie de gauche en direction du Volcan et la Grande Ferme, (route du Champ de Foire), faire 2.5 km la chambre d'hôte se trouve sur la gauche (en face du stade).   </t>
  </si>
  <si>
    <t>15, chemin Grande Ferme - 27ème km, 97422 Le Tampon</t>
  </si>
  <si>
    <t xml:space="preserve">Guesdon Chantal : guesdon.chantal@wanadoo.fr / 0262275925 / 0692823502 ,  guesdon.chantal@wanadoo.fr / 0262275925 / 0692823502 </t>
  </si>
  <si>
    <t>-21.21378766, 55.5900667</t>
  </si>
  <si>
    <t>CSC62HTH</t>
  </si>
  <si>
    <t>Chemin de la Grande-Ferme, La Plaine des Cafres, Réunion</t>
  </si>
  <si>
    <t>Hibiscus</t>
  </si>
  <si>
    <t>Hibiscus
55, route du Bras Long
97414 Entre-Deux</t>
  </si>
  <si>
    <t>Situé à l'Entre-Deux, Hibiscus, petite maison meublée pouvant accueillir 4 à 6 personnes dispose de 2 chambres doubles, un séjour/salle à manger, une cuisine équipée et une varangue.</t>
  </si>
  <si>
    <t>Hibiscus - Hoarau Hugues</t>
  </si>
  <si>
    <t>55, route du Bras Long, 97403 Entre-Deux</t>
  </si>
  <si>
    <t xml:space="preserve">Hoarau Hugues : 0262388904 / 0692760959 / Gérant(e) , Hoarau Hugues : 0262388904 / 0692760959 / Gérant(e) </t>
  </si>
  <si>
    <t>-21.242907, 55.470965</t>
  </si>
  <si>
    <t>Hibiscus (Les)</t>
  </si>
  <si>
    <t>Hibiscus (Les)
6, rue des Badamiers - Mare Longue
97442 Saint-Philippe</t>
  </si>
  <si>
    <t>lave vaisselle,micro-ondes,TV</t>
  </si>
  <si>
    <t>leshibiscus@hotmail.fr</t>
  </si>
  <si>
    <t xml:space="preserve">Situé à Mare Longue à proximité du site de la Mer Cassée, le meublé Les Hibiscus propose la location d'une maison type F3. Il dispose de 2 chambres et d'un coin cuisine. Le meublé se trouve dans un endroit calme et verdoyant.
Tarif dégressif au delà d'une semaine. </t>
  </si>
  <si>
    <t xml:space="preserve">Venant de l'Est, sortie Saint-Philippe, entrer dans le bourg de Mare Longue, faire environ 600 m, terrain de foot à droite, prendre la rue Pandanus qui mène à la rue des Badamiers rouler jusqu'au numéro 6. Distance de l'aéroport : 120 km. Temps de conduite : 1h30.
Venant de l'Ouest, sortie Basse Vallée, faire environ 5 km dans le bourg de Mare Longue, rouler environ 600 m, petit "fruits et légumes", à environ 200 m, à gauche, pancarte “Les Hibiscus”, prendre la rue des Pandanus qui mène à la rue des Badamiers, rouler jusqu'au numéro 6.
Distance de l’aéroport : environ 120 kms.  Temps de conduite : 1h45, environ   </t>
  </si>
  <si>
    <t>Hibiscus (Les) - Barencourt Florence</t>
  </si>
  <si>
    <t>6, rue des Badamiers - Mare Longue, 97417 Saint-Philippe</t>
  </si>
  <si>
    <t xml:space="preserve">Barencourt Florence : florence.barencourt@wanadoo.fr / 0262536246 / 0692241100 , Barencourt Florence : leshibiscus@hotmail.fr / 0262536246 / 0692241100 / 0692045675 </t>
  </si>
  <si>
    <t>-21.364017, 55.752872</t>
  </si>
  <si>
    <t>CSC8HTH</t>
  </si>
  <si>
    <t>6 Rue des Badamiers, Réunion</t>
  </si>
  <si>
    <t>Hirondelle (L')</t>
  </si>
  <si>
    <t>Hirondelle (L’)</t>
  </si>
  <si>
    <t>Hirondelle (L')
83, Boulevard de l’Océan
97480 Saint-Joseph</t>
  </si>
  <si>
    <t>tennis,pêche,riviere,centre commercial,parking public,site - lieu culturel,point de vue panoramique</t>
  </si>
  <si>
    <t>Carte Bancaire,Eurocard,Chèque,Virement,Tickets restaurant,Espèces</t>
  </si>
  <si>
    <t>L'Hirondelle est un restaurant traditionnel spécialisé dans la cuisine créole et chinoise. Capacité : 80 couverts.</t>
  </si>
  <si>
    <t>Sur la commune de Saint-Joseph, prendre la direction du bassin naturel de Manapany. Le restaurant se trouve du côté gauche de la route principale.</t>
  </si>
  <si>
    <t>Hirondelle (L’) - Boulanger Yves</t>
  </si>
  <si>
    <t>83, boulevard de l’océan, 97412 Saint-Joseph</t>
  </si>
  <si>
    <t xml:space="preserve">Boulanger Yves : 0262315711 / Gérant(e) ,  0262315711 </t>
  </si>
  <si>
    <t>-21.37526892, 55.59244121</t>
  </si>
  <si>
    <t>L, 83 Blvrd de l'Ocean, Manapany-Les-Bains, Réunion</t>
  </si>
  <si>
    <t>recpCNGfatzWBSs9q</t>
  </si>
  <si>
    <t>Hoareau Guibert</t>
  </si>
  <si>
    <t>Hoareau Guibert
61, chemin du Rond
Plaine des Grègues
97480 Saint-Joseph</t>
  </si>
  <si>
    <t>guibert.h@hotmail.fr</t>
  </si>
  <si>
    <t>Hoareau Guibert est producteur de curcuma et d'arrow-root à la Plaine des Grègues dans les hauts de Saint-Joseph. Il propose une dégustation de sirops de curcuma, gingembre et de géranium ainsi que des bonbons la "rouroute".</t>
  </si>
  <si>
    <t xml:space="preserve">La boutique propose à la vente de la poudre de curcuma, condiment indispensable dans la conception d'un plat typique réunionnais ainsi que de l'arrow-root que l'on utilise comme épaississant alimentaire, en pâtisserie ou encore comme régulateur du fonctionnement intestinal.
Le curcuma possède des propriétés anti-oxydantes et anti-inflammatoires qui lui confèrent une utilisation médicinale. En saison de juillet à décembre, une démonstration de transformation de produits du terroir qui ont été récolté sur l'exploitation est proposée. </t>
  </si>
  <si>
    <t>En venant de l'ouest, après Petite-Ile et le bourg de Manapany-les-Bas, prendre à gauche direction Carosse et Plaine des Grègues. Continuer sur 13 km, arrivée au village de la Plaine des Grègues, suivre l'artère principale de la rue Jules Hoareau. Au niveau de l'église, tourner à gauche puis tout de suite à droite, poursuivre sur 500 m sur le chemin du Rond et suivre le panneau.</t>
  </si>
  <si>
    <t>61, chemin du Rond, 97412 Saint-Joseph</t>
  </si>
  <si>
    <t xml:space="preserve">Hoareau Guibert : guibert.h@hotmail.fr / 0692665948 / Propriétaire ,  guibert.h@hotmail.fr / 0692665948 </t>
  </si>
  <si>
    <t>-21.321169, 55.606981</t>
  </si>
  <si>
    <t>Rue du Rond, Réunion</t>
  </si>
  <si>
    <t>Hoareau Didier</t>
  </si>
  <si>
    <t>HOAREAU Nathalie</t>
  </si>
  <si>
    <t>Hoareau Didier
205, rue Edmond Albius - Bezaves
97480 Saint-Joseph</t>
  </si>
  <si>
    <t>http://monsite.wanadoo.fr/giterunsud</t>
  </si>
  <si>
    <t>espace de restauration,jardin,parking,salle de bain privée,sanitaires privés,ventilateur</t>
  </si>
  <si>
    <t>gitenath.sud@wanadoo.fr</t>
  </si>
  <si>
    <t>A proximité de la maison du propriétaire, 3 chambres d'hôtes spacieuses et confortables dont une suite de 4 personnes labellisées Gîtes de France avec sanitaires privées, dans un vaste jardin créole où se côtoient canne à sucre, vétyver et café, mêlant leurs parfums. Entrée indépendante.</t>
  </si>
  <si>
    <t xml:space="preserve">De Saint-Pierre par le Sud, après la commune de Petite-Ile, prendre la D32 en direction de Carosse/Bézaves. Arrivé au stop, tourner à droite, 100 m plus bas sur la droite se trouve la structure.
De l'Est: prendre la D3, juste après le pont de la rivière des Remparts (Saint-Joseph), au rond point, direction Plaine des Grègues et rouler 10 min environ, la structure est à gauche.   </t>
  </si>
  <si>
    <t>205 rue Edmond Albius, 97412 Saint-Joseph</t>
  </si>
  <si>
    <t xml:space="preserve">Hoareau Didier : gitenath.sud@wanadoo.fr / 0262376192 / Propriétaire ,  gitenath.sud@wanadoo.fr / 0262376192 </t>
  </si>
  <si>
    <t>CSC70HTG</t>
  </si>
  <si>
    <t>205 Rue Edmond Albius, Réunion</t>
  </si>
  <si>
    <t>Hortensias (Les)</t>
  </si>
  <si>
    <t>Hortensias (Les)
44, chemin de la Grande Ferme - 97418 La Plaine des Cafres
Plaine des Cafres
97418 La Plaine des Cafres</t>
  </si>
  <si>
    <t>https://www.facebook.com/Gîte-les-Hortensias-À-La-grande-ferme-111937312851690/</t>
  </si>
  <si>
    <t>chauffage,fer et planche à repasser,jardin,lave linge collectif,parking,sanitaires privés,wifi</t>
  </si>
  <si>
    <t>A proximité de la route du volcan, dans une villa calme, Les Hortensias propose 4 chambres d'hôtes</t>
  </si>
  <si>
    <t>Les chambres sont situées à l'étage de la maison du propriétaire avec entrée indépendante. Elles sont équipées de sanitaires privés.
La salle commune pour le petit déjeuner se trouve dans la maison du propriétaire.</t>
  </si>
  <si>
    <t xml:space="preserve">De l'aéroport de Roland Garros, prendre direction de Saint-Benoît, Plaine des Palmistes, Plaine des Cafres. Sur la RN3, à gauche direction La Grande Ferme, chemin Champ de Foire, rouler sur 1 km au rond-point prendre tout droit, faire 2 km à côté de l'église prendre à gauche chemin de la Grande Ferme, à 50 m, les chambres se situent dans l'allée à droite.
De Saint-Pierre, direction Le Tampon, Plaine des Cafres sur RN3 jusqu'au 27ème km au rond-point de la Cité du Volcan, prendre à droite rue Alfred Picard, au deuxième rond-point tout droit au troisième rond-point à droite La Grande Ferme, faire 2 km (voir ci-dessus). </t>
  </si>
  <si>
    <t>Hortensias (Les) - Payet Catherine</t>
  </si>
  <si>
    <t>44, chemin de la Grande Ferme, 97422 Le Tampon</t>
  </si>
  <si>
    <t xml:space="preserve">Payet Catherine : cat.payet@wanadoo.fr / 0262915362 / 0692390791 / Propriétaire , Payet Maryse : leshortensiasgrandeferme@gmail.com / 0262496408 / 0692241433 / Propriétaire </t>
  </si>
  <si>
    <t>-21.221111, 55.589248</t>
  </si>
  <si>
    <t>http://resa2.reunion.fr/fr/hebergements/a1130417/hortensias-les/reserver?filter=t=hortensias | Resa 2 Réunion.fr</t>
  </si>
  <si>
    <t>recEzS7wrcSBUBnRJ</t>
  </si>
  <si>
    <t>Hôtel les Embruns du Baril</t>
  </si>
  <si>
    <t>Hôtel les Embruns du Baril
62 RN2 - Le Baril
Le Baril
97442 Saint-Philippe</t>
  </si>
  <si>
    <t>fer et planche à repasser,parking,piscine,TV,ventilateur,wifi</t>
  </si>
  <si>
    <t>lesembrunsdubarilreunion@gmail.com</t>
  </si>
  <si>
    <t>Les Embruns du Baril se situe dans le Sud Sauvage, une terre de contraste entre terre et mer, une expérience qui peut convenir à une clientèle en quête de tranquillité et d'originalité.</t>
  </si>
  <si>
    <t>L'hôtel abrite 14 chambres orientées face à la mer, avec une vue panoramique, réparties en 3 lots dans son jardin.
L'hôtel dispose d'un restaurant.
L'arrivée des clients devra se faire avant 18h (heure de fermeture de la réception).</t>
  </si>
  <si>
    <t>En venant de l'Est, Sainte-Rose, après la balance de canne à sucre et en venant du Sud, Saint-Joseph, après le Leader Price à droite.</t>
  </si>
  <si>
    <t>SARL Moganaz - Mogalia Abdoullah</t>
  </si>
  <si>
    <t>1 bis avenue François Mitterrand, 97410 Saint-Benoit</t>
  </si>
  <si>
    <t xml:space="preserve">Mogalia Abdoullah : 0262200717 / 0692857016 / Gérant(e) ,  lesembrunsdubarilreunion@gmail.com / 0262200717 / 0692721725 ,  lesembrunsdubarilreunion@gmail.com / 0262562628 / 0692721725 </t>
  </si>
  <si>
    <t>Est - Saint-Benoît</t>
  </si>
  <si>
    <t>https://book.reunion.fr/fr/hebergements/a1603031/hôtel-les-embruns-du-baril/reserver?s | Réunion.fr</t>
  </si>
  <si>
    <t>CSC108HTI</t>
  </si>
  <si>
    <t>recnCpKfezSPRzSKm</t>
  </si>
  <si>
    <t>Hôtel Outre Mer</t>
  </si>
  <si>
    <t>Hôtel Outre Mer
8, rue Bourbon
97430 Le Tampon</t>
  </si>
  <si>
    <t>linge de toilette,parking,TV,linge de maison,lave linge collectif</t>
  </si>
  <si>
    <t>hotel.outremer@orange.fr</t>
  </si>
  <si>
    <t>Proche du centre ville du Tampon, l'Hôtel Outre Mer propose 35 chambres.</t>
  </si>
  <si>
    <t xml:space="preserve">5 chambres familiales dont 3 de 4 pers et 2 de 5 pers, 4 chambres triples et 26 chambres doubles.Cabine téléphonique à disposition dans le hall de l'hôtel.
La réception est ouverte tous les jours. Le petit déjeuner est servi en salle de 7 à 10h. Accès internet sur demande à l'accueil. Accès aux personnes à mobilité réduite. 
Nombreuses excursions à proximité (Plaine des Cafres, Volcan...). </t>
  </si>
  <si>
    <t xml:space="preserve">Depuis Saint-Pierre, prendre la 4 voies en direction du Tampon. Au rond-point des chandelles, aller en face et prendre la ruelle sur la gauche. Tourner ensuite dans la seconde rue à gauche, l'hôtel Outre mer est au n° 8.
Depuis les Plaines, suivre la Route Nationale 3 et descendre jusqu'au Tampon. Au rond-point des pompiers, prendre la deuxième sortie à droite et descendre la rue du Tampon. Tourner ensuite dans la rue Bourbon sur la droite, l'Hôtel Outre Mer est au n° 8.   </t>
  </si>
  <si>
    <t>Hôtel Outre Mer - Thiaw-Nam-Tong  Henri</t>
  </si>
  <si>
    <t>8, rue Bourbon, 97422 Le Tampon</t>
  </si>
  <si>
    <t xml:space="preserve">Thiaw-Nam-Tong Henri : bourbon.henri@wanadoo.fr / 0262573030 / 0262572929 / Gérant(e) , Thiaw-Nam-Tong Henri : hotel.outremer@orange.fr / 0262573030 / 0692830133 / 0262572929 </t>
  </si>
  <si>
    <t>-21.277835, 55.51532</t>
  </si>
  <si>
    <t>CSC158HTN</t>
  </si>
  <si>
    <t>Prestations sur place,Prestations à Proximité,Mode de paiment,Fax,Capacité,Descriptif,Descriptif du plan d'accès,Jours et horaires d'ouverture,Fournisseur - Nom,Tarif libellé</t>
  </si>
  <si>
    <t>106 Rue Marius et Ary Leblond Le Tampon 97430, 97430, Réunion</t>
  </si>
  <si>
    <t>Hôtel Piton des Forges (L')</t>
  </si>
  <si>
    <t>Piton des Forges (Le)</t>
  </si>
  <si>
    <t>Hôtel Piton des Forges (L')
25, rue du Domaine de Bellevue - Bourg-Murat
Bourg Murat
97418 La Plaine des Cafres</t>
  </si>
  <si>
    <t>legrosmickael@yahoo.fr</t>
  </si>
  <si>
    <t>L'Hôtel Le Piton des Forges, à la Plaine des Cafres, propose 12 chambres : 4 chambres doubles et 8 chambres familiales de 2 à 6 personnes. L'hôtel se situe dans un endroit calme et frais, à Bourg Murat, à deux pas de la route forestière du volcan. Repas pour les résidents. Formule repas.</t>
  </si>
  <si>
    <t>Legros Jean-Marceau -</t>
  </si>
  <si>
    <t xml:space="preserve">Legros Angélique : angie.legros@gmail.com / 0262334836 / 0692150669 / Gérant(e) ,  dieseauberge@gmail.com / 0262082579 ,  0262334836 / 0262336404 </t>
  </si>
  <si>
    <t>-21.1932001, 55.57386807</t>
  </si>
  <si>
    <t>Bourg-Murat, La Plaine des Cafres, Réunion</t>
  </si>
  <si>
    <t>recBZmfIOETXxEgxz</t>
  </si>
  <si>
    <t>Ilet aux Palmistes</t>
  </si>
  <si>
    <t>Ilet aux Palmistes
25, rue Claude Marion - CD 37 - Vincendo
Vincendo
97480 Saint-Joseph</t>
  </si>
  <si>
    <t>jardin,lave linge collectif,linge de maison,linge de toilette,parking,micro-ondes,cuisine,salon de jardin,climatisation</t>
  </si>
  <si>
    <t>sentier de randonnée,forêt,plage,riviere,sentier de grande randonnée,commerce alimentaire,arrêt bus</t>
  </si>
  <si>
    <t>français,anglais (Basique (Nv.1)),créole</t>
  </si>
  <si>
    <t>raymondeetremy@gmail.com</t>
  </si>
  <si>
    <t>Nichée sur les hauteurs de Vincendo, au cœur du Sud Sauvage, la chambre d'hôtes d'Îlet aux Palmistes, labellisée Gîtes de France, est une plongée dans l'exceptionnelle diversité de la flore réunionnaise.</t>
  </si>
  <si>
    <t xml:space="preserve">C'est au rez-de-chaussée de la maison de Raymonde et Rémy Vienne que sont installées une suite familiale comprenant deux chambres communicantes composées d'un lit double chacune, et une chambre triple avec un lit double et un lit simple. 
Cette famille d'agriculteurs originaire du Sud Sauvage a acquis il y a 35 ans ce terrain de 10,5 hectares qu'elle a transformé en ode à la nature réunionnaise et ses plantes endémiques. Baptisé par leurs soins Ilet aux Palmistes, le domaine recèle une précieuse plantation de palmiste rouge, palmier dont le cœur d'une tendresse exceptionnelle est mangé en salade. Avant de s'en régaler, les gourmets pourront participer à sa préparation, de la coupe du palmier dans le champs avec Rémy jusqu'à l'élaboration d'une magnifique vinaigrette citronnée avec Raymonde. 
Mais le palmiste n'est qu'un minuscule aperçu des richesses de l'îlet. Le jardin créole de Raymonde Vienne regorge de plantes « lontan ». Certaines ornementales, comme le bégonia, les azalées, ou les camélias, d'autres médicinales comme la cannelle, la citronnelle ou l'ayapana. Des plantes qui sont ensuite savamment distillées dans une douce tisane ou un rhum arrangé de caractère. En surplomb de la case, un véritable florilège de la flore endémique locale attend le visiteur qui pourra satisfaire sa curiosité entre pieds de benjoin et bois d'osto, anthurium et oiseaux de paradis ou encore quatre épices, clou de girofle et même vanille. 
L'accueil de la famille Vienne est à l'image de cette case : authentique et chaleureux. Les hôtes souhaitent avant tout partager leur culture traditionnelle créole et leur passion pour l'agriculture et la nature. Le dîner, moment convivial et chaleureux, est préparé au feu de bois de letchi avec des produits issus de l'exploitation. Reposant, revigorant et enrichissant : les trois promesses d'un séjour à l'Îlet aux Palmistes.
Situation géographique
Situé sur la commune de Saint-Joseph, l'Îlet aux Palmistes est un havre de paix sur les hauteurs du quartier de Vincendo, à moins de cinq minutes en voiture de la route nationale. Une situation qui garantit aux visiteurs un sentiment de calme et d'isolement tout en jouissant d'une vue imprenable sur l'Océan Indien et notamment la pointe de Langevin, cap le plus austral d'Europe.
En plein cœur du Sud Sauvage, l'Îlet aux Palmistes est un point de chute idéal pour découvrir le Sud de l'île et ses trésors naturels tels que les coulées de lave de Sainte-Rose, le littoral de Saint-Philippe ou encore les cascades de la rivière Langevin. C'est surtout une immersion dans le territoire le plus préservé et sauvage de La Réunion. </t>
  </si>
  <si>
    <t xml:space="preserve">En quittant Saint-Philippe, prendre direction Saint-Joseph rouler 2,5 km puis prendre à droite la D37, direction Jacques Payet-Matouta. A l'intersection de Matouta, prendre la rue Claude Marion et rouler jusqu'au numéro 25.
En venant de Saint Joseph, prendre la direction Saint Philippe. Traverser Langevin et le village de Vincendo. À la fin de Vincendo, prendre la D37, direction Jacques Payet-Matouta. A l'intersection de Matouta, prendre la rue Claude Marion et rouler jusqu'au numéro 25.   </t>
  </si>
  <si>
    <t>Ilet aux Palmistes - Vienne Raymonde</t>
  </si>
  <si>
    <t>25, rue Claude Marion - CD 37 - Vincendo, 97412 Saint-Joseph</t>
  </si>
  <si>
    <t xml:space="preserve">Vienne Raymonde : raymonde.vienne@elu.saintjoseph.re / 0262202114 / 0692240207 / Propriétaire , Vienne Raymonde : raymonde.vienne@elu.saintjoseph.re / 0262202114 / 0692204158 ,  0692240207 </t>
  </si>
  <si>
    <t>-21.363195, 55.685387</t>
  </si>
  <si>
    <t>https://book.reunion.fr/fr/hebergements/a356895/product/reserver | Réunion.fr</t>
  </si>
  <si>
    <t>CSC166HTM</t>
  </si>
  <si>
    <t>Prestations sur place,Prestations à Proximité,Mode de paiment,Mobile,E-Mail,Descriptif,Descriptif du plan d'accès,Jours et horaires d'ouverture,Fournisseur - Nom,Fournisseur - contacts</t>
  </si>
  <si>
    <t>25 Rue Claude Marion, 97480, Réunion</t>
  </si>
  <si>
    <t>Ilet Créole</t>
  </si>
  <si>
    <t>OMCT (pour 4)</t>
  </si>
  <si>
    <t>Ilet Créole
5, rue Fontaine
97414 Entre-Deux</t>
  </si>
  <si>
    <t>omag.entre-deux@orange.fr</t>
  </si>
  <si>
    <t>En plein centre ville de l'Entre-Deux, station verte de vacances, l'Ilet Créole propose des bungalows équipés pour 4, 5, 6 et 8 personnes tout confort, dans un parc boisé verdoyant à l'entrée du village.
Uniquement sur réservation.</t>
  </si>
  <si>
    <t>Sur la commune de l'Entre-Deux, prendre la rue Fontaine juste en face de l' Office de Tourisme. L' Ilet créole est situé à 200 m sur la gauche.</t>
  </si>
  <si>
    <t>-21.24954386, 55.46813356</t>
  </si>
  <si>
    <t>Rue Fontane, Réunion</t>
  </si>
  <si>
    <t>Ilot Palmiers</t>
  </si>
  <si>
    <t>Ilot Palmiers
3, rue Bertin - Goyaves
97480 Saint-Joseph</t>
  </si>
  <si>
    <t>barbecue,linge de maison,salon de jardin,TV,wifi</t>
  </si>
  <si>
    <t>ilotpalmiers@gmail.com</t>
  </si>
  <si>
    <t>Ilot Palmiers propose une location saisonnière à Saint-Joseph au cœur du Sud Sauvage.</t>
  </si>
  <si>
    <t>Il dispose d'un salon avec un canapé convertible, d'une chambre familiale avec un lit double ou 2 lits simples  et d'un lit superposé, d'une cuisine équipée, d'une terrasse avec fauteuils et table et d'un petit jardin. Linge de maison fourni, Wifi, télévision.</t>
  </si>
  <si>
    <t>A Saint-Joseph au rond-point de la Rivière des Remparts, prendre direction des Lianes, sur 200 m prendre la première à gauche, rue Bertin, Ilot Palmiers se trouve au n°3.</t>
  </si>
  <si>
    <t>Ilot Palmiers - Vitry Jean François</t>
  </si>
  <si>
    <t>3, rue Bertin, 97412 Saint-Joseph</t>
  </si>
  <si>
    <t xml:space="preserve">Vitry François : ilotpalmiers@gmail.com / 0262560127 / 0692860671 / Propriétaire , Vitry François : ilotpalmiers@gmail.com / 0262560127 / 0692860671 / Propriétaire </t>
  </si>
  <si>
    <t>-21.374866, 55.614031</t>
  </si>
  <si>
    <t>CSC169HTP</t>
  </si>
  <si>
    <t>97480, 3 Rue Bertin, 97480, Réunion</t>
  </si>
  <si>
    <t>Ilot Perles (L')</t>
  </si>
  <si>
    <t>Ilot Perles (L')
15, rue Victor Hugo
97430 Le Tampon</t>
  </si>
  <si>
    <t>Création de bijoux</t>
  </si>
  <si>
    <t>15, rue Victor Hugo, 97422 Le Tampon</t>
  </si>
  <si>
    <t xml:space="preserve"> 0692484762 ,  0692484762 </t>
  </si>
  <si>
    <t>-21.281287, 55.521501</t>
  </si>
  <si>
    <t>L, 15 Rue Victor Hugo, Réunion</t>
  </si>
  <si>
    <t>recjEjBFtNJ8wMqCg</t>
  </si>
  <si>
    <t>Impériale Pirun Pizzeria (L')</t>
  </si>
  <si>
    <t>Impérial (L’)</t>
  </si>
  <si>
    <t>Impériale Pirun Pizzeria (L')
120, rue Albert Fréjaville
97430 Le Tampon</t>
  </si>
  <si>
    <t>http://www.imperiale-sushi-pizzas.jimdo.com</t>
  </si>
  <si>
    <t>Restaurant,Autre type de restauration</t>
  </si>
  <si>
    <t>Restaurant,Pizzeria</t>
  </si>
  <si>
    <t>sentier de randonnée,équitation,tennis,centre commercial,parking public,site - lieu culturel</t>
  </si>
  <si>
    <t>limperiale@zeop.re</t>
  </si>
  <si>
    <t>Situé au centre ville du Tampon, L'Impériale Pirun Pizzeria propose des pizzas artisanales à base de produits frais ainsi que des pâtes fraîches artisanales accompagnées de sauce maison.</t>
  </si>
  <si>
    <t>L'Impériale Pirun Pizzeria s'est associée avec Kamusi Sushi et propose  toute une gamme de sushi fabriqué selon la tradition japonaise le jeudi, vendredi et samedi midi et soir consommation sur place ou à emporter. Les menus sont sur le site Internet.
Ouvert tous les jours sauf le dimanche de 11h à 13h30 et de 17h à 22h.</t>
  </si>
  <si>
    <t>Au centre ville du Tampon, face au marché couvert, à environ 100 m de la mairie.</t>
  </si>
  <si>
    <t>Impériale Pirun Pizzeria (L’) - Delmas Julia</t>
  </si>
  <si>
    <t xml:space="preserve">Delmas Julia : limperiale@zeop.re / 0262575527 / Gérant(e) ,  j.martindelmas@ool.fr / 0262575527 </t>
  </si>
  <si>
    <t>-21.28004573, 55.51321095</t>
  </si>
  <si>
    <t>120 Rue Albert Frejaville, 97430, Réunion</t>
  </si>
  <si>
    <t>Jam-Rosa (Le)</t>
  </si>
  <si>
    <t>Jam-Rosa (Le)
2, chemin des Figuiers - Carosse
97480 Saint-Joseph</t>
  </si>
  <si>
    <t>barbecue,four,jardin,lave linge privatif,micro-ondes,parking,salon de jardin,TV</t>
  </si>
  <si>
    <t>plage,sentier de randonnée,forêt</t>
  </si>
  <si>
    <t>jacqueline97480@gmail.com</t>
  </si>
  <si>
    <t xml:space="preserve">Le Jam-Rosa est un Meublé de Tourisme classé 3 étoiles situé dans le village de Carosse, à Saint-Joseph. Villa T3 indépendante en rez-de-jardin, pouvant accueillir jusqu'à 4 personnes (tout confort) avec petite cour. Le logement comprend : un séjour-cuisine, deux chambres doubles et une terrasse.
A moins de 10 minutes de la plage de Grand Anse, du village de Manapany les Bains, de la ville de Saint-Joseph et des principaux sites touristiques du Sud (marines, rivières, forêts, coulées volcaniques...). </t>
  </si>
  <si>
    <t>Jam-Rosa (Le) - Hoareau Jacqueline</t>
  </si>
  <si>
    <t>30, chemin des Cailles, 97412 Saint-Joseph</t>
  </si>
  <si>
    <t xml:space="preserve">Hoareau Jacqueline : jacqueline97480@gmail.com / 0692695144 / 0262374538 ,  jacqueline97480@gmail.com </t>
  </si>
  <si>
    <t>-21.35883, 55.592204</t>
  </si>
  <si>
    <t>2 Chemin des Figuiers, Réunion</t>
  </si>
  <si>
    <t>rec4A2lhrwooZI0L8</t>
  </si>
  <si>
    <t>Jardin de Vandas</t>
  </si>
  <si>
    <t>Jardin de Vandas
16, rue Léon Dehaulme
97480 Saint-Joseph</t>
  </si>
  <si>
    <t>http://www.jardin-orchidees.com</t>
  </si>
  <si>
    <t>Patrimoine agricole</t>
  </si>
  <si>
    <t>Plantation</t>
  </si>
  <si>
    <t>hoareau_michel@yahoo.com</t>
  </si>
  <si>
    <t>Dans le sud de l'île à Saint-Joseph, le Jardin de Vandas possède plusieurs variétés d'orchidées tropicales du monde entier.</t>
  </si>
  <si>
    <t>Visite du jardin d'orchidées les mercredis et samedis de 9h à 12h et de 14h à 17h.</t>
  </si>
  <si>
    <t xml:space="preserve">Venant de Saint-Pierre, après Manapany-les-Bains, prendre la rue Heaulme 20 m avant Weldom.
Venant de Saint-Joseph, tourner à droite 20 m après Weldom pour prendre la rue Léon Dehaulme.   </t>
  </si>
  <si>
    <t>Jardin de Vandas - Hoareau Michel</t>
  </si>
  <si>
    <t>3, rue Coli, 97418 Sainte-Marie</t>
  </si>
  <si>
    <t xml:space="preserve">Hoareau Michel : hoareau_michel@yahoo.com / 0692077495 / Gérant(e) , Hoareau Michel : hoareau_michel@yahoo.com / 0692077495 / Gérant(e) </t>
  </si>
  <si>
    <t>-21.378103, 55.606516</t>
  </si>
  <si>
    <t>Vandas Garden, 16 Rue Leon Dehaulme, 97480, Réunion</t>
  </si>
  <si>
    <t>rec7PV8VcVqwUZH52</t>
  </si>
  <si>
    <t>Jardin des Bestioles (Le)</t>
  </si>
  <si>
    <t>Jardin des Bestioles (Le)
Rue Emile Mussard - Grand Coude
Grand Coude
97480 Saint-Joseph</t>
  </si>
  <si>
    <t>parking,sanitaires communs</t>
  </si>
  <si>
    <t>lejardindesbestioles@gmail.com</t>
  </si>
  <si>
    <t>Situé à Grand Coude, dans les hauts de Saint-Joseph, à proximité du Labyrinthe en Champ Thé, Le Jardin des Bestioles propose un immense parc où se côtoient différentes espèces floristiques de La Réunion et d'étonnantes bestioles géantes.</t>
  </si>
  <si>
    <t xml:space="preserve">Accueil et découverte des surprenantes sculptures fabriquées à la main avec des matériaux de récupération par Sandro, un villageois passionné. 
Possibilité d'apercevoir une araignée, un serpent, une abeille, une libellule mais sans crainte, ils sont inoffensifs, d'admirer de magnifiques plantes ornementales, endémiques, médicinales qui n'échapperont pas à la curiosité dans ce jardin de plus d'un hectare. 
Après la visite, possibilité également de profiter du site pour faire une pause, un pique-nique et apprécier le calme et la fraîcheur des hauts.
Visite libre du mardi au dimanche de 9h à 17h.
Visite guidée sur réservation. </t>
  </si>
  <si>
    <t>Jardin des Bestioles (Le) - K Bidi Georges</t>
  </si>
  <si>
    <t>2 chemin des Sautelles - Grand Coude, 97412 Saint-Joseph</t>
  </si>
  <si>
    <t xml:space="preserve">K BIDI Georges : lejardindesbestioles@gmail.com / 0262504470 / 0693916284 / Gérant(e) , K Bidi Georges : lejardindesbestioles@gmail.com / 0262504470 / 0693916284 / Gérant(e) </t>
  </si>
  <si>
    <t>-21.296259, 55.628395</t>
  </si>
  <si>
    <t>18 rue Emile Mussard, Grand Coude, SAINT JOSEPH 97480, Réunion</t>
  </si>
  <si>
    <t>Jardin des Délices (Le)</t>
  </si>
  <si>
    <t>Jardin des Délices (Le)
65, RN2 - le Baril
97442 Saint-Philippe</t>
  </si>
  <si>
    <t>Situé sur la côte sud sauvage de l'île , le restaurant Le Jardin des Délices propose une cuisine traditionnelle créole avec les produits de Saint-Philippe à savoir le poisson, le chou vacoa, et le palmiste. Ouvert tous les jours de 11h30 à 14h et de 18h30 à 21h. Fermé le lundi. A proximité : le Puits des Anglais et sa piscine d'eau de mer.</t>
  </si>
  <si>
    <t xml:space="preserve">De l'Ouest, passer la supérette "Kadi" le restaurant se trouve à environ 100 m à gauche.
De l'Est, dépasser le centre ville de Saint-Philippe, rouler jusqu'au site la balance de cannes le restaurant se trouve à 60 m à droite. </t>
  </si>
  <si>
    <t>Jardin des Délices (Le) - Turpin Patrice</t>
  </si>
  <si>
    <t>65, RN2 - le Baril, 97417 Saint-Philippe</t>
  </si>
  <si>
    <t xml:space="preserve">Turpin Patrice : 0692301342 ,  0692301342 </t>
  </si>
  <si>
    <t>-21.359301, 55.767253</t>
  </si>
  <si>
    <t>65 RN2, Réunion</t>
  </si>
  <si>
    <t>recK7OqJ0GoZM2zxL</t>
  </si>
  <si>
    <t>Jardin des Parfums et des Epices (Le)</t>
  </si>
  <si>
    <t>Le Jardin des Parfums et des Epices</t>
  </si>
  <si>
    <t>Jardin des Parfums et des Epices (Le)
7, chemin Forestier - Mare Longue
97442 Saint-Philippe</t>
  </si>
  <si>
    <t>http://www.jardin-parfums-epices.com</t>
  </si>
  <si>
    <t>Patrimoine naturel</t>
  </si>
  <si>
    <t>Parc - jardin</t>
  </si>
  <si>
    <t>parking,parking public,sanitaires communs</t>
  </si>
  <si>
    <t>fontaine.patrick.e@orange.fr</t>
  </si>
  <si>
    <t>Découverte de plus de 1500 espèces de plantes à parfums, à épices, d’ébénisteries, d’ornements, des plantes médicinales...</t>
  </si>
  <si>
    <t>Jardin privé ouvert au public depuis 1989, le site offre aux visiteurs un trésor de la nature réunionnaise mêlant à la fois faune et flore. Des plantes à parfums, telles que le géranium, le vétiver, l'Ylang-Ylang, celles à épices: le giroflier, la cardamone, de la vanille, des fougères, des orchidées, des palmiers et pleins d'autres..., et aussi les arbres fruitiers.
Le Jardin des Parfums et des Epices se situe à Mare Longue au milieu de la forêt, sur une coulée volcanique vieille de 800 ans. Les visites guidées sont uniquement sur rendez-vous et durent environ 1h30. Tarifs de groupe, contacter le guide. Dégustation de fruits de saison en fin de visite.</t>
  </si>
  <si>
    <t xml:space="preserve">De l'Ouest, passer la balance de cannes, puis entrer dans la forêt de Mare Longue, rouler 300 m puis suivre la signalétique.
De l'Est, passer le centre ville de Saint-Philippe, entrer dans la forêt de Mare Longue et suivre la signalétique. </t>
  </si>
  <si>
    <t>Jardin des Parfums et des Epices - Fontaine Patrick</t>
  </si>
  <si>
    <t>7, chemin Forestier, 97417 Saint-Philippe</t>
  </si>
  <si>
    <t xml:space="preserve">Fontaine Patrick : fontaine.patrick.e@orange.fr / 0262370606 / 0692660901 / 0262599368 / Guide , Fontaine Patrick : fontaine.patrick.e@orange.fr / 0262370636 / 0692660901 / 0262371508 / Guide </t>
  </si>
  <si>
    <t>-21.350449, 55.737966</t>
  </si>
  <si>
    <t>Parfums et Épices Garden, 7 Chemin Forestier, 97442, Réunion</t>
  </si>
  <si>
    <t>rec9UKLC1tbTq5AxG</t>
  </si>
  <si>
    <t>Jardins De Lé Ô (Les)</t>
  </si>
  <si>
    <t>Jardins De Lé Ô (Les)
7 chemin Léo Ferré - PK 14
97430 Le Tampon</t>
  </si>
  <si>
    <t>chauffage,fer et planche à repasser,lave linge privatif,parking,TV satellite,wifi</t>
  </si>
  <si>
    <t>mc.mussard@wanadoo.fr</t>
  </si>
  <si>
    <t>Les Jardins De Lé Ô propose une maison en rez de jardin de 100 m² au Tampon pouvant accueillir 8 personnes.</t>
  </si>
  <si>
    <t xml:space="preserve">La villa dispose de 2 chambres doubles et d'une chambre familiale de 4 personnes, une cuisine ouverte sur la salle à manger et le salon. Maison entièrement équipée et sécurisée.
Entrée indépendante avec portail automatique, parking privés et table de ping-pong.
Endroit calme, proche des commodités et du bus. Les animaux ne sont pas acceptés. </t>
  </si>
  <si>
    <t xml:space="preserve">Depuis Saint-Denis, prendre direction Saint-Benoit, au rond-point de Saint-Benoit, prendre direction Le Tampon. Au rond-point du 14ème, prendre direction Pont d'Yves puis continuer sur 200 m prendre le chemin Léo Ferré à droite au n°7.
Ou prendre direction Saint-Paul, Saint-Pierre, Le Tampon, au rond-point du 14ème prendre direction Pont d'Yves continuer sur 200 m prendre à droite le chemin Léo Ferré au n°7.   </t>
  </si>
  <si>
    <t>Jardins De Lé Ô - Mussard Marie-Céline</t>
  </si>
  <si>
    <t>7 chemin Léo Ferré, 97422 Le Tampon</t>
  </si>
  <si>
    <t xml:space="preserve">Mussard Marie Céline : mc.mussard@wanadoo.fr / 0262272996 / 0692491400 / Propriétaire , Mussard Marie Céline : mc.mussard@wanadoo.fr / 0262272996 / 0692491400 / Propriétaire </t>
  </si>
  <si>
    <t>-21.248812, 55.520529</t>
  </si>
  <si>
    <t>CSC116HTH</t>
  </si>
  <si>
    <t>14, 7 Rue Leo Ferre, Réunion</t>
  </si>
  <si>
    <t>recg3ISoCfUyJEjnw</t>
  </si>
  <si>
    <t>Jasmins (Les)</t>
  </si>
  <si>
    <t>Jasmins (Les)
21 rue Dachery
97430 Le Tampon</t>
  </si>
  <si>
    <t>alain.schildt@wanadoo.fr</t>
  </si>
  <si>
    <t>Nichées au creux d’un beau jardin tropical, entourées de letchis, manguiers et palmiers, "les Jasmins" sont deux jolies petites villas au charme créole.</t>
  </si>
  <si>
    <t xml:space="preserve">Les Jasmins disposent de 3 villas :
un studio tout équipé, un F2 et un F3 entièrement meublé </t>
  </si>
  <si>
    <t>Jasmins (Les) - Schildt Patricia</t>
  </si>
  <si>
    <t>21 rue Dachery, 97422 Le Tampon</t>
  </si>
  <si>
    <t xml:space="preserve">Schildt Patricia : alain.schildt@wanadoo.fr / 0262270973 / 0692666631 ,  alain.schildt@wanadoo.fr / 0262270973 / 0692666631 </t>
  </si>
  <si>
    <t>-21.271843, 55.526847</t>
  </si>
  <si>
    <t>CSC232HT@</t>
  </si>
  <si>
    <t>Capacité,Descriptif,Fournisseur - Nom,Fournisseur - contacts</t>
  </si>
  <si>
    <t>21 Rue Dachery, Réunion</t>
  </si>
  <si>
    <t>Jolool (Le)</t>
  </si>
  <si>
    <t>Le Jolool</t>
  </si>
  <si>
    <t>Jolool (Le)
244, route de Jean Petit
97480 Saint-Joseph</t>
  </si>
  <si>
    <t>http://www.lejolool.com</t>
  </si>
  <si>
    <t>barbecue,climatisation,jardin,parking,salle de bain privée,sanitaires privés</t>
  </si>
  <si>
    <t>sentier de randonnée,pêche,parking public,point de vue panoramique</t>
  </si>
  <si>
    <t>teyapjeanluc@orange.fr</t>
  </si>
  <si>
    <t>Entre le battant des lames et le sommet des montagnes, Le Jolool est situé dans la fraîcheur et la quiétude des hauts de Saint-Joseph, à quelques kilomètres de la ville et de la mer.</t>
  </si>
  <si>
    <t>Le Jolool dispose de 4 chambres doubles dont une familiale. Ces chambres au nom endémique d'oiseau de la Réunion (tec tec, bec rose,..) sont situées au-dessus de la maison du propriétaire avec vue sur la mer ou sur la montagne, terrasse et coin détente. Le petit déjeuner, proposé sous la varangue, est composé de confiture péi fait maison, fruit de saison et jus de fruit frais…</t>
  </si>
  <si>
    <t>A Saint-Joseph, longer la Mairie jusqu’à la gare routière. Prendre à gauche au niveau de la gare routière, rue du Générale de Gaulle, puis suivre la direction Jean Petit / Grand Coude RD33. Monter sur 6 km jusqu'au panneau Le Jolool.</t>
  </si>
  <si>
    <t>244, route de Jean Petit, 97412 Saint-Joseph</t>
  </si>
  <si>
    <t>Payet Jean Luc : teyapjeanluc@orange.fr / 0262563547 / 0692308948 / 0262563547</t>
  </si>
  <si>
    <t>-21.34917, 55.6326</t>
  </si>
  <si>
    <t>244 Route de Jean Petit, 97480, Réunion</t>
  </si>
  <si>
    <t>rech1EGov96HsSaRL</t>
  </si>
  <si>
    <t>Journée Lontan au Coeur de la Nature</t>
  </si>
  <si>
    <t>Journée Lontan au Coeur de la Nature
24, chemin de la Croizure
Grand Coude
97480 Saint-Joseph</t>
  </si>
  <si>
    <t>Journée Lontan au Coeur de la Nature propose une folle chasse au trésor grandeur "Nature."</t>
  </si>
  <si>
    <t>Bercé par les effluves du géranium et du café, le visiteur découvrira les objets "lontan" dans un cadre authentique.</t>
  </si>
  <si>
    <t xml:space="preserve">De Saint-Joseph, direction CD33 route de Jean Petit/Grand Coude puis Emile Mussard, chemin de la Croizure au n°24.
Environ 15 km de la ville et 30 min de temps de parcours.   </t>
  </si>
  <si>
    <t>Lundi :  -,Mardi :  -,Mercredi :  -,Jeudi :  -,Vendredi :  -,Samedi :  -,Dimanche :  - ; sur réservation</t>
  </si>
  <si>
    <t>24 Chemin de la Croizure, Réunion</t>
  </si>
  <si>
    <t>recLSEKIadiZqbjqs</t>
  </si>
  <si>
    <t>Jubilé (Le)</t>
  </si>
  <si>
    <t>Le Jubilé</t>
  </si>
  <si>
    <t>Jubilé (Le)
218, rue Jules Hoareau - Plaine des Grègues
Plaine des Grègues
97480 Saint-Joseph</t>
  </si>
  <si>
    <t xml:space="preserve">Situé à La Plaine des Grègues dans les hauts de Saint-Joseph, le restaurant Le Jubilé propose une cuisine créole et chinoise.
Le restaurant dispose d'une terrasse couverte d'une capacité de 10 couverts, d'un espace repas dans le jardin de 10 couverts. 2 menus du jour  sont proposés.
Possibilité de préparer des caris sur place selon les produits disponibles.
Ouvert du lundi soir au dimanche midi de 11h30à 14h30 et de 18h30 à 20h. </t>
  </si>
  <si>
    <t>Da Saint-Pierre ou de Saint-Philippe, direction Plaine des Grègues. Au centre du village de la Plaine des Grègues, le restaurant se situe en face de la croix jubilé.</t>
  </si>
  <si>
    <t>Jubilé (Le) - Chane Kuen Daniel</t>
  </si>
  <si>
    <t>218, rue Jules Hoareau, 97412 Saint-Joseph</t>
  </si>
  <si>
    <t xml:space="preserve">Chane Kuen Daniel : 0692639817 / Gérant(e) ,  0692639817 / Gérant(e) </t>
  </si>
  <si>
    <t>-21.3298, 55.605889</t>
  </si>
  <si>
    <t>Mode de paiment,Capacité,Descriptif</t>
  </si>
  <si>
    <t>218 rue Jules Hoareau, Plaine des Grègues, 97480, Saint-Joseph, Ile de, Réunion</t>
  </si>
  <si>
    <t>Kado Kréol</t>
  </si>
  <si>
    <t>Kado Kréol
205, route du Bras Long
97414 Entre-Deux</t>
  </si>
  <si>
    <t>Située à l'Entre-Deux, la boutique artisanale propose des
alambics, diffuseurs, personnages pays…</t>
  </si>
  <si>
    <t>205, route du Bras Long, 97403 Entre-Deux</t>
  </si>
  <si>
    <t xml:space="preserve">Robert Marie-Claire : 0692654081 , Robert Marie-Claire : 0262273218 / 0692654081 ,  0692654081 </t>
  </si>
  <si>
    <t>-21.229777, 55.473709</t>
  </si>
  <si>
    <t>Kaïcia Snack (Le)</t>
  </si>
  <si>
    <t>Kaïcia Snack (Le)
22 rue Jamrosa Bras-Long
97414 Entre-Deux</t>
  </si>
  <si>
    <t>Le Kaïcia Snack est situé à l'Entre-Deux et propose des sandwichs, des salades, des burgers ... à emporter.</t>
  </si>
  <si>
    <t>Ouvert du mardi au samedi de 10h30 à 14h et de 18h à 21h30. Le dimanche de 18h à 21h30. Fermé le lundi.</t>
  </si>
  <si>
    <t>22 rue Jamrosa Bras-Long, 97403 Entre-Deux</t>
  </si>
  <si>
    <t xml:space="preserve"> 0692332005 ,  0692332005 </t>
  </si>
  <si>
    <t>-21.216547, 55.472341</t>
  </si>
  <si>
    <t>BRAS-LONG, Réunion</t>
  </si>
  <si>
    <t>Kasali (La)</t>
  </si>
  <si>
    <t>Kasali (La)
2, chemin Dalhias - Vincendo
97480 Saint-Joseph</t>
  </si>
  <si>
    <t>http://perso.numericable.fr/lakasali</t>
  </si>
  <si>
    <t>frederic.robin@izi.re</t>
  </si>
  <si>
    <t>Située  dans le Sud Sauvage à Vincendo, sur la commune de Saint-Joseph, à 3 km de la mer, La Kasali propose un studio de 20 m² de capacité 3 personnes. Il est doté d'un coin cuisine aménagé comprenant une plaque chauffante. Il dispose d'un lit double et d'un lit simple.  A proximité : cascade Langevin, la marine de Vincendo, les randonnées vers le Volcan...</t>
  </si>
  <si>
    <t>Kasali (La) - Robin Frédéric</t>
  </si>
  <si>
    <t>2, chemin des Dalhias  - Vincendo, 97412 Saint-Joseph</t>
  </si>
  <si>
    <t xml:space="preserve">Robin Frédéric : frederic.robin@izi.re / 0262881049 / 0692236648 , Robin Frédéric : frederic.robin@izi.re / 0262881049 / 0692236648 </t>
  </si>
  <si>
    <t>-21.377258, 55.662228</t>
  </si>
  <si>
    <t>Impasse des Dalhias, Réunion</t>
  </si>
  <si>
    <t>Kauri (Le)</t>
  </si>
  <si>
    <t>Kauri (Le)
3, rue des Palmiers
97430 Le Tampon</t>
  </si>
  <si>
    <t>http://www.lekauri.fr inexistant</t>
  </si>
  <si>
    <t>lave linge collectif,linge de maison,parking,salon de jardin,TV</t>
  </si>
  <si>
    <t>contact@lekauri.fr</t>
  </si>
  <si>
    <t>Au Tampon, Le Kauri propose 2 meublés situés en dessous de la maison du propriétaire. Entrée indépendante.</t>
  </si>
  <si>
    <t>Les meublés sont équipés pour accueillir 8 personnes.</t>
  </si>
  <si>
    <t>Kauri (Le) - Lallemand Louis</t>
  </si>
  <si>
    <t>3, rue des Palmiers, 97422 Le Tampon</t>
  </si>
  <si>
    <t xml:space="preserve">Lallemand Louis : contact@lekauri.fr / 0262227846 / 0692044239 / Propriétaire ,  contact@lekauri.fr / 0262227846 / 0692044239 </t>
  </si>
  <si>
    <t>-21.29211, 55.526295</t>
  </si>
  <si>
    <t>3 Rue des Palmiers, Réunion</t>
  </si>
  <si>
    <t>rec2VkaNFgTUZQarj</t>
  </si>
  <si>
    <t>Kaz à Mélina (La)</t>
  </si>
  <si>
    <t>Kaz à Mélina (La)
119, rue Georges Pompidou - 13ème Km
97430 Le Tampon</t>
  </si>
  <si>
    <t>http://www.bonplanreunion.com</t>
  </si>
  <si>
    <t>four,jardin,lave linge privatif,parking,TV</t>
  </si>
  <si>
    <t>la-kaz-a-melina@wanadoo.fr</t>
  </si>
  <si>
    <t>La Kaz à Mélina située à 700 m d'altitude entre mer et montagne sera le point de départ pour les randonnées et la découverte des sites touristiques des Hautes Plaines, le Volcan et le Sud Sauvage ou encore la plage de Saint-Pierre.</t>
  </si>
  <si>
    <t>Maison indépendante agréablement meublée et classée *** pour 2 personnes et un enfant, mitoyenne avec celle du propriétaire. Le meublé comprend une chambre à coucher et un lit BB, un séjour, une cuisine équipée, une salle de bain, une grande terrasse aménagée donnant sur un petit jardin créole, avec parking privatif et clôturé. Proche de toutes commodités, à 15 min de Saint-Pierre. Le calme et la tranquillité sont des atouts indéniables de La kaz à Mélina.</t>
  </si>
  <si>
    <t xml:space="preserve">En venant de Saint-Pierre, arrivée au rond-point du collège du 12ème km suivre l'itinéraire fléché à gauche.
En venant de la Plaine des Cafres, prendre à droite dans le rond-point du collège du 12ème km.   </t>
  </si>
  <si>
    <t>Kaz à Mélina (La) - Valromex Marie-Renée</t>
  </si>
  <si>
    <t>119, rue Georges Pompidou - 13ème Km, 97422 Le Tampon</t>
  </si>
  <si>
    <t xml:space="preserve">Valromex Marie-Renée : la-kaz-a-melina@wanadoo.fr / 0262572819 / 0692004332 / 0262572819 / Propriétaire , Valromex Marie-Renée : la-kaz-a-melina@wanadoo.fr / 0262572819 / 0692004332 / Propriétaire , Valromex Marie-Renée : la-kaz-a-melina@wanadoo.fr / 0262572819 / 0692004332 / Propriétaire </t>
  </si>
  <si>
    <t>-21.260868, 55.522356</t>
  </si>
  <si>
    <t>https://book.reunion.fr/fr/hebergements/a1598922/la-kaz-à-mélina-n°1/reserver? | Réunion.fr</t>
  </si>
  <si>
    <t>CSC162HTI</t>
  </si>
  <si>
    <t>Mode de paiment,Descriptif du plan d'accès,Labels</t>
  </si>
  <si>
    <t>119 Rue Georges Pompidou, 97430, Réunion</t>
  </si>
  <si>
    <t>rectgw5U8BugwUIyW</t>
  </si>
  <si>
    <t xml:space="preserve">Maison indépendante agréablement meublée pour 2 à 4 personnes, mitoyenne avec celle du propriétaire. Le gîte comprend 2 chambres et un lit BB, un séjour, une cuisine équipée, une salle de bains, une grande terrasse aménagée donnant sur un petit jardin privatif créole privatif et parking clôturé, où il est agréable de déjeuner ou d'apprécier des moments paisibles en écoutant le chant des oiseaux.
Le calme et la tranquillité sont des atouts indéniables. </t>
  </si>
  <si>
    <t>Gîtes de France,Qualité Tourisme Ile de La Réunion</t>
  </si>
  <si>
    <t>https://book.reunion.fr/fr/hebergements/1472571/la-kaz-%c3%a0-m%c3%a9lina-n%c2%b02/reserver? | Réunion.fr</t>
  </si>
  <si>
    <t>CSC163HTJ</t>
  </si>
  <si>
    <t>Mode de paiment,Classement,Descriptif,Descriptif du plan d'accès,Labels</t>
  </si>
  <si>
    <t>Kaz Biloute</t>
  </si>
  <si>
    <t>Kaz Biloute
12 Impasse Théophane Bègue - Grande Ferme
Plaine des Cafres
97418 La Plaine des Cafres</t>
  </si>
  <si>
    <t>http://kazbiloute.blogspot.com</t>
  </si>
  <si>
    <t>Kazbiloute est une maison en bois située dans les hauts de l'île.</t>
  </si>
  <si>
    <t>Villa disposant de 2 chambres au rez-de-chaussée, une grande chambre à l'étage et un grand salon, une cuisine, un espace de cuisiner au feu de bois.
Endroit calme.</t>
  </si>
  <si>
    <t>Kazbiloute - Fremousse Jean-Luc</t>
  </si>
  <si>
    <t>12 Impasse Théophane Bègue - Grande Ferme, 97422 Le Tampon</t>
  </si>
  <si>
    <t xml:space="preserve">Fremousse Jean-Luc : 0692656501 ,  0692656501 </t>
  </si>
  <si>
    <t>-21.212119, 55.591862</t>
  </si>
  <si>
    <t>CSC51HTF</t>
  </si>
  <si>
    <t>Impasse Theophane Begue, La Plaine des Cafres, Réunion</t>
  </si>
  <si>
    <t>recwM6Lyl5FSnTNKi</t>
  </si>
  <si>
    <t>Kaz Héliconia</t>
  </si>
  <si>
    <t>Kaz Héliconia
37, rue Alverdy
97430 Le Tampon</t>
  </si>
  <si>
    <t>barbecue,climatisation,fer et planche à repasser,lave linge privatif,linge de maison,linge de toilette,parking,piscine,TV satellite,ventilateur,wifi</t>
  </si>
  <si>
    <t>Chèque,Virement</t>
  </si>
  <si>
    <t>kaz.heliconia@gmail.com</t>
  </si>
  <si>
    <t xml:space="preserve">Au Tampon, Kaz Héliconia propose un appartement situé à l'étage de la maison des propriétaires.
Situé à 450 m d'altitude, il permet de profiter durant l'été d'un climat très agréable. A 8 km des plages de Saint-Pierre. </t>
  </si>
  <si>
    <t>Kaz Héliconia dispose de 3 chambres climatisées dont 2 avec lit double en 160, une avec lit double en 160 et 2 lits en 90 superposés et une autre avec  lit double en 160 avec vue sur mer. L'appartement comprend également une grande pièce avec salon/salle à manger/cuisine équipée, 2 WC, une salle de bain avec douche et une terrasse avec barbecue. Possibilité de garer 2 véhicules à l'intérieur de la propriété.</t>
  </si>
  <si>
    <t>De Saint-Pierre suivre la N3 jusqu'à l'entrée du Tampon. Au rond-point prendre la direction "Trois Mares" continuer tout droit, traverser la rue Albert Fréjaville, puis tourner à gauche dans la rue Averdy. Kaz Héliconia se trouve au n°37.</t>
  </si>
  <si>
    <t>Kaz Héliconia - Van Ruymbeke / Passegue  Isabelle</t>
  </si>
  <si>
    <t>37, rue Alverdy, 97422 Le Tampon</t>
  </si>
  <si>
    <t xml:space="preserve">Van Ruymbeke / Passegue  Isabelle : kaz.heliconia@gmail.com / 0692321475 / Propriétaire , Van Ruymbeke / Passegue  Isabelle : kaz.heliconia@gmail.com / 0692321475 / Propriétaire </t>
  </si>
  <si>
    <t>-21.282222, 55.508611</t>
  </si>
  <si>
    <t>CSC164HTK</t>
  </si>
  <si>
    <t>Mode de paiment,Accroche,Fournisseur - Nom,Fournisseur - contacts</t>
  </si>
  <si>
    <t>37 Rue Alverdy, Réunion</t>
  </si>
  <si>
    <t>receo64ZELAxuVa9t</t>
  </si>
  <si>
    <t>Kaz Lizette (La)</t>
  </si>
  <si>
    <t>La Kaz Lizette</t>
  </si>
  <si>
    <t>Kaz Lizette (La)
12, rue du Raccourci
Plaine des Grègues
97480 Saint-Joseph</t>
  </si>
  <si>
    <t>http://www.la-kaz-lizette.re</t>
  </si>
  <si>
    <t>jardin,micro-ondes,parking,TV,wifi</t>
  </si>
  <si>
    <t>lakazlizette@orange.fr</t>
  </si>
  <si>
    <t>Située à Saint-Joseph au cœur du Village Créole, La Kaz Lizette propose une chambre d'hôte.</t>
  </si>
  <si>
    <t xml:space="preserve">Au 1er étage de la maison du propriétaire, la chambre dispose d'un lit double (160), une banquette lit (120), des sanitaires privés, de la vaisselle pour le petit-déjeuner, d'un coin salon avec table et chaises. A disposition cour privative et jardin, table et chaise de jardin et parking privé. Location non fumeur.
Vue sur le jardin et l'ensemble du village. </t>
  </si>
  <si>
    <t>En venant de Saint-Pierre, sur la Départementale 2, direction Carrosse les Lianes. Arriver à la Plaine des Grègues 50 m à droite après la supérette du village. La Kaz Lizette  se situe au n° 12, 50 m plus loin.</t>
  </si>
  <si>
    <t>Kaz Lizette (La) - Vitry Bernadette</t>
  </si>
  <si>
    <t>12, rue du Raccourci, 97412 Saint-Joseph</t>
  </si>
  <si>
    <t xml:space="preserve">Vitry Bernadette : lakazlizette@orange.fr / 0692698487 / Propriétaire , Vitry Bernadette : lakazlizette@orange.fr / 0692698487 / Propriétaire </t>
  </si>
  <si>
    <t>-21.332276, 55.608946</t>
  </si>
  <si>
    <t>59.00</t>
  </si>
  <si>
    <t>CSC170HTH</t>
  </si>
  <si>
    <t>pending</t>
  </si>
  <si>
    <t>Site web,Mode de paiment,Capacité,Descriptif,Jours et horaires d'ouverture,Fournisseur - Nom,Fournisseur - SIRET</t>
  </si>
  <si>
    <t>12 Rue du Raccourci, Réunion</t>
  </si>
  <si>
    <t>Kaz Madi</t>
  </si>
  <si>
    <t>Kaz Madi
7, impasse des Pêchers
97414 Entre-Deux</t>
  </si>
  <si>
    <t>linge de maison,linge de toilette,micro-ondes,parking,TV</t>
  </si>
  <si>
    <t>m.marika@hotmail.fr</t>
  </si>
  <si>
    <t>Situé à l'Entre-Deux, la Kaz Madi, est un meublé équipé pour 6 personnes, disposant d'une chambre triple avec lit double et simple (superposés), un canapé lit dans la pièce principale, une cuisine équipée et une véranda.</t>
  </si>
  <si>
    <t>Kaz Madi - Maillot Marika</t>
  </si>
  <si>
    <t>7, impasse des Pêchers, 97403 Entre-Deux</t>
  </si>
  <si>
    <t xml:space="preserve">Maillot Marika : m.marika@hotmail.fr / 0692285557 / Gérant(e) , Maillot Marika : m.marika@hotmail.fr / 0692285557 / Gérant(e) </t>
  </si>
  <si>
    <t>-21.237867, 55.470893</t>
  </si>
  <si>
    <t>7 Impasse des Pechers, Réunion</t>
  </si>
  <si>
    <t>Kaz Poule d'Eau</t>
  </si>
  <si>
    <t>Kaz Poule d'Eau
38, chemin Dijoux
97414 Entre-Deux</t>
  </si>
  <si>
    <t>barbecue,four,jardin,micro-ondes,TV</t>
  </si>
  <si>
    <t>marcelle_babef@hotmail.fr</t>
  </si>
  <si>
    <t>Située à l' Entre Deux  dans un endroit calme, la Kaz Poule d'Eau  propose 2 meublés.</t>
  </si>
  <si>
    <t>Un d'une capacité de 2 personnes et l'autre de 4 personnes. Les 2  disposent d'une cuisine et d'une salle de séjour équipée. Un espace de verdure avec coin barbecue est à disposition des résidents.</t>
  </si>
  <si>
    <t>Kaz Poule D'Eau - Babef Marcelle</t>
  </si>
  <si>
    <t>38, chemin Dijoux, 97403 Entre-Deux</t>
  </si>
  <si>
    <t xml:space="preserve">Babef  : marcelle_babef@hotmail.fr / 0262395309 / 0692732728 / 0692214264 / Propriétaire , Babef Marcelle et Paulin : marcelle_babef@hotmail.fr / 0262395309 / 0692732728 / 0692214264 / Propriétaire </t>
  </si>
  <si>
    <t>-21.244807, 55.467567</t>
  </si>
  <si>
    <t>Kaz Ti Gens (La)</t>
  </si>
  <si>
    <t>Kaz Ti Gens (La)
4 C rue des Bougainvilliers
97480 Saint-Joseph</t>
  </si>
  <si>
    <t>barbecue,fer et planche à repasser,lave linge privatif,linge de maison,linge de toilette,parking,sanitaires privés,TV,ventilateur,wifi,jacuzzi</t>
  </si>
  <si>
    <t>lakaztigens@gmail.com</t>
  </si>
  <si>
    <t>Situé à Jean-Petit, à Saint-Joseph, La Kaz Ti Gens propose une maison de 74 m² d'une capacité de 6 personnes.</t>
  </si>
  <si>
    <t xml:space="preserve">La Kaz Ti Gens se situe dans un village agricole, où l'on cultivait autrefois le vétiver. Cette location de vacances niché entre deux remparts (la Rivière des Remparts et la Rivière Langevin) est le lieu idéal pour des vacances en famille ou entre amis. 
Avec ses 3 chambres elle peut accueillir jusqu'à 6 personnes. 
A disposition : un barbecue, un jacuzzi, une cuisine entièrement équipée, le linge de maison et une machine à laver. </t>
  </si>
  <si>
    <t xml:space="preserve">En venant de Saint-Pierre, prendre la route départementale RD33 en direction de Jean Petit / Grand Coude. 
En venant de Saint-Philippe, à partir de la gare routière de Saint-Joseph rouler une dizaine de minutes jusqu'à arriver sur une ligne droite dans le village Jean Petit. A mi-chemin de cette ligne, prendre à votre gauche : rue Bougainvilliers. Avancer 70m et côté montagne prendre l'allée en graviers.   </t>
  </si>
  <si>
    <t>Kaz Ti Gens (La) - Lebon Gérard</t>
  </si>
  <si>
    <t>4 bis rue des Bougainvilliers, 97412 Saint-Joseph</t>
  </si>
  <si>
    <t xml:space="preserve">Lebon Gérard : lakaztigens@gmail.com / 0692934548 / Gérant(e) , Lebon Gérard : lakaztigens@gmail.com / 0692934548 / Gérant(e) </t>
  </si>
  <si>
    <t>-21.348, 55.632</t>
  </si>
  <si>
    <t>CSC313HT@</t>
  </si>
  <si>
    <t>4 Rue des Bougainvilliers, Réunion</t>
  </si>
  <si>
    <t>recZx01uZHg0R4TGL</t>
  </si>
  <si>
    <t>Kaz Ti Martin Dé O La Réunion (La)</t>
  </si>
  <si>
    <t>Kaz Ti Martin Dé O La Réunion (La)
258, chemin Frappier de Montbenoît
Plaine des Cafres
97418 La Plaine des Cafres</t>
  </si>
  <si>
    <t>barbecue,fer et planche à repasser,parking,TV</t>
  </si>
  <si>
    <t>s.chassenieux@orange.fr</t>
  </si>
  <si>
    <t>Au cœur de l'île de La Réunion, située entre l'Est et le Sud, La Kaz Ti Martin Dé O permet de découvrir l'intérieur de l'île. Endroit calme.</t>
  </si>
  <si>
    <t xml:space="preserve">Entre terre et mer à proximité de La Cité du Volcan, du Parc National, des sentiers de randonnée (forêt de Bélouve, grand Bassin, le Piton des Neiges, le Piton de la Fournaise) et aussi les plages du Sud et de son aéroport.
La maison est idéale pour les randonneurs avec ou sans bébé, matériel pour bébé à disposition.
profiter de son calme et de la fraîcheur des hauts et en 30 min de la chaleur des plages du Sud. Le sommet du Piton des Neiges est visible depuis la terrasse par beau temps.
La maison dispose de 2 chambres, une double et une triple avec un lit bébé et d'un canapé-lit dans la pièce à vivre. </t>
  </si>
  <si>
    <t xml:space="preserve">De Saint-Benoît, suivre la RN3 jusqu'à l'église de La Plaine des Cafres et tourner à droite après l'église et avant la supérette Simply
Du Tampon, prendre la RN3 jusqu'à La Plaine des Cafres, continuer jusqu'à la pharmacie de La Plaine, après la pharmacie tourner à gauche après la supérette. 
Prendre ensuite la direction de Bois Court D70 chemin Raphaël Douyère jusqu'à la charcuterie Payet   </t>
  </si>
  <si>
    <t>Ti Kaz Papang Lé O La Réunion - Chassenieux Sonia</t>
  </si>
  <si>
    <t>31, rue de Vienne, 97422 Le Tampon</t>
  </si>
  <si>
    <t xml:space="preserve">Chassenieux Sonia : s.chassenieux@orange.fr / 0692607912 , CHASSENIEUX Sonia : s.chassigneux@orange.fr / 0692607912 / Propriétaire , CHASSENIEUX Sonia : s.chassenieux@orange.fr / 0692607912 / Propriétaire </t>
  </si>
  <si>
    <t>-21.211792, 55.540855</t>
  </si>
  <si>
    <t>CSC26HTH</t>
  </si>
  <si>
    <t>258 Chemin Frappier de Montbenoit, La Plaine des Cafres, Réunion</t>
  </si>
  <si>
    <t>Kaza Pizza</t>
  </si>
  <si>
    <t>Kaza Pizza
Rue Fortuné Hoarau
97414 Entre-Deux</t>
  </si>
  <si>
    <t>Pizzeria</t>
  </si>
  <si>
    <t>Kaza Pizza est une pizzeria située dans la ville de l'Entre-Deux.</t>
  </si>
  <si>
    <t>Rue Fortuné Hoarau, 97403 Entre-Deux</t>
  </si>
  <si>
    <t>-21.24898, 55.469909</t>
  </si>
  <si>
    <t>Rue Fortune Hoarau, Réunion</t>
  </si>
  <si>
    <t>Kios'q Pizza</t>
  </si>
  <si>
    <t>Kios'q Pizza
Chemin du Repos - 23ème km
Plaine des Cafres
97418 La Plaine des Cafres</t>
  </si>
  <si>
    <t>sentier de randonnée,équitation,site - lieu culturel,point de vue panoramique</t>
  </si>
  <si>
    <t>bd.chevalier@gmail.com</t>
  </si>
  <si>
    <t>Kios'q Pizza propose des pizzas dans le village de la Plaine des Cafres.</t>
  </si>
  <si>
    <t>Chemin du Repos - 23ème km, 97422 Le Tampon</t>
  </si>
  <si>
    <t xml:space="preserve"> bd.chevalier@gmail.com / 0262592531 / 0692606479 ,  bd.chevalier@gmail.com / 0262592531 / 0692606479 </t>
  </si>
  <si>
    <t>-21.220721, 55.552577</t>
  </si>
  <si>
    <t>Imp. des Boulisters, La Plaine des Cafres, Réunion</t>
  </si>
  <si>
    <t>recMgWQrTWMVok83m</t>
  </si>
  <si>
    <t>Kokapat Rando</t>
  </si>
  <si>
    <t>Kokapat Rando
109, chemin Farjeau - Trois Mares
97430 Le Tampon</t>
  </si>
  <si>
    <t>http://www.kokapatrando-reunion.com</t>
  </si>
  <si>
    <t>kokapatrando@gmail.com</t>
  </si>
  <si>
    <t>Kokapat Rando propose des visites de tunnels de lave, en demi- journée, petite journée et journée sportive. 
Nouveauté 2017 : visite du tunnel bleu. Ce magnifique tunnel privé offre des sculptures de lave uniques et impressionnantes datant de plus de 22 000 ans et parfaitement conservées. Ce tunnel est classé parmi les 3 plus beaux tunnels de La Réunion. 
Kokapat Rando organise également des randonnées à la journée, des circuits ou des trekkings tout compris sur plusieurs jours pour découvrir l'île de La Réunion à travers un large choix de randonnées : Mafate, le Volcan, Cilaos, Salazie, le Piton des Neiges, les forêts de Bélouve et Bébour...</t>
  </si>
  <si>
    <t>Toutes les prestations sont encadrées par un professionnel de montagne Diplômé d'Etat. Transferts en minibus climatisé et pique-niques (midi) sont inclus dans les tarifs.
Sont exclus: les boissons, les achats de souvenirs.
Tarif spécial pour les enfants de 6 à 12 ans (consulter Kokapat Rando). 
Pour les sortie Tunnel de lave : Sortie en groupe de 6 personnes maximum, le matériel spécifique à l'activité est fourni. Point de rendez-vous et accueil sur site. Durée 3 heures soit ½ journée au total. Les tarifs comprennent l’encadrement par des professionnels et le matériel spécifique à l’activité. Prévoir des affaires de rechanges, chaussures de sport et vêtement de pluie, de l’eau (min 1l/pers) Appareil photo pour une découverte inoubliable.</t>
  </si>
  <si>
    <t>Lieux de rendez-vous différents selon les activités. Se renseigner auprès de Kokapat Rando.</t>
  </si>
  <si>
    <t>Kokapat Rando - Laurent Rudy</t>
  </si>
  <si>
    <t>109, chemin Farjeau - Trois Mares -, 97422 Le Tampon</t>
  </si>
  <si>
    <t xml:space="preserve">Laurent Rudy : kokapat.rando@hotmail.fr / 0262333014 / 0692699414 / 0262333014 / Gérant(e) , Laurent Rudy : kokapat.rando@hotmail.fr
kokapatrando@gmail.com / 0262333014 / 0692699450 / 0692699414 / 0262333014 / Gérant(e) </t>
  </si>
  <si>
    <t>-21.253754, 55.50813</t>
  </si>
  <si>
    <t>Mode de paiment,Fax,Accroche,Descriptif,Fournisseur - contacts</t>
  </si>
  <si>
    <t>Tunnels de Lave La Réunion : Tunnels de Lave KOKAPAT RANDO Île de La Réunion, 109 Chemin Farjeau, 97430, Réunion</t>
  </si>
  <si>
    <t>Komboutcha</t>
  </si>
  <si>
    <t>Komboutcha
21, chemin Boissy - Bérive
97430 Le Tampon</t>
  </si>
  <si>
    <t>edjoe974@orange.fr</t>
  </si>
  <si>
    <t>Kombutcha propose 2 meublés</t>
  </si>
  <si>
    <t>Les Bleuets de 40 m² et les Abeilles de 30 m². Ils sont équipés pour 6 personnes.</t>
  </si>
  <si>
    <t>Kombutcha</t>
  </si>
  <si>
    <t>21, chemin Boissy - Bérive, 97422 Le Tampon</t>
  </si>
  <si>
    <t xml:space="preserve">Hoarau Edmand : edjoe974@orange.fr / 0262388040 / 0692777177 / 0262384040 / Propriétaire , Hoarau Edmond : edjoe974@orange.fr / 0262388040 / 0692777177 </t>
  </si>
  <si>
    <t>-21.315038, 55.534875</t>
  </si>
  <si>
    <t>21 Chemin Boissy, Réunion</t>
  </si>
  <si>
    <t>recPxUpOmOt9GPJio</t>
  </si>
  <si>
    <t>Korrigans (Les)</t>
  </si>
  <si>
    <t>Korrigans (Les)
166 rue Albert Frejaville
97430 Le Tampon</t>
  </si>
  <si>
    <t>Crêperie</t>
  </si>
  <si>
    <t>arrêt bus,banque - guichet automatique,commerce alimentaire</t>
  </si>
  <si>
    <t>Carte Bancaire,Eurocard,Tickets restaurant,Espèces</t>
  </si>
  <si>
    <t>leskorrigans974@gmail.com</t>
  </si>
  <si>
    <t>La Crêperie Les Korrigans propose des crêpes salées et sucrées à composer soi-même.</t>
  </si>
  <si>
    <t>Elle propose également des spécialités, des salades, des burgers bretons généreux, des glaces, accompagnés de cidres traditionnels et de cocktails dans un espace cosy et chaleureux.
Ouvert du mardi au samedi de 11h45 à 13h30 et de 18h à 21h30.</t>
  </si>
  <si>
    <t>Centre de ville du Tampon, en haut de la rue du marché couvert et la gare routière.</t>
  </si>
  <si>
    <t>Korrigans 974 (Les) - Moulinec Aurélie</t>
  </si>
  <si>
    <t>166 rue Albert Frejaville, 97422 Le Tampon</t>
  </si>
  <si>
    <t xml:space="preserve">Moulinec Aurélie : aurelie.029@hotmail.fr / 0692924154 / Gérant(e) ,  leskorrigans974@gmail.com / 0262870720 </t>
  </si>
  <si>
    <t>-21.279, 55.515</t>
  </si>
  <si>
    <t>Kréolie 4x4</t>
  </si>
  <si>
    <t>Kréolie 4x4(E I)</t>
  </si>
  <si>
    <t>Kréolie 4x4
4, impasse des Avocats
97414 Entre-Deux</t>
  </si>
  <si>
    <t>http://www.kreolie4x4.com</t>
  </si>
  <si>
    <t>Sorties 4x4</t>
  </si>
  <si>
    <t>kreolie4x4@hotmail.fr</t>
  </si>
  <si>
    <t>Kréolie 4x4 propose de visiter les sites pittoresques de La Réunion accessibles uniquement en 4X4.</t>
  </si>
  <si>
    <t>Excursions proposées : 
- Journée Volcan/Sud: "L'incontournable"
- Journée Dimitile : "La Réunion profonde"
- Dimitile/Cilaos et Salazie/Marché de Saint-Paul.
5 véhicules à disposition soit 30 personnes par jour. Excursion avec chauffeur guide.</t>
  </si>
  <si>
    <t>Kréolie 4x4 - Nativel Thierry</t>
  </si>
  <si>
    <t>4, impasse des Avocats, 97403 Entre-Deux</t>
  </si>
  <si>
    <t xml:space="preserve">Nativel Thierry : kreolie4x4@hotmail.fr / 0262395087 / 0692865226 / 0262395087 / Transporteur ,  kreolie4x4@wanadoo.fr / 0262395087 / 0692865226 / 0262395087 </t>
  </si>
  <si>
    <t>-21.24051, 55.46728</t>
  </si>
  <si>
    <t>https://book.reunion.fr/fr/voir-faire/450761/kr%C3%A9olie-4x4/afficher-les-details | Réunion.fr</t>
  </si>
  <si>
    <t>4 Impasse des Avocats, Réunion</t>
  </si>
  <si>
    <t>recBUeYnswL1StoWc</t>
  </si>
  <si>
    <t>Kreolivan</t>
  </si>
  <si>
    <t>Kreolivan
56, RN2 - le Tremblet
97442 Saint-Philippe</t>
  </si>
  <si>
    <t>Situé au Tremblet à Saint-Philippe, Kreolivan propose la vente de produits artisanaux en vacoa, de peinture sur verre, de produits à base d'objets récupérés et de vanille. Un savoir-faire manuel et artistique que Mme Robert se fait une joie de partager. Ouvert du mardi au dimanche de 9h à 17h. Fermé le lundi.</t>
  </si>
  <si>
    <t xml:space="preserve">De l'ouest, dépasser le centre ville de Saint-Philippe continuer jusqu'à l'église du Tremblet, Kreolivan se trouve juste en face. 
De l'est, rouler jusqu'à l'église du Tremblet. Kréolivan se trouve juste face. </t>
  </si>
  <si>
    <t>Kreolivan - Robert Sylvie</t>
  </si>
  <si>
    <t>56, RN2 - Le Tremblet, 97417 Saint-Philippe</t>
  </si>
  <si>
    <t xml:space="preserve">Robert Sylvie : 0693400314 , Robert Sylvie : 0692400314 </t>
  </si>
  <si>
    <t>Mode de paiment,Mobile,Descriptif du plan d'accès</t>
  </si>
  <si>
    <t>56 RN2, Réunion</t>
  </si>
  <si>
    <t>recN5bNxgghhfpEHE</t>
  </si>
  <si>
    <t>Kaz (La)</t>
  </si>
  <si>
    <t>La Kaz
2 bis, rue Josémont Lauret - Bourg-Murat
Bourg Murat
97418 La Plaine des Cafres</t>
  </si>
  <si>
    <t>mu.techer@laposte.net</t>
  </si>
  <si>
    <t>A La Plaine des Cafres, le restaurant La Kaz propose une cuisine traditionnelle au feu de bois.</t>
  </si>
  <si>
    <t>Il propose également des spécialités sénégalaises le week-end.
Restaurant ouvert tous les jours ainsi que les jours fériés de 11h à 22h.</t>
  </si>
  <si>
    <t>Sarl La Kaz - Técher Murielle</t>
  </si>
  <si>
    <t>6, impasse Ramond PK 27 - Bourg-Murat, 97422 Le Tampon</t>
  </si>
  <si>
    <t xml:space="preserve">Técher Murielle : mu.techer@laposte.net / 0262574059 / 0693603776 / Gérant(e) , TECHER Murielle : mu.techer@laposte.net / 0262574059 / 0693603776 </t>
  </si>
  <si>
    <t>-21.204046, 55.578224</t>
  </si>
  <si>
    <t>rectYxHpmY1O4G5QB</t>
  </si>
  <si>
    <t>Table des Randonneurs (La)</t>
  </si>
  <si>
    <t>La Table des Randonneurs
17, chemin des Barbadines - Jacques Payet
97480 Saint-Joseph</t>
  </si>
  <si>
    <t>sentier de randonnée,sentier de grande randonnée,commerce alimentaire,riviere,parking public</t>
  </si>
  <si>
    <t>grondintdr@gmail.com</t>
  </si>
  <si>
    <t>Niché aux abords de la forêt, ce lieu calme et verdoyant dispose d'une table d'hôte.</t>
  </si>
  <si>
    <t>La table d'hôte propose une cuisine traditionnelle au feu de bois. Spécialités : produits de la ferme (canard fumé aux vacoas, porc palmiste, mousse à la patate douce, café grillé au feu de bois, légumes du jardin).</t>
  </si>
  <si>
    <t>Prendre direction Saint-Joseph. Arrivée à Vincendo, prendre la D37, suivre la signalétique jusqu'au village Jacques Payet, prendre le chemin Barbadine.</t>
  </si>
  <si>
    <t>Table des Randonneurs (La) - Grondin Marie Michèle</t>
  </si>
  <si>
    <t>17 chemin des Barbadines, 97412 Saint-Joseph</t>
  </si>
  <si>
    <t xml:space="preserve">Grondin Marie Michèle : 0692617347 / Gérant(e) , Grondin Marie Michèle : 0692617347 ,  0692617347 </t>
  </si>
  <si>
    <t>-21.34488051, 55.68604955</t>
  </si>
  <si>
    <t>Mode de paiment,E-Mail</t>
  </si>
  <si>
    <t>Jacques Payet, 17 Chemin Barbadines, 97480, Réunion</t>
  </si>
  <si>
    <t>Labyrinthe en Champ Thé (Le)</t>
  </si>
  <si>
    <t>Le Labyrinthe en Champ Thé</t>
  </si>
  <si>
    <t>Labyrinthe en Champ Thé (Le)
Rue Emile Mussard - Grand Coude
Grand Coude
97480 Saint-Joseph</t>
  </si>
  <si>
    <t>http://www.enchampthe.com</t>
  </si>
  <si>
    <t>info@enchampthe.com</t>
  </si>
  <si>
    <t xml:space="preserve">Bienvenue dans le labyrinthe enchanté...
Situé à Grand Coude à Saint-Joseph, le Labyrinthe en Champ Thé propose de découvrir le thé pays de l'arbre à la tasse et des jeux pour petits et grands. </t>
  </si>
  <si>
    <t xml:space="preserve">Lors des visites encadrée, le guide accompagne sur le circuit à la découverte du thé, de son histoire à La Réunion, de la fabrication, découverte du géranium et de son alambic, puis visite à travers la forêt de théiers et dégustation des produits de la ferme dont le thé blanc.
Vente de thé et d’huiles essentielles de l’exploitation, de miel et autres produits agricoles.
Possibilité d’amener son pique-nique à l’intérieur du labyrinthe.
Visite guidée à partir de 2 personnes, en semaine et en week-end, à 10h00 et à 14h00, sur réservation 24h00 à l’avance.
Visite libre du lundi au dimanche de 9h à 12h et de 13h à 17h 
Pour les particuliers, réservation au plus tard la veille. Réservation obligatoire 10 jours à l’avance pour scolaires, associations et comités d’entreprise. </t>
  </si>
  <si>
    <t xml:space="preserve">De Saint-Pierre à Saint-Joseph, au rond-point de la rivière des Remparts aller tout droit, puis au prochain rond-point direction Grand-Coude. 
De Saint-Philippe au rond-point de la gare routière, tourner à droite puis direction Jean-Petit, puis Grand-Coude. A Grand-Coude, première intersection à droite puis à 150 m.   </t>
  </si>
  <si>
    <t>Labyrinthe en Champ Thé (Le) - Guichard Johny</t>
  </si>
  <si>
    <t>20, chemin Ducheman - Grand Coude, 97412 Saint-Joseph</t>
  </si>
  <si>
    <t>Guichard Johny : info@enchampthe.com / 0262564140 / 0692601888 / 0262564140 / Gérant(e)</t>
  </si>
  <si>
    <t>-21.297089, 55.637855</t>
  </si>
  <si>
    <t>https://book.reunion.fr/fr/evenements/a792474/labyrinthe-en-champ-th%C3%A9-visite-libre/booking | Réunion.fr</t>
  </si>
  <si>
    <t>Mode de paiment,Fax,Accroche,Descriptif,Descriptif du plan d'accès</t>
  </si>
  <si>
    <t>Lacouture Jean-Louis</t>
  </si>
  <si>
    <t>Lacouture Jean-Louis
73, Route Nationale 3 - 22ème km
Plaine des Cafres
97418 La Plaine des Cafres</t>
  </si>
  <si>
    <t>chauffage,fer et planche à repasser,four,jardin,lave linge privatif,linge de maison,micro-ondes,parking</t>
  </si>
  <si>
    <t>centre commercial,parking public,site - lieu culturel,point de vue panoramique</t>
  </si>
  <si>
    <t>do.lacouture@wanadoo.fr</t>
  </si>
  <si>
    <t>Le gîte de Jean-Louis Lacouture propose la location d'une villa T3 dans une belle propriété calme et verdoyante, à proximité du village du 23ème km et de toutes ses commodités. Gîte indépendant en rez-de-chaussée avec garage, cuisinière à gaz, réfrigérateur, autocuiseur, cafetière électrique, cheminée (bois non fourni), eau chaude, gaz, électricité en supplément. 
La structure est de tout confort et comprend un séjour-cuisine, deux chambres et une terrasse. Tarifs dégressifs selon le nombre de personnes.
Forfait de ménage, non obligatoire, à régler au propriétaire en fin de séjour: 23 €/séjour. Du 20/12 au 31/01, la location est uniquement à la semaine (contacter directement le propriétaire).</t>
  </si>
  <si>
    <t>En venant de Saint-Pierre, après le panneau la Plaine des Cafres, continuer tout droit. Environ 150 m plus haut, après la station Elf, prendre une entrée qui mène au gîte sur la gauche, juste avant le virage.</t>
  </si>
  <si>
    <t>73,  Route Nationale 3 - 22ème km, 97422 Le Tampon</t>
  </si>
  <si>
    <t xml:space="preserve">Lacouture Jean-Louis : do.lacouture@wanadoo.fr / 0262590491 / 0692045665 ,  do.lacouture@wanado.fr / 0262590491 / 0692045665 </t>
  </si>
  <si>
    <t>-21.2273032, 55.55080331</t>
  </si>
  <si>
    <t>http://online2.citybreak.com/Accommodation/Details.aspx?onlineid=2118168317&amp;PropertyId=15235&amp;show=book | City Break</t>
  </si>
  <si>
    <t>Langevin (Le)</t>
  </si>
  <si>
    <t>Langevin (Le)
105, rue Victor Hugo
Langevin
97480 Saint-Joseph</t>
  </si>
  <si>
    <t>http://www.lelangevin974.fr</t>
  </si>
  <si>
    <t>barbecue,climatisation,four,jardin,lave linge privatif,micro-ondes,parking,TV</t>
  </si>
  <si>
    <t>sentier de randonnée,riviere,forêt</t>
  </si>
  <si>
    <t>lelangevin80@orange.fr</t>
  </si>
  <si>
    <t xml:space="preserve">Le Langevin est un Meublé de Tourisme, labellisé Clévacances, situé dans le village de Langevin, à Saint-Joseph. Villa de type T3, indépendant et tout confort.  Le logement comprend : un grand séjour-salle à manger, une cuisine indépendante équipée, 2 chambres, une salle de bain, un sanitaire indépendant et une terrasse.
A proximité immédiate de la rivière Langevin et à quelques kilomètres du centre ville et des principaux atouts touristiques du Sud (plage de Grand Anse, Manapany les Bains, la Route des Parfums et des Epices, marines, forêts, coulées volcaniques...). </t>
  </si>
  <si>
    <t>Langevin (Le) - Payet Marie-Sophi</t>
  </si>
  <si>
    <t>71, allée des Camomilles, 97416 Saint-Pierre</t>
  </si>
  <si>
    <t xml:space="preserve">Payet Marie-Sophie : lelangevin80@orange.fr / 0692607217 / Propriétaire , Payet Marie-Sophie : lelangevin80@orange.fr / 0692607217 / Propriétaire ,  lelangevin80@orange.fr </t>
  </si>
  <si>
    <t>-21.382505, 55.644</t>
  </si>
  <si>
    <t>105 Rue Victor Hugo, Réunion</t>
  </si>
  <si>
    <t>Le Paradise - Chez Lindley Le Mauricien Restaurant</t>
  </si>
  <si>
    <t>Le Paradise - Chez Lindley Le Mauricien Restaurant
34 rue Général de Gaulle
97430 Le Tampon</t>
  </si>
  <si>
    <t>Le Paradise - Chez Lindley Le Mauricien Restaurant est situé au Tampon.</t>
  </si>
  <si>
    <t>Le restaurant propose des plats mauricien, chinois, des salades, des snacks.</t>
  </si>
  <si>
    <t>34 rue Général de Gaulle, 97422 Le Tampon</t>
  </si>
  <si>
    <t xml:space="preserve"> 0692960748 ,  0692960748 </t>
  </si>
  <si>
    <t>-21.272175, 55.516163</t>
  </si>
  <si>
    <t>103a Rue du Gral de Gaulle, 97430, Réunion</t>
  </si>
  <si>
    <t>Volcan (Le)</t>
  </si>
  <si>
    <t>Le volcan
volcan
97418 La Plaine des Cafres</t>
  </si>
  <si>
    <t>Parc de loisirs</t>
  </si>
  <si>
    <t>Parcours acrobatiques - Tyrolienne</t>
  </si>
  <si>
    <t>Le volcan</t>
  </si>
  <si>
    <t>lieu remarquable Volcan</t>
  </si>
  <si>
    <t>volcan, 97422 Le Tampon</t>
  </si>
  <si>
    <t>-21.2039679,55.5784803</t>
  </si>
  <si>
    <t>recq28sGlflaf7WsB</t>
  </si>
  <si>
    <t>Lebeau Ti Tour</t>
  </si>
  <si>
    <t>Lebeau Ti Tour
18 chemin Doudou
97430 Le Tampon</t>
  </si>
  <si>
    <t>http://www.lebeautitour.com</t>
  </si>
  <si>
    <t>lebeautitour@gmail.com</t>
  </si>
  <si>
    <t>Avec Florence, guide de métier, découverte de La Réunion et de ses secrets.</t>
  </si>
  <si>
    <t>En plus des excursions à la journée ou à la demi-journée, Lebeau Ti Tour propose des transferts et diverses courses sur toute l'île.</t>
  </si>
  <si>
    <t>Lebeau Ti Tour - LEBEAU Florence</t>
  </si>
  <si>
    <t>18 chemin Doudou, 97422 Le Tampon</t>
  </si>
  <si>
    <t>LEBEAU Florence : lebeautitour@gmail.com / 0262013289 / 0692590350 / Gérant(e)</t>
  </si>
  <si>
    <t>-21.244, 55.511</t>
  </si>
  <si>
    <t>Mode de paiment,Fixe</t>
  </si>
  <si>
    <t>18 Chemin Doudou, 97430, Réunion</t>
  </si>
  <si>
    <t>recWhWauzB077mMAC</t>
  </si>
  <si>
    <t>Ledoyen Frantz (Kakouk Tisaneur)</t>
  </si>
  <si>
    <t>Ledoyen Frantz
7, chemin de l’Argamasse
97414 Entre-Deux</t>
  </si>
  <si>
    <t>"Tisaneur" situé au Dimitile, sur les hauteurs de l'Entre-Deux, Frantz propose les tisanes du pays.</t>
  </si>
  <si>
    <t>Ledoyen Frantz</t>
  </si>
  <si>
    <t>7, chemin de l'Argamasse, 97403 Entre-Deux</t>
  </si>
  <si>
    <t xml:space="preserve">Ledoyen Frantz : 0262396203 , Ledoyen Frantz : 0262396203 / 0692838187 ,  0262396203 / 0692838187 </t>
  </si>
  <si>
    <t>Nom commercial,Mode de paiment,Fournisseur - Nom,Fournisseur - SIRET</t>
  </si>
  <si>
    <t>Lélokalizé</t>
  </si>
  <si>
    <t>Lélokalizé
24 bis, chemin Jean-Baptiste
Plaine des Cafres
97418 La Plaine des Cafres</t>
  </si>
  <si>
    <t>barbecue,chauffage,fer et planche à repasser,jardin,linge de maison,parking,salle de bain privée,sanitaires privés,TV</t>
  </si>
  <si>
    <t>lelokalize@hotmail.fr</t>
  </si>
  <si>
    <t>A La Plaine des Cafres, entre mer et montagne, Lé Lok Alizé propose 3 chambres d'hôtes.</t>
  </si>
  <si>
    <t xml:space="preserve">Les chambres sont équipées de lit double et de sanitaires privés. Entrée indépendante. Espace de jeux extérieur pour les enfants (balançoire et trampoline...), billard et babyfoot. Salle à manger, cuisine et kiosque à disposition.
A proximité des sentiers de randonnées. </t>
  </si>
  <si>
    <t>En venant du Tampon, prendre la Nationale 3 direction La Plaine des Cafres, tourner à droite 100 m après la station essence rue du Coin Tranquille puis à gauche chemin Jean-Baptiste direction panneau Lélokalizé.</t>
  </si>
  <si>
    <t>Lélokalizé - Ethève Marie Alice</t>
  </si>
  <si>
    <t>24 bis, chemin Jean-Baptiste, 97422 Le Tampon</t>
  </si>
  <si>
    <t xml:space="preserve">Ethève Marie Alice : lelokalize@hotmail.fr / 0262575283 / 0692087449 / Propriétaire , Ethève Marie Alice : lelokalize@hotmail.fr / 0262575283 / 0692087449 / Propriétaire </t>
  </si>
  <si>
    <t>-21.227456, 55.553789</t>
  </si>
  <si>
    <t>CSC46HTJ</t>
  </si>
  <si>
    <t>24 Chemin Jean Baptiste, La Plaine des Cafres, Réunion</t>
  </si>
  <si>
    <t>recF6tdnYmGKDNp2i</t>
  </si>
  <si>
    <t>Bougies de Cathy (Les)</t>
  </si>
  <si>
    <t>Les Bougies de Cathy
9 chemin Saint Payet - PK 12
Plaine des Cafres
97418 La Plaine des Cafres</t>
  </si>
  <si>
    <t>annibal-974@hotmail.fr</t>
  </si>
  <si>
    <t>Fabrication de bougies de manière artisanale.</t>
  </si>
  <si>
    <t>Les colorants minéraux ou végétaux sont utilisés et les senteurs de notre belle île (géranium, chryptomeria, vétiver, citronnelle, ylang-ylang, frangipanier, etc...). Ces parfums sont des huiles essentielles distillées à La Réunion</t>
  </si>
  <si>
    <t>Les Bougies de Cathy</t>
  </si>
  <si>
    <t>9 chemin Saint Payet - PK 12, 97422 Le Tampon</t>
  </si>
  <si>
    <t xml:space="preserve"> annibal-974@hotmail.fr / 0262175736 / 0692896156 ,  annibal-974@hotmail.fr / 0262175736 / 0692896156 </t>
  </si>
  <si>
    <t>recvBb0nTg5vjAZfJ</t>
  </si>
  <si>
    <t>Leu 57</t>
  </si>
  <si>
    <t>Leu 57
57, RN2 - le Baril
97442 Saint-Philippe</t>
  </si>
  <si>
    <t>Le restaurant Leu 57 se situe au Baril à Saint-Philippe. Il propose un buffet à volonté de 4 plats ainsi que des punchs. Billard et karaoké sont disponibles. Ouvert tous les jours midi et soir. Fermé le jeudi et le dimanche soir.</t>
  </si>
  <si>
    <t xml:space="preserve">Venant de l'Ouest, prendre direction centre ville de Saint-Philippe, passer la supérette "Kadi" le restaurant se trouve à 50 m à gauche. 
Venant de l'Est, après le centre ville de Saint-Philippe, traverser toute la forêt de Mare Longue, dépasser la balance de cannes, le restaurant se situe à 200 m à droite. </t>
  </si>
  <si>
    <t>Leu 57 - Damour Jean Leu</t>
  </si>
  <si>
    <t>57, RN2 - le Baril, 97417 Saint-Philippe</t>
  </si>
  <si>
    <t xml:space="preserve">Damour Jean Leu : jean_leu.damour@orange.fr / 0262201481 / 0692726718 ,  0262201481 / 0692726718 </t>
  </si>
  <si>
    <t>-21.3056019,55.8015279</t>
  </si>
  <si>
    <t>Mode de paiment,Fixe,Descriptif du plan d'accès,Fournisseur - contacts</t>
  </si>
  <si>
    <t>57, 57 RN2, Réunion</t>
  </si>
  <si>
    <t>recT2DbOk9cUSDt8d</t>
  </si>
  <si>
    <t>Lilas (Les)</t>
  </si>
  <si>
    <t>Lilas (Les) (Village Touristique de l'Entre Deux)</t>
  </si>
  <si>
    <t>Lilas (Les)
109 A, rue Défaud
97414 Entre-Deux</t>
  </si>
  <si>
    <t>http://www.gite-les-lilas-reunion.com</t>
  </si>
  <si>
    <t>fer et planche à repasser,jardin,lave linge privatif,linge de maison,linge de toilette,micro-ondes,parking,TV</t>
  </si>
  <si>
    <t>vte.les-lilas@live.fr</t>
  </si>
  <si>
    <t>Situé à l'Entre-Deux, les Lilas proposent un chalet équipé pour 5 personnes.</t>
  </si>
  <si>
    <t>Le chalet comprend une chambre double, une chambre avec 3 lits simples, un coin cuisine, salon avec télévision et fauteuil en rotin, terrasse équipée de chaises et table. 
Possibilité de petit déjeuner avec des fruits de saison.</t>
  </si>
  <si>
    <t>Prendre direction Saint-Louis puis Entre-Deux. A 3 km du centre ville, prendre direction ravine des Citrons - Auberge de Jeunesse, route du Dimitile.</t>
  </si>
  <si>
    <t>Lilas (Les) - Clain Bernadette</t>
  </si>
  <si>
    <t>109 A, rue Defaud, 97403 Entre-Deux</t>
  </si>
  <si>
    <t xml:space="preserve">Clain Bernadette : vte.les-lilas@live.fr / 0692602104 / Gérant(e) , Clain Bernadette : vte.les-lilas@live.fr / 0692602104 / Co-gérant(e) ,  amelie.neri@neuf.fr / 0692602104 </t>
  </si>
  <si>
    <t>-21.24228492, 55.48151463</t>
  </si>
  <si>
    <t>CSC29HTK</t>
  </si>
  <si>
    <t>Site web,Mode de paiment,Fixe,Descriptif,Fournisseur - Nom,Fournisseur - contacts</t>
  </si>
  <si>
    <t>109 Rue Defaud, Réunion</t>
  </si>
  <si>
    <t>recvtcjTSEBfgQJzW</t>
  </si>
  <si>
    <t>Limousin (Le)</t>
  </si>
  <si>
    <t>Limousin (Le)
135 Route de Notre Dame de la Paix
Plaine des Cafres
97418 La Plaine des Cafres</t>
  </si>
  <si>
    <t>madeleine.run@wanadoo.fr</t>
  </si>
  <si>
    <t>Découverte des plaisirs de la ferme dans un cadre verdoyant et calme.</t>
  </si>
  <si>
    <t>2 chambres doubles pour 4 personnes, cuisine équipée, chauffage</t>
  </si>
  <si>
    <t>Limousin (Le) -Mussard Dominique</t>
  </si>
  <si>
    <t>Route de Notre Dame de la Paix, 97422 Le Tampon</t>
  </si>
  <si>
    <t xml:space="preserve"> madeleine.run@wanadoo.fr / 0262592059 / 0692873660 ,  madeleine.run@wanadoo.fr / 0262592059 / 0692873660 </t>
  </si>
  <si>
    <t>CSC266HT@</t>
  </si>
  <si>
    <t>Fermeture temporaire</t>
  </si>
  <si>
    <t>Adresse,Autre téléphone,Fournisseur - Nom</t>
  </si>
  <si>
    <t>Jusqu'au 31/12/2021</t>
  </si>
  <si>
    <t>Long Board (Le)</t>
  </si>
  <si>
    <t>Long Board (Le)
265, rue Jules Bertaut
97430 Le Tampon</t>
  </si>
  <si>
    <t>Le restaurant le Long Board, au Tampon, propose une cuisine italienne, traditionnelle, des grillades et des plats à emporter. Possibilité d'organiser des réceptions sur place.</t>
  </si>
  <si>
    <t>Le restaurant le Long Board, au Tampon, propose une cuisine italienne, traditionnelle, des grillades et des plats à emporter. Possibilité d'organiser des réceptions sur place.
Accès pour personnes à mobilité réduite, chaise bébé.
Ouvert du mardi au samedi le midi de 12h à 13h30 et le soir de 19h à 21h30. Fermé le lundi et dimanche toute la journée.</t>
  </si>
  <si>
    <t xml:space="preserve">Depuis le Sud : prendre la 4 voies en direction du Tampon/Plaine des Cafres et aller jusqu’au rond point du 11ème Km. Au rond-point, prendre la 3ème sortie rue Jules Bertaut et au second rond-point, continuer à descendre. Le restaurant "Le Long Board" se trouve à gauche.
Depuis les Plaines : suivre la RN3 en direction du Tampon jusqu’au rond-point du 11ème km. Prendre la première sortie à droite et descendre la rue Jules Bertaut. Au second rond-point, continuer tout droit. Le restaurant se trouve à gauche. </t>
  </si>
  <si>
    <t>Long Board - Versluys Franck</t>
  </si>
  <si>
    <t>265, rue Jules Bertaut, 97422 Le Tampon</t>
  </si>
  <si>
    <t xml:space="preserve">Versluys Franck : 0262271027 / 0692883647 ,  0262271027 / 0692883647 </t>
  </si>
  <si>
    <t>-21.27921302, 55.51506974</t>
  </si>
  <si>
    <t>150-178 Rue Jules Bertaut, Réunion</t>
  </si>
  <si>
    <t>reckvgwjsReKhseJi</t>
  </si>
  <si>
    <t>Longanis (Le)</t>
  </si>
  <si>
    <t>Restaurant de l'Entre-deux</t>
  </si>
  <si>
    <t>Longanis (Le)
9 bis, rue du Commerce
97414 Entre-Deux</t>
  </si>
  <si>
    <t>Centre ville,Village,Milieu rural</t>
  </si>
  <si>
    <t>sentier de randonnée,tennis,centre commercial,parking public,site - lieu culturel,point de vue panoramique</t>
  </si>
  <si>
    <t>lelonganis.contact@gmail.com</t>
  </si>
  <si>
    <t>Au cœur des cases créoles de l'Entre-Deux, le restaurant Le Longanis propose une cuisine authentique servie dans de petites marmites créoles.
Spécialités : cuisine créole et grillade.
Tarifs sur place : de 8 € à 17 €, à emporter : 6 €.
Ouvert du lundi au dimanche de 11h à 14h et de 18h à 20h. Fermé le mercredi et le dimanche soir.</t>
  </si>
  <si>
    <t>Direction Entre-Deux, prendre la première rue à gauche, et continuer tout droit, en face de la Poste, petite maison créole aux volets verts.</t>
  </si>
  <si>
    <t>Longanis (Le) - Thomas Georges</t>
  </si>
  <si>
    <t>9 bis rue du Commerce, 97403 Entre-Deux</t>
  </si>
  <si>
    <t xml:space="preserve">Laravine Marie Catherine : le-longanis@orange.fr / 0262397050 / 0692878493 / Gérant(e) ,  le-longanis@orange.fr / 0262397056 / 0692878493 / 0262397056 </t>
  </si>
  <si>
    <t>-21.24790643, 55.4708484</t>
  </si>
  <si>
    <t>Prestations sur place,Mode de paiment,Mobile,E-Mail,Capacité,Descriptif,Fournisseur - Nom,Fournisseur - SIRET</t>
  </si>
  <si>
    <t>recPtO2ckGiW3Ndlr</t>
  </si>
  <si>
    <t>Longboard (Le)</t>
  </si>
  <si>
    <t>Longboard (Le)
265 rue Jules Bertaud
97430 Le Tampon</t>
  </si>
  <si>
    <t>Chèque,Carte Bancaire,Espèces</t>
  </si>
  <si>
    <t>lelongboard@hotmail.fr</t>
  </si>
  <si>
    <t>Le restaurant Le Longboard accueille ses clients depuis 13 ans.</t>
  </si>
  <si>
    <t xml:space="preserve">Le bleu sage tranquille d'une vague, au décor loin de l'agitation marine, avec une convivialité et la sympathie naturelle tout en restant professionnel. 
Deux salles intérieures climatisées et chauffées, remplies de couleurs, disposées de petits coins intimes, pour les amoureux, ainsi qu'un petit coin enfants, où ils pourront regarder des dessins animés au calme ...
Une terrasse agréable et aérée pour les fumeurs pourra également convenir aux non fumeurs.
Tous les plats sont faits minutes. La carte se compose d'une dizaine d'entrées, d'une trentaine de plats et grillades, ainsi que des pizzas et des pâtes.
Quelques spécialités du restaurant : tartare de thon rouge, magret de canard sauce miel et pain d'épices, noix de saint jacques flambées au rhum, émincé de poulet sauce gingembre mangue ... et bien d'autres. 
Les pizzas et les plats sont également à emporter. </t>
  </si>
  <si>
    <t>Longboard (Le)- VERSLUYS FRANCK</t>
  </si>
  <si>
    <t>265 rue Jules Bertaud, 97422 Le Tampon</t>
  </si>
  <si>
    <t xml:space="preserve"> lelongboard@hotmail.fr / 0262271027 ,  lelongboard@hotmail.fr / 0262271027 </t>
  </si>
  <si>
    <t>-21.272494, 55.525128</t>
  </si>
  <si>
    <t>Localisations,Mode de paiment,Mobile,Capacité,Descriptif,Fournisseur - Nom</t>
  </si>
  <si>
    <t>Lotus (Le)</t>
  </si>
  <si>
    <t>Lotus (Le)
369, rue Raphaël Babet
97480 Saint-Joseph</t>
  </si>
  <si>
    <t>369, rue Raphaël-Babet, 97412 Saint-Joseph</t>
  </si>
  <si>
    <t>-21.3791107,55.6243715</t>
  </si>
  <si>
    <t>379 Rue Raphaël Babet, Réunion</t>
  </si>
  <si>
    <t>recFPDYqkwYh8XFJj</t>
  </si>
  <si>
    <t>Lune de Miel</t>
  </si>
  <si>
    <t>Lune de Miel
2 bis, impasse des Campanules - PK 23
Plaine des Cafres
97418 La Plaine des Cafres</t>
  </si>
  <si>
    <t>linge de maison</t>
  </si>
  <si>
    <t>jeanclement00@gmail.com</t>
  </si>
  <si>
    <t>Lune de Miel est une chambre d'hôtes située à la Plaine des Cafres. Elle dispose de 5 chambres pour une capacité de 10 à 15 personnes, de 3 salles d'eau et de 3 sanitaires. Un lit bébé est à disposition. 
Activités à proximité : randonnées sur la région du Volcan, Maison du Volcan, Grand Bassin,...
Accès aux personnes à mobilité réduite.</t>
  </si>
  <si>
    <t xml:space="preserve">Depuis le Sud : prendre la 4 voies du Tampon/Plaine des Cafres et suivre la RN3 en direction de la Plaine des Cafres. Passer la station-service Elf puis, tourner de suite à gauche "chemin des Campanules." La chambre d’hôtes se trouve au n°2 bis.
Depuis les Plaines : suivre la RN3 en direction de la Plaine des Cafres. Passer le 23ème km et tourner à droite "chemin des Campanules" avant la station-service Elf. </t>
  </si>
  <si>
    <t>Lune de Miel - Clément Jean Patrick</t>
  </si>
  <si>
    <t>2 bis, impasse des Campanules - PK 23, 97422 Le Tampon</t>
  </si>
  <si>
    <t>Clément Jean Patrick : 0262593348 / 0692900813</t>
  </si>
  <si>
    <t>-21.230262, 55.550141</t>
  </si>
  <si>
    <t>450.00</t>
  </si>
  <si>
    <t>Nom catégorie,Nom sous catégorie,Mode de paiment,E-Mail,Descriptif,Descriptif du plan d'accès,Fournisseur - Nom,Fournisseur - SIRET,Fournisseur - contacts</t>
  </si>
  <si>
    <t>2 Impasse des Campanules, La Plaine des Cafres, Réunion</t>
  </si>
  <si>
    <t>recqETlJloKTFeIT3</t>
  </si>
  <si>
    <t>Lys (Les)</t>
  </si>
  <si>
    <t>Lys (Les)
11, impasse des Lys - Bois Court
Plaine des Cafres
97418 La Plaine des Cafres</t>
  </si>
  <si>
    <t>barbecue,chauffage,jardin,lave linge privatif,parking,TV satellite</t>
  </si>
  <si>
    <t>bbenoit7@gmail.com</t>
  </si>
  <si>
    <t>A La Plaine des Cafres, Les Lys disposent d'une maison d'une capacité de 12 personnes et d'un chalet de 4 personnes.</t>
  </si>
  <si>
    <t>La maison est composée de 6 chambres, de 2 salles de bains, d'un salon et d'une grande cuisine équipée sous varangue fermée en baie vitrée. 
Le Chalet dispose de 2 chambres, d'un salon et d'une cuisine équipée.
Situés dans le hameau de Bois Court, à 2 pas du belvédère de Grand Bassin, à 50 min du Piton de la Fournaise et à seulement 35 min du lagon de Saint-Pierre ou de la plage de l'Etang Salé.</t>
  </si>
  <si>
    <t xml:space="preserve">Depuis le Sud, prendre la 4 voies en direction du Tampon/Plaine des Cafres. Suivre la RN 3 jusqu'au 23ème km. Juste après le supermarché Casino, tourner à gauche dans la rue Raphaël Douyère et aller au bout de la rue jusqu'au village de Bois Court. 5 km plus loin, après la pâtisserie, tourner à gauche dans l'impasse des lys. La structure se situe au n° 11.
Depuis les Plaines, suivre la RN 3 et aller jusqu'au 23ème km. Juste après l'église et avant le supermarché Casino, tourner à droite dans la rue Raphaël Douyère. Aller au bout  de la rue jusqu'au village de Bois Court. 5 km  plus loin, après la pâtisserie, tourner à gauche dans l'impasse des lys. La structure se situe au n° 11. </t>
  </si>
  <si>
    <t>Lys (Les) - Benoit Bernard</t>
  </si>
  <si>
    <t>13 B, impasse Nourry PK19, 97418 La Plaine des Cafres</t>
  </si>
  <si>
    <t>Benoit Bernard : bbenoit7@gmail.com / 0692818419 / Propriétaire</t>
  </si>
  <si>
    <t>-21.19525825, 55.53672551</t>
  </si>
  <si>
    <t>750.00</t>
  </si>
  <si>
    <t>CSC13HTD</t>
  </si>
  <si>
    <t>Prestations sur place,E-Mail,Capacité,Descriptif,Descriptif du plan d'accès,Fournisseur - adresse,Fournisseur - contacts</t>
  </si>
  <si>
    <t>11 Impasse des Lys, La Plaine des Cafres 97418, Réunion</t>
  </si>
  <si>
    <t>rec2BIu67CJ4cBooH</t>
  </si>
  <si>
    <t>Maccabit (Le)</t>
  </si>
  <si>
    <t>Maccabit (Le)
76 RN2 - Ravine Ango
97442 Saint-Philippe</t>
  </si>
  <si>
    <t>lemacabit97442@gmail.com</t>
  </si>
  <si>
    <t>Le restaurant Le Maccabit se situe dans le Sud sauvage, à Saint-Philippe. Il propose une cuisine traditionnelle mais aussi des sandwichs et des pizzas. Ouvert de 08h30 à 21h. Fermé le mardi et le dimanche soir.</t>
  </si>
  <si>
    <t xml:space="preserve">De l'Ouest, dépasser le centre ville, direction Ravine Ango, le restaurant se situe à droite après l'arrêt de bus "Fruit à Pain".
De l'Est direction Ravine Ango dépasser le pont portant ce nom, le restaurant se trouve à 50 m à gauche. </t>
  </si>
  <si>
    <t>Maccabit (Le)- Coulombeau Eric</t>
  </si>
  <si>
    <t>76 RN2 - Ravine Ango, 97417 Saint-Philippe</t>
  </si>
  <si>
    <t>-21.34864, 55.792102</t>
  </si>
  <si>
    <t>Mode de paiment,E-Mail,Descriptif du plan d'accès,Fournisseur - SIRET,Fournisseur - contacts</t>
  </si>
  <si>
    <t>Saint-Philippe, Réunion</t>
  </si>
  <si>
    <t>recIap1BQMVhc9iDo</t>
  </si>
  <si>
    <t>Magnolia (Le)</t>
  </si>
  <si>
    <t>23 D rue Saint Vincent de Paul - 97430 Le Tampon</t>
  </si>
  <si>
    <t>https://www.magnolia974.com/</t>
  </si>
  <si>
    <t>TV,jacuzzi,piscine,barbecue,jardin,salon de jardin,cuisine,linge de toilette,linge de maison,parking,fer et planche à repasser</t>
  </si>
  <si>
    <t>commerce alimentaire,arrêt bus</t>
  </si>
  <si>
    <t>nassau.loic@gmail.com</t>
  </si>
  <si>
    <t>Située au Tampon, la villa Magnolia peut accueillir 4 personnes.</t>
  </si>
  <si>
    <t>Cette villa comprend 2 chambres, une télévision par satellite à écran plat, un lave-linge et une salle de bains avec un jacuzzi. Sa cuisine équipée comporte un réfrigérateur et un lave-vaisselle. Le linge de lit et les serviettes peuvent être fournis moyennant des frais supplémentaires.
La villa possède un espace bien-être avec un jacuzzi. A l'extérieur, elle dispose d'une piscine, d'un jardin et d'un barbecue.</t>
  </si>
  <si>
    <t>Magnolia (Le) - Hoarau Loic</t>
  </si>
  <si>
    <t>25 rue du Père Grondin - 97430 Le Tampon</t>
  </si>
  <si>
    <t>Nassau Pascaline : nassau.loic@gmail.com / 0693484156 / Propriétaire</t>
  </si>
  <si>
    <t>-21.269608, 55.526098</t>
  </si>
  <si>
    <t>CSC279HT@</t>
  </si>
  <si>
    <t>Nom commercial,Adresse,Prestations sur place,Prestations à Proximité,Mode de paiment,Fournisseur - Nom,Fournisseur - adresse</t>
  </si>
  <si>
    <t>23 Rue Saint Vincent de Paul, Réunion</t>
  </si>
  <si>
    <t>recYXnTfDab78EFHe</t>
  </si>
  <si>
    <t>Mahavel (Le)</t>
  </si>
  <si>
    <t>Duchemane Antoinette</t>
  </si>
  <si>
    <t>Mahavel (Le)
Roche Plate
97480 Saint-Joseph</t>
  </si>
  <si>
    <t>Au Mahavel la nature est plus belle...</t>
  </si>
  <si>
    <t xml:space="preserve">Situé à Roche Plate dans la commune de Saint-Joseph, Le Mahavel dispose d'un gîte de 25 places.
Une nuit au cœur de la nature bercé par le bruissement des cascades. Dortoirs de montagne avec lits superposés ou lits doubles. 
La table d'hôte propose de nouvelles saveurs au bon goût du terroir : des beignets de songe au chou de choka bleu boucané, mousse de patate au chocolat, café pays. </t>
  </si>
  <si>
    <t>Mahavel (Le) - Duchemane Antoinette</t>
  </si>
  <si>
    <t>25, impasse des Tournesols, 97412 Saint-Joseph</t>
  </si>
  <si>
    <t xml:space="preserve">Duchemanne Antoinette : 0262373415 / 0692769723 / 0692207652 / Gérant(e) ,  0262373415 / 0692207652 </t>
  </si>
  <si>
    <t>-21.2494708,55.6151947</t>
  </si>
  <si>
    <t>CSC40HTD</t>
  </si>
  <si>
    <t>Roche Plate, Réunion</t>
  </si>
  <si>
    <t>Mahot (Le)</t>
  </si>
  <si>
    <t>Mahot (Le)
9 bis, impasse Kartala - Petite Plaine
Plaine des Cafres
97418 La Plaine des Cafres</t>
  </si>
  <si>
    <t>chauffage,jardin,TV satellite</t>
  </si>
  <si>
    <t>sentier de randonnée,équitation</t>
  </si>
  <si>
    <t>l.loude@hotmail.fr</t>
  </si>
  <si>
    <t>A la Plaine des Cafres, la villa Le Mahot, mitoyen à la maison du propriétaire dispose d'une chambre double,d'une cuisine toute équipée et d'un séjour doté de deux canapés convertibles. La villa dispose également d'un chauffage d'appoint. A proximité : Maison du Volcan, belvédère de Bois Court, point de vue de Mahavel.</t>
  </si>
  <si>
    <t>Prendre la route de Notre Dame de la Paix après le village de la Petite Ferme. Suivre le chemin Mathias en direction de la Grande Ferme, puis emprunter l'impasse Kartala et rouler  jusqu'au bout.</t>
  </si>
  <si>
    <t>Mahot (Le) - Loude Laura</t>
  </si>
  <si>
    <t>11, impasse Kartala - chemin Mathias - Petite Ferme, 97422 Le Tampon</t>
  </si>
  <si>
    <t xml:space="preserve">Loude Laura : l.loude@hotmail.fr / 0262384936 / 0692309298 / 0692268380 , Loude Laura : l.loude@hotmail.fr / 0262384936 / 0692266380 </t>
  </si>
  <si>
    <t>-21.228254, 55.57881</t>
  </si>
  <si>
    <t>9 Impasse du Kartala, La Plaine des Cafres, Réunion</t>
  </si>
  <si>
    <t>Maison de l'Ananas (La)</t>
  </si>
  <si>
    <t>Maison des Fruits</t>
  </si>
  <si>
    <t>Maison de l'Ananas (La)
33, rue des Poiriers - Grand Tampon
97430 Le Tampon</t>
  </si>
  <si>
    <t>http://maison-ananas.re/</t>
  </si>
  <si>
    <t>maisondelananas@gmail.com</t>
  </si>
  <si>
    <t>Découverte de l'ananas, fruit tropical de l'île de La Réunion et les produits dérivés de ce fruit.</t>
  </si>
  <si>
    <t xml:space="preserve">La Maison de l'Ananas propose des visites au sein même de l'exploitation agricole, des projections de films, un jus d'ananas frais est offert à la fin de la visite.
Visite toute l'année du mardi au dimanche sur réservation. </t>
  </si>
  <si>
    <t>Mardi :  -,Mercredi :  -,Jeudi :  -,Vendredi :  -,Samedi :  -,Dimanche :  -</t>
  </si>
  <si>
    <t>Maison des Fruits  - Chambre d'Agriculture</t>
  </si>
  <si>
    <t>24, rue de la Source, 97411 Saint-Denis</t>
  </si>
  <si>
    <t xml:space="preserve">Begue Jean-François : j.francois-begue@reunion.chambragri.fr / 0692662392 ,  contact@maison-mangue.re / 0692574839 ,  contact@maison-letchi.re / 0692606388 ,  maisondelananas@gmail.com / 0692717820 </t>
  </si>
  <si>
    <t>-21.273099, 55.589225</t>
  </si>
  <si>
    <t>http://resa2.reunion.fr/fr/evenements/a738132/maison-de-lananas/booking | Resa 2 Réunion.fr</t>
  </si>
  <si>
    <t>33 Rue des Poiriers, Chemin du Grand Tampon, 97430, Réunion</t>
  </si>
  <si>
    <t>rec1oPuqEslIrnIfE</t>
  </si>
  <si>
    <t>Maison de la Pointe</t>
  </si>
  <si>
    <t>Maison de la Pointe
80 bis chemin de la pointe
97430 Le Tampon</t>
  </si>
  <si>
    <t>stephjam32@gmail.com</t>
  </si>
  <si>
    <t>Située au Tampon, à 40 km de Saint-Leu, la Maison la pointe dispose d'une piscine extérieure, d'un barbecue et d'une terrasse. Une connexion Wi-Fi et un parking privé sont disponibles gratuitement sur place.
Cette villa comprend 4 chambres séparées, 2 salles de bains et un salon.
Lors de votre séjour, vous pourrez profiter d’un jardin et d’un salon commun. La région est prisée pour pratiquer la randonnée, le vélo et la plongée avec tuba.</t>
  </si>
  <si>
    <t>-21.296194, 55.516405</t>
  </si>
  <si>
    <t>Phoning</t>
  </si>
  <si>
    <t>Chemin Pointe du Tampon, Réunion</t>
  </si>
  <si>
    <t>recXV02PqNQxGsDQL</t>
  </si>
  <si>
    <t>Maison des Délices</t>
  </si>
  <si>
    <t>Maison des Délices
7, impasse Ebéko CD36 24ème km - Notre Dame de la Paix
Plaine des Cafres
97418 La Plaine des Cafres</t>
  </si>
  <si>
    <t>http://www.lamaisondesdelices.sitew.fr</t>
  </si>
  <si>
    <t>lamaisondesdelices@hotmail.com</t>
  </si>
  <si>
    <t>Située à la Plaine des Cafres, La Maison des Délices propose divers confitures, gelées, pâtés créole, papaye confite, crème de canne à sucre, de véritables délices entièrement faits maison. Service traiteur sur commande, cocktail salé et sucré.</t>
  </si>
  <si>
    <t>Prendre la direction de Notre Dame de la Paix, puis rouler sur 800 m et tourner à gauche dans l’impasse Ebeko.</t>
  </si>
  <si>
    <t>Maison des Délices (La) - Gardon François</t>
  </si>
  <si>
    <t>7, impasse Ebéko CD36 - 24ème km, 97422 Le Tampon</t>
  </si>
  <si>
    <t xml:space="preserve">Gardon François : f.gardon@hotmail.fr / 0262989286 / 0692757377 / 0262989286 , Gardon François : lamaisondesdelices@hotmail.com / 0262989286 / 0692757377 / 0262989286 </t>
  </si>
  <si>
    <t>-21.223751, 55.566395</t>
  </si>
  <si>
    <t>7 Impasse de l'Ebeko, La Plaine des Cafres, Réunion</t>
  </si>
  <si>
    <t>recDHjG1lQVPlasLV</t>
  </si>
  <si>
    <t>Maison des Hôtes (La)</t>
  </si>
  <si>
    <t>Maison des Hôtes (La)
7 rue Joseph de Souville
97480 Saint-Joseph</t>
  </si>
  <si>
    <t>http://www.lamaisondeshotes.re</t>
  </si>
  <si>
    <t>climatisation,fer et planche à repasser,jardin,lave linge privatif,linge de maison,parking,piscine,sèche linge privatif,TV satellite,ventilateur,wifi,coffre-fort</t>
  </si>
  <si>
    <t>sentier de randonnée,banque - guichet automatique,commerce alimentaire,riviere</t>
  </si>
  <si>
    <t>Située au centre ville historique de Saint-Joseph, dans un environnement calme, La Maison des Hôtes peut accueillir 6 personnes.</t>
  </si>
  <si>
    <t xml:space="preserve">La villa propose 3 chambres spacieuses dont une avec un lit king size. 
Elle dispose également d'une grande  terrasse, d'une cuisine extérieure et d'une piscine. 
De nombreux restaurants se trouvent à proximité proposant des plats à emporter. Manapany et son bassin de baignade se situent à 3 km et la rivière Langevin est à  7 km.
Tarif affiché : 2 nuits minimum. </t>
  </si>
  <si>
    <t xml:space="preserve">Venant de l'ouest, franchir le pont de la rivière des Remparts puis tourner à droite. Se diriger vers le centre ville en restant sur l'axe principale. La rue Joseph de Souville est à sens unique en montant. Il y a une agence de la BRED qui se situe à son intersection. La villa munie d'un portail blanc et d'un mur de clôture en pierre taillée est en haut à gauche.
Venant de l'est, suivre la direction de Saint-Pierre. Arrivé au pont de la rivière des Remparts, tourner à gauche en direction du centre ville. Rester sur l'axe principale. Tourner de nouveau à gauche devant l'agence de la BRED. La villa munie d'un portail blanc et d'un mur de clôture en pierre taillée est en haut à gauche.   </t>
  </si>
  <si>
    <t>Maison des Hôtes (La) - Heuvrard Denis</t>
  </si>
  <si>
    <t>7 rue Joseph de Souville, 97412 Saint-Joseph</t>
  </si>
  <si>
    <t>-21.37802, 55.618315</t>
  </si>
  <si>
    <t>CSC309HT@</t>
  </si>
  <si>
    <t>Nom catégorie,Nom sous catégorie,Mode de paiment,Descriptif,Descriptif du plan d'accès</t>
  </si>
  <si>
    <t>7 Rue Joseph de Souville, 97480, Réunion</t>
  </si>
  <si>
    <t>recSSTvKv6Jh4BYzZ</t>
  </si>
  <si>
    <t>Maison du Curcuma</t>
  </si>
  <si>
    <t>Maison du Curcuma
14, chemin du Rond - Plaine des Grègues
Plaine des Grègues
97480 Saint-Joseph</t>
  </si>
  <si>
    <t>memeriviere@orange.fr</t>
  </si>
  <si>
    <t xml:space="preserve">Au cœur du Sud Sauvage, dans le mini-cirque de la Plaine des Grègues, Mémé Rivière et sa famille invitent à la découverte du "safran pays" dans leur Maison du Curcuma. Des explications seront données sur le processus de transformation de la racine du curcuma, une épice qui occupe une place de choix dans la cuisine réunionnaise. 
Une visite du jardin privé, une petite balade d’environ 45 minutes ainsi qu’un petit détour dans la grotte à parfums, où se trouvent différentes épices utilisées par les Réunionnais, sont proposées.  	
Petit film explicatif sur le safran et dégustation de produits en vente à la boutique. </t>
  </si>
  <si>
    <t>Lundi : 09:00 12:00 - 13:30 17:00,Mardi : 09:00 12:00 - 13:30 17:00,Mercredi : 09:00 12:00 - 13:30 17:00,Jeudi : 09:00 12:00 - 13:30 17:00,Vendredi : 09:00 12:00 - 13:30 17:00,Samedi : 09:00 12:00 - 13:30 17:00,Dimanche : 09:00 12:00 - 13:30 17:00</t>
  </si>
  <si>
    <t>Maison du Curcuma - Rivière Aimé</t>
  </si>
  <si>
    <t>14, chemin du Rond - Plaine des Grègues, 97412 Saint-Joseph</t>
  </si>
  <si>
    <t xml:space="preserve">Rivière Aimé : memeriviere@orange.fr / 0262375466 / 0692650468 / Gérant(e) ,  0262375466 </t>
  </si>
  <si>
    <t>-21.326787, 55.607629</t>
  </si>
  <si>
    <t>14 Rue du Rond, Plaine des Grègues, 97480, Rue du Rond, Réunion</t>
  </si>
  <si>
    <t>recQbvTLVJXerdSXg</t>
  </si>
  <si>
    <t>Maison du Laurina (La)</t>
  </si>
  <si>
    <t>Maison du Laurina (La)
24, chemin de la Croizure - Grand Coude
Grand Coude
97480 Saint-Joseph</t>
  </si>
  <si>
    <t>http://www.lamaisondulaurina.fr</t>
  </si>
  <si>
    <t>lamaisondulaurina@gmail.com</t>
  </si>
  <si>
    <t>Dans un écrin de nature préservé, aux portes du village de Grand-Coude, La Maison du Laurina ouvre ses portes aux voyageurs et les transporte dans un univers où le café Bourbon Pointu est roi.</t>
  </si>
  <si>
    <t xml:space="preserve">Visite de champs de caféiers (environ 2000 pieds), visite du musée avec la découverte de machines "lontan" puis petit tour à l’usine où ont lieu les étapes de décorticage et torréfaction. 
En fin de visite, une dégustation "tout café" est proposée.
Une boutique propose tous les produits confectionnés par Jacques et Marie-Claude Lepinay : Café moulu Bourbon Pointu, gelée de Café bourbon, liqueur, crème de café, sablés au café ou au géranium …
Cette visite permettra au voyageur de découvrir ce produit d’exception et unique à La Réunion, de la pépinière à la tasse.
Visite guidée prévue tous les mardis, mercredis et jeudis à 14h00, sur réservation.
Minimum 2 pers / maximum 15 pers 
Durée : 1h30 à 2h00 de visite </t>
  </si>
  <si>
    <t>Maison du Laurina (La) - Lépinay Jacques</t>
  </si>
  <si>
    <t>24, chemin de la Croisure, 97412 Saint-Joseph</t>
  </si>
  <si>
    <t xml:space="preserve">Lépinay Jacques : lamaisondulaurina@gmail.com / 0692687872 / 0692035478 , Lépinay Jacques : lamaisondulaurina@gmail.com / 0692035478 / 0692687872 ,  0692687872 </t>
  </si>
  <si>
    <t>-21.297456, 55.631174</t>
  </si>
  <si>
    <t>Site web,Mode de paiment,Descriptif</t>
  </si>
  <si>
    <t>recgCOsdp8yug7a91</t>
  </si>
  <si>
    <t>Maison du Tourisme du Sud Sauvage</t>
  </si>
  <si>
    <t>Maison du Tourisme du Sud Sauvage
15, allée du Four à Chaux - Manapany les Bains
97480 Saint-Joseph</t>
  </si>
  <si>
    <t>http://www.sudreuniontourisme.fr</t>
  </si>
  <si>
    <t>Office - Maison du Tourisme</t>
  </si>
  <si>
    <t>accueil.sudsauvage@gmail.com</t>
  </si>
  <si>
    <t>Située à Manapany les Bains, la Maison du Tourisme du Sud Sauvage est un point d'information et de réservation sur les différentes prestations touristiques de l’île : gîtes de randonnée, gîtes et chambres d’hôtes Gîtes de France, locations saisonnières Clévacances, hôtellerie créole et activités de pleine nature.</t>
  </si>
  <si>
    <t>Pour tous les amoureux de la nature, le Sud Sauvage offre diverses possibilités : randonnées pédestres, balades équestres, parapente, VTT ainsi que des visites patrimoine. Deux circuits sont mis à l'honneur : les Villages Créoles et le Chemin des Artisans.
Ouvert du lundi au vendredi de 9h30 à 12h et de 13h à17h30 et le samedi, de 10h à 17h.</t>
  </si>
  <si>
    <t>Lundi : 09:30 12:00 - 13:00 17:30,Mardi : 09:30 12:00 - 13:00 17:30,Mercredi : 09:30 12:00 - 13:00 17:30,Jeudi : 09:30 12:00 - 13:00 17:30,Vendredi : 09:30 12:00 - 13:00 17:30,Samedi : 10:00 - 17:00</t>
  </si>
  <si>
    <t>3, rue Paul Demange, 97412 Saint-Joseph</t>
  </si>
  <si>
    <t>accueil.sudsauvage@gmail.com / 0262371043 / 0262371043</t>
  </si>
  <si>
    <t>-21.375433, 55.590232</t>
  </si>
  <si>
    <t>Fax,Descriptif</t>
  </si>
  <si>
    <t>15 Allée du Four à Chaux, Saint-Joseph, Réunion</t>
  </si>
  <si>
    <t>Maison du Tourisme du Sud Sauvage - Antenne de Saint-Philippe</t>
  </si>
  <si>
    <t>Maison du Tourisme du Sud Sauvage - Antenne de Saint-Philippe
Rue Leconte de Lisle
97442 Saint-Philippe</t>
  </si>
  <si>
    <t>http://www.sudsauvage.com</t>
  </si>
  <si>
    <t>La Maison du Tourisme du Sud Sauvage est un point d'information sur les différentes prestations touristiques de l’île : gîtes de randonnée, gîtes et chambres d’hôtes Gîtes de France, locations saisonnières Clévacances, hôtellerie créole et activités de pleine nature. Pour tous les amoureux de la nature, le Sud Sauvage offre diverses possibilités : randonnées pédestres, balades équestres, parapente, VTT ainsi que des visites patrimoine. Deux circuits sont mis à l'honneur : la Route des Parfums et les Villages Créoles.
L'antenne de Saint-Philippe est ouverte du lundi au samedi de 10h à 17h. Fermée le dimanche.</t>
  </si>
  <si>
    <t>Lundi : 10:00 - 17:00,Mardi : 10:00 - 17:00,Mercredi : 10:00 - 17:00,Jeudi : 10:00 - 17:00,Vendredi : 10:00 - 17:00,Samedi : 10:00 - 17:00</t>
  </si>
  <si>
    <t>-21.3594456,55.7665063</t>
  </si>
  <si>
    <t>41A Rue Leconte de Lisle, St Pierre 97442, Réunion</t>
  </si>
  <si>
    <t>Maison Everest</t>
  </si>
  <si>
    <t>Maison Everest
7 rue Fortuné Hoareau - local 1202
97414 Entre-Deux</t>
  </si>
  <si>
    <t>https://www.maisoneverest.fr</t>
  </si>
  <si>
    <t>Salon de thé</t>
  </si>
  <si>
    <t>sentier de randonnée,piscine</t>
  </si>
  <si>
    <t>contact@maisoneverest.fr</t>
  </si>
  <si>
    <t>Située dans le village de l'Entre-Deux, Maison Everest dispose d'un salon de thé et propose une cuisine rapide.</t>
  </si>
  <si>
    <t>Sont proposés :  gaufres salées et sucrées, salade, glaces, crêpes, pâtes, et des boissons fraîches et chaudes.
Ouvert du mercredi au dimanche de 11h à 18h.</t>
  </si>
  <si>
    <t>Après l'Office de Tourisme, continuer tout droit, Maison Everest se trouve dans le premier local commercial sur la droite.</t>
  </si>
  <si>
    <t>Maison Everest - Payet Elodie Mélanie</t>
  </si>
  <si>
    <t>141 B rue du Bras Long, 97403 Entre-Deux</t>
  </si>
  <si>
    <t xml:space="preserve">Payet Elodie : contact@maisoneverest.fr / 0693503553 / Gérant(e) ,  contact@maisoneverest.fr / 0693503553 </t>
  </si>
  <si>
    <t>-21.250086, 55.4689478</t>
  </si>
  <si>
    <t>7 Rue Fortune Hoarau, Réunion</t>
  </si>
  <si>
    <t>recMKLJ5R9po13j7p</t>
  </si>
  <si>
    <t>Maisonnettes de Standing du Piton Mahot (Les)</t>
  </si>
  <si>
    <t>Maisonnettes de Standing du Piton Mahot (Les)
54 bis, chemin de la Grande Ferme
Plaine des Cafres
97418 La Plaine des Cafres</t>
  </si>
  <si>
    <t>chauffage,four,linge de maison,linge de toilette,micro-ondes,parking,TV,kitchenette équipée,barbecue,jardin</t>
  </si>
  <si>
    <t>sentier de randonnée,commerce alimentaire,équitation,quad</t>
  </si>
  <si>
    <t>gites.piton-mahot@hotmail.fr</t>
  </si>
  <si>
    <t>Les Maisonnettes de Standing du Piton Mahot sont situées en pleine campagne, au calme et dans un environnement naturel. Ces trois maisonnettes ont été construites tout en bois, dans un style de case créole d'autrefois.</t>
  </si>
  <si>
    <t>Chaque gîte porte un nom de fleur typique de La Réunion (Hortensia, Arum, et Lys qui possède un accès aux personnes à mobilité réduite). Ils disposent de : cuisine équipée (plaques de cuisson, frigidaire, batterie de cuisine...), coin repas, coin salon et coin barbecue avec terrasse et table. Berceau à disposition.
A proximité : Maison du Volcan, boutiques artisanales et produits du  terroir.
Partenariat SFR, Pass Loisir, Carte Sésame. Tarif à voir directement avec le prestataire.</t>
  </si>
  <si>
    <t xml:space="preserve">Depuis le Sud : prendre la 4 voies Tampon/Plaine des Cafres. Suivre la RN3 en direction de la Plaine des Cafres jusqu’au village de Bourg-Murat. Arrivé au rond-point de la Cité du Volcan, prendre à droite la direction de la Grande Ferme. Arrivé à l'église de Grande Ferme Tourner à gauche. Continuer sur 400 m Les Maisonnettes de Standing du Piton Mahot se trouvent au n°54.
Depuis les Plaines : suivre la RN3 direction Plaine des Cafres/Tampon. Arrivé au village de Bourg-Murat, prendre la 3ème sortie au rond-point de la cité du Volcan. Continuer tout droit jusqu’au village de la Grande Ferme. Arrivé à l'église de Grande Ferme Tourner à gauche. Continuer sur 400 m Les Maisonnettes de Standing du Piton Mahot se trouvent au n°54. </t>
  </si>
  <si>
    <t>Maisonnettes de Standing du Piton Mahot (Les) - Picard J-Raymond</t>
  </si>
  <si>
    <t>54 bis, chemin de la Grande Ferme, 97422 Le Tampon</t>
  </si>
  <si>
    <t xml:space="preserve">Picard Jean-Raymond : gites.piton-mahot@hotmail.fr / 0692690002 / Propriétaire , Picard Jean-Raymond : gites.piton-mahot@hotmail.fr / 0692690002 / Propriétaire </t>
  </si>
  <si>
    <t>-21.2189776, 55.6066133</t>
  </si>
  <si>
    <t>735.00</t>
  </si>
  <si>
    <t>/nuit /bungalow</t>
  </si>
  <si>
    <t>CSC134HTH</t>
  </si>
  <si>
    <t>Prestations sur place,Prestations à Proximité,Mode de paiment,Capacité,Descriptif,Descriptif du plan d'accès,Fournisseur - SIRET</t>
  </si>
  <si>
    <t>Maisons de Marie</t>
  </si>
  <si>
    <t>Maisons de Marie
32, rue Raphaël Douyère - Bois Court
Plaine des Cafres
97418 La Plaine des Cafres</t>
  </si>
  <si>
    <t>chauffage,four,jardin,lecteur DVD,micro-ondes,TV satellite</t>
  </si>
  <si>
    <t>Situées dans les hauteurs de l’île, Maisons de Marie propose 3 meublés pouvant accueillir 15 personnes.</t>
  </si>
  <si>
    <t>Les meublés sont entièrement équipés, cuisine, télévision, table et chaises de jardin, parking indépendant pour chacune des maisons, possibilité de cuisiner au feu bois, terrain de pétanque, balançoire.
Le calme et la sérénité sont au rendez-vous.</t>
  </si>
  <si>
    <t>32, rue Raphaël Douyère - Bois Court, 97422 Le Tampon</t>
  </si>
  <si>
    <t xml:space="preserve"> 0692689393 ,  0692689393 </t>
  </si>
  <si>
    <t>-21.195187, 55.538301</t>
  </si>
  <si>
    <t>32 Rue Raphael Douyere, La Plaine des Cafres, Réunion</t>
  </si>
  <si>
    <t>recI73ToLfFvZM51p</t>
  </si>
  <si>
    <t>Malaya (Le)</t>
  </si>
  <si>
    <t>Malaya (Le)
108, Boulevard de l'Océan
Manapany-les-Bains
97480 Saint-Joseph</t>
  </si>
  <si>
    <t>http://www.lemalaya.re</t>
  </si>
  <si>
    <t>piscine,parking,TV,cuisine,salon de jardin,barbecue,linge de maison,linge de toilette,jardin,sanitaires privés,climatisation,lave linge collectif,fer et planche à repasser</t>
  </si>
  <si>
    <t>commerce alimentaire,pêche,riviere,parking public</t>
  </si>
  <si>
    <t>français,créole,anglais (Basique (Nv.1))</t>
  </si>
  <si>
    <t>lemalayapotin@gmail.com</t>
  </si>
  <si>
    <t>A Saint-Joseph dans le Sud Sauvage, Le Malaya propose 4 meublés, 2 T2 et 2 T3 pour une capacité de 12 personnes.</t>
  </si>
  <si>
    <t xml:space="preserve">Le Malaya est composé de 4 résidences avec piscine et parking privé.
Il se situe à quelques mètres du bassin de baignade de Manapany ainsi que du site du Four à Chaux. </t>
  </si>
  <si>
    <t>En venant de l'Ouest, à l'entrée de Saint-Joseph, prendre à droite direction Manapany-les-Bains, continuer sur le boulevard de l'Océan sur environ 600 m. La structure se trouve à droite au n° 108.</t>
  </si>
  <si>
    <t>Malaya (Le) - Potin Yannick</t>
  </si>
  <si>
    <t>108, boulevard de l'Océan, 97412 Saint-Joseph</t>
  </si>
  <si>
    <t xml:space="preserve">Potin Yannick : lemalayapotin@gmail.com / 0692870857 / Gérant(e) , Potin Yannick : lemalayapotin@gmail.com / 0692870857 / Gérant(e) </t>
  </si>
  <si>
    <t>-21.373097, 55.589405</t>
  </si>
  <si>
    <t>CSC137HTK</t>
  </si>
  <si>
    <t>Prestations sur place,Mode de paiment,Fixe,Capacité,Classement,Descriptif,Jours et horaires d'ouverture,Fournisseur - SIRET</t>
  </si>
  <si>
    <t>108 Blvrd de l'Ocean, Manapany-Les-Bains 97480, Réunion</t>
  </si>
  <si>
    <t>rechsrpWpaPBLT7WZ</t>
  </si>
  <si>
    <t>Malmany (Le)</t>
  </si>
  <si>
    <t>Malmany (Le)
6, chemin Boulanger - Jean Petit - Grand Coude
Grand Coude
97480 Saint-Joseph</t>
  </si>
  <si>
    <t>La table de Jean Jules est un mélange de tradition et de créativité à base de saveurs du terroir et de produits de la ferme : brèdes chouchou en crêpes fourrées, chou de choca bleu nature ou au boucané, desserts aux saveurs des fruits lontan (patate douce, manioc, songe cambare...).
Les repas s'apprécient au son de la guitare du maître de maison, amoureux des mélodies d'hier et d'aujourd'hui...
Sur réservation.</t>
  </si>
  <si>
    <t>Dans le village de Grand Coude, passer devant la salle de l’usine à Thé, jusque dans le haut du village. Prendre à droite la route du Chemin Safer. Suivre le fléchage jusqu’à la structure. Sur le chemin Géranium à la première intersection prendre tout droit. A la seconde, prendre à gauche jusqu'au restaurant.</t>
  </si>
  <si>
    <t>Malmany (Le) - Morel Jean Jules</t>
  </si>
  <si>
    <t xml:space="preserve">Morel Jean-Jules : malmany@hotmail.fr / 0262314192 / 0692204849 / 0262258219 / Gérant(e) ,  0262314192 / 0692204849 / 0262258219 </t>
  </si>
  <si>
    <t>Mode de paiment,E-Mail,Capacité,Descriptif,Fournisseur - contacts</t>
  </si>
  <si>
    <t>Manacoël (Le)</t>
  </si>
  <si>
    <t>Manacoël (Le)
8, allée des Cormorans
97480 Saint-Joseph</t>
  </si>
  <si>
    <t>nice.gigan@hotmail.fr</t>
  </si>
  <si>
    <t>Le Manoacoël, situé à proximité de Manapany à Saint-Joseph, est un complexe composé de 3 meublés : l'Arbre Voyageur, le Palmier Fleur de Canne et l'Oiseau Paradis.
L'Arbre Voyageur est un appartement privatif de 30 m² environ, de plain-pied comprenant 2 pièces susceptibles d’accueillir un maximum de 3 personnes, disposant d’une terrasse couverte de 9 m² ainsi que d’un parking privé. Cuisine entièrement équipée. Caution 200 €. 
Le Palmier Fleur de Canne est un appartement d’environ 50 m² carrelé, de plain-pied, comprenant 3 pièces susceptibles d’accueillir un maximum de 5 personnes, bénéficiant d’un jardin privé. Climatisation dans les 2 chambres, terrasse de plein air et terrasse fermée. 2 parkings privés. Cuisine entièrement équipée.
Caution 400 €.
L'Oiseau Paradis est un appartement privatif de 21m² environ, comprenant 2 pièces susceptibles d'accueillir 2 personnes, disposant d’une petite terrasse en plein air et d’un parking privé. Cuisine entièrement équipée. Caution 200 €.
Pour ces 3 hébergements : tarif réduit si linge de maison non fourni.</t>
  </si>
  <si>
    <t>-21.374087, 55.592177</t>
  </si>
  <si>
    <t>8 Allée des Cormorans, Manapany-Les-Bains, Réunion</t>
  </si>
  <si>
    <t>Manacoël (Le) / Oiseau du Paradis</t>
  </si>
  <si>
    <t>Manacoël (Le) / Oiseau du Paradis
8, allée des Cormorans
97480 Saint-Joseph</t>
  </si>
  <si>
    <t>Eurocard,Carte Bancaire,Chèque,Virement,Espèces</t>
  </si>
  <si>
    <t>Appartement privatif de 21m² environ, comprenant 2 pièces susceptibles d'accueillir 2 personnes, disposant d’une petite terrasse en plein air et d’un parking privé. Cuisine entièrement équipée.
Tarif réduit si linge de maison non fourni. Caution 200 €.</t>
  </si>
  <si>
    <t>A l'entrée ouest de la commune de Saint-Joseph, se diriger vers le bassin artificiel de Manapany et suivre les panneaux signalétiques.</t>
  </si>
  <si>
    <t>-21.3740827,55.5922557</t>
  </si>
  <si>
    <t>Manacoël (Le) / Palmier Fleurs de Canne</t>
  </si>
  <si>
    <t>Manacoël (Le) / Palmier Fleurs de Canne
8, allée des Cormorans
97480 Saint-Joseph</t>
  </si>
  <si>
    <t>Appartement d’environ 50 m² carrelé, de plain-pied, comprenant 3 pièces susceptibles d’accueillir  un maximum de 5 personnes, bénéficiant d’un jardin privé. Climatisation dans les 2 chambres, terrasse de plein air et terrasse fermée. 2 parkings privés. Cuisine entièrement équipée.
Tarif réduit si linge de maison non fourni. Caution 400 €.</t>
  </si>
  <si>
    <t>recyoVAha32J3VwKH</t>
  </si>
  <si>
    <t>Manap'Escale</t>
  </si>
  <si>
    <t>Manapescale Meublé
12 bd de l'Océan
97480 Saint-Joseph</t>
  </si>
  <si>
    <t>https://www.manapescale.fr/</t>
  </si>
  <si>
    <t>jardin,linge de maison,linge de toilette,salle de bain privée,sanitaires privés</t>
  </si>
  <si>
    <t>plage,sentier de randonnée,sentier de grande randonnée,banque - guichet automatique,pêche,centre commercial,parking public,point de vue panoramique,aéroport de Pierrefonds</t>
  </si>
  <si>
    <t>charleskerbidi@yahoo.fr</t>
  </si>
  <si>
    <t>Manapescale est une chambre d'hôtes située dans le sud de l'île de la Réunion.</t>
  </si>
  <si>
    <t>Notre chambre d'hôte Manapescale se situe dans le sud de l'île de la Réunion. Nos chambres confortables, notre copieux petit-déjeuner et nos conseils pour vos activités touristiques vous garantiront un séjour inoubliable.</t>
  </si>
  <si>
    <t>Manap'Escale - Kerbidi Charles</t>
  </si>
  <si>
    <t>10 bd de l'Océan, 97412 Saint-Joseph</t>
  </si>
  <si>
    <t>Kerbidi Charles : charleskerbidi@yahoo.fr / 0692221038 / Propriétaire</t>
  </si>
  <si>
    <t>-21.376141, 55.598394</t>
  </si>
  <si>
    <t>CSC262HT@</t>
  </si>
  <si>
    <t>Adresse,Site web,Nom catégorie,Nom sous catégorie,Capacité,Classement,Accroche,Descriptif,Fournisseur - Nom,Fournisseur - SIRET,Fournisseur - adresse,Fournisseur - contacts,Tarif libellé,Num  taxe de séjour</t>
  </si>
  <si>
    <t>Boulevard de l'océan, 10 Boulevard de l'Ocean, Saint-Joseph 97480, Réunion</t>
  </si>
  <si>
    <t>Manap'Escale Meublé</t>
  </si>
  <si>
    <t>Kerbidi Charles</t>
  </si>
  <si>
    <t>rec3Z4Wn2JbHxb2lU</t>
  </si>
  <si>
    <t>Margayillat</t>
  </si>
  <si>
    <t>Margayillat
3 Lotissement lauriers Cocos - Manapany-les-Bains
Manapany-les-Bains
97480 Saint-Joseph</t>
  </si>
  <si>
    <t>http://www.margayillat.wixsite.com/locations</t>
  </si>
  <si>
    <t>barbecue,climatisation,fer et planche à repasser,four,micro-ondes,parking,piscine,TV satellite,wifi,jacuzzi</t>
  </si>
  <si>
    <t>commerce alimentaire,restaurants</t>
  </si>
  <si>
    <t>margayillat@gmail.com</t>
  </si>
  <si>
    <t>Dans le Sud Sauvage à Saint-Joseph, niché dans un écrin de verdure, Margayillat dispose d'un studio pouvant accueillir 2 personnes.</t>
  </si>
  <si>
    <t>Le studio est équipé d'un lit 160X200, d'une télévision, de wifi gratuit, de climatisation, d'un salon extérieur et terrasse, d'un coin bureau, d'une cuisine extérieure équipée.
Linge de maison et de toilette fournis.
Moment de détente dans le jacuzzi ou dans la piscine, 2 transats disposés sur le deck sont à disposition.</t>
  </si>
  <si>
    <t>De Saint-Pierre vers Saint-Joseph, au premier rond-point prendre direction Manapany-les-Bains/LEP, au second rond-point "Quick" prendre à gauche puis deuxième à gauche face à l'entrée "Quick". Margayillat est situé au n°3 à droite, stationnement réservé.</t>
  </si>
  <si>
    <t>Margayillat - Wozniack Pascal</t>
  </si>
  <si>
    <t>3 lotissement Lauriers Cocos, 97412 Saint-Joseph</t>
  </si>
  <si>
    <t xml:space="preserve">Pérot Fabrice : margayillat@gmail.com / 0262414440 / 0692143647 / Propriétaire , Pérot Fabrice : margayillat@gmail.com / 0262414440 / 0692143647 / Propriétaire </t>
  </si>
  <si>
    <t>-21.377, 55.602</t>
  </si>
  <si>
    <t>Prestations à Proximité,Mode de paiment,Descriptif,Fournisseur - Nom</t>
  </si>
  <si>
    <t>3 Lotissement Lauriers Cocos, Manapany-Les-Bains 97480, Réunion</t>
  </si>
  <si>
    <t>recwyP9qn8ND4WZtX</t>
  </si>
  <si>
    <t>Margouillat (Le)</t>
  </si>
  <si>
    <t>Margouillat (Le)
92 bis, rue Benjamin Hoareau
97430 Le Tampon</t>
  </si>
  <si>
    <t>mnoichaye@gmail.com</t>
  </si>
  <si>
    <t>Situé dans le sud de la Réunion « Le Margouillat » est une villa meublée indépendante dans la cour du propriétaire.</t>
  </si>
  <si>
    <t>Cuisine toute équipée (vaisselle, électroménager...), télévision, petite radio, frigo, cour et table de jardin, barbecue, salle de bain avec douche et chauffe eau solaire, table de ping-pong.</t>
  </si>
  <si>
    <t>Margouillat (Le)- Ichaye Marie Noëlle</t>
  </si>
  <si>
    <t>92, rue Benjamin Hoareau, 97422 Le Tampon</t>
  </si>
  <si>
    <t xml:space="preserve"> Ichaye Marie Noëlle : mnoichaye@gmail.com / 0262346135 / 0692097861 / 0262346135 ,  mnoichaye@gmail.com / 0262346135 / 0692097861 / 0262346135 </t>
  </si>
  <si>
    <t>-21.2774804,55.51387150000001</t>
  </si>
  <si>
    <t>CSC233HT@</t>
  </si>
  <si>
    <t>Adresse,Fax,Capacité,Fournisseur - Nom,Fournisseur - SIRET,Fournisseur - contacts</t>
  </si>
  <si>
    <t>92 Rue Benjamin Hoarau, Réunion</t>
  </si>
  <si>
    <t>recPVX5imIkKti6DB</t>
  </si>
  <si>
    <t>Marmite du Pêcheur (La)</t>
  </si>
  <si>
    <t>Marmite du Pêcheur (La)
18 A, RN 2 Ravine Ango
97442 Saint-Philippe</t>
  </si>
  <si>
    <t>Restaurant,Traiteur</t>
  </si>
  <si>
    <t>climatisation,jardin,parking autocar,parking</t>
  </si>
  <si>
    <t>sentier de randonnée,sentier de grande randonnée,pêche,parking public,site - lieu culturel,point de vue panoramique</t>
  </si>
  <si>
    <t>Carte Bancaire,Eurocard,Chèque,Tickets restaurant,Espèces,American express</t>
  </si>
  <si>
    <t>la.marmite.du.pecheur@orange.fr</t>
  </si>
  <si>
    <t>Le restaurant La Marmite du Pêcheur se situe à Saint-Philippe, au cœur du Sud Sauvage. Il propose une cuisine locale et européenne, servie selon la tradition créole : marmite commune, riz présenté dans un van et sur une feuille de bananier.</t>
  </si>
  <si>
    <t>Spécialités : cari poulet, cari porc palmiste, cari poisson rouge de Saint-Philippe et cari zourite. Classé Restaurant de Tourisme. Ouvert tous les midis de 11h30 à 14h30. Fermé le mercredi, réservation conseillée le dimanche.
Service traiteur pour les réceptions et pique-nique (livraison dans tout le sud  sauvage). Restaurant labellisé Maître Restaurateur.</t>
  </si>
  <si>
    <t xml:space="preserve">De Saint-Pierre, prendre la direction de Saint-Philippe. Le restaurant se trouve à  2 km après la mairie de Saint-Philippe.
En venant de l'Est, rouler 8 km après la coulée de lave pour arriver au restaurant. </t>
  </si>
  <si>
    <t>Qualité Tourisme Ile de La Réunion,Qualité Tourisme,Maître Restaurateur</t>
  </si>
  <si>
    <t>Marmite du Pêcheur (La) - Lebon Cyrille</t>
  </si>
  <si>
    <t>18 A, RN 2, 97417 Saint-Philippe</t>
  </si>
  <si>
    <t xml:space="preserve">Lebon Cyrille : la.marmite.du.pecheur@wanadoo.fr / 0262370101 / 0262374409 / 0692852484 ,  la.marmite.du.pecheur@wanadoo.fr / 0262370101 / 0262374409 / 0692852484 </t>
  </si>
  <si>
    <t>-21.35321862, 55.78568494</t>
  </si>
  <si>
    <t>Mode de paiment,Fax,E-Mail,Descriptif,Descriptif du plan d'accès</t>
  </si>
  <si>
    <t>16-26 Route Nationale 2 Ravine Ango, Réunion</t>
  </si>
  <si>
    <t>recYojYg8RyfZn0Av</t>
  </si>
  <si>
    <t>Marmite Lontan</t>
  </si>
  <si>
    <t>Marmite Lontan
200, route du Volcan
Plaine des Cafres
97418 La Plaine des Cafres</t>
  </si>
  <si>
    <t>chauffage,jardin,linge de maison,parking,salle de bain privée,sanitaires privés,bibliothéque,Salle de jeux,Legumes bio</t>
  </si>
  <si>
    <t>Sur la route forestière du volcan, à la Plaine des Cafres...</t>
  </si>
  <si>
    <t xml:space="preserve">Le gîte Marmite Lontan, à la Plaine des Cafres, dispose de 2 chambres doubles, d'une chambre de 4 personnes, de 2 salles de bain et 3 sanitaires.
Les tarifs comprennent l'apéritif, le repas du soir, la nuitée et le petit déjeuner. Le gîte dispose également d'une bibliothèque et d'un éco-musée qui abrite des objets lontan et dans la salle à manger on retrouve des peintures de l'artiste Charlie Lesquelin.
La cuisine est faite au feu de bois. </t>
  </si>
  <si>
    <t>Le gîte Marmite Lontan est la dernière maison sur la route forestière du volcan.</t>
  </si>
  <si>
    <t>Marmite Lontan - Lassale Olivier (Pilou)</t>
  </si>
  <si>
    <t>200, route du Volcan, 97422 Le Tampon</t>
  </si>
  <si>
    <t xml:space="preserve">Lassale Olivier : 0692605138 / Propriétaire ,  0262574609 / 0692605138 </t>
  </si>
  <si>
    <t>-21.202, 55.601</t>
  </si>
  <si>
    <t>CSC86HTN</t>
  </si>
  <si>
    <t>Prestations sur place,Mode de paiment,Fixe,Descriptif,Jours et horaires d'ouverture,Fournisseur - Nom</t>
  </si>
  <si>
    <t>Mary Lu</t>
  </si>
  <si>
    <t>Mary Lu
116, rue Charles Beaudelaire - Trois Mares
97430 Le Tampon</t>
  </si>
  <si>
    <t>barbecue,four,lave linge privatif,parking,TV</t>
  </si>
  <si>
    <t>1 Etoile(s)</t>
  </si>
  <si>
    <t>Le charme d'une maison créole pour vos vacances</t>
  </si>
  <si>
    <t>Situé au cœur du village de Trois Mares, le Meublé de Tourisme Mary Lu est composé de 2 appartements mitoyens dans une maison créole typique. Chaque meublé est équipé pour le confort de 4 personnes et dispose d'un petit jardin et d'un garage. Entre mer et montagne à proximité du centre ville du Tampon et de tous les attraits touristiques du Sud.</t>
  </si>
  <si>
    <t xml:space="preserve">Depuis le  Sud, prendre la 4 voies en direction du Tampon et aller jusqu'à Trois Mares. Une fois arrivé au rond-point du Crédit Agricole, continuer tout droit et 800 m plus loin, tourner à droite dans l'impasse des Marguerites. Le meublé se trouve au n° 116 de la rue Baudelaire.
Depuis les Plaines, suivre la RN 3, traverser le village de Bourg Murat et descendre jusqu'à Trois Mares. Une fois arrivé au rond-point du Crédit Agricole, continuer tout droit et 800 m plus loin, tourner à droite dans l'impasse des Marguerites. Le meublé se trouve au n° 116 de la rue Baudelaire. </t>
  </si>
  <si>
    <t>Mary Lu - Hoarau Marie-Luce</t>
  </si>
  <si>
    <t>116, rue Charles Beaudelaire, 97422 Le Tampon</t>
  </si>
  <si>
    <t xml:space="preserve">Hoarau Marie-Luce : 0262276413 / 0692875592 / Propriétaire , Hoarau Marie-Luce : la-kaz-a-melina@wanadoo.fr / 0262276413 / 0692875592 / Propriétaire </t>
  </si>
  <si>
    <t>-21.25503748, 55.50045349</t>
  </si>
  <si>
    <t>116 Rue Charles Baudelaire, Réunion</t>
  </si>
  <si>
    <t>recc7m3SkpexAuzvc</t>
  </si>
  <si>
    <t>Mascarin (Le)</t>
  </si>
  <si>
    <t>Mascarin (Le)
82, RN2 - le Baril
97442 Saint-Philippe</t>
  </si>
  <si>
    <t>Situé au Baril à Saint-Philippe, le restaurant Le Mascarin propose une cuisine typiquement créole. Spécialités : chou de vacoa et palmiste. Ouvert tous les jours de 09h à 15h30. Fermé le mercredi, sur réservation le soir.</t>
  </si>
  <si>
    <t xml:space="preserve">De l'Ouest, passer le site du "Puits des Anglais", le restaurant se trouve de suite à droite.
De l'Est, passer le centre ville de Saint-Philippe puis la forêt de Mare Longue, le restaurant se trouve à environ 100 m à gauche. </t>
  </si>
  <si>
    <t>Mascarin (Le) - Hoareau Catherine</t>
  </si>
  <si>
    <t>82, RN2 - le Baril, 97417 Saint-Philippe</t>
  </si>
  <si>
    <t xml:space="preserve">Hoareau Catherine : 0692605482 ,  0692605482 </t>
  </si>
  <si>
    <t>-21.3685418,55.7337435</t>
  </si>
  <si>
    <t>Mode de paiment,Descriptif du plan d'accès,Fournisseur - SIRET</t>
  </si>
  <si>
    <t>med 1</t>
  </si>
  <si>
    <t>med 1
1 rue de nulle part, 97414, Entre-Deux, Réunion</t>
  </si>
  <si>
    <t>français,italien</t>
  </si>
  <si>
    <t>dsk</t>
  </si>
  <si>
    <t>medialight</t>
  </si>
  <si>
    <t>1 rue du zourite, 97403 Entre-Deux</t>
  </si>
  <si>
    <t>recbVgtiqqHlRN8XU</t>
  </si>
  <si>
    <t>Médiathèque</t>
  </si>
  <si>
    <t>Médiathèque
16, rue Victor Le Vigoureux
97430 Le Tampon</t>
  </si>
  <si>
    <t>http://www.mediatheque-tampon.fr</t>
  </si>
  <si>
    <t>contact@mediatheque-tampon.fr</t>
  </si>
  <si>
    <t>La Médiathèque propose des expositions, des spectacles, des conférences et plusieurs manifestations.</t>
  </si>
  <si>
    <t>Ouvert le mardi, jeudi, vendredi et samedi de 13h à 18h le mercredi de 8h30 à 12h et de 13h à 18h, le dimanche de 15h à 18h. fermé les lundis et jours fériés.</t>
  </si>
  <si>
    <t>Médiathèque du Tampon</t>
  </si>
  <si>
    <t>16, rue Victor Le Vigoureux, 97422 Le Tampon</t>
  </si>
  <si>
    <t xml:space="preserve"> contact@mediatheque-tampon.fr / 0262550219 / 0262349766 ,  contact@mediatheque-tampon.fr / 0262550219 / 0262349766 </t>
  </si>
  <si>
    <t>-21.280405, 55.519323</t>
  </si>
  <si>
    <t>Nom catégorie,Fax</t>
  </si>
  <si>
    <t>16 Rue Victor le Vigoureux, 97430, Réunion</t>
  </si>
  <si>
    <t>Médina du Sud (La)</t>
  </si>
  <si>
    <t>Médina du Sud (La)
23 B, rue de la Marine
97480 Saint-Joseph</t>
  </si>
  <si>
    <t>http://www.lamedina-loc.com</t>
  </si>
  <si>
    <t>français,créole,anglais,arabe</t>
  </si>
  <si>
    <t>bouali1@hotmail.com</t>
  </si>
  <si>
    <t>La Médina du Sud est idéalement situé pour profiter pleinement des attraits touristiques du Sud Sauvage (marines, routes des parfums, routes des artisans, volcan...)</t>
  </si>
  <si>
    <t>La Médina du Sud est un ensemble de 4 appartements neufs de type T3 sur 2 niveaux, donnant sur un jardin et une piscine clôturée. Située sur la route menant à la marine de Vincendo et à moins de 10 min du centre ville de Saint-Joseph.</t>
  </si>
  <si>
    <t>Médina du Sud (La) - Bouali Azedine</t>
  </si>
  <si>
    <t>23, route de la Marine, 97412 Saint-Joseph</t>
  </si>
  <si>
    <t xml:space="preserve">Bouali Azedine : bouali1@hotmail.com / 0262373251 / 0692670156 / Propriétaire ,  bouali1@hotmail.com / 0262373251 / 0262373251 / 0692670156 </t>
  </si>
  <si>
    <t>-21.3760552, 55.66886479</t>
  </si>
  <si>
    <t>CSC19HTJ</t>
  </si>
  <si>
    <t>23 Rue De La Marine, 97480, Réunion</t>
  </si>
  <si>
    <t>recijAQ80kP0c42bK</t>
  </si>
  <si>
    <t>Mémoire D'Sens</t>
  </si>
  <si>
    <t>Mémoire D'Sens
.
97414 Entre-Deux</t>
  </si>
  <si>
    <t>memoiredsens@gmail.com</t>
  </si>
  <si>
    <t>A l'Entre-Deux, Mémoire D'Sens propose la création des parfums sur mesure, des stages d'initiation aux odeurs en mettant à l'honneur les essences de La Réunion et des stages de création. Mémoire D'Sens propose également des ateliers olfactifs et conseille sur le parfum à porter selon la personnalité de chacun.</t>
  </si>
  <si>
    <t>Rendez-vous à l'Office de Tourisme de l'Entre-Deux</t>
  </si>
  <si>
    <t>Mémoire D'Sens - Turpin Anne-Margareth</t>
  </si>
  <si>
    <t>17 bis, rue des Benjoins - Ravine des Citrons, 97403 Entre-Deux</t>
  </si>
  <si>
    <t xml:space="preserve">Turpin Anne-Magareth : memoiredsens@gmail.com / 0693026462 , Turpin Anne-Margareth : memoiredsens@gmail.com / 0693026462 / Gérant(e) </t>
  </si>
  <si>
    <t>-21.24602, 55.48112</t>
  </si>
  <si>
    <t>rec2YX38fXWVZF9CF</t>
  </si>
  <si>
    <t>Mer Cassée (La)</t>
  </si>
  <si>
    <t>Mer Cassée (La)
101, RN 2 - Mare Longue
97442 Saint-Philippe</t>
  </si>
  <si>
    <t>La Mer Cassée est un snack-bar situé le long de la route nationale, au cœur du Sud sauvage, à Saint Philippe. Il propose, à l'heure du déjeuner, des brochettes, du poulet, des salades, etc. Ouvert tous les jours de 9h à 16h. Fermé le jeudi.</t>
  </si>
  <si>
    <t>Prendre la direction de Saint-Philippe. Le snack-bar se trouve sur le bord de la route, à Mare Longue</t>
  </si>
  <si>
    <t>Mer Cassée (La) - Damour Lucette</t>
  </si>
  <si>
    <t>101, RN 2, 97417 Saint-Philippe</t>
  </si>
  <si>
    <t xml:space="preserve">Damour Lucette : 0262465618 / 0693920917 / 0692659241 ,  0262465618 ,  0262465618 </t>
  </si>
  <si>
    <t>-21.362988, 55.755249</t>
  </si>
  <si>
    <t>Mode de paiment,Fournisseur - SIRET</t>
  </si>
  <si>
    <t>99-105 Route Nationale 2 Mare Longue, Réunion</t>
  </si>
  <si>
    <t>recmVZQFqK1pdOfya</t>
  </si>
  <si>
    <t>Metis Kreation</t>
  </si>
  <si>
    <t>Metis Kreation
89, rue des Alpilles
Plaine des Cafres
97418 La Plaine des Cafres</t>
  </si>
  <si>
    <t>Situé à la Plaine des Cafres, Metis Kreation propose divers bijoux  en écaille de tortue. Vente uniquement en semaine de 8h à 12h et de 13h à 17h du lundi au vendredi.</t>
  </si>
  <si>
    <t>Metis Kreation - Fregence Dady</t>
  </si>
  <si>
    <t>89, rue des Alpilles - Coin Tranquille, 97422 Le Tampon</t>
  </si>
  <si>
    <t xml:space="preserve">Fregence Dady : 0692837877 , Fregence Dady : 0692837877 </t>
  </si>
  <si>
    <t>-21.2338094,55.5590442</t>
  </si>
  <si>
    <t>Chemin des Alpilles, La Plaine des Cafres, Réunion</t>
  </si>
  <si>
    <t>rec2BTxBxGeeq2bmF</t>
  </si>
  <si>
    <t>Meublé Arc-en-Ciel</t>
  </si>
  <si>
    <t>Meublé Arc-en-Ciel
105, rue A. Payet
97414 Entre-Deux</t>
  </si>
  <si>
    <t>barbecue,climatisation,four,lave linge privatif,micro-ondes,parking,TV</t>
  </si>
  <si>
    <t>Hoarau.lise-may@orange.fr</t>
  </si>
  <si>
    <t>Situé en centre ville de l'Entre-Deux et à 10 km de la plage de Saint-Pierre, le meublé Arc-en-Ciel, offre une vue panoramique sur tout le Sud : de la mer aux sommets du Dimitile et du volcan.
Logement neuf de 100 m² avec 3 chambres spacieuses à l'étage, équipée chacune d'un lit double. Au rez-de-chaussée : un séjour/salon de 40 m², une salle de bains avec cabine de douche et une cuisine entièrement équipée. 
La terrasse de 13 m² permettra de prendre le petit déjeuner aux premières lueurs du soleil.</t>
  </si>
  <si>
    <t>Meublé Arc-en-ciel - Hoarau Serge Paul</t>
  </si>
  <si>
    <t>105, rue A. Payet, 97403 Entre-Deux</t>
  </si>
  <si>
    <t xml:space="preserve">Hoarau Serge Paul : hoarau.lise-may@orange.fr / 0262440314 / 0693918501 / Propriétaire , Hoarau Serge Paul : Hoarau.lise-may@orange.fr / 0262440314 / 0693918501 / Propriétaire ,  hoarau.lise-may@orange.fr </t>
  </si>
  <si>
    <t>-21.246077, 55.479168</t>
  </si>
  <si>
    <t>850.00</t>
  </si>
  <si>
    <t>Meublé Oté La Réunion</t>
  </si>
  <si>
    <t>Oté La Réunion (Meublé)</t>
  </si>
  <si>
    <t>Meublé Oté La Réunion
29, rue Maurice Berrichon
97414 Entre-Deux</t>
  </si>
  <si>
    <t>29, rue Maurice Berrichon, 97403 Entre-Deux</t>
  </si>
  <si>
    <t>-21.2502813,55.4777688</t>
  </si>
  <si>
    <t>29 Rue Maurice Berrichon, 97414, Réunion</t>
  </si>
  <si>
    <t>Meublés La Case</t>
  </si>
  <si>
    <t>Meublés La Case
2, rue Jean Bart
97480 Saint-Joseph</t>
  </si>
  <si>
    <t>http://www.case.fr</t>
  </si>
  <si>
    <t>contact@case.fr</t>
  </si>
  <si>
    <t xml:space="preserve">Situé à proximité du centre ville de Saint-Joseph, "Les meublés La Case" proposent 3 chambres doubles entièrement équipés pour 2 ou 4 personnes. Salon détente avec télévision à disposition des clients.
Possibilité de restauration sur place. Cadre agréable avec jardin fleuri et vue sur la mer, parking privatif sécurisé dans la propriété.
A proximité des principaux sites touristiques du Sud Sauvage (Manapany-les-Bains, marines du Sud Sauvage, Cascades de Langevin, forêt de Mare-Longue, le Volcan,...). </t>
  </si>
  <si>
    <t xml:space="preserve">Sur la RN2 en arrivant de Saint-Pierre à environ 500 m après la station service Caltex sur la gauche.
En arrivant de Saint-Philippe, prendre la deuxième rue à droite après le panneau Saint-Joseph.   </t>
  </si>
  <si>
    <t>Meublés La Case - Deschamps Clément</t>
  </si>
  <si>
    <t>2, rue Jean Bart, 97412 Saint-Joseph</t>
  </si>
  <si>
    <t xml:space="preserve">Deschamps Clément : contact@case.fr / 0262560750 / 0692885953 / Gérant(e) , Deschamps Clément : contact@case.fr / 0262560750 / 0692885953 , Deschamps Clément : contact@case.fr / 0262560750 / 0692885953 ,  contact@case.fr / 0262560750 / 0692885953 </t>
  </si>
  <si>
    <t>-21.37973769, 55.63363832</t>
  </si>
  <si>
    <t>CSC37HTJ</t>
  </si>
  <si>
    <t>2 rue Jean Bart, Saint-Joseph 97480, Réunion</t>
  </si>
  <si>
    <t>Case (Sarl Meublés la)</t>
  </si>
  <si>
    <t xml:space="preserve">Situé à proximité du centre ville de Saint-Joseph, "Les meublés La Case" se composent de 5 studios mitoyens. 
Chaque Meublé dispose d'une salle d'eau, d'un coin cuisine, ainsi qu'une véranda privative donnant sur la piscine. Possibilité de restauration sur place. Cadre agréable avec jardin fleuri et vue sur la mer, parking privatif sécurisé dans la propriété.
A proximité des principaux sites touristiques du Sud Sauvage (Manapany-les-Bains, marines du Sud Sauvage, Cascades de Langevin, forêt de Mare-Longue, le Volcan,...). </t>
  </si>
  <si>
    <t>CSC36HTI</t>
  </si>
  <si>
    <t>Mezina</t>
  </si>
  <si>
    <t>Mezina
187, rue Jules Bertaut
97430 Le Tampon</t>
  </si>
  <si>
    <t>Située au Tampon, Mezina est une pizzeria.</t>
  </si>
  <si>
    <t>Mezina - Gauci</t>
  </si>
  <si>
    <t>187, rue Jules Bertaut, 97422 Le Tampon</t>
  </si>
  <si>
    <t xml:space="preserve">Gauci  : 0262276871 ,  0262276871 ,  0262276871 </t>
  </si>
  <si>
    <t>-21.2814948,55.5152979</t>
  </si>
  <si>
    <t>96 Rue Jules Bertaut, Réunion</t>
  </si>
  <si>
    <t>recEscXK1LxwsizGj</t>
  </si>
  <si>
    <t>Milena's (Le)</t>
  </si>
  <si>
    <t>Milena's (Le)
7, C rue Raphäel Babet
97480 Saint-Joseph</t>
  </si>
  <si>
    <t>A la découverte des saveurs créoles...</t>
  </si>
  <si>
    <t>Situé à proximité de la ravine des Grègues à Saint-Joseph, Le Milena's propose de découvrir les spécialités de la cuisine créole traditionnelle. Il propose des repas sur place ou à emporter.</t>
  </si>
  <si>
    <t>Milena's (Le) - Orange Jean Bruno</t>
  </si>
  <si>
    <t>7, C Raphael Babet, 97412 Saint-Joseph</t>
  </si>
  <si>
    <t xml:space="preserve">Orange Jean Bruno : 0262409162 / 0692589148 / 0262409162 ,  0262409162 / 0692589148 / 0262409162 </t>
  </si>
  <si>
    <t>-21.3785024,55.6051119</t>
  </si>
  <si>
    <t>Mode de paiment,Fax,Fournisseur - SIRET</t>
  </si>
  <si>
    <t>7c Rue Raphael Babet, Réunion</t>
  </si>
  <si>
    <t>Mille et Une Couleurs</t>
  </si>
  <si>
    <t>Mille et Une Couleurs
70, chemin Louis Fontaine - 20ème Km
Plaine des Cafres
97418 La Plaine des Cafres</t>
  </si>
  <si>
    <t>dolene.font@wanadoo.fr</t>
  </si>
  <si>
    <t>Situé à la Plaine des Cafres, Mille et Une Couleurs propose de la gravure sur verre, et de la peinture sur porcelaine. Différents objets peuvent  être personnalisés sur commande. Sur un simple appel un devis est possible.</t>
  </si>
  <si>
    <t>Mille et Une Couleurs - Fontaine Dolène</t>
  </si>
  <si>
    <t>70, chemin Louis Fontaine - 20ème Km, 97422 Le Tampon</t>
  </si>
  <si>
    <t xml:space="preserve">Fontaine Dolène : dolene.font@wanadoo.fr / 0262591984 / 0692667026 , Fontaine Dolène : dolene.font@wanadoo.fr / 0262591984 / 0692667026 </t>
  </si>
  <si>
    <t>-21.2343799,55.54544199999999</t>
  </si>
  <si>
    <t>20ème, 70 Chemin Louis Fontaine, La Plaine des Cafres, Réunion</t>
  </si>
  <si>
    <t>rec9VUy4xPzBe6RkX</t>
  </si>
  <si>
    <t>Millepertuis (Le)</t>
  </si>
  <si>
    <t>Millepertuis (Le)
8, allée des Mimosas - Piton Hyacinthe
Plaine des Cafres
97418 La Plaine des Cafres</t>
  </si>
  <si>
    <t>http://www.lemillepertuis.fr</t>
  </si>
  <si>
    <t>lemillepertuis@orange.fr</t>
  </si>
  <si>
    <t>Le Millepertuis propose 2 chambres d'hôtes de charme, communicantes si besoin, d'une capacité totale de 5 personnes, dont une accessible aux personnes à mobilité réduite.</t>
  </si>
  <si>
    <t>Une chambre possède deux lits twin et l'autre, un grand lit en baldaquin et un petit lit. Le tout dans une petite case créole à caractère régional, situé à Piton Hyacinthe dans un endroit calme et verdoyant, à quelques kilomètres du volcan, des sentiers de randonnées et des principaux sites touristiques de la Plaine des Cafres. Entrée indépendante. La case créole et son jardin, réservés aux hôtes, offrent un espace bien être dans l'enceinte d'une fermette biologique. Possibilité repas, produits bio selon saison.</t>
  </si>
  <si>
    <t>Sur la RN3, entre le Tampon et la Plaine des Cafres, prendre la route du Piton Hyacinthe. Au rond-point du 20ème km, suivre la route du Piton Hyacinthe et faire environ 2 km puis prendre à gauche chemin des Acacias et tout de suite à droite, rue des Mimosas jusqu'au numéro 8 (près de l'église du Piton Hyacinthe).</t>
  </si>
  <si>
    <t>Millepertuis (Le) - Hoareau Françoise</t>
  </si>
  <si>
    <t>8, allée des Mimosas, 97422 Le Tampon</t>
  </si>
  <si>
    <t xml:space="preserve">Hoareau Françoise : lemillepertuis@orange.fr / 0262592817 / 0692563905 ,  lemillepertuis@orange.fr / 0692563905 / 0262592817 </t>
  </si>
  <si>
    <t>-21.22008099, 55.53457338</t>
  </si>
  <si>
    <t>https://book.reunion.fr/fr/hebergements/a310831/le-millepertuis/reserver | Réunion.fr</t>
  </si>
  <si>
    <t>CSC72HTI</t>
  </si>
  <si>
    <t>8 Rue des Mimosas, La Plaine des Cafres, Réunion</t>
  </si>
  <si>
    <t>reczhuWwdniGCsFk9</t>
  </si>
  <si>
    <t>Mimosas (Les)</t>
  </si>
  <si>
    <t>Les Mimosas</t>
  </si>
  <si>
    <t>Mimosas(Les)
Grand Bassin
Plaine des Cafres
97418 La Plaine des Cafres</t>
  </si>
  <si>
    <t>http://www.mimosas.re</t>
  </si>
  <si>
    <t>Montagne,inaccessible aux véhicules</t>
  </si>
  <si>
    <t>salle de bain commune,sanitaires communs,wifi</t>
  </si>
  <si>
    <t>pas d'accès routier</t>
  </si>
  <si>
    <t>contact@mimosas.re</t>
  </si>
  <si>
    <t>A la Plaine des Cafres, au village de Grand Bassin, Les Mimosas proposent 2 chambres d'hôtes pouvant accueillir 4 personnes.</t>
  </si>
  <si>
    <t xml:space="preserve">Les chambres doubles sont équipées d'une literie de 160x200, elles sont séparées par la salle de bain et l'espace toilettes est indépendant.
Le tarif comprend les consommations de l'arrivée jusqu'au départ, la nuitée, le petit déjeuner et le repas du soir pour 2 personnes. Lorsqu'une chambre est louée, la seconde ne le sera pas pour préserver l'intimité des visiteurs. Plus d'info sur le site internet. </t>
  </si>
  <si>
    <t xml:space="preserve">Pour accéder à la chambre d'hôte Les Mimosas, la randonnée pédestre est obligatoire.
A La Plaine des Cafres, prendre la direction de Bois-Court, continuer sur 4,3 km. Arrivée au Belvédère, point de vue de Grand Bassin, le départ du chemin se trouve à côté du monte-charges.   </t>
  </si>
  <si>
    <t>Mimosas (Les) - Séry Jocelyne</t>
  </si>
  <si>
    <t xml:space="preserve">Séry Jocelyne : contact@mimosas.re / 0692160990 / Propriétaire , Séry Jocelyne : contact@mimosas.re / 0692618888 / Propriétaire </t>
  </si>
  <si>
    <t>-21.181667, 55.535</t>
  </si>
  <si>
    <t>CSC150HTF</t>
  </si>
  <si>
    <t>Nom commercial,Mode de paiment,Autre téléphone,Descriptif,Descriptif du plan d'accès</t>
  </si>
  <si>
    <t>les mimosas, La Plaine des Cafres 97418, Réunion</t>
  </si>
  <si>
    <t>recpekQUX2fVBseOL</t>
  </si>
  <si>
    <t>Mirédo (Le)</t>
  </si>
  <si>
    <t>Mirédo (Le)
RN 3 - PK27 - Bourg Murat
Bourg Murat
97418 La Plaine des Cafres</t>
  </si>
  <si>
    <t>chauffage,climatisation,jardin,parking</t>
  </si>
  <si>
    <t>Le Mirédo est un snack-bar situé à deux pas du chemin du Volcan, sur la RN3 à la Plaine des Cafres. Il propose une sélection de repas créoles et chinois ainsi que des sandwichs, salades, viennoiseries, boissons fraîches et glaces variées sur place ou à emporter. Ouvert tous les jours.</t>
  </si>
  <si>
    <t>En venant de Saint-Pierre, prendre la direction de la Plaine des Cafres. Suivre la route du Volcan. Au rond-point de la Maison du Volcan, prendre la route des Plaines A Bourg Murat, Le Mirédo se trouve à 350 m de la Maison du Volcan, sur la droite, sur la RN3 en direction de Saint-Benoit et à 80 m avant le chemin du Champ de Foire en direction du volcan et de la Grande Ferme.</t>
  </si>
  <si>
    <t>Mirédo (Le) - Bègue Pascal</t>
  </si>
  <si>
    <t>RN 3 - PK27, 97422 Le Tampon</t>
  </si>
  <si>
    <t xml:space="preserve">Bègue Pascal : 0262599198 / 0692689356 / 0262599198 ,  0262599198 / 0692689356 / 0262599198 </t>
  </si>
  <si>
    <t>-21.19910187, 55.57636405</t>
  </si>
  <si>
    <t>Mirest</t>
  </si>
  <si>
    <t>CLAIN Lucienne</t>
  </si>
  <si>
    <t>Mirest
1, chemin Source Raisin
97414 Entre-Deux</t>
  </si>
  <si>
    <t>espace de restauration,jardin,parking,salle de bain privée,sanitaires privés,TV</t>
  </si>
  <si>
    <t>paulclain@orange.fr</t>
  </si>
  <si>
    <t>Situé à l'Entre-Deux, Mirest propose 3 chambres d'hôtes indépendantes de 2 personnes, labellisées Gîtes de France.</t>
  </si>
  <si>
    <t>Les chambres sont reliées entre elles par des coursives ouvertes, avec jardins et terrasses privatifs.</t>
  </si>
  <si>
    <t>Arriver au village de l'Entre-Deux, passer l'Hôtel de Ville, puis prendre la direction de la route du Commerce, puis Ravine des Citrons et continuer sur 1,5 km. Le chemin Source Raisin est à gauche.</t>
  </si>
  <si>
    <t>Mirest - Clain Lucienne</t>
  </si>
  <si>
    <t>1, chemin Source Raisin, 97403 Entre-Deux</t>
  </si>
  <si>
    <t xml:space="preserve">Clain Lucienne : paulclain@orange.fr / 0262396543 / 0262396995 / Propriétaire ,  0262396543 / 0262396995 </t>
  </si>
  <si>
    <t>-21.24754966, 55.48034297</t>
  </si>
  <si>
    <t>http://resa2.reunion.fr/fr/hebergements/a310816/product/reserver | Resa 2 Réunion.fr</t>
  </si>
  <si>
    <t>CSC375HT@</t>
  </si>
  <si>
    <t>1 Chemin Source Raisin, 97414, Réunion</t>
  </si>
  <si>
    <t>Située à l'Entre-Deux, Mirest est une table d'hôte labellisée Gîtes de France.</t>
  </si>
  <si>
    <t>La table propose une cuisine traditionnelle au feu de bois.</t>
  </si>
  <si>
    <t>Arriver au village de l'Entre-Deux, passer l'hôtel de ville, puis prendre la direction de la route du Commerce, puis Ravine des Citrons, continuer sur 1,5 km. Le chemin Source Raisin est à gauche.</t>
  </si>
  <si>
    <t>Moulin Rouge (le)</t>
  </si>
  <si>
    <t>Le Moulin Rouge</t>
  </si>
  <si>
    <t>Moulin Rouge (le)
52, rue Maréchal Leclerc
97480 Saint-Joseph</t>
  </si>
  <si>
    <t>Le Moulin Rouge se situe à Saint-Joseph.</t>
  </si>
  <si>
    <t>Samedi :  -,Dimanche :  -</t>
  </si>
  <si>
    <t>Moulin Rouge (Le)</t>
  </si>
  <si>
    <t>52, rue Maréchal Leclerc, 97412 Saint-Joseph</t>
  </si>
  <si>
    <t xml:space="preserve"> 0262562740 ,  0262562740 </t>
  </si>
  <si>
    <t>-21.3756769,55.61365259999999</t>
  </si>
  <si>
    <t>52 Rue Du Marechal Leclerc, Réunion</t>
  </si>
  <si>
    <t>Mozaïk Bambou</t>
  </si>
  <si>
    <t>Mosaïk Bambou</t>
  </si>
  <si>
    <t>Mozaïk Bambou
71, chemin Alfred Picard - Bourg Murat
Bourg Murat
97418 La Plaine des Cafres</t>
  </si>
  <si>
    <t>http://www.decorbois-design.com</t>
  </si>
  <si>
    <t>decorboismosaik@yahoo.fr</t>
  </si>
  <si>
    <t xml:space="preserve">L'atelier design Mosaïk Bambou propose toute une gamme de mobilier d'intérieur et d'extérieur en bois de goyavier. Les mobiliers sont originaux voire uniques.
Des ateliers éducatifs sont proposés pour les passionnées et les personnes motivées. Ils se déroulent à la demande, à l'atelier ou en déplacement, l'atelier est assuré par un intervenant-formateur diplômé en animation et en formation d'adultes. </t>
  </si>
  <si>
    <t>Mosaïk Bambou - Hoareau Jean François</t>
  </si>
  <si>
    <t>71, chemin Alfred Picard, 97422 Le Tampon</t>
  </si>
  <si>
    <t xml:space="preserve">Hoareau Jean François : decorboismosaik@yahoo.fr / 0262592206 / 0692822575 / Artisan , Hoareau Jean-François : decorboismosaik@yahoo.fr / 0262592206 / 0692822575 / Artisan </t>
  </si>
  <si>
    <t>-21.204801, 55.582398</t>
  </si>
  <si>
    <t>71 Rue Alfred Picard, La Plaine des Cafres, Réunion</t>
  </si>
  <si>
    <t>Mussard Thérèse</t>
  </si>
  <si>
    <t>Mussard Thérèse
180, chemin Notre Dame de la Paix - CD 36
Plaine des Cafres
97418 La Plaine des Cafres</t>
  </si>
  <si>
    <t>chauffage,espace de restauration,jardin,salle de bain commune,sanitaires communs</t>
  </si>
  <si>
    <t>1 Epi(s)</t>
  </si>
  <si>
    <t>Mussard Thérèse propose 2 chambres d'hôtes d'une capacité de 5 personnes et une table d'hôte (repas du soir pour les clients en chambre d'hôte) à Notre Dame de la Paix, un village situé à quelques minutes de la route forestière du volcan et des principaux sites touristiques de la Plaine des Cafres. Endroit calme, frais et verdoyant.</t>
  </si>
  <si>
    <t>En venant de Saint-Pierre, suivre la RN 3 en direction de Saint-Benoit / La Plaine des Cafres. Au 23ème km après la gendarmerie, prendre le CD 36 (route de Notre Dame de la Paix) et faire environ 7 km, en suivant les panneaux directionnels MUSSARD Thérèse. Les chambres se situent sur la droite, au numéro 180.</t>
  </si>
  <si>
    <t>180, chemin Notre Dame de la Paix - CD 36, 97422 Le Tampon</t>
  </si>
  <si>
    <t xml:space="preserve">Mussard Thérèse : 0262275759 / 0262275729 ,  0262275759 / 0262275759 </t>
  </si>
  <si>
    <t>-21.24646419, 55.59581691</t>
  </si>
  <si>
    <t>recLct4mRjovxuIkV</t>
  </si>
  <si>
    <t>Nancy Boutique</t>
  </si>
  <si>
    <t>Nancy Boutique
58 rue Leconte Delisle
97442 Saint-Philippe</t>
  </si>
  <si>
    <t>créole,français</t>
  </si>
  <si>
    <t>nancy-boutique@orange.fr</t>
  </si>
  <si>
    <t>Située à Saint-Philippe, Nancy Boutique propose des produits artisanaux</t>
  </si>
  <si>
    <t>Vente de produits : vanille, confiture, miel, piment, sirop de safran, gingembre, des souvenirs de La Réunion, tee shirts ...
Nancy Boutique propose également la location de vélos électriques.</t>
  </si>
  <si>
    <t>Nancy Boutique est située au centre ville de Saint-Philippe sur la droite avant la mairie.</t>
  </si>
  <si>
    <t>Nancy Boutique - K BIDI Joseph Gilbert</t>
  </si>
  <si>
    <t>58 rue Leconte Delisle, 97417 Saint-Philippe</t>
  </si>
  <si>
    <t>K Bidi Gilbert : nancy-boutique@orange.fr / 0262517635 / 0692651983 / Gérant(e)</t>
  </si>
  <si>
    <t>-21.359587, 55.766728</t>
  </si>
  <si>
    <t>Mode de paiment,Descriptif,Fournisseur - Nom</t>
  </si>
  <si>
    <t>13 h Rue Leconte de Lisle, 97442, Réunion</t>
  </si>
  <si>
    <t>Nassibou Jean-David</t>
  </si>
  <si>
    <t>Nassibou Jean-David
Route Notre Dame de la Paix
Plaine des Cafres
97418 La Plaine des Cafres</t>
  </si>
  <si>
    <t>barbecue,chauffage,fer et planche à repasser,four,jardin,lave linge privatif,lave vaisselle,linge de maison,parking,TV</t>
  </si>
  <si>
    <t>arrêt bus,sentier de randonnée,commerce alimentaire,équitation,site - lieu culturel,point de vue panoramique</t>
  </si>
  <si>
    <t>sami-nassibou@wanadoo.fr</t>
  </si>
  <si>
    <t>Nassibou Jean-David propose la location d'un gite indépendant. Il comprend 2 chambres de 2 personnes en rez-de-chaussée et 3 chambres de 2 personnes à l'étage.</t>
  </si>
  <si>
    <t>Jardin clos, cuisinière à gaz, plaque de cuisson, four électrique, autocuiseur, réfrigérateur, congélateur, cafetière électrique, hotte aspirante, radiateurs électriques, télévision avec parabole, cheminée. Électricité en supplément. Forfait de ménage, non obligatoire, à régler au propriétaire en fin de séjour.</t>
  </si>
  <si>
    <t>En venant de Saint-Pierre, suivre la RN 3 en direction de Saint-Benoit. Au 23ème km après la gendarmerie, prendre le CD 36 (route de Notre Dame de la Paix) et faire 2 km. Le gîte se situe sur la droite.</t>
  </si>
  <si>
    <t>21, rue Luc Lorion, 97416 Saint-Pierre</t>
  </si>
  <si>
    <t xml:space="preserve">Nassibou Jean-David : sami-nassibou@wanadoo.fr / 0262354791 / 0692691226 / 0262259587 , Nassibou Jean-David : sami-nassibou@wanadoo.fr / 0262354791 / 0692691226 / 0262259587 ,  sami-nassibou@wanadoo.fr / 0262354791 / 0262259587 / 0692691226 </t>
  </si>
  <si>
    <t>-21.245377, 55.59612</t>
  </si>
  <si>
    <t>rec18bxJRriM5tDEN</t>
  </si>
  <si>
    <t>Naturev</t>
  </si>
  <si>
    <t>Naturev
39, chemin de l'Adieu - Bras-Pontho
97430 Le Tampon</t>
  </si>
  <si>
    <t>http://www.naturev.re</t>
  </si>
  <si>
    <t>contact@naturev.re</t>
  </si>
  <si>
    <t>Prestation d'accompagnement touristique personnalisée avec option service de conciergerie.
Guide touristique, guide accompagnatrice de séjour.</t>
  </si>
  <si>
    <t>Visite guidée pleins les yeux sur « Bourg Murat carrefour culturel et randonnées ».
Au programme une boucle dépaysante de Bourg Murat « hauts-lieux de la randonnée mais aussi du pique-nique pour les Réunionnais » mais aussi passage obligé pour se rendre au volcan, le Piton de la fournaise, sans pour autant avoir l’impression d’être à proximité de la ville. Labellisé « Village Créole » Bourg Murat offre une ambiance fraîche et bucolique parmi les pâturages verdoyants des vaches. Le parcours époustoufle avec ses richesses architecturales et culturelles nous restituant l’histoire et l’évolution de notre île en passant par l’impact laissé par le colonialisme. Tout au long de nos pas, on y découvre également une grande variété de fleurs dans un environnement champêtre et des troupeaux sous les tamarins. Une occasion de faire un rappel sur nos espèces endémiques.
Durée : 2h
Horaire : Départ prévu à 9h30.
Rendez-vous à l’office de Tourisme du village de Bourg Murat à partir de 9h00.
Accueil café-Douceurs créoles.
La visite se termine par un repas typique dans un restaurant du village.</t>
  </si>
  <si>
    <t>Naturev - Chung Corinne</t>
  </si>
  <si>
    <t>18 ter rue de Bazeilles, 97422 Le Tampon</t>
  </si>
  <si>
    <t xml:space="preserve">Chung Corinne : corinnechung@potentiel.me / 0692780176 / Gérant(e) , Vallaud Wendy : contact@naturev.re / 0692721173 / Gérant(e) </t>
  </si>
  <si>
    <t>-21.240654, 55.489609</t>
  </si>
  <si>
    <t>Chemin de L Adieu, Entre-Deux, Réunion</t>
  </si>
  <si>
    <t>rec7cdQ1AMzbTYHMz</t>
  </si>
  <si>
    <t>Nelson Boyer</t>
  </si>
  <si>
    <t>Nelson Boyer
53, rue Edouard Turpin - La Crête - 2ème Village
97480 Saint-Joseph</t>
  </si>
  <si>
    <t>sculpture.nelson@wanadoo.fr</t>
  </si>
  <si>
    <t>Dans le Sud Sauvage à Saint-Joseph, Nelson Boyer, artiste peintre et sculpteur expose ses œuvres un peu partout dans l'île. Autodidacte, il découvre la technique de la terre cuite qui lui permet de retranscrire l'histoire de sa terre et de sa chair.</t>
  </si>
  <si>
    <t>Boyer Nelson</t>
  </si>
  <si>
    <t>La Crête 2ème village - 53, rue Edouard Turpin, 97412 Saint-Joseph</t>
  </si>
  <si>
    <t xml:space="preserve">Boyer Nelson : sculpture.nelson@wanadoo.fr / 0692617016 , Boyer Nelson : sculpture.nelson@wanadoo.fr / 0692617016 , Boyer Nelson : sculpture.nelson@wanadoo.fr / 0692617016 </t>
  </si>
  <si>
    <t>-21.334522, 55.659812</t>
  </si>
  <si>
    <t>2ème, 53 Rue Edouard Turpin, Réunion</t>
  </si>
  <si>
    <t>Ô Libané</t>
  </si>
  <si>
    <t>Ô Libané
16 rue Césaire
97414 Entre-Deux</t>
  </si>
  <si>
    <t>http://olibane.com</t>
  </si>
  <si>
    <t>david.elwert@gmail.com</t>
  </si>
  <si>
    <t>Dans le village de l'Entre-Deux, le restaurant Ô Libané propose une cuisine orientale</t>
  </si>
  <si>
    <t>Situé dans une maison créole, le restaurant propose de découvrir les nouvelles saveurs de la cuisine libanaise.
Les plats sont revisités avec une touche de modernité et un équilibre en goût.
Parce que le Liban est aussi connu pour ces fameux mezzés libanais, ils sont à l’honneur tous les dimanches midi.</t>
  </si>
  <si>
    <t>16 rue Césaire, 97403 Entre-Deux</t>
  </si>
  <si>
    <t>-21.251, 55.469</t>
  </si>
  <si>
    <t>16 Rue Cesaire, 97414, Réunion</t>
  </si>
  <si>
    <t>recQvWZmLaWYl0URt</t>
  </si>
  <si>
    <t>O Ti Colibri</t>
  </si>
  <si>
    <t>O Ti Colibri
158 C route de Jean Petit
97480 Saint-Joseph</t>
  </si>
  <si>
    <t>espace spa - bien être,jardin,parking,wifi</t>
  </si>
  <si>
    <t>français,anglais (Basique (Nv.1)),espagnol (Basique (Nv.1))</t>
  </si>
  <si>
    <t>ticolibri97480@gmail.com</t>
  </si>
  <si>
    <t>Situé entre terre et mer, le meublé sous forme de loft peut accueillir 6 personnes</t>
  </si>
  <si>
    <t>Meublé avec une chambre équipée, possibilité d'avoir 6 couchages. Wifi, garage, jardin et Spa de 5 places pour la détente.
Endroit calme avec vue mer, proche de la mer, de la montagne et des rivières, sans oublié le volcan (Saint-Philippe, La Plaine des Sables).
Bus à proximité, marché forain et surtout les sentiers littoraux pour ceux qui aiment la marche et s'aérer l'esprit.</t>
  </si>
  <si>
    <t xml:space="preserve">A  Saint-Joseph, par la déviation prendre la D33 direction Jean Petit - Grand Coude, continuer environ 7 min, le meublé se situe en face de la borne kilométrique (blanc et jaune).
Ou par la déviation, arrivé au radier des Prunes, prendre à gauche rue Aimé Turpin, après le château d'eau, prendre à gauche rue Grosset, au stop descendre 2 virages, le meublé se situe en face de la borne kilométrique (blanc et jaune). </t>
  </si>
  <si>
    <t>O Ti Colibri - Lebon Marie Reine May</t>
  </si>
  <si>
    <t>158 route de Jean Petit, 97412 Saint-Joseph</t>
  </si>
  <si>
    <t>Lebon Marie Reine May : ticolibri97480@gmail.com / 0262241760 / 0693101776 / Gérant(e)</t>
  </si>
  <si>
    <t>-21.36786, 55.625507</t>
  </si>
  <si>
    <t>Mode de paiment,E-Mail,Capacité,Descriptif,Descriptif du plan d'accès</t>
  </si>
  <si>
    <t>O Ti Colibri: location appartement de vacances vue mer avec jardin &amp; spa 6 pers St Joseph La Réunion, 158 Route de Jean Petit, 97480, Réunion</t>
  </si>
  <si>
    <t>rec91umv2JT449OwG</t>
  </si>
  <si>
    <t>O'Ptit Nid Douillet</t>
  </si>
  <si>
    <t>O'Ptit Nid Douillet
111, rue Défaud
97414 Entre-Deux</t>
  </si>
  <si>
    <t>Situé à la Ravine Citron à l'Entre Deux, O'Ptit Nid Douillet  dispose d'un bungalow pouvant accueillir 2 personnes.</t>
  </si>
  <si>
    <t>Bungalow de 24 m² équipé d'un canapé convertible, d'un lit, d'une kitchenette avec plaque de cuisson et d'une terrasse extérieure avec salon de jardin.</t>
  </si>
  <si>
    <t>O'Ptit Nid Douillet - Mme Sauvage Brigitte</t>
  </si>
  <si>
    <t>111 Rue Défaud, 97403 Entre-Deux</t>
  </si>
  <si>
    <t>SAUVAGE Brigitte : 0692683150 / Propriétaire</t>
  </si>
  <si>
    <t>-21.241585, 55.48094</t>
  </si>
  <si>
    <t>CSC144HTI</t>
  </si>
  <si>
    <t>111 Rue Defaud, Réunion</t>
  </si>
  <si>
    <t>rec8AJUBJJfq4QsKF</t>
  </si>
  <si>
    <t>Oasis (L')</t>
  </si>
  <si>
    <t>Oasis (L')
Grand Bassin
Plaine des Cafres
97418 La Plaine des Cafres</t>
  </si>
  <si>
    <t>sentier de randonnée,commerce alimentaire,point de vue panoramique</t>
  </si>
  <si>
    <t>grandbassin.oasis@gmail.com</t>
  </si>
  <si>
    <t xml:space="preserve">Situé à Grand Bassin à la Plaine des Cafres, L'Oasis dispose de 30 places en dortoir. 2 chambres pour 2adultes et 2 enfants. Dortoir de de 8 et de4. </t>
  </si>
  <si>
    <t>Oasis (L') - Nativel Dimitri</t>
  </si>
  <si>
    <t xml:space="preserve">Nativel Dimitri : 0262275191 / 0692250232 / 0692103065 / Propriétaire , Nativel Dimitri : 0262275191 / 0692103005 / 0692250232 </t>
  </si>
  <si>
    <t>-21.182431, 55.533881</t>
  </si>
  <si>
    <t>CSC118HTJ</t>
  </si>
  <si>
    <t>Prestations sur place,Mode de paiment,E-Mail,Descriptif,Fournisseur - SIRET</t>
  </si>
  <si>
    <t>Grand Bassin, La Plaine des Cafres, Réunion</t>
  </si>
  <si>
    <t>Oasis des Senteurs (L')</t>
  </si>
  <si>
    <t>Oasis des Senteurs (L')
25, ruelle des Bois de Reinettes - Petit Tampon
97430 Le Tampon</t>
  </si>
  <si>
    <t>http://oasisdessenteurs.com</t>
  </si>
  <si>
    <t>barbecue,linge de maison,parking,piscine,sanitaires privés,TV,ventilateur</t>
  </si>
  <si>
    <t>sandrine-run@hotmail.com</t>
  </si>
  <si>
    <t>La chambre d'hôte L'Oasis des Senteurs se situe dans un cadre agréable et chaleureux, au Tampon. Elle dispose de 4 chambres doubles.</t>
  </si>
  <si>
    <t xml:space="preserve">Possibilité de profiter de la piscine au sel et chauffée en toute saison avec son banc hydro-massant. A disposition : berceau et kiosque avec barbecue.
Proche de la CAHEB (Coopérative Agricole des Huiles Essentielles de Bourbon) et de toutes commodités.
Tarif affiché : location à partir de 2 nuits. </t>
  </si>
  <si>
    <t xml:space="preserve">Depuis le Sud : prendre la 4 voies en direction du Tampon. Arrivé au rond-point des Azalées, suivre la direction du centre ville. Au 3ème rond-point  "Les Chandelles,"prendre la direction de Terrain Fleury à droite. Continuer tout droit jusqu’au rond-point suivant. Prendre la 2ème sortie en direction du Petit Tampon. Passer devant le collège Terrain Fleury puis au rond-point, prendre la sortie de droite. Continuer tout droit, passer devant la pharmacie du Petit Tampon, ensuite tourner à droite "chemin Bois Pomme." Enfin, tourner de suite à gauche "ruelle des Reinettes." 
Depuis les Plaines : suivre la RN3 en direction du Tampon. Arrivé au rond-point "les Chandelles," prendre la direction Terrain Fleury. Continuer tout jusqu’au rond-point suivant. Prendre la 2ème sortie en direction du Petit Tampon. Passer devant le collège Terrain Fleury puis au rond-point, prendre la sortie de droite. Continuer tout droit, passer devant la pharmacie du Petit Tampon, ensuite tourner à droite "chemin Bois Pomme."Enfin, tourner de suite à gauche "ruelle des Reinettes."   </t>
  </si>
  <si>
    <t>Oasis des Senteurs (L') - Ajorque Sandrine</t>
  </si>
  <si>
    <t>25, ruelle des Bois de Reinettes, 97422 Le Tampon</t>
  </si>
  <si>
    <t xml:space="preserve">Ajorque Sandrine : sandrine-run@hotmail.com / 0692209452 / Propriétaire , Ajorque Sandrine : sandrine-run@hotmail.com / 0692209452 / 0692307342 / Propriétaire </t>
  </si>
  <si>
    <t>-21.2724696,55.5522737</t>
  </si>
  <si>
    <t>Office de Tourisme de l'Entre-Deux</t>
  </si>
  <si>
    <t>Office de Tourisme de l'Entre-Deux
13, rue Fortuné Hoareau
97414 Entre-Deux</t>
  </si>
  <si>
    <t>http://www.ot-entredeux.com</t>
  </si>
  <si>
    <t>sentier de randonnée,commerce alimentaire,parking public,site - lieu culturel,point de vue panoramique</t>
  </si>
  <si>
    <t>L'Office de Tourisme de l'Entre-Deux est un point d'information et de réservation sur les différentes prestations touristiques de l’île : gîtes de randonnée, gîtes et chambres d’hôtes Gîtes de France, locations saisonnières Clévacances, hôtellerie créole et activités de pleine nature.</t>
  </si>
  <si>
    <t>Pour tous les amoureux de la nature, la ville de l'Entre-Deux offre diverses possibilités : randonnées pédestres et 4x4. Des visites guidées sont également proposées : Entre Lambrequin et Patrimoine, le Verger de la Chapelle, etc.
Ouvert du lundi au samedi de 8h à 12h et de 13h30 à 17h. Octobre et novembre ouvert le dimanche de 8h à 12h.</t>
  </si>
  <si>
    <t xml:space="preserve">Entre Saint-Louis et Saint-Pierre, à l'échangeur de Pierrefonds,
prendre la direction Entre-Deux par la RD 26. Temps de parcours de la nationale : environ 20 minutes. </t>
  </si>
  <si>
    <t>Lundi : 08:00 12:00 - 13:30 17:00,Mardi : 08:00 12:00 - 13:30 17:00,Mercredi : 08:00 12:00 - 13:30 17:00,Jeudi : 08:00 12:00 - 13:30 17:00,Vendredi : 08:00 12:00 - 13:30 17:00,Samedi : 08:00 12:00 - 13:30 17:00</t>
  </si>
  <si>
    <t>13, rue Fortuné Hoareau, 97403 Entre-Deux</t>
  </si>
  <si>
    <t>ot.entredeux@wanadoo.fr / 0262396980</t>
  </si>
  <si>
    <t>Office de Tourisme de Saint-Philippe</t>
  </si>
  <si>
    <t>Office de Tourisme</t>
  </si>
  <si>
    <t>Office de Tourisme de Saint-Philippe
41 A, rue Leconte Delisle
97442 Saint-Philippe</t>
  </si>
  <si>
    <t>parking public,sanitaires communs</t>
  </si>
  <si>
    <t>otstphilippe@gmail.com</t>
  </si>
  <si>
    <t>L'Office de Tourisme de Saint-Philippe est un point d'accueil et d'information sur les différentes prestations touristiques.</t>
  </si>
  <si>
    <t>Pour tous les amoureux de la nature, la ville de Saint-Philippe offre diverses possibilités : randonnées pédestres, visites guidées, ... 
Ouvert du lundi au samedi de 9h à 17h.</t>
  </si>
  <si>
    <t>Sur la RN 2 à côté de la mairie.</t>
  </si>
  <si>
    <t>41 A, rue Leconte Delisle, 97417 Saint-Philippe</t>
  </si>
  <si>
    <t xml:space="preserve">Payet Valérie : officedutourismesaintphilippe@hahoo.fr / 0262977584 / 0262977584 / Responsable ,  otstphilippe@gmail.com / 0262977584 / 0262977584 </t>
  </si>
  <si>
    <t>-21.359, 55.768</t>
  </si>
  <si>
    <t>Office de Tourisme du Tampon</t>
  </si>
  <si>
    <t>Office de Tourisme du Tampon
258, rue Hubert Delisle
97430 Le Tampon</t>
  </si>
  <si>
    <t>http://www.tampontourisme.re</t>
  </si>
  <si>
    <t>banque - guichet automatique,commerce alimentaire,parking public</t>
  </si>
  <si>
    <t>officetourismetampon@gmail.com</t>
  </si>
  <si>
    <t>L'Office de Tourisme est situé au centre ville du Tampon.</t>
  </si>
  <si>
    <t>Point d'accueil, d'informations et de conseils en séjour.
Ouvert du lundi au jeudi de 8h à 12h et de 13h à 16h et le vendredi de 7h30 à 12h et de 13h à 15h30.</t>
  </si>
  <si>
    <t>Lundi :  -,Mardi :  -,Mercredi :  -,Jeudi :  -,Vendredi : 07:30 12:00 - 13:00 15:30,Samedi :  -</t>
  </si>
  <si>
    <t>Office de Tourisme du Tampon/Plaine des Cafres</t>
  </si>
  <si>
    <t>160, rue Maurice et Katia Kraft - RN 3 Bourg Murat, 97422 Le Tampon</t>
  </si>
  <si>
    <t xml:space="preserve"> officetourismetampon@gmail.com / 0262274000 ,  officetourismetampon@gmail.com / 0262334275 </t>
  </si>
  <si>
    <t>-21.277513, 55.514221</t>
  </si>
  <si>
    <t>160 Rue Maurice et Katia Krafft, La Plaine des Cafres, Réunion</t>
  </si>
  <si>
    <t>Office de Tourisme du Tampon/Plaine des Cafres
160, rue Maurice et Katia Kraft - RN 3
Bourg Murat
97418 La Plaine des Cafres</t>
  </si>
  <si>
    <t>L'Office de Tourisme du Tampon/Plaine des Cafres est un point d'information et de réservation sur les différentes prestations touristiques de l’île : gîtes de randonnée, gîtes et chambres d’hôtes Gîtes de France, locations saisonnières Clévacances, hôtellerie créole et activités de pleine nature.</t>
  </si>
  <si>
    <t>Pour tous les amoureux de la nature, les régions du Tampon et de La Plaine des Cafres offrent diverses possibilités : randonnées pédestres, balades équestres, VTT et 4x4.
Ouvert du lundi au dimanche de 9h à 17h en journée continue ainsi que les jours fériés.</t>
  </si>
  <si>
    <t xml:space="preserve">Venant de l’Est, sur la route nationale (RN3), l’office se situe sur la gauche, après le rond-point de la Maison du Volcan, juste après la station caltex.
Venant du Sud, en direction de St Benoit et du Volcan, il faut dépasser le Tampon et la Plaine des Cafres. L’Office se trouve sur la route nationale (RN3) sur la droite, juste après les grands kiosques et juste avant la station caltex. </t>
  </si>
  <si>
    <t>Lundi : 09:00 - 17:00,Mardi : 09:00 - 17:00,Mercredi : 09:00 - 17:00,Jeudi : 09:00 - 17:00,Vendredi : 09:00 - 17:00</t>
  </si>
  <si>
    <t>-21.20431, 55.572286</t>
  </si>
  <si>
    <t>Oiseau de Mer (L’)</t>
  </si>
  <si>
    <t>Oiseau de Mer (L’)
66, chemin de la Marine
97480 Saint-Joseph</t>
  </si>
  <si>
    <t>66, chemin de la Marine., 97412 Saint-Joseph</t>
  </si>
  <si>
    <t>-21.3246183,55.64675829999999</t>
  </si>
  <si>
    <t>recj2cmFvTc2F54pv</t>
  </si>
  <si>
    <t>Olivier(L')</t>
  </si>
  <si>
    <t>Olivier(L')
136 rue Marius et Ary Leblond
97430 Le Tampon</t>
  </si>
  <si>
    <t>restaurantlolivier974@gmail.com</t>
  </si>
  <si>
    <t>Sur la route du volcan, le restaurant l'Olivier accueille ses clients avec une cuisine traditionnelle.</t>
  </si>
  <si>
    <t>Olivier(L') - Anouvaraly Zaïd</t>
  </si>
  <si>
    <t>136 rue Marius et Ary Leblond, 97422 Le Tampon</t>
  </si>
  <si>
    <t xml:space="preserve"> restaurantlolivier974@gmail.com / 0262887760 , M. RONDEAU &amp; M. ANOUVARALY Bruno &amp; Zaîd : restaurantlolivier974@gmail.com / 0262887760 / 0693115441 / Gérant(e) </t>
  </si>
  <si>
    <t>-21.282953, 55.523914</t>
  </si>
  <si>
    <t>Mode de paiment,Fournisseur - Nom</t>
  </si>
  <si>
    <t>136 Rue Marius et Ary Leblond, Réunion</t>
  </si>
  <si>
    <t>OM créations Art Vacoa</t>
  </si>
  <si>
    <t>OM créations Art Vacoa
49 C rue de Jean de Cambiaire - Carosse
97480 Saint-Joseph</t>
  </si>
  <si>
    <t>omelthilde@gmail.com</t>
  </si>
  <si>
    <t>A Saint-Joseph, OM Créations Art Vacoa propose la création des bijoux.</t>
  </si>
  <si>
    <t>Fabrication des bijoux en vacoa, graines de pandanus et de filaos.
Création d'objets d'art en vacoa : bouquets et art de la table.</t>
  </si>
  <si>
    <t>Depuis la ville de Saint-Joseph, prendre la direction du village de la Plaine des Grègues pour arriver sur la route de Bel Air. OM Créations se trouve entre la Maison du Curcuma et le Domaine du Relais.</t>
  </si>
  <si>
    <t>OM créations Art Vacoa - Olivar Melthilde</t>
  </si>
  <si>
    <t>13 A, rue des Salanganes, 97412 Saint-Joseph</t>
  </si>
  <si>
    <t xml:space="preserve">Olivar Melthilde : omelthilde@gmail.com / 0693025869 / Gérant(e) ,  omelthilde@gmail.com / 0693025869 </t>
  </si>
  <si>
    <t>-21.334945, 55.595695</t>
  </si>
  <si>
    <t>Rue Jean de Cambiaire, Réunion</t>
  </si>
  <si>
    <t>recgkAPTOAaBT35n9</t>
  </si>
  <si>
    <t>Orchidéa (L')</t>
  </si>
  <si>
    <t>Orchidéa (L')
9 A, rue Emile Zola
97430 Le Tampon</t>
  </si>
  <si>
    <t>Situé au Tampon, le restaurant L'Orchidéa propose une cuisine créole.</t>
  </si>
  <si>
    <t>Les plats sont préparés à base de produits frais et locaux. Le restaurant accueille tous les événements dans une salle de 300 m². Il propose également un service traiteur.  Pour toutes les réceptions, mariages, baptêmes, etc. Location de salle pour réunion de travail et conférence. Des dîners dansants sont organisés jusqu'à 2h30 du matin.</t>
  </si>
  <si>
    <t>Orchidéa (L') - Ambiehl Patrick</t>
  </si>
  <si>
    <t>9, rue Emile Zola, 97422 Le Tampon</t>
  </si>
  <si>
    <t xml:space="preserve">Ambiehl Patrick : 0262321187 / 0692864989 / 0262321187 ,  0262321187 / 0692864989 / 0262321187 </t>
  </si>
  <si>
    <t>-21.256869, 55.48347</t>
  </si>
  <si>
    <t>L, 9 Chemin Emile Zola, Réunion</t>
  </si>
  <si>
    <t>recC3g4FIKoa4HtNL</t>
  </si>
  <si>
    <t>Orchidées (Les)</t>
  </si>
  <si>
    <t>Orchidées (Les)
Grand Bassin
Plaine des Cafres
97418 La Plaine des Cafres</t>
  </si>
  <si>
    <t>linge de maison,salle de bain commune,sanitaires communs</t>
  </si>
  <si>
    <t>jeannick.sery@orange.fr</t>
  </si>
  <si>
    <t>La structure Les Orchidées se situe à Grand Bassin, à la Plaine des Cafres.</t>
  </si>
  <si>
    <t xml:space="preserve">Elle dispose de 2 dortoirs de 8 personnes et d'une chambre double avec 2 lits simples.
Une cuisine au feu bois concoctée par Jannick Sery, est proposée. Nombre de couverts : 22 personnes.
Vente de boissons et de miel sur place.
Activités à proximité : balade vers la cascade de la Mariée et baignade à la rivière en fonction de la saison. </t>
  </si>
  <si>
    <t xml:space="preserve">Depuis le Sud : prendre la 4 voies vers le Tampon/Plaine des Cafres. Au 23ème km, tourner à gauche en direction de Bois-Court/Grand Bassin. Rouler environ 4 km puis tourner à gauche dans la rue Thomas Payet. Le départ du sentier se trouve à droite. Emprunter celui-ci et marcher sur 3,8 km pour accéder au village de Grand Bassin. Passer le pont et continuer tout droit. A l’intersection tourner à droite. La chambre et table d’hôte Les Orchidées se trouve sur la gauche.
Depuis les Plaines : suivre la RN3 jusqu’au 23ème km. A l’intersection, tourner en direction de Bois-Court/Grand Bassin sur la droite. Rouler environ 4 km puis tourner à gauche dans la rue Thomas Payet. Le départ du sentier se trouve à droite. Emprunter celui-ci et marcher sur 3,8 km pour accéder au village de Grand Bassin. Passer le pont et continuer tout droit. A l’intersection tourner à droite. La chambre et table d’hôte Les Orchidées se trouve sur la gauche.   </t>
  </si>
  <si>
    <t>Orchidées (Les) - Sery Jeannick</t>
  </si>
  <si>
    <t>0262380273 / 0692173457</t>
  </si>
  <si>
    <t>-21.2043873, 55.5468159</t>
  </si>
  <si>
    <t>CSC151HTG</t>
  </si>
  <si>
    <t>Mode de paiment,Fixe,E-Mail,Descriptif,Descriptif du plan d'accès</t>
  </si>
  <si>
    <t>recq6NjQ3PFZtvNIp</t>
  </si>
  <si>
    <t>Orient Express (L')</t>
  </si>
  <si>
    <t>Orient Express (L’)</t>
  </si>
  <si>
    <t>Orient Express (L')
132, rue Raphaël Babet
97480 Saint-Joseph</t>
  </si>
  <si>
    <t>climatisation,salle de réunion - séminaire</t>
  </si>
  <si>
    <t>plage,tennis,pêche,riviere,centre commercial,parking public,site - lieu culturel</t>
  </si>
  <si>
    <t>Carte Bancaire,Eurocard,Chèque,Chèques vacances,Tickets restaurant,Espèces,American express</t>
  </si>
  <si>
    <t xml:space="preserve">Situé à Saint-Joseph, le restaurant l'Orient Express propose un large choix de menus à petits prix. Capacité : 80 couverts. 
Sur place à partir de 6,50 €. </t>
  </si>
  <si>
    <t>Orient Express (L') - Chan-Yu-Hon Nicolas</t>
  </si>
  <si>
    <t>132, rue Raphaël Babet, 97412 Saint-Joseph</t>
  </si>
  <si>
    <t xml:space="preserve">Chan Yu Hon Nicolas : 0262562838 / Gérant(e) ,  0262562838 </t>
  </si>
  <si>
    <t>-21.37711197, 55.61527091</t>
  </si>
  <si>
    <t>134, 132 Rue Raphael Babet, Réunion</t>
  </si>
  <si>
    <t>recanLPwqh5kZhoK2</t>
  </si>
  <si>
    <t>P'tit Case Lontan</t>
  </si>
  <si>
    <t>P'tit Case Lontan
156 chemin Armanette
97430 Le Tampon</t>
  </si>
  <si>
    <t>payetca@hotmail.fr</t>
  </si>
  <si>
    <t>P’tit Case Lontan situé dans le Sud de l’île intense, est un ensemble de bungalows meublés</t>
  </si>
  <si>
    <t xml:space="preserve">1 bungalow Club Six ayant une capacité de 5 personnes
4 bungalows Grand Trianon ayant une capacité de 4 personnes
1 bungalow adapté aux personnes à mobilité réduite, avec capacité de 3 personnes </t>
  </si>
  <si>
    <t>156 chemin Armanette, 97422 Le Tampon</t>
  </si>
  <si>
    <t xml:space="preserve"> payetca@hotmail.fr / 0693001177 ,  payetca@hotmail.fr / 0693001177 </t>
  </si>
  <si>
    <t>-21.248217, 55.527384</t>
  </si>
  <si>
    <t>156 Chemin Armanette, Réunion</t>
  </si>
  <si>
    <t>P'tit Margouillat (Le)</t>
  </si>
  <si>
    <t>P'Tit  Margouillat (Le)</t>
  </si>
  <si>
    <t>P'tit Margouillat (Le)
6, rue Albert Lougnon
97480 Saint-Joseph</t>
  </si>
  <si>
    <t>jardin,parking,TV,ventilateur</t>
  </si>
  <si>
    <t>français,créole,allemand</t>
  </si>
  <si>
    <t>jean-marie.grondin2@wanadoo.fr</t>
  </si>
  <si>
    <t>Meublé de Tourisme situé au dessus de la villa du propriétaire, à proximité du centre ville de Saint-Joseph. Studio mansardé de 40 m² avec terrasse, agréablement aménagé, peut accueillir 2 adultes et 2 enfants. Tarif dégressif en fonction de la durée du séjour. Supplément de 42 €/semaine/enfant pour la location à la semaine.</t>
  </si>
  <si>
    <t>Prendre direction Saint-Joseph, avant d'arriver au pont de la rivière des Remparts, prendre direction Plaine des Grègues. A 300 m, tourner à droite dans la rue Albert Lougnon, le P'tit Margouillat se situe au n° 5.</t>
  </si>
  <si>
    <t>P'Tit  Margouillat (Le) - Grondin Anne</t>
  </si>
  <si>
    <t>6, rue Albert Lougnon, 97412 Saint-Joseph</t>
  </si>
  <si>
    <t xml:space="preserve">Grondin Anne : jean-marie.grondin2@wanadoo.fr / 0262561428 / 0692211158 / Propriétaire ,  jean-marie.grondin2@wanadoo.fr / 0262561428 / 0692211158 </t>
  </si>
  <si>
    <t>-21.373238, 55.61527</t>
  </si>
  <si>
    <t>6 Rue Albert Lougnon, Réunion</t>
  </si>
  <si>
    <t>recdsWMTUwaltW3si</t>
  </si>
  <si>
    <t>P'tit Marron (Le)</t>
  </si>
  <si>
    <t>P'tit Marron (Le)
30, impasse des Bananiers - Ravine Citrons
97414 Entre-Deux</t>
  </si>
  <si>
    <t>barbecue,parking,TV</t>
  </si>
  <si>
    <t>jreunion974@gmail.com</t>
  </si>
  <si>
    <t>Situé à l' Entre-Deux, Le P'tit Marron propose la location d'une villa F4 avec deux chambres doubles, une chambre (lit gigogne), une cuisine américaine et terrasse.</t>
  </si>
  <si>
    <t>Du centre-ville de l' Entre-Deux, à la mairie tourner à droite, prendre direction de l'église, tourner dans la rue de l' église. Rouler vers le Dimitile environ dix min, l'impasse des Bananiers se trouve à droite.</t>
  </si>
  <si>
    <t>P'tit Marron (Le) - Ratane Josette</t>
  </si>
  <si>
    <t>16, chemin Beaumont - la Ressource, 97418 Sainte-Marie</t>
  </si>
  <si>
    <t xml:space="preserve">Ratane Josette : jreunion974@gmail.com / 0262710063 / 0692056115 , Ratane Josette : jreunion974@gmail.com / 0262710063 / 0692056119 </t>
  </si>
  <si>
    <t>-21.239468, 55.48162</t>
  </si>
  <si>
    <t>400.00</t>
  </si>
  <si>
    <t>CSC138HTL</t>
  </si>
  <si>
    <t>Mode de paiment,Fixe,Autre téléphone,Fournisseur - contacts</t>
  </si>
  <si>
    <t>30 Impasse des Bananiers, Réunion</t>
  </si>
  <si>
    <t>recdcZS7keFGDATmz</t>
  </si>
  <si>
    <t>Paille en Queue (Le)</t>
  </si>
  <si>
    <t>Paille en Queue (Le)
Grand Bassin
Plaine des Cafres
97418 La Plaine des Cafres</t>
  </si>
  <si>
    <t>Village,Montagne,inaccessible aux véhicules</t>
  </si>
  <si>
    <t>douche,linge de maison,sanitaires communs</t>
  </si>
  <si>
    <t>sentier de randonnée,sentier de grande randonnée,riviere,point de vue panoramique</t>
  </si>
  <si>
    <t>Situé à Grand Bassin à la Plaine des Cafres, Le Paille en Queue propose un gîte et une table d'hôte.</t>
  </si>
  <si>
    <t xml:space="preserve">Le gîte dispose d'une chambre triple, d'un dortoir de 8 places et de 3 dortoirs de 6 places pour une capacité de 29 personnes.
La table d'hôte propose une cuisine créole traditionnelle au feu de bois. Capacité : 35 couverts.
Dégustation d'un rhum arrangé sous une treille de raisins. </t>
  </si>
  <si>
    <t>Depuis le Sud : Prendre la 4 voies vers le Tampon/Plaine des Cafres. Au 23ème km, tourner à gauche en direction de Bois-Court/Grand Bassin. Rouler environ 4 km puis tourner à gauche dans la rue Thomas Payet. Le départ du sentier se trouve à droite. Emprunter celui-ci pour accéder au village de Grand Bassin après une marche de 3,8 km. Passer le pont, Le Paille en Queue se trouve à droite.</t>
  </si>
  <si>
    <t>Paille en Queue (Le) - Rivière Josie</t>
  </si>
  <si>
    <t>10, impasse des Lys, 97422 Le Tampon</t>
  </si>
  <si>
    <t xml:space="preserve">Rivière Josie : 0262590366 / 0692243173 , Rivière Josie : 0262590366 / 0692243173 / Propriétaire </t>
  </si>
  <si>
    <t>-21.180745, 55.534938</t>
  </si>
  <si>
    <t>CSC141HTF</t>
  </si>
  <si>
    <t>recZjgla28tff6c0B</t>
  </si>
  <si>
    <t>Paillote</t>
  </si>
  <si>
    <t>Paillote
45, rue Général de Gaulle
97430 Le Tampon</t>
  </si>
  <si>
    <t>Situé au Tampon, le restaurant la Paillote propose une cuisine métropolitaine et créole, des pâtisseries maison, des galettes et pizzas. Ouvert tous les jours sauf le dimanche et le mercredi soir.</t>
  </si>
  <si>
    <t xml:space="preserve">Depuis le Sud : Prendre la 4 voies en direction du Tampon, suivre la RN3 jusqu’au rond-point de la caserne de pompiers du Tampon. Prendre la 3ème sortie vers le lycée Roland Garros, continuer tout droit  le restaurant se trouve à gauche entre la poste et le lycée.
Depuis les Plaines : Suivre la RN3 vers le Tampon, arrivé au rond-point du 11ème km descendre vers la rue Jules Bertaut (La Poste). Au second rond-point prendre sur votre droite ; le restaurant se trouve à gauche entre la poste et le lycée Roland Garros.   </t>
  </si>
  <si>
    <t>Paillote - Payet</t>
  </si>
  <si>
    <t>45, rue Général de Gaulle, 97422 Le Tampon</t>
  </si>
  <si>
    <t xml:space="preserve"> 0262597278 , Payet  : 0262597278 </t>
  </si>
  <si>
    <t>-21.27631, 55.520554</t>
  </si>
  <si>
    <t>45 Rue du General de Gaulle, 97430, Réunion</t>
  </si>
  <si>
    <t>Pain d'Antan</t>
  </si>
  <si>
    <t>Pain d'Antan
7, rue Fortuné Hoarau
97414 Entre-Deux</t>
  </si>
  <si>
    <t>Bon CE,Espèces</t>
  </si>
  <si>
    <t>Pain d'Antan propose une restauration rapide à l'Entre-Deux.</t>
  </si>
  <si>
    <t>7, rue Fortune Hoarau, 97403 Entre-Deux</t>
  </si>
  <si>
    <t>-21.24891, 55.469892</t>
  </si>
  <si>
    <t>Paintball Colors Distribution</t>
  </si>
  <si>
    <t>Paintball Colors Distribution
Fos Réunion - 9 chemin Cabeu
Plaine des Cafres
97418 La Plaine des Cafres</t>
  </si>
  <si>
    <t>Paintball</t>
  </si>
  <si>
    <t>pcd974@orange.fr</t>
  </si>
  <si>
    <t>A La Plaine des Cafres, Paintball Colors Distribution dispose de 2 terrains boisés et une solide équipe d'animateurs.</t>
  </si>
  <si>
    <t xml:space="preserve">Paintball Colors Distribution peut aussi vous proposer de découvrir le Paintball Sportif sur son Airball ou Xball ou encore permettre à une équipe de compétition de s'épanouir..... 
Du lundi au dimanche de 8h à 17h. </t>
  </si>
  <si>
    <t>Fos Réunion - 9, Chemin Cabeu, 97422 Le Tampon</t>
  </si>
  <si>
    <t xml:space="preserve"> 0693019700 ,  pcd974@orange.fr / 0692687486 </t>
  </si>
  <si>
    <t>-21.203045, 55.534418</t>
  </si>
  <si>
    <t>9 Chemin Henri Cabeu, La Plaine des Cafres, Réunion</t>
  </si>
  <si>
    <t>rec74mTejOAzSsXH8</t>
  </si>
  <si>
    <t>Palais du Fromage (Le)</t>
  </si>
  <si>
    <t>Palais du Fromage (Le)
Rue Alfred Picard - Bourg-Murat
Bourg Murat
97418 La Plaine des Cafres</t>
  </si>
  <si>
    <t>Au cœur du village de Bourg-Murat, Le Palais du Fromage propose différentes variétés de fromage de la ferme. Spécialité de la maison : le Fromage de Sylvie (fromage au miel enrobé de caramel). Ouvert du mardi au dimanche de 9h à 18h. Fermé les lundis.</t>
  </si>
  <si>
    <t xml:space="preserve">Arrivant du Sud, prendre la 4 voies Tampon/Plaine des Cafres, puis suivre la RN3 jusqu’au village de Bourg-Murat. Au rond-point tourner à droite en direction route forestière du Volcan, continuer tout droit à l’intersection tourner à droite, le Palais du Fromage se trouve de suite à droite.
Venant des Plaines, suivre la RN 3 jusqu’au village de Bourg-Murat, au rond-point prendre la 3ème sortie en direction route du Volcan. Continuer tout droit, à l’intersection tourner à droite. Le Palais du Fromage se trouve de suite à droite. </t>
  </si>
  <si>
    <t>Mardi : 09:30 - 17:00,Mercredi : 09:30 - 17:00,Jeudi :  09:30 - 17:00,Vendredi :  09:30 - 17:00,Samedi :  09:30 - 17:00,Dimanche :  09:30 - 17:00</t>
  </si>
  <si>
    <t>Palais du Fromage (Le) - Robert Marie France</t>
  </si>
  <si>
    <t>Rue Alfred Picard - Bourg-Murat, 97422 Le Tampon</t>
  </si>
  <si>
    <t xml:space="preserve">Robert Sylvie : 0262592715 , Robert Sylvie : 0262592715 , Robert Marie-France : 0692610150 </t>
  </si>
  <si>
    <t>-21.204568, 55.577682</t>
  </si>
  <si>
    <t>Mode de paiment,Fixe,Capacité,Descriptif du plan d'accès,Jours et horaires d'ouverture,Fournisseur - Nom</t>
  </si>
  <si>
    <t>Rue Alfred Picard, La Plaine des Cafres, Réunion</t>
  </si>
  <si>
    <t>reccdOyN40h9tLCXq</t>
  </si>
  <si>
    <t>Palais Indien (Le)</t>
  </si>
  <si>
    <t>Palais Indien</t>
  </si>
  <si>
    <t>Palais Indien (Le)
68, rue Hubert Delisle
97430 Le Tampon</t>
  </si>
  <si>
    <t>Situé au Tampon, le restaurant le Palais Indien propose une cuisine indienne, créole et chinoise. Repas sur place et à emporter. Menu enfant à 5 €. Fermé le lundi et dimanche soir.</t>
  </si>
  <si>
    <t xml:space="preserve">Depuis le Sud : Prendre la 4 voies du Tampon, arrivé au rond-point du la tour des azalées prendre la direction du centre-ville à droite. Continuer tout droit au 3ème rond-point tourner à droite en direction de Bérive le restaurant se trouve à gauche après le cinéma.
Depuis les Plaines : Suivre la RN3 en direction du Tampon, arrivé au rond-point « Chandelles » prendre la direction Bérive. Continuer tout droit le restaurant se trouve à gauche.   </t>
  </si>
  <si>
    <t>Palais Indien - Auckburally Yazir</t>
  </si>
  <si>
    <t>68, rue Hubert Delisle, 97422 Le Tampon</t>
  </si>
  <si>
    <t xml:space="preserve"> 0262577311 , Auckburally  : 0262577311 / 0692081324 </t>
  </si>
  <si>
    <t>-21.283489, 55.520643</t>
  </si>
  <si>
    <t>Mode de paiment,Capacité,Descriptif du plan d'accès,Fournisseur - Nom,Fournisseur - SIRET</t>
  </si>
  <si>
    <t>68 Rue Hubert Delisle, 97430, Réunion</t>
  </si>
  <si>
    <t>recSC9OXFUnSkDFs7</t>
  </si>
  <si>
    <t>Auberge Le Palmier</t>
  </si>
  <si>
    <t>Le Palmier</t>
  </si>
  <si>
    <t>Palmier (Le)
21, chemin de Ceinture
97442 Saint-Philippe</t>
  </si>
  <si>
    <t>sentier de randonnée,sentier de grande randonnée,pêche,parking public,point de vue panoramique,jardin,forêt</t>
  </si>
  <si>
    <t>aubergefiarda.lepalmier@gmail.com</t>
  </si>
  <si>
    <t>Découverte des produits du terroir du Sud Sauvage...</t>
  </si>
  <si>
    <t>Dans le Sud Sauvage à Saint-Philippe Le Palmier propose une cuisine créole.
Spécialités : palmiste en salade ou cari et le vacoa.
Visite d'une serre d'anthurium et promenade dans la forêt et dans la palmisteraie. Riche moment de découverte de la flore tropicale et des espèces endémiques.</t>
  </si>
  <si>
    <t xml:space="preserve">De l'Ouest, passer le site "Puits des Anglais", puis prendre la première à gauche et suivre la signalétique.
De l'Est, passer le centre ville de Saint-Philippe et la forêt de Mare Longue, prendre la 4ème route à droite et suivre la signalétique. </t>
  </si>
  <si>
    <t>Palmier (Le) - Fiarda Mariline</t>
  </si>
  <si>
    <t>21, chemin de Ceinture, 97417 Saint-Philippe</t>
  </si>
  <si>
    <t xml:space="preserve">Fiarda Marie-Line &amp; André : 0692690348 / Propriétaire , Fiarda Marie-Line &amp; André : 0692690348 / Propriétaire </t>
  </si>
  <si>
    <t>-21.361074,55.7384323</t>
  </si>
  <si>
    <t>Nom commercial,Mode de paiment,E-Mail,Descriptif,Descriptif du plan d'accès,Fournisseur - Nom</t>
  </si>
  <si>
    <t>21 Chemin de Ceinture, Réunion</t>
  </si>
  <si>
    <t>recyyAOrP5ABYe0Qk</t>
  </si>
  <si>
    <t>Palmier (Le)</t>
  </si>
  <si>
    <t>Palmier (Le)
8, rue de la Pompe
97442 Saint-Philippe</t>
  </si>
  <si>
    <t>jardin,piscine,salle de bain privée,sanitaires privés</t>
  </si>
  <si>
    <t>sentier de randonnée,sentier de grande randonnée,point de vue panoramique,aéroport de Pierrefonds</t>
  </si>
  <si>
    <t>nicolelepalmier@yahoo.fr</t>
  </si>
  <si>
    <t>Situé à Saint-Philippe dans le Sud Sauvage à 10 min de la route des Laves</t>
  </si>
  <si>
    <t>Le Palmier dispose de 2 chambres doubles et d'une chambre triple pouvant accueillir 2 adultes et 2 enfants. Jardin et piscine à disposition des hôtes.</t>
  </si>
  <si>
    <t>En venant de Saint-Joseph (direction la route des Laves), prendre la première à droite après l'église de Saint-Philippe, la rue de la Pompe.</t>
  </si>
  <si>
    <t>Palmier (Le) - Gonneville Nicole</t>
  </si>
  <si>
    <t>8, rue de la Pompe, 97417 Saint-Philippe</t>
  </si>
  <si>
    <t xml:space="preserve">Gonneville Nicole : nicolelepalmier@yahoo.fr / 0692028571 , Gonneville Nicole : nicolelepalmier@yahoo.fr / 0692028571 </t>
  </si>
  <si>
    <t>-21.359058, 55.770538</t>
  </si>
  <si>
    <t>CSC55HTJ</t>
  </si>
  <si>
    <t>8 Rue De La Pompe, 97442, Réunion</t>
  </si>
  <si>
    <t>recII1qWVn9AJ4BeR</t>
  </si>
  <si>
    <t>Palmiers (Les)</t>
  </si>
  <si>
    <t>Palmiers (Les)
8, rue André Malraux - Trois Mares
97430 Le Tampon</t>
  </si>
  <si>
    <t>http://www.iledelareunion.net/location-reunion/les-palmiers.html</t>
  </si>
  <si>
    <t>barbecue,four,jardin,lave linge privatif,parking,TV,wifi</t>
  </si>
  <si>
    <t>les2palmiers@wanadoo.fr</t>
  </si>
  <si>
    <t>Dans un îlot résidentiel en zone semi-rurale, le Meublé de Tourisme se situe au bout d'une impasse.</t>
  </si>
  <si>
    <t xml:space="preserve">Studio de 20 m² classé Meublé de Tourisme 2 étoiles, dans un bungalow jumelé équipé pour 2 personnes maximum avec chambre en mezzanine et moustiquaires. Lieu de vie en rez-de-chaussée, avec coin cuisine, cabinet de toilette et petite terrasse sous varangue. Sur demande : possibilité d'accès à internet, de mise à disposition du lave linge et du barbecue. Autre équipement : chauffe-eau solaire.
Excentré de la ville, à 15 min du centre ville du Tampon et à mi-distance entre mer et montagne. A 1h du Volcan, 30 min des Hautes Plaines et des plages du Sud (Saint-Pierre et Etang-Salé). Proche du parc des palmiers du Tampon et des commerces du quartier des Trois Mares. Tarif dégressif à partir de la 2ème semaine. </t>
  </si>
  <si>
    <t xml:space="preserve">En venant du Sud, prendre la 4 voies en direction du Tampon/Trois Mares. Au rond-point point du Crédit Agricole, aller tout droit et faire à peu près 2 km. Tourner à gauche dans le chemin Dassy puis 700 m plus loin, tourner à gauche dans le  chemin Zazo. Enfin, prendre la première à gauche, la rue André Malraux puis la première impasse à droite dans la rue Malraux. Le meublé se trouve au n°8.
En venant des Plaines, suivre la RN 3, traverser le village de Bourg Murat et descendre jusqu'au Tampon/Trois Mares. Au rond-point du Crédit Agricole, poursuivre dans la rue Charles Beaudelaire. Faire à peu près 2 km et tourner à gauche dans le  chemin Dassy puis 700 m plus loin, tourner à gauche dans le  chemin Zazo. Enfin, prendre la première à gauche, la rue André Malraux puis la première impasse à droite. Le meublé se trouve au n°8.   </t>
  </si>
  <si>
    <t>Palmiers (Les) - Peretti Nicole</t>
  </si>
  <si>
    <t>8 rue André Malraux, 97422 Le Tampon</t>
  </si>
  <si>
    <t xml:space="preserve">Perreti Nicole : les2palmiers@wanadoo.fr / 0262271249 / 0692821577 / 0692604846 / Propriétaire , Peretti Yves : les2palmiers@wanadoo.fr / 0262271749 / 0692821577 / Propriétaire ,  les2palmiers@wanadoo.fr </t>
  </si>
  <si>
    <t>-21.257598, 55.493882</t>
  </si>
  <si>
    <t>CSC132HTF</t>
  </si>
  <si>
    <t>Mode de paiment,Mobile,Descriptif,Descriptif du plan d'accès</t>
  </si>
  <si>
    <t>Palms Park, Chemin du Dassy, 97430, Réunion</t>
  </si>
  <si>
    <t>rec9U1L9JFSF6w2UT</t>
  </si>
  <si>
    <t>Palmistes (Les)</t>
  </si>
  <si>
    <t>Palmistes (Les)
299, chemin Nid Joli
97430 Le Tampon</t>
  </si>
  <si>
    <t>marie.lebon@orange.fr</t>
  </si>
  <si>
    <t xml:space="preserve">Les Palmistes est un Meublé de Tourisme tout confort situé au premier étage d'une villa. Entrée indépendante, il est équipé pour accueillir 4 personnes, disposant de 2 chambres double, d'un séjour, une  cuisine et une terrasse.
Le meublé est situé dans un endroit calme à proximité du centre ville du Tampon et des attraits touristiques du Sud. </t>
  </si>
  <si>
    <t>A partir de la mairie du Tampon, prendre la direction Trois Mares, puis la quatrième rue à gauche du chemin Nid Joli.</t>
  </si>
  <si>
    <t>Palmistes (Les) - Lebon Jocelyne</t>
  </si>
  <si>
    <t>277, route des Vacoas, 97401 Les Avirons</t>
  </si>
  <si>
    <t xml:space="preserve">Lebon Jocelyne : grandpavois@wanadoo.ft / 0262572620 / 0692645876 / 0262572620 / Gérant(e) , Lebon Joceline : marie.lebon@orange.fr / 0262578376 / 0692951074 / Propriétaire ,  grandpavois@wanadoo.fr / 0262572620 / 0692645876 / 0262572620 </t>
  </si>
  <si>
    <t>Sud - Avirons (Les)</t>
  </si>
  <si>
    <t>-21.27734, 55.50867</t>
  </si>
  <si>
    <t>CSC96HTO</t>
  </si>
  <si>
    <t>Mode de paiment,Descriptif,Fournisseur - Nom,Fournisseur - contacts</t>
  </si>
  <si>
    <t>Chemin Nid Joli, Réunion</t>
  </si>
  <si>
    <t>recHhFeAuSrIA3a6t</t>
  </si>
  <si>
    <t>Pamplemousses (Les)</t>
  </si>
  <si>
    <t>Les Pamplemousses</t>
  </si>
  <si>
    <t>Pamplemousses (Les)
26, boulevard de l'Océan - Manapany les Bains
97480 Saint-Joseph</t>
  </si>
  <si>
    <t>barbecue,climatisation,jardin,lave linge privatif,lave vaisselle,parking,piscine,ventilateur</t>
  </si>
  <si>
    <t>plage,sentier de randonnée,banque - guichet automatique,pêche,parking public,point de vue panoramique</t>
  </si>
  <si>
    <t>verohuetk@gmail.com</t>
  </si>
  <si>
    <t>Situé dans le Sud Sauvage à Manapany les Bains, dans la commune de Saint-Joseph, Les Pamplemousses disposent d'un ensemble de 3 meublés dont un au rez de chaussée pour 2 personnes avec une chambre double climatisée, une cabine de douche balnéo, une terrasse à quelques pas de la piscine, un barbecue et un jardin privé.</t>
  </si>
  <si>
    <t>2 meublés ventilés situés à l'étage, Océan pouvant accueillir 2 à 5 personnes avec 2 chambres doubles, 1 canapé lit, une cuisine équipée, une grande terrasse et un balcon, vue sur mer. Fantaisie, meublé de 2 à 4 personnes avec 2 chambres doubles, cuisine équipée et une terrasse avec vue sur mer et montagne.</t>
  </si>
  <si>
    <t>Pamplemousses (Les) -K Bidi Véronique</t>
  </si>
  <si>
    <t>26, boulevard de l'Océan, 97412 Saint-Joseph</t>
  </si>
  <si>
    <t xml:space="preserve">K'Bidi Véronique : rodaph-ve@hotmail.fr / 0262974688 / 0692031667 , K'Bidi Véronique : rodaph-ve@hotmail.fr / 0262974688 / 0692031667 </t>
  </si>
  <si>
    <t>-21.377, 55.597</t>
  </si>
  <si>
    <t>CSC78HTO</t>
  </si>
  <si>
    <t>Mode de paiment,Fixe,E-Mail,Capacité</t>
  </si>
  <si>
    <t>26 Blvrd de l'Ocean, Manapany-Les-Bains 97480, Réunion</t>
  </si>
  <si>
    <t>Panama (Le)</t>
  </si>
  <si>
    <t>Panama (Le)
152, boulevard de l'Océan - Manapany les Bains
97480 Saint-Joseph</t>
  </si>
  <si>
    <t>climatisation,parking,salle de bain privée,sanitaires privés</t>
  </si>
  <si>
    <t>A proximité du bassin de Manapany, le Meublé de Tourisme Le Panama invite à la détente. Ce meublé de standing est doté d’un petit jardin face à l’océan. Il propose un appartement T3 avec 2 chambres doubles et une cuisine équipée. Possibilité de lit supplémentaire. Tarif à la semaine : 390 €.</t>
  </si>
  <si>
    <t>152, boulevard de l'Océan, 97412 Saint-Joseph</t>
  </si>
  <si>
    <t xml:space="preserve">Fontaine  : 0262278480 / 0693002397 / 0262278480 ,  0262278480 / 0693002397 / 0262278480 </t>
  </si>
  <si>
    <t>-21.373957, 55.590077</t>
  </si>
  <si>
    <t>recS5v0Oj1S8jKlsT</t>
  </si>
  <si>
    <t>Panoramic (Le)</t>
  </si>
  <si>
    <t>Panoramic (Le)
Route Nationale 3 - PK 27
Bourg Murat
97418 La Plaine des Cafres</t>
  </si>
  <si>
    <t>christophe.maume@wanadoo.fr</t>
  </si>
  <si>
    <t>Le Panoramic est situé à l'entrée sud du village de Bourg Murat à plus de 1600 m d'altitude, il propose une cuisine traditionnelle créole et métropolitaine.</t>
  </si>
  <si>
    <t xml:space="preserve">Cuisine variée à base de produits locaux : fromage des plaines, goyaviers, cœur de songe, papaye verte...
Restaurant ouvert du lundi au dimanche de 12h à 14h et de 19h à 21h.
Le Panoramic accueille les banquets et réceptions. Fermé le jeudi et vendredi midi. Accès aux personnes à mobilité réduite. </t>
  </si>
  <si>
    <t xml:space="preserve">Depuis le Sud, prendre la 4 voies en direction du Tampon/Plaine des Cafres et aller jusqu'au village de Bourg Murat. Le restaurant se situe à l'entrée du village face aux grands kiosques.
Depuis les Plaines, suivre la RN 3, traverser le village de Bourg Murat, le Panoramic se situe à la sortie du village à droite face aux grands kiosques.   </t>
  </si>
  <si>
    <t>Panoramic (Le) - Maumes Christophe</t>
  </si>
  <si>
    <t>RN 3 PK 27 Bourg Murat, 97422 Le Tampon</t>
  </si>
  <si>
    <t xml:space="preserve">Maumes Christophe : christophe.maume@wanadoo.fr / 0262593612 / 0692004777 ,  marie9741933@live.fr / 0262593612 / 0692886475 </t>
  </si>
  <si>
    <t>-21.20389, 55.57106823</t>
  </si>
  <si>
    <t>N3, La Plaine des Cafres, Réunion</t>
  </si>
  <si>
    <t>Parc Biologique Joseph Hubert (Le) - Les Tisanes du Sud Sauvage</t>
  </si>
  <si>
    <t>Le Parc Biologique Joseph Hubert</t>
  </si>
  <si>
    <t>Parc Biologique Joseph Hubert (Le) - Les Tisanes du Sud Sauvage
2, chemin Isautier - Carosse
97480 Saint-Joseph</t>
  </si>
  <si>
    <t>mariejoval974@gmail.com</t>
  </si>
  <si>
    <t>Situé à Saint-Joseph à Carosse, Le Parc Biologique Joseph Hubert a été inauguré le 28 octobre 2007, il est dédié aux plantes aromatiques et médicinales et propose des visites guidées.
A l'entrée un bois de reinette - "bois d'arnette", dont l'infusion de feuilles est souvent recommandée pour l'évacuation des calculs rénaux, d'autres tisanes y sont cultivées telles que la marjolaine, l'ayapana, la citronnelle l'orthosiphon .... et d'autres encore sur un peu plus d'un hectare. Des sachets de tisanes aux diverses propriétés sont proposées en infusion, en décoction, macération ...
Ouvert tous les jours de 9h à 12h et de 14h à 18h. Fermé le vendredi sauf réservation.</t>
  </si>
  <si>
    <t>Parc Biologique Joseph Hubert - Turbo Valmyr</t>
  </si>
  <si>
    <t>2, chemin Isautier - Carosse, 97412 Saint-Joseph</t>
  </si>
  <si>
    <t xml:space="preserve">Turbo Valmyr : ketty.turbot@orange.fr / 0692983473 ,  0692924175 </t>
  </si>
  <si>
    <t>-21.361175, 55.602796</t>
  </si>
  <si>
    <t>2 Chemin Isautier, Réunion</t>
  </si>
  <si>
    <t>recaDnwM100hMyG5t</t>
  </si>
  <si>
    <t>Parc Piscicole de Langevin</t>
  </si>
  <si>
    <t>Langevin Truites</t>
  </si>
  <si>
    <t xml:space="preserve">Parc Piscicole de Langevin
Parc de la Grande Cascade de Langevin
43, route de Grand Galet
Langevin
97480 Saint-Joseph </t>
  </si>
  <si>
    <t>http://www.truite.re</t>
  </si>
  <si>
    <t>Aquaculture</t>
  </si>
  <si>
    <t>opacaud@truite.re</t>
  </si>
  <si>
    <t xml:space="preserve">Dans le Sud Sauvage à Saint-Joseph, Le Parc Piscicole de Langevin 
propose la pêche à la truite "arc en ciel" en famille ou entre amis, ... 
Exposition et animation autour des bassins de carpes Koi apprivoisées. </t>
  </si>
  <si>
    <t xml:space="preserve">Visite du parc ou parties de pêche, pour les amateurs de la pêche, le matériel et appâts sont fournis, les truites sont nettoyées, vidées  et conservées dans de la glace. Il est d’ailleurs conseillé pour les pêcheurs occasionnels d’emmener des sacs isothermes ou des glacières.
Rafraîchissement sur les terrasses au bord de bassin (boissons et glaces).
Vente de poissons d'ornement et plantes aquatiques. </t>
  </si>
  <si>
    <t>Remonter la rivière Langevin, direction grand Galet, à 300 m sous le site "La grande Cascade" (cascade Grand Galet).</t>
  </si>
  <si>
    <t>Langevins Truites - Pacaud Olivier</t>
  </si>
  <si>
    <t xml:space="preserve">Parc de la Grande Cascade Langevin
43, route de Grand Galet, 97412 Saint-Joseph </t>
  </si>
  <si>
    <t xml:space="preserve">Pacaud Olivier : opacaud@truite.re / 0262560065 / 0692614040 / Gérant(e) , Paucaud Olivier : opacaud@truite.re / 0262560065 / 0692055382 / 0692614040 / Gérant(e) ,  yolande.irigoyen@wanadoo.fr / 0262478016 / 0692696811 </t>
  </si>
  <si>
    <t>-21.31177, 55.641452</t>
  </si>
  <si>
    <t>Adresse,Mode de paiment,Accroche,Descriptif,Fournisseur - adresse</t>
  </si>
  <si>
    <t>43 Route de Grand Galet, 97480, Réunion</t>
  </si>
  <si>
    <t>recwBwWyOMkcf9oER</t>
  </si>
  <si>
    <t>Parenthèse Inattendue</t>
  </si>
  <si>
    <t>Parenthèse Inattendue
Grand Bassin
Plaine des Cafres
97418 La Plaine des Cafres</t>
  </si>
  <si>
    <t>https://www.parenthese-inattendue.re</t>
  </si>
  <si>
    <t>Montagne,Volcan</t>
  </si>
  <si>
    <t>lau.font97430@gmail.com</t>
  </si>
  <si>
    <t xml:space="preserve">Parenthèse Inattendue est située en plein cœur d’une nature préservée et sauvage, à Grand-Bassin ou l’accès se fait uniquement à pied.
La douceur et la beauté des lieux, les fleurs et arbres tropicaux sont le décor naturel. </t>
  </si>
  <si>
    <t xml:space="preserve">Parenthèse Inattendue dispose de 2 chambres d’hôtes, chacune d’elle est équipée de salle d’eau privative.
De nombreux espaces aménagés pour se relaxer : un grand salon de détente et de lecture, un jardin luxuriant, de belles terrasses avec vue panoramique, et pour encore plus de plaisir et de bien–être profiter de l’ espace Spa.
Découverte des spécialités maison réalisées uniquement avec des produits frais de la table d'hôte. </t>
  </si>
  <si>
    <t>Parenthèse Inattendue - Fontaine Laurence</t>
  </si>
  <si>
    <t>42, impasse des Oeillets, 97422 Le Tampon</t>
  </si>
  <si>
    <t xml:space="preserve">Fontaine Laurence : lau.font97430@gmail.com / 0692773844 / Propriétaire , Fontaine Laurence : lau.font97430@gmail.com / 0692773844 / Propriétaire </t>
  </si>
  <si>
    <t>-21.183444, 55.533944</t>
  </si>
  <si>
    <t>CSC49HTM</t>
  </si>
  <si>
    <t>recm3zPthhLho7F66</t>
  </si>
  <si>
    <t>Parfum de Géranium</t>
  </si>
  <si>
    <t>Parfum de Géranium
57, rue Théophile Gauthier - Grand Coude
97480 Saint-Joseph</t>
  </si>
  <si>
    <t>Patrimoine agricole,Patrimoine industriel</t>
  </si>
  <si>
    <t>Plantation,Distillerie - sucrerie</t>
  </si>
  <si>
    <t>bernard.mondon@wanadoo.fr</t>
  </si>
  <si>
    <t xml:space="preserve">Bernard, agriculteur de Grand Coude propose la découverte d'une exploitation agricole autour du géranium et des pratiques d'une distillation traditionnelle de plantes à parfums. Sur réservation 48 h à l’avance (temps de coupe des géraniums et délais de préparation).
Durée de la visite: 2h à 2h30.  
Nombre de personnes minimum : 4 personnes 
Nombres de personnes maximum : groupe de 15 à 20 personnes. 
Tarifs : Adultes: 7 €.
Enfants (de 8 à 15 ans) : 4,5 €.
Tarif groupe à partir de 10 personnes : 5,5 €. 
Tarif famille : tarif adulte et enfant applicable   gratuité appliquée au delà du 3ème enfant. </t>
  </si>
  <si>
    <t>Lundi :  -,Mardi :  -,Mercredi :  -,Jeudi :  -,Vendredi :  - ; sur réservation</t>
  </si>
  <si>
    <t>Parfum de Géranium - Mondon Bernard</t>
  </si>
  <si>
    <t>57, rue Théophile Gauthier, 97412 Saint-Joseph</t>
  </si>
  <si>
    <t xml:space="preserve">Mondon Bernard : bernard.mondon@wanadoo.fr / 0692651048 , Mondon Bernard : bernard.mondon@wanadoo.fr / 0262561333 / 0692651048 ,  0262561333 </t>
  </si>
  <si>
    <t>-21.2908134,55.6251985</t>
  </si>
  <si>
    <t>57 Chemin Theophile Gauthier, Réunion</t>
  </si>
  <si>
    <t>Passiflore</t>
  </si>
  <si>
    <t>Passiflore
23, chemin François Robert
97480 Saint-Joseph</t>
  </si>
  <si>
    <t>chauffage,climatisation,jardin,lave linge privatif,parking,TV</t>
  </si>
  <si>
    <t>bernard.gury@wanadoo.fr</t>
  </si>
  <si>
    <t>Situé dans le Sud Sauvage à Saint-Joseph, la Passiflore propose un appartement composé d'une chambre double, d'une salle à manger, d'une cuisine équipée et d'une salle d'eau.</t>
  </si>
  <si>
    <t>De Saint-Joseph prendre la direction de Jean Petit/Grand Coude, sur 8 km, juste après la pharmacie de Jean Petit située sur la droite, prendre la première à gauche puis encore la première à gauche devant la mairie annexe, descendre en laissant sur la droite 2 rues, prendre la 3ème toujours à droite chemin François Robert juste avant l'arrêt bus "Ti car jaune". Rester toujours à gauche  et aller jusqu'au champ de canne, la maison se situe au bout de l'impasse sur la gauche, à 150 m après le portail.</t>
  </si>
  <si>
    <t>Passiflore - Gury Christiane</t>
  </si>
  <si>
    <t>23, chemin François Robert, 97412 Saint-Joseph</t>
  </si>
  <si>
    <t>Gury Christiane : bernard.gury@wanadoo.fr / 0262569879 / 0686841903 / Propriétaire</t>
  </si>
  <si>
    <t>-21.342227, 55.628078</t>
  </si>
  <si>
    <t>CSC64HTJ</t>
  </si>
  <si>
    <t>23 Chemin Francois Robert, Réunion</t>
  </si>
  <si>
    <t>Passion du Chalet (La)</t>
  </si>
  <si>
    <t>Passion du Chalet (La)
87, chemin Notre Dame de la Paix - Petite Ferme
Plaine des Cafres
97418 La Plaine des Cafres</t>
  </si>
  <si>
    <t>barbecue,chauffage,fer et planche à repasser,parking,TV</t>
  </si>
  <si>
    <t>mdm124sery@hotmail.fr</t>
  </si>
  <si>
    <t>Situé à La Plaine des Cafres, La Passion du Chalet peut accueillir 6 personnes.</t>
  </si>
  <si>
    <t xml:space="preserve">Dans la fraîcheur des hauts ce chalet à la décoration cosy promet un dépaysement lors d'une halte randonnée ou d'un séjour détente en famille. 
A proximité de nombreuses activités de plein air et culturelles </t>
  </si>
  <si>
    <t>PK 23, tourner juste après la gendarmerie.</t>
  </si>
  <si>
    <t>Passion du Chalet (La) - Sery Maud</t>
  </si>
  <si>
    <t>124 bis, rue Charles Baudelaire - 3 Mares, 97422 Le Tampon</t>
  </si>
  <si>
    <t xml:space="preserve">Sery Maud : mdm124sery@hotmail.fr / 0262240026 / 0692327583 / Propriétaire , SERY Maud : mdm124sery@hotmail.fr / 0262240026 / 0692327583 </t>
  </si>
  <si>
    <t>-21.249666, 55.591239</t>
  </si>
  <si>
    <t>recAb1dARibQJ6tzV</t>
  </si>
  <si>
    <t>Pause Cafet</t>
  </si>
  <si>
    <t>Pause Cafet
Centre Commercial Hyper Champion - La Chatoire
97430 Le Tampon</t>
  </si>
  <si>
    <t>Au Tampon, le restaurant Pause Cafet propose une cuisine créole, métro, chinoise et pizzas.  Possibilité de service traiteur et restauration rapide:  sandwichs froids ou chauds. Horaires d'ouverture en fonction de la galerie commerciale.</t>
  </si>
  <si>
    <t xml:space="preserve">Du Sud  : Prendre la 4 voies Tampon/Plaine des Cafres, arrivé au rond-point prendre la direction de Trois-Mares/Clinique. Continuer tout droit au rond-point prendre à droite en direction de la clinique, continuer toujours tout droit le centre commercial se trouve à gauche.
Des Plaines : Suivre la RN3 jusqu’au 13ème km, au Super U tourner à droite en direction de l’université de Trois-Mares, continuer tout droit au second rond-point prendre la direction université. Le centre commercial se trouve à droite après l’université.   </t>
  </si>
  <si>
    <t>Pause Cafet - San-Ching</t>
  </si>
  <si>
    <t>9, rue d'Italie, 97422 Le Tampon</t>
  </si>
  <si>
    <t xml:space="preserve">San-Ching  : 0262241079 / 0692875197 / 0262241079 ,  0262241079 / 0692875197 / 0262241079 </t>
  </si>
  <si>
    <t>-21.272432, 55.507244</t>
  </si>
  <si>
    <t>Mode de paiment,Fax,Descriptif du plan d'accès</t>
  </si>
  <si>
    <t>213-173 Rue Charles Baudelaire, Réunion</t>
  </si>
  <si>
    <t>rec8BkQxWXqm91OVQ</t>
  </si>
  <si>
    <t>Pavillon Créole</t>
  </si>
  <si>
    <t>Pavillon Créole
10, impasse Père Maunier
97430 Le Tampon</t>
  </si>
  <si>
    <t xml:space="preserve">Situé au Tampon, le Pavillon Créole propose une cuisine créole traditionnelle au feu de bois. Menu enfant sur réservation.
Salle de réception, baptême, anniversaire, communion, mariage, service traiteur.
Ouvert du lundi au vendredi midi, le soir et week-end sur réservation. </t>
  </si>
  <si>
    <t xml:space="preserve">Depuis le Sud : Prendre la 4 voies en direction le Tampon/Plaine des Cafres ; arrivé au rond-point de la tour des Azalées prendre la 1ère à droite, suivre la RN3 jusqu’au rond-point de la caserne des pompiers du Tampon. Prendre la 3ème sortie en direction Lycée Roland Garros. Continuer tout droit jusqu’à l’impasse Père Mauniers à droite.
Depuis les plaines : Depuis les plaines : Suivre la RN3 vers le Tampon, arrivé au 13ème km (Super U à gauche) tourner chemin Isautier en direction de « l’université/châtoire/clinique ». Continuer tout droit jusqu’au rond-point puis prendre la 2ème sortie, l’impasse Père Mauniers se trouve à votre gauche.   </t>
  </si>
  <si>
    <t>Pavillon Créole - Mallet</t>
  </si>
  <si>
    <t>10, impasse Père Maunier, 97422 Le Tampon</t>
  </si>
  <si>
    <t xml:space="preserve"> 0262575465 , Mallet  : 0262575465 </t>
  </si>
  <si>
    <t>-21.267927, 55.513757</t>
  </si>
  <si>
    <t>10 Père Maunier, Réunion</t>
  </si>
  <si>
    <t>Payanke (Le)</t>
  </si>
  <si>
    <t>Payanke (Le)
6 bis, rue Joseph Hubert
97480 Saint-Joseph</t>
  </si>
  <si>
    <t>http://www.lepayanke.com</t>
  </si>
  <si>
    <t>lepayanke@gmail.com</t>
  </si>
  <si>
    <t>Situé à proximité du centre ville de Saint-Joseph et des sites touristiques du Sud Sauvage.
La villa "le Payanke" est une maison en bois de style créole agréablement meublée et équipée pour 4 personnes et  dispose de 2 chambres, d'un séjour/cuisine, d'une terrasse, d'un jardin arboré ainsi que d'un parking privatif clôturé.</t>
  </si>
  <si>
    <t>Prendre direction Saint-Joseph, passer l'entrée de la ville et arrivé au pont, prendre tout de suite la voie de gauche puis la rue Maury, continuer tout droit jusqu'à la troisième maison à droite.</t>
  </si>
  <si>
    <t>Payanke (Le) - Hoareau Patrick et Rose-May</t>
  </si>
  <si>
    <t>6 bis, rue Joseph Hubert, 97412 Saint-Joseph</t>
  </si>
  <si>
    <t xml:space="preserve">Hoareau Patrick : lepayanke@gmail.com / 0262314336 / 0692861784 / Propriétaire ,  contact@location-lepayanke.com / 0262314336 / 0692861784 </t>
  </si>
  <si>
    <t>-21.37557358, 55.61822687</t>
  </si>
  <si>
    <t>6 Rue Joseph Hubert, Saint-Gilles les Hauts 97460, Réunion</t>
  </si>
  <si>
    <t>recaryrqsrVPPIB2M</t>
  </si>
  <si>
    <t>Payet Françoise</t>
  </si>
  <si>
    <t>Payet Françoise
19, rue Corneille
97414 Entre-Deux</t>
  </si>
  <si>
    <t>Artisane de l'Entre-Deux, Françoise propose de la broderie et exploite les richesses du "choca", plante grasse de la famille des agavacées. Ses feuilles, rigides sont généralement munies d'une épine au bout et peuvent atteindre 2,50m de long. A maturité, du cœur se dégage une hampe florale de 4 à 7 m de haut, de laquelle les très nombreuses bulbilles aériennes se détachent et s'implantent de manière envahissante au détriment des espèces endémiques et indigènes de l'île.
A partir de cette plante sont fabriqués : boucles d'oreilles, colliers, porte-clés, sacs, porte-lettres et les indétrônables "Savates Choca".</t>
  </si>
  <si>
    <t>19, rue Corneille, 97403 Entre-Deux</t>
  </si>
  <si>
    <t xml:space="preserve">Dijoux Françoise : 0262395228 , Payet Françoise : 0262395228 ,  0262395228 </t>
  </si>
  <si>
    <t>-21.25083, 55.475045</t>
  </si>
  <si>
    <t>19 Rue Corneille, Réunion</t>
  </si>
  <si>
    <t>Payet Jean-Marie</t>
  </si>
  <si>
    <t>Payet Jean-Marie
11, chemin des Rêves
97414 Entre-Deux</t>
  </si>
  <si>
    <t>Tailleur de pierre, Jean-Marie façonne des pilons essentiels à la réalisation des piquants rougails qui accompagnent les caris créoles.</t>
  </si>
  <si>
    <t>11, chemin des Rêves, 97403 Entre-Deux</t>
  </si>
  <si>
    <t xml:space="preserve">Payet Jean-Marie : 0262395791 , Payet Jean-Marie : 0262395791 ,  0262395791 </t>
  </si>
  <si>
    <t>-21.230632, 55.471405</t>
  </si>
  <si>
    <t>11 Chemin des Reves, Réunion</t>
  </si>
  <si>
    <t>Payet Marie-Laure</t>
  </si>
  <si>
    <t>Payet Marie-Laure
301, rue Jean Lauret
97414 Entre-Deux</t>
  </si>
  <si>
    <t>Artisane de l'Entre-Deux, Marie-Laure exploite les richesses du "choca", plante grasse de la famille des agavacées. Ses feuilles, rigides sont généralement munies d'une épine au bout et peuvent atteindre 2,50m de long. A maturité, du cœur se dégage une hampe florale de 4 à 7 m de haut, de laquelle les très nombreuses bulbilles aériennes se détachent et s'implantent de manière envahissante au détriment des espèces endémiques et indigènes de l'île.
A partir de cette plante sont fabriqués : boucles d'oreilles, colliers, porte-clés, sacs, porte-lettres et les indétrônables "Savates Choca".</t>
  </si>
  <si>
    <t>301, rue Jean Lauret, 97403 Entre-Deux</t>
  </si>
  <si>
    <t xml:space="preserve">Payet Marie-Laure : 0262395850 , Payet Marie-Laure : 0262395850 ,  0262395850 </t>
  </si>
  <si>
    <t>-21.239412, 55.480361</t>
  </si>
  <si>
    <t>301 Rue Jean Lauret, Réunion</t>
  </si>
  <si>
    <t>recC8nvXfXAN5qwki</t>
  </si>
  <si>
    <t>Pieds Dans l'Eau (Les)</t>
  </si>
  <si>
    <t>Pieds dans l’ Eau (Les)</t>
  </si>
  <si>
    <t>Pieds Dans l'Eau (Les)
2 rue des Anones
97480 Saint-Joseph</t>
  </si>
  <si>
    <t>Idéalement situé face de la rivière, avec terrasse au bord de l'eau, le restaurant Les Pieds dans l'Eau propose une cuisine créole traditionnelle ainsi que des sandwichs maison et plats à emporter.</t>
  </si>
  <si>
    <t>Sur la commune de Saint-Joseph, à Langevin, prendre la direction La Passerelle à partir de la balance de cannes à sucre. Le restaurant se situe environ 200 m.</t>
  </si>
  <si>
    <t>Pieds Dans l’ Eau (Les) - Grondin Joseph</t>
  </si>
  <si>
    <t>34, route de La Passerelle - Langevin, 97412 Saint-Joseph</t>
  </si>
  <si>
    <t xml:space="preserve">Grondin Joseph Jean Claude : 0262371364 / 0692250138 / Gérant(e) ,  0262371364 / 0692250138 </t>
  </si>
  <si>
    <t>-21.37697, 55.600372</t>
  </si>
  <si>
    <t>2-6 Rue des Anones, Manapany-Les-Bains 97480, Réunion</t>
  </si>
  <si>
    <t>recCpFmi9ztG9pA4Q</t>
  </si>
  <si>
    <t>Pinpin (Le)</t>
  </si>
  <si>
    <t>Boyer Joseph Guylhem</t>
  </si>
  <si>
    <t>Pinpin (Le)
11, rue de l'Ecole - Cap Méchant
97442 Saint-Philippe</t>
  </si>
  <si>
    <t>sentier de randonnée,pêche,riviere,parking public,site - lieu culturel,point de vue panoramique,jardin</t>
  </si>
  <si>
    <t>Carte Bancaire,Eurocard,Chèque,Virement,Espèces</t>
  </si>
  <si>
    <t>lepinpin.restaurant@hotmail.fr</t>
  </si>
  <si>
    <t>Le restaurant le Pinpin, à Saint-Philippe, au cœur du Sud Sauvage, dispose d'une terrasse ouverte sur un grand jardin. Il propose des spécialités de palmiste et de vacoa sous toutes ses formes. Démonstration de préparation du palmiste et du vacoa pour tous groupes. Ouvert tous les jours de 11h00 à 15h00. Fermé le Mercredi.</t>
  </si>
  <si>
    <t>En arrivant de Saint-Pierre, prendre à droite au pont de Basse Vallée, en direction du Cap Méchant. Le restaurant est à l'angle du boulodrome.</t>
  </si>
  <si>
    <t>Pinpin (Le) - Boyer Joseph Guylhem</t>
  </si>
  <si>
    <t>11, rue de l'Ecole - Cap Méchant, 97417 Saint-Philippe</t>
  </si>
  <si>
    <t xml:space="preserve">Boyer Joseph Guylhem : 0262370419 / 0692081826 / 0262370419 ,  0262370419 / 0692081826 / 0262370419 </t>
  </si>
  <si>
    <t>-21.37449441, 55.70959743</t>
  </si>
  <si>
    <t>25 Route Labourdonnais, 97442, Réunion</t>
  </si>
  <si>
    <t>rectWEkEy9yKaFMIN</t>
  </si>
  <si>
    <t>Pinpin d'Amour (Le)</t>
  </si>
  <si>
    <t>DAMOUR Marie Claude</t>
  </si>
  <si>
    <t>Pinpin d'Amour (Le)
56 A, chemin Paul Hoarau
97442 Saint-Philippe</t>
  </si>
  <si>
    <t>http://www.pinpindamour.com</t>
  </si>
  <si>
    <t>sentier de randonnée,pêche,riviere,parking public,site - lieu culturel,point de vue panoramique</t>
  </si>
  <si>
    <t>damourmarieclaude4@gmail.com</t>
  </si>
  <si>
    <t>La table d'hôte, Le Pinpin d'Amour, labellisée Gîtes de France, se situe à Saint-Philippe, au cœur du Sud Sauvage.</t>
  </si>
  <si>
    <t>Elle propose une cuisine traditionnelle créole à base de produits du terroir comme le vacoa, le palmiste et le pinpin.
Possibilité de séjourner dans les chambres d'hôtes du même nom. Accès aux personnes à mobilité réduite.</t>
  </si>
  <si>
    <t xml:space="preserve">De Saint-Pierre : prendre la direction de Saint-Philippe pour arriver dans le quartier du Baril. Tourner à gauche après la supérette et monter sur 2 km jusqu'au n°56.
En venant de l'Est : prendre la direction de Saint-Philippe. Traverser la ville jusqu'à l'hôtel du Baril. Prendre le premier chemin à droite et monter sur 2 km jusqu'au n°56. </t>
  </si>
  <si>
    <t>Pinpin d'Amour (Le) - Damour Marie Claude</t>
  </si>
  <si>
    <t>56 A, chemin Paul Hoarau, 97417 Saint-Philippe</t>
  </si>
  <si>
    <t xml:space="preserve">Damour Marie-Claude : damourmarieclaude4@gmail.com / 0262371486 / 0692643744 / 0262371486 ,  damour-marieclaude@wanadoo.fr / 0262371486 / 0692679137 </t>
  </si>
  <si>
    <t>-21.35981949, 55.72082565</t>
  </si>
  <si>
    <t>56 A Chemin Paul Hoareau, Baril les Hauts 97442, Réunion</t>
  </si>
  <si>
    <t>recmOcTv8PqeQEtt3</t>
  </si>
  <si>
    <t>Le Pinpin d'Amour propose 5 chambres d'hôtes labellisées Gîtes de France, à Saint-Philippe, au cœur du Sud Sauvage. Chambres de 2 personnes dans la maison du propriétaire.</t>
  </si>
  <si>
    <t>Saint-Joseph à 15 km et services de proximité à 2 km. 
Sur place : un mini-parcours botanique (jardin particulier) et une animation à l'apéritif sur La Réunion. Une animation sur le Vacoa et le Pinpin font également partie  de l'accueil.
Possibilité de déguster un plat local dans la table d'hôte du même nom. Accès aux personnes à mobilité réduite.</t>
  </si>
  <si>
    <t>Qualité Tourisme Ile de La Réunion,Gîtes de France,Qualité Tourisme</t>
  </si>
  <si>
    <t>https://book.reunion.fr/fr/hebergements/a310822/product/reserver | Réunion.fr</t>
  </si>
  <si>
    <t>CSC33HTF</t>
  </si>
  <si>
    <t>Piton de l'Eau (Le)</t>
  </si>
  <si>
    <t>Piton de l'Eau</t>
  </si>
  <si>
    <t>Piton de l'Eau (Le)
44, Grande Ferme
Plaine des Cafres
97418 La Plaine des Cafres</t>
  </si>
  <si>
    <t>chauffage,jardin,parking,salle de bain privée,sanitaires privés,TV</t>
  </si>
  <si>
    <t xml:space="preserve">Le Piton de l'Eau propose 4 chambres d'hôtes de 2 personnes décorées avec goût, située au dessus de la maison du propriétaire. 
Possibilité lit supplémentaire. Havre de tranquillité idéal pour se ressourcer. Repas en table d'hôte gratuit pour les enfants de moins de 5 ans et demi-tarif pour les enfants entre 6 et 12 ans. Une balade à cheval est offerte à une personne. </t>
  </si>
  <si>
    <t>Au rond-point de la Maison du Volcan prendre la direction de la route forestière du Volcan, tourner à droite au deuxième rond-point, puis continuer tout droit, passer devant le stade et l'école primaire jusqu'à l'église de la Grande Ferme. Prendre à gauche, le Piton de l'Eau est indiqué par les panneaux (maison créole jaune).</t>
  </si>
  <si>
    <t>Piton de l'Eau (Le) - Dalleau Brigitte</t>
  </si>
  <si>
    <t>44, chemin  Grande Ferme, 97422 Le Tampon</t>
  </si>
  <si>
    <t xml:space="preserve">Dalleau Louis et Brigitte : 0262592807 / 0692686160 / 0262388321 ,  0262592807 / 0692686160 / 0262388321 </t>
  </si>
  <si>
    <t>-21.22108026, 55.58930377</t>
  </si>
  <si>
    <t>Piton de l'Eau, Réunion</t>
  </si>
  <si>
    <t>recdM1bQWgYySmPg9</t>
  </si>
  <si>
    <t>Pizzeria Bella Attina</t>
  </si>
  <si>
    <t>Pizzeria Bella Attina
109, rue Marcel Pagnol - Vincendo
97480 Saint-Joseph</t>
  </si>
  <si>
    <t>plage,pêche,parking public,site - lieu culturel,point de vue panoramique</t>
  </si>
  <si>
    <t>Située dans le village de Vincendo, à Saint-Joseph, la Pizzeria Bella Attina propose des spécialités italiennes.</t>
  </si>
  <si>
    <t>Venant du Nord, prendre direction Saint-Pierre/Saint-Joseph. Traverser le centre ville de Saint-Joseph, passer le Langevin et continuer jusqu'au village de Vincendo.</t>
  </si>
  <si>
    <t>Pizzeria Bella Attina - Signorelli Yves</t>
  </si>
  <si>
    <t>109, rue Marcel Pagnol, 97412 Saint-Joseph</t>
  </si>
  <si>
    <t xml:space="preserve">Signorelli Yves : 0262373567 / Restaurateur ,  0262373567 </t>
  </si>
  <si>
    <t>-21.37361014, 55.66810571</t>
  </si>
  <si>
    <t>89-91 Rue Marcel Pagnol, 97480, Réunion</t>
  </si>
  <si>
    <t>recQFNCRJ8Ru1lGCO</t>
  </si>
  <si>
    <t>Pizzeria L'Andalouse</t>
  </si>
  <si>
    <t>Pizzeria L'Andalouse
Résidence Rosaire - 34 rue Hippolyte Foucque
97480 Saint-Joseph</t>
  </si>
  <si>
    <t>zone industrielle et commerciale</t>
  </si>
  <si>
    <t>La pizzeria l'Andalouse se situe à Saint-Joseph.</t>
  </si>
  <si>
    <t xml:space="preserve">La pizzeria offre une déclinaison en trois tailles de ses pizzas : normale, grande et chausson (version calzone).
Autre coup de cœur, la pizza Pizzaiole est une composition 100% végétarienne, car elle ne comporte même pas de fromage.
Ouvert tous les jours (sauf le mercredi et le dimanche) de 17h à 22h. </t>
  </si>
  <si>
    <t>Pizzeria l'Andalouse</t>
  </si>
  <si>
    <t>34 Quinquies rue Hippolyte Foucque, 97412 Saint-Joseph</t>
  </si>
  <si>
    <t xml:space="preserve"> 0262982312 ,  0262982312 </t>
  </si>
  <si>
    <t>-21.374483, 55.624337</t>
  </si>
  <si>
    <t>Adresse,Descriptif</t>
  </si>
  <si>
    <t>Rue Hippolyte Foucque, Réunion</t>
  </si>
  <si>
    <t>recTkQI3IwU9v4rhZ</t>
  </si>
  <si>
    <t>Pizzeria La Gondole</t>
  </si>
  <si>
    <t>Pizzeria la Gondole</t>
  </si>
  <si>
    <t>Pizzeria La Gondole
36, rue Raphaël Babet
97480 Saint-Joseph</t>
  </si>
  <si>
    <t>parking,ventilateur,aire de jeux pour enfant</t>
  </si>
  <si>
    <t>sentier de randonnée,pêche,centre commercial,parking public,site - lieu culturel,point de vue panoramique</t>
  </si>
  <si>
    <t>Dans un cadre familial, la pizzeria La Gondole propose des pizzas sur place et à emporter, des salades, des pâtes, des plats du jour, des andouillettes et des desserts maison. Ouvert tous les jours sauf le mardi. Expositions temporaires d'artistes.</t>
  </si>
  <si>
    <t>Saint-Joseph, à côté du centre commercial.</t>
  </si>
  <si>
    <t>Pizzeria la Gondole - Perret Dominique</t>
  </si>
  <si>
    <t>36, rue Raphaël Babet, 97412 Saint-Joseph</t>
  </si>
  <si>
    <t xml:space="preserve">Perret Dominique : 0262561612 / Gérant(e) ,  0262561612 </t>
  </si>
  <si>
    <t>-21.38067938, 55.60972067</t>
  </si>
  <si>
    <t>Mode de paiment,Mobile,Capacité</t>
  </si>
  <si>
    <t>34-, 50 Rue Raphael Babet, 97480, Réunion</t>
  </si>
  <si>
    <t>recQtNbeydDudXBZt</t>
  </si>
  <si>
    <t>Plamétys (Le)</t>
  </si>
  <si>
    <t>Plamétys (Le)
29, rue Victor Hugo
97430 Le Tampon</t>
  </si>
  <si>
    <t>Situé au Tampon, le restaurant Le Plamétys propose une cuisine créole et marocaine.</t>
  </si>
  <si>
    <t>Des tajines, couscous, cornes de gazelle et autres saveurs marocaines sont à découvrir. Repas sur place ou à emporter, livraison possible.</t>
  </si>
  <si>
    <t>Plamétys (Le) - RODOLPHE KRISHNA DORESSAMY</t>
  </si>
  <si>
    <t>29, rue Victor Hugo, 97422 Le Tampon</t>
  </si>
  <si>
    <t xml:space="preserve"> 0262263981 ,  0262263981 </t>
  </si>
  <si>
    <t>-21.2794, 55.519473</t>
  </si>
  <si>
    <t>Mode de paiment,Mobile,Fournisseur - Nom,Fournisseur - SIRET</t>
  </si>
  <si>
    <t>29 Rue Victor Hugo, 97430, Réunion</t>
  </si>
  <si>
    <t>Plantation (La)</t>
  </si>
  <si>
    <t>Plantation (La)
124, route de Jean-Petit
97480 Saint-Joseph</t>
  </si>
  <si>
    <t>http://www.la-plantation.re</t>
  </si>
  <si>
    <t>climatisation,fer et planche à repasser,jardin,parking,piscine,salle de bain privée,TV satellite,ventilateur,wifi</t>
  </si>
  <si>
    <t>laplantation@outlook.fr</t>
  </si>
  <si>
    <t>Une escale sur un lieu d'exception...</t>
  </si>
  <si>
    <t>Située à Saint-Joseph, à 300 m d'altitude sur la route de Grand-Coude, La Plantation propose 3 chambres d'hôtes et une suite tout confort dans une grande villa créole, meublées avec goût et raffinement. La villa est dotée d'un jacuzzi, d'une piscine extérieure à débordement et d'une vue à 180 degrés sur l'Océan Indien ou sur la palmeraie du jardin.</t>
  </si>
  <si>
    <t>Au centre ville de Saint-Joseph, suivre la direction de Jean Petit et Grand Coude, La Plantation se trouve environ à 4 km sur la droite.</t>
  </si>
  <si>
    <t>Plantation (La) - Hamon Aurélie</t>
  </si>
  <si>
    <t>124, route de Jean-Petit, 97412 Saint-Joseph</t>
  </si>
  <si>
    <t xml:space="preserve">Hamon Aurélie : laplantation@outlook.fr / 0262560886 / 0692335492 / Gérant(e) , Hamon Aurélie : laplantation@outlook.fr / 0262456328 / 0692335492 / Propriétaire ,  0262560886 </t>
  </si>
  <si>
    <t>-21.360764, 55.630844</t>
  </si>
  <si>
    <t>CSC65HTK</t>
  </si>
  <si>
    <t>Mode de paiment,Mobile,E-Mail,Fournisseur - Nom,Fournisseur - contacts</t>
  </si>
  <si>
    <t>Test</t>
  </si>
  <si>
    <t>124 Route de Jean Petit, Saint Joseph Ile de la Réunion 97480, Réunion</t>
  </si>
  <si>
    <t>recqF6nWXZHiTjT7J</t>
  </si>
  <si>
    <t>Plat Garni (Le)</t>
  </si>
  <si>
    <t>Plat Garni (Le)
Rue du Commerce
97414 Entre-Deux</t>
  </si>
  <si>
    <t>Propose des snacks,samoussas,nems et autre fritures péi</t>
  </si>
  <si>
    <t>Le Plat Garni, à l'Entre-Deux, propose une cuisine italienne principalement sous forme de restauration rapide.</t>
  </si>
  <si>
    <t>Plat Garni (Le) - Riviere Marc</t>
  </si>
  <si>
    <t>54, rue le Bord, 97403 Entre-Deux</t>
  </si>
  <si>
    <t>Riviere Marc : 0693458528</t>
  </si>
  <si>
    <t>-21.24791, 55.470786</t>
  </si>
  <si>
    <t>Prestations sur place,Mode de paiment,Mobile,Fournisseur - contacts</t>
  </si>
  <si>
    <t>Pluies D'or (Les)</t>
  </si>
  <si>
    <t>Frontin Christophe</t>
  </si>
  <si>
    <t>Pluies D'or (Les)
92, CD 26
97414 Entre-Deux</t>
  </si>
  <si>
    <t>christophe.frontin@wanadoo.fr</t>
  </si>
  <si>
    <t>Les Pluies d'Or offrent une halte vivifiante et reposante dans le cadre préservé de son jardin créole.</t>
  </si>
  <si>
    <t>A l'Entre-Deux, le Meublé de Tourisme Les Pluies d'Or dispose d'un appartement de 80 m² tout équipé situé au premier étage d'une accueillante villa dans un cadre verdoyant avec une terrasse de 30 m². 3 chambres doubles entièrement équipées. Grande terrasse avec vue sur le jardin. Tarifs dégressifs selon la durée du séjour.</t>
  </si>
  <si>
    <t>Prendre la route de l'Entre-Deux RD 26. Le meublé se trouve à 50 m à gauche, après la plaque station verte de l'Entre-Deux.</t>
  </si>
  <si>
    <t>Pluies d'Or (Les) - Frontin Christophe</t>
  </si>
  <si>
    <t>92, CD 26, 97403 Entre-Deux</t>
  </si>
  <si>
    <t xml:space="preserve">Frontin Christophe : christophe.frontin@wanadoo.fr / 0262396230 / 0262396230 / 0692459246 / Gérant(e) ,  christophe.frontin@wanadoo.fr / 0262396230 / 0692459246 / 0262396230 </t>
  </si>
  <si>
    <t>-21.25665855, 55.46479339</t>
  </si>
  <si>
    <t>92 Cd 26, Réunion</t>
  </si>
  <si>
    <t>Poivrier (Le)</t>
  </si>
  <si>
    <t>Poivrier (Le)
32 C rue Hippolyte Foucque
97480 Saint-Joseph</t>
  </si>
  <si>
    <t xml:space="preserve">Le Poivrier est un snack bar situé à Joseph qui propose des repas et des sandwichs à consommer sur place ou à emporter. 
Ouvert le lundi, mardi, jeudi et vendredi de 7h à 16h30; le mercredi et le samedi de 7h à 13h. Fermé le dimanche. </t>
  </si>
  <si>
    <t>32 C rue Hippolyte Foucque, 97412 Saint-Joseph</t>
  </si>
  <si>
    <t xml:space="preserve"> 0692655245 ,  0692655245 </t>
  </si>
  <si>
    <t>-21.374414, 55.624398</t>
  </si>
  <si>
    <t>32 Rue Hippolyte Foucque, Réunion</t>
  </si>
  <si>
    <t>recD7OVhsKJL0mUGB</t>
  </si>
  <si>
    <t>Pti Case d'Eléna</t>
  </si>
  <si>
    <t>Pti Case d'Eléna
39, rue des Zinnias - Matouta
97480 Saint-Joseph</t>
  </si>
  <si>
    <t>barbecue,parking,piscine,TV,wifi</t>
  </si>
  <si>
    <t>michellacire974@orange.fr</t>
  </si>
  <si>
    <t>A Saint-Joseph, Pti Case d'Eléna propose des chambres d'hôtes dans un petit village créole de Matouta.</t>
  </si>
  <si>
    <t>3 chambres doubles situées dans la maison du propriétaire. Vue sur mer, proche des sentiers de randonnée, endroit calme.
Varangue, jardin tropical, piscine chauffée et une terrasse à disposition.</t>
  </si>
  <si>
    <t xml:space="preserve">De Saint-Joseph, prendre après Vincendo, sortie Matouta, continuer sur 4 km et suivre les flèches Pti Case d'Eléna.
De Saint-Philippe, continuer vers Saint-Joseph, prendre sortie Matouta et continuer sur 4 km et suivre les flèches Pti Case d'Eléna. </t>
  </si>
  <si>
    <t>Pti Case d'Eléna - Lacire Michel</t>
  </si>
  <si>
    <t>39 rue des Zinnias  - Matouta, 97412 Saint-Joseph</t>
  </si>
  <si>
    <t xml:space="preserve">Lacire Michel : michellacire974@orange.fr / 0692360151 / Propriétaire , Lacire Michel : michellacire974@orange.fr / 0692360151 / Propriétaire </t>
  </si>
  <si>
    <t>-21.36347, 55.702243</t>
  </si>
  <si>
    <t>CSC82HTJ</t>
  </si>
  <si>
    <t>39 Rue des Zinnias, Matouta 97480, Réunion</t>
  </si>
  <si>
    <t>Puits des Anglais (Le)</t>
  </si>
  <si>
    <t>Puits des Anglais (Le)
80, RN2 - le Baril
97442 Saint-Philippe</t>
  </si>
  <si>
    <t>Le restaurant Le Puits des Anglais se situe au Baril à Saint-Philippe. Il propose une cuisine créole avec les produits phares de la ville tels que le chou de vacoa et le palmiste. Ouvert de 10h à 16h30. Fermé le vendredi, sur réservation le dimanche. Possibilité de plats à emporter.</t>
  </si>
  <si>
    <t xml:space="preserve">De l'Ouest, dépasser la balance de cannes, le restaurant se trouve à 50 m à droite sur le site du "Puits des Anglais".
De l'Est, passer le centre ville de Saint-Philippe, traverser la forêt de Mare Longue puis rouler jusqu'au site du "Puits des Anglais" le restaurant se situe à gauche. </t>
  </si>
  <si>
    <t>Puits des Anglais (Le) - Payet Pascal</t>
  </si>
  <si>
    <t>80, RN2 - le Baril, 97417 Saint-Philippe</t>
  </si>
  <si>
    <t xml:space="preserve">Payet Pascal : 0692683033 ,  0692683033 </t>
  </si>
  <si>
    <t>-21.368369, 55.73358</t>
  </si>
  <si>
    <t>recIzyi9rbojMjaQa</t>
  </si>
  <si>
    <t>Puits des Français (Le)</t>
  </si>
  <si>
    <t>Puits des Français (Le)
31, rue de Labourdonnais - Basse Vallée
97442 Saint-Philippe</t>
  </si>
  <si>
    <t>climatisation,jardin,parking,piscine,salle de bain privée,salon de jardin,sanitaires privés</t>
  </si>
  <si>
    <t>huet.jacky@hotmail.fr</t>
  </si>
  <si>
    <t>Située à Saint-Philippe, Le Puit des Français propose 5 chambres doubles labellisées Gîtes de France.</t>
  </si>
  <si>
    <t>Elles  sont en contre bas de la maison principale sur un terrain de 5000 m² avec piscine.
Les chambres d'une surface de 28 m² disposent d'une terrasse et  d'une salle d'eau privative.
A visiter : Cap Méchant, Cascade Jacqueline, Jardin des épices, Puits des Anglais, Puits des Arabes, visite des coulées de laves avec un guide)</t>
  </si>
  <si>
    <t>En arrivant de l'est ou de l'ouest, prendre la direction du site "Cap Méchant", la structure se trouve en face du parking l'Etoile de Mer.</t>
  </si>
  <si>
    <t>Puits des Français (Le) - Damour Valérie</t>
  </si>
  <si>
    <t>31, rue de Labourdonnais - Basse Vallée, 97417 Saint-Philippe</t>
  </si>
  <si>
    <t>Damour Valérie : huet.jacky@hotmail.fr / 0262285750 / 0692362616 / Propriétaire</t>
  </si>
  <si>
    <t>-21.373001, 55.710237</t>
  </si>
  <si>
    <t>https://book.reunion.fr/fr/hebergements/a310945/product/reserver | Réunion.fr</t>
  </si>
  <si>
    <t>CSC34HTG</t>
  </si>
  <si>
    <t>19 Route Labourdonnais, 97442, Réunion</t>
  </si>
  <si>
    <t>recxrcryp7RwEOD3d</t>
  </si>
  <si>
    <t>QG (Le)</t>
  </si>
  <si>
    <t>QG (Le)
60, rue Alfred Picard – Bourg-Murat
Bourg Murat
97418 La Plaine des Cafres</t>
  </si>
  <si>
    <t>https://www.oqg-restaurant.com/</t>
  </si>
  <si>
    <t>oqg.restaurant974@gmail.com</t>
  </si>
  <si>
    <t>Le restaurant Le QG se situe à Bourg-Murat, à la Plaine des Cafres. La décoration soignée, la cheminée et les œuvres d'art d'Alain Béton (propriétaire du restaurant) font de ce restaurant un lieu chaleureux.</t>
  </si>
  <si>
    <t>Il propose une cuisine créole au feu de bois et des sandwichs variés, pizzas au feu de bois, bouchons faits maison, petit déjeuner etc. Menu sur place ou à emporter. Grand choix de rhums arrangés. 
Ouvert tous les jours de 6h15 à 22h.
Salle de séminaire d'une capacité de 20 personnes.
Accès pour personnes à mobilité réduite.</t>
  </si>
  <si>
    <t xml:space="preserve">Depuis le Sud  : prendre la 4 voies Tampon/Plaine des Cafres. Arrivé au rond-point de la tour des azalées, prendre la direction Plaine des Cafres/Bourg-Murat. Au rond-point de la Maison du Volcan, au cœur du village, tourner à droite. Puis continuer tout droit et ensuite prendre à droite. Le restaurant se trouve à droite.
Depuis les Plaines : suivre la RN3. Arrivé au cœur du village de Bourg-Murat, prendre la 3ème sortie. Continuer tout droit puis prendre de nouveau à droite. Le restaurant se trouve à droite. </t>
  </si>
  <si>
    <t>QG (Le) - FELDIS Daniel</t>
  </si>
  <si>
    <t>60, rue Alfred Picard, 97422 Le Tampon</t>
  </si>
  <si>
    <t>Béton Alain : 0262382855 / 0692482280</t>
  </si>
  <si>
    <t>-21.204903, 55.578656</t>
  </si>
  <si>
    <t>Site web,Mode de paiment,Mobile,E-Mail,Capacité,Descriptif,Descriptif du plan d'accès,Jours et horaires d'ouverture,Fournisseur - Nom</t>
  </si>
  <si>
    <t>60 Rue Alfred Picard, La Plaine des Cafres 97418, Réunion</t>
  </si>
  <si>
    <t>Quads Evolution Mobile</t>
  </si>
  <si>
    <t>Quads Evolution Mobile
42 bis, rue Marie Poitevin - 23e km
97418 La Plaine des Cafres</t>
  </si>
  <si>
    <t>http://quadevolutionmobile.free.fr</t>
  </si>
  <si>
    <t>Quad</t>
  </si>
  <si>
    <t xml:space="preserve">Quad sur piste ou parcours en forêt.
Tour d'initiation sur piste à 3 €. Quad en famille : 35 € de l'heure.
Parcours de 30 min sur piste : 20 €.
Parcours de 15 min sur piste : 15 €.
Balade à partir de 35 € (1h00), balade de 4h00 jusqu'au gîte du volcan : 80 €. La journée : 150 €.
Ouvert le dimanche toute la journée de 10h00 à 18h00.
Ouverture la semaine sur réservations. </t>
  </si>
  <si>
    <t>42 bis, rue Marie Poitevin - 23e km, 97422 Le Tampon</t>
  </si>
  <si>
    <t xml:space="preserve">Mangala Jean-Luc : 0262462751 / 0692675479 / 0262462751 , Mangalabima Jean-Luc : 0262462751 / 0692675479 / 0262462751 ,  0262462751 / 0262462751 </t>
  </si>
  <si>
    <t>-21.2244273,55.5555275</t>
  </si>
  <si>
    <t>23e, 42 Rue Marie Poittevin, La Plaine des Cafres, Réunion</t>
  </si>
  <si>
    <t>Quick</t>
  </si>
  <si>
    <t>Fast Food Océan Indien</t>
  </si>
  <si>
    <t>Quick
2, rue Pierre et Marie Curie
97480 Saint-Joseph</t>
  </si>
  <si>
    <t>http://www.quick.fr</t>
  </si>
  <si>
    <t>Fast food</t>
  </si>
  <si>
    <t>climatisation,parking,aire de jeux pour enfant</t>
  </si>
  <si>
    <t>Situé à Saint-Joseph, Quick propose une restauration rapide: hamburgers, frites, salades, glaces et boissons.</t>
  </si>
  <si>
    <t>33, avenue de Toulouse, 97414 Saint-Louis</t>
  </si>
  <si>
    <t xml:space="preserve"> 0262355980 ,  0262355980 ,  0262201400 ,  0262290793 ,  0262960157 / 0262960887 / 0262963979 ,  quick-leport@wanadoo.fr / 0262710105 / 0262712139 ,  0262334479 / 0262334480 ,  0262219268 ,  0262563828 </t>
  </si>
  <si>
    <t>-21.377362, 55.602562</t>
  </si>
  <si>
    <t>2 Rue Pierre et Marie Curie, Manapany-Les-Bains 97480, Réunion</t>
  </si>
  <si>
    <t>Ranch Kikouyou</t>
  </si>
  <si>
    <t>LAVOCAT Patrice</t>
  </si>
  <si>
    <t>Ranch Kikouyou
6, rue Cinaire - Grand Fond Extérieur
97414 Entre-Deux</t>
  </si>
  <si>
    <t>espace de restauration,jardin,parking,salle de bain privée,sanitaires privés,TV,wifi</t>
  </si>
  <si>
    <t>sentier de randonnée,sentier de grande randonnée,équitation,tennis,centre commercial,parking public,site - lieu culturel,point de vue panoramique</t>
  </si>
  <si>
    <t>ranch.kikouyou@wanadoo.fr</t>
  </si>
  <si>
    <t>Le Ranch Kikouyou à l'Entre-Deux propose 2 chambres d'hôtes de 2 personnes dans la maison du propriétaire. Une grande terrasse avec vue panoramique.
Activités : pétanque, beach tennis, badminton</t>
  </si>
  <si>
    <t xml:space="preserve">Par Grand Fond Extérieur : 
Prendre la direction Entre-Deux. Avant le stade municipal, tourner à gauche et suivre les panneaux indicateurs "Ranch Kikouyou". 
Par le centre du village : 
Prendre direction l'Entre-Deux jusqu'à la mairie, remonter la rue du Commerce  et suivre la route du Bras Long, en direction de l'hôtel le Dimitile , le dépasser puis suivre les panneaux Ranch Kikouyou, chemin Bail, Grand Fond Intérieur et enfin la rue Cinaire. </t>
  </si>
  <si>
    <t>Ranch Kikouyou - Lavocat Patrice</t>
  </si>
  <si>
    <t>6, Rue Cinaire - Grand Fond Extérieur, 97403 Entre-Deux</t>
  </si>
  <si>
    <t xml:space="preserve">Lavocat Patrice : ranch.kikouyou@wanadoo.fr / 0262396062 / 0692785160 / Propriétaire ,  ranch.kikouyou@wanadoo.fr / 0262396062 / 0692785160 </t>
  </si>
  <si>
    <t>-21.232767, 55.467815</t>
  </si>
  <si>
    <t>CSC93HTL</t>
  </si>
  <si>
    <t>6 Rue Cinaire, Réunion</t>
  </si>
  <si>
    <t>Rando Outre Mer</t>
  </si>
  <si>
    <t>Rando Outre Mer
502, rue Hubert Delisle - Trois Mares
97430 Le Tampon</t>
  </si>
  <si>
    <t>http://www.rando-outre-mer.re</t>
  </si>
  <si>
    <t>rometheve@orange.fr</t>
  </si>
  <si>
    <t>Situé dans le sud de l'île au Tampon, Rando Outre Mer propose des randonnées pédestres: Circuit journée (2 personnes min.): Cilaos, Volcan, Grand Bassin (bon marcheur), Plaine des Sables, Dos d'Ane, Bélouve, Salazie (Piton d'Anchaing), Maïdo, Sentier des Pêcheurs, Anse des Cascades, Le Grand Bénard (la Glacière), Balade Côtière, baignade à la mer de l'Etang-Salé.</t>
  </si>
  <si>
    <t xml:space="preserve">Circuit sur 2 jours (2 personnes min.): Mafate, Piton des Neiges, Grand Bassin, Roche Ecrite, Bélouve, Salazie, Cilaos.
D'autres circuits sont proposés sur 3, 5, 8 ou 13 jours.
Le tarif comprenant : transport, guide, assurance, pique-nique avec boissons. dégressif suivant le nombre de personne (circuit journée) </t>
  </si>
  <si>
    <t>Rando Outre Mer - Ethève Jean Bernard</t>
  </si>
  <si>
    <t>502, rue Hubert Delisle, 97422 Le Tampon</t>
  </si>
  <si>
    <t xml:space="preserve">Ethève Jean-Bernard : rometheve@orange.fr / 0262575581 / 0692653218 / Guide , Ethève Jean-Bernard : rometheve@orange.fr / 0262575581 / 0692653218 / Guide </t>
  </si>
  <si>
    <t>-21.275428, 55.513473</t>
  </si>
  <si>
    <t>502 Rue Hubert Delisle, Le Tampon 97430, Réunion</t>
  </si>
  <si>
    <t>rec57GxAOD2jsh6LN</t>
  </si>
  <si>
    <t>Rando Trek Réunion</t>
  </si>
  <si>
    <t>Randotrek Réunion</t>
  </si>
  <si>
    <t>Rando Trek Réunion
139, boulevard de l'Océan - Manapany les Bains
97480 Saint-Joseph</t>
  </si>
  <si>
    <t>plage,sentier de randonnée,commerce alimentaire,point de vue panoramique,aéroport de Pierrefonds</t>
  </si>
  <si>
    <t>randotrekreunion@gmail.com</t>
  </si>
  <si>
    <t>Rando Trek Réunion, spécialiste de la randonnée tropicale, propose de découvrir l'île intense, et plus particulièrement le Sud sauvage, avec ses cours d'eau, ses forêts, ses laves et ses côtes maritimes, en toute sécurité.</t>
  </si>
  <si>
    <t xml:space="preserve">Il s'agit là d'une belle occasion de se plonger dans une Réunion authentique et d'y faire des rencontres humaines inoubliables. Toutes les sorties sont encadrées par un guide diplômé d'Etat. 
Rando Trek Réunion propose également des visites guidées de tunnels de lave.
Ne pas hésiter à le contacter pour toute demande de treks. Toutes les randonnées partent pour un minimum de 2 personnes. Possibilité de co-voiturage.
Les randonnées sont susceptibles d'être modifiées ou décalées selon les conditions climatiques et en cas d'éruption pour celles qui se déroulent sur le massif de la Fournaise. </t>
  </si>
  <si>
    <t>Rando Trek Réunion - Balanger Matthieu</t>
  </si>
  <si>
    <t>139, boulevard de l'Océan - Manapany les Bains, 97412 Saint-Joseph</t>
  </si>
  <si>
    <t xml:space="preserve">Balanger Matthieu : killlantana@gmail.com / 0692015956 / Gérant(e) , Balanger Matthieu : randotrekreunion@gmail.com / 0692015956 / Gérant(e) </t>
  </si>
  <si>
    <t>-21.373375, 55.588894</t>
  </si>
  <si>
    <t>139 Blvrd de l'Ocean, Manapany-Les-Bains, Réunion</t>
  </si>
  <si>
    <t>recN9vIKkkeiiy5xt</t>
  </si>
  <si>
    <t>Randonneur (Le)</t>
  </si>
  <si>
    <t>Randonneur (Le)
Grand Bassin
Plaine des Cafres
97418 La Plaine des Cafres</t>
  </si>
  <si>
    <t>http://www.gitelerandonneur.business.site/</t>
  </si>
  <si>
    <t>jefnativel@laposte.net</t>
  </si>
  <si>
    <t>Situé à Grand Bassin, à la Plaine des Cafres, Le Randonneur, confortable maison en bois, est équipée pour 16 personnes.</t>
  </si>
  <si>
    <t>Le gîte comprend 4 chambres doubles et 2 dortoirs de 4 places.</t>
  </si>
  <si>
    <t>Randonneur (Le) - Nativel Jean-François</t>
  </si>
  <si>
    <t>27 bis, impasse de Savoie, 97422 Le Tampon</t>
  </si>
  <si>
    <t xml:space="preserve">Nativel Jean François : 0692780450 , Nativel Jean-François : jefnativel@laposte.net / 0262449860 / 0692780450 </t>
  </si>
  <si>
    <t>-21.18037, 55.535051</t>
  </si>
  <si>
    <t>CSC119HTK</t>
  </si>
  <si>
    <t>Mode de paiment,Capacité,Fournisseur - SIRET</t>
  </si>
  <si>
    <t>recQleTGwDegkThgA</t>
  </si>
  <si>
    <t>Récrée Idéale by Ludo (La)</t>
  </si>
  <si>
    <t>Récrée Idéale (La)
37 rue Hyppolite Foucque
97480 Saint-Joseph</t>
  </si>
  <si>
    <t xml:space="preserve">Situé à Saint-Joseph, La Récrée Idéale propose des sandwichs, tacos, hamburgers, salades, viennoiseries ... </t>
  </si>
  <si>
    <t>Sandwichs traditionnels servis sur planche d’ardoise !Ouvert le lundi de 9h à 20h30, du mardi au jeudi de 6h30 à 13h et de 17h30 à 21 et le vendredi et le samedi de 6h30 à 13h et de 17h30 à 21h30.</t>
  </si>
  <si>
    <t>Récrée Idéale (La)</t>
  </si>
  <si>
    <t>37 rue Hyppolite Foucque, 97412 Saint-Joseph</t>
  </si>
  <si>
    <t xml:space="preserve"> 0262401923 ,  0262401923 </t>
  </si>
  <si>
    <t>-21.374294, 55.624379</t>
  </si>
  <si>
    <t>Nom commercial,Accroche,Descriptif</t>
  </si>
  <si>
    <t>37 Rue Hippolyte Foucque, Réunion</t>
  </si>
  <si>
    <t>recYmMvc9ZyLrLrZ6</t>
  </si>
  <si>
    <t>Refuge de Basse Vallée</t>
  </si>
  <si>
    <t>Basse Vallée (Gîte de)</t>
  </si>
  <si>
    <t>Refuge de Basse Vallée
La Vallée Heureuse - Route Forestière de Basse Vallée
97442 Saint-Philippe</t>
  </si>
  <si>
    <t>parking,TV</t>
  </si>
  <si>
    <t>sentier de randonnée,sentier de grande randonnée,parking public</t>
  </si>
  <si>
    <t>flaviecalpetard@gmail.com</t>
  </si>
  <si>
    <t>Le refuge de Basse Vallée se situe à Saint-Philippe, dans le Sud sauvage de l'île, dans un endroit calme. Le gîte dispose de 3 dortoirs : un de 8 personnes et 2 de 4 personnes.</t>
  </si>
  <si>
    <t>Le restaurant du gîte propose une cuisine traditionnelle créole sur réservation.
Ce refuge adhère au réseau de l'Association des Gestionnaires des Gîtes de Montagne (AGGM). Animaux non admis. Tarif indiqué basse saison</t>
  </si>
  <si>
    <t xml:space="preserve">Prendre la direction de Saint-Philippe puis la route forestière de l'Office National des Forêts qui se trouve à l'arrière de l'église de Basse Vallée. Remonter la route sur 8 km.
Accessible à pieds depuis le gîte du Volcan avec une diversité de paysages et vue sur la mer et le Sud Sauvage. Possibilité également de redescendre sur Saint-Philippe en empruntant un sentier forestier depuis le gîte de Basse Vallée. </t>
  </si>
  <si>
    <t>Gîte de Basse Vallée - Calpetard Flavie</t>
  </si>
  <si>
    <t>49 A, RN 2, 97417 Saint-Philippe</t>
  </si>
  <si>
    <t xml:space="preserve">Calpetard Flavie : 0262373625 / 0692233193 ,  0262373625 / 0692233193 </t>
  </si>
  <si>
    <t>-21.3381814, 55.7016425</t>
  </si>
  <si>
    <t>https://book.reunion.fr/fr/hebergements/a310772/product/reserver | Réunion.fr</t>
  </si>
  <si>
    <t>CSC12HTC</t>
  </si>
  <si>
    <t>Mode de paiment,E-Mail,Descriptif,Descriptif du plan d'accès,Fournisseur - Nom,Fournisseur - contacts</t>
  </si>
  <si>
    <t>Route Forestière 37 du Rond, Réunion</t>
  </si>
  <si>
    <t>Régal Pizza</t>
  </si>
  <si>
    <t>Régal Pizza
139, rue Raphaël Babet
97480 Saint-Joseph</t>
  </si>
  <si>
    <t>Située au centre ville de Saint-Joseph, Régal Pizza propose des pizzas à emporter.</t>
  </si>
  <si>
    <t>139, rue Raphaël Babet, 97412 Saint-Joseph</t>
  </si>
  <si>
    <t xml:space="preserve"> 0262560815 ,  0262371091 </t>
  </si>
  <si>
    <t>-21.38081393, 55.61397265</t>
  </si>
  <si>
    <t>139 Rue Raphael Babet, Réunion</t>
  </si>
  <si>
    <t>Relais - Chez Ti' Rose (Le)</t>
  </si>
  <si>
    <t>Relais (Le)</t>
  </si>
  <si>
    <t>Relais - Chez Ti' Rose (Le)
329, chemin Cabeu - Bois Court
Plaine des Cafres
97418 La Plaine des Cafres</t>
  </si>
  <si>
    <t>bois-court@wanadoo.fr</t>
  </si>
  <si>
    <t>Le Relais - Chez Ti' Rose, à la Plaine des Cafres, propose des menus typiquement créoles sur réservation.</t>
  </si>
  <si>
    <t>Punch, beignets, charcuterie, caris, desserts, café sont proposés. Suivant la disponibilité, il propose également des soirées cabarets avec divers artistes le vendredi ou samedi soir.</t>
  </si>
  <si>
    <t>Relais (Le) - Aranega  Rose</t>
  </si>
  <si>
    <t>329, chemin Cabeu, 97422 Le Tampon</t>
  </si>
  <si>
    <t xml:space="preserve">Aranega Rose : boiscourt@wanadoo.fr / 0262592828 / 0262592525 ,  boiscourt@wanadoo.fr / 0262592828 / 0262592525 </t>
  </si>
  <si>
    <t>-21.1998076, 55.53737424</t>
  </si>
  <si>
    <t>329 Chemin Henri Cabeu, La Plaine des Cafres, Réunion</t>
  </si>
  <si>
    <t>reccZJ9INTTb7Mxtg</t>
  </si>
  <si>
    <t>Relais Commerson (Le)</t>
  </si>
  <si>
    <t>SARL LUCO Le Relais Commerson</t>
  </si>
  <si>
    <t>Relais Commerson (Le)
37, rue Bois Joly Potier
Bourg Murat
97418 La Plaine des Cafres</t>
  </si>
  <si>
    <t>lerelaiscommerson97418@orange.fr</t>
  </si>
  <si>
    <t>Dans la fraîcheur de la Plaine des Cafres, ce restaurant chaleureux propose une halte gourmande autour d'une cuisine authentique qui mêle terroir réunionnais et plats métropolitains.</t>
  </si>
  <si>
    <t xml:space="preserve">Le Relais Commerson propose également un salon de thé. Restaurant labellisé Maître Restaurateur.
Ouvert tous les jours sauf le mercredi et le soir uniquement sur réservation. </t>
  </si>
  <si>
    <t>A l’entrée du village de la Plaine des Cafres, prendre le rond-point de la Maison du Volcan et suivre la route qui mène au chemin Volcan. Le restaurant se trouve à environ 800 m de la Nationale.</t>
  </si>
  <si>
    <t>Amarys - Adenor Maryse</t>
  </si>
  <si>
    <t xml:space="preserve">Adenor Maryse : lerelaiscommerson97418@orange.fr / 0262275287 / 0692600544 , Adenor Maryse : loc.amarysreunion@orange.fr / 0262275287 / 0692600544 / Propriétaire ,  lerelaiscommerson@orange.fr / 0262275287 / 0692600544 / 0262275287 </t>
  </si>
  <si>
    <t>-21.20412269, 55.57723106</t>
  </si>
  <si>
    <t>Mode de paiment,Fax,Descriptif,Jours et horaires d'ouverture</t>
  </si>
  <si>
    <t>recv9dk9YRWpnfk4H</t>
  </si>
  <si>
    <t>Relais du Volcan</t>
  </si>
  <si>
    <t>Relais du Volcan
38, chemin Mathias - La Petite Ferme
Plaine des Cafres
97418 La Plaine des Cafres</t>
  </si>
  <si>
    <t>http://www.sylviearquier.wix.com/relaisduvolcan</t>
  </si>
  <si>
    <t>chauffage,jardin,parking,sanitaires privés</t>
  </si>
  <si>
    <t>sylvie.arquier@gmail.com</t>
  </si>
  <si>
    <t xml:space="preserve">Situé à la Plaine des Cafres, le Relais du Volcan dispose de 2 chambres doubles et d'une chambre triple. 
A disposition : une cuisine équipée et une pièce à vivre avec cheminée. </t>
  </si>
  <si>
    <t xml:space="preserve">La chambre Cilaos, chambre triple chauffée, entrée indépendante avec vue sur le jardin.
La chambre Mafate, chambre double chauffée, vue sur le jardin.
La chambre Salazie, chambre double chauffée, entrée indépendante avec vue sur le jardin.
Les 3 chambres sont équipées d'une salle d'eau privative chauffée avec des toilettes. 
Serviettes de toilette et de bain, savon et sèche-cheveux sont fournis.
A proximité : la Maison du Volcan,  centre équestre, sentier marmaille de Notre-Dame de la Paix, le paysage lunaire de la Plaine des Sables... </t>
  </si>
  <si>
    <t xml:space="preserve">En arrivant de Saint-Pierre, prendre la sortie Plaine des Cafres rouler jusqu'à la gendarmerie, tourner de suite à droite (direction Notre Dame de la Paix et Petite Ferme). Faire 2,5 km à la sortie de la Petite Ferme, prendre à gauche au chemin Mathias (direction Grande Ferme). Rouler 200 m et le Relais du Volcan se situe sur la droite. 
En arrivant de Saint-Benoît juste avant d'arriver à Bourg Murat, prendre la première route à gauche après le restaurant le Tourne Broche (direction Route du Volcan et Grande Ferme). Continuer tout droit sur 4 km (dépasser sur la gauche la route du Volcan et le stade à droite). Arrivé devant l'église tourner à droite sur le chemin Mathias. Faire 2 km et le Relais du Volcan se situe sur la gauche.   </t>
  </si>
  <si>
    <t>Relais du Volcan - Arquier Sylvie</t>
  </si>
  <si>
    <t>38, chemin Mathias - la Petite Ferme, 97422 Le Tampon</t>
  </si>
  <si>
    <t>Arquier Sylvie : sylvie.arquier@gmail.com / 0262593084 / 0692748933 / Propriétaire</t>
  </si>
  <si>
    <t>-21.227083, 55.577905</t>
  </si>
  <si>
    <t>CSC5HTE</t>
  </si>
  <si>
    <t>20, 16 Chemin Mathias, La Plaine des Cafres, Réunion</t>
  </si>
  <si>
    <t>reciq0tdqCVegWqLM</t>
  </si>
  <si>
    <t>Repos d'Or (Le)</t>
  </si>
  <si>
    <t>Repos d'Or (Le)
6 impasse des Pluies d'Or - Les Jacques
97480 Saint-Joseph</t>
  </si>
  <si>
    <t>barbecue,climatisation,fer et planche à repasser,four,lave linge privatif,linge de toilette,micro-ondes,parking,piscine,sanitaires privés,TV,wifi</t>
  </si>
  <si>
    <t>koandko974@gmail.com</t>
  </si>
  <si>
    <t>Situé à Saint-Joseph, Le Repos d'Or propose 4 appartements.</t>
  </si>
  <si>
    <t xml:space="preserve">Le Repos d'Or est une villa moderne, situé dans un cadre verdoyant et divisée en 4 appartements : un F1, un F4, et deux F2. La structure peut accueillir au total 18 personnes. 
La villa est équipée de la climatisation, du wifi gratuit, d'une piscine, d'une cuisine équipée et les draps et serviettes sont remis gratuitement. </t>
  </si>
  <si>
    <t>Repos d'Or (Le) - Kokoi Olivier</t>
  </si>
  <si>
    <t>6 impasse des Pluies d'Or, 97412 Saint-Joseph</t>
  </si>
  <si>
    <t xml:space="preserve">Kokoi Olivier : koandko974@gmail.com / 0692431332 / Gérant(e) , Kokoi Vanessa : koandko974@gmail.com / 0692431332 / Gérant(e) </t>
  </si>
  <si>
    <t>-21.378613, 55.634458</t>
  </si>
  <si>
    <t>CSC197HT@</t>
  </si>
  <si>
    <t>Adresse,Mode de paiment,Mobile,Autre téléphone,Descriptif,Fournisseur - Nom,Fournisseur - contacts</t>
  </si>
  <si>
    <t>6 Impasse des Pluies d'Or, 97480, Réunion</t>
  </si>
  <si>
    <t>Le Repos d'Or</t>
  </si>
  <si>
    <t>Repos d'Or (Le)
6,impasse des Pluies d'Or
97480 Saint-Joseph</t>
  </si>
  <si>
    <t>http://www.lereposdor.com</t>
  </si>
  <si>
    <t>fmezino@free.fr</t>
  </si>
  <si>
    <t>A Saint-Joseph, Le Repos d'Or est un appartement.</t>
  </si>
  <si>
    <t>De type T2, il peut accueillir jusqu'à 4 personnes et comprend : un séjour (avec canapé-lit pour 2 personnes), un coin salle à manger, une cuisine indépendante, une chambre, une salle d'eau, un sanitaire indépendant et une petite terrasse.</t>
  </si>
  <si>
    <t>En sortant de Saint-Joseph, continuer en direction de Vincendo sur environ 1 km, rue montante devant le meublé La Case à droite.</t>
  </si>
  <si>
    <t>Repos d'Or (Le) - Mézino Jean-Michel</t>
  </si>
  <si>
    <t>6, impasse des Pluies d'Or, 97412 Saint-Joseph</t>
  </si>
  <si>
    <t xml:space="preserve">Mézino Joseph-Michel : fmezino@free.fr / 0262566592 / 0692690073 / Propriétaire , Mezino Jean-Michel : fmezino@free.fr / 0262566592 / 0692690073 , Mézino Jean-Michel : fmezino@free.fr / 0262566592 / 0692690073 / Propriétaire ,  fmezino@free.fr </t>
  </si>
  <si>
    <t>-21.378885, 55.63428</t>
  </si>
  <si>
    <t>Repos d'Or (Le)
6, impasse des Pluies d'Or
97480 Saint-Joseph</t>
  </si>
  <si>
    <t>Le Repos d'or est un meublé de Tourisme situé à proximité du centre ville de Saint-Joseph.</t>
  </si>
  <si>
    <t>Studio classé 2 étoiles pouvant accueillir 2 personnes, il dispose d'un coin couchage (avec lit double), un coin repas, une kitchenette indépendante et une salle d'eau avec sanitaire. 
A proximité : plage de Grand Anse, Manapany les Bains, Marines, rivières, forêts, coulées volcaniques...)</t>
  </si>
  <si>
    <t>recTDp4S3YLJclRMD</t>
  </si>
  <si>
    <t>Résidence Annaïk</t>
  </si>
  <si>
    <t>Résidence Annaïk
9, chemin Louis Aragon - Trois Mares
97430 Le Tampon</t>
  </si>
  <si>
    <t>four,lave linge privatif,parking,téléphone,TV</t>
  </si>
  <si>
    <t>resirun.annaik@wanadoo.fr</t>
  </si>
  <si>
    <t xml:space="preserve">Situé  au Tampon, à 400 m d'altitude, non loin de la côte sud et des Hautes Plaines se trouve la Résidence Annaïk où se conjuguent calme et détente. Idéalement situés entre mer et montagne, 2 studios équipés peuvent accueillir 3 personnes chacun. Chaque logement dispose d'une cuisine équipée : vaisselle et plaques de cuisson électriques.
A proximité des sites touristiques de la région et de toutes les commodités. </t>
  </si>
  <si>
    <t xml:space="preserve">Depuis le Sud, prendre la 4 voies en direction du Tampon. Sortir à droite (chemin La Pointe avant la Tour des Azalées). Au rond-point, prendre à gauche et passer sous le pont. Continuer tout droit sur deux ronds-points. Au stop, aller tout droit puis tourner à gauche dans le chemin Louis Aragon. Le meublé de trouve au n° 9.
Depuis les Plaines, prendre la RN 3, traverser le village de Bourg Murat et descendre jusqu'au Tampon/Trois Mares. Au rond-point du Crédit Agricole, prendre à gauche et descendre toute la rue puis à droite après le restaurant et enfin à droite dans la rue Louis Aragon. Le  meublé se trouve au n° 9.   </t>
  </si>
  <si>
    <t>Résidence Annaïk - Grondin Maryse</t>
  </si>
  <si>
    <t>9 chemin, Louis Aragon, 97422 Le Tampon</t>
  </si>
  <si>
    <t xml:space="preserve">Grondin Maryse : resirun.annaïk@wanadoo.fr / 0692653294 / 0692653294 / 0262577180 , Grondin Maryse : resirun.annaik@wanadoo.fr / 0262577181 / 0692653294 / 0262577180 / Propriétaire </t>
  </si>
  <si>
    <t>-21.26900862, 55.49403838</t>
  </si>
  <si>
    <t>CSC60HTF</t>
  </si>
  <si>
    <t>Mode de paiment,Fax,Classement,Descriptif,Descriptif du plan d'accès,Fournisseur - SIRET</t>
  </si>
  <si>
    <t>9 Rue Louis Aragon, Réunion</t>
  </si>
  <si>
    <t>Résidence la Rose des Bois</t>
  </si>
  <si>
    <t>Résidence la Rose des Bois
15 A, rue Alverdy
97430 Le Tampon</t>
  </si>
  <si>
    <t>NE MARCHE PLUS : http://www.amivac.com/site21248</t>
  </si>
  <si>
    <t>lave linge privatif,wifi</t>
  </si>
  <si>
    <t>sentier de randonnée,commerce alimentaire,équitation,pêche</t>
  </si>
  <si>
    <t>La Résidence La Rose des Bois propose deux meublés sur le Tampon : un de 6 et un autre de 4 personnes. Situation idéale pour profiter de toute l’île pour farniente ou vacances. Meublés en rez-de-jardin, situés en quartier résidentiel très calme.</t>
  </si>
  <si>
    <t xml:space="preserve">Depuis Pierrefonds : prendre la direction du Tampon. Au rond-point du marché couvert du Tampon, tourner à gauche puis rouler sur 100 m et tourner à nouveau à gauche. Aller jusqu’au n°15.
Depuis Roland Garros : prendre la direction du Tampon. Au centre-ville, descendre la rue Fréjaville et au rond-point du marché couvert du Tampon, tourner à droite puis rouler sur 100 m et tourner à gauche. Aller jusqu’au n°15.   </t>
  </si>
  <si>
    <t>15 A, rue Alverdy, 97422 Le Tampon</t>
  </si>
  <si>
    <t>0262572035 / 0692664632</t>
  </si>
  <si>
    <t>-21.283828, 55.507497</t>
  </si>
  <si>
    <t>15 Rue Alverdy, Réunion</t>
  </si>
  <si>
    <t>Résidence Les Cazala</t>
  </si>
  <si>
    <t>Résidence Les Cazala
52 A et 52 B, route de la Grande Corniche - Manapany
Manapany-les-Bains
97480 Saint-Joseph</t>
  </si>
  <si>
    <t>http://www.residence-cazala.fr</t>
  </si>
  <si>
    <t>fer et planche à repasser,jardin,parking,TV satellite,ventilateur,wifi</t>
  </si>
  <si>
    <t>contact@residence-cazala.fr</t>
  </si>
  <si>
    <t>Située en plein cœur du Sud Sauvage à Saint-Joseph, Résidence Les Cazala propose 2 villas neuves équipées pour 5 personnes chacune.</t>
  </si>
  <si>
    <t>Les villas disposent de 2 chambres, d'une pièce de détente principale, 2 salles de bains, une cuisine toute équipée, un espace jardin, de parkings privés sécurisés et d'une grande véranda.
Villas aménagées pour les personnes à mobilité réduite.
A proximité des plages, des sites de randonnées et des commerces.</t>
  </si>
  <si>
    <t>Résidence Les Cazala - Fontaine Henri</t>
  </si>
  <si>
    <t>52, route de la Grande Corniche - Manapany, 97412 Saint-Joseph</t>
  </si>
  <si>
    <t xml:space="preserve">Fontaine Henri : contact@residence-cazala.fr / 0262500593 / 0692340952 / Propriétaire , Fontaine Henri : contact@residence-cazala.fr / 0692340952 / Propriétaire </t>
  </si>
  <si>
    <t>-21.375805, 55.599805</t>
  </si>
  <si>
    <t>52 A et, 52 Route de la Grande Corniche, Manapany-Les-Bains, Réunion</t>
  </si>
  <si>
    <t>Résidence les Orchidées</t>
  </si>
  <si>
    <t>Résidence les Orchidées
3, rue Jules Ferry
97430 Le Tampon</t>
  </si>
  <si>
    <t>manoir.orchidees@wanadoo.fr</t>
  </si>
  <si>
    <t>Situé en plein centre ville du Tampon, la Résidence les Orchidées est une structure au mobilier ancien. Chambres sobres, tout a été pensé pour le confort des résidents, qu'ils soient seuls ou en famille. Possibilité de louer des vélos électriques à l'accueil.</t>
  </si>
  <si>
    <t xml:space="preserve">Depuis le Sud, prendre la 4 voies en direction du Tampon. La Résidence les Orchidées se situe derrière la mairie du centre ville du Tampon, au 
n°3 de la rue Jules Ferry.
Depuis les Plaines, prendre la RN 3, traverser le village de Bourg Murat et descendre jusqu'au Tampon. La Résidence les Orchidées se situe derrière la mairie du centre ville du Tampon, au n°3 de la rue Jules Ferry.   </t>
  </si>
  <si>
    <t>Résidence les Orchidées-Cornuel Christian</t>
  </si>
  <si>
    <t>3 rue Jules Ferry, 97422 Le Tampon</t>
  </si>
  <si>
    <t xml:space="preserve">Cornuel Christian : manoir.orchidees@wanadoo.fr / 0262271115 / 0262271115 , Cornuel Patrick : manoir.orchidees@wanadoo.fr / 0262271115 / 0262271115 </t>
  </si>
  <si>
    <t>-21.28112616, 55.51793222</t>
  </si>
  <si>
    <t>3 Rue Jules Ferry, Réunion</t>
  </si>
  <si>
    <t>recfDNL4yy4uCWe4U</t>
  </si>
  <si>
    <t>Résidence les Tiarès</t>
  </si>
  <si>
    <t>Résidence les Tiarès
123, chemin Luc Hoarau - les 3 Mares
97430 Le Tampon</t>
  </si>
  <si>
    <t>barbecue,fer et planche à repasser,jardin,parking,piscine</t>
  </si>
  <si>
    <t>sentier de randonnée,banque - guichet automatique,commerce alimentaire</t>
  </si>
  <si>
    <t>serge.sery@orange.fr</t>
  </si>
  <si>
    <t>Située au Tampon, aux Trois Mares, la Résidence les Tiarès dispose de 7 appartements  du T1 bis au F4/5. Le T1bis comporte une chambre, une véranda, et une kitchenette. Le T2 dispose d'une chambre, une véranda et une cuisine. Deux F2 avec une chambre, un salon/salle à manger et un avec véranda. Deux F3 avec 2 chambres, un salon/ salle à manger, une véranda ou terrasse. Un F5 duplex doté de 3 chambres, un salon et d'une cuisine/salle à manger.</t>
  </si>
  <si>
    <t>Résidence les Tiarés- Sery Serge</t>
  </si>
  <si>
    <t>123, chemin Luc Hoarau - 3 Mares, 97422 Le Tampon</t>
  </si>
  <si>
    <t xml:space="preserve">Sery Serge : serge.sery@orange.fr / 0262598793 / 0692045330 / 0262598793 , Sery Serge : serge.sery@orange.fr / 0262045330 / 0692045330 / 0262598793 </t>
  </si>
  <si>
    <t>-21.26635, 55.50083</t>
  </si>
  <si>
    <t>CSC154HTJ</t>
  </si>
  <si>
    <t>123 Chemin Luc Hoarau, 97430, Réunion</t>
  </si>
  <si>
    <t>Résidence touristique Cascade Jacqueline</t>
  </si>
  <si>
    <t>Cascade Jacqueline (La)</t>
  </si>
  <si>
    <t>Résidence touristique Cascade Jacqueline
1, impasse de la Digue
97480 Saint-Joseph</t>
  </si>
  <si>
    <t>climatisation,jardin,lave linge privatif,parking,piscine,ventilateur</t>
  </si>
  <si>
    <t>plage,sentier de randonnée,pêche,riviere,parking public,site - lieu culturel,point de vue panoramique</t>
  </si>
  <si>
    <t>Chèque,Virement,Mandat postal,Bon CE,Espèces</t>
  </si>
  <si>
    <t>Une vue inégalable sur la mer, la rivière, la montagne...</t>
  </si>
  <si>
    <t>Située à Saint Joseph, bordant la rivière Langevin, au cœur du Sud Sauvage, la résidence touristique Cascade Jacqueline est à proximité des départs de visites et randonnées vers le volcan ou la mer ainsi que d'une belle cascade.</t>
  </si>
  <si>
    <t>Sur la commune de Saint-Joseph, à Langevin, prendre la direction de la marine de Langevin à environ 150 m de l'église de Langevin. En venant de Saint-Pierre, tourner à droite après la balance de canne et continuer sur 300 m. En venant de Saint-Philippe, tourner à gauche au giratoire. Direction La Marine et continuer sur 400 à 500 m.</t>
  </si>
  <si>
    <t>1, impasse de la Digue, 97412 Saint-Joseph</t>
  </si>
  <si>
    <t xml:space="preserve">Lebon Yves : 0262560289 / 0692693584 / Co-gérant(e) , Lebon Marie-Lyse : 0262560289 / 0692693584 / Gérant(e) ,  0262560289 / 0692693584 </t>
  </si>
  <si>
    <t>-21.38491695, 55.64516412</t>
  </si>
  <si>
    <t>1 Impasse de la Digue, 97480, Réunion</t>
  </si>
  <si>
    <t>rechz2Q17RpAE32g0</t>
  </si>
  <si>
    <t>Résidence Touristiques des Thés</t>
  </si>
  <si>
    <t>Résidence Touristiques des Thés
26 bis, rue Théophile Gauthier - Grand Coude
97480 Saint-Joseph</t>
  </si>
  <si>
    <t>barbecue,linge de maison,TV satellite</t>
  </si>
  <si>
    <t>riviere,point de vue panoramique</t>
  </si>
  <si>
    <t>Située dans le Village Créole de Grand Coude, la Résidence Touristique des Thés propose 4 locations de capacité 5 personnes.</t>
  </si>
  <si>
    <t>Les villas comprennent 2 chambres doubles, un canapé convertible, un salon, 2 sanitaires, une cuisine aménagée et une terrasse. A proximité : balade vers le Trou de Cissia,  point de vue sur la Rivière des Remparts..</t>
  </si>
  <si>
    <t>Résidence Touristique des Thés - Damour Fred</t>
  </si>
  <si>
    <t>9, lot Deurveillier et Maillot - Vincendo, 97412 Saint-Joseph</t>
  </si>
  <si>
    <t xml:space="preserve">Damour Fred : damourjeanfred@hotmail.com / 0692687118 , Damour Jean-Fred : 0692687118 </t>
  </si>
  <si>
    <t>-21.293398, 55.62503</t>
  </si>
  <si>
    <t>26 Chemin Theophile Gauthier, Réunion</t>
  </si>
  <si>
    <t>Résidences La Rocaille</t>
  </si>
  <si>
    <t>Résidences La Rocaille
13, impasse René Hoareau - Bois Court
Plaine des Cafres
97418 La Plaine des Cafres</t>
  </si>
  <si>
    <t>Appartement,Bungalow &amp; Chalet</t>
  </si>
  <si>
    <t>barbecue,four,lave linge privatif,micro-ondes,parking,TV</t>
  </si>
  <si>
    <t>hydes.deurveilher@wanadoo.fr</t>
  </si>
  <si>
    <t>Situé à la Plaine des Cafres, les Résidences La Rocaille disposent d'un bungalow pour 6 personnes avec 2 chambres doubles et un canapé lit, d'un chalet pour 3 personnes et d'un appartement de type T1 pour 4 personnes.</t>
  </si>
  <si>
    <t>Résidences La Rocaille - D'Eurveilher Hydes</t>
  </si>
  <si>
    <t>13, impasse René Hoareau, 97422 Le Tampon</t>
  </si>
  <si>
    <t xml:space="preserve">D'Eurveilher Hydes : hydes.deurveilher@wanadoo.fr / 0262328413 / 0692251657 / Propriétaire , D'Eurveilher Hydes : hydes.deurveilher@wanadoo.fr / 0262328413 / 0692251657 / Propriétaire </t>
  </si>
  <si>
    <t>-21.197026, 55.53186</t>
  </si>
  <si>
    <t>13 Impasse Rene Hoarau, La Plaine des Cafres, Réunion</t>
  </si>
  <si>
    <t>Restaurant de la Grande Cascade</t>
  </si>
  <si>
    <t>Grande Cascade (Restaurant de la)</t>
  </si>
  <si>
    <t>Restaurant de la Grande Cascade
43, route du Grand Galet.
97480 Saint-Joseph</t>
  </si>
  <si>
    <t>43, route du Grand Galet., 97412 Saint-Joseph</t>
  </si>
  <si>
    <t>-21.3127103,55.6413872</t>
  </si>
  <si>
    <t>reczmo44uNT3nvZZt</t>
  </si>
  <si>
    <t>Restaurant des Laves</t>
  </si>
  <si>
    <t>Restaurant des Laves
22, RN2 - le Tremblet
97442 Saint-Philippe</t>
  </si>
  <si>
    <t>Situé au Tremblet, à Saint-Philippe, le Restaurant des Laves propose une cuisine créole et chinoise.</t>
  </si>
  <si>
    <t>Spécialités : chou de vacoa, palmiste et poisson. Dessert fait maison et jus de fruits frais. Les repas sont en formule buffet. Vue sur la coulée de 1986 et sur la mer. 
Ouvert tous les jours de 11h à 14h. Fermé le mercredi et samedi.</t>
  </si>
  <si>
    <t xml:space="preserve">De l'Ouest, passer le centre ville de Saint-Philippe, direction le Tremblet, le restaurant se situe sur la coulée de 1986 à droite après la ravine Takamaka.
De l'Est, passer  la coulée de 2007, rouler environ 2 km, le restaurant se trouve sur la coulée de 1986 à gauche. </t>
  </si>
  <si>
    <t>Restaurant des laves - Payet Jean-René</t>
  </si>
  <si>
    <t>22, RN2 - Tremblet, 97417 Saint-Philippe</t>
  </si>
  <si>
    <t xml:space="preserve">Payet Jean René : 0692066725 ,  0692153818 / 0692066725 </t>
  </si>
  <si>
    <t>-21.319631, 55.799966</t>
  </si>
  <si>
    <t>22 Route Nationale 2 le Tremblet, Réunion</t>
  </si>
  <si>
    <t>Restaurant Le Yab</t>
  </si>
  <si>
    <t>Restaurant Le Yab
182, rue Champ de Foire
Plaine des Cafres
97418 La Plaine des Cafres</t>
  </si>
  <si>
    <t>Village,Montagne,Volcan</t>
  </si>
  <si>
    <t>Situé à La Plaine des Cafres, Restaurant Le Yab propose une cuisine créole.</t>
  </si>
  <si>
    <t>Restaurant ouvert de mercredi à dimanche de 9h à 19h30.</t>
  </si>
  <si>
    <t>Restaurant le Yab</t>
  </si>
  <si>
    <t>182, rue Champ de Foire, 97422 Le Tampon</t>
  </si>
  <si>
    <t xml:space="preserve"> 0262382825 ,  0262382825 </t>
  </si>
  <si>
    <t>-21.203715, 55.582082</t>
  </si>
  <si>
    <t>recieRtH5ulY1vw33</t>
  </si>
  <si>
    <t>Restaurant les Embruns du Baril</t>
  </si>
  <si>
    <t>Restaurant les Embruns du Baril
62 RN2 - Le Baril
Le Baril
97442 Saint-Philippe</t>
  </si>
  <si>
    <t>climatisation,parking,ventilateur,wifi</t>
  </si>
  <si>
    <t>Le restaurant de l'Hôtel Les Embruns du Baril dispose d'une salle et d'une terrasse qui jouissent d'un emplacement exceptionnel en bordure de falaise, vue spectaculaire et intense de l'océan Indien.</t>
  </si>
  <si>
    <t>D'une capacité de 230 personnes, le restaurant propose une cuisine typique et de gastronomie créole. La carte met en avant les produits locaux du terroir et des épices réunionnais. Plusieurs spécialités sont proposées : roulé de palmiste aux brèdes songe, cari poulet fermier frais au palmiste, poisson grillé avec sa sauce à la vanille de Saint-Philippe, salade de palmiste frais, salade de chou coco, canard à la vanille, cari poisson rouge, ... .
L'accueil se fera sur fond de musique créole, dans une ambiance chaleureuse du côté du salon avec un mariage de style moderne et contemporain.
Possibilité d'offre événementielle, banquets, soirée à thèmes avec animation musicales, séminaires, etc... .</t>
  </si>
  <si>
    <t>recxuQJWOF1ivPs3a</t>
  </si>
  <si>
    <t>Resto Bar Don Camillo</t>
  </si>
  <si>
    <t>Resto Bar Don Camillo
95, rue Marcel Pagnol
Vincendo
97480 Saint-Joseph</t>
  </si>
  <si>
    <t>https://www.kmilapizza.re/</t>
  </si>
  <si>
    <t>Chèque,Chèques vacances,Tickets restaurant,Espèces</t>
  </si>
  <si>
    <t>boyer_rodolphe@hotmail.com</t>
  </si>
  <si>
    <t>A Vincendo à Saint-Joseph, Resto Bar Don Camillo propose des pizzas.</t>
  </si>
  <si>
    <t>Un large choix de pizzas à emporter, du lundi au samedi de 17h30 à 21h30.</t>
  </si>
  <si>
    <t>Resto Bar Don Camillo - Boyer Amandine</t>
  </si>
  <si>
    <t>95, rue Marcel Pagnol - Vincendo, 97412 Saint-Joseph</t>
  </si>
  <si>
    <t xml:space="preserve">Boyer Amandine : boyer_rodolphe@hotmail.com / 0692507899 / Gérant(e) ,  boyer_rodolphe@hotmail.com / 0692507899 </t>
  </si>
  <si>
    <t>-21.374664, 55.666257</t>
  </si>
  <si>
    <t>95 Rue Marcel Pagnol, 97480, Réunion</t>
  </si>
  <si>
    <t>rec4rk007rXcVl3F2</t>
  </si>
  <si>
    <t>Resto-Self de la Fournaise</t>
  </si>
  <si>
    <t>Resto-Self de la Fournaise
20, RN 3 - PK 23
Plaine des Cafres
97418 La Plaine des Cafres</t>
  </si>
  <si>
    <t>Le Resto-Self de la Fournaise propose des spécialités créoles ainsi qu'une cuisine rapide dans le village de la Plaine des Cafres.</t>
  </si>
  <si>
    <t>Resto-Self de la Fournaise - Ange LAM KOM SENG</t>
  </si>
  <si>
    <t>Route Nationale 3 - 23ème km, 97422 Le Tampon</t>
  </si>
  <si>
    <t xml:space="preserve">Lam Kon Seng  : 0262551138 ,  0262591138 </t>
  </si>
  <si>
    <t>-21.225037, 55.551496</t>
  </si>
  <si>
    <t>Mode de paiment,Fournisseur - Nom,Fournisseur - SIRET</t>
  </si>
  <si>
    <t>Route Nationale 3 PK 23 |, 20 Rue Jean de Fos du Rau, La Plaine des Cafres 97430, Réunion</t>
  </si>
  <si>
    <t>Réunion Moto Tour</t>
  </si>
  <si>
    <t>Réunion Moto Tour
57 chemin des Bibassiers
Pont d'Yves
97430 Le Tampon</t>
  </si>
  <si>
    <t>https://www.reunionmototour.fr</t>
  </si>
  <si>
    <t>Location véhicule</t>
  </si>
  <si>
    <t>Location de motos</t>
  </si>
  <si>
    <t>reunionmototour@gmail.com</t>
  </si>
  <si>
    <t>Réunion Moto Tour propose des excursions guidées à moto.</t>
  </si>
  <si>
    <t xml:space="preserve">Une expérience inoubliable sur une moto de légende. Découverte des charmes de La Réunion authentique avec Eric, le guide qui révélera quelques uns de ses secrets  à tous  lors d'une excursion à moto et mettra en éveil les sens de chacun. 
Un moment privilégié entre le voyageur,   la moto et La Réunion terre de contrastes. Des paysages à couper le souffle et des itinéraires soigneusement sélectionnés garantissant le meilleur. </t>
  </si>
  <si>
    <t>Piscione Eric</t>
  </si>
  <si>
    <t>57 chemin des Bibassiers, Pont d'Yves, 97422 Le Tampon</t>
  </si>
  <si>
    <t>Piscione Eric : reunionmototour@gmail.com / 0692140028 / Gérant(e)</t>
  </si>
  <si>
    <t>-21.239285, 55.50337</t>
  </si>
  <si>
    <t>57 Chemin des Bibassiers, Réunion</t>
  </si>
  <si>
    <t>Réveil du Village (Le)</t>
  </si>
  <si>
    <t>Réveil du Village (Le)
105, RN2 - Basse Vallée
97442 Saint-Philippe</t>
  </si>
  <si>
    <t>Situé à Basse Vallée, à Saint-Philippe, le restaurant Le Réveil du Village propose une cuisine créole variée. A la carte des plats à base de  l'incontournable chou de vacoa-boucané, du palmiste, du cerf, du cabri, et de la morue. Ouvert tous les jours à partir de 10h30. Sur réservation le soir.</t>
  </si>
  <si>
    <t xml:space="preserve">De l'Ouest, dépasser la pharmacie "Le Grand Bleu" le restaurant se trouve à 50 m à gauche.
De l'Est, passer le centre ville de Saint-Philippe, prendre direction Basse Vallée, dépasser l'église, le restaurant se trouve tout de suite à droite. </t>
  </si>
  <si>
    <t>Réveil du Village (Le) - Tonru Marie-Esmé</t>
  </si>
  <si>
    <t>105, RN2 - Basse Vallée, 97417 Saint-Philippe</t>
  </si>
  <si>
    <t xml:space="preserve">Tonru Marie-Esmé : 0262371128 / 0692208137 ,  0262371128 / 0692208137 </t>
  </si>
  <si>
    <t>-21.2997858,55.80024179999999</t>
  </si>
  <si>
    <t>105 RN2, Réunion</t>
  </si>
  <si>
    <t>Rivière des Sens (La)</t>
  </si>
  <si>
    <t>Rivière des Sens (La)
9, rue du Général Bonnier
97430 Le Tampon</t>
  </si>
  <si>
    <t>http://www.la-riviere-des-sens.fr</t>
  </si>
  <si>
    <t>climatisation,jardin,lecteur DVD,parking,piscine,TV,wifi</t>
  </si>
  <si>
    <t>français,allemand</t>
  </si>
  <si>
    <t>larivieredessens974@hotmail.fr</t>
  </si>
  <si>
    <t>Dans le sud de l'île au Tampon, La Rivière des Sens dispose de 4 chambres d'hôtes situées dans une maison créole.</t>
  </si>
  <si>
    <t xml:space="preserve">Les chambres doubles sont équipées de télévision, de lecteur DVD, de climatiseur, de chaîne Hifi, d'un réfrigérateur, d'un plateau de courtoisie composé de café, thé et bouteille d'eau... et des salle de bain privative. Parking gratuit dans la propriété, piscine extérieure chauffée, salon dédié aux hôtes. 
Des prestations complémentaires sont proposées comme jacuzzi, hammam, soins du corps.
Pour un séjour minimum de 2 nuitées, un accès pour 2 personnes au jacuzzi est offert .
Concept détente privilégié pour des couples ou ami(e)s recherchant un dépaysement et un service personnalisé.
Accès indépendant au jardin et à la piscine. Repas possible en table d'hôte le soir sur réservation 24h avant. </t>
  </si>
  <si>
    <t xml:space="preserve"> larivieredessens974@hotmail.fr / 0262296730 , DUPREZ Axel &amp; Nathalie : larivieredessens974@hotmail.fr / 0262296730 </t>
  </si>
  <si>
    <t>-21.263236, 55.524068</t>
  </si>
  <si>
    <t>recEMpzm8TU3vMA56</t>
  </si>
  <si>
    <t>Rond de Basse Vallée (Le)</t>
  </si>
  <si>
    <t>METRO Josianne</t>
  </si>
  <si>
    <t>Rond de Basse Vallée (Le)
Route Forestière de Basse Vallée
97442 Saint-Philippe</t>
  </si>
  <si>
    <t>lerond.basse-vallee@orange.fr</t>
  </si>
  <si>
    <t>La ferme auberge labellisée Bienvenue à la Ferme,Le Rond de Basse Vallée à Saint-Philippe, propose des repas créoles à base de : palmiste, chou de vacoa, songe, poulet et canard. 
Possibilité de séjourner dans les chambres d'hôtes du Rond de Basse Vallée, à la même adresse.</t>
  </si>
  <si>
    <t>Prendre la direction de Saint-Philippe et après l'église de Basse Vallée, prendre la route forestière de Basse Vallée. Monter 5,5 km pour arriver à la ferme auberge.</t>
  </si>
  <si>
    <t>Rond de Basse Vallée (Le) - Métro Josiane</t>
  </si>
  <si>
    <t>72 A, rue Leconte de Lisle, 97417 Saint-Philippe</t>
  </si>
  <si>
    <t xml:space="preserve">Métro Josiane : sheila.metro@orange.fr / 0692854037 / 0692696551 / Propriétaire ,  0692854037 / 0692696551 </t>
  </si>
  <si>
    <t>-21.34962123, 55.70090535</t>
  </si>
  <si>
    <t>Mode de paiment,E-Mail,Descriptif</t>
  </si>
  <si>
    <t>recyNnsimhBpL1X8t</t>
  </si>
  <si>
    <t>espace de restauration,jardin,parking,salle de bain privée,sanitaires privés</t>
  </si>
  <si>
    <t>Le Rond de Basse Vallée, dans le Sud Sauvage, à Saint-Philippe propose 4 chambres d'hôtes, labellisées Gîtes de France.</t>
  </si>
  <si>
    <t>Les chambres doubles et triples se situent dans une maison en bois, dans le prolongement de la maison du propriétaire. Commerces et services de proximité à 7 km.
Possibilité de repas créoles à la ferme auberge Le Rond de Basse Vallée. Spécialités à base de : palmiste, chou de vacoa, songe, poulet et canard.</t>
  </si>
  <si>
    <t>Prendre la direction de Saint-Philippe et après l'église de Basse Vallée, prendre la route forestière de Basse Vallée. Monter 5,5 km pour arriver au gîte.</t>
  </si>
  <si>
    <t>https://book.reunion.fr/fr/hebergements/a310825/product/reserver | Réunion.fr</t>
  </si>
  <si>
    <t>CSC106HTG</t>
  </si>
  <si>
    <t>recmua6X7wqdxhzhr</t>
  </si>
  <si>
    <t>Rosaces</t>
  </si>
  <si>
    <t>Rosaces
71, chemin du Petit Tampon - Petit Tampon
97430 Le Tampon</t>
  </si>
  <si>
    <t>sentier de randonnée,équitation,centre commercial,parking public,point de vue panoramique</t>
  </si>
  <si>
    <t>payet.jacky@wanadoo.fr</t>
  </si>
  <si>
    <t>Situé au Tampon, Rosaces, table d'hôte labellisée Gites de France propose une cuisine créole. Spécialités: Achard ti-jaque.</t>
  </si>
  <si>
    <t>Prendre direction Le Tampon puis Terrain Fleurie / Petit Tampon. Suivre les flèches directionnelles "Rosaces".</t>
  </si>
  <si>
    <t>Rosaces - Payet Jacky Lucot</t>
  </si>
  <si>
    <t>71, chemin du Petit Tampon, 97422 Le Tampon</t>
  </si>
  <si>
    <t xml:space="preserve">Payet Jacky Lucot : 0262278315 , Payet Jacky Lucot : 0262278315 , Payet Jacky Lucot : 0262278315 / Propriétaire ,  0262278315 </t>
  </si>
  <si>
    <t>-21.280441, 55.53563</t>
  </si>
  <si>
    <t>71 Chemin du Petit Tampon, 97430, Réunion</t>
  </si>
  <si>
    <t>rec4qi0IUvyOb7F6G</t>
  </si>
  <si>
    <t>chauffage,espace de restauration,jardin,linge de toilette,parking,salle de bain privée,sanitaires privés</t>
  </si>
  <si>
    <t>arrêt bus,commerce alimentaire,point de vue panoramique</t>
  </si>
  <si>
    <t>La structure "Rosaces" propose une chambre d'hôte de 2 personnes et une table d'hôte labellisées Gîtes de France. La chambre est située dans le prolongement de la maison du propriétaire et la table d'hôte se trouve au rez-de-chaussée.</t>
  </si>
  <si>
    <t>40.00</t>
  </si>
  <si>
    <t>CSC128HTK</t>
  </si>
  <si>
    <t>rec7avEaqvA8YmUOb</t>
  </si>
  <si>
    <t>Rose du Sud (La)</t>
  </si>
  <si>
    <t>Rose du Sud (La)
4, rue Gabriel Macé
Langevin
97480 Saint-Joseph</t>
  </si>
  <si>
    <t>http://www.larosedusud.com</t>
  </si>
  <si>
    <t>climatisation,jardin,linge de maison,linge de toilette,micro-ondes,parking,piscine,sanitaires privés,TV</t>
  </si>
  <si>
    <t>larosedusud@ymail.com</t>
  </si>
  <si>
    <t>Dans le Sud Sauvage à Saint-Joseph, La Rose du Sud propose 2 chambres d'hôtes.</t>
  </si>
  <si>
    <t>Les chambres ont une entrée indépendante et sont équipées d'un réfrigérateur, d'un écran plat, d'un micro-ondes. Elles disposent d'un lit double, d'un canapé-lit, de sanitaires privés et d'une terrasse. La table d'hôtes propose une cuisine créole et alsacienne.</t>
  </si>
  <si>
    <t>A Langevin, au premier rond-point, prendre la première rue à droite, première maison à droite en venant de Saint-Pierre.</t>
  </si>
  <si>
    <t>Rose du Sud (La) - Pontoizeau Stéphane et Laurie</t>
  </si>
  <si>
    <t>4, rue Gabriel Macé - Langevin, 97412 Saint-Joseph</t>
  </si>
  <si>
    <t xml:space="preserve">Pontoizeau Stéphane et Laurie : larosedusud@ymail.com / 0262688556 / 0692732271 / Propriétaire , Pontoizeau Stéphane et Laurie : larosedusud@ymail.com / 0262688556 / 0692732271 / Propriétaire , Pontoizeau Stéphane et Laurie : larosedusud@ymail.com / 0262688556 / 0692732271 / Propriétaire </t>
  </si>
  <si>
    <t>-21.381812, 55.649115</t>
  </si>
  <si>
    <t>CSC135HTI</t>
  </si>
  <si>
    <t>4 Rue Gabriel Macé, 97480, Réunion</t>
  </si>
  <si>
    <t>recxEhup5GEjfdHRJ</t>
  </si>
  <si>
    <t>La Rose du Sud</t>
  </si>
  <si>
    <t>climatisation,jardin,linge de maison,linge de toilette,micro-ondes,parking,piscine,TV</t>
  </si>
  <si>
    <t>Dans le Sud Sauvage à Saint-Joseph, La Rose du Sud propose 3 bungalows équipés pour 2 adultes et 2 enfants chacun.</t>
  </si>
  <si>
    <t>Les bungalows disposent d'un lit double, d'un canapé-lit, d'un coin cuisine avec réfrigérateur, micro-ondes, d'un écran plat et d'une terrasse face à la piscine.
Les draps et serviettes sont fournis et changés régulièrement.
Les locations sont décorées avec goût et charme. Les bungalows sont climatisés.</t>
  </si>
  <si>
    <t>CSC136HTJ</t>
  </si>
  <si>
    <t>Mode de paiment,Mobile,Capacité,Descriptif,Fournisseur - Nom,Fournisseur - contacts</t>
  </si>
  <si>
    <t>Rosier (Le)</t>
  </si>
  <si>
    <t>Rosier (Le)
19 H, chemin des Bibassiers - Pont d'Yves
97430 Le Tampon</t>
  </si>
  <si>
    <t>chauffage,espace de restauration,jardin,lave linge collectif,parking,salle de bain privée,sanitaires privés</t>
  </si>
  <si>
    <t>sentier de randonnée,sentier de grande randonnée,équitation,riviere,centre commercial,parking public,site - lieu culturel,point de vue panoramique,escalade,activités en eau douce</t>
  </si>
  <si>
    <t>rosier4@wanadoo.fr</t>
  </si>
  <si>
    <t>Bienvenue au Rosier.</t>
  </si>
  <si>
    <t>Le Rosier situé au Tampon dispose de 3 chambres d'hôtes dont une triple à l'étage de la maison du propriétaire. Les chambres sont labellisées Gîtes de France. Entrée indépendante, véranda, salon et salle à manger communs. Lit bébé à disposition.</t>
  </si>
  <si>
    <t xml:space="preserve">Par Saint-Pierre : prendre la direction Saint-Pierre/Tampon, puis Plaine des Cafres. Au rond-point du 14ème, prendre la direction Pont d'Yves,rouler sur 4 km, passer le village et à 500 m à gauche, prendre le chemin des Bibassiers sur 50 m. Suivre le panneau signalétique.
Par la Plaine des Cafres : prendre la direction de Saint-Benoît, puis Plaine des Palmistes et enfin Plaine des Cafres. Suivre les mêmes indications à partir du rond-point du 14ème. </t>
  </si>
  <si>
    <t>Rosier (Le) - Payet Elisemay</t>
  </si>
  <si>
    <t>19 H Chemin des Bibassiers - Pont d'Yves, 97422 Le Tampon</t>
  </si>
  <si>
    <t xml:space="preserve">Payet Elisemay : rosier4@wanadoo.fr / 0262010985 / 0692692426 / Gérant(e) , Payet Elisemay : rosier4@wanadoo.fr / 0262571964 / 0692625027 / Propriétaire ,  rosier4@wanadoo.fr / 0262571964 / 0692692426 </t>
  </si>
  <si>
    <t>-21.23837002, 55.50029456</t>
  </si>
  <si>
    <t>https://book.reunion.fr/fr/hebergements/a310832/rosier-le/reserver | Réunion.fr</t>
  </si>
  <si>
    <t>CSC129HTL</t>
  </si>
  <si>
    <t>19 Chemin des Bibassiers, 97430, Réunion</t>
  </si>
  <si>
    <t>Rosier(Le)</t>
  </si>
  <si>
    <t>Rosier (Le)
19 H Chemin des Bibassiers - Pont d'Yves
97430 Le Tampon</t>
  </si>
  <si>
    <t>sentier de randonnée,sentier de grande randonnée,équitation,riviere,centre commercial,site - lieu culturel,point de vue panoramique</t>
  </si>
  <si>
    <t>Le Rosier, table d'hôte labellisée Gîtes de France située au Tampon, propose une cuisine créole traditionnelle au feu de bois. Ouvert tous les jours.
Tarifs à partir de 25 €. Il est conseillé de réserver.</t>
  </si>
  <si>
    <t xml:space="preserve">Par Saint-Pierre: prendre la direction Saint-Pierre/Tampon, puis Plaine des Cafres. Au rond-point du 14ème, prendre la direction Pont d'Yves, rouler sur 4 km, passer le village et à 500 m à gauche, prendre le chemin des Bibassiers sur 50 m. Suivre le panneau signalétique.
Par la Plaine des Cafres: prendre la direction de Saint-Benoît, puis Plaine des Palmistes et enfin  Plaine des Cafres. Suivre les mêmes indications à partir du rond-point du 14ème. </t>
  </si>
  <si>
    <t>Le Rosier</t>
  </si>
  <si>
    <t>Rosier(Le)
19 H Chemin des Bibassiers - Pont d'Yves
97430 Le Tampon</t>
  </si>
  <si>
    <t>barbecue,chauffage,fer et planche à repasser,four,jardin,lave linge privatif,linge de maison,micro-ondes,parking,TV</t>
  </si>
  <si>
    <t>sentier de randonnée,sentier de grande randonnée,commerce alimentaire</t>
  </si>
  <si>
    <t>Situé au Tampon au dessus de la maison du propriétaire, Le Rosier propose un gîte labellisé Gîtes de France.</t>
  </si>
  <si>
    <t>Le gîte dispose d'une chambre triple, d'un salon avec couchage pour 2 personnes, d'une salle à manger, d'une cuisine équipée et d'une terrasse.
Entrée indépendante et cour clôturée.</t>
  </si>
  <si>
    <t xml:space="preserve">Par Saint-Pierre: prendre la direction Saint-Pierre/Tampon, puis Plaine des Cafres. Au rond-point du 14ème, prendre la direction Pont d'Yves, rouler sur 4 km, passer le village et à 500 m à gauche, prendre le chemin des Bibassiers sur 50 m. Suivre le panneau signalétique.
Par la Plaine des Cafres: prendre la direction de Saint-Benoît, puis Plaine des Palmistes et enfin Plaine des Cafres. Suivre les mêmes indications à partir du rond-point du 14ème. </t>
  </si>
  <si>
    <t>http://resa2.reunion.fr/fr/hebergements/a415204/rosier-le/reserver | Resa 2 Réunion.fr</t>
  </si>
  <si>
    <t>Rosiers (Les)</t>
  </si>
  <si>
    <t>Les Rosiers</t>
  </si>
  <si>
    <t>Rosiers (Les)
183, CD 26
97414 Entre-Deux</t>
  </si>
  <si>
    <t>fer et planche à repasser,four,lave linge privatif,linge de maison,micro-ondes,parking,TV,ventilateur,wifi</t>
  </si>
  <si>
    <t>maimlauret@orange.fr</t>
  </si>
  <si>
    <t>A l'entrée du village de l'Entre-Deux, le gîte Les Rosiers propose un meublé pour 5 personnes, il est situé dans la cour de la maison principale.</t>
  </si>
  <si>
    <t>Le gîte dispose de 2 chambres dont une double avec berceau et une triple, un séjour avec cuisine équipée et un balcon avec table et parasol de jardin. Vue sur le village de l'Entre-Deux, la ville de Saint-Louis, la mer au loin et en hauteur la montagne. 
Le gîte dispose d'une entrée privée avec parking. Cour fleurie avec arbre fruitier.</t>
  </si>
  <si>
    <t xml:space="preserve">Arriver à Pierrefond, monter tout droit jusqu'au rond-point de l'Exotica
Prendre à droite et continuer à monter. Arriver au rond-point de Bois d'Olive (près de la pharmacie) continuer à monter. Arriver au rond-point juste après la station continuer à monter. Arriver au pont de l'Entre-Deux tourner à gauche et aller tout droit sur la route de l'Entre-Deux CD 26. Le gîte se situe à 1 km après le nouveau pont sur la droite. </t>
  </si>
  <si>
    <t>Rosiers (Les) -Lauret Marie</t>
  </si>
  <si>
    <t>183, CD 26, 97403 Entre-Deux</t>
  </si>
  <si>
    <t xml:space="preserve">Lauret Marie : 0262395335 / 0692220624 / Propriétaire , Lauret Marie : 0262395335 / 0692220624 / Propriétaire </t>
  </si>
  <si>
    <t>-21.269722, 55.463611</t>
  </si>
  <si>
    <t>CSC87HTO</t>
  </si>
  <si>
    <t>reclYiBxIS6t1pIiS</t>
  </si>
  <si>
    <t>Rougail Mangue (Le)</t>
  </si>
  <si>
    <t>Rougail Mangue (Le)
12, rue Marcel Pagnol - Plateau Vincendo
97480 Saint-Joseph</t>
  </si>
  <si>
    <t>http://www.rougailmangue.com</t>
  </si>
  <si>
    <t>barbecue,micro-ondes,parking,piscine</t>
  </si>
  <si>
    <t>contact@rougailmangue.com</t>
  </si>
  <si>
    <t>A Plateau Vincendo, Le Rougail Mangue invite à profiter de ses chambres. Cette structure spacieuse bénéficie d'un point de vue sur l'océan. Elle propose des chambres de 2 à 4 personnes ainsi qu'une chambre collective (6 couchages). Elle dispose également d'une cuisine extérieure au feu de bois (avec réfrigérateur, congélateur, réchauds gaz, cafetière, bouilloire électrique et vaisselle) et d'un espace de vie. Piscine dans jardin arboré. Animaux acceptés. Parking de 20 places.</t>
  </si>
  <si>
    <t>Rougail Mangue (Le) - Mortilla Cosimo</t>
  </si>
  <si>
    <t>12, rue Marcel Pagnol - Plateau Vincendo, 97412 Saint-Joseph</t>
  </si>
  <si>
    <t xml:space="preserve">Mortilla Cosimo : contact@rougailmangue.com / 0262315509 / 0692202163 / 0262315509 , Mortilla Cosimo : contact@rougailmangue.com / 0262315509 / 0692202163 / 0262315509 </t>
  </si>
  <si>
    <t>-21.380056, 55.657966</t>
  </si>
  <si>
    <t>CSC112HTD</t>
  </si>
  <si>
    <t>ROUGAIL MANGUE, Rougail Mangue, 12 Rue Marcel Pagnol, 97480, Réunion</t>
  </si>
  <si>
    <t>recQ92NHVqgQnEXJ1</t>
  </si>
  <si>
    <t>Rougail Rando</t>
  </si>
  <si>
    <t>Rougail Rando
1, RN2 - le Tremblet
Tremblet
97442 Saint-Philippe</t>
  </si>
  <si>
    <t>Tremblet / Plaines et volcan</t>
  </si>
  <si>
    <t>Accompagnateur en montagne, Juanito Boyer propose la découverte de la flore et la faune locale en empruntant les multiples sentiers de l'île. Des lieux enchanteurs à travers différentes formules de randonnées.</t>
  </si>
  <si>
    <t>Rougail Rando - Juanito Boyer</t>
  </si>
  <si>
    <t>1, RN2 - le Tremblet, 97417 Saint-Philippe</t>
  </si>
  <si>
    <t>Boyer Juanito : lacazboyer@orange.fr / 0262989185 / 0692921356 , Boyer Juanito : lacazboyer@orange.fr / 0262989185 / 0692921356</t>
  </si>
  <si>
    <t>-21.3258087,55.79996089999999</t>
  </si>
  <si>
    <t>Mode de paiment,Mobile,E-Mail,Fournisseur - contacts</t>
  </si>
  <si>
    <t>Royal Kébab</t>
  </si>
  <si>
    <t>Royal Kébab
21, rue Général Lambert
97480 Saint-Joseph</t>
  </si>
  <si>
    <t>TV,ventilateur</t>
  </si>
  <si>
    <t>Le Royal Kébab propose des kébabs à la turque, des pizzas, quiches, salades, paninis et sandwichs traditionnels à Saint-Joseph.</t>
  </si>
  <si>
    <t>Sur la commune de Saint-Joseph, en centre ville, le restaurant se trouve dans la rue de l'église.</t>
  </si>
  <si>
    <t>21, rue Général Lambert, 97412 Saint-Joseph</t>
  </si>
  <si>
    <t xml:space="preserve">Heslouin Sébastien : 0262372743 / Gérant(e) ,  0262372743 </t>
  </si>
  <si>
    <t>-21.37780298, 55.61910287</t>
  </si>
  <si>
    <t>21 Rue du Général Lambert, 97480, Réunion</t>
  </si>
  <si>
    <t>recp0PF6BVL6MwiUP</t>
  </si>
  <si>
    <t>Run Sud VTC</t>
  </si>
  <si>
    <t>Run Sud VTC
9 A rue Dachery
97430 Le Tampon</t>
  </si>
  <si>
    <t>runsud.vtc@gmail.com</t>
  </si>
  <si>
    <t>Run Sud VTC propose des excursions touristiques, des transferts aéroport, des circuits touristiques pour les particuliers et les professionnels.</t>
  </si>
  <si>
    <t>Plusieurs prestations sont proposées : des transferts aéroport, des circuits et des excursions touristiques selon les besoins et demandes du client. 
A bord du véhicule : tablette, wifi et eau à disposition.</t>
  </si>
  <si>
    <t>Run Sud VTC - Gigan Florence</t>
  </si>
  <si>
    <t>9 A rue Dachery, 97422 Le Tampon</t>
  </si>
  <si>
    <t xml:space="preserve">Gigan Florence : runsud.vtc@gmail.com / 0692761249 / Gérant(e) , Gigan Florence : runsud.vtc@gmail.com / 0692761249 / Gérant(e) </t>
  </si>
  <si>
    <t>-21.272696, 55.526194</t>
  </si>
  <si>
    <t>Mode de paiment,Mobile,Descriptif,Fournisseur - SIRET</t>
  </si>
  <si>
    <t>9 Rue Dachery, Réunion</t>
  </si>
  <si>
    <t>Salle Multimédia de l'Entre-Deux</t>
  </si>
  <si>
    <t>Salle Multimédia de l'Entre-Deux
rue Hubert Delisle
97414 Entre-Deux</t>
  </si>
  <si>
    <t>-21.2497153,55.4716159</t>
  </si>
  <si>
    <t>Sapins Bleus (Les)</t>
  </si>
  <si>
    <t>Sapins Bleus (Les)
32, chemin Mussard - PK 23
97418 La Plaine des Cafres</t>
  </si>
  <si>
    <t>arrêt bus,commerce alimentaire,site - lieu culturel,point de vue panoramique</t>
  </si>
  <si>
    <t>Carte Bancaire,Eurocard,Chèque,Chèques vacances,Virement,Mandat postal,Bon CE,Espèces</t>
  </si>
  <si>
    <t>Le gîte Les Sapins Bleus, labellisé Gîtes de France, est situé à la Plaine des Cafres, dans un quartier calme. Gîte indépendant avec jardin clos, cheminée et balançoire. Électricité en supplément : 0.15 €/kw. Visites : volcan, Maison du Volcan, Grand Bassin, forêt de Bélouve. Tarif basse saison : 435 € la semaine (du 1er mars au 30 juin). Contacter le propriétaire avant l'arrivée dans le gîte.</t>
  </si>
  <si>
    <t>En venant de Saint-Benoit, rester sur la RN 3 jusqu'au restaurant le Vieux Bardeau, puis tourner à gauche chemin Mussard. Prendre la première rue à droite, puis au rond-point, tourner à gauche jusqu'au numéro 32.</t>
  </si>
  <si>
    <t>-21.2265692,55.5543055</t>
  </si>
  <si>
    <t>http://online2.citybreak.com/Accommodation/Details.aspx?onlineid=2118168317&amp;PropertyId=15214&amp;show=book | City Break</t>
  </si>
  <si>
    <t>32 Chemin Mussard, La Plaine des Cafres, Réunion</t>
  </si>
  <si>
    <t>rec6xFWezIgLtUSIN</t>
  </si>
  <si>
    <t>Sarasvathy</t>
  </si>
  <si>
    <t>Sarasvathy
34, chemin Grand Tampon - Grand Tampon
97430 Le Tampon</t>
  </si>
  <si>
    <t>commerce alimentaire,équitation</t>
  </si>
  <si>
    <t>Dans un cadre chaleureux et calme, l'auberge Sarasvathy propose détente et confort au Tampon.</t>
  </si>
  <si>
    <t>L'auberge propose une cuisine indienne, métropolitaine et créole. Les plats sont préparés à partir des produits frais. L'auberge propose également une cuisine sans porc et sans bœuf. Capacités : 130 couverts.</t>
  </si>
  <si>
    <t xml:space="preserve">Depuis le Sud  : prendre la 4 voies direction le Tampon. Arrivé au rond-point de la tour des Azalées, prendre la 1ère à droite. Continuer tout droit jusqu’au 3ème rond-point et prendre la direction de Bérive. Poursuivre tout droit jusqu’au panneau de direction Grand Tampon, Notre Dame de la Paix. La chambre d’hôte se trouve sur la droite.
Depuis les Plaines : suivre la RN3 en direction du Tampon jusqu’au rond-point des 600. Prendre la direction de Bérive (3ème sortie). Continuer tout droit jusqu’au panneau de direction Grand Tampon Notre Dame de la Paix, la chambre d’hôte se trouve sur la droite. </t>
  </si>
  <si>
    <t>Sarasvathy - Firoaguer Guito</t>
  </si>
  <si>
    <t>34, chemin Grand Tampon - Grand Tampon, 97422 Le Tampon</t>
  </si>
  <si>
    <t xml:space="preserve">Firoaguer Guito : 0692852155 , Firoaguer Guito : 0692852155 </t>
  </si>
  <si>
    <t>-21.2932, 55.534535</t>
  </si>
  <si>
    <t>34 Chemin du Grand Tampon, Réunion</t>
  </si>
  <si>
    <t>recvnq0jDmYJVUdUv</t>
  </si>
  <si>
    <t>linge de toilette,parking,sanitaires privés,wifi</t>
  </si>
  <si>
    <t>firoaguerguito@gmail.com</t>
  </si>
  <si>
    <t>Dans un cadre chaleureux et calme, Sarasvathy propose détente et confort au Tampon.</t>
  </si>
  <si>
    <t>La structure dispose de 5 chambres doubles, d'un coin bibliothèque, d'une salle de cinéma et d'une salle de détente comprenant spa, hammam, sauna, power plate, stepper et fauteuil massant.
A disposition : berceau et chaise enfant.
Proche de toutes commodités. A proximité : balade sentier Botanique de Notre Dame et le Volcan.</t>
  </si>
  <si>
    <t>CSC48HTL</t>
  </si>
  <si>
    <t>recoOK2AmOfI0PdlV</t>
  </si>
  <si>
    <t>Saveur des Epices</t>
  </si>
  <si>
    <t>Saveur des Epices
217, chemin Henri Cabeu
Plaine des Cafres
97418 La Plaine des Cafres</t>
  </si>
  <si>
    <t>p.payet@zeop.re</t>
  </si>
  <si>
    <t>Aux Saveurs des épices propose une villa et 2 chambres d'hôtes</t>
  </si>
  <si>
    <t>Saveur des  Epices</t>
  </si>
  <si>
    <t>217, chemin Henri Cabeu, 97422 Le Tampon</t>
  </si>
  <si>
    <t xml:space="preserve"> p.payet@zeop.re / 0262279244 / 0692025229 ,  p.payet@zeop.re / 0262279244 / 0692025229 </t>
  </si>
  <si>
    <t>-21.227119, 55.512988</t>
  </si>
  <si>
    <t>217 Chemin Henri Cabeu, La Plaine des Cafres, Réunion</t>
  </si>
  <si>
    <t>Saveurs de la Tonnelle (Les)</t>
  </si>
  <si>
    <t>Saveurs de la Tonnelle (Les)
26, rue Justinien Vitry
97480 Saint-Joseph</t>
  </si>
  <si>
    <t>http://www.lessaveursdelatonnelle.com</t>
  </si>
  <si>
    <t>parking,piscine</t>
  </si>
  <si>
    <t>lessaveurs.delatonnelle@orange.fr</t>
  </si>
  <si>
    <t>Situé à Saint-Joseph, le restaurant Les Saveurs de la Tonnelle propose 3 plats du jour en self service du lundi au samedi midi ainsi que des spécialités à la carte le soir. Le restaurant peut accueillir jusqu'à 80 couverts. Possibilité de réserver en ligne  pour :  repas d'affaires, repas de famille, baptême, communion et anniversaire. Restaurant ouvert de 7h à 9h pour le service du petit déjeuner, de 11h30 à 14h30 pour le déjeuner et de 18h30 à 22h pour le diner. Fermé le mercredi et le dimanche soir. Pour les clients du restaurant, l'accès à la piscine est gratuit.</t>
  </si>
  <si>
    <t>26, rue Justinien Vitry, 97412 Saint-Joseph</t>
  </si>
  <si>
    <t xml:space="preserve">Chan-Kam-Shu Nathalie : lessaveurs.delatonnelle@orange.fr / 0262289729 / 0262289729 ,  lessaveurs.delatonnelle@orange.fr / 0262289729 / 0262289729 </t>
  </si>
  <si>
    <t>-21.376973, 55.605614</t>
  </si>
  <si>
    <t>26 Rue Justinien Vitry, Réunion</t>
  </si>
  <si>
    <t>Senteurs (Les)</t>
  </si>
  <si>
    <t>Senteurs (Les)
2 bis impasse Jean de la Fontaine
97430 Le Tampon</t>
  </si>
  <si>
    <t>fontaine.denise@hotmail.fr</t>
  </si>
  <si>
    <t>Charmants bungalows au coeur d’un jardin tropical unique Vous y trouverez un grand calme tout en étant au centre ville. Chaque bungalow a sa propre terrasse sur laquelle vous pourrez passer de bons moments autour de la table.</t>
  </si>
  <si>
    <t>2 bungalows pour 2 personnes,
1 bungalow pour 4 personnes (2 adultes et 2 enfants)
et 1 bungalow pour 5 personnes (4 adultes et un enfant)</t>
  </si>
  <si>
    <t>2 bis impasse Jean de la Fontaine, 97422 Le Tampon</t>
  </si>
  <si>
    <t xml:space="preserve"> fontaine.denise@hotmail.fr / 0262221498 / 0692728237 ,  fontaine.denise@hotmail.fr / 0262221498 / 0692728237 </t>
  </si>
  <si>
    <t>-21.2759225,55.512383</t>
  </si>
  <si>
    <t>Imp. Jean de la Fontaine, Réunion</t>
  </si>
  <si>
    <t>Senteurs des Tropiques</t>
  </si>
  <si>
    <t>Senteur des Tropiques</t>
  </si>
  <si>
    <t>Senteurs des Tropiques
73, rue Léonce Jeannet - Bézaves
97480 Saint-Joseph</t>
  </si>
  <si>
    <t>http://www.senteursdestropiques.com</t>
  </si>
  <si>
    <t>riviere,site - lieu culturel,point de vue panoramique</t>
  </si>
  <si>
    <t>michel.gilson062@gmail.com</t>
  </si>
  <si>
    <t>Dans la fraîcheur et la quiétude de Bézaves,  une halte reposante dans des chambres situées dans un cadre de verdure sur la route des parfums et des épices. Vue panoramique sur la mer et la montagne, jardin agro-touristique, vente de fruits en saison.</t>
  </si>
  <si>
    <t>2 chambres d'hôtes de 2 personnes dans une case créole située à proximité de la maison du propriétaire, entrée indépendante, jardin clos, téléphone et télévision dans la salle commune. Possibilité de lessive chez le propriétaire. Lit supplémentaire. Prix dégressif pour long séjour. Accès aux personnes à mobilité réduite.</t>
  </si>
  <si>
    <t>De Saint-Pierre, prendre direction Saint-Joseph. A la sortie de Petite-Ile, prendre à gauche RD 32, direction Carosse, Bezaves. Faire 6 km, puis prendre la route des Lianes à gauche. Faire 300 m, prendre à gauche (petite rue étroite) en face de la rue Aimé Fontaine, la structure est à 100 m à droite.</t>
  </si>
  <si>
    <t>Senteurs des Tropiques - Gilson Michel et Jocelyne</t>
  </si>
  <si>
    <t>73, rue Léonce Jeannet, 97412 Saint-Joseph</t>
  </si>
  <si>
    <t xml:space="preserve">Gilson Michel : michel.gilson062@gmail.com / 0262376621 / 0692208178 / 0262376621 ,  michel.gilson062@gmail.com / 0262376621 / 0692208178 / 0262376621 </t>
  </si>
  <si>
    <t>-21.350604, 55.60988</t>
  </si>
  <si>
    <t>73 Rue Léonce Jeannet, Réunion</t>
  </si>
  <si>
    <t>Seznec Daniel et Gilette</t>
  </si>
  <si>
    <t>SEZNEC Daniel &amp; SEZNEC Gilette</t>
  </si>
  <si>
    <t>Seznec Daniel et Gilette
55, rue Maurice Berrichon
97414 Entre-Deux</t>
  </si>
  <si>
    <t>d.seznec@aol.fr</t>
  </si>
  <si>
    <t>Petite case créole centenaire en bardeau avec  un sol en béton brut, des poutres apparentes,  pouvant accueillir 4 personnes. Petit déjeuner compris et possibilité de prendre le repas du soir.</t>
  </si>
  <si>
    <t>Prendre direction Entre-Deux, puis le Dimitile/Ravine des Citrons. A environ un km, prendre la rue Bérichon à droite.</t>
  </si>
  <si>
    <t>55, Rue Maurice Berrichon, 97403 Entre-Deux</t>
  </si>
  <si>
    <t xml:space="preserve">Seznec Gilette : d.seznec@aol.fr / 0262396644 / 0262396644 / Propriétaire ,  d.seznec@aol.fr / 0262396644 / 0262396644 </t>
  </si>
  <si>
    <t>-21.24894252, 55.47853648</t>
  </si>
  <si>
    <t>55 Rue Maurice Berrichon, Réunion</t>
  </si>
  <si>
    <t>jardin,parking,salle de bain privée,sanitaires privés</t>
  </si>
  <si>
    <t>3 chambres d'hôtes de 2 personnes labellisées Gîtes de France situées à l'étage de la maison du propriétaire dont 2 avec balcon et vue sur la mer. Possibilité de visiter le jardin botanique (camphre, benjoin, cannelle, mombolo, coing de chine, pomme de lait, jamalac, laurier sauce, ravensard...)
Petit déjeuner inclus préparé avec les confitures des fruits du jardin. Possibilité de repas le soir. Une grande terrasse pour les repas et petits déjeuners.</t>
  </si>
  <si>
    <t>Prendre direction l'Entre-Deux, puis le Dimitile/Ravine des Citrons. A environ un km, prendre la rue Bérichon à droite.</t>
  </si>
  <si>
    <t>rec0YE2DCxwxpaaIi</t>
  </si>
  <si>
    <t>Snack Bar La Source</t>
  </si>
  <si>
    <t>Snak Bar la Source</t>
  </si>
  <si>
    <t>Snack Bar La Source
Aire de pique-nique du Bras Long
97414 Entre-Deux</t>
  </si>
  <si>
    <t>jardin,parking public</t>
  </si>
  <si>
    <t>sentier de randonnée,sentier de grande randonnée,centre commercial,parking public,point de vue panoramique</t>
  </si>
  <si>
    <t>Situé sur l'air de pique-nique de Bras Long à l'Entre-Deux, le Snack Bar la Source propose des sandwichs, des bouchons, des frites et des repas sur commande avec des spécialités créoles tels que le cari baba figue, le boucané ti-jacque, le poulet pays au feu de bois....
Dégustation de café pays cueilli par le propriétaire.
Ouvert uniquement le week-end.</t>
  </si>
  <si>
    <t>Prendre direction Entre-Deux, puis Bras Long jusqu'à l'aire de pique-nique.</t>
  </si>
  <si>
    <t>Snack Bar la Source - Hoareau Juste Augustin</t>
  </si>
  <si>
    <t>Aire de pique-nique du Bras Long, 97403 Entre-Deux</t>
  </si>
  <si>
    <t xml:space="preserve">Hoareau Juste Augustin : 0692682787 / Gérant(e) ,  0692682787 </t>
  </si>
  <si>
    <t>-21.21864755, 55.47573565</t>
  </si>
  <si>
    <t>recasu4xsNx1F8mkD</t>
  </si>
  <si>
    <t>Snack Bigdil Family</t>
  </si>
  <si>
    <t>Snack Bigdil Family
251 chemin Neuf Pont d'Yves
97430 Le Tampon</t>
  </si>
  <si>
    <t>Le snack Bigdil Family est situé au Tampon.</t>
  </si>
  <si>
    <t>Il propose des sandwichs, des wraps, des lords ... 
Ouvert du lundi au mercredi et du vendredi au samedi de 11h à 14h et de 17h à 21h. Le dimanche de 17h à 21h. Fermé le jeudi.</t>
  </si>
  <si>
    <t>251 chemin Neuf Pont d'Yves, 97422 Le Tampon</t>
  </si>
  <si>
    <t xml:space="preserve"> 0262025956 ,  0262025956 </t>
  </si>
  <si>
    <t>-21.236377, 55.505222</t>
  </si>
  <si>
    <t>251 Chemin Neuf, Réunion</t>
  </si>
  <si>
    <t>rec4gEUX2zGWOym2M</t>
  </si>
  <si>
    <t>Snack Le Boi Zoly</t>
  </si>
  <si>
    <t>Snack Le Boi Zoly
62 rue des Poinsétias - 14ème km
97430 Le Tampon</t>
  </si>
  <si>
    <t>Le Snack Le Boi Zoly est un restaurant situé au 14ème km au Tampon.</t>
  </si>
  <si>
    <t>Il propose des plats sur place et à emporter.
Ouvert du lundi au jeudi de 8h30 à 14h et de 17h30 à 21h. Le vendredi et le  samedi de 8h30 à 14h et de 17h30 à 22h. Fermé le dimanche.</t>
  </si>
  <si>
    <t>62 rue des Poinsetias - 14ème km, 97422 Le Tampon</t>
  </si>
  <si>
    <t xml:space="preserve"> 0692346360 ,  0692346360 </t>
  </si>
  <si>
    <t>-21.247885, 55.526417</t>
  </si>
  <si>
    <t>62 Rue des Poinsetias, tampon 97430, Réunion</t>
  </si>
  <si>
    <t>recPmWrOH4W3xdRfD</t>
  </si>
  <si>
    <t>Snack Le Butor</t>
  </si>
  <si>
    <t>Snack Le Butor
91 bis local D rue Amiral Lacaze
97480 Saint-Joseph</t>
  </si>
  <si>
    <t>Snack Le Butor est situé à Saint-Joseph.</t>
  </si>
  <si>
    <t>Il propose des sandwichs, des salades, des burgers et des plats à emporter. 
Ouvert du lundi au vendredi de 11h à 13h30 et de 18h à 20h30. Fermé le samedi et le dimanche.</t>
  </si>
  <si>
    <t>Snack Le Butor - Payet Damien</t>
  </si>
  <si>
    <t>91 bis Local D rue Amiral Lacaze, 97412 Saint-Joseph</t>
  </si>
  <si>
    <t xml:space="preserve"> 0692645506 ,  0692645506 </t>
  </si>
  <si>
    <t>-21.381377, 55.613161</t>
  </si>
  <si>
    <t>Mode de paiment,Mobile,Descriptif,Fournisseur - Nom</t>
  </si>
  <si>
    <t>bis, 91 Rue Amiral Lacaze, Réunion</t>
  </si>
  <si>
    <t>Soucoupe Volante (La)</t>
  </si>
  <si>
    <t>La Soucoupe Volante</t>
  </si>
  <si>
    <t>Soucoupe Volante (La)
RN3 - 32 ème Km
Plaine des Cafres
97418 La Plaine des Cafres</t>
  </si>
  <si>
    <t>La Soucoupe Volante est une discothèque qui se situe à La Plaine des Cafres.</t>
  </si>
  <si>
    <t>RN3 - 32ème Km, 97422 Le Tampon</t>
  </si>
  <si>
    <t xml:space="preserve"> 0262591418 ,  0262591418 </t>
  </si>
  <si>
    <t>-21.171186, 55.58583</t>
  </si>
  <si>
    <t>97418 Le, 32 Chemin du Petit Tampon, La Plaine des Cafres, Réunion</t>
  </si>
  <si>
    <t>Souffleur d'Angel (Le)</t>
  </si>
  <si>
    <t>Souffleur d'Angel (Le)
101, RN2 - le Baril
97442 Saint-Philippe</t>
  </si>
  <si>
    <t>Le restaurant Le Souffleur d'Angel se situe sur la côte sud de l'île.</t>
  </si>
  <si>
    <t>Il propose une cuisine créole et chinoise et peut accueillir jusqu'à 40 couverts. Ouvert du mardi au dimanche. Fermé le lundi.</t>
  </si>
  <si>
    <t xml:space="preserve">De l'Ouest, prendre direction le Baril, passer le site du "Puits des Anglais", le restaurant se trouve à 100 m à gauche.
De l'Est, traverser la forêt de Mare Longue, le restaurant se situe au lieu-dit "le Souffleur d'Arbonne" à droite. </t>
  </si>
  <si>
    <t>Souffleur d'Angel - Demare Jessica</t>
  </si>
  <si>
    <t>101, RN2 - le Tremblet, 97417 Saint-Philippe</t>
  </si>
  <si>
    <t xml:space="preserve">Demare Jessica : 0692101681 ,  0692101681 </t>
  </si>
  <si>
    <t>-21.368486, 55.73253</t>
  </si>
  <si>
    <t>101 RN2, Réunion</t>
  </si>
  <si>
    <t>Source des Goyaviers (La)</t>
  </si>
  <si>
    <t>Source des Goyaviers (La)
255 chemin Grand Tampon les Hauts
97430 Le Tampon</t>
  </si>
  <si>
    <t>Sur les hauteurs de Tampon, La Source des Goyaviers dispose d'une table d'hôte dans un cadre chaleureux.</t>
  </si>
  <si>
    <t>La table propose une cuisine traditionnelle à partir de produits locaux.</t>
  </si>
  <si>
    <t>Source des Goyaviers (La) - Gigan Huguette</t>
  </si>
  <si>
    <t>255 chemin Grand Tampon les Hauts, 97422 Le Tampon</t>
  </si>
  <si>
    <t xml:space="preserve"> Gigan Huguette : 0692270794 ,  0692270794 ,  0262571656 / 0692270794 </t>
  </si>
  <si>
    <t>-21.286975, 55.555881</t>
  </si>
  <si>
    <t>255 Chemin du Grand Tampon, Tampon 97430, Réunion</t>
  </si>
  <si>
    <t>La Source des Goyaviers propose une chambre double pour une capacité d’accueil de 2 personnes</t>
  </si>
  <si>
    <t xml:space="preserve"> Gigan Huguette : 0692270794 ,  0692270794 ,  0262571656 / 0692270795</t>
  </si>
  <si>
    <t>CSC54HTI</t>
  </si>
  <si>
    <t>Street Food</t>
  </si>
  <si>
    <t>Street Food
2C rue La Marine
97480 Saint-Joseph</t>
  </si>
  <si>
    <t>Le snack Street Food est situé à Vincendo, à Saint-Joseph.</t>
  </si>
  <si>
    <t>Il propose différents produits comme : pain, paninis, lords ... Sa spécialité est le poulet mariné ou tandoori. Les produits sont frais et de qualité.
Ouvert du lundi au vendredi de 7h à 13h30 et de 17h à 21h. Le samedi de 7h à 13h30 et de 17h à 21h30. Fermé le dimanche.</t>
  </si>
  <si>
    <t>2C Rue la marine Vincendo, 97412 Saint-Joseph</t>
  </si>
  <si>
    <t xml:space="preserve"> 0692455399 ,  0692455399 </t>
  </si>
  <si>
    <t>-21.374452, 55.666724</t>
  </si>
  <si>
    <t>97 Rue Marcel Pagnol, 97480, Réunion</t>
  </si>
  <si>
    <t>recQd1WP7LlNdLABE</t>
  </si>
  <si>
    <t>Sud Bungalows</t>
  </si>
  <si>
    <t>PAYET Jean Daniel</t>
  </si>
  <si>
    <t>Sud Bungalows
10, chemin Terre Rouge
97480 Saint-Joseph</t>
  </si>
  <si>
    <t>http://www.pagesperso-orange.fr/sudbungalow</t>
  </si>
  <si>
    <t>climatisation,jardin,lave linge privatif,micro-ondes,parking,piscine,TV</t>
  </si>
  <si>
    <t>plage,sentier de randonnée,pêche,parking public,point de vue panoramique</t>
  </si>
  <si>
    <t>sudbungalow@gmail.com</t>
  </si>
  <si>
    <t>4 bungalows équipés, pour 2 et 4 personnes, climatisés,  kitchenette, chauffe-eau, meubles de rangement. A l'extérieur,  possibilité de faire des grillades dans le kiosque.
En plein cœur du Sud Sauvage, niché entre mer et montagne,  non loin des falaises du Cap Jaune, dans un cadre verdoyant et enchanteur.
A proximité: les hauteurs de Grand Coude, la rivière de Langevin, Manapany, Saint-Philippe, Sainte-Rose et les coulées de lave.</t>
  </si>
  <si>
    <t>Venant de l'Est: prendre direction Saint-Joseph, suivre la route des laves et passer Saint-Philippe. Au village de Vincendo, devant l'église un panneau directionnel, passer la station shell, 2 virages plus loin, prendre la première rue à gauche.</t>
  </si>
  <si>
    <t>Sud Bungalows - Payet Jean-Daniel</t>
  </si>
  <si>
    <t>10 chemin Terre Rouge, 97412 Saint-Joseph</t>
  </si>
  <si>
    <t xml:space="preserve">Payet Jean-Daniel : jean-daniel.payet2@wanadoo.fr / 0026373595 / 0692867231 ,  0262373595 / 0692867231 </t>
  </si>
  <si>
    <t>-21.37750817, 55.66300708</t>
  </si>
  <si>
    <t>CSC281HT@</t>
  </si>
  <si>
    <t>Site web,Mode de paiment,E-Mail,Descriptif</t>
  </si>
  <si>
    <t>10 Chemin Terre Rouge, Réunion</t>
  </si>
  <si>
    <t>recLUDThzoN8tU2By</t>
  </si>
  <si>
    <t>Sud Hôtel</t>
  </si>
  <si>
    <t>Sud Hôtel
106, rue Marius et Ary Leblond
97430 Le Tampon</t>
  </si>
  <si>
    <t>http://www.sudhotel.re/</t>
  </si>
  <si>
    <t>sudhotel@ilereunion.com</t>
  </si>
  <si>
    <t>Situé dans la ville du Tampon,Sud Hôtel restaurant de l'hôtel propose une cuisine variée, créole, métropolitaine et chinoise.</t>
  </si>
  <si>
    <t>Le restaurant propose également des pizzas. Spécialités : cari poulet au combava, civet zourite, cari de camaron.... 
Capacité : 50 couverts avec vue sur la piscine.
Le restaurant est ouvert tous les jours midi et soir.</t>
  </si>
  <si>
    <t xml:space="preserve">Depuis le Sud, prendre la 4 voies en direction du Tampon. L'hôtel-restaurant se situe sur la droite, en ville du Tampon.
Depuis les Plaines, suivre la RN 3, traverser le village de Bourg Murat et descendre jusqu'au Tampon. L'hôtel restaurant se situe sur la gauche en ville du Tampon. </t>
  </si>
  <si>
    <t>Sud Hôtel - Payet Patrick</t>
  </si>
  <si>
    <t>106, rue Marius et Ary Leblond, 97422 Le Tampon</t>
  </si>
  <si>
    <t xml:space="preserve">Payet Patrick : sudhotel@ilereunion.com / 0262270790 ,  sudhotel@ilereunion.com / 0262270790 ,  sudhotel@ilereunion.com / 0262270790 </t>
  </si>
  <si>
    <t>-21.2828907, 55.5213649</t>
  </si>
  <si>
    <t>Site web,Descriptif,Descriptif du plan d'accès</t>
  </si>
  <si>
    <t>recahr7MiYZML3KgU</t>
  </si>
  <si>
    <t>accès internet payant,chauffage,climatisation,espace spa - bien être,jardin,parking autocar,parking,piscine,salle de réunion - séminaire,téléphone,TV,ventilateur</t>
  </si>
  <si>
    <t>équitation,tennis,centre commercial,parking public,point de vue panoramique</t>
  </si>
  <si>
    <t>contact@sudhotel.re</t>
  </si>
  <si>
    <t>Situé dans la ville du Tampon, le Sud Hôtel est le lieu de villégiature idéal au départ de nombreuses promenades et randonnées : Volcan, Grand Bassin, Plaine des Cafres, Piton des Neiges...</t>
  </si>
  <si>
    <t>Dans un cadre naturel et authentique, le Sud Hôtel a 50 chambres confortables et spacieuses, disposant chacune d'une terrasse donnant sur la piscine chauffée. Hôtellerie Familale.</t>
  </si>
  <si>
    <t>-21.283, 55.521</t>
  </si>
  <si>
    <t>CSC130HTD</t>
  </si>
  <si>
    <t>rec94IrsVQRaEu2WN</t>
  </si>
  <si>
    <t>Sylvie bien Etre Mieux Etre</t>
  </si>
  <si>
    <t>Sylvie bien Etre Mieux Etre
61, rue Defaud - Ravine Citrons
97414 Entre-Deux</t>
  </si>
  <si>
    <t>sylviemieuxetre@gmail.com</t>
  </si>
  <si>
    <t>Dans le village de l'Entre-Deux, Sylvie bien Etre Mieux Etre dispose d'un salon de massages.</t>
  </si>
  <si>
    <t>Sylvie accueil les hôtes dans son espace de détente et de bien-être, pour des massages aux huiles essentielles ou une harmonisation énergétique. 
Massage du corps, massage dos et tête, massage jambes et pieds.
Réharmonisation des chakras.</t>
  </si>
  <si>
    <t>Dans le Village, prendre direction Dimitile, puis prendre la rue Defaud, le salon se trouve au n°61</t>
  </si>
  <si>
    <t>Sylvie Bien Etre Mieux Etre - Solignat Sylvie</t>
  </si>
  <si>
    <t>61, rue Defaud, 97403 Entre-Deux</t>
  </si>
  <si>
    <t xml:space="preserve">Solignat Sylvie : sylviemieuxetre@gmail.com / 0692926039 / Gérant(e) , Solignat Sylvie : sylviemieuxetre@gmail.com / 0692926039 / Gérant(e) </t>
  </si>
  <si>
    <t>-21.241005, 55.481908</t>
  </si>
  <si>
    <t>61 Rue Defaud, Réunion</t>
  </si>
  <si>
    <t>recjJHC2IhRLVFXkn</t>
  </si>
  <si>
    <t>Randonneurs (La Table des)</t>
  </si>
  <si>
    <t>Table des Randonneurs (La)
17, chemin des Barbadines - Jacques Payet
97480 Saint-Joseph</t>
  </si>
  <si>
    <t>jardin,parking,salle de bain commune,salle de bain privée,sanitaires communs</t>
  </si>
  <si>
    <t>sentier de randonnée,sentier de grande randonnée,pêche,centre commercial,parking public,point de vue panoramique</t>
  </si>
  <si>
    <t>Niché aux abords de la forêt, ce lieu calme et verdoyant propose 2 chambres doubles dont une avec salle de bain privée.</t>
  </si>
  <si>
    <t>La Table des Randonneurs dispose également d'un dortoir de 6 lits avec salle de bain collective, d'un bungalow de 6 places en dortoir et d'un dortoir de 4 personnes. Cuisine équipée.. . Petit déjeuner compris.
La table d'hôte propose une cuisine traditionnelle au feu de bois.</t>
  </si>
  <si>
    <t>Prendre direction Saint-Joseph. Arrivée à Vincendo, prendre la D37, suivre la signalétique jusqu'au village Jacque Payet, prendre le chemin Barbadine.</t>
  </si>
  <si>
    <t>CSC58HTM</t>
  </si>
  <si>
    <t>Mode de paiment,E-Mail,Descriptif,Fournisseur - SIRET</t>
  </si>
  <si>
    <t>recE5pXjJa4NwgWXw</t>
  </si>
  <si>
    <t>Tagine (Le)</t>
  </si>
  <si>
    <t>Tagine (Le)
23, chemin de la Marine - Vincendo
97480 Saint-Joseph</t>
  </si>
  <si>
    <t>plage,sentier de randonnée,pêche,centre commercial,parking public,point de vue panoramique</t>
  </si>
  <si>
    <t>Carte Bancaire,Chèque,Chèques vacances,Tickets restaurant,Espèces</t>
  </si>
  <si>
    <t>samvalery9@gmail.com</t>
  </si>
  <si>
    <t>Des accents méditerranéens au Sud de la Réunion.</t>
  </si>
  <si>
    <t>Situé dans le village de Vincendo, Le Tagine est spécialisé dans les saveurs du Sud : couscous, pastillas, paellas. A découvrir également les saveurs australes, une délicieuse assiette de pays à base d’espadon.
Salle de réception pour banquet, mariage, communion, baptême, repas d’affaire, etc. 
Fermé le dimanche soir.</t>
  </si>
  <si>
    <t>Prendre la direction de Saint-Joseph puis Vincendo. A Vincendo, prendre le chemin de la Marine.</t>
  </si>
  <si>
    <t>Tagine (Le) - VALERY Samuel</t>
  </si>
  <si>
    <t>23, chemin de la Marine, 97412 Saint-Joseph</t>
  </si>
  <si>
    <t xml:space="preserve">Bouali Azedine : bouali1@hotmail.com / 0262373251 / 0692885924 / 0262373251 ,  0262373251 </t>
  </si>
  <si>
    <t>-21.37653225, 55.66864829</t>
  </si>
  <si>
    <t>Mode de paiment,Fax,E-Mail,Descriptif,Fournisseur - Nom</t>
  </si>
  <si>
    <t>recqyCMD3ckL0A0rX</t>
  </si>
  <si>
    <t>Tagine Bis (Le)</t>
  </si>
  <si>
    <t>Le tagine bis</t>
  </si>
  <si>
    <t>Tagine Bis (Le)
Rue Charles de Gaulle
97480 Saint-Joseph</t>
  </si>
  <si>
    <t>Restaurant rapide oriental situé au centre ville de Saint-Joseph. Le Tagine bis propose des spécialités marocaines. Repas sur place et à emporter.</t>
  </si>
  <si>
    <t>Prendre direction Saint-Joseph jusqu'au centre ville, le Tagine Bis est en face de la place François Mitterrand.</t>
  </si>
  <si>
    <t>-21.37785347, 55.62084804</t>
  </si>
  <si>
    <t>Mode de paiment,E-Mail,Fournisseur - Nom</t>
  </si>
  <si>
    <t>recS8eNGPOw7ATrRy</t>
  </si>
  <si>
    <t>Tangor (Le)</t>
  </si>
  <si>
    <t>Tangor (Le)
234, rue Jules Hoareau
Plaine des Grègues
97480 Saint-Joseph</t>
  </si>
  <si>
    <t>maison-du-curcuma@orange.fr</t>
  </si>
  <si>
    <t>Situé dans le Sud Sauvage à La Plaine des Grègues dans la commune de Saint-Joseph, le restaurant Le Tangor propose une cuisine créole.</t>
  </si>
  <si>
    <t>Tangor (Le) - M. BOYER</t>
  </si>
  <si>
    <t>234, rue Jules Hoareau - Plaine des Grègues, 97412 Saint-Joseph</t>
  </si>
  <si>
    <t xml:space="preserve"> 0262562646 ,  0262562646 </t>
  </si>
  <si>
    <t>-21.328011, 55.607834</t>
  </si>
  <si>
    <t>Mode de paiment,Mobile,E-Mail,Capacité,Fournisseur - Nom</t>
  </si>
  <si>
    <t>recBTZYAoY2XoBURV</t>
  </si>
  <si>
    <t>Técher Justine</t>
  </si>
  <si>
    <t>Técher Justine
27, rue Le Bord
97414 Entre-Deux</t>
  </si>
  <si>
    <t>Artisane de l'Entre-Deux, Justine  exploite les richesses du "choca", plante grasse de la famille des agavacées. Ses feuilles, rigides sont généralement munies d'une épine au bout et peuvent atteindre 2,50m de long. A maturité, du cœur se dégage une hampe florale de 4 à 7 m de haut, de laquelle les très nombreuses bulbilles aériennes se détachent et s'implantent de manière envahissante au détriment des espèces endémiques et indigènes de l'île.
A partir de cette plante sont fabriqués : boucles d'oreilles, colliers, porte-clés, sacs, porte-lettres et les indétrônables "Savates Choca".</t>
  </si>
  <si>
    <t>27, rue Le Bord, 97403 Entre-Deux</t>
  </si>
  <si>
    <t xml:space="preserve">Técher Justine : 0262395125 , Técher Justine : 0262395125 </t>
  </si>
  <si>
    <t>-21.247147, 55.472655</t>
  </si>
  <si>
    <t>27 Rue le Bord, Réunion</t>
  </si>
  <si>
    <t>Tèr'Léo</t>
  </si>
  <si>
    <t>Tèr'Léo
11 allée des Moellons
97414 Entre-Deux</t>
  </si>
  <si>
    <t>sci.terleo@gmail.com</t>
  </si>
  <si>
    <t>Située dans le village de l'Entre-Deux, Tèr'Léo propose une chambre d'hôte de 16 m² au rez de chaussée et s'ouvre sur une terrasse privée de 15 m².</t>
  </si>
  <si>
    <t>La chambre est équipée d'un lit de 160X200, d'un accès wifi gratuit et d'une salle de douche privative.
Accès à un vaste deck avec transats, une piscine, un spa, une place de parking. Le petit déjeuner est inclus.</t>
  </si>
  <si>
    <t>Tèr Lé O - Hoareau Pinel Céline</t>
  </si>
  <si>
    <t>11 rue Moellons, 97403 Entre-Deux</t>
  </si>
  <si>
    <t xml:space="preserve">Hoareau Pinel Céline : sci-terleo@gmail.com / 0693305359 / Propriétaire , Hoareau Pinel Céline : sci-terleo@gmail.com / 0693305359 / Propriétaire </t>
  </si>
  <si>
    <t>-21.251385, 55.47372</t>
  </si>
  <si>
    <t>CSC180HT@</t>
  </si>
  <si>
    <t>Allée des Moellons, 97414, Réunion</t>
  </si>
  <si>
    <t>Terre Rouge</t>
  </si>
  <si>
    <t>Terre Rouge
28 chemin Terre Rouge
Vincendo
97480 Saint-Joseph</t>
  </si>
  <si>
    <t>http://www.terre-rouge.re</t>
  </si>
  <si>
    <t>micro-ondes,parking,sanitaires privés,wifi,coffre-fort</t>
  </si>
  <si>
    <t>arrêt bus,commerce alimentaire,site - lieu culturel</t>
  </si>
  <si>
    <t>fabricedally@yahoo.fr</t>
  </si>
  <si>
    <t>Terre Rouge, c'est un grand jardin tropical et 3 bungalows en cryptoméria et moellons de basalte. La décoration y mêle mobilier ancien, objets chinés, créations locales et œuvres d'art.
Terre Rouge se veut différent et vous emmène ailleurs.</t>
  </si>
  <si>
    <t>Ici ni portes, ni fenêtres, les limites entre intérieurs et extérieurs sont brouillées et de grands rideaux préservent l'intimité de chacun.
Les sentiers dessinent des méandres au cœur de la végétation foisonnante. Tec-tec, cailles, tangues et caméléons jouent à cache-cache avec le visiteur.
A deux pas, Le Cap Jaune, la Marine de Vincendo et la Rivière Langevin.</t>
  </si>
  <si>
    <t xml:space="preserve">En venant de Saint-Joseph : passer Langevin, avant d'arriver au village de Vincendo, tourner à droite dans le chemin Terre rouge, 50 m après le bar "Chez Lydie". Se garer devant l'enseigne "Terre Rouge"
En venant de Saint-Philippe : Traverser le village de Vincendo. Passer devant la station-service et après deux virages, tourner à gauche dans le chemin Terre Rouge. Se garer devant l'enseigne "Terre Rouge" </t>
  </si>
  <si>
    <t xml:space="preserve">Lundi : 06:00 11:00 - 12:00 15:00,Mardi : 06:00 11:00 - 12:00 15:00,Mercredi : 06:00 11:00 - 12:00 15:00,Jeudi : 06:00 11:00 - 11:00 15:00,Vendredi : 06:00 11:00 - 11:00 15:00,Samedi : 06:00 11:00 - 11:00 00:00 </t>
  </si>
  <si>
    <t>Terre Rouge - Dally Fabrice</t>
  </si>
  <si>
    <t>28 chemin Terre Rouge, 97412 Saint-Joseph</t>
  </si>
  <si>
    <t xml:space="preserve">Dally Fabrice : fabricedally@yahoo.fr / 0692224620 / Propriétaire , Dally Fabrice : fabricedally@yahoo.fr / 0692224620 / Propriétaire </t>
  </si>
  <si>
    <t>-21.379, 55.664</t>
  </si>
  <si>
    <t>CSC331HT@</t>
  </si>
  <si>
    <t>28 Chemin Terre Rouge, 97480, Réunion</t>
  </si>
  <si>
    <t>reczL7XtXqh3gWzvV</t>
  </si>
  <si>
    <t>Terroir de Bras Sec Langevin</t>
  </si>
  <si>
    <t>Terroir de Bras de Langevin</t>
  </si>
  <si>
    <t>Terroir de Bras Sec Langevin
19, rue Edmond Michel - Les Jacques
Langevin
97480 Saint-Joseph</t>
  </si>
  <si>
    <t>mcpotin@live.fr</t>
  </si>
  <si>
    <t>A Saint-Joseph, Terroir de Bras Sec Langevin propose des produits faits maison.</t>
  </si>
  <si>
    <t>Une large gamme de produits péi est confectionnée, des confitures de letchi, mangue, mangue passion, ananas, papaye ..., des achards de légumes, papaye verte, chouchou, jacques et des coulis de fruits, fraise, ananas, mangue, papaye...</t>
  </si>
  <si>
    <t>A Saint-Joseph, quitter le centre ville et rouler sur 2 km environ vers Langevin.</t>
  </si>
  <si>
    <t>Terroir de Bras de Langevin - Potin Marlène</t>
  </si>
  <si>
    <t>19, rue Edmond Michel - Les Jacques, 97412 Saint-Joseph</t>
  </si>
  <si>
    <t xml:space="preserve">Potin Marlène : mcpotin@live.fr / 0692689477 / Gérant(e) , Potin Marlène : mcpotin@live.fr / 0692689477 / Gérant(e) </t>
  </si>
  <si>
    <t>-21.37571, 55.634872</t>
  </si>
  <si>
    <t>recMRfMNb8z5QK5yw</t>
  </si>
  <si>
    <t>Théâtre d'Azur</t>
  </si>
  <si>
    <t>Théâtre d'Azur
87, rue du Général de Gaulle
97430 Le Tampon</t>
  </si>
  <si>
    <t>taz@showcomail.com</t>
  </si>
  <si>
    <t>Théâtre associatif, le Théâtre d'Azur propose tout au long de l'année des créations, des évènements culturels variés, des pièces de théâtre. le théâtre accueille des scolaires.</t>
  </si>
  <si>
    <t>Théâtre d'Azur - Folio François</t>
  </si>
  <si>
    <t>87, rue du Général de Gaulle, 97422 Le Tampon</t>
  </si>
  <si>
    <t xml:space="preserve">Folio François : theatreazur@orange.fr / 0262276516 / 0692333104 / 0262577402 ,  taz@showcomail.com / 0262276516 / 0692333104 / 0262577402 </t>
  </si>
  <si>
    <t>-21.273298, 55.516796</t>
  </si>
  <si>
    <t>Mode de paiment,Mobile,Fax</t>
  </si>
  <si>
    <t>recYRuItssPbSiSUL</t>
  </si>
  <si>
    <t>Théâtre Luc Donat</t>
  </si>
  <si>
    <t>Théâtre Luc Donat
20, rue Victor le Vigoureux
97430 Le Tampon</t>
  </si>
  <si>
    <t>http://www.theatrelucdonat.re</t>
  </si>
  <si>
    <t>direction@theatrelucdonat.re</t>
  </si>
  <si>
    <t>Situé au Tampon, le Théâtre Luc Donat présente les mardis, vendredis et samedis, des récitals classiques, des concerts de jazz, des spectacles de variétés, des troupes folkloriques, des pièces de théâtre, des conférences, des galas de danse.</t>
  </si>
  <si>
    <t>Mardi :  -,Vendredi :  -,Samedi :  -</t>
  </si>
  <si>
    <t>Théâtre Luc Donat - Eric Juré</t>
  </si>
  <si>
    <t>20, rue Victor-le Vigoureux, 97422 Le Tampon</t>
  </si>
  <si>
    <t xml:space="preserve"> direction@theatrelucdonat.re / 0262272436 / 0262571757 ,  direction@theatrelucdonat.re / 0262272436 / 0262571757 </t>
  </si>
  <si>
    <t>-21.280437, 55.520246</t>
  </si>
  <si>
    <t>Mode de paiment,Fax,Fournisseur - Nom</t>
  </si>
  <si>
    <t>20 Rue Victor le Vigoureux, Le Tampon 97430, Réunion</t>
  </si>
  <si>
    <t>Ti Breizh - La Crêperie du Tampon</t>
  </si>
  <si>
    <t>Ti Breizh - La Crêperie du Tampon
32, rue Marius et Ary Leblond
97430 Le Tampon</t>
  </si>
  <si>
    <t>Au Tampon, Ti Breizh La Crêperie du Tampon propose une cuisine bio et sans gluten.</t>
  </si>
  <si>
    <t>Des galettes, des crêpes sucrées, ... sont proposées. Ouvert du lundi au dimanche de 11h à 23h, fermé le mardi et le mercredi.
Zone fumeur, plats à emporter et sur place.</t>
  </si>
  <si>
    <t>32, rue Marius et Ary Leblond, 97422 Le Tampon</t>
  </si>
  <si>
    <t xml:space="preserve"> 0262195878 ,  0262195878 </t>
  </si>
  <si>
    <t>-21.272945, 55.525141</t>
  </si>
  <si>
    <t>Rue Marius et Ary Leblond, Réunion</t>
  </si>
  <si>
    <t>Ti Coin Charmant</t>
  </si>
  <si>
    <t>Boutonnet Sabrina</t>
  </si>
  <si>
    <t>Ti Coin Charmant
4, rue Station de Transit - Manapany Grègues
97480 Saint-Joseph</t>
  </si>
  <si>
    <t>http://www.ticoincharmant.fr</t>
  </si>
  <si>
    <t>barbecue,climatisation,jardin,lave linge collectif,linge de maison,parking,TV</t>
  </si>
  <si>
    <t>plage,pêche,centre commercial,parking public,site - lieu culturel,point de vue panoramique</t>
  </si>
  <si>
    <t>ticoincharmant@hotmail.fr</t>
  </si>
  <si>
    <t>Situé à Saint-Joseph, Ti Coin Charmant dispose de 3 bungalows. Un T2 avec une chambre, un T3 avec 2 chambres (dont une avec 2 petits lits) et un T4 avec 3 chambres, une grande cuisine ouverte équipée avec salle à manger.</t>
  </si>
  <si>
    <t>Toutes les structures sont équipées d'un coin cuisine équipée, un coin salon, une salle de douche et une terrasse avec vue sur mer. Lit bébé à disposition.
Tarifs dégressifs à partir de la 2ème semaine.</t>
  </si>
  <si>
    <t>Sur la commune de Saint Joseph, à l'entrée ouest de la ville, tourner à droite à la première intersection juste après le rond-point, la structure est au n°4.</t>
  </si>
  <si>
    <t>Ti Coin Charmant - Boutonnet Sabrina</t>
  </si>
  <si>
    <t>4, rue Station de Transit, 97412 Saint-Joseph</t>
  </si>
  <si>
    <t xml:space="preserve">Boutonnet Sabrina : ticoincharmant@hotmail.fr / 0692279043 / Gérant(e) ,  ticoincharmant@hotmail.fr / 0692279043 </t>
  </si>
  <si>
    <t>-21.37814184, 55.60329256</t>
  </si>
  <si>
    <t>4 Rue de la Station Transit, Manapany-Les-Bains, Réunion</t>
  </si>
  <si>
    <t>recJEh4m2mJI2sOAe</t>
  </si>
  <si>
    <t>Ti Comptoir (Le)</t>
  </si>
  <si>
    <t>Ti Comptoir (Le)
15 rue Leconte de Lisle
97480 Saint-Joseph</t>
  </si>
  <si>
    <t>leticomptoir@gmail.com</t>
  </si>
  <si>
    <t>Situé à Saint-Joseph, Le Ti Comptoir est un restaurant bistronomique. Ouvert depuis mi-avril 2019;</t>
  </si>
  <si>
    <t>Le restaurant propose une cuisine métropolitaine avec des produits locaux.
Décoration artisanale et locale en bois, palette, métal, coco et vacoa.
Restaurant ouvert du mardi au samedi de 11h45 à 14h et de 18h45 à 22h. Fermé le samedi midi.</t>
  </si>
  <si>
    <t>En venant de l'ouest, direction Saint-Joseph, prendre la direction du centre ville, après le pont de la rivière des Remparts et le petit giratoire, le restaurant se trouve en haut à gauche.</t>
  </si>
  <si>
    <t>Ti Comptoir - Cany Fanny</t>
  </si>
  <si>
    <t>211 rue Raphaël Babet, 97412 Saint-Joseph</t>
  </si>
  <si>
    <t>Cany Fanny : cany.fanny@gmail.com / 0262870721 / 0692668534 / Gérant(e)</t>
  </si>
  <si>
    <t>-21.376444, 55.616478</t>
  </si>
  <si>
    <t>15 Rue du Général de Gaulle, 97480, Réunion</t>
  </si>
  <si>
    <t>recLffXHD0G3WAVqh</t>
  </si>
  <si>
    <t>Ti kan</t>
  </si>
  <si>
    <t>Ti kan
217, route du Volcan
Plaine des Cafres
97418 La Plaine des Cafres</t>
  </si>
  <si>
    <t>Situé à La Plaine des Cafres, sur la route du volcan, le restaurant Ti kan propose une cuisine créole.</t>
  </si>
  <si>
    <t>Le restaurant propose également le petit déjeuner, des samoussas, bouchons, gâteaux péi, poulet grillé le week-end. Repas sur place et à emporter. Ouvert tous les jours de 7h à 22h non stop.</t>
  </si>
  <si>
    <t>Tikan - Payet Josie</t>
  </si>
  <si>
    <t>217, route du Volcan, 97422 Le Tampon</t>
  </si>
  <si>
    <t xml:space="preserve">Payet Josie : 0262275170 / 0692411677 ,  0262275170 / 0692411677 </t>
  </si>
  <si>
    <t>-21.204058, 55.598863</t>
  </si>
  <si>
    <t>Route du volcan, Bourg-Murat, Ile de La Réunion, Route du Volcan, La Plaine des Cafres, Réunion</t>
  </si>
  <si>
    <t>Ti Kaz Chanu</t>
  </si>
  <si>
    <t>Ti Kaz Chanu
109 route du Grand Coude
97480 Saint-Joseph</t>
  </si>
  <si>
    <t>Doté d’un jardin, d’un bar et d’un salon commun, le TI KAZ CHANU propose un hébergement à Saint-Joseph, à 29 km de Saint-Pierre. Une connexion Wi-Fi est disponible gratuitement, et vous pourrez profiter d’un parking privé sur place.
Cette chambre d’hôtes comprend une salle de bains.
Un petit-déjeuner continental ou à la carte est servi sur place.
Une terrasse est également à votre disposition.</t>
  </si>
  <si>
    <t>109 route de Grand Coude, 97412 Saint-Joseph</t>
  </si>
  <si>
    <t>-21.319704, 55.630822</t>
  </si>
  <si>
    <t>109 Route de Grand Coude, 97480, Réunion</t>
  </si>
  <si>
    <t>recUIgVhbOSmVZOpH</t>
  </si>
  <si>
    <t>Ti Kaz l'Endormi</t>
  </si>
  <si>
    <t>Ti Kaz l'Endormi
106, rue de la Passerelle
Langevin
97480 Saint-Joseph</t>
  </si>
  <si>
    <t>barbecue,fer et planche à repasser,four,lave linge privatif,lecteur DVD,micro-ondes,parking,TV,ventilateur,wifi</t>
  </si>
  <si>
    <t>arrêt bus,sentier de randonnée,commerce alimentaire,riviere</t>
  </si>
  <si>
    <t>tikazlendormi@orange.fr</t>
  </si>
  <si>
    <t>Entre la plage de Grande Anse et le domaine des Laves de Saint-Philippe, Ti Kaz l'Endormi propose un meublé de tourisme classé 4 étoiles pouvant accueillir 4 à 5 personnes.</t>
  </si>
  <si>
    <t>Ce gite accueille les visiteurs dans un lieu calme et retiré, à 100 m de la Rivière Langevin où il fait bon se baigner et pique-niquer (matériel sur demande). 
A proximité de la cascade de Grand Galet, possibilité de profiter des plaisirs de l'eau (canyoning, rappels, sauts et tyroliennes) C'est le point de départ de nombreuses randonnées et de la découverte de sites remarquables (Cap Blanc, Petit Serré, Pointe de la Table, tunnels de laves...) 
Maison indépendante avec une cuisine entièrement équipée, un grand séjour de 36 m², une salle d'eau avec douche à l'italienne et WC indépendant, 2 chambres de 12 m² chacune (lit enfant ou lit bébé supplémentaire sur demande), un deck de 15 m² et un barbecue. Les tarifs s'entendent pour 4 personnes.</t>
  </si>
  <si>
    <t>Prendre direction rivière Langevin, longer les berges sur environ 800 m. Prendre l'impasse à droite avant le restaurant Chez Mallet.</t>
  </si>
  <si>
    <t>Ti Kaz l'Endormi - Gauthe Brigitte</t>
  </si>
  <si>
    <t>108, rue de la Passerelle, 97412 Saint-Joseph</t>
  </si>
  <si>
    <t xml:space="preserve">Gauthe Brigitte : brigitte.gauthe974@orange.fr / 0262319011 / 0693991335 / Propriétaire , Gauthe Brigitte : tikazlendormi@orange.fr / 0693991335 / Propriétaire </t>
  </si>
  <si>
    <t>-21.375278, 55.650278</t>
  </si>
  <si>
    <t>CSC52HTG</t>
  </si>
  <si>
    <t>106 Rue De La Passerelle, 97480, Réunion</t>
  </si>
  <si>
    <t>recF7jALDXSn1wIxA</t>
  </si>
  <si>
    <t>Ti Kaz Papang Lé O La Réunion</t>
  </si>
  <si>
    <t>Ti Kaz Papang Lé O La Réunion
2, impasse des Chicorées
Plaine des Cafres
97418 La Plaine des Cafres</t>
  </si>
  <si>
    <t>Au cœur de l'île de La Réunion, située entre l'Est et le Sud, Ti Kaz Papang Lé O La Réunion est équipée pour 4 personnes.</t>
  </si>
  <si>
    <t>A proximité de la Maison du Volcan, du Parc National, des sentiers de randonnées ( grand Bassin, le Piton des Neiges, le Piton de la Fournaise, ... ).
Idéale pour découvrir l'intérieur de l'île et pour les randonneurs avec ou sans enfants et bébé (matériel pour bébé à disposition).
Entre terre et mer   à la fois de la fraîcheur des hauts et la chaleur des plages de Saint-Pierre (à 30 min).
Vue imprenable sur le Piton Hyacinthe et le Grand Sud. La maison dispose de 2 chambres doubles.</t>
  </si>
  <si>
    <t xml:space="preserve">De Saint-Benoît, suivre la RN3 jusqu'à l'église de La Plaine des Cafres (à gauche) et tourner à droite après l'église et avant la supérette Simply. Prendre la direction Bois Court (D70, chemin Raphaël Douyère jusqu'à la charcuterie Payet à droite, continuer sur 200 m, tourner à gauche chemin Frappier de Mont Benoît, faire environ 1 km jusqu'à l'impasse des Chicorées. 
Du Tampon, prendre la RN3 jusqu'à La Plaine des Cafres, passer devant la pharmacie de la Plaine (à droite) et tourner à gauche après la supérette Simply. Prendre la direction Bois Court (D70, chemin Raphaël Douyère jusqu'à la charcuterie Payet à droite, continuer sur 200 m, tourner à gauche chemin Frappier de Mont Benoît, faire environ 1 km jusqu'à l'impasse des Chicorées. </t>
  </si>
  <si>
    <t xml:space="preserve">Chassenieux Sonia : s.chassenieux@orange.fr / 0692607912 , CHASSENIEUX Sonia : s.chassenieux@orange.fr / 0692607912 / Propriétaire , CHASSENIEUX Sonia : s.chassenieux@orange.fr / 0692607912 / Propriétaire </t>
  </si>
  <si>
    <t>-21.212236, 55.544058</t>
  </si>
  <si>
    <t>CSC176HT@</t>
  </si>
  <si>
    <t>Mode de paiment,E-Mail,Descriptif,Descriptif du plan d'accès,Fournisseur - contacts</t>
  </si>
  <si>
    <t>55 Chemin du Piton Tresor, La Montagne 97400, Réunion</t>
  </si>
  <si>
    <t>recHUZ07cENhdZKpX</t>
  </si>
  <si>
    <t>Ti Pany</t>
  </si>
  <si>
    <t>Ti Pany
Boulevard de l'Océan
97480 Saint-Joseph</t>
  </si>
  <si>
    <t>Le Ti Pany propose des pizzas, des galettes bretonnes, des crêpes et des desserts confectionnés de manière artisanale.</t>
  </si>
  <si>
    <t>Boulevard de l'Océan, 97412 Saint-Joseph</t>
  </si>
  <si>
    <t xml:space="preserve"> 0692284511 ,  0692284511 </t>
  </si>
  <si>
    <t>-21.374267, 55.590985</t>
  </si>
  <si>
    <t>127 Blvrd de l'Ocean, Manapany-Les-Bains 97480, Réunion</t>
  </si>
  <si>
    <t>recunAFuk5TAReriR</t>
  </si>
  <si>
    <t>Ti Po Péi</t>
  </si>
  <si>
    <t>Ti Po Péi
3, RN2 - Le Tremblet
Tremblet
97442 Saint-Philippe</t>
  </si>
  <si>
    <t>tipopei@yahoo.fr</t>
  </si>
  <si>
    <t>Située dans le Village Créole de Saint- Philippe, Ti Po Péi est une petite entreprise artisanale de confitures et sauces faits maison. Ti Po Péi travaille uniquement avec les fruits de La Réunion et le sucre de canne. La gamme utilisée évolue selon les saisons et comprend entre 25 et 30 parfums (classique, épicé, original et fruits lontan). Sur simple appel la commande est possible.</t>
  </si>
  <si>
    <t xml:space="preserve">De l'Ouest, passer le centre ville de Saint-Philippe, continuer jusqu'au village du Tremblet, les locaux de Ti Po Péi se trouvent juste à gauche de l'Escale Bleue.
De l'Est, passer le restaurant Chez Moustache, les locaux de Ti Po Pei se trouve juste à droite de l'Escale Bleue. </t>
  </si>
  <si>
    <t>Ti Po Péi - Petit Fanny</t>
  </si>
  <si>
    <t>3, RN2 - le Tremblet, 97417 Saint-Philippe</t>
  </si>
  <si>
    <t xml:space="preserve">Petit Fanny : tipopei@yahoo.fr / 0262886034 / 0692647767 , Petit Fanny : tipopei@yahoo.fr / 0692647767 </t>
  </si>
  <si>
    <t>-21.325418, 55.800201</t>
  </si>
  <si>
    <t>3 RN2, Réunion</t>
  </si>
  <si>
    <t>recEt9TvXlcLiFND3</t>
  </si>
  <si>
    <t>Ti Vacoa (Le)</t>
  </si>
  <si>
    <t>Ti Vacoa (Le)
80 RN2 - Piscine du Baril
97442 Saint-Philippe</t>
  </si>
  <si>
    <t>Le snack-bar Le Ti Vacoa est situé près de la piscine du Baril.</t>
  </si>
  <si>
    <t>Il propose des sandwichs, des salades et des grillades sur place ou à emporter.
Ouvert de 10h30 à 15h et de 18h à 21h le mardi, mercredi, vendredi et samedi; le jeudi de 10h30 à 15h et le dimanche de 10h30 à 17h. Fermé le lundi.</t>
  </si>
  <si>
    <t>Piscine du Baril, 97417 Saint-Philippe</t>
  </si>
  <si>
    <t xml:space="preserve"> 0262978106 ,  0262978106 </t>
  </si>
  <si>
    <t>-21.368912, 55.732617</t>
  </si>
  <si>
    <t>Adresse,Mode de paiment,Mobile,Capacité,Descriptif,Fournisseur - SIRET</t>
  </si>
  <si>
    <t>recANudWFIVSR0rBm</t>
  </si>
  <si>
    <t>Ti' Resto Lontan (Le)</t>
  </si>
  <si>
    <t>Ti' Resto Lontan (Le)
RN3 PK27 - Bourg Murat
Bourg Murat
97418 La Plaine des Cafres</t>
  </si>
  <si>
    <t>Situé à Bourg Murat, le restaurant Ti' Resto Lontan propose une cuisine typiquement créole au feu de bois. Le restaurant est ouvert 7j/7 de 11h30 à 22h. Menu à la carte et plats à emporter.
Animations ponctuelles : karaoké.</t>
  </si>
  <si>
    <t xml:space="preserve">Venant du Sud : depuis la Tour des Azalées, prendre la RN3 direction Bourg Murat / Maison du Volcan. Ti' Resto Lontan se situe face à la maison du Volcan à gauche.
Venant des Plaines : rouler jusqu'au village de Bourg-Murat, le restaurant se trouve face à la Maison du Volcan à droite. </t>
  </si>
  <si>
    <t>RN3 PK27 - Bourg Murat, 97422 Le Tampon</t>
  </si>
  <si>
    <t xml:space="preserve"> 0262439042 / 0069234064 ,  0262439042 / 0692340654 </t>
  </si>
  <si>
    <t>-21.2024893,55.57381340000001</t>
  </si>
  <si>
    <t>40 RN3, La Plaine des Cafres, Réunion</t>
  </si>
  <si>
    <t>Tibouchina (Le)</t>
  </si>
  <si>
    <t>Tibouchina (Le)
25, chemin Ferrier Lebon - Piton Hyacinthe
Plaine des Cafres
97418 La Plaine des Cafres</t>
  </si>
  <si>
    <t>barbecue,jardin,lave linge privatif,linge de maison</t>
  </si>
  <si>
    <t>letibouchina-reservation@orange.fr</t>
  </si>
  <si>
    <t>Situé à la Plaine des Cafres, Le Tibouchina dispose de 3 chambres dont 2 doubles et une twin. L'espace cuisine aménagé et la cheminée se trouvent dans le séjour. Coin détente sous la véranda.</t>
  </si>
  <si>
    <t>Depuis les Plaines : au rond-point de l'aéroport prendre la direction de Saint-Benoît par la 2 voies. Prendre direction Saint-Pierre par la Plaine des Palmistes, puis la Plaine des Cafres puis Tampon. Suivre la RN3 jusqu'au 20ème km au rond-point prendre direction Piton Hyacinthe passer l'église tourner à gauche. A la prochaine intersection prendre à droite chemin Ferrier Lebon suivre le chemin avant la citerne tourner à gauche et jusqu'au numéro 25.</t>
  </si>
  <si>
    <t>Tibouchina (Le) - Velia Jean Fred</t>
  </si>
  <si>
    <t>82, chemin des Acacias - Piton Hyacinthe, 97422 Le Tampon</t>
  </si>
  <si>
    <t xml:space="preserve">Velia Jean Fred : letibouchina-reservation@orange.fr / 0262355843 / 0692233195 / 0692526124 / 0262385843 / Propriétaire , Velia Jean Fred : letibouchina-reservation@orange.fr / 0262385843 / 0692233195 / 0262385843 </t>
  </si>
  <si>
    <t>-21.22295, 55.526974</t>
  </si>
  <si>
    <t>25 Chemin Ferrier Lebon, La Plaine des Cafres, Réunion</t>
  </si>
  <si>
    <t>recxNoi9kbaEno5Up</t>
  </si>
  <si>
    <t>Tikazhoareau</t>
  </si>
  <si>
    <t>Tikazhoareau
270, rue Emile Zola - Pont d'Yves
97430 Le Tampon</t>
  </si>
  <si>
    <t>http://www.tikazhoareau.com</t>
  </si>
  <si>
    <t>chauffage,parking,salle de bain privée,sanitaires privés,TV,ventilateur,wifi,jacuzzi</t>
  </si>
  <si>
    <t>francelointaine@hotmail.com</t>
  </si>
  <si>
    <t>Située au Tampon, Tikazhoreau dispose de 3 chambres d'hôtes de charme, calme et sérénité.</t>
  </si>
  <si>
    <t>Les 3 chambres doubles sont équipées de salle de bain et de sanitaireS privés.
Recommandées pour couple recherchant détente et bien-être. Sauna et spa privatifs.
Repas sur place sur réservation, départ de randonnées, à proximité du Volcan, de Cilaos et du Sud Sauvage.</t>
  </si>
  <si>
    <t xml:space="preserve">A partir de Pierrefonds, prendre direction La Ravine des Cabris, puis Bras de Pontho et Pont d'Yves, Tikazhoareau se trouve au n° 270, rue Emile Zola.
A partir de la RN3, au rond-point du 14ème km, prendre direction Pont d'Yves, Tikazhoareau se trouve au n° 270, rue Emile Zola. </t>
  </si>
  <si>
    <t>Ticazhoareau - Hoareau Yves</t>
  </si>
  <si>
    <t>270, rue Emile Zola - Pont d'Yves, 97422 Le Tampon</t>
  </si>
  <si>
    <t xml:space="preserve">Hoareau Yves : francelointaine@hotmail.com / 0262719514 / 0692682075 / Propriétaire , Hoareau Yves : francelointaine@hotmail.com / 0692682075 / Propriétaire </t>
  </si>
  <si>
    <t>-21.235, 55.502</t>
  </si>
  <si>
    <t>CSC73HTJ</t>
  </si>
  <si>
    <t>270 Chemin Emile Zola _, 97430, Réunion</t>
  </si>
  <si>
    <t>recnR46WWlEHXWJwF</t>
  </si>
  <si>
    <t>Tillandsia</t>
  </si>
  <si>
    <t>Tillandsia
31, rue Gabriel Macé - Langevin
Langevin
97480 Saint-Joseph</t>
  </si>
  <si>
    <t>http://www.tillandsia.re</t>
  </si>
  <si>
    <t>barbecue,fer et planche à repasser,parking,TV,wifi</t>
  </si>
  <si>
    <t>4 Epi(s),3 Etoile(s)</t>
  </si>
  <si>
    <t>Dans le Sud Sauvage, à Saint-Joseph, Tillandsia est un bel appartement de plain-pied pour 2 personnes.</t>
  </si>
  <si>
    <t>Il comprend un salon, une cuisine équipée avec coin repas, un espace de vie en extérieur sous le kiosque.
A proximité toutes les commodités.</t>
  </si>
  <si>
    <t>-21.385236, 55.646047</t>
  </si>
  <si>
    <t>https://book.reunion.fr/fr/hebergements/a1763705/tillandsia/reserver? | Réunion.fr</t>
  </si>
  <si>
    <t>CSC84HTL</t>
  </si>
  <si>
    <t>Site web,Mode de paiment,Descriptif,Fournisseur - SIRET</t>
  </si>
  <si>
    <t>recITvrU1rCT4eguQ</t>
  </si>
  <si>
    <t>Tinto (Le)</t>
  </si>
  <si>
    <t>Tinto (Le)
133, rue Jean de Fos du Rau - 23ème km
Plaine des Cafres
97418 La Plaine des Cafres</t>
  </si>
  <si>
    <t>Situé à la Plaine des Cafres, le restaurant Le Tinto propose une cuisine savoyarde, des menus du jour et à la carte. 
A partir de 4 €. Non stop le dimanche.
Fermeture le lundi et le mardi toute la journée.</t>
  </si>
  <si>
    <t>133, rue de Fos du Rau -23ème km, 97422 Le Tampon</t>
  </si>
  <si>
    <t xml:space="preserve"> 0262591303 ,  0262591303 </t>
  </si>
  <si>
    <t>-21.22128669, 55.55497578</t>
  </si>
  <si>
    <t>Tampon (Le), Réunion</t>
  </si>
  <si>
    <t>Tit Caze Gilbert</t>
  </si>
  <si>
    <t>Tit Caze Gilbert
Dimitile
97414 Entre-Deux</t>
  </si>
  <si>
    <t>gilbertlorion@gmail.com</t>
  </si>
  <si>
    <t>Situé sur le plateau du Dimitile à 1800 m d'altitude, Tit Caze Gilbert donne accès à une vue panoramique sur Cilaos.</t>
  </si>
  <si>
    <t>Le gîte se compose d'un dortoir de 12 places avec sanitaires communs, un chalet de 8 personnes (4 lits doubles)  et d'une cabane perchée comprenant une chambre.
Possibilité de cuisiner sur place au feu de bois ou au feu de gaz. Gilbert accompagne et conte pendant l'ascension la botanique et l'histoire du Dimitile.</t>
  </si>
  <si>
    <t>Accès: depuis le sentier Bœuf, le sentier Zèbre ou Grande Jument, à pieds ou en 4x4.</t>
  </si>
  <si>
    <t>Tit Caze Gilbert - Lorion Gilbert</t>
  </si>
  <si>
    <t>11, impasse Kerinval - Pont d'Yves, 97422 Le Tampon</t>
  </si>
  <si>
    <t xml:space="preserve">Lorion Gilbert : gailon_lorion@yahoo.fr / 0692880722 / Propriétaire , Lorion Gilbert : gilbertlorion@gmail.com / 0692589294 / 0692880722 / Propriétaire </t>
  </si>
  <si>
    <t>-21.1982018, 55.4953218</t>
  </si>
  <si>
    <t>CSC100HTA</t>
  </si>
  <si>
    <t>rec1RPdKGg2xh4SQ3</t>
  </si>
  <si>
    <t>Toi + Moi</t>
  </si>
  <si>
    <t>Toi + Moi
48 A, chemin de la Chapelle Notre Dame de la Paix
Plaine des Cafres
97418 La Plaine des Cafres</t>
  </si>
  <si>
    <t>barbecue,four,lecteur DVD,micro-ondes,parking,TV</t>
  </si>
  <si>
    <t>Situé à la Plaine des Cafres, à Notre Dame de la Paix, le Meublé de de Tourisme  Toi   Moi est un petit chalet tout en bois. Il dispose d'une entrée indépendante, d'un jacuzzi, d'une cuisine équipée, d'un coin salon et chambre. Le chalet est doté d'un poêle à bois, de mobilier typiquement créole, d'une balnéo pour deux personnes, d'une cheminée, d'un lit baldaquin, d'une balancelle, d'un kiosque de jardin..</t>
  </si>
  <si>
    <t>Prendre direction la Plaine des Cafres, puis chemin Notre Dame de la Paix; traverser le village de Petite Ferme, la foret de Tamarins, en arrivant au village de Notre Dame de la Paix, prendre chemin Notre Dame de la Paix la Chapelle et rouler jusqu'au n° 48 A.</t>
  </si>
  <si>
    <t>-21.252, 55.583</t>
  </si>
  <si>
    <t>CSC92HTK</t>
  </si>
  <si>
    <t>D36, La Plaine des Cafres, Réunion</t>
  </si>
  <si>
    <t>recLwYJ5mSKfz2cY4</t>
  </si>
  <si>
    <t>Tomie (La)</t>
  </si>
  <si>
    <t>Tomie (La)
11 rue Henry Mussard
97480 Saint-Joseph</t>
  </si>
  <si>
    <t>jluc.lebon974@gmail.com</t>
  </si>
  <si>
    <t>La Tomie est une charmante villa sur Saint Joseph avec sa piscine privée et chauffée dans un endroit calme et sans vis à vis, proche du centre ville (2 mn en voiture) et de toutes commodités, idéale pour visiter le sud sauvage. Elle dispose d'une terrasse donnant sur la piscine avec une barrière sécurisée, d'une cuisine ouverte sur la pièce à vivre, de 3 chambres dont 2 climatisées, d'une salle de bain avec 2 vasques. Les toilettes sont indépendantes. La villa dispose d'un abri voiture sécurisé.</t>
  </si>
  <si>
    <t>Tomie (La) - Lebon Jean-Luc et Florence</t>
  </si>
  <si>
    <t>58 bis rue Léon Dierx - 97480 Saint-Joseph</t>
  </si>
  <si>
    <t>Lebon Jean-Luc et Florence : jluc.lebon974@gmail.com / 0692870933</t>
  </si>
  <si>
    <t>-21.379012, 55.627964</t>
  </si>
  <si>
    <t>CSC272HT@</t>
  </si>
  <si>
    <t>Autre téléphone,Capacité,Fournisseur - Nom,Fournisseur - adresse,Fournisseur - contacts</t>
  </si>
  <si>
    <t>11 Rue Henry Mussard, Réunion</t>
  </si>
  <si>
    <t>Tonga-Soa</t>
  </si>
  <si>
    <t>Tonga-Soa
13, allée des Poivriers
97430 Le Tampon</t>
  </si>
  <si>
    <t>http://www.le-tonga-soa.com</t>
  </si>
  <si>
    <t>Bungalow &amp; Chalet,Chambre meublée</t>
  </si>
  <si>
    <t>barbecue,lave linge collectif,linge de maison,parking,piscine,TV,wifi</t>
  </si>
  <si>
    <t>Au Tampon Tonga-Soa propose 3 bungalows et 8 chambres meublées.
Ambiance conviviale et sympathique.</t>
  </si>
  <si>
    <t>3 bungalows tout confort, kitchenette, salle de bain et terrasse. 8 chambres doubles avec douche et wc.Tonga-Soa dispose de 2 cuisines équipées, salon/séjour, télévison, salle à manger, varangue, et bibliothèque. 2 machines à laver le linge sont également disponibles.
Le linge de maison vous est fourni.
Piscine, Wifi, cuisine au feu de bois, barbecue. Animaux acceptés</t>
  </si>
  <si>
    <t>13, allée des Poivriers, 97422 Le Tampon</t>
  </si>
  <si>
    <t xml:space="preserve"> 0262106442 / 0692729144 ,  0262106442 / 0692729144 </t>
  </si>
  <si>
    <t>-21.258673, 55.529706</t>
  </si>
  <si>
    <t>Tortue Jaune (La)</t>
  </si>
  <si>
    <t>Tortue Jaune (La)
1, rue Marius et Ary Lebond
97480 Saint-Joseph</t>
  </si>
  <si>
    <t>Située à Saint-Joseph, la galerie La Torture Jaune à travers des expositions propose les œuvres d'artistes locaux et internationaux. Possibilité de stage pour les scolaires. Ouvert du mardi au samedi de 10h à 12h &amp; de 14h à 17h et fermé le lundi matin.</t>
  </si>
  <si>
    <t>Lundi :  - 14:00 17:00,Mardi : 10:00 12:00 - 14:00 17:00,Mercredi : 10:00 12:00 - 14:00 17:00,Jeudi : 10:00 12:00 - 14:00 17:00,Vendredi : 10:00 12:00 - 14:00 17:00</t>
  </si>
  <si>
    <t>-21.376504, 55.615236</t>
  </si>
  <si>
    <t>recJCSU5RfkAe6qm4</t>
  </si>
  <si>
    <t>Tourne Broche (Le)</t>
  </si>
  <si>
    <t>Tourne Broche (Le)
303, RN 3 PK 28
Bourg Murat
97418 La Plaine des Cafres</t>
  </si>
  <si>
    <t>tourne-broche@live.fr</t>
  </si>
  <si>
    <t>Situé à la Plaine des Cafres, dans un cadre agréable et chaleureux, le Tourne Broche propose une cuisine métissée. Moment convivial assuré dans sa salle chauffée.</t>
  </si>
  <si>
    <t>Animation musicale le dimanche, contacter le restaurant pour les dates et ne pas oublier de réserver. Formule buffet le dimanche midi. Le restaurant propose également la formule réception.
Pour les baptêmes, communions, conférences, contacter le Tourne Broche. Ouvert du mardi au dimanche uniquement le midi sauf réception le soir. Accès personne à mobilité réduite.</t>
  </si>
  <si>
    <t xml:space="preserve">Depuis le Sud , prendre la 4 voies en direction du Tampon/Plaine des Cafres et aller jusqu'au village de Bourg Murat. Le restaurant se trouve 1 km après la sortie du village à gauche de la RN 3.
Depuis les Plaines, suivre la RN 3, le restaurant se situe à 1 km avant l'entrée du village de Bourg Murat à droite de la RN 3. </t>
  </si>
  <si>
    <t>Tourne Broche (Le) - Chane-Bone-Kane Patrick</t>
  </si>
  <si>
    <t>303, RN 3 - PK 28, 97422 Le Tampon</t>
  </si>
  <si>
    <t xml:space="preserve">Chane-Bone-Kane Patrick : tourne-broche@live.fr / 0262275194 / 0692827810 / 0262592644 ,  tourne-broche@live.fr / 0262275194 / 0692827810 </t>
  </si>
  <si>
    <t>-21.20395947, 55.5793037</t>
  </si>
  <si>
    <t>recjjoewAKm3r8jAv</t>
  </si>
  <si>
    <t>Travel Island</t>
  </si>
  <si>
    <t>Travel Island
5B, chemin de l'Ecole - La Pointe
97430 Le Tampon</t>
  </si>
  <si>
    <t>http://www.travelisland.net</t>
  </si>
  <si>
    <t>stephane@travelisland.net</t>
  </si>
  <si>
    <t>Travel Island propose des transferts aéroport, des journées d'excursions sur toute l'île et tous les déplacements privés ou professionnels.</t>
  </si>
  <si>
    <t>A disposition : boissons fraîches, friandises, chargeur de smartphone, accès internet, rehausseurs (sur demande).
Service personnalisé en français et en anglais.
Travel Island dispose d'une Mercedes Viano, configuration limousine (4 fauteuils   1 à l'avant soit 5 passagers).
Professionnel, discret et ponctuel dans un véhicule tout confort.
Travel Island assure les déplacements en toute discrétion (vitres teintées).
Les tarifs seront toujours communiqués avant le départ en fonction de la prestation demandée. Grâce aux chauffeurs expérimentés et compétents de Travel Island, le transport sera assuré à destination dans les temps.</t>
  </si>
  <si>
    <t>Travel Island - Devid Stéphane</t>
  </si>
  <si>
    <t>15;, chemin de l'Ecole, 97422 Le Tampon</t>
  </si>
  <si>
    <t xml:space="preserve">Devid Stéphane : stephane@travelisland.net / 0692682020 / Gérant(e) ,  stephane@travelisland.net / 0692682020 </t>
  </si>
  <si>
    <t>-21.295278, 55.515556</t>
  </si>
  <si>
    <t>recxZ5YbApJif1kbL</t>
  </si>
  <si>
    <t>Troêne (Le)</t>
  </si>
  <si>
    <t>Troêne (Le)
23 rue Jean Defos Du Rau - RN3 PK22
Plaine des Cafres
97418 La Plaine des Cafres</t>
  </si>
  <si>
    <t>Case créole avec terrasse et cour fleurie, située à la Plaine des Cafres avec vue sur la montagne.</t>
  </si>
  <si>
    <t>1 gîte pour 4 à 5 personnes (2 chambres doubles)
1 bungalow de 2 personnes</t>
  </si>
  <si>
    <t>Troêne (Le) - Lacouture Jean Louis</t>
  </si>
  <si>
    <t>23 rue Jean Defos du Rau - RN3 PK22, 97422 Le Tampon</t>
  </si>
  <si>
    <t xml:space="preserve">Lacouture Jean Louis : do.lacouture@wanadoo.fr / 0262590491 / 0692045665 ,  do.lacouture@wanadoo.fr / 0262590491 / 0692045665 </t>
  </si>
  <si>
    <t>-21.226574, 55.551118</t>
  </si>
  <si>
    <t>CSC242HT@</t>
  </si>
  <si>
    <t>23 Rue Jean de Fos du Rau, La Plaine des Cafres, Réunion</t>
  </si>
  <si>
    <t>Tropic Guest House</t>
  </si>
  <si>
    <t>Tropic Guest House
152, rue des Poinsétias
97430 Le Tampon</t>
  </si>
  <si>
    <t>Organisation de séjours</t>
  </si>
  <si>
    <t>Vente de produits touristiques</t>
  </si>
  <si>
    <t>Agence de voyage réceptive</t>
  </si>
  <si>
    <t>info@reunion-mauritius-accessible.re</t>
  </si>
  <si>
    <t>Agence de voyage réceptive, accessible aux personnes à mobilité réduite.</t>
  </si>
  <si>
    <t>Au Tampon, Tropic Guest House propose des séjours pour tous.
Groupe de 20 à 30 personnes.
L'agence est agréée Vacances Adaptées Organisées.</t>
  </si>
  <si>
    <t>RN3 du tampon vers la Plaine des Cafres, vers PK16, l'agence se trouve au n°152 rue des Poinsétias.</t>
  </si>
  <si>
    <t>Tropic Guest House - Boutet Pascal</t>
  </si>
  <si>
    <t>13, allée Georges Bizet, 97422 Le Tampon</t>
  </si>
  <si>
    <t xml:space="preserve">Boutet Pascal : 0692662818 ,  info@reunion-mauritius-accessible.re / 0262021010 </t>
  </si>
  <si>
    <t>-21.244234, 55.526602</t>
  </si>
  <si>
    <t>88 Voie communale Ancienne RN3 Conde, Réunion</t>
  </si>
  <si>
    <t>recjoDxtGoD2bd3Bi</t>
  </si>
  <si>
    <t>Tropicana (Le)</t>
  </si>
  <si>
    <t>Tropicana (Le)
265, rue Raphaël Babet
97480 Saint-Joseph</t>
  </si>
  <si>
    <t>Situé au centre ville de Saint-Joseph, le restaurant "Le Tropicana" propose une cuisine créole et européenne.</t>
  </si>
  <si>
    <t>Prendre direction Saint-Joseph jusqu'au centre ville. Le restaurant est en face du CCAS.</t>
  </si>
  <si>
    <t>Tropicana (Le) - Chane-Kong Laure Reine</t>
  </si>
  <si>
    <t>265, rue Raphaël Babet, 97412 Saint-Joseph</t>
  </si>
  <si>
    <t>Chane-Kong Laure Reine : 0262565319</t>
  </si>
  <si>
    <t>-21.378791, 55.618505</t>
  </si>
  <si>
    <t>265 Rue Raphaël Babet, Réunion</t>
  </si>
  <si>
    <t>Tulipier (Le)</t>
  </si>
  <si>
    <t>Schlicht Edith</t>
  </si>
  <si>
    <t>Tulipier (Le)
11, rue Motais de Narbonne
97430 Le Tampon</t>
  </si>
  <si>
    <t>http://www.domainedutulipier.com</t>
  </si>
  <si>
    <t>chauffage,jardin,parking,TV,wifi</t>
  </si>
  <si>
    <t>contact@domainedutulipier.com</t>
  </si>
  <si>
    <t>Le Tulipier propose un petit nid douillet et lumineux.</t>
  </si>
  <si>
    <t>Studio de qualité avec cuisine intégrée, couchage 160x200, espace spa, petite terrasse, situé à l’étage d’un bâtiment indépendant à proximité de la maison du propriétaire. Entouré d’un beau jardin tropical, vue panoramique de la mer à la montagne.</t>
  </si>
  <si>
    <t>De l'aéroport, prendre direction Saint-Benoit, puis Tampon. En descendant la RN 3, 100 m après le magasin Super U du 13ème km, tourner à droite dans le chemin Isautier, direction Université, descendre 600 m, puis prendre dans le virage à droite, la rue Traverse Portail puis la première à gauche, rue Motais de Narbonne.</t>
  </si>
  <si>
    <t>Tulipier (Le) - Schlicht Edith</t>
  </si>
  <si>
    <t>11, rue Motais de Narbonne, 97422 Le Tampon</t>
  </si>
  <si>
    <t xml:space="preserve">Schlicht Edith : contact@domainedutuliper.com / 0262570941 / Propriétaire ,  contact@domainedutulipier.com / 0262570941 / 0262570941 </t>
  </si>
  <si>
    <t>-21.26433131, 55.51664527</t>
  </si>
  <si>
    <t>11 Rue Motais de Narbonne, Réunion</t>
  </si>
  <si>
    <t>accès internet payant,chauffage,espace spa - bien être,jardin,parking,salle de bain privée,sanitaires privés,TV</t>
  </si>
  <si>
    <t>sentier de randonnée,sentier de grande randonnée,tennis,riviere,parking public,site - lieu culturel,point de vue panoramique</t>
  </si>
  <si>
    <t>Situé au Tampon et au rez-de-chaussée d'un gîte, le Tulipier offre une chambre romantique.</t>
  </si>
  <si>
    <t>Chambre indépendante avec un lit double, à proximité de la maison du propriétaire, au sein d'un espace privatif commun au gîte, comprenant une grande terrasse et une pergola fleuries, le tout dans un beau jardin paysager calme et reposant avec vue sur la montagne.</t>
  </si>
  <si>
    <t>Turpin Elvina
31, rue Edouard Turpin - La Crête
97480 Saint-Joseph</t>
  </si>
  <si>
    <t>La Crête</t>
  </si>
  <si>
    <t>jerometurpin1@gmail.com</t>
  </si>
  <si>
    <t>Turpin Elvina propose 4 chambres de 2 personnes labellisées Gîtes de France, dans la maison du propriétaire avec vue sur mer et montagne. Entrée indépendante et salle commune. 
Possibilité de repas à partir de 22€/pers dans la ferme auberge.</t>
  </si>
  <si>
    <t>-21.33588434, 55.66216018</t>
  </si>
  <si>
    <t>CSC205HT@</t>
  </si>
  <si>
    <t>31 Rue Edouard Turpin, Saint-Joseph 97480, Réunion</t>
  </si>
  <si>
    <t>Vacoa Sud</t>
  </si>
  <si>
    <t>Vacoa Sud
8, RN2 - Le Baril
97442 Saint-Philippe</t>
  </si>
  <si>
    <t>Découvrez le tressage du vacoa.</t>
  </si>
  <si>
    <t>Dans le respect de la tradition et du savoir faire péï, les artisanes partagent un moment convivial autour du tressage du vacoa. Démonstration et visites libres du lundi au samedi de 9h à 17h.
Atelier d’initiation au tressage du vacoa, tous les jours sur réservation. Un petit cadeau souvenir en vacoa est remis à chaque participant de l’atelier.</t>
  </si>
  <si>
    <t xml:space="preserve">De Saint-Pierre, sur la RN2, tout juste en entrant dans le village du Baril, 100 m après l’église, la Maison de l'Artisanat est à droite (parking).
De Sainte-Rose, traverser le village du Baril en passant devant l’hôtel direction Basse Vallée, juste à la sortie du village (panneau de fin d’agglomération). La Maison de l'Artisanat est sur la gauche. </t>
  </si>
  <si>
    <t>Vacoa Sud - Payet Edwige</t>
  </si>
  <si>
    <t>8, RN2 - le Baril, 97417 Saint-Philippe</t>
  </si>
  <si>
    <t xml:space="preserve">Payet Edwige : 0262371696 / Président(e) , Payet Edwige : 0262371696 / 0692027976 / Président(e) </t>
  </si>
  <si>
    <t>-21.370862, 55.719318</t>
  </si>
  <si>
    <t>8 RN2, Réunion</t>
  </si>
  <si>
    <t>Vague du Sud (La)</t>
  </si>
  <si>
    <t>La Vague du Sud</t>
  </si>
  <si>
    <t>Vague du Sud (La)
77, RN 2
97442 Saint-Philippe</t>
  </si>
  <si>
    <t>Hôtel,Restaurant</t>
  </si>
  <si>
    <t>Hôtel,Restaurant de l'hôtel</t>
  </si>
  <si>
    <t>climatisation,parking,salle de bain privée,sanitaires privés,TV</t>
  </si>
  <si>
    <t>lavaguedusud@orange.fr</t>
  </si>
  <si>
    <t>Situé à Saint-Philippe dans le Sud Sauvage, l'hôtel restaurant La Vague du Sud dispose de 6 chambres climatisées avec vue sur l'océan dont une accessible aux personnes à mobilité réduite. 
Le restaurant, d'une capacité de 70 couverts propose une cuisine créole et métropolitaine, des menus à la carte, un menu enfant, un plat du jour, un menu express (du lundi au vendredi midi) et divers desserts. 
Restaurant ouvert tous les jours de 12h à 14h30 et de 19h à 21h30.</t>
  </si>
  <si>
    <t>De l’ouest, l’hôtel se trouve à 500 m de l'entrée de la ville de Saint-Philippe. De l’Est, prendre la direction de Saint-Philippe. L’hôtel est à  500 m après le centre- ville de Saint-Philippe.</t>
  </si>
  <si>
    <t>Vague du Sud (La) - Turpin Bertrand</t>
  </si>
  <si>
    <t>77, RN 2, 97417 Saint-Philippe</t>
  </si>
  <si>
    <t xml:space="preserve">Turpin Bertrand : lavaguedusud@orange.fr / 0262415785 / 0693937628 / 0262685786 / Gérant(e) ,  lavaguedusud@orange.fr / 0262415785 / 0693937628 / 0262685786 / Gérant(e) </t>
  </si>
  <si>
    <t>-21.35791, 55.77026</t>
  </si>
  <si>
    <t>77 RN2, Réunion</t>
  </si>
  <si>
    <t>recGtfya4sOtjkELr</t>
  </si>
  <si>
    <t>Vanille 100% Réunion</t>
  </si>
  <si>
    <t>Vanille 100% Réunion
48, RN2 - le Baril
97442 Saint-Philippe</t>
  </si>
  <si>
    <t>nathalie.leichnig@wanadoo.fr</t>
  </si>
  <si>
    <t>Situé à Saint-Philippe, agriculteur de métier, Harry Leichnig propose la découverte et la fabrication de la vanille depuis la fécondation de la fleur jusqu'à la commercialisation de la gousse.</t>
  </si>
  <si>
    <t>La visite est gratuite et se fait sur réservation pour un groupe de 6 personnes maximum. Ouvert du lundi au vendredi de 9h30 à 17h30 non stop.</t>
  </si>
  <si>
    <t xml:space="preserve">De l'Ouest, passer l'église de Basse Vallée, puis la supérette Kady, le kiosque de Vanille 100% Réunion se trouve à droite.
De l'Est, passer la balance de cannes, monter la petite côte, le kiosque de Vanille 100% Réunion se trouve à gauche en face de l'école du Baril. </t>
  </si>
  <si>
    <t>Vanille 100% Réunion - Leichnig Nathalie et Harry</t>
  </si>
  <si>
    <t>48, RN2 - le Baril, 97417 Saint-Philippe</t>
  </si>
  <si>
    <t xml:space="preserve">Leichnig Nathalie et Harry : nathalie.leichnig@wanadoo.fr / 0262371245 / 0692683827 , Leichnig Nathalie et Harry : nathalie.leichnig@wanadoo.fr / 0262371245 / 0692683827 </t>
  </si>
  <si>
    <t>-21.369393, 55.726152</t>
  </si>
  <si>
    <t>48 RN2, Réunion</t>
  </si>
  <si>
    <t>rec6Rb5RhH3JSPCDP</t>
  </si>
  <si>
    <t>Vanille Coco</t>
  </si>
  <si>
    <t>Vanille Coco
69B, RN2- Ravine Ango
97442 Saint-Philippe</t>
  </si>
  <si>
    <t>hoarau.s@orange.fr</t>
  </si>
  <si>
    <t>Le restaurant Vanille Coco se trouve à Saint-Philippe sur la côte du sud de l'île. Il propose une cuisine créole traditionnelle. Spécialités : porc-palmiste et canard à la vanille. Ouvert tous les jours de 10h à 15h. Fermé le vendredi et samedi. Possibilité de repas à emporter.</t>
  </si>
  <si>
    <t xml:space="preserve">De l'Ouest, passer le centre ville de Saint-Philippe, prendre la direction Ravine Ango, le restaurant se trouve à gauche à 50 m du restaurant "Le Macabit".
De l'Est, direction Ravine Ango, passer la ravine le restaurant se situe tout de suite à droite. </t>
  </si>
  <si>
    <t>Vanille Coco - Hoarau Audrey</t>
  </si>
  <si>
    <t>69B, RN2 - Ravine Ango, 97417 Saint-Philippe</t>
  </si>
  <si>
    <t xml:space="preserve">Hoarau Audrey : hoarau.s@orange.fr / 0262299112 / 0692002391 ,  hoarau.s@orange.fr / 0262299112 / 0692002391 </t>
  </si>
  <si>
    <t>-21.3486372,55.7921095</t>
  </si>
  <si>
    <t>69b Route Nationale 2 Ravine Ango, 97442, Réunion</t>
  </si>
  <si>
    <t>Vanilliers (Les)</t>
  </si>
  <si>
    <t>Les Vanilliers</t>
  </si>
  <si>
    <t>Vanilliers (Les)
68, rue La Bourbonnais - Basse Vallée
97442 Saint-Philippe</t>
  </si>
  <si>
    <t>http://www.lodgeslesvanilliers.com/lesvanilliers</t>
  </si>
  <si>
    <t>jardin,linge de toilette,salle de bain privée,salon de jardin,sanitaires privés,ventilateur</t>
  </si>
  <si>
    <t>plage,sentier de randonnée,sentier de grande randonnée,banque - guichet automatique,palais des congrès,pêche,centre commercial,parking public,point de vue panoramique,aéroport de Pierrefonds</t>
  </si>
  <si>
    <t>info@lesvanilliers.fr</t>
  </si>
  <si>
    <t>Les Vanilliers sont situés à Saint-Philippe, à 200 m du Cap Méchant (Basse Vallée). Ils disposent de 4 chambres d'hôtes entièrement rénovées et décorées d'un mobilier unique en bambou comprenant un lit double, une moustiquaire, une armoire avec penderie, chaise longue, lit parapluie pour bébé avec tout le nécessaire. 2 chambres doubles : chambre du Volcan et chambre du Cap Méchant et deux chambres triples : chambre de Mare Longue et chambre de Grand'Anse. Les chambres sont dans une demeure créole, entourée d'un paysage montagneux et volcanique au bord du littoral. Possibilité de laver le linge au prix de 6 €.
Petit déjeuner inclus dans le tarif. Tarif dégressif à partir de 3 nuits. Possibilité de manger sur place le soir, sur réservation (plats typiques du Sud sauvage : chou vacoas et porc palmistes cuit au feu de bois).
Visite guidée d’un champ de Vanille dans la forêt de Basse-Vallée (1 heure de balade).</t>
  </si>
  <si>
    <t>68, rue La Bourdonnais, 97417 Saint-Philippe</t>
  </si>
  <si>
    <t xml:space="preserve">Ropers Delphine : info@lesvanilliers.fr / 0262921887 / 0692449144 / 0262921887 / Gérant(e) , Ropers Delphine : info@lesvanilliers.fr / 0262921887 / 0692449144 / 0262921887 / Gérant(e) </t>
  </si>
  <si>
    <t>-21.3519444,55.7</t>
  </si>
  <si>
    <t>Basse Vallee, Réunion</t>
  </si>
  <si>
    <t>recLhB7BNx9Tykw8y</t>
  </si>
  <si>
    <t>Vavangueur (Le)</t>
  </si>
  <si>
    <t>Le Vavangueur</t>
  </si>
  <si>
    <t>Vavangueur (Le)
10, impasse des Letchis
97414 Entre-Deux</t>
  </si>
  <si>
    <t>barbecue,fer et planche à repasser,jardin,parking,piscine,TV satellite,ventilateur,wifi</t>
  </si>
  <si>
    <t>sentier de randonnée,commerce alimentaire,tennis,piscine,riviere,parking public,site - lieu culturel</t>
  </si>
  <si>
    <t>elisabeth.gelabert@gmail.com</t>
  </si>
  <si>
    <t>A l'Entre-Deux, dans l'un des plus beaux villages de La Réunion, Le Vavangueur propose une maison créole en bois.</t>
  </si>
  <si>
    <t>La maison dispose d'un séjour, de 3 chambres doubles dont une twin, une cuisine équipée, une grande terrasse avec un espace cuisine d'été. Cour et parking privatif.</t>
  </si>
  <si>
    <t>Dans le village de l'Entre-Deux, rue en impasse, 100 m après l'église.</t>
  </si>
  <si>
    <t>Vavangueur (Le) - Gélabert Elisabeth</t>
  </si>
  <si>
    <t>10 bis, impasse des Letchis, 97403 Entre-Deux</t>
  </si>
  <si>
    <t xml:space="preserve">Gélabert Elisabeth : elisabeth.gelabert@gmail.com / 0262707927 / 0692671768 / Propriétaire , Gélabert Elisabeth : elisabeth.gelabert@gmail.com / 0262707927 / 0692671768 / Propriétaire </t>
  </si>
  <si>
    <t>-21.250862, 55.471368</t>
  </si>
  <si>
    <t>10 Rue Lucien Vitry, Réunion</t>
  </si>
  <si>
    <t>recMly52v6SDy4MSb</t>
  </si>
  <si>
    <t>Verger de la Chapelle (Le)</t>
  </si>
  <si>
    <t>Le Verger de la Chapelle</t>
  </si>
  <si>
    <t>Verger de la Chapelle (Le)
28, chemin Dijoux - Bras Long
97414 Entre-Deux</t>
  </si>
  <si>
    <t>Camping chez l'habitant</t>
  </si>
  <si>
    <t>barbecue,douche,jardin,parking,sanitaires communs</t>
  </si>
  <si>
    <t>vergerdelachapelle@hotmail.fr</t>
  </si>
  <si>
    <t>Situé à l'Entre-Deux, le camping Le Verger de la Chapelle dispose de 20 emplacements sur une exploitation agricole en conversion à l'agriculture biologique.</t>
  </si>
  <si>
    <t>Le camping dispose de 4 douches solaires, 2 WC, une cuisine équipée, vaisselle à disposition, un barbecue, parking intérieur, terrain ombragé. Des installations sportives sont proposées : table de ping-pong, terrain de beach volley, badminton, terrain de pétanque. Pour les équipements sportifs le matériel est fourni. 
Le Verger de la Chapelle propose des ateliers du gout, visite gustative autour des produits du pays et découverte de l'agro-écologie, visite guidée aquaponique et permaculture paysanne. Chiens interdits même en laisse. Site sans tabac.
Membre du réseau camping des jeunes de la jeunesse et sport.
Horaire d'accueil et de départ : 10h - 11h30 et 13h30 - 15h30.
Le camping accueille les groupes à partir de 8 personnes et uniquement sur réservation.</t>
  </si>
  <si>
    <t>Verger de la Chapelle (Le) - Fontanaud Laurent</t>
  </si>
  <si>
    <t>28, chemin Dijoux - Bras-Long -, 97403 Entre-Deux</t>
  </si>
  <si>
    <t xml:space="preserve">Fontanaud Laurent : vergerdelachapelle@hotmail.fr / 0692123785 / Gérant(e) , Fontanaud Laurent : vergerdelachapelle@hotmail.fr / 0692569666 / 0692123785 / Gérant(e) </t>
  </si>
  <si>
    <t>-21.243526, 55.46806</t>
  </si>
  <si>
    <t>CSC50HTE</t>
  </si>
  <si>
    <t>Le Verger De la Chapelle, 28 rue Dijoux, Rue Grand Fond Interieur, 97414, Réunion</t>
  </si>
  <si>
    <t>rec5HPtXtUxdNUhk6</t>
  </si>
  <si>
    <t>Version Ecaille</t>
  </si>
  <si>
    <t>Version Ecaille
146, rue Defaud - La Ravine des Citrons
97414 Entre-Deux</t>
  </si>
  <si>
    <t>versionecaille@orange.fr</t>
  </si>
  <si>
    <t>Version Ecaille présente les créations d'un artisan d'art réunionnais travaillant l'écaille de tortue réunionnaise. Il réalise des bijoux avec des matières naturelles alliant l'or, l'argent, l'ambre, l'écaille et la nacre.
Visite guidée de l'atelier sur rendez-vous; réservation conseillée au moins 24h à l'avance. 
L'atelier-boutique est ouvert du lundi au samedi de 9h à 12h et de 14h à 18h.</t>
  </si>
  <si>
    <t>Lundi : 09:00 12:00 - 14:00 18:00,Mardi : 09:00 12:00 - 14:00 18:00,Mercredi : 09:00 12:00 - 14:00 18:00,Jeudi : 09:00 12:00 - 14:00 18:00,Vendredi : 09:00 12:00 - 14:00 18:00,Samedi : 09:00 12:00 - 14:00 18:00</t>
  </si>
  <si>
    <t>Version Ecaille - Riou Yves</t>
  </si>
  <si>
    <t>146, rue Defaud-la Ravine Des Citrons, 97403 Entre-Deux</t>
  </si>
  <si>
    <t xml:space="preserve">Riou Yves : versionecaille@wanadoo.fr ,  versionecaille@wanadoo.fr , Riou Yves : versionecaille@orange.fr / 0692666651 </t>
  </si>
  <si>
    <t>-21.241857, 55.483194</t>
  </si>
  <si>
    <t>146 Rue Defaud, Réunion</t>
  </si>
  <si>
    <t>Victoria (Le)</t>
  </si>
  <si>
    <t>Victoria (Le)
94, route du Grand Tampon les Bas - Grand Tampon
97430 Le Tampon</t>
  </si>
  <si>
    <t>http://www.gitelevictoria.e-monsite.com</t>
  </si>
  <si>
    <t>chauffage,four,jardin,lave linge privatif,micro-ondes,parking,TV</t>
  </si>
  <si>
    <t>cecilef.payet@wanadoo.fr</t>
  </si>
  <si>
    <t>Situé dans la commune du Tampon, le Victoria, gîte indépendant labellisé "Gîtes de France" est tout équipé, accessible aux handicapés. Equipement bébé, eau chaude, réfrigérateur, kiosque et salon de jardin. Vente de fruit en saison.
Tarifs indiqués basse saison de mars à juin.</t>
  </si>
  <si>
    <t>Sur la commune du Tampon, prendre la direction Tampon ville et arriver au rond-point au Chandelle sur la route principale, tourner à droite vers Bérive. Continuer tout droit et à l'intersection du CD 36, prendre la direction le Grand Tampon. Remonter la rue sur environ 2 km. La structure se trouve sur votre droite.</t>
  </si>
  <si>
    <t>Victoria (Le) - Payet Cécile</t>
  </si>
  <si>
    <t>94 Route du Grand Tampon - CD 36, 97422 Le Tampon</t>
  </si>
  <si>
    <t xml:space="preserve">Payet Cécile : cecilef.payet@wanadoo.fr / 0262574859 / Gérant(e) ,  cecilef.payet@wanadoo.fr / 0262574859 </t>
  </si>
  <si>
    <t>-21.29293131, 55.54263318</t>
  </si>
  <si>
    <t>http://resa2.reunion.fr/fr/hebergements/a310838/product/reserver | Resa 2 Réunion.fr</t>
  </si>
  <si>
    <t>94 Chemin du Grand Tampon, Réunion</t>
  </si>
  <si>
    <t>Victoria Club &amp; Victoria Spa</t>
  </si>
  <si>
    <t>Victoria Club &amp; Victoria Spa
20, rue Roland Garros
97480 Saint-Joseph</t>
  </si>
  <si>
    <t>jardin,piscine</t>
  </si>
  <si>
    <t>Le Victoria Club situé au centre ville de Saint-Joseph est un centre de remise en forme. Le centre offre un espace cardio-training/musculation, une salle de RPM, une salle de fitness pour tous les cours collectifs, une piscine avec jacuzzi pour l’aquagym, d’un hammam, d’un sauna et d’une salle de squash. Une tisanerie avec des plats diététiques est à la disposition des adhérents. Le Victoria Club est ouvert du lundi au dimanche midi.
Et après l’effort, le réconfort! Plonger dans l’univers du bien-être, de la beauté et de la détente en accédant aux cabines de soins du Victoria SPA. Doté de plusieurs cabines avec ambiance zen, cet institut offre divers modelages relaxants, tonifiants ou amincissants. Le Victoria SPA est ouvert du lundi au samedi.</t>
  </si>
  <si>
    <t>Première à gauche après le stade Raphaël Babet de Saint-Joseph en direction de Saint-Philippe,  la gendarmerie se trouve à gauche, continuer tout droit, le Victoria Club &amp; Victoria Spa se situe quelques mètres à droite après l’intersection.</t>
  </si>
  <si>
    <t>recvGLwzDSMSEwiXH</t>
  </si>
  <si>
    <t>Vieille Tonnelle (La)</t>
  </si>
  <si>
    <t>Vielle Tonnelle (La)</t>
  </si>
  <si>
    <t>Vieille Tonnelle (La)
Grand Bassin
Plaine des Cafres
97418 La Plaine des Cafres</t>
  </si>
  <si>
    <t>Village,Milieu rural,inaccessible aux véhicules</t>
  </si>
  <si>
    <t>Au cœur du village de Grand Bassin à la Plaine des Cafres, La Vieille Tonnelle propose un gîte et une table d'hôte.</t>
  </si>
  <si>
    <t>Le gîte dispose de 3 chambres doubles et des dortoirs de 11, 6, 4 places et de 2 dortoirs de 8 places pour une capacité de 43 personnes.
la table d'hôte propose une cuisine créole authentique.</t>
  </si>
  <si>
    <t>Depuis le Sud : Prendre la 4 voies vers le Tampon/Plaine des Cafres. Au 23ème km, tourner à gauche en direction de Bois-Court/Grand Bassin. Rouler environ 4 km puis tourner à gauche dans la rue Thomas Payet. Le départ du sentier se trouve à droite. Emprunter celui-ci pour accéder au village de Grand Bassin, après une marche sur 3,800 km. Passer le pont et continuer tout droit. A l’intersection tourner à gauche, La Vieille Tonnelle » est sur la gauche.</t>
  </si>
  <si>
    <t>Vieille Tonnelle (La) - Séry Thérèse</t>
  </si>
  <si>
    <t>104, chemin Thomas Payet - Bois Court, 97422 Le Tampon</t>
  </si>
  <si>
    <t xml:space="preserve">Séry Thérèse : 0262592027 / 0262275102 / Propriétaire , Séry Thérèse : 0262592027 / 0262275102 / Propriétaire </t>
  </si>
  <si>
    <t>CSC153HTI</t>
  </si>
  <si>
    <t>recNFyEXVeZzMZOAi</t>
  </si>
  <si>
    <t>Vieux Bardeau (Le)</t>
  </si>
  <si>
    <t>Vieux Bardeau (Le)
RN3 - 24ème km - Domaine de l'AAPE
Plaine des Cafres
97418 La Plaine des Cafres</t>
  </si>
  <si>
    <t>srpcvb974@orange.fr</t>
  </si>
  <si>
    <t>Le restaurant Le Vieux Bardeau, à la Plaine des Cafres, propose une cuisine réunionnaise traditionnelle, métropolitaine ainsi que des grillades. Buffet et plats à emporter tous les jours. Ouvert tous les jours sauf le lundi toute la journée, le mardi et dimanche soir.
Restaurant labellisé Gay Friendly.
Accès aux personnes à mobilité réduite.</t>
  </si>
  <si>
    <t>Vieux Bardeau (Le) - Hoarau Gilbert</t>
  </si>
  <si>
    <t>RN3 - 24ème km - Domaine de l'AAPE, 97422 Le Tampon</t>
  </si>
  <si>
    <t xml:space="preserve">Hoarau Gilbert : srpcvb974@orange.fr / 0262590944 / 0262573512 ,  srpcvb974@orange.fr / 0262590944 / 0262573512 </t>
  </si>
  <si>
    <t>-21.22407069, 55.55834953</t>
  </si>
  <si>
    <t>PK24 RN3, La Plaine des Cafres 97418, Réunion</t>
  </si>
  <si>
    <t>rect7UvJo5k0nkGS2</t>
  </si>
  <si>
    <t>Vieux Port (Le)</t>
  </si>
  <si>
    <t>Vieux Port (Le)
112, RN 2 - Le Tremblet
97442 Saint-Philippe</t>
  </si>
  <si>
    <t>Chèque,Virement,Tickets restaurant,Espèces</t>
  </si>
  <si>
    <t>holdingdalleau@hotmail.fr</t>
  </si>
  <si>
    <t>Le Vieux Port, dans le Sud Sauvage, à Saint-Philippe, est un restaurant de spécialités créoles : palmiste, vacoa, produits du terroir et charcuterie de qualité.</t>
  </si>
  <si>
    <t>Tous les plats sont cuisinés à la demande. Terrasse avec jardin. Proche des dernières coulées volcaniques et de tous les attraits touristiques de Saint-Philippe. 
Ouvert tous les midis de 11h00 à 16h00 et le soir uniquement sur réservation.</t>
  </si>
  <si>
    <t>Prendre la direction de Saint-Philippe. En venant de l'Est, le restaurant est situé à 300 m après la "coulée volcanique avril 2007".</t>
  </si>
  <si>
    <t>Vieux Port (Le) - Dalleau Jerôme</t>
  </si>
  <si>
    <t>112, Route Nationale 2, 97417 Saint-Philippe</t>
  </si>
  <si>
    <t xml:space="preserve">Dalleau Jerôme : holdingdalleau@hotmail.fr / 0692590923 / 0692157931 ,  jerome.dalleau@ool.fr / 0262375598 / 0692157931 </t>
  </si>
  <si>
    <t>-21.29252098, 55.79833929</t>
  </si>
  <si>
    <t>112 Route Nationale 2 le Tremblet, Réunion</t>
  </si>
  <si>
    <t>Villa Bananier</t>
  </si>
  <si>
    <t>Villa Bananier
4A impasse des Pipengayes
97480 Saint-Joseph</t>
  </si>
  <si>
    <t>climatisation,espace spa - bien être,jardin,lave linge privatif,piscine,TV</t>
  </si>
  <si>
    <t>A l'entrée du village de Manapany les Bains à 5 m à pied de la résidence principale du Manacoel, une petite villa, très bien équipée, grande terrasse couverte, jardin, parking privé, jacuzzi privé sur terrasse ouverte.
Tarifs réduit si  linge de maison non fourni. Caution 400€.</t>
  </si>
  <si>
    <t>A l'entrée du village de Manapany-les-Bains à l'angle de la rue principale menant à la piscine naturelle et de l'allée des Cormorans. Situé tout près d'une petite plantation de banane.</t>
  </si>
  <si>
    <t>-21.3736839,55.594676</t>
  </si>
  <si>
    <t>4 Impasse des Pipengayes, Manapany-Les-Bains, Réunion</t>
  </si>
  <si>
    <t>recj9barGaN6WVULg</t>
  </si>
  <si>
    <t>Villa Christophine</t>
  </si>
  <si>
    <t>Villa Christophine
376, chemin du Petit Tampon
97430 Le Tampon</t>
  </si>
  <si>
    <t>barbecue,espace spa - bien être,fer et planche à repasser,four,lave linge privatif,lave vaisselle,lecteur DVD,micro-ondes,TV satellite</t>
  </si>
  <si>
    <t>sentier de randonnée,tennis,forêt</t>
  </si>
  <si>
    <t>dbouquet974@gmail.com</t>
  </si>
  <si>
    <t>Dans le cadre paisible et enchanteur du Petit Tampon bienvenue à la Villa Christophine..</t>
  </si>
  <si>
    <t>Située au cœur d'un petit jardin de 80 m², la Villa Christophine dispose de 3 chambres dont deux doubles et une chambre avec 2 lits superposés. Lit bébé sur demande. Le séjour comprend un salon avec télévision écran plat. La villa est dotée d'une cuisine toute équipée, d'une terrasse en bois avec coin repas aménagé et d'un spa et sauna. Tarif indiqué basse saison.</t>
  </si>
  <si>
    <t>De l'aéroport de Pierrefonds, prendre la direction de Saint-Pierre; à l'entrée de la ville continuer sur la nationale 1, direction Tampon/Saint-Joseph puis prendre la nationale 3 Tampon/Saint-Benoît. A la fin de la quatre voie au rond-point prendre à droite direction Saint-Benoît/ centre ville. Au prochain rond-point prendre à droite rue des Manguiers, en direction de Terrain Fleury. Passer un radier au prochain carrefour prendre à droite  au rond-point prendre à gauche rue Edgard Avril direction Petit Tampon (petite flèche bleue). Passer le cimetière à droite puis le collège à gauche. Au rond-point prendre à droite, chemin du Petit Tampon après le ralentisseur continuer à droite, chemin Jean Baptiste Huet, suivre le chemin, passer la pharmacie à droite, la poste, tourner de suite à gauche. Au cédez-le- passage prendre à droite, chemin Petit Tampon à nouveau  rouler jusqu'au numéro 376.</t>
  </si>
  <si>
    <t>Villa Christophine - Bouquet Didier</t>
  </si>
  <si>
    <t>20, ruelle Cœur de Bœuf, 97422 Le Tampon</t>
  </si>
  <si>
    <t xml:space="preserve">Bouquet Didier : lsabouquet974@gmail.com / 0692671153 / 0262349564 , Bouquet Didier : lsabouquet974@gmail.com / 0692671153 / 0262349564 </t>
  </si>
  <si>
    <t>-21.272112, 55.555397</t>
  </si>
  <si>
    <t>CSC20HTB</t>
  </si>
  <si>
    <t>Mode de paiment,Fax,E-Mail</t>
  </si>
  <si>
    <t>376 Chemin du Petit Tampon, 97430, Réunion</t>
  </si>
  <si>
    <t>reckXTvApyYmMG2Jd</t>
  </si>
  <si>
    <t>Villa Coeur Vanille</t>
  </si>
  <si>
    <t>Villa Coeur Vanille
95 ter, rue du Paille en Queue
97430 Le Tampon</t>
  </si>
  <si>
    <t>http://www.villacoeurvanille.com</t>
  </si>
  <si>
    <t>barbecue,chauffage,fer et planche à repasser,parking,piscine,TV satellite,ventilateur,wifi,jacuzzi</t>
  </si>
  <si>
    <t>passiondecoeur@hotmail.com</t>
  </si>
  <si>
    <t>Villa Cœur Vanille accueille les hôtes pour un séjour dédié au repos et à la relaxation dans une authentique maison créole datant de 1947 entièrement en bois et rénovée.</t>
  </si>
  <si>
    <t>La villa dispose de 3 chambres cocoon aux couleurs douces, décorées avec soin, d'un salon convivial et douillet, la salle d'eau est équipée d'une cabine de douche multi-jets et la cuisine tombant directement sur la piscine chauffée et le jacuzzi. Villa Cœur Vanille dispose également d'une buanderie et d'une plage de piscine aménagée et propose des massages pour parfaire la détente de tous.</t>
  </si>
  <si>
    <t xml:space="preserve">Depuis Saint-Pierre : Prendre la 2X2 voies, direction Le Tampon jusqu'au rond-point de la Tour, direction le centre ville jusqu'au rond-point Gros Arbre, prendre à droite et continuer jusqu'au 4 ème ralentisseur, la villa se trouve à gauche au n°95 ter.
Depuis Saint-Benoit :
Prendre direction La Plaine des Palmistes- Le Tampon, suivre la Nationale 3 jusqu'au centre ville du Tampon - rond-point gros Arbre, prendre à gauche. Continuer jusqu'au 4 ème ralentisseur, la villa se trouve à gauche au n°95 ter. </t>
  </si>
  <si>
    <t>Villa Coeur Vanille - Cavery Madeleine</t>
  </si>
  <si>
    <t>95 ter, rue du Paille en Queue, 97422 Le Tampon</t>
  </si>
  <si>
    <t xml:space="preserve">Cavery Madeleine : passiondecoeur@hotmail.com / 0262012012 / 0692805939 / 0262700272 / Propriétaire , Cavery Madeleine : passiondecoeur@hotmail.com / 0262012012 / 0692805939 / 0262700272 / Propriétaire </t>
  </si>
  <si>
    <t>-21.300335, 55.533778</t>
  </si>
  <si>
    <t>CSC24HTF</t>
  </si>
  <si>
    <t>95 Rue du Paille en Queue, Réunion</t>
  </si>
  <si>
    <t>Villa Combava</t>
  </si>
  <si>
    <t>Sarl Indian Ocean Touristic Service</t>
  </si>
  <si>
    <t>Villa Combava
6C, allée des Cormorans
97480 Saint-Joseph</t>
  </si>
  <si>
    <t>climatisation,four,jardin,lave linge privatif,lave vaisselle,lecteur DVD,micro-ondes,parking,piscine,TV satellite</t>
  </si>
  <si>
    <t>Villa indépendante de 74m², Le Combava est une invitation au repos et à la tranquillité pour les vacances en famille ou entre amis. Jardin privé de 85m² et vue sur l'Océan Indien en font une villa de charme très prisée.
Cuisine entièrement équipée avec frigidaire, cuisinière à gaz 4 feux, machine à café,  Internet Wifi.
Tarif réduit si linge de maison non fourni. Caution 600€.</t>
  </si>
  <si>
    <t>A l'entrée ouest de  la commune de Saint Joseph, se diriger vers le bassin artificiel de Manapany et suivre les panneaux signalétiques.</t>
  </si>
  <si>
    <t>Villa Créole (La)</t>
  </si>
  <si>
    <t>Villa Créole (La)
2, impasse des Vacoas
Vincendo
97480 Saint-Joseph</t>
  </si>
  <si>
    <t>A Saint-Joseph dans la quartier de Vincendo, le restaurant La Villa Créole propose une cuisine créole.</t>
  </si>
  <si>
    <t>Buffet créole, salades, grillades sont proposés. Plats à volonté servis à table dans les marmites créoles.</t>
  </si>
  <si>
    <t>2 impasse des Vacoas - Plateau Vincendo, 97412 Saint-Joseph</t>
  </si>
  <si>
    <t xml:space="preserve"> 0692411517 ,  0262411517 </t>
  </si>
  <si>
    <t>-21.379651, 55.658959</t>
  </si>
  <si>
    <t>2 Impasse des Vacoas, Réunion</t>
  </si>
  <si>
    <t>Villa du Barrage - Chez Franco (La)</t>
  </si>
  <si>
    <t>Barrage - Chez Franco (La Villa du)</t>
  </si>
  <si>
    <t>Villa du Barrage - Chez Franco (La)
21, route de Grand Galet
97480 Saint-Joseph</t>
  </si>
  <si>
    <t>Maillot.Franck@wanadoo.fr</t>
  </si>
  <si>
    <t>Meublé labellisé Clévacances très confortable, pour 4 à 6 personnes, situé au rez-de-chaussée de la maison du propriétaire. Table en extérieur pour 6 personnes. Des vacances dans un site calme et préservé, à proximité immédiate de la rivière, de la cascade de Grand Galet et de la "marine" du sud sauvage.</t>
  </si>
  <si>
    <t>Prendre direction Saint-Joseph puis Langevin. Arriver à Langevin, tourner à gauche direction La Passerelle, longer la rivière jusqu'au barrage. Le meublé est en face du barrage à  gauche en direction de la cascade de Grand Galet.</t>
  </si>
  <si>
    <t>21, route de Grand Galet, 97412 Saint-Joseph</t>
  </si>
  <si>
    <t xml:space="preserve">Maillot Franck : Maillot.Franck@wanadoo.fr / 0262314268 / 0692070740 / Gérant(e) ,  Maillot.Franck@wanadoo.fr / 0262314268 / 0692070740 </t>
  </si>
  <si>
    <t>-21.34031119, 55.64418586</t>
  </si>
  <si>
    <t>21 Route de Grand Galet, Réunion</t>
  </si>
  <si>
    <t>Villa Exotica</t>
  </si>
  <si>
    <t>Villa Exotica
8, boulevard de l'Océan
Manapany-les-Bains
97480 Saint-Joseph</t>
  </si>
  <si>
    <t>climatisation,fer et planche à repasser,parking,piscine,wifi</t>
  </si>
  <si>
    <t>villaexotica974@gmail.com</t>
  </si>
  <si>
    <t>Dans le Sud Sauvage à Manapany-les-Bains, Villa Exotica propose une location touristique.</t>
  </si>
  <si>
    <t>La villa est composée de 4 chambres doubles, d'un séjour, d'une cuisine équipée et d'une piscine.</t>
  </si>
  <si>
    <t>Villa Exotica - Chan jean</t>
  </si>
  <si>
    <t>8, boulevard de l'océan - Manapany-les-Bains, 97412 Saint-Joseph</t>
  </si>
  <si>
    <t xml:space="preserve">Chan Jean : villaexotica974@gmail.com / 0262411022 / 0692431085 / Propriétaire , Chan Jean : villaexotica974@gmail.com / 0262411022 / 0692431085 / Propriétaire </t>
  </si>
  <si>
    <t>-21.375446, 55.598686</t>
  </si>
  <si>
    <t>8 Blvrd de l'Ocean, Manapany-Les-Bains 97480, Réunion</t>
  </si>
  <si>
    <t>recJy5Jqc46L9JsWS</t>
  </si>
  <si>
    <t>Villa les Grenadines</t>
  </si>
  <si>
    <t>Villa les Grenadines
53, rue de la Cure
97414 Entre-Deux</t>
  </si>
  <si>
    <t>fer et planche à repasser,jardin,lave linge privatif,micro-ondes,TV</t>
  </si>
  <si>
    <t>marieblivet@msn.com</t>
  </si>
  <si>
    <t>La Villa les Grenadines d'une capacité de 4 personnes  se situe à l' Entre-Deux. Elle dispose d'une chambre double et d'un grand séjour équipé d'un canapé convertible pour 2 personnes. Un petit jardin avec barbecue extérieur est à la disposition des résidents.</t>
  </si>
  <si>
    <t>Villa les Grenadines - Blivet Marie</t>
  </si>
  <si>
    <t>53, rue de la Cure, 97403 Entre-Deux</t>
  </si>
  <si>
    <t xml:space="preserve">Blivet Marie : 0262337889 / 0692332388 , Blivet Marie : 0262337889 / 0692332388 / Propriétaire </t>
  </si>
  <si>
    <t>-21.250005, 55.474696</t>
  </si>
  <si>
    <t>CSC18HTI</t>
  </si>
  <si>
    <t>Mode de paiment,E-Mail,Fournisseur - Nom,Fournisseur - contacts</t>
  </si>
  <si>
    <t>53 Impasse de la Cure, 97414, Réunion</t>
  </si>
  <si>
    <t>recI8DJFuT3y2FjIh</t>
  </si>
  <si>
    <t>Villa Oté</t>
  </si>
  <si>
    <t>Villa Oté
29, rue Maurice Berrichon - Ravine des Citrons
97414 Entre-Deux</t>
  </si>
  <si>
    <t>http://www.villaote.com</t>
  </si>
  <si>
    <t>jardin,parking,piscine,TV,wifi</t>
  </si>
  <si>
    <t>contact@villaote.com</t>
  </si>
  <si>
    <t>Située dans le village de l'Entre-Deux dans le sud de l'île, La Villa Oté est une maison d'hôte de style colonial s'articulant autour d'un jardin exotique, d'une vaste piscine et d'un spa.</t>
  </si>
  <si>
    <t>La villa dispose de 3 chambres situées à l'étage, chacune dans un esprit de décoration différent symbolisant la mixité de La Réunion.
Les chambres sont équipées de lit 160X200, d'un accès wifi haut débit et de sanitaires privés.
Possibilité de repas sur réservation.
Le jardin tropical, la piscine à débordement, le deck avec transats, le spa sont à disposition.</t>
  </si>
  <si>
    <t>Depuis la RN1, entre Saint-Louis et Saint-Pierre à l'échangeur de Pierrefonds, sortir en direction de l'Entre-Deux, puis suivre la D26 jusqu'au centre du village. Après l'hôtel de ville et l'église, suivre la D3 panneau directionnel Fond de la Rivière, continuer sur 400 m, La Villa Oté se trouve au N°29 rue Maurice Berrichon.</t>
  </si>
  <si>
    <t>Villa Oté - Dugay Técher Nathalie</t>
  </si>
  <si>
    <t>29, rue Maurice Berrichon - ravine des Citrons, 97403 Entre-Deux</t>
  </si>
  <si>
    <t xml:space="preserve">Dugay-Técher Nathalie : contact@villaote.com / 0262390343 / 0692416038 / Propriétaire , Dugay-Técher Nathalie : contact@villaote.com / 0262390343 / 0692416038 / Propriétaire </t>
  </si>
  <si>
    <t>-21.2503, 55.477552</t>
  </si>
  <si>
    <t>CSC43HTG</t>
  </si>
  <si>
    <t>Villa Ote La Réunion</t>
  </si>
  <si>
    <t>La Villa Ote La Réunion</t>
  </si>
  <si>
    <t>Villa Ote La Réunion
29, rue Maurice Berrichon
97414 Entre-Deux</t>
  </si>
  <si>
    <t>http://www.otelareunion.com</t>
  </si>
  <si>
    <t>barbecue,lecteur DVD,linge de maison,parking,piscine</t>
  </si>
  <si>
    <t>case@otelareunion.com</t>
  </si>
  <si>
    <t>Villa créole de standing meublée de 260m² en duplex, située à l'Entre-Deux  pouvant accueillir jusqu'à 10 personnes. La Villa Ote La Réunion dispose de 5 chambres doubles spacieuses et d'un lit enfant (60x120), 2 salles de bains et 2 wc séparés, 2 salons et d'un bureau équipé d'un accès Internet ADSL &amp; Wifi. 
Une grande terrasse surplombe la piscine et le jardin. Parc tropical arboré, transats. Calme, indépendance et intimité garantis.
Linge de maison fourni et entretenu par les soins du propriétaire.
Tarif : entre 1050 et 2500 € selon la saison.</t>
  </si>
  <si>
    <t>Nadia Pera</t>
  </si>
  <si>
    <t>Nadia Pera  : case@lacazba.com / 0262591422 / 0692123460 / Gérant(e)</t>
  </si>
  <si>
    <t>recNdYUMBvLOiGjBx</t>
  </si>
  <si>
    <t>Villa Pablo</t>
  </si>
  <si>
    <t>Villa Pablo
111 rue Grand Fond Intérieur
97414 Entre-Deux</t>
  </si>
  <si>
    <t>barbecue,fer et planche à repasser,piscine,sanitaires privés,TV satellite,ventilateur</t>
  </si>
  <si>
    <t>piscine</t>
  </si>
  <si>
    <t>michelpatrickg@gmail.com</t>
  </si>
  <si>
    <t>La Villa Pablo est située dans le beau village de l'Entre-Deux et proche des sentiers de randonnée et à 30 minutes de la plage de Saint-Pierre.</t>
  </si>
  <si>
    <t>Elle est composée d'une cuisine équipée, de 2 chambres doubles, d'un canapé convertible et de 2 lits d'appoint. Elle possède également une piscine de 10 m², d'un barbecue et d'une terrasse. 
Le linge de maison est fourni (serviettes de bain et de piscine, draps et torchons).</t>
  </si>
  <si>
    <t>En venant de Saint-Pierre, prendre la CD 26 vers l'Entre-Deux. Arrivé dans l'Entre-Deux prendre la rue Fontaine puis la rue Payet ensuite de chemin Dijoux et pour finir le chemin Grand Fond Intérieur.</t>
  </si>
  <si>
    <t>Villa Pablo - Gérard Michel Patrick</t>
  </si>
  <si>
    <t>111 rue Grand Fond Intérieur, 97403 Entre-Deux</t>
  </si>
  <si>
    <t>Gérard Michel Patrick : michelpatrickg@gmail.com / 0692150953 / Propriétaire</t>
  </si>
  <si>
    <t>-21.245503, 55.46923</t>
  </si>
  <si>
    <t>170.00</t>
  </si>
  <si>
    <t>CSC385HT@</t>
  </si>
  <si>
    <t>E-Mail,Descriptif,Fournisseur - contacts</t>
  </si>
  <si>
    <t>111 Rue Grand Fond Interieur, Réunion</t>
  </si>
  <si>
    <t>recSnmjG1Xm2Vg7xQ</t>
  </si>
  <si>
    <t>Villa Palm</t>
  </si>
  <si>
    <t>Villa Palm
93, chemin Saint-Expédit
97430 Le Tampon</t>
  </si>
  <si>
    <t>http://www.villapalm-reunion.com</t>
  </si>
  <si>
    <t>barbecue,four,jardin,lave linge privatif,lave vaisselle,micro-ondes,parking,salon de jardin,téléphone,TV,wifi</t>
  </si>
  <si>
    <t>avril.karl@orange.fr</t>
  </si>
  <si>
    <t>Au centre du grand Sud, dans le village de Trois-Mares, proche du centre-ville Le Tampon, Villa Palm est une villa spacieuse avec jardin et parking privatif.</t>
  </si>
  <si>
    <t>Au rez-de-chaussée: une varangue, une pièce principale de 70 m² comprenant un séjour avec salon en teck, une salle à manger et une cuisine toute équipée.
5 chambres dont une triple et une double au rez-de-chaussée et 2 triples et une double à l'étage.
Une cuisine extérieure feu de bois, un espace grillade avec barbecue et bar, un espace loisirs avec babyfoot, un salon de jardin avec balançoire et transats.</t>
  </si>
  <si>
    <t>Venant de Saint-Denis, prendre direction Saint-Pierre, puis direction Le Tampon. A la fin de la 2X2 voies, au rond-point prendre la troisième sortie direction Trois-Mares. Passer 2 intersections puis un carrefour. Au carrefour suivant tourner à droite. Au rond-point prendre direction centre-ville puis à l'intersection tourner à gauche (D3) en direction de Trois Mares. Rouler tout droit sur 3 km en comptant 4 ronds-points, au cinquième rond-point (Crédit Agricole) aller tout droit à 100 m tourner à gauche (chemin Saint-Expédit), à 350 m prendre l'allée bétonnée à droite et aller jusqu'au N° 93.</t>
  </si>
  <si>
    <t>Villa Palm - Avril Karl</t>
  </si>
  <si>
    <t>2, rue Jean Albany, 97422 Le Tampon</t>
  </si>
  <si>
    <t>Avril Karl : avril.karl@orange.fr / 0693482251/ Propriétaire ,  avril.villa-palm@wanadoo.fr</t>
  </si>
  <si>
    <t>-21.260658, 55.500695</t>
  </si>
  <si>
    <t>CSC6HTF</t>
  </si>
  <si>
    <t>Mode de paiment,Fixe,Mobile,E-Mail,Descriptif,Fournisseur - contacts</t>
  </si>
  <si>
    <t>93 Chemin Saint Expédit, 97430, Réunion</t>
  </si>
  <si>
    <t>reccTQSAZ0XAl21Q6</t>
  </si>
  <si>
    <t>Villa Sous les Tropiques</t>
  </si>
  <si>
    <t>Villa Sous les Tropiques
32, rue des Coccinelles
97480 Saint-Joseph</t>
  </si>
  <si>
    <t>http://www.villasouslestropique.wix.com/villasouslestropique</t>
  </si>
  <si>
    <t>climatisation,jardin,linge de maison,linge de toilette,piscine,salle de bain privée,sanitaires privés,wifi</t>
  </si>
  <si>
    <t>villasouslestropiques@gmail.com</t>
  </si>
  <si>
    <t>A Saint-Joseph dans le Sud Sauvage, La Villa Sous les Tropiques accueille ses hôtes très chaleureusement au sein de ses chambres situées dans une superbe villa avec piscine.
Jardin arboré pour un décor tropical authentique...</t>
  </si>
  <si>
    <t>Pour les envies de chacun, La Villa Sous Les Tropiques met à disposition ses 3 chambres :
Elles sont toutes composées d'une salle de bain privative avec WC.
Les chambres sont climatisées et équipées de nombreux espaces de rangement ainsi qu'un accès Wi-fi.
Draps, serviettes de bain et sèche-cheveux fournis.          
Nécessaire Accueil bébé.
Capacité d'accueil maximale: 8 personnes</t>
  </si>
  <si>
    <t>Sortie de Saint-Joseph, prendre direction La Plaine des Grègues, puis à gauche ligne Trovalet, 500 mètres plus loin au niveau de l'arrêt de bus, tourner à droite, puis monter dans la rue des Coccinelles, la Villa Sous les Tropiques se situe au n° 32.</t>
  </si>
  <si>
    <t>Villa Sous Les Tropiques - Dorr Patrick</t>
  </si>
  <si>
    <t>32, rue des Coccinelles, 97412 Saint-Joseph</t>
  </si>
  <si>
    <t xml:space="preserve">Dorr Patrick : dorr.p@hotmail.fr / 0692902994 / Propriétaire , Dorr Patrick : villasouslestropiques@gmail.com / 0692902994 / Propriétaire </t>
  </si>
  <si>
    <t>-21.369234, 55.610649</t>
  </si>
  <si>
    <t>CSC39HTL</t>
  </si>
  <si>
    <t>Mode de paiment,Capacité,Accroche,Descriptif</t>
  </si>
  <si>
    <t>32 Rue des Coccinelles, 97480, Réunion</t>
  </si>
  <si>
    <t>recWzMtcGi7faKSct</t>
  </si>
  <si>
    <t>Villa Volcan</t>
  </si>
  <si>
    <t>Villa Volcan
34, rue des Grands Kiosques - Bourg Murat
Bourg Murat
97418 La Plaine des Cafres</t>
  </si>
  <si>
    <t>http://www.villa-volcan.re</t>
  </si>
  <si>
    <t>barbecue,chauffage,fer et planche à repasser,four,lave linge privatif,lave vaisselle,linge de maison,linge de toilette,micro-ondes,parking,TV</t>
  </si>
  <si>
    <t>contact@kako.re</t>
  </si>
  <si>
    <t>A La Plaine des Cafres, Villa Volcan propose une villa pouvant accueillir 8 personnes.</t>
  </si>
  <si>
    <t>La villa dispose au rez de chaussée, 2 chambres doubles, une cuisine américaine entièrement équipée, une salle de bain et des toilettes séparées. A l’étage une grande chambre mansardée avec un lit double et 2 lits simples, une salle de bains et des toilettes.
2 terrasses en bois sont disponibles pour profiter de la vue sur les montagnes.</t>
  </si>
  <si>
    <t>Prendre la route des Plaines (RN3) jusqu’à la Cité du Volcan à Bourg Murat. Au rond-point prendre direction « Volcan », Villa Volcan est située à 150 m sur la droite.</t>
  </si>
  <si>
    <t>Villa Volcan - Prugniere Jean Claude</t>
  </si>
  <si>
    <t>30, rue des Grands Kiosques - Bourg Murat, 97422 Le Tampon</t>
  </si>
  <si>
    <t xml:space="preserve">Prugniere Jean Claude : contact@kako.re / 0692794129 ,  0692794129 </t>
  </si>
  <si>
    <t>-21.2046367,55.5720156</t>
  </si>
  <si>
    <t>CSC244HT@</t>
  </si>
  <si>
    <t>Adresse,Mode de paiment,Autre téléphone,E-Mail,Descriptif,Fournisseur - Nom,Fournisseur - contacts</t>
  </si>
  <si>
    <t>170 Rue Alfred Lacroix, La Plaine des Cafres, Réunion</t>
  </si>
  <si>
    <t>recXJf4CflTBGXPEA</t>
  </si>
  <si>
    <t>Village Sauvage (Le)</t>
  </si>
  <si>
    <t>SCI Noulafée</t>
  </si>
  <si>
    <t>Village Sauvage (Le)
28, rue Marcel Pagnol - Vincendo
Vincendo
97480 Saint-Joseph</t>
  </si>
  <si>
    <t>http://www.villagesauvage.sitew.fr</t>
  </si>
  <si>
    <t>barbecue,fer et planche à repasser,parking,piscine,TV satellite,ventilateur,wifi</t>
  </si>
  <si>
    <t>levillagesauvage@orange.fr</t>
  </si>
  <si>
    <t>Implanté dans le Sud Sauvage à Saint-Joseph, dans un écrin de verdure, Le Village Sauvage dispose de 3 bungalows meublés.</t>
  </si>
  <si>
    <t>2 bungalows de 4 personnes composés d'une chambre double, d'un salon avec canapé convertible, d'une cuisine équipée et d'une terrasse. Le bungalow de 6 personnes dispose de 2 chambres doubles dont une en mezzanine, d'un salon avec canapé convertible, d'un coin cuisine et d'une terrasse.
Accès au jardin et à la piscine. Endroit calme et convivial.</t>
  </si>
  <si>
    <t>De Saint-Denis, prendre la 2X2 voies direction Saint-Paul, Saint-Pierre, Saint-Joseph, Langevin (La Balance). A 1 km le plateau de Vincendo en direction de Saint-Philippe. Après le restaurant Le Papangue sur la droite se trouve un panneau Le Village Sauvage.</t>
  </si>
  <si>
    <t>Village Sauvage (Le) - Vigueur Anne</t>
  </si>
  <si>
    <t>28, rue Marcel Pagnol - Vincendo, 97412 Saint-Joseph</t>
  </si>
  <si>
    <t xml:space="preserve">Vigueur Anne : levillagesauvage@orange.fr / 0262568028 / 0692310938 / Propriétaire , Vigueur Anne  : levillagesauvage@orange.fr / 0262568028 / 0692310938 / Propriétaire </t>
  </si>
  <si>
    <t>-21.379442, 55.659444</t>
  </si>
  <si>
    <t>CSC167HTN</t>
  </si>
  <si>
    <t>Mode de paiment,Capacité,Descriptif,Fournisseur - Nom,Fournisseur - SIRET,Fournisseur - contacts</t>
  </si>
  <si>
    <t>28 Rue Marcel Pagnol, 97480, Réunion</t>
  </si>
  <si>
    <t>Village Vacances Alambic</t>
  </si>
  <si>
    <t>Village Vacances Alambic
58, chemin Fataks Les Bas - RN3 - 17ème km
Plaine des Cafres
97418 La Plaine des Cafres</t>
  </si>
  <si>
    <t>Situé à la Plaine des Cafres, Village Vacances Alambic propose la location de 4 chalets.</t>
  </si>
  <si>
    <t>58, chemin Fataks Les Bas - RN3 - 17ème km, 97422 Le Tampon</t>
  </si>
  <si>
    <t>Manazoua Clara : 0692703849 / 0692999010</t>
  </si>
  <si>
    <t>-21.23352, 55.529711</t>
  </si>
  <si>
    <t>58 Chemin des Fataks, La Plaine des Cafres, Réunion</t>
  </si>
  <si>
    <t>recdIs0HOgiZ1A0SS</t>
  </si>
  <si>
    <t>Villas Manapany</t>
  </si>
  <si>
    <t>Villas Manapany
9 C, allée du Four à Chaux - Manapany-les-Bains
Manapany-les-Bains
97480 Saint-Joseph</t>
  </si>
  <si>
    <t>http://www.villasmanapany.com</t>
  </si>
  <si>
    <t>barbecue,climatisation,fer et planche à repasser,TV,wifi</t>
  </si>
  <si>
    <t>villasmanapany@gmail.com</t>
  </si>
  <si>
    <t>Villas de standing classées 3 étoiles dans un jardin arboré de 3000 m², pieds dans l'eau. Kiosque surplombant l'océan (accès partagés).</t>
  </si>
  <si>
    <t>Villas récentes de 90 m² chacune, se composant d'une vaste varangue de 27 m², de 2 chambres doubles climatisées, placards intégrés, d'une cuisine équipée, d'une salle à manger, d'un salon, d'une salle de bain et WC séparé. Cour clôturée, parking privatif. Tarif affiché basse saison.</t>
  </si>
  <si>
    <t>Villas Manapany - Bertron Didier Manuel</t>
  </si>
  <si>
    <t>9b, allée du Four à Chaux - Manapany-les-Bains, 97412 Saint-Joseph</t>
  </si>
  <si>
    <t xml:space="preserve">Bertron Didier Manuel : villamanapany@gmail.com / 0693137978 / Propriétaire , Bertron Didier : villasmanapany@gmail.com / 0693137978 / Propriétaire </t>
  </si>
  <si>
    <t>-21.375556, 55.590556</t>
  </si>
  <si>
    <t>CSC16HTG</t>
  </si>
  <si>
    <t>9b Allée du Four A Chaux, Manapany-Les-Bains 97480, Réunion</t>
  </si>
  <si>
    <t>recS5CY0vUJ4cR2J8</t>
  </si>
  <si>
    <t>Villas Mandarine (Les)</t>
  </si>
  <si>
    <t>Villas Mandarine (Les)
68 rue Grand-Fond Extérieur
97414 Entre-Deux</t>
  </si>
  <si>
    <t>olivier.prugnieres@wanadoo.fr</t>
  </si>
  <si>
    <t>C'est dans un cadre magique, que ces 3 Villas sont situées.
Ces Villas portent le nom d'une partie des bons fruits que vous pourrez déguster dans le jardin :
Villa Passion
Villa Goyavier
Villa Carambole
Ces 3 Villas ont été réalisées sur un parc de 5000 m2, composé de nombreux arbres fruitiers (fruit de la passion, goyaviers, litchi, mangues, papaye, mandarine etc ..) et essences de la Réunion
Le logement
Une belle piscine commune aux 3 villas et sécurisée par une barrière, pour se relaxer aprés une balade, ou bien se faire une petite sieste sur les confortables transat
Un espace BBQ vous attend au milieu des arbres du parc
Un espace Buanderie avec Machine à laver, et vélos
Et pourquoi par une coupe de champagne en vous prélassant dans le jacuzzi de la Villa Carambole ?
Située à la sortie du petit Village de l'Entre Deux, vous bénéficiez d’un havre de paix au milieu des montagnes, et en même temps à 2 pas du typique Village de l’Entre Deux et de toutes les commodités (restaurants, supermarchés, commerces etc ..)
Pour des vacances réussies entre amis ou en famille, chaque villa dispose de 2 chambres doubles et d'un lit double sur la mezzanine
Chaque villa peut donc accueillir jusqu'à 6 personnes, soient 18 personnes en tout pour les 3 villas.
Faite une pause dans l’agréable salon, avec télévision, accès internet
Ou profitez de la très confortable terrasse pour déguster vos repas devant des paysages à couper le souffle.
Les cuisines sont entièrement équipées</t>
  </si>
  <si>
    <t>-21.234454, 55.465274</t>
  </si>
  <si>
    <t>Rue Grand Fond Extérieur, Réunion</t>
  </si>
  <si>
    <t>Volcan (Le)
194, rue Maurice Kraft - RN 3 - PK 27
Bourg Murat
97418 La Plaine des Cafres</t>
  </si>
  <si>
    <t>http://www.ilereunion.com/hotelvolcan</t>
  </si>
  <si>
    <t>Carte Bancaire,American express</t>
  </si>
  <si>
    <t>L'Hôtel Le Volcan est situé au cœur du village de Bourg Murat, à 200 m de la Maison du Volcan et au point de départ de nombreuses randonnées pédestres, équestres et VTT. Il dispose de 10 chambres en formule bungalow. Appartient au club de l'Hôtellerie créole indépendante et familiale.  
Le restaurant propose une cuisine créole et métropolitaine.</t>
  </si>
  <si>
    <t xml:space="preserve">Depuis le Sud, prendre la 4 voies en direction du Tampon/Plaine des Cafres. Aller jusqu'au village de Bourg Murat, l'hôtel se situe juste après la Maison du Volcan sur la gauche de la route (face à l'Auberge du Volcan).
Depuis les Plaines, suivre la RN 3, traverser le village de Bourg Murat, l'hôtel se situe avant la Maison du Volcan à droite de la route (face à l'Auberge du Volcan). </t>
  </si>
  <si>
    <t>194 Rue Maurice et Katia Krafft, La Plaine des Cafres, Réunion</t>
  </si>
  <si>
    <t>Volcania (Le)</t>
  </si>
  <si>
    <t>Volcania (Le)
11 rue Bory de St Vincent - Bourg-Murat
Plaine des Cafres
97418 La Plaine des Cafres</t>
  </si>
  <si>
    <t>levolcania@laposte.net</t>
  </si>
  <si>
    <t>Bungalow dans la cour des propriétaires comprenant une véranda, 1 coin cuisine, 1 chambre, une salle de bain. Endroit calme à proximité du musée du volcan et des départs de sentiers de randonnées. Emplacement pour bivouac</t>
  </si>
  <si>
    <t>11 rue Bory de St Vincent - Bourg-Murat, 97422 Le Tampon</t>
  </si>
  <si>
    <t>levolcania@laposte.net / 0262227318 / 0692457406</t>
  </si>
  <si>
    <t>-21.201207, 55.576469</t>
  </si>
  <si>
    <t>11 Chemin Bory de Saint Vincent, La Plaine des Cafres, Réunion</t>
  </si>
  <si>
    <t>Volcano (Le)</t>
  </si>
  <si>
    <t>Volcano (Le)
247, rue Maurice Kraft
Plaine des Cafres
97418 La Plaine des Cafres</t>
  </si>
  <si>
    <t>http://volcano-re.webnode.fr</t>
  </si>
  <si>
    <t>barbecue,sanitaires privés,TV,wifi</t>
  </si>
  <si>
    <t>volcanoreunion@gmail.com</t>
  </si>
  <si>
    <t>A La Plaine des Cafres, dans la fraîcheur des hauts, Le Volcano propose une villa équipée pour 15 personnes.</t>
  </si>
  <si>
    <t>La villa dispose de 4 chambres équipées de sanitaires privés, télévision, wifi, cheminée, d'une cuisine équipée et d'une terrasse avec barbecue. Le Volcano est situé à 300 m de la Cité du Volcan. Animaux acceptés.</t>
  </si>
  <si>
    <t>Diligence (La)</t>
  </si>
  <si>
    <t>8, rue Paul Depaindray PK28 Bourg-Murat, 97422 Le Tampon</t>
  </si>
  <si>
    <t>-21.199364, 55.574512</t>
  </si>
  <si>
    <t>247 Rue Maurice et Katia Krafft, La Plaine des Cafres, Réunion</t>
  </si>
  <si>
    <t>Yo Boutik</t>
  </si>
  <si>
    <t>Yo Boutik
3, rue Fortuné Hoarau
97414 Entre-Deux</t>
  </si>
  <si>
    <t>Située à l'Entre-Deux, la boutique artisanale propose de l'artisanat réunionnais et malgache.</t>
  </si>
  <si>
    <t>3, rue Fortuné Hoareau, 97403 Entre-Deux</t>
  </si>
  <si>
    <t>0262910332 / 0692910332</t>
  </si>
  <si>
    <t>-21.249091, 55.470273</t>
  </si>
  <si>
    <t>2 Rue Fortune Hoarau, Entre-Deux, Réunion</t>
  </si>
  <si>
    <t>recwJL4wMZc8BUN4B</t>
  </si>
  <si>
    <t>Z'Escargots des Hauts</t>
  </si>
  <si>
    <t>Z'Escargots des Hauts
110, chemin Avril Louvins - PK 17
97430 Le Tampon</t>
  </si>
  <si>
    <t>http://www.zescargots-des-hauts.fr</t>
  </si>
  <si>
    <t>nadine.mcgrondin@gmail.com</t>
  </si>
  <si>
    <t>situé au Tampon, Z'Escargots des Hauts propose la visite de l'élevage des escargots gros et petits dris à la ferme.</t>
  </si>
  <si>
    <t>Transformation et la vente de ces escargots en produits cuisinés, tels que les traditionnels escargots en coquille (avec beurre bourguignon), les coquilles aux cinq beurres, les brochettes d'escargot, les feuilletés d'escargot ainsi que les profiteroles à la mousse d'escargot... .</t>
  </si>
  <si>
    <t>Z'escargots des Hauts - Nadine GRONDIN</t>
  </si>
  <si>
    <t>110, chemin Avril Bénard Louvins - PK 17, 97422 Le Tampon</t>
  </si>
  <si>
    <t xml:space="preserve"> nadine.mcgrondin@gmail.com / 0262273201 / 0692668477 / 0262273201 ,  nadine.mcgrondin@gmail.com / 0262273201 / 0692668477 / 0262273201  </t>
  </si>
  <si>
    <t>-21.236561, 55.517502</t>
  </si>
  <si>
    <t>Mode de paiment,Fax,Fournisseur - Nom,Fournisseur - SIRET,Fournisseur - contacts</t>
  </si>
  <si>
    <t>110 Chemin Avril Benard Louvins, Réunion</t>
  </si>
  <si>
    <t>recWVYXqJcjVpjRLF</t>
  </si>
  <si>
    <t>Zakacias (Les)</t>
  </si>
  <si>
    <t>Zakacias (les)</t>
  </si>
  <si>
    <t>Zakacias (Les)
89, Petite Ferme - CD 36
Plaine des Cafres
97418 La Plaine des Cafres</t>
  </si>
  <si>
    <t>Situé à la Plaine des Cafres, dans la fraîcheur des hauts, les Zakacias proposent 2 chambres d'hôtes au cœur de la petite ferme.</t>
  </si>
  <si>
    <t>Les chambres doubles disposent de lits en 160X200 cm. Intimité, tranquillité et convivialité dans un cadre calme et confortable, vue sur mer et montagne.</t>
  </si>
  <si>
    <t>En venant de Saint-Pierre, suivre la RN 3 en direction de Saint-Benoit. Au 23ème km après la gendarmerie, prendre le CD 36 (route de Notre Dame de la Paix) et faire environ 2,5 km. Les chambres se situe sur la gauche.</t>
  </si>
  <si>
    <t>Zakacias (Les) - Robert Madeleine</t>
  </si>
  <si>
    <t>89, Petite Ferme - CD 36, 97422 Le Tampon</t>
  </si>
  <si>
    <t xml:space="preserve">Robert Madeleine : madeleine.run@wanadoo.fr / 0262592059 / 0692873660 / 0262592059 ,  madeleine.run@wanadoo.fr / 0262592059 / 0692873660 / 0262592059  </t>
  </si>
  <si>
    <t>-21.23065561, 55.5785375</t>
  </si>
  <si>
    <t>CSC142HTG</t>
  </si>
  <si>
    <t>Mode de paiment,Fax,Fournisseur - contacts</t>
  </si>
  <si>
    <t>recPl1VWjwSujgCer</t>
  </si>
  <si>
    <t>9zailes4</t>
  </si>
  <si>
    <t>13 rue Jean Bart - 97430 Le Tampon</t>
  </si>
  <si>
    <t xml:space="preserve">http://www.9zailes4.com
</t>
  </si>
  <si>
    <t>ULM</t>
  </si>
  <si>
    <t>Espèces,Chèque</t>
  </si>
  <si>
    <t>stephane@9zailes4.com</t>
  </si>
  <si>
    <t>Depuis l'Aéroport de Pierrefonds à Saint-Pierre, 9zailes4 propose des survols de l'île de La Réunion en toute sécurité, confort et convivialité.</t>
  </si>
  <si>
    <t>4 circuits sont proposés : La Fournaise, l'Essentiel, L'Unesco, Par les Hauts Par les Bas. Découverte de toutes les richesses de l’île Intense avec 9zailes4 : Son volcan actif Le Piton de la Fournaise, Ses 3 cirques Cilaos, Mafate et Salazie, Ses forêts primaires des hauts Bébour et Bélouve, Ses cascades Grand Etang, Takamaka, le Trou de Fer, Ses lagons de la côte Ouest, Le survol du toit de l'océan Indien Le Piton des Neiges, ... .
Le Guide-pilote Stéphane animera le vol et fera vivre cette expérience unique en ULM à chaque passager pour que les yeux savourent pleinement ce moment et en garder un souvenir inoubliable !
Durée du vol : de 35 min à 1h15, tarif selon le circuit.</t>
  </si>
  <si>
    <t>Depuis la 2X2 voies en provenance du sud (Saint-Pierre) ou de l'ouest ou nord (Saint-Leu, Saint-Paul, Saint-Denis), prendre la sortie Aéroport de Pierrefonds. Devant la tour de contrôle, continuer sur la droite vers les hangars des aéroclubs.</t>
  </si>
  <si>
    <t>BAUDET Stéphane</t>
  </si>
  <si>
    <t>BAUDET Stéphane : stephane@9zailes4.com / 0692 86 12 13</t>
  </si>
  <si>
    <t>-21.2740971,55.5028198</t>
  </si>
  <si>
    <t>13 Rue Jean Bart, Réunion</t>
  </si>
  <si>
    <t>A grand coup d'aile</t>
  </si>
  <si>
    <t>176 rue Jean Cambiaire - 97480 Saint-Joseph</t>
  </si>
  <si>
    <t>http://www.facebook.com/agrandcoudaile</t>
  </si>
  <si>
    <t>jean.clerville@yahoo.fr</t>
  </si>
  <si>
    <t>CLERVILLE Guibert</t>
  </si>
  <si>
    <t>Clerville Guibert : jean.clerville@yahoo.fr / 06 92 10 61 57 / 06 92 22 50 22</t>
  </si>
  <si>
    <t>-21.3560366,55.602993</t>
  </si>
  <si>
    <t>176 Rue Jean de Cambiaire, Réunion</t>
  </si>
  <si>
    <t>recygdEueaTEjr8Nu</t>
  </si>
  <si>
    <t>Adrenalile</t>
  </si>
  <si>
    <t>Rivière Langevin - 97480 Saint-Joseph</t>
  </si>
  <si>
    <t>http://www.adrenalile.com</t>
  </si>
  <si>
    <t>contact@adrenalile.com</t>
  </si>
  <si>
    <t>Canyoning et randonnée aquatique Rivière Langevin</t>
  </si>
  <si>
    <t>Cyril LE GUEN</t>
  </si>
  <si>
    <t>Cyril LE GUEN : contact@adrenalile.com / 06 92 75 04 00</t>
  </si>
  <si>
    <t>-21.3279218,55.6433987</t>
  </si>
  <si>
    <t>Rivière Langevin, Réunion</t>
  </si>
  <si>
    <t>recw7koVvxLQYlR3r</t>
  </si>
  <si>
    <t>AGENCE AVENTURE LA REUNION</t>
  </si>
  <si>
    <t>Particulier</t>
  </si>
  <si>
    <t>75 ter rue Alexandre Flemming 97430 Le tampon</t>
  </si>
  <si>
    <t>Découverte,"Loisirs - se divertir"</t>
  </si>
  <si>
    <t>Chèque,Espèces,Paypal</t>
  </si>
  <si>
    <t>Français,anglais,allemand,espagnol</t>
  </si>
  <si>
    <t>creldnik@gmail.com</t>
  </si>
  <si>
    <t>Découverte du territoire, de sa géologie, et de son histoire, guide ARGAT</t>
  </si>
  <si>
    <t>KINDLER Christopher</t>
  </si>
  <si>
    <t>Sud - Entre -deux</t>
  </si>
  <si>
    <t>-21.2720339,55.52864539999999</t>
  </si>
  <si>
    <t>75 Rue Alexandre Flemming, Réunion</t>
  </si>
  <si>
    <t>recvzvSRCc069iAhQ</t>
  </si>
  <si>
    <t>Alain beaudemoulin</t>
  </si>
  <si>
    <t>Maître Artisan</t>
  </si>
  <si>
    <t>108 Rue Albert Frejaville, 97430, La Réunion</t>
  </si>
  <si>
    <t>Chocolatier</t>
  </si>
  <si>
    <t>Centre - Ville</t>
  </si>
  <si>
    <t>Gare routière,station essence</t>
  </si>
  <si>
    <t>Espèces,Carte Bancaire</t>
  </si>
  <si>
    <t>Français,créole,anglais</t>
  </si>
  <si>
    <t>BEAUDEMOULIN Alain</t>
  </si>
  <si>
    <t>-21.279991,55.5136191</t>
  </si>
  <si>
    <t>108 Rue Albert Frejaville, Réunion</t>
  </si>
  <si>
    <t>rec3cYtpyPGVh6TPv</t>
  </si>
  <si>
    <t>Antre du Fouquet (L')</t>
  </si>
  <si>
    <t>249 A rue du Bras Long - Bras Long 97414 Entre-Deux</t>
  </si>
  <si>
    <t>fouquet974@orange.fr</t>
  </si>
  <si>
    <t>Christine ASTIER TECHER</t>
  </si>
  <si>
    <t>249 A rue du Bras Long - 97414 Entre-Deux</t>
  </si>
  <si>
    <t>Christine ASTIER TECHER : mariechristine.astier@orange.com / 06 92 04 95 55</t>
  </si>
  <si>
    <t>-21.2431944,55.4708088</t>
  </si>
  <si>
    <t>CSC270HR@</t>
  </si>
  <si>
    <t>Rue Bras Long, Réunion</t>
  </si>
  <si>
    <t>rec5ymYj3D3tanPqc</t>
  </si>
  <si>
    <t>Appartement Rez de Jardin</t>
  </si>
  <si>
    <t>9 impasse Paul Valery - 97430 Le Tampon</t>
  </si>
  <si>
    <t>jhuguesgonthier@gmail.com</t>
  </si>
  <si>
    <t>Jean Hugues GONTHIER</t>
  </si>
  <si>
    <t>68 boulevard Hubert Delisle - 97410 Saint-Pierre</t>
  </si>
  <si>
    <t>Jean Hugues GONTHIER : jhuguesgonthier@gmail.com / 06 93 55 03 25</t>
  </si>
  <si>
    <t>-21.2557816,55.4844165</t>
  </si>
  <si>
    <t>CSC293HT@</t>
  </si>
  <si>
    <t>9 Impasse Paul Valery, Réunion</t>
  </si>
  <si>
    <t>recazFnUGnIxAR9Qh</t>
  </si>
  <si>
    <t>Asine de Bourbon</t>
  </si>
  <si>
    <t>21 chemin François Robert - Jean-Petit 97480 Saint-Joseph</t>
  </si>
  <si>
    <t>Jean Petit</t>
  </si>
  <si>
    <t>asinedebourbon@hotmail.fr</t>
  </si>
  <si>
    <t>Balade à dos d'âne</t>
  </si>
  <si>
    <t>Daniel HOAREAU</t>
  </si>
  <si>
    <t>Daniel HOAREAU : asinedebourbon@hotmail.fr / 06 92 21 01 82</t>
  </si>
  <si>
    <t>-21.3429166,55.62783779999999</t>
  </si>
  <si>
    <t>21 Chemin Francois Robert, Réunion</t>
  </si>
  <si>
    <t>rect8uwvI8j6zG2Zk</t>
  </si>
  <si>
    <t>Association Art pour tous</t>
  </si>
  <si>
    <t>111 rue Leconte Delisle 97480 Saint-Joseph</t>
  </si>
  <si>
    <t>http://www.artspourtous974.com</t>
  </si>
  <si>
    <t>artpourtous.saintjoseph@gmail.com</t>
  </si>
  <si>
    <t>Françoise NORRO</t>
  </si>
  <si>
    <t>Françoise NORRO : 06 93 00 18 04</t>
  </si>
  <si>
    <t>-21.376321,55.6194247</t>
  </si>
  <si>
    <t>40 Rue Leconte De Lisle, 97480, Réunion</t>
  </si>
  <si>
    <t>rec2hFEtbYDCJhExh</t>
  </si>
  <si>
    <t>Association des Petits Métiers</t>
  </si>
  <si>
    <t>11A Route du Bras-Long - La Mare 97414 Entre-Deux</t>
  </si>
  <si>
    <t>https://www.facebook.com/Association-Des-Petits-M%C3%A9tiers-1466122896945870/</t>
  </si>
  <si>
    <t>La Mare</t>
  </si>
  <si>
    <t>adpm@life.fr</t>
  </si>
  <si>
    <t>regroupement d’artisans travaillant la fibre du choca</t>
  </si>
  <si>
    <t>Hoareau Judith (Présidente)</t>
  </si>
  <si>
    <t>Hoareau Judith : 693928123 / présidente</t>
  </si>
  <si>
    <t>recKknQfyDiZ3SOXl</t>
  </si>
  <si>
    <t>Association tisseur péi</t>
  </si>
  <si>
    <t>17 rue du souffleur - Langevin 97480 Saint-Joseph</t>
  </si>
  <si>
    <t>Artisanat vacoa et vetyver</t>
  </si>
  <si>
    <t>Murielle COURTOIS</t>
  </si>
  <si>
    <t>Murielle COURTOIS : 06 93 00 83 40</t>
  </si>
  <si>
    <t>-21.3851813,55.6462803</t>
  </si>
  <si>
    <t>recyNTh7vGAYgzmHO</t>
  </si>
  <si>
    <t>Association vacoa-ma-na</t>
  </si>
  <si>
    <t>3 impasse Camille Hoareau - Jean-Petit 97480 Saint-Joseph</t>
  </si>
  <si>
    <t>vacoamana@gmail.com</t>
  </si>
  <si>
    <t>Vannerie en vacoa</t>
  </si>
  <si>
    <t>Nadège TERGEMINA</t>
  </si>
  <si>
    <t>Nadège TERGAMINA : 06 92 61 77 48</t>
  </si>
  <si>
    <t>-21.3409375,55.6286004</t>
  </si>
  <si>
    <t>3 Impasse Camille Hoareau, Réunion</t>
  </si>
  <si>
    <t>Atelier de Coccinelle</t>
  </si>
  <si>
    <t>ruelle Bleue - Ravine 97414 Entre-Deux</t>
  </si>
  <si>
    <t>otelatresoriere@gmail.com</t>
  </si>
  <si>
    <t>L'Atelier de Coccinelle ou le Bonheur est dans l'Atelier....Travail du choca, vacoa, petites broderies, crochet...</t>
  </si>
  <si>
    <t>SEVERIN Béatrice</t>
  </si>
  <si>
    <t>-21.2474136,55.4793788</t>
  </si>
  <si>
    <t>recsuYv0MT8JWatmt</t>
  </si>
  <si>
    <t>8 RN2 Le Baril, 97442 Saint-Philippe</t>
  </si>
  <si>
    <t>Chèque,Espèces,PassLoisirs,Chèques vacances</t>
  </si>
  <si>
    <t>Propose des balades en vélo couché avec des sentiers en bord de mer, urbains, volcaniques et en fôret</t>
  </si>
  <si>
    <t>M Mikael BENARD</t>
  </si>
  <si>
    <t>-21.3691066,55.727522</t>
  </si>
  <si>
    <t>recG0bjzDHTmZQTzX</t>
  </si>
  <si>
    <t>Au bonheur du miel</t>
  </si>
  <si>
    <t>32 rue Cafre - 97414 Entre-Deux</t>
  </si>
  <si>
    <t>http://www.savonsdesarah.com</t>
  </si>
  <si>
    <t>sarah@savonsdesarah.com</t>
  </si>
  <si>
    <t>Création de savons artisanaux au miel de la Réunion</t>
  </si>
  <si>
    <t>LUCAS Sarah</t>
  </si>
  <si>
    <t>Sarah Lucas : sarah@savonsdesarah.com / 692255248</t>
  </si>
  <si>
    <t>-21.2381416,55.4705649</t>
  </si>
  <si>
    <t>32 Rue Cafre, Réunion</t>
  </si>
  <si>
    <t>recjlkTcYHia3cCFI</t>
  </si>
  <si>
    <t>Au bord de la falaise</t>
  </si>
  <si>
    <t>78 rue des Quais - Plateau Vincendo 97480 Saint-Joseph</t>
  </si>
  <si>
    <t>Vincendo</t>
  </si>
  <si>
    <t>auborddelafalaise@gmail.com</t>
  </si>
  <si>
    <t>Josette LEPERE &amp; Guy-Noël LALLEMAND</t>
  </si>
  <si>
    <t>Josette LEPERE &amp; Guy-Noël LALLEMAND : 06 92 27 35 11</t>
  </si>
  <si>
    <t>-21.3813631,55.6627045</t>
  </si>
  <si>
    <t>78 Rue des Quais, Réunion</t>
  </si>
  <si>
    <t>recm53UKPJEM8TVIS</t>
  </si>
  <si>
    <t>Au cœur du Safran</t>
  </si>
  <si>
    <t>25 A chemin des Pourpiers - Les Lianes 97480 Saint-Joseph</t>
  </si>
  <si>
    <t>meli_fontaine@hotmail.fr</t>
  </si>
  <si>
    <t>Maison individuelle avec vue mer</t>
  </si>
  <si>
    <t>Mélissa FONTAINE</t>
  </si>
  <si>
    <t>Mélissa FONTAINE : meli_fontaine@hotmail.fr / 06 92 06 85 75</t>
  </si>
  <si>
    <t>-21.3334591,55.6041288</t>
  </si>
  <si>
    <t>CSC366HT@</t>
  </si>
  <si>
    <t>25 Chemin des Pourpiers, Réunion</t>
  </si>
  <si>
    <t>reccHIVp7euYxlSGu</t>
  </si>
  <si>
    <t>Au Petit Bonheur</t>
  </si>
  <si>
    <t>9 C chemin Dijoux - Grand Fond 97414 Entre-Deux</t>
  </si>
  <si>
    <t>Grand Fond</t>
  </si>
  <si>
    <t>piscine,barbecue,parking</t>
  </si>
  <si>
    <t>aupetitbonheur974@orange.fr</t>
  </si>
  <si>
    <t>Jean Michel BONMOSSO</t>
  </si>
  <si>
    <t>9 C chemin Dijoux - 97414 Entre-Deux</t>
  </si>
  <si>
    <t>Jean Michel BONMOSSO : aupetitbonheur974@orange.fr  / 06 93 06 25 21</t>
  </si>
  <si>
    <t>CSC166HR@</t>
  </si>
  <si>
    <t>recbxDUTpoIJrKiVq</t>
  </si>
  <si>
    <t>Au QG J&amp;J</t>
  </si>
  <si>
    <t>57 rue Quai Gabriel - 97442 Saint-Philippe</t>
  </si>
  <si>
    <t>piscine,parking</t>
  </si>
  <si>
    <t>sentiers de randonnées,commerces,sites touristiques</t>
  </si>
  <si>
    <t>auqg442@gmail.com</t>
  </si>
  <si>
    <t>Villa située à proximité des sentiers littoraux, idéal pour le repos en famille ou entre amis</t>
  </si>
  <si>
    <t>TONRU Jannick</t>
  </si>
  <si>
    <t>-21.3718795,55.7206972</t>
  </si>
  <si>
    <t>Rue Quai Gabriel, Réunion</t>
  </si>
  <si>
    <t>recA8RcBo4tXZjZIg</t>
  </si>
  <si>
    <t>Au temps pour vous</t>
  </si>
  <si>
    <t>39 boulevard de l'océan - Manapany-les-bains 97480 Saint-Joseph</t>
  </si>
  <si>
    <t>Manapany-les-Bains</t>
  </si>
  <si>
    <t>au.temps.pour.vous974@gmail.com</t>
  </si>
  <si>
    <t>Transport de personnes / véhicules de tourisme</t>
  </si>
  <si>
    <t>Jean-Marie BARRET</t>
  </si>
  <si>
    <t>Jean-Marie BARRET : au.temps.pour.vous974@gmail.com / 06 92 30 05 77</t>
  </si>
  <si>
    <t>-21.3761917,55.5937677</t>
  </si>
  <si>
    <t>recLhcE8i5LRInX0q</t>
  </si>
  <si>
    <t>Auberge Desprairies</t>
  </si>
  <si>
    <t>44 Route de Matouta - Matouta 97480 Saint-Joseph</t>
  </si>
  <si>
    <t>Matouta</t>
  </si>
  <si>
    <t>Maison de 6 chambres disposant de sanitaires privés et room service</t>
  </si>
  <si>
    <t>Après le panneau de fin d'agglomération prendre direction VINCENDO D37 puis vers Matouta</t>
  </si>
  <si>
    <t>Willy DESPRAIRIES</t>
  </si>
  <si>
    <t>Willy DESPRAIRIES : matouta@wanadoo.fr</t>
  </si>
  <si>
    <t>-21.3607353,55.7009652</t>
  </si>
  <si>
    <t>CSC206HT@</t>
  </si>
  <si>
    <t>recAMIg8ptUTR5din</t>
  </si>
  <si>
    <t>Auberge du Cissia</t>
  </si>
  <si>
    <t>21 chemin Safer - Grand Coude 97480 Saint-Joseph</t>
  </si>
  <si>
    <t>Grand Coude</t>
  </si>
  <si>
    <t>René GRENIER</t>
  </si>
  <si>
    <t>René GRENIER : 06 92 37 93 78</t>
  </si>
  <si>
    <t>-21.2816572,55.634558</t>
  </si>
  <si>
    <t>21 Chemin Safer Grand Coude, Réunion</t>
  </si>
  <si>
    <t>recB76CX86a5mSAek</t>
  </si>
  <si>
    <t>Aux berges des remparts</t>
  </si>
  <si>
    <t>119 rue Raphaël Babet - 97480 Saint-Joseph</t>
  </si>
  <si>
    <t>-21.3808783,55.612921</t>
  </si>
  <si>
    <t>119 Rue Raphael Babet, Réunion</t>
  </si>
  <si>
    <t>rechT8wtzhW46TzWU</t>
  </si>
  <si>
    <t>6 chemin Conflors - La Plaine des Grègues 97480 Saint-Joseph</t>
  </si>
  <si>
    <t>La Plaine des Grègues</t>
  </si>
  <si>
    <t>-21.3293138,55.6048548</t>
  </si>
  <si>
    <t>recxVLH3rUogl9vrc</t>
  </si>
  <si>
    <t>Aux Senteurs de Jasmin</t>
  </si>
  <si>
    <t>38 bis rue Eugene Dayot - 97430 Le Tampon</t>
  </si>
  <si>
    <t>jardin clôturé,parking,accès internet,piscine chauffée</t>
  </si>
  <si>
    <t>auxsenteursdejasmin@gmail.com</t>
  </si>
  <si>
    <t>MAILLOT Véronique</t>
  </si>
  <si>
    <t>115 chemin Bardot - 97430 Le Tampon</t>
  </si>
  <si>
    <t>MAILLOT Véronique : auxsenteursdejasmin@gmail.com / 06 92 66 79 41</t>
  </si>
  <si>
    <t>-21.2865754,55.5173161</t>
  </si>
  <si>
    <t>CSC330HT@</t>
  </si>
  <si>
    <t>Rue Eugene Dayot, Réunion</t>
  </si>
  <si>
    <t>recSaSdUkaXGjernW</t>
  </si>
  <si>
    <t>Avocat Bleu (L')</t>
  </si>
  <si>
    <t>77 Chemin Alexandre Sery - PK14 97430 Le Tampon</t>
  </si>
  <si>
    <t>PK14</t>
  </si>
  <si>
    <t>covindindavid@yahoo.fr</t>
  </si>
  <si>
    <t>COVINDIN David</t>
  </si>
  <si>
    <t>75 Chemin Alexandre Sery - PK14 97430 Le Tampon</t>
  </si>
  <si>
    <t>COVINDIN David : covindindavid@yahoo.fr / 06 92 65 70 54</t>
  </si>
  <si>
    <t>-21.2414087,55.51756659999999</t>
  </si>
  <si>
    <t>CSC217HT@</t>
  </si>
  <si>
    <t>77 Chemin Alexandre Sery, Réunion</t>
  </si>
  <si>
    <t>recmB8iMEhmDc3isf</t>
  </si>
  <si>
    <t>Baies Roses du 17ème (Les)</t>
  </si>
  <si>
    <t>117 C et D chemin Barbot - PK17 97430 Le Tampon</t>
  </si>
  <si>
    <t>PK17</t>
  </si>
  <si>
    <t>lesbaiesrosesdu17eme@gmail.com</t>
  </si>
  <si>
    <t>EVAN Valérie</t>
  </si>
  <si>
    <t>41 bis chemin Fernand Collardeau - 97432 La Ravine des Cabris</t>
  </si>
  <si>
    <t>EVAN Valérie : lesbaiesrosesdu17eme@gmail.com / 06 92 42 09 15</t>
  </si>
  <si>
    <t>-21.2437911,55.5224451</t>
  </si>
  <si>
    <t>CSC317HT@</t>
  </si>
  <si>
    <t>Chemin Barbot, Réunion</t>
  </si>
  <si>
    <t>receFTQEWIFPs71gz</t>
  </si>
  <si>
    <t>Bardeau (Le)</t>
  </si>
  <si>
    <t>3 rue Payet - 97414 Entre-Deux</t>
  </si>
  <si>
    <t>Restaurant disposant de 20 places assises à l'intérieur et 20 places assises en terrasse</t>
  </si>
  <si>
    <t>Lundi :  -,Mardi :  -,Mercredi :  - 14:00,Vendredi :  -,Samedi :  -,Dimanche :  -</t>
  </si>
  <si>
    <t>VENAULT Mélanie</t>
  </si>
  <si>
    <t>Mélanie VENAULT : 0693 94 39 00</t>
  </si>
  <si>
    <t>-21.2488756,55.4697211</t>
  </si>
  <si>
    <t>3 Rue Payet, Réunion</t>
  </si>
  <si>
    <t>recfEmpLnY5H9dk0r</t>
  </si>
  <si>
    <t>Beaucarnea (Le)</t>
  </si>
  <si>
    <t>8 Rue de Finlande - Trois Mares 97430 Le Tampon</t>
  </si>
  <si>
    <t>TECHER Marie Anne Thérèse</t>
  </si>
  <si>
    <t>124 Chemin Farjeau - 97430 Le Tampon</t>
  </si>
  <si>
    <t>TECHER Marie Anne Thérèse : marianne.techer5@gmail.com / 06 92 20 79 26</t>
  </si>
  <si>
    <t>-21.2766015,55.5068801</t>
  </si>
  <si>
    <t>CSC218HT@</t>
  </si>
  <si>
    <t>Rue de Finlande, Réunion</t>
  </si>
  <si>
    <t>rec8iE3TifuN54Xqg</t>
  </si>
  <si>
    <t>Bel Appartement Sud Sauvage avec piscine</t>
  </si>
  <si>
    <t>14 rue de la fontaine - 97480 Saint-Joseph</t>
  </si>
  <si>
    <t>alaingorce@hotmail.fr</t>
  </si>
  <si>
    <t>Alain GORCE</t>
  </si>
  <si>
    <t>Alain GORCE : alaingorce@hotmail.fr / 06 92 69 83 47 / 692681210</t>
  </si>
  <si>
    <t>-21.3670929,55.6815108</t>
  </si>
  <si>
    <t>CSC319HT@</t>
  </si>
  <si>
    <t>14 Rue De La Fontaine, Réunion</t>
  </si>
  <si>
    <t>recFDydLW7PHjAIhb</t>
  </si>
  <si>
    <t>Bel'Eden (Le)</t>
  </si>
  <si>
    <t>63 chemin Odilien Picard - Grande Ferme 97418 La Plaine des Cafres</t>
  </si>
  <si>
    <t>Grande Ferme</t>
  </si>
  <si>
    <t>johanne.payet73@gmail.com</t>
  </si>
  <si>
    <t>Villa située sur la route du volcan, endroit calme, sur deux hectares de terrain</t>
  </si>
  <si>
    <t>PAYET Isabelle</t>
  </si>
  <si>
    <t>PAYET Isabelle : johanne.payet73@gmail.com / 06 92 52 52 79</t>
  </si>
  <si>
    <t>-21.2196761,55.5958939</t>
  </si>
  <si>
    <t>CSC277HT@</t>
  </si>
  <si>
    <t>63 Chemin Odilien Picard, La Plaine des Cafres, Réunion</t>
  </si>
  <si>
    <t>recHasOG2NWsJMjzz</t>
  </si>
  <si>
    <t>Belle Vue Mer &amp; Montagne</t>
  </si>
  <si>
    <t>5 impasse Mickaël Lossy - Le Coin Tranquille 97418 La Plaine des Cafres</t>
  </si>
  <si>
    <t>Coin Tranquille</t>
  </si>
  <si>
    <t>susanne.leeb@gmail.com</t>
  </si>
  <si>
    <t>LEEB Susanne</t>
  </si>
  <si>
    <t>LEEB Susanne : susanne.leeb@gmail.com / 06 92 46 81 89</t>
  </si>
  <si>
    <t>-21.2364061,55.5607346</t>
  </si>
  <si>
    <t>CSC320HT@</t>
  </si>
  <si>
    <t>5 Impasse Mickael Lossy, La Plaine des Cafres, Réunion</t>
  </si>
  <si>
    <t>recdol2FEBz3xzFYu</t>
  </si>
  <si>
    <t>Belvedère (Le)</t>
  </si>
  <si>
    <t>27 A chemin trou de terre - 97414 Entre-Deux</t>
  </si>
  <si>
    <t>location.belvedere@gmail.com</t>
  </si>
  <si>
    <t>Jean François TECHER</t>
  </si>
  <si>
    <t>27A Chemin Trou de Terre - 97414 Entre-Deux</t>
  </si>
  <si>
    <t>Jean François TECHER : location.belvedere@gmail.com / 06 92 33 98 60</t>
  </si>
  <si>
    <t>-21.2326694,55.4829898</t>
  </si>
  <si>
    <t>CSC245HR@</t>
  </si>
  <si>
    <t>27 Chemin Trou de Terre, 97414, Réunion</t>
  </si>
  <si>
    <t>recgkUO7n15hZKgVW</t>
  </si>
  <si>
    <t>Bijoux d'Hermana (Les)</t>
  </si>
  <si>
    <t>recpWLGMBuY5J6L6j</t>
  </si>
  <si>
    <t>Bilimbi</t>
  </si>
  <si>
    <t>114 Rue Victor Hugo - 97480 Saint-Joseph</t>
  </si>
  <si>
    <t>parking,accès internet</t>
  </si>
  <si>
    <t>contact@bilimbi.re</t>
  </si>
  <si>
    <t>Situé à quelques mètres du pont de la Rivière Langevin</t>
  </si>
  <si>
    <t>Raphaël VOLSAN</t>
  </si>
  <si>
    <t>6 Chemin du Verger - 97480 Saint-Joseph</t>
  </si>
  <si>
    <t>Raphaël VOLSAN : contact@bilimbi.re / 06 92 05 20 07 / 06 92 24 48 69</t>
  </si>
  <si>
    <t>-21.3823963,55.6436041</t>
  </si>
  <si>
    <t>CSC344HT@</t>
  </si>
  <si>
    <t>114 Rue Victor Hugo, Réunion</t>
  </si>
  <si>
    <t>recZ5vAJg2NRKxakb</t>
  </si>
  <si>
    <t>Bitasion Bio du Souffleur d'Arbonne</t>
  </si>
  <si>
    <t>18 impasse Surcouf 97442 Saint-Philippe</t>
  </si>
  <si>
    <t>Français,créole</t>
  </si>
  <si>
    <t>morelbenoit97442@gmail.com</t>
  </si>
  <si>
    <t>Visite d'une exploitation agricole bio de cultures variées (cacao,…) et boutique</t>
  </si>
  <si>
    <t>MOREL Benoît</t>
  </si>
  <si>
    <t>Benoît MOREL : morelbenoit97442@gmail.com / 0692654189</t>
  </si>
  <si>
    <t>-21.3648158,55.73792109999999</t>
  </si>
  <si>
    <t>le baril, 18 Impasse Surcouf, 97442, Réunion</t>
  </si>
  <si>
    <t>reckQiiEhivZGcoy1</t>
  </si>
  <si>
    <t>Bleu Azur</t>
  </si>
  <si>
    <t>138 B chemin Stéphane - 97430 Le Tampon</t>
  </si>
  <si>
    <t>jardin,tarrasse,accès internet,parking</t>
  </si>
  <si>
    <t>sentiers de randonnées,commerces</t>
  </si>
  <si>
    <t>azurbleu974@gmail.com</t>
  </si>
  <si>
    <t>MARY Joseph</t>
  </si>
  <si>
    <t>56 rue des mainates - 97430 Le Tampon</t>
  </si>
  <si>
    <t>-21.2615715,55.5027947</t>
  </si>
  <si>
    <t>138 Chemin Stephane, Réunion</t>
  </si>
  <si>
    <t>rec02mfTgrevxaiWm</t>
  </si>
  <si>
    <t>Bouillon d'Aventure</t>
  </si>
  <si>
    <t>13 impasse des Palmiers - 97414 Entre-Deux</t>
  </si>
  <si>
    <t>http://www.bouillon-daventures.com/</t>
  </si>
  <si>
    <t>Terre,Patrimoine culturel</t>
  </si>
  <si>
    <t>bouillondaventures@orange.fr</t>
  </si>
  <si>
    <t>Eric BROCHIER</t>
  </si>
  <si>
    <t>13 impasse du Palmier, 97414 Entre-Deux</t>
  </si>
  <si>
    <t>Eric BROCHIER : bouillondaventures@orange.fr / 692669387</t>
  </si>
  <si>
    <t>-21.2476786,55.4701715</t>
  </si>
  <si>
    <t>Boyer Teddy (1 bis)</t>
  </si>
  <si>
    <t>1 bis rue Josemont Lauret - 97418 La Plaine des Cafres</t>
  </si>
  <si>
    <t>gboyer700@gmail.com</t>
  </si>
  <si>
    <t>Villa qui se compose d'un dortoir et de deux chambres</t>
  </si>
  <si>
    <t>BOYER Teddy</t>
  </si>
  <si>
    <t>102 chemin Gallias Les Hauts - 97437 Saint Benoit</t>
  </si>
  <si>
    <t>BOYER Teddy : gboyer700@gmail.com / 06 92 27 58 78</t>
  </si>
  <si>
    <t>CSC348HT@</t>
  </si>
  <si>
    <t>recQ9liZ5brrOqO7U</t>
  </si>
  <si>
    <t>Boyer Teddy (3)</t>
  </si>
  <si>
    <t>3 rue Josemont Lauret  - 97418 La Plaine des Cafres</t>
  </si>
  <si>
    <t>billard</t>
  </si>
  <si>
    <t>CSC349HT@</t>
  </si>
  <si>
    <t>reco5TvEXQ3yvErid</t>
  </si>
  <si>
    <t>Boyer Teddy (3ter)</t>
  </si>
  <si>
    <t>3 ter rue Josemont Lauret  - 97418 La Plaine des Cafres</t>
  </si>
  <si>
    <t>CSC350HT@</t>
  </si>
  <si>
    <t>recmBT3F3xQsKoKUc</t>
  </si>
  <si>
    <t>Bugg's Buggy</t>
  </si>
  <si>
    <t>166 Rue Jean de Fos du Rau, La Plaine des Cafres, La Réunion</t>
  </si>
  <si>
    <t>buggsbuggy974@gmail.com</t>
  </si>
  <si>
    <t>MELTACHI Miloud</t>
  </si>
  <si>
    <t>166 RUE JEAN DEFOS DU RAU</t>
  </si>
  <si>
    <t>buggsbuggy974@gmail.com / 0692326560</t>
  </si>
  <si>
    <t>-21.2345296,55.5680955</t>
  </si>
  <si>
    <t>166 Rue Jean de Fos du Rau, La Plaine des Cafres, Réunion</t>
  </si>
  <si>
    <t>recciMTLKdCTEQrfs</t>
  </si>
  <si>
    <t>Bungalow de Charme</t>
  </si>
  <si>
    <t>308 chemin Frappier de Montbenoit - 97418 La Plaine des Cafres</t>
  </si>
  <si>
    <t>maries974@wanadoo.fr</t>
  </si>
  <si>
    <t xml:space="preserve">Studio tout équipé, WIFI, avec petit jardin, possibilité de stationner une voiture, au niveau de Bois Court </t>
  </si>
  <si>
    <t>CHANE HIM Sylvie</t>
  </si>
  <si>
    <t>CHANE HIM Sylvie : maries974@wanadoo.fr / 06 93 93 51 77</t>
  </si>
  <si>
    <t>-21.2176677,55.5294234</t>
  </si>
  <si>
    <t>CSC345HT@</t>
  </si>
  <si>
    <t>Chemin Frappier de Montbenoit, La Plaine des Cafres, Réunion</t>
  </si>
  <si>
    <t>recCqLoT1f1PRg809</t>
  </si>
  <si>
    <t>Bungalow Lavula'O</t>
  </si>
  <si>
    <t>10 C chemin Trou de Terre - 97414 ENTRE-DEUX</t>
  </si>
  <si>
    <t>chauvin_catherine@yahoo.fr</t>
  </si>
  <si>
    <t>Charmant bungalow indépendant dans une cour, avec vue imprenable sur les montagnes !</t>
  </si>
  <si>
    <t>Catherine CHAUVIN</t>
  </si>
  <si>
    <t>Catherine CHAUVIN : chauvin-catherine@yahoo.fr / 06 92 01 44 07</t>
  </si>
  <si>
    <t>-21.2326535,55.4837747</t>
  </si>
  <si>
    <t>CSC330HR@</t>
  </si>
  <si>
    <t>10 Chemin Trou de Terre, Réunion</t>
  </si>
  <si>
    <t>recCqLvsDhPYApH8v</t>
  </si>
  <si>
    <t>Bungalow les bambous</t>
  </si>
  <si>
    <t>90 chemin l'Equerre - Serre 97414 Entre-Deux</t>
  </si>
  <si>
    <t>http://www.bambous-bungalows.fr/</t>
  </si>
  <si>
    <t>Serre</t>
  </si>
  <si>
    <t>contact@bambous-bungalows.fr</t>
  </si>
  <si>
    <t>2 bungalows tout en teck, perchés dans une zone boisée avec une vue sur l’océan</t>
  </si>
  <si>
    <t>André JONARD</t>
  </si>
  <si>
    <t>André JONARD : contact@bambous-bungalows.fr / 06 93 42 15  93 / 06 92 33 61 73</t>
  </si>
  <si>
    <t>-21.2726499,55.4601076</t>
  </si>
  <si>
    <t>CSC176HR@</t>
  </si>
  <si>
    <t>90 Chemin de l'Equerre, Réunion</t>
  </si>
  <si>
    <t>rechBWsw6GRDAKh1A</t>
  </si>
  <si>
    <t>Bungalow Paille en Queue</t>
  </si>
  <si>
    <t>1 rue Noelline Rouveau - 97480 Saint-Joseph</t>
  </si>
  <si>
    <t>https://www.facebook.com/pages/category/Vacation-Home-Rental/Bungalow-Paille-en-Queue-100444451362761/</t>
  </si>
  <si>
    <t>audreyassoune@gmail.com</t>
  </si>
  <si>
    <t>Audrey OLIVAR</t>
  </si>
  <si>
    <t>Audrey OLIVAR : audreyassoune@gmail.com / 06 92 04 04 80</t>
  </si>
  <si>
    <t>CSC356HT@</t>
  </si>
  <si>
    <t>reckEFSlQvLO8SukF</t>
  </si>
  <si>
    <t>Camhug</t>
  </si>
  <si>
    <t>150 rue du général Ailleret - 97430 Le Tampon</t>
  </si>
  <si>
    <t>jardin,accès internet</t>
  </si>
  <si>
    <t>commerces</t>
  </si>
  <si>
    <t>camilleheekeng@outlook.fr</t>
  </si>
  <si>
    <t>HEEKENG Camille</t>
  </si>
  <si>
    <t>150 rue du Général Ailleret - 97430 Le Tampon</t>
  </si>
  <si>
    <t>-21.2734288,55.5032824</t>
  </si>
  <si>
    <t>150 Rue du General Ailleret, Réunion</t>
  </si>
  <si>
    <t>recOk422JMgj9tU8L</t>
  </si>
  <si>
    <t>Cap Vanisa</t>
  </si>
  <si>
    <t>31 allée des Cormorans - Manapany-Les-Bains 97480 Saint-Joseph</t>
  </si>
  <si>
    <t>http://www.cap-vanisa.re/</t>
  </si>
  <si>
    <t>wifi,jardin,bar,terrasse,climatisation,tout équipé,buanderie,piscine et accessiblité handicap</t>
  </si>
  <si>
    <t>Bassin de Manapany,Restauration</t>
  </si>
  <si>
    <t>capvanisa@gmail.com</t>
  </si>
  <si>
    <t>Cap Vanisa dispose de plusieurs bungalow avec vue mer, à proximité du bassin de Manapany. Accessible aux personnes à mobilité réduite.</t>
  </si>
  <si>
    <t>Isabelle PERIS</t>
  </si>
  <si>
    <t>Peris Isabelle : capvanisa@gmail.com / 0693624458 / 0692095455 / propriétaire</t>
  </si>
  <si>
    <t>-21.3732355,55.5923769</t>
  </si>
  <si>
    <t>CSC362HT@</t>
  </si>
  <si>
    <t>Cap Vanisa, 31 Allée des Cormorans, Manapany-Les-Bains 97480, Réunion</t>
  </si>
  <si>
    <t>recqq8LMuPaRzKLFp</t>
  </si>
  <si>
    <t>CARO Isabelle</t>
  </si>
  <si>
    <t>120 Boulevard de l'Océan - Manapany-les-bains 97480 Saint-Joseph</t>
  </si>
  <si>
    <t>https://www.facebook.com/Location-saisonni%C3%A8re-manapany-les-bains-835492363456084/</t>
  </si>
  <si>
    <t>Manapny-Les-Bains</t>
  </si>
  <si>
    <t>tout équipé</t>
  </si>
  <si>
    <t>Français</t>
  </si>
  <si>
    <t>caroisabelle4@gmail.com</t>
  </si>
  <si>
    <t>Maison de vacances, toute équipée, wifi, calme, à 50m du bassin de Manapany. Possibilité d'accueillir 2 adultes et 2 enfants</t>
  </si>
  <si>
    <t>Isabelle CARO</t>
  </si>
  <si>
    <t>29 chemin des Dahlias - 97430 Le Tampon</t>
  </si>
  <si>
    <t>Isabelle CARO : caroisabelle4@gmail.com / 06 92 53 76 08 / Propriétaire</t>
  </si>
  <si>
    <t>-21.373567,55.59001600000001</t>
  </si>
  <si>
    <t>CSC211HT@</t>
  </si>
  <si>
    <t>reczymm7ROmf2vP4K</t>
  </si>
  <si>
    <t>Case à Milo (La)</t>
  </si>
  <si>
    <t>39 B rue des Coccinelles - 97480 Saint-Joseph</t>
  </si>
  <si>
    <t>amb.payet974@orange.fr</t>
  </si>
  <si>
    <t>Jean Emile PAYET</t>
  </si>
  <si>
    <t>16 rue des Coccinelles - 97480 Saint-Joseph</t>
  </si>
  <si>
    <t>-21.3693043,55.6103676</t>
  </si>
  <si>
    <t>CSC359HT@</t>
  </si>
  <si>
    <t>39 Rue des Coccinelles, Réunion</t>
  </si>
  <si>
    <t>reciGIyqrmQbuFTkC</t>
  </si>
  <si>
    <t>Case au pied du volcan (La)</t>
  </si>
  <si>
    <t>170 Bis chemin Champ de foire - 97418 La Plaine des Cafres</t>
  </si>
  <si>
    <t>cuisine extérieur,barbecue</t>
  </si>
  <si>
    <t>centre équestre,sentiers VTT,restaurants,route du volcan</t>
  </si>
  <si>
    <t>caseaupiedduvolcan@gmail.com</t>
  </si>
  <si>
    <t>Maison moderne, confortable et chaleureuse au pied du volcan</t>
  </si>
  <si>
    <t>DUCRET Cyril</t>
  </si>
  <si>
    <t>4 bis impasse des Bengalis - Bois Noir 97480 Saint-Joseph</t>
  </si>
  <si>
    <t>Ducret Cyril : caseaupiedduvolcan@gmail.com / 0692094285 / Propriétaire</t>
  </si>
  <si>
    <t>-21.2031942,55.58204120000001</t>
  </si>
  <si>
    <t>CSC387HT@</t>
  </si>
  <si>
    <t>170 Chemin du Champ de Foire, La Plaine des Cafres, Réunion</t>
  </si>
  <si>
    <t>recYbHociWIhHmnT3</t>
  </si>
  <si>
    <t>Case Charmante (La)</t>
  </si>
  <si>
    <t>60 A rue le Bord - 97414 Entre-Deux</t>
  </si>
  <si>
    <t>maryse.grondin@hotmail.fr</t>
  </si>
  <si>
    <t>Maison de 3 chambres toute équipée, avec 2 places de parking, une véranda et proche du départ des sentiers du Zèbre (Dimitile)</t>
  </si>
  <si>
    <t>Maryse GRONDIN</t>
  </si>
  <si>
    <t>60A rue le bord - 97414 Entre-Deux</t>
  </si>
  <si>
    <t>Maryse GRONDIN : maryse.grondin@hotmail.fr / 06 93 81 63 40</t>
  </si>
  <si>
    <t>-21.2472063,55.4726616</t>
  </si>
  <si>
    <t>CSC294HR@</t>
  </si>
  <si>
    <t>60 Rue le Bord, Réunion</t>
  </si>
  <si>
    <t>rec7CHO9dscA649ov</t>
  </si>
  <si>
    <t>Case Créole</t>
  </si>
  <si>
    <t>28 rue Léon Dierx - 97480 Saint-Joseph</t>
  </si>
  <si>
    <t>kessy_16@hotmail.fr</t>
  </si>
  <si>
    <t>Jessica WEISS</t>
  </si>
  <si>
    <t>26 rue Léon Dierx - 97480 Saint-Joseph</t>
  </si>
  <si>
    <t>-21.3770436,55.6306881</t>
  </si>
  <si>
    <t>CSC327HT@</t>
  </si>
  <si>
    <t>28 Rue Léon Dierx, Réunion</t>
  </si>
  <si>
    <t>recysASvHqIhv68gn</t>
  </si>
  <si>
    <t>Case Kreol</t>
  </si>
  <si>
    <t>7 rue Pasteur - 97480 Saint-Joseph</t>
  </si>
  <si>
    <t>p.o.s@orange.fr</t>
  </si>
  <si>
    <t>Villa disponible à partir de 3 nuits</t>
  </si>
  <si>
    <t>Joseph Frédéric MUSSARD</t>
  </si>
  <si>
    <t>26 bis chemin Julefroy - 97480 Saint-Joseph</t>
  </si>
  <si>
    <t>Joseph Frédéric Mussard : p.o.s@orange.fr / 06 92 09 15 04</t>
  </si>
  <si>
    <t>-21.37528,55.62156299999999</t>
  </si>
  <si>
    <t>136.00</t>
  </si>
  <si>
    <t>CSC358HT@</t>
  </si>
  <si>
    <t>7 Rue Pasteur, 97480, Réunion</t>
  </si>
  <si>
    <t>recLQNR4xAVfyM4PB</t>
  </si>
  <si>
    <t>Cent pieds (Les)</t>
  </si>
  <si>
    <t>Association les cent pieds</t>
  </si>
  <si>
    <t>107 rue des Poinsétias - PK16 97430 Le Tampon</t>
  </si>
  <si>
    <t>https://www.lescentpieds.fr/</t>
  </si>
  <si>
    <t>les-cent-pieds@orange.fr</t>
  </si>
  <si>
    <t>L’association Les Cent Pieds, forte de plus de 300 membres, propose à ses adhérents 4 randonnées par mois (deux le mercredi, une un dimanche et une en week-end ou sur trois jours ) et organise également des excursions hors département (Rodrigues, Métropole, Madagascar, Afrique du Sud,…). Les sorties sont de niveaux variés et concernent tous les publics. L'association est affiliée à la Fédération Française de Randonnée Pédestre et son siége est basé au Tampon à l'ile de la Réunion.</t>
  </si>
  <si>
    <t>Les Cent Pieds</t>
  </si>
  <si>
    <t>Association Les Cent Pieds : les-cent-pieds@orange.fr / 0262 59 58 76</t>
  </si>
  <si>
    <t>-21.2455236,55.5241245</t>
  </si>
  <si>
    <t>107 Rue des Poinsetias, Réunion</t>
  </si>
  <si>
    <t>Chalet Co Gite (Le)</t>
  </si>
  <si>
    <t>Dimitile</t>
  </si>
  <si>
    <t>https://www.facebook.com/chalet.cogite/</t>
  </si>
  <si>
    <t>chalet.cogite@protonmail.com</t>
  </si>
  <si>
    <t>Quentin JOSSERON et M. SPALLA</t>
  </si>
  <si>
    <t>37 lotissement candassany - 97414 Saint-Pierre</t>
  </si>
  <si>
    <t>Quentin JOSSERON : chalet.cogite@protonmail.com / 06 92 92 55 23 / Gérant</t>
  </si>
  <si>
    <t>-21.1908333,55.4819444</t>
  </si>
  <si>
    <t>100.00</t>
  </si>
  <si>
    <t>CSC190HT@</t>
  </si>
  <si>
    <t>Dimitile, Réunion</t>
  </si>
  <si>
    <t>recinMZzYcJs7t8DA</t>
  </si>
  <si>
    <t>Chalet Kreol (Le)</t>
  </si>
  <si>
    <t>10 bis impasse Jean Moulin - 97480 Saint-Joseph</t>
  </si>
  <si>
    <t>md.fontaine@sfr.fr</t>
  </si>
  <si>
    <t>Gilles Laurent FONTAINE</t>
  </si>
  <si>
    <t>8 impasse Jean Moulin - 97480 Saint-Joseph</t>
  </si>
  <si>
    <t>-21.3828493,55.611518</t>
  </si>
  <si>
    <t>CSC357HT@</t>
  </si>
  <si>
    <t>10 Impasse Jean Moulin, Réunion</t>
  </si>
  <si>
    <t>Chambrita (La)</t>
  </si>
  <si>
    <t>5 Impasse des Pipengayes - Manapany-les-bains 97480 Saint-Joseph</t>
  </si>
  <si>
    <t>rita-grondin-folio@orange.fr</t>
  </si>
  <si>
    <t>Rita GRONDIN</t>
  </si>
  <si>
    <t>-21.373914,55.5944509</t>
  </si>
  <si>
    <t>CSC204HT@</t>
  </si>
  <si>
    <t>5 Impasse des Pipengayes, Manapany-Les-Bains, Réunion</t>
  </si>
  <si>
    <t>recm2AoRWbJBnq4SK</t>
  </si>
  <si>
    <t>Chez Bilou &amp; Malou</t>
  </si>
  <si>
    <t>66 &amp; 66A RN2 TAKAMAKA -97442 Saint-Philippe</t>
  </si>
  <si>
    <t>payetgladys@gmail.com</t>
  </si>
  <si>
    <t>PAYET Jean Paul</t>
  </si>
  <si>
    <t>66 RN2 TAKAMAKA -97442 Saint-Philippe</t>
  </si>
  <si>
    <t>-21.3068182,55.80191809999999</t>
  </si>
  <si>
    <t>CSC335HT@</t>
  </si>
  <si>
    <t>66, 66 RN2, Réunion</t>
  </si>
  <si>
    <t>rec6YpLbmDdsSdkJs</t>
  </si>
  <si>
    <t>Chez Elie et Gigi</t>
  </si>
  <si>
    <t>44 impasse Gaston Doumerque - 97430 Le Tampon</t>
  </si>
  <si>
    <t>gibaz974@gmail.com</t>
  </si>
  <si>
    <t>Ginette BAZIN</t>
  </si>
  <si>
    <t>-21.2858937,55.5190323</t>
  </si>
  <si>
    <t>CSC258HT@</t>
  </si>
  <si>
    <t>Impasse Gaston Doumergue, Réunion</t>
  </si>
  <si>
    <t>recwJLyh2VIc5yrFz</t>
  </si>
  <si>
    <t>Chez Gérard</t>
  </si>
  <si>
    <t>38 A rue Amiral Lacaze -97480 Saint-Joseph</t>
  </si>
  <si>
    <t>Butor</t>
  </si>
  <si>
    <t>gerelbr@hotmail.fr</t>
  </si>
  <si>
    <t>Gérard WACOGNE</t>
  </si>
  <si>
    <t>2 rue Jean Gabin - 97480 Saint-Joseph</t>
  </si>
  <si>
    <t>Wacogne Gérard : gerelbr@hotmail.fr / 06 93 70 74 28</t>
  </si>
  <si>
    <t>-21.3812645,55.6173472</t>
  </si>
  <si>
    <t>CSC324HT@</t>
  </si>
  <si>
    <t>38 Rue Amiral Lacaze, Réunion</t>
  </si>
  <si>
    <t>recnyxIXeYaASu1CK</t>
  </si>
  <si>
    <t>Chez Gilbert?/ à vérifier</t>
  </si>
  <si>
    <t>15, rue du Général Lambert , 97430, Le Tampon, Réunion</t>
  </si>
  <si>
    <t>rosenat@live.fr</t>
  </si>
  <si>
    <t>NATIVEL (BENARD) Rose Catherine</t>
  </si>
  <si>
    <t>15, Rue du Général Lambert</t>
  </si>
  <si>
    <t>-21.2660601,55.5136392</t>
  </si>
  <si>
    <t>15 Rue du General Lambert, Réunion</t>
  </si>
  <si>
    <t>recLuYYogESVmKbtp</t>
  </si>
  <si>
    <t>Chez Josian &amp; Céline</t>
  </si>
  <si>
    <t>11 chemin Bastian - Serre 97414 Entre-Deux</t>
  </si>
  <si>
    <t>Table paysanne</t>
  </si>
  <si>
    <t>grand espace,frigo,bancs</t>
  </si>
  <si>
    <t>celine.nalbandian9@gmail.com</t>
  </si>
  <si>
    <t>Josian &amp; Céline BRUTIER</t>
  </si>
  <si>
    <t>11 chemin Bastian cd 26 - Serre 97414 Entre-Deux</t>
  </si>
  <si>
    <t>Brutier Josian et Céline : celine.nalbandian9@gmail.com / 0692948583 / Propriétaires</t>
  </si>
  <si>
    <t>-21.2669675,55.4673781</t>
  </si>
  <si>
    <t>11 Chemin Bastian, Réunion</t>
  </si>
  <si>
    <t>rect40nnjmkadzDoi</t>
  </si>
  <si>
    <t>11, Chemin Bastian - Serre 97414 Entre-Deux</t>
  </si>
  <si>
    <t>Brutier Josian et Céline : celine.nalbandian9@gmail.com / 0692941773 / Propriétaires</t>
  </si>
  <si>
    <t>9.00</t>
  </si>
  <si>
    <t>CSC188HT@</t>
  </si>
  <si>
    <t>recGIk7nWQkpYIgSf</t>
  </si>
  <si>
    <t>Chez Lilie</t>
  </si>
  <si>
    <t>3 chemin Gilles Begues - 97418 La Plaine des Cafres</t>
  </si>
  <si>
    <t>morel-aurelie@live.fr</t>
  </si>
  <si>
    <t>Aurélie MOREL</t>
  </si>
  <si>
    <t>13 allée des mésanges - 97428 Petite Ile</t>
  </si>
  <si>
    <t>-21.2320466,55.5503325</t>
  </si>
  <si>
    <t>CSC329HT@</t>
  </si>
  <si>
    <t>3 Chemin Gilles Begue, La Plaine des Cafres, Réunion</t>
  </si>
  <si>
    <t>Chez Madame Mussard</t>
  </si>
  <si>
    <t>32 chemin Leroy - 97430 Le Tampon</t>
  </si>
  <si>
    <t>alizee.forget@gmail.com</t>
  </si>
  <si>
    <t>Martialine MUSSARD</t>
  </si>
  <si>
    <t>-21.2427935,55.5136778</t>
  </si>
  <si>
    <t>CSC270HT@</t>
  </si>
  <si>
    <t>32 Chemin Leroy, Réunion</t>
  </si>
  <si>
    <t>recuP0b6rC8FOEl7B</t>
  </si>
  <si>
    <t>Chez Margot</t>
  </si>
  <si>
    <t>398 chemin Henri Cabeu - Bois Court 97418 La Plaine des Cafres</t>
  </si>
  <si>
    <t>accessible aux personnes à mobilité réduite,parking,jardin,cuisine extérieur,barbecue</t>
  </si>
  <si>
    <t>restaurants,commerces,randonnées</t>
  </si>
  <si>
    <t>bourgoinsonia97410@gmail.com</t>
  </si>
  <si>
    <t>Villa dans les hauts dans un coin tranquille, tout équipé, belle vue montagne</t>
  </si>
  <si>
    <t>BOURGOIN Bertrand et Sonia</t>
  </si>
  <si>
    <t>239 chemin Boissy - Terre Rouge 97410 Saint-Pierre</t>
  </si>
  <si>
    <t>Bertrand et Sonia BOURGOIN : bourgoinsonia97410@gmail.com / 06 93 94 42 84</t>
  </si>
  <si>
    <t>-21.1904041,55.53685669999999</t>
  </si>
  <si>
    <t>195.00</t>
  </si>
  <si>
    <t>CSC391HT@</t>
  </si>
  <si>
    <t>D70, La Plaine des Cafres, Réunion</t>
  </si>
  <si>
    <t>recTOYS57f6XsJiuz</t>
  </si>
  <si>
    <t>Chez Maryse</t>
  </si>
  <si>
    <t>37 bis, chemin de la Concession Les Bas - Piton de la Ravine Blanche 97418 Plaine des Cafres (La)</t>
  </si>
  <si>
    <t>Jean-Luc ADENOR</t>
  </si>
  <si>
    <t>37 rue Boisjoly Potier - 97418 Plaine des Cafres</t>
  </si>
  <si>
    <t>-21.2341837,55.5678364</t>
  </si>
  <si>
    <t>CSC290HT@</t>
  </si>
  <si>
    <t>37 Chemin de la Concession les Bas, La Plaine des Cafres, Réunion</t>
  </si>
  <si>
    <t>recs1R8oFHqtgUk2W</t>
  </si>
  <si>
    <t>Chez Monique Begue</t>
  </si>
  <si>
    <t>283 chemin Grand Tampon CD36 - Grand Tampon Les Hauts 97430 Le Tampon</t>
  </si>
  <si>
    <t>monicbe.monique8@gmail.com</t>
  </si>
  <si>
    <t>Monique BEGUE</t>
  </si>
  <si>
    <t>13 chemin Furcy - 97410 Saint-Pierre</t>
  </si>
  <si>
    <t>-21.2758196,55.582564</t>
  </si>
  <si>
    <t>CSC264HT@</t>
  </si>
  <si>
    <t>283 Chemin du Grand Tampon, Réunion</t>
  </si>
  <si>
    <t>Chez Narvam</t>
  </si>
  <si>
    <t>10 chemin Patchane - Langevin 97480 Saint-Joseph</t>
  </si>
  <si>
    <t>Chez Narvam est une table d'hôtes indo-réunionnaise située à deux pas de la rivière Langevin à l'ile de la Réunion. Nous vous proposons une cuisine indienne traditionnelle de la Réunion, dans un cadre unique. Le repas est servi dans des fuilles de bananes, de manière à ce que les hôtes se sentent intégrés dans la culture tamoule "malbar". En l'espace d'une journée vous vous sentirez dépaysés.</t>
  </si>
  <si>
    <t>Dolaine PATCHANE LACANE</t>
  </si>
  <si>
    <t>Patchane Lacane Dolaine : n.patchanelacane@hotmail.fr / 06 92 60 47 21</t>
  </si>
  <si>
    <t>-21.3771106,55.6496277</t>
  </si>
  <si>
    <t>10 Chemin Patchane, 97480, Réunion</t>
  </si>
  <si>
    <t>recEhQQSPAaY4hR5H</t>
  </si>
  <si>
    <t>Chez Patrick et Maryline</t>
  </si>
  <si>
    <t>286 chemin Grand Tampon - Grand Tampon 97430 Le Tampon</t>
  </si>
  <si>
    <t>maryline.begue@yahoo.fr</t>
  </si>
  <si>
    <t>Maryline BEGUE</t>
  </si>
  <si>
    <t>9D chemin des Tamarins - 97430 Le Tampon</t>
  </si>
  <si>
    <t>-21.2750061,55.5780432</t>
  </si>
  <si>
    <t>CSC245HT@</t>
  </si>
  <si>
    <t>286 Chemin du Grand Tampon, Réunion</t>
  </si>
  <si>
    <t>recXAaoNGFgTQTbSG</t>
  </si>
  <si>
    <t>Chez Selly</t>
  </si>
  <si>
    <t>14 chemin Montserin - 97442 Saint-Philippe</t>
  </si>
  <si>
    <t>d.selly@orange.fr</t>
  </si>
  <si>
    <t>SELLY Davy Léon</t>
  </si>
  <si>
    <t>14 chemin Montserin, 97442 SAINT-PHILIPPE</t>
  </si>
  <si>
    <t>-21.3451097,55.7867182</t>
  </si>
  <si>
    <t>CSC294HT@</t>
  </si>
  <si>
    <t>Chemin Montserin, Réunion</t>
  </si>
  <si>
    <t>recMUQElToVAlM4jc</t>
  </si>
  <si>
    <t>Chez Sery Bertrand</t>
  </si>
  <si>
    <t>14 B impasse Tan Rouge - Bois Court 97418 La Plaine des Cafres</t>
  </si>
  <si>
    <t>muriel.jacques@live.fr</t>
  </si>
  <si>
    <t>Bertrand SERY</t>
  </si>
  <si>
    <t>14 impasse Tan Rouge - Bois Court 97418 La Plaine des Cafres</t>
  </si>
  <si>
    <t>CSC263HT@</t>
  </si>
  <si>
    <t>rec2EoBdt1h5g0Xo1</t>
  </si>
  <si>
    <t>Chez Solange</t>
  </si>
  <si>
    <t>54 rue des Jacques -97480 Saint-Joseph</t>
  </si>
  <si>
    <t>solange.cadet@live.fr</t>
  </si>
  <si>
    <t>Solange CADET</t>
  </si>
  <si>
    <t>Cadet Solange : solange.cadet@live.fr / 06 92 25 20 53</t>
  </si>
  <si>
    <t>-21.3760418,55.6276988</t>
  </si>
  <si>
    <t>CSC332HT@</t>
  </si>
  <si>
    <t>54 Rue Des Jacques, 97480, Réunion</t>
  </si>
  <si>
    <t>rec5bTILGfGPeLo90</t>
  </si>
  <si>
    <t>Choca (Le)</t>
  </si>
  <si>
    <t>8 rue de l’Église - La Mare 97414 Entre-Deux</t>
  </si>
  <si>
    <t>Le Choca</t>
  </si>
  <si>
    <t>recHDhvcAecymLeQG</t>
  </si>
  <si>
    <t>Choubidoux Kréation</t>
  </si>
  <si>
    <t>17 rue Payet - 97414 Entre-Deux</t>
  </si>
  <si>
    <t>contact@choubidoux-kreation.re</t>
  </si>
  <si>
    <t>Création d’accessoires, et ateliers sur demande, ou pour des événements</t>
  </si>
  <si>
    <t>Mme JOLIVET</t>
  </si>
  <si>
    <t>Mme JOLIVET : contact@choubidoux-kreation.re  / 0692252046 / gérante</t>
  </si>
  <si>
    <t>-21.2487636,55.4690127</t>
  </si>
  <si>
    <t>8 Rue Payet, 97414, Réunion</t>
  </si>
  <si>
    <t>recjwh4xZuZ3TGqTa</t>
  </si>
  <si>
    <t>Citron Galet (Le)</t>
  </si>
  <si>
    <t>86 RN2 - Le Tremblet 97442 Saint-Philippe</t>
  </si>
  <si>
    <t>carmene974@orange.fr</t>
  </si>
  <si>
    <t>LALLEMAND Georges-Mary</t>
  </si>
  <si>
    <t>86 A RN2 - Le Tremblet 97442 Saint-Philippe</t>
  </si>
  <si>
    <t>-21.3000128,55.8004441</t>
  </si>
  <si>
    <t>CSC344HR@</t>
  </si>
  <si>
    <t>86 RN2, Réunion</t>
  </si>
  <si>
    <t>recUK1QpO3MfbSSCs</t>
  </si>
  <si>
    <t>Cœur Créole</t>
  </si>
  <si>
    <t>232 chemin Mazeau - 97430 Le Tampon</t>
  </si>
  <si>
    <t>ablancourtaliette@gmail.com</t>
  </si>
  <si>
    <t>Petit bungalow dans un coin tranquille</t>
  </si>
  <si>
    <t>ABLANCOURT Aliette</t>
  </si>
  <si>
    <t>Aliette ABLANCOURT : ablancourtaliette@gmail.com / 06 92 60 73 94</t>
  </si>
  <si>
    <t>-21.2505597,55.5165759</t>
  </si>
  <si>
    <t>30.00</t>
  </si>
  <si>
    <t>CSC390HT@</t>
  </si>
  <si>
    <t>232 Chemin Mazeau, Réunion</t>
  </si>
  <si>
    <t>recGdUh3I1diAtI6r</t>
  </si>
  <si>
    <t>Comptoir des arts (Le)</t>
  </si>
  <si>
    <t>Vavang Art</t>
  </si>
  <si>
    <t>4 C rue Hubert Delisle - 97414 Entre-Deux</t>
  </si>
  <si>
    <t>http://www.vavangart.com</t>
  </si>
  <si>
    <t>vavangart974@hotmail.com</t>
  </si>
  <si>
    <t>Mets et saveurs rafinés, produits frais, circuit court, zéro déchets,… et une carte qui change chaque semaine</t>
  </si>
  <si>
    <t>Nadège MADROLLE</t>
  </si>
  <si>
    <t>Nadège MADROLLE : vavangart974@hotmail.com / 06 92 67 16 59 / Gérante</t>
  </si>
  <si>
    <t>-21.2498149,55.4707892</t>
  </si>
  <si>
    <t>recw29Pp5egzTulwF</t>
  </si>
  <si>
    <t>Cone Volcanique (Le)</t>
  </si>
  <si>
    <t>173 Rue Alfred de La Croix - PK26 97418 La Plaine des Cafres</t>
  </si>
  <si>
    <t>leconevolcanique@orange.fr</t>
  </si>
  <si>
    <t>René Paul DUMONT</t>
  </si>
  <si>
    <t>101 Route Jule Reyddellet - 97490 Sainte-Clotilde</t>
  </si>
  <si>
    <t>Dumont René Paul : leconevolcanique@orange.fr / 06 92 18 86 14</t>
  </si>
  <si>
    <t>25.00</t>
  </si>
  <si>
    <t>CSC229HT@</t>
  </si>
  <si>
    <t>recQ3Bj6W82jxiMsj</t>
  </si>
  <si>
    <t>Cormorans (Les)</t>
  </si>
  <si>
    <t>12B, allée des Cormorans - Manapany les Bains 97480 Saint-Joseph</t>
  </si>
  <si>
    <t>Alain DUFLOT</t>
  </si>
  <si>
    <t>12 B allée des Cormorans - Manapany-les-bains 97480 Saint-Joseph</t>
  </si>
  <si>
    <t>-21.373931,55.5926565</t>
  </si>
  <si>
    <t>CSC45HRI</t>
  </si>
  <si>
    <t>recMMMvP8mGoaRGgO</t>
  </si>
  <si>
    <t>DG-TROT</t>
  </si>
  <si>
    <t>97480 Saint-Joseph, La Réunion</t>
  </si>
  <si>
    <t>Location en libre - service de trottinettes</t>
  </si>
  <si>
    <t>Carte Bancaire</t>
  </si>
  <si>
    <t>dgtrot@gmail.com</t>
  </si>
  <si>
    <t>Location de trottinettes électriques en libre service. Il y a deux points de retrait/ remise : à la mairie même et au niveau du stade Raphaëll Babet, retrait de 6h à 20h. Via une application à télécharger sur le smartphone. Un numéro d’assistance est précisé sur ces bornes en cas de besoin pour quoi que ce soit. Service téléphonique en français et en anglais</t>
  </si>
  <si>
    <t>HOAREAU Denis &amp; FRANCHITTI Giovanni</t>
  </si>
  <si>
    <t>173 ter Chemin CONCESSION</t>
  </si>
  <si>
    <t>HOAREAU Denis 0692 82 93 80 &amp; FRANCHITTI Giovanni 0692 464 581</t>
  </si>
  <si>
    <t>Sud - Saint - Pierre</t>
  </si>
  <si>
    <t>-21.3811014,55.6110811</t>
  </si>
  <si>
    <t>54 Rue Raphael Babet, 97480, Réunion</t>
  </si>
  <si>
    <t>recT85tGK7M7X4oxF</t>
  </si>
  <si>
    <t>Didier Hoareau</t>
  </si>
  <si>
    <t>205 rue edmon albius , saint-Joseph, Réunion</t>
  </si>
  <si>
    <t>Bésaves</t>
  </si>
  <si>
    <t>Maisonnettes appartement avec jardin tout équipé</t>
  </si>
  <si>
    <t>Didier HOAREAU</t>
  </si>
  <si>
    <t>205 rue edmond albius</t>
  </si>
  <si>
    <t>-21.352512450195064, 55.612588232549896</t>
  </si>
  <si>
    <t>42.00</t>
  </si>
  <si>
    <t>reccZzX5MzB9ojrS1</t>
  </si>
  <si>
    <t>Dimension Culinaire</t>
  </si>
  <si>
    <t>Four à pain / Grand-Fond Intérieur - 97414 Entre-Deux</t>
  </si>
  <si>
    <t>Lundi :  -,Mardi :  -,Mercredi :  -,Jeudi :  -,Vendredi :  -,Samedi :  -</t>
  </si>
  <si>
    <t>Entre 2 Z'epok</t>
  </si>
  <si>
    <t>Entre 2 Z'epok : entre2zepok@wanadoo.fr / 06 92 65 28 06</t>
  </si>
  <si>
    <t>-21.245756,55.46842299999999</t>
  </si>
  <si>
    <t>Rue Grand Fond Interieur, Réunion</t>
  </si>
  <si>
    <t>recAz79tqNPNUQNYF</t>
  </si>
  <si>
    <t>Dimitilez-vous</t>
  </si>
  <si>
    <t>http://www.le-capitaine-dimitile.re/</t>
  </si>
  <si>
    <t>sully.corre@orange.fr</t>
  </si>
  <si>
    <t>Montée et descente sur les hautes plateaux du  Dimitile en 4x4 avec l'association capitaine Dimitile. Une collation offerte.</t>
  </si>
  <si>
    <t>Rendez-vous devant l'office d etopurisme de l'Entre-Deux.</t>
  </si>
  <si>
    <t>Association Capitaine Dimitile</t>
  </si>
  <si>
    <t>Association Capitaine Dimitile : sully.corre@orange.fr / 06 92 68 87 75</t>
  </si>
  <si>
    <t>15.00</t>
  </si>
  <si>
    <t>recSXukgrBtDS4eSW</t>
  </si>
  <si>
    <t>Doumax Martine</t>
  </si>
  <si>
    <t>13 chemin Cafre - 97414 Entre-Deux</t>
  </si>
  <si>
    <t>mdx.artdelatable@gmail.com</t>
  </si>
  <si>
    <t>peinture sur verre</t>
  </si>
  <si>
    <t>19 chemin Dijoux, 97414 Entre-Deux</t>
  </si>
  <si>
    <t>Doumax Martine : mdx.artdelatable@gmail.com / 06 92 77 38 84</t>
  </si>
  <si>
    <t>recFffzfEdlm5fJta</t>
  </si>
  <si>
    <t>Emmanuel NAZE</t>
  </si>
  <si>
    <t>7 impasse des combavas - La Plaine des Grègues 97480 Saint-Joseph</t>
  </si>
  <si>
    <t>Vente de curcuma, arrow-root</t>
  </si>
  <si>
    <t>-21.3265534,55.6069396</t>
  </si>
  <si>
    <t>rec4YLGhavU8HbHdO</t>
  </si>
  <si>
    <t>Entre 2 Rivière</t>
  </si>
  <si>
    <t>4 A rue Hubert Delilsle - 97414 Entre-Deux</t>
  </si>
  <si>
    <t>Espèces,Tickets restaurant</t>
  </si>
  <si>
    <t>ciaracassy01@gmail.com</t>
  </si>
  <si>
    <t>Restaurant spécialisé en plats créoles (uniquement les week-end). Plats rapides en semaine (lords, salades, sandwichs,…). Propose également des glaces à emporter.</t>
  </si>
  <si>
    <t>Mardi :  10:30 14:00 - 17:30 20:30,Mercredi : 10:30 14:00 - 17:30 20:30,Jeudi : 10:30 14:00 - 17:30 20:30,Vendredi : 10:30 14:00 - 17:30 20:30,Samedi :  10:30 14:00 - 17:30 20:30</t>
  </si>
  <si>
    <t>RIVIERE Clara</t>
  </si>
  <si>
    <t>184 A route du Bras Long - 97414 Entre-Deux</t>
  </si>
  <si>
    <t>Clara RIVIERE : 0692 79 90 52</t>
  </si>
  <si>
    <t>recNg3CEUm7oh7cNM</t>
  </si>
  <si>
    <t>Entredeuxienne (L')</t>
  </si>
  <si>
    <t>1 D rue de l’Eglise - 97414 Entre-Deux</t>
  </si>
  <si>
    <t>sarlmad97414@gmail.com</t>
  </si>
  <si>
    <t>-21.249446,55.471854</t>
  </si>
  <si>
    <t>1 D Rue de L'Eglise, 97414, Réunion</t>
  </si>
  <si>
    <t>recbqR9yn4YRURgzC</t>
  </si>
  <si>
    <t>Entrepot</t>
  </si>
  <si>
    <t>1 rue Jaune - 97414 Entre-Deux</t>
  </si>
  <si>
    <t>ladafalco@hotmail.fr</t>
  </si>
  <si>
    <t>Poterie</t>
  </si>
  <si>
    <t>recjwlg1Zs5ozBSEM</t>
  </si>
  <si>
    <t>Escala (L')</t>
  </si>
  <si>
    <t>13 rue Miquel - Vincendo 97480 Saint-Joseph</t>
  </si>
  <si>
    <t>manuela.goudey@orange.fr</t>
  </si>
  <si>
    <t>Manuella MOREL</t>
  </si>
  <si>
    <t>-21.3697626,55.67610020000001</t>
  </si>
  <si>
    <t>CSC361HT@</t>
  </si>
  <si>
    <t>13 Rue Miquel, Réunion</t>
  </si>
  <si>
    <t>recaWKHs93TXSvfJD</t>
  </si>
  <si>
    <t>Escale du point de vue</t>
  </si>
  <si>
    <t>Ulysse ROBERT</t>
  </si>
  <si>
    <t>26 traverse des magnolias - 97430 Le Tampon</t>
  </si>
  <si>
    <t>Ulysse Robert :</t>
  </si>
  <si>
    <t>CSC182HR@</t>
  </si>
  <si>
    <t>recmlvLf4TYUjpORe</t>
  </si>
  <si>
    <t>Eskalya (L')</t>
  </si>
  <si>
    <t>10 rue Aimé Turpin - 97480 Saint-Joseph</t>
  </si>
  <si>
    <t>reinemayk974@gmail.com</t>
  </si>
  <si>
    <t>Reine May TECHER</t>
  </si>
  <si>
    <t>-21.3721059,55.6319904</t>
  </si>
  <si>
    <t>CSC368HT@</t>
  </si>
  <si>
    <t>10 Rue Aime Turpin, Réunion</t>
  </si>
  <si>
    <t>recwp3fai3XFHnqBH</t>
  </si>
  <si>
    <t>Esprit Yourte</t>
  </si>
  <si>
    <t>2 impasse des Combavas - Grand Fond 97414 Entre-Deux</t>
  </si>
  <si>
    <t>yourteesprit9@gmail.com</t>
  </si>
  <si>
    <t>Virginie MEIGNEN</t>
  </si>
  <si>
    <t>2 impasse des Combavas - Grand Fond Intérieur 97414 Entre-Deux</t>
  </si>
  <si>
    <t>Virginie Meignen : yourteesprit9@gmail.com / 06 92 05 55 49</t>
  </si>
  <si>
    <t>-21.2452462,55.4677255</t>
  </si>
  <si>
    <t>CSC193HT@</t>
  </si>
  <si>
    <t>2 Impasse des Combavas, Réunion</t>
  </si>
  <si>
    <t>reciRau4N0LIOVTld</t>
  </si>
  <si>
    <t>Exploitation Apicole Payet</t>
  </si>
  <si>
    <t>recmTL4WOdCrUBXSI</t>
  </si>
  <si>
    <t>Ferme Auberge Clou de Girofle</t>
  </si>
  <si>
    <t>10 rue Louis Berliot - Vincendo 97480 Saint-Joseph</t>
  </si>
  <si>
    <t>g.mussard05@gmail.com</t>
  </si>
  <si>
    <t>Gladys MUSSARD</t>
  </si>
  <si>
    <t>-21.3723453,55.68656009999999</t>
  </si>
  <si>
    <t>10 Rue Louis Blériot, 97480, Réunion</t>
  </si>
  <si>
    <t>recyxKNuVVPqRhSTR</t>
  </si>
  <si>
    <t>Ferme Auberge Ti Planteur</t>
  </si>
  <si>
    <t>chemin la mer cassée - Mare Longue 97442 Saint-Philippe</t>
  </si>
  <si>
    <t>jackson.ponama@sfr.fr</t>
  </si>
  <si>
    <t>PONAMA Erika</t>
  </si>
  <si>
    <t>36 chemin Safer, 97442 SAINT-PHILIPPE</t>
  </si>
  <si>
    <t>Ponama Erika : jackson.ponama@sfr.fr / 0692784323</t>
  </si>
  <si>
    <t>-21.3628513,55.7555214</t>
  </si>
  <si>
    <t>CSC178HT@</t>
  </si>
  <si>
    <t>rec1YVOft2oXH4wUP</t>
  </si>
  <si>
    <t>90 chemin des Papillons - Pont d'Yves 97430 Le Tampon</t>
  </si>
  <si>
    <t>Pont d'Yves</t>
  </si>
  <si>
    <t>Murielle LEBON</t>
  </si>
  <si>
    <t>-21.229952,55.5163997</t>
  </si>
  <si>
    <t>CSC260HT@</t>
  </si>
  <si>
    <t>recEqFurEd2CSBjqg</t>
  </si>
  <si>
    <t>Figuier (Le)</t>
  </si>
  <si>
    <t>82, chemin des Acacias - 97418 La Plaine des Cafres</t>
  </si>
  <si>
    <t>Piton Hyacinthe</t>
  </si>
  <si>
    <t>locations.velia@gmail.com</t>
  </si>
  <si>
    <t>Jean Fred et Elsa VELIA</t>
  </si>
  <si>
    <t>-21.2263225,55.5311815</t>
  </si>
  <si>
    <t>CSC288HT@</t>
  </si>
  <si>
    <t>82 Chemin des Acacias, La Plaine des Cafres, Réunion</t>
  </si>
  <si>
    <t>recnTKly9hnhSfA11</t>
  </si>
  <si>
    <t>Figuiers (Les)</t>
  </si>
  <si>
    <t>6 allée Jacques Lougnon - Appt 30 Bat C - Résidence Les Figuiers - Trois Mares 97430 Le Tampon</t>
  </si>
  <si>
    <t>chonsen_stephanie@hotmail.fr</t>
  </si>
  <si>
    <t>Stéphanie CHON-SEN</t>
  </si>
  <si>
    <t>60 chemin de la volière - Appt 6A - Résidence Améthyste - 97410 Saint-Pierre</t>
  </si>
  <si>
    <t>-21.2642131,55.4966288</t>
  </si>
  <si>
    <t>CSC336HT@</t>
  </si>
  <si>
    <t>Appt 30 Bat C, 6 Allée Jacques Lougnon, Réunion</t>
  </si>
  <si>
    <t>recA190jlX9dEqqck</t>
  </si>
  <si>
    <t>288 chemin Jean Lauret - 97414 Entre-Deux</t>
  </si>
  <si>
    <t>Bar, restauration rapide et grand choix de pizzas</t>
  </si>
  <si>
    <t>LEGROS Sylvano</t>
  </si>
  <si>
    <t>17 chemin trou de terre - 97414 Entre-Deux</t>
  </si>
  <si>
    <t>Sylvano LEGROS : 06 92 71 94 96</t>
  </si>
  <si>
    <t>-21.2435839,55.4810066</t>
  </si>
  <si>
    <t>288 Rue Jean Lauret, Réunion</t>
  </si>
  <si>
    <t>recZ2FPMfzQ3bbvei</t>
  </si>
  <si>
    <t>G Komo</t>
  </si>
  <si>
    <t>128 Boulevard de L'Océan - Manapany-les-bains  97480 Saint-Joseph</t>
  </si>
  <si>
    <t>giacomino.michel@wanadoo.fr</t>
  </si>
  <si>
    <t>Michel GIACOMINO</t>
  </si>
  <si>
    <t>Giacomino Michel : giacomino.michel@wanadoo.fr / 06 92 60 73 90</t>
  </si>
  <si>
    <t>CSC195HT@</t>
  </si>
  <si>
    <t>recsMK9lTsyDsnNal</t>
  </si>
  <si>
    <t>Gite Cascade Les 3 Galets</t>
  </si>
  <si>
    <t>18 Chemin Cap Blanc - Grand Galet 97480 Saint-Joseph</t>
  </si>
  <si>
    <t>Grand Galet</t>
  </si>
  <si>
    <t>jeanjacques.marcourt@orange.fr</t>
  </si>
  <si>
    <t>Jean-Philippe DIJOUX</t>
  </si>
  <si>
    <t>107 chemin dauphins - 97429 Petite-Ile</t>
  </si>
  <si>
    <t>Dijoux Jean-Philippe : jeanjacques.marcourt@orange.fr / 06 92 60 34 92</t>
  </si>
  <si>
    <t>Sud - Petite-Ile</t>
  </si>
  <si>
    <t>-21.3113088,55.64004689999999</t>
  </si>
  <si>
    <t>CSC203HT@</t>
  </si>
  <si>
    <t>18 Chemin de Cap Blanc, Réunion</t>
  </si>
  <si>
    <t>recv7htzdqjD5x7LI</t>
  </si>
  <si>
    <t>Gite de la Rivière des Remparts</t>
  </si>
  <si>
    <t>Ilet de Roche Plate - Rivière des Remparts 97480 Saint-Joseph</t>
  </si>
  <si>
    <t>Rivière des Remparts</t>
  </si>
  <si>
    <t>Jacqueline MOREL</t>
  </si>
  <si>
    <t>Morel Marie Jacqueline : 0262591394 / 0692683532 / Gestionnaire</t>
  </si>
  <si>
    <t>-21.2458333,55.6161111</t>
  </si>
  <si>
    <t>recnCbirK0S2umj7c</t>
  </si>
  <si>
    <t>Gîte le 109</t>
  </si>
  <si>
    <t>Agriculteur</t>
  </si>
  <si>
    <t>109 rue Paul Fontaine - 97480 Saint-Joseph</t>
  </si>
  <si>
    <t>Carrosse</t>
  </si>
  <si>
    <t>Terrain de jeux pour enfants,commerce alimentaire,station service</t>
  </si>
  <si>
    <t>gitelesbananiers.vacance@gmail.com</t>
  </si>
  <si>
    <t>Maison dans un grand jardin, sans voisinage à proximité disposant d’une aire de jeux</t>
  </si>
  <si>
    <t>FONTAINE Fabrice</t>
  </si>
  <si>
    <t>109 B rue Paul Fontaine - 97480 Saint-Joseph</t>
  </si>
  <si>
    <t>-21.3437742,55.5932901</t>
  </si>
  <si>
    <t>160.00</t>
  </si>
  <si>
    <t>109 Rue Paul Fontaine, Réunion</t>
  </si>
  <si>
    <t>recQRpmcaf9Rr00kU</t>
  </si>
  <si>
    <t>Gîte les Dodos</t>
  </si>
  <si>
    <t>180.00</t>
  </si>
  <si>
    <t>recxla9ZIpunUoKJq</t>
  </si>
  <si>
    <t>Gîte Paville Créole</t>
  </si>
  <si>
    <t>24 bis chemin Bois de gale - 97418 La Plaine des Cafres</t>
  </si>
  <si>
    <t>jardin,vue montagne,piscine,jacuzzi</t>
  </si>
  <si>
    <t>sandrine.lebon1@yahoo.fr</t>
  </si>
  <si>
    <t>Sandrine LEBON</t>
  </si>
  <si>
    <t>-21.2240556,55.5334487</t>
  </si>
  <si>
    <t>CSC303HT@</t>
  </si>
  <si>
    <t>24 Chemin du Bois de Gale, La Plaine des Cafres, Réunion</t>
  </si>
  <si>
    <t>rec2ovEfKMtRR6mtB</t>
  </si>
  <si>
    <t>Goyavier (Le)</t>
  </si>
  <si>
    <t>22 chemin Coteau Sec - Pente d'Orange 97414 Entre-Deux</t>
  </si>
  <si>
    <t>legoyavier1@gmail.com</t>
  </si>
  <si>
    <t>Ginot PAYET</t>
  </si>
  <si>
    <t>19 chemin Coteau Sec - Pente d'Orange 97414 Entre-Deux</t>
  </si>
  <si>
    <t>Ginot PAYET : legoyavier1@gmail.com / 06 92 19 46 47</t>
  </si>
  <si>
    <t>-21.2480629,55.4629454</t>
  </si>
  <si>
    <t>CSC265HR@</t>
  </si>
  <si>
    <t>22 Chemin du Coteau Sec, Réunion</t>
  </si>
  <si>
    <t>recbecALsbU1wWWKs</t>
  </si>
  <si>
    <t>8 rue Paul De Peindray - Bourg Murat 97418 La Plaine des Cafres</t>
  </si>
  <si>
    <t>Bourg Murat</t>
  </si>
  <si>
    <t>Gilles CLAIN</t>
  </si>
  <si>
    <t>26 rue du Domaine de Bellevue - 97418 La Plaine des Cafres</t>
  </si>
  <si>
    <t>-21.2012119,55.5780219</t>
  </si>
  <si>
    <t>recvrnWKHFO9U7CE7</t>
  </si>
  <si>
    <t>Ha-Yong</t>
  </si>
  <si>
    <t>120 r Albert Fréjaville, 97430 Le Tampon</t>
  </si>
  <si>
    <t>-21.279944,55.5137341</t>
  </si>
  <si>
    <t>reciW2UlshxpoToFm</t>
  </si>
  <si>
    <t>Haras des Cœurs</t>
  </si>
  <si>
    <t xml:space="preserve">49, chemin Jules Hoarau </t>
  </si>
  <si>
    <t>harasdescoeurs97430@gmail.com</t>
  </si>
  <si>
    <t xml:space="preserve">Balades à cheval, animations, école équestre </t>
  </si>
  <si>
    <t>Haras des coeurs - Annie BOUCHER</t>
  </si>
  <si>
    <t>Sud - Le Tampon</t>
  </si>
  <si>
    <t>-21.2509344,55.5321804</t>
  </si>
  <si>
    <t>49 Rue Jules Hoarau, La Plaine des Cafres, Réunion</t>
  </si>
  <si>
    <t>recvdJfhVy9fzE4Bf</t>
  </si>
  <si>
    <t>Harmonia Bien Etre</t>
  </si>
  <si>
    <t>18 r Leconte de Lisle 97480 Saint-Joseph</t>
  </si>
  <si>
    <t>harmonia.run@gmail.com</t>
  </si>
  <si>
    <t>Massages et soins relaxants</t>
  </si>
  <si>
    <t>-21.3776395,55.6210501</t>
  </si>
  <si>
    <t>18 Rue du Général de Gaulle, Réunion</t>
  </si>
  <si>
    <t>recX4sA6T4E9mpE4E</t>
  </si>
  <si>
    <t>HGL Location</t>
  </si>
  <si>
    <t>Hoarau Ginot André</t>
  </si>
  <si>
    <t>39, rue Grand Fond Intérieur</t>
  </si>
  <si>
    <t>ginot.hoarau.gh@gmail.com</t>
  </si>
  <si>
    <t>Location de voitures et prestations diverses ; De 25€ à 40€ par jour Km illimité
Dégressivité selon la durée de location
Assurance tous risques Incluse
Sous conditions: dès 23 ans et minimum 2 ans de permis B</t>
  </si>
  <si>
    <t>HOARAU Ginot André</t>
  </si>
  <si>
    <t>HOARAU Ginot André 0692608651</t>
  </si>
  <si>
    <t>Sud - Entre - Deux</t>
  </si>
  <si>
    <t>-21.2417972,55.467077</t>
  </si>
  <si>
    <t>39 Rue Grand Fond Interieur, Réunion</t>
  </si>
  <si>
    <t>recja9svwce5WOzXY</t>
  </si>
  <si>
    <t>Hoarau Henri Claude</t>
  </si>
  <si>
    <t>12 chemin Château d’Eau - 97414 Entre-Deux</t>
  </si>
  <si>
    <t>http://www.apiculture-reunion.com</t>
  </si>
  <si>
    <t>parking,jardin,boutique</t>
  </si>
  <si>
    <t>sentiers de randonnée</t>
  </si>
  <si>
    <t>apiculture-reunion@outlook.fr</t>
  </si>
  <si>
    <t>Visite du rucher, stage et formation en apiculture. Vente de produits associés</t>
  </si>
  <si>
    <t>Henri Claude Hoarau : apiculture-reunion@outlook.fr / 06 92 60 64 04</t>
  </si>
  <si>
    <t>-21.233731,55.4727671</t>
  </si>
  <si>
    <t>12 Chemin Chateau d'Eau, 97414, Réunion</t>
  </si>
  <si>
    <t>recl9vgzWXUMtVpSU</t>
  </si>
  <si>
    <t>Ilot Paradisiaque (L')</t>
  </si>
  <si>
    <t>Bras de la Plaine</t>
  </si>
  <si>
    <t>http://www.ilot-paradisiaque.re/gite/</t>
  </si>
  <si>
    <t>ilot-paradisiaque@hotmail.com // bfo-solaire@hotmail.fr</t>
  </si>
  <si>
    <t>Brian GRONDIN</t>
  </si>
  <si>
    <t>26 lot. les Saphirs - 97418 Plaine des Cafres</t>
  </si>
  <si>
    <t>-21.2302057,55.4955633</t>
  </si>
  <si>
    <t>CSC247HT@</t>
  </si>
  <si>
    <t>Bras de la Plaine, Réunion</t>
  </si>
  <si>
    <t>recWCDXqagD1EKp55</t>
  </si>
  <si>
    <t>Irise Traiteur</t>
  </si>
  <si>
    <t>9 chemin bancoule - La Passerelle 97480 Saint-Joseph</t>
  </si>
  <si>
    <t>La Passerelle</t>
  </si>
  <si>
    <t>Marie Irise DUCHEMANN</t>
  </si>
  <si>
    <t>-21.3411594,55.64623659999999</t>
  </si>
  <si>
    <t>9 Chemin Bancoule, 97480, Réunion</t>
  </si>
  <si>
    <t>rec327C8WcSjvfiRg</t>
  </si>
  <si>
    <t>Jacquier (Le)</t>
  </si>
  <si>
    <t>79 Rue des Jacques - Les Jacques 97480 Saint-Joseph</t>
  </si>
  <si>
    <t>Les Jacques</t>
  </si>
  <si>
    <t>TV,ventilateur,sanitaires privés,parking</t>
  </si>
  <si>
    <t>plage,riviere,arrêt bus,commerce alimentaire</t>
  </si>
  <si>
    <t>chambrelejacquier@gmail.com</t>
  </si>
  <si>
    <t xml:space="preserve">Bernadette et Marcel seront heureux de vous accueillir dans leur chambre d’hôtes pouvant accueillir 2 personnes.
Vous disposerez d'une entrée privée et d'une place de parking,  d'une terrasse avec table et chaises abritée par un joli kiosque devant votre entrée, à l'intérieur un lit de 140, d'un cabinet de toilette privé (douche et wc).
D'une terrasse sous un kiosque et disposez d'un réfrigérateur pour vous permettre de stoker des aliments et boissons pour préparer vos randonnées, qui peuvent être nombreuses à la Réunion en montagne ou en bord de mer, si vous aimez la marche, ou bien d'autres activités de plein air.
Plusieurs visites de sites touristiques dans la nature sont possibles aux alentours, jardin des senteurs et des épices, la vanille de Saint Philippe, le labyrinthe en champ de thé, la maison du Safran pays ( curcuma de Grand Coude ), coulées volcaniques, cascades,  détente à la mer dans des bassins de baignade, à Manapany le petit coin charmant ou à Grand Anse avec sa plage ombragée, et bien d'autre plaisirs encore.
 Vous avez la possibilité d'acheter des plats à emporter dans les divers snacks de Saint Joseph, les emporter et vous installer sur la terrasse de la chambre pour déjeuner ou diner tranquillement.
Plusieurs restaurants de qualité, peuvent vous accueillir à Saint Joseph et vous servir des plats locaux et autre repas métropolitains  (Avec ou sans PIMENT !!!!!!) à vous de voir et d'apprécier.
N'hésitez pas à nous contacter pour plus d'informations sur d'autres activités qui peuvent être possibles, ainsi que pour nos tarifs plus complets suivant la durée de votre séjour.
 Le tarif s'entend pour la chambre hors petit déjeuner, la nuitée et suivant le nombre de nuitées.
Bienvenue dans le Sud Sauvage à l'Ile de la Réunion, nous espérons retenir toute votre attention, pour un séjour innoubliable. </t>
  </si>
  <si>
    <t>Bernadette JEFFRAY</t>
  </si>
  <si>
    <t>-21.3758874,55.63129679999999</t>
  </si>
  <si>
    <t>CSC199HT@</t>
  </si>
  <si>
    <t>1 Rue Amiral Courbet, Réunion</t>
  </si>
  <si>
    <t>recLzqL611NhOe615</t>
  </si>
  <si>
    <t>Jardin Créole (Le)</t>
  </si>
  <si>
    <t>14 B rue Payet - 97414 Entre-Deux</t>
  </si>
  <si>
    <t>guidemignon@gmail.com</t>
  </si>
  <si>
    <t>Visite d'un jardin privé</t>
  </si>
  <si>
    <t>Visite du circuit des cases créoles, pendant 2h, dans le village, puis visite d’un jardin privé sur les plantes alimentaires, médicinales et utilitaires</t>
  </si>
  <si>
    <t>Johnny MIGNON</t>
  </si>
  <si>
    <t>Johnny MIGNON : guidemignon@gmail.com / 06 93 81 20 65</t>
  </si>
  <si>
    <t>-21.2483304,55.4681434</t>
  </si>
  <si>
    <t>14 Rue Payet, Réunion</t>
  </si>
  <si>
    <t>recez0t1khNIMm1kd</t>
  </si>
  <si>
    <t>Jardin Gourmand</t>
  </si>
  <si>
    <t>31 chemin Grand Fond Intérieur, 97414, Entre Deux, Réunion</t>
  </si>
  <si>
    <t>dij_christiane@hotmail.com</t>
  </si>
  <si>
    <t>Boutique de produits fait maison transformation de produits locaux : confitures, achards, pate de piments</t>
  </si>
  <si>
    <t>DIJOUX Christiane</t>
  </si>
  <si>
    <t>31 chemin Grand Fond Intérieur</t>
  </si>
  <si>
    <t>-21.2421243,55.4669339</t>
  </si>
  <si>
    <t>31 Rue Grand Fond Interieur, Réunion</t>
  </si>
  <si>
    <t>recfcEj0VScC9avif</t>
  </si>
  <si>
    <t>Jardin Secret (Le)</t>
  </si>
  <si>
    <t>CSC287HT@</t>
  </si>
  <si>
    <t>recX2gHebfgjtdJZ8</t>
  </si>
  <si>
    <t>Jean Petit Paille en Queue</t>
  </si>
  <si>
    <t>23 chemin Corbeille d'or - Jean Petit 97480 Saint-Joseph</t>
  </si>
  <si>
    <t>Milieu rural,Montagne</t>
  </si>
  <si>
    <t>piscine,jardin clôturé,parking sécurisé,TV,accès internet,cuisine équipée,cuisine au bois,barbecue,linge de maison</t>
  </si>
  <si>
    <t>f.m.lecomte@orange.fr</t>
  </si>
  <si>
    <t>Petite maison charmante avec vue mer sans vis-à-vis direct située dans un coin tranquille, idéal pour le repos.</t>
  </si>
  <si>
    <t>LECOMTE Frédéric et Maryline</t>
  </si>
  <si>
    <t>Maryline LECOMTE : f.m.lecomte@orange.fr / 0692351603</t>
  </si>
  <si>
    <t>-21.3482323,55.6313739</t>
  </si>
  <si>
    <t>325.00</t>
  </si>
  <si>
    <t>23 Chemin Corbeille d'Or, Réunion</t>
  </si>
  <si>
    <t>recjsxmYX6IgoP5J9</t>
  </si>
  <si>
    <t>Jocelyn Ceus</t>
  </si>
  <si>
    <t>32 ch bancoule 97480 saint Joseph</t>
  </si>
  <si>
    <t>jocelyn.peche@gmail.com</t>
  </si>
  <si>
    <t xml:space="preserve">Situé dans les Hauts de la rivière Langevin, Cap Blanc offre un caractère exceptionnel de biodiversité et de paysages captivants. Au milieu des plantes indigènes, les hôtes des sous-bois vous livreront leur secret. Vous apercevrez au détour des sentiers, des oiseaux forestiers et insectes endémiques.
Jocelyn vous fera découvrir les paysages cachés, la botanique et les principes de nutrition des plantes. Vous participerez à la plantation d’espèces indigènes avec la Fédération Départementale de Pêche et de Promotion du Milieu Aquatique de La Réunion. </t>
  </si>
  <si>
    <t>Jocelyn CEUS</t>
  </si>
  <si>
    <t>-21.3395683,55.64570759999999</t>
  </si>
  <si>
    <t>10.00</t>
  </si>
  <si>
    <t>32 Chemin Bancoule, Réunion</t>
  </si>
  <si>
    <t>rec1ajTtcRMgP0gne</t>
  </si>
  <si>
    <t>Kafé Lontan</t>
  </si>
  <si>
    <t>Association kafé lontan</t>
  </si>
  <si>
    <t>Kafé Lontan 
29 D rue des Orangers 97414 Entre-Deux</t>
  </si>
  <si>
    <t>kafelontan@gmail.com</t>
  </si>
  <si>
    <t>Exploitation, culture du café à l'ancienne</t>
  </si>
  <si>
    <t>Alexandre DIJOUX</t>
  </si>
  <si>
    <t>rec6JNIwdrCJBAFrN</t>
  </si>
  <si>
    <t>Kaz Léo (La)</t>
  </si>
  <si>
    <t>8 chemin Mathias - 97418 La Plaine des Cafres</t>
  </si>
  <si>
    <t>https://www.facebook.com/lakazleo/</t>
  </si>
  <si>
    <t>La Petite ferme</t>
  </si>
  <si>
    <t>jacuzzi,TV,barbecue,parking,fer et planche à repasser,four,lave linge privatif,salle de bain privée,linge de maison,jardin,linge de toilette,chauffage,poil a bois</t>
  </si>
  <si>
    <t>sentier de randonnée,sentier de grande randonnée,équitation,VTT,Quad,forêt,site - lieu culturel</t>
  </si>
  <si>
    <t>Espèces,Carte Bancaire,Virement</t>
  </si>
  <si>
    <t>français,anglais (Basique (Nv.1))</t>
  </si>
  <si>
    <t>lakazleo@gmail.com</t>
  </si>
  <si>
    <t xml:space="preserve">Située dans le parc national des hauts, les amoureux de la nature, du calme et des randonnées, trouveront leur bonheur. A 30 min du volcan, 15 min du sentier de grand bassin, 5 min du parcours de santé de tamarhaut et 35 minutes de la plage.
Vous trouverez de bons restaurants.
En plus des équipements de bases vous trouverez une cuisine au feu de bois, un grand jardin et son barbecue (mobile), et pour vos moments de détente un Jacuzzi (5 places).
Laissez-vous tenter,... </t>
  </si>
  <si>
    <t xml:space="preserve">Accessible par la RN1 en venant de saint pierre , passer devant la gendarmerie et tournez à droite vers Notre dame de la Paix/ petite ferme, environ à 2,5 km vous arriverez dans le village de la petite ferme et après 3 ralentisseurs, la chemin mathias se trouvent sur votre gauche avec l'indication du volcan/ la grande ferme et en venant de la plaine des palmistes toujours sur la RN1 avant la gendarmerie tournez à gauche </t>
  </si>
  <si>
    <t>Lydie LEBRETON</t>
  </si>
  <si>
    <t>180 chemin du Coulet - 13750 Plan d'Orgon</t>
  </si>
  <si>
    <t>-21.2279911,55.5772748</t>
  </si>
  <si>
    <t>CSC315HT@</t>
  </si>
  <si>
    <t>8 Chemin Mathias, La Plaine des Cafres, Réunion</t>
  </si>
  <si>
    <t>recEzq2hgXZ6iiKZQ</t>
  </si>
  <si>
    <t>Kaz Zezere o Ker du Bras Creux</t>
  </si>
  <si>
    <t>8 impasse des Zinnias chemin Chalet - Bras Creux 97430 Le Tampon</t>
  </si>
  <si>
    <t>Bras Creux</t>
  </si>
  <si>
    <t>TV,lave linge privatif,four,cuisine,parking,micro-ondes,jardin</t>
  </si>
  <si>
    <t>commerce alimentaire,équitation,sentier de randonnée</t>
  </si>
  <si>
    <t>felix.regine@gmail.com</t>
  </si>
  <si>
    <t>Marie-France GARAÏOS</t>
  </si>
  <si>
    <t>41 ter chemin Nassibou - 97410 Saint-Pierre</t>
  </si>
  <si>
    <t>-21.2558975,55.5353846</t>
  </si>
  <si>
    <t>150.00</t>
  </si>
  <si>
    <t>CSC289HT@</t>
  </si>
  <si>
    <t>8 Impasse des Zinnias, Réunion</t>
  </si>
  <si>
    <t>recdvAGsdsNAoP037</t>
  </si>
  <si>
    <t>Kazanoo</t>
  </si>
  <si>
    <t>63 B rue Paul Hermann - 97430 Le Tampon</t>
  </si>
  <si>
    <t>http://www.kazanoo.com</t>
  </si>
  <si>
    <t>TV,piscine,four,lave linge privatif,micro-ondes,fer et planche à repasser,parking</t>
  </si>
  <si>
    <t>poste - boite aux lettres,arrêt bus,piscine,tennis,commerce alimentaire</t>
  </si>
  <si>
    <t>kazanoo@yahoo.com</t>
  </si>
  <si>
    <t>Frédéric ROBERT</t>
  </si>
  <si>
    <t>32 chemin Léon Chamand - 97430 Le Tampon</t>
  </si>
  <si>
    <t>-21.2708493,55.51756109999999</t>
  </si>
  <si>
    <t>CSC261HT@</t>
  </si>
  <si>
    <t>63 Rue Paul Hermann, Réunion</t>
  </si>
  <si>
    <t>recTDwaoojtlF6V9S</t>
  </si>
  <si>
    <t>Kaznanou</t>
  </si>
  <si>
    <t>4 A chemin Théophile Gauthier - Grand Coude 97480 Saint-Joseph</t>
  </si>
  <si>
    <t>parking,jardin,sanitaires privés,salle de bain privée,chauffage,linge de maison,TV satellite,barbecue,cuisine,fer et planche à repasser</t>
  </si>
  <si>
    <t>sentier de randonnée,commerce alimentaire,arrêt bus,forêt</t>
  </si>
  <si>
    <t>français,créole,anglais (Basique (Nv.2))</t>
  </si>
  <si>
    <t>lili.frem@orange.fr</t>
  </si>
  <si>
    <t>Liliane FREMOUSSE</t>
  </si>
  <si>
    <t>21 bis Ligne Trovalet - 97480 Saint-Joseph</t>
  </si>
  <si>
    <t>-21.2955103,55.6253581</t>
  </si>
  <si>
    <t>120.00</t>
  </si>
  <si>
    <t>CSC360HT@</t>
  </si>
  <si>
    <t>4 Chemin Theophile Gauthier, Réunion</t>
  </si>
  <si>
    <t>recKw9Ovn2xu93E1C</t>
  </si>
  <si>
    <t>Kossassa (Le)</t>
  </si>
  <si>
    <t>74 Route Nationale 2 - Le Baril 97442 Saint-Philippe</t>
  </si>
  <si>
    <t>saser.agro@gmail.com</t>
  </si>
  <si>
    <t>-21.3524124,55.78785209999999</t>
  </si>
  <si>
    <t>Route Nationale 2 Ravine Ango, Réunion</t>
  </si>
  <si>
    <t>recSXg93snF86tra4</t>
  </si>
  <si>
    <t>Guinguette (La)</t>
  </si>
  <si>
    <t>SARL</t>
  </si>
  <si>
    <t>57 A RN2 Mare Longue, 97442, La Réunion</t>
  </si>
  <si>
    <t>Français,anglais,créole</t>
  </si>
  <si>
    <t>pauline.ey63@gmail.com</t>
  </si>
  <si>
    <t>Boutique traiteur qui propose des plats cuisiniers faits uniquement avec des produits locaux peu</t>
  </si>
  <si>
    <t>GACHE Greg &amp; EYMERPauline</t>
  </si>
  <si>
    <t>57 A RN2 Marelongue</t>
  </si>
  <si>
    <t>57 RN2, Réunion</t>
  </si>
  <si>
    <t>recpNmSG6g3karPvx</t>
  </si>
  <si>
    <t>Blue soleil appart (Le)</t>
  </si>
  <si>
    <t>35 C, rue Alexandre Flemming</t>
  </si>
  <si>
    <t>PK11</t>
  </si>
  <si>
    <t>Centre - Ville,épicerie,marchés,pharmacie,piscine municipale</t>
  </si>
  <si>
    <t>sonia.lasallelomb@gmail.com</t>
  </si>
  <si>
    <t>Appartement de 3 pièces proches de toutes commodités</t>
  </si>
  <si>
    <t>LASALLE Sonia</t>
  </si>
  <si>
    <t>35 C, Rue Alexandre Flemming</t>
  </si>
  <si>
    <t>-21.2737368,55.52746149999999</t>
  </si>
  <si>
    <t>35 Rue Alexandre Flemming, Réunion</t>
  </si>
  <si>
    <t>recP4MXflYy2LDQOc</t>
  </si>
  <si>
    <t>Bananiers (Les)</t>
  </si>
  <si>
    <t>46 chemin César - 97480 Saint-Joseph</t>
  </si>
  <si>
    <t>TV,jardin,Salle de jeux,linge de maison,linge de toilette,cuisine,lave linge privatif,ventilateur,sèche linge privatif,fer et planche à repasser,parking,salle de bain privée,sanitaires privés</t>
  </si>
  <si>
    <t>commerce alimentaire,sentier de randonnée,arrêt bus</t>
  </si>
  <si>
    <t>gitelesbananier.vacance@gmail.com</t>
  </si>
  <si>
    <t>Huland FONTAINE</t>
  </si>
  <si>
    <t>35 rue Paul Fontaine - 97480 Saint-Joseph</t>
  </si>
  <si>
    <t>-21.363663,55.58770999999999</t>
  </si>
  <si>
    <t>CSC354HT@</t>
  </si>
  <si>
    <t>46 Chemin Cesar, 97480, Réunion</t>
  </si>
  <si>
    <t>reck1OmyoDIaptBoz</t>
  </si>
  <si>
    <t>Locations d'Elo &amp; Jul (Les)</t>
  </si>
  <si>
    <t>LES LOCATIONS D'ELO ET JUL</t>
  </si>
  <si>
    <t>57 chemin René Gonthier - Bérives 97430 Le Tampon</t>
  </si>
  <si>
    <t>Bérive</t>
  </si>
  <si>
    <t>piscine,parking,SPA,jardin,accessible aux personnes à mobilité réduite</t>
  </si>
  <si>
    <t>commerce alimentaire,sentier de randonnée</t>
  </si>
  <si>
    <t>Chèque,Espèces,Chèques vacances</t>
  </si>
  <si>
    <t>locaberive@gmail.com</t>
  </si>
  <si>
    <t>Endroit calme avec vue mer et montagne, maison équipée d'un spa avec terrasse, barbecue, petit jardin et piscine idéal pour la détente</t>
  </si>
  <si>
    <t>LALLEMAND Elodie</t>
  </si>
  <si>
    <t>Elodie LALLEMAND : locaberive@gmail.com / 06 93 80 81 29</t>
  </si>
  <si>
    <t>-21.3110176,55.5373655</t>
  </si>
  <si>
    <t>3 Chemin de l'École de Bérive, Réunion</t>
  </si>
  <si>
    <t>recbTjQjQZULrhTNx</t>
  </si>
  <si>
    <t>Meublés Entre Mer et Montagne (Les)</t>
  </si>
  <si>
    <t>167 Chemin Raphael Babet - Trois Mares 97430 Le Tampon</t>
  </si>
  <si>
    <t>CSC230HT@</t>
  </si>
  <si>
    <t>(meublé mer)</t>
  </si>
  <si>
    <t>167 Chemin Raphael Babet, Réunion</t>
  </si>
  <si>
    <t>recvNb3xpa2QvyI73</t>
  </si>
  <si>
    <t>(meublé montagne)</t>
  </si>
  <si>
    <t>recPzpCpXh1DdADhK</t>
  </si>
  <si>
    <t>Portes de Grand Bassin</t>
  </si>
  <si>
    <t>5, Impasse des Cyprès, 97418, Tampon, Réunion</t>
  </si>
  <si>
    <t>Bois-Court</t>
  </si>
  <si>
    <t>Sentier de randonnée,village du 23ème</t>
  </si>
  <si>
    <t>lesportesdegrandbassin@gmail.com</t>
  </si>
  <si>
    <t>Petite maison au calme dans la frais de la plaine des cafres</t>
  </si>
  <si>
    <t>TELEGONE Brice &amp; SIMITAMBE Luciano</t>
  </si>
  <si>
    <t xml:space="preserve">5, Impasse des Cyprès </t>
  </si>
  <si>
    <t>-21.1953812,55.5333191</t>
  </si>
  <si>
    <t>5 Impasse des Cypres, La Plaine des Cafres, Réunion</t>
  </si>
  <si>
    <t>recM9zD9bItWPAN6l</t>
  </si>
  <si>
    <t>Terrasses du Volcan (Les)</t>
  </si>
  <si>
    <t>GIRAUD Carol</t>
  </si>
  <si>
    <t>13 Chemin Du Mont Doré - Coin Tranquille 97418 La Plaine des Cafres</t>
  </si>
  <si>
    <t>http://www.lesterrassesduvolcan.com</t>
  </si>
  <si>
    <t>parking,chauffage,TV,lave-linge,cuisine extérieure,accès internet</t>
  </si>
  <si>
    <t>Volcan le piton de la fournaise,sentier du piton des neiges,village du grand bassin,"tunnel de lave ""tunnel bleu du tampon""",forêt de Tamar'haut,Maison du Volcan,Centres équestres,Cabaret Pat'Jaune</t>
  </si>
  <si>
    <t>français,créole,anglais,chinois</t>
  </si>
  <si>
    <t>jean-louis@lesterrassesduvolcan.com</t>
  </si>
  <si>
    <t xml:space="preserve"> Le chalet bénéficie d'une magnifique vue sur toute la côte sud depuis les hauteurs des plaines. Vous serez niché au cœur d'un jardin de 1000 m², ou vous trouverez calme et tranquillité. Ce logis se fera un plaisir de vous accueillir pour un moment romantique ou conviviale en famille. Minimum 2 nuits</t>
  </si>
  <si>
    <t>Depuis Saint-Pierre, aller jusqu'à la station Vito du 22ème km, 50m après prendre le chemin du coin tranquille sur la droite. Puis continuer sur 1km200 : le chemin du Mont Doré se trouve sur votre droite.</t>
  </si>
  <si>
    <t>GIRAUD Jean-Louis</t>
  </si>
  <si>
    <t>Jean-Louis GIRAUD : jean-louis@lesterrassesduvolcan.com / 0692 25 56 25</t>
  </si>
  <si>
    <t>-21.2387817,55.5587744</t>
  </si>
  <si>
    <t>95.00</t>
  </si>
  <si>
    <t>CSC395HT@</t>
  </si>
  <si>
    <t>13 Chemin du Mont Dore, La Plaine des Cafres, Réunion</t>
  </si>
  <si>
    <t>recWQ5fsS8jBPdiwd</t>
  </si>
  <si>
    <t>Lianes de Jade</t>
  </si>
  <si>
    <t>APPT 1 et 2 - 16 chemin de l'Hermitage - 97430 Le Tampon</t>
  </si>
  <si>
    <t>gallylaurent@gmail.com</t>
  </si>
  <si>
    <t>Laurent GALLY</t>
  </si>
  <si>
    <t>16 chemin de l'Hermitage - 97430 Le Tampon</t>
  </si>
  <si>
    <t>-21.2639004,55.50937649999999</t>
  </si>
  <si>
    <t>CSC257HT@</t>
  </si>
  <si>
    <t>APPT 1 et 2, 16 Chemin Hermitage, Réunion</t>
  </si>
  <si>
    <t>recy2pLyhjtLbfJjp</t>
  </si>
  <si>
    <t>Location saisonnière dans les Hauts</t>
  </si>
  <si>
    <t>331 TER chemin Henri Cabeu - 97418 La Plaine des Cafres</t>
  </si>
  <si>
    <t>sergetecher@sfr.fr</t>
  </si>
  <si>
    <t>Serge &amp; Régine TECHER</t>
  </si>
  <si>
    <t>22 impasse Henri Técher - 97430 Le Tampon</t>
  </si>
  <si>
    <t>-21.2010197,55.5350762</t>
  </si>
  <si>
    <t>CSC296HT@</t>
  </si>
  <si>
    <t>331 Chemin Henri Cabeu, La Plaine des Cafres, Réunion</t>
  </si>
  <si>
    <t>recfS3ibqtiRSEOVy</t>
  </si>
  <si>
    <t>Locations Vert Eden</t>
  </si>
  <si>
    <t>87 chemin Notre Dame de la Paix, 97418, Tampon, Réunion</t>
  </si>
  <si>
    <t>mariereneemarapa@gmail.com</t>
  </si>
  <si>
    <t>MARAPA Marie-Renée</t>
  </si>
  <si>
    <t>48 chemin Kerbel - 97425 Les Avirons</t>
  </si>
  <si>
    <t>-21.2461463,55.5959525</t>
  </si>
  <si>
    <t>CSC384HT@</t>
  </si>
  <si>
    <t>recARu2fgp1wFlXOc</t>
  </si>
  <si>
    <t>Ma Petite Maison</t>
  </si>
  <si>
    <t>78 CD26 - 97414 Entre-Deux</t>
  </si>
  <si>
    <t>terrasse,parking,accès internet</t>
  </si>
  <si>
    <t>sentiers de randonnées,commerces,restaurants</t>
  </si>
  <si>
    <t>Espèces,Carte Bancaire,Chèque</t>
  </si>
  <si>
    <t>français,créole,anglais,italien</t>
  </si>
  <si>
    <t>edwige.abraham97@gmail.com</t>
  </si>
  <si>
    <t>Villa à proximité du village de l'Entre-Deux avec vue sur les montagnes</t>
  </si>
  <si>
    <t>ABRAHAM Jean Dany</t>
  </si>
  <si>
    <t>14 impasse des pommiers - 97418 Plaine des Cafres</t>
  </si>
  <si>
    <t>rec9MwfPPzvt3aO6r</t>
  </si>
  <si>
    <t>Antoinette DUCHEMANE</t>
  </si>
  <si>
    <t>recYpBGyyhiGOZw0A</t>
  </si>
  <si>
    <t>Maison Chamelle</t>
  </si>
  <si>
    <t>107 chemin Mazeau - Trois Mares 97430 Le Tampon</t>
  </si>
  <si>
    <t>parking,linge de toilette,TV,linge de maison,jardin,cuisine,barbecue</t>
  </si>
  <si>
    <t>sentier de randonnée,site - lieu culturel,équitation,arrêt bus</t>
  </si>
  <si>
    <t>Espèces,Virement</t>
  </si>
  <si>
    <t>bchamelle@gmail.com</t>
  </si>
  <si>
    <t xml:space="preserve">Maison creole a 2 niveaux ,convient a 3 couples ou grande famille. </t>
  </si>
  <si>
    <t>location tres interessante au niveau du prix.</t>
  </si>
  <si>
    <t>Jean CHAMAND</t>
  </si>
  <si>
    <t>585 chemin Stéphane - 97432 La Ravine des Cabris</t>
  </si>
  <si>
    <t xml:space="preserve">-21.2546027,55.5100974 </t>
  </si>
  <si>
    <t>CSC259HT@</t>
  </si>
  <si>
    <t>107 Chemin Mazeau, Réunion</t>
  </si>
  <si>
    <t>recrgeqSrIbKJTBiR</t>
  </si>
  <si>
    <t>Maison de vacances (La)</t>
  </si>
  <si>
    <t>72 bis rue des Jacques, 97480 Saint-Joseph</t>
  </si>
  <si>
    <t>les Jacques</t>
  </si>
  <si>
    <t>piscine,parking,cours clôturée,climatisation,accès internet,canal plus…</t>
  </si>
  <si>
    <t>boulangerie,maraicher,commerce de proximité…</t>
  </si>
  <si>
    <t>0692768772 (pour les résas)</t>
  </si>
  <si>
    <t>lmv97480@hotmail.com</t>
  </si>
  <si>
    <t>Maison de charme accueillante et reposante, toute équipée</t>
  </si>
  <si>
    <t>Dans une petite impassee qui donne sur la rue principale</t>
  </si>
  <si>
    <t>RIVIERE Eric</t>
  </si>
  <si>
    <t>32 rue Jean Bart, 97480 Saint-Joseph</t>
  </si>
  <si>
    <t>-21.3752786,55.62859470000001</t>
  </si>
  <si>
    <t>72 Rue Des Jacques, Réunion</t>
  </si>
  <si>
    <t>recIrveOBfvUjCWYH</t>
  </si>
  <si>
    <t>Mana Home</t>
  </si>
  <si>
    <t>13 B lotissement Ti Coin Charmant - Manapany-Les-Bains 97480 Saint-Joseph</t>
  </si>
  <si>
    <t>jardin,TV,micro-ondes,four,linge de maison,climatisation,parking,fer et planche à repasser,barbecue,lave linge collectif,salon de jardin</t>
  </si>
  <si>
    <t>commerce alimentaire,sentier de randonnée,site - lieu culturel,piscine,arrêt bus,riviere,plage</t>
  </si>
  <si>
    <t>pascal.lauret0057@orange.fr</t>
  </si>
  <si>
    <t xml:space="preserve">Au coeur du Sud Sauvage, le logement, entièrement rénové, se situe dans un lotissement calme proche de toutes commodités (Centre commercial Leclerc à 5mn à pied et restaurants divers). Il est idéalement situé à proximité des plus beaux sites du Sud sauvage (Manapany-Les-Bains, Grand-Anse, le lagon de Saint-Pierre, le volcan, la rivière Langevin et ses fameuses chutes de Grand-Galet, et les célèbres coulées de lave du Piton de la Fournaise, l'un des volcans les plus actifs au monde !!!) </t>
  </si>
  <si>
    <t xml:space="preserve">L'appartement se compose de :
- 2 chambres spacieuses (+ 14 m2) et climatisées : 1 chambre avec 2 lits simples (90x190) et 1 autre avec 1 lit double (140x190) donnant sur un petit jardin clôturé,
- d'un salon équipé d'une TV et d'internet,
- d'une salle à manger et d'une cuisine entièrement équipée (four à micro-ondes, bouilloire, cafetière, four électrique, plaque de feux, etc.),
- d'1 WC et d'une salle de bains comprenant un lave-linge.
À l'extérieur, vous disposez d'une terrasse couverte munie d'un salon de jardin et d'un barbecue pour vos grillades.
Les fêtes et les animaux sont strictement interdits (cf. contrat).
Les draps et les serviettes de bain sont fournies (à l'exclusion des serviettes de plage).
Taxe de séjour de 0,90€ par nuitée et par personne et une caution de 600€ à régler le jour de l'arrivée. </t>
  </si>
  <si>
    <t>Pascal LAURET</t>
  </si>
  <si>
    <t>13 lotissement Ti Coin Charmant - Manapany-Les-Bains 97480 Saint-Joseph</t>
  </si>
  <si>
    <t>-21.3737398,55.59542980000001</t>
  </si>
  <si>
    <t>CSC365HT@</t>
  </si>
  <si>
    <t>Manapany, Réunion</t>
  </si>
  <si>
    <t>recgJDh7FHNgbmoP6</t>
  </si>
  <si>
    <t>MY HOME Villa</t>
  </si>
  <si>
    <t xml:space="preserve">250, H Rue Maurice et Katia Kraft </t>
  </si>
  <si>
    <t>Plaine des Cafres</t>
  </si>
  <si>
    <t>ticazloc@orange.fr</t>
  </si>
  <si>
    <t xml:space="preserve">Petite maison à la plaine des cafres, toute équipée dans la frais </t>
  </si>
  <si>
    <t>OUSSENEKAN Jean Laurent</t>
  </si>
  <si>
    <t>74 chemin des platanes</t>
  </si>
  <si>
    <t>Nord - La Montagne Saint Denis</t>
  </si>
  <si>
    <t>-21.1983841,55.5773568</t>
  </si>
  <si>
    <t>250 Rue Maurice et Katia Krafft, La Plaine des Cafres, Réunion</t>
  </si>
  <si>
    <t>rec9NRcmJVUBycs8Z</t>
  </si>
  <si>
    <t>NANA BARKET &amp; FASTFOOD</t>
  </si>
  <si>
    <t>8 IMP ELIEN, 97414, Entre-Deux, Réunion</t>
  </si>
  <si>
    <t>Service de livraison</t>
  </si>
  <si>
    <t>Espèces,chèques déjeuner</t>
  </si>
  <si>
    <t>shama.rodolphe@hotmail.com</t>
  </si>
  <si>
    <t>Service de restauration créole (et chinois et métro), barquettes, plateaux créoles (bouchons, samoussas…) et fastfood (kébabs, hamburgers, hotdog)</t>
  </si>
  <si>
    <t>Livraison jusqu’au pont de l’E2</t>
  </si>
  <si>
    <t>DIJOUX Rodolphe</t>
  </si>
  <si>
    <t>8 impasse Elien</t>
  </si>
  <si>
    <t>DIJOUX Rodolphe 0692 11 48 71</t>
  </si>
  <si>
    <t>-21.2549505,55.4648007</t>
  </si>
  <si>
    <t>rec24oq9hEWo7CiRW</t>
  </si>
  <si>
    <t>Nid d'Amour (Le)</t>
  </si>
  <si>
    <t>2 bis rue Henri Mussard - 97480 Saint-Joseph</t>
  </si>
  <si>
    <t>Jean-Luc &amp; Florence LEBON</t>
  </si>
  <si>
    <t>Jean-Luc et Florence LEBON : jluc.lebon974@gmail.com / 06 92 87 09 33 / 06 92 68 78 59</t>
  </si>
  <si>
    <t>-21.3791564,55.6274214</t>
  </si>
  <si>
    <t>CSC321HT@</t>
  </si>
  <si>
    <t>2 Rue Henry Mussard, Réunion</t>
  </si>
  <si>
    <t>recu2lcOsEa6JR1X9</t>
  </si>
  <si>
    <t>Nideo (Le)</t>
  </si>
  <si>
    <t>25 impasse de l'erebus - Petite Ferme 97418 La Plaine des Cafres</t>
  </si>
  <si>
    <t>Petite Ferme</t>
  </si>
  <si>
    <t>fontaines974@yahoo.fr</t>
  </si>
  <si>
    <t>Marie Sophie FONTAINE</t>
  </si>
  <si>
    <t>Marie Sophie FONTAINE : fontaines974@yahoo.fr / 06 93 82 00 50</t>
  </si>
  <si>
    <t>CSC318HT@</t>
  </si>
  <si>
    <t>recBg5libfWVEGHV2</t>
  </si>
  <si>
    <t>Nout Kaz Paradis</t>
  </si>
  <si>
    <t>66 bis boulevard de l'océan - Manapany-les-bains 97480 Saint-Joseph</t>
  </si>
  <si>
    <t>francoise.lindecker@laposte.net</t>
  </si>
  <si>
    <t>Fabrice &amp; Françoise MAY &amp; LINDECKER</t>
  </si>
  <si>
    <t>Françoise LINDECKER : francoise.lindecker@laposte.net / 06 92 66 52 10</t>
  </si>
  <si>
    <t>CSC302HT@</t>
  </si>
  <si>
    <t>recL1ZsmHeU0Wqeup</t>
  </si>
  <si>
    <t>O P'tit Marcheur</t>
  </si>
  <si>
    <t>Argamasse - Dimitile 97414 Entre-Deux</t>
  </si>
  <si>
    <t>Josian &amp; Nadège LEGROS</t>
  </si>
  <si>
    <t>8 chemin Meulin - Serre 97414 Entre-Deux</t>
  </si>
  <si>
    <t>Josian et Nadège LEGROS : 06 92 27 33 24 / 06 92 30 87 01</t>
  </si>
  <si>
    <t>CSC180HR@</t>
  </si>
  <si>
    <t>receR6cctSrvDHGcR</t>
  </si>
  <si>
    <t>O Pas des Sables</t>
  </si>
  <si>
    <t>250 C rue Maurice Krafft - 97418 La Plaine des Cafres</t>
  </si>
  <si>
    <t>g.leb@wanadoo.fr</t>
  </si>
  <si>
    <t>Guy Joseph LEBON</t>
  </si>
  <si>
    <t>Guy Joseph LEBON : g.leb@wanadoo.fr / 06 92 31 07 05</t>
  </si>
  <si>
    <t>CSC326HT@</t>
  </si>
  <si>
    <t>recW6cQZ6zUhSIhe6</t>
  </si>
  <si>
    <t>O Verger d'Yvonna</t>
  </si>
  <si>
    <t>27 Rue du Rond - Plaine des Grègues 97480 Saint-Joseph</t>
  </si>
  <si>
    <t>josie.cardot@laposte.net</t>
  </si>
  <si>
    <t>Visite d'une exploitation agricole (culture d'agrumes) et paniers repas</t>
  </si>
  <si>
    <t>CARDOT Josie</t>
  </si>
  <si>
    <t>recC5TA152zJVPLyx</t>
  </si>
  <si>
    <t>Oiseau de Paradis</t>
  </si>
  <si>
    <t>22 impasse Henri Técher - Trois Mares 97430 Le Tampon</t>
  </si>
  <si>
    <t>Serge et Régine TECHER</t>
  </si>
  <si>
    <t>-21.2601016,55.5166377</t>
  </si>
  <si>
    <t>CSC295HT@</t>
  </si>
  <si>
    <t>22 Impasse Henri Techer, Réunion</t>
  </si>
  <si>
    <t>reco2MfzJdwyiquYE</t>
  </si>
  <si>
    <t>P'tit Paille en Queue (Le)</t>
  </si>
  <si>
    <t>87 Ter chemin Notre Dame de la Paix - 97418 La Plaine des Cafres</t>
  </si>
  <si>
    <t>philippe.georget01@orange.fr</t>
  </si>
  <si>
    <t xml:space="preserve">Petite maison avec jardin, toute équipée, au début de NDP, à la petite ferme </t>
  </si>
  <si>
    <t>Madame PAYET Marie France</t>
  </si>
  <si>
    <t>CSC234HT@</t>
  </si>
  <si>
    <t>recH4XTVM41h84nua</t>
  </si>
  <si>
    <t>Paille en Queue Chalet (Le)</t>
  </si>
  <si>
    <t>15 lotissement ti coin charmant - 97480 Saint-Joseph</t>
  </si>
  <si>
    <t>moumoune97480@hotmail.com</t>
  </si>
  <si>
    <t>Monica HOAREAU</t>
  </si>
  <si>
    <t>CSC333HT@</t>
  </si>
  <si>
    <t>recUu7UCrEm9QqdId</t>
  </si>
  <si>
    <t>Paint Ball de Grand Coude</t>
  </si>
  <si>
    <t>Impasse des Nectarines - Grand-Coude 97480 Saint-Joseph</t>
  </si>
  <si>
    <t>paintballgrandcoude@gmail.com</t>
  </si>
  <si>
    <t>Jean-François RIVIERE</t>
  </si>
  <si>
    <t>-21.2819196,55.6371627</t>
  </si>
  <si>
    <t>rec2GKrBMZznC55dv</t>
  </si>
  <si>
    <t>Paint ball de Saint-Joseph</t>
  </si>
  <si>
    <t>8 rue Emile Hoareau - Les Jacques 97480 Saint-Joseph</t>
  </si>
  <si>
    <t>paintballclubsaintjo@yahoo.fr</t>
  </si>
  <si>
    <t>Patrick LEICHNIG</t>
  </si>
  <si>
    <t>-21.3839216,55.6163515</t>
  </si>
  <si>
    <t>8 Rue Emile Hoareau, Réunion</t>
  </si>
  <si>
    <t>reczwAXP6kVqcpsUm</t>
  </si>
  <si>
    <t>Palmier Bleu</t>
  </si>
  <si>
    <t>138 chemin Stéphane - 97430 Le Tampon</t>
  </si>
  <si>
    <t>palmierbleu974@gmail.com</t>
  </si>
  <si>
    <t>recR8jq4A80w31rvT</t>
  </si>
  <si>
    <t>Palmier de la Paix (Le)</t>
  </si>
  <si>
    <t>68 Chemin Eucher Pothin - 97430 Le Tampon</t>
  </si>
  <si>
    <t>lepalmierdelapaix@orange.fr</t>
  </si>
  <si>
    <t>N3 et chemin eucheur 81 chemin general bonnet</t>
  </si>
  <si>
    <t>Joëlle LEFEVRE</t>
  </si>
  <si>
    <t>-21.261642,55.5277308</t>
  </si>
  <si>
    <t>CSC265HT@</t>
  </si>
  <si>
    <t>68 Rue Eucher Pothin, Réunion</t>
  </si>
  <si>
    <t>recTBMgPtpK8Hawt3</t>
  </si>
  <si>
    <t>Palmiers Verts (Les)</t>
  </si>
  <si>
    <t>48 rue Fidélio Robert - 97430 Le Tampon</t>
  </si>
  <si>
    <t>teddy.hoareau@yahoo.fr</t>
  </si>
  <si>
    <t xml:space="preserve">Toutes les chambres sont équipées de la climatisation, d'une télévision 
par câble à écran plat, d'un micro-ondes, d'une bouilloire, d'une 
douche, d'un sèche-cheveux et d'un bureau. Toutes les chambres disposent
 d'une armoire et d'une salle de bains privative. </t>
  </si>
  <si>
    <t>Sandra HOAREAU</t>
  </si>
  <si>
    <t>-21.2661029,55.52951239999999</t>
  </si>
  <si>
    <t>CSC291HT@</t>
  </si>
  <si>
    <t>48 Chemin Fidelio Robert, Réunion</t>
  </si>
  <si>
    <t>recjNyNlDHdr2T8Rb</t>
  </si>
  <si>
    <t>Petit Monde de Denise (Le)</t>
  </si>
  <si>
    <t>20 impasse des Pipangayes - Manapany-Les-Bains 97480 Saint-Joseph</t>
  </si>
  <si>
    <t>lepetitmondenise@sfr.fr</t>
  </si>
  <si>
    <t>Sophie METRO</t>
  </si>
  <si>
    <t>63 rue Joseph Lacarre - 97429 PETITE ILE</t>
  </si>
  <si>
    <t>CSC370HT@</t>
  </si>
  <si>
    <t>recug3ky6IiyVFLCs</t>
  </si>
  <si>
    <t>Pipengaye (Le)</t>
  </si>
  <si>
    <t>9 Impasse des Pipengyes - Manapany-les-bains 97480 Saint-Joseph</t>
  </si>
  <si>
    <t>francine.wysocki@gmail.com</t>
  </si>
  <si>
    <t>Francine WYSOCKI</t>
  </si>
  <si>
    <t>16 rue René Cassin - 91100 CORBEILLE-ESSONNES</t>
  </si>
  <si>
    <t>CSC198HT@</t>
  </si>
  <si>
    <t>recQJbrvmavCgqhmk</t>
  </si>
  <si>
    <t>Pizza Lé O Don Camillo</t>
  </si>
  <si>
    <t>104 rue Marcel Pagnol - Vincendo 97480 Saint-Joseph</t>
  </si>
  <si>
    <t>BOYER Rodolphe</t>
  </si>
  <si>
    <t>-21.3754152,55.6655816</t>
  </si>
  <si>
    <t>104 Rue Marcel Pagnol, 97480, Réunion</t>
  </si>
  <si>
    <t>Place du Soleil</t>
  </si>
  <si>
    <t>38 rue Robert Surcouf - Trois Mares 97430 Le Tampon</t>
  </si>
  <si>
    <t>astuvulesoleilcematin@hotmail.fr</t>
  </si>
  <si>
    <t>Geneviève CAUCHEMEZ</t>
  </si>
  <si>
    <t>-21.2606978,55.5086416</t>
  </si>
  <si>
    <t>CSC236HT@</t>
  </si>
  <si>
    <t>38 Rue Surcouf, Réunion</t>
  </si>
  <si>
    <t>recUOCYFvmBoqRPQ9</t>
  </si>
  <si>
    <t>Placide (Le)</t>
  </si>
  <si>
    <t>15 chemin Souprayen - 97418 La Plaine des Cafres</t>
  </si>
  <si>
    <t>payetmartin@orange.fr</t>
  </si>
  <si>
    <t>Martin PAYET</t>
  </si>
  <si>
    <t>14 rue Lislet Goeffroy - 97421 La Rivière Saint Louis</t>
  </si>
  <si>
    <t>-21.2193814,55.5626282</t>
  </si>
  <si>
    <t>CSC256HT@</t>
  </si>
  <si>
    <t>15 Chemin Souprayen, La Plaine des Cafres, Réunion</t>
  </si>
  <si>
    <t>rec4Rr6dOv5mCjCbU</t>
  </si>
  <si>
    <t>Plaine Escapade (La)</t>
  </si>
  <si>
    <t>20 chemin Souprayen - 97418 La Plaine des Cafres</t>
  </si>
  <si>
    <t>lescailles974@orange.fr</t>
  </si>
  <si>
    <t>AJAGAMEL Emmanuel</t>
  </si>
  <si>
    <t>104 avenue du Président Mitterrand - 97410 Saint-Pierre</t>
  </si>
  <si>
    <t>-21.2199476,55.5621619</t>
  </si>
  <si>
    <t>CSC341HT@</t>
  </si>
  <si>
    <t>20 Chemin Souprayen, La Plaine des Cafres, Réunion</t>
  </si>
  <si>
    <t>rec511W0G0mIjBvO0</t>
  </si>
  <si>
    <t>Platanes (Les)</t>
  </si>
  <si>
    <t>154 Bis Route de Grand-Coude - Grand Coude 97480 Saint-Joseph</t>
  </si>
  <si>
    <t xml:space="preserve">Sentier de roche plate,cap blanc et langevin à proximité. </t>
  </si>
  <si>
    <t>Sur la route de grand coude</t>
  </si>
  <si>
    <t>Bernard MAHE</t>
  </si>
  <si>
    <t>2 rue de l'hôpital - 97480 Saint-Joseph</t>
  </si>
  <si>
    <t>-21.31319,55.6328269</t>
  </si>
  <si>
    <t>CSC200HT@</t>
  </si>
  <si>
    <t>154 Route de Grand Coude, 97480, Réunion</t>
  </si>
  <si>
    <t>recVMxK2n2g0JqxYW</t>
  </si>
  <si>
    <t>Point de vue gourmand (Le)</t>
  </si>
  <si>
    <t>84 D rue du Paille en Queue - Bérive 97430 Le Tampon</t>
  </si>
  <si>
    <t>jacuzzi,petit déjeuner créole ou classique,jardin arboré,piscine</t>
  </si>
  <si>
    <t>randonnées,parc notre dame de la paix,route du volcan</t>
  </si>
  <si>
    <t>georges.leveneur@gmail.com</t>
  </si>
  <si>
    <t>Chambre d'hôtes typique et atypique, avec une belle vue, un beau cadre, les repas sont faits avec les produits de la ferme (petit déjeuner compris, déjeuner et dîner en supplément)</t>
  </si>
  <si>
    <t>LEVENEUR Georges</t>
  </si>
  <si>
    <t>84 rue du Paille en Queue - Bérive 97430 Le Tampon</t>
  </si>
  <si>
    <t>Leveneur Georges : georges.leveneur@gmail.com / 0692855105</t>
  </si>
  <si>
    <t>-21.3045887,55.53412059999999</t>
  </si>
  <si>
    <t>CSC392HT@</t>
  </si>
  <si>
    <t>84 Rue du Paille en Queue, Réunion</t>
  </si>
  <si>
    <t>recZoxsLi2oB0OMo1</t>
  </si>
  <si>
    <t>terrasse,produits de la ferme,repas traditionnels</t>
  </si>
  <si>
    <t>Table d'hôtes proposant des repas faits avec les produits de la ferme, une belle terasse et une belle vue. Repas sur réservation 48h à l'avance pour le public extérieur</t>
  </si>
  <si>
    <t>recwbezvcFOSWlji4</t>
  </si>
  <si>
    <t>Poneys de Grand Coude (Les)</t>
  </si>
  <si>
    <t>eric.perot974@gmail.com</t>
  </si>
  <si>
    <t>Balade à poney ou cheval</t>
  </si>
  <si>
    <t>Eric PEROT</t>
  </si>
  <si>
    <t>recaYKZd71rGpIVVl</t>
  </si>
  <si>
    <t>Pti Kaz Exotique</t>
  </si>
  <si>
    <t>88 chemin Hermitage - 97430 Le Tampon</t>
  </si>
  <si>
    <t>pierrotignacegrondin@gmail.com</t>
  </si>
  <si>
    <t xml:space="preserve">Situé au Tampon, quartier Trois Mares, tite villa, avec un ti jardin, Wifi, toute équipée et avec internet </t>
  </si>
  <si>
    <t>Pierrot GRONDIN</t>
  </si>
  <si>
    <t>88 chemin Hermitage</t>
  </si>
  <si>
    <t>-21.2601295,55.5158117</t>
  </si>
  <si>
    <t>CSC308HT@</t>
  </si>
  <si>
    <t>88 Chemin Hermitage, Réunion</t>
  </si>
  <si>
    <t>recc51eBxmblaYyBJ</t>
  </si>
  <si>
    <t>Randos et Plongées</t>
  </si>
  <si>
    <t>http://www.gadiamb.re</t>
  </si>
  <si>
    <t>Accompagnateur en moyenne montagne et plongée</t>
  </si>
  <si>
    <t>Didier DALLEAU</t>
  </si>
  <si>
    <t>recN0yEGh5spNBVpa</t>
  </si>
  <si>
    <t>Regal des Hauts</t>
  </si>
  <si>
    <t>3 rue Jean Lauret - La Mare 97414 Entre-Deux</t>
  </si>
  <si>
    <t>-21.2475435,55.4726247</t>
  </si>
  <si>
    <t>3 Rue Jean Lauret, Réunion</t>
  </si>
  <si>
    <t>recpQwmcO83qNQAtR</t>
  </si>
  <si>
    <t>Réunion Boutik</t>
  </si>
  <si>
    <t>10 rue de la balance - 97480 Saint-Joseph</t>
  </si>
  <si>
    <t>Jean-François BEAUVAL</t>
  </si>
  <si>
    <t>-21.3804012,55.6098633</t>
  </si>
  <si>
    <t>2 Rue De La Balance, 97480, Réunion</t>
  </si>
  <si>
    <t>recpy7o2HPIDgzItk</t>
  </si>
  <si>
    <t>Réunion VTC</t>
  </si>
  <si>
    <t>16 chemin l'Hermitage - 97430 Le Tampon</t>
  </si>
  <si>
    <t>VTC</t>
  </si>
  <si>
    <t>Espèces,Virement,Carte Bancaire,Chèque</t>
  </si>
  <si>
    <t>contact@reunion-vtc.re</t>
  </si>
  <si>
    <t>GALLY Laurent</t>
  </si>
  <si>
    <t>16 chemin de l'ermitage 97430</t>
  </si>
  <si>
    <t>GALLY Laurent : 06 92 915 111, gallylaurent@gmail.com</t>
  </si>
  <si>
    <t>16 Chemin Hermitage, Réunion</t>
  </si>
  <si>
    <t>recaxc7Ea190mLHD4</t>
  </si>
  <si>
    <t>Ricaric</t>
  </si>
  <si>
    <t>http://www.canyonreunion.com</t>
  </si>
  <si>
    <t>ricaric@canyonreunion.com</t>
  </si>
  <si>
    <t>Agnès LAVAUD</t>
  </si>
  <si>
    <t>recJLeOBxeJYZCIaT</t>
  </si>
  <si>
    <t>Rotissoire (La)</t>
  </si>
  <si>
    <t>82 Rue du père Castagnan - Les Lianes 97480 Saint-Joseph</t>
  </si>
  <si>
    <t>clara.larotissoire@outlook.fr</t>
  </si>
  <si>
    <t>Clara SOUTON</t>
  </si>
  <si>
    <t>-21.3369155,55.6036451</t>
  </si>
  <si>
    <t>82 Rue du Pere Castagnan, Réunion</t>
  </si>
  <si>
    <t>recm1N1ZbnALAYkhe</t>
  </si>
  <si>
    <t>Roulotte Géante (La)</t>
  </si>
  <si>
    <t>29 chemin Rosemond - 97418 La Plaine des Cafres</t>
  </si>
  <si>
    <t>sentier de randonnée,route pour aller au volcan,forêt tamarhauts</t>
  </si>
  <si>
    <t>gwendoline.nativel@orange.fr</t>
  </si>
  <si>
    <t xml:space="preserve">Tiny house pour 6 personnes, maisons sur roues, dans une prairie, dans la fraîcheur de la Petite ferme, toute équipée, chauffage  </t>
  </si>
  <si>
    <t>Yannick VITRY</t>
  </si>
  <si>
    <t>-21.2323308,55.5717942</t>
  </si>
  <si>
    <t>CSC274HT@</t>
  </si>
  <si>
    <t>29 Chemin Rosemond, La Plaine des Cafres, Réunion</t>
  </si>
  <si>
    <t>recWwDQC56FAfLRPU</t>
  </si>
  <si>
    <t>Rue des Sourires</t>
  </si>
  <si>
    <t>CSC238HT@</t>
  </si>
  <si>
    <t>rec1NTxZJHcw5moy9</t>
  </si>
  <si>
    <t>Saint-Hilaire (Le)</t>
  </si>
  <si>
    <t>12 rue Maurice Berrichon - 97414 Entre-Deux</t>
  </si>
  <si>
    <t>f.goderon@gmail.com</t>
  </si>
  <si>
    <t>Vendredi :  -,Samedi :  -,Dimanche :  -</t>
  </si>
  <si>
    <t>GODERON Frédéric</t>
  </si>
  <si>
    <t>-21.2503736,55.4778822</t>
  </si>
  <si>
    <t>12 Rue Maurice Berrichon, 97414, Réunion</t>
  </si>
  <si>
    <t>recgFvjlmHvoLc9gU</t>
  </si>
  <si>
    <t>Saladin</t>
  </si>
  <si>
    <t>2 rue de la Marine - Vincendo 97480 Saint-Joseph</t>
  </si>
  <si>
    <t>-21.3757959,55.6672287</t>
  </si>
  <si>
    <t>4 Rue De La Marine, 97480, Réunion</t>
  </si>
  <si>
    <t>recyTBHSRCd2DZhEb</t>
  </si>
  <si>
    <t>Saveur du Petit Alambic</t>
  </si>
  <si>
    <t>245 chemin Grand Tampon - Grand Tampon 97430 Le Tampon</t>
  </si>
  <si>
    <t>maletfag@gmail.com</t>
  </si>
  <si>
    <t>Saveur du petit alambic - M. et Mme Fontaine</t>
  </si>
  <si>
    <t>M. et Mme Fontaine : maletfag@gmail.com / 0692029291</t>
  </si>
  <si>
    <t>-21.2772221,55.5690793</t>
  </si>
  <si>
    <t>245 Chemin du Grand Tampon, Réunion</t>
  </si>
  <si>
    <t>recV8iFzPN3kxVIgG</t>
  </si>
  <si>
    <t>Sens ciel (Les)</t>
  </si>
  <si>
    <t>40 rue Raphaël Douyère - 97418 La Plaine des Cafres</t>
  </si>
  <si>
    <t>belvédère de Bois Court</t>
  </si>
  <si>
    <t>lessenscielbygm@gmail.com</t>
  </si>
  <si>
    <t>Restaurant dans une vieille bâtisse de 120 ans avec poutres apparentes, parquet en bois de tamarin, deux cheminées, de plusieurs petits box assez privatifs, de 2 ou 4 ou 6 box, ambiance sur mesure. Cuisine de produits frais locaux, lontan, métissée franco-créole - alsacienne</t>
  </si>
  <si>
    <t>PAYET Gabriel</t>
  </si>
  <si>
    <t>-21.2168547,55.5523713</t>
  </si>
  <si>
    <t>rec3mYOqM2ldm5hdI</t>
  </si>
  <si>
    <t>40, rue Raphaël Douaire, 97418, Tampon, Réunion</t>
  </si>
  <si>
    <t>Village des Hauts</t>
  </si>
  <si>
    <t>Plaine des Cfres, 23è</t>
  </si>
  <si>
    <t>Cuisine de produits frais locaux</t>
  </si>
  <si>
    <t>Point de vue du Belvédère de Bois court</t>
  </si>
  <si>
    <t xml:space="preserve">Restaurant dans une vieille bâtisse de 120 ans avec poutres apparentes, parquet en bois de tamarin, deux cheminées, de plusieurs petits box assez privatifs, de 2 ou 4 ou 6 box, ambiance sur mesure </t>
  </si>
  <si>
    <t>40 rue Raphaël Douaire 97418 PDC</t>
  </si>
  <si>
    <t>1630.00</t>
  </si>
  <si>
    <t>recONWdQ6yv572GlY</t>
  </si>
  <si>
    <t>Shangri La</t>
  </si>
  <si>
    <t>69 Rue Eugène Michel - Les Jacques 97480 Saint-Joseph</t>
  </si>
  <si>
    <t>shangrila.974@outlook.fr</t>
  </si>
  <si>
    <t>Sigrid FENOUIL</t>
  </si>
  <si>
    <t>69 Rue Eugène Michel - 97480 Saint-Joseph</t>
  </si>
  <si>
    <t>-21.3750949,55.6320458</t>
  </si>
  <si>
    <t>CSC202HT@</t>
  </si>
  <si>
    <t>69 Rue Eugène Michel, Réunion</t>
  </si>
  <si>
    <t>reckN2z3ZiXgNosdi</t>
  </si>
  <si>
    <t>Snack Bar du Bassin Dinant</t>
  </si>
  <si>
    <t>176 rue de la Passerelle - Langevin 97480 Saint-Joseph</t>
  </si>
  <si>
    <t>-21.368477,55.6486974</t>
  </si>
  <si>
    <t>176 Rue De La Passerelle, Réunion</t>
  </si>
  <si>
    <t>recBHofXS36EJHBsE</t>
  </si>
  <si>
    <t>Studio Caloupilé</t>
  </si>
  <si>
    <t>9 rue du Général Bonnier - 97430 Le Tampon</t>
  </si>
  <si>
    <t>Studio</t>
  </si>
  <si>
    <t>Alice GEVEZ</t>
  </si>
  <si>
    <t>Gevez Alice : caloupile@outlook.com / 0693116657 / Propriétaire</t>
  </si>
  <si>
    <t>-21.2624619,55.5249225</t>
  </si>
  <si>
    <t>/studio/nuit</t>
  </si>
  <si>
    <t>CSC269HT@</t>
  </si>
  <si>
    <t>recXYOu8iyDxwxsYj</t>
  </si>
  <si>
    <t>Studio Vacoa</t>
  </si>
  <si>
    <t>8 impasse des Eglantines - 97480 Saint-Joseph</t>
  </si>
  <si>
    <t>lesterrassesdemanapany@gmail.com</t>
  </si>
  <si>
    <t>BEAUQUIS &amp; PANGLOSSE Jérôme &amp; Morgane</t>
  </si>
  <si>
    <t>90 rue des Fleurs - Résidence l'Ancolie - 74140 Veigy-Foncenex</t>
  </si>
  <si>
    <t>-21.374889,55.5914346</t>
  </si>
  <si>
    <t>CSC383HT@</t>
  </si>
  <si>
    <t>8 Impasse des Eglantines, Manapany-Les-Bains, Réunion</t>
  </si>
  <si>
    <t>recxSs18zMtj87wLe</t>
  </si>
  <si>
    <t>Studio Volcan</t>
  </si>
  <si>
    <t>1 rue du Général de Gaulle - Le Baril 97442 Saint-Philippe</t>
  </si>
  <si>
    <t>jardin,parking,climatisation,accès internet</t>
  </si>
  <si>
    <t>tomhar92@gmail.com</t>
  </si>
  <si>
    <t>HARDY Thomas</t>
  </si>
  <si>
    <t>-21.369386,55.727816</t>
  </si>
  <si>
    <t>CSC339HT@</t>
  </si>
  <si>
    <t>recjRyPmd9ypRv496</t>
  </si>
  <si>
    <t>Taapuna</t>
  </si>
  <si>
    <t>12 chemin des Muguets - 97480 Saint-Joseph</t>
  </si>
  <si>
    <t>cerokobillet@orange.fr</t>
  </si>
  <si>
    <t>Roland Marcel BILLET</t>
  </si>
  <si>
    <t>-21.379695,55.6606743</t>
  </si>
  <si>
    <t>CSC355HT@</t>
  </si>
  <si>
    <t>12 Chemin des Muguets, Réunion</t>
  </si>
  <si>
    <t>recOcuxtjmr1W3lPa</t>
  </si>
  <si>
    <t>Table d'hôtes Les Hortensias</t>
  </si>
  <si>
    <t>44 chemin de la Grande Ferme
97418 La Plaine des Cafres</t>
  </si>
  <si>
    <t>repas originaux et traditionnels,sur réservation</t>
  </si>
  <si>
    <t>Avec la pétillante Maryse à la baguette, possibilité de retrouver les traditions culinaires ainsi qu'un lieu propice au "Lâcher-prise". Maryse, l'hôtesse et maîtresse de maison guidera chacun dans son établissement pour que chaque passage ne laisse personne indifférent.</t>
  </si>
  <si>
    <t>-21.2211054,55.5895668</t>
  </si>
  <si>
    <t>recgxZ5CI3DpWzURM</t>
  </si>
  <si>
    <t>Teddy Avril</t>
  </si>
  <si>
    <t>63 chemin Auguste Boyer - La Plaine des Grègues 97480 Saint-Joseph</t>
  </si>
  <si>
    <t>teddy.avril@live.fr</t>
  </si>
  <si>
    <t>Accompagnateur en moyenne montagne et spéléologie</t>
  </si>
  <si>
    <t>Teddy AVRIL</t>
  </si>
  <si>
    <t>rec1vzvp8gGOEdeoS</t>
  </si>
  <si>
    <t>Ti bertel</t>
  </si>
  <si>
    <t>13 A RN2 - Le Tremblet 97442 Saint-Philippe</t>
  </si>
  <si>
    <t>Le Tremblet / Plaines et volcan</t>
  </si>
  <si>
    <t>francoborga@hotmail.com</t>
  </si>
  <si>
    <t>BORGA Franco</t>
  </si>
  <si>
    <t>9 chemin des Jacques - La Rivière 97421 Saint-Louis</t>
  </si>
  <si>
    <t>Franco BORGA : francoborga@hotmail.com / 0692181277</t>
  </si>
  <si>
    <t>-21.3295705,55.8011924</t>
  </si>
  <si>
    <t>CSC168HR@</t>
  </si>
  <si>
    <t>RN2 &amp; Route Nationale 2 le Tremblet, Réunion</t>
  </si>
  <si>
    <t>recOHVqWlqR7VchDk</t>
  </si>
  <si>
    <t>Ti Case Chan</t>
  </si>
  <si>
    <t>28 chemin Souprayen - 97418 La Plaine des Cafres</t>
  </si>
  <si>
    <t>chanmike974@gmail.com</t>
  </si>
  <si>
    <t>CHAN SHAN KWONG Mickaël</t>
  </si>
  <si>
    <t>6 bis chemin Joseph Baronce - 97425 Les Avirons</t>
  </si>
  <si>
    <t>Mickaël Chan Shan Kwong : chanmike974@gmail.com / 06 92 64 86 36</t>
  </si>
  <si>
    <t>-21.2194112,55.56306009999999</t>
  </si>
  <si>
    <t>CSC347HT@</t>
  </si>
  <si>
    <t>28 Chemin Souprayen, La Plaine des Cafres, Réunion</t>
  </si>
  <si>
    <t>rec2SnUyGZpnGj7AB</t>
  </si>
  <si>
    <t>TI CASE METYSS</t>
  </si>
  <si>
    <t>11 Impasse Kerinval</t>
  </si>
  <si>
    <t>Pont d’aves</t>
  </si>
  <si>
    <t>ticasemetyss@gmail.com</t>
  </si>
  <si>
    <t>LORION Gilbert</t>
  </si>
  <si>
    <t>-21.2378216,55.5062235</t>
  </si>
  <si>
    <t>11 Impasse Kerinval, Réunion</t>
  </si>
  <si>
    <t>rec5zm5542tkMuYVJ</t>
  </si>
  <si>
    <t>Ti Kaz Kascad</t>
  </si>
  <si>
    <t>Dan Tan Lontan</t>
  </si>
  <si>
    <t>19 C, allée des Palmiers - 97442 Saint-Philippe</t>
  </si>
  <si>
    <t>Orange Laurent</t>
  </si>
  <si>
    <t>19, allée des Palmiers - 97442 Saint-Philippe</t>
  </si>
  <si>
    <t>Laurent ORANGE : contact@dantanlontan.com / 0692651429</t>
  </si>
  <si>
    <t>-21.3618912,55.7659367</t>
  </si>
  <si>
    <t>recyKZtzYYBBrdqJo</t>
  </si>
  <si>
    <t>Ti Kaz Payet</t>
  </si>
  <si>
    <t>320 rue Emile Zola - Pont d'Yves 97430 Le Tampon</t>
  </si>
  <si>
    <t>nmariefr@zeop.re</t>
  </si>
  <si>
    <t>Nicole PAYET</t>
  </si>
  <si>
    <t>-21.2361056,55.5042194</t>
  </si>
  <si>
    <t>CSC241HT@</t>
  </si>
  <si>
    <t>320 Chemin Emile Zola, Réunion</t>
  </si>
  <si>
    <t>reccG1avgyGzG4Q3f</t>
  </si>
  <si>
    <t>Ti Kaz Perchée</t>
  </si>
  <si>
    <t>70  chemin Grand-Fond Extérieur - Grand Fond 97414 Entre-Deux</t>
  </si>
  <si>
    <t>tikaz.perchee@gmail.com</t>
  </si>
  <si>
    <t>Jacques Dany PAYET</t>
  </si>
  <si>
    <t>Jacques Dany PAYET : tikaz.perchee@gmail.com / 06 92 34 77 98</t>
  </si>
  <si>
    <t>-21.2346082,55.4642105</t>
  </si>
  <si>
    <t>CSC175HR@</t>
  </si>
  <si>
    <t>70 Rue Grand Fond Extérieur, Réunion</t>
  </si>
  <si>
    <t>recmsSJaBNWrrgQJS</t>
  </si>
  <si>
    <t>Ti Kaz Tranquil</t>
  </si>
  <si>
    <t>1 B impasse Trois Cases - 97442 Saint-Philippe</t>
  </si>
  <si>
    <t>accès internet,parking</t>
  </si>
  <si>
    <t>mussard.jimmy@orange.fr</t>
  </si>
  <si>
    <t>MUSSARD Jimmy Laurent</t>
  </si>
  <si>
    <t>1 A impasse Trois Cases 97442 SAINT-PHILIPPE</t>
  </si>
  <si>
    <t>Jimmy Laurent Mussard : mussard.jimmy@orange.fr / 0692251689</t>
  </si>
  <si>
    <t>-21.358118,55.764656</t>
  </si>
  <si>
    <t>CSC285HT@</t>
  </si>
  <si>
    <t>rece1XBgoGwbCwzpe</t>
  </si>
  <si>
    <t>Ti Kaz' Gingembre</t>
  </si>
  <si>
    <t>212 bis rue Marcel Pagnol - Vincendo 97480 Saint-Joseph</t>
  </si>
  <si>
    <t>piscine,jardin,cuisine extérieure,parking sécurisé,accès internet,barbecue,salon climatisé</t>
  </si>
  <si>
    <t>sentiers de randonnée,commerces,restaurants,sites touristiques</t>
  </si>
  <si>
    <t>celinehuet974@gmail.com</t>
  </si>
  <si>
    <t>Villa avec petite vue mer, idéal pour le repos, tout équipé avec piscine en pierres naturelles et à proximité des sites touristiques</t>
  </si>
  <si>
    <t>HUET Jean Didier</t>
  </si>
  <si>
    <t>212 rue Marcel Pagnol - Vincendo 97480 Saint-Joseph</t>
  </si>
  <si>
    <t>-21.3707101,55.6782496</t>
  </si>
  <si>
    <t>212 Rue Marcel Pagnol, 97480, Réunion</t>
  </si>
  <si>
    <t>recQdZeT0zm9ohXqY</t>
  </si>
  <si>
    <t>Ti Loryo (Le)</t>
  </si>
  <si>
    <t>249 rue Jean Lauret - Ravine des Citrons 97414 Entre-Deux</t>
  </si>
  <si>
    <t>http://www.mumucedric.wixsite.com/letiloryo</t>
  </si>
  <si>
    <t>Ravine des citrons</t>
  </si>
  <si>
    <t>mumucedric@gmail.com</t>
  </si>
  <si>
    <t>Murielle SUMAC</t>
  </si>
  <si>
    <t>442 bis avenue general de gaulle - 97410 Saint-Pierre</t>
  </si>
  <si>
    <t>Murielle SUMAC : mumucedric@gmail.com / 06 92 03 80 55</t>
  </si>
  <si>
    <t>-21.242791,55.4805163</t>
  </si>
  <si>
    <t>CSC177HR@</t>
  </si>
  <si>
    <t>recuLSFLTDZfmA6WQ</t>
  </si>
  <si>
    <t>Ti Roland Josie</t>
  </si>
  <si>
    <t>10 impasse des lys - 97418 La Plaine des Cafres</t>
  </si>
  <si>
    <t>Scholastie RIVIERE</t>
  </si>
  <si>
    <t>Scholastie Rivière : 06 92 24 31 73</t>
  </si>
  <si>
    <t>-21.1955059,55.53680019999999</t>
  </si>
  <si>
    <t>CSC305HT@</t>
  </si>
  <si>
    <t>recww4Jp7KJgtqTfD</t>
  </si>
  <si>
    <t>Ti'son Dort (Le)</t>
  </si>
  <si>
    <t>cuisine équipée,varangue,parking,cour clôturée avec portail électrique</t>
  </si>
  <si>
    <t>letisondort@outlook.fr</t>
  </si>
  <si>
    <t>Clara SOUTON : letisondort@outlook.fr / 06 92 60 82 61</t>
  </si>
  <si>
    <t>CSC251HT@</t>
  </si>
  <si>
    <t>recETALMcDqXAHcLN</t>
  </si>
  <si>
    <t>Tina Pizza</t>
  </si>
  <si>
    <t>12 rue chemin Macaire, 97414, ENTRE-DEUX, Réunion</t>
  </si>
  <si>
    <t>recmdf4qFuVVyaFav</t>
  </si>
  <si>
    <t>Tit Caze Gilbert François</t>
  </si>
  <si>
    <t>Dimitile -97414 Entre-Deux</t>
  </si>
  <si>
    <t>francoisfontaine50@gmail.com</t>
  </si>
  <si>
    <t>Maison en pleine nature, avec vue à proximité des sentiers, accessible en 4x4 ou à pied. Accessible aux personnes à mobilité réduite</t>
  </si>
  <si>
    <t>FONTAINE Jean François</t>
  </si>
  <si>
    <t>75 grand fond extérieur - 97414 Entre-Deux</t>
  </si>
  <si>
    <t>Jean François FONTAINE : francoisfontaine50@gmail.com / 06 92 93 46 05</t>
  </si>
  <si>
    <t>CSC389HT@</t>
  </si>
  <si>
    <t>recVdXu0rsUHbC1PP</t>
  </si>
  <si>
    <t>Vanillers (Les)</t>
  </si>
  <si>
    <t>10 chemin Potier - Carosse 97480 Saint-Joseph</t>
  </si>
  <si>
    <t>http://www.lodgeslesvanilliers.com/</t>
  </si>
  <si>
    <t>Carosse</t>
  </si>
  <si>
    <t>lesvanillierslareunion@outlook.fr</t>
  </si>
  <si>
    <t>Les Vanillers - Alain DUFLOT</t>
  </si>
  <si>
    <t>10 chemin Potier - 97480 Saint-Joseph</t>
  </si>
  <si>
    <t>Duflot Alain : lesvanillierslareunion@outlook.fr / 06 92 03 37 27</t>
  </si>
  <si>
    <t>-21.360066,55.5974701</t>
  </si>
  <si>
    <t>CSC249HT@</t>
  </si>
  <si>
    <t>D32, Saint-Joseph, Réunion</t>
  </si>
  <si>
    <t>recxkoYM7UADfrlL7</t>
  </si>
  <si>
    <t>Varangue (La)</t>
  </si>
  <si>
    <t>recQLIS5lMhCC9Bjz</t>
  </si>
  <si>
    <t>4 C rue Hubert Delisle – La Mare 97414 Entre-Deux</t>
  </si>
  <si>
    <t>Art &amp; Artisanat,Restaurant,Souvenirs,salle d'exposition</t>
  </si>
  <si>
    <t>accès internet,restauration,billard,ateliers</t>
  </si>
  <si>
    <t>contact@vavangart.re</t>
  </si>
  <si>
    <t>Espace composé de plusieurs types d'activités artisanales et éco-responsables : restaurant, boutique, atelier, location de vélos</t>
  </si>
  <si>
    <t>recmHFDtOGlM7xJb9</t>
  </si>
  <si>
    <t>Victoria Club</t>
  </si>
  <si>
    <t>20 rue Roland Garros - 97480 Saint-Joseph</t>
  </si>
  <si>
    <t>Julien AUFFRAY</t>
  </si>
  <si>
    <t>-21.3780539,55.6119002</t>
  </si>
  <si>
    <t>37 Rue Roland Garros, 97480, Réunion</t>
  </si>
  <si>
    <t>receqioURlTK84c3d</t>
  </si>
  <si>
    <t>Villa Amaryllis</t>
  </si>
  <si>
    <t>12 impasse Pierre Boulle - Trois Mares 97430 Le Tampon</t>
  </si>
  <si>
    <t>villaamaryllis@yahoo.fr</t>
  </si>
  <si>
    <t>Mirette BEGUE</t>
  </si>
  <si>
    <t>Mirette Begue : villaamaryllis@yahoo.fr / 06 92 44 91 21</t>
  </si>
  <si>
    <t>-21.2584819,55.5161336</t>
  </si>
  <si>
    <t>CSC243HT@</t>
  </si>
  <si>
    <t>12 Impasse Pierre Boulle, 97430, Réunion</t>
  </si>
  <si>
    <t>reckmlLnR4cfQuZ6c</t>
  </si>
  <si>
    <t>Villa Anroca</t>
  </si>
  <si>
    <t>135 route de Grand Coude - 97480 Saint-Joseph</t>
  </si>
  <si>
    <t>jardin,parking,cuisine équipée,veranda couverte</t>
  </si>
  <si>
    <t>Virement,Carte Bancaire,Espèces</t>
  </si>
  <si>
    <t>scianroca@gmail.com</t>
  </si>
  <si>
    <t>Marie Paule AMILY</t>
  </si>
  <si>
    <t>133 route de Grand Coude - 97480 Saint-Joseph</t>
  </si>
  <si>
    <t>Marie Paule Amily : scianroca@gmail.com / 06 92 60 14 89</t>
  </si>
  <si>
    <t>-21.3600564,55.6306649</t>
  </si>
  <si>
    <t>CSC369HT@</t>
  </si>
  <si>
    <t>135 Route de Grand Coude, 97480, Réunion</t>
  </si>
  <si>
    <t>reckuACjQsa3D9a36</t>
  </si>
  <si>
    <t>Villa Aubépine</t>
  </si>
  <si>
    <t>11 rue du Père Favron - 97418 La Plaine des Cafres</t>
  </si>
  <si>
    <t>stephanie.randria@hotmail.fr</t>
  </si>
  <si>
    <t>Nicole HOAREAU</t>
  </si>
  <si>
    <t>19 impasse des grenadelles - 97411 Saint-Paul</t>
  </si>
  <si>
    <t>Nicole Hoareau : stephanie.randria@hotmail.fr / 06 93 30 99 09</t>
  </si>
  <si>
    <t>-21.2254663,55.5588657</t>
  </si>
  <si>
    <t>CSC311HT@</t>
  </si>
  <si>
    <t>rectSsyrYK0HPQkcn</t>
  </si>
  <si>
    <t>VILLA BABET</t>
  </si>
  <si>
    <t>38, B chemin Notre Dame de la Paix</t>
  </si>
  <si>
    <t>gnpalmas@gmail.com</t>
  </si>
  <si>
    <t>Petite maison à notre dame de la paix, au calme</t>
  </si>
  <si>
    <t>PALMAS Guy Noël</t>
  </si>
  <si>
    <t>418 allée des bois noirs</t>
  </si>
  <si>
    <t>-21.2260457,55.5737223</t>
  </si>
  <si>
    <t>38 bis Chemin Notre-Dame-de-la-Paix, La Plaine des Cafres 97418, Réunion</t>
  </si>
  <si>
    <t>recV3FbnKoB841Pz0</t>
  </si>
  <si>
    <t>Villa Bambou</t>
  </si>
  <si>
    <t>15 rue Jean Bart - 97480 Saint-Joseph</t>
  </si>
  <si>
    <t>heliane.robert@gmail.com</t>
  </si>
  <si>
    <t>Villa dans un endroit calme, espaces détente, tout équipé, location à partir de 2 nuits</t>
  </si>
  <si>
    <t>ROBERT Marie Héliane</t>
  </si>
  <si>
    <t>233 rue Raphaël Babet - Appartement 2 - 97480 Saint-Joseph</t>
  </si>
  <si>
    <t>Marie Héliane ROBERT : heliane.robert@gmail.com / 06 92 85 77 96</t>
  </si>
  <si>
    <t>-21.3781919,55.6331011</t>
  </si>
  <si>
    <t>CSC388HT@</t>
  </si>
  <si>
    <t>15 Rue Jean Bart, 97480, Réunion</t>
  </si>
  <si>
    <t>reca0ng1xv5qFiYah</t>
  </si>
  <si>
    <t>Villa Bleu Océan</t>
  </si>
  <si>
    <t>172 B boulevard de l'océan - Manapany-Les-Bains 97480 Saint-Joseph</t>
  </si>
  <si>
    <t>meyersandra@live.fr</t>
  </si>
  <si>
    <t>Sandra MEYER</t>
  </si>
  <si>
    <t>1 Avenue du Général de Gaulle - RN 2 - Bassin 18 - 97410 Saint-Pierre</t>
  </si>
  <si>
    <t>Meyer Sandra : meyersandra@live.fr / 06 93 47 20 68</t>
  </si>
  <si>
    <t>-21.372011,55.5843493</t>
  </si>
  <si>
    <t>CSC337HT@</t>
  </si>
  <si>
    <t>172 Blvrd de l'Ocean, Manapany-Les-Bains, Réunion</t>
  </si>
  <si>
    <t>recFY16xw2xSs4LaW</t>
  </si>
  <si>
    <t>Villa Dany (La)</t>
  </si>
  <si>
    <t>233 A chemin Farjeau - 97430 Le Tampon</t>
  </si>
  <si>
    <t>Milieu urbain</t>
  </si>
  <si>
    <t>piscine,parking,SPA</t>
  </si>
  <si>
    <t>marâicher,tabac presse,commerce alimentaire,coiffeur,pâtisserie,médecin,burger…</t>
  </si>
  <si>
    <t>Français,espagnol,anglais</t>
  </si>
  <si>
    <t>cindy.payet_974@hotmail.fr</t>
  </si>
  <si>
    <t>Maison de plain pied avec un petit jardin, toute équipée, meublée, WIFI, canal sat, équipée d’un SPA</t>
  </si>
  <si>
    <t>PAYET Cindy</t>
  </si>
  <si>
    <t>Cindy PAYET</t>
  </si>
  <si>
    <t>-21.2484413,55.5147781</t>
  </si>
  <si>
    <t>233 Chemin Farjeau, Réunion</t>
  </si>
  <si>
    <t>facebook</t>
  </si>
  <si>
    <t>recKnaL42f0tf4uxD</t>
  </si>
  <si>
    <t>Villa des Songes</t>
  </si>
  <si>
    <t>85 rue Alexandre Flemming - 97430 Le Tampon</t>
  </si>
  <si>
    <t>natmez@gmail.com</t>
  </si>
  <si>
    <t>MEZINO Marie Nathalie</t>
  </si>
  <si>
    <t>81 rue Alexandre Flemming - 97430 Le Tampon</t>
  </si>
  <si>
    <t>Marie Nathalie Mezino : natmez@gmail.com / 06 92 61 39 42</t>
  </si>
  <si>
    <t>-21.273617,55.5276766</t>
  </si>
  <si>
    <t>CSC342HT@</t>
  </si>
  <si>
    <t>35 Rue Alexandre Flemming, 97430, Réunion</t>
  </si>
  <si>
    <t>tripadvisor</t>
  </si>
  <si>
    <t>recx9BAzrE3Sh6ss4</t>
  </si>
  <si>
    <t>Villa Grand Coude</t>
  </si>
  <si>
    <t>52 chemin Théophile Gauthier - 97480 Saint-Joseph</t>
  </si>
  <si>
    <t>wifi gratuit,salon,salle à manger,salle de bain,cheminée,chauffage,barbecue,jardin,piscine chauffée,parking,cour clôturée</t>
  </si>
  <si>
    <t>français,créole,anglais,hindi</t>
  </si>
  <si>
    <t>helenelastouillat1@gmail.com</t>
  </si>
  <si>
    <t>Marie LASTOUILLAT</t>
  </si>
  <si>
    <t>Marie Lastouillat : helenelastouillat1@gmail.com / 06 92 92 46 48</t>
  </si>
  <si>
    <t>CSC351HT@</t>
  </si>
  <si>
    <t>52 Chemin Theophile Gauthier, Réunion</t>
  </si>
  <si>
    <t>recQj57Xv9jXL2umf</t>
  </si>
  <si>
    <t>Villa Léa (La)</t>
  </si>
  <si>
    <t>497 rue Raphaël Babet - 97480 Saint-Joseph</t>
  </si>
  <si>
    <t>cuisine extérieure,parking,piscine,tout équipé</t>
  </si>
  <si>
    <t>Villa tout équipée avec piscine accueillant de 16 à 20 personnes</t>
  </si>
  <si>
    <t>Marie Héliane ROBERT</t>
  </si>
  <si>
    <t>Marie Héliane ROBERT : heliane.robert@gmail.com / 06 92 85 77 96 / gérante / Anthony ROBERT / propriétaire</t>
  </si>
  <si>
    <t>-21.3797635,55.6337006</t>
  </si>
  <si>
    <t>35.00</t>
  </si>
  <si>
    <t>CSC328HT@</t>
  </si>
  <si>
    <t>497 Rue Raphaël Babet, Réunion</t>
  </si>
  <si>
    <t>recOeeOftaLwczc4N</t>
  </si>
  <si>
    <t>Villa Letchi</t>
  </si>
  <si>
    <t>9 impasse Montesquieu 97480 Saint-Joseph</t>
  </si>
  <si>
    <t>piscine chauffée,accès internet,barbecue,cuisine extérieur,cour clôturée,parking</t>
  </si>
  <si>
    <t>centre ville de Saint-Joseph</t>
  </si>
  <si>
    <t>Espèces,Chèque,Carte Bancaire</t>
  </si>
  <si>
    <t>arlando.padre@hotmail.fr</t>
  </si>
  <si>
    <t>Villa tout confort avec piscine chauffée à 5 min du centre ville. Pas de festivités, villa au fond d'une impasse, endroit calme.</t>
  </si>
  <si>
    <t>PADRE Jean Arlando</t>
  </si>
  <si>
    <t>1 chemin des capucines - PK17 97418 La Plaine des Cafres</t>
  </si>
  <si>
    <t>Padre Jean Arlando : arlando.padre@hotmail.fr / 0692607963 / Propriétaire</t>
  </si>
  <si>
    <t>-21.3834935,55.6142227</t>
  </si>
  <si>
    <t>CSC386HT@</t>
  </si>
  <si>
    <t>9 Impasse Montesquieu, Réunion</t>
  </si>
  <si>
    <t>recArc8PtMhw95w9W</t>
  </si>
  <si>
    <t>Villa Mandarine</t>
  </si>
  <si>
    <t>66, Grand Fond Extérieur - Grand Fond 97414 Entre-Deux</t>
  </si>
  <si>
    <t>contact@villasmandarine.re</t>
  </si>
  <si>
    <t>Olivier &amp; Lolita PRUGNIERES</t>
  </si>
  <si>
    <t>21 chemin Grégoire - Mont Vert 97410 Saint-Pierre</t>
  </si>
  <si>
    <t>Olivier et Lolita Prugnières : contact@villasmandarine.re / 06 92 76 52 44</t>
  </si>
  <si>
    <t>CSC173HR@</t>
  </si>
  <si>
    <t>66 Rue Grand Fond Extérieur, Réunion</t>
  </si>
  <si>
    <t>recFDv6ASx8x1hXN8</t>
  </si>
  <si>
    <t>Villa Moringa *</t>
  </si>
  <si>
    <t>CSC382HT@</t>
  </si>
  <si>
    <t>recA27RantHQ6xWRO</t>
  </si>
  <si>
    <t>Villa Nick &amp; Yv</t>
  </si>
  <si>
    <t>59 RN2 Basse Vallée - 97442 Saint-Philippe</t>
  </si>
  <si>
    <t>mussardroger-yves@orange.fr</t>
  </si>
  <si>
    <t>MUSSARD Nicole</t>
  </si>
  <si>
    <t>Nicole Mussard : mussardroger-yves@orange.fr / 0692161020</t>
  </si>
  <si>
    <t>-21.3055975,55.8015838</t>
  </si>
  <si>
    <t>CSC334HT@</t>
  </si>
  <si>
    <t>59 RN2, Réunion</t>
  </si>
  <si>
    <t>recXM9ANTkaFDuHhx</t>
  </si>
  <si>
    <t>Villa Paille en Queue</t>
  </si>
  <si>
    <t>Jean Petit les bas</t>
  </si>
  <si>
    <t>recbRr1ijxva6gcC2</t>
  </si>
  <si>
    <t>Villa piscine débordement et vue exceptionnelle</t>
  </si>
  <si>
    <t>recMOIuUm6lKV3zN1</t>
  </si>
  <si>
    <t>Villa Pitaya</t>
  </si>
  <si>
    <t>1 Allèe des moellons - La Mare 97414 Entre-Deux</t>
  </si>
  <si>
    <t>http://www.villa-pitaya-bed-and-breakfast.business.site/</t>
  </si>
  <si>
    <t>r.vian@numericable.com</t>
  </si>
  <si>
    <t>Raoul VIAN</t>
  </si>
  <si>
    <t>1 allée des moellons - La Mare 97414 Entre-Deux</t>
  </si>
  <si>
    <t>Vian Raoul : r.vian@numericable.com / 06 93 40 25 58</t>
  </si>
  <si>
    <t>-21.2516092,55.4741213</t>
  </si>
  <si>
    <t>CSC170HR@</t>
  </si>
  <si>
    <t>1 Allée des Moellons, 97414, Réunion</t>
  </si>
  <si>
    <t>rec5iakVAF0iIewJ4</t>
  </si>
  <si>
    <t>Villa Réunion</t>
  </si>
  <si>
    <t>4 Impasse des Coquillages - Les Jacques 97480 Saint-Joseph</t>
  </si>
  <si>
    <t>villareunion97480@gmail.com</t>
  </si>
  <si>
    <t>Jean-François LEBON</t>
  </si>
  <si>
    <t>9 Rue Maurice Chevalier - 97480 Saint-Joseph</t>
  </si>
  <si>
    <t>Jean-François Lebon : villareunion97480@gmail.com / 06 93 01 81 81</t>
  </si>
  <si>
    <t>-21.378338,55.6339283</t>
  </si>
  <si>
    <t>CSC252HT@</t>
  </si>
  <si>
    <t>Quartier les Jacques, 4 Impasse des Coquillages, 97480, Réunion</t>
  </si>
  <si>
    <t>rechoO1CcVQWDiNVb</t>
  </si>
  <si>
    <t>Villa Sassa</t>
  </si>
  <si>
    <t>15 rue Julius Hoarau - La Mare 97414 Entre-Deux</t>
  </si>
  <si>
    <t>ganeshchick@hotmail.fr</t>
  </si>
  <si>
    <t>Nathalie Carol BERTHELIER</t>
  </si>
  <si>
    <t>15 rue Julius Hoarau - 97414 Entre-Deux</t>
  </si>
  <si>
    <t>Nathalie Carol Berthelier : ganeshchick@hotmail.fr / 06 93 90 21 44</t>
  </si>
  <si>
    <t>-21.2515378,55.46843999999999</t>
  </si>
  <si>
    <t>CSC262HR@</t>
  </si>
  <si>
    <t>15 Julius Horrau, 97414, Réunion</t>
  </si>
  <si>
    <t>recxY4pUkZnofQw1g</t>
  </si>
  <si>
    <t>Village Pêche Nature</t>
  </si>
  <si>
    <t>208 route de la passerelle - Langevin 97480 Saint-Joseph</t>
  </si>
  <si>
    <t>http://www.federationpeche.fr/97/</t>
  </si>
  <si>
    <t>federation.peche.reunion@wanadoo.fr</t>
  </si>
  <si>
    <t>Police de la peche, sensibilisation des milieux aquatiques en rivière</t>
  </si>
  <si>
    <t>Armand METRO</t>
  </si>
  <si>
    <t>Armand Metro : federation.peche.reunion@wanadoo.fr / 02 62 91 32 48</t>
  </si>
  <si>
    <t>-21.3589637,55.6466151</t>
  </si>
  <si>
    <t>208 Rue De La Passerelle, Réunion</t>
  </si>
  <si>
    <t>recqBcYJ6lKQoE6Q1</t>
  </si>
  <si>
    <t>Z'ile 4*4</t>
  </si>
  <si>
    <t>Rivière des Remparts 97480 Saint-Joseph</t>
  </si>
  <si>
    <t>nicoescarpade@gmail.com</t>
  </si>
  <si>
    <t>Excursions à la journée en 4x4 dans la Rivière des Remparts, volcan, sud sauvage, pointe de la table, capacité maximale de 4 adultes et 2 enfants. 90€ par personne (sans le repas)</t>
  </si>
  <si>
    <t>Nicolas DELAUNAY</t>
  </si>
  <si>
    <t>Nicolas DELAUNAY : nicoescarpade@gmail.com / 06 92 08 53 83</t>
  </si>
  <si>
    <t>-21.3151735,55.6236305</t>
  </si>
  <si>
    <t>Rivière des Remparts, Réunion</t>
  </si>
  <si>
    <t>reclSzCtrk8HZmdo7</t>
  </si>
  <si>
    <t>Zamours des Lianes (Les)</t>
  </si>
  <si>
    <t>174 route Hubert Delisle - Les Lianes 97480 Saint-Joseph</t>
  </si>
  <si>
    <t>mariacadet@orange.fr</t>
  </si>
  <si>
    <t>Maison toute équipée pour deux personnes avec linge de maison fourni</t>
  </si>
  <si>
    <t>Maria CADET</t>
  </si>
  <si>
    <t>47 route du Bel Air - 97480 Saint-Joseph</t>
  </si>
  <si>
    <t>Maria Cadet : mariacadet@orange.fr / 06 92 58 48 20</t>
  </si>
  <si>
    <t>-21.3568108,55.6171413</t>
  </si>
  <si>
    <t>CSC322HT@</t>
  </si>
  <si>
    <t>Les lianes, 174 Route Hubert Delisle, 97480, Réunion</t>
  </si>
  <si>
    <t>ZAMPONE</t>
  </si>
  <si>
    <t>artisan en couveuse chez POSSIBLE</t>
  </si>
  <si>
    <t>233 chemin rose payet, 97430 le Tampon, Réunion</t>
  </si>
  <si>
    <t>Trois-Mares</t>
  </si>
  <si>
    <t>pothinfab@gmail.com</t>
  </si>
  <si>
    <t>Travail du zamponne , feuille de palmier royal</t>
  </si>
  <si>
    <t>POTHIN Fabien</t>
  </si>
  <si>
    <t>233 chemin rose payet 97 430 Le TAMPON</t>
  </si>
  <si>
    <t>recbAHayNmrYVipea</t>
  </si>
  <si>
    <t>Zen Location</t>
  </si>
  <si>
    <t>143 A chemin Neuf - Pont d'Yves 97430 Le Tampon</t>
  </si>
  <si>
    <t>alexina_ramalingom@outlook.fr</t>
  </si>
  <si>
    <t>RAMALINGOM Alexina</t>
  </si>
  <si>
    <t>143 chemin Neuf - Pont d'Yves 97430 Le Tampon</t>
  </si>
  <si>
    <t>-21.2414778,55.51103320000001</t>
  </si>
  <si>
    <t>CSC346HT@</t>
  </si>
  <si>
    <t>143 Chemin Neuf, Réunion</t>
  </si>
  <si>
    <t>IdSupa</t>
  </si>
  <si>
    <t>IdSheet</t>
  </si>
  <si>
    <t>02d33be5-8f28-480a-99fa-aa66fffa724e</t>
  </si>
  <si>
    <t>eb2505c0</t>
  </si>
  <si>
    <t>0d631cf1-5e21-4c1e-af27-203edec64a19</t>
  </si>
  <si>
    <t>53a138c4-2157-4953-acd9-e88ce187b615</t>
  </si>
  <si>
    <t>77446f2a-54fb-41ed-919e-4e688f7a0155</t>
  </si>
  <si>
    <t>454982e0-e0f9-4449-ae15-aa927fab5f66</t>
  </si>
  <si>
    <t>5ad5f1b3-d900-492a-8f95-6499ed4a3c8b</t>
  </si>
  <si>
    <t>07EA525265</t>
  </si>
  <si>
    <t>d4999e7c-6818-403a-95b9-b019c4d39647</t>
  </si>
  <si>
    <t>48b104aa-2794-435f-90fa-d255dd6ad2ef</t>
  </si>
  <si>
    <t>528d1c1d-99a7-4a65-a100-78d9f39ff527</t>
  </si>
  <si>
    <t>dfabf812-21d2-4378-a2de-81e0b45cd43c</t>
  </si>
  <si>
    <t>21370448-1996-48ff-a5a7-50f4b0cb9483</t>
  </si>
  <si>
    <t>a63e97f1-94db-4d99-b1d8-9c6f13b5ed4d</t>
  </si>
  <si>
    <t>1e78d792-bb5d-4910-a129-8e8b99763f73</t>
  </si>
  <si>
    <t>02d1cc38</t>
  </si>
  <si>
    <t>7c63d312-f867-4356-9318-a524ca9dadac</t>
  </si>
  <si>
    <t>de6fb8a5-742c-4360-812b-2077a6450cab</t>
  </si>
  <si>
    <t>009c83af-2438-4c0b-9c2d-aee77c712d86</t>
  </si>
  <si>
    <t>a4f8271d-8dc0-4c23-bf8a-a9fe46b1f69e</t>
  </si>
  <si>
    <t>c6d5eae0</t>
  </si>
  <si>
    <t>000bdf49-5fe4-42f8-9eee-9561e94993f7</t>
  </si>
  <si>
    <t>008e2469-e036-49d2-9deb-f1adade3235f</t>
  </si>
  <si>
    <t>c1f84e86</t>
  </si>
  <si>
    <t>008a9671-9bcc-4098-a3c4-96f76c1c4f91</t>
  </si>
  <si>
    <t>a7a8f2a9-3ba3-4b0a-82f5-b6e11c5cebb8</t>
  </si>
  <si>
    <t>abdab246-930b-4098-b2eb-6000be56ac7a</t>
  </si>
  <si>
    <t>db9a8919-acd1-4302-9a3f-b232aa2d703b</t>
  </si>
  <si>
    <t>9e97b28d</t>
  </si>
  <si>
    <t>2f82b3ad-5cde-414a-8603-b188c19fe062</t>
  </si>
  <si>
    <t>12e4a7c1</t>
  </si>
  <si>
    <t>562ea88a-d15f-44e3-ab78-ef21aa893141</t>
  </si>
  <si>
    <t>73e55314-9117-44ca-8868-19ae2b9c887f</t>
  </si>
  <si>
    <t>5cdf722a</t>
  </si>
  <si>
    <t>2c14f1c3-d796-4eee-b963-097e4205d2b0</t>
  </si>
  <si>
    <t>61861d76</t>
  </si>
  <si>
    <t>556c422e-fbcc-4b84-9547-684bd801c3ed</t>
  </si>
  <si>
    <t>3b4a76ad</t>
  </si>
  <si>
    <t>3d36f633-5559-4131-931e-7c8c38c4dd66</t>
  </si>
  <si>
    <t>1BD2F795D0</t>
  </si>
  <si>
    <t>d6786163-3521-4c96-91dd-dca703392e78</t>
  </si>
  <si>
    <t>7beceb7d</t>
  </si>
  <si>
    <t>bc7b291c-1e4c-4f43-b67b-4da0328e6038</t>
  </si>
  <si>
    <t>9083c7c1-28df-44fe-9f43-c26bbd38536f</t>
  </si>
  <si>
    <t>6acc9c79-606b-4c57-b975-2923c734a209</t>
  </si>
  <si>
    <t>0464e4ad-a341-42e5-8cef-1bf62940ac7b</t>
  </si>
  <si>
    <t>41667241-bf37-4d34-bbab-832d3ee74928</t>
  </si>
  <si>
    <t>7e5b5629-595e-4998-9dd9-6c168f29f41f</t>
  </si>
  <si>
    <t>74483cb3-ced8-4cb3-9ac2-4bef29285031</t>
  </si>
  <si>
    <t>00f3803c-a0aa-4e28-a1f9-85d60f525fe6</t>
  </si>
  <si>
    <t>36743985-8d2f-470d-93e0-ba2e1a0bde58</t>
  </si>
  <si>
    <t>3309d0ff-d7e6-4a00-8c39-982bfcc6c6cd</t>
  </si>
  <si>
    <t>cf8b073c</t>
  </si>
  <si>
    <t>3472dd7f-6f57-47ea-85c5-19a21fc08b82</t>
  </si>
  <si>
    <t>36ee7428-5844-4104-b31d-a1964269600e</t>
  </si>
  <si>
    <t>a9f0c946-ac94-4489-a170-971b0d7f4c6c</t>
  </si>
  <si>
    <t>e0a084ae-bb66-491f-b446-039762ae667b</t>
  </si>
  <si>
    <t>86a2ecd2-6f24-42c7-bf04-ad26a09833a0</t>
  </si>
  <si>
    <t>c0475e98-cd3d-4f80-9694-f1c771577c6f</t>
  </si>
  <si>
    <t>59a1e210</t>
  </si>
  <si>
    <t>96912438-565f-46ea-a494-c54a39db2ac2</t>
  </si>
  <si>
    <t>89572a7e</t>
  </si>
  <si>
    <t>14193bc8-0cf9-4b16-9b6c-f8bc050e0397</t>
  </si>
  <si>
    <t>8c9e8af8-5780-441c-977b-21540d152e6f</t>
  </si>
  <si>
    <t>d55e235f-3bd2-407b-b3e6-015b6a3037af</t>
  </si>
  <si>
    <t>7fd8381f-0930-4cee-9f94-bfa2f4825758</t>
  </si>
  <si>
    <t>556d81ef</t>
  </si>
  <si>
    <t>27062a9c-b434-43b4-8ea4-afff3bcd402d</t>
  </si>
  <si>
    <t>ac572d75-b150-4e30-a07f-98fe9aeccec2</t>
  </si>
  <si>
    <t>d9dae11b-58f4-4523-9a79-a3ca813ec92b</t>
  </si>
  <si>
    <t>3df9ce30-f666-43d8-951e-3b8bc0d6141c</t>
  </si>
  <si>
    <t>9dbab612-80ac-4e26-903c-fae73eb19fc9</t>
  </si>
  <si>
    <t>3bb55d11-9b26-4b2d-bdc1-dcffa700ed65</t>
  </si>
  <si>
    <t>c07c5e9a</t>
  </si>
  <si>
    <t>59ec3418-cb15-45ed-900a-51382fa8c0f8</t>
  </si>
  <si>
    <t>ccd1add0</t>
  </si>
  <si>
    <t>ef06c670-6521-488f-a3af-edfafb12669b</t>
  </si>
  <si>
    <t>a80daa2c</t>
  </si>
  <si>
    <t>6e488452-6805-47b0-8c7e-a1a0c50285bb</t>
  </si>
  <si>
    <t>63d77262</t>
  </si>
  <si>
    <t>262fc221-2c05-4048-8dd4-eeb58cb4785b</t>
  </si>
  <si>
    <t>b61e4fbe</t>
  </si>
  <si>
    <t>ed422f24-9123-45b7-9d79-75cc91750b96</t>
  </si>
  <si>
    <t>c7e3bc99-80d9-4f66-add3-0365d3950a4d</t>
  </si>
  <si>
    <t>3410b3fb-6e84-45eb-91df-57deefd27bef</t>
  </si>
  <si>
    <t>02246a65-a879-4e70-82ba-b0db42b1f794</t>
  </si>
  <si>
    <t>148685a7-eaed-4506-b947-94c5f944593f</t>
  </si>
  <si>
    <t>1DBAACEE25</t>
  </si>
  <si>
    <t>97ec87b5-8170-487e-84ae-8c23de398109</t>
  </si>
  <si>
    <t>e0bec6a4-45df-46d8-a08e-70b442e71612</t>
  </si>
  <si>
    <t>e0530f88-d5a8-460c-9547-ed5ff49d1a53</t>
  </si>
  <si>
    <t>086ef01c-cb87-400c-bcd3-1bc399105249</t>
  </si>
  <si>
    <t>55951b4b-05ad-4c3b-8341-ca7943789111</t>
  </si>
  <si>
    <t>deb2bf1d</t>
  </si>
  <si>
    <t>081e3b91-c57e-4ffe-87cd-b4826d2d1134</t>
  </si>
  <si>
    <t>cd24191b-2075-44ec-ba87-6fb18626de77</t>
  </si>
  <si>
    <t>961e9efb-c416-4af3-b010-063df1195501</t>
  </si>
  <si>
    <t>e295f3ca-31b7-4d00-b1e5-34ad58cc236d</t>
  </si>
  <si>
    <t>9989d8c6</t>
  </si>
  <si>
    <t>291727bf-7331-4fa7-adff-9433bb604997</t>
  </si>
  <si>
    <t>ca79be2b</t>
  </si>
  <si>
    <t>f53ca441-2a6e-4604-bf11-d642bda847b2</t>
  </si>
  <si>
    <t>c48cf8d8</t>
  </si>
  <si>
    <t>65627886-17bb-440a-aef4-6fe0e6bf8f62</t>
  </si>
  <si>
    <t>47d8c3c8-1238-4d0c-9961-66ca16db77b0</t>
  </si>
  <si>
    <t>9a8c6421-daf8-49d2-9519-346442db23bc</t>
  </si>
  <si>
    <t>e7c5093f-c24c-471f-bdbb-f9d30293e39e</t>
  </si>
  <si>
    <t>b31a3304-7fad-4d2b-b445-c9065f0c38a9</t>
  </si>
  <si>
    <t>c93fda30</t>
  </si>
  <si>
    <t>b00e82b7-1c76-4e42-a02c-bf54bc7eddb2</t>
  </si>
  <si>
    <t>c8b60ca4</t>
  </si>
  <si>
    <t>5a580f65-757f-4719-b865-930331f1abe6</t>
  </si>
  <si>
    <t>a4fe2628</t>
  </si>
  <si>
    <t>829edd28-d549-41b2-a9d0-6c28edbb5755</t>
  </si>
  <si>
    <t>f57b4b54-a021-40e0-a785-54780e5382fd</t>
  </si>
  <si>
    <t>1d64c4eb-292f-4819-a89f-b303927cb3a7</t>
  </si>
  <si>
    <t>6067bd35-9140-400e-80b7-e10fa3f95be7</t>
  </si>
  <si>
    <t>a658a3c3-a2dc-416d-9fab-6500120e293f</t>
  </si>
  <si>
    <t>4da67118-4d16-45b6-bf28-6a6e82740b8a</t>
  </si>
  <si>
    <t>65c51146-be8a-4d70-9457-5b90aad82a74</t>
  </si>
  <si>
    <t>b450fa02-0c75-42c4-81ae-fad4126ae923</t>
  </si>
  <si>
    <t>c4900dbb-5a9b-41d5-9e0c-73c175078544</t>
  </si>
  <si>
    <t>6e56232a</t>
  </si>
  <si>
    <t>d9790723-f4cc-49ae-98b1-4a82388fcafa</t>
  </si>
  <si>
    <t>f4375377</t>
  </si>
  <si>
    <t>c09bae66-d5ba-426f-857f-02a4dcebd9f8</t>
  </si>
  <si>
    <t>54eac0cc-c00d-47bd-a849-f7356225a490</t>
  </si>
  <si>
    <t>d708e809-80b0-4a7e-a1f6-6a06cdde6d49</t>
  </si>
  <si>
    <t>72f03f8b-d9c8-43c4-b055-9031e48e6799</t>
  </si>
  <si>
    <t>f0e79a37-2ff0-400f-829e-571d9abfe149</t>
  </si>
  <si>
    <t>3d51a4a0-53ca-482f-9c6f-f1d97582e29e</t>
  </si>
  <si>
    <t>0fc49571-6832-460a-bfb9-fa2062caa17f</t>
  </si>
  <si>
    <t>6cf619f2-ba38-4d62-b32d-25324aa2b553</t>
  </si>
  <si>
    <t>760e2558-2389-4407-b3c7-9c4ec2bda525</t>
  </si>
  <si>
    <t>9d4ae3ec</t>
  </si>
  <si>
    <t>5b36d63e-966c-44bc-858e-533f1653956d</t>
  </si>
  <si>
    <t>f8fcc134-d23b-42dc-901e-ce99080d8b7e</t>
  </si>
  <si>
    <t>4668316d</t>
  </si>
  <si>
    <t>7e26a517-934f-49fc-ab96-da86b78bca2b</t>
  </si>
  <si>
    <t>a8bcc049-a057-4994-a104-16a1e3f6ad95</t>
  </si>
  <si>
    <t>617f94ed-d497-4c19-9a4d-ccda9df399b6</t>
  </si>
  <si>
    <t>7572e704-2ed5-4449-9a72-22cb1ec460fb</t>
  </si>
  <si>
    <t>023aa007-75c3-4d95-ab79-32ef4bae13af</t>
  </si>
  <si>
    <t>93b0bdc5-5f6c-47ec-882e-3f65182cedea</t>
  </si>
  <si>
    <t>ebb42bed</t>
  </si>
  <si>
    <t>3fbdd7d7-6807-4627-bdee-394a3028f649</t>
  </si>
  <si>
    <t>a4f86bf7-426b-4b5d-8430-9d87687a649b</t>
  </si>
  <si>
    <t>670879a6-ef9f-4b01-8b40-22176e964d79</t>
  </si>
  <si>
    <t>ba61213e-2ec8-474e-a7ab-dfcda3b2f99e</t>
  </si>
  <si>
    <t>13ecf2d9</t>
  </si>
  <si>
    <t>195650a5-75e5-45b2-b1d1-b913707cbfa7</t>
  </si>
  <si>
    <t>5a3a1b8b-dbc8-47e5-bbdf-12e2498839dc</t>
  </si>
  <si>
    <t>c312f073-bd6c-44b3-93f1-5f630b3fcdcd</t>
  </si>
  <si>
    <t>a7dc804c</t>
  </si>
  <si>
    <t>c9c793fc-266a-4ead-8a41-4ba0d3da4ac5</t>
  </si>
  <si>
    <t>5df46f8e-8d74-43c0-87db-1f95377a8461</t>
  </si>
  <si>
    <t>39218a2e-3132-45a1-8aad-4c598b07124c</t>
  </si>
  <si>
    <t>adede053-be65-4a6c-b90a-8cf823be4831</t>
  </si>
  <si>
    <t>135b099f</t>
  </si>
  <si>
    <t>91110161-1ec3-41af-9961-576311c9c091</t>
  </si>
  <si>
    <t>69d501a7</t>
  </si>
  <si>
    <t>54986ba5-bf2d-44e6-a4e3-5157943dfe0c</t>
  </si>
  <si>
    <t>f3ef454b-40ec-41cf-aec9-17e514b30529</t>
  </si>
  <si>
    <t>2f00a570-6665-40b5-841e-80f13ff106f5</t>
  </si>
  <si>
    <t>d9d67a6f-e6f6-4726-94ab-71be8b0db452</t>
  </si>
  <si>
    <t>2cacc278-f210-46ef-85b1-effc00e31240</t>
  </si>
  <si>
    <t>578074c3-ba8b-4f16-a523-241a20d551f5</t>
  </si>
  <si>
    <t>8c728430-2a0b-48b1-a2cd-bdda85ecb7cc</t>
  </si>
  <si>
    <t>d5c7c61d</t>
  </si>
  <si>
    <t>1df2b22f-deec-4bd2-a25c-524d0727f18c</t>
  </si>
  <si>
    <t>6ecbd497</t>
  </si>
  <si>
    <t>bad0875b-5d50-4337-885d-75bd1cc939c4</t>
  </si>
  <si>
    <t>b6d50b8f-eb29-4f12-b134-bdae85eb92b2</t>
  </si>
  <si>
    <t>6d23feff-3adb-4ab1-aca7-e3918a933fc8</t>
  </si>
  <si>
    <t>754604a0</t>
  </si>
  <si>
    <t>74ef98e8-068b-4410-b89b-d31455a7485f</t>
  </si>
  <si>
    <t>9e33a53f-8f1f-4f05-beef-c0be58851045</t>
  </si>
  <si>
    <t>95b72d6a</t>
  </si>
  <si>
    <t>eaa94969-e233-4fe8-a0b8-214b85cf5319</t>
  </si>
  <si>
    <t>c513309b-4f8d-4869-affd-da1f8bd945ac</t>
  </si>
  <si>
    <t>a027e6c3-cdfa-4fe7-a108-36685c26d345</t>
  </si>
  <si>
    <t>0fcf57e0</t>
  </si>
  <si>
    <t>e09f3744-217a-4bfe-a146-6b2f2f509528</t>
  </si>
  <si>
    <t>23425898-1dbc-4b3a-936c-1d13a3ee1635</t>
  </si>
  <si>
    <t>7f5a5d38</t>
  </si>
  <si>
    <t>cd42860c-c369-4564-838f-9d7301e0ef19</t>
  </si>
  <si>
    <t>c6fe7cb2</t>
  </si>
  <si>
    <t>19ec61a7-b4b5-4b32-9889-df58dd454397</t>
  </si>
  <si>
    <t>24559a4f</t>
  </si>
  <si>
    <t>02e0af0a-b7fd-494f-995a-b67e1ffdbd00</t>
  </si>
  <si>
    <t>ff39cb07</t>
  </si>
  <si>
    <t>2cd3162a-5794-485e-b7b4-deef06f57c12</t>
  </si>
  <si>
    <t>b30b8e73-d6f6-4420-b95c-4707041a0c5f</t>
  </si>
  <si>
    <t>d4c073b4-2854-4fc0-a59d-b2703d9a4ff0</t>
  </si>
  <si>
    <t>e57eb3e7-6aa9-4390-bf49-1bcc56072ca4</t>
  </si>
  <si>
    <t>f8b27d14-1ca4-498c-b09c-3ceb57ff30c3</t>
  </si>
  <si>
    <t>45e7414f-2635-4a4e-805f-01c8940f3095</t>
  </si>
  <si>
    <t>56cb4b89-6ded-48a6-a79b-5dd9153d469b</t>
  </si>
  <si>
    <t>c5f6c117-2097-4817-9bca-c8a3b73e52ea</t>
  </si>
  <si>
    <t>03b7ad4c-2a24-4d0d-a96d-b571dd1e05cd</t>
  </si>
  <si>
    <t>63631d3c-4993-494e-a5a9-85874d67f69b</t>
  </si>
  <si>
    <t>4ac0e5d5-cbb1-4071-bf2f-fc48188e3c0e</t>
  </si>
  <si>
    <t>c1164b8d-b076-4e6c-bd2b-9cfc925486ac</t>
  </si>
  <si>
    <t>e0e3f196-f69a-48ef-9077-4949660da8ef</t>
  </si>
  <si>
    <t>3701fe5a-4e05-4222-b9df-35c224c4e8a6</t>
  </si>
  <si>
    <t>f4d18d0a-1c8c-4312-93e0-b0228a87b5da</t>
  </si>
  <si>
    <t>7af237c8</t>
  </si>
  <si>
    <t>fea25162-bf6e-4675-ab6f-20ee5659dc1d</t>
  </si>
  <si>
    <t>c6ee0052-1528-4e73-b139-106471ef59c0</t>
  </si>
  <si>
    <t>018d91ed-6483-4490-8c8a-49bbbf28a1cb</t>
  </si>
  <si>
    <t>6d85b7c0</t>
  </si>
  <si>
    <t>ca5bd341-0d21-4f18-b13e-1d80c843c9c9</t>
  </si>
  <si>
    <t>d242cc76-b56e-448d-a941-1b5a1a026bc4</t>
  </si>
  <si>
    <t>b2002b86</t>
  </si>
  <si>
    <t>fb647e06-8297-45f4-8ce2-a59b53986b60</t>
  </si>
  <si>
    <t>c1b15fce</t>
  </si>
  <si>
    <t>041eb5c6-1229-41f8-b5d0-8e1698cbd38c</t>
  </si>
  <si>
    <t>a59d0ac7</t>
  </si>
  <si>
    <t>04250316-db9e-4b1c-93ca-61a3d94b0883</t>
  </si>
  <si>
    <t>470b3f37-2b3d-4adc-b74d-d5e1a26d29f4</t>
  </si>
  <si>
    <t>5d5065bb-f01e-4bd1-b278-cee7e38787c7</t>
  </si>
  <si>
    <t>b2107b31-7ec9-4efe-8567-3b9855ed73db</t>
  </si>
  <si>
    <t>03541d5a</t>
  </si>
  <si>
    <t>f20f50d6-094a-4493-abdc-cd3a56b5103f</t>
  </si>
  <si>
    <t>c30cea5d-7472-46b3-b5ae-8a37ac40f02f</t>
  </si>
  <si>
    <t>cbb5e025-e9b6-4951-8df0-673caff60eb3</t>
  </si>
  <si>
    <t>acf353d3-ea0e-4225-aa6f-ec1a8c5620cd</t>
  </si>
  <si>
    <t>1b807167</t>
  </si>
  <si>
    <t>128a7b85-08bc-4b6e-a242-7907c1ab5e06</t>
  </si>
  <si>
    <t>30a489fa-7b84-491a-9441-753ccf41a92e</t>
  </si>
  <si>
    <t>6d6b6dbd</t>
  </si>
  <si>
    <t>00d4b005-6293-4453-b96d-4009206b07d0</t>
  </si>
  <si>
    <t>c6cc6815-5d2b-4775-8ad9-4cd215726161</t>
  </si>
  <si>
    <t>30ae92dd-4edb-4369-914b-9b80e7adcc11</t>
  </si>
  <si>
    <t>6198d4ad-a970-4b57-b780-fe349a2aed70</t>
  </si>
  <si>
    <t>297adacb-936d-4a2f-b34c-f44616148be7</t>
  </si>
  <si>
    <t>3dfa3c10-c0af-4e1b-a227-fbac1027ee27</t>
  </si>
  <si>
    <t>b21791cd</t>
  </si>
  <si>
    <t>204eccd2-6479-4de2-97eb-b9f4fa5f6801</t>
  </si>
  <si>
    <t>92492d93</t>
  </si>
  <si>
    <t>142bc0ac-5b90-44dc-b1c2-91221d28152c</t>
  </si>
  <si>
    <t>ffbaba76-8f66-4a86-b3d0-5b26624bc680</t>
  </si>
  <si>
    <t>cf632160-f321-442a-8809-38bc71e91af2</t>
  </si>
  <si>
    <t>99c29361</t>
  </si>
  <si>
    <t>59a129b7-763f-428b-9bc3-381da9ea4f0b</t>
  </si>
  <si>
    <t>317d1957-ab5a-4eee-bd34-83fea6bc8256</t>
  </si>
  <si>
    <t>69beb7a8-5ae5-4eaf-9233-b949cce2d7cf</t>
  </si>
  <si>
    <t>8c071cdd-709a-446a-b0c0-d784a32f1888</t>
  </si>
  <si>
    <t>9ebc4556-83a3-42e6-90af-5a83269eec22</t>
  </si>
  <si>
    <t>a578f9ca</t>
  </si>
  <si>
    <t>2a7a3313-3575-4e69-9364-74c424082a87</t>
  </si>
  <si>
    <t>f2adfb76-bb76-4957-8b04-5ebd5b9bd169</t>
  </si>
  <si>
    <t>f7ebc2f0-b6f2-4ee3-b2dd-d862018eff08</t>
  </si>
  <si>
    <t>ed4f3369-f020-4d0d-b391-856f34f6442b</t>
  </si>
  <si>
    <t>714bc6b5-7a68-49b6-9b4e-9510f6fcd8a5</t>
  </si>
  <si>
    <t>65650f31-a8c6-4409-aa4a-63c02f581eae</t>
  </si>
  <si>
    <t>d37bb257-0556-48f9-83a0-b7d5454686f7</t>
  </si>
  <si>
    <t>430daa4e</t>
  </si>
  <si>
    <t>a9843512-a5f0-4155-a4cd-7f1c0bab8805</t>
  </si>
  <si>
    <t>e42a45f9-e25d-411b-bafa-e9eb6d4600e5</t>
  </si>
  <si>
    <t>47c189ce-1a89-447c-9862-518d22876037</t>
  </si>
  <si>
    <t>d2eb7ab5-541b-459f-b079-2336288271a1</t>
  </si>
  <si>
    <t>03fb5fcc</t>
  </si>
  <si>
    <t>167c5f28-49de-42c2-ac81-ff2d44bbee93</t>
  </si>
  <si>
    <t>918c0d04-08c6-40b7-80a9-e90a8fe2e50f</t>
  </si>
  <si>
    <t>3360f88b</t>
  </si>
  <si>
    <t>ab345484-8058-495f-8eba-0f7d397b87c8</t>
  </si>
  <si>
    <t>302f8ece</t>
  </si>
  <si>
    <t>caa18032-e1b3-48f8-937b-91ae4b4caffc</t>
  </si>
  <si>
    <t>657ff751-da79-4b11-aab7-cb1aaebe5834</t>
  </si>
  <si>
    <t>e49d2a13</t>
  </si>
  <si>
    <t>757d183d-77a5-4bd8-a3c1-257b84b50eaa</t>
  </si>
  <si>
    <t>a2266a5b</t>
  </si>
  <si>
    <t>6d29ed81-0709-47d8-8166-25ef5e8b18fb</t>
  </si>
  <si>
    <t>bd8f031f-9fad-4755-8a11-14ace171337e</t>
  </si>
  <si>
    <t>ef4bacae-b296-45e2-949f-c9384cb9277f</t>
  </si>
  <si>
    <t>4a530b6e</t>
  </si>
  <si>
    <t>c49d182b-1192-426e-b857-e8c0ae098447</t>
  </si>
  <si>
    <t>4e8d0851</t>
  </si>
  <si>
    <t>78b73f4c-cf40-49ce-bbbb-6d49efd81b3f</t>
  </si>
  <si>
    <t>c97e2026</t>
  </si>
  <si>
    <t>0a4f1b5f-dad6-4009-b0ce-afc49a4669ae</t>
  </si>
  <si>
    <t>11f90354-a76c-4d27-aba7-3a995c593390</t>
  </si>
  <si>
    <t>1260ca37</t>
  </si>
  <si>
    <t>991aab1b-8683-4632-b2ef-675c7c6b6215</t>
  </si>
  <si>
    <t>65f112d9-f65f-439d-8b44-ff78f2597fa1</t>
  </si>
  <si>
    <t>d60bebd7</t>
  </si>
  <si>
    <t>eb2029bb-c7c6-4061-a72b-b69f46f121f8</t>
  </si>
  <si>
    <t>90d57727</t>
  </si>
  <si>
    <t>399493ca-032a-41f0-b378-974aca92e02d</t>
  </si>
  <si>
    <t>251f9919</t>
  </si>
  <si>
    <t>96c7cdf8-ff2f-4edc-a7f9-dc2cd2a366c7</t>
  </si>
  <si>
    <t>48ba4dc1</t>
  </si>
  <si>
    <t>dfcf154c-618c-4e35-995a-925438907910</t>
  </si>
  <si>
    <t>5d16bef6-88ed-471a-bfc3-5de68a017cf3</t>
  </si>
  <si>
    <t>d18adee2-a4c8-48c9-a6fc-5a8f4b488a3c</t>
  </si>
  <si>
    <t>4c57cea2</t>
  </si>
  <si>
    <t>470bc0ed-d8bd-4f92-8796-d1f0a087ca3e</t>
  </si>
  <si>
    <t>070b18ca-b281-4b68-b4d8-8280de0f3c2b</t>
  </si>
  <si>
    <t>3a638741</t>
  </si>
  <si>
    <t>f768aa3b-e959-4b9c-abcb-fbcff458050f</t>
  </si>
  <si>
    <t>4bf1d470-684f-44d4-a7b8-a2b048e3515a</t>
  </si>
  <si>
    <t>1b1dcdb2-2324-47e4-b10d-638cac30e1cb</t>
  </si>
  <si>
    <t>31845d5b-c6c3-48cf-b083-c0032efee656</t>
  </si>
  <si>
    <t>e15e0d5e-a3f5-4087-bcfa-78e62a7e7707</t>
  </si>
  <si>
    <t>724a69b0-3f99-4c4b-bedb-c97e72510a99</t>
  </si>
  <si>
    <t>6e429cf3-6619-4139-89db-005c6ad649d6</t>
  </si>
  <si>
    <t>03af446d-dcee-42d4-a1b6-6d04c836233d</t>
  </si>
  <si>
    <t>0e1c8279</t>
  </si>
  <si>
    <t>7e143885-0f74-4ee2-bd19-dfb596b9a410</t>
  </si>
  <si>
    <t>0880f333-1d66-461b-83ab-596c5c886aea</t>
  </si>
  <si>
    <t>3be990ef-b2a7-4edd-9ab2-dd7c516e175f</t>
  </si>
  <si>
    <t>c0a466e9</t>
  </si>
  <si>
    <t>22f788d6-2075-4529-8326-8620b5c44ffe</t>
  </si>
  <si>
    <t>50bcdd06-7c63-44bd-b65b-1bdfcf0f8585</t>
  </si>
  <si>
    <t>d8e35dd7-5ae1-4731-a34a-ff701f8d144f</t>
  </si>
  <si>
    <t>96bf6357-5e4e-4df3-9ade-976b0d007f27</t>
  </si>
  <si>
    <t>448c6caa-c5a3-45a6-bffb-2a1f5f3cd5f5</t>
  </si>
  <si>
    <t>7a0c77f7-ea18-4016-b08a-014001b5d458</t>
  </si>
  <si>
    <t>6e82095d</t>
  </si>
  <si>
    <t>cf934143-4b19-406b-8355-6055d850173d</t>
  </si>
  <si>
    <t>57a90f0e</t>
  </si>
  <si>
    <t>c2b974e8-021a-4d49-b6c3-42b4ed673c7e</t>
  </si>
  <si>
    <t>3eedd265</t>
  </si>
  <si>
    <t>f445a3c0-7486-460d-a428-dd6bbf83500a</t>
  </si>
  <si>
    <t>58b8c676</t>
  </si>
  <si>
    <t>1d9da2bf-3089-4139-9cf1-b96e9a57e87c</t>
  </si>
  <si>
    <t>47cd7905-1fb7-490a-bbaa-9eade7b2ad8c</t>
  </si>
  <si>
    <t>d4c6201e-3503-4b6f-88a8-145750b1ec51</t>
  </si>
  <si>
    <t>e16a3ad5-a1d0-4bb2-b800-5ebee4af8c61</t>
  </si>
  <si>
    <t>cce27384-f779-4a18-aba8-6527ca8c0188</t>
  </si>
  <si>
    <t>2cc6f7ff-61a3-465c-90d4-79c803dfcc9d</t>
  </si>
  <si>
    <t>d15e7c1e-8d7b-4b1f-a17f-6d3c58db9133</t>
  </si>
  <si>
    <t>dbdaa2c8-6884-4a2f-992d-b6bbe730f7f0</t>
  </si>
  <si>
    <t>40a0117f-85e4-4c74-8b1d-0004cd1e96ba</t>
  </si>
  <si>
    <t>e27a1217-4c21-4a1f-87f3-29c0743cf427</t>
  </si>
  <si>
    <t>140a66c5-21ee-4c55-a244-ea6842093b11</t>
  </si>
  <si>
    <t>2bb73403</t>
  </si>
  <si>
    <t>fa732bea-3d6e-49a1-8384-dc73a1daff18</t>
  </si>
  <si>
    <t>e5e4258e-7e1d-416a-b89a-0b2ee7930a9e</t>
  </si>
  <si>
    <t>a5eeedfd-8e24-443d-bf63-06cfa9494117</t>
  </si>
  <si>
    <t>0ed30591-7fed-4489-90ba-8d806799e2b9</t>
  </si>
  <si>
    <t>387ab275</t>
  </si>
  <si>
    <t>05aca91c-6eac-41de-91a5-317eb0a9974a</t>
  </si>
  <si>
    <t>7957d41f-15dc-4ebf-a7e8-1cc841ad59a3</t>
  </si>
  <si>
    <t>5acff9f2-dfdd-43ec-acbb-d19b5fb6567e</t>
  </si>
  <si>
    <t>0b01e80a</t>
  </si>
  <si>
    <t>2dbcbe94-35b1-47ad-a7d8-1565a8695ffc</t>
  </si>
  <si>
    <t>a9098e50-72f8-48ad-aeec-7af51368cc5f</t>
  </si>
  <si>
    <t>9809ecc0-2a3f-4e0b-a090-41b76b725600</t>
  </si>
  <si>
    <t>0fe551d9-2300-483c-8bd7-70e2f800d0fa</t>
  </si>
  <si>
    <t>2283c9f0-12bf-4200-b1bf-9029a29249fe</t>
  </si>
  <si>
    <t>2740c3db</t>
  </si>
  <si>
    <t>cc9590c0-de6a-4836-ad69-f1378f7c03e3</t>
  </si>
  <si>
    <t>7f9e5843</t>
  </si>
  <si>
    <t>184d4813-e07a-4668-849f-ae78a2bf3681</t>
  </si>
  <si>
    <t>25a9bc38-5bfa-4dd7-af4e-796711383389</t>
  </si>
  <si>
    <t>f33f1d02</t>
  </si>
  <si>
    <t>57908700-3b53-40a6-91ae-a9985dda58ac</t>
  </si>
  <si>
    <t>a259339d-d091-4510-8c07-9a1a47de81b6</t>
  </si>
  <si>
    <t>9fb33a26-f98b-4764-80e7-302058ea1dd8</t>
  </si>
  <si>
    <t>0CEB5E626E</t>
  </si>
  <si>
    <t>ced28afc-2549-4e04-8cff-010f0b1efc71</t>
  </si>
  <si>
    <t>bc2191b5-4cf2-4b13-b5ba-eecc7a987281</t>
  </si>
  <si>
    <t>04ae84f6-ad72-400f-a484-1d967d93a19f</t>
  </si>
  <si>
    <t>30af1128-ad93-4479-874d-66689652c8ce</t>
  </si>
  <si>
    <t>7c3bdaea-6056-4355-978f-4338aaf0489b</t>
  </si>
  <si>
    <t>22a489b5-46cc-478f-b6b3-0eac12a913d0</t>
  </si>
  <si>
    <t>237e9a85-6b24-46aa-a14f-4a453b93215e</t>
  </si>
  <si>
    <t>27e9f44f-eaef-46c7-94c6-45d52945887d</t>
  </si>
  <si>
    <t>9a4a6a7f-8e55-4522-a0a6-378edfd4e2a7</t>
  </si>
  <si>
    <t>46b1f644-862d-44b4-8a5d-252e5472158b</t>
  </si>
  <si>
    <t>69dbc251-2cd2-400d-9457-20646a65e87e</t>
  </si>
  <si>
    <t>647d87bd-25e0-47a0-aedb-26e7b7918da1</t>
  </si>
  <si>
    <t>3c9e8711-d466-4ff3-9097-c7d7d1355089</t>
  </si>
  <si>
    <t>d0105e66-75dd-4df7-bf27-2bfde3a550db</t>
  </si>
  <si>
    <t>839949b1-d8c9-43c0-80f1-be9e76f6f1da</t>
  </si>
  <si>
    <t>c51ecfbe-737e-46eb-9234-22470637daff</t>
  </si>
  <si>
    <t>731e5cc3-cfdf-483d-a0d6-b3ba6aa95f38</t>
  </si>
  <si>
    <t>1f899f01-713c-4ba4-b15d-911c1d928445</t>
  </si>
  <si>
    <t>c1ca1253-a38a-4775-b382-ecfe4009f79d</t>
  </si>
  <si>
    <t>ceb8cd52</t>
  </si>
  <si>
    <t>3d211303-c7af-4ea1-b410-c2c41f738abe</t>
  </si>
  <si>
    <t>05f2e7ba-c58d-4608-a172-b23608975f89</t>
  </si>
  <si>
    <t>1a1a4e3a</t>
  </si>
  <si>
    <t>f1e9451f-67d4-481a-a970-51e96306634c</t>
  </si>
  <si>
    <t>7ab0f2aa-fce3-4cbc-87c9-289125be93e4</t>
  </si>
  <si>
    <t>24865fb1-072c-4734-b4ed-054deab144c0</t>
  </si>
  <si>
    <t>a39004db-874b-4553-9b2b-675133c06d21</t>
  </si>
  <si>
    <t>6a1b8384-1361-4650-ad1e-912ade72cb0d</t>
  </si>
  <si>
    <t>05E89ADE3E</t>
  </si>
  <si>
    <t>3fee9566-9229-45db-ab5c-1e0c0b410a8b</t>
  </si>
  <si>
    <t>ded6e2e7-9fc4-4268-b228-d7ce187c1a82</t>
  </si>
  <si>
    <t>2ed9f530</t>
  </si>
  <si>
    <t>ce34a606-2f56-43c8-89bb-5ce0ffe7844b</t>
  </si>
  <si>
    <t>46599de1-5492-4e73-8fe8-52d487af792a</t>
  </si>
  <si>
    <t>ca8fb5e7-dd0d-44a1-acff-16b3c1d68a8e</t>
  </si>
  <si>
    <t>37ea8456-4c3b-491a-a6bb-7c08213e053c</t>
  </si>
  <si>
    <t>986ea8dd</t>
  </si>
  <si>
    <t>f9eaef36-a5f7-43ad-99b4-5237a3fb94c1</t>
  </si>
  <si>
    <t>1c44bf8e-00dd-43e1-9d0c-c486f7a7cc83</t>
  </si>
  <si>
    <t>4c38efcf-4cd4-4582-859c-e6c769e3d629</t>
  </si>
  <si>
    <t>a568dcb9-ed54-4e60-b8f8-d141b44fe4a3</t>
  </si>
  <si>
    <t>aa1c6110</t>
  </si>
  <si>
    <t>62adc239-79ac-44d6-8c42-1cec959a160e</t>
  </si>
  <si>
    <t>3bf11474-855d-44c6-ace8-85e9001ff3cf</t>
  </si>
  <si>
    <t>971c994a</t>
  </si>
  <si>
    <t>9498b12b-f6b1-4cc3-82a5-04ad017b6840</t>
  </si>
  <si>
    <t>9de347ae-cbee-4d95-b990-5b5db7bcf091</t>
  </si>
  <si>
    <t>a2754517-cc7c-45b8-9dd7-1686ff56be60</t>
  </si>
  <si>
    <t>08defd5f-69df-4f71-b096-06ca5e3c9740</t>
  </si>
  <si>
    <t>0b189a7a-b91b-4696-927c-b231058dfdbc</t>
  </si>
  <si>
    <t>7949ab8c</t>
  </si>
  <si>
    <t>ee4b1fa6-ca50-47d1-a418-9a2c555cdbf6</t>
  </si>
  <si>
    <t>8f43ee2f-0d82-4aef-a2c7-664c59a74054</t>
  </si>
  <si>
    <t>45c392f7-f996-4af2-ada5-055aae9b8c23</t>
  </si>
  <si>
    <t>bbf2c327-4553-497d-aaf5-3011fe222e06</t>
  </si>
  <si>
    <t>8d90f052-e83b-47b5-a920-e4dc803619f0</t>
  </si>
  <si>
    <t>afbc500d-f0a2-4af4-a715-b24df8a59770</t>
  </si>
  <si>
    <t>8b846b86-d53f-4059-aa18-6b71949ffdbf</t>
  </si>
  <si>
    <t>585c9917-5bce-48b8-92b7-2555746e56c8</t>
  </si>
  <si>
    <t>0340da8b-4697-497b-aa85-a2533ff8bc06</t>
  </si>
  <si>
    <t>4454e0b4-2a2c-4e8e-a7d2-15829bbffee6</t>
  </si>
  <si>
    <t>b894bf07-4247-45ac-b873-2d244aa488df</t>
  </si>
  <si>
    <t>1771718d-b3dc-42e9-b733-e32c6c7d8d8a</t>
  </si>
  <si>
    <t>6c85bef5-f62f-45fa-9a32-60d7b70f5783</t>
  </si>
  <si>
    <t>caf7087b-5f56-4036-8fb7-39fc8785b134</t>
  </si>
  <si>
    <t>f36a44a9-5512-400e-830d-d37b0a988dd1</t>
  </si>
  <si>
    <t>a7e5176b</t>
  </si>
  <si>
    <t>75bf0da7-cabc-431a-9468-cc59537c29af</t>
  </si>
  <si>
    <t>7a68c228-cbf2-47c2-b9e5-a13e538a701b</t>
  </si>
  <si>
    <t>aa943f40-ff85-48c2-bd31-69d102093960</t>
  </si>
  <si>
    <t>d28b48aa-659d-4fa2-b316-28fad120aa67</t>
  </si>
  <si>
    <t>63bfa2c9-f08c-4f2d-a007-414b74dc6515</t>
  </si>
  <si>
    <t>b2f49f17-1414-4b51-b248-27390991db0c</t>
  </si>
  <si>
    <t>ff749b98-07ef-4055-ac01-ec7fbdcf4bfe</t>
  </si>
  <si>
    <t>eb28c8d0</t>
  </si>
  <si>
    <t>c52f1256-ce9e-4190-aba2-67acd8840b87</t>
  </si>
  <si>
    <t>fc7913ee-d86e-4ecb-9fb8-064aa1f6f102</t>
  </si>
  <si>
    <t>ba22f7fb-ac31-44df-bc50-b1fd8c02cbda</t>
  </si>
  <si>
    <t>cfbe5399-88a2-4371-b2c3-467a5bc4d3a6</t>
  </si>
  <si>
    <t>8a5ac5f8-9106-4c3f-9b40-9eb433cf983e</t>
  </si>
  <si>
    <t>c4b89981-0a19-4c36-81d7-f9fb5893ed68</t>
  </si>
  <si>
    <t>13e00e61-77ef-4864-b07b-ed0bb1ae8797</t>
  </si>
  <si>
    <t>5232faf6-b3c0-4086-be6e-3ebf7ca1e613</t>
  </si>
  <si>
    <t>8f3a4337-7cd5-4c02-9cf7-a7145aa6b091</t>
  </si>
  <si>
    <t>1182e451-c365-4739-a690-a5227b07647b</t>
  </si>
  <si>
    <t>eb7f0c95-cfca-44b7-ab95-f83a682e8261</t>
  </si>
  <si>
    <t>46b2c40c</t>
  </si>
  <si>
    <t>b98e10ae-1e9e-4275-bf40-00e388caa94c</t>
  </si>
  <si>
    <t>7cf975e9-8026-465a-b787-1c611c92c41d</t>
  </si>
  <si>
    <t>816d903b-cdba-4a3d-92a4-f6a1e1d99803</t>
  </si>
  <si>
    <t>5cbfdc99</t>
  </si>
  <si>
    <t>b10fd6c8-51a3-4a55-8446-f2c7e3b0570e</t>
  </si>
  <si>
    <t>37c16813</t>
  </si>
  <si>
    <t>3da07922-84c7-4c0c-80f3-90a9bfc50c45</t>
  </si>
  <si>
    <t>8734f6bd-d219-47df-acb4-3118f5aeb021</t>
  </si>
  <si>
    <t>303b58f2</t>
  </si>
  <si>
    <t>f837bb79-1391-4486-b33d-631d42c14574</t>
  </si>
  <si>
    <t>f6f03088-9cdb-40c9-b4e8-d05c8bdae1e5</t>
  </si>
  <si>
    <t>ea864fb1-daf1-4f63-a235-b5a137fbd0bd</t>
  </si>
  <si>
    <t>062feadf-ad45-4557-a51f-57a1295a4fa1</t>
  </si>
  <si>
    <t>330969dc</t>
  </si>
  <si>
    <t>2ad32b5c-b289-4516-adc2-b1c3ef022599</t>
  </si>
  <si>
    <t>3438063AE7</t>
  </si>
  <si>
    <t>270913bf-4caa-434e-9c3b-de6a8eb6dea5</t>
  </si>
  <si>
    <t>ef006128-74ba-408e-8289-432543373101</t>
  </si>
  <si>
    <t>a711943d-0727-429f-83bb-bf386721239a</t>
  </si>
  <si>
    <t>94403da3-e845-494a-80ce-76d9c793ce7c</t>
  </si>
  <si>
    <t>55e1b535</t>
  </si>
  <si>
    <t>38282c0d-db6a-4959-b474-e454f09daca5</t>
  </si>
  <si>
    <t>371e179d-cb3e-406d-a8aa-1375541ce58b</t>
  </si>
  <si>
    <t>f45e99ad</t>
  </si>
  <si>
    <t>4173798a-5fab-435b-9f01-7c62d90c6a71</t>
  </si>
  <si>
    <t>5285c8ba-186b-4fb1-ad8e-c989b2269bc8</t>
  </si>
  <si>
    <t>3c355fcf-afd1-4980-956e-e1ace00ef4e7</t>
  </si>
  <si>
    <t>0b0c1dee-b19f-43a0-9437-13db88b210a9</t>
  </si>
  <si>
    <t>32d36c70-1d53-4776-9a7b-60a536849bde</t>
  </si>
  <si>
    <t>835560f9-dfbf-4778-90e0-895167adc942</t>
  </si>
  <si>
    <t>ba5a3243-4aa0-4605-b003-fb19728aaaa5</t>
  </si>
  <si>
    <t>e3948cbd-6d9a-4298-a598-b37e89e3fa99</t>
  </si>
  <si>
    <t>0901db49</t>
  </si>
  <si>
    <t>de4fdef5-9c13-4a5b-9982-ddf12d4431a6</t>
  </si>
  <si>
    <t>e57c31f3-3e5c-459b-8f41-c8ab654c4879</t>
  </si>
  <si>
    <t>1ecb5476-e00d-489b-b984-50b75090865b</t>
  </si>
  <si>
    <t>4cc1e07e</t>
  </si>
  <si>
    <t>4d567da6-4b09-4407-9372-49c82d3abff9</t>
  </si>
  <si>
    <t>37c18942-5a0d-43b2-855a-ddee06bd8922</t>
  </si>
  <si>
    <t>72e2f755-78e6-488c-b132-747c2c9cbaec</t>
  </si>
  <si>
    <t>e75de991</t>
  </si>
  <si>
    <t>f6ebd32e-5fa7-4156-9181-13aa2bb553ac</t>
  </si>
  <si>
    <t>c1836d5d</t>
  </si>
  <si>
    <t>ec3888da-d532-4116-b738-b6b7b5043e98</t>
  </si>
  <si>
    <t>ef5447fd-bd56-4452-86a2-e6cf47250c74</t>
  </si>
  <si>
    <t>23b13902-bf62-4c73-8030-affab46863c4</t>
  </si>
  <si>
    <t>0a630ade</t>
  </si>
  <si>
    <t>48de8839-11f2-46a4-8297-450487f0ba82</t>
  </si>
  <si>
    <t>7821a90e</t>
  </si>
  <si>
    <t>db0f65bd-104b-4e91-b37a-9837a13e8582</t>
  </si>
  <si>
    <t>6a07b6d5</t>
  </si>
  <si>
    <t>cea22140-bdca-4b99-ac54-0c69d6bc81da</t>
  </si>
  <si>
    <t>4ab919e9</t>
  </si>
  <si>
    <t>46f0c04f-8623-4e78-828f-843cb8f4bad6</t>
  </si>
  <si>
    <t>dd7372ea-c564-4f08-a66e-dd674d10e7cd</t>
  </si>
  <si>
    <t>5a9c7056-2c93-4a56-9a86-87c88169267e</t>
  </si>
  <si>
    <t>252be0b4</t>
  </si>
  <si>
    <t>bfa6c7dd-ca80-4bad-bfdd-e6c48445b01b</t>
  </si>
  <si>
    <t>50bc10b7-e3a0-4b47-8afb-c9509eb97834</t>
  </si>
  <si>
    <t>cefc126b-ad7e-40bb-9866-7e99c4df855f</t>
  </si>
  <si>
    <t>0615faa3</t>
  </si>
  <si>
    <t>8efe000f-aae4-448b-b0d4-c0c7eb6237dc</t>
  </si>
  <si>
    <t>d730c38c</t>
  </si>
  <si>
    <t>8a457c72-9941-4d26-b866-17fc04e5a0d6</t>
  </si>
  <si>
    <t>60c6eee3-8927-4ae7-b903-4d26e0c8123d</t>
  </si>
  <si>
    <t>c20d5f38-194d-49da-ae7b-e651262b679c</t>
  </si>
  <si>
    <t>c5385694</t>
  </si>
  <si>
    <t>6fa3707b-9732-4d7b-944d-1bc741efce6d</t>
  </si>
  <si>
    <t>06551308-cd34-48d3-8019-f6ee086f0dbe</t>
  </si>
  <si>
    <t>8fd989a7-501e-49f7-b972-48304a10ff08</t>
  </si>
  <si>
    <t>f4aa96f2-a97c-43fa-a3fa-2411f92879e8</t>
  </si>
  <si>
    <t>4c781fa8</t>
  </si>
  <si>
    <t>36618540-47f0-4790-b8cc-69ad898b6af6</t>
  </si>
  <si>
    <t>f46dcbb7-4700-4b28-b3ce-494ddeda98a6</t>
  </si>
  <si>
    <t>4e63f4b1</t>
  </si>
  <si>
    <t>77f5dea2-96b0-4dc5-960b-10aded0f0471</t>
  </si>
  <si>
    <t>b76340fd</t>
  </si>
  <si>
    <t>f2042af2-d337-4847-b934-137743a856e2</t>
  </si>
  <si>
    <t>1b75dd52-4d16-4f92-b192-93007c2a67fe</t>
  </si>
  <si>
    <t>2740c4db</t>
  </si>
  <si>
    <t>324574a0-4cb3-4053-8657-1cf2956ee82f</t>
  </si>
  <si>
    <t>ceb8cd51</t>
  </si>
  <si>
    <t>b88e3731-5b91-4995-b206-57e799259628</t>
  </si>
  <si>
    <t>712589a8-9d9e-4916-892d-934fbae802a9</t>
  </si>
  <si>
    <t>63d90d92-f1b0-4862-8721-ba73ae160524</t>
  </si>
  <si>
    <t>afba3af8-0746-44db-a81f-ca87306a1844</t>
  </si>
  <si>
    <t>533cff3f</t>
  </si>
  <si>
    <t>6fc5a65f-973d-47b5-ad83-a05f9d489926</t>
  </si>
  <si>
    <t>5645c620-ffee-4986-a65e-15c7ead4837a</t>
  </si>
  <si>
    <t>15abb48d-8697-4b9d-8466-6db3a98d9df5</t>
  </si>
  <si>
    <t>ac36c805-0c93-4a71-8afc-e76ad1c3ef15</t>
  </si>
  <si>
    <t>0675adcb-02dc-4565-8370-fc4072c66363</t>
  </si>
  <si>
    <t>448d9c9a-027b-4cac-8f04-1aa64a45437e</t>
  </si>
  <si>
    <t>4d8f5a32-4614-48eb-ac42-b4f6fd25ac19</t>
  </si>
  <si>
    <t>ff4347cc-0781-4439-b196-022cc6a852db</t>
  </si>
  <si>
    <t>b20a1264-7e15-42e1-8795-7ea6af154683</t>
  </si>
  <si>
    <t>951af1b1-b276-499a-939a-500fb85ab8a2</t>
  </si>
  <si>
    <t>eeb7389e</t>
  </si>
  <si>
    <t>a8ad7b46-5684-450a-ba13-2d7302193a15</t>
  </si>
  <si>
    <t>a271e71f-511c-4357-9f9d-95bb7efeff9a</t>
  </si>
  <si>
    <t>b7f284c4-2c27-4cd4-bfea-6427345053f4</t>
  </si>
  <si>
    <t>c7d66087-b565-46d8-ad8b-804807f3854d</t>
  </si>
  <si>
    <t>2ffec8a2-a575-4fb9-b434-fa3cb95e1eb6</t>
  </si>
  <si>
    <t>3d3a09e5-ced0-4bec-a561-1e521474fee0</t>
  </si>
  <si>
    <t>4b149ed5</t>
  </si>
  <si>
    <t>f4cd0e28-b6c6-461a-83c3-782df169e91c</t>
  </si>
  <si>
    <t>22f834a8-b26a-4e4f-af8a-9da0b86511d1</t>
  </si>
  <si>
    <t>7b4625ca-50a8-4237-9f81-935fe9b16293</t>
  </si>
  <si>
    <t>f3ec78f1-3e0c-459a-af92-ac8f24a7ef92</t>
  </si>
  <si>
    <t>7d526e06-b4e4-42de-b938-72a74f684495</t>
  </si>
  <si>
    <t>03f69da2-a694-4bd7-9e08-4ae9484ac42f</t>
  </si>
  <si>
    <t>b34a0503-1870-4e43-88fc-16f25e8d2498</t>
  </si>
  <si>
    <t>05bb19e8-9fa7-43bd-a81b-053211912e96</t>
  </si>
  <si>
    <t>6db110fb-19bf-4acc-beef-3546e1c16829</t>
  </si>
  <si>
    <t>5574ae37-0d30-467f-8260-6469fd69ecf2</t>
  </si>
  <si>
    <t>eab45d40-0d3b-4cbf-b2d5-28bb23b6a0b0</t>
  </si>
  <si>
    <t>40a9a567-2cb8-49db-b2a6-e02a9226a5bc</t>
  </si>
  <si>
    <t>9544f7a5-2b97-4aba-9e22-6cd8061523ff</t>
  </si>
  <si>
    <t>3be4e9de-e93e-4806-ab25-f251be650c86</t>
  </si>
  <si>
    <t>916bee38-df20-4094-9539-dd4f41502de8</t>
  </si>
  <si>
    <t>3015620a-0c14-489c-9279-32b3de0d1f62</t>
  </si>
  <si>
    <t>7b728996-950b-4de9-b7be-8fa8bbf423a6</t>
  </si>
  <si>
    <t>6198f6c2</t>
  </si>
  <si>
    <t>937f21f3-5a0d-4d67-9fdb-8667eb3d36a6</t>
  </si>
  <si>
    <t>de488c9a-8c00-4cc4-88d6-a9a0c8b026de</t>
  </si>
  <si>
    <t>732398df-5557-4b60-8aa1-bc0b420081b5</t>
  </si>
  <si>
    <t>bd2377b2-45c6-48f1-b1da-fbe2bad7654a</t>
  </si>
  <si>
    <t>691a01bb-718c-407a-b68b-35572c7dba37</t>
  </si>
  <si>
    <t>63a84447-4721-40fc-896f-3e76f36df747</t>
  </si>
  <si>
    <t>252a6adf-639e-4cd6-a80d-a85d8bf801f9</t>
  </si>
  <si>
    <t>75de1a67-82d9-4fa3-a453-7062bf0fed50</t>
  </si>
  <si>
    <t>5ebc5a16-f948-4c0f-9b6c-2cd9fbd89e1a</t>
  </si>
  <si>
    <t>785b68af-cf45-4f98-b966-40614f3eb877</t>
  </si>
  <si>
    <t>8f4c769e-1c9f-4bef-b054-bbb5f40e49eb</t>
  </si>
  <si>
    <t>f36df59a-1625-4133-a6f7-01fe5de2ac25</t>
  </si>
  <si>
    <t>348880ab-18ae-475d-a68d-d85958b0ee65</t>
  </si>
  <si>
    <t>a2c2d223-4057-4233-8aca-4de0b6e8051f</t>
  </si>
  <si>
    <t>409dfff0-6d77-415f-a463-1f22b51a4aa8</t>
  </si>
  <si>
    <t>56e17a6d-5643-473f-ae08-2c12db42d343</t>
  </si>
  <si>
    <t>329ab8a0-d274-424b-9f65-378f6c3baa3a</t>
  </si>
  <si>
    <t>b1dc9a1a-410a-4cb5-9317-01ea0c7d23fe</t>
  </si>
  <si>
    <t>58e7f7b6-6563-43fb-8f0b-3bd25730ae25</t>
  </si>
  <si>
    <t>681fc5d8-9c96-4581-a80d-2d5538401ce9</t>
  </si>
  <si>
    <t>0361343f-701d-458e-b7eb-933bcfb40cd1</t>
  </si>
  <si>
    <t>88683247-ef77-4da1-84d7-ca5bef1947e9</t>
  </si>
  <si>
    <t>c52b4741-c6e1-4bd8-9627-0fd3f0277be0</t>
  </si>
  <si>
    <t>11b92c92-1228-40a6-ad47-4523f9685f87</t>
  </si>
  <si>
    <t>4b31e5b0-ba8c-423d-830f-8174ae3614ef</t>
  </si>
  <si>
    <t>882084e8-b631-43bf-91ed-8ec5ad0a90fb</t>
  </si>
  <si>
    <t>8c721f92-c551-4cc5-bcb5-c1d2e8d51116</t>
  </si>
  <si>
    <t>4d416da7-c7b9-439c-a494-5163c9434b45</t>
  </si>
  <si>
    <t>ecef6072-48f2-4e4b-a351-cb088605f983</t>
  </si>
  <si>
    <t>4c121173-623f-4d39-9ed4-f2a723e04422</t>
  </si>
  <si>
    <t>5befa65e-ea18-4f43-8909-1cbf8f1e5227</t>
  </si>
  <si>
    <t>1f66e11a-d42e-4002-bbec-6109e6546490</t>
  </si>
  <si>
    <t>47315c68-6ce0-4d16-beb4-0a3197e53670</t>
  </si>
  <si>
    <t>3dd6e764-6296-4975-9e33-4924ff68942f</t>
  </si>
  <si>
    <t>989f0b8c-62f5-479f-91b0-f6eb7a662690</t>
  </si>
  <si>
    <t>0579c873-1d24-4401-8eb8-bc6ebb0268c8</t>
  </si>
  <si>
    <t>5bf82f91-4f6c-4a07-88a5-fb35a7f1be6f</t>
  </si>
  <si>
    <t>2eb9d9c8-aceb-4518-b969-a27d76897ae3</t>
  </si>
  <si>
    <t>79f3ae28-4b12-4eca-b511-c1f292ff0cff</t>
  </si>
  <si>
    <t>4bdd65ea-fea7-46cd-9cba-cc6b28f8e5fb</t>
  </si>
  <si>
    <t>691eb282-78f5-401a-8ef6-c56d76410c56</t>
  </si>
  <si>
    <t>551f9bc2-761b-4c58-a32d-6c1895b795dc</t>
  </si>
  <si>
    <t>e8dce79c-1cde-4540-a473-cb90a4713e0e</t>
  </si>
  <si>
    <t>49046560-6681-4982-ad68-f100c0a0f4ee</t>
  </si>
  <si>
    <t>289c3dd2-7c6c-4599-a2cf-603c286683c4</t>
  </si>
  <si>
    <t>de9c8b7f-dfdf-41f3-891a-632d3c0e3ee9</t>
  </si>
  <si>
    <t>d3be4024-7835-4cc2-97d7-bfbe4fe57f11</t>
  </si>
  <si>
    <t>a2f1bbd5-27bc-4bfb-a8c3-6f760e667842</t>
  </si>
  <si>
    <t>581d5405-5a29-472b-9af6-64ba8fc77fa3</t>
  </si>
  <si>
    <t>4c28e511-05a6-4d07-8dad-8e581fa7cdeb</t>
  </si>
  <si>
    <t>427f914c-919e-430b-a39c-d3d1a64d4770</t>
  </si>
  <si>
    <t>8a96ba3d-08da-4152-94b9-2eded95bf1b2</t>
  </si>
  <si>
    <t>c0236f35-1391-4d8c-95a1-4e60f3065198</t>
  </si>
  <si>
    <t>94eee86f-fa20-4cb6-8c8b-ff0ccef13435</t>
  </si>
  <si>
    <t>507774ed-3797-404e-bc78-941485027367</t>
  </si>
  <si>
    <t>23eff736-3b3d-44f0-b4d1-186faceef5ec</t>
  </si>
  <si>
    <t>0e59ca53-7050-40b0-a4f7-917b176b8595</t>
  </si>
  <si>
    <t>26880848-88a7-4593-a7aa-1cd216f136fc</t>
  </si>
  <si>
    <t>52410aa1-804f-40fa-8ff0-948d64e211b1</t>
  </si>
  <si>
    <t>622b0842-1a71-404f-8e86-53aa4a882e6b</t>
  </si>
  <si>
    <t>e2ab1d3d-d444-4c43-8e55-41f31754a886</t>
  </si>
  <si>
    <t>225d0f23-348d-400e-9bb0-8d31c54fda8d</t>
  </si>
  <si>
    <t>b72b91c8-8903-4bb3-8524-2dd4cee0aae6</t>
  </si>
  <si>
    <t>69aa3b3d-241c-4b24-9664-0e93038dffe6</t>
  </si>
  <si>
    <t>129dee8b-f5c7-4999-b733-59eab1f160e7</t>
  </si>
  <si>
    <t>fe238162-6244-4cb5-9f59-dac82025f398</t>
  </si>
  <si>
    <t>5092d814-1eef-412e-9c31-240aaab6dab4</t>
  </si>
  <si>
    <t>3676a5e0-5b62-4630-9ee8-aa32bd033019</t>
  </si>
  <si>
    <t>69edaea7-d338-4a0f-bfa0-661d1a8f8346</t>
  </si>
  <si>
    <t>cab3326a-1a4e-4b6a-9150-ce6a48544de1</t>
  </si>
  <si>
    <t>991c5fb8-13ea-4f0e-96c4-6242793ec4c4</t>
  </si>
  <si>
    <t>b6c3bf27-9bd1-4871-ba93-3b854641a49f</t>
  </si>
  <si>
    <t>dfff2830-b77b-4876-ac29-c2fad7486e5d</t>
  </si>
  <si>
    <t>5805ef00-d92e-4979-b519-bf2e4ea8969e</t>
  </si>
  <si>
    <t>38173e99-d6d1-4281-8829-4b3af69aebcd</t>
  </si>
  <si>
    <t>fee0cb76-00fe-43ad-b04b-2f3b412d72d5</t>
  </si>
  <si>
    <t>6292c113-ff6a-41d4-b93f-0dc3f7c6cd98</t>
  </si>
  <si>
    <t>777c494f-f4a5-4948-8b8d-219cd2bdff21</t>
  </si>
  <si>
    <t>a6be3c64-626d-4fa8-9994-60565a943db7</t>
  </si>
  <si>
    <t>b6c3daa5-8f48-4a39-bcf6-a1ec88fe9902</t>
  </si>
  <si>
    <t>403bcf94-76e6-4996-b161-a6fbed2e3b87</t>
  </si>
  <si>
    <t>f8b246ce-a55a-4017-ac85-22f04258ca9d</t>
  </si>
  <si>
    <t>7a63ce49-a7ba-48a1-887c-a4661234ca76</t>
  </si>
  <si>
    <t>a9f62b09-dbb9-4618-9aef-9eefff8e99bf</t>
  </si>
  <si>
    <t>18d25450-fba0-4150-94ac-b663b64cdf6c</t>
  </si>
  <si>
    <t>fc7b972c-ee91-4431-869b-1d1fd78cfb23</t>
  </si>
  <si>
    <t>7f827838-98ce-44ca-93fa-e8c0b53943cb</t>
  </si>
  <si>
    <t>a3d3e50d-cbeb-4b9c-9654-673a617460bd</t>
  </si>
  <si>
    <t>9a132c14-2e7d-4ea6-adee-1b08242d372b</t>
  </si>
  <si>
    <t>05742ec7-2ce7-45b3-8fb0-b2bb4e9833ea</t>
  </si>
  <si>
    <t>7064af44-99d8-4429-a6fb-a0b3fc58c410</t>
  </si>
  <si>
    <t>dd8836eb-158e-4862-92a6-be09eec615d1</t>
  </si>
  <si>
    <t>167e498d-2b17-4a78-934e-3d045b3aed77</t>
  </si>
  <si>
    <t>3acccc40-efc4-433a-94ab-9c6873b3ece1</t>
  </si>
  <si>
    <t>b4805f4b-88cd-4ed4-90ca-dbeb6c1c135e</t>
  </si>
  <si>
    <t>e99897be-1d05-4d01-9576-4369c383ee8d</t>
  </si>
  <si>
    <t>77063d37-8f93-4d32-b9c0-7adf70bf8d33</t>
  </si>
  <si>
    <t>944ae22b-d85d-48eb-aa3a-9f7bb1cbd5cc</t>
  </si>
  <si>
    <t>a28b54ff-833a-4286-bb64-7f5fd47316fb</t>
  </si>
  <si>
    <t>d85f1c8f-6152-467a-9de9-5d053caf92ef</t>
  </si>
  <si>
    <t>1231f980-2d77-4968-b514-2e05b2ce1a46</t>
  </si>
  <si>
    <t>1452c2b6-39cb-4cc6-8409-70dd3e86ebda</t>
  </si>
  <si>
    <t>08f10663-8ae0-43be-bc09-8c2975f435b4</t>
  </si>
  <si>
    <t>0083e6a9-8d33-4bff-af89-69f7019fd28d</t>
  </si>
  <si>
    <t>344eaa97-5e0a-422b-bba3-958e6d768916</t>
  </si>
  <si>
    <t>144135d7-902e-4166-8e7f-04abbe6e7989</t>
  </si>
  <si>
    <t>fd46217b-1d85-4812-8955-495c5d850d24</t>
  </si>
  <si>
    <t>6bda266c-9fe8-44b5-a481-b6ce02de76cd</t>
  </si>
  <si>
    <t>802ee688-25f7-4ae7-90bb-7b1552a5c7a3</t>
  </si>
  <si>
    <t>83ec3932-01a8-4edd-a536-5561e2db9313</t>
  </si>
  <si>
    <t>e2d74590-88a0-41cb-8dd4-77927ea73f28</t>
  </si>
  <si>
    <t>d63f2880-b6aa-4d0f-8c5a-fcb33315bbfb</t>
  </si>
  <si>
    <t>ca5754fb-d733-454f-8456-d18983db9f7e</t>
  </si>
  <si>
    <t>3e465241-9ad1-47e4-9f58-8c8bb13ad1b4</t>
  </si>
  <si>
    <t>2e5a600a-d2c2-487c-bdb7-bd7dff87b026</t>
  </si>
  <si>
    <t>5e2ee7de-14f9-4737-9f8f-188ede462e7b</t>
  </si>
  <si>
    <t>1e00eee8-2639-47b8-98e4-e0f2f1dad9b0</t>
  </si>
  <si>
    <t>5af3ed28-48ab-4922-a66c-2fc80e9810e5</t>
  </si>
  <si>
    <t>b7c8d1b1-b4b9-48fc-bb1c-b404597ada27</t>
  </si>
  <si>
    <t>d5d367bc-7974-4638-b575-f33ac3b88175</t>
  </si>
  <si>
    <t>d8fe2631-9220-4303-82a8-a619dfea3457</t>
  </si>
  <si>
    <t>5cf6ef5b-0a25-48d9-b03f-6cff52080560</t>
  </si>
  <si>
    <t>10a4e35f-53cc-4056-a18e-7dc449a27a39</t>
  </si>
  <si>
    <t>23c5d3b2-6973-46fc-b53a-7b21b98a8921</t>
  </si>
  <si>
    <t>16c015a9-a11a-45fe-b857-04756f2ea533</t>
  </si>
  <si>
    <t>2fea84c5-102d-4151-94cf-aa29cc680a14</t>
  </si>
  <si>
    <t>2f983479-de2f-4828-9c8e-fe9c00cdef6a</t>
  </si>
  <si>
    <t>f22f0625-0613-4c25-806a-e9fe6d3039f2</t>
  </si>
  <si>
    <t>775adae9-daa8-43d6-a163-0a5b6e9c82c2</t>
  </si>
  <si>
    <t>2a29bac3-6feb-4d1e-a5fc-a4ff2fe18686</t>
  </si>
  <si>
    <t>2c648d9e-2c31-4067-af15-e177a763cd06</t>
  </si>
  <si>
    <t>c6a10e91-55ad-4e59-b65a-2e922c9b08a3</t>
  </si>
  <si>
    <t>491d0706-34ea-4807-9c34-b1ce8215c1fe</t>
  </si>
  <si>
    <t>a9b4704c-d21f-4e08-8170-e2e97082ae13</t>
  </si>
  <si>
    <t>e263d3ed-2257-4cb1-b8f4-9043ffe3df47</t>
  </si>
  <si>
    <t>538fa7ec-db92-4b87-a912-a885aa21344e</t>
  </si>
  <si>
    <t>dc7c1c94-957c-4453-96dd-50b3f93699f9</t>
  </si>
  <si>
    <t>b5649741-0299-4eba-99f2-4d9a562b709e</t>
  </si>
  <si>
    <t>faf0d017-06f8-446e-a7a9-6d37799db3fe</t>
  </si>
  <si>
    <t>07a7f59b-d082-4968-87ab-b502951403a4</t>
  </si>
  <si>
    <t>b05321ae-f5e9-4311-87f9-fdad99be050c</t>
  </si>
  <si>
    <t>16462356-0e4c-47dc-9145-f991b242031b</t>
  </si>
  <si>
    <t>64f4ba94-87c6-4baf-a2ec-03543270de97</t>
  </si>
  <si>
    <t>c518453b-0d9f-472f-b630-fac531720f18</t>
  </si>
  <si>
    <t>3f0d2212-6888-49c2-bb5f-e01aa2a6a20b</t>
  </si>
  <si>
    <t>daf561e8-0501-428f-89de-d06c15335397</t>
  </si>
  <si>
    <t>faf3784d-8eff-47e1-ac68-e20447066b03</t>
  </si>
  <si>
    <t>26cf9441-7570-417e-8b37-f9ab826fe9bd</t>
  </si>
  <si>
    <t>08ae325c-54e5-49b1-b4bb-017ad8c8c6b6</t>
  </si>
  <si>
    <t>dc5e274d-33db-44c1-877d-96e0dcdb37e6</t>
  </si>
  <si>
    <t>15ec25ee-746b-468f-9e7e-2772ced38179</t>
  </si>
  <si>
    <t>3e37ce26-c3e6-4693-9ef2-5baaab38a284</t>
  </si>
  <si>
    <t>ce42f31f-5daa-4204-b6b0-e525aabbfa21</t>
  </si>
  <si>
    <t>e155a136-3c02-4701-8a03-94256dbf054c</t>
  </si>
  <si>
    <t>35b3f404-8c9f-47bc-87da-f1bbf527dd7c</t>
  </si>
  <si>
    <t>08fc6673-39f9-4fef-9a25-752325f091ac</t>
  </si>
  <si>
    <t>62fc7d29-5926-4368-bada-3f091c2c0d89</t>
  </si>
  <si>
    <t>947dd62b-8c82-48f2-82ee-9d3f5f25f47e</t>
  </si>
  <si>
    <t>8856bdc5-45a4-4beb-baa2-faaa1361c05a</t>
  </si>
  <si>
    <t>44c2d2db-d9ef-41b9-bd7a-044315fd27fd</t>
  </si>
  <si>
    <t>33d1f8f9-fea1-4edb-96ab-6403e0d01910</t>
  </si>
  <si>
    <t>bd63b235-cbdd-4683-81dc-b4cf7e2e6b52</t>
  </si>
  <si>
    <t>ce36558b-7b8c-47a7-90d8-0ba6715e6046</t>
  </si>
  <si>
    <t>6e10cead-e3e0-48c1-b59a-cae26d56038e</t>
  </si>
  <si>
    <t>7b3fdc45-239f-4ef9-8e00-7d2e99c98f88</t>
  </si>
  <si>
    <t>2773376d-c0a4-4f1b-a5c2-6cc8c294c908</t>
  </si>
  <si>
    <t>dd1b74c1-f727-4e50-9fd2-dd5181277383</t>
  </si>
  <si>
    <t>0f447d28-9360-4159-9379-141961c6433c</t>
  </si>
  <si>
    <t>4c3231fb-c786-42b5-b043-921228027c44</t>
  </si>
  <si>
    <t>d890db2d-ae9d-49e7-8638-c176ff9a0043</t>
  </si>
  <si>
    <t>3c559109-e3d6-4e89-be7c-aeb2cd305976</t>
  </si>
  <si>
    <t>2ac8efab-fcfd-4288-b9ec-7fe40ee0f284</t>
  </si>
  <si>
    <t>203e5897-d549-4b28-925b-bb8383620e66</t>
  </si>
  <si>
    <t>4e6f6409-9b5f-47f7-8671-a51f615730cb</t>
  </si>
  <si>
    <t>9d8cc12d-7350-4061-87b5-dbc4a5f287a0</t>
  </si>
  <si>
    <t>f677c90e-a82c-422c-af50-34fbf53317a4</t>
  </si>
  <si>
    <t>90183108-f841-4197-8514-c0760ee8810b</t>
  </si>
  <si>
    <t>234785f3-a426-4af1-8935-3ab41b1100b3</t>
  </si>
  <si>
    <t>2a5b1d56-61b6-434b-9b6b-58b965bcc2bd</t>
  </si>
  <si>
    <t>a08ac06c-b7a1-4e3c-be8c-edeb2749a3c1</t>
  </si>
  <si>
    <t>f1648972-cff6-439f-9359-ed91ef4ac7dd</t>
  </si>
  <si>
    <t>a999f85c-8eaa-4aad-a3a9-9507c251f08b</t>
  </si>
  <si>
    <t>a4c31e17-4fcd-4f15-b128-a7afe54f855b</t>
  </si>
  <si>
    <t>4107e2a6-8f03-4a30-a94e-8419bcb9dc80</t>
  </si>
  <si>
    <t>ce28e6b1-148a-49c5-b06b-474d53d1dbf1</t>
  </si>
  <si>
    <t>6d1f24e6-8c29-4b40-9620-8583a6fca458</t>
  </si>
  <si>
    <t>07df6bd5-7b91-4c93-b663-ea0a7f371556</t>
  </si>
  <si>
    <t>afea39e7-da38-49f5-9559-21f50af7f4da</t>
  </si>
  <si>
    <t>9fd348d7-c20d-4420-9ea1-fd112dfe80d7</t>
  </si>
  <si>
    <t>f2ca544a-377e-4345-a500-6ab35bdda2f2</t>
  </si>
  <si>
    <t>5c49dc9f-3465-468a-850d-0882552c9ff2</t>
  </si>
  <si>
    <t>371f357c-c203-44d6-8e54-b9fbc4ac577c</t>
  </si>
  <si>
    <t>816ba288-2859-4aff-82dc-da710f45250f</t>
  </si>
  <si>
    <t>ae7a79e9-8cd5-419c-9876-1ae1a30d9ec1</t>
  </si>
  <si>
    <t>afa85e88-6170-4e52-92b5-879d0949e350</t>
  </si>
  <si>
    <t>22f6ace3-5e76-49db-b59d-e138f8da6089</t>
  </si>
  <si>
    <t>1b80b8d3-9a25-49f5-b6d2-b0fabcf547be</t>
  </si>
  <si>
    <t>03bd0d04-9a0c-436f-a084-913a7ab72bd9</t>
  </si>
  <si>
    <t>eb0c5970-bcd5-4e1a-9028-abac31f4aa21</t>
  </si>
  <si>
    <t>d27536ca-9b1e-4ed0-b265-735461f615eb</t>
  </si>
  <si>
    <t>d1950416-4b72-473b-9165-626148149cbd</t>
  </si>
  <si>
    <t>b84982e0-f789-49a1-b9cf-56fa729e4ea2</t>
  </si>
  <si>
    <t>0f83e0ee-63c8-49b0-81f1-aa0a14206b77</t>
  </si>
  <si>
    <t>2bb0d617-e177-441b-b164-430857f590da</t>
  </si>
  <si>
    <t>cad9acde-e672-4d9d-9815-8dd743569755</t>
  </si>
  <si>
    <t>fd396918-13e9-4127-8cb7-3ed4689c6ae4</t>
  </si>
  <si>
    <t>1874d954-b923-4674-82c1-4c6db89a4299</t>
  </si>
  <si>
    <t>db884acc-94cb-438c-8e5a-7fdd4f8aa6ec</t>
  </si>
  <si>
    <t>ee73d25d-c897-496c-93d9-73b9a5ec90d6</t>
  </si>
  <si>
    <t>bbc4c3c0-9f93-4b66-9d88-bdcfe5dc22c3</t>
  </si>
  <si>
    <t>88d05a72-aa3c-4de7-bf1a-7f24f51c4a6b</t>
  </si>
  <si>
    <t>a2b3bbb7-4e05-47c1-8923-9198d7bc7f34</t>
  </si>
  <si>
    <t>7c6d7960-e3ca-474f-aa7b-e241358fb4a5</t>
  </si>
  <si>
    <t>94a7e4eb-ec7c-4efa-b8f1-19852f316a3e</t>
  </si>
  <si>
    <t>ca0d7a49-d989-4475-b39e-5d9d9a719319</t>
  </si>
  <si>
    <t>9984e3b5-4312-43b5-b5f0-2903584f9069</t>
  </si>
  <si>
    <t>7edaf75a-21f2-4fff-a86d-c11409b7ef00</t>
  </si>
  <si>
    <t>d1208a8b-8333-49a7-bf33-ba5f49adf693</t>
  </si>
  <si>
    <t>ef094090-69d7-4d9f-b249-a0d98a3da0cc</t>
  </si>
  <si>
    <t>b5d4e310-5391-4973-a6d4-9b250419098f</t>
  </si>
  <si>
    <t>83613141-dadc-4a0a-a41f-bae411c3b806</t>
  </si>
  <si>
    <t>bdb9666e-1db1-42d8-b8da-ea18debab6c1</t>
  </si>
  <si>
    <t>8537c4fc-4b4d-4c32-b8bf-50146b00815d</t>
  </si>
  <si>
    <t>6ecd8413-2a9d-47d8-995e-f48f1b6fe361</t>
  </si>
  <si>
    <t>67ec28c2-c9c7-4dd5-9bb9-5d1b440016e3</t>
  </si>
  <si>
    <t>f5c272aa-9382-4661-9c54-e11ffb9e6b36</t>
  </si>
  <si>
    <t>94424d9b-425b-4b3a-aef9-bce085a6b4fd</t>
  </si>
  <si>
    <t>058c6a2c-b7e6-4019-aa40-2bbc2827aa03</t>
  </si>
  <si>
    <t>e757bc08-fa40-4d11-8d06-04ff07af3bef</t>
  </si>
  <si>
    <t>f7281fee-45e6-4a3a-b845-d87c58cc5d31</t>
  </si>
  <si>
    <t>c0f5af43-89cc-4f09-8c16-df3b4ccc4b2b</t>
  </si>
  <si>
    <t>fb119928-0cec-479b-80cf-bb6c29f18778</t>
  </si>
  <si>
    <t>a58181d9-0319-4397-b337-32db80365283</t>
  </si>
  <si>
    <t>c5cd1ef8-3ebc-4349-a4d3-2f281af38bcb</t>
  </si>
  <si>
    <t>32b3c29c-f9d3-46c3-ab27-67c6b7c87959</t>
  </si>
  <si>
    <t>e14aa618-dcc3-469c-8de6-3589f203f354</t>
  </si>
  <si>
    <t>a1c54d18-3b5a-429a-803f-d35d05a8f015</t>
  </si>
  <si>
    <t>96cfa628-4c7f-4d33-a1e4-8bd0748f2aa4</t>
  </si>
  <si>
    <t>dbb678c9-2094-45ea-92b2-0f10a272a768</t>
  </si>
  <si>
    <t>a5643f5c-d534-434a-bcf0-0b60e6820e26</t>
  </si>
  <si>
    <t>57587a99-eebd-4b99-a3b3-b870f1c94748</t>
  </si>
  <si>
    <t>c8768b49-1131-4ed3-a68c-4ce0d053b2f7</t>
  </si>
  <si>
    <t>63c2eba9-e545-4171-89a3-b146716bf115</t>
  </si>
  <si>
    <t>c390858e-e9f7-4ad8-945f-28234d05334b</t>
  </si>
  <si>
    <t>feb661de-2801-4a5c-8231-5563d08a7200</t>
  </si>
  <si>
    <t>0c57eea2-e702-4a0c-9809-8972c141626d</t>
  </si>
  <si>
    <t>5a1ddf71-69b8-4eab-83c1-9e4de431de11</t>
  </si>
  <si>
    <t>9305d219-e8de-46e1-a885-7d031d084733</t>
  </si>
  <si>
    <t>c49ef975-82ac-43e2-9fc6-b716938153bf</t>
  </si>
  <si>
    <t>e6eea1ed-6840-4d83-b947-c5d163204cfa</t>
  </si>
  <si>
    <t>3989e737-56e3-41fa-a18f-5a2eb27b8ea7</t>
  </si>
  <si>
    <t>64b11eae-b372-4c23-94a2-d45d9b6f9a70</t>
  </si>
  <si>
    <t>cc06919a-ede1-45f2-85c7-73b6cc9042af</t>
  </si>
  <si>
    <t>1dee7e25-e87a-4a3a-be82-f4b7f4255ecd</t>
  </si>
  <si>
    <t>9a4e0cf4-3caf-458c-bc87-fd9996775669</t>
  </si>
  <si>
    <t>4164aa27-8f5f-45f7-a105-bbfe9926bcf2</t>
  </si>
  <si>
    <t>8cd1a13c-7e77-462a-8f39-2fb10be1cccb</t>
  </si>
  <si>
    <t>97a8597a-9019-44fc-9c0f-74a3d6e15d0d</t>
  </si>
  <si>
    <t>77e075bd-d9d3-4daf-9355-1d369054db5b</t>
  </si>
  <si>
    <t>4f5c74a7-8372-4552-bc57-360279207ef2</t>
  </si>
  <si>
    <t>1847299c-e7ab-42f2-ab9f-d37a39df9317</t>
  </si>
  <si>
    <t>a07d2a9d-53b6-4e42-a830-a371fc5e7121</t>
  </si>
  <si>
    <t>989e1bfa-2429-4a3b-840a-0a2952907362</t>
  </si>
  <si>
    <t>ddaa5f52-a283-4b13-a490-9eccb7a57bf5</t>
  </si>
  <si>
    <t>733c33cb-9bee-43c7-91ad-09c728722ee7</t>
  </si>
  <si>
    <t>ba6437a3-d2e6-44b8-960f-1390e5fd7f38</t>
  </si>
  <si>
    <t>22a427f2-3386-404f-82bf-29c4f312cebc</t>
  </si>
  <si>
    <t>c491a392-e77d-454b-8212-e85eafda9842</t>
  </si>
  <si>
    <t>995718cd-8977-47f7-b213-eacbbf1117e9</t>
  </si>
  <si>
    <t>815b3622-46cf-4c25-ad3b-600981554d31</t>
  </si>
  <si>
    <t>663f749b-862a-4fd5-a7e8-fd47262c96c3</t>
  </si>
  <si>
    <t>7fa96ebe-b842-42fc-9d47-5adbb6c8dc12</t>
  </si>
  <si>
    <t>9ebe58f2-4f47-4fe7-8f04-8c4d0ee1675e</t>
  </si>
  <si>
    <t>e570b9d2-613c-4811-9072-f2161b97fe6f</t>
  </si>
  <si>
    <t>e6e9f088-4d46-4abb-b584-a2f5d2ba371b</t>
  </si>
  <si>
    <t>537e39d7-c717-4279-8e5a-45a0f6cddd01</t>
  </si>
  <si>
    <t>079fba3e-59ac-487b-a9f4-a4560ff08eed</t>
  </si>
  <si>
    <t>d9f4f70b-72f3-4d86-8984-a344f7f5c73e</t>
  </si>
  <si>
    <t>ea94d937-602b-4938-8db5-a0c733f8220d</t>
  </si>
  <si>
    <t>1ad1e826-28e2-46c6-9f39-92e89ef469aa</t>
  </si>
  <si>
    <t>1eb12ef8-82bd-46dd-843e-c8eb47ccd470</t>
  </si>
  <si>
    <t>8290e010-b903-453d-8b64-7be1166e1773</t>
  </si>
  <si>
    <t>218d9ec2-24fa-42f0-8aa1-1f692c082bca</t>
  </si>
  <si>
    <t>21023d54-2aa4-4a2d-b952-500627e43b3c</t>
  </si>
  <si>
    <t>8a62fc1e-839b-4360-bbfa-b186a736e257</t>
  </si>
  <si>
    <t>6a05b84c-4d44-4a89-8709-27ce14de7941</t>
  </si>
  <si>
    <t>51f5e2c4-a4c6-4098-bb8f-ffada44c0d39</t>
  </si>
  <si>
    <t>3b91b90a-e9f8-4633-acf3-a772a6630295</t>
  </si>
  <si>
    <t>6dffe481-53ff-4d9f-b874-f04ed172170e</t>
  </si>
  <si>
    <t>e68dafa1-cea0-40f4-897f-a065b813e071</t>
  </si>
  <si>
    <t>f64f803a-e0bb-4d4d-a25d-93c503f91181</t>
  </si>
  <si>
    <t>a6191a83-26a1-4737-8431-961500a184e9</t>
  </si>
  <si>
    <t>2980ab06-84bd-4a80-ac24-945486730743</t>
  </si>
  <si>
    <t>9604379e-14f5-44d9-9496-aaa0d2edb2d4</t>
  </si>
  <si>
    <t>9ccc151b-ce25-4e71-9d6b-be1bd0051457</t>
  </si>
  <si>
    <t>824c358a-8e08-4ad0-9ac2-9f33921281fc</t>
  </si>
  <si>
    <t>d9a2babb-5a3f-476b-a9c6-7a92e47c9c6c</t>
  </si>
  <si>
    <t>ba8fa378-ecbb-4f68-8674-ed01e62c4a56</t>
  </si>
  <si>
    <t>fc61ad51-6b9e-4334-a026-2b29e57021d7</t>
  </si>
  <si>
    <t>3b159621-a4a2-4319-a400-161523821178</t>
  </si>
  <si>
    <t>56300127-ac7b-4f80-98fe-5e45afc322d3</t>
  </si>
  <si>
    <t>1b1273ca-5352-42c6-8b0f-a9091d97f495</t>
  </si>
  <si>
    <t>56c5fb0e-dc21-4175-8ef0-2b269fc9f857</t>
  </si>
  <si>
    <t>12d520c7-b127-40c3-8b91-2ccfe9118080</t>
  </si>
  <si>
    <t>6ff26c11-f1c5-4f88-a72b-c76cfd372560</t>
  </si>
  <si>
    <t>ad39bd0a-a6c1-4699-aa9c-647e689c59f1</t>
  </si>
  <si>
    <t>77240fb2-3d23-4cc1-9399-e07a61a360e1</t>
  </si>
  <si>
    <t>1c7eb7dc-f687-4a15-80e5-348c0098530e</t>
  </si>
  <si>
    <t>36123878-2ecc-4f1b-b609-838dc00d03b1</t>
  </si>
  <si>
    <t>3eefe95b-5d22-4711-9eba-08c680b5a635</t>
  </si>
  <si>
    <t>918e1d9b-62fb-40db-993f-961d523af134</t>
  </si>
  <si>
    <t>6f9f0c95-4f19-402e-b681-b71829ddc9d0</t>
  </si>
  <si>
    <t>7adf79f4-2104-4e79-a5c5-59504511cd02</t>
  </si>
  <si>
    <t>d55b92f0-7d99-4c2d-9b41-9abdef28ef27</t>
  </si>
  <si>
    <t>d20b5392-18cb-4ee4-aa45-447ff85892d9</t>
  </si>
  <si>
    <t>88e5af00-1334-4313-8d26-04d0550a4d77</t>
  </si>
  <si>
    <t>6705c34e-ec6f-4603-8bbc-ed32e3e22de4</t>
  </si>
  <si>
    <t>d8df43c6-1e14-4204-9d79-8ab73dfd4a7b</t>
  </si>
  <si>
    <t>d3d3148c-95fb-484e-b777-ebd3bef61f38</t>
  </si>
  <si>
    <t>4431f958-1746-4224-a2b4-d393e000fdaa</t>
  </si>
  <si>
    <t>47d9469d-bc6d-4027-ab2f-dab073f9724d</t>
  </si>
  <si>
    <t>df9d208b-95c9-44bf-8710-2dddc32ed613</t>
  </si>
  <si>
    <t>7a0578e7-4eb1-472b-9d9f-768f1c234ba8</t>
  </si>
  <si>
    <t>cf7c4f26-a5fa-4b08-8d14-375035af8112</t>
  </si>
  <si>
    <t>ffcf75bc-56ae-47f2-b911-226647efea8b</t>
  </si>
  <si>
    <t>40dcad30-e8e1-40ba-9f93-e654007e2e3a</t>
  </si>
  <si>
    <t>85d641e4-711e-4425-8357-b6588323fac8</t>
  </si>
  <si>
    <t>b288dfba-f225-4ef1-aa9f-ba1a55733f8a</t>
  </si>
  <si>
    <t>5313e1d3-29b0-4fef-976a-918539250dfb</t>
  </si>
  <si>
    <t>d3c57012-01f5-46c0-b127-d2bad4f6c7f4</t>
  </si>
  <si>
    <t>0d216134-d33d-4efd-8d47-da0a48903b0a</t>
  </si>
  <si>
    <t>d4dc07bd-db06-485f-945d-2d7225bc3ff9</t>
  </si>
  <si>
    <t>a116aea4-bf44-43df-8649-c9cac2ecbcc1</t>
  </si>
  <si>
    <t>18471e70-ea9e-40a8-b8b8-173b0c35148b</t>
  </si>
  <si>
    <t>cc8b15f0-3db0-4444-9aae-c5fee1a1d7b2</t>
  </si>
  <si>
    <t>d543108d-a01f-4395-9c46-d7516667f5b7</t>
  </si>
  <si>
    <t>e5a5ec10-20a3-492b-b8bc-48e5a4eb3225</t>
  </si>
  <si>
    <t>57345b16-a4a1-4190-a07a-0c38bdbd0e8e</t>
  </si>
  <si>
    <t>3858ddcb-895d-40fa-8fda-2be9bf81cc9d</t>
  </si>
  <si>
    <t>233a9b6c-2e56-4b0b-a9e5-31de2a811cb2</t>
  </si>
  <si>
    <t>8fb7343e-fc84-4bf1-a60a-be67bf2550c0</t>
  </si>
  <si>
    <t>1bae301a-a0ac-458b-9cfa-5e01893d9f4e</t>
  </si>
  <si>
    <t>9c1824de-ae35-4b15-91c4-a56bb7cb71cb</t>
  </si>
  <si>
    <t>e9937c58-a463-4ec8-8651-8ef583f27865</t>
  </si>
  <si>
    <t>30c3cc93-c115-4b57-9894-b3ddc49c8644</t>
  </si>
  <si>
    <t>61ccbdb1-4733-408f-9422-2ca9843d77b2</t>
  </si>
  <si>
    <t>c7ece4c0-bb17-47c6-b858-437706ad1ce1</t>
  </si>
  <si>
    <t>cf021b28-6a6b-4539-848a-e7eabd2a1f66</t>
  </si>
  <si>
    <t>e1d77703-af05-4c3b-852f-14711024a836</t>
  </si>
  <si>
    <t>3791b6d2-0afd-4154-97e9-de247d546fe4</t>
  </si>
  <si>
    <t>1a8d0fb3-56a8-48f2-bd7f-a95f5dc3b0a0</t>
  </si>
  <si>
    <t>be3c0658-6e7c-4f5b-b9f1-1501583c5859</t>
  </si>
  <si>
    <t>f64972a9-50f0-4eda-be24-10230ca1b746</t>
  </si>
  <si>
    <t>68bcb2b7-1227-42ee-ae4c-3a538e9656bd</t>
  </si>
  <si>
    <t>7ac51fd1-895b-41f4-94a8-ac153f8dc670</t>
  </si>
  <si>
    <t>04571aa2-29c4-4c61-87f5-54b3622664d9</t>
  </si>
  <si>
    <t>a7a02960-cbad-476f-b563-d47e145ed2c4</t>
  </si>
  <si>
    <t>b8d53ae6-a725-4e74-8478-e25950b41613</t>
  </si>
  <si>
    <t>64e98a8e-7fe4-482a-a442-792f525eafb9</t>
  </si>
  <si>
    <t>c02dc5ea-cba5-484e-a441-e5c23630f10e</t>
  </si>
  <si>
    <t>2dabca55-229c-4205-b06f-1c2c8637fa09</t>
  </si>
  <si>
    <t>c9d0316e-0852-4ead-8bf0-9200d662b916</t>
  </si>
  <si>
    <t>f52697a4-7862-41db-860b-60bf00747082</t>
  </si>
  <si>
    <t>ee4868ab-ff7e-4790-b4d5-6cb3320186cc</t>
  </si>
  <si>
    <t>5557c902-9cde-44ac-8320-566e8f25f3f6</t>
  </si>
  <si>
    <t>07acccdd-3a70-4998-954e-882b144631cc</t>
  </si>
  <si>
    <t>249e44ea-e304-48fa-932d-75d8c750e97f</t>
  </si>
  <si>
    <t>2a8bc5a7-0da7-4584-9401-d05672191ca5</t>
  </si>
  <si>
    <t>b54e83cd-508a-4efb-948c-9bd4062fd09f</t>
  </si>
  <si>
    <t>4fb96e4f-aa31-4fef-964e-1ed0eb7b4cfe</t>
  </si>
  <si>
    <t>013876d7-26d5-44bd-a4be-dd5b94a5a78a</t>
  </si>
  <si>
    <t>2fe6b3f4-1f4e-4d17-9f84-ed2efd6ee7c3</t>
  </si>
  <si>
    <t>05add0d1-9862-4db9-b993-80f156580be5</t>
  </si>
  <si>
    <t>a7fcd5ae-34bc-4e2b-9da1-f57b51b4d45d</t>
  </si>
  <si>
    <t>d2c85689-cb6c-4a7b-b612-e1a483bf1f02</t>
  </si>
  <si>
    <t>189a93dd-7e61-48cb-bcc5-5a8c2bc69217</t>
  </si>
  <si>
    <t>3d60793d-13dc-439b-afa3-1981a3ca311a</t>
  </si>
  <si>
    <t>00d7a38d-feb0-4b91-8d02-b6ac048a2216</t>
  </si>
  <si>
    <t>c2c8fa90-3989-4510-949c-391ac2727e93</t>
  </si>
  <si>
    <t>f8c2c766-c3db-4d87-ad99-5a464f7a16df</t>
  </si>
  <si>
    <t>cf6a3449-686e-4e9e-a2f6-d3283a51429e</t>
  </si>
  <si>
    <t>aad9bf5c-7a7a-43e1-afa4-50a011a6efc6</t>
  </si>
  <si>
    <t>ec600f8a-1bc8-4dbd-a294-625771476ff1</t>
  </si>
  <si>
    <t>c3b7e73b-2874-4de5-8352-36085231ada7</t>
  </si>
  <si>
    <t>524ad744-bc23-4ce3-a86d-865cf126bb47</t>
  </si>
  <si>
    <t>e329f06c-96ff-4cb9-a729-b17d433e0f7f</t>
  </si>
  <si>
    <t>6203794b-d982-4474-91d4-ef33f65b1417</t>
  </si>
  <si>
    <t>141d0a91-5353-4539-816d-56a70dbe278b</t>
  </si>
  <si>
    <t>9369b241-6656-4923-9c44-f14b6fe632b5</t>
  </si>
  <si>
    <t>ac2564b7-252b-43e2-ba4c-20125e04c7d5</t>
  </si>
  <si>
    <t>3c953992-d03e-4697-ba71-98eaa27b41ba</t>
  </si>
  <si>
    <t>b0906f00-767b-42be-9e48-982d02835e3d</t>
  </si>
  <si>
    <t>6a416fc2-6be2-48d8-803a-966fa5272f68</t>
  </si>
  <si>
    <t>44fdedc5-7af3-4675-9cbe-c3f5dd811ec8</t>
  </si>
  <si>
    <t>8b2154fc-8e3f-4934-ab3e-3f8cea299a45</t>
  </si>
  <si>
    <t>64a8adc8-5efa-4f20-88e6-4ea19fc1927c</t>
  </si>
  <si>
    <t>dcd45371-fc63-4985-9fc6-6f2a27a9c8ad</t>
  </si>
  <si>
    <t>548cf111-7127-4e79-bf09-7392836adfc4</t>
  </si>
  <si>
    <t>932421ef-b7e1-4cd6-bdad-b4b9dd8003eb</t>
  </si>
  <si>
    <t>6682db08-5910-420e-ad1e-73952cd1e342</t>
  </si>
  <si>
    <t>15581920-7487-4a7d-a3aa-9f7d107a3813</t>
  </si>
  <si>
    <t>8fbed9d1-2fd9-40f1-a95f-cf7f73824a55</t>
  </si>
  <si>
    <t>95f33723-ce55-493c-aec1-08e5be554aba</t>
  </si>
  <si>
    <t>616c9853-9218-44c6-93ee-27ca21d2ab0c</t>
  </si>
  <si>
    <t>ddd95e30-4be9-4b35-bb04-9d89f95ad448</t>
  </si>
  <si>
    <t>4d34125a-2e69-4e17-88cc-2c6c4a5e3003</t>
  </si>
  <si>
    <t>fc04ae65-e36f-488f-9a7c-9fc55574d31a</t>
  </si>
  <si>
    <t>cc5e0873-c20c-4be0-b00e-1801612942dd</t>
  </si>
  <si>
    <t>45b7f0b7-cca6-4d8b-9958-52bc449d8105</t>
  </si>
  <si>
    <t>23ddaa77-7f68-4275-82d2-d04be23bd9f2</t>
  </si>
  <si>
    <t>5518c4db-b1f2-4d43-a7a6-0b0f5e920ce8</t>
  </si>
  <si>
    <t>a6ba701e-5fb7-4409-abf9-ea4d7c419d61</t>
  </si>
  <si>
    <t>ea5d8e99-89ea-4dba-b242-01fb030f8ba1</t>
  </si>
  <si>
    <t>45efd628-5c05-405c-b6bb-b6b3f219bcf2</t>
  </si>
  <si>
    <t>a1c5133b-8901-41b2-8143-3a9e6975ac1f</t>
  </si>
  <si>
    <t>6700b8e3-1908-433b-b5e0-dea74e18db58</t>
  </si>
  <si>
    <t>30945870-cc11-4584-bb08-8043c8541718</t>
  </si>
  <si>
    <t>cedfbe95-0b99-414f-84aa-4e0cc0534e71</t>
  </si>
  <si>
    <t>daff60ed-22a9-49e9-b4b1-653f17544746</t>
  </si>
  <si>
    <t>e6770750-ec3f-40b5-bce5-8008343816a6</t>
  </si>
  <si>
    <t>646e0986-c0c6-4a34-963b-83f501a6e3a8</t>
  </si>
  <si>
    <t>8d6efef8-098f-432c-ac2e-869bfe083049</t>
  </si>
  <si>
    <t>e68b7472-c437-42e6-9154-c06c141e6fae</t>
  </si>
  <si>
    <t>03a852ec-d861-4bba-92ec-499c518fd4bc</t>
  </si>
  <si>
    <t>8ba4158c-62d3-4d01-bee3-804f33246907</t>
  </si>
  <si>
    <t>ca24e03e-1fe9-416f-a553-df951b70692f</t>
  </si>
  <si>
    <t>14f07495-e6e1-4512-b81b-6ac21453d837</t>
  </si>
  <si>
    <t>51c2f01b-b2cc-4dc0-8488-b88b2885e12c</t>
  </si>
  <si>
    <t>e5e2d253-a64a-4c41-b1b5-4a23d5c1a86f</t>
  </si>
  <si>
    <t>b66b5402-118d-48b5-91bd-2f00f3a389b7</t>
  </si>
  <si>
    <t>42b842d2-4959-4874-8f11-1abf45049c2e</t>
  </si>
  <si>
    <t>77cd5868-a70f-4837-a9e9-1c807073dfb1</t>
  </si>
  <si>
    <t>4f4c6e2e-95ca-45b0-97b5-4b9f0acc67f4</t>
  </si>
  <si>
    <t>26f75730-7a5d-4d8c-a02b-ad29854da3a7</t>
  </si>
  <si>
    <t>1c2fc513-f594-42cd-aa8f-05d75c59adde</t>
  </si>
  <si>
    <t>26412147-0c6c-46a1-9060-969b79308f8b</t>
  </si>
  <si>
    <t>eaae7519-0197-485c-a436-eae61c45aa13</t>
  </si>
  <si>
    <t>62da9e26-289c-455c-a017-faf2303cd283</t>
  </si>
  <si>
    <t>495fc298-8377-41cd-b61a-c7f0c262b415</t>
  </si>
  <si>
    <t>04ab2e37-442e-4f68-9e9f-f1dda22ddd3d</t>
  </si>
  <si>
    <t>c1b93c66-6ca0-437c-a6bb-34f8a5d2ab70</t>
  </si>
  <si>
    <t>924c9bb3-5b5d-45d1-b4c6-85ea7cd6aba2</t>
  </si>
  <si>
    <t>69d4d16a-a197-47d5-af08-ce815975c2b5</t>
  </si>
  <si>
    <t>20138d39-ed9e-4964-8ff7-e1f433efc3d3</t>
  </si>
  <si>
    <t>5aba518f-6776-473c-9f61-aaa89573f189</t>
  </si>
  <si>
    <t>63e5cd6f-867b-4d87-8b57-62fb13dbee8c</t>
  </si>
  <si>
    <t>854d3bd3-277f-4eea-974b-1e728766cd70</t>
  </si>
  <si>
    <t>d6bbaa34-0375-44f7-8d12-02e97eb5572e</t>
  </si>
  <si>
    <t>7e2eb473-422d-4734-99e8-818cbafb6770</t>
  </si>
  <si>
    <t>cd6fe6f6-24e8-4709-af44-2447f2772670</t>
  </si>
  <si>
    <t>a724911f-a187-4a2d-86de-608cf1c5543d</t>
  </si>
  <si>
    <t>25678ea7-49d0-4696-9b48-08e565f785d7</t>
  </si>
  <si>
    <t>7c3bda73-e527-47be-8618-3b6997a97ef2</t>
  </si>
  <si>
    <t>980fc1fd-ffa6-4d5a-88a4-3d5e9c98d3a6</t>
  </si>
  <si>
    <t>7e1483d3-abe2-4e94-9bda-d4df6c686301</t>
  </si>
  <si>
    <t>3f56ff72-34f0-4374-8e60-8db5ed72b36c</t>
  </si>
  <si>
    <t>484704d1-fcd3-431a-af0c-0ef418525b8b</t>
  </si>
  <si>
    <t>4ab3c66f-5a8c-4726-81a2-a5b9e271367e</t>
  </si>
  <si>
    <t>c28a4d3d-0894-4a94-be1d-44981004bf09</t>
  </si>
  <si>
    <t>4d43ef0d-2589-4931-9271-15debdb38933</t>
  </si>
  <si>
    <t>3f6d06d5-f7c1-4841-a898-bdeb995e3edf</t>
  </si>
  <si>
    <t>29412922-ba27-478c-8681-3728f9caf9e3</t>
  </si>
  <si>
    <t>1cd9269b-0176-4f37-81a4-f77a84d6bb9e</t>
  </si>
  <si>
    <t>fdd03e8f-9e8c-47f6-85dd-3ce72ae739b9</t>
  </si>
  <si>
    <t>c16f5df2-2397-4bf8-afa9-a3c787d45219</t>
  </si>
  <si>
    <t>8cbe26b6-8e82-4794-9ecf-885a74d6f0e2</t>
  </si>
  <si>
    <t>b1cfdf2d-2b8d-471d-8d0e-999cab5b860c</t>
  </si>
  <si>
    <t>e53139bd-46f1-427a-87e1-cef534fa08a6</t>
  </si>
  <si>
    <t>647a2418-edb7-4e51-9859-77a97d698425</t>
  </si>
  <si>
    <t>4d2dae5e-c41e-461d-8272-f8e2d9b8b59d</t>
  </si>
  <si>
    <t>b70dc865-5d58-448e-ad5c-75629daed3b6</t>
  </si>
  <si>
    <t>9641de7e-d581-4448-802a-e7d82a79d0f9</t>
  </si>
  <si>
    <t>8d4dc535-5d84-41a2-bf51-235ae6ec18e5</t>
  </si>
  <si>
    <t>201942c9-2cce-4c65-91e2-579cfd629684</t>
  </si>
  <si>
    <t>a2734144-d8bd-485c-a528-d60887136a0c</t>
  </si>
  <si>
    <t>c78095a9-0ae7-4c86-92de-46bee7b64060</t>
  </si>
  <si>
    <t>7f2f9d25-b715-46eb-9ba8-c6c73bdd52f1</t>
  </si>
  <si>
    <t>f11e1aa8-b5e3-4481-8b40-14bf45814706</t>
  </si>
  <si>
    <t>cf000737-a39a-43fb-9573-6396a8ccbc3b</t>
  </si>
  <si>
    <t>daf708be-3093-4247-bd38-416c340b846a</t>
  </si>
  <si>
    <t>ce49ad2a-4d31-4fa1-98f7-a4b5bae68831</t>
  </si>
  <si>
    <t>e53208c3-d226-42ec-b2be-f06a7eca65bf</t>
  </si>
  <si>
    <t>7b06fb79-62bc-457e-abec-afe611779f20</t>
  </si>
  <si>
    <t>e4bff7e7-ff6d-43c1-803a-68670d5947b4</t>
  </si>
  <si>
    <t>241b21ab-eb7c-4cc1-b5c8-fc3e91757f63</t>
  </si>
  <si>
    <t>1f7b435d-c8ea-4e66-9d53-e3c9f11c4ddc</t>
  </si>
  <si>
    <t>11074976-d278-449c-b93b-4ea9eb2f623c</t>
  </si>
  <si>
    <t>3d1378a6-91d8-44a8-bac6-d06d941c8e52</t>
  </si>
  <si>
    <t>29bcc878-a18c-4810-ae6e-3baab1edc71c</t>
  </si>
  <si>
    <t>108a8501-c3c9-47bd-a796-ffb4a912f745</t>
  </si>
  <si>
    <t>5b476147-4372-47be-be09-9213ae105b00</t>
  </si>
  <si>
    <t>5eae5a37-3e98-44e2-8e66-a75375f45c34</t>
  </si>
  <si>
    <t>8cf4a00f-359f-4fe2-b654-49d18b45c278</t>
  </si>
  <si>
    <t>a888053e-7d77-4719-bdf7-e1e086b6be12</t>
  </si>
  <si>
    <t>e3f74849-b87c-4ac6-bb75-50d9e6b7a5b0</t>
  </si>
  <si>
    <t>e40a1ba0-52b8-4e19-abc9-4d7908250a46</t>
  </si>
  <si>
    <t>084daa4c-fae8-4c42-bfec-00282ec2aff2</t>
  </si>
  <si>
    <t>623141cb-5acd-4f12-934c-ed25c6cfeea4</t>
  </si>
  <si>
    <t>f08884a7-972b-43d3-b802-9c5cd6bb1443</t>
  </si>
  <si>
    <t>d9c93ddd-1cb6-40b7-969e-1c1dc312d2a3</t>
  </si>
  <si>
    <t>7b116761-7935-4797-92b1-70dcb23af955</t>
  </si>
  <si>
    <t>0ba1a7a7-f55e-4e56-a350-b27282c68df1</t>
  </si>
  <si>
    <t>0733078d-7caf-4158-b600-298cc1a5079a</t>
  </si>
  <si>
    <t>3533cd64-91df-46ea-b04d-2a1c68283270</t>
  </si>
  <si>
    <t>ac2a0c2c-355c-493f-907f-29ed74b222c2</t>
  </si>
  <si>
    <t>742c6de4-2b72-4676-a69c-a7ab4f7c4ed8</t>
  </si>
  <si>
    <t>fd9a3964-eac9-462e-9735-ad6a04d5570e</t>
  </si>
  <si>
    <t>f417b856-8587-4d44-bac6-6dcfde253fec</t>
  </si>
  <si>
    <t>add63664-896e-4b4a-8b40-21564c0beba4</t>
  </si>
  <si>
    <t>e2c94bcf-14d3-4025-82dc-e120f446fc71</t>
  </si>
  <si>
    <t>937eb36b-b7f6-46a7-a600-1726f0970549</t>
  </si>
  <si>
    <t>8ff9e056-9796-4c21-8a02-451ec496e16f</t>
  </si>
  <si>
    <t>50ad479a-2b63-400e-b495-e44970f7d3c0</t>
  </si>
  <si>
    <t>3f840e61-d3c1-4d2b-9089-6b49a3b276e3</t>
  </si>
  <si>
    <t>963f1b9f-a025-4999-ba04-8fc0c4ca2051</t>
  </si>
  <si>
    <t>94d66c40-9049-419a-8cb0-353863820a1b</t>
  </si>
  <si>
    <t>2eb50e0b-b2bf-42b4-9044-bb87f70309f4</t>
  </si>
  <si>
    <t>fe1b90a4-70bb-4a9e-8ece-d0d4ac4437bf</t>
  </si>
  <si>
    <t>e11fcf26-0c9a-4970-ad65-d31125150225</t>
  </si>
  <si>
    <t>018e1e8b-0f5e-475b-be45-26d4d7615d7f</t>
  </si>
  <si>
    <t>a3c08b06-04fd-450f-a40e-5cc82ee279e7</t>
  </si>
  <si>
    <t>8d8dc99d-2735-4d69-b57a-8915ddd7a6a0</t>
  </si>
  <si>
    <t>85e86e68-d85a-4986-a43e-dbf63dbf5d91</t>
  </si>
  <si>
    <t>dcefdd08-3f4b-45f4-a7cc-62dad94bd3b0</t>
  </si>
  <si>
    <t>c86d1710-68d2-4522-8153-a4cc20868f37</t>
  </si>
  <si>
    <t>3c0a60a8-be4d-4a02-a6c3-e52a7f2ac3bd</t>
  </si>
  <si>
    <t>3b4ed7a3-f489-44cf-924f-177d81fe42ac</t>
  </si>
  <si>
    <t>9b4ca41b-c866-4996-8f24-2e435b8334aa</t>
  </si>
  <si>
    <t>b4239ad3-035e-499c-83f5-0a7d8706bffe</t>
  </si>
  <si>
    <t>e899b305-6d4f-46e3-adf4-eed2827b92d8</t>
  </si>
  <si>
    <t>a97f249f-4344-415f-8de9-456c897f60a6</t>
  </si>
  <si>
    <t>bae0174d-ae03-4529-8448-56acbe6b7528</t>
  </si>
  <si>
    <t>e450b48e-8cb1-409e-81e8-71f1496b2441</t>
  </si>
  <si>
    <t>33a5e361-c7ab-401c-9484-0c16f5aadd77</t>
  </si>
  <si>
    <t>73419633-cf3e-4643-b3bc-58e2229d4b6f</t>
  </si>
  <si>
    <t>1182dfac-3835-4c9e-939b-16064a0280c1</t>
  </si>
  <si>
    <t>ba785562-b44e-4399-9921-a184178db59b</t>
  </si>
  <si>
    <t>f5803f7b-a78d-4c6f-8d5e-9097d4a0bc25</t>
  </si>
  <si>
    <t>8b51a9c2-e645-47b3-88b7-7f722a2c6ef6</t>
  </si>
  <si>
    <t>fd150e96-2cbb-40dd-b93b-5eacb36d0fbc</t>
  </si>
  <si>
    <t>685a41d9-ff32-4ab8-91f8-18e6c936b453</t>
  </si>
  <si>
    <t>a555065e-af4c-4f55-9a4b-d5a839627469</t>
  </si>
  <si>
    <t>6c360516-acc2-44ca-85a4-0326dc8eaac3</t>
  </si>
  <si>
    <t>13baa688-da05-4acb-b8df-7ab83aecb6be</t>
  </si>
  <si>
    <t>136c9348-5f7f-4159-b6be-1267f89997a5</t>
  </si>
  <si>
    <t>f953950a-275a-4c58-93d6-9e793e29e0fb</t>
  </si>
  <si>
    <t>b2f31a13-8e8b-4c83-a810-4bc1e8838c13</t>
  </si>
  <si>
    <t>3d85b73b-64f0-4f33-ae85-de7def50531c</t>
  </si>
  <si>
    <t>d1eaa536-26bc-40f6-8244-b31a656ede73</t>
  </si>
  <si>
    <t>1de6d6b2-8b82-414f-bb0b-261b798f5e76</t>
  </si>
  <si>
    <t>d1150b8e-57b4-4c25-aaa3-310b9be3d33f</t>
  </si>
  <si>
    <t>0ff2e7d8-6af8-4635-8bfd-d71a201df982</t>
  </si>
  <si>
    <t>0e2f8884-93dd-4025-a33e-1c3976f411e7</t>
  </si>
  <si>
    <t>90341398-a46b-43a9-9885-8ec33a192460</t>
  </si>
  <si>
    <t>f4a44691-831b-4035-a566-33d0fa18d500</t>
  </si>
  <si>
    <t>9f09b6f1-6d9b-4fec-8028-848f972ba144</t>
  </si>
  <si>
    <t>10349ef5-e43b-4462-9a61-7ad2b0fffaf3</t>
  </si>
  <si>
    <t>fc5935fa-df51-4353-a0d8-eaed73956b85</t>
  </si>
  <si>
    <t>2b6c6ff7-6730-4be7-9258-566d448479ca</t>
  </si>
  <si>
    <t>50326c73-e4e3-418d-a35d-a2bc795b4b27</t>
  </si>
  <si>
    <t>892b0700-af0f-4a4a-a6dc-c9e0357af841</t>
  </si>
  <si>
    <t>b72a37af-3214-4a1c-9d3a-65699f2e6c1d</t>
  </si>
  <si>
    <t>710c7e0e-a55e-4dad-8050-f3035c0b7287</t>
  </si>
  <si>
    <t>08818a1f-457a-4e23-95c0-6eecdc8d5f8e</t>
  </si>
  <si>
    <t>e69e4ec8-22b4-43b0-a4ff-fb2277857d8d</t>
  </si>
  <si>
    <t>abcac68c-e9e3-4466-b61f-57ac38b89e7d</t>
  </si>
  <si>
    <t>7342acd2-1d80-4499-8932-3c8a5560a9d9</t>
  </si>
  <si>
    <t>b952c9f6-db3b-4d50-a64f-9001c3539d49</t>
  </si>
  <si>
    <t>106f02a7-b5cf-4c68-a14a-b51cd56ce2e0</t>
  </si>
  <si>
    <t>be766057-eb23-4d19-9ac9-4ec345609e84</t>
  </si>
  <si>
    <t>353b8269-1480-450f-b88a-0d9d32592ce9</t>
  </si>
  <si>
    <t>1c921576-509a-4d87-8b05-38f49d548eaa</t>
  </si>
  <si>
    <t>3568a0eb-a055-4302-96f3-4473e50e82ee</t>
  </si>
  <si>
    <t>7fa26891-eb93-4ebc-853b-32cb3344cba3</t>
  </si>
  <si>
    <t>22287754-1ff4-47ef-a791-bfbd60dd0aa2</t>
  </si>
  <si>
    <t>0835daf8-7c27-4e03-8f14-eba956191234</t>
  </si>
  <si>
    <t>8e814f97</t>
  </si>
  <si>
    <t>f8d38a31-ed56-4365-8ce0-c1ffcc00ca14</t>
  </si>
  <si>
    <t>3124579d-82ec-4087-8f02-be984a56dd8d</t>
  </si>
  <si>
    <t>4ad7298d-e459-4a21-aa38-0e2dd5581917</t>
  </si>
  <si>
    <t>9aabf635</t>
  </si>
  <si>
    <t>457a57b2-94e1-4004-b594-004abf6dc2c9</t>
  </si>
  <si>
    <t>15734B3C2E</t>
  </si>
  <si>
    <t>f4122f17-f64b-4061-8e4c-37af8a4d90b1</t>
  </si>
  <si>
    <t>9077f262</t>
  </si>
  <si>
    <t>36d457ab-d6fb-4112-b503-0eeeb2d53110</t>
  </si>
  <si>
    <t>a1a9fa58</t>
  </si>
  <si>
    <t>0462754a-ceac-45cd-9b47-86029827b9a1</t>
  </si>
  <si>
    <t>5b1647be-8948-4712-91f2-aac4dbbfb147</t>
  </si>
  <si>
    <t>697971cb</t>
  </si>
  <si>
    <t>1944c408-8784-4b1b-bc6d-fb1b417e4f14</t>
  </si>
  <si>
    <t>5c24ed9e</t>
  </si>
  <si>
    <t>df89738c-a4c4-4d40-8085-6031649dd1e7</t>
  </si>
  <si>
    <t>0cfea8b6</t>
  </si>
  <si>
    <t>8227c7ab-f0af-458d-a5cf-815d4c7469a5</t>
  </si>
  <si>
    <t>75f21fc4</t>
  </si>
  <si>
    <t>dbdec20b-cb3a-431f-ae34-77c1a896c08f</t>
  </si>
  <si>
    <t>56570bad</t>
  </si>
  <si>
    <t>38a0cdd2-a689-460a-989d-49644f0d8691</t>
  </si>
  <si>
    <t>5791a9b1</t>
  </si>
  <si>
    <t>169d47aa-82ca-48a7-a862-1cc0c50f2e32</t>
  </si>
  <si>
    <t>6dcee182</t>
  </si>
  <si>
    <t>f0dfa45c-abd3-4328-9204-27e874241273</t>
  </si>
  <si>
    <t>4fa4b5ab</t>
  </si>
  <si>
    <t>e4000841-804f-4d19-98e3-57f8c1ece62f</t>
  </si>
  <si>
    <t>60da4656</t>
  </si>
  <si>
    <t>3a2fc30a-592f-4138-b984-7f44246867a3</t>
  </si>
  <si>
    <t>24ee83fd</t>
  </si>
  <si>
    <t>93780cc9-e60c-4f0d-887e-bd6dcbc0a6de</t>
  </si>
  <si>
    <t>4cdd6476-8ea9-4200-b9c3-960ffbc8f2c0</t>
  </si>
  <si>
    <t>2613753f</t>
  </si>
  <si>
    <t>7d410229-2271-4c29-9c9d-393fb211df37</t>
  </si>
  <si>
    <t>693a5c26</t>
  </si>
  <si>
    <t>da02ac8c-da56-4b32-800a-ccda920083f0</t>
  </si>
  <si>
    <t>fb779ec7</t>
  </si>
  <si>
    <t>04c992ca-aa24-4ff8-8376-44a07a565ece</t>
  </si>
  <si>
    <t>cc7deed2</t>
  </si>
  <si>
    <t>da6ae027-49de-4830-9f34-5c0a036f9b67</t>
  </si>
  <si>
    <t>d89874c1</t>
  </si>
  <si>
    <t>ef843b54-a0ec-4cd2-96c0-d0bfa4568137</t>
  </si>
  <si>
    <t>4c3dc7d8</t>
  </si>
  <si>
    <t>386ba082-1f68-424d-b845-58110ba317d0</t>
  </si>
  <si>
    <t>17cb6388</t>
  </si>
  <si>
    <t>6175e0bb-079d-423c-81e7-437f7b8df363</t>
  </si>
  <si>
    <t>499267bc</t>
  </si>
  <si>
    <t>1df36d86-10e4-423f-997f-05a107521997</t>
  </si>
  <si>
    <t>a4ac893b-dba2-4b73-ba77-d196c0d07a7f</t>
  </si>
  <si>
    <t>2a048de0</t>
  </si>
  <si>
    <t>7029674c-dedf-4463-820e-2e882f40f1c5</t>
  </si>
  <si>
    <t>343986c3</t>
  </si>
  <si>
    <t>088f6f88-b6ce-4485-a39f-edbbef926510</t>
  </si>
  <si>
    <t>033f1b3a</t>
  </si>
  <si>
    <t>1da20d6d-8ed0-457f-ba53-9f8f1d626707</t>
  </si>
  <si>
    <t>ae555722</t>
  </si>
  <si>
    <t>5e3c6ff6-5f4c-40a7-b4a7-8e3047016896</t>
  </si>
  <si>
    <t>cc970d55</t>
  </si>
  <si>
    <t>83051aa9-de97-4d75-9661-c312a6f9a06e</t>
  </si>
  <si>
    <t>fb45d590</t>
  </si>
  <si>
    <t>891b4a37-d2b9-4046-a6b0-fab921f668cb</t>
  </si>
  <si>
    <t>2685f41f</t>
  </si>
  <si>
    <t>bfaa27d5-b93a-4f50-8445-7b8a19202a8c</t>
  </si>
  <si>
    <t>402cda71</t>
  </si>
  <si>
    <t>50a0c559-0c00-494e-bb0c-9d786283b743</t>
  </si>
  <si>
    <t>29CCE76FFB</t>
  </si>
  <si>
    <t>abb2a12e-2717-43d5-9f81-4c600ea6f0a7</t>
  </si>
  <si>
    <t>022C4A9B1C</t>
  </si>
  <si>
    <t>40989c23-75df-4136-8404-e95ec256966d</t>
  </si>
  <si>
    <t>97c59f68</t>
  </si>
  <si>
    <t>4e7e7750-1959-4e75-8468-058b6c938bda</t>
  </si>
  <si>
    <t>1bfb8031</t>
  </si>
  <si>
    <t>91c431da-c86a-4480-9b35-be287896f96c</t>
  </si>
  <si>
    <t>4ad9b1b1</t>
  </si>
  <si>
    <t>27a2ede0-f864-4ca2-aef8-dd2b25e361af</t>
  </si>
  <si>
    <t>54cdc19e</t>
  </si>
  <si>
    <t>a5bd8297-11dc-483b-9653-7de65b25fe0d</t>
  </si>
  <si>
    <t>99434ac2</t>
  </si>
  <si>
    <t>a28a0a7f-e7e6-4f16-a503-6ab41a9b8de7</t>
  </si>
  <si>
    <t>1e80996f</t>
  </si>
  <si>
    <t>0f54445a-1cb3-4ea1-b8bc-b3262ce436d7</t>
  </si>
  <si>
    <t>e4e5aa4a</t>
  </si>
  <si>
    <t>c8664245-9d07-4389-907e-1036aa3f1c15</t>
  </si>
  <si>
    <t>be82b4f3</t>
  </si>
  <si>
    <t>9d7abe43-4db3-4687-9c67-cb66597c4b47</t>
  </si>
  <si>
    <t>4ca65b6f</t>
  </si>
  <si>
    <t>aad9cac8-3464-4be7-94d0-cb9e680076ad</t>
  </si>
  <si>
    <t>6049c5f9-141e-4c71-90c5-0a83c6e08095</t>
  </si>
  <si>
    <t>f5205cba</t>
  </si>
  <si>
    <t>ac65b78e-7fd7-487b-aaf5-504b5824f501</t>
  </si>
  <si>
    <t>7a7f6c8f</t>
  </si>
  <si>
    <t>c591d919-d06b-4466-aa39-b8c61d9a820b</t>
  </si>
  <si>
    <t>f3da8e1d</t>
  </si>
  <si>
    <t>ca1c908d-ab26-4902-934d-e490eff25381</t>
  </si>
  <si>
    <t>fd7b6efe</t>
  </si>
  <si>
    <t>ecb6aeac-7f67-49a0-ad86-dc77f164130f</t>
  </si>
  <si>
    <t>f27d27f0</t>
  </si>
  <si>
    <t>b28a72b5-3ebf-468d-a43b-e6be0e7a05ea</t>
  </si>
  <si>
    <t>6cdcafe1</t>
  </si>
  <si>
    <t>1a8b6ee3-448f-4086-9fd7-52c71178905d</t>
  </si>
  <si>
    <t>a2517f5d</t>
  </si>
  <si>
    <t>6ee13700-c22b-4cd9-82b9-6c60d7e1653b</t>
  </si>
  <si>
    <t>6e9c7e26</t>
  </si>
  <si>
    <t>4b8669ed-a245-4b2c-9fa5-76a2d194a8f5</t>
  </si>
  <si>
    <t>652efe0a</t>
  </si>
  <si>
    <t>2caacfa6-7b7a-4d4e-91d6-adc07d4c6a39</t>
  </si>
  <si>
    <t>aae3ae86</t>
  </si>
  <si>
    <t>7c45a178-4bc2-4a07-96bc-9f67486374ec</t>
  </si>
  <si>
    <t>fcc3eb51</t>
  </si>
  <si>
    <t>a6c97103-2680-460f-af43-9ccabd27cada</t>
  </si>
  <si>
    <t>9f12dd21</t>
  </si>
  <si>
    <t>7360a335-ea6a-4218-83d9-224bf28c74e0</t>
  </si>
  <si>
    <t>5d3c45ab</t>
  </si>
  <si>
    <t>cb79ba7f-cd63-4fa2-a109-7aaeee95a480</t>
  </si>
  <si>
    <t>24c9ee39</t>
  </si>
  <si>
    <t>4e8db3de-176f-4ba3-b3a3-074c55e76d62</t>
  </si>
  <si>
    <t>d20857f9</t>
  </si>
  <si>
    <t>69bc02ee-5482-4436-9b2e-9362cb80b1f5</t>
  </si>
  <si>
    <t>129c8e42</t>
  </si>
  <si>
    <t>795b47cf-0bce-4c07-a40b-23fb0f739a02</t>
  </si>
  <si>
    <t>353E2627B1</t>
  </si>
  <si>
    <t>ad25860b-555a-4f70-97a6-da48332971df</t>
  </si>
  <si>
    <t>0f306351</t>
  </si>
  <si>
    <t>194fe891-6005-4d54-b460-4a482c71393b</t>
  </si>
  <si>
    <t>2d28e0cd</t>
  </si>
  <si>
    <t>3701fd62-12dc-4af6-95f4-ca042ea9a1fb</t>
  </si>
  <si>
    <t>a6ce3e91</t>
  </si>
  <si>
    <t>0927787e-9be5-4066-924b-74f00e95bfa6</t>
  </si>
  <si>
    <t>9d55b265-ea2a-4c9f-8a71-8e47bdf6bc35</t>
  </si>
  <si>
    <t>07D151EF55</t>
  </si>
  <si>
    <t>08b10380-2f6f-443b-b59b-c9014e75bc08</t>
  </si>
  <si>
    <t>595f03c0</t>
  </si>
  <si>
    <t>a690dd78-c525-4d14-9e8a-d6d98e2c0d4c</t>
  </si>
  <si>
    <t>3b760598-4fe8-4953-be5c-47b4bf9cdefa</t>
  </si>
  <si>
    <t>8d1d1389</t>
  </si>
  <si>
    <t>8595caf5-6aad-40b8-bccb-6ccf02b2b039</t>
  </si>
  <si>
    <t>dd4fb432</t>
  </si>
  <si>
    <t>5a2d9365-445a-4218-ada5-e5df21d60d13</t>
  </si>
  <si>
    <t>d958f421</t>
  </si>
  <si>
    <t>09b4be63-2ea1-4a1f-b44a-160758b9eccd</t>
  </si>
  <si>
    <t>ba817d75-106e-47a3-9ef5-dea3b3b6d5bc</t>
  </si>
  <si>
    <t>37c89345</t>
  </si>
  <si>
    <t>73b05f31-f329-4ad5-adac-8411a7d63730</t>
  </si>
  <si>
    <t>403a832a</t>
  </si>
  <si>
    <t>73a89a87-43b8-44de-bc6f-ca8497a1e2e4</t>
  </si>
  <si>
    <t>4b4e0f99</t>
  </si>
  <si>
    <t>131aab6a-586c-4cbc-a9a1-ea044b8ab59e</t>
  </si>
  <si>
    <t>3fe4af77</t>
  </si>
  <si>
    <t>4f8e9a4d-f636-494e-b6ac-78b83e0dc424</t>
  </si>
  <si>
    <t>107182fa</t>
  </si>
  <si>
    <t>5dfcf66d-2460-4208-9558-1a932a74aca4</t>
  </si>
  <si>
    <t>59bebae7-a081-4f41-8db6-d243bdcd42f5</t>
  </si>
  <si>
    <t>0e4c58d9-380b-41b2-8738-c67a0d2ab8f7</t>
  </si>
  <si>
    <t>87a5ca1e</t>
  </si>
  <si>
    <t>484049ad-14eb-47f3-bab1-be8c4b7c733e</t>
  </si>
  <si>
    <t>19e5610e-fac4-4427-bac1-f3787fc1a653</t>
  </si>
  <si>
    <t>8e65d113</t>
  </si>
  <si>
    <t>4f538e3c-cd3b-4273-830a-01e5b987a805</t>
  </si>
  <si>
    <t>d42800d8</t>
  </si>
  <si>
    <t>e35977a3-d8fb-4955-9664-1b2afb0d79bd</t>
  </si>
  <si>
    <t>76db9c31</t>
  </si>
  <si>
    <t>c9981ed3-eaf7-4d03-833d-40fa9fda6b45</t>
  </si>
  <si>
    <t>1f6c6a99</t>
  </si>
  <si>
    <t>1fae1f4c-87bc-4146-bda7-73c90044d950</t>
  </si>
  <si>
    <t>3c5b87ac</t>
  </si>
  <si>
    <t>0a3f29c9-829f-4c32-9f19-93bbc2653a1f</t>
  </si>
  <si>
    <t>c2941514</t>
  </si>
  <si>
    <t>338f05f5-07a4-43f3-9d39-1401c24f6933</t>
  </si>
  <si>
    <t>1f64e736</t>
  </si>
  <si>
    <t>77c826c6-1b66-4341-800e-ca068019b1eb</t>
  </si>
  <si>
    <t>8f0bc955</t>
  </si>
  <si>
    <t>c6e4a5ce-54b6-44b3-9e38-c374aab2ec91</t>
  </si>
  <si>
    <t>f2be7df6</t>
  </si>
  <si>
    <t>ab104a8d-e1a4-42e2-b5de-f7fcbc6e4d3f</t>
  </si>
  <si>
    <t>7d6fcc62</t>
  </si>
  <si>
    <t>2de9f0aa-0516-4619-af43-8983996b15e8</t>
  </si>
  <si>
    <t>635fe4f2-ba2d-448a-9560-0c654d3fff6d</t>
  </si>
  <si>
    <t>b5309448</t>
  </si>
  <si>
    <t>2273f3e7-298e-4f7a-9816-ec70141d3b8b</t>
  </si>
  <si>
    <t>d184f7a2</t>
  </si>
  <si>
    <t>d6e7936d-5d85-438c-bd1e-2544b7208af5</t>
  </si>
  <si>
    <t>e6d7c9a1</t>
  </si>
  <si>
    <t>f68d3495-777f-486f-81df-0022aa0977a3</t>
  </si>
  <si>
    <t>e79ea8ed</t>
  </si>
  <si>
    <t>0a99c590-cadd-4e5f-999a-4f05832c685e</t>
  </si>
  <si>
    <t>276ec6e0</t>
  </si>
  <si>
    <t>7f54df66-5784-4b12-a18a-ff49c4a1158b</t>
  </si>
  <si>
    <t>a0fddb84</t>
  </si>
  <si>
    <t>865162aa-0f76-43b8-9d2c-62e4469ef625</t>
  </si>
  <si>
    <t>8ca02e8c</t>
  </si>
  <si>
    <t>e65a00b8-c32b-4b71-a2c4-40c821d6a789</t>
  </si>
  <si>
    <t>9994a097</t>
  </si>
  <si>
    <t>a4faede7-b335-4ed7-ad7e-9adfd9d5015e</t>
  </si>
  <si>
    <t>53d4d0fe</t>
  </si>
  <si>
    <t>fb4e5451-4b00-42c1-9d13-f918db6e1715</t>
  </si>
  <si>
    <t>539cfc16-e0ea-498d-b664-6ff76c4174f3</t>
  </si>
  <si>
    <t>1c92c8fa</t>
  </si>
  <si>
    <t>577a7fdc-f97f-46ce-b83e-000aa870f524</t>
  </si>
  <si>
    <t>fe196259</t>
  </si>
  <si>
    <t>b6b213df-9038-494e-8aaa-dadf5f49aff1</t>
  </si>
  <si>
    <t>4543234a</t>
  </si>
  <si>
    <t>1f37360a-ec1b-4674-88c2-8020bee3d02c</t>
  </si>
  <si>
    <t>deb41a00</t>
  </si>
  <si>
    <t>3087b399-f3ad-4fac-902a-9af072b4f768</t>
  </si>
  <si>
    <t>46b409c6-b956-4458-83a7-0e5a5040bed8</t>
  </si>
  <si>
    <t>f5c25043</t>
  </si>
  <si>
    <t>a5a99f8e-fb64-4429-a309-af3e62c24a62</t>
  </si>
  <si>
    <t>ebed52c4</t>
  </si>
  <si>
    <t>4fd6cb93-339b-46ed-ad54-77ae454c7f23</t>
  </si>
  <si>
    <t>9cf70c46</t>
  </si>
  <si>
    <t>3dc1608f-935e-4c74-be68-80ed499334d7</t>
  </si>
  <si>
    <t>fbe4184b</t>
  </si>
  <si>
    <t>e6c07c8a-32ad-4a73-a44e-aa86abd1ed7a</t>
  </si>
  <si>
    <t>800ccb1a-c733-43b3-8578-4b02f5e6abd2</t>
  </si>
  <si>
    <t>86b3c972</t>
  </si>
  <si>
    <t>51b6bb0c-f2c8-445a-998f-cd734c902ebb</t>
  </si>
  <si>
    <t>8a552b4a</t>
  </si>
  <si>
    <t>4bf58079-ee97-4af9-9336-304bd28dd84a</t>
  </si>
  <si>
    <t>d09b00bc</t>
  </si>
  <si>
    <t>a3704771-78ca-44cb-8603-6d7cb8f2babe</t>
  </si>
  <si>
    <t>237d3fcf</t>
  </si>
  <si>
    <t>137cd045-3c79-4fbd-8fea-9f4a69876c7e</t>
  </si>
  <si>
    <t>ae1c9856-c73a-4c1f-82c1-071ea7fae22c</t>
  </si>
  <si>
    <t>9fc6e702</t>
  </si>
  <si>
    <t>93ddf605-dee9-43f7-8e1e-8869e638dcce</t>
  </si>
  <si>
    <t>9cf1c808</t>
  </si>
  <si>
    <t>5cde240f-96aa-479d-a004-b6f4c94f9798</t>
  </si>
  <si>
    <t>fae9f8ac</t>
  </si>
  <si>
    <t>966442e8-c47b-48fa-b704-1a27868d60ac</t>
  </si>
  <si>
    <t>6af31d20</t>
  </si>
  <si>
    <t>c41530a3-be38-425b-826e-30f1abae5e96</t>
  </si>
  <si>
    <t>5f23dd09-b783-436d-b672-713cfce878be</t>
  </si>
  <si>
    <t>06CCA673EC</t>
  </si>
  <si>
    <t>0a9d2287-deda-4c0b-a4b7-52a01a76f0b2</t>
  </si>
  <si>
    <t>1d028cc9-e403-471b-bcf9-c3a1bdc44c4d</t>
  </si>
  <si>
    <t>0b40241b-4269-4de8-87a4-0a8a11b8496b</t>
  </si>
  <si>
    <t>0bd2dc18-2d5c-4bbb-8b7a-8e479368f2ea</t>
  </si>
  <si>
    <t>818f33ed-8e9f-4ee0-aaf1-78993c4a3549</t>
  </si>
  <si>
    <t>ce9dc5b0-34a5-4e86-a213-9c165402cc0d</t>
  </si>
  <si>
    <t>0bd59e7b-9e2b-41eb-afe6-0bd358b5a19e</t>
  </si>
  <si>
    <t>2866c4fb</t>
  </si>
  <si>
    <t>fcd36bcf-a9be-4d1e-a8cb-d83faee2eaea</t>
  </si>
  <si>
    <t>aa133f19-142c-4c6f-86b3-1d3ac5f1d044</t>
  </si>
  <si>
    <t>0dc06499-a3a4-46bc-b1ab-b6b6c8679db4</t>
  </si>
  <si>
    <t>f54c8f84-e438-468e-aebe-094f5b1d95ec</t>
  </si>
  <si>
    <t>06c6c540-0c11-4099-9996-0f6c2d1cc278</t>
  </si>
  <si>
    <t>d4c03aff-dad4-4f53-9537-c809d862dd9c</t>
  </si>
  <si>
    <t>0be89f0e-0a96-4314-a052-b19b5e49867a</t>
  </si>
  <si>
    <t>0eb7637e-c174-48b3-830a-3a4fc95f7131</t>
  </si>
  <si>
    <t>0c26956a-3f31-4e97-b184-9c20ac14bd8c</t>
  </si>
  <si>
    <t>a24cc0db</t>
  </si>
  <si>
    <t>0d0d4774-e83b-421e-9991-4381d3d8ca37</t>
  </si>
  <si>
    <t>0f12538c-e90d-440b-8b15-fb25a5fd72b2</t>
  </si>
  <si>
    <t>732a1618-5be6-42c9-8410-b2c3b215fec2</t>
  </si>
  <si>
    <t>0e111edf-39ce-4871-8763-a70cde01327f</t>
  </si>
  <si>
    <t>10149cd1-d1ca-4d43-be49-e2a0e3daeddb</t>
  </si>
  <si>
    <t>10db6489-2f57-476b-8352-7ab9991c0949</t>
  </si>
  <si>
    <t>1073d26c-9b60-4d25-8510-dc06745752c5</t>
  </si>
  <si>
    <t>7f8d33e6</t>
  </si>
  <si>
    <t>1349da2c-50ac-4490-aacf-5cf6541611d1</t>
  </si>
  <si>
    <t>11ee3a54-7d28-4e16-9f9c-0994100bee51</t>
  </si>
  <si>
    <t>606bbfd9</t>
  </si>
  <si>
    <t>140aaa50-e42a-463c-a4c3-a4bfe993349f</t>
  </si>
  <si>
    <t>374f6587</t>
  </si>
  <si>
    <t>14a70d38-b9ed-426f-975f-208d0580c0fa</t>
  </si>
  <si>
    <t>14acf3cd-f9a7-4821-b5e9-4e309b92ea45</t>
  </si>
  <si>
    <t>152dbe81-728c-487d-b019-a082ceb2d1bd</t>
  </si>
  <si>
    <t>f71e41e7</t>
  </si>
  <si>
    <t>15c061ea-c468-4e26-9c9a-87837aa8d2e7</t>
  </si>
  <si>
    <t>02f9f539</t>
  </si>
  <si>
    <t>165dd124-fabb-41b4-b53f-dad2de97d157</t>
  </si>
  <si>
    <t>15ed376f-322a-480b-b412-d7ae7956ff7c</t>
  </si>
  <si>
    <t>17c6fc8c-4166-4c8b-83f4-880860fc8ca3</t>
  </si>
  <si>
    <t>496a765b</t>
  </si>
  <si>
    <t>18896200-fdc9-48a9-9a33-df2fee4fa6cb</t>
  </si>
  <si>
    <t>16e0928e-4993-47c1-8f46-3401cce34159</t>
  </si>
  <si>
    <t>16adccbe-f4a1-49a1-b4f5-b87f18cac3d0</t>
  </si>
  <si>
    <t>01ebf129</t>
  </si>
  <si>
    <t>1ce95c90-ee12-47fd-bdbb-47d399968b87</t>
  </si>
  <si>
    <t>1d6cf9f2-5f49-41e9-917e-7058504f3aba</t>
  </si>
  <si>
    <t>d50abcd6</t>
  </si>
  <si>
    <t>1a5e35a8-f109-4095-bd39-d53591a39cd7</t>
  </si>
  <si>
    <t>1dcf64b3-2ab9-47fa-887a-a936d077c30c</t>
  </si>
  <si>
    <t>1f57dd09-c3ec-4624-a9d6-27ff0e3d2968</t>
  </si>
  <si>
    <t>1e229b65-62ba-4081-9899-478b3629f329</t>
  </si>
  <si>
    <t>53c685de</t>
  </si>
  <si>
    <t>201cdbfe-049f-439e-9e0a-08c34b4a5b5e</t>
  </si>
  <si>
    <t>1f723ce7-fc4a-46e0-90bd-3a977f2e5363</t>
  </si>
  <si>
    <t>1f63805f-ca57-4fa5-b085-73d538ffc652</t>
  </si>
  <si>
    <t>1ff776a0-d3a8-4add-a965-19fbcc56e4b8</t>
  </si>
  <si>
    <t>20156a1c-62df-4188-8703-feabcb65eae9</t>
  </si>
  <si>
    <t>53d2b5ae-37b6-48bd-ae08-26f44d4a3c43</t>
  </si>
  <si>
    <t>2e66b898</t>
  </si>
  <si>
    <t>223e7b8a-8b28-4075-986c-a81d63225e6d</t>
  </si>
  <si>
    <t>2140380d-78e1-4ad9-80d8-74aa14acc9e6</t>
  </si>
  <si>
    <t>recyyAOrP4ABYe0Qk</t>
  </si>
  <si>
    <t>208e92fd-9d50-410c-8090-71075bf95dfd</t>
  </si>
  <si>
    <t>6e009b41</t>
  </si>
  <si>
    <t>2298a577-2931-4af6-90d3-90e78f1b02d5</t>
  </si>
  <si>
    <t>22d6473f-f547-4fff-a296-66244b746707</t>
  </si>
  <si>
    <t>92c88920</t>
  </si>
  <si>
    <t>234d5746-ee22-4bc9-b142-e94ac61e0a68</t>
  </si>
  <si>
    <t>f81ab8bb-ef12-48bb-a92a-61090fe2282f</t>
  </si>
  <si>
    <t>246a15dc-4367-4d0c-ad45-a890d071c83b</t>
  </si>
  <si>
    <t>f782fb59</t>
  </si>
  <si>
    <t>2615bde8-fa4e-4afe-bb52-a604d0110445</t>
  </si>
  <si>
    <t>255679a7-d147-4775-8d88-1a861734ef1d</t>
  </si>
  <si>
    <t>258d8d53-95b3-4308-b25b-3b2f6400b313</t>
  </si>
  <si>
    <t>3ee94f31</t>
  </si>
  <si>
    <t>25d690b8-81d6-46fc-b2f0-b1d09c45febd</t>
  </si>
  <si>
    <t>2761b014-ec86-4628-842b-9517c30ad216</t>
  </si>
  <si>
    <t>fe3e77ff</t>
  </si>
  <si>
    <t>2796b4a6-b05e-4940-8738-6ef7fbae71c0</t>
  </si>
  <si>
    <t>278248ef-759c-4508-9e4d-08aecfa677c0</t>
  </si>
  <si>
    <t>f1649a3c</t>
  </si>
  <si>
    <t>286d9cf7-cfc1-4da1-bf32-1005925c7846</t>
  </si>
  <si>
    <t>02fac8e4</t>
  </si>
  <si>
    <t>293abffd-7401-4888-9df4-1f2300ac8adb</t>
  </si>
  <si>
    <t>28fc7f57-e7ee-4398-a1a0-886a4dfe75c7</t>
  </si>
  <si>
    <t>27e4641d-8d78-434d-a091-8e2a4bbed25c</t>
  </si>
  <si>
    <t>e46e5463</t>
  </si>
  <si>
    <t>2c833424-e7f5-4ddc-a8eb-a36242844459</t>
  </si>
  <si>
    <t>6f97e1cf</t>
  </si>
  <si>
    <t>2a0e0322-9d71-47fb-b863-63c544f9d67c</t>
  </si>
  <si>
    <t>71f48e35</t>
  </si>
  <si>
    <t>2bf68cac-da00-4067-be92-eef78a8446c8</t>
  </si>
  <si>
    <t>6a249061</t>
  </si>
  <si>
    <t>2e017575-1dab-46ae-866b-a23e8367ecad</t>
  </si>
  <si>
    <t>2deefbb2-4972-43c0-b693-f7d2aea9c321</t>
  </si>
  <si>
    <t>2d9311db-6c32-4659-8877-3b38bb3fef46</t>
  </si>
  <si>
    <t>2d5e48c3-4970-478a-80fa-be5475e060d8</t>
  </si>
  <si>
    <t>1402749d</t>
  </si>
  <si>
    <t>30726944-838c-4c0e-bd2f-7b2bfeeb1500</t>
  </si>
  <si>
    <t>2f7ee687-4e05-466c-9bc6-c8e39f959eab</t>
  </si>
  <si>
    <t>2ee06406</t>
  </si>
  <si>
    <t>30508c2f-1350-4353-8e63-9c566b1df772</t>
  </si>
  <si>
    <t>2f956858-be2c-4b1f-a5be-f0c0e7038626</t>
  </si>
  <si>
    <t>30ff5727-1be1-4732-8274-c52e39091aac</t>
  </si>
  <si>
    <t>3138f7a5-767e-41f2-8359-a2623c91041f</t>
  </si>
  <si>
    <t>31551248-46f7-4c53-8215-aad19aba59ad</t>
  </si>
  <si>
    <t>d05d63f5</t>
  </si>
  <si>
    <t>31dc5e25-0494-4d6a-b0fb-2743e9ca0016</t>
  </si>
  <si>
    <t>3334862a-cc8d-4fbf-9c0d-da3f34fb70c1</t>
  </si>
  <si>
    <t>b63b38bb</t>
  </si>
  <si>
    <t>3268f23c-96a1-4eac-ad2c-8722377625c5</t>
  </si>
  <si>
    <t>33abf48c-fc5e-463a-8443-6e81eec07de8</t>
  </si>
  <si>
    <t>35d19508-a7f2-49e4-947b-f0244161bf35</t>
  </si>
  <si>
    <t>35489ab2-cc0d-4fc8-a855-4714c27097e2</t>
  </si>
  <si>
    <t>7645983a</t>
  </si>
  <si>
    <t>33c90ebd-47b5-45a5-af85-fd835b775443</t>
  </si>
  <si>
    <t>379acb33-cc6e-4d87-b4f2-9396d254dbd5</t>
  </si>
  <si>
    <t>38447ceb-94a0-41d0-82ec-8a6a9e478e06</t>
  </si>
  <si>
    <t>3714c731-653b-416d-9072-01ab44ea64e7</t>
  </si>
  <si>
    <t>36b56fa7-fc00-4eaa-bc71-5e6eefda88b5</t>
  </si>
  <si>
    <t>387a3390-64d5-4c37-ba1f-216fd7629765</t>
  </si>
  <si>
    <t>94e7f724-f638-4566-8773-0e312ed72d2a</t>
  </si>
  <si>
    <t>38676470-1843-438f-8b92-10f6a885976a</t>
  </si>
  <si>
    <t>a846b219</t>
  </si>
  <si>
    <t>39cf487f-abee-4674-b29b-da4127748bcc</t>
  </si>
  <si>
    <t>a9a2f996</t>
  </si>
  <si>
    <t>3943a805-7c4c-430d-8bee-c48012f15498</t>
  </si>
  <si>
    <t>39d164ba-9ddf-4e59-b45f-98e9f6cc24ec</t>
  </si>
  <si>
    <t>3a1e7e3c-8844-4b2f-8c56-041e1769db77</t>
  </si>
  <si>
    <t>3c5d2d77-8a1d-46f0-b7f5-168dcaaff008</t>
  </si>
  <si>
    <t>e7637060</t>
  </si>
  <si>
    <t>2a43d07d-8789-460d-9cbe-be3947f6c35d</t>
  </si>
  <si>
    <t>3c6f7a4d-59e5-41e5-ae7d-9fcae6653e3c</t>
  </si>
  <si>
    <t>3cbc66db-2657-4b79-9241-8b5620def03a</t>
  </si>
  <si>
    <t>3e2cf913-d2c4-426b-a688-8df2adf6d925</t>
  </si>
  <si>
    <t>420306b5-5dcf-49ca-b461-ef18d711cb44</t>
  </si>
  <si>
    <t>42af805a-155a-4a9c-81ac-cde809882be1</t>
  </si>
  <si>
    <t>060600ca</t>
  </si>
  <si>
    <t>42d798f3-6670-48eb-9c56-bbf31827ded0</t>
  </si>
  <si>
    <t>330b6511</t>
  </si>
  <si>
    <t>408b14e4-a09b-4e0f-a04e-600fddfe1fa9</t>
  </si>
  <si>
    <t>45a38349-0720-4442-b3fb-db2f65cb6769</t>
  </si>
  <si>
    <t>44712858-5dfb-499a-8a1c-a778ac6ec88d</t>
  </si>
  <si>
    <t>43268692-cd4e-4488-8b59-97738e520206</t>
  </si>
  <si>
    <t>44cd8f26-eedf-4076-ad11-04c94c0f128d</t>
  </si>
  <si>
    <t>458d69b5-1f45-4d1a-804c-54c7c8d06891</t>
  </si>
  <si>
    <t>2d14b80e</t>
  </si>
  <si>
    <t>467056eb-69b2-4040-8bf8-0a9b73289349</t>
  </si>
  <si>
    <t>46f4a41b-cebd-4fb6-b9a0-96f984c4505e</t>
  </si>
  <si>
    <t>46b24ed1-87b1-4868-a86b-d34797f61676</t>
  </si>
  <si>
    <t>a6fd5816</t>
  </si>
  <si>
    <t>488345cf-7c1c-40f3-a34b-830004ccdee6</t>
  </si>
  <si>
    <t>471744a6-6157-4f00-a108-1593cb113f70</t>
  </si>
  <si>
    <t>476d0105-8ec1-4226-a829-d1c9882e35da</t>
  </si>
  <si>
    <t>0834e5dc</t>
  </si>
  <si>
    <t>480ba90f-9e88-43c8-9cb9-4eb631fb8bdc</t>
  </si>
  <si>
    <t>b9c7c5bf-f519-4d73-aad8-bb19cd0230bd</t>
  </si>
  <si>
    <t>483a6656-8643-481d-bead-6f463ab4ae9f</t>
  </si>
  <si>
    <t>49c188ea-f08d-498a-8fbf-e7fe5c571067</t>
  </si>
  <si>
    <t>49e82dc7-8be9-4ca5-8ce8-e68d2f95fc3c</t>
  </si>
  <si>
    <t>4949f1b5-a2f8-4169-b106-72663153049a</t>
  </si>
  <si>
    <t>49b6c048-550e-4388-abbb-62acc0fa0bee</t>
  </si>
  <si>
    <t>4bd2a257-bf4c-4b9a-b0bd-4ca86450b754</t>
  </si>
  <si>
    <t>4b6b1b09-5492-4b55-ba3c-96c7f3c56239</t>
  </si>
  <si>
    <t>6063b8b1</t>
  </si>
  <si>
    <t>4bcc5b34-c2d8-473d-8776-e70e6c0f0b37</t>
  </si>
  <si>
    <t>4c62c812-d06c-4da2-b45b-fafe864e75b2</t>
  </si>
  <si>
    <t>4dd483ca-565d-4efc-9b86-feee9f79a72f</t>
  </si>
  <si>
    <t>4e7ce2c2-fd3c-4b1d-a1ad-7fceacd88984</t>
  </si>
  <si>
    <t>c7287dda</t>
  </si>
  <si>
    <t>4c69c971-8d78-4b46-89e5-881af3a579c5</t>
  </si>
  <si>
    <t>4ff26359-4442-4981-b954-869933199b86</t>
  </si>
  <si>
    <t>513e6d41-ed9c-48a6-b54c-76301c47f773</t>
  </si>
  <si>
    <t>4f324b40</t>
  </si>
  <si>
    <t>5048b523-1ddf-4e53-bbd0-d9c0ceb1a31b</t>
  </si>
  <si>
    <t>50ec3d2e-50ff-4da4-a391-de9468456148</t>
  </si>
  <si>
    <t>51b9b087-cfc9-4165-b6c4-c40bd67ba95a</t>
  </si>
  <si>
    <t>5201bc95-cbb2-4b08-921c-6fa27c6059fe</t>
  </si>
  <si>
    <t>3b723673</t>
  </si>
  <si>
    <t>5150b3c7-bf65-4cbb-bfe5-70fec3c7a084</t>
  </si>
  <si>
    <t>c4eec55e</t>
  </si>
  <si>
    <t>52970c23-8003-4ad1-8097-c696fd4a9b4b</t>
  </si>
  <si>
    <t>53e31b18-1460-4734-aa63-2e26a5f520a9</t>
  </si>
  <si>
    <t>12ccef71</t>
  </si>
  <si>
    <t>537974b5-3efb-482d-853b-f43a39b53c8d</t>
  </si>
  <si>
    <t>982a92c5-3e4f-4f1c-9b82-d85b6af67930</t>
  </si>
  <si>
    <t>bf08aa73</t>
  </si>
  <si>
    <t>546ab404-6191-493a-b5e7-f2db5846fa3f</t>
  </si>
  <si>
    <t>554a4407-750e-4e3e-b164-664a0f5841ed</t>
  </si>
  <si>
    <t>55a4c661-abec-432a-b708-568ae9369b98</t>
  </si>
  <si>
    <t>55da4ac3-591a-4a48-9e79-dcd30932e678</t>
  </si>
  <si>
    <t>56131dcc-48bd-4040-8394-83e628746ad0</t>
  </si>
  <si>
    <t>567c544e-bdb8-431a-92fb-9e83894196cc</t>
  </si>
  <si>
    <t>564194f7-07ac-40fe-b1d3-69fa77d8cf9d</t>
  </si>
  <si>
    <t>0dc15fb6</t>
  </si>
  <si>
    <t>57fbfcf9-c6e0-41a5-8e95-fbd3487bd8e6</t>
  </si>
  <si>
    <t>57f56595-29ac-4dec-9701-ae9f31c7ea61</t>
  </si>
  <si>
    <t>58f22a10-cc77-479c-b920-611ac633347b</t>
  </si>
  <si>
    <t>58f5e138-81c0-4fc1-b4d9-5cec14345a57</t>
  </si>
  <si>
    <t>59725d9f-87c3-4e97-ad90-82c5ae137dac</t>
  </si>
  <si>
    <t>59a2f527-d72b-4497-ab0f-60fbd1eeddb3</t>
  </si>
  <si>
    <t>5D60AA1162</t>
  </si>
  <si>
    <t>5aab9267-e529-4f2d-be53-899b58af7098</t>
  </si>
  <si>
    <t>5abde85b-5eb2-40c9-8fd3-ababb180564a</t>
  </si>
  <si>
    <t>5b801b9a-4dcf-4153-9f80-89a45a785c39</t>
  </si>
  <si>
    <t>5b4eee32-635e-4585-a3a4-02d3e64dcde2</t>
  </si>
  <si>
    <t>6fffb3bc</t>
  </si>
  <si>
    <t>5b8aa970-b7ff-4dd1-94f7-fbf3a27191ba</t>
  </si>
  <si>
    <t>f18563bc</t>
  </si>
  <si>
    <t>33032170-7477-483d-b6fb-53e90e725c72</t>
  </si>
  <si>
    <t>5cae2d70-95a3-4c30-8383-aba542f5cefa</t>
  </si>
  <si>
    <t>e270df62</t>
  </si>
  <si>
    <t>5c1f4f2a-3579-48e0-a397-01aaad6d8b1d</t>
  </si>
  <si>
    <t>5dff6d8b-e59d-4346-a64b-5cc5a278e11e</t>
  </si>
  <si>
    <t>5f86f918-418e-4de5-a4e4-64a67358a45c</t>
  </si>
  <si>
    <t>5d77fce8-9b37-4a44-85c3-77040320bfaa</t>
  </si>
  <si>
    <t>5d99db00-8f1d-430b-b2ce-71f57f3c506b</t>
  </si>
  <si>
    <t>613c244e-cb51-4bfc-9901-febe937f6cf2</t>
  </si>
  <si>
    <t>5f8b1402-c73e-45bf-b81f-89b453df794f</t>
  </si>
  <si>
    <t>e50537ff</t>
  </si>
  <si>
    <t>60e4850f-c9f2-495d-a3bf-96148e83ec44</t>
  </si>
  <si>
    <t>609758a0-3d11-4fb1-8b72-4e1a70a19da7</t>
  </si>
  <si>
    <t>5fb3b1a0-967d-4cc8-ad86-f291ab1ac9fd</t>
  </si>
  <si>
    <t>589cbdcc</t>
  </si>
  <si>
    <t>637f6e99-dffd-462c-890e-74a4e27cdb79</t>
  </si>
  <si>
    <t>63cf1d6b-32a2-48d6-b1bc-57d5bb5ba4a3</t>
  </si>
  <si>
    <t>61da33ce-9f31-4c17-ac49-646e799839d3</t>
  </si>
  <si>
    <t>recs82ArpkH5fQU2c</t>
  </si>
  <si>
    <t>653caccb-2eed-47f4-9825-52af12d585bb</t>
  </si>
  <si>
    <t>64621c64-3c2e-435f-89b1-5c4bb3d1f11b</t>
  </si>
  <si>
    <t>650c87d8-aa4f-46b4-88a1-9814bf3b0f6f</t>
  </si>
  <si>
    <t>658b500c-5ffe-4b7d-a963-39cef2bc0f22</t>
  </si>
  <si>
    <t>7ffeea05</t>
  </si>
  <si>
    <t>66232121-f44f-41c6-bbe0-2a2c86b7044c</t>
  </si>
  <si>
    <t>65cbec8b-d0e6-4c4d-a38c-4f6638fa8d31</t>
  </si>
  <si>
    <t>67e58075-445c-41fc-aa8f-af3cf7372294</t>
  </si>
  <si>
    <t>92e84c52</t>
  </si>
  <si>
    <t>6928f8ad-2d75-4b32-80c9-79350e1f693e</t>
  </si>
  <si>
    <t>69258f50-8cdb-487f-a47d-0ee55576da2b</t>
  </si>
  <si>
    <t>66ba3eb6-8fb1-47cd-b582-d78a9a8dcb36</t>
  </si>
  <si>
    <t>e34b6c09</t>
  </si>
  <si>
    <t>690d4a19-bc96-49ca-bc75-5269c8082298</t>
  </si>
  <si>
    <t>1da8905f</t>
  </si>
  <si>
    <t>69d4a33d-a533-4609-86a5-7af2c3906ba3</t>
  </si>
  <si>
    <t>6a678f89-7e76-4212-84e1-5730dc29c7f4</t>
  </si>
  <si>
    <t>69e6a20d-337f-4ea9-aa4e-a9ad68665222</t>
  </si>
  <si>
    <t>2609e9e8</t>
  </si>
  <si>
    <t>6b5b97f3-edb2-47bf-9a60-e0eba55792c0</t>
  </si>
  <si>
    <t>6d1ae1da-726a-4564-8bdc-faa9ead51964</t>
  </si>
  <si>
    <t>6ce58178-172a-42e2-a546-d92732ef78bc</t>
  </si>
  <si>
    <t>6d154065-aee7-42ed-9cf1-18eb722043fc</t>
  </si>
  <si>
    <t>b7d17801</t>
  </si>
  <si>
    <t>6be1e1b6-f1f1-4b4f-8fd6-ccdcd09047ed</t>
  </si>
  <si>
    <t>ad15bd02</t>
  </si>
  <si>
    <t>6f7db46e-058e-4cc6-8341-0dcfe036fd37</t>
  </si>
  <si>
    <t>883cb1c2</t>
  </si>
  <si>
    <t>6e2750c2-c33d-408a-857e-b453c3dc7276</t>
  </si>
  <si>
    <t>443fd2ae</t>
  </si>
  <si>
    <t>6e8a0c21-17d0-49a0-9d49-729d11027527</t>
  </si>
  <si>
    <t>70ec17a1-df5b-44d0-9ac0-f68b92899ab4</t>
  </si>
  <si>
    <t>713fa22f-ebf3-4a3f-a571-ab06fad8c340</t>
  </si>
  <si>
    <t>7312e09c-a263-4f5f-a328-169c77849011</t>
  </si>
  <si>
    <t>6fa37a37-4632-4fae-bb16-976a41fd628b</t>
  </si>
  <si>
    <t>73772a33-117e-441b-af99-bb0e8a074dbe</t>
  </si>
  <si>
    <t>750d3351-236d-4701-8947-881832de4474</t>
  </si>
  <si>
    <t>75de34a2-dae1-4b18-8aa6-e7588114640a</t>
  </si>
  <si>
    <t>75302c79-a4d8-47da-989f-a1eb9c61e5fd</t>
  </si>
  <si>
    <t>ae3bc50f</t>
  </si>
  <si>
    <t>77fe6188-f448-4ecb-b72e-84687521974d</t>
  </si>
  <si>
    <t>77a3ed29-39a0-4e75-8a99-93373c715d93</t>
  </si>
  <si>
    <t>f97d103d</t>
  </si>
  <si>
    <t>776e0f7d-87da-4d24-855d-769800180e7d</t>
  </si>
  <si>
    <t>885199aa</t>
  </si>
  <si>
    <t>7704044f-070a-4f24-8e7d-27742957b23d</t>
  </si>
  <si>
    <t>647b0d93-3c32-4738-99d4-19ae4149ea80</t>
  </si>
  <si>
    <t>787a1793-5880-49fd-98e8-86ec35474990</t>
  </si>
  <si>
    <t>b7f612c9</t>
  </si>
  <si>
    <t>784b04d9-67ed-4ff8-9968-07d725f39839</t>
  </si>
  <si>
    <t>7bc01c25-96df-43f2-b515-2ebc048d4192</t>
  </si>
  <si>
    <t>7b1ccf79-ba5d-464e-b50f-165500569f9c</t>
  </si>
  <si>
    <t>7a370dcc-c765-4ee6-a1e6-816547d701f9</t>
  </si>
  <si>
    <t>6da7bb3a</t>
  </si>
  <si>
    <t>7aec9c11-8198-4841-b980-3fcb9cb9e69b</t>
  </si>
  <si>
    <t>7c47c372-e51f-4071-a91a-6a9006f09329</t>
  </si>
  <si>
    <t>7d3b6050-7bf3-42be-8604-95a7db97b88f</t>
  </si>
  <si>
    <t>7d1b5918-d095-4f95-9671-6bdd4f109073</t>
  </si>
  <si>
    <t>7e2469d2-22ba-4a92-a744-e077e893d880</t>
  </si>
  <si>
    <t>7ec6e99d-8242-4a30-855e-befd253bbb30</t>
  </si>
  <si>
    <t>7d506893-4e52-4aaa-a662-75ce12fa1f3a</t>
  </si>
  <si>
    <t>7f8761ca-d1dd-4c7d-b7ee-0072826d5619</t>
  </si>
  <si>
    <t>59D0EA4483</t>
  </si>
  <si>
    <t>80a4078b-f5d5-46c7-88dc-2273cf8e2dab</t>
  </si>
  <si>
    <t>80bf2c45-422c-40cb-af3b-2525e88aee43</t>
  </si>
  <si>
    <t>38b6b043</t>
  </si>
  <si>
    <t>810299ac-2bcc-4866-a904-2457deb546e8</t>
  </si>
  <si>
    <t>80eb5fc7-3246-45ab-99d0-916f8f310fe3</t>
  </si>
  <si>
    <t>7ffa74ce-c8fd-4b78-b230-fe209f79fbee</t>
  </si>
  <si>
    <t>81d025d7-8b69-4346-8c75-d771bdcb376c</t>
  </si>
  <si>
    <t>8338649e-4adb-4a38-8516-fc14f0840f50</t>
  </si>
  <si>
    <t>de094305</t>
  </si>
  <si>
    <t>83bc63b0-47d9-4727-ac84-d902605474a8</t>
  </si>
  <si>
    <t>812357ff-cf7c-4bac-8081-5ea131c72950</t>
  </si>
  <si>
    <t>84a04c04-1805-4d4e-9a60-6b27faa9e4a8</t>
  </si>
  <si>
    <t>86332b72-c458-45c7-b56e-d6352c3666c9</t>
  </si>
  <si>
    <t>85b3087a-1461-495b-b446-c9df11b19171</t>
  </si>
  <si>
    <t>92a08ac5</t>
  </si>
  <si>
    <t>84748620-9cd1-4901-af9c-e21fb7201944</t>
  </si>
  <si>
    <t>8647ceff-4d18-46b5-8b95-5defd847d5f0</t>
  </si>
  <si>
    <t>8400cf2d-eca8-46b6-9f95-234d43784fd9</t>
  </si>
  <si>
    <t>db67a035</t>
  </si>
  <si>
    <t>87329cf6-8c32-48d0-8001-fbd158a7f394</t>
  </si>
  <si>
    <t>886ac68b-23bc-4f76-babe-adf4677eb19a</t>
  </si>
  <si>
    <t>87e90828-fab8-4344-b1e6-75585c0bc579</t>
  </si>
  <si>
    <t>87a5cbc3-7421-4371-8203-420cfc1c4dc7</t>
  </si>
  <si>
    <t>8894aaae-0c7b-4acd-98c0-c9401ba563c1</t>
  </si>
  <si>
    <t>8aa91e7f-df7b-493e-b0c4-f0d291fbcdbd</t>
  </si>
  <si>
    <t>8aab9c48-8f16-459a-b871-f3bd2c1150b0</t>
  </si>
  <si>
    <t>da52a8c9</t>
  </si>
  <si>
    <t>8917b458-ddce-4eb0-9b2f-6d9ffc624474</t>
  </si>
  <si>
    <t>8bf0f903-66a3-4322-b136-ef8b99fae88d</t>
  </si>
  <si>
    <t>f28b7b1d</t>
  </si>
  <si>
    <t>8c599dfb-1969-45cc-ba38-27ac008b1878</t>
  </si>
  <si>
    <t>8ae0f0b9-98b7-4834-bfea-b2a1802ce041</t>
  </si>
  <si>
    <t>5c37ae83</t>
  </si>
  <si>
    <t>8c7dd176-62ed-43b5-ab99-aa0030db3259</t>
  </si>
  <si>
    <t>1076a83d</t>
  </si>
  <si>
    <t>8cef4125-b9a2-4b81-aaba-2062b709318a</t>
  </si>
  <si>
    <t>b54365c5</t>
  </si>
  <si>
    <t>8c913a1d-02c7-4e5c-bb64-916192bf4558</t>
  </si>
  <si>
    <t>8c7e7245-2fae-43bd-987f-508925f21948</t>
  </si>
  <si>
    <t>8e46678c-1e7e-49bd-b3a2-d2c4a8eb4f4f</t>
  </si>
  <si>
    <t>8f32f958-0640-4c2d-bdb6-08c96c186fc1</t>
  </si>
  <si>
    <t>9036fb7f-1f93-471a-bda9-c0ecfe26d97e</t>
  </si>
  <si>
    <t>93ace224-ae01-46b2-b1ba-426727eb1f9f</t>
  </si>
  <si>
    <t>90e92c2d-b21b-4992-8ec3-4318a35fd15a</t>
  </si>
  <si>
    <t>72b22ee7</t>
  </si>
  <si>
    <t>9391658f-e759-4541-a603-35c2394e99e1</t>
  </si>
  <si>
    <t>68ffea41</t>
  </si>
  <si>
    <t>909de4e9-8c29-4eaa-982b-d6c9ffdf9fac</t>
  </si>
  <si>
    <t>94a94b33-5c1f-409c-a9de-75e20048e588</t>
  </si>
  <si>
    <t>93c42093-fe38-4caf-9f27-22ae44773557</t>
  </si>
  <si>
    <t>94ac4da0-eb2c-44a5-9526-7952af443ca5</t>
  </si>
  <si>
    <t>960c57ac-2788-41d7-8b56-e27be13a5762</t>
  </si>
  <si>
    <t>955a5a8f-ac6c-4384-86be-064fefc1e627</t>
  </si>
  <si>
    <t>38bc1fba</t>
  </si>
  <si>
    <t>95a4b302-621c-4c67-8454-59fb5725085b</t>
  </si>
  <si>
    <t>95010f1a-5e73-43bb-a714-842e6b9a569c</t>
  </si>
  <si>
    <t>98821c8c-9129-4bde-8100-b907d4a3e4fa</t>
  </si>
  <si>
    <t>63fb3af1</t>
  </si>
  <si>
    <t>97ab1f2d-edc3-463b-9edf-c472f853995b</t>
  </si>
  <si>
    <t>97168c1c-f467-46c0-be83-8ae5701b2030</t>
  </si>
  <si>
    <t>3fb285d5</t>
  </si>
  <si>
    <t>994f5462-13fa-4dff-9282-30b6d8f9a07d</t>
  </si>
  <si>
    <t>e394dc72</t>
  </si>
  <si>
    <t>9a52030b-bf58-48ac-a246-b1022904080d</t>
  </si>
  <si>
    <t>ca528e1d</t>
  </si>
  <si>
    <t>9a802a1f-46d4-4158-a051-2cb8d3dabee0</t>
  </si>
  <si>
    <t>1628ed97</t>
  </si>
  <si>
    <t>99c9b908-7d54-414c-911c-73e4b684e726</t>
  </si>
  <si>
    <t>9a897ae0-a5af-424e-986f-92bb675caebc</t>
  </si>
  <si>
    <t>9aae7713-48e3-4922-8ba3-8ae258de7a25</t>
  </si>
  <si>
    <t>18ad3951</t>
  </si>
  <si>
    <t>9e1e3a82-2117-402a-b6d2-74bb9316e12a</t>
  </si>
  <si>
    <t>9a9ff233-d189-4308-b350-ff574ac4c0bb</t>
  </si>
  <si>
    <t>9d416d96-aa5d-4f20-9d3a-1b3fb2ec4729</t>
  </si>
  <si>
    <t>9b675c5e-96e0-4092-b09e-0f9623ce103c</t>
  </si>
  <si>
    <t>a160cd6b-c0c8-4308-85ac-1e0bfd0b6810</t>
  </si>
  <si>
    <t>9fc91b36-e8e6-42f4-95ec-c43be9e1cb97</t>
  </si>
  <si>
    <t>9f0a7e76-15b7-4b4a-b15b-44b0969c17da</t>
  </si>
  <si>
    <t>4df008e0</t>
  </si>
  <si>
    <t>9f8add5b-8517-4cfe-b677-b8ff341d1aa2</t>
  </si>
  <si>
    <t>a3d35747-8903-4d6c-b852-f11feb06029e</t>
  </si>
  <si>
    <t>a2a2b42b-e27c-440d-a489-0ff5693643d1</t>
  </si>
  <si>
    <t>a22d5ed1-2b7b-4082-b357-1659dbe98629</t>
  </si>
  <si>
    <t>a4d246d8-1d05-490c-a4df-818002913cf8</t>
  </si>
  <si>
    <t>a53bfa29-44ce-4b66-9a30-f97b6c10ec53</t>
  </si>
  <si>
    <t>a544041b-ad99-4511-9d7a-5e19b0f5bd37</t>
  </si>
  <si>
    <t>fe7f6bb2</t>
  </si>
  <si>
    <t>a55b653e-8903-4779-88f7-113abb9eeb3c</t>
  </si>
  <si>
    <t>5da91bf9-22d7-4c40-857a-3e88e93141a6</t>
  </si>
  <si>
    <t>a6ec22be-258c-4bc7-b5e4-7ef060571d06</t>
  </si>
  <si>
    <t>113a206c</t>
  </si>
  <si>
    <t>a7a3847a-499a-4140-8f08-089619e0cc4e</t>
  </si>
  <si>
    <t>a7977410-760e-47e6-b125-5bb6bf03b067</t>
  </si>
  <si>
    <t>a602e9ec-294d-4409-8513-cdc0b915c9ef</t>
  </si>
  <si>
    <t>5EF05AAF2A</t>
  </si>
  <si>
    <t>2339c42d-2e28-4711-b391-574a7e9d81f4</t>
  </si>
  <si>
    <t>759afed5</t>
  </si>
  <si>
    <t>a8a8bbd1-0082-4bbe-ab8b-068cde57e86b</t>
  </si>
  <si>
    <t>recHEZWTMQ8a8lBp6</t>
  </si>
  <si>
    <t>abd28871-498d-4a87-ba9e-bdf6624a8994</t>
  </si>
  <si>
    <t>a94317f5-ac3c-455c-b45f-63c0f733075f</t>
  </si>
  <si>
    <t>aaaac5e1-9805-40c0-8072-3ce6aeed5daa</t>
  </si>
  <si>
    <t>221b69ff</t>
  </si>
  <si>
    <t>af78c759-2cc6-4dfe-bcf5-6f97cd4fe4bc</t>
  </si>
  <si>
    <t>ae91b24e-3d1c-431f-a05e-ec22400613fc</t>
  </si>
  <si>
    <t>b652da63</t>
  </si>
  <si>
    <t>ae37e4c3-cd9b-4abb-8d3f-bb20c2c46443</t>
  </si>
  <si>
    <t>3e9ccb68</t>
  </si>
  <si>
    <t>b05cfc53-b17e-4d6c-8d18-b29bcaf3a43b</t>
  </si>
  <si>
    <t>afec3e3e-5574-4d46-a475-60154cbd0804</t>
  </si>
  <si>
    <t>b0c0d4e7-10fc-4ea2-99e1-ffd798f1c424</t>
  </si>
  <si>
    <t>b12496e3-7f66-41c9-8e9b-18375e01f5c1</t>
  </si>
  <si>
    <t>b190a742-ad14-4f97-af73-59166a4ffd41</t>
  </si>
  <si>
    <t>b0d97fee-4104-4c31-a7c2-163499bc1e7e</t>
  </si>
  <si>
    <t>0cfcf8dd</t>
  </si>
  <si>
    <t>b1e3af37-bfb7-43ae-b1a6-1e4392b4ef10</t>
  </si>
  <si>
    <t>b1ddcaad-f2b9-4f83-93ba-44a5bd9a452d</t>
  </si>
  <si>
    <t>b1d2840f-c966-4dcf-90ca-b9d23cc8df33</t>
  </si>
  <si>
    <t>b1f42197-dda1-4dee-b946-2ff194d6d255</t>
  </si>
  <si>
    <t>ae04e116</t>
  </si>
  <si>
    <t>b23b9503-78e9-4e9f-97f9-030c9121a5ab</t>
  </si>
  <si>
    <t>b26eb8bc-d6ac-48fe-b22c-c2cef69e8d96</t>
  </si>
  <si>
    <t>b279fbc3-c7fa-4885-9771-577615d1e0a6</t>
  </si>
  <si>
    <t>b282d004-9af9-400f-becd-ad4e262f8075</t>
  </si>
  <si>
    <t>b448dbf9-8af6-47c8-8d27-fe936cb3a984</t>
  </si>
  <si>
    <t>b39bdb89-503a-4fe1-b856-d07706a0b3ab</t>
  </si>
  <si>
    <t>b3f998ac-0ab9-463a-8b56-cc034f07dfcd</t>
  </si>
  <si>
    <t>b386a797-7b6e-4fc3-9ea5-405d6a8225c4</t>
  </si>
  <si>
    <t>191a90db</t>
  </si>
  <si>
    <t>b4f6728d-5619-4087-a0e5-d89a9151769a</t>
  </si>
  <si>
    <t>b63d937a-d852-4ea1-9010-76f231f2c6ea</t>
  </si>
  <si>
    <t>91782aad</t>
  </si>
  <si>
    <t>b4a62a14-96cc-4b14-ab46-e35cddedd9af</t>
  </si>
  <si>
    <t>5f50049f</t>
  </si>
  <si>
    <t>b704838e-7d1f-47c0-a1e9-00fe80a1f059</t>
  </si>
  <si>
    <t>f9dfc45a</t>
  </si>
  <si>
    <t>b6e623b4-d71e-4495-bc5f-a78d5ffae314</t>
  </si>
  <si>
    <t>b5f918c5-d999-4ba5-82e6-2fadc2bc0add</t>
  </si>
  <si>
    <t>b7f0ecf4-3bc0-41ac-9d3a-00a8a550d55d</t>
  </si>
  <si>
    <t>2b861bd2</t>
  </si>
  <si>
    <t>b79c4295-7d01-4df1-bc40-c68e5de542e0</t>
  </si>
  <si>
    <t>b8a0be3f-660b-4509-a8fd-f3a9c4dcf026</t>
  </si>
  <si>
    <t>3a3f3d60</t>
  </si>
  <si>
    <t>ba444df2-8022-4922-88e5-c73b8ae244d2</t>
  </si>
  <si>
    <t>b909a529-1b9a-4c3f-8387-5bc128d74d4d</t>
  </si>
  <si>
    <t>6952bda4</t>
  </si>
  <si>
    <t>ba128122-0b5f-4452-b7e3-a9d3363f8ff1</t>
  </si>
  <si>
    <t>b9aaba9c-9e5a-4d91-8230-147f52da91d3</t>
  </si>
  <si>
    <t>9cb70902-0458-4b09-8d42-b3954f421398</t>
  </si>
  <si>
    <t>bbc38c7f-71c9-4d85-8202-c90da74a77a8</t>
  </si>
  <si>
    <t>bafac257-6fd4-455e-8a78-69b8e4937e79</t>
  </si>
  <si>
    <t>bddd77bc-7cb2-47d8-9951-536049b5c25d</t>
  </si>
  <si>
    <t>bba5f585-d461-4dc6-9a78-47b17c42ec0d</t>
  </si>
  <si>
    <t>faf05ed1</t>
  </si>
  <si>
    <t>bc8394db-a00c-447f-b0b4-7e805c133eec</t>
  </si>
  <si>
    <t>be467f46-cb7d-4284-a155-f45b728ce3e0</t>
  </si>
  <si>
    <t>65396ef9</t>
  </si>
  <si>
    <t>c000af5c-5bee-4e98-8929-42db39b497b4</t>
  </si>
  <si>
    <t>c095860b-45b5-4b0a-a158-c203bef61ca3</t>
  </si>
  <si>
    <t>c2b49284-f9cf-49ee-986e-dc7c0b695a32</t>
  </si>
  <si>
    <t>c215107c-6f56-4c1c-a3a0-495584d24770</t>
  </si>
  <si>
    <t>c1486f85-7b22-45b0-8f02-33bcee888f02</t>
  </si>
  <si>
    <t>c185f924-e9ce-456c-8035-4d73d1b4c5e7</t>
  </si>
  <si>
    <t>88d53063</t>
  </si>
  <si>
    <t>c2471519-14a8-483b-b70e-e6368efceeac</t>
  </si>
  <si>
    <t>373a8c27</t>
  </si>
  <si>
    <t>c390faaa-91a7-4331-9684-3486dfa02e41</t>
  </si>
  <si>
    <t>c2d6df02-1bc7-4598-82b0-7e2ce5fcb75e</t>
  </si>
  <si>
    <t>c30a6c96-0ecf-43e2-a2fa-2ea12088b126</t>
  </si>
  <si>
    <t>c44034d9-7175-4292-a734-b8ff4b2dbfff</t>
  </si>
  <si>
    <t>c3c4c237-3006-456e-8608-056cac3e902a</t>
  </si>
  <si>
    <t>c4eda830-cd69-4d1b-a740-efc9a4a862bf</t>
  </si>
  <si>
    <t>c54c4a95-937f-43f9-b3c9-44412f61f1cf</t>
  </si>
  <si>
    <t>c5a6ee45-f88f-4f55-8bd8-f02ad4551618</t>
  </si>
  <si>
    <t>81c5a1ef</t>
  </si>
  <si>
    <t>c4e020fd-892c-4f20-9861-9dc7d3ba23a7</t>
  </si>
  <si>
    <t>367d6f26</t>
  </si>
  <si>
    <t>c4c66b34-381b-4d3a-a8b2-0ac6915b071b</t>
  </si>
  <si>
    <t>c77b00b1-39f2-48b0-a6e2-fce6fdd82f6e</t>
  </si>
  <si>
    <t>c769daf8-318a-4630-bd88-a622b5960a8c</t>
  </si>
  <si>
    <t>87c31917</t>
  </si>
  <si>
    <t>c7102a12-0950-4cb5-901e-717b5b007378</t>
  </si>
  <si>
    <t>4bdad81d</t>
  </si>
  <si>
    <t>c64e2e04-c5f1-4c22-8a87-8a89725cd2df</t>
  </si>
  <si>
    <t>c8b8401d-4471-44ea-b0c6-4feb5f18e4bf</t>
  </si>
  <si>
    <t>c93ccabc-19b5-4ea8-b564-9a1526feded5</t>
  </si>
  <si>
    <t>8d37b1bb</t>
  </si>
  <si>
    <t>c8cc73a6-c6f4-4a40-b8dc-0ea643af4b5c</t>
  </si>
  <si>
    <t>c91887e6-09d5-4318-906e-1baae4bc63ef</t>
  </si>
  <si>
    <t>cb356029-612b-44b1-85b4-d46c6ac7cc33</t>
  </si>
  <si>
    <t>cb3aeff1-4623-448e-90ab-9d7a9fe794a1</t>
  </si>
  <si>
    <t>cade5bf5-a716-4f0d-8d63-6e12a0c516bb</t>
  </si>
  <si>
    <t>df8cb6b3-9267-4280-9dbc-2905e1e2594b</t>
  </si>
  <si>
    <t>cdb28348-fa95-4208-aaef-23fd0adf9c15</t>
  </si>
  <si>
    <t>ced72d65-c834-4dfe-8231-f713e45d713a</t>
  </si>
  <si>
    <t>5c171a96</t>
  </si>
  <si>
    <t>cd69cb10-7549-4894-8d99-8563054bcfc7</t>
  </si>
  <si>
    <t>3fcf3f03</t>
  </si>
  <si>
    <t>cf03cb7c-7827-4621-bba3-89d32821ac53</t>
  </si>
  <si>
    <t>cf815b53-28b1-4260-bb5f-817543a667fe</t>
  </si>
  <si>
    <t>a7ac4b90</t>
  </si>
  <si>
    <t>cf57828c-5ac6-4203-b4e8-4c40e56698fc</t>
  </si>
  <si>
    <t>cffac111-e2aa-45ae-8c77-993820d399ed</t>
  </si>
  <si>
    <t>d0fa3ad1-bf75-4183-9b37-d86faa9286b4</t>
  </si>
  <si>
    <t>d10c1558-1df6-4c2f-b47d-6da53521dc44</t>
  </si>
  <si>
    <t>d09ae225-1325-4124-a191-5ff5ff771897</t>
  </si>
  <si>
    <t>cc0315bb</t>
  </si>
  <si>
    <t>d14385b7-910a-4524-b96c-371622404bc8</t>
  </si>
  <si>
    <t>1c292624</t>
  </si>
  <si>
    <t>d16f4bb1-ea6b-4cf6-9e64-61d3f636f50a</t>
  </si>
  <si>
    <t>d3733f43-e3fb-46cc-b357-95276ae1ae51</t>
  </si>
  <si>
    <t>d291c0f6-42d7-4f45-813c-574bcea34c60</t>
  </si>
  <si>
    <t>d3a6e9c4-d26b-4e8f-b0d3-4235b763a119</t>
  </si>
  <si>
    <t>d531371b-73dd-475d-ad59-6cd1be365808</t>
  </si>
  <si>
    <t>d638e33b-5b22-4986-a646-4398b3c50300</t>
  </si>
  <si>
    <t>f9262f00</t>
  </si>
  <si>
    <t>d5bddce8-f72e-43fa-a50e-613a5caedd47</t>
  </si>
  <si>
    <t>d9f1c7dd</t>
  </si>
  <si>
    <t>d46200e6-a3d9-41d5-8c71-84e49ae36a4b</t>
  </si>
  <si>
    <t>73b25457</t>
  </si>
  <si>
    <t>d78e73f0-942a-4c6b-9524-c44b6394b494</t>
  </si>
  <si>
    <t>d6a2c1b9-ccb5-49ed-8914-0541c2ff2bfa</t>
  </si>
  <si>
    <t>d83366a2-19ca-4974-be4b-bfd615a540ef</t>
  </si>
  <si>
    <t>91debdd2</t>
  </si>
  <si>
    <t>d958e2df-698a-4fbb-8187-3cb26768d4d1</t>
  </si>
  <si>
    <t>d853e8c3-2b63-4235-8690-ff1746f5efb0</t>
  </si>
  <si>
    <t>d9cf12cf-d17c-413a-bab4-2041ab6f56d7</t>
  </si>
  <si>
    <t>950fa7f6-98ed-450a-bc19-3a943e5808bb</t>
  </si>
  <si>
    <t>dad394ce-12bf-4714-8e9f-6d868a37447e</t>
  </si>
  <si>
    <t>d9b70804-256e-43d4-8176-7b30dcce5d29</t>
  </si>
  <si>
    <t>dcdc2945</t>
  </si>
  <si>
    <t>ddb9a3a9-3881-4296-aa22-a2659ca2f76b</t>
  </si>
  <si>
    <t>dcfe1e33-c767-4f25-ae33-61e256ec2c81</t>
  </si>
  <si>
    <t>af78e6d7</t>
  </si>
  <si>
    <t>dc0fcbd5-3f63-4801-92c8-090438e063d7</t>
  </si>
  <si>
    <t>3d9a73ff</t>
  </si>
  <si>
    <t>dcdb2b20-774c-4b3b-a01f-f34e7c8cf7c9</t>
  </si>
  <si>
    <t>df12d0b9-282c-427a-99b1-68a3e5548a9e</t>
  </si>
  <si>
    <t>dece617d-939b-4e87-96c6-9339ab7cf47b</t>
  </si>
  <si>
    <t>ddceaa66-99c8-40e4-ae2e-462d25c3b948</t>
  </si>
  <si>
    <t>00c88cfc</t>
  </si>
  <si>
    <t>de0064db-be93-44c5-b1ba-186ccf7bfa83</t>
  </si>
  <si>
    <t>df16f151-fd38-45b7-aaf6-a0dde3dd551f</t>
  </si>
  <si>
    <t>425e2aea</t>
  </si>
  <si>
    <t>e0479411-cb13-4880-b7c1-27c3e5f6d619</t>
  </si>
  <si>
    <t>f8d1b0d7-84ef-41d5-812b-e63b365396da</t>
  </si>
  <si>
    <t>e0fa0d33-a6d7-46e3-a755-bad212bf47d8</t>
  </si>
  <si>
    <t>c9a5acce</t>
  </si>
  <si>
    <t>dff306fe-8f9f-4e86-8b44-3f04a9ec8237</t>
  </si>
  <si>
    <t>e08cc066-bee6-40da-bfc7-ac5d340dfe0e</t>
  </si>
  <si>
    <t>e37699e5-b008-4352-9653-070cbed47a8a</t>
  </si>
  <si>
    <t>9da5a187</t>
  </si>
  <si>
    <t>e2fbf235-12df-4f8b-9a39-acbeec79d2b5</t>
  </si>
  <si>
    <t>cbf4f863</t>
  </si>
  <si>
    <t>e2ec1152-d496-4f6a-a09f-3376e983b33c</t>
  </si>
  <si>
    <t>e46ae057-eab4-44ed-937c-48d7bc24259e</t>
  </si>
  <si>
    <t>e464e2f4-d444-47b8-aa4b-767aa25de605</t>
  </si>
  <si>
    <t>e3c9b56e-1316-45d6-beaf-9beee460215c</t>
  </si>
  <si>
    <t>e377adba-c85c-454a-94ab-5bba85a1ff29</t>
  </si>
  <si>
    <t>8acd55dc</t>
  </si>
  <si>
    <t>e4412fee-0a0c-4a27-a671-16aa3f8cfac4</t>
  </si>
  <si>
    <t>d8d19440</t>
  </si>
  <si>
    <t>e508dae4-5621-4a6d-abaa-7a92bb237a77</t>
  </si>
  <si>
    <t>b74aa3f4</t>
  </si>
  <si>
    <t>e47b654e-ef6b-4c94-95fb-5bbae080a9ef</t>
  </si>
  <si>
    <t>e646db4b-5c9b-4900-9c25-f20455cc1d63</t>
  </si>
  <si>
    <t>e8d4025c-63dd-44ad-bc05-4529dbf8f50c</t>
  </si>
  <si>
    <t>e896e834-f704-49d8-8cb9-d48dc6c01825</t>
  </si>
  <si>
    <t>e738ac32-2fa9-4484-b856-9ccb7684ab05</t>
  </si>
  <si>
    <t>e89ef1e7-c180-4413-a0fa-15b65ded4b41</t>
  </si>
  <si>
    <t>1381de25-1f53-4c88-9154-b82421ac47c2</t>
  </si>
  <si>
    <t>e8f5fccf-4308-4664-991c-eada3792dbcb</t>
  </si>
  <si>
    <t>eac74dcd-dba7-452a-ae01-240febb204fa</t>
  </si>
  <si>
    <t>e94ec390-ab4f-4abf-886c-bb99e2906255</t>
  </si>
  <si>
    <t>d9f1c8dd</t>
  </si>
  <si>
    <t>ea0648f1-a711-4093-8632-05168eb69195</t>
  </si>
  <si>
    <t>ec0a6f9b-504a-4e4e-ac56-557b9aee5949</t>
  </si>
  <si>
    <t>319bf476</t>
  </si>
  <si>
    <t>ec0f035b-599f-4589-bc73-5c0cf4dedbe9</t>
  </si>
  <si>
    <t>eb1260cf-54e1-4630-b5ed-700bf830f6e6</t>
  </si>
  <si>
    <t>0f08cd96</t>
  </si>
  <si>
    <t>ec35bb9a-4989-4df2-8fbd-8f0200fed6b0</t>
  </si>
  <si>
    <t>ee4bfb04-3f8e-4864-8b88-2837e3cec0e2</t>
  </si>
  <si>
    <t>edf7041b-391f-4fdd-9f2b-a36e290632a7</t>
  </si>
  <si>
    <t>edc3fd8c-357c-4e14-8c90-976b73fbcc24</t>
  </si>
  <si>
    <t>76821c69</t>
  </si>
  <si>
    <t>ef786fc9-d8c0-4c96-ab9f-14aadc1b2dc4</t>
  </si>
  <si>
    <t>90a3622d</t>
  </si>
  <si>
    <t>efa0172d-a8a1-43f9-a59a-99e4bd85a6a2</t>
  </si>
  <si>
    <t>bdc469ed</t>
  </si>
  <si>
    <t>f05c809a-6b84-4348-8143-7715e6d85d96</t>
  </si>
  <si>
    <t>bf5b8eff</t>
  </si>
  <si>
    <t>f0fefb91-e078-4126-84c5-1c8a29330c7d</t>
  </si>
  <si>
    <t>f0b7a1e6-5c58-4bd3-8edf-c62f25e53864</t>
  </si>
  <si>
    <t>f1ac71a8-3cc9-4844-8071-41eb72d05e08</t>
  </si>
  <si>
    <t>71923fd5</t>
  </si>
  <si>
    <t>f2c3ada1-2896-42c5-8269-c2c1f38220ac</t>
  </si>
  <si>
    <t>f1faf105-9f2a-461e-9e7a-a6e2f2215548</t>
  </si>
  <si>
    <t>f432eec9-dd8e-4fb1-9a37-27f3ab17e3ce</t>
  </si>
  <si>
    <t>f55f1bcb-6c71-4bdf-b7f7-021d2618a36c</t>
  </si>
  <si>
    <t>558a72e5</t>
  </si>
  <si>
    <t>f30c138e-22b7-49d4-a0ee-8509b7a2d5d1</t>
  </si>
  <si>
    <t>f6be28bb-1b9a-4274-a2ad-9f17689c55df</t>
  </si>
  <si>
    <t>f572cf24-c7d4-4e71-b5be-609c806fa4da</t>
  </si>
  <si>
    <t>f58c90dd-5f1b-4e91-ac73-f42b5e3c3186</t>
  </si>
  <si>
    <t>f7c32104-9ad5-43ff-8d3d-1735a3048777</t>
  </si>
  <si>
    <t>efc1fd94</t>
  </si>
  <si>
    <t>f8651f8f-ffe7-41b1-8c1d-802dfb7ee330</t>
  </si>
  <si>
    <t>f87b87db-6083-4d13-b432-85f0cd632a02</t>
  </si>
  <si>
    <t>f8b18580-b9fd-4bc3-bbf5-7ec15c78584f</t>
  </si>
  <si>
    <t>cf469f2f-541f-4195-ad63-c06427a3deda</t>
  </si>
  <si>
    <t>f8d9cfea-03b9-4cde-9952-210cbd4361f0</t>
  </si>
  <si>
    <t>d20caf12</t>
  </si>
  <si>
    <t>fa7ff14f-61f3-4a37-a395-a0f0ba01fc12</t>
  </si>
  <si>
    <t>f9040069-fbb3-42a1-a425-32c44fba3952</t>
  </si>
  <si>
    <t>fa47869e-efd0-474a-8a4a-0deb142674d0</t>
  </si>
  <si>
    <t>fcd1607b-f059-479b-a694-84f2a4d6c1b2</t>
  </si>
  <si>
    <t>fdc6fcc5-fdfb-4cad-a9d6-5009b29d131e</t>
  </si>
  <si>
    <t>fe48a05a-2c59-4bf1-bf1d-8120eafa7c5c</t>
  </si>
  <si>
    <t>facfae7c-b768-4e0e-a5f5-7b7c868e8cce</t>
  </si>
  <si>
    <t>fb416225-b9fd-4a4d-b516-b3803095dea9</t>
  </si>
  <si>
    <t>24b0ab54-549a-46ea-810a-4e5f7e38da9d</t>
  </si>
  <si>
    <t>9239e8d7</t>
  </si>
  <si>
    <t>09b37923-327e-4cb3-a92d-9bd93aea42ea</t>
  </si>
  <si>
    <t>fed0f51f-5094-4821-8af8-f8eb5d5ffb1a</t>
  </si>
  <si>
    <t>fed2d308-9186-4d55-a88a-f8fe5e1ea5a6</t>
  </si>
  <si>
    <t>ffe852cf-332e-4029-8a50-c2f6c0c1e640</t>
  </si>
  <si>
    <t>fea80c04-c6ab-42fb-8c44-1e03c685a99c</t>
  </si>
  <si>
    <t>71ec2925</t>
  </si>
  <si>
    <t>fefc92cc-e28f-4418-bad3-5b1b912831dc</t>
  </si>
  <si>
    <t>cb0e1a43-1016-4efc-802d-a7947d74dab3</t>
  </si>
  <si>
    <t>ff86809e-20a2-4c1f-91be-350663820290</t>
  </si>
  <si>
    <t>5ad9cb5e-acf1-42fa-8c17-a6d2923b1b30</t>
  </si>
  <si>
    <t>fd9754bd-c835-4e7e-901a-318fd63404c2</t>
  </si>
  <si>
    <t>c3e9e4d5</t>
  </si>
  <si>
    <t>LIBELLE TARIF Hébergement</t>
  </si>
  <si>
    <t>Objet du contact</t>
  </si>
  <si>
    <t>LIBELLE TARIF</t>
  </si>
  <si>
    <t>chambre simple</t>
  </si>
  <si>
    <t>Modification infos BDD</t>
  </si>
  <si>
    <t>repas</t>
  </si>
  <si>
    <t>chambre double</t>
  </si>
  <si>
    <t>Demande signalétique</t>
  </si>
  <si>
    <t>article</t>
  </si>
  <si>
    <t>chambre simple avec petit-déjeuner</t>
  </si>
  <si>
    <t>Accompagnement Taxe de séjour</t>
  </si>
  <si>
    <t>produit</t>
  </si>
  <si>
    <t>chambre double avec petit déjeuner</t>
  </si>
  <si>
    <t>Demande d'attestation OTI</t>
  </si>
  <si>
    <t>pers.</t>
  </si>
  <si>
    <t>studio</t>
  </si>
  <si>
    <t>Promotion SIT (reunion.fr)</t>
  </si>
  <si>
    <t>enfant</t>
  </si>
  <si>
    <t>bungalow</t>
  </si>
  <si>
    <t>Promotion Facebook</t>
  </si>
  <si>
    <t>Promotion  Explore</t>
  </si>
  <si>
    <t>semaine</t>
  </si>
  <si>
    <t>Problème  juridique, Sirene</t>
  </si>
  <si>
    <t>week-end</t>
  </si>
  <si>
    <t>Dispositifs financiers</t>
  </si>
  <si>
    <t>nuit</t>
  </si>
  <si>
    <t>Fermeture provisoire</t>
  </si>
  <si>
    <t>week</t>
  </si>
  <si>
    <t>Fermeture définitive</t>
  </si>
  <si>
    <t xml:space="preserve">chambre familiale </t>
  </si>
  <si>
    <t>Labels et classements étoiles</t>
  </si>
  <si>
    <t>chambre familiale avec petit-déjeuner</t>
  </si>
  <si>
    <t>Porteur de projet(s)</t>
  </si>
  <si>
    <t>dortoir</t>
  </si>
  <si>
    <t>Partenaire d'une action B To C</t>
  </si>
  <si>
    <t>Plainte client</t>
  </si>
  <si>
    <t>Participants d'un atelier presta</t>
  </si>
  <si>
    <t>Demande de visite</t>
  </si>
  <si>
    <t>Autres</t>
  </si>
  <si>
    <t>Boutique</t>
  </si>
  <si>
    <t>Ousailé</t>
  </si>
  <si>
    <t>Patrimoine industriel</t>
  </si>
  <si>
    <t>moyens_paiements</t>
  </si>
  <si>
    <t>Nom_OTI</t>
  </si>
  <si>
    <t>Numéro</t>
  </si>
  <si>
    <t>rue</t>
  </si>
  <si>
    <t>Code Postal</t>
  </si>
  <si>
    <t>ville</t>
  </si>
  <si>
    <t>Contact principale</t>
  </si>
  <si>
    <t>Web</t>
  </si>
  <si>
    <t>Fournisseur_SIRET</t>
  </si>
  <si>
    <t>Prestataires</t>
  </si>
  <si>
    <t>temp_ID_Presta</t>
  </si>
  <si>
    <t>Formulaire_existant</t>
  </si>
  <si>
    <t>Main_Img</t>
  </si>
  <si>
    <t>formulaire</t>
  </si>
  <si>
    <t>ID_IRT</t>
  </si>
  <si>
    <t>Date de création</t>
  </si>
  <si>
    <t>SIT</t>
  </si>
  <si>
    <t>Informations pour l'équipe</t>
  </si>
  <si>
    <t>Groupe partnaire</t>
  </si>
  <si>
    <t xml:space="preserve">Le Longboard </t>
  </si>
  <si>
    <t>265</t>
  </si>
  <si>
    <t xml:space="preserve">  Rue Jules Bertaut</t>
  </si>
  <si>
    <t>-21.278687, 55.519913</t>
  </si>
  <si>
    <t>0262271027</t>
  </si>
  <si>
    <t>0692833648</t>
  </si>
  <si>
    <t>https://www.restaurant-le-longboard-tampon-974.fr/</t>
  </si>
  <si>
    <t>Depuis le Sud, arrivé à la tour des Azalées, prendre à droite direction le centre-ville du Tampon. Continuer tout droit le long de la RN3. Au 3e rond-point prendre à gauche sur la rue du Général de Gaulle. Continuer tout droit jusque la Poste du Tampon, au rond-point prendre à gauche sur la rue Jules Bertaut, le restaurant sera plus bas sur votre droite.
Depuis les Plaines, sur la RN3, après la pharmacie du 11e km au rond-point prendre à droite et descendre la rue Jules Bertaut. Au 2e rond-point continuer toujours tout droit, le restaurant sera plus bas sur votre droite</t>
  </si>
  <si>
    <t>VeF3648xA</t>
  </si>
  <si>
    <t>1a309000</t>
  </si>
  <si>
    <t>galerie::galerie_Images/826a873a.Path.092517.jpg</t>
  </si>
  <si>
    <t xml:space="preserve">La Ferme du Pêcher Gourmand </t>
  </si>
  <si>
    <t>141</t>
  </si>
  <si>
    <t>rue Alfred Lacroix PK 25 RN3</t>
  </si>
  <si>
    <t>-21.214961, 55.561759</t>
  </si>
  <si>
    <t>0262592979</t>
  </si>
  <si>
    <t>0692661248</t>
  </si>
  <si>
    <t>Blottie dans un vaste écrin de verdure avec vue imprenable sur le piton des Neiges et les remparts du Dimitile, la ferme auberge de Hélène et Dany Angama offre un havre de paix exceptionnel à quelques minutes de Bourg-Murat.</t>
  </si>
  <si>
    <t>chauffage , jardin , parking , aire de jeux pour enfant</t>
  </si>
  <si>
    <t>DiDa12485d</t>
  </si>
  <si>
    <t>81a82eb8</t>
  </si>
  <si>
    <t>galerie::galerie_Images/f079fd63.Path.093640.jpg</t>
  </si>
  <si>
    <t>AD2R</t>
  </si>
  <si>
    <t xml:space="preserve"> Chemin du Grand Tampon</t>
  </si>
  <si>
    <t>-21.293325, 55.534835</t>
  </si>
  <si>
    <t>payettraiteur@outlook.fr</t>
  </si>
  <si>
    <t>0692 85 21 55</t>
  </si>
  <si>
    <t>FiGu2155Fw</t>
  </si>
  <si>
    <t>3a025e41</t>
  </si>
  <si>
    <t>galerie::galerie_Images/8377edff.Path.072548.jpg</t>
  </si>
  <si>
    <t xml:space="preserve">La Kaz </t>
  </si>
  <si>
    <t xml:space="preserve"> Rue Josemont Lauret</t>
  </si>
  <si>
    <t>-21.204066, 55.577989</t>
  </si>
  <si>
    <t>0262 57 40 59</t>
  </si>
  <si>
    <t>0693603776</t>
  </si>
  <si>
    <t>Depuis le Sud, arrivé au Tampon, continuer sur la RN3 jusque la Plaine des Cafres, au rond-point de la Cité du Volcan, prendre à gauche et continuer tout droit pour arriver au restaurant.</t>
  </si>
  <si>
    <t>TéMu3776vy</t>
  </si>
  <si>
    <t>21fa64bb</t>
  </si>
  <si>
    <t>galerie::galerie_Images/e13e18dc.Path.062735.jpg</t>
  </si>
  <si>
    <t xml:space="preserve">L'Orient Express </t>
  </si>
  <si>
    <t xml:space="preserve"> Rue Raphael Babet</t>
  </si>
  <si>
    <t>-21.377112, 55.615271</t>
  </si>
  <si>
    <t>nicolas.cyh@wanadoo.fr</t>
  </si>
  <si>
    <t>0262 56 28 38</t>
  </si>
  <si>
    <t>climatisation , salle de réunion - séminaire</t>
  </si>
  <si>
    <t>ChNi3097o3</t>
  </si>
  <si>
    <t>569a7524</t>
  </si>
  <si>
    <t>galerie::galerie_Images/bc454d7d.Path.060218.jpg</t>
  </si>
  <si>
    <t>Association Rosaline</t>
  </si>
  <si>
    <t>Gato Peï</t>
  </si>
  <si>
    <t>8</t>
  </si>
  <si>
    <t>Impasse des lys</t>
  </si>
  <si>
    <t>-21.295779, 55.627067</t>
  </si>
  <si>
    <t>sylvieguichard974@gmail.com</t>
  </si>
  <si>
    <t>0692 88 54 25</t>
  </si>
  <si>
    <t>Gâteaux pays, artisanat local, ateliers,...</t>
  </si>
  <si>
    <t>Sur Grand-Coude depuis le 16 mai 2016
L’association est née d’une idée, pour rendre hommage à Rosaline GUICHARD et à tous nos aînés sur le village</t>
  </si>
  <si>
    <t>matériel pour l'activité , grand espace , vue mer , vue montagne</t>
  </si>
  <si>
    <t>sentier de randonnée,commerce alimentaire,parking public,point de vue panoramique,sentier de grande randonnée</t>
  </si>
  <si>
    <t>c13c26b5</t>
  </si>
  <si>
    <t>8535a3c2</t>
  </si>
  <si>
    <t>galerie::galerie_Images/439eb814.Path.080701.png</t>
  </si>
  <si>
    <t>Toujours en activité, reprends peu a peu la vente des gâteaux</t>
  </si>
  <si>
    <t>L'Oiseau du paradis</t>
  </si>
  <si>
    <t>7</t>
  </si>
  <si>
    <t>rue des capelles</t>
  </si>
  <si>
    <t>-21.379623, 55.647745</t>
  </si>
  <si>
    <t>asmat.tatiebelle@gmail.com</t>
  </si>
  <si>
    <t>0692344433</t>
  </si>
  <si>
    <t/>
  </si>
  <si>
    <t>L'Oiseau du paradis à Langevin à une capacité d'accueille de 12personnes max  
- cuisine équipée 
- internet 
- télévision 
- climatisation 
- baby foot à disposition
+ 4 places de parking</t>
  </si>
  <si>
    <t>Location saisonnière : L'Oiseau du paradis à Langevin</t>
  </si>
  <si>
    <t>piscine , TV , climatisation , four , jardin , linge de maison , wifi , salon de jardin , terrasse , cuisine équipée , micro-ondes , jardin clôturé , salon , Cafetière , salle de bain privée</t>
  </si>
  <si>
    <t>riviere,point de vue panoramique,sites touristiques,commerce alimentaire</t>
  </si>
  <si>
    <t>Fermé</t>
  </si>
  <si>
    <t>62b4795e</t>
  </si>
  <si>
    <t>ca5aef6e</t>
  </si>
  <si>
    <t>galerie::galerie_Images/f898f8c1.Path.041804.jpg</t>
  </si>
  <si>
    <t>CSC441HT@</t>
  </si>
  <si>
    <t xml:space="preserve">L'Eau Forte </t>
  </si>
  <si>
    <t>b Blvrd de l'Ocean</t>
  </si>
  <si>
    <t>0262563284</t>
  </si>
  <si>
    <t>0692790872</t>
  </si>
  <si>
    <t>https://eaufortest.jimdofree.com/</t>
  </si>
  <si>
    <t>Appartement de 36 m2 directement en bord de mer.
Rdc: séjour-kitchenette équipée-terrasse.
Etage: chambre climatisée-lit double -salle de bain(douche). 
Parking devant l'entrée du meublé.
Petit jardin
le jardin est accessible et vous pourrez vous y installer pour votre plaisir, il donne accès directement par un escalier au bassin de baignade... un barbecue est également disponible.</t>
  </si>
  <si>
    <t>Meublé de tourisme tout confort pour 2 personnes, situé au bord de l'océan avec une vue imprenable sur la baie de Manapany.</t>
  </si>
  <si>
    <t>Cafetière , cuisine équipée , bibliothéque , climatisation , salon , vue mer , balcon , barbecue , four , jardin , micro-ondes , parking , TV</t>
  </si>
  <si>
    <t>DuSu0872Gt</t>
  </si>
  <si>
    <t>d18ce017</t>
  </si>
  <si>
    <t>galerie::galerie_Images/b8c2af3b.Path.094234.jpg</t>
  </si>
  <si>
    <t>Accueil Payasn</t>
  </si>
  <si>
    <t xml:space="preserve"> Chemin des Papillons Pont d'Yves Tampon</t>
  </si>
  <si>
    <t>Bras de Pontho</t>
  </si>
  <si>
    <t>-21.230521, 55.516476</t>
  </si>
  <si>
    <t>fermelebonpapillon@gmail.com</t>
  </si>
  <si>
    <t>0692 88 27 04</t>
  </si>
  <si>
    <t>parking , grand espace , espace de restauration , repas traditionnels</t>
  </si>
  <si>
    <t>commerce alimentaire,parking public,point de vue panoramique,sentier de grande randonnée</t>
  </si>
  <si>
    <t>LeMu2704ll</t>
  </si>
  <si>
    <t>ec06ae8c</t>
  </si>
  <si>
    <t>galerie::galerie_Images/93978a2f.Path.055537.jpg</t>
  </si>
  <si>
    <t>Fermeture annuelle du 24/03/2025 au 01/06/2025</t>
  </si>
  <si>
    <t>Le Cyprès</t>
  </si>
  <si>
    <t>Maison</t>
  </si>
  <si>
    <t>57</t>
  </si>
  <si>
    <t>Rue Cyprès</t>
  </si>
  <si>
    <t>-21.358121, 55.661485</t>
  </si>
  <si>
    <t>someyya.rassolmian@gmail.com</t>
  </si>
  <si>
    <t>0693 50 84 90</t>
  </si>
  <si>
    <t>https://www.caroandconciergerie.com/?fbclid=IwAR30Q4E5eRxjjDMEIRN1hoFRHwZntTWHr0fQjWOMVnVrHVVMAq3kHPlnOcs</t>
  </si>
  <si>
    <t>Maison comprenant 3 chambres, séjour, salon, cuisine équipée, grande varangue avec billard, jacuzzi, piscine (chauffée pendant l'hiver austral). Un stationnement privatif
🛎 Un portail permettant l'accès au logement, un stationnement possible à l'entrée. En face du logement un parking public permet le stationnement de véhicules.
Extérieur composé d'un jardin, d'un jacuzzi abrité et d'une piscine (chauffée pendant l'hiver austral)
Un barbecue est à votre disposition pour passer un agréable séjour.
Accès depuis la grande varangue équipée d'une table à manger extensible, salon de jardin, et d'un billard pour divertir vos soirées.
De la baie vitrée, vous entrerez dans le salon et la cuisine entièrement équipée (four, micro ondes, réfrigérateur, vaisselles, marmite à riz, cafetière, bouilloire, ...). Accès à une cuisine extérieure abritée.
De cet espace, un couloir dessert :
* une buanderie : avec lave-linge et étendoir.
* une première chambre avec un lit 160 x 200 cm avec rangement à disposition.
* une seconde chambre avec un lit 160 x 200 cm avec rangement à disposition.
* une salle d'eau avec douche à l'italienne, sèche-serviettes, double vasque.
Les serviettes de toilettes sont fournis.
* un WC séparé
* une troisième chambre avec un lit 160 x 200 cm avec rangement à disposition.
☆ Petits plus inclus ☆
Lit parapluie à disposition sur demande gratuitement.
N’hésitez pas à me faire part de vos demandes particulières
Accès des voyageurs
Les voyageurs auront accès à l'ensemble de la propriété.
Autres remarques
➡️ Fêtes et musiques bruyantes interdites.
➡️ Intérieur de la maison non fumeur.
➡️ Animaux non admis.</t>
  </si>
  <si>
    <t>Au cœur du Sud Sauvage 🦎 de la Réunion venez-vous détendre au bord de la piscine ou du jacuzzi, et vous divertir grâce au billard dans la varangue !</t>
  </si>
  <si>
    <t>Situé à seulement 15 mins du centre-ville de Saint-Joseph, et 5 mins du centre de Vincendo</t>
  </si>
  <si>
    <t>Lit parapluie sur demande , bain à remous , barbecue , fer et planche à repasser , piscine , jacuzzi , jardin , TV , ventilateur , vue montagne , vue mer , linge de maison , salon , lave vaisselle , micro-ondes , linge de toilette , douche , four , Cafetière , frigo , wifi , terrasse , cuisine équipée , billard , salle à manger , salon de jardin , serviettes. , plaque de cuisson , sèche-cheveux , bouilloire , grille-pain , parking sécurisé , dressing</t>
  </si>
  <si>
    <t>sentier de randonnée,point de vue panoramique,sites touristiques,Centre - Ville,commerce alimentaire,arrêt bus,poste - boite aux lettres,station service,boulangerie,Point chaud,sites - lieux culturels</t>
  </si>
  <si>
    <t>Virement,Espèces,booking,airbnb,Abritel,Caro&amp;co</t>
  </si>
  <si>
    <t>54070421,ed2da975</t>
  </si>
  <si>
    <t>dab2457d</t>
  </si>
  <si>
    <t>galerie::galerie_Files_/bc7088b6.Path.063849.webp</t>
  </si>
  <si>
    <t>CSC611HTH</t>
  </si>
  <si>
    <t>Ka Hema</t>
  </si>
  <si>
    <t>43</t>
  </si>
  <si>
    <t>chemin des Girofles</t>
  </si>
  <si>
    <t>-21.369708, 55.687724</t>
  </si>
  <si>
    <t>gl1973@orange.fr</t>
  </si>
  <si>
    <t>0692 22 26 80</t>
  </si>
  <si>
    <t>La location est conçue pour 6 personnes et bénéficie d’un emplacement idéal pour vous ressourcer en famille et visiter les nombreux sites touristiques alentours. Se trouvant à 1 minute de la route nationale, notre location est proche de toutes commodités (supermarchés, restaurants, pizzérias, boulangeries/pâtisseries, presse/tabac…)
Le logement comprend :
- Un coin jacuzzi privé et intime à l’arrière de la maison sous une varangue terrasse couverte avec une petite table, ses chaises et ses 2 transats bain de soleil pour vos moments de détente et de lecture privilégiés
- 2 chambres climatisées avec armoire/dressing (draps, oreillers, couettes et couvertures polaires fournis)
- Une cuisine entièrement équipée (réfrigérateur + compartiment congélateur, lave vaisselle, four catalyse chaleur tournante, hotte aspirante, four micro onde, grille-pain, cafetière électrique + machine espresso Senseo, bouilloire, toute la vaisselle et ustensiles de cuisine…)
- Un coin salle à manger avec sa table et ses 6 chaises et un coin salon avec son canapé convertible de bonne qualité et son matelas confortable 140x190.
- Un téléviseur HD et une connexion haut débit + wifi dans toute la maison avec 60 chaînes et services inclus, dont 30 chaînes en HD. Vous retrouvez les chaînes locales, nationales, internationales et thématiques.
- Une salle de bain avec douche à l’italienne, lave linge, sèche cheveux, fer à repasser, table à langer…
- Des toilettes indépendantes
- Une varangue terrasse couverte de 20 m² à l’avant de la maison avec un coin salon de jardin et une table extensible jusqu’à 6 personnes pour bénéficier des repas à l’extérieur et profiter de la vue panoramique sur l’océan indien.
- Un coin jardin avec cuisine extérieure, barbecue face à la mer, réchaud fonte 3 robinets…
• Les fêtes et soirées bruyantes ne sont pas autorisées
• Les animaux de compagnie ne sont pas autorisés
Les voyageurs ont l'intégralité de la maison à leur disposition.</t>
  </si>
  <si>
    <t>Bienvenue à Ka Hema, location saisonnière entièrement rénovée et meublée à neuf. Située dans un endroit calme et verdoyant avec une vue imprenable sur l’océan.</t>
  </si>
  <si>
    <t>Le quartier de Girofle se trouve à la sortie de Vincendo entre la commune de Saint-Joseph et de Saint-Philippe. 
A la jonction de la rue Marcel Pagnol et de la rue Louis Blérot, prendre la rue de l'horizon en direction de "la Crête - Jacques Payet - Matouta" 
Retour sur 200m environ puis prendre à droite "chemin des girofles"
Puis prendre la premiere rue à droite, puis gauche, puis droite 
Enfin montez la petite pente bétonnée jusqu'au bout.</t>
  </si>
  <si>
    <t>barbecue , climatisation , fer et planche à repasser , jacuzzi , vue mer , linge de maison , salon , jardin , TV , lave vaisselle , lave linge privatif , micro-ondes , salle de bain privée , wifi , douche , four , terrasse , salon de jardin , linge de toilette , salle de bain , cuisine équipée , jardin clôturé , salle à manger , plaque de cuisson , frigo , canal plus… , Tout équipé, wifi</t>
  </si>
  <si>
    <t>sentier de randonnée,commerce alimentaire,point de vue panoramique,sites touristiques,arrêt bus,poste - boite aux lettres,station service</t>
  </si>
  <si>
    <t>Virement,Espèces,Paypal,airbnb,booking</t>
  </si>
  <si>
    <t>920a9281</t>
  </si>
  <si>
    <t>378a036c</t>
  </si>
  <si>
    <t>galerie::galerie_Files_/e36afe3d.Path.074327.webp</t>
  </si>
  <si>
    <t>CSC545HTN</t>
  </si>
  <si>
    <t xml:space="preserve">L'Estagnon </t>
  </si>
  <si>
    <t xml:space="preserve"> Chemin Henri Cabeu</t>
  </si>
  <si>
    <t>-21.227767, 55.512305</t>
  </si>
  <si>
    <t>0262 59 96 89</t>
  </si>
  <si>
    <t>0692824585</t>
  </si>
  <si>
    <t>Splendide vue sur les montagnes et sur la mer, à proximité de la maison du propriétaire. Les chambres sont aménagées avec goût et équipées de sanitaires privés.
Grand jardin et terrasse</t>
  </si>
  <si>
    <t>L'Estagnon propose 2 chambres d'hôtes labellisées Gîtes de France.</t>
  </si>
  <si>
    <t>vue mer , linge de maison , parking , chauffage , jardin , espace de restauration , wifi gratuit , salle de bain privée , sanitaires privés , linge de toilette , Lit parapluie sur demande , douche , bibliothéque</t>
  </si>
  <si>
    <t>épicerie,snack,commerce alimentaire,arrêt bus,transports en commun,pharmacie,boulangerie,Point chaud,médecin,tabac presse,coiffeur</t>
  </si>
  <si>
    <t>PaPa4585BE</t>
  </si>
  <si>
    <t>3ba2e2cf</t>
  </si>
  <si>
    <t>galerie::galerie_Images/5f6e2244.Path.062850.jpg</t>
  </si>
  <si>
    <t>Info au 16/06/2022 : Ne propose plus la table d'hôtes pour le moment
Fermeture temporaire tout 2025</t>
  </si>
  <si>
    <t xml:space="preserve">La Kaz Léo </t>
  </si>
  <si>
    <t xml:space="preserve"> Chemin Mathias</t>
  </si>
  <si>
    <t>-21.228756, 55.575919</t>
  </si>
  <si>
    <t xml:space="preserve">lakazleo@gmail.com </t>
  </si>
  <si>
    <t>0620498180</t>
  </si>
  <si>
    <t>Située dans le parc national des hauts, les amoureux de la nature, du calme et des randonnées, trouveront leur bonheur. A 30 min du volcan, 15 min du sentier de grand bassin, 5 min du parcours de santé de tamarhaut et 35 minutes de la plage.
Vous trouverez de bons restaurants.
En plus des équipements de bases vous trouverez une cuisine au feu de bois, un grand jardin et son barbecue (mobile), et pour vos moments de détente un Jacuzzi (5 places).
2 chambres + canapé lit 
Laissez-vous tenter,...</t>
  </si>
  <si>
    <t>Maison de vacances au coeur du parc national des hauts, à la Plaine des cafres, pour les amoureux de la nature.</t>
  </si>
  <si>
    <t>Accessible par la RN1 en venant de saint pierre , passer devant la gendarmerie et tournez à droite vers Notre dame de la Paix/ petite ferme, environ à 2,5 km vous arriverez dans le village de la petite ferme et après 3 ralentisseurs, le chemin mathias se trouve sur votre gauche avec l'indication du volcan/ la grande ferme et en venant de la plaine des palmistes toujours sur la RN1 avant la gendarmerie tournez à gauche</t>
  </si>
  <si>
    <t>chauffage solaire , poêle à bois  , barbecue , fer et planche à repasser , jacuzzi , vue montagne , grand espace , linge de maison , parking , TV satellite , salon , chauffage , jardin , TV , lave vaisselle , lave linge privatif , micro-ondes , salle de bain privée , wifi , douche , four , aire de jeux pour enfant , terrasse , linge de toilette , cuisine au bois , serviettes. , salle de bain , cour clôturée , bibliothéque , veranda couverte , Cafetière , Lit parapluie sur demande , frigo , jardin clôturé , cuisine équipée , salle à manger , poil a bois , canal plus… , jeux , garage</t>
  </si>
  <si>
    <t>Virement,Espèces,Carte Bancaire,airbnb</t>
  </si>
  <si>
    <t>LeLy8180pm</t>
  </si>
  <si>
    <t>31dadced</t>
  </si>
  <si>
    <t>galerie::galerie_Images/119cef51.Path.101026.jpg</t>
  </si>
  <si>
    <t>Horaires flexibles
Caution en espèce 100€ (jacuzzi + ménage) et en chèque 600€ (pour la maison)
**** ATTENTION **** Fermeture temporaire de septembre 2024 au 31 octobre 2025</t>
  </si>
  <si>
    <t xml:space="preserve">Le Tagine Bis </t>
  </si>
  <si>
    <t>0</t>
  </si>
  <si>
    <t>Saint Joseph</t>
  </si>
  <si>
    <t>centre ville</t>
  </si>
  <si>
    <t>0262 47 10 99</t>
  </si>
  <si>
    <t>climatisation , jardin</t>
  </si>
  <si>
    <t>VaSa59245X</t>
  </si>
  <si>
    <t>22c25714</t>
  </si>
  <si>
    <t>galerie::galerie_Images/91db1f40.Path.092643.png</t>
  </si>
  <si>
    <t xml:space="preserve"> Chemin Patchane</t>
  </si>
  <si>
    <t>cheznarvam@gmail.com</t>
  </si>
  <si>
    <t>0692 60 47 21</t>
  </si>
  <si>
    <t>Nous vous proposons une cuisine indienne traditionnelle de la Réunion, dans un cadre unique. Le repas est servi dans des feuilles de bananes, de manière à ce que les hôtes se sentent intégrés dans la culture tamoule "malbar". En l'espace d'une journée vous vous sentirez dépaysés.</t>
  </si>
  <si>
    <t>Chez Narvam est une table d'hôtes indo-réunionnaise située à deux pas de la rivière Langevin à l'ile de la Réunion.</t>
  </si>
  <si>
    <t>De saint-Pierre, direction Saint-Joseph, balance cannes, pont de Langevin, rond point à 200 m, prendre à gauche rue Terrain Galet, rouler jusqu'à la petite chapelle catholique blanche, prendre à gauche rue Patchane jusqu'au n°10.</t>
  </si>
  <si>
    <t>parking , wifi , climatisation , grand espace , ventilateur</t>
  </si>
  <si>
    <t>site - lieu culturel,pêche,riviere,sites touristiques,pharmacie</t>
  </si>
  <si>
    <t>Chèque,Carte Bancaire,Espèces,Virement</t>
  </si>
  <si>
    <t>PaDo4721N9</t>
  </si>
  <si>
    <t>ecfa990c</t>
  </si>
  <si>
    <t>galerie::galerie_Images/eb30c7c2.Path.075106.jpg</t>
  </si>
  <si>
    <t>Les réservations peuvent midi et/ou soir se faire à partir de dix personnes.</t>
  </si>
  <si>
    <t>Zévi sur Mer</t>
  </si>
  <si>
    <t>chambre</t>
  </si>
  <si>
    <t>42</t>
  </si>
  <si>
    <t>Chemin des Bibassiers</t>
  </si>
  <si>
    <t>-21.239050, 55.501091</t>
  </si>
  <si>
    <t>jean-claude.boyer04@orange.fr</t>
  </si>
  <si>
    <t>0692 27 13 19</t>
  </si>
  <si>
    <t>Nous mettons à disposition l’annexe de notre logement (3 chambres avec salle de bain privatives).
Vous aurez le choix entre la chambre océan, la chambre tropicale et la chambre volcan.
La chambre océan est une chambre PMR.
La chambre volcan peut accueillir trois adultes, ou deux adultes et un enfant.
(Si trois adultes, vous pourrez accéder à deux chambres. Si deux adultes et un enfant, la chambre volcan vous sera attribué.)
Les serviettes et draps de chambres sont fournis.
Les draps de plages sont non fournis.
Une cuisine extérieure équipée est à votre disposition.
Une piscine vous permettra de vous détendre avec une magnifique vue.
Vous trouverez aussi un salon de jardin ainsi que des transats sur la terrasse.
Nous accueillons uniquement un groupe à la fois ce qui vous permettra la privatisation de l'annexe.
L'habitation étant aussi notre résidence principal, nous utilisons aussi la cuisine extérieure.
Un pot de bienvenue vous sera offert.
Nous serons ravi de vous transmettre nos connaissances de l'île.
Le prix affiché est fonction du nombre de chambre occupé.</t>
  </si>
  <si>
    <t>Chambre d'hôte : Zévi sur Mer</t>
  </si>
  <si>
    <t>Entre Bras de Pontho et Pont d'Yves</t>
  </si>
  <si>
    <t>barbecue , fer et planche à repasser , piscine , jardin , salle de bain privée , ventilateur , vue mer , linge de maison , wifi gratuit , micro-ondes , linge de toilette , douche , four , Cafetière , frigo , bibliothéque , cuisine équipée , Lit parapluie sur demande , petit déjeuner créole ou classique , parking sécurisé , cours clôturée</t>
  </si>
  <si>
    <t>sentier de randonnée,riviere,arrêt bus,pharmacie,boulangerie,Point chaud,stade de foot</t>
  </si>
  <si>
    <t>Virement,Espèces,Carte Bancaire</t>
  </si>
  <si>
    <t>français,créole,portugais</t>
  </si>
  <si>
    <t>2ea07687</t>
  </si>
  <si>
    <t>4f9b83d2</t>
  </si>
  <si>
    <t>galerie::galerie_Files_/3b6366be.Path.065148.webp</t>
  </si>
  <si>
    <t>CSC627HTO</t>
  </si>
  <si>
    <t xml:space="preserve">Le Tropicana </t>
  </si>
  <si>
    <t xml:space="preserve"> Rue Raphaël Babet</t>
  </si>
  <si>
    <t>0262 56 53 19</t>
  </si>
  <si>
    <t>jardin , ventilateur</t>
  </si>
  <si>
    <t>ChLa5319VW</t>
  </si>
  <si>
    <t>898a6da9</t>
  </si>
  <si>
    <t>Le Jubilé Des O</t>
  </si>
  <si>
    <t xml:space="preserve"> rue Jules Hoareau</t>
  </si>
  <si>
    <t>-21.330028, 55.606131</t>
  </si>
  <si>
    <t>nikolas974@outlook.fr</t>
  </si>
  <si>
    <t>0692 63 98 17</t>
  </si>
  <si>
    <t>De Saint-Pierre ou de Saint-Philippe, direction Plaine des Grègues. Au centre du village de la Plaine des Grègues, le restaurant se situe en face de la croix jubilé.</t>
  </si>
  <si>
    <t>ChKu9817Tg</t>
  </si>
  <si>
    <t>be76b823</t>
  </si>
  <si>
    <t>galerie::galerie_Images/9d8913a7.Path.104900.jpg</t>
  </si>
  <si>
    <t xml:space="preserve">Le Gadjak </t>
  </si>
  <si>
    <t xml:space="preserve"> Rue Fortune Hoarau</t>
  </si>
  <si>
    <t>-21.249172, 55.470389</t>
  </si>
  <si>
    <t>0692410369</t>
  </si>
  <si>
    <t>Restaurant situé au centre ville de l'Entre-Deux dans une vieille case créole qui a plus d'un siècle et demi. 
Le Gadjak propose des plats du jour de cuisine traditionnelle créole, des grillades poissons frais et suggestions de plats du monde.
Ouvert du lundi au vendredi de 11h30 à 14h et du lundi au jeudi de 18h30 à 20h30. Fermé vendredi soir samedi et dimanche</t>
  </si>
  <si>
    <t>Cuisine traditionnelle créole, grillades, viandes et poissons frais situé à l'Entre-Deux dans une charmante bâtisse créole classée au patrimoine de France</t>
  </si>
  <si>
    <t>terrasse , ventilateur</t>
  </si>
  <si>
    <t>commerce alimentaire,parking public,arrêt bus,poste - boite aux lettres,station essence,Centre - Ville,pharmacie,boulangerie,transports en commun,commerces,pâtisserie,banque - guichet automatique,médecin,Point chaud,tabac presse,sites touristiques,piscine municipale</t>
  </si>
  <si>
    <t>ThRa0369S2</t>
  </si>
  <si>
    <t>9bbc9382</t>
  </si>
  <si>
    <t>galerie::galerie_Images/fe964d2c.Path.054529.jpg</t>
  </si>
  <si>
    <t xml:space="preserve">Le Coq d'Or </t>
  </si>
  <si>
    <t xml:space="preserve"> Route de Grand Coude</t>
  </si>
  <si>
    <t>-21.333694, 55.632986</t>
  </si>
  <si>
    <t>lecoqdor57@gmail.com</t>
  </si>
  <si>
    <t>02 62 46 56 51</t>
  </si>
  <si>
    <t>7684Vh</t>
  </si>
  <si>
    <t>0c464df9</t>
  </si>
  <si>
    <t>indiqué sur google maps : fermé temporairement et numéro non fonctionnel</t>
  </si>
  <si>
    <t xml:space="preserve">La Récrée Idéale by Ludo </t>
  </si>
  <si>
    <t xml:space="preserve"> Rue Hippolyte Foucque</t>
  </si>
  <si>
    <t>-21.374549, 55.624545</t>
  </si>
  <si>
    <t>ludo974huand@gmail.com</t>
  </si>
  <si>
    <t>0262401923</t>
  </si>
  <si>
    <t>https://www.facebook.com/profile.php?id=100063776820555</t>
  </si>
  <si>
    <t>1923MX</t>
  </si>
  <si>
    <t>e4becb74</t>
  </si>
  <si>
    <t>galerie::galerie_Images/36c1ffcd.Path.064616.jpg</t>
  </si>
  <si>
    <t xml:space="preserve">La Table des Randonneurs </t>
  </si>
  <si>
    <t>17</t>
  </si>
  <si>
    <t>Chemin des Badiannes - Jacques Payet-</t>
  </si>
  <si>
    <t>-21.344833, 55.686111</t>
  </si>
  <si>
    <t>0692617347</t>
  </si>
  <si>
    <t>jardin , parking</t>
  </si>
  <si>
    <t>GrMa7347LB</t>
  </si>
  <si>
    <t>088e628e</t>
  </si>
  <si>
    <t>galerie::galerie_Images/4b56dd9e.Path.112825.jpg</t>
  </si>
  <si>
    <t xml:space="preserve"> route de la passerelle</t>
  </si>
  <si>
    <t>-21.362107, 55.647607</t>
  </si>
  <si>
    <t>restojim97480@gmail.com</t>
  </si>
  <si>
    <t>0262 56 56 01</t>
  </si>
  <si>
    <t>Situé dans le Sud Sauvage, dans le quartier de Langevin à Saint-Joseph, le snack Chez Jim propose une cuisine créole.
Plusieurs plats du jour sont proposés. Repas sur place et à emporter.
Menu boisson et dessert dans la galerie photo</t>
  </si>
  <si>
    <t>Restaurant Chez Jim - SA LÉ BON 😄</t>
  </si>
  <si>
    <t>Rivière Langevin</t>
  </si>
  <si>
    <t>parking , terrasse , espace de restauration , vue rivière , Propose des snacks , repas traditionnels</t>
  </si>
  <si>
    <t>sentier de grande randonnée,pêche,riviere,arrêt bus,poste - boite aux lettres</t>
  </si>
  <si>
    <t>BoFa5601gs</t>
  </si>
  <si>
    <t>9f2412cb</t>
  </si>
  <si>
    <t>galerie::galerie_Images/c49bc9a5.Path.103139.jpg</t>
  </si>
  <si>
    <t>Route de Matouta</t>
  </si>
  <si>
    <t>-21.360783, 55.700915</t>
  </si>
  <si>
    <t>0262372027</t>
  </si>
  <si>
    <t>0692646170</t>
  </si>
  <si>
    <t>jardin , parking , wifi , salle de bain privée , sanitaires privés , TV , climatisation</t>
  </si>
  <si>
    <t>DeWi2027pc</t>
  </si>
  <si>
    <t>fca77b50</t>
  </si>
  <si>
    <t>galerie::galerie_Images/4527d86e.Path.102224.jpg</t>
  </si>
  <si>
    <t xml:space="preserve">Le Bel Air </t>
  </si>
  <si>
    <t xml:space="preserve"> Rue Lesquelin</t>
  </si>
  <si>
    <t>-21.343823, 55.605848</t>
  </si>
  <si>
    <t>0692691247</t>
  </si>
  <si>
    <t>FoYa1247Uf</t>
  </si>
  <si>
    <t>c4de38dc</t>
  </si>
  <si>
    <t>galerie::galerie_Images/ea11e5d0.Path.044312.jpg</t>
  </si>
  <si>
    <t>La Roche Kas'Kou</t>
  </si>
  <si>
    <t>126 A</t>
  </si>
  <si>
    <t>Boulevard de l'Océan Manapany</t>
  </si>
  <si>
    <t>-21.372447, 55.588303</t>
  </si>
  <si>
    <t>a.mondon974@gmail.com</t>
  </si>
  <si>
    <t>0692 85 16 94</t>
  </si>
  <si>
    <t>Implanté dans un jardin privatif arboré et sécurisé le chalet comporte 2 chambres climatisées avec salle d'eau intégrée de plein pied, une terrasse coté mer, un deck avec barbecue coté montagne, un WC indépendant, une cuisine équipée (four traditionnel, four M.O, plaque induction, réfrigérateur double portes, cafetière nespresso) .
Horaires flexibles</t>
  </si>
  <si>
    <t>Bungalow en bord de mer à Manapany les bains</t>
  </si>
  <si>
    <t>Manapany les Bains</t>
  </si>
  <si>
    <t>baignoire , dressing , sèche-cheveux , parking , salon de jardin , barbecue , bouilloire , four , micro-ondes , fer et planche à repasser , plaque de cuisson , Cafetière , cuisine équipée , jardin , salle de bain privée , vue montagne , vue mer , TV , Lit parapluie sur demande , serviettes.</t>
  </si>
  <si>
    <t>sentier de randonnée,Bassin de Manapany,arrêt bus,Restauration</t>
  </si>
  <si>
    <t>Chèque,Espèces,Virement,airbnb,Le bon coin</t>
  </si>
  <si>
    <t>d77a17a9</t>
  </si>
  <si>
    <t>d7c5a079</t>
  </si>
  <si>
    <t>galerie::galerie_Images/7b3a321d.Path.103019.jpg</t>
  </si>
  <si>
    <t>CSC568HTS</t>
  </si>
  <si>
    <t>Ce presta possède 2 hébergements. Un sur manapany (la roche kas'kou) et un bungalow pour 2 personnes sur Grand Coude. D'où la page facebook qui regroupe les 2.</t>
  </si>
  <si>
    <t xml:space="preserve">Le Tagine </t>
  </si>
  <si>
    <t>Chemin De La Marine</t>
  </si>
  <si>
    <t>-21.376285, 55.668619</t>
  </si>
  <si>
    <t>0693 90 56 61</t>
  </si>
  <si>
    <t>Situé dans le village de Vincendo, Le Tagine prose des sandwiches, des repas, des pizzas mais également sur commande   couscous, tagines et paellas.
Salle de réception pour banquet, mariage, communion, baptême, repas d’affaire, etc. 
Fermé le dimanche soir.</t>
  </si>
  <si>
    <t>jardin , parking , wifi gratuit , climatisation</t>
  </si>
  <si>
    <t>5ebfb149</t>
  </si>
  <si>
    <t>galerie::galerie_Images/c6868595.Path.055900.jpg</t>
  </si>
  <si>
    <t>La Villa Coccinelle</t>
  </si>
  <si>
    <t>31</t>
  </si>
  <si>
    <t>impasse Kenkle</t>
  </si>
  <si>
    <t>-21.220583, 55.551125</t>
  </si>
  <si>
    <t>ivielor@hotmail.com</t>
  </si>
  <si>
    <t>0692 82 11 43</t>
  </si>
  <si>
    <t>Les villas possèdent 3 chambres avec des lits doubles confortables pouvant accueillir chacune 2 personnes. Dans le salon, un canapé-lit permet d'atteindre un total de 8 couchages.
Les salles de bain sont pourvues d'une douche à l’italienne et d’un lave linge.
Les cuisines sont ouvertes et entièrement équipées (lave vaisselle, Four, petit électroménager, vaisselles…).
Un petit jardin paisible et clôturé avec terrasse en bois vous accueillera pour vos après midi détente.
Parking sécurisé pouvant accueillir deux voitures.
Linges de maison fournis sur demande.
Un forfait ménage est proposé sur demande.
160 euros HT la nuitée pour le week-end(2 nuits minimum)
120 euros HT la nuitée pour un forfait semaine.
+50 euros frais de blanchisserie si linges de maison fournis.
+Taxe de séjour applicable aux adultes de plus de 18 ans (Montant 5% de montant du séjour).
Forfait ménages : 40euros.</t>
  </si>
  <si>
    <t>Proche du site de miel vert</t>
  </si>
  <si>
    <t>barbecue , climatisation , fer et planche à repasser , vue montagne , linge de maison , parking , jardin , TV , lave vaisselle , lave linge privatif , micro-ondes , linge de toilette , douche , four , Cafetière , terrasse , bibliothéque , Lit parapluie sur demande , salon de jardin , cour clôturée</t>
  </si>
  <si>
    <t>sentier de randonnée,commerce alimentaire,équitation,parking public,point de vue panoramique,sentier de grande randonnée,site - lieu culturel</t>
  </si>
  <si>
    <t>Chèque,Espèces,Virement,Le bon coin</t>
  </si>
  <si>
    <t>f7e75c1f</t>
  </si>
  <si>
    <t>8dde1d54</t>
  </si>
  <si>
    <t>galerie::galerie_Images/6f330b6d.Path.091731.jpg</t>
  </si>
  <si>
    <t>CSC618HTO</t>
  </si>
  <si>
    <t>Les Goyaves</t>
  </si>
  <si>
    <t>16 B</t>
  </si>
  <si>
    <t>rue Bertin</t>
  </si>
  <si>
    <t>-21.375096, 55.614738</t>
  </si>
  <si>
    <t>0692022569</t>
  </si>
  <si>
    <t>lave linge privatif , lave vaisselle , micro-ondes , four , frigo</t>
  </si>
  <si>
    <t>GrRi2569wa</t>
  </si>
  <si>
    <t>11e27beb</t>
  </si>
  <si>
    <t>galerie::galerie_Images/985c0b06.Path.063157.jpg</t>
  </si>
  <si>
    <t>CSC506HT@</t>
  </si>
  <si>
    <t>fermeture provisoire jusqu'au 30 juin 2025</t>
  </si>
  <si>
    <t>Appartement Hubert Delisle</t>
  </si>
  <si>
    <t>348</t>
  </si>
  <si>
    <t>rue Hubert Delisle</t>
  </si>
  <si>
    <t>-21.272564, 55.512309</t>
  </si>
  <si>
    <t>floetjplocation974@gmail.com</t>
  </si>
  <si>
    <t>06 93 84 83 87</t>
  </si>
  <si>
    <t>Cet appartement est situé à 2 mn du centre-ville du Tampon et 10 mn à pied.
Une petite terrasse pour profiter du bon air vous rafraichirait après une journée très ensoleillée. 
Une connexion haut débit vous permettra de donner de vos nouvelles à vos familles et amis dans de bonnes conditions. 
1 lit bébé pliant peut être mis à disposition sur demande. 
Pour un côté pratique, un commerce de proximité, avec blanchisserie et nettoyage à sec est installé juste en face, ainsi que des points de restauration, garage automobile...en résumé, pas mal de commodités.
Une caution sera à régler à la remise des clés, qui vous sera remboursée en totalité si aucune casse n'est à déplorer. 
Le ménage est effectué avant et sera de nouveau effectué à la fin du séjour moyennant un forfait qui sera à régler à votre arrivée. 
Nous nous ferons un plaisir de vous accueillir et vous aiguiller sur les différentes activités et sites à visiter sur notre belle ile intense. 
Nous aménagerons les heures d'arrivée et de sortie selon les disponibilités. Nous ferons de notre mieux pour rendre votre séjour le plus agréable possible. 
N'hésitez surtout pas à nous solliciter si vous avez la moindre information manquante pour vous décider.
Location à partir de 3 nuits minimum</t>
  </si>
  <si>
    <t>T2 au rez de chaussée, parking privé et wifi haut débit</t>
  </si>
  <si>
    <t>fer et planche à repasser , Lit parapluie sur demande , plaque de cuisson , grille-pain , Cafetière , bouilloire , frigo , cuisine équipée , wifi , ventilateur , chauffage , sèche-cheveux , accès internet , TV , linge de maison , lave linge privatif , linge de toilette , parking</t>
  </si>
  <si>
    <t>restaurants,Laverie,arrêt bus,Centre - Ville,commerce alimentaire</t>
  </si>
  <si>
    <t>Espèces,Virement,booking,airbnb</t>
  </si>
  <si>
    <t>35f8fcbb</t>
  </si>
  <si>
    <t>bce6b48a</t>
  </si>
  <si>
    <t>galerie::galerie_Images/da5539c8.Path.075113.jpg</t>
  </si>
  <si>
    <t>CSC630HTI</t>
  </si>
  <si>
    <t>Appartement Jules Bertaut</t>
  </si>
  <si>
    <t>238</t>
  </si>
  <si>
    <t>rue Jules Bertaut</t>
  </si>
  <si>
    <t>-21.272863, 55.524772</t>
  </si>
  <si>
    <t>Pour vos vacances ou déplacements divers, nous vous proposons notre spacieux T2 de 58m², situé au 2ème étage avec ascenseur et accessible aux PMR. 
1 box fermé au sous-sol est également à disposition pour votre véhicule.
L'appartement peut accueillir 4 personnes et est agencé comme suit : 
* 1 grande chambre avec placard intégré. 
* 1 salon/séjour avec un clic-clac. 
* 1 cuisine aménagée et équipée. 
* 1 salle de bain, avec baignoire. 
* 1 wc séparé. 
1 berceau pliant de 120/60 cm ou 1 matelas gonflable 130/190 cm est disponible sur demande. 
Le linge de maison, la lessive pour le lave-linge, du café moulu de la Réunion, des dosettes Senseo, du thé, du sucre, ainsi que les produits d'entretien sont fournis. 
Appartement situé à 5 mn du centre-ville du Tampon et 15 mn à pied. 
Une caution sera à régler à la remise des clés, qui vous sera remboursée en totalité si aucune casse n'est à déplorer.
Le ménage est effectué avant et sera de nouveau effectué à la fin du séjour moyennant un forfait qui sera à régler à votre arrivée.
Les heures d'entrée et de sortie peuvent être flexibles selon les disponibilités. Nous ferons de notre mieux pour rendre votre séjour le plus agréable possible. 
N'hésitez surtout pas à nous solliciter si vous avez la moindre information manquante pour vous décider. 
L'accès au bâtiment, côté piéton, est sécurisé par digicode et badge, et l’accès au box pour voiture en sous-sol par une barrière électrique à télécommande. 
Une vue montagne agrémentera vos journées ensoleillées. Une petite vue mer depuis la grande fenêtre du séjour vous aidera à vous décider entre une sortie plage ou montagne.
Réservation de 3 nuits minimum</t>
  </si>
  <si>
    <t>T2 avec garage et wifi haut débit, accessible PMR avec ascenseur</t>
  </si>
  <si>
    <t>parking sécurisé , fer et planche à repasser , plaque de cuisson , grille-pain , Cafetière , bouilloire , frigo , micro-ondes , four , cuisine équipée , Lit parapluie sur demande , canapé lit , linge de maison , lave linge privatif , linge de toilette , salle de bain privée , baignoire , sèche-cheveux , garage , vue montagne , vue mer , ventilateur , salon , TV , wifi gratuit</t>
  </si>
  <si>
    <t>boulangerie,Centre - Ville</t>
  </si>
  <si>
    <t>dd30ec81</t>
  </si>
  <si>
    <t>galerie::galerie_Images/4c4a79de.Path.073346.jpg</t>
  </si>
  <si>
    <t>CSC629HTQ</t>
  </si>
  <si>
    <t xml:space="preserve">Le Malmany </t>
  </si>
  <si>
    <t>6,</t>
  </si>
  <si>
    <t>chemin Boulanger - Jean Petit-</t>
  </si>
  <si>
    <t>-21.283707, 55.636281</t>
  </si>
  <si>
    <t>0262722003</t>
  </si>
  <si>
    <t>0692204849</t>
  </si>
  <si>
    <t>MoJe4849L0</t>
  </si>
  <si>
    <t>1cfe5bfd</t>
  </si>
  <si>
    <t xml:space="preserve">Le Tangor </t>
  </si>
  <si>
    <t xml:space="preserve"> Rue Jules Hoareau</t>
  </si>
  <si>
    <t>-21.328474, 55.607383</t>
  </si>
  <si>
    <t>0262562646</t>
  </si>
  <si>
    <t>0692677628</t>
  </si>
  <si>
    <t>Le cadre est agréable et soigné, aussi bien sur la terrasse fleurie de cette jolie maison créole, qu'à l'intérieur dans une salle chaleureuse avec parquets et poutres apparentes</t>
  </si>
  <si>
    <t>Situé dans le Sud Sauvage à La Plaine des Grègues dans la commune de Saint-Joseph, le restaurant Le Tangor propose une cuisine créole à base de produits locaux ou de la ferme et d'épices de la Maison du Curcuma.</t>
  </si>
  <si>
    <t>terrasse , parking , wifi</t>
  </si>
  <si>
    <t>Carte Bancaire,Chèque,Espèces,Tickets restaurant</t>
  </si>
  <si>
    <t>Bo7628RF</t>
  </si>
  <si>
    <t>21dcc36f</t>
  </si>
  <si>
    <t>galerie::galerie_Images/6dff3aa3.Path.114922.jpg</t>
  </si>
  <si>
    <t>Chez Theo</t>
  </si>
  <si>
    <t>43 B</t>
  </si>
  <si>
    <t>boulevard de l’Océan</t>
  </si>
  <si>
    <t>-21.376444, 55.595690</t>
  </si>
  <si>
    <t>g.theo@laposte.net</t>
  </si>
  <si>
    <t>0692262881</t>
  </si>
  <si>
    <t>Succombez au charme du sud de La Réunion en séjournant dans cet appartement situé à 3' en voiture du bassin de Manapany-Les-Bains et du bord de mer. Ce 2 pièces vous offrira : chambre avec lit queen-size et douche italienne; cuisine toute équipée; grande terrasse; wi-fi très haut débit. Que vous soyez seul.e ou en couple, ce logement est fait pour vos vacances ou votre séjour professionnel à La Réunion.
La splendide plage de Grand-Anse est située à 15' et la grande ville de Saint-Pierre à 20'.</t>
  </si>
  <si>
    <t>terrasse , climatisation , lave linge privatif , linge de maison , linge de toilette , cuisine équipée , wifi gratuit , parking</t>
  </si>
  <si>
    <t>point de vue panoramique,commerce alimentaire,pêche,sites touristiques,Bassin de Manapany,jardin,plage,transports en commun,restaurants,littoral</t>
  </si>
  <si>
    <t>airbnb</t>
  </si>
  <si>
    <t>b986b9ad</t>
  </si>
  <si>
    <t>28a759b8</t>
  </si>
  <si>
    <t>CSC457HT@</t>
  </si>
  <si>
    <t>fermeture signalée par mail le 25/10/2023</t>
  </si>
  <si>
    <t>Mondon</t>
  </si>
  <si>
    <t>126</t>
  </si>
  <si>
    <t>boulevard de l'Océan</t>
  </si>
  <si>
    <t>-21.372416, 55.588455</t>
  </si>
  <si>
    <t>laurentmondon@zeop.re</t>
  </si>
  <si>
    <t>0692433787</t>
  </si>
  <si>
    <t>83b3503c</t>
  </si>
  <si>
    <t>d4593015</t>
  </si>
  <si>
    <t>CSC422HT@</t>
  </si>
  <si>
    <t>Doublons ( la roche kas'kou) ???</t>
  </si>
  <si>
    <t xml:space="preserve">La Cascade </t>
  </si>
  <si>
    <t>Grand Bassin</t>
  </si>
  <si>
    <t>gitecascade974@gmail.com</t>
  </si>
  <si>
    <t>0692 28 59 12</t>
  </si>
  <si>
    <t>Situé à Grand Bassin à la  Plaine des Cafres, la Cascade dispose de 4 chambres doubles
1 dortoir de 5 + 1 de 6 pax
3 chambres doubles + 1 chambre triple 
2 sanitaires + 2 salle de bains partagées</t>
  </si>
  <si>
    <t>Gite de la Cascade</t>
  </si>
  <si>
    <t>vue rivière , jardin , salle de bain commune , sanitaires communs , vue montagne , grand espace , linge de maison , restauration , linge de toilette , douche , serviettes. , cuisine au bois</t>
  </si>
  <si>
    <t>sentier de randonnée,sentier de grande randonnée,riviere,parking public,point de vue panoramique,forêt,restaurants</t>
  </si>
  <si>
    <t>NaMa52817P</t>
  </si>
  <si>
    <t>1c97d055</t>
  </si>
  <si>
    <t>galerie::galerie_Images/578d07a4.Path.105828.jpg</t>
  </si>
  <si>
    <t xml:space="preserve">Le Cryptoméria </t>
  </si>
  <si>
    <t>106</t>
  </si>
  <si>
    <t xml:space="preserve"> Rue Martinel Lassays</t>
  </si>
  <si>
    <t>Tampon</t>
  </si>
  <si>
    <t>-21.280687, 55.515074</t>
  </si>
  <si>
    <t>0262 27 06 06</t>
  </si>
  <si>
    <t>0692259377</t>
  </si>
  <si>
    <t>chauffage , jardin , parking , TV</t>
  </si>
  <si>
    <t>JoMa9377se</t>
  </si>
  <si>
    <t>f6b0a718</t>
  </si>
  <si>
    <t>galerie::galerie_Images/0b7ac300.Path.125514.jpg</t>
  </si>
  <si>
    <t>Q</t>
  </si>
  <si>
    <t>Les Grands Monts</t>
  </si>
  <si>
    <t>2A</t>
  </si>
  <si>
    <t>impasse Sabine</t>
  </si>
  <si>
    <t>-21.369069, 55.671357</t>
  </si>
  <si>
    <t>lesgrandsmonts974@gmail.com</t>
  </si>
  <si>
    <t>0692 39 85 54</t>
  </si>
  <si>
    <t>Table d'hôtes ouverte aux personnes extérieures à la chambre d'hôtes sur réservation à partir de 15 personnes et menu à déterminer ensemble.
Et pour les clients de la chambre d'hôtes déjeuner ou diner sur réservation, menu du jour (vin inclus pour le diner). Exemples de plats proposés : salade de palmistes, poulet à la vanille, poulet palmistes, porc au palmistes, poisson combava et gingembre, spécialités au palmiste, entrées créoles de type salade, gratins. En desserts : sorbets maison, tiramisu à l'ananas, banane flambée...
Sur réservation 48h à l'avance : propose également des Brunchs</t>
  </si>
  <si>
    <t>espace de restauration , espace de restauration en extérieur</t>
  </si>
  <si>
    <t>Chèque,Virement,Espèces,Carte Bancaire</t>
  </si>
  <si>
    <t>ac3f437d</t>
  </si>
  <si>
    <t>a1504524</t>
  </si>
  <si>
    <t>galerie::galerie_Images/c896aed6.Path.060341.jpg</t>
  </si>
  <si>
    <t>Les Oliviers sous le Cocotier</t>
  </si>
  <si>
    <t>45</t>
  </si>
  <si>
    <t>rue Prosper Mérimée</t>
  </si>
  <si>
    <t>-21.374185, 55.674512</t>
  </si>
  <si>
    <t>o.stsa@orange.fr</t>
  </si>
  <si>
    <t>0692 09 08 89</t>
  </si>
  <si>
    <t>Chambre d'hôtes située à Vincendo dans le sud sauvage. 
Chambre principale de 20m2 climatisée avec terrasse et petits déjeuners
pour 95€ la nuit pour 2 personnes.
Pour les familles ou amis voyageant ensemble , possibilité d'une deuxième chambre climatisée avec velux, salle de bain commune avec la chambre principale. 
Table d'hôtes sur réservation . 
wifi gratuit, piscine chauffée toute l'année</t>
  </si>
  <si>
    <t>Les oliviers sous le cocotier - Chambre d'Hôte</t>
  </si>
  <si>
    <t>petit déjeuner continental , fer et planche à repasser , restauration , sanitaires communs , parking , terrasse , linge de maison , linge de toilette , jardin , climatisation , TV , wifi gratuit , piscine chauffée</t>
  </si>
  <si>
    <t>sentier de randonnée,sites touristiques,pêche,transports en commun</t>
  </si>
  <si>
    <t>Chèque,Espèces,Virement,booking,Le bon coin</t>
  </si>
  <si>
    <t>6c11a21a</t>
  </si>
  <si>
    <t>f4d4e8f0</t>
  </si>
  <si>
    <t>galerie::galerie_Images/b9b80d0d.Path.104922.jpg</t>
  </si>
  <si>
    <t>CSC602HTH</t>
  </si>
  <si>
    <t xml:space="preserve"> Rue Louis Blériot</t>
  </si>
  <si>
    <t>-21.372493, 55.686508</t>
  </si>
  <si>
    <t xml:space="preserve">g.mussard05@gmail.com </t>
  </si>
  <si>
    <t>0692050967</t>
  </si>
  <si>
    <t>MuGl09678W</t>
  </si>
  <si>
    <t>c7db120b</t>
  </si>
  <si>
    <t>L'Annabella</t>
  </si>
  <si>
    <t>11-15</t>
  </si>
  <si>
    <t>Route nationale 3</t>
  </si>
  <si>
    <t>-21.221335, 55.554443</t>
  </si>
  <si>
    <t>l.annabella974@gmail.com</t>
  </si>
  <si>
    <t>0692 60 64 16</t>
  </si>
  <si>
    <t>https://www.menu-touch.fr/resto/webmenu/v1.0/qrcode.php?id=2430#page11212</t>
  </si>
  <si>
    <t>L'Annabelle vous accueil dans un cadre chic et familiale afin de satisfaire les papilles des petits</t>
  </si>
  <si>
    <t>cf95d6eb</t>
  </si>
  <si>
    <t>39b16848</t>
  </si>
  <si>
    <t>galerie::galerie_Images/357b9b47.Path.071643.jpg</t>
  </si>
  <si>
    <t xml:space="preserve">L'Orchidéa </t>
  </si>
  <si>
    <t>Salle de réception</t>
  </si>
  <si>
    <t xml:space="preserve"> Chemin Emile Zola</t>
  </si>
  <si>
    <t>-21.256899, 55.483127</t>
  </si>
  <si>
    <t>orchidea.reception@gmail.com</t>
  </si>
  <si>
    <t>0262321187</t>
  </si>
  <si>
    <t>0692864989</t>
  </si>
  <si>
    <t>https://orchidea-salle-de-reception.business.site/</t>
  </si>
  <si>
    <t>Depuis le Sud, arrivé au Tampon, au rond-point de la tour des Azalées, prendre la 2e sortie et continuer tout droit. Au stop, prendre à droite sur la rue Albert Frejaville, à la fin de la rue, tourner à gauche et continuer tout droit, vers Trois Mares. Descendre jusqu'au bout du Chemin du Dassy, prendre à droite, puis prendre la deuxième à gauche.</t>
  </si>
  <si>
    <t>AmPa4989eE</t>
  </si>
  <si>
    <t>71160779</t>
  </si>
  <si>
    <t>galerie::galerie_Images/6bd363bc.Path.064655.jpg</t>
  </si>
  <si>
    <t xml:space="preserve"> Chemin Neuf</t>
  </si>
  <si>
    <t>-21.236620, 55.505265</t>
  </si>
  <si>
    <t>0262025956</t>
  </si>
  <si>
    <t>Le snack Bigdil Family est situé au Tampon, il propose des sandwichs, wraps, salades...</t>
  </si>
  <si>
    <t>En montant la D27, après le terrain de football, sur la gauche</t>
  </si>
  <si>
    <t>espace de restauration , restauration</t>
  </si>
  <si>
    <t>sentier de randonnée,commerce alimentaire,point de vue panoramique,riviere,pharmacie,boulangerie</t>
  </si>
  <si>
    <t>5956Rg</t>
  </si>
  <si>
    <t>13803234</t>
  </si>
  <si>
    <t>galerie::galerie_Images/897459c4.Path.093808.jpg</t>
  </si>
  <si>
    <t xml:space="preserve">91 bis </t>
  </si>
  <si>
    <t xml:space="preserve"> Rue Amiral Lacaze</t>
  </si>
  <si>
    <t>-21.381520, 55.612740</t>
  </si>
  <si>
    <t>0692141067</t>
  </si>
  <si>
    <t>PaDa1067xv</t>
  </si>
  <si>
    <t>4bea3d37</t>
  </si>
  <si>
    <t xml:space="preserve"> Rue Hubert Delisle</t>
  </si>
  <si>
    <t>-21.249652, 55.470813</t>
  </si>
  <si>
    <t>0692799052</t>
  </si>
  <si>
    <t>RiCl905261</t>
  </si>
  <si>
    <t>6a5c261e</t>
  </si>
  <si>
    <t xml:space="preserve">L'Arbre à Palabres </t>
  </si>
  <si>
    <t>Rue Césaire</t>
  </si>
  <si>
    <t>mathieuhondet@hotmail.fr</t>
  </si>
  <si>
    <t>02 62 44 47 23</t>
  </si>
  <si>
    <t>0693709822</t>
  </si>
  <si>
    <t>Situé dans le village de l'Entre-Deux, le restaurant L'Arbre à Palabres propose une cuisine française et européenne dans une magnifique case créole classée.
Les clients peuvent prendre leur rafraîchissement au salon, au comptoir, ou en terrasse.
Nous vous accueillons du mercredi au dimanche midi, ainsi que les vendredis et samedis soirs.
Sur réservation</t>
  </si>
  <si>
    <t>Cuisine du marché au cœur de l’Entre-Deux</t>
  </si>
  <si>
    <t>parking public , terrasse , espace de restauration en extérieur , jardin arboré , accessible aux personnes à mobilité réduite</t>
  </si>
  <si>
    <t>HoMa9822BS</t>
  </si>
  <si>
    <t>9dde584b</t>
  </si>
  <si>
    <t>Rue Quai Gabriel</t>
  </si>
  <si>
    <t>-21.370771, 55.722714</t>
  </si>
  <si>
    <t>0692521270</t>
  </si>
  <si>
    <t>Villa située à proximité des sentiers littoraux, idéal pour le repos en famille ou entre amis. L'hébergement peut accueillir jusqu'à 12 personnes.</t>
  </si>
  <si>
    <t>Entre mer et montagne cette maison chaleureuse et conviviale est parfaite pour venir se ressourcer.</t>
  </si>
  <si>
    <t>piscine , parking</t>
  </si>
  <si>
    <t>ToJa1270M2</t>
  </si>
  <si>
    <t>ac6a67d7</t>
  </si>
  <si>
    <t>galerie::galerie_Images/66780435.Path.094736.jpg</t>
  </si>
  <si>
    <t>CSC402HT@</t>
  </si>
  <si>
    <t>Ti'Jean</t>
  </si>
  <si>
    <t>128</t>
  </si>
  <si>
    <t>Route de Jean Petit</t>
  </si>
  <si>
    <t>-21.359846, 55.631012</t>
  </si>
  <si>
    <t>abacardhome@gmail.com</t>
  </si>
  <si>
    <t>0668 28 56 54</t>
  </si>
  <si>
    <t>https://www.abacard.net/fr/page/abacard-home-a-la-reunion</t>
  </si>
  <si>
    <t>Logement de plein pied comprenant 2 chambres, séjour, salon, cuisine équipée, varangue, jardin. Stationnement privatif
"Ti'Jean" a ouvert ses portes en novembre 2023.
Le logement:
🛎 Un portail permettant l'accès au logement, stationnement possible dans l'allée.
Extérieur composé d'un jardin à l'avant et à l'arrière de la maison permettant une double exposition (coucher de soleil!)
Accès depuis la varangue, vous entrerez dans la salle à manger et la cuisine entièrement équipée (four, micro ondes, réfrigérateur, vaisselles, marmite à riz, cafetière, bouilloire, ...), qui dessert le salon équipé d'un canapé et d'une TV écran plat.
Coup de cœur assuré !!!
De cet espace, un couloir permettant d'accéder à :
* une première chambre avec un lit 160 x 200 cm complété d'un dressing
* une seconde chambre avec un lit 160 x 200 cm complété d'un dressing
* une salle d'eau avec double vasque, douche à l'italienne, lave-linge.
Les serviettes de toilettes sont fournis.
* un WC séparé.
Depuis mars 2024 : une piscine hors sol permettant de se rafraichir accompagnée d'une douche extérieu</t>
  </si>
  <si>
    <t>Venez découvrir le Sud Sauvage et détendez-vous dans ce logement calme et élégant, décoré avec goût.</t>
  </si>
  <si>
    <t>chauffage , jardin , parking , wifi , climatisation , Cafetière , cuisine équipée , barbecue , four , micro-ondes , TV , Lit parapluie sur demande , fer et planche à repasser , piscine , ventilateur , linge de maison , lave vaisselle , terrasse , salon de jardin , plaque de cuisson , sèche-cheveux , bouilloire , grille-pain , dressing , salle de bain privée , armoire , équipement bébé , lave-linge , sur réservation</t>
  </si>
  <si>
    <t>sentier de randonnée,sites touristiques,centre ville</t>
  </si>
  <si>
    <t>fca72ad0</t>
  </si>
  <si>
    <t>a36b7132</t>
  </si>
  <si>
    <t>galerie::galerie_Images/66ba17de.Path.094904.jpg</t>
  </si>
  <si>
    <t>CSC623HTK</t>
  </si>
  <si>
    <t>Villa Entre-Deux Merveilles</t>
  </si>
  <si>
    <t>4</t>
  </si>
  <si>
    <t>impasse des acacias</t>
  </si>
  <si>
    <t>Ravine des Citrons</t>
  </si>
  <si>
    <t>-21.239044, 55.480142</t>
  </si>
  <si>
    <t>mati.ss@hotmail.fr</t>
  </si>
  <si>
    <t>0693 70 22 23</t>
  </si>
  <si>
    <t>Un espace en commun vous permettra de partager de bons moments en famille ou entres amis. Tout en ayant un espace d'intimité par rapport à la disposition des chambres et des salles de bains privatives.
Toute la propriété sera entièrement privative.. Vous pourrez profitez des espaces intérieur comme extérieur sur un terrain de 1200 m2 arboré.
Vous prélassez autour d'une piscine de 9 mètres sur 5 mètres.</t>
  </si>
  <si>
    <t>La villa "Entre Deux Merveilles" est le lieu privilégié et incontournable pour se reposer à l'Entre-Deux. Cette belle structure se situe dans un cadre agréable et verdoyant.</t>
  </si>
  <si>
    <t>Quartier Ravine Citron</t>
  </si>
  <si>
    <t>fer et planche à repasser , piscine , grand espace , parking , cuisine équipée , Lit parapluie sur demande , grille-pain , cuisine extérieure , salon de jardin , jardin arboré , terrasse , barbecue , jacuzzi , vue montagne , vue mer , linge de maison , ventilateur , TV , lave vaisselle , micro-ondes , linge de toilette , four , Cafetière , frigo , bibliothéque , accès internet , serviettes. , sèche-cheveux , bouilloire , lave-linge , cheminée , dressing</t>
  </si>
  <si>
    <t>sentier de randonnée,commerce alimentaire,site - lieu culturel,point de vue panoramique,riviere,sites touristiques,arrêt bus</t>
  </si>
  <si>
    <t>Espèces,airbnb</t>
  </si>
  <si>
    <t>944352a6</t>
  </si>
  <si>
    <t>c5ad86bc</t>
  </si>
  <si>
    <t>galerie::galerie_Files_/9e0b1d26.Path.055404.webp</t>
  </si>
  <si>
    <t>CSC468HT@</t>
  </si>
  <si>
    <t>Au 15/11/2023 :
* La nuitée est à 230 euros jusqu'au 29 février 2024, sauf pendant les fêtes de fin d'année. 
* La nuitée est à 170 euros à compter du 01 mars 2024.
=&gt; Merci de prendre contact avec Madame BRIZARD pour les informations précises.</t>
  </si>
  <si>
    <t>Ti Kazenboi</t>
  </si>
  <si>
    <t>63</t>
  </si>
  <si>
    <t>chemin Auguste Boyer</t>
  </si>
  <si>
    <t>-21.332281, 55.610846</t>
  </si>
  <si>
    <t>tikazenboi@gmail.com</t>
  </si>
  <si>
    <t>0692375314</t>
  </si>
  <si>
    <t>https://tikazenboi.com/</t>
  </si>
  <si>
    <t>La Ti Kazenboi est une location saisonnière privative d’une capacité maximale de 6 personnes.
La maison a une superficie de 85m2 intérieur + une « varangue » de 30m2 + un espace détente de 12m2 couvert en polycarbonate transparent avec jacuzzi et un jardin de 700 m2.
Descriptif intérieur :
- 3 chambres
- 1 salle de bain avec baignoire
- 1 WC
- 1 Cuisine équipée
- 1 Séjour
Équipement :
- chambre 1 et 2 : lit 140x190, penderie, commode
- chambre 3 : lit superposé, étagère
- salle de bain : lave-linge, sèche-cheveux, 1 serviette de bain par personne.
- cuisine : four, frigo/congélateur, cuisinière à gaz 5 feux, micro-onde, lave-vaisselle, cafetière, grille-pain, bouilloire, hachoir, autocuiseur « marmite à riz »
- séjour : canapé + table basse, table à manger + chaises, TV connectée avec abonnement NETFLIX, Internet + wifi
Descriptif extérieur :
- 1 « varangue » : table + chaises, canapé + table basse
- 1 espace détente : jacuzzi, toit couvert en polycarbonate (transparent)
- 1 kiosque : barbecue en pierre, marmites et ustensiles pour grillades
- 1 cabane pour enfant : table + dinette
- 1 trampoline diamètre 3m60
- 1 toboggan
- 1 salon extérieur
- Parking privatif ( 2 voitures )</t>
  </si>
  <si>
    <t>Charmante maison créole ossature bois au cœur du village de la Plaine des Grègues. Grande terrasse couverte de 30 m2. Vue sur les montagnes qui encerclent ce "mini-cirque" verdoyant du sud de l'île de La Réunion. 700 m2 de jardin. Jacuzzi, Kiosque équipé de barbecue, jeux pour enfants. . Idéal pour un séjour de détente en famille avec les enfants.</t>
  </si>
  <si>
    <t>En venant de Saint-Pierre, prendre la route nationale en direction de Saint-Joseph puis tourner à gauche sur la D32 (direction Carosse). Rester sur la D32 puis tourner sur la droite au chemin Auguste Boyer. Ti Kazenbois se trouvera sur la gauche au numéro 63</t>
  </si>
  <si>
    <t>trampoline , barbecue , fer et planche à repasser , jacuzzi , vue montagne , parking , salon , jardin , TV , lave vaisselle , linge de toilette , four , Cafetière , frigo , wifi , cuisine équipée , sèche-cheveux , baignoire , grille-pain , lave-linge , bain à remous</t>
  </si>
  <si>
    <t>sentier de randonnée,arrêt bus,transports en commun,pharmacie,médecin,tabac presse,Restauration,épicerie</t>
  </si>
  <si>
    <t>Chèque,Espèces,Virement,site internet,booking,airbnb</t>
  </si>
  <si>
    <t>AvTe5314dE</t>
  </si>
  <si>
    <t>674b49bf</t>
  </si>
  <si>
    <t>galerie::galerie_Files_/411fd4da.Path.110205.webp</t>
  </si>
  <si>
    <t>CSC440HT@</t>
  </si>
  <si>
    <t>horaires d'arrivée et de départ flexible</t>
  </si>
  <si>
    <t xml:space="preserve"> Route Forestière du Rond</t>
  </si>
  <si>
    <t>0692233193</t>
  </si>
  <si>
    <t>Le restaurant du gîte propose une cuisine traditionnelle créole sur réservation.
Ce refuge adhère au réseau de l'Association des Gestionnaires des Gîtes de Montagne (AGGM).</t>
  </si>
  <si>
    <t>parking , TV</t>
  </si>
  <si>
    <t>CaFl31932n</t>
  </si>
  <si>
    <t>22b34aef</t>
  </si>
  <si>
    <t>galerie::galerie_Images/0e118e50.Path.062018.png</t>
  </si>
  <si>
    <t>Le tarif indiqué est celui-ci en basse saison, 18€ par nuit et par personne.</t>
  </si>
  <si>
    <t>Une Escale enchantée</t>
  </si>
  <si>
    <t>Massage bien - être</t>
  </si>
  <si>
    <t>52</t>
  </si>
  <si>
    <t>Rue Edmond Rostand</t>
  </si>
  <si>
    <t>-21.263297, 55.504875</t>
  </si>
  <si>
    <t>benoit.venturinimbe@gmail.com</t>
  </si>
  <si>
    <t>0693 48 82 47</t>
  </si>
  <si>
    <t>Propose différents types de massages (d'1h30) traditionnels, tels que des massages hawaïens et prénatale
Un soin aquatique, dénommé le Janzu, se pratiquant dans une piscine chauffée ou dans le Lagon de la Saline et Saint-Pierre est aussi proposé. Les massages se font beaucoup à domicile pour un supplément de 10 à 20 € selon la zone.</t>
  </si>
  <si>
    <t>Masseur traditionnel bien être et praticien en Janzu.</t>
  </si>
  <si>
    <t>Saline les Bains et Étang Salé</t>
  </si>
  <si>
    <t>Chèque,Espèces,Virement,Paypal</t>
  </si>
  <si>
    <t>edb1684a</t>
  </si>
  <si>
    <t>6e92690b</t>
  </si>
  <si>
    <t>galerie::galerie_Images/892d2c1b.Path.055448.jpg</t>
  </si>
  <si>
    <t>Les cordonnées GPS sont celles de l'adresse du prestataire.</t>
  </si>
  <si>
    <t>-21.203853, 55.578477</t>
  </si>
  <si>
    <t>0262 70 40 53</t>
  </si>
  <si>
    <t>- Chambre double standard lit 140x190  
- Chambre double/twin standard (lit séparable Queen)   
- Chambre double confort lit King 
Elles sont toutes équipées de salle de bain privative, de chauffage et d'une literie de qualité avec des matelas à mémoire de forme. 
Situé à moins de 15 minutes à pieds de la Cité du Volcan et à proximité des GR tel que le Piton des Neiges et le Piton de la Fournaise.
Au delà de sa superficie plus importante, la chambre supérieure offre notamment une belle vue sur le Piton des Neiges!
La structure propose, sur réservation uniquement, un service de table d’hôtes. Au menu : beignets de légumes, suivi d’une entrée, d'un plat créole accompagné de riz, grains et rougail, ainsi qu’un dessert. 30€/ personnes hors boissons En 2025 repas passeront à 35 €. 15 € enfant -12
Petit déjeuner inclus dans le tarif de 7h à 8h30</t>
  </si>
  <si>
    <t>chauffage , sanitaires privés</t>
  </si>
  <si>
    <t>PeLa4053Jt</t>
  </si>
  <si>
    <t>feefbe4e</t>
  </si>
  <si>
    <t>galerie::galerie_Images/78c19d78.Path.101843.jpg</t>
  </si>
  <si>
    <t>Super sympa ! belles chambres
Repas à 35€ en 2025</t>
  </si>
  <si>
    <t>35985348</t>
  </si>
  <si>
    <t>La Ferme Péi</t>
  </si>
  <si>
    <t>Esprit Parc</t>
  </si>
  <si>
    <t>rue Théophile GAUTHIER</t>
  </si>
  <si>
    <t>-21.289804, 55.625544</t>
  </si>
  <si>
    <t>jayjetshan@hotmail.fr</t>
  </si>
  <si>
    <t>0692357415</t>
  </si>
  <si>
    <t>Située à Grand Coude sur la commune de Saint-Joseph, Monsieur Jay JETSHAN de La Forêt du Rempart propose des visites guidées en forêt à la découverte de la faune et de la flore réunionnaise et s'articule autour de trois axes principaux :• la restauration écologique ;
• la sensibilisation à la préservation de l'environnement ;
• la promotion d'une agriculture respectueuse de l'environnement.</t>
  </si>
  <si>
    <t>La Ferme Péi est une association fondée en 2007 dont les objectifs sont la préservation de la biodiversité, la sensibilisation à la protection de l'environnement et la promotion d'une agriculture durable. 
La Ferme Péi est gestionnaire de la Forêt du Rempart depuis 2020.
Sanctuaire de biodiversité, la Forêt du Rempart abrite des trésors uniques du patrimoine naturel.</t>
  </si>
  <si>
    <t>Pour vous rendre à la Forêt du Rempart, il faudra prendre la direction du Sud Sauvage :
* Saint Joseph - village de Grand Coude - à la boutique du village, prendre rue Théophile Gautier sur votre gauche - passer l'Église - stationner sur le parking du "Sentié Maron".
* Prendre ensuite le "sentié Maron" sur 1km - tourner à droite à l'entrée de la Forêt du Rempart et suivre la direction "accueil".</t>
  </si>
  <si>
    <t>sentier de randonnée,sentier de grande randonnée,site - lieu culturel,point de vue panoramique,forêt,arrêt bus,poste - boite aux lettres,jardin,transports en commun,stade de foot,épicerie</t>
  </si>
  <si>
    <t>0fd306b4</t>
  </si>
  <si>
    <t>85f6af39</t>
  </si>
  <si>
    <t>galerie::galerie_Images/d5d469cf.Path.094423.jpg</t>
  </si>
  <si>
    <t>Les tarifs de la visite guidée : 8 euros par personne ; 5 euros pour les enfants de moins de 12 ans. 
Les visites sont possibles du lundi au dimanche uniquement sur réservation.
Les horaires sont 9h00 ; 10h30 ; 13h45 et 15h00.
La durée de la visite est d'environ une heure.</t>
  </si>
  <si>
    <t xml:space="preserve"> Chemin Souprayen</t>
  </si>
  <si>
    <t>0692648636</t>
  </si>
  <si>
    <t>ChMi8636sv</t>
  </si>
  <si>
    <t>0bc95eb1</t>
  </si>
  <si>
    <t>Boulevard de l'Ocean</t>
  </si>
  <si>
    <t>-21.375283, 55.592301</t>
  </si>
  <si>
    <t>gandalfsafaricamp@hotmail.com</t>
  </si>
  <si>
    <t>0262584559</t>
  </si>
  <si>
    <t>0692330936</t>
  </si>
  <si>
    <t>Le Gandalf Safari Camp propose 5 chambres doubles à l'étage avec sanitaires privés, elles sont équipées de climatisation, de télévision et de WiFi, à seulement 250 mètres du Bassin de Manapany’ et une chambre triple aux normes PMR. La multitude culturelle présente à La Réunion se retrouve dans la décoration des chambres : une chambre indienne (2 lits), une chambre arabe (grand lit), une chambre chinoise (grand lit  canapé), une chambre créole (grand lit) et une chambre malgache (2 lits) une chambre zorey.  La terrasse est équipée d'une cuisine complète. Accès et salle de bain pour personnes à mobilité réduite disponible. 2 lits parapluie à disposition</t>
  </si>
  <si>
    <t>En venant du Nord, prendre la direction de Saint-Pierre puis suivre la N2 en direction de Saint-Joseph. A Manapany-les-Bains, prendre à droite droite sur MARTIN Luther King puis suivre les écriteaux "Gandalf Safari Camp" en blanc sur fond bleu vert. jusqu'au Gandalf Safari Camp (à 300 m).
En arrivant du Sud, continuer sur la N2 en prenant la direction de Saint-Joseph puis Saint-Pierre. Après le nouveau rond point, suivre Manapany les bains, puis prendre le bd de l’océan, sur 800m,  suivre les écriteaux "Gandalf Safari Camp" en blanc sur fond bleu vert jusqu'au Gandalf Safari Camp.</t>
  </si>
  <si>
    <t>climatisation , jardin , lecteur DVD , salle de bain privée , sanitaires privés , TV , wifi</t>
  </si>
  <si>
    <t>tennis,sentier de randonnée,sentier de grande randonnée,riviere,site - lieu culturel,point de vue panoramique,commerce alimentaire,sites touristiques,Bassin de Manapany,arrêt bus,transports en commun,sentiers de randonnée</t>
  </si>
  <si>
    <t>Chèque,Chèques vacances,Virement,Espèces,Carte Bancaire,Eurocard,Paypal</t>
  </si>
  <si>
    <t>MoCh0936NK</t>
  </si>
  <si>
    <t>ce7d5d0d</t>
  </si>
  <si>
    <t>galerie::galerie_Images/39cb45c1.Path.060701.jpg</t>
  </si>
  <si>
    <t>Attention ils sont engagés éco durables donc la clim est payante 5euros par nuitée</t>
  </si>
  <si>
    <t>0262015131</t>
  </si>
  <si>
    <t>0692047245</t>
  </si>
  <si>
    <t>chauffage , four , lave linge privatif , lave vaisselle , lecteur DVD , sèche linge privatif , TV , aire de jeux pour enfant</t>
  </si>
  <si>
    <t>HoSa7245LO</t>
  </si>
  <si>
    <t>8ba8e69c</t>
  </si>
  <si>
    <t>Villa Pitayas</t>
  </si>
  <si>
    <t>11</t>
  </si>
  <si>
    <t>Rue du Maréchal Foch</t>
  </si>
  <si>
    <t>-21.379682, 55.611018</t>
  </si>
  <si>
    <t>chrisgrondin2308@gmail.com</t>
  </si>
  <si>
    <t>0692 61 27 30</t>
  </si>
  <si>
    <t>Villa climatisée, vous aurez à disposition 4 chambres, 2 salles de bains, (linge de lit et serviettes fournies),
un salon spacieux, une smart tv, des jeux de société à disposition,
une cuisine extérieure et un barbecue.
un endroit idéal pour profiter en famille !
Bain à remous et piscine
Possibilité de garer 3 voitures</t>
  </si>
  <si>
    <t>Villa Pitayas -Maison familiale</t>
  </si>
  <si>
    <t>Après les Bons Enfants en direction de Saint-Philippe, prendre à gauche rue Maréchal Foch, la maison se trouve sur votre gauche au numéro 11</t>
  </si>
  <si>
    <t>fer et planche à repasser , piscine , lave linge privatif , parking , Lit parapluie sur demande , sèche linge privatif , plaque de cuisson , grille-pain , jacuzzi , salon de jardin , jardin clôturé , jeux , cuisine extérieure , climatisation , salon , barbecue , ventilateur , linge de maison , linge de toilette , douche , four , Cafetière , frigo , wifi , serviettes. , sèche-cheveux , bouilloire , dressing</t>
  </si>
  <si>
    <t>pizzeria,sentier de randonnée,point de vue panoramique,sites touristiques,restaurants,snack</t>
  </si>
  <si>
    <t>Chèque,Virement,Espèces,booking,airbnb</t>
  </si>
  <si>
    <t>e6cb052c</t>
  </si>
  <si>
    <t>155ff0c1</t>
  </si>
  <si>
    <t>galerie::galerie_Files_/dd5433d2.Path.050019.webp</t>
  </si>
  <si>
    <t xml:space="preserve">Le Malaya </t>
  </si>
  <si>
    <t xml:space="preserve"> Blvrd de l'Ocean</t>
  </si>
  <si>
    <t>-21.373766, 55.589905</t>
  </si>
  <si>
    <t>0692120059</t>
  </si>
  <si>
    <t>0692870857</t>
  </si>
  <si>
    <t>Le Malaya est composé de 5 petites résidences type bungalows individuels avec piscine et parking privé.
L'aménagement extérieur a été inspiré d'exemples mauriciens, le style est épuré et on s'y sent bien !
Il se situe à quelques mètres du bassin de baignade de Manapany ainsi que du site du Four à Chaux.</t>
  </si>
  <si>
    <t>A Saint-Joseph dans le Sud Sauvage, Le Malaya propose 4 meublés,1 T1, 2 T2 et 2 T3 pour une capacité de 14 personnes.</t>
  </si>
  <si>
    <t>piscine , parking , TV , cuisine , salon de jardin , barbecue , linge de maison , linge de toilette , jardin , sanitaires privés , climatisation , lave linge collectif , fer et planche à repasser</t>
  </si>
  <si>
    <t>Bassin de Manapany,commerce alimentaire,pêche,riviere,parking public</t>
  </si>
  <si>
    <t>PoYa0857mI</t>
  </si>
  <si>
    <t>62d25dd4</t>
  </si>
  <si>
    <t>galerie::galerie_Images/8f03c5ea.Path.100027.png</t>
  </si>
  <si>
    <t>- IL y a un T3 accessible PMR
- Réservation obligatoire avec 30% d'acompte
- Il y a un dernier T1 "ti coin charmant" pour personne seule ou couple
- il y a des tarifs basse et haute saison à vérifier sur le site internet
- possibilité de venir avant l'heure d'entrée pour déposer les bagages
- en projet d'ouverture d'une villa vers le Butor</t>
  </si>
  <si>
    <t>Vit@l e-thé</t>
  </si>
  <si>
    <t>Rue Laurent Lauret</t>
  </si>
  <si>
    <t>-21.239148, 55.472059</t>
  </si>
  <si>
    <t>mm.sery@gmail.com</t>
  </si>
  <si>
    <t>0693 05 01 76</t>
  </si>
  <si>
    <t>https://vitle-the.webador.fr/?fbclid=IwAR1Aw9HmCe0tXloeR2oeBeOIi1zTNnOBx3LOkbnfrx_D9CzIXcu4-DnATNM</t>
  </si>
  <si>
    <t>Conseillère en naturopathie à l'Entre-Deux,
Mme SERY vous propose des consultations individuelles sur rendez-vous et ainsi que des ateliers organisés une fois par mois, sur réservation à partir de 8 personnes (15 personnes maximum). 
Une fois tous les 4 mois "week-end mieux vivre sa santé" dans une chambre d'hôtes de Saint-Joseph (10 personnes) avec 2 intervenants.
Vente de plantes aromatiques et médicinales, sirops, gelées de fleurs, tisanes.
Vente en ligne sur la page facebook, marketplace.
Vente sur le marché de Saint-Joseph le vendredi matin.
&gt; Les sachets 20g à 5€ (Bois de joli cœur, fleur jaune, brisée, change écorce, ambaville, géranium rosat, bois de pêche marron)
&gt; Cannelle à 3€ paquet de 15g
&gt; Curcuma 5€ paquet de 50g
&gt; Clitoria 10€ les 10g
Issue de l'agriculture biologique (sauf bois de pêche marron)
Origine Réunion
https://aplamedom.org/
&gt; pour connaître les vertus des produits</t>
  </si>
  <si>
    <t>Tisanerie, vente de produits, naturopathe</t>
  </si>
  <si>
    <t>PAS D'ATELIER A VISITER</t>
  </si>
  <si>
    <t>ateliers</t>
  </si>
  <si>
    <t>sentier de randonnée,site - lieu culturel,point de vue panoramique,commerce alimentaire,forêt,sites touristiques,arrêt bus,jardin,transports en commun,hébergements,Point chaud</t>
  </si>
  <si>
    <t>9a10797c</t>
  </si>
  <si>
    <t>d0562a66</t>
  </si>
  <si>
    <t>galerie::galerie_Images/3518aa47.Path.095810.jpg</t>
  </si>
  <si>
    <t xml:space="preserve"> Impasse Cezanne</t>
  </si>
  <si>
    <t>-21.240207, 55.499596</t>
  </si>
  <si>
    <t>braslontan@gmail.com</t>
  </si>
  <si>
    <t>0262498188</t>
  </si>
  <si>
    <t>0692362756</t>
  </si>
  <si>
    <t>barbecue , espace spa - bien être , four , jardin , lave linge collectif , parking , TV</t>
  </si>
  <si>
    <t>LiDa2756zp</t>
  </si>
  <si>
    <t>464ae7d7</t>
  </si>
  <si>
    <t>galerie::galerie_Images/101a1117.Path.125206.jpg</t>
  </si>
  <si>
    <t>Le Quelea</t>
  </si>
  <si>
    <t>281</t>
  </si>
  <si>
    <t>Rue Jean Lauret</t>
  </si>
  <si>
    <t>-21.240872, 55.480944</t>
  </si>
  <si>
    <t>christian.pegoud@sfr.fr</t>
  </si>
  <si>
    <t>0692 59 53 11</t>
  </si>
  <si>
    <t>Niché entre mer et montagne. au cœur du village créole de l'Entre Deux, le QUELEA est une petite maison de charme tout confort pouvant accueillir jusqu'à 4 personnes. C'est une étape idéale pour le voyageur amateur de randonnées, de belles maisons créoles et de tranquillité. Profitez de sa vue magnifique, de son SPA, de son espace barbecue et de son jardin qui vous offrira ses fruits de saison.
Caution de 500€
-10% au bout d'un semaine 
Frais de ménage 40€</t>
  </si>
  <si>
    <t>Le Quéléa : y être c'est y être bien.</t>
  </si>
  <si>
    <t>jardin , parking , vue montagne , grand espace , vue mer , barbecue , linge de maison , salon , TV , lave vaisselle , micro-ondes , linge de toilette , douche , four , Cafetière , frigo , wifi , climatisation , jacuzzi , cuisine équipée , salle à manger , salon de jardin , jardin arboré , serviettes. , sèche-cheveux , bouilloire , grille-pain</t>
  </si>
  <si>
    <t>sentier de randonnée,site - lieu culturel,point de vue panoramique,riviere,sites touristiques,arrêt bus</t>
  </si>
  <si>
    <t>Virement,Espèces,booking,airbnb,Abritel</t>
  </si>
  <si>
    <t>f4500e95</t>
  </si>
  <si>
    <t>99955b33</t>
  </si>
  <si>
    <t>galerie::galerie_Files_/18ab1f0b.Path.111914.webp</t>
  </si>
  <si>
    <t>CSC589HTV</t>
  </si>
  <si>
    <t>Horaires ajustables pour les entrées</t>
  </si>
  <si>
    <t xml:space="preserve"> Rue Claude Marion</t>
  </si>
  <si>
    <t>-21.363174, 55.685563</t>
  </si>
  <si>
    <t xml:space="preserve">raymondeetremy@gmail.com </t>
  </si>
  <si>
    <t>0262 20 21 14</t>
  </si>
  <si>
    <t>0692204158</t>
  </si>
  <si>
    <t>jardin , lave linge collectif , linge de maison , linge de toilette , parking , micro-ondes , cuisine , salon de jardin , climatisation</t>
  </si>
  <si>
    <t>ViRa4158Qg</t>
  </si>
  <si>
    <t>507503f1</t>
  </si>
  <si>
    <t>galerie::galerie_Images/7d8495de.Path.090337.jpg</t>
  </si>
  <si>
    <t>Bungalow Mareva</t>
  </si>
  <si>
    <t>5b</t>
  </si>
  <si>
    <t>Impasse des Bougainvilliers</t>
  </si>
  <si>
    <t>-21.240647, 55.471022</t>
  </si>
  <si>
    <t>bungalowmareva@gmail.com</t>
  </si>
  <si>
    <t>0693 47 20 68</t>
  </si>
  <si>
    <t>Pour quelques privilégiés seulement, dès 2 nuitées, un bungalow de standing à la décoration soignée - idéal pour un couple - vous y attend avec sa vaste terrasse, sa pergola bio-climatique et son jacuzzi privatif.
Celui-ci se compose :
- d’une grande chambre avec lit queen size, 160 x 200 cm (matelas neuf et confortable de 32cm et
oreillers à mémoire de forme) et 2 dressing
- d’un coin cuisine entièrement équipé (Micro-onde/grill, 2 plaques vitrocéramiques, plancha, frigidaire
avec bac de congélation, cafetière Senseo, bouilloire, etc …)
- d’une salle d’eau avec lavabo et wc
- d’une douche à l’italienne séparée
- d’une vaste terrasse avec pergola bioclimatique, meublée de 2 fauteuils, 1 canapé, 1 table basse ainsi
qu’une table escamotable et 2 chaises, avec jacuzzi privatif et douche solaire extérieure.
A votre disposition :
- 1 Place de parking privative dans notre cour
- Wifi dans le bungalow et sur la terrasse
- 1 Chaîne stéréo Yamaha avec bluetooth et lecteur cd
- 1 Ventilateur sur pied
- Linge de maison (drap housse / housses de couette et d’oreillers / serviettes de douche et de toilette /
torchons) changé 1 x par semaine
- Produits de première nécessité à votre arrivée (bouteille d'eau fraîche, savon, spirales anti-
moustiques, papier toilette, liquide vaisselle, éponge, huile, sel, poivre, sucre)
- Sèche-cheveux / Etendoir à linge / fer et planche à repasser
- Sur demande : Lave linge - lessive incluse (6.—) / sèche linge (5.—)
Ménage fin de séjour : 15.--
Caution : chèque de 500.-- à remettre à votre arrivée</t>
  </si>
  <si>
    <t>Bungalow Mareva Location saisonnière Entre-Deux dès 2 nuits Jacuzzi privatif / Superbe vue Montagne</t>
  </si>
  <si>
    <t>Quartier de Bras Long</t>
  </si>
  <si>
    <t>jacuzzi , parking , balcon , salon , salle à manger , salon de jardin , fer et planche à repasser , plaque de cuisson , vue montagne , linge de maison , ventilateur , chauffage , lave linge privatif , linge de toilette , douche , four , Cafetière , frigo , wifi , bibliothéque , cuisine équipée , sèche linge privatif , serviettes. , sèche-cheveux , enceinte</t>
  </si>
  <si>
    <t>sentier de randonnée,site - lieu culturel,point de vue panoramique,sites touristiques,Centre - Ville,commerce alimentaire,arrêt bus,poste - boite aux lettres,transports en commun,station service</t>
  </si>
  <si>
    <t>Virement,Espèces,airbnb</t>
  </si>
  <si>
    <t>MeSa2068oY</t>
  </si>
  <si>
    <t>79ccc143</t>
  </si>
  <si>
    <t>galerie::galerie_Images/83708150.Path.050201.jpg</t>
  </si>
  <si>
    <t>CSC606HTL</t>
  </si>
  <si>
    <t xml:space="preserve"> Rue Aristide Briand</t>
  </si>
  <si>
    <t>0692664493</t>
  </si>
  <si>
    <t>La villa dispose de 3 chambres doubles et d'une chambre twin, un salon créole avec télévision :  chaines satellites, une salle à manger, une cuisine entièrement équipée, 2 salles de bains dont une parentale, une buanderie équipée, un patio et un garage.
Une chambre parentale est mis à disposition. Cette chambre comprend une douche et des toilettes inclus.
Possibilité de profiter des terrasses, du jardin créole arboré et entretenu, et du grand jacuzzi (pour six personnes). Les tarifs sont dégressifs selon la durée du séjour.</t>
  </si>
  <si>
    <t>Au Tampon, la Villa Bleu du Sud propose un hébergement pouvant accueillir jusqu'à huit personnes avec jacuzzi.</t>
  </si>
  <si>
    <t>fer et planche à repasser , jacuzzi , sur réservation , grand espace , lave linge collectif , linge de maison , parking , TV satellite , ventilateur , salon , jardin , TV , wifi gratuit , lave vaisselle , lave linge privatif , micro-ondes , linge de toilette , douche , four , Cafetière , frigo , terrasse , cuisine équipée , salle à manger , Lit parapluie sur demande , sèche linge privatif , salon de jardin , jardin arboré , accès internet , serviettes. , salle de bain , cour clôturée , veranda couverte , varangue , salle de bain commune , tout équipé , plaque de cuisson , sèche-cheveux , baignoire , bouilloire , grille-pain</t>
  </si>
  <si>
    <t>commerce alimentaire,parking public,arrêt bus,poste - boite aux lettres,transports en commun,pharmacie,boulangerie,banque - guichet automatique,Point chaud,commerce de proximité…,médecin,tabac presse,coiffeur,Centre - Ville,pâtisserie,maraicher,Gare routière,aire de jeux,marchés,Toutes commodités</t>
  </si>
  <si>
    <t>LeDo4493Tv</t>
  </si>
  <si>
    <t>028cf33d</t>
  </si>
  <si>
    <t>galerie::galerie_Images/e6ae25a3.Path.071414.jpg</t>
  </si>
  <si>
    <t>Les frais de ménage sont à 80 euros et le chèque de caution est à 1000 euros.
Merci de ne pas promouvoir cet établissement. Aussi, l'établissement BLEU DU SUD est réservé jusqu'à la fin de l'année 2023.</t>
  </si>
  <si>
    <t>Hydrangea</t>
  </si>
  <si>
    <t>261</t>
  </si>
  <si>
    <t>rue Maurice Kraft</t>
  </si>
  <si>
    <t>bourg murat</t>
  </si>
  <si>
    <t>-21.198961, 55.576074</t>
  </si>
  <si>
    <t>hydrangea97418@gmail.com</t>
  </si>
  <si>
    <t>0692473100</t>
  </si>
  <si>
    <t>https://sites.google.com/view/hydrangea97418/accueil</t>
  </si>
  <si>
    <t>La maison est située sur une propriété de 2 maisons sur un terrain de plus  de 5 000 m2.  Sur deux niveaux, elle est composée de 5 chambres, deux salles de bains, une salle à manger, une cuisine indépendante avec foyer au feu de bois,  deux espaces télévisions. À l'avant, un emplacement pouvant accueillir 6 à 8 voitures.  À l'arrière grande terrasse avec vue sur le jardin et le piton Desforges.</t>
  </si>
  <si>
    <t>Location saisonnière située à Bourg Murat, Plaine des Cafres aux portes du volcan à 1600 mètres d'altitude</t>
  </si>
  <si>
    <t>basse court , chauffage , jardin , TV , linge de maison , wifi gratuit , grand espace , terrasse , jardin arboré , parking sécurisé , vue montagne , cuisine au bois</t>
  </si>
  <si>
    <t>sentier de randonnée,transports en commun,sites - lieux culturels,station service,boulangerie,Restauration,Maison du Volcan,épicerie</t>
  </si>
  <si>
    <t>67d3960a</t>
  </si>
  <si>
    <t>93625da1</t>
  </si>
  <si>
    <t>galerie::galerie_Images/f25f85c9.Path.091432.png</t>
  </si>
  <si>
    <t>CSC517HT@</t>
  </si>
  <si>
    <t>Va passer en Chambre d'hôtes
Concept de tourisme vert &gt; reconnexion avec la nature, petite ferme (poules, oies...) &gt; repas propos &gt; 4 chambre avec différentes typo/concept
A mettre en relation avec des presta dans le tourisme vert, qui souhaite créer du contact (agriculteur, CH, guide, restaurateur, activité...)
Visite  re prog avec CM et un CES de BM pour photos et voir le concept une fois tout ok</t>
  </si>
  <si>
    <t xml:space="preserve">La Villa Léa </t>
  </si>
  <si>
    <t>-21.379764, 55.632650</t>
  </si>
  <si>
    <t>0692857796</t>
  </si>
  <si>
    <t>Villa tout équipée avec piscine accueillant de 16 à 20 personnes, possibilité de faire la fête dans la maison.... possibilité de faire des grands repas créoles, toutes les tailles de marmites sont là !</t>
  </si>
  <si>
    <t>Grande villa très spacieuse avec jardin de 1300m2, une grande terrase, un grand parking et piscine sur la nationale et très accessible</t>
  </si>
  <si>
    <t>Facile : sur la RN2, au numéro 497 (côté montagne), elle est signalée par une fresque murale</t>
  </si>
  <si>
    <t>barbecue , climatisation , fer et planche à repasser , piscine , jardin , salle de bain privée , TV , lave linge collectif , linge de maison , parking , salon , espace de restauration , wifi gratuit , lave vaisselle , micro-ondes , sanitaires privés , wifi , parking autocar , salon de jardin , linge de toilette , jardin arboré , accès internet , piscine chauffée , serviettes. , terrasse , cuisine , jardin clôturé , lave-linge , cuisine équipée , Salle de jeux , parking sécurisé , tarrasse , tout équipé , cuisine extérieur , frigo , salon climatisé , varangue , salle à manger , salle de bain , cour clôturée , grand espace , accessible aux personnes à mobilité réduite , cuisine extérieure , cours clôturée , sur réservation , veranda couverte , garage</t>
  </si>
  <si>
    <t>sentier de randonnée,riviere,centre commercial,site - lieu culturel,point de vue panoramique,jardin,piscine,restaurants,sentiers de randonnées,commerces,sites touristiques,sites - lieux culturels,sentiers de randonnée,randonnées,commerce de proximité…,station essence,hébergements,Restauration,Sentier de randonnée,station service,Centre - Ville,épicerie,pharmacie,boulangerie,tabac presse,pâtisserie,centre ville de Saint-Joseph</t>
  </si>
  <si>
    <t>français (Expérimenté (Nv.3)),créole</t>
  </si>
  <si>
    <t>RoMa7796sc</t>
  </si>
  <si>
    <t>e1581eaf</t>
  </si>
  <si>
    <t>galerie::galerie_Images/fe3b49f1.Path.101501.jpg</t>
  </si>
  <si>
    <t>Fermeture provisoire du 1er novembre au 15 décembre 2023 (cf mail du 17 nov)
Grande villa pour accueillir des groupes 10,15,20 personnes. Entretenue, gestion carrée avec la proprio Mme ROBERT. Il se peut que ce soit son fils Anthony Robert qui réponde parfois au téléphone. 
Mme ROBERT est agréable et carrée ! elle aime son métier et le fait bien !</t>
  </si>
  <si>
    <t>Villa Bengalis</t>
  </si>
  <si>
    <t>Chemin des Bengalis</t>
  </si>
  <si>
    <t>La Pointe</t>
  </si>
  <si>
    <t>-21.294383, 55.519889</t>
  </si>
  <si>
    <t>valeriefloret68@gmail.com</t>
  </si>
  <si>
    <t>0692 31 66 84</t>
  </si>
  <si>
    <t>https://villabengalis.re/</t>
  </si>
  <si>
    <t>Très belle maison pouvant accueillir 6 personnes.
Notre maison dispose de trois chambres spacieuses, chacune conçue pour vous offrir une nuit de sommeil réparatrice.
De plus, la salle de bains somptueuse est équipée d’une douche et d'un lavabo à double vasque, garantissant que chacun puisse se préparer en toute sérénité.
Vous pouvez profiter de la Grande terrasse extérieure de 40 m²
La cuisine est entièrement équipée : plaque de cuisson, four à chaleur tournante, micro-ondes, lave-vaisselle, cafetière etc., ainsi qu’une panoplie complète d’ustensiles…</t>
  </si>
  <si>
    <t>Bienvenue dans votre villa au Tampon, où l’harmonie entre la mer et la montagne vous enveloppe dans une ambiance sereine et ressourçante.</t>
  </si>
  <si>
    <t>quartier de la pointe chemin des bengalis</t>
  </si>
  <si>
    <t>climatisation , vue montagne , grand espace , vue mer , salon , jardin , TV , micro-ondes , linge de toilette , douche , four , Cafetière , frigo , wifi , terrasse , cuisine équipée , salle à manger , serviettes.</t>
  </si>
  <si>
    <t>site - lieu culturel,point de vue panoramique,Centre - Ville,équitation,arrêt bus,poste - boite aux lettres,transports en commun,boulangerie,Point chaud,stade de foot</t>
  </si>
  <si>
    <t>d3cf2333</t>
  </si>
  <si>
    <t>eb8d920e</t>
  </si>
  <si>
    <t>galerie::galerie_Images/46a09a87.Path.091507.jpg</t>
  </si>
  <si>
    <t>CSC605HTK</t>
  </si>
  <si>
    <t>La Kazanou</t>
  </si>
  <si>
    <t>9</t>
  </si>
  <si>
    <t>chemin des ronces</t>
  </si>
  <si>
    <t>-21.356872, 55.633365</t>
  </si>
  <si>
    <t>lakazanou97480@gmail.com</t>
  </si>
  <si>
    <t>0692 47 49 41</t>
  </si>
  <si>
    <t>https://www.lakazanou-reunion.fr/fr</t>
  </si>
  <si>
    <t>Situé à Saint-Joseph, l'établissement La Kazanou dispose d'une piscine, d'un restaurant, d'un jardin et offre une vue sur ce dernier. Vous bénéficierez gratuitement d’une connexion Wi-Fi.
Les 3 chambres sont climatisés et disposent d’une télévision à écran plat. Les hébergements s’ouvrent sur une terrasse donnant sur la mer.
A la Kazanou, le petit déjeuner, l'accès piscine et jacuzzi est inclus dans le prix de la nuitée.
Dégustez de délicieux plats faits par votre hôte Bruno, vous pourrez savourer de nombreux mets issus de la cuisine créole réunionnaise.</t>
  </si>
  <si>
    <t>Bruno et Myriam seront heureux de vous recevoir à la Kazanou. Chambre d'hôte de charme, et repas d'exception vous attendent.</t>
  </si>
  <si>
    <t>Situé à Saint-Joseph, vous pourrez y accéder en voiture par la D33</t>
  </si>
  <si>
    <t>climatisation , fer et planche à repasser , piscine , jacuzzi , vue montagne , vue mer , linge de maison , parking , salon , jardin , TV , espace de restauration , restauration , wifi gratuit , linge de toilette , douche , Cafetière , frigo , sanitaires privés , terrasse , salon de jardin , cour clôturée , varangue , sèche-cheveux , baignoire , bouilloire , Cuisine de produits frais locaux , petit déjeuner créole ou classique , repas originaux et traditionnels , piscine chauffée , chauffe-eau solaire , piscine commune , Massages bien être</t>
  </si>
  <si>
    <t>point de vue panoramique,sites touristiques,arrêt bus</t>
  </si>
  <si>
    <t>Chèque,Virement,Espèces,booking,site internet</t>
  </si>
  <si>
    <t>e10b60a7,2b96c273</t>
  </si>
  <si>
    <t>galerie::galerie_Images/9484d1bb.Path.061238.jpg</t>
  </si>
  <si>
    <t>CSC433HT@</t>
  </si>
  <si>
    <t>*** POSSIBILITE ATELIERS PRESTAS - PTI DEJ/BRUNCH/...***
Chambre standard à 99 euros la nuit avec petit déjeuner 
Chambre supérieur avec douche balnéo privatif à 139 euro la nuit
Propose également la table d'hôte à 35 euros par personnes : entrée, plat et dessert
Hôtes super sympas et accueillant et qui font leur maximum pour aider à trouver des solutions pour faire plaisir aux invités, repas de qualité !</t>
  </si>
  <si>
    <t xml:space="preserve">Le Vieux Bardeau </t>
  </si>
  <si>
    <t>Route Nationale 3</t>
  </si>
  <si>
    <t>PK24</t>
  </si>
  <si>
    <t>-21.224071, 55.558453</t>
  </si>
  <si>
    <t>0262590944</t>
  </si>
  <si>
    <t>- Terrasse ;
- Places assises ;
- Stationnement pour clientèle ;
- Chaises hautes disponibles.</t>
  </si>
  <si>
    <t>Situé à la Plaine des Cafres, Le restaurant Le Vieux Bardeau, propose une cuisine réunionnaise traditionnelle, métropolitaine ainsi que des grillades.</t>
  </si>
  <si>
    <t>Depuis le Sud, arrivé au Tampon, au rond-point de la tour des Azalées, prendre à droite, continuer sur la Route Nationale 3 jusqu'à la Plaine des Cafres. Au 23ème km, vous continuez jusqu'à l'établissement Bugg's Buggy. L'entrée du restaurant se trouve après celui-ci. Vous serez dans une petite allée, le restaurant sera sur la droite.</t>
  </si>
  <si>
    <t>chauffage , jardin , parking</t>
  </si>
  <si>
    <t>HoGi09449r</t>
  </si>
  <si>
    <t>61c7cd5b</t>
  </si>
  <si>
    <t>galerie::galerie_Images/987bf016.Path.102825.jpg</t>
  </si>
  <si>
    <t>L'Olivier</t>
  </si>
  <si>
    <t xml:space="preserve"> Rue Marius et Ary Leblond</t>
  </si>
  <si>
    <t>-21.283406, 55.523810</t>
  </si>
  <si>
    <t>0262887760</t>
  </si>
  <si>
    <t>0693115441</t>
  </si>
  <si>
    <t>Depuis le Sud, arrivé au Tampon, au rond-point de la tour des Azalées, prendre à droite sur la RN3, continuer jusqu'au Sud Hotel, le restaurant se trouvera un peu plus haut après le virage.</t>
  </si>
  <si>
    <t>parking , végétariens bienvenus</t>
  </si>
  <si>
    <t>médecin,centre commercial,commerces,station essence,Centre - Ville</t>
  </si>
  <si>
    <t>AnZa5441ru</t>
  </si>
  <si>
    <t>80707072</t>
  </si>
  <si>
    <t>galerie::galerie_Images/0055dc2d.Path.065940.jpg</t>
  </si>
  <si>
    <t xml:space="preserve">Les Bons Enfants </t>
  </si>
  <si>
    <t xml:space="preserve"> Rue du General de Gaulle</t>
  </si>
  <si>
    <t>-21.275716, 55.519616</t>
  </si>
  <si>
    <t>0262272095</t>
  </si>
  <si>
    <t>Restaurant proposant des repas créoles et asiatiques, sur place et à emporter.</t>
  </si>
  <si>
    <t>Depuis le Sud, arrivé au Tampon, au rond-point de la tour des Azalées, prendre à droite vers le centre-ville. Continuer sur la RN3, au 3e rond-point prendre à gauche sur la rue du Général de Gaulle, continuer jusqu'au lycée Roland Garros, le restaurant se trouvera juste en face.</t>
  </si>
  <si>
    <t>sentier de randonnée,parking public,arrêt bus,site - lieu culturel</t>
  </si>
  <si>
    <t>20959P</t>
  </si>
  <si>
    <t>53df7408</t>
  </si>
  <si>
    <t>galerie::galerie_Images/e852c2c3.Path.095620.jpg</t>
  </si>
  <si>
    <t>Chez Malet</t>
  </si>
  <si>
    <t>Impasse Père Maunier</t>
  </si>
  <si>
    <t>-21.267600, 55.512969</t>
  </si>
  <si>
    <t>"Situé au Tampon, Chez Malet propose une cuisine créole traditionnelle au feu de bois. Menu enfant sur réservation.
Salle de réception, baptême, anniversaire, communion, mariage, service traiteur.
Ouvert du lundi au vendredi midi, le soir et week-end sur réservation. "</t>
  </si>
  <si>
    <t>Ma5465G1</t>
  </si>
  <si>
    <t>f784ad46</t>
  </si>
  <si>
    <t>Le Bongo</t>
  </si>
  <si>
    <t>185</t>
  </si>
  <si>
    <t>-21.280987, 55.517183</t>
  </si>
  <si>
    <t>0262576969</t>
  </si>
  <si>
    <t>0692762889</t>
  </si>
  <si>
    <t>Le restaurant propose également des pizzas. Repas sur place ou à emporter dans une ambiance chaleureuse.</t>
  </si>
  <si>
    <t>Le restaurant "Le Bongo" est situé en plein cœur du centre-ville du Tampon. Place à une dégustation de bons plats dans un cadre convivial. Vous pourrez découvrir une cuisine européenne et des spécialités créoles.</t>
  </si>
  <si>
    <t>Vous prenez la quatre voies de Saint-Pierre direction le Tampon. Lorsque vous êtes au Tampon, au rond-point de la tour des Azalées, vous prenez la deuxième sortie et continuez tout droit. Au stop, prendre à droite sur la rue Albert Frejaville. Vous continuez tout droit jusqu'à rejoindre la rue Hubert Delisle, prendre à droite et continuer tout droit jusqu'à l'Opticien Krys, le restaurant se trouvera peu après.</t>
  </si>
  <si>
    <t>parking , terrasse , végétariens bienvenus</t>
  </si>
  <si>
    <t>commerce alimentaire,parking public,point de vue panoramique,arrêt bus,Centre - Ville,pharmacie,boulangerie,centre commercial,transports en commun,pâtisserie,site - lieu culturel,banque - guichet automatique,Gare routière,médecin,Point chaud,tabac presse</t>
  </si>
  <si>
    <t>Chèque,Espèces,Carte Bancaire,American express,Tickets restaurant</t>
  </si>
  <si>
    <t>LaDa2889wb</t>
  </si>
  <si>
    <t>cf5305f3</t>
  </si>
  <si>
    <t>galerie::galerie_Images/173413d0.Path.061134.jpg</t>
  </si>
  <si>
    <t>rue Amiral Lacaze</t>
  </si>
  <si>
    <t>-21.381113, 55.617315</t>
  </si>
  <si>
    <t>0693707428</t>
  </si>
  <si>
    <t>1 kitchenette avec cafetière, bouilloire, four, micro-onde, frigo+compartiment congélation, plaques de cuisson vitrocéramique.
1 salle d'eau (douche + wc non séparé), machine à laver
1 chambre avec lit double 140x190.
1 lit superposé dans le fond du salon
2 clic clac
1 lit bébé en bois + jouet à disposition pour tout âge.
Véranda vitrée et fermée afin de manger à l'abri les jours de pluie.
- Extérieur :
Cour avant
2 places de parking sécurisée avec portail électrique</t>
  </si>
  <si>
    <t>Chèque,Espèces,airbnb</t>
  </si>
  <si>
    <t>WaGé7428XY</t>
  </si>
  <si>
    <t>ae8ddfb5</t>
  </si>
  <si>
    <t>galerie::galerie_Images/ff999a9c.Path.073412.jpg</t>
  </si>
  <si>
    <t>Ô Bon Air</t>
  </si>
  <si>
    <t>10</t>
  </si>
  <si>
    <t>Chemin du Coin Tranquille</t>
  </si>
  <si>
    <t>-21.229092, 55.551575</t>
  </si>
  <si>
    <t>waraud974@hotmail.com</t>
  </si>
  <si>
    <t>0692 64 50 78</t>
  </si>
  <si>
    <t>ô Bon Air est une agréable maison située au Tampon (22ème KM), à la Plaine des Cafres.
Elle est aménagée avec une décoration chaleureuse
La maison détient 4 chambres permettant une capacité d'accueil de 10 personnes.
La maison a été aménagée pour que les vacanciers se sentent chez eux :
- Capacité de vous garer dans la cour
- La cuisine est séparée, équipée avec four, four micro-onde, plaques gaz, casseroles, poêles, vaisselles, plats à four, verres à vins, verres à champagnes... cafetière Nespresso et à filtre pour tous les amateurs de café, boule à thé, gaufrier.. et bien d'autres encore.
- Une pièce de vie avec une grande table pour partager les repas en famille ou entre amis
Un poêle à bois (granules) ravira vos soirées en saison fraiche 
- 2 chambres équipées d'un lit double
- 1 avec 2 lits simples
- Une salle d'eau avec grande douche et vasque
- WC séparé
- Coin buanderie avec lave-linge et sèche-linge
A l'étage:
- un coin salon avec fauteuils et télévision à écran plat.
- la chambre avec les 2 lits doubles et le bureau
L'extérieur est aménagé avec goût . Une grande terrasse accueillera vos repas.
Un BBQ n'attend plus que vos brochettes pour des soirées sous les étoiles de La plaine des Cafres.</t>
  </si>
  <si>
    <t>Ô Bon Air villa Plaine des Cafres</t>
  </si>
  <si>
    <t>Sur la nationale en sens montant prendre à droite au quartier Coin tranquille. La maison se trouve dans un tournant au numéro 10</t>
  </si>
  <si>
    <t>douche , terrasse , barbecue , fer et planche à repasser , jardin , TV , linge de maison , lave vaisselle , micro-ondes , linge de toilette , four , Cafetière , frigo , wifi , cuisine équipée , Lit parapluie sur demande , lave-linge , sèche-cheveux , jeux , poêle à bois</t>
  </si>
  <si>
    <t>centre équestre,point de vue panoramique,arrêt bus,Restauration</t>
  </si>
  <si>
    <t>5186f638,68c670f0</t>
  </si>
  <si>
    <t>c725a9fd</t>
  </si>
  <si>
    <t>galerie::galerie_Images/489a648f.Path.074136.jpg</t>
  </si>
  <si>
    <t>CSC572HTN</t>
  </si>
  <si>
    <t>Mail du presta indiquant arrêt de mandat avec la conciergerie Billikers au 31/12/23
Fermeture temporaire à partir du 01/02/2024 &gt; 31/12/2025</t>
  </si>
  <si>
    <t>BLUE PAPANGUE</t>
  </si>
  <si>
    <t>72</t>
  </si>
  <si>
    <t>chemin Alexandre Sery</t>
  </si>
  <si>
    <t>-21.242187, 55.515970</t>
  </si>
  <si>
    <t>covindinsendy@yahoo.fr</t>
  </si>
  <si>
    <t>0692657684</t>
  </si>
  <si>
    <t>Grande maison conviviale à cinq minutes de la Route Nationale 3, dans un grand jardin arboré avec parking et différents espaces d'activités (table de ping-pong, trampoline, piscine, tout est mis à disposition pour accueillir les clients et leurs enfants. Grand parking pour les voitures des clients (10 à 15 voitures). 
Le dortoir peut accueillir jusqu’à 7 personnes.</t>
  </si>
  <si>
    <t>BLUE PAPANGUE vous accueille dans un espace convivial avec cuisine intérieure et extérieure au feu de bois. Une bonne ambiance familiale est possible car les fêtes sont autorisées.</t>
  </si>
  <si>
    <t>Prendre la Route Nationale 3 direction la Plaine des Cafres. Au rond-point du quatorzième, prendre direction : Pont d'Yves. Vous continuez tout droit. À environ 1km, prendre le chemin LEROY. La quincaillerie des Orchidées se trouve à votre gauche, continuez à monter le chemin. Prendre la sortie à droite avant le deuxième dos d'âne. Continuez tout droit puis, prendre la deuxième sortie à droite.</t>
  </si>
  <si>
    <t>barbecue , climatisation , fer et planche à repasser , chauffage , jardin , lave linge privatif , salle de bain privée , TV , ventilateur , linge de maison , parking , TV satellite , salon , espace de restauration , restauration , lave vaisselle , sanitaires privés , salle de réunion - séminaire , grand espace , douche , four , aire de jeux pour enfant , salon de jardin , linge de toilette , cuisine , jardin arboré , bar , serviettes. , terrasse , cuisine équipée , jardin clôturé , parking sécurisé , tout équipé , cuisine extérieur , varangue , salle de bain , cour clôturée , cuisine extérieure , cours clôturée , sur réservation , veranda couverte , plaque de cuisson , frigo , vue montagne , cuisine au bois</t>
  </si>
  <si>
    <t>sentier de randonnée,sentier de grande randonnée,point de vue panoramique,forêt,jardin,restaurants,sentiers de randonnées,sentiers de randonnée,Restauration,hébergements,Sentier de randonnée</t>
  </si>
  <si>
    <t>f59beb40</t>
  </si>
  <si>
    <t>04cd9f83</t>
  </si>
  <si>
    <t>galerie::galerie_Images/8a4691f2.Path.161613.jpg</t>
  </si>
  <si>
    <t>CSC466HT@</t>
  </si>
  <si>
    <t>Monsieur COVINDIN est accueillant, motivé, aime la cuisine... Ce prestataire maîtrise la gastronomie historique réunionnaise. 
Monsieur COVINDIN s'adapte à l'arrivée des clients, en effet, les horaires sont négociables !</t>
  </si>
  <si>
    <t xml:space="preserve">Le Relais Commerson </t>
  </si>
  <si>
    <t>37</t>
  </si>
  <si>
    <t>rue Boisjoly Potier</t>
  </si>
  <si>
    <t>-21.204197, 55.577417</t>
  </si>
  <si>
    <t>0262275287</t>
  </si>
  <si>
    <t>0692600544</t>
  </si>
  <si>
    <t>Ouvert du mercredi au dimanche. Pensez à faire votre réservation pour les repas du soir.</t>
  </si>
  <si>
    <t>A l’entrée du village de la Plaine des Cafres, prendre le rond-point de la Maison du Volcan et suivre la route qui mène au chemin Volcan. Le restaurant se trouve à environ 800 mètres de la Route Nationale.</t>
  </si>
  <si>
    <t>AdJe0544bj,AdMa0544yT</t>
  </si>
  <si>
    <t>59eb7e1d</t>
  </si>
  <si>
    <t>galerie::galerie_Images/69808acb.Path.082347.jpg</t>
  </si>
  <si>
    <t xml:space="preserve"> Chemin de la Concession les Bas</t>
  </si>
  <si>
    <t>-21.234755, 55.566988</t>
  </si>
  <si>
    <t>La maison de vacances comprend deux chambres, une télévision par câble à écran plat, un lave-linge et une salle de bains avec douche. Sa cuisine équipée est pourvue d’un micro-ondes et d’un réfrigérateur.
Vous pourrez également profiter d’une terrasse. Un barbecue est à votre disposition sur place et vous aurez la possibilité de faire de la randonnée dans les environs.</t>
  </si>
  <si>
    <t>227938f0</t>
  </si>
  <si>
    <t>Ne pas promouvoir ce meublé de tourisme car cet hébergement est fermé.</t>
  </si>
  <si>
    <t>Ti Palissandre</t>
  </si>
  <si>
    <t>1A</t>
  </si>
  <si>
    <t>Allée des Fougères</t>
  </si>
  <si>
    <t>-21.245489, 55.472951</t>
  </si>
  <si>
    <t>contact@location-tipalissandre.re</t>
  </si>
  <si>
    <t>0693 85 79 07</t>
  </si>
  <si>
    <t>https://location-tipalissandre.re/?fbclid=IwAR32s1j40OoljEOlpPXMMw2cuOnXomIQ8mAa3Nxih6y5EC8-q1-nfCpipEA</t>
  </si>
  <si>
    <t>En surplomb du village, vous pourrez profiter du jardin et d’une vue mer.
Le chalet d’environ 40m² se compose :
au rez-de-chaussée :
- d’un séjour avec cuisine ouverte équipée (gazinière, micro-ondes, cafetière senséo, grille-pain, bouilloire…)
- d’une salle de bain avec toilettes
à l’étage :
-d’une chambre avec un lit 140x190cm
-une mezzanine avec un matelas d’appoint 140x190cm
à l’extérieur
-un jardin arboré
-une terrasse avec salon de jardin
-une cuisine extérieure (avec barbecue et lave-linge).
-une place de parking
supplément :
- draps et serviettes : 5€/personne
- forfait ménage de 30€.
Une caution de 250€ vous sera demandée à l’arrivée et rendue le jour du départ après l’état des lieux de sortie.</t>
  </si>
  <si>
    <t>Location chalet Ti Palissandre</t>
  </si>
  <si>
    <t>L'allée des fougères se trouvent dans l'impasse des Filaos</t>
  </si>
  <si>
    <t>lave linge privatif , barbecue , cuisine extérieure , terrasse , jardin , vue montagne , vue mer , linge de maison , TV satellite , salon , micro-ondes , linge de toilette , douche , Cafetière , frigo , salon de jardin , cour clôturée , bouilloire , grille-pain</t>
  </si>
  <si>
    <t>sentier de randonnée,site - lieu culturel,point de vue panoramique,sites touristiques,commerce alimentaire,forêt,riviere,arrêt bus,transports en commun,pharmacie,boulangerie</t>
  </si>
  <si>
    <t>site internet,Espèces,Le bon coin</t>
  </si>
  <si>
    <t>français,anglais,espagnol,italien</t>
  </si>
  <si>
    <t>fcd5cfa2</t>
  </si>
  <si>
    <t>68db7532</t>
  </si>
  <si>
    <t>galerie::galerie_Images/2dd5cf60.Path.093126.jpg</t>
  </si>
  <si>
    <t>CSC626HTN</t>
  </si>
  <si>
    <t>L'Instant d'Évasion 1</t>
  </si>
  <si>
    <t>36 C</t>
  </si>
  <si>
    <t>Chemin de la Grande Ferme</t>
  </si>
  <si>
    <t>La Grande Ferme</t>
  </si>
  <si>
    <t>-21.221071, 55.589334</t>
  </si>
  <si>
    <t>commercial.linstantdevasion@gmail.com</t>
  </si>
  <si>
    <t>0692 06 97 54</t>
  </si>
  <si>
    <t>La maison a été aménagée pour que les vacanciers se sentent chez eux :
- La cuisine américaine est ouverte sur le salon. Elle est toute équipée avec four, four micro-onde, plaque à induction, casseroles, poêles, vaisselles, plats à four, verres à vins, verres à champagnes... cafetière Senséo et à filtre pour tous les amateurs de café, boule à thé...
- un canapé lit de 140 /190 est proposé dans le salon, table basse et télévision à écran plat fixé au mur.
- une salle de bain avec baignoire Balnéo, grand vasque et wc, porte serviette et lave-linge, sèche linge (un 2 en 1) sèche cheveu et pèse personne.
A l'étage : la chambre est aménagée avec un lit de 160/ 200 avec la vue sur le Piton des Neiges, un fauteuil, une armoire avec de nombreux rangements et un miroir (taille d'une personne)
L'accès à la chambre se fait par des escaliers en colimaçon.
L'extérieur à été aménagé avec goût et amour, fleurs et plantes donnent de la couleurs et de beaux parfums. Le BBQ weber n'attend plus que vos brochettes pour des soirées sous les étoiles de La Plaine des Cafres.
Accès au parking privé et sécurisé avec possibilité de garer jusqu'à 2 voitures par logement (voir la fiche de l'établissement l'Instant d'Évasion 2).</t>
  </si>
  <si>
    <t>L'Instant D'Évasion 1 est une superbe maison classée 4 étoiles, aménagée avec du mobilier design et tendance. Splendide vue sans vis à vis sur le Piton des neiges.</t>
  </si>
  <si>
    <t>Prendre la RN3, au rond-point de la cité du volcan, aller vers le chemin Alfred PICARD, continuez jusqu'au rond-point suivant, prendre à droite la RF5. Ne pas monter sur la route qui va au volcan, continuez tout droit vers la Grande Ferme. Vers l'église de la Grande Ferme, tout droit sur le petit pont vert, c'est la 2ème à droite. Il y a une pancarte.</t>
  </si>
  <si>
    <t>barbecue , climatisation , vue montagne , sur réservation , grand espace , linge de maison , parking , TV satellite , salon , chauffage , jardin , TV , espace de restauration , wifi gratuit , lave linge privatif , micro-ondes , sanitaires privés , salle de bain privée , linge de toilette , Lit parapluie sur demande , four , sèche linge privatif , terrasse , salon de jardin , cuisine , jardin arboré , espace de restauration en extérieur , accès internet , serviettes. , salle de bain , cour clôturée , veranda couverte , Cafetière , frigo , cuisine équipée , parking sécurisé , cours clôturée , plaque de cuisson , netflix , baignoire</t>
  </si>
  <si>
    <t>sentier de randonnée,commerce alimentaire,équitation,parking public,site - lieu culturel,point de vue panoramique,forêt,sites touristiques,arrêt bus,jardin,transports en commun,sites - lieux culturels,station essence,pharmacie,boulangerie,pâtisserie,maraicher,banque - guichet automatique,restaurants,randonnées,Maison du Volcan,sentiers VTT,ferme équestre,centre médical,quad,hébergements,route du volcan,Point chaud,stade de foot,commerce de proximité…,épicerie,médecin,tabac presse,coiffeur,Terrain de jeux pour enfants,aire de jeux,snack,forêt de Tamar'haut,village du 23ème,village du grand bassin,Cabaret Pat'Jaune,parc notre dame de la paix,Point de vue du Belvédère de Bois court,burger…,route pour aller au volcan</t>
  </si>
  <si>
    <t>français (Expérimenté (Nv.3)),français,créole,anglais,allemand,espagnol</t>
  </si>
  <si>
    <t>71c26035</t>
  </si>
  <si>
    <t>ed9ce3e3</t>
  </si>
  <si>
    <t>galerie::galerie_Images/cc5e1ef0.Path.055342.png</t>
  </si>
  <si>
    <t>CSC504HT@</t>
  </si>
  <si>
    <t>BOOKING =&gt; Impossibilité de faire des réservations pour le moment =&gt; en attente de récupération du compte par Madame ABLANCOURT.
Tarification au 21/03/2023 : voir la photo en pièce jointe transmise par Madame ABLANCOURT le 20 mars 2023.</t>
  </si>
  <si>
    <t>L'Assiette Fleurie</t>
  </si>
  <si>
    <t>rue du Général de Gaulle</t>
  </si>
  <si>
    <t>jeromepayetdominique@gmail.com</t>
  </si>
  <si>
    <t>0692225609</t>
  </si>
  <si>
    <t>0692077695</t>
  </si>
  <si>
    <t>Ouvert du lundi au samedi midi de 11h à 13h30. Vous pouvez vous restaurer sur place et/ou prendre les plats à emporter.</t>
  </si>
  <si>
    <t>Restaurant self qui propose de la cuisine créole, chinoise et des grillades. Repas sur place et/ou à emporter. Les plats proposés ont un bon goût et sont concoctés avec des produits frais (ananas victoria, poissons frais...).</t>
  </si>
  <si>
    <t>Qu7695Y9</t>
  </si>
  <si>
    <t>0ad3eb6a</t>
  </si>
  <si>
    <t>galerie::galerie_Images/c20ed781.Path.062919.jpg</t>
  </si>
  <si>
    <t>Possibilité d'opter pour la livraison des repas (voir si le secteur le permet au moment de la réservation). Dans ce cas, la commande est à passer avant 10h30.</t>
  </si>
  <si>
    <t>La Paillote</t>
  </si>
  <si>
    <t>-21.276649, 55.521041</t>
  </si>
  <si>
    <t>gisele.robin96@orange.fr</t>
  </si>
  <si>
    <t>0262597278</t>
  </si>
  <si>
    <t>Le restaurant est ouvert tous les jours sauf le dimanche et le mercredi soir. Les repas du soir (de 18h00 jusqu'à 21h00) se font uniquement à emporter.</t>
  </si>
  <si>
    <t>Situé au Tampon, le restaurant la Paillote propose une cuisine métropolitaine et créole, des pâtisseries maisons, pizzas. Possibilité de déguster des repas créoles.</t>
  </si>
  <si>
    <t>Depuis le Sud : Prendre la quatre voies en direction du Tampon, suivre la Route Nationale 3 jusqu’au rond-point de la caserne de pompiers du Tampon. Prendre la troisième sortie vers le lycée Roland Garros, puis, vous continuez tout droit. Le restaurant se trouve vers la gauche. Le restaurant se situe approximativement entre la Poste et le lycée Roland Garros.
Depuis les Plaines : Suivre la Route Nationale 3 vers le Tampon. Lorsque vous arrivez au rond-point du 11ème km, descendre vers la rue Jules Bertaut (La Poste). Au second rond-point prendre sur votre droite, le restaurant se situe approximativement entre la Poste et le lycée Roland Garros.</t>
  </si>
  <si>
    <t>piscine municipale,arrêt bus,Centre - Ville,poste - boite aux lettres</t>
  </si>
  <si>
    <t>Chèque,Espèces,Carte Bancaire,Tickets restaurant</t>
  </si>
  <si>
    <t>Pa72785J</t>
  </si>
  <si>
    <t>0cced7a5</t>
  </si>
  <si>
    <t>galerie::galerie_Images/78c6c090.Path.061154.jpg</t>
  </si>
  <si>
    <t>Les repas du soir (de 18h00 jusqu'à 21h00) se font uniquement à emporter.
Les repas sur place sont vendus à partir de dix euros.</t>
  </si>
  <si>
    <t xml:space="preserve"> rue Hubert delisle</t>
  </si>
  <si>
    <t>-21.281302, 55.517785</t>
  </si>
  <si>
    <t>0262116134</t>
  </si>
  <si>
    <t>Il dispose d'un accès pour les personnes à mobilité réduite. Le restaurant propose une cuisine française travaillée et originale</t>
  </si>
  <si>
    <t>Les Diables Ô Thym est un restaurant situé en plein centre ville du Tampon. Vous pourrez déguster de bons plats préparés avec soin. Le cadre est convivial, les repas sont faits avec des produits frais, de quoi raviver les papilles !</t>
  </si>
  <si>
    <t>AnCL6134lU</t>
  </si>
  <si>
    <t>730ed9df</t>
  </si>
  <si>
    <t>galerie::galerie_Images/ae0c8509.Path.061104.jpg</t>
  </si>
  <si>
    <t>Tikan</t>
  </si>
  <si>
    <t>217</t>
  </si>
  <si>
    <t>route du volcan</t>
  </si>
  <si>
    <t>-21.205373, 55.598336</t>
  </si>
  <si>
    <t>tikan974@live.fr</t>
  </si>
  <si>
    <t>0262275170</t>
  </si>
  <si>
    <t>0692411677</t>
  </si>
  <si>
    <t>https://www.facebook.com/people/TI-KAN/100063968943623/</t>
  </si>
  <si>
    <t>Le restaurant propose également le petit déjeuner, des samoussas, bouchons, gâteaux péi, poulet grillé le week-end. Repas sur place et à emporter. Ouvert tous les jours de 11h à 22h non stop.</t>
  </si>
  <si>
    <t>Situé à La Plaine des Cafres, sur la route du volcan, le restaurant Tikan propose une cuisine créole.</t>
  </si>
  <si>
    <t>Depuis le Sud, arrivé à la Plaine des Cafres, après la station essence du Bourg-Murat, au rond-point prendre à droite et continuer jusqu'à un autre rond-point, prendre à droite, puis au prochain rond-point prendre à gauche vers la route forestière du volcan, le restaurant se trouvera un peu plus haut.</t>
  </si>
  <si>
    <t>PaJo16770n</t>
  </si>
  <si>
    <t>a0816440</t>
  </si>
  <si>
    <t>galerie::galerie_Images/4a4c3b2b.Path.101152.jpg</t>
  </si>
  <si>
    <t>Découvertes en Terres Signées</t>
  </si>
  <si>
    <t>183</t>
  </si>
  <si>
    <t>rue Marcel PAGNOL</t>
  </si>
  <si>
    <t>-21.370818, 55.673412</t>
  </si>
  <si>
    <t>christine.hairon@outlook.fr</t>
  </si>
  <si>
    <t>0692 33 10 68</t>
  </si>
  <si>
    <t>En tant que PREN (Partenaire Relais de l’Education Nationale) pour le Parc National de La Réunion pour la saison 2023, ce prestataire a proposé trois sorties à intégrer aux offres scolaires. Ces parcours sont également disponibles pour le grand public en visites guidées/animées sur réservation auprès de son association Découvertes en Terres Signées (association loi 1901 créée en avril 2022).
Jours d’ouverture : du mardi au dimanche (jours fériés selon la demande).
Tarifs : NOUVELLES GRILLES TARIFAIRES 2024 EN PJ
Cap Jaune à Vincendo et site du Four à chaux/Gecko vert de Manapany :
- 0 – 4 ans : gratuit ;
- 5 – 11 ans : 8 euros ;
- 12 et plus : 15 euros.
Autres parcours sur devis. Les horaires sont modulables selon les besoins.</t>
  </si>
  <si>
    <t>Christine HAIRON est Guide Accompagnatrice Touristique diplômée depuis 2019 avec pour formateur Monsieur Enis Rockel, historien.</t>
  </si>
  <si>
    <t>/</t>
  </si>
  <si>
    <t>vue montagne , visites pédagogiques , sur réservation , vue mer</t>
  </si>
  <si>
    <t>point de vue panoramique,riviere,arrêt bus</t>
  </si>
  <si>
    <t>ff4b137b</t>
  </si>
  <si>
    <t>65461d1f</t>
  </si>
  <si>
    <t>galerie::galerie_Images/3f74c9ce.Path.113637.jpg</t>
  </si>
  <si>
    <t xml:space="preserve"> Impasse Des Filaos</t>
  </si>
  <si>
    <t>-21.372512, 55.625780</t>
  </si>
  <si>
    <t>0954453559</t>
  </si>
  <si>
    <t>0625790833</t>
  </si>
  <si>
    <t>climatisation , parking , TV satellite , wifi , piscine</t>
  </si>
  <si>
    <t>MaMa0833LW</t>
  </si>
  <si>
    <t>1adcb003</t>
  </si>
  <si>
    <t xml:space="preserve">Le Plat Garni </t>
  </si>
  <si>
    <t>Rue du commerce</t>
  </si>
  <si>
    <t>-21.248663, 55.470679</t>
  </si>
  <si>
    <t>contact@leplatgarni.re</t>
  </si>
  <si>
    <t>0693 45 85 28</t>
  </si>
  <si>
    <t>https://leplatgarni.re/</t>
  </si>
  <si>
    <t>Le Plat Garni propose :
- Samoussas
- Samoussas pimentée 
- Autres mignardises (nems, bouchons, piment farcis, croquette de poulet..)
- Boissons</t>
  </si>
  <si>
    <t>Le Plat Garni est un traiteur artisan depuis plus de 25 ans, plutôt spécialisé dans les samoussas et d'autres produits typiquement Réunionnais</t>
  </si>
  <si>
    <t>Au centre du village en face de la pharmacie</t>
  </si>
  <si>
    <t>Propose des snacks , samoussas , nems et autre fritures péi</t>
  </si>
  <si>
    <t>RiMa8528zr</t>
  </si>
  <si>
    <t>906a78c4</t>
  </si>
  <si>
    <t>galerie::galerie_Images/e76bec3a.Path.064256.jpg</t>
  </si>
  <si>
    <t>-21.276755, 55.521719</t>
  </si>
  <si>
    <t>0262421053</t>
  </si>
  <si>
    <t>Le restaurant propose des plats cuisinés exclusivement sur place avec essentiellement des produits frais (poulet d'élevage, porc, grattons de charcuterie etc) sans exhausteurs de goût (vetsin) et en attachant une attention particulière à l'utilisation modéré de matière grasse (huile, beurre etc).
Tout cela dans le seul but d'assurer une cuisine de qualité, à un prix très abordable, en toute simplicité, "comme chez Maman!".</t>
  </si>
  <si>
    <t>Chez Manman est une restaurant où on peut savourer des recettes authentiques et traditionnelles, transmises de générations en générations favorisant les productions locales.
Clé de leur succès : "Un service rapide et efficace, proposant des repas variés, de bonne qualité, et d'un goût exceptionnel à chaque fois."</t>
  </si>
  <si>
    <t>Depuis la quatre voies de Saint-Pierre direction Le Tampon : Arrivé au Tampon, au rond-point de la tour des Azalées, prendre à droite vers le centre-ville. Vous continuez tout droit, au 3ème rond-point, prendre à gauche sur la rue du Général de Gaulle et continuer jusque la poste. 
Au rond-point, prendre à droite, le restaurant se trouvera légèrement plus haut sur la rue Jules Bertaut.</t>
  </si>
  <si>
    <t>arrêt bus,poste - boite aux lettres,piscine municipale</t>
  </si>
  <si>
    <t>1053hy</t>
  </si>
  <si>
    <t>34718c1b</t>
  </si>
  <si>
    <t>-21.267687, 55.510453</t>
  </si>
  <si>
    <t>0692602394</t>
  </si>
  <si>
    <t>Au Tampon, le restaurant Kaz Le Mauricien propose une cuisine traditionnelle de l'île Maurice.</t>
  </si>
  <si>
    <t>Le restaurant est situé sur la route principale du Tampon, à 5 minutes de la mairie, en direction des Trois Mares entre le rond-point de l'université et la station essence Total face à SECURITEST.</t>
  </si>
  <si>
    <t>MuTH23948D</t>
  </si>
  <si>
    <t>0af13c1a</t>
  </si>
  <si>
    <t>galerie::galerie_Images/78c4a1f2.Path.060138.jpg</t>
  </si>
  <si>
    <t>GOU LE O RESTO</t>
  </si>
  <si>
    <t>Restauration traditionnelle</t>
  </si>
  <si>
    <t>16</t>
  </si>
  <si>
    <t>rue Jean de Fos du Rau</t>
  </si>
  <si>
    <t>-21.228431, 55.551180</t>
  </si>
  <si>
    <t>gouleoresto@gmail.com</t>
  </si>
  <si>
    <t>0693136027</t>
  </si>
  <si>
    <t>https://gouleoresto.re/</t>
  </si>
  <si>
    <t>GOU LE O RESTO, est un complexe de restauration, composé :
 - d'un RESTO STORE dans lequel vous pourrez découvrir des repas "prêts à consommer ", avec une particularité : un partenariat avec IREN et l'association REUTILIZ a été établi afin de présenter également des plats équilibrés et écologiques avec EQUILIB Nout' Barket ;
-  d'une salle de restaurant BISTRONOMIE sur place : le K23.</t>
  </si>
  <si>
    <t>GOU LE O RESTO, est un complexe de restauration, composé :
 - d'un RESTO STORE 
-  d'une salle de restaurant BISTRONOMIE sur place : le K23.</t>
  </si>
  <si>
    <t>Sur la route nationale en venant du Tampon en direction de la Plaine des Cafres, le restaurant se trouvera sur la droite quelques mètres après la station service du 23ème km</t>
  </si>
  <si>
    <t>parking , espace de restauration , restauration</t>
  </si>
  <si>
    <t>hébergements,arrêt bus,station service</t>
  </si>
  <si>
    <t>Espèces,Carte Bancaire,Paypal</t>
  </si>
  <si>
    <t>a56dc0a9</t>
  </si>
  <si>
    <t>ce78095e</t>
  </si>
  <si>
    <t>galerie::galerie_Images/8867a26e.Path.050745.jpg</t>
  </si>
  <si>
    <t>Établissement en liquidation judiciaire.</t>
  </si>
  <si>
    <t>-21.372501, 55.625772</t>
  </si>
  <si>
    <t>1a7be00e</t>
  </si>
  <si>
    <t>Bungalow TimOun - Villa Ti MoOn</t>
  </si>
  <si>
    <t>55</t>
  </si>
  <si>
    <t>Rue Vienne</t>
  </si>
  <si>
    <t>-21.255249, 55.467215</t>
  </si>
  <si>
    <t>villatimoon@gmail.com</t>
  </si>
  <si>
    <t>07 66 72 35 56</t>
  </si>
  <si>
    <t>Avez vous déjà rêvé de vous endormir, dans un petit coin de paradis, au doux chants des grillons?
Alors ! bienvenus chez nous!
À votre arrivée, nous vous offrirons une boisson fraîche sous la varangue de la villa Ti MoOn.
Le bungalow TimOun vous accueillera sous la jolie varangue cosy, avec un espace repas Face au Dimitile.
Vous aurez 1 chambre avec un lit 140x200, une salle d’eau (douche) attenante, un Ti coin cuisine bien équipé.
Vous disposerez également d’une 2ème chambre avec 2 lits simples de 90x200 indépendant. (Possibilité de les jumeler si vous êtes 2 couples)
Vous avez un Ti coin jardin et avez accès à la piscine à débordement au sel, elle est partagée avec les hôtes de la villa.
Si vous êtes 2 personnes, cette 2eme chambre vous offrira un espace de détente salon avec un écran TV.
Si votre bébé (de 0 à 2 ans) fait parti du voyage, nous mettons un lit à disposition (10€ pour le séjour).
SUR RÉSERVATION:
• la table d’hôtes du mardi au samedi soir est sur réservation REPAS TOUT COMPRIS à 30€ / pers. avec 1 apéritif, amuses bouches péï, un plat, un dessert, café ou tisane , 1/4 de vins, 1 Ti rhum.
LES LUNDI SOIR, un plat à emporter est possible (12€/pers et 20€ pour 2) à manger sur place dans les espaces repas.
Le 7 octobre 2023 soirée dansante.
Le 31 décembre 2023: Buffet du Réveillon, champagne à minuit au bord de la piscine devant les feus d’artifices, soirée dansante jusqu’à 3h du matin (nous consulter).
Si vous préférez sortir, nous vous conseillons de réserver selon la programmation à Vavang’art ou votre restaurant au village, à 5mn en voiture ou 20mn à pieds.
Sur réservation, et en supplément :
Une machine à laver (6€/machine)
Accès des voyageurs
Vous avez accès au jardin, au solarium et sa varangue détente en journée.
Les 2 autres varangues sont accessibles sur réservation.
l’accès à la piscine est autorisé avant le petit déjeuner de 7h à 7h30, de 10h à 19h.
Autres remarques
Nous attachons une grande importance au confort des voyageurs, au respect des règles d’hygienes et savoir vivre.
Il est INTERDIT de fumer à l’intérieur du bungalow.</t>
  </si>
  <si>
    <t>Bungalow TimOun à la Villa Ti MoOn</t>
  </si>
  <si>
    <t>En direction du village de l'Entre-Deux, prendre à gauche rue Vienne continuer jusqu'au bous du chemin au numéro 55.</t>
  </si>
  <si>
    <t>vue montagne , vue mer , linge de maison , parking , jardin , TV , micro-ondes , linge de toilette , douche , four , Cafetière , frigo , kitchenette équipée , wifi , terrasse , bibliothéque , salon de jardin , jardin arboré , serviettes. , bouilloire , grille-pain , jardin clôturé</t>
  </si>
  <si>
    <t>sentier de randonnée,parking public,site - lieu culturel,point de vue panoramique,riviere,sites touristiques</t>
  </si>
  <si>
    <t>airbnb,booking,Virement,Espèces</t>
  </si>
  <si>
    <t>aebab274</t>
  </si>
  <si>
    <t>e85bf152</t>
  </si>
  <si>
    <t>galerie::galerie_Files_/e2aacc3f.Path.073048.webp</t>
  </si>
  <si>
    <t>CSC594HTR</t>
  </si>
  <si>
    <t xml:space="preserve">La Caverne  des Hirondelles </t>
  </si>
  <si>
    <t xml:space="preserve"> Chemin Parny</t>
  </si>
  <si>
    <t>-21.380795, 55.627806</t>
  </si>
  <si>
    <t>0262318086</t>
  </si>
  <si>
    <t>0692644370</t>
  </si>
  <si>
    <t>climatisation , linge de toilette , piscine , salon de jardin , sanitaires privés</t>
  </si>
  <si>
    <t>DuJe4370uF</t>
  </si>
  <si>
    <t>32fafec8</t>
  </si>
  <si>
    <t>galerie::galerie_Images/c0eb2655.Path.082315.jpg</t>
  </si>
  <si>
    <t>ATTENTION : plainte fin 2023 sur la qualité des prestation (procédure sera lancée après les fêtes)
Début janvier 2024 : nouveau mail du même client qui transfère une autre réclamation. 
Au 08/12/2021 : Les petits déjeuners sont à 10 euros par personne.
&gt; pas de suite 
Le propriétaire est décédé. Mme DUPONT souhaite reprendre l'activité à suivre..</t>
  </si>
  <si>
    <t>Les Sens Ciel</t>
  </si>
  <si>
    <t>Maîtres Restaurateur</t>
  </si>
  <si>
    <t>rue Raphaël Douyère</t>
  </si>
  <si>
    <t>-21.216889, 55.552343</t>
  </si>
  <si>
    <t>0263 05 02 03</t>
  </si>
  <si>
    <t>0692564457</t>
  </si>
  <si>
    <t>Restaurant dans une vieille bâtisse de 120 ans avec poutres apparentes, parquet en bois de tamarin, deux cheminées, de plusieurs petits box assez privatifs.
La dernière prise de commande du dimanche peut être faite à 13h30.
Le soir, la dernière prise de commande peut se faire jusqu'à 20h45.</t>
  </si>
  <si>
    <t>Dans une ambiance cocooning et familiale, la cheffe Murielle Michaeli, vous invite à déguster une cuisine bistronomique, créative et gourmande...</t>
  </si>
  <si>
    <t>Depuis le Sud, se diriger jusque la Plaine des Cafres, arrivé au Leclerc du 23e, à la croisée prendre à gauche et continuer vers la direction de Bois-Court. Le restaurant se situe à 150m après la mairie du 23ème km et sera sur la droite</t>
  </si>
  <si>
    <t>PaGa4457jf</t>
  </si>
  <si>
    <t>9ccccccb</t>
  </si>
  <si>
    <t>galerie::galerie_Images/a0493978.Path.112337.jpg</t>
  </si>
  <si>
    <t>Restaurant proposant des produits frais et de qualité provenant du terroir et du monde.
Fermeture exceptionnelle tous les derniers mardis de chaque mois et chaque lundi, ainsi que le dimanche soir. 
Fermeture pendant les vacances de mars et trois semaines au mois de septembre. Pour plus d'informations, merci de contacter le restaurant.</t>
  </si>
  <si>
    <t xml:space="preserve"> Rue De La Fontaine</t>
  </si>
  <si>
    <t>-21.369186, 55.679443</t>
  </si>
  <si>
    <t>0692 69 83 47</t>
  </si>
  <si>
    <t>AlGO8347Nl,GoAl1210Vt</t>
  </si>
  <si>
    <t>dd49f5b0</t>
  </si>
  <si>
    <t>10/01/2023 : Ne pas promouvoir cet hébergement car c'est un établissement fermé.</t>
  </si>
  <si>
    <t xml:space="preserve">Le Panoramic </t>
  </si>
  <si>
    <t>rue Alfred Lacroix</t>
  </si>
  <si>
    <t>-21.204653, 55.571155</t>
  </si>
  <si>
    <t>0262593612</t>
  </si>
  <si>
    <t>0692886475</t>
  </si>
  <si>
    <t>https://www.restaurant-le-panoramic.com/</t>
  </si>
  <si>
    <t>sentier de randonnée,parking public,point de vue panoramique,commerce alimentaire,équitation,station essence,Maison du Volcan</t>
  </si>
  <si>
    <t>MaCh6475iT</t>
  </si>
  <si>
    <t>2d3f67d6</t>
  </si>
  <si>
    <t>galerie::galerie_Images/b8b75bf4.Path.072813.png</t>
  </si>
  <si>
    <t xml:space="preserve">L'Ambéric </t>
  </si>
  <si>
    <t>chemin Raoul Hoarau</t>
  </si>
  <si>
    <t>-21.261561, 55.511818</t>
  </si>
  <si>
    <t>0262577768</t>
  </si>
  <si>
    <t>Equipé pour accueillir les handicapés, ce restaurant traditionnel propose aussi de redécouvrir le charme d'un jardin créole avec ses plantes et essences rares.
Il dispose d'une capacité d'accueil de 50 à 60 couverts. Restaurant labellisé Maître Restaurateur.</t>
  </si>
  <si>
    <t>Situé sur la commune du Tampon au lieu dit Trois Mares, le restaurant créole l'Ambéric fait cohabiter modernité et tradition avec sa cuisine au feu de bois, ses caris et autres préparations.</t>
  </si>
  <si>
    <t>Depuis le Sud : Prendre la 4 voies en direction du Tampon et aller jusqu'au village de Trois Mares. Dans le village, tourner à droite dans le chemin Raoul Hoarau. Le restaurant se situe au n°13.
Depuis les Plaines, suivre la RN3 et aller jusqu'au 14ème km. Tourner à droite avant l'aire de jeux dans le chemin de l'Hermitage, descendre toute la rue. L'Ambéric se situe à 150 mètres du chemin.</t>
  </si>
  <si>
    <t>FoVi7768hD</t>
  </si>
  <si>
    <t>1b696256</t>
  </si>
  <si>
    <t>galerie::galerie_Images/4be5b708.Path.091310.jpg</t>
  </si>
  <si>
    <t>L'Eden du Randonneur (camping)</t>
  </si>
  <si>
    <t>Le Grand Coin - Bras de la Plaine</t>
  </si>
  <si>
    <t>-21.221286, 55.504652</t>
  </si>
  <si>
    <t>eden.durandonneur@gmail.com</t>
  </si>
  <si>
    <t>0692 67 95 15</t>
  </si>
  <si>
    <t>https://www.gite-eden-durandonneur.com/?fbclid=IwAR0J1FYNT6nzAZmfbmgib3rnFKf4P4y9Bhf9R9RfgLrliXqJOWw8MbaS2Oo</t>
  </si>
  <si>
    <t>Bienvenue au gîte l’Eden du Randonneur,
Vous recherchez de l’authenticité, un accueil chaleureux au milieu de la verdure et au bruit de la rivière ? Vous êtes au bon endroit.
Nous vous accueillons dans notre gîte familial créé dans une nature luxuriante peuplée de bananiers, de jacquiers, de songes, de jamrosas, de longanis ou de letchis, non loin de Grand Bassin dans Le Bras de la plaine. Vous y trouverez des couchages en chambres confortables ou des tentes équipées pour vivre une expérience dépaysante.
Vous pourrez vous restaurer en famille ou entre amis grâce à nos carrys cuits de manière traditionnelle au feu de bois dans notre cuisine conviviale.
Tonton saura vous faire partager l’histoire du bras de la plaine et vous régalera avec ses rougails.
Enfilez vos chaussures et sac à dos pour randonner vers une aventure unique.
****
NOS TARIFS comprenant la taxe de séjour en 1/2 pension ( avec dîner / nuitée / petit déjeuner et riz chauffé)
- Tente équipée pour 3 pers : 180 € 
- Cabane de 2 pers : 120 €
- Bungalow pour 2 (avec sanitaires privés): 190 €
-&gt; Gratuit pour les enfants de moins de 3 ans
-&gt; Un acompte de 40% vous est demandé par CB pour toute réservation définitive, merci de régler le solde à l’arrivée (chèque ou espèces CB).
Pour tout règlement par chèque: 
Libeller à l'ordre de "EDEN DU RANDONNEUR"
et envoyer à
Eden du Randonneur 221, Rue Emile Zola 97430 LE TAMPON
*** Animaux de compagnie acceptés au sein du camping ***</t>
  </si>
  <si>
    <t>Accessible à pied dans le Bras de La Plaine, dépaysement garanti!</t>
  </si>
  <si>
    <t>Accessible par le sentier de la petite ravine au Tampon (Pont d'Yves) 1h30 à 2h de marche avec 400 m de dénivelé sur 3km de sentier</t>
  </si>
  <si>
    <t>petit déjeuner créole ou classique , repas traditionnels , jardin arboré</t>
  </si>
  <si>
    <t>sentier de randonnée,point de vue panoramique,sites touristiques</t>
  </si>
  <si>
    <t>2f33662b</t>
  </si>
  <si>
    <t>7f02eb41</t>
  </si>
  <si>
    <t>galerie::galerie_Images/fbe5dcd0.Path.113316.jpg</t>
  </si>
  <si>
    <t>CSC624HTL</t>
  </si>
  <si>
    <t>L'Eden du Randonneur (chambres d'hôtes)</t>
  </si>
  <si>
    <t>le Grand Coin - Bras de la Plaine</t>
  </si>
  <si>
    <t>-21.221258, 55.504734</t>
  </si>
  <si>
    <t>Bienvenue au gîte l’Eden du Randonneur,
Vous recherchez de l’authenticité, un accueil chaleureux au milieu de la verdure et au bruit de la rivière ? Vous êtes au bon endroit.
Nous vous accueillons dans notre gîte familial créé dans une nature luxuriante peuplée de bananiers, de jacquiers, de songes, de jamrosas, de longanis ou de letchis, non loin de Grand Bassin dans Le Bras de la plaine. Vous y trouverez des couchages en chambres confortables ou des tentes équipées pour vivre une expérience dépaysante.
Vous pourrez vous restaurer en famille ou entre amis grâce à nos carrys cuits de manière traditionnelle au feu de bois dans notre cuisine conviviale.
Tonton saura vous faire partager l’histoire du bras de la plaine et vous régalera avec ses rougails.
Enfilez vos chaussures et sac à dos pour randonner vers une aventure unique.
****
Chambres d'hôtes composées de :
4 chambres de 2 personnes
1 chambre de 3 personnes
1 chambre de 4 personnes
****
NOS TARIFS comprenant la taxe de séjour en 1/2 pension ( avec dîner / nuitée / petit déjeuner et riz chauffé)
- Chambre double : 130 €
- Chambre double (avec sanitaires privés): 145 €
- Chambre de 4 pers (avec sanitaires privés) : 260 €
- Chambre de 6 pers (avec sanitaires privés) : 390 € 
- Chambre de 8 pers : 480 € 
- Tente équipée pour 3 pers : 180 € 
- Cabane de 2 pers : 120 €
- Bungalow pour 2 (avec sanitaires privés): 190 €
-&gt; Gratuit pour les enfants de moins de 3 ans
-&gt; Un acompte de 40% vous est demandé par CB pour toute réservation définitive, merci de régler le solde à l’arrivée (chèque ou espèces CB).
Pour tout règlement par chèque: 
Libeller à l'ordre de "EDEN DU RANDONNEUR"
et envoyer à
Eden du Randonneur 221, Rue Emile Zola 97430 LE TAMPON</t>
  </si>
  <si>
    <t>repas traditionnels , jardin arboré , petit déjeuner créole ou classique</t>
  </si>
  <si>
    <t>sites touristiques,sentier de randonnée,point de vue panoramique</t>
  </si>
  <si>
    <t>2b444f99</t>
  </si>
  <si>
    <t>galerie::galerie_Images/80c52a46.Path.110358.jpg</t>
  </si>
  <si>
    <t>CSC625HTM</t>
  </si>
  <si>
    <t xml:space="preserve">Le Tourne Broche </t>
  </si>
  <si>
    <t>303</t>
  </si>
  <si>
    <t>Route Nationale 3 PK28</t>
  </si>
  <si>
    <t>-21.190152, 55.579450</t>
  </si>
  <si>
    <t>0262275194</t>
  </si>
  <si>
    <t>0692827810</t>
  </si>
  <si>
    <t>Animation musicale le dimanche, contacter le restaurant pour les dates et ne pas oublier de réserver. Formule buffet le dimanche midi. Le restaurant propose également la formule réception.
Pour les baptêmes, communions, conférences, contacter le Tourne Broche pour convenir au rendez-vous. Ouvert du mardi au dimanche uniquement le midi sauf réception le soir.</t>
  </si>
  <si>
    <t>Depuis le Sud , prendre la 4 voies en direction du Tampon/Plaine des Cafres et aller jusqu'au village de Bourg Murat. Le restaurant se trouve 1 km après la sortie du village à gauche de la RN 3.
Depuis les Plaines, suivre la RN 3, le restaurant se situe à 1 km avant l'entrée du village de Bourg Murat à droite de la RN 3.</t>
  </si>
  <si>
    <t>chauffage , parking</t>
  </si>
  <si>
    <t>ChPa7810VP</t>
  </si>
  <si>
    <t>2b3b4617</t>
  </si>
  <si>
    <t>galerie::galerie_Images/b3e6c01e.Path.100802.jpg</t>
  </si>
  <si>
    <t>Accès personne à mobilité réduite.</t>
  </si>
  <si>
    <t>Aire de pique-nique</t>
  </si>
  <si>
    <t>du Bras-Long</t>
  </si>
  <si>
    <t>0692682787</t>
  </si>
  <si>
    <t>Dégustation de café pays cueilli par le propriétaire.
Ouvert uniquement le week-end.</t>
  </si>
  <si>
    <t>Situé sur l'air de pique-nique de Bras Long à l'Entre-Deux, le Snack Bar la Source propose des sandwichs, des bouchons, des frites et des repas sur commande avec des spécialités créoles tels que le cari baba figue, le boucané ti-jacque, le poulet pays au feu de bois....</t>
  </si>
  <si>
    <t>jardin , parking public</t>
  </si>
  <si>
    <t>HoJu27875Q</t>
  </si>
  <si>
    <t>8a159f3d</t>
  </si>
  <si>
    <t>galerie::galerie_Images/4df32f63.Path.091825.jpg</t>
  </si>
  <si>
    <t xml:space="preserve"> Impasse Pierre Boulle</t>
  </si>
  <si>
    <t>-21.258387, 55.516258</t>
  </si>
  <si>
    <t>0692449121</t>
  </si>
  <si>
    <t>https://villa-amaryllis.bedsandhotels.com/index.php</t>
  </si>
  <si>
    <t>L'établissement ne dispose pas de connexion Internet.</t>
  </si>
  <si>
    <t>BeMi9121xY</t>
  </si>
  <si>
    <t>7c452a06</t>
  </si>
  <si>
    <t>Restaurant ; Autre type de restauration</t>
  </si>
  <si>
    <t xml:space="preserve"> Chemin Bancoule</t>
  </si>
  <si>
    <t>irise.traiteur@gmail.com</t>
  </si>
  <si>
    <t>0262565107</t>
  </si>
  <si>
    <t>0692648444</t>
  </si>
  <si>
    <t>Toutes les préparations culinaires sont réalisées sur réservation.</t>
  </si>
  <si>
    <t>Irise Traiteur peut vous accueillir sur place sur réservation, et également pour préparer un festin.</t>
  </si>
  <si>
    <t>espace de restauration , restauration , végétariens bienvenus , petit déjeuner créole ou classique , Produits artisanaux</t>
  </si>
  <si>
    <t>sentier de randonnée,riviere,site - lieu culturel,point de vue panoramique,arrêt bus,transports en commun</t>
  </si>
  <si>
    <t>DuMa8444tT</t>
  </si>
  <si>
    <t>0a266893</t>
  </si>
  <si>
    <t>galerie::galerie_Images/f3e5607d.Path.061715.jpg</t>
  </si>
  <si>
    <t>Les plats préparés sont typiques créoles. Irise Traiteur peut s'adapter à la demande du client.</t>
  </si>
  <si>
    <t>LOCATION CHEZ LINE</t>
  </si>
  <si>
    <t xml:space="preserve"> Chemin Leroy</t>
  </si>
  <si>
    <t>-21.242632, 55.513425</t>
  </si>
  <si>
    <t>0693302765</t>
  </si>
  <si>
    <t>Location "nounours" gratuite : matériel de puériculture à disposition sur demande :
- Lit parapluie et le linge de lit bébé ;
- Transat ;
- Pot ;
- Baignoire bébé...</t>
  </si>
  <si>
    <t>LOCATION CHEZ LINE est le lieu incontournable pour passer des vacances en toute tranquillité. La détente et le confort seront au rendez-vous dans ce cadre décoré avec soin. Vous pourrez également profiter du jacuzzi privé mis à votre disposition.</t>
  </si>
  <si>
    <t>barbecue , fer et planche à repasser , jacuzzi , vue montagne , sur réservation , linge de maison , parking , ventilateur , salon , TV , wifi gratuit , lave linge privatif , micro-ondes , douche , four , Cafetière , frigo , kitchenette équipée , sanitaires privés , terrasse , salle à manger , salle de bain privée , Lit parapluie sur demande , salon de jardin , accès internet , serviettes. , tout équipé , sèche-cheveux , bouilloire , grille-pain , cours clôturée</t>
  </si>
  <si>
    <t>arrêt bus,pharmacie,boulangerie</t>
  </si>
  <si>
    <t>ad938911</t>
  </si>
  <si>
    <t>galerie::galerie_Files_/c13c8d73.Path.110933.webp</t>
  </si>
  <si>
    <t>Cet hébergement est géré par Madame Alizée HOARAU.
SIRET en cours.</t>
  </si>
  <si>
    <t xml:space="preserve">Les Géraniums </t>
  </si>
  <si>
    <t xml:space="preserve"> Rue Alfred Lacroix</t>
  </si>
  <si>
    <t>-21.218478, 55.560507</t>
  </si>
  <si>
    <t>contact@lesgeraniums.re</t>
  </si>
  <si>
    <t>0262591106</t>
  </si>
  <si>
    <t>0692709578</t>
  </si>
  <si>
    <t>parking , salle de réunion - séminaire</t>
  </si>
  <si>
    <t>Carte Bancaire,Chèque,Espèces,Chèques vacances,Virement</t>
  </si>
  <si>
    <t>MaWi9578XX</t>
  </si>
  <si>
    <t>dc1cd0bb</t>
  </si>
  <si>
    <t>galerie::galerie_Images/495a410b.Path.111011.jpg</t>
  </si>
  <si>
    <t>-21.218547, 55.560468</t>
  </si>
  <si>
    <t>0262 59 11 06</t>
  </si>
  <si>
    <t>Sur la RN3 direction la plaine des palmistes (pk 23), après la rue du collège, l'hôtel les Géraniums se trouve sur la gauche.</t>
  </si>
  <si>
    <t>climatisation , bouilloire , terrasse , téléphone , articles de toilette , sèche-cheveux , service de bagagerie , piscine chauffée , chauffage , parking , salle de réunion - séminaire , TV , espace de restauration , espace spa - bien être , bar , pressing</t>
  </si>
  <si>
    <t>b8593123</t>
  </si>
  <si>
    <t>galerie::galerie_Images/210b1006.Path.124813.png</t>
  </si>
  <si>
    <t xml:space="preserve">Le Tinto </t>
  </si>
  <si>
    <t>133</t>
  </si>
  <si>
    <t>-21.221335, 55.554767</t>
  </si>
  <si>
    <t>0262591303</t>
  </si>
  <si>
    <t>Situé à la Plaine des Cafres, le restaurant Le Tinto propose une cuisine savoyarde, des menus du jour et à la carte. Le restaurant est ouvert du mercredi au dimanche.</t>
  </si>
  <si>
    <t>Crêperie (sucré et salé), propose de la cuisine savoyarde, des menus du jour et à la carte. Le Tinto propose de se restaurer sur place uniquement le midi. Les repas peuvent être emportés le midi et le soir.</t>
  </si>
  <si>
    <t>Depuis le Sud, après la 4 voie du Tampon, au rond-point de la tour des Azalées, prendre à droite direction centre-ville, continuer sur la RN3 jusqu'à l'Eglise du 23e km. Continuer toujours sur la RN3, le restaurant se trouve peu après le virage sur votre gauche. Vous pouvez vous repérer grâce au Crédit Agricole non loin.
Depuis les Plaines, sur la RN3, après être passé devant le restaurant le Vieux Bardeau, continuer tout droit le restaurant sera peu après sur votre droite.</t>
  </si>
  <si>
    <t>espace de restauration</t>
  </si>
  <si>
    <t>commerces,sentier de randonnée,sentier de grande randonnée,parking public,point de vue panoramique,équitation,village du 23ème,pharmacie</t>
  </si>
  <si>
    <t>1303bf</t>
  </si>
  <si>
    <t>3e4f979b</t>
  </si>
  <si>
    <t>galerie::galerie_Images/634850f7.Path.093651.jpg</t>
  </si>
  <si>
    <t>Le prestataire n'a pas d'adresse mail à communiquer.</t>
  </si>
  <si>
    <t>La Terrasse Créole</t>
  </si>
  <si>
    <t>Restaurant ; Pizzeria</t>
  </si>
  <si>
    <t xml:space="preserve"> Rue Jean Lauret</t>
  </si>
  <si>
    <t>-21.247384, 55.471466</t>
  </si>
  <si>
    <t>mariemarthelindamarie@gmail.com</t>
  </si>
  <si>
    <t>0262325778</t>
  </si>
  <si>
    <t>0692728145</t>
  </si>
  <si>
    <t>Des pizzas à commander le soir et la carte du Chef Etoilé, Fabien Rocheville, est à découvrir sur place.</t>
  </si>
  <si>
    <t>Cosy et créole, cet endroit offre une jolie terrasse couverte pour apprécier un bon repas le midi ou le soir.</t>
  </si>
  <si>
    <t>En arrivant au village, prendre la rue qui monte le long de la mairie, puis dessuite la rue à droite, c'est sur le trottoir à gauche côté montagne)</t>
  </si>
  <si>
    <t>espace de restauration en extérieur , restauration , espace de restauration</t>
  </si>
  <si>
    <t>commerce alimentaire,arrêt bus,poste - boite aux lettres,Centre - Ville,boulangerie,banque - guichet automatique,Point chaud,sites touristiques,restaurants,hébergements,centre ville</t>
  </si>
  <si>
    <t>8145pX</t>
  </si>
  <si>
    <t>4047f817</t>
  </si>
  <si>
    <t>galerie::galerie_Images/b9a39ba3.Path.050708.jpg</t>
  </si>
  <si>
    <t>Il sera fermé jusqu'au 18 septembre 2025 / La Terrasse Créole vous offre la possibilité de savourer les délicieuses pizzas de MAXO PIZZA./</t>
  </si>
  <si>
    <t xml:space="preserve">Le Ti' Resto Lontan </t>
  </si>
  <si>
    <t>40</t>
  </si>
  <si>
    <t>RN3</t>
  </si>
  <si>
    <t>-21.202408, 55.573984</t>
  </si>
  <si>
    <t>tirestolontan@gmail.com</t>
  </si>
  <si>
    <t>0262439042</t>
  </si>
  <si>
    <t>0692340654</t>
  </si>
  <si>
    <t>https://www.restaurant-feu-de-bois-974.fr/</t>
  </si>
  <si>
    <t>Possibilité de privatiser la salle du restaurant pour fêter un évènement.
Vous disposerez d'un accompagnement personnalisé pour l'organisation de votre évènement. Le restaurant familial vous reçoit pour un baptême, une communion, etc...</t>
  </si>
  <si>
    <t>Situé à Bourg Murat, le restaurant Ti' Resto Lontan propose une cuisine typiquement créole au feu de bois.</t>
  </si>
  <si>
    <t>parking , wifi</t>
  </si>
  <si>
    <t>commerce alimentaire,arrêt bus,station service,Musée,route du volcan,Maison du Volcan,village du 23ème</t>
  </si>
  <si>
    <t>0654zL</t>
  </si>
  <si>
    <t>e5cbe875</t>
  </si>
  <si>
    <t>galerie::galerie_Images/4a358074.Path.113804.jpg</t>
  </si>
  <si>
    <t>Le Ti' Resto Lontan est tous les mardis et mercredis</t>
  </si>
  <si>
    <t xml:space="preserve">Jardins De Lé Ô </t>
  </si>
  <si>
    <t xml:space="preserve"> Rue Leo Ferre</t>
  </si>
  <si>
    <t>-21.248491, 55.520483</t>
  </si>
  <si>
    <t>0262272996</t>
  </si>
  <si>
    <t>0692491400</t>
  </si>
  <si>
    <t>chauffage , fer et planche à repasser , lave linge privatif , parking , TV satellite , wifi</t>
  </si>
  <si>
    <t>MuMa1400W9</t>
  </si>
  <si>
    <t>b087f710</t>
  </si>
  <si>
    <t>galerie::galerie_Images/66d3fec9.Path.065849.jpg</t>
  </si>
  <si>
    <t>Courrier provisoire en attente de réception envoyé par mail le 17 mars 11h45</t>
  </si>
  <si>
    <t>0262270790</t>
  </si>
  <si>
    <t>Le restaurant propose également des pizzas. Spécialités : cari poulet au combava, civet zourite, cari de camaron.... 
Le restaurant est ouvert tous les jours midi et soir.</t>
  </si>
  <si>
    <t>Venez découvrir la merveilleuse gastronomie réunionnaise de Sud Hôtel. Le restaurant vous propose une cuisine métissée aux saveurs créoles. 
Des plats plus traditionnels pourront également séduire vos papilles...</t>
  </si>
  <si>
    <t>piscine , jardin , parking</t>
  </si>
  <si>
    <t>parking public,transports en commun,station service,pharmacie,boulangerie,Point chaud,tabac presse</t>
  </si>
  <si>
    <t>PaPa0790z5</t>
  </si>
  <si>
    <t>c24f2c2f</t>
  </si>
  <si>
    <t>galerie::galerie_Files_/f2c23408.Path.103644.avif</t>
  </si>
  <si>
    <t>Lounge Bar vous accueille tous les jours de 10h00 à 21h30.</t>
  </si>
  <si>
    <t>Caze Hortensia</t>
  </si>
  <si>
    <t>105</t>
  </si>
  <si>
    <t>-21.226965, 55.596717</t>
  </si>
  <si>
    <t>emilie97441@gmail.com</t>
  </si>
  <si>
    <t>0692 72 40 08</t>
  </si>
  <si>
    <t>Ce logement typiquement créole vous offrira une vue imprenable sur le Piton des Neiges avec un magnifique couché de soleil. A 10 minutes de la route du Volcan, du point de départ de randonnée du Piton des Neiges. Endroit paisible avec un grand jardin, une cuisine extérieure au feu de bois, une grande terrasse fermée avec un poêle à bois pour vous réchauffer.
La maison a une capacité d'accueil de 6 personnes avec une cuisine équipée, un salon, 2 chambres, salle de bain et WC.</t>
  </si>
  <si>
    <t>Caze Hortensia : Maison Créole</t>
  </si>
  <si>
    <t>f807ee85</t>
  </si>
  <si>
    <t>60c01a58</t>
  </si>
  <si>
    <t>galerie::galerie_Images/80cafc94.Path.043905.jpg</t>
  </si>
  <si>
    <t>CSC621HTI</t>
  </si>
  <si>
    <t xml:space="preserve">Le Petit Monde de Denise </t>
  </si>
  <si>
    <t xml:space="preserve"> Impasse des Pipengayes</t>
  </si>
  <si>
    <t>-21.373750, 55.594560</t>
  </si>
  <si>
    <t>0692195702</t>
  </si>
  <si>
    <t>"Le Petit Monde de Denise" est une villa pour 6 personnes composée de 3 chambres climatisées, 2 salles de bains avec douche à l'italienne, 2 WC indépendants, 2 terrasses couvertes vue s mer pour se détendre , 1 cuisine équipée ouverte sur salon et salle à manger, avec jardin entièrement clôturé, sa piscine et parking privatif pouvant accueillir 2 voitures.
Le logement
Cuisine équipée (four, lave-vaisselle, cafetière Dolce Gusto, bouilloire, grille pain, vaisselle..), machine à laver, centrale vapeur, lit parapluie...
TV écran plat avec Box, Fibre + Wifi</t>
  </si>
  <si>
    <t>Dans le Sud de l'Île à St-Joseph, dans le quartier calme de bord de mer à Manapany les Bains, le meublé est proche de toutes commodités...</t>
  </si>
  <si>
    <t>bouilloire , climatisation , fer et planche à repasser , piscine , jardin , salle de bain privée , TV , vue mer , parking , salon , lave vaisselle , linge de toilette , douche , four , Cafetière , wifi , terrasse , cuisine équipée , Lit parapluie sur demande , grille-pain , jardin clôturé , lave-linge</t>
  </si>
  <si>
    <t>MeSo5702IU</t>
  </si>
  <si>
    <t>24273ca8</t>
  </si>
  <si>
    <t>minimum 2 nuits</t>
  </si>
  <si>
    <t>Les Jardins de la Trinité (Géranium et Hibiscus)</t>
  </si>
  <si>
    <t>3 Etoile(s),3 Epi(s)</t>
  </si>
  <si>
    <t>Gîtes de France,Réunion pour Tous</t>
  </si>
  <si>
    <t>2G et 2H</t>
  </si>
  <si>
    <t>RN2 La Trinité</t>
  </si>
  <si>
    <t>-21.357503, 55.771692</t>
  </si>
  <si>
    <t>etheve.fabrice@live.fr</t>
  </si>
  <si>
    <t>0692854978</t>
  </si>
  <si>
    <t>Avec une capacité de 6 personnes pour la Villa Géranium les familles pourront profiter d'un séjour de qualité avec une literie haut de gamme comprenant 1 lit de 160x200 et 2 lits de 140x90.
La Villa Hibiscus d'une capacité de 4 personnes est le must du confort avec des lits king size de 180x200(literie hôtel) et de vastes espaces de vie qui réjouiront les couples à la recherche d'un accueil raffiné.</t>
  </si>
  <si>
    <t>Établissement charmant et convivial, mettant l'écologie en priorité.</t>
  </si>
  <si>
    <t>Depuis le Sud, prendre la RN2, dépasser le centre ville, puis sur la droite au niveau du numéro 2a, il y a un chemin qui descend, le suivre, jusqu'au bout, il y a un petit parking entre quelques jolies maisons créoles</t>
  </si>
  <si>
    <t>climatisation , jardin , parking , wifi gratuit</t>
  </si>
  <si>
    <t>sentier de randonnée,sentier de grande randonnée,forêt,sites touristiques,arrêt bus,transports en commun,station essence,station service,Centre - Ville,route des laves,ferme équestre,tunnels de lave,sentiers de randonnée,sentiers VTT,hébergements</t>
  </si>
  <si>
    <t>3c6e5135</t>
  </si>
  <si>
    <t>da0542c1</t>
  </si>
  <si>
    <t>galerie::galerie_Images/b8f7721a.Path.092559.jpg</t>
  </si>
  <si>
    <t>CSC451HT@</t>
  </si>
  <si>
    <t>Référencé sur le site La Réunion Pour Tous! (accessible handicap moteur et visuel)</t>
  </si>
  <si>
    <t>-21.223168, 55.556679</t>
  </si>
  <si>
    <t>lamkonsengalain@gmail.com</t>
  </si>
  <si>
    <t>0262591138</t>
  </si>
  <si>
    <t>CUISINES :
Chinoise, Cajun &amp; Créole, Asiatique
Déjeuner, Dîner
Plats à emporter, Réservations, Places assises, Accessible en fauteuil roulant, Sert de l'alcool, Service de table</t>
  </si>
  <si>
    <t>Le Resto-Self de la Fournaise se situe à la Plaine des Cafres. Cet établissement vous propose des spécialités créoles préparés avec goût.</t>
  </si>
  <si>
    <t>Sur la RN3 PK23 en dessous de Bugg's Buggy</t>
  </si>
  <si>
    <t>espace de restauration , grand espace , restauration , parking</t>
  </si>
  <si>
    <t>LaAn1138D5</t>
  </si>
  <si>
    <t>8806321b</t>
  </si>
  <si>
    <t>galerie::galerie_Images/b6a04829.Path.055608.jpg</t>
  </si>
  <si>
    <t xml:space="preserve"> Rue des Poinsetias</t>
  </si>
  <si>
    <t>-21.248395, 55.526245</t>
  </si>
  <si>
    <t>jero97430@gmail.com</t>
  </si>
  <si>
    <t>0692346360</t>
  </si>
  <si>
    <t>Le Snack Le Boi Zoly est situé au 14ème km au Tampon. Cet établissement propose des sandwichs, des plats traditionnels de la Réunion.</t>
  </si>
  <si>
    <t>Depuis le Sud, après la 4 voie du Tampon, continuer sur la RN3 jusqu'au lycée BoisJoly Potier, le snack sera légèrement plus haut sur votre droite avant le virage.</t>
  </si>
  <si>
    <t>arrêt bus,commerces</t>
  </si>
  <si>
    <t>6360vx</t>
  </si>
  <si>
    <t>a332e19a</t>
  </si>
  <si>
    <t>galerie::galerie_Images/334e5e9f.Path.095432.jpg</t>
  </si>
  <si>
    <t>Établissement fermé du 16 décembre 2023 jusqu'à mi-janvier 2024.</t>
  </si>
  <si>
    <t xml:space="preserve">La Caverne des Hirondelles </t>
  </si>
  <si>
    <t>-21.380767, 55.627853</t>
  </si>
  <si>
    <t>barbecue , fer et planche à repasser , four , jardin , linge de maison , micro-ondes , parking , piscine , salon de jardin , TV satellite , wifi</t>
  </si>
  <si>
    <t>0d6456ee</t>
  </si>
  <si>
    <t>galerie::galerie_Images/890dfc9e.Path.082748.jpg</t>
  </si>
  <si>
    <t>ATTENTION : plainte fin 2023 sur la qualité des prestation (procédure sera lancée après les fêtes) &gt; pas de suite 
Le propriétaire est décédé. Mme DUPONT souhaite reprendre l'activité à suivre..</t>
  </si>
  <si>
    <t xml:space="preserve">Le Mirédo </t>
  </si>
  <si>
    <t>PK27 Bourg-murat</t>
  </si>
  <si>
    <t>0692689356</t>
  </si>
  <si>
    <t>chauffage , climatisation , jardin , parking</t>
  </si>
  <si>
    <t>BèPa9356nK</t>
  </si>
  <si>
    <t>df1fd4f5</t>
  </si>
  <si>
    <t>La Villa Abeille</t>
  </si>
  <si>
    <t>33</t>
  </si>
  <si>
    <t>-21.220595, 55.551194</t>
  </si>
  <si>
    <t>Jouissant d'un emplacement idéal, au centre du village du 23ème km , à la Plaines des Cafres, les villas Abeille et Coccinelle vous accueillent le temps d’un week-end, pour une semaine ou plus, dans un cadre calme idéal pour se ressourcer .</t>
  </si>
  <si>
    <t>barbecue , climatisation , fer et planche à repasser , vue montagne , linge de maison , parking , jardin , TV , lave vaisselle , lave linge privatif , micro-ondes , linge de toilette , douche , four , Cafetière , frigo , terrasse , bibliothéque , cuisine équipée , salle à manger , Lit parapluie sur demande , salon de jardin , cour clôturée , jardin clôturé</t>
  </si>
  <si>
    <t>sentier de randonnée,commerce alimentaire,point de vue panoramique,sentier de grande randonnée,site - lieu culturel,forêt</t>
  </si>
  <si>
    <t>e0601ad0</t>
  </si>
  <si>
    <t>galerie::galerie_Images/dddac529.Path.091449.jpg</t>
  </si>
  <si>
    <t>CSC619HTP</t>
  </si>
  <si>
    <t>O P'tit Marcheur (ATTENTION PAS ASSURé)</t>
  </si>
  <si>
    <t>nadegejosian@hotmail.fr</t>
  </si>
  <si>
    <t>0692273324</t>
  </si>
  <si>
    <t>vue montagne , sur réservation , vue mer , linge de maison , espace de restauration , salle à manger , salle de bain , tout équipé</t>
  </si>
  <si>
    <t>sentier de randonnée,site - lieu culturel,point de vue panoramique,sites touristiques,sentier de grande randonnée,hébergements</t>
  </si>
  <si>
    <t>LeJo3324Qs</t>
  </si>
  <si>
    <t>6557500a</t>
  </si>
  <si>
    <t>CSC131HTE</t>
  </si>
  <si>
    <t>ATTENTION : le presta nous a informé le 12 décembre qu'il n'a pas d'assurance !!! donc pas d'orientation vers ce presta svp merci 
Les horaires d'arrivée et de départ sont flexibles.</t>
  </si>
  <si>
    <t xml:space="preserve">Le Canard Bourbon </t>
  </si>
  <si>
    <t xml:space="preserve"> Rue Vallon Hoarau</t>
  </si>
  <si>
    <t>-21.284185, 55.517453</t>
  </si>
  <si>
    <t>0262012011</t>
  </si>
  <si>
    <t>0692489387</t>
  </si>
  <si>
    <t>Depuis le Sud, arrivé au rond-point de la tour des Azalées, prendre la première sortie vers le centre-ville, prendre tout de suite à gauche et aller en face, le restaurant se trouvera un peu plus haut sur la droite.</t>
  </si>
  <si>
    <t>centre commercial,pâtisserie</t>
  </si>
  <si>
    <t>RoJe9387bg</t>
  </si>
  <si>
    <t>75fe258a</t>
  </si>
  <si>
    <t>galerie::galerie_Images/13fa8f35.Path.055502.jpg</t>
  </si>
  <si>
    <t>L'Anthurium</t>
  </si>
  <si>
    <t>Rez de chaussée d'une maison</t>
  </si>
  <si>
    <t>12b</t>
  </si>
  <si>
    <t>Chemin Avril Benard Louvins</t>
  </si>
  <si>
    <t>-21.241475, 55.512364</t>
  </si>
  <si>
    <t>ruthpa9200@outlook.fr</t>
  </si>
  <si>
    <t>0692 28 58 17</t>
  </si>
  <si>
    <t>Ayant une capacité d'accueil de 6 personnes., la maison est située au Rez-de-chaussée , comporte 2 grandes chambres,  un coin salon, une salle à manger,  un feu de bois,une gazinière et un coin cuisine extérieure. Vous avec un coin jardin privatif. 
La piscine est chauffée, vous avez accès 24h/24h.
La musique : Pas Autorisée 
La location dispose d'un livret d'accueil ( français/ anglais), pour que votre séjour ce passe aux mieux.
La maison est équipée : wifi, molotov tv, barbecue,matériel de cuisine ( marmite,couverts...),draps et serviettes de bain/ piscine fournies,  gel douche et shampoing bio, produits nettoyant écologiques,  poubelles de tri des déchets, sèche cheveux, fer à repasser, micro-ondes, four,lave-vaisselle, sèche linge.</t>
  </si>
  <si>
    <t>L'Anthurium - Location saisonnière 4 Étoiles</t>
  </si>
  <si>
    <t>A la nationale, au rond point du 14ème (situé entre coiffeur, l'école maternelle et fruits et légumes/commerce), prendre direction Pont d'Yves/Bras de Pontho. Continuer tout droit pendant environ 3-4 min sur le chemin Neuf. Prendre à droite chemin Avril Bénard, L'Anthurium se trouve à la 3ème maison sur la droite, clôture grise.</t>
  </si>
  <si>
    <t>linge de maison , vue montagne , cuisine équipée , parking , wifi , barbecue , TV , piscine , terrasse , sèche-cheveux , canapé lit , cheminée</t>
  </si>
  <si>
    <t>parking public,site - lieu culturel,point de vue panoramique,sites touristiques,Centre - Ville,commerce alimentaire</t>
  </si>
  <si>
    <t>Virement,Espèces,booking,airbnb</t>
  </si>
  <si>
    <t>0f909980</t>
  </si>
  <si>
    <t>7cb776f2</t>
  </si>
  <si>
    <t>galerie::galerie_Images/1e7b14fb.Path.094327.jpg</t>
  </si>
  <si>
    <t>CSC620HTH</t>
  </si>
  <si>
    <t>Ô Délices</t>
  </si>
  <si>
    <t>rue Père Rognard</t>
  </si>
  <si>
    <t>-21.281103, 55.520469</t>
  </si>
  <si>
    <t xml:space="preserve">geraldvirassamy@hotmail.com </t>
  </si>
  <si>
    <t>0262887589</t>
  </si>
  <si>
    <t>0692380979</t>
  </si>
  <si>
    <t>Les spécialités à découvrir sont : sauté mine, riz cantonnais... Vous pourrez déguster votre repas sur place et/ou à emporter.</t>
  </si>
  <si>
    <t>Situé au centre-ville du Tampon, le restaurant Ô Délices propose une cuisine traditionnelle.</t>
  </si>
  <si>
    <t>Le restaurant se situe à cinq minutes à pied de la grande église du centre-ville du Tampon, en face du parc Jean de Cambiaire (à proximité du théâtre Luc Donat).</t>
  </si>
  <si>
    <t>parking public , terrasse , climatisation , espace de restauration , restauration , wifi , Cuisine de produits frais locaux</t>
  </si>
  <si>
    <t>commerce alimentaire,parking public,arrêt bus,Centre - Ville,pharmacie,boulangerie,centre commercial,transports en commun,commerces,pâtisserie,banque - guichet automatique</t>
  </si>
  <si>
    <t>MoGé0979xM</t>
  </si>
  <si>
    <t>7b9d4049</t>
  </si>
  <si>
    <t>Hébergement Insolite</t>
  </si>
  <si>
    <t>impasse des Combavas</t>
  </si>
  <si>
    <t>-21.245254, 55.468037</t>
  </si>
  <si>
    <t>0692055549</t>
  </si>
  <si>
    <t>https://esprityourte.wordpress.com/</t>
  </si>
  <si>
    <t>La superficie de la yourte est de 24m². Elle est située dans une impasse au cœur du village de l’Entre-Deux et perchée sur pilotis à 2m30. Elle offre une vue sur le Dimitile (1800m). Depuis son dôme transparent, le spectacle étoilé est garanti si le ciel est dégagé.
Équipements :
- Un lit double en 160 ;
- Une petite glacière ;
 - Un coin repas sur terrasse ;
- Jacuzzi (30mn/jour de location) ! Sauf saison hivernale (juillet et août) car en extérieur.
- Un sanitaire avec douche à l’italienne et toilette sèche ;
- radiateur à bain d’huile.</t>
  </si>
  <si>
    <t>D’inspiration nomade, la yourte invite à l’apaisement de l’âme, une douceur, un esprit libre.
La yourte est prévue pour deux adultes.</t>
  </si>
  <si>
    <t>À l’entrée de l’Entre-Deux avant le dos d’âne, première à gauche en face de l’Office de Tourisme en suivant Grand-Fond intérieur. Puis, passez la caserne des pompiers. Après le passage d’une petite ravine, prendre à droite : chemin Dijoux, puis, après 30 mètres, à droite, vous trouverez l'impasse des Combavas.
 Au numéro 2, vous êtes à Esprit Yourte.</t>
  </si>
  <si>
    <t>ventilateur , Cafetière , bouilloire , radiateur</t>
  </si>
  <si>
    <t>MeVi55496Y</t>
  </si>
  <si>
    <t>68e9b921</t>
  </si>
  <si>
    <t>La nuitée à la yourte comprend le petit-déjeuner gourmand dans un espace privatif pour deux personnes.</t>
  </si>
  <si>
    <t xml:space="preserve">La Case à Milo </t>
  </si>
  <si>
    <t>rue des Coccinelles</t>
  </si>
  <si>
    <t>-21.369715, 55.610292</t>
  </si>
  <si>
    <t>0692619278</t>
  </si>
  <si>
    <t>Le logement vous offre deux petits jardins. Un espace devant et un derrière ainsi qu'une terrasse avec vue sur mer donnant sur la cuisine et le séjour pour vous détendre après vos journées d’excursion.
Climatisation dans les trois chambres.
Possibilité de mettre à votre disposition : - Lit pour bébé (à mentionner lors de la réservation de l'hébergement).</t>
  </si>
  <si>
    <t>La Case à Milo dispose d'un cadre authentique pour rayonner et profiter pleinement du Sud Sauvage.</t>
  </si>
  <si>
    <t>baignoire , climatisation , sur réservation , vue mer , micro-ondes , four , Cafetière , frigo , kitchenette équipée , Lit parapluie sur demande</t>
  </si>
  <si>
    <t>PaJe9278Jg</t>
  </si>
  <si>
    <t>89fdabc1</t>
  </si>
  <si>
    <t>galerie::galerie_Files_/56cb69ce.Path.120829.webp</t>
  </si>
  <si>
    <t>30/11/2023 : En cours de réflexion pour la fermeture provisoire de l'hébergement : LA CASE À MILO, vers le mois de décembre 2024. 
En attente du retour du prestataire.</t>
  </si>
  <si>
    <t xml:space="preserve"> Rue De La Passerelle</t>
  </si>
  <si>
    <t>-21.368352, 55.648538</t>
  </si>
  <si>
    <t>reinelys@gmail.com</t>
  </si>
  <si>
    <t>0692070946</t>
  </si>
  <si>
    <t>🍴Repas à emporter 7,50€
Menu disponible sur leur page Facebook
Les samoussa, bouchons, nems, le boucané, les saucisses et les sarcives sont faits maison.</t>
  </si>
  <si>
    <t>Le snack bar bassin dinant vous accueille tous les jours sauf le jeudi. Les repas sont exclusivement vendus à emporter. Possibilité de choisir des sandwichs.</t>
  </si>
  <si>
    <t>Après la rivière Langevin, prendre à gauche au niveau du chemin Passerelle.
Le snack bar se situe au numéro 176.</t>
  </si>
  <si>
    <t>végétariens bienvenus , vue montagne , grand espace , parking , samoussas , nems et autre fritures péi</t>
  </si>
  <si>
    <t>sentier de randonnée,point de vue panoramique,riviere,sites touristiques</t>
  </si>
  <si>
    <t>Carte Bancaire,Tickets restaurant,Espèces</t>
  </si>
  <si>
    <t>9142cD</t>
  </si>
  <si>
    <t>26dc7731</t>
  </si>
  <si>
    <t>galerie::galerie_Images/bd830461.Path.105328.jpg</t>
  </si>
  <si>
    <t xml:space="preserve">Le Nid d'Amour </t>
  </si>
  <si>
    <t>2 bis</t>
  </si>
  <si>
    <t xml:space="preserve"> Rue Henry Mussard</t>
  </si>
  <si>
    <t>-21.379189, 55.627822</t>
  </si>
  <si>
    <t>0692870933</t>
  </si>
  <si>
    <t>Villa avec 2 chambres climatisées avec télé dont une avec un coin vasque et WC
La villa est située dans un endroit calme et proche du centre ville de Saint Joseph. Elle est entièrement clôturée, sans vis à vis, avec un emplacement sécurisé pour la voiture.
La cuisine est dans un grand espace type varangue, toute ouverte, c'est très sympa
Pas de grosse fête, musique en sourdine</t>
  </si>
  <si>
    <t>Agréable petit espace avec une petite piscine sous un beau cocotier, ambiance vacances, original et douillet !</t>
  </si>
  <si>
    <t>Prendre la RN2, depuis st pierre, passez par la route d'en bas qui passe devant la mairie de st joseph, dépassez la ville, au niveau de la caverne des hirondelles, prendre la rue des jacques à gauche, puis dessuite à droite la rue henri mussard</t>
  </si>
  <si>
    <t>barbecue , climatisation , piscine , jacuzzi , TV , ventilateur , linge de maison , parking , TV satellite , salon , espace de restauration , wifi gratuit , sanitaires privés , wifi , douche , four , linge de toilette , cuisine , jardin arboré , accès internet , piscine chauffée , terrasse , cuisine équipée , jardin clôturé , salle de bain , cour clôturée , cours clôturée , sur réservation , veranda couverte , plaque de cuisson , frigo , cuisine extérieur , varangue , cuisine extérieure</t>
  </si>
  <si>
    <t>sentier de randonnée,sentier de grande randonnée,riviere,centre commercial,sites touristiques,Bassin de Manapany,arrêt bus,jardin,transports en commun,commerces,station essence,station service,Centre - Ville,centre ville de Saint-Joseph,restaurants,sentiers de randonnées,randonnées,sentiers de randonnée,hébergements</t>
  </si>
  <si>
    <t>LeJe0933Cy</t>
  </si>
  <si>
    <t>2b5012e9</t>
  </si>
  <si>
    <t>galerie::galerie_Images/0e699f57.Path.163615.png</t>
  </si>
  <si>
    <t>Jean Luc et Florence sont chaleureux et prennent à coeur leur métier d'accueil de visiteurs ! Ils souhaitent être des référents pour les vacanciers, que la confiance se crée. Ils sont réglos et arrangeants à la fois.
Ils peuvent louer des voitures depuis chez eux (les appeler pour plus d'infos)
Ils sont plein de bons conseils, ont qq projets de développement
Attention : la piscine est une piscine - jaccuzi, c'est intégré dans la piscine, il n'y a pas de SPA à part
&gt; voir sur AMIVAC aussi</t>
  </si>
  <si>
    <t xml:space="preserve">La Varangue </t>
  </si>
  <si>
    <t>-21.379144, 55.627563</t>
  </si>
  <si>
    <t>0692687859</t>
  </si>
  <si>
    <t>La cuisine est composée d'un bar, d'un combiné réfrigérateur congélateur.
La salle à manger sur la terrasse est composée d'une banquette d'angle, de deux poufs et d'une table à manger.
La villa est composée de 2 chambres climatisées : 
- La première est située au rez de chaussée avec un lit de 1m60 avec son dressing ;
- La deuxième est située à l'étage avec un lit de 1m60, un dressing et un bureau.
La salle d'eau au rez de chaussée est composée d'une douche à l'italienne avec ses deux vasques. 
Les toilettes sont au rez de chaussée séparées de la salle d'eau.
Le salon intérieur est composé d'un petit canapé et d'un petit lit, d'une télé avec la fibre et la wifi.
 Le linge de maison est fourni : les draps, draps housse, taies d'oreillers, les couvertures, les draps de bain, les gants de toilettes, les tapis de bain et les torchons pour la cuisine. 
La villa est entièrement clôturée et dans la cour, un emplacement pour la voiture est sécurisé.</t>
  </si>
  <si>
    <t>Belle villa située dans le Sud Sauvage, équipée d'une piscine balnéo chauffée.</t>
  </si>
  <si>
    <t>lave vaisselle , lave linge privatif , bouilloire , plaque de cuisson , piscine , micro-ondes , four , Cafetière , sèche-linge</t>
  </si>
  <si>
    <t>335a28af</t>
  </si>
  <si>
    <t>escaledupointdevue@outlook.fr</t>
  </si>
  <si>
    <t>0692624547</t>
  </si>
  <si>
    <t>Le soir, vous aurez la possibilité de partager un repas créole cuit au feu de bois dans une ambiance chaleureuse.</t>
  </si>
  <si>
    <t>Ce gîte localisé en pleine nature est l'endroit approprié pour se ressourcer en toute tranquillité.</t>
  </si>
  <si>
    <t>RoUl4547JJ</t>
  </si>
  <si>
    <t>29c94726</t>
  </si>
  <si>
    <t>galerie::galerie_Images/31976884.Path.053147.jpg</t>
  </si>
  <si>
    <t>CSC191HT@</t>
  </si>
  <si>
    <t xml:space="preserve">Le Goyavier </t>
  </si>
  <si>
    <t xml:space="preserve"> Chemin du Coteau Sec</t>
  </si>
  <si>
    <t>-21.249462, 55.463130</t>
  </si>
  <si>
    <t>0692194647</t>
  </si>
  <si>
    <t>Charmante maisonnette située à  l'Entre-Deux sur le site touristique du Coteau Sec.</t>
  </si>
  <si>
    <t>PaGi4647Pd</t>
  </si>
  <si>
    <t>8174f65e</t>
  </si>
  <si>
    <t>CSC278HT@</t>
  </si>
  <si>
    <t>12/12/2023 : Ne pas promouvoir car cet établissement est en cours de fermeture.</t>
  </si>
  <si>
    <t>Ti Kaz Trankil</t>
  </si>
  <si>
    <t>41</t>
  </si>
  <si>
    <t>-21.369568, 55.610397</t>
  </si>
  <si>
    <t>lepsigman@yahoo.fr</t>
  </si>
  <si>
    <t>0749254272</t>
  </si>
  <si>
    <t>L'extérieur : 
135 m² avec 700 m² de terrain comprenant une terrasse de 95 m² où se trouve une pergola de 16 m² avec une table et six chaises. 
La piscine : de 6.50 m x 3.50 m et profondeur de 0.90 cm à 1.50 m, au sel chauffée d'avril à octobre à 29°C avec deux espaces dédiés à la détente, un "lit" balnéo et quatre sièges avec jets hydromassants, trois bains de soleil avec matelas, une douche extérieure et  un coin BBQ au charbon de bois + un trépied relié à une bouteille de gaz.
Un jardin arboré à l'avant de la maison et une cour à l'arrière de 110m² entièrement gravillonnée comprenant l'étendoir à linge.
L'intérieur : 
Le linge de maison est fourni : les draps et les serviettes de toilette. Cependant, les draps de bain pour la piscine ne sont pas fournis.
Les cinq chambres climatisées :
- Une chambre parentale avec 1 lit en 160 cm avec salle d'eau (douche à l'italienne, des toilettes et une machine à laver 10kgs), un lit parapluie avec matelas et une baignoire pour les bébés est à disposition.
- Trois chambres doubles, lits en 140 cm (dont une à l'étage).
- Une chambre avec des lits superposés en 90 cm avec une table multi activité pour enfant comprenant baby-foot, billard, jeu de palets et ping-pong.
La salle à manger dispose d'une table et de six chaises attenantes à la cuisine.
La cuisine est toute équipée : 1 frigo-congélateur, 1 four, 1 hotte,1 plaque à induction,1 four à micro-ondes, 1 lave vaisselle, 1 cafetière à filtre, 1 cafetière à capsules DOLCE GUSTO , 1 grille pain, 1 bouilloire, 1 appareil à raclette, 2 cuiseurs à riz, 1 fouet électrique, 1 crêpière électrique avec tous les ustensiles pour cuisiner et se restaurer, 1 friteuse.
un îlot central de 2.50cm x 1.20cm avec tabourets hauts.
un salon avec canapé en cuir, une SMART TV écran plat, un  lecteur DVD, un billard américain avec 2 jeux de boules ( numérotées ou jaunes/rouges), une connexion internet avec WIFI et télé (SFR) + divers jeux de société et de badminton.
La salle de bain comprend une douche à l'italienne, des toilettes, un meuble double vasques.</t>
  </si>
  <si>
    <t>Située à Saint-Joseph, la belle villa Ti Kaz Trankil vous accueille dans un cadre idyllique. Au total, vous disposerez de cinq chambres pour profiter de votre séjour dans ce meublé de tourisme classé quatre étoiles.</t>
  </si>
  <si>
    <t>En venant de Saint-Pierre à partir du rond-point de LECLERC Les Terrass', vous prenez tout droit (le supermarché se trouve sur la gauche).
Après 400 mètres, un petit rond-point, vous prenez tout droit.
700 mètres après, au rond-point suivant, prendre complètement à gauche  (direction les GRÈGUES),
Vous continuez sur cette route, après 500 voire 600 mètres, il y a un virage en épingle à droite, juste après ce dernier, vous prenez la route immédiatement à gauche "Ligne Trovalet"
Vous faites 500 mètres,  ensuite, vous prenez la rue des Coccinelles qui se trouve sur la droite (juste après le deuxième hausse baisse). Vous verrez le panneau "rond coq" en l'air et le panneau "Villa sous les tropiques."
Vous continuez dans la rue des Coccinelles jusqu'au 41, sur la gauche de la rue, la maison a un mur de clôture gris surmonté de bardages en bois avec un portail peint en gris foncé.</t>
  </si>
  <si>
    <t>barbecue , climatisation , fer et planche à repasser , piscine , vue montagne , sur réservation , vue mer , linge de maison , parking , salon , jardin , TV , espace de restauration , wifi gratuit , lave vaisselle , micro-ondes , linge de toilette , douche , four , Cafetière , frigo , sanitaires privés , cuisine , billard , salle à manger , salle de bain privée , Lit parapluie sur demande , salon de jardin , jardin arboré , accès internet , serviettes. , plaque de cuisson , sèche-cheveux , bouilloire , grille-pain , cuisine au bois , balcon , jardin clôturé , parking sécurisé , piscine chauffée , table de ping-pong , lave-linge , babyfoot , cuisine extérieure , netflix , chauffe-eau solaire , armoire , bain à remous , enceinte</t>
  </si>
  <si>
    <t>Centre - Ville,centre commercial</t>
  </si>
  <si>
    <t>a59aa5e4</t>
  </si>
  <si>
    <t>35783069</t>
  </si>
  <si>
    <t>galerie::galerie_Images/3b5cbc13.Path.143536.jpg</t>
  </si>
  <si>
    <t>CSC510HT@</t>
  </si>
  <si>
    <t>Tarification :
- Week-end =&gt; 650€ (ménage compris et hors taxe de séjour).
Cet hébergement est également géré par Keylodge. 
L'allée de garage peut accueillir trois voire quatre voitures dont deux pourront être protégées par un carport.</t>
  </si>
  <si>
    <t>Gîte Pavillon Créole</t>
  </si>
  <si>
    <t xml:space="preserve"> Chemin du Bois de Gale</t>
  </si>
  <si>
    <t>0692926004</t>
  </si>
  <si>
    <t>jardin , vue montagne , piscine , jacuzzi</t>
  </si>
  <si>
    <t>LeSa6004si</t>
  </si>
  <si>
    <t>d410ad7b</t>
  </si>
  <si>
    <t>galerie::galerie_Images/851eeb96.Path.120151.jpg</t>
  </si>
  <si>
    <t xml:space="preserve"> RN2</t>
  </si>
  <si>
    <t>0692433734</t>
  </si>
  <si>
    <t>Vous êtes à la recherche de dépaysement cette maison est faite pour vous. Maison située en face d’une cultivation de vanille, elle est proche des coulées de lave et vous pouvez également emprunter un parcours qui rejoint le puit arabe. Vous aurez accès à d’autres endroits touristique comme la piscine du baril. Cette maison contient 2 chambres double, elle peut accueillir jusqu’à 6 personnes.
sentier proche de la maison qui mène au puit arabe si l’on fait la boucle il y’a pour environ 4km de marche vous y trouverez goyaviers , champs de vanille , falaise , mer et vous pourrez même pêcher.</t>
  </si>
  <si>
    <t>L'établissement est situé à Saint-Philippe, à moins de 1 km de l'atelier de vanille Escale Bleue et à 7 km du jardin Parfums et des épices.</t>
  </si>
  <si>
    <t>jardin , parking , piscine</t>
  </si>
  <si>
    <t>sentier de randonnée,pêche,site - lieu culturel,poste - boite aux lettres,centre ville</t>
  </si>
  <si>
    <t>PaJe37349R</t>
  </si>
  <si>
    <t>a3fe1af6</t>
  </si>
  <si>
    <t>Le numéro de téléphone 0692 06 67 25 appartient au restaurant des laves et non à cette location</t>
  </si>
  <si>
    <t>Gîte des Dodos</t>
  </si>
  <si>
    <t>109 Bis</t>
  </si>
  <si>
    <t>rue Paul Fontaine</t>
  </si>
  <si>
    <t>-21.345405, 55.592307</t>
  </si>
  <si>
    <t>0692337232</t>
  </si>
  <si>
    <t>Maison dans un grand jardin, sans voisinage à proximité disposant d’une aire de jeux.
, cette maison de vacances dispose d'un balcon, de 3 chambres, d'un salon, d'une télévision à écran plat, d'une cuisine équipée avec un réfrigérateur et un four, ainsi que d'une salle de bains pourvue d'une douche. Les serviettes et le linge de lit sont fournis.</t>
  </si>
  <si>
    <t>Offrant une vue sur la mer, le Gîte des Dodos vous accueille dans un cadre reposant, situé à Saint-Joseph.</t>
  </si>
  <si>
    <t>FoFa7232Jr</t>
  </si>
  <si>
    <t>dc8bda6b</t>
  </si>
  <si>
    <t>galerie::galerie_Images/c753b67e.Path.102027.jpg</t>
  </si>
  <si>
    <t>CSC411HT@</t>
  </si>
  <si>
    <t>Les enterrements de vie de célibataire et autres fêtes de ce type sont interdits dans cet établissement.</t>
  </si>
  <si>
    <t xml:space="preserve"> Rue du General Ailleret</t>
  </si>
  <si>
    <t>0692 58 84 45</t>
  </si>
  <si>
    <t>jardin , accès internet</t>
  </si>
  <si>
    <t>HeCa8445ZV</t>
  </si>
  <si>
    <t>87659c7e</t>
  </si>
  <si>
    <t>galerie::galerie_Images/11ed52b0.Path.124535.jpg</t>
  </si>
  <si>
    <t>CSC406HT@</t>
  </si>
  <si>
    <t>CHEZ MONIQUE BÈGUE</t>
  </si>
  <si>
    <t>0262311966</t>
  </si>
  <si>
    <t>0692397290</t>
  </si>
  <si>
    <t>BeMo7290o3</t>
  </si>
  <si>
    <t>1f660c07</t>
  </si>
  <si>
    <t>Merci de ne pas promouvoir cet hébergement.
Ne souhaite pas d'accompagnement par l'Office</t>
  </si>
  <si>
    <t>Les Terrasses de Manapany - Studio Vacoa</t>
  </si>
  <si>
    <t xml:space="preserve"> Impasse des Eglantines</t>
  </si>
  <si>
    <t>-21.375737, 55.591251</t>
  </si>
  <si>
    <t>0693 63 46 14</t>
  </si>
  <si>
    <t>Le Studio Vacoas de 2 personnes est entièrement rénové et climatisé. Le tout, en ouverture sur des terrasses couvertes appelées « Varangue » en créole, véritable lieu de vie, offrant une vue imprenable face à l’océan.
Le bruit des vagues venant flirter avec la falaise vous bercent et vous offrent le meilleur de vacances ressourçantes.
A l’ouest de l’habitation, les rayons du soleil couchant se déposent sur les vestiges du vieux four à chaux, patrimoine d’un passé toujours présent. Pendant l’hiver austral (d’avril à octobre) vous pourriez assister au défilé majestueux des baleines, et ce, depuis la terrasse.
Équipement : machine à laver, four combiné micro-onde, réfrigérateur, ustensiles de cuisine, machine à café (dosette nespresso), bouilloire, cuiseur à riz, mange debout, miroir hublot, cuisine équipée, placard, étendoir à linge, fer à repasser, aspirateur, balais.
La salle de douche séparée de la pièce principal dispose d'une grande douche à l'italienne et d'un miroir,d’un toilette.
Machine à laver à votre est à disposition, ainsi qu’une table et fer à repasser dans le placard principal.</t>
  </si>
  <si>
    <t>Les terrasses de Manapany » sont UNE RESIDENCE D'EXCEPTION POUR UN LIEU D’EXCEPTION.
Elles sont composées d’une villa (Villa Moringa) de 4 à 6 personnes mitoyenne à un studio (Studio Vacoas) de 2 personnes entièrement rénovées et climatisées. Le tout, en ouverture sur des terrasses couvertes appelées « Varangue » en créole, véritable lieu de vie, offrant une vue imprenable face à l’océan.</t>
  </si>
  <si>
    <t>Prendre la RN2 direction Saint Joseph, direction Manapany les bains</t>
  </si>
  <si>
    <t>climatisation , fer et planche à repasser , piscine , jacuzzi , vue montagne , sur réservation , linge de maison , parking , ventilateur , chauffage , wifi gratuit , micro-ondes , linge de toilette , douche , Cafetière , frigo , sanitaires privés , terrasse , cuisine équipée , salon de jardin , accès internet , serviettes. , salle de bain , veranda couverte , tout équipé , plaque de cuisson , sèche-cheveux , bouilloire , grille-pain , cours clôturée , lave-linge , Tout équipé, wifi , chauffe-eau solaire</t>
  </si>
  <si>
    <t>sentier de randonnée,site - lieu culturel,point de vue panoramique,sites touristiques,riviere,Bassin de Manapany,transports en commun,commerce de proximité…,plage,sites - lieux culturels,centre ville de Saint-Joseph,restaurants,hébergements,bassin</t>
  </si>
  <si>
    <t>Virement,airbnb,Abritel</t>
  </si>
  <si>
    <t>BeJé7112Yr</t>
  </si>
  <si>
    <t>e578b76a</t>
  </si>
  <si>
    <t>galerie::galerie_Files_/5029f123.Path.055547.webp</t>
  </si>
  <si>
    <t xml:space="preserve">3ter Boyer Teddy </t>
  </si>
  <si>
    <t>BoTe5878vs</t>
  </si>
  <si>
    <t>ed282a6f</t>
  </si>
  <si>
    <t xml:space="preserve">Les Palmistes </t>
  </si>
  <si>
    <t>299</t>
  </si>
  <si>
    <t>Chemin Nid Joli</t>
  </si>
  <si>
    <t>la Chatoire</t>
  </si>
  <si>
    <t>0262578376</t>
  </si>
  <si>
    <t>0692951074</t>
  </si>
  <si>
    <t>barbecue , four , lave linge privatif , parking , TV</t>
  </si>
  <si>
    <t>LeJo10743d</t>
  </si>
  <si>
    <t>77bdc2a9</t>
  </si>
  <si>
    <t>EN FERMETURE TEMPORAIRE</t>
  </si>
  <si>
    <t>Le Margaret Holidays</t>
  </si>
  <si>
    <t>3</t>
  </si>
  <si>
    <t>Impasse Justinien Deurveilher</t>
  </si>
  <si>
    <t>-21.207328, 55.566972</t>
  </si>
  <si>
    <t>lemargaretholidays@gmail.com</t>
  </si>
  <si>
    <t>0692 81 30 84</t>
  </si>
  <si>
    <t>https://www.lemargaretholidays.com/</t>
  </si>
  <si>
    <t>Découvrez notre résidence en deux niveaux : le rez-de-chaussée avec terrasse, chambre, salon avec PS3 et Xbox 360, cuisine et salle de bains avec bain à remous, piscine intérieure privée. Le premier étage offre une terrasse, deux chambres, salon, cuisine équipée et PS2 pour des séjours exceptionnels !</t>
  </si>
  <si>
    <t>La Margaret Holidays - Appartement</t>
  </si>
  <si>
    <t>Route national 3 PK 26 &gt; impasse Justinien Deurveilher</t>
  </si>
  <si>
    <t>barbecue , fer et planche à repasser , piscine , jacuzzi , vue montagne , vue mer , linge de maison , parking , chauffage , jardin , TV , lave linge privatif , linge de toilette , four , Cafetière , frigo , wifi , cuisine équipée , salon de jardin , serviettes. , plaque de cuisson , sèche-cheveux , bouilloire , grille-pain , balcon , lave-linge , jeux</t>
  </si>
  <si>
    <t>site - lieu culturel,point de vue panoramique,sites touristiques,sentier de grande randonnée,forêt,arrêt bus</t>
  </si>
  <si>
    <t>Virement,Espèces,booking,airbnb,site internet</t>
  </si>
  <si>
    <t>d06612fe</t>
  </si>
  <si>
    <t>47f8270e</t>
  </si>
  <si>
    <t>galerie::galerie_Files_/5b181125.Path.111751.webp</t>
  </si>
  <si>
    <t>CSC613HTJ</t>
  </si>
  <si>
    <t>Couleurs du Sud-Sauvage - Cap Jaune</t>
  </si>
  <si>
    <t>173</t>
  </si>
  <si>
    <t>Rue Jean de Cambiaire</t>
  </si>
  <si>
    <t>Bézaves</t>
  </si>
  <si>
    <t>-21.354742, 55.606460</t>
  </si>
  <si>
    <t>marylinenoirat@gmail.com</t>
  </si>
  <si>
    <t>0647 06 11 21</t>
  </si>
  <si>
    <t>https://www.couleursdusudsauvage.com/</t>
  </si>
  <si>
    <t>Joli appartement neuf, situé à l'étage de la villa avec entrée indépendante. Vous disposez d'un meublé de tourisme de 27m2, cosy, tout confort.
Entrez et découvrez votre espace cuisine tout équipé et coin repas pour idéalement 2 personnes, le canapé d'angle convertible vous attend pour vous reposer ou regarder la télévision connectée.
Poursuivez vers votre chambre d'où vous admirerez la vue panoramique sur l'océan indien. Vous dormirez dans un lit queen size, neuf, équipé d'une literie de très bonne qualité, un grand placard/dressing vous permettra de ranger vos affaires et profiter pleinement de votre appartement.
Vous disposez d'une salle de bain spacieuse avec douche à l'italienne, linge de toilettes, draps de piscine, produits d'accueil écolabel fournis. Pour vous détendre, vous profiterez d'une jolie terrasse bois côté jardin avec vue mer, barbecue et d'une piscine à votre disposition de 8h à 20h.
Petit déjeuner et table d'hôte vous sont proposés sur réservation, une salle de convivialité avec jeux de sociétés, bibliothèque est à votre disposition ainsi qu'un lave linge et sèche linge. Le parking privé est gratuit et fermé. Le ménage est inclus dans la prestation.
La Villa couleurs du sud sauvage vous proposera une navette aéroport, des excursions sur l'île et des déposes et  reprises au départ et retour de vos randonnées.</t>
  </si>
  <si>
    <t>Appartement Cap Jaune</t>
  </si>
  <si>
    <t>A la sortie de Manapany les bas, au croisement, prenez à gauche direction Carosse, les Lianes.
Suivre la route sinueuse pendant 7 km jusqu'à votre destination. Une enseigne Villa Couleurs du sud sauvage est apposée sur la façade.</t>
  </si>
  <si>
    <t>canapé lit , barbecue , fer et planche à repasser , piscine , linge de maison , ventilateur , salon , micro-ondes , linge de toilette , douche , Cafetière , frigo , vue montagne , vue mer , wifi , terrasse , cuisine équipée , salon de jardin , serviettes. , sèche-cheveux , bouilloire , grille-pain , dressing , Télescope</t>
  </si>
  <si>
    <t>centre commercial,point de vue panoramique,sites touristiques,Centre - Ville,pêche,arrêt bus</t>
  </si>
  <si>
    <t>Chèque,Chèques vacances,Virement,Espèces,Carte Bancaire,booking,site internet</t>
  </si>
  <si>
    <t>d558b47e</t>
  </si>
  <si>
    <t>78332b0b</t>
  </si>
  <si>
    <t>galerie::galerie_Images/54a39996.Path.075259.jpg</t>
  </si>
  <si>
    <t>CSC615HTL</t>
  </si>
  <si>
    <t>Tarif en PJ</t>
  </si>
  <si>
    <t>143 A</t>
  </si>
  <si>
    <t>chemin Neuf</t>
  </si>
  <si>
    <t>0692520052</t>
  </si>
  <si>
    <t>Superficie du logement : 75m²</t>
  </si>
  <si>
    <t>LOCATION ZEN est un petit havre de paix dans un endroit zen et reposant avec une vue imprenable sur la mer lointaine. Séjournez dans cet hébergement et profitez d'un coucher de soleil mémorable depuis le jardin.</t>
  </si>
  <si>
    <t>barbecue , fer et planche à repasser , piscine , jacuzzi , vue montagne , sur réservation , vue mer , linge de maison , parking , ventilateur , salon , jardin , espace de restauration , wifi gratuit , micro-ondes , linge de toilette , douche , four , Cafetière , frigo , kitchenette équipée , sanitaires privés , terrasse , Lit parapluie sur demande , lecteur DVD , jardin arboré , accès internet , serviettes. , cour clôturée , plaque de cuisson , sèche-cheveux , bouilloire , grille-pain , espace de restauration en extérieur , parking sécurisé</t>
  </si>
  <si>
    <t>RaAl0052vG</t>
  </si>
  <si>
    <t>5139cbad</t>
  </si>
  <si>
    <t>Couleurs du Sud Sauvage - Palmiste rouge</t>
  </si>
  <si>
    <t>Rue de Cambiaire</t>
  </si>
  <si>
    <t>-21.354724, 55.606477</t>
  </si>
  <si>
    <t>Appartement, idéal pour 4 personnes, situé à l'étage de la villa avec entrée indépendante donnant sur le jardin. Vous disposez d'un meublé de tourisme de 40m2, cosy, tout confort.
Entrez et découvrez votre espace cuisine tout équipé, un canapé convertible d'appoint peut accueillir un enfant supplémentaire.
Poursuivez vers la 1ère chambre d'où vous admirerez la vue panoramique sur l'océan indien depuis votre terrasse. Vous dormirez dans un lit queen size, neuf, équipé d'une literie de très bonne qualité, un grand placard vous permettra de ranger vos affaires et de profiter pleinement de votre appartement. Depuis votre lit, vous pourrez regarder des films, séries ou documentaires sur Netflix grâce à votre téléviseur connecté. Découvrez votre 2ème chambre équipée de 2 lits simples, qui rapprochés vous offrent un couchage en 160X200. Ouvrez votre porte-fenêtre et profitez d'une grande terrasse avec vue sur l'océan d'où vous pourrez prendre votre petit-déjeuner.
Vous disposez d'une salle de bain spacieuse, linge de toilettes, draps de piscine, produits d'accueil ecolabel fournis. Pour vous détendre, vous profiterez également d'une terrasse sous pergola côté jardin avec barbecue et d'une piscine à votre disposition de 8h à 20h.
Petit déjeuner et table d'hôte vous sont proposés sur réservation, une salle de convivialité avec jeux de sociétés, bibliothèque est à votre disposition ainsi qu'un lave linge et sèche linge. Le parking privé est gratuit et fermé. Le ménage est inclus dans la prestation.
La Villa couleurs du sud sauvage vous proposera une navette aéroport, des excursions sur l'île et des déposes et  reprises au départ et retour de vos randonnées.</t>
  </si>
  <si>
    <t>Appartement - Palmiste rouge</t>
  </si>
  <si>
    <t>canapé lit , barbecue , fer et planche à repasser , piscine , linge de maison , ventilateur , salon , TV , lave vaisselle , micro-ondes , linge de toilette , four , Cafetière , frigo , vue montagne , vue mer , wifi , cuisine équipée , salle à manger , Lit parapluie sur demande , sèche linge privatif , salon de jardin , serviettes. , sèche-cheveux , grille-pain , lave-linge , jeux , Salle de jeux , dressing , bureau , Télescope</t>
  </si>
  <si>
    <t>site - lieu culturel,point de vue panoramique,sites touristiques,commerce alimentaire,forêt,arrêt bus</t>
  </si>
  <si>
    <t>b9990ba5</t>
  </si>
  <si>
    <t>galerie::galerie_Images/aa8c0b78.Path.095013.jpg</t>
  </si>
  <si>
    <t>CSC614HTK</t>
  </si>
  <si>
    <t>Couleurs du Sud Sauvage - Bassin Bleu</t>
  </si>
  <si>
    <t>-21.354722, 55.606502</t>
  </si>
  <si>
    <t>contact@couleursdusudsauvage.com</t>
  </si>
  <si>
    <t>https://www.couleursdusudsauvage.com/fr-FR/homepage</t>
  </si>
  <si>
    <t>Jolie chambre d'hôte de 25m2 avec entrée et salle de bain séparée, harmonieusement décorée. Entrez dans votre chambre, spacieuse, lumineuse, avancez vers votre terrasse et découvrez la jolie vue sur l'océan indien. Installez-vous dans vos transat et délassez-vous ! Votre chambre dispose d'un petit salon, d'une armoire en teck et d'un téléviseur connecté. vous dormirez dans un lit queen size avec literie de qualité. Votre salle de bain est équipée d'une douche à l'italienne, de linges de toilette de qualité, draps de piscine, produits d'accueil Ecolabel fournis. Pour vous détendre après une journée de visite sur l'île, la piscine de la villa vous attend, ouverte de 8h à 20h et sécurisée. Nous vous proposons sur réservation un dîner à notre table d'hôte avec menu élaboré avec des produits majoritairement frais et locaux. Le petit déjeuner et le ménage sont inclus dans la prestation. Wifi et parking sur place gratuit. Une salle de convivialité est à votre disposition avec bibliothèque, jeux de société ...
La Villa couleurs du sud sauvage vous proposera une navette aéroport, des excursions sur l'île et des déposes et  reprises au départ et retour de vos randonnées.</t>
  </si>
  <si>
    <t>Bassin Bleu - chambre d'hôte</t>
  </si>
  <si>
    <t>jardin arboré , bouilloire , climatisation , salon , salon de jardin , Salle de jeux , serviettes. , linge de maison , linge de toilette , armoire , piscine , TV , ventilateur , Cafetière , wifi , sèche-cheveux , jeux , Télescope</t>
  </si>
  <si>
    <t>sentier de randonnée,centre commercial,site - lieu culturel,point de vue panoramique,sites touristiques,Centre - Ville,forêt</t>
  </si>
  <si>
    <t>4fbdb271</t>
  </si>
  <si>
    <t>galerie::galerie_Images/fc812e95.Path.101811.jpg</t>
  </si>
  <si>
    <t>CSC616HTM</t>
  </si>
  <si>
    <t>Taif en PJ</t>
  </si>
  <si>
    <t xml:space="preserve"> Rue Paul Fontaine</t>
  </si>
  <si>
    <t>-21.345406, 55.592314</t>
  </si>
  <si>
    <t>Cette maison de vacances comprend 2 chambres, une salle de bains, une télévision à écran plat avec services de streaming, un coin repas, une cuisine entièrement équipée et une terrasse avec vue sur la montagne. Le logement dispose d'une douche à l'italienne et d'un dressing. 
Cette maison de vacances est non-fumeurs et adaptée aux personnes souffrant d'allergies.</t>
  </si>
  <si>
    <t>Le Gîte le 109 est l'endroit idéal pour passer un moment reposant en famille ou entre amis.</t>
  </si>
  <si>
    <t>barbecue , fer et planche à repasser , TV , micro-ondes , Cafetière</t>
  </si>
  <si>
    <t>d2126da9</t>
  </si>
  <si>
    <t>galerie::galerie_Images/c62833d8.Path.115519.jpg</t>
  </si>
  <si>
    <t>CSC410HT@</t>
  </si>
  <si>
    <t xml:space="preserve">Le Mahavel </t>
  </si>
  <si>
    <t>1</t>
  </si>
  <si>
    <t>Roche Plate</t>
  </si>
  <si>
    <t>jeannoelduchemane.mtss@gmail.com</t>
  </si>
  <si>
    <t>0692207652</t>
  </si>
  <si>
    <t>- Dortoirs de montagne avec lits superposés ou lits doubles. 
Vous pourrez profiter de la table hôtes du Mahavel qui propose de nouvelles saveurs au bon goût du terroir comme par exemple : des beignets de songe au chou de choka bleu boucané, mousse de patate au chocolat, café pays.</t>
  </si>
  <si>
    <t>Au Mahavel, la nature est plus belle...
Situé à Roche Plate dans la commune de Saint-Joseph, Le Mahavel est un gîte connu et très apprécié.
Votre nuit inoubliable au cœur de la nature sera bercé par le bruissement des cascades.</t>
  </si>
  <si>
    <t>Prendre un 4x4 et monter pendant 1.5h dans la rivière des Remparts jusqu'au village de Roche Plate.</t>
  </si>
  <si>
    <t>jardin , sanitaires communs</t>
  </si>
  <si>
    <t>DuAn765217</t>
  </si>
  <si>
    <t>4c5ee76c</t>
  </si>
  <si>
    <t>galerie::galerie_Images/1240d0f0.Path.093418.jpg</t>
  </si>
  <si>
    <t>Les gourmands seront ravis de déguster de bons plats faits maison.
La table d'hôte du Mahavel propose de nouvelles saveurs au bon goût du terroir : des beignets de songe au chou de choka bleu boucané, mousse de patate au chocolat, café pays.</t>
  </si>
  <si>
    <t>54709ad7</t>
  </si>
  <si>
    <t>galerie::galerie_Images/af0a7c9c.Path.093504.jpg</t>
  </si>
  <si>
    <t xml:space="preserve">Le Jacquier </t>
  </si>
  <si>
    <t>79</t>
  </si>
  <si>
    <t>Rue des Jacques</t>
  </si>
  <si>
    <t>-21.375194, 55.628643</t>
  </si>
  <si>
    <t>0262566242</t>
  </si>
  <si>
    <t>0692297312</t>
  </si>
  <si>
    <t>Vous disposerez d'une entrée privée et d'une place de parking, d'une terrasse avec table et chaises abritée par un joli kiosque devant votre entrée.
D'une terrasse sous un kiosque et disposez d'un réfrigérateur pour vous permettre de stoker des aliments et boissons pour préparer vos randonnées, qui peuvent être nombreuses à la Réunion en montagne ou en bord de mer, si vous aimez la marche, ou bien d'autres activités de plein air.</t>
  </si>
  <si>
    <t>Bernadette et Marcel seront heureux de vous accueillir dans leur chambre d’hôtes pouvant accueillir jusqu'à deux personnes.</t>
  </si>
  <si>
    <t>TV , ventilateur , sanitaires privés , parking</t>
  </si>
  <si>
    <t>JeBe7312Sm</t>
  </si>
  <si>
    <t>981f6570</t>
  </si>
  <si>
    <t>galerie::galerie_Images/abd68442.Path.080414.jpg</t>
  </si>
  <si>
    <t>Fermé du 1er décembre au 31 juillet 2025 (signalé par mail &gt; TDS + confirmé par tel et mail)
Mail décembre 2025 : fermeture définitive &gt; souhaite faire enlever ses panneaux de signalétique</t>
  </si>
  <si>
    <t>BIENVENUE DANS LE SUD SAUVAGE</t>
  </si>
  <si>
    <t>rue Des Jacques</t>
  </si>
  <si>
    <t>-21.376028, 55.627762</t>
  </si>
  <si>
    <t>0692252053</t>
  </si>
  <si>
    <t>L'entrée de l'hébergement est séparée avec une petite cour.
- Deux chambres climatisées :
- Une chambre avec un lit 140 ;
- Possibilité d'utiliser un lit pour votre bébé, une chaise repas pour votre bébé,
- Une chambre avec 1 lit 140 ;
- Un séjour avec TV et canapé convertible/cuisine équipée.
- WC séparé.
L'intérieur de la location est réservée aux non fumeurs.</t>
  </si>
  <si>
    <t>Bienvenue dans le Sud Sauvage se situe proche du centre-ville de Saint-Joseph (à environ sept minutes à pied). Au rez de chaussée d'une maison individuelle, avec entrée séparée, vous pourrez profiter d'un endroit calme et à proximité de beaux sites à découvrir.</t>
  </si>
  <si>
    <t>Cafetière , frigo , salle de bain , grille-pain , équipement bébé</t>
  </si>
  <si>
    <t>CaSo2053b4</t>
  </si>
  <si>
    <t>a23aa82a</t>
  </si>
  <si>
    <t>galerie::galerie_Files_/0fc22c0d.Path.083416.avif</t>
  </si>
  <si>
    <t>L'hébergement est situé dans la résidence principale de Madame Solange CADET.</t>
  </si>
  <si>
    <t>-21.369260, 55.679400</t>
  </si>
  <si>
    <t>0692681210</t>
  </si>
  <si>
    <t>Grande terrasse couverte avec vue sur mer 180° où il est possible de se détendre au bord de la piscine. 
Tous les équipements sont sur place : 
- Lave-vaisselle ;
- Lave-linge ;
- Sèche-linge…  
Vous aurez la possibilité de profiter du billard mis à disposition des clients.</t>
  </si>
  <si>
    <t>Dotée d'une piscine extérieure, d'un jardin et d'une terrasse, la villa spacieuse avec piscine débordement et vue exceptionnelle vous accueille dans un cadre authentique et chaleureux. Lors de votre séjour, vous profiterez d'une piscine et de la tranquillité du lieu pour pouvoir vous ressourcer.</t>
  </si>
  <si>
    <t>Le quartier est calme. Des commerces sont tout proches (supérettes…).</t>
  </si>
  <si>
    <t>fer et planche à repasser , piscine , vue montagne , sur réservation , grand espace , vue mer , linge de maison , parking , ventilateur , salon , jardin , TV , wifi gratuit , lave vaisselle , micro-ondes , linge de toilette , douche , four , Cafetière , frigo , sanitaires privés , wifi , terrasse , cuisine équipée , billard , salle à manger , sèche linge privatif , salon de jardin , jardin arboré , sèche-cheveux , baignoire , bouilloire , grille-pain , balcon , table de ping-pong , lave-linge , jeux , Salle de jeux , dressing</t>
  </si>
  <si>
    <t>site - lieu culturel,point de vue panoramique,commerce alimentaire,forêt,riviere,arrêt bus,transports en commun,pharmacie,boulangerie,centre ville de Saint-Joseph,pâtisserie,restaurants,hébergements,épicerie</t>
  </si>
  <si>
    <t>booking</t>
  </si>
  <si>
    <t>GoAl1210Vt</t>
  </si>
  <si>
    <t>69ccbf4b</t>
  </si>
  <si>
    <t>galerie::galerie_Images/efdfa19e.Path.073736.jpg</t>
  </si>
  <si>
    <t>Manapany Les Bains</t>
  </si>
  <si>
    <t>0692665210</t>
  </si>
  <si>
    <t>LiFr5210b1</t>
  </si>
  <si>
    <t>faecf02b</t>
  </si>
  <si>
    <t>Merci de ne pas promouvoir cet hébergement.</t>
  </si>
  <si>
    <t xml:space="preserve">L'Ilot Paradisiaque </t>
  </si>
  <si>
    <t>ilot-paradisiaque@hotmail.com</t>
  </si>
  <si>
    <t>0692024657</t>
  </si>
  <si>
    <t>GrBr4657HO</t>
  </si>
  <si>
    <t>90a00dfd</t>
  </si>
  <si>
    <t>galerie::galerie_Files_/f8f1b53f.Path.062553.htm</t>
  </si>
  <si>
    <t>Vérification de la règularité de la situation de cet établissement en cours, merci de ne pas faire de conseil en séjour sur eux. // bfo-solaire@hotmail.fr</t>
  </si>
  <si>
    <t>KAZ EMARA</t>
  </si>
  <si>
    <t>chemin Isautier</t>
  </si>
  <si>
    <t>-21.266118, 55.514455</t>
  </si>
  <si>
    <t>seryclaudine16@gmail.com</t>
  </si>
  <si>
    <t>0692654106</t>
  </si>
  <si>
    <t>La Kaz Emara située dans un cadre agréable au Tampon est idéale pour visiter le volcan et le sud de l'île.
Classée 4 étoiles, elle offre tout le confort d'une maison moderne.
- 70m² soigneusement décorés
- À 20 minutes des plages de St Pierre
- Proche des sentiers de randonnée
- Idéale pour passer des vacances et profiter du jacuzzi
Vous aurez accès au rez-de-chaussée de cette magnifique maison qui comporte :
- 2 chambres avec lit double, équipé d’une literie de qualité et de grand dressing, fer et table à repasser.
- Un lit parapluie, une chaise haute, un réhausseur de chaise sont fournis sur demande.
- Une cuisine intégralement agencée et pensée pour votre séjour, avec toute la vaisselle, verrerie et ustensile de cuisine, bouilloire, machine à café dolce gusto, micro-ondes, four, réfrigérateur, lave vaisselle, grille pain, cuiseur vapeur, blender, marmite à riz, plaque de cuisson.
- Un séjour équipé d’une grande table à manger, d’une TV écran plat avec connexion internet, Netflix.
- Une salle de bain joliment décorée avec de la pierre naturelle, douche à l’italienne, vasque, machine à laver.
- Une terrasse avec un jacuzzi dans un jardin clos et verdoyant avec un barbecue.
Un accueil à l'arrivée et remise des clés après la présentation du logement.
2 places de parking disponible.</t>
  </si>
  <si>
    <t>Location saisonnière avec jacuzzi située au Tampon pour 4 personnes + lit parapluie pour bébé</t>
  </si>
  <si>
    <t>Au rond point au dessus de l'université du Tampon prendre la sortie en direction du Boulevard Lycée c'est le chemin Isautier.
Au rond point continuer tout droit (prendre la deuxième sortie), la maison se trouve sur la route</t>
  </si>
  <si>
    <t>barbecue , fer et planche à repasser , jacuzzi , vue montagne , linge de maison , parking , ventilateur , salon , jardin , TV , wifi gratuit , lave vaisselle , équipement sportif , lave linge privatif , micro-ondes , douche , four , terrasse , salon de jardin , linge de toilette , jardin arboré , cuisine équipée , jardin clôturé , bibliothéque , salle à manger , Cafetière , Lit parapluie sur demande , plaque de cuisson , frigo , netflix , jeux</t>
  </si>
  <si>
    <t>commerce alimentaire,arrêt bus,transports en commun,commerces,station service,restaurants,maraicher,médecin</t>
  </si>
  <si>
    <t>699c8116</t>
  </si>
  <si>
    <t>58a39b78</t>
  </si>
  <si>
    <t>galerie::galerie_Images/6f6f1b60.Path.074005.jpg</t>
  </si>
  <si>
    <t>CSC453HT@</t>
  </si>
  <si>
    <t>Horaires flexibles
Boite à clés à dispo
Cadeau d'arrivée : fruit du jardin, gâteaux, confiture, samoussas.. (selon les saisons)</t>
  </si>
  <si>
    <t>Tisane du Volcan</t>
  </si>
  <si>
    <t>Patrimoine agricole ; Patrimoine culturel</t>
  </si>
  <si>
    <t>Parc National de la Réunion</t>
  </si>
  <si>
    <t>Agriculture Biologique : AB,Esprit Parc</t>
  </si>
  <si>
    <t>La</t>
  </si>
  <si>
    <t>Crête</t>
  </si>
  <si>
    <t>-21.319125, 55.650844</t>
  </si>
  <si>
    <t>nicolasch7@gmail.com</t>
  </si>
  <si>
    <t>0692 93 14 01</t>
  </si>
  <si>
    <t>https://tisaneduvolcan.com/fr/contact-et-localisation/</t>
  </si>
  <si>
    <t>Nous souhaitons développer notre activité en respectant la forêt en prenant soin des plantes endémiques grâce au principe d’agroécologie forestière.
Nous voulons servir d’exemple en matière de culture de plantes endémiques, aromatiques, maraîchères et fruitières en milieu forestier.
Nous désirons montrer qu’il est possible de créer de l’emploi dans les zones des Hauts, pas seulement pour nous mais pour d’autres personnes intéressées.
Nous souhaitons que cette vision soit une référence dans la protection des zones sensibles des Hauts. Nous avons également la volonté de rester maîtres des différents processus.
Tisane à partir de 7,50€
Visite d'exploit'</t>
  </si>
  <si>
    <t>Situé, dans le Sud Sauvage, à la Crête, chemin Assing, le terrain se situe à 1100m d’altitude, accessible après 10 minutes à pied. Il est en contrebas du volcan du Piton de la Fournaise.
Il se situe entre le Parc National, au nord, séparé de Grand Coude par la grande ravine, à l’ouest, et par des terrains en friches au sud et à l’est…</t>
  </si>
  <si>
    <t>vue montagne , visites pédagogiques , grand espace , vue mer , matériel pour l'activité</t>
  </si>
  <si>
    <t>point de vue panoramique,forêt</t>
  </si>
  <si>
    <t>a121251a</t>
  </si>
  <si>
    <t>df2d42c2</t>
  </si>
  <si>
    <t>galerie::galerie_Images/e9d7926d.Path.062654.jpg</t>
  </si>
  <si>
    <t xml:space="preserve"> Rue Pasteur</t>
  </si>
  <si>
    <t>0692091504</t>
  </si>
  <si>
    <t>MuJo1504VP</t>
  </si>
  <si>
    <t>305bbfb2</t>
  </si>
  <si>
    <t>30/11/2023 =&gt; Madame MUSSARD a informé que cet hébergement est fermé définitivement.
En attente de recevoir le courrier de déclaration de fermeture définitive.</t>
  </si>
  <si>
    <t>MAISON DU LAURINA</t>
  </si>
  <si>
    <t xml:space="preserve"> chemin de la Croizure</t>
  </si>
  <si>
    <t>0692035478</t>
  </si>
  <si>
    <t>0692687872</t>
  </si>
  <si>
    <t>boutique , parking</t>
  </si>
  <si>
    <t>sentier de randonnée,sites touristiques,sentiers de randonnée,randonnées</t>
  </si>
  <si>
    <t>LéJa7872pQ</t>
  </si>
  <si>
    <t>55630b54</t>
  </si>
  <si>
    <t>galerie::galerie_Images/3d84f25e.Path.112124.jpg</t>
  </si>
  <si>
    <t>La maison du Laurina a réouvert ses portes aux visites mais uniquement sur réservation (si les touriste appelle qlqe heures avant selon leurs dispo ils peuvent proposer la visite), ils n'ont plus de personnel posté en boutique en continue.</t>
  </si>
  <si>
    <t>Alain Beaudemoulin</t>
  </si>
  <si>
    <t xml:space="preserve"> Rue Albert Frejaville</t>
  </si>
  <si>
    <t>-21.280776, 55.512287</t>
  </si>
  <si>
    <t>alainbdm@gmail.com</t>
  </si>
  <si>
    <t>0693927034</t>
  </si>
  <si>
    <t>Petite vitrine gourmande accolée à un laboratoire de confection de chocolats en tous genres et toutes formes... Possibilité d'acheter des tablettes, ballotins, oeufs de Pâques.... et autres créations au goût du Maître Artisan !</t>
  </si>
  <si>
    <t>Une chocolaterie artisanale locale tenue par un jeune et talentueux tamponnais travaillant le chocolat de Madagascar et d'Amérique du Sud avec nos épices et fruits locaux .... entre autres... un artiste plus qu'un artisan... pour le plaisir de vos yeux et de vos papilles !</t>
  </si>
  <si>
    <t>En arrivant de Saint Pierre par la RN3, sortir à SIDR 400 au rond point, contourner la place, à un moment on pourrait aller vers l'école en haut, mais continuez tout droit, aller jusqu'au stop. Prendre à droite, monter, disons 400m, c'est sur la droite, au rdc d'un immeuble blanc, la devanture est arborée :)</t>
  </si>
  <si>
    <t>centre commercial,parking public,commerce alimentaire,arrêt bus,poste - boite aux lettres,transports en commun,station essence,station service,Centre - Ville,Restauration,Gare routière,hébergements,piscine municipale,boulangerie,maraicher,tabac presse,coiffeur,médecin</t>
  </si>
  <si>
    <t>BeAl7034aY</t>
  </si>
  <si>
    <t>41c1fc92</t>
  </si>
  <si>
    <t>galerie::galerie_Images/91cb7b4e.Path.163047.jpg</t>
  </si>
  <si>
    <t>Ce Maître Artisan chocolatier est aussi passionné d'oiseaux... c'est lui qui a dessiné ses boîtes à chocolat... 
Pour les périodes de fêtes (St Valentin, Pâques, fête des mères, Noël et fin d'année), prévoir de commander en avance car il arrive souvent qu'il ne puisse plus prendre de commande en raison d'une productivité maximale atteinte (c'est un petit laboratoire, ils ne sont que 2 ! lui et sa femme)</t>
  </si>
  <si>
    <t>Gîte Là-Haut</t>
  </si>
  <si>
    <t>5001 F</t>
  </si>
  <si>
    <t>Plateau du Dimitile</t>
  </si>
  <si>
    <t>-21.190112, 55.482116</t>
  </si>
  <si>
    <t>laureprojet974@hotmail.com</t>
  </si>
  <si>
    <t>0692717668</t>
  </si>
  <si>
    <t>https://legitelahaut.re/</t>
  </si>
  <si>
    <t>Au Gite Là-Haut, nous tenons à respecter l’Espace Naturel Sensible qu’est le Dimitile et à vous le faire découvrir.
A votre arrivée, vous serez accueillis par une tisane préparée avec les plantes du jardin : Géranium, Sauge, Fleurs Jaunes, Ambaville, Romarin, Thym, …
Au repas, nous proposons des produits locaux et de saison. Tout est fait maison. Des options végétarienne et sans gluten sont possibles sur demande.
Le Petit-Déjeuner se compose généralement de granolas et de fruits de saison ainsi que de baguettes de pain au levain accompagnées de beurre et 2 à 3 confitures maison
Au Dimitile, vous découvrirez des panoramas incroyables. Les différents points de vue sur le Cirque de Cilaos sont à couper le souffle.
Depuis le Gite Là-Haut, vous contemplerez le massif du Volcan, le Piton de la Fournaise, ainsi qu’une vue à 360 sur les reliefs de la Plaine des Cafres au littoral de Saint Pierre.
Il existe ici un paradis pour les oiseaux qui se nichent dans les différents reliefs du Dimitile. Sur le chemin, vous croiserez de nombreux tec-tec mais aussi des oiseaux blancs, des oiseaux verts à lunettes, des bulbuls (ou merle péï) et de magnifiques oiseaux la vierge.
L’environnement autour du Gite regorge également de nombreuses plantes endémiques comme le somptueux tamarin des hauts, les mahots blancs et rouge, de nombreux change écorce, quelques bois d’osto, du faux bois de fer,  des zambavilles, ainsi que nombre d’espèces médicinales.</t>
  </si>
  <si>
    <t>Un gîte charmant et éco responsable dans les hauts de l'Entre deux !
Le Gite Là-Haut propose deux chambres privatives (équipées d’un lit double et d’un lit simple) et un dortoir qui peut recevoir jusqu’à 10 personnes. Nous pouvons également accueillir des randonneurs en tente. Le gite est équipé de deux salles de douche et de deux WC séparés. 
Le Petit-Déjeuner est toujours compris dans le prix de la nuitée.</t>
  </si>
  <si>
    <t>3 façons (voir sur leur site internet) mais la plus facile : 
Un peu après l’Entre-Deux, depuis le Parking du Portail du Dimitile, se trouve le départ du sentier le plus facile, il permet d’accéder au Gite en 2 heures :
→ Le Dimitile par le sentier Boeuf La Chapelle
Après 1h30 de montée, vous arriverez à La Chapelle du Dimitile. Juste à gauche de celle-ci, le sentier Emile amène en 30 minutes au Gite Emile – nouvellement Le Gite Là Haut !</t>
  </si>
  <si>
    <t>barbecue , chauffage , parking , espace de restauration , restauration , sanitaires privés , parking autocar , grand espace , Cuisine de produits frais locaux , sur réservation , vue montagne , cuisine au bois</t>
  </si>
  <si>
    <t>sentier de randonnée,sentier de grande randonnée,point de vue panoramique,forêt,sites touristiques,sentiers de randonnées,randonnées,sentiers de randonnée,Sentier de randonnée</t>
  </si>
  <si>
    <t>93a651b9</t>
  </si>
  <si>
    <t>4ab7f1a8</t>
  </si>
  <si>
    <t>galerie::galerie_Images/5c3ba6c3.Path.075932.png</t>
  </si>
  <si>
    <t>CSC470HT@</t>
  </si>
  <si>
    <t>Info vue sur insta : fermeture temporaire jusqu'à novembre probablement</t>
  </si>
  <si>
    <t>LE BELVÉDÈRE</t>
  </si>
  <si>
    <t>27 A</t>
  </si>
  <si>
    <t>chemin Trou de Terre</t>
  </si>
  <si>
    <t>0692424118</t>
  </si>
  <si>
    <t>https://www.location-belvedere.com/?fbclid=IwAR038CZsfABTmERKJHJLq1ja53_NOTi3iO8-Xl8Gw3qeNycE80FI56vWXno</t>
  </si>
  <si>
    <t>Dotée d'une terrasse et offrant une vue sur la ville, cette villa comprend 3 chambres, un salon, une télévision par satellite à écran plat, une cuisine équipée ainsi qu'une salle de bains avec douche et bain à remous. Les serviettes et le linge de lit sont fournis.
Vous pourrez profiter d'un jacuzzi.</t>
  </si>
  <si>
    <t>Optez pour passer des vacances inoubliables à la villa LE BELVÉDÈRE. Profitez d'un moment privilégié à partager en famille ou entre amis dans une atmosphère de quiétude avec une vue imprenable sur le relief de l'Entre-Deux.</t>
  </si>
  <si>
    <t>Depuis le centre du village de l'Entre-Deux, au croisement, en face de la mairie, aller tout droit vers le collège.
Au croisement en face de l'église, tourner à gauche direction le Dimitile.
Au croisement suivant, aller tout droit direction le Dimitile. 
Continuer sur cette route pendant environs 4 kms, à l'intersection au niveau d'une petite chapelle sur la gauche, prendre la route bétonnée à gauche direction le sentier de la Grande Jument.
Aller tout droit &gt; puis, prendre à gauche.
Le Belvédère se trouve à gauche</t>
  </si>
  <si>
    <t>barbecue , fer et planche à repasser , jacuzzi , vue montagne , sur réservation , grand espace , vue mer , lave linge collectif , linge de maison , parking , TV satellite , ventilateur , salon , jardin , espace de restauration , wifi gratuit , lave vaisselle , micro-ondes , linge de toilette , douche , four , Cafetière , frigo , sanitaires privés , terrasse , cuisine équipée , salle à manger , Lit parapluie sur demande , serviettes. , salle de bain , cour clôturée , plaque de cuisson , sèche-cheveux , bouilloire , grille-pain , cuisine au bois , cour clôturée avec portail électrique</t>
  </si>
  <si>
    <t>sentier de randonnée,point de vue panoramique,sites touristiques,commerce alimentaire,forêt,riviere,arrêt bus,transports en commun,hébergements</t>
  </si>
  <si>
    <t>tJe9860FN</t>
  </si>
  <si>
    <t>9b805df5</t>
  </si>
  <si>
    <t>galerie::galerie_Images/ed181215.Path.074418.jpg</t>
  </si>
  <si>
    <t>CSC254HT@</t>
  </si>
  <si>
    <t>Gîte Des Orchidées</t>
  </si>
  <si>
    <t>65</t>
  </si>
  <si>
    <t>rue Georges FOURCADE</t>
  </si>
  <si>
    <t>-21.376187, 55.671616</t>
  </si>
  <si>
    <t>gitelesorchidees@gmail.com</t>
  </si>
  <si>
    <t>0692 06 96 17</t>
  </si>
  <si>
    <t>🌿Niché dans un endroit calme et idéal pour couple ou famille, cet endroit vous séduira. 🌿
Tout équipée, 2 lits double, 1 lit superposé, 1 canapé lit (lit bébé et chaise haute sur demande), pour une capacité de 6 personnes allant jusqu'à 8 personnes.
Sans climatisation, mais ventilées (ventilateurs).
⚠️ Nos amis les bêtes ne sont pas autorisés, pas de fête, pas de bruits intempestifs après 22h.
Frais de ménage 40€</t>
  </si>
  <si>
    <t>🌷Meublé les orchidées en location saisonnière🌷</t>
  </si>
  <si>
    <t>Un T3 situé à saint Joseph ( Vincendo ). Proche de la Nationale .
A proximité de la Marine de Vincendo, la rivière Langevin, L’embouchure, Cap jaune et à moins d’une heure du site de volcan.</t>
  </si>
  <si>
    <t>barbecue , fer et planche à repasser , piscine , sur réservation , grand espace , vue mer , linge de maison , parking , TV satellite , ventilateur , salon , jardin , espace de restauration , wifi gratuit , lave linge privatif , micro-ondes , linge de toilette , douche , four , Cafetière , frigo , kitchenette équipée , sanitaires privés , terrasse , cuisine , salle à manger , salle de bain privée , Lit parapluie sur demande , serviettes. , salle de bain , plaque de cuisson , bouilloire , parking sécurisé , cours clôturée</t>
  </si>
  <si>
    <t>sentier de randonnée,site - lieu culturel,point de vue panoramique,sites touristiques,sentier de grande randonnée,commerce alimentaire,parking public,riviere,pêche,arrêt bus,poste - boite aux lettres,transports en commun,station service,pharmacie,boulangerie,banque - guichet automatique,Point chaud,stade de foot,commerce de proximité…,médecin,tabac presse,coiffeur,plage,sites - lieux culturels,restaurants,centre médical,hébergements</t>
  </si>
  <si>
    <t>d5a35eb7</t>
  </si>
  <si>
    <t>2e9d7dd1</t>
  </si>
  <si>
    <t>galerie::galerie_Files_/74fb5df9.Path.083848.webp</t>
  </si>
  <si>
    <t>CSC437HT@</t>
  </si>
  <si>
    <t>Lulicouture ARTISANAT</t>
  </si>
  <si>
    <t>Impasse Edouard Manes</t>
  </si>
  <si>
    <t>-21.274382, 55.510051</t>
  </si>
  <si>
    <t>lulico974@outlook.fr</t>
  </si>
  <si>
    <t>0692 31 75 90</t>
  </si>
  <si>
    <t>Fabrication et couture :
- d'objets artisanaux
- d'articles de bijouterie fantaisie et articles
- d'objets divers en bois
- d'éléments décoratifs en plâtre
- vannerie
Utilisation d'espèces envahissantes pour ses créations comme les jacinthes d'eau</t>
  </si>
  <si>
    <t>Thème "la Réunion". Création de packs personnalisés en textile ou fibres (vacoa, bambou, papyrus, jonc etc...)</t>
  </si>
  <si>
    <t>Pas de boutique</t>
  </si>
  <si>
    <t>matériel pour l'activité , ateliers</t>
  </si>
  <si>
    <t>sentier de randonnée,commerce alimentaire,sentier de grande randonnée</t>
  </si>
  <si>
    <t>204d661e</t>
  </si>
  <si>
    <t>6ef472a4</t>
  </si>
  <si>
    <t>galerie::galerie_Images/358f919c.Path.102245.jpg</t>
  </si>
  <si>
    <t>L'ENTREDEUXIENNE</t>
  </si>
  <si>
    <t>Boulangerie-pâtisserie</t>
  </si>
  <si>
    <t>1 D</t>
  </si>
  <si>
    <t xml:space="preserve"> Rue de L'Eglise</t>
  </si>
  <si>
    <t>-21.249451, 55.471940</t>
  </si>
  <si>
    <t>0693339554</t>
  </si>
  <si>
    <t>Les viennoiseries et pâtisseries conçues sont de qualité. Certaines créations artisanales sont élaborées à base de farine labellisée au sel provenant des salines de Saint-Leu. À emporter ou à déguster sur l'agréable terrasse face au beau paysage.</t>
  </si>
  <si>
    <t>sentier de randonnée,sentier de grande randonnée,transports en commun</t>
  </si>
  <si>
    <t>9554AM</t>
  </si>
  <si>
    <t>90833867</t>
  </si>
  <si>
    <t>galerie::galerie_Images/4f13116e.Path.050144.jpg</t>
  </si>
  <si>
    <t>83</t>
  </si>
  <si>
    <t xml:space="preserve"> Rue Alexandre Flemming</t>
  </si>
  <si>
    <t>PK12</t>
  </si>
  <si>
    <t>-21.271527, 55.528985</t>
  </si>
  <si>
    <t>0262 27 22 38</t>
  </si>
  <si>
    <t>0692699218</t>
  </si>
  <si>
    <t>Chez Madame Mézino vous propose un meublé entièrement équipé, indépendant, dans le cadre agréable de son jardin clos.
Contigu à la maison des propriétaires, il offre son confort à 5/6 personnes avec ses 3 chambres dont l'une en mezzanine, ses 2 salles d'eau, sa terrasse invitant à la détente ou au barbecue.</t>
  </si>
  <si>
    <t>Chez Madame Mézino est un meublé entièrement indépendant pouvant accueillir 6 personnes.</t>
  </si>
  <si>
    <t>barbecue , jardin , linge de maison , parking , TV , ventilateur</t>
  </si>
  <si>
    <t>MéAs9218bX</t>
  </si>
  <si>
    <t>8bdb68b4</t>
  </si>
  <si>
    <t>galerie::galerie_Images/acf600f1.Path.042054.jpg</t>
  </si>
  <si>
    <t>Les Terrasses de Manapany - Villa Moringa</t>
  </si>
  <si>
    <t>-21.375742, 55.591255</t>
  </si>
  <si>
    <t>0693634614</t>
  </si>
  <si>
    <t>La façade de la villa s'habille de blanc et est rehaussée d’un hublot trônant tout en légèreté sur le jardin luxuriant et l’océan.
Le bruit des vagues venant flirter avec la falaise vous bercent et vous offrent le meilleur de vacances ressourçantes.
A l’ouest de l’habitation, les rayons du soleil couchant se déposent sur les vestiges du vieux four à chaux, patrimoine d’un passé toujours présent. Pendant l’hiver austral (d’avril à octobre) vous pourriez assister au défilé majestueux des baleines, et ce, depuis la terrasse.</t>
  </si>
  <si>
    <t>« Les terrasses de Manapany » sont UNE RESIDENCE D'EXCEPTION POUR UN LIEU D’EXCEPTION.
Elles sont composées d’une villa (Villa Moringa) de 4 à 6 personnes mitoyenne à un studio (Studio Vacoas) de 2 personnes entièrement rénovées et climatisées. Le tout, en ouverture sur des terrasses couvertes appelées « Varangue » en créole, véritable lieu de vie, offrant une vue imprenable face à l’océan.</t>
  </si>
  <si>
    <t>Prendre la RN2 direction Saint - Joseph, puis se rendre à Manapany - les - Bains</t>
  </si>
  <si>
    <t>climatisation , fer et planche à repasser , piscine , linge de toilette , four , Cafetière , frigo , tout équipé , bouilloire , grille-pain , parking sécurisé , armoire</t>
  </si>
  <si>
    <t>sites touristiques,Bassin de Manapany</t>
  </si>
  <si>
    <t>18df3b29</t>
  </si>
  <si>
    <t>galerie::galerie_Files_/f823ec48.Path.070810.webp</t>
  </si>
  <si>
    <t>TI KAZ PERCHÉE</t>
  </si>
  <si>
    <t>rue Grand Fond Extérieur</t>
  </si>
  <si>
    <t>0692347798</t>
  </si>
  <si>
    <t>TI KAZ PERCHÉE est une cabane construite grâce à un pied de letchis. Le tronc de cet arbre traverse le salon et poursuit sa pousse et s'étend jusqu'aux parois des chambres. La cabane est située à 6 mètres du sol. Vous pourrez ainsi admirer une vue imprenable sur l'Entre-Deux et ses montagnes.</t>
  </si>
  <si>
    <t>booking,airbnb</t>
  </si>
  <si>
    <t>pJa7798HP</t>
  </si>
  <si>
    <t>05cff690</t>
  </si>
  <si>
    <t>CSC184HT@</t>
  </si>
  <si>
    <t>-21.276983, 55.569022</t>
  </si>
  <si>
    <t>0692 28 04 36</t>
  </si>
  <si>
    <t>L'exploitation agricole de la famille FONTAINE, vous offre la possibilité de découvrir le patrimoine de la culture du géranium rosat, la distillation de l’alambic. Vous pourrez admirer la magnifique vue sur le Piton des Neiges en même tout en admirant la vue sur la mer de Saint-Pierre à l’étang-salé.</t>
  </si>
  <si>
    <t>SAVEURS DU PETIT ALAMBIC met en avant son savoir-faire et vous permet de découvrir le géranium rosat. Cette table d'hôtes propose de délicieux plats traditionnels concoctés spécialement pour vous. Les plats sont élaborés grâce aux fruits et légumes de saisons de l'exploitation.</t>
  </si>
  <si>
    <t>Depuis la 4 voies de Saint-Pierre, vous prenez la direction du Tampon. Sur la national arrivé au Centre-ville du Tampon, prendre la direction vers Bérive.  Puis, à la croisée chemin départementale, direction Grand-Tampon, Notre Dame de la Paix. Il y a quinze minutes de route depuis la croisée du Grand-Tampon pour arriver à l'exploitation : SAVEURS DU PETIT ALAMBIC.</t>
  </si>
  <si>
    <t>Fo9291TB</t>
  </si>
  <si>
    <t>1054b10e</t>
  </si>
  <si>
    <t>galerie::galerie_Images/7d6d4ce0.Path.060207.jpg</t>
  </si>
  <si>
    <t>Pour toute demande, merci de prendre contact avec Anne-Gaëlle FONTAINE (la fille de Monsieur FONTAINE). 
Anne-Gaëlle FONTAINE est joignable au 06 92 28 04 36.</t>
  </si>
  <si>
    <t>Le Corossol</t>
  </si>
  <si>
    <t>15 E</t>
  </si>
  <si>
    <t>rue Julius Hoarau</t>
  </si>
  <si>
    <t>-21.251591, 55.468499</t>
  </si>
  <si>
    <t>j.bernard.legros@wanadoo.fr</t>
  </si>
  <si>
    <t>0692 81 37 93</t>
  </si>
  <si>
    <t>Le Corossol conçue pour 4 personnes est idéalement située pour vous détendre en famille ou entre amis.
 🔹Piscine 
 🔹Billard
 🔹Linges de maison fournis 
 🔹Logement équipé (Tv, Wifi, Cafetière, Vaisselle, …)
 🔹A 5 minutes du village de l’Entre-Deux
 🔹1 place de parking</t>
  </si>
  <si>
    <t>Nous vous accueillons dans notre bungalow « Le Corossol » situé à 5 minutes du village de l’Entre-Deux.</t>
  </si>
  <si>
    <t>Situé à 3 minutes de l'office de Tourisme
En direction de l'Entre-Deux prendre la rue Julius Hoarau sur la droite puis continuer dans la rue, tourner à droite puis à gauche. Suivre les petits panneaux indicatifs</t>
  </si>
  <si>
    <t>barbecue , fer et planche à repasser , piscine , vue montagne , linge de maison , parking , salon , jardin , TV , wifi gratuit , lave linge privatif , micro-ondes , salle de bain privée , douche , four , salon de jardin , terrasse , linge de toilette , cuisine , cuisine au bois , cour clôturée , billard , plaque de cuisson , frigo , Cafetière</t>
  </si>
  <si>
    <t>sentier de randonnée,commerce alimentaire,sites touristiques,arrêt bus,poste - boite aux lettres,transports en commun,commerces,station service,pharmacie,boulangerie,banque - guichet automatique,pâtisserie,restaurants,médecin,tabac presse,coiffeur,aire de jeux,marchés,centre ville,marâicher</t>
  </si>
  <si>
    <t>Espèces,Carte Bancaire,booking,Le bon coin</t>
  </si>
  <si>
    <t>004d0bb5</t>
  </si>
  <si>
    <t>68ab4eb7</t>
  </si>
  <si>
    <t>galerie::galerie_Images/c1c0dfb8.Path.103020.jpg</t>
  </si>
  <si>
    <t>CSC520HT@</t>
  </si>
  <si>
    <t>Nouveaux certificat d'adressage au numéro 15 E reçu le 23 nove 23, nous leur avons demandé de mettre à jour les autres documents (assurance/ insee/ cerfa)</t>
  </si>
  <si>
    <t>Le Chocas</t>
  </si>
  <si>
    <t>12</t>
  </si>
  <si>
    <t>rue de l'Église</t>
  </si>
  <si>
    <t>-21.247987, 55.472549</t>
  </si>
  <si>
    <t>marieguybegue@gmail.com</t>
  </si>
  <si>
    <t>0692966129</t>
  </si>
  <si>
    <t>0693131421</t>
  </si>
  <si>
    <t>Le restaurant Le Chocas peut accueillir jusqu'à 60 personnes.</t>
  </si>
  <si>
    <t>Le Chocas vous propose des plats typiques de la Réunion. Vous aurez la possibilité de prendre votre repas sur place ou à emporter tous les midis.</t>
  </si>
  <si>
    <t>sur réservation , parking , restauration , wifi gratuit , terrasse , Cuisine de produits frais locaux , espace de restauration en extérieur , végétariens bienvenus</t>
  </si>
  <si>
    <t>1421if</t>
  </si>
  <si>
    <t>274aa391</t>
  </si>
  <si>
    <t>galerie::galerie_Images/fdd7cd82.Path.065519.jpg</t>
  </si>
  <si>
    <t>Le buffet à volonté est au prix de 22 euros par personne. Le menu est diversifié. 
Possibilité de composer son assiette au choix sur demande au prix de 14 euros par personne.
30/05:24 : la gérante a vendu le restaurant. l'ouverture est prévue pour la mi-juin.  La repreneuse est Madame PICARD 0693 40 65 72</t>
  </si>
  <si>
    <t>Ô Lodge des Rameaux</t>
  </si>
  <si>
    <t>246</t>
  </si>
  <si>
    <t>Ravine Citrons</t>
  </si>
  <si>
    <t>-21.246221, 55.479496</t>
  </si>
  <si>
    <t>pforman22@gmail.com</t>
  </si>
  <si>
    <t>0692060488</t>
  </si>
  <si>
    <t>https://lesrameaux.re/?fbclid=IwAR0XvY5M-qGZgnlX4osNFFUVK104WDWWDNUwJiIA5qPBYwi5D-HFGqKWu7w</t>
  </si>
  <si>
    <t>Villa spacieuse entourée d'arbres fruitiers profitant d'une bonne exposition au soleil. Elle offre tout le confort pour vivre des instants inoubliables en famille et entre amis.  
Elle dispose de 3 chambres doubles (avec accès direct à la piscine chauffée en hiver) dont 1 suite parentale avec sanitaire privée. 
La cuisine entièrement équipée, ouverte sur le salon et sur la piscine permet des moments conviviaux.
En extérieur, vous aurez la possibilité de vous détendre au soleil sur des transats ou à l'ombre des manguiers assis dans un canapé, profiter de
votre famille.
Une douche et des sanitaires sont votre disposition en extérieur pour vous rafraichir. 
3 places de parking vous permettront de garer vos véhicules à l'intérieur et vous avez aussi la possibilité de vous garer en extérieur.</t>
  </si>
  <si>
    <t>Jolie villa moderne et chaleureuse</t>
  </si>
  <si>
    <t>Depuis le centre ville de l'entre-deux, en passant devant l'église prenez à gauche 
direction Ravine de Citrons.
Au stop prenez à droite, vous serez alors sur la rue Jean Lauret. Continuez pendant environs 5 min, 
sur la droite se trouvera un parking.....vous êtes arrivé!!!</t>
  </si>
  <si>
    <t>barbecue , fer et planche à repasser , vue montagne , grand espace , linge de maison , ventilateur , salon , jardin , TV , lave vaisselle , équipement sportif , lave linge privatif , micro-ondes , salle de bain privée , sanitaires privés , wifi , douche , four , sèche linge privatif , aire de jeux pour enfant , salon de jardin , linge de toilette , cuisine , Cuisine de produits frais locaux , jardin arboré , cuisine au bois , piscine chauffée , table de ping-pong , tennis , serviettes. , lave-linge , cuisine équipée , jardin clôturé , Propose des snacks , plaque de cuisson , frigo , Cafetière , accessible aux personnes à mobilité réduite , cuisine extérieure , Lit parapluie sur demande , jeux</t>
  </si>
  <si>
    <t>sentier de randonnée,commerce alimentaire,point de vue panoramique,riviere,arrêt bus,Centre - Ville,sentiers de randonnées,stade de foot,aire de jeux</t>
  </si>
  <si>
    <t>Chèque,Virement,Espèces,Paypal,airbnb,Le bon coin</t>
  </si>
  <si>
    <t>108f8b77,27ebeac1</t>
  </si>
  <si>
    <t>492fe1bb</t>
  </si>
  <si>
    <t>galerie::galerie_Images/a86fbcab.Path.055948.jpg</t>
  </si>
  <si>
    <t>CSC445HT@</t>
  </si>
  <si>
    <t>Horaires flexibles
possibilité de louer à la journée pour 200 euros de 9h00 à 18h00</t>
  </si>
  <si>
    <t>Le Flamboyant</t>
  </si>
  <si>
    <t>rue de la Pompe</t>
  </si>
  <si>
    <t>-21.361879, 55.771299</t>
  </si>
  <si>
    <t>boyersophie97442@gmail.com</t>
  </si>
  <si>
    <t>0692512458</t>
  </si>
  <si>
    <t>Idéal pour moment avec famille, amis. Endroit convivial, spacieux.</t>
  </si>
  <si>
    <t>L'hébergement "LE FLAMBOYANT" se situe en plein cœur du SUD SAUVAGE entre la mer et la montagne.</t>
  </si>
  <si>
    <t>barbecue , climatisation , fer et planche à repasser , piscine , lave linge privatif , TV , ventilateur , lave linge collectif , linge de maison , parking , TV satellite , salon , espace de restauration , wifi gratuit , micro-ondes , sanitaires privés , douche , four , terrasse , cuisine , accès internet , serviettes. , cuisine équipée , tout équipé , sur réservation , frigo , vue montagne , cuisine au bois , netflix , Cafetière , Lit parapluie sur demande , vue mer</t>
  </si>
  <si>
    <t>sentier de randonnée,sentier de grande randonnée,tennis,parking public,site - lieu culturel,point de vue panoramique,commerce alimentaire,équitation,forêt,pêche,sites touristiques,arrêt bus,poste - boite aux lettres,jardin,transports en commun,sites - lieux culturels,station essence,station service,pharmacie,boulangerie,banque - guichet automatique,piscine,pâtisserie,restaurants,Restauration,piscine municipale,route des laves,ferme équestre,tunnels de lave,littoral,centre médical,Musée,hébergements,route pour aller au volcan,Point chaud,stade de foot,maraicher,épicerie,médecin,tabac presse,coiffeur,snack</t>
  </si>
  <si>
    <t>49fcde72</t>
  </si>
  <si>
    <t>824b344b</t>
  </si>
  <si>
    <t>galerie::galerie_Images/039de009.Path.061731.jpg</t>
  </si>
  <si>
    <t>CSC476HT@</t>
  </si>
  <si>
    <t>Route Nationale 2 Basse Vallée</t>
  </si>
  <si>
    <t>-21.371208, 55.712141</t>
  </si>
  <si>
    <t>0692161020</t>
  </si>
  <si>
    <t>Agréable maison toute équipée et de bon goût.
Passez un séjour agréable dans le sud sauvage
Après une pause, nous serons ravis de vous accueillir de nouveau.</t>
  </si>
  <si>
    <t>Villa dans un cadre verdoyant dans le Sud Sauvage.</t>
  </si>
  <si>
    <t>Prendre la RN2, tout simplement, se rendre au numéro 59</t>
  </si>
  <si>
    <t>sentier de randonnée,commerce alimentaire,pêche,site - lieu culturel,jardin,forêt,sites touristiques,arrêt bus,transports en commun,route des laves,coulées de lave,sentiers de randonnées,sentiers de randonnée,Sentier de randonnée,équitation,sites - lieux culturels,station essence,Centre - Ville,Restauration,ferme équestre,hébergements</t>
  </si>
  <si>
    <t>MuNi1020oD</t>
  </si>
  <si>
    <t>04c3379e</t>
  </si>
  <si>
    <t>galerie::galerie_Images/f3611d9c.Path.061150.jpg</t>
  </si>
  <si>
    <t xml:space="preserve">Le Longanis </t>
  </si>
  <si>
    <t>Restaurant ; Restauration traditionnelle</t>
  </si>
  <si>
    <t>rue du Commerce</t>
  </si>
  <si>
    <t>-21.248335, 55.470674</t>
  </si>
  <si>
    <t>lendemik@gmail.com</t>
  </si>
  <si>
    <t>0692 46 13 09</t>
  </si>
  <si>
    <t>0693010272</t>
  </si>
  <si>
    <t>Au cœur des cases créoles de l'Entre-Deux, le restaurant Le Longanis propose une cuisine authentique servie dans de petites marmites créoles.
Spécialités : cuisine créole et grillade.
Tarifs sur place : de 12 € à 30 €, à emporter : 7 €.
Ouvert du lundi au dimanche de 11h à 14h et de 18h à 20h. Fermé le mercredi et le dimanche soir.</t>
  </si>
  <si>
    <t>Restaurant traditionnel au coeur du village de l'Entre Deux</t>
  </si>
  <si>
    <t>ventilateur , espace de restauration , restauration</t>
  </si>
  <si>
    <t>ThGe0272xK</t>
  </si>
  <si>
    <t>35fdad93</t>
  </si>
  <si>
    <t>galerie::galerie_Images/6400cbf8.Path.065210.jpg</t>
  </si>
  <si>
    <t>30/05/24 le contenu de la page Facebook n'est pas disponible</t>
  </si>
  <si>
    <t>Le bonheur est dans l'atelier</t>
  </si>
  <si>
    <t>Artisanat bijoux</t>
  </si>
  <si>
    <t>113</t>
  </si>
  <si>
    <t>Rue Defaud</t>
  </si>
  <si>
    <t>-21.241575, 55.480920</t>
  </si>
  <si>
    <t>sonia@bonheur.re</t>
  </si>
  <si>
    <t>0692 67 07 77</t>
  </si>
  <si>
    <t>https://bonheur.re/</t>
  </si>
  <si>
    <t>L’entreprise de création d'objets, d’accessoires et de bijoux responsables repose sur des thématiques qui lui sont chères, la protection de l’environnement et la promotion de la culture. 
Les créations du Bonheur est dans l’atelier allient ainsi éco-sensibilité, esthétisme et poésie.
Le procédé de fabrication s’appuie sur le surcyclage ou upcycling, une   pratique consistant à utiliser des objets et des matériaux destinés à être jetés pour les réintroduire dans la chaîne de consommation après leur avoir donné une valeur ajoutée qualitative.. Ainsi, les matières premières de l’atelier sont essentiellement du carton domestique, des emballages alimentaires, des chutes de papier et de tissus ou encore des bijoux cassés, démodés, dépareillés…La démarche s’avère plus écoresponsable que le recyclage qui implique un processus de transformation et par conséquent une nouvelle dépense en ressources (énergie et/ou eau). 
Le mode de production local et artisanal garantit des pièces uniques ou produites en petites séries. Rareté et originalité caractérisent donc les créations du Bonheur est dans l’atelier.</t>
  </si>
  <si>
    <t>Fabrication de bijoux, accessoires et objets mêlant éco-sensibilité et amour de l'art.</t>
  </si>
  <si>
    <t>Boutique en ligne
Place de la liberté à l'Entre-Deux
Marché de st paul &gt; vendredi et samedi</t>
  </si>
  <si>
    <t>Produits artisanaux</t>
  </si>
  <si>
    <t>Chèque,Espèces,Carte Bancaire,site internet</t>
  </si>
  <si>
    <t>ce9580cf</t>
  </si>
  <si>
    <t>ee49fa3b</t>
  </si>
  <si>
    <t>galerie::galerie_Images/be712002.Path.074523.jpg</t>
  </si>
  <si>
    <t>Chez Payet Ketty</t>
  </si>
  <si>
    <t>62 A</t>
  </si>
  <si>
    <t>rue Justinien Vitry</t>
  </si>
  <si>
    <t>-21.374811, 55.605020</t>
  </si>
  <si>
    <t>noelleketty@gmail.com</t>
  </si>
  <si>
    <t>0692999042</t>
  </si>
  <si>
    <t>C'est un endroit tranquille. La musique n'est pas autorisée.</t>
  </si>
  <si>
    <t>C'est une maison qui se trouve dans une allée. Il faut prendre la rue du collège Archil GRONDIN.</t>
  </si>
  <si>
    <t>barbecue , climatisation , piscine , salle de bain privée , TV , ventilateur , lave linge collectif , linge de maison , parking , TV satellite , salon , wifi gratuit , micro-ondes , sanitaires privés , douche , four , cuisine , lave-linge , sur réservation</t>
  </si>
  <si>
    <t>1b95a7a1</t>
  </si>
  <si>
    <t>d6a14caa</t>
  </si>
  <si>
    <t>CSC438HT@</t>
  </si>
  <si>
    <t>ATTENTION : fin 2022 ce presta a fait l'objet d'une réclamation. Ne pas faire de conseil en séjour ni promotion pour le moment sur ce presta. Nous attendons les suite de la transmission des infos de plainte au presta. Fin du délais 21 nov 2023.
Réduction de 20% à partir de 4 personnes</t>
  </si>
  <si>
    <t>95 TER</t>
  </si>
  <si>
    <t xml:space="preserve"> Rue du Paille en Queue</t>
  </si>
  <si>
    <t>0262012012</t>
  </si>
  <si>
    <t>0692805939</t>
  </si>
  <si>
    <t>barbecue , chauffage , fer et planche à repasser , parking , piscine , TV satellite , ventilateur , wifi , jacuzzi</t>
  </si>
  <si>
    <t>CaMa5939VQ</t>
  </si>
  <si>
    <t>f744b82f</t>
  </si>
  <si>
    <t>galerie::galerie_Images/dfdd7259.Path.070824.jpg</t>
  </si>
  <si>
    <t>Chalet Nature</t>
  </si>
  <si>
    <t>14</t>
  </si>
  <si>
    <t>rue Emile Zola</t>
  </si>
  <si>
    <t>dassy</t>
  </si>
  <si>
    <t>-21.236502, 55.500996</t>
  </si>
  <si>
    <t>akiasleschalets@gmail.com</t>
  </si>
  <si>
    <t>0693528244</t>
  </si>
  <si>
    <t>Possède 2 chambres -une chambre double avec 2 lits 160 X200 et un convertible 2 places.
Douche à l'italienne et WC .
Cuisine équipé ouverte sur le séjour, combiné micro onde/four, grand réfrigérateur avec distributeur d'eau fraiche, machine à lavé, machine à café expresso, cuiseur à riz, plaque à induction et bouilloire.
Linge de maison fourni.
Prestation de ménage à 50€ (option).
Mode règlement: chèque de caution de 1000.00€ , paiement du séjour le jour d'arrivée (chèque local ou espèces).
Véranda donnant sur la piscine au sel (chauffée) équipé de salon d'angle résine et table.
Deck en bois exotique.
Bain de soleil, barbecue à charbon.</t>
  </si>
  <si>
    <t>Akias et Nature 2 chaleureux chalets avec piscine sécurisé à proximité des sentiers de randonnée (DASSY ENTRE DEUX) vous accueillent dans un cadre cosy.</t>
  </si>
  <si>
    <t>En arrivant de Saint-Pierre, prendre la sortie de Pierrefond en direction de l'Entre-Deux, continuer vers Dassy. Une fois le croisement vers le parc des Palmiers passé, la location saisonnière se trouve sur la route principale à 200m.</t>
  </si>
  <si>
    <t>barbecue , piscine , lave linge privatif , TV , linge de maison , wifi gratuit , micro-ondes , douche , four , salon de jardin , terrasse , linge de toilette , piscine chauffée , cuisine équipée , parking sécurisé , cour clôturée , plaque de cuisson , frigo , vue montagne</t>
  </si>
  <si>
    <t>transports en commun,sentier de randonnée,point de vue panoramique</t>
  </si>
  <si>
    <t>Chèque,Virement,Espèces,airbnb</t>
  </si>
  <si>
    <t>d571cb3c</t>
  </si>
  <si>
    <t>eca4b667</t>
  </si>
  <si>
    <t>galerie::galerie_Images/13ca7f83.Path.110950.jpg</t>
  </si>
  <si>
    <t>CSC518HT@</t>
  </si>
  <si>
    <t>Sur demande garde d'enfant disponible avec supplément (CAP petite enfance)
Supplément de 30 euros pour la 5e pers
tarif remisé selon la durée du séjour : 15% au delà de 8 nuits &amp; 25% au delà de 15 nuits
*** Petite attention aux clients : cadeau de bienvenue artisanal (porte clé - magnet Réunion) et assiette dégustation ou fruits de saison et boisson fraîche à l'arrivée // conseils visites, randos, bonnes adresses ***
Livre d'Or à disposition des clients</t>
  </si>
  <si>
    <t>29348652</t>
  </si>
  <si>
    <t>Rose du Sud - Cottage de Charme</t>
  </si>
  <si>
    <t>cottage</t>
  </si>
  <si>
    <t>Rue Gabriel Macé</t>
  </si>
  <si>
    <t>-21.381814, 55.649100</t>
  </si>
  <si>
    <t>0692 73 22 71</t>
  </si>
  <si>
    <t>https://larosedusud.com/</t>
  </si>
  <si>
    <t>L’établissement possède une piscine chauffée extérieure bordée de chaises longues et d’un joli SPA en pierres naturelles.
Les services disponibles incluent notamment un parking public et une connexion Wi-Fi gratuits.
Capacité maximale : 1 à 6 personnes (enfants inclus).
Nos cottages sont équipés de 3 suites parentales pour 6 personnes, ou 2 suites parentales pour 4 personnes (chaque chambre, sa salle de bain), 2 TV, coin séjour, cuisine équipée, belle terrasse privée.
La superficie est de 75m2 (pour 6 personnes) et nos cottages sont climatisés de d’octobre à Mai.
Linge de lit et de toilette fourni, prévoyez vos serviettes de piscine.
129€ &gt; 1 suite
159€ &gt; 2 suites
219€ &gt; 3 suites</t>
  </si>
  <si>
    <t>Cottages de charme - Rose du Sud</t>
  </si>
  <si>
    <t>Apres la rivière Langevin en direction de st philippe, au rond point prendre la première  droite, le parking est accessible directement après le rond point</t>
  </si>
  <si>
    <t>climatisation , parking public , piscine , jacuzzi , vue montagne , sur réservation , vue mer , linge de maison , salon , jardin , TV , wifi gratuit , Cafetière , frigo , wifi , salon de jardin , jardin arboré , salle de bain , plaque de cuisson</t>
  </si>
  <si>
    <t>sentier de randonnée,point de vue panoramique,sites touristiques,commerce alimentaire,riviere,pêche,arrêt bus</t>
  </si>
  <si>
    <t>Espèces,Carte Bancaire,booking,site internet</t>
  </si>
  <si>
    <t>PoSt2271af</t>
  </si>
  <si>
    <t>f05c4977</t>
  </si>
  <si>
    <t>galerie::galerie_Images/d3b03299.Path.111754.jpg</t>
  </si>
  <si>
    <t>CSC608HTN</t>
  </si>
  <si>
    <t>Kaz Cyatheas</t>
  </si>
  <si>
    <t>Rue des Frères</t>
  </si>
  <si>
    <t>-21.247952, 55.469113</t>
  </si>
  <si>
    <t>kaz.cyatheas@gmail.com</t>
  </si>
  <si>
    <t>0692 44 96 98</t>
  </si>
  <si>
    <t>https://kaz-cyatheas.com/?fbclid=IwAR0Mwf3lXwe2FBq2tg2ehhwyw4CjdgIt-MSZEqoLtFjPwJMj-pfah3xYaz0</t>
  </si>
  <si>
    <t>La Kaz Cyatheas est une maison en bois sous tôle, dotée d’une architecture directement héritée des charpentiers de marine, avec son toit à quatre pans, ses bardeaux, sa varangue et les lambrequins.
Elle se compose d'une Suite parentale : Une grande chambre avec lit double, rangements,  et salle de bain privée ( double vasque, et baignoire)
et de 2 autres chambres avec 1 salle de bain
Une cuisine ouverte sur la pièce de vie Une grande pièce de vie avec une salle à manger et un salon</t>
  </si>
  <si>
    <t>Kaz Cyatheas - Maison Créole à l’Entre-Deux</t>
  </si>
  <si>
    <t>Depuis la RN1, entre Saint-Louis et Saint-Pierre, prendre la sortie Pierrefonds. Suivre la D26 jusqu'au village de l'Entre-Deux. Arrivé au centre ville, prendre la rue du Commerce, au stop première à gauche rue Nativel, puis encore à gauche au 2ème stop, vous êtes rue des frères. Nous sommes au 4, face à la ludothèque.</t>
  </si>
  <si>
    <t>salle de bain privée , baignoire , enceinte , vidéoprojecteur , linge de maison , salon , micro-ondes , linge de toilette , douche , four , Cafetière , frigo , cuisine équipée , salle à manger , salon de jardin , varangue , bouilloire , grille-pain , jeux , kiosques</t>
  </si>
  <si>
    <t>sentier de randonnée,riviere,site - lieu culturel,point de vue panoramique,Centre - Ville,arrêt bus,poste - boite aux lettres,transports en commun</t>
  </si>
  <si>
    <t>Virement,airbnb,Abritel,site internet,Le bon coin</t>
  </si>
  <si>
    <t>da052165</t>
  </si>
  <si>
    <t>91e54dde</t>
  </si>
  <si>
    <t>galerie::galerie_Images/c63865da.Path.052952.jpg</t>
  </si>
  <si>
    <t>CSC607HTM</t>
  </si>
  <si>
    <t>Initiation au carnet de voyage</t>
  </si>
  <si>
    <t>2</t>
  </si>
  <si>
    <t>Rue Fortune Hoarau</t>
  </si>
  <si>
    <t>-21.250257, 55.468980</t>
  </si>
  <si>
    <t>charlotte.druguet@hotmail.com</t>
  </si>
  <si>
    <t>0693 85 41 27</t>
  </si>
  <si>
    <t>Sortie dans le village de l'Entre-Deux, mélangeant atelier de dessin, balade touristique et botanique.
Découvrir ou redécouvrir les cases traditionnelles et ses jardins luxuriants avec une approche artistique.
Guidage et conseil techniques d'illustrations (perspectives, notions d'illustrations naturalistes…) tout en racontant les histoires biologiques des plantes présentent sur le trajet.
Tarif dégressif en fonction du nombre de participants</t>
  </si>
  <si>
    <t>Initiation au carnet de voyage - Illustrations et projets pédagogiques. Sensibilisation par l'émerveillement, la biologie et le dessin</t>
  </si>
  <si>
    <t>Point de rendez-vous au niveau du BIT de l'Entre-Deux</t>
  </si>
  <si>
    <t>vue montagne , visites pédagogiques , sur réservation , grand espace , vue mer , artiste</t>
  </si>
  <si>
    <t>sentier de randonnée,parking public,site - lieu culturel,point de vue panoramique,sites touristiques,Centre - Ville,commerce alimentaire</t>
  </si>
  <si>
    <t>52b00a00</t>
  </si>
  <si>
    <t>72cfa2bb</t>
  </si>
  <si>
    <t>galerie::galerie_Images/657dfaa4.Path.055249.jpg</t>
  </si>
  <si>
    <t xml:space="preserve">La Tomie </t>
  </si>
  <si>
    <t>-21.379025, 55.628071</t>
  </si>
  <si>
    <t>0692 68 78 59</t>
  </si>
  <si>
    <t>La Tomie est une charmante villa sur Saint Joseph avec sa piscine privée et chauffée dans un endroit calme et sans vis à vis, proche du centre ville (2 mn en voiture) et de toutes commodités, idéale pour visiter le sud sauvage. Elle dispose d'une terrasse donnant sur la piscine avec une barrière sécurisée, d'une cuisine ouverte sur la pièce à vivre, de 3 chambres dont 2 climatisées, d'une salle de bain avec 2 vasques. Les toilettes sont indépendantes. La villa dispose d'un abri voiture sécurisé.
Pour 6 adultes et 2 enfants
Attention pas de four
Pas de grosse fête, musique en sourdine</t>
  </si>
  <si>
    <t>Ventilée, au calme, agréable, pleine de charme cette petite maison rapidement accessible par la RN2 respire le repos, la famille, et les départs pour les randonnées. 
Remarque : c'est une piscine - jaccuzi, il n'y a pas de jaccuzi à part.
Accepte les animaux !</t>
  </si>
  <si>
    <t>Par la RN2, en venant de Saint - Pierre, prendre la route du centre ville qui passe devant la mairie, continuez sur la RN2, dépassez la ville, puis en sortie de ville au niveau de la caverne des hirondelles prendre la route sur la gauche qui monte, c'est dessuite à droite, rue Henri Mussard</t>
  </si>
  <si>
    <t>barbecue , climatisation , fer et planche à repasser , piscine , jacuzzi , jardin , salle de bain privée , TV , ventilateur , linge de maison , parking , TV satellite , salon , wifi gratuit , lave vaisselle , micro-ondes , sanitaires privés , wifi , douche , téléphone , linge de toilette , cuisine , jardin arboré , accès internet , piscine chauffée , serviettes. , terrasse , lave-linge , cuisine équipée , jardin clôturé , parking sécurisé , tout équipé , salle de bain , cour clôturée , cours clôturée , sur réservation , veranda couverte , plaque de cuisson , frigo , salon climatisé , salle à manger</t>
  </si>
  <si>
    <t>sentier de randonnée,riviere,centre commercial,site - lieu culturel,commerce alimentaire,sites touristiques,Bassin de Manapany,arrêt bus,jardin,plage,transports en commun,commerces,station essence,station service,Centre - Ville,centre ville de Saint-Joseph,restaurants,sentiers de randonnées,hébergements</t>
  </si>
  <si>
    <t>Chèque,Virement,Espèces,Abritel</t>
  </si>
  <si>
    <t>569cc375</t>
  </si>
  <si>
    <t>galerie::galerie_Images/26752e8c.Path.153113.jpg</t>
  </si>
  <si>
    <t>Jean Luc et Florence sont chaleureux et prennent à coeur leur métier d'accueil de visiteurs ! Ils souhaitent être des référents pour les vacanciers, que la confiance se crée. Ils sont réglos et arrangeants à la fois.
Ils peuvent louer des voitures depuis chez eux (les appeler pour plus d'infos)
Ils sont plein de bons conseils, ont qq projets de développement
Attention : la piscine est une piscine - jaccuzi, c'est intégré dans la piscine, il n'y a pas de SPA à part
&gt; Voir sur AMIVAC aussi</t>
  </si>
  <si>
    <t>Impasse des Abyssins</t>
  </si>
  <si>
    <t>-21.371900, 55.588104</t>
  </si>
  <si>
    <t>0692607390</t>
  </si>
  <si>
    <t>GiMi73900T</t>
  </si>
  <si>
    <t>c05e86f8</t>
  </si>
  <si>
    <t>galerie::galerie_Images/09b407a2.Path.084050.jpg</t>
  </si>
  <si>
    <t>attestation location saisonnière
Repris par le fils Gael (le père est décédé)</t>
  </si>
  <si>
    <t>Restaurant ; Snack-bar</t>
  </si>
  <si>
    <t>contact@tipany.com</t>
  </si>
  <si>
    <t>0692284511</t>
  </si>
  <si>
    <t>Quoi de plus réconfortant qu'une bonne crêpe bretonne salée ou sucrée sous une varangue en bois pas loin du bassin de Manapany ?!</t>
  </si>
  <si>
    <t>Par la RN2, prendre en direction de l'Océan la rue martin luther king, au stop prendre à droite, continuer près d'un km, sur la droite Ti Pany est sous les arbres</t>
  </si>
  <si>
    <t>parking , ventilateur , espace de restauration , restauration , terrasse , espace de restauration en extérieur</t>
  </si>
  <si>
    <t>parking public,site - lieu culturel,point de vue panoramique,sites touristiques,Bassin de Manapany,arrêt bus,centre commercial,transports en commun,restaurants,snack,bassin</t>
  </si>
  <si>
    <t>4511kH</t>
  </si>
  <si>
    <t>3a874e01</t>
  </si>
  <si>
    <t>galerie::galerie_Images/aa0048d4.Path.175205.png</t>
  </si>
  <si>
    <t>Nous attendons le dernier document de statut juridique</t>
  </si>
  <si>
    <t>LA VILLA ROSANNA - L'Océan</t>
  </si>
  <si>
    <t>8 D</t>
  </si>
  <si>
    <t>Pascal BLAISE</t>
  </si>
  <si>
    <t>-21.267607, 55.497895</t>
  </si>
  <si>
    <t>lavillarosanna.pro@gmail.com</t>
  </si>
  <si>
    <t>0693480525</t>
  </si>
  <si>
    <t>https://www.lavillarosanna.fr/</t>
  </si>
  <si>
    <t>Le site vous fait profiter d'une vue plongeante sur la mer  et d'un magnifique coucher du soleil à admirer en amoureux, endroit paisible pour se détendre sur la plage de la piscine chauffée et prendre un verre sur votre terrasse ou balcon.
L'établissement se trouve proche de nombreux sites attractifs comme le sentier de Dassy, le bord de mer de Saint pierre avec sa plage, des parcours de santé, le Parc des Palmiers, pleins de lieux improbables,… et puis La plaine des Cafres qui donne accès au site du volcan et à de nombreux sentiers de randonnées et de promenades. 
En outre, les infrastructures, supermarchés, médecins, hôtels, restaurants, bars,… sont à proximité.</t>
  </si>
  <si>
    <t>Située à mi chemin entre mer et montagne, LA VILLA ROSANNA est à Trois Mares, un quartier du Tampon avec un climat doux et très agréable. C'est un lieu calme propice au repos pour se ressourcer. Loin du stress du quotidien, LA VILLA ROSANNA est une invitation à une pause pour un moment intime à deux. Nous vous proposons trois appartements confortables, indépendantes et spacieuses : La Réunionnaise, L'Océan et Bleu Azur.</t>
  </si>
  <si>
    <t>Depuis l'aéroport Roland Garros :
Itinéraire par les bas :
Sortir de l'aéroport et prendre la direction de Saint-Denis.
Ensuite, vous sortez de Saint-Denis en empruntant la route du littoral. 
Prendre la direction de Saint-Pierre. Ensuite, prendre la direction Le Tampon (RN3), environ 10 km.
Prendre la direction de Trois-Mares, vous continuerez à rouler sur la D3 jusqu'à arrivée à la mairie de Trois-Mares. Au rond-point, prendre le chemin Stéphane situé à gauche. Vous continuez à descendre le chemin et vous trouverez la rue BLAISE Pascal sur votre gauche. LA VILLA ROSANNA se situe à l'entrée de la rue, tout de suite à gauche.</t>
  </si>
  <si>
    <t>barbecue , fer et planche à repasser , vue montagne , sur réservation , grand espace , vue mer , linge de maison , parking , TV satellite , salon , wifi gratuit , lave vaisselle , lave linge privatif , micro-ondes , linge de toilette , douche , four , Cafetière , frigo , kitchenette équipée , sanitaires privés , terrasse , cuisine , billard , salle à manger , salle de bain privée , salon de jardin , accès internet , serviettes. , cour clôturée , plaque de cuisson , sèche-cheveux , piscine commune , bouilloire , grille-pain</t>
  </si>
  <si>
    <t>sentier de randonnée,commerce alimentaire,point de vue panoramique,sites touristiques,arrêt bus,poste - boite aux lettres,transports en commun,station service,pharmacie,boulangerie,banque - guichet automatique,Point chaud,stade de foot,médecin,tabac presse,coiffeur,Centre - Ville,pâtisserie,Gare routière,restaurants,piscine municipale,centre médical,hébergements,aire de jeux</t>
  </si>
  <si>
    <t>759c3102</t>
  </si>
  <si>
    <t>c83c6172</t>
  </si>
  <si>
    <t>galerie::galerie_Images/5d6f4ee1.Path.102817.jpg</t>
  </si>
  <si>
    <t>CSC500HT@</t>
  </si>
  <si>
    <t xml:space="preserve"> Rue Guichard</t>
  </si>
  <si>
    <t>-21.378357, 55.644616</t>
  </si>
  <si>
    <t>0262191197</t>
  </si>
  <si>
    <t>0692544199</t>
  </si>
  <si>
    <t>Disponible avec des tarifs dégressifs selon la durée et le nombre de personnes 
Charmante villa à louer à 115€/personne le week-end (tarif pour 20 personnes hors vacances et fêtes).
Profitez de ses 550m2 entièrement privatisés et équipés : piscine intérieure, jacuzzi, billard, bar, cuisine professionnelle, climatisation, linge de maison, etc…
Située à deux pas de la rivière de Langevin, vous pourrez vivre une expérience conviviale et reposante avec votre entourage grâce à ses nombreux espaces :
- 4 chambres familiales climatisées avec salles d'eau privatives
- 1 dortoir climatisé de 9 personnes
- 7 salles de bain
- un grand salon
- un coin spa</t>
  </si>
  <si>
    <t>VILLA AU BOIS NOIR - Langevin, Saint Joseph</t>
  </si>
  <si>
    <t>barbecue , climatisation , fer et planche à repasser , piscine , jacuzzi , vue montagne , grand espace , vue mer , lave linge collectif , linge de maison , parking , salon , chauffage , jardin , TV , lave vaisselle , micro-ondes , wifi , linge de toilette , douche , four , terrasse , cuisine , bar , bibliothéque , Cafetière , frigo , cuisine équipée , billard , salle à manger</t>
  </si>
  <si>
    <t>riviere,sites touristiques</t>
  </si>
  <si>
    <t>MuGu4199dA</t>
  </si>
  <si>
    <t>8f45a67d</t>
  </si>
  <si>
    <t>galerie::galerie_Images/f7daab5e.Path.104229.jpg</t>
  </si>
  <si>
    <t>ATTENTION : 12 juillet 2023 : en attente de l'attestation d'assurance (pb électricité)
Horaires flexibles (en fonction du client)
Au 14 novembre 2023 : tjs rien malgré une relance depuis juillet..</t>
  </si>
  <si>
    <t xml:space="preserve">Le Ti Loryo </t>
  </si>
  <si>
    <t>-21.242763, 55.480533</t>
  </si>
  <si>
    <t>0692 03 80 55</t>
  </si>
  <si>
    <t>https://mumucedric.wixsite.com/letiloryo</t>
  </si>
  <si>
    <t>🏡 Meublé Le Ti'Loryo pour👥 4 pers avec Jacuzzi Privatif♨️
Située sur la route du Dimitile à  600 m d'altitude 
Maison indépendante avec vue paranoramique sur les Montagnes et les sommets de l'ile  jusqu'à l'ocean... Un spendide levé de soleil sur les Plaines vous attends🌄.
🏠Composé de  2 chambres avec lit double + dressing, 1 salle de bains , 1 kitchenette ,1 parking privé. 
* 2 lits d'appoints possibles pour 2 enfants accompagnants sont disponibles gratuitements(soit 1 Lit parapluie bébé et 1 lit pliant/  Enfant-10 ans ) 
⚠️Location minimum 2 nuits et Accès par escalier ⚠️
✅Le Weekend (Vendredi à Dimanche ) : 1️⃣9️⃣5️⃣€
✅2 nuits en semaine ( Entre Lundi et Jeudi) : 1️⃣8️⃣0️⃣€</t>
  </si>
  <si>
    <t>🏡 Meublé Le Ti'Loryo ,à l' Entre-deux, Ile de la Réunion</t>
  </si>
  <si>
    <t>Quartier Ravine des Citrons</t>
  </si>
  <si>
    <t>barbecue , jacuzzi , vue montagne , vue mer , linge de maison , ventilateur , salon , TV , micro-ondes , linge de toilette , douche , Cafetière , frigo , terrasse , salon de jardin , salle de bain , baignoire , bouilloire , jeux , cuisine extérieure</t>
  </si>
  <si>
    <t>sentier de randonnée,point de vue panoramique,sites touristiques,Centre - Ville,riviere,station service</t>
  </si>
  <si>
    <t>Virement,Espèces,site internet</t>
  </si>
  <si>
    <t>SuMu8055oL</t>
  </si>
  <si>
    <t>99ff6d70</t>
  </si>
  <si>
    <t>CSC186HT@</t>
  </si>
  <si>
    <t>Kazalilas</t>
  </si>
  <si>
    <t>impasse des Lilas</t>
  </si>
  <si>
    <t>-21.274050, 55.513604</t>
  </si>
  <si>
    <t>gadamado974@hotmail.fr</t>
  </si>
  <si>
    <t>0692 33 68 98</t>
  </si>
  <si>
    <t>Le logement est très bien équipé, et se compose de trois chambres ( 2 double + 1 pour enfant avec un lit superposé) 
Salon et cuisine équipée 
Petit jardin avec la possibilité de garer 2 voitures à l'intérieur
Simplifiez-vous la vie dans ce logement paisible au centre ville du Tampon.</t>
  </si>
  <si>
    <t>Kazalilas Tampon villa de 3 chambres</t>
  </si>
  <si>
    <t>En direction du centre-ville du tampon, après bruno vidéo l'impasse se trouve à gauche. La maison se trouve au numéro 10 sur la droite</t>
  </si>
  <si>
    <t>fer et planche à repasser , vue montagne , linge de maison , ventilateur , salon , jardin , TV , micro-ondes , linge de toilette , douche , four , Cafetière , frigo , sanitaires privés , wifi , terrasse , cuisine équipée , salle à manger , salle de bain privée , serviettes. , salle de bain , cour clôturée , sèche-cheveux , parking sécurisé</t>
  </si>
  <si>
    <t>site - lieu culturel,point de vue panoramique,arrêt bus,centre commercial,Centre - Ville</t>
  </si>
  <si>
    <t>bef4e4cd</t>
  </si>
  <si>
    <t>8eb4cbaf</t>
  </si>
  <si>
    <t>galerie::galerie_Images/557db9e7.Path.074148.jpg</t>
  </si>
  <si>
    <t>CSC592HTP</t>
  </si>
  <si>
    <t>Bienvenue à la ferme chez France May LEBRETON</t>
  </si>
  <si>
    <t>12 bis</t>
  </si>
  <si>
    <t>Rue des Cryptomérias</t>
  </si>
  <si>
    <t>Plaine des Gregues</t>
  </si>
  <si>
    <t>-21.319939, 55.607670</t>
  </si>
  <si>
    <t>lbtfrancem802@gmail.com</t>
  </si>
  <si>
    <t>0692 87 09 80</t>
  </si>
  <si>
    <t>https://www.bienvenue-a-la-ferme.com/dom-tom/reunion/st-joseph/ferme/la-ferme-de-lebreton-france-may/633429?q&amp;ferme_decouverte=1&amp;callback_url=https%3A%2F%2Fwww.bienvenue-a-la-ferme.com%2Freunion%2Frecherche%2Floisirs%2F2648&amp;callback_zone_geo=reunion&amp;callback_relais_id=187890&amp;moteur=loisirs&amp;id_moteur=2648&amp;view=4&amp;fbclid=IwAR2bJYs4sT7ULF_aM1P9IyhWu_AmCJlgJOFPZ8rKaGf6SLCzcbUn0isRkEs</t>
  </si>
  <si>
    <t>Maison située à l'arrière de la maison de l'hôte
Le rez de chaussée se compose d'une pièce à vivre avec cuisine équipée
Salle d'eau et toilettes séparés
L'étage se compose de 2 chambres double avec vue montagne.
Possibilité de stationner 2 véhicules dans la cour 
Table à manger en extérieur</t>
  </si>
  <si>
    <t>Maison spacieuse dans le joli quartier de la Plaine des Grègues</t>
  </si>
  <si>
    <t>La maison se trouve dans le quartier de la Plaine des Grègues, en direction de la forêt du Rond au numéro 12bis.</t>
  </si>
  <si>
    <t>vue montagne , grand espace , linge de maison , salon , micro-ondes , linge de toilette , douche , four , Cafetière , frigo , kitchenette équipée , terrasse , salle à manger , serviettes. , salle de bain , parking sécurisé , lave-linge</t>
  </si>
  <si>
    <t>forêt,arrêt bus,Point chaud,stade de foot,commerce de proximité…,médecin</t>
  </si>
  <si>
    <t>8ffc87c4</t>
  </si>
  <si>
    <t>1eb4d32e</t>
  </si>
  <si>
    <t>galerie::galerie_Images/ad7a895d.Path.044644.jpg</t>
  </si>
  <si>
    <t>CSC662HTN</t>
  </si>
  <si>
    <t>Label "Bienvenu à la Ferme"</t>
  </si>
  <si>
    <t xml:space="preserve"> Allée des Palmiers</t>
  </si>
  <si>
    <t>-21.361904, 55.765816</t>
  </si>
  <si>
    <t>0262477106</t>
  </si>
  <si>
    <t>0692651429</t>
  </si>
  <si>
    <t>Dan'n Tan Lontan se compose de 3 bungalows : "Ti Kaz Kascad", "Ti Kaz Fleurs" et "Ti Kaz Zépices". Chaque bungalow dispose d'une chambre double, d'un salon-salle à manger, d'une cuisine équipée et d'une véranda.
2 bungalows peuvent accueillir 4 personnes et le 3ème a une capacité de 2 personnes. Ils possèdent un jardin privatif avec barbecue.
A disposition : berceau, chaise BB 
Dégustation des fruits du jardin selon saison. Endroit calme.
A proximité : les sentiers de randonnées, le Parc National, les tunnels de lave, piscine d'eau de mer du Baril, le Cap Méchant et découvrir la gastronomie locale et l'artisanat.</t>
  </si>
  <si>
    <t>barbecue , climatisation , fer et planche à repasser , four , jardin , lave linge privatif , lave vaisselle , micro-ondes , téléphone , TV , wifi</t>
  </si>
  <si>
    <t>OrLa1429Q1</t>
  </si>
  <si>
    <t>cb273da2</t>
  </si>
  <si>
    <t>galerie::galerie_Images/6e9cc7d3.Path.061016.jpg</t>
  </si>
  <si>
    <t>Attention pas de SIRET transmis à ce jour</t>
  </si>
  <si>
    <t>Rev'Horizon</t>
  </si>
  <si>
    <t>66</t>
  </si>
  <si>
    <t>Rue Alverdy</t>
  </si>
  <si>
    <t>-21.280549, 55.511381</t>
  </si>
  <si>
    <t>hoarau.benard@outlook.com</t>
  </si>
  <si>
    <t>0692 71 08 88</t>
  </si>
  <si>
    <t>L'appartement est entièrement équipé et comprend :
♦Une chambre avec un lit double
♦Une salle de bain avec douche
♦Une cuisine entièrement équipée
♦Une grande terrasse avec vue mer et montagne
-Séjour de 5 nuits minimum
- A partir de 70€ la nuit; ( tarif dégressif pour 15jours, 3 semaines, 1mois ) 
- Possibilité de location saisonnière plus longue durée (maximum 3 mois) avec tarif dégressif 
- Parking privatif extérieur (devant la propriété)
- Logement non fumeur,  non accessible aux PMR (escalier)
- Animaux non acceptés 
- Fêtes non autorisées</t>
  </si>
  <si>
    <t>Rév'Horizon : appartement type T2</t>
  </si>
  <si>
    <t>Au niveau de ferme et jardins des 600 prendre à droite rue Alverdy la maison se trouve au numéro 66</t>
  </si>
  <si>
    <t>jardin , lave linge privatif , salle de bain privée , TV , ventilateur , vue montagne , vue mer , linge de maison , salon , micro-ondes , linge de toilette , douche , Cafetière , frigo , wifi , terrasse , bibliothéque , cuisine équipée , salon de jardin , serviettes. , cour clôturée</t>
  </si>
  <si>
    <t>centre commercial,parking public,point de vue panoramique,Centre - Ville,commerce alimentaire,arrêt bus,poste - boite aux lettres,transports en commun,station service,Point chaud,sites - lieux culturels</t>
  </si>
  <si>
    <t>b4dc6de2</t>
  </si>
  <si>
    <t>0096ef05</t>
  </si>
  <si>
    <t>galerie::galerie_Images/79c14d47.Path.091117.jpg</t>
  </si>
  <si>
    <t>CSC604HTJ</t>
  </si>
  <si>
    <t>En conciergerie : Hublot</t>
  </si>
  <si>
    <t>L'Aquilégia</t>
  </si>
  <si>
    <t>31 A</t>
  </si>
  <si>
    <t xml:space="preserve"> Rue Gabriel Macé</t>
  </si>
  <si>
    <t>-21.385172, 55.645897</t>
  </si>
  <si>
    <t>nellytricart@hotmail.fr</t>
  </si>
  <si>
    <t>0651740120</t>
  </si>
  <si>
    <t>0692418054</t>
  </si>
  <si>
    <t>L'Aquilégia est équipée pour accueillir de 1 a 4 personnes. Le Meublé de Tourisme dispose d'un séjour, de 2 chambres individuelles entièrement climatisées, d'une kitchenette et d'une véranda donnant sur un jardin privatif.
A proximité immédiate des sites touristiques du Sud sauvage</t>
  </si>
  <si>
    <t>barbecue , climatisation , four , jardin , parking , TV</t>
  </si>
  <si>
    <t>8a2b73a2</t>
  </si>
  <si>
    <t>b9ccb7f4</t>
  </si>
  <si>
    <t>galerie::galerie_Images/3aa2c8a1.Path.055039.jpg</t>
  </si>
  <si>
    <t>en co-gestion avec la conciergerie Tropicalodge</t>
  </si>
  <si>
    <t>Coco Fanty</t>
  </si>
  <si>
    <t>162</t>
  </si>
  <si>
    <t>chemin Emmanuel Burel</t>
  </si>
  <si>
    <t>-21.265642, 55.501623</t>
  </si>
  <si>
    <t>cocofantyre@gmail.com</t>
  </si>
  <si>
    <t>06 93 33 67 64</t>
  </si>
  <si>
    <t>https://cocofanty.com/</t>
  </si>
  <si>
    <t>Les créations sont réalisées avec des pierres semies précieuses fabriquées en acier inoxydable argenté et dorée avec beaucoup de modèles uniques. 
Le prix commencent  à partir de 5 euros, paiement accepté CB, chèques, espèces.
Visible au marché forain du Tampon les samedi matin bientôt au marché forain de Saint Joseph le vendredi matin et aussi dans les divers expositions artisanale tout le long de l'année également les grandes manifestations comme Miel vert et Florilège au Tampon</t>
  </si>
  <si>
    <t>Créatrice de bijoux en pierre semi-précieuse alliant élégance et bien-être</t>
  </si>
  <si>
    <t>8d06ecd4</t>
  </si>
  <si>
    <t>ae54a0b8</t>
  </si>
  <si>
    <t>galerie::galerie_Images/5c5d3183.Path.050405.jpg</t>
  </si>
  <si>
    <t>Phyfarelis</t>
  </si>
  <si>
    <t>ARGAMASSE</t>
  </si>
  <si>
    <t>-21.207616, 55.493859</t>
  </si>
  <si>
    <t>pifjfred@hotmail.fr</t>
  </si>
  <si>
    <t>0692 37 72 47</t>
  </si>
  <si>
    <t>Situé au cœur du Parc national, le massif du Dimitile présente de nombreux sentiers prisés par les touristes, les sportifs et les passionnés
de nature.
Photographe naturaliste autodidacte, je me suis intéressé plus particulièrement à sa biodiversité et ce depuis février 2021 où j’ai photographié plus de 1200 champignons, 94 orchidées (dont 2 exotiques), plus de 200 fleurs (arbustes et plantes herbacées) et sans oublier la faune. Plus de 600 heures de marche ont été nécessaires pour capturer ces merveilles de la nature. Il faut s’y préparer physiquement pour gravir ce relief très accidenté et face à une météo changeante, il vaut mieux s’équiper et avoir de bonnes chaussures de randonnée. Il est important de noter que cette biodiversité est si fragile, il faut donc la respecter et la protéger. Avoir une passion, c’est la partager. Je vous invite donc à découvrir ces merveilles de la nature à travers mes différents supports.
***</t>
  </si>
  <si>
    <t>Photographe réalisant des supports (de type tableaux, magnets) à partir de ses prises</t>
  </si>
  <si>
    <t>0685157d</t>
  </si>
  <si>
    <t>da8f7dac</t>
  </si>
  <si>
    <t>galerie::galerie_Images/68ac422d.Path.101257.png</t>
  </si>
  <si>
    <t>N'a plus de stand car son contrat avec la coopérative est fini 
souhaite peut être faire guide
mais continue sa sensibilisation des espèces et travail avec les jardins et autres institutions</t>
  </si>
  <si>
    <t>38</t>
  </si>
  <si>
    <t>-21.227139, 55.577824</t>
  </si>
  <si>
    <t>0262593084</t>
  </si>
  <si>
    <t>0692748933</t>
  </si>
  <si>
    <t>chauffage , jardin , parking , sanitaires privés</t>
  </si>
  <si>
    <t>ArSy8933rA</t>
  </si>
  <si>
    <t>b7064dc9</t>
  </si>
  <si>
    <t xml:space="preserve">Le Kossassa </t>
  </si>
  <si>
    <t>74</t>
  </si>
  <si>
    <t>Route Nationale 2, Baril</t>
  </si>
  <si>
    <t>Baril</t>
  </si>
  <si>
    <t>-21.368886, 55.730063</t>
  </si>
  <si>
    <t>0693 70 76 21</t>
  </si>
  <si>
    <t>0693707621</t>
  </si>
  <si>
    <t>Boutique de vente directe, spécialisée dans la transformation de canne à sucre, rhum, muscovado, galabé, jus de cannes, vinaigre etc.
On peut parfois le retrouver au marché</t>
  </si>
  <si>
    <t>Boutique de produits du terroir bio, cannes à sucre et dérivés.</t>
  </si>
  <si>
    <t>Sur la RN2, face à la balance cannes baril</t>
  </si>
  <si>
    <t>Produits artisanaux , boutique</t>
  </si>
  <si>
    <t>route des laves,sentier de randonnée,commerce alimentaire,pêche,parking public,site - lieu culturel,point de vue panoramique,restaurants,ferme équestre,sentiers de randonnées,sites touristiques,tunnels de lave,littoral,sites - lieux culturels</t>
  </si>
  <si>
    <t>hAr7621FF</t>
  </si>
  <si>
    <t>5d8fecd1</t>
  </si>
  <si>
    <t>galerie::galerie_Images/f5dacccf.Path.064605.png</t>
  </si>
  <si>
    <t xml:space="preserve">Le Labyrinthe en Champ Thé </t>
  </si>
  <si>
    <t>Plantation ; Visite guidée ; Boutique</t>
  </si>
  <si>
    <t>Bienvenue à la ferme,Qualité Tourisme Ile de La Réunion,Agriculture Biologique : AB,Esprit Parc,100% La Réunion</t>
  </si>
  <si>
    <t xml:space="preserve"> rue Emile Mussard</t>
  </si>
  <si>
    <t>-21.295987, 55.629448</t>
  </si>
  <si>
    <t>0692 60 18 88</t>
  </si>
  <si>
    <t>0692601888</t>
  </si>
  <si>
    <t>Lors des visites encadrées, le guide accompagne sur le circuit à la découverte du thé, de son histoire à La Réunion, de la fabrication, découverte du géranium et de son alambic, puis visite à travers la forêt de théiers et dégustation des produits de la ferme dont le thé blanc.
Vente de thé et d’huiles essentielles de l’exploitation, de miel et autres produits agricoles.
Possibilité d’amener son pique-nique à l’intérieur du labyrinthe. (Selon évolution des restrictions sanitaires)
Salon de thé à disposition et boutique des produits de la structure et d'autres partenaires (glaces artisanales au thé de la maison GAC, café de l’orbe du café, bijoux, curcuma, miel, accessoires thé...)
Visite guidée en semaine et en week-end, à 10h00, 11h00 et 14h00, 15h00, sur réservation 24h00 à l’avance (de préférence).
Visite libre du lundi au dimanche de 9h30 à 15h30. La boutique reste ouverte jusqu'à 17h00.
Visite de groupe jusqu'à 25 personnes.
Pour les particuliers, réservation au plus tard la veille. Réservation obligatoire 10 jours à l’avance pour scolaires, associations et comités d’entreprise.
Tarif visite guidée adulte : 8,50€
Tarif visite libre adulte : 5,50€
Tarif visite guidée ou libre enfant (6 à 12 ans) : 4,50€</t>
  </si>
  <si>
    <t>terrasse , boutique , parking public , jardin</t>
  </si>
  <si>
    <t>sentier de randonnée,parking public,point de vue panoramique,forêt,sites touristiques,transports en commun,commerces,sites - lieux culturels,restaurants,hébergements,maraicher</t>
  </si>
  <si>
    <t>Chèque,Chèques vacances,Virement,Espèces,Carte Bancaire</t>
  </si>
  <si>
    <t>GuJo18883O</t>
  </si>
  <si>
    <t>ec25aa51</t>
  </si>
  <si>
    <t>galerie::galerie_Images/08efbe45.Path.055326.jpg</t>
  </si>
  <si>
    <t>La Maison du Thé reste ouverte du lundi au dimanche de 9h30 à 17h00 pour l'ensemble de ces produits.
- Visite guidée à 10h, 11h, 14h et 15h sur réservation au 0692 601 888 ou sur notre site internet https://enchampthe.com,
Tarif: 8.50€ par adulte, 4.50€ enfant de 6 à 12ans et gratuit -6 ans.
- Visite libre possible de 9h30 jusqu'à 15h30,
Tarif: 5.50€ par adulte, 4.50€ enfant de 6 à 12ans et gratuit -6 ans.</t>
  </si>
  <si>
    <t>Eric LAVALLE</t>
  </si>
  <si>
    <t>121</t>
  </si>
  <si>
    <t>rue Benjamin Hoarau Appt 2</t>
  </si>
  <si>
    <t>-21.277487, 55.512838</t>
  </si>
  <si>
    <t>ericlavalle3@gmail.com</t>
  </si>
  <si>
    <t>0692 33 04 45</t>
  </si>
  <si>
    <t>Achat et vente d'épices, fruits, légumes, condiments et produits alimentaires
et non alimentaires divers, fabrication de condiments et assaisonnements
d'épices, de vinaigre et de sauces</t>
  </si>
  <si>
    <t>La saveur inoubliable d'une Île : La Réunion</t>
  </si>
  <si>
    <t>Se situe au dessus de la gare du Tampon</t>
  </si>
  <si>
    <t>4ef15eb1</t>
  </si>
  <si>
    <t>1c2e8b00</t>
  </si>
  <si>
    <t>La Belle Lalia</t>
  </si>
  <si>
    <t>63b</t>
  </si>
  <si>
    <t>Route Nationale 2</t>
  </si>
  <si>
    <t>-21.370627, 55.712605</t>
  </si>
  <si>
    <t>huet-sarah@hotmail.com</t>
  </si>
  <si>
    <t>0692 02 51 42</t>
  </si>
  <si>
    <t>Située au cœur du sud sauvage à Saint-Philippe, La Belle Lalia vous propose un hébergement pouvant accueillir 6 personnes. Elle est dotée de 3 chambres à coucher avec wifi et d'une cuisine commune. Afin de vous détendre, nous mettons à votre disposition un spa.
Tarif: 145 euros / nuit minimum 2 nuits. Prix dégressif à partir d'une semaine
🖱🖥wifi gratuit
- Parking privé gratuit (2 places)
- Barbecue
- Caution demandée à l'arrivée des clients: 400€
- Frais de ménage: 50€
❌❌ animaux interdits
❌❌ Fête et nuisance sonore strictement interdites
Horaires flexibles</t>
  </si>
  <si>
    <t>La belle Lalia meublé + SPA</t>
  </si>
  <si>
    <t>micro-ondes , four , salle à manger , salle de bain , jeux , cuisine équipée , lave-linge , wifi , climatisation , jacuzzi , jardin , TV</t>
  </si>
  <si>
    <t>restaurants,point de vue panoramique,forêt,poste - boite aux lettres,transports en commun,Point chaud,sites - lieux culturels</t>
  </si>
  <si>
    <t>Chèque,Virement,Espèces,booking,airbnb,Le bon coin</t>
  </si>
  <si>
    <t>e1623885</t>
  </si>
  <si>
    <t>04cf6a13</t>
  </si>
  <si>
    <t>galerie::galerie_Images/9a8253bf.Path.064630.jpg</t>
  </si>
  <si>
    <t>CSC569HTT</t>
  </si>
  <si>
    <t>Meublé des Neiges</t>
  </si>
  <si>
    <t>15</t>
  </si>
  <si>
    <t>Chemin de la Chapelle</t>
  </si>
  <si>
    <t>Notre Dame de la Paix</t>
  </si>
  <si>
    <t>-21.248559, 55.593159</t>
  </si>
  <si>
    <t>mussard.j38@gmail.com</t>
  </si>
  <si>
    <t>0692 67 24 49</t>
  </si>
  <si>
    <t>Nichée à 1600m d'altitude, location saisonnière toute équipée location saisonnière de 120m²
Grande pièce à vivre avec cuisine équipée et baby foot
capacité 3 chambres + 2 salles de bains avec douche à l'italienne 
les deux chambres à l'étage se compose de deux lits doubles chacune 
Caution pour animaux (à voir avec le propriètaire)</t>
  </si>
  <si>
    <t>Prendre en direction de Notre Dame de la Paix 
Chemin Chapelle après le tournant la structure se trouve en haut d'une pente il faut prendre un petit chemin de terre à gauche</t>
  </si>
  <si>
    <t>barbecue , fer et planche à repasser , vue montagne , grand espace , vue mer , linge de maison , parking , TV satellite , salon , jardin , espace de restauration , micro-ondes , linge de toilette , douche , four , Cafetière , frigo , wifi , terrasse , cuisine équipée , salle à manger , Lit parapluie sur demande , serviettes. , bouilloire , grille-pain , babyfoot , jeux , poêle à bois , netflix</t>
  </si>
  <si>
    <t>sentier de randonnée,point de vue panoramique,sites touristiques,équitation,forêt</t>
  </si>
  <si>
    <t>2b929257</t>
  </si>
  <si>
    <t>0a1d6961</t>
  </si>
  <si>
    <t>galerie::galerie_Images/92b83d51.Path.061823.jpg</t>
  </si>
  <si>
    <t>CSC601HTG</t>
  </si>
  <si>
    <t>Villa Ti MoOn</t>
  </si>
  <si>
    <t>-21.255250, 55.467216</t>
  </si>
  <si>
    <t>0766 72 35 56</t>
  </si>
  <si>
    <t>Toutes les chambres disposent d'une armoire. (3 chambres) 
Leur salle de bains privative est pourvue d'une douche et d'articles de toilette gratuits. Certaines chambres comprennent une cuisine équipée d'un réfrigérateur. Le linge de lit et les serviettes sont fournis.
Un petit-déjeuner continental est servi sur place.
La Villa Ti MoOn, Entre deux, Piscine possède un barbecue.
Possibilité de garer 4 à 5 voitures dans le jardin</t>
  </si>
  <si>
    <t>Chambre d'hôtes - Villa Ti Moon</t>
  </si>
  <si>
    <t>brasero , barbecue , climatisation , fer et planche à repasser , piscine , vue montagne , grand espace , vue mer , lave linge collectif , linge de maison , parking , salon , jardin , TV , espace de restauration , wifi gratuit , lave vaisselle , espace spa - bien être , micro-ondes , linge de toilette , douche , four , Cafetière , frigo , terrasse , bar , bibliothéque , cuisine équipée , salle à manger , salon de jardin , jardin arboré , serviettes. , bouilloire , grille-pain , jardin clôturé</t>
  </si>
  <si>
    <t>sentier de randonnée,parking public,site - lieu culturel,point de vue panoramique,riviere,sites touristiques,arrêt bus</t>
  </si>
  <si>
    <t>4d284dca</t>
  </si>
  <si>
    <t>galerie::galerie_Files_/42e0aaa9.Path.061105.webp</t>
  </si>
  <si>
    <t>CSC593HTQ</t>
  </si>
  <si>
    <t>nom de société "LOCAVAKA"</t>
  </si>
  <si>
    <t xml:space="preserve"> Chemin Mazeau</t>
  </si>
  <si>
    <t>-21.250717, 55.516979</t>
  </si>
  <si>
    <t>0692 60 73 94</t>
  </si>
  <si>
    <t>Vous serez logé dans une maison (type bungalow) comprenant un espace de nuit à l'étage (meuble de rangement du linge, fauteuil et télévision, wifi., lit 2 personnes 160X200, petit lit parapluie si besoin..) - au Rez de chaussée vous aurez la partie cuisine équipée, salle de bain, canapé (très bonne literie pour 2 personnes), petit coin repas pour 4 personnes. Vous avez un kiosque dans la cour en contre-bas pour vos repas si vous le souhaitez. Vous avez une entrée parking personnelle
🚗Si les voyageurs souhaitent qu'on les récupère à l'aéroport, moyennant 50 € de frais de déplacement, les propriétaires peuvent leur assurer ce confort s'il est prévenu à l'avance, suivant ses disponibilités.</t>
  </si>
  <si>
    <t>Venez vous reposer et profitez du bon air des hauts dans un cadre agréable ! Chez Aliette et Edmond !</t>
  </si>
  <si>
    <t>balcon , fer et planche à repasser , lave linge privatif , parking , linge de toilette , Cafetière , frigo , wifi , cuisine , serviettes. , sèche-cheveux</t>
  </si>
  <si>
    <t>arrêt bus,poste - boite aux lettres,jardin,Point chaud,stade de foot,tabac presse,coiffeur,commerces,sites - lieux culturels,station essence,pâtisserie</t>
  </si>
  <si>
    <t>AbAl73943i,00723998FA</t>
  </si>
  <si>
    <t>5515fa58</t>
  </si>
  <si>
    <t>galerie::galerie_Images/5afd00ff.Path.105225.jpg</t>
  </si>
  <si>
    <t>Cette dame est mécontente sur la signalétique, et a des difficultés avec l'IRT</t>
  </si>
  <si>
    <t xml:space="preserve">L'Escala </t>
  </si>
  <si>
    <t xml:space="preserve"> Rue Miquel</t>
  </si>
  <si>
    <t>-21.369883, 55.676422</t>
  </si>
  <si>
    <t>0692 51 09 59</t>
  </si>
  <si>
    <t>Venez profiter d'une cuisine ainsi que d'un coin repas extérieur 
Une charmante chambre climatisée à l'ambiance cozy et naturelle
jacuzzi, barbecue , wifi</t>
  </si>
  <si>
    <t>Charmante location saisonnière située dans le Sud Sauvage : un bungalow indépendant et confortable</t>
  </si>
  <si>
    <t>Quartier de Vincendo</t>
  </si>
  <si>
    <t>bouilloire , barbecue , jacuzzi , vue mer , linge de maison , micro-ondes , linge de toilette , douche , four , Cafetière , frigo , wifi , terrasse , cuisine équipée , salle de bain</t>
  </si>
  <si>
    <t>sentier de randonnée,site - lieu culturel,point de vue panoramique,sites touristiques,commerce alimentaire,riviere</t>
  </si>
  <si>
    <t>MoMa0959jX</t>
  </si>
  <si>
    <t>be76ad31</t>
  </si>
  <si>
    <t xml:space="preserve">La Case Charmante </t>
  </si>
  <si>
    <t xml:space="preserve"> Rue le Bord</t>
  </si>
  <si>
    <t>-21.243622, 55.472774</t>
  </si>
  <si>
    <t>0693 81 63 40</t>
  </si>
  <si>
    <t>La Case Charmante est une location d’une maison meublée avec 3 chambres climatisées, grand séjour climatisé tout confort, d’une capacité de 6 à 8 personnes maximum. Située à l’Entre-Deux, village créole par excellence, calme, agréable à séjourner, renommé pour sa tranquillité et ses maisons créoles ainsi que pour ses circuits de découverte et ses nombreux sentiers de randonnées.
Tarifs nuitée: 100€ pour 2 à 3 personnes. 25€ par personne supplémentaire 12€ enfant moins 16 ans. Minimum 2 nuits Tarifs dégressifs à partir d’une semaine</t>
  </si>
  <si>
    <t>La Case Charmante - Entre-Deux</t>
  </si>
  <si>
    <t>vue montagne , vue mer , salon , micro-ondes , linge de toilette , douche , four , Cafetière , frigo , cuisine équipée , cour clôturée</t>
  </si>
  <si>
    <t>sentier de randonnée,riviere,Centre - Ville,commerce alimentaire</t>
  </si>
  <si>
    <t>GrMa6340W5</t>
  </si>
  <si>
    <t>33c66740</t>
  </si>
  <si>
    <t>galerie::galerie_Images/6acc4986.Path.074837.jpg</t>
  </si>
  <si>
    <t>CSC314HT@</t>
  </si>
  <si>
    <t>le prestataire à informer par téléphone à ce jour le 29/12/2021 qu'il est fermé provisoirement jusqu'au mois de Juillet 2022</t>
  </si>
  <si>
    <t xml:space="preserve"> Impasse Mickael Lossy</t>
  </si>
  <si>
    <t>0692 46 81 89</t>
  </si>
  <si>
    <t>Situé au Coin Tranquille de La Plaine des Cafres , le Bellevue Mer &amp; Montagne propose une vue imprenable sur la mer et sur la montagne.
Si vous cherchez la tranquillité et l'air pur, c'est ici, dans un espace rural des hauts de l'île.
L'appartement comprend une chambre, un salon, une salle d'eau, une kitchenette et une varrangue et est classé 2 étoiles.</t>
  </si>
  <si>
    <t>Bellevue Mer &amp; Montagne ** - appartement en résidence</t>
  </si>
  <si>
    <t>Quartier Coin Tranquille - PDC</t>
  </si>
  <si>
    <t>fer et planche à repasser , parking , espace de restauration , cuisine équipée , grille-pain , balcon , vue montagne , vue mer , linge de maison , chauffage , TV , wifi gratuit , linge de toilette , douche , four , Cafetière , frigo , wifi , serviettes. , sèche-cheveux , bouilloire</t>
  </si>
  <si>
    <t>point de vue panoramique,sites touristiques,commerce alimentaire,forêt,arrêt bus</t>
  </si>
  <si>
    <t>LeSu81897b</t>
  </si>
  <si>
    <t>1d753484</t>
  </si>
  <si>
    <t>galerie::galerie_Images/a87af688.Path.091954.jpg</t>
  </si>
  <si>
    <t>(fermé au 01/09/2024)</t>
  </si>
  <si>
    <t xml:space="preserve">L'Avocat Bleu </t>
  </si>
  <si>
    <t xml:space="preserve"> Chemin Alexandre Sery</t>
  </si>
  <si>
    <t>-21.241697, 55.515828</t>
  </si>
  <si>
    <t>0262 27 21 46</t>
  </si>
  <si>
    <t>0692657054</t>
  </si>
  <si>
    <t>Idéalement située au 17ème km au Tampon la villa avocat bleu vous permettra de profiter pleinement de moments privilégiés entre amis ou en famille entrées mer et montagne. 
Avec ses 7 chambres et un dortoir, 2 salles de bains, 2 salons et un grand espace extérieur équipé de barbecue /foyer feu de bois ,ainsi que divers jeux(ping-pong 🏓 baby foot,balancoire..etc)...
FETE ET MUSIQUE AUTORISÉE DANS LE RESPECT DU VOISINAGE 
cette villa de charme saura vous séduire...d une capacité d'accueil de 15 personnes (possibilité d'accueillir plus avec un supplément de 25 euros par personne. La villa avocat bleu sera le lieu idéal pour tous vos événements (anniversaire...Etc )...
possibilité de visiter avant les réservations....💥💥💥💥
tarifs 900 euros //week-end //pour 15 personnes.
et pour une semaine 1250 euros du lundi au vendredi matin 10h....et moins de 15 personnes</t>
  </si>
  <si>
    <t>Villa avocat bleu avec piscine</t>
  </si>
  <si>
    <t>Au 17è km</t>
  </si>
  <si>
    <t>bouilloire , barbecue , piscine , jardin , salle de bain privée , vue montagne , parking , salon , linge de toilette , douche , four , Cafetière , frigo , terrasse , cuisine équipée , salon de jardin , cuisine au bois , parking sécurisé , jeux , cuisine extérieure</t>
  </si>
  <si>
    <t>centre commercial,parking public,site - lieu culturel,point de vue panoramique,commerce alimentaire,équitation,arrêt bus,poste - boite aux lettres,transports en commun</t>
  </si>
  <si>
    <t>Le bon coin,Chèque,Virement,Espèces</t>
  </si>
  <si>
    <t>CoDa7054nA</t>
  </si>
  <si>
    <t>8c831f50</t>
  </si>
  <si>
    <t xml:space="preserve">L'Antre du Fouquet </t>
  </si>
  <si>
    <t>249</t>
  </si>
  <si>
    <t>Rue Bras Long</t>
  </si>
  <si>
    <t>-21.223790, 55.474278</t>
  </si>
  <si>
    <t>0692 04 95 55</t>
  </si>
  <si>
    <t>Mon logement est très apprécié car il est au calme dans la nature. Logement d architecte très moderne. Vous pourrez profiter d un moment inoubliable dans la mezzanine en filet de catamaran. Vous pouvez même y dormir vous ou vos enfants.
Vous disposez d une grande chambre avec SDB privative. Et vous avez accès à la très grande cuisine équipée. Cette cuisine est commune aux 2 logements. Elle est équipée pour recevoir 2 groupes différents. Elle dispose de beaucoup d éléments en double permettant à chacun d avoir son espace cuisine.
 Chaque pièce dispose de grandes baies vitrées donnant sur le jardin. Idéal pour se ressourcer tout en profitant du confort !</t>
  </si>
  <si>
    <t>Cette maison d’architecte a été construite récemment sur un grand terrain arboré. Les chambres privées se trouve à 2 km du centre-ville, un peu à l’écart du village et dans une rue peu fréquentée. C’est un vrai havre de paix !</t>
  </si>
  <si>
    <t>brasero , grille-pain , bouilloire , barbecue , fer et planche à repasser , lave linge collectif , linge de maison , parking , chauffage , jardin , TV , micro-ondes , linge de toilette , douche , four , Cafetière , frigo , vue montagne , vue mer , wifi , terrasse , cuisine équipée , Lit parapluie sur demande , sèche linge privatif , serviettes. , sèche-cheveux</t>
  </si>
  <si>
    <t>sentier de randonnée,point de vue panoramique,Point chaud</t>
  </si>
  <si>
    <t>AsCh9555vy</t>
  </si>
  <si>
    <t>997a5c6b</t>
  </si>
  <si>
    <t>0692 33 16 04</t>
  </si>
  <si>
    <t>parking , linge de toilette , TV , linge de maison , jardin , cuisine , barbecue</t>
  </si>
  <si>
    <t>ChJe16040m</t>
  </si>
  <si>
    <t>b65f10ca</t>
  </si>
  <si>
    <t>galerie::galerie_Images/0db69cd5.Path.112814.jpg</t>
  </si>
  <si>
    <t xml:space="preserve">Le Chalet Co Gite </t>
  </si>
  <si>
    <t>Pente</t>
  </si>
  <si>
    <t>-21.189956, 55.505894</t>
  </si>
  <si>
    <t>0693 94 99 92</t>
  </si>
  <si>
    <t>0692925523</t>
  </si>
  <si>
    <t>Gîte écologique en agroforesterie
Cuisine locale, végétarien, vegan
Capacité max 20 personnes
Camping et woofing possible
Accès depuis le Portail du Dimitile entre 2h &amp; 3h à pied et 1h30 en 4x4
Bungalow équipé. Les gens ramènent généralement leurs affaires. 35 à 40euro par personne la nuitée . Rajouter 20 euros pour le repas. 
Possibilité de woofing</t>
  </si>
  <si>
    <t>🏡 Gîte écologique en agroforesterie
🍽️ Manzé lokal, végétarien/vegan ou flexitarien
😴 Capacité max 20</t>
  </si>
  <si>
    <t>Randonnée à pied depuis le parking du Dimitile
Prendre la piste 4x4 sur 50 m (1 min) puis tourner à gauche sur le Sentier Bœuf - La Chapelle jusqu'à la piste 4x4 (30-40 min)
Marcher sur la piste 4x4 sur 1 km (15-20 min) puis prendre à droite sur le Sentier Mal au Ventre jusqu'à la piste 4x4 (45 min-1 heure)
Monter a gauche sur la piste 4x4, dépasser la chaine (15-20 min) pour prendre à droite direction Le Chalet
Prendre a gauche pour descendre direction Le Chalet une dernière fois sur la piste 4x4. Attention ça glisse (10-15 min). Le chalet se trouve sur votre droite, entrer par le portail vert.
Position GPS : 21°11'24.1"S 55°30'20.5"E</t>
  </si>
  <si>
    <t>vue montagne , sur réservation , grand espace , vue mer , jardin , espace de restauration , restauration</t>
  </si>
  <si>
    <t>sentier de randonnée,forêt</t>
  </si>
  <si>
    <t>anglais,créole,espagnol,Français,portugais</t>
  </si>
  <si>
    <t>JoQu5523aZ</t>
  </si>
  <si>
    <t>30e0ba7a</t>
  </si>
  <si>
    <t>galerie::galerie_Images/fe05bd4f.Path.072332.jpg</t>
  </si>
  <si>
    <t>L'Eskalia</t>
  </si>
  <si>
    <t xml:space="preserve"> Rue Aime Turpin</t>
  </si>
  <si>
    <t>-21.374100, 55.631669</t>
  </si>
  <si>
    <t>0692 85 04 74</t>
  </si>
  <si>
    <t>Grande terrasse, Spa privé, Piscine commune
Capacité de couchage: 3 adultes
Cet appartement climatisé comprend une chambre, un salon, une cuisine entièrement équipée avec un réfrigérateur et une machine à café ainsi qu'une salle de bains avec une baignoire ou une douche et un jacuzzi. Les serviettes et le linge de lit sont fournis.</t>
  </si>
  <si>
    <t>Maison de location saisonnière 3 étoiles idéalement située.</t>
  </si>
  <si>
    <t>sauna , climatisation , salon , sanitaires privés , salon de jardin , salle de bain , barbecue , bouilloire , piscine , jacuzzi , linge de maison , jardin , TV , lave vaisselle , micro-ondes , linge de toilette , douche , four , Cafetière , frigo , wifi , terrasse , cuisine équipée</t>
  </si>
  <si>
    <t>riviere,sites touristiques,boulangerie,commerce alimentaire,point de vue panoramique,arrêt bus,transports en commun,pharmacie,Point chaud,centre ville de Saint-Joseph</t>
  </si>
  <si>
    <t>MaRe0474XJ</t>
  </si>
  <si>
    <t>24ba8832</t>
  </si>
  <si>
    <t>galerie::galerie_Images/75570e0e.Path.112305.jpg</t>
  </si>
  <si>
    <t>Yab Car</t>
  </si>
  <si>
    <t>Rue Theophile Gautier</t>
  </si>
  <si>
    <t>-21.294539, 55.625372</t>
  </si>
  <si>
    <t>guillaumegrondin@live.fr</t>
  </si>
  <si>
    <t>0692 51 89 61</t>
  </si>
  <si>
    <t>Yab Car est une petite entreprise de transport de personnes.
Elle a pour but de faire découvrir l’île de la Réunion ainsi que faciliter les transferts de touristes et locaux.
Avec un service de qualité et un véhicule confortable, Yab Car offre à ses clients l’opportunité de voyager dans les meilleurs conditions.</t>
  </si>
  <si>
    <t>Votre destination, notre engagement.</t>
  </si>
  <si>
    <t>b8ab7f32</t>
  </si>
  <si>
    <t>98c7f9f3</t>
  </si>
  <si>
    <t>galerie::galerie_Images/e6a7628c.Path.051733.jpg</t>
  </si>
  <si>
    <t>Grand</t>
  </si>
  <si>
    <t>Bassin</t>
  </si>
  <si>
    <t>0692 77 38 44</t>
  </si>
  <si>
    <t>Si marcher ne vous fait pas peur pour trouver un lieu idyllique et un coin agréable où il fait bo</t>
  </si>
  <si>
    <t>jacuzzi , vue montagne , linge de maison , salon , linge de toilette , serviettes. , petit déjeuner créole ou classique</t>
  </si>
  <si>
    <t>village du grand bassin,sentier de randonnée,point de vue panoramique,sentier de grande randonnée,riviere</t>
  </si>
  <si>
    <t>FoLa3844RL</t>
  </si>
  <si>
    <t>9a1c0936</t>
  </si>
  <si>
    <t>galerie::galerie_Images/8321481d.Path.062405.jpg</t>
  </si>
  <si>
    <t xml:space="preserve"> Rue Jean Bart</t>
  </si>
  <si>
    <t>0692861213</t>
  </si>
  <si>
    <t>BaSt1213KW</t>
  </si>
  <si>
    <t>1f9455b9</t>
  </si>
  <si>
    <t>-21.381782, 55.649104</t>
  </si>
  <si>
    <t>0262 68 85 56</t>
  </si>
  <si>
    <t>0692732271</t>
  </si>
  <si>
    <t>Les bungalows disposent d'un lit double, d'un canapé-lit, d'un coin cuisine avec réfrigérateur, micro-ondes, d'un écran plat et d'une terrasse face à la piscine.
Les draps et serviettes sont fournis et changés régulièrement.
Les locations sont décorées avec goût et charme. Les bungalows sont climatisés.
Frangipanier est accessible aux PMR.</t>
  </si>
  <si>
    <t>Trois bungalows appelés :
- Goyavier
- Frangipanier
- Manguier 
seront mis à votre disposition pour passer un séjour inoubliable entre amis ou en famille dans le Sud Sauvage.</t>
  </si>
  <si>
    <t>canapé lit , climatisation , piscine , grand espace , linge de maison , parking , jardin , TV , espace spa - bien être , micro-ondes , linge de toilette , douche , kitchenette équipée , terrasse , salon de jardin , jardin arboré , accès internet , salle de bain</t>
  </si>
  <si>
    <t>sentier de randonnée,point de vue panoramique,sites touristiques,Centre - Ville,commerce alimentaire,forêt,riviere,arrêt bus</t>
  </si>
  <si>
    <t>Chèque,Espèces,booking,site internet,reunion.fr</t>
  </si>
  <si>
    <t>6bb1afc7</t>
  </si>
  <si>
    <t>Chez M. Cassier Michel</t>
  </si>
  <si>
    <t>4B</t>
  </si>
  <si>
    <t>allée de l'aiglon</t>
  </si>
  <si>
    <t>-21.266618, 55.514361</t>
  </si>
  <si>
    <t>cassier.michel@hotmail.fr</t>
  </si>
  <si>
    <t>0692874164</t>
  </si>
  <si>
    <t>Entre mer et montagne - vue panoramique et proximité toutes commodités
Magnifique duplex meublé dans résidence avec accès piscine, bbq, plancha, bar et billard, terrasse et cour arborée + parking sécurisé en sous-sol.
Imprenable vue sur la mer et coucher de soleil quotidien.
Situé à 15 mns des premières plages de la capitale du sud.
Sa localisation est dans les 'hauteurs' (600 m) et permet de bénéficier de nuit comme de jour d'un climat agréablement plus tempéré que la chaleur côtière ou la fraîcheur des hauts.
Accès du parking à l'appartement par escalier privatif.
Au premier étage, le séjour-cuisine, une chambre et une salle-de-bains avec toilettes, accès à une petite terrasse, permettant de prendre des repas avec une vue sur la piscine et la mer.
Par un escalier, on accède au second étage à une chambre mansardée avec TV
Conforts accessibles:
- en sous sol: lave-linge, buanderie, bar à côté du parking; billard
- au premier étage: cuisine équipée avec frigo-congélateur, mini-four, micro-ondes, cafetière...
- accès à la piscine: mobilier de piscine (table, transats,...)
Wifi disponible.
Attraits touristiques: Idéalement situé en mer et montagne :
- la plage corallienne de Saint-Pierre à 10 mn en autoroute avec toutes les commodités d'une station balnéaire ( bars, restaurants, shopping...)
- l'accès aux sites de montagne typique de La Réunion comme le circuit vers le Piton de La Fournaise (volcan) ou des points de vue sur Grand Bassin ( cascade et randonnée possible) ou sur la Rivière des Remparts (parcours botanique et pic-nics )
- Des randos pour les fans pour le Piton des Neiges (point culminant de l'Ile) ou le Dimitile ( point de vue sur le cirque de Cilaos)...etc
- Des accès en voiture vers des points de vue comme La Fenêtre aux Makes à St-Louis sur le cirque de Cilaos ou encore Le Maïdo dans les hauts de St-Paul sur le cirque de Mafate
En résumé !
Equipements: Une piscine et des transats pour se baigner et se dorer au soleil.
Une plancha pour les gourmets et gourmands.
Un billard pour se divertir
Une douche multi-jets pour se détendre
Une TV avec toutes les chaînes de Canal + Sat
Wifi
Un parking sécurisé à proximité de l'appartement</t>
  </si>
  <si>
    <t>Magnifique duplex meublé dans résidence avec accès piscine, bbq, plancha, bar et billard, terrasse et cour arborée + parking sécurisé en sous-sol.</t>
  </si>
  <si>
    <t>barbecue , fer et planche à repasser , piscine , lave linge privatif , TV , vue montagne , vue mer , linge de maison , TV satellite , wifi gratuit , micro-ondes , douche , four , terrasse , linge de toilette , cuisine , lave-linge , cour clôturée , billard , kitchenette équipée , parking sécurisé , Cafetière , plaque de cuisson , frigo , piscine commune</t>
  </si>
  <si>
    <t>centre commercial,commerce alimentaire,arrêt bus,transports en commun,restaurants</t>
  </si>
  <si>
    <t>2a7924d8</t>
  </si>
  <si>
    <t>3fc18ac6</t>
  </si>
  <si>
    <t>Attention : logement non disponible jusqu'à nouvel ordre // occupé en location longue durée pour le moment</t>
  </si>
  <si>
    <t>Lebreton France May</t>
  </si>
  <si>
    <t>Exploitation agricole</t>
  </si>
  <si>
    <t>Bienvenue à la ferme,Esprit Parc</t>
  </si>
  <si>
    <t>des cryptomérias</t>
  </si>
  <si>
    <t>Le Rond</t>
  </si>
  <si>
    <t>-21.319927, 55.607633</t>
  </si>
  <si>
    <t>0692870980</t>
  </si>
  <si>
    <t>https://www.bienvenue-a-la-ferme.com/dom-tom/reunion/st-joseph/ferme/la-ferme-de-lebreton-france-may/633429</t>
  </si>
  <si>
    <t>Visite de son exploitation (environ une matinée)
Sur réservation à partir 5 personnes 
Petite collation 
Toilette sèche</t>
  </si>
  <si>
    <t>Visite d'une exploitation agricole dans le sud sauvage et découverte des produits tels que le curcuma, et produits de la terre transformés.</t>
  </si>
  <si>
    <t>A venir</t>
  </si>
  <si>
    <t>vue montagne , visites pédagogiques , sur réservation , grand espace , parking</t>
  </si>
  <si>
    <t>17c5b40f</t>
  </si>
  <si>
    <t>galerie::galerie_Images/c8d51cda.Path.164119.jpg</t>
  </si>
  <si>
    <t>-21.381778, 55.649094</t>
  </si>
  <si>
    <t>Les chambres ont une entrée indépendante et sont équipées d'un réfrigérateur, d'un écran plat, d'un micro-ondes. Elles disposent d'un lit double, d'un canapé-lit, de sanitaires privés et d'une terrasse. 
Un plateau repas à 15€ qui change tous les jours (plat - dessert - boisson)
Panier petit déjeuner :
- formule sucré 7€ 
- formule sucré + salé</t>
  </si>
  <si>
    <t>Dans le Sud Sauvage à Saint-Joseph, La Rose du Sud propose 2 chambres d'hôtes.
Rose-Lila et Rose-dor</t>
  </si>
  <si>
    <t>climatisation , jardin , linge de maison , linge de toilette , micro-ondes , parking , piscine , sanitaires privés , TV</t>
  </si>
  <si>
    <t>dcbbfd6e</t>
  </si>
  <si>
    <t>A partir de Mars 1 seule chambre dhôte</t>
  </si>
  <si>
    <t>9 C</t>
  </si>
  <si>
    <t xml:space="preserve"> Allée du Four A Chaux</t>
  </si>
  <si>
    <t>-21.375383, 55.590401</t>
  </si>
  <si>
    <t>0693 13 79 78</t>
  </si>
  <si>
    <t>2 Villas récentes de 90 m² chacune, se composant d'une vaste varangue de 27 m², de 2 chambres doubles climatisées, placards intégrés, d'une cuisine équipée, d'une salle à manger, d'un salon, d'une salle de bain et WC séparé. 
Cour clôturée, parking privatif. 
Tarif affiché basse saison.</t>
  </si>
  <si>
    <t>A proximité de l'Office de Tourisme de Manapany</t>
  </si>
  <si>
    <t>barbecue , climatisation , fer et planche à repasser , TV , wifi</t>
  </si>
  <si>
    <t>BeDi7978AH</t>
  </si>
  <si>
    <t>fe94de83</t>
  </si>
  <si>
    <t>galerie::galerie_Images/4a2f6a65.Path.084240.jpg</t>
  </si>
  <si>
    <t>-21.250174, 55.468988</t>
  </si>
  <si>
    <t>0693 206 127</t>
  </si>
  <si>
    <t>L'association Capitaine Dimitile est heureuse de vous accueillir.
Après deux années de crise sanitaire 😷, l'association "Le Capitaine Dimitile" est heureuse de vous annoncer la reprise habituelle de ses évènementiels en 2022 🏃‍♀️🏃🏃‍♂️
Montée et descente sur les hautes plateaux du  Dimitile en 4x4 avec l'association capitaine Dimitile. 
Une collation offerte.</t>
  </si>
  <si>
    <t>Association Capitaine Dimitile : sur les traces du Marronnage à près de 1800m d'altitude !</t>
  </si>
  <si>
    <t>Rendez-vous devant l'office de tourisme de l'Entre-Deux.</t>
  </si>
  <si>
    <t>vue montagne , visites pédagogiques , sur réservation , grand espace , boutique</t>
  </si>
  <si>
    <t>Cosu8775Iy</t>
  </si>
  <si>
    <t>b8c6ec40</t>
  </si>
  <si>
    <t>galerie::galerie_Images/8c0fac28.Path.055422.jpg</t>
  </si>
  <si>
    <t>Villa Tikalikata</t>
  </si>
  <si>
    <t>6</t>
  </si>
  <si>
    <t>rue du Lavoir</t>
  </si>
  <si>
    <t>-21.338848, 55.630473</t>
  </si>
  <si>
    <t>lavillatikalikata@gmail.com</t>
  </si>
  <si>
    <t>06 09 11 64 24</t>
  </si>
  <si>
    <t>N’hésitez pas à nous contacter pour venir passer un séjour , des vacances , un week-end 🤳👩‍💻! Nous serons ravis de vous accueillir pour découvrir notre villa : La Tikalikata ! 🤩
- Piscine chauffée 🏊
- chambres : 5 plus 1 ouverte mezzanine salon , toutes offrant la Clim 🛏️
- 2 terrasses , coin cuisine extérieur 🍡🍡🥙
- salon et cuisine intérieur 🍳🛋️
- grand jardin 🏡🪴
- couchages : 15 personnes 👨‍👨‍👦👨‍👨‍👦👨‍👨‍👦</t>
  </si>
  <si>
    <t>Villa avec piscine pouvant accueillir 11 personnes</t>
  </si>
  <si>
    <t>La maison se trouve dans le quartier de Jean Petit. 
Prendre à droite rue du Lavoir</t>
  </si>
  <si>
    <t>Lit parapluie sur demande , babyfoot , wifi , barbecue , climatisation , fer et planche à repasser , piscine , chauffage , jardin , lave linge privatif , TV , ventilateur , linge de maison , parking , salon , lave vaisselle , micro-ondes , linge de toilette , douche , four , Cafetière , frigo , cuisine équipée , sèche linge privatif , salon de jardin , plaque de cuisson , baignoire , grille-pain , piscine chauffée , netflix , fontaine à eau</t>
  </si>
  <si>
    <t>point de vue panoramique,arrêt bus,poste - boite aux lettres,pharmacie,Point chaud,commerce de proximité…,médecin,épicerie</t>
  </si>
  <si>
    <t>Virement,Espèces,booking</t>
  </si>
  <si>
    <t>7dfae79e</t>
  </si>
  <si>
    <t>9a5b518b</t>
  </si>
  <si>
    <t>galerie::galerie_Images/835e54df.Path.052629.jpg</t>
  </si>
  <si>
    <t>CSC600HTF</t>
  </si>
  <si>
    <t>Les Chalets à l'Orée du Bois - Le grand chalet</t>
  </si>
  <si>
    <t>rue Commerson</t>
  </si>
  <si>
    <t>-21.210824, 55.592323</t>
  </si>
  <si>
    <t>payetmarieange10@gmail.com</t>
  </si>
  <si>
    <t>0692 14 02 05</t>
  </si>
  <si>
    <t>Animaux et musique interdit 
Accueil  9 personnes 
3chambres équipe 1grand double et 1grand lit une place superposés 
Linge de lit serviettes de toilette fournis 
Cuisine tout équipée gaziniere plus four frigo lave vaisselle machine à laver appareils à café senseo à couler grille  pain boulloire marmite à riz plus marmite  gaziniere télé Wi-Fi chauffage électrique salle principale 
Kiosque fournis marmite 
Cour clôturée
Possibilité  petit  déjeuner livré dans un panier  pain et veinoisseri fais maison pizza géant spécialité du chalet en supplément 
Tout réservation 50% acompte
Les enfants de moins 3 ans séjourné gratuitement sli dorment dans un lit appoint à ramener les invités sont les bienvenus un supplément de 20 par personne sera demandé journée de 8h à 16h toutes musique  et bruit nuissance  est interdit les heures entrées et sortie  doit être respecté établissements non fumeur parking privé et clôturer</t>
  </si>
  <si>
    <t>Les Chalets à l'Orée du Bois, situés dans les Hauteurs du Tampon, se composent d'un petit et d'un grand chalet. Le plus spacieux des deux chalets peut accueillir jusqu'à neuf personnes.</t>
  </si>
  <si>
    <t>RN3, direction route du volcan, rd pt de la Cité, prendre à droite, reprendre tout droit, reprendre à droite, a gauche prendre la route forestière, pendant 2 minutes, 1ère route (pas ti chemin) sur la droite, chemin commerson</t>
  </si>
  <si>
    <t>barbecue , tout équipé , Tout équipé, wifi , kiosques</t>
  </si>
  <si>
    <t>commerce alimentaire,point de vue panoramique,forêt,sites touristiques,arrêt bus</t>
  </si>
  <si>
    <t>52697b46</t>
  </si>
  <si>
    <t>d7b4d664</t>
  </si>
  <si>
    <t>galerie::galerie_Images/ca213674.Path.054613.jpg</t>
  </si>
  <si>
    <t>CSC590HTN</t>
  </si>
  <si>
    <t>A partir d'une nuit en semaine et deux nuits en week ends
1 pers - 50 EUROS /  PERS : 1 NUIT (petit chalet) 
2 pers - 100 EUROS
3 pers - 150 EUROS
4 pers - 200 EUROS
5 pers / 225 EUROS (45 EUROS: PERS)
6 pers - 240 EUROS
7 à 9 PERSONNES - 315 EUROS</t>
  </si>
  <si>
    <t>-21.236174, 55.504254</t>
  </si>
  <si>
    <t>0692 82 65 79</t>
  </si>
  <si>
    <t>Petite location pour 2 personnes max
Avec une place de parking 
Jardin avec vue imprenable sur le littoral avec petit espace de détente aménagé
Kitchenette équipée en extérieur avec table à manger (machine à laver, frigidaire)
A l'intérieur une petite chambre double avec salle d'eau et toilette (grande armoire, quelques livres à disposition)</t>
  </si>
  <si>
    <t>Au quartier de Pont d'Yves, prendre rue Emile Zola la location se trouve avant les tournants, sur la gauche</t>
  </si>
  <si>
    <t>jardin , parking , wifi , vue mer , vue montagne , Cafetière , bibliothéque , barbecue , micro-ondes , TV , Lit parapluie sur demande , fer et planche à repasser , ventilateur , linge de maison , linge de toilette , douche , frigo , terrasse , salon de jardin , serviettes. , plaque de cuisson , dressing , lave linge privatif , salle de bain privée , jardin clôturé , sanitaires privés , cour clôturée , veranda couverte , kitchenette équipée , brasseurs d'air</t>
  </si>
  <si>
    <t>sentier de randonnée,commerce alimentaire,point de vue panoramique,site - lieu culturel,riviere</t>
  </si>
  <si>
    <t>PaNi6579R2</t>
  </si>
  <si>
    <t>eb86c7f4</t>
  </si>
  <si>
    <t>galerie::galerie_Images/b4b455de.Path.124112.jpg</t>
  </si>
  <si>
    <t>0693024174</t>
  </si>
  <si>
    <t>Le capitaine Laurent et son équipage vous accueillent dans la plus grande convivialité à bord du Bell’ile :
4 cabines climatisées, des transats, 2 salles de douche, une cuisine moderne, 3 salons sont à votre disposition pour vivre des instants inoubliables !
Wifi à bord, télévision, ordinateur, frigo, et un grill.
A la rencontre de la faune marine et du littoral réunionnais, découverte de St Paul et St Leu ou encore Grande Anse et Manapany en été.
Amuse-bouche cocktail avec et sans alcool servis à bord avec un arrêt au port d’escale pour un déjeuner dans l’un de nos restaurants partenaires lors des croisières en journée ou en week-end !
Départs du port Ouest (pointe des galets) toute l'année et occasionnellement (en été) au port de St-Pierre
*** TARIFS ***
-&gt; Sorties de 3h
35€ par enfant (de 2 à 12 ans)
55€ par adulte (à partir de 13 ans)
-&gt; Sorties à la journée
1400€ pour 12 personnes (sans repas)
1850€ pour 12 personnes (avec repas)
Un accompte est demandé pour toute privatisation (voir directement avec le prestataire)
*** HORAIRES ***
-&gt; Pour les sorties de 3h 
Premier départ à 11h45 en hiver
Coucher de soleil départ à 15h30
-&gt; Pour les sorties à la journée
Départ à 9h00 jusqu'au coucher du soleil (retour 19h00)
-&gt; Pour les sorties cétacés
De 7h30 à 11h00</t>
  </si>
  <si>
    <t>Notre catamaran partira selon la saison du port du Port ou de Saint Pierre.</t>
  </si>
  <si>
    <t>barbecue , climatisation , vue montagne , sur réservation , vue mer , salon , TV , espace de restauration , restauration , wifi , douche</t>
  </si>
  <si>
    <t>site - lieu culturel,point de vue panoramique,transports en commun,Restauration</t>
  </si>
  <si>
    <t>KiLa4174oy</t>
  </si>
  <si>
    <t>effb67fe</t>
  </si>
  <si>
    <t>galerie::galerie_Images/61fa34bc.Path.092956.jpg</t>
  </si>
  <si>
    <t>Ti'Kaz Sauvage</t>
  </si>
  <si>
    <t>82</t>
  </si>
  <si>
    <t>rue des papangues</t>
  </si>
  <si>
    <t>-21.364540, 55.664869</t>
  </si>
  <si>
    <t>tikazsauvage@gmail.com</t>
  </si>
  <si>
    <t>0610097306</t>
  </si>
  <si>
    <t>https://www.tikazsauvage.com/</t>
  </si>
  <si>
    <t>Meublé de tourisme 3 Etoiles ***
Kaz de plein pied (50m2 environ) comprenant 2 chambres climatisées, cour privative (50m2 environ) et un accès à la piscine partagée.
Logement ayant ouvert ses portes en decembre 2022 avec de belles prestations proposées.
Une place de parking privative.
Situé dans le Sud Sauvage !!
à 2 mins du centre de Vincendo
15 mins du centre de Saint Joseph
Le logement
DESCRIPTION DETAILLEE :
● Espace extérieur privatif composé de :
- une table et 6 chaises
- chiliennes
- parasol déporté
- barbecue (sur demande gratuitement)
● Description du logement :
Entrée dans le logement par la baie vitrée desservant le salon - cuisine (équipée)
Couloir desservant :
• une chambre avec placard
• puis une seconde chambre avec placard (porte semi vitrée avec accès direct à la piscine)
WC suspendus séparés, salle d'eau, buanderie.
◇ Précisions chambres et couchages :
Une chambre ayant un matelas 140x190cm climatisée
Une chambre ayant un matelas 140x190cm climatisée
(matelas de marque Simmons)
Possibilité couchage dans le canapé lit (salon) avec matelas Bultex.
Placard dans chaque chambre.
Draps fournis.
◇ Précisions cuisine salon séjour :
Cuisine équipée ( réfrigérateur, plaque induction, four, four micro ondes, cafetière dolce gusto, grille pains, bouilloire, vaisselle, presse agrumes, marmite à riz, balance …)
Salon avec télévision grand écran (canal plus)
Accès wifi (fibre optique)
Possibilité couchage dans le canapé lit
Table et 6 chaises
Torchon fourni ainsi que les approvisionnements de base (huile, sel, poivre, ...) et les produits ménagers.
◇ Précisions salle d'eau :
Douche à l'italienne
Lavabo vasque simple avec rangements
Sèche serviette
Serviettes de bains fournies (1 grande et 1 petite par personne)
Tapis de bains fourni.
gel douche - shampooing
Sèche cheveux
◇ Buanderie (accès par la salle d’eau) : lave-linge,
~~~
☆ Petits plus inclus ☆
Serviettes de bains et plage fournis
Aspirateur
Etendoir à linge
Jouets, jeux de plage et piscine enfants
Glacière
Parasol
Accès wifi fibre optique (sans supplément)
Lit parapluie à disposition sur demande gratuitement.
 N’hésitez pas à me faire part de vos demandes particulières
-&gt; Possibilité de réserver les petits déjeuners (10 € / personne)
sur demande gratuitement : lit parapluie pour bébé</t>
  </si>
  <si>
    <t>Kaz avec 2 chambres située à Vincendo avec accès piscine
Idéalement situé proche des champs de canne</t>
  </si>
  <si>
    <t>barbecue , climatisation , fer et planche à repasser , chauffage , jardin , vue montagne , linge de maison , parking , TV satellite , lave vaisselle , micro-ondes , wifi , linge de toilette , Lit parapluie sur demande , douche , four , terrasse , salon de jardin , petit déjeuner créole ou classique , bibliothéque , Cafetière , frigo , cuisine équipée , jeux , netflix , piscine commune</t>
  </si>
  <si>
    <t>170b684c</t>
  </si>
  <si>
    <t>b67bf909</t>
  </si>
  <si>
    <t>galerie::galerie_Images/13593dcc.Path.071942.jpg</t>
  </si>
  <si>
    <t>CSC561HTL</t>
  </si>
  <si>
    <t>ATTENTION : NE VEUT PAS TRAVAILLER AVEC L'OFFICE!!!</t>
  </si>
  <si>
    <t>Ô Langevin</t>
  </si>
  <si>
    <t>28B</t>
  </si>
  <si>
    <t>Rue Charles Baudelaire</t>
  </si>
  <si>
    <t>-21.381841, 55.647747</t>
  </si>
  <si>
    <t>theoamanville@gmail.com</t>
  </si>
  <si>
    <t>0692 32 18 55</t>
  </si>
  <si>
    <t>Cette maison de vacances climatisée comprend une chambre, un salon, une cuisine entièrement équipée avec un réfrigérateur et une machine à café ainsi qu'une salle de bain pourvue d'une douche et d'un jacuzzi. Les serviettes et le linge de lit sont fournis.
Vous pourrez profiter d'un jacuzzi. Un service de location de voitures est assuré sur place.
TARIFS :
Tarif AVEC VÉHICULE
(conducteur devra fournir un relevé d'information de l'assurance du conducteur)
(livraison du véhicule à l'aéroport si besoin)
3 nuits minimum &gt; 150€/nuit
+de 28nuits &gt; 90€/nuit
Tarif SANS VÉHICULE
3 nuits minimum &gt; 130€/nuit
+de 28nuits &gt; 70€/nuit</t>
  </si>
  <si>
    <t>Meublé de Tourisme ⭐️⭐️⭐️ située à Langevin pour 4 personnes avec véhicule compris pour un agréable séjour 🏡🚗</t>
  </si>
  <si>
    <t>Après le pont de la rivière Langevin, en direction de Saint-Philippe, juste après la pharmacie de Langevin la maison se trouve sur la droite au numéro 28b</t>
  </si>
  <si>
    <t>barbecue , climatisation , fer et planche à repasser , jacuzzi , jardin , salle de bain privée , TV , linge de maison , parking , salon , micro-ondes , linge de toilette , douche , four , Cafetière , frigo , cuisine équipée , bouilloire , grille-pain , balcon , lave-linge , cuisine extérieure</t>
  </si>
  <si>
    <t>riviere,point de vue panoramique,Centre - Ville,pêche,arrêt bus,pharmacie,Point chaud</t>
  </si>
  <si>
    <t>6b53c83b</t>
  </si>
  <si>
    <t>94dbfaef</t>
  </si>
  <si>
    <t>galerie::galerie_Files_/9e7ddb2c.Path.045910.webp</t>
  </si>
  <si>
    <t>CSC599HTW</t>
  </si>
  <si>
    <t>Manque assurance et n° SIRENE</t>
  </si>
  <si>
    <t xml:space="preserve"> Rue Jules Hoarau</t>
  </si>
  <si>
    <t xml:space="preserve">harasdescoeurs97430@gmail.com </t>
  </si>
  <si>
    <t>0692805807</t>
  </si>
  <si>
    <t>https://harasdescoeurs.wixsite.com/haras-des-coeurs/le-haras</t>
  </si>
  <si>
    <t>Le Haras des Cœurs est un centre équestre qui se situe à l'île de la Réunion sur la commune du Tampon (14ème Km, Bras Creux). Nous proposons des cours d'équitation, des balades, des baptêmes et de nombreuses animations autour du cheval.
Dans une ambiance familiale, nous accueillons tous les passionnés de chevaux
à partir de 2 ans et demi.</t>
  </si>
  <si>
    <t>Centre équestre, poneys et chevaux, enseignement, balades, sortie en concours</t>
  </si>
  <si>
    <t>parking public , balade , équipement sportif , matériel pour l'activité , grand espace</t>
  </si>
  <si>
    <t>sites touristiques,forêt,transports en commun,station service,pharmacie,boulangerie,Restauration,randonnées</t>
  </si>
  <si>
    <t>BoAn5807zn</t>
  </si>
  <si>
    <t>66eb6b67</t>
  </si>
  <si>
    <t>35</t>
  </si>
  <si>
    <t>Chemin de la Chapelle - Notre Dame de la Paix</t>
  </si>
  <si>
    <t>endpdclp@gmail.com</t>
  </si>
  <si>
    <t>0692614679</t>
  </si>
  <si>
    <t>Centre de tourisme équestre avec initiation, balade, randonnée, perfectionnement</t>
  </si>
  <si>
    <t>matériel pour l'activité , parking</t>
  </si>
  <si>
    <t>sentier de randonnée,point de vue panoramique,sentier de grande randonnée,parking public,forêt</t>
  </si>
  <si>
    <t>LaPa4679f1</t>
  </si>
  <si>
    <t>695ecb01</t>
  </si>
  <si>
    <t>galerie::galerie_Images/e186eee2.Path.092310.jpg</t>
  </si>
  <si>
    <t>42 b</t>
  </si>
  <si>
    <t>Rue du Rond</t>
  </si>
  <si>
    <t>0693100722</t>
  </si>
  <si>
    <t>Exploitation agricole et culture d'agrumes</t>
  </si>
  <si>
    <t>matériel pour l'activité</t>
  </si>
  <si>
    <t>CaJo0722Mq</t>
  </si>
  <si>
    <t>9bbe3ce9</t>
  </si>
  <si>
    <t>Etangs et rivières ; Mer</t>
  </si>
  <si>
    <t>102</t>
  </si>
  <si>
    <t>Rue De La Passerelle</t>
  </si>
  <si>
    <t>-21.374651, 55.649252</t>
  </si>
  <si>
    <t>0692750400</t>
  </si>
  <si>
    <t>Le canyon P’tit Galet situé à Langevin, commence au pied de la magnifique cascade de Grand Galet. Au programme de cette matinée: une belle tyrolienne, des sauts (jamais obligatoires et de hauteurs variables) et des toboggans. Il s’agit d’un canyon varié et très ludique qui vous permettra de découvrir en douceur l’activité canyoning.   
Une demi-journée dans une eau turquoise où débutants et confirmés pourront se faire plaisir!
Attentions toutefois : ce canyon est sportif (il n’y a pas de canyons très facile ici), mais l’avantage est que vous pourrez sortir quand vous le souhaitez.</t>
  </si>
  <si>
    <t>A l’entrée dans le village de Langevin, traversez le pont, puis première à gauche direction Grand Galet. Continuez la route pendant 15 minutes environ, le parking se trouvera sur votre droite.</t>
  </si>
  <si>
    <t>équipement sportif , matériel pour l'activité , grand espace , sur réservation</t>
  </si>
  <si>
    <t>sentier de randonnée,parking public,point de vue panoramique,riviere,sites touristiques</t>
  </si>
  <si>
    <t>LeCy0400ul</t>
  </si>
  <si>
    <t>04bacd07</t>
  </si>
  <si>
    <t>galerie::galerie_Images/d5586161.Path.111608.png</t>
  </si>
  <si>
    <t>Temps de canyon: 2h30 de descente
 A partir de 7 ans
Le tarif est de 60€ par personne, comprenant :
– l’encadrement par un moniteur en canyoning, diplômé d’état – l’assurance responsabilité civile (couverture en cas d’accident de tout type).
– le matériel de canyoning (combinaison et chaussettes néoprène, harnais, casque,…)
Tarif groupe déjà constitué : A partir de 6 personnes (avec le même guide): 55€ Départ garanti dès 4 personnes inscrites.
En option : Location de chaussures de canyoning du 36 au 47 : 5€ la paire.</t>
  </si>
  <si>
    <t>impasse des Kakis</t>
  </si>
  <si>
    <t>-21.231828, 55.470819</t>
  </si>
  <si>
    <t>0692933210</t>
  </si>
  <si>
    <t>matériel pour l'activité , sanitaires communs</t>
  </si>
  <si>
    <t>MaAl3210vb</t>
  </si>
  <si>
    <t>3fdb5a13</t>
  </si>
  <si>
    <t>V.T.T. - Autres cycles ; Randonnée pédestre</t>
  </si>
  <si>
    <t xml:space="preserve"> Impasse des Evis</t>
  </si>
  <si>
    <t>-21.245414, 55.470625</t>
  </si>
  <si>
    <t>0692667144</t>
  </si>
  <si>
    <t>Guide diplômé pour des sorties randonnées, VTTAE. (max 15 personnes, et limité au nombre de vélos disponibles à ce moment)</t>
  </si>
  <si>
    <t>vue montagne , visites pédagogiques , sur réservation , grand espace , vue mer</t>
  </si>
  <si>
    <t>sentier de randonnée,site - lieu culturel,point de vue panoramique,sites touristiques,Centre - Ville</t>
  </si>
  <si>
    <t>ArCa7144Fs</t>
  </si>
  <si>
    <t>7e2bd6e3</t>
  </si>
  <si>
    <t>galerie::galerie_Images/50ee5a69.Path.065506.jpg</t>
  </si>
  <si>
    <t>Autre mail : arnaudcarle1@orange.fr
Arnaud est aussi surveillant de baignade, dans les bassins naturels par exemple. Bon à savoir si besoin</t>
  </si>
  <si>
    <t xml:space="preserve"> Chemin des Pois de Senteur</t>
  </si>
  <si>
    <t>-21.347068, 55.636451</t>
  </si>
  <si>
    <t>0692613455</t>
  </si>
  <si>
    <t>sentier de randonnée,point de vue panoramique,sites touristiques,forêt,riviere,pêche,Bassin de Manapany,Restauration,snack</t>
  </si>
  <si>
    <t>AhGi3455b4</t>
  </si>
  <si>
    <t>acdea53f</t>
  </si>
  <si>
    <t>galerie_Images/7794f00b.Path.075629.jpg</t>
  </si>
  <si>
    <t xml:space="preserve"> Rue De La Pompe</t>
  </si>
  <si>
    <t>Quéplate</t>
  </si>
  <si>
    <t>-21.360829, 55.771106</t>
  </si>
  <si>
    <t>0692692830</t>
  </si>
  <si>
    <t>http://fermeequestresudsauvage.com/</t>
  </si>
  <si>
    <t>Une ferme, un club house, des écuries sur près de 3 hectares !</t>
  </si>
  <si>
    <t>Le centre propose de vivre l'aventure du cheval en selle ou en balade en calèche.
Découverte des portes du Sud Sauvage à travers des espaces de verdure, de montagne et d'océan.
Des formules adaptées pour cavaliers débutants ou confirmés.
- 1h, 2h ou demi-journée : balade autour du centre
- 1 journée : découverte du sauvage, journée à thème
- pour les débutants : possibilité de faire une initiation en carrière
- tours de poneys pour les enfants
La ferme propose également des balades en calèche.
Les activités sont encadrées par Véronique, diplômée de Galop 5 d'attelage.</t>
  </si>
  <si>
    <t>RN2, tourner 20m après l'église à droite, descendre, la ferme se situe sur votre gauche</t>
  </si>
  <si>
    <t>jardin , parking , wifi , sanitaires privés , parking public , accès internet , terrasse</t>
  </si>
  <si>
    <t>route des laves,sentier de randonnée,commerce alimentaire,pêche,parking public,site - lieu culturel,point de vue panoramique,sentier de grande randonnée,jardin,forêt,arrêt bus,poste - boite aux lettres,restaurants,ferme équestre,sentiers de randonnées,commerces,sites touristiques,tunnels de lave,littoral,sites - lieux culturels</t>
  </si>
  <si>
    <t>MaVé6925fh</t>
  </si>
  <si>
    <t>730445c9</t>
  </si>
  <si>
    <t>galerie::galerie_Images/abc7ebd2.Path.091648.jpg</t>
  </si>
  <si>
    <t>1er juillet 2022 : son 2ème mail a été enregistré dans Mailchimp</t>
  </si>
  <si>
    <t xml:space="preserve">Les Poneys de Grand Coude </t>
  </si>
  <si>
    <t>Impasse des Nectarines</t>
  </si>
  <si>
    <t>-21.289562, 55.631316</t>
  </si>
  <si>
    <t>0692862933</t>
  </si>
  <si>
    <t>Visite de la ferme
Location de poneys
Anniversaires
Pensions
Vacances a la ferme
Bivouac balades chevaux</t>
  </si>
  <si>
    <t>balade , matériel pour l'activité , ferme</t>
  </si>
  <si>
    <t>sentier de randonnée,point de vue panoramique,ferme équestre</t>
  </si>
  <si>
    <t>PeEr29339C</t>
  </si>
  <si>
    <t>555ebc8f</t>
  </si>
  <si>
    <t>galerie::galerie_Images/91656192.Path.055455.jpg</t>
  </si>
  <si>
    <t>Plusieurs activités : 
Visite de la ferme
Location de poneys
Anniversaires
Pensions
Vacances a la ferme
Bivouac 
balades cheval</t>
  </si>
  <si>
    <t>Spéléologie / tunnels de lave</t>
  </si>
  <si>
    <t>0692865485</t>
  </si>
  <si>
    <t>RICARIC, « avec rigueur et exactitude » en vieux français, est une entreprise de loisirs spécialisée dans la spéléologie en tunnel de lave et la descente de canyon à La Réunion.</t>
  </si>
  <si>
    <t>Préparez vous à une aventure inédite dans les profondeurs de l’île avec des guides expérimentés.</t>
  </si>
  <si>
    <t>Uniquement sur lieu de rendez - vous</t>
  </si>
  <si>
    <t>vue montagne , visites pédagogiques , sur réservation , grand espace , vue mer , équipement sportif , matériel pour l'activité</t>
  </si>
  <si>
    <t>sentier de randonnée,point de vue panoramique,commerce alimentaire,parking public,sites touristiques,transports en commun</t>
  </si>
  <si>
    <t>LaAg5485tm</t>
  </si>
  <si>
    <t>47638190</t>
  </si>
  <si>
    <t>galerie::galerie_Images/7a94242f.Path.051931.png</t>
  </si>
  <si>
    <t>DIMITILE BIKE</t>
  </si>
  <si>
    <t>VTTAE</t>
  </si>
  <si>
    <t>impasse des bougainvilliers</t>
  </si>
  <si>
    <t>-21.205695, 55.491275</t>
  </si>
  <si>
    <t>dimitilebike@gmail.com</t>
  </si>
  <si>
    <t>0692944656</t>
  </si>
  <si>
    <t>http://www.dimitilebike.com/</t>
  </si>
  <si>
    <t>L'accueil se fait via un pick up au niveau du portail du Dimitile</t>
  </si>
  <si>
    <t>Location de VVTAE en vélo libre à l'entrée du Dimitile</t>
  </si>
  <si>
    <t>Rendez - vous au portail du Dimitile</t>
  </si>
  <si>
    <t>équipement sportif , matériel pour l'activité</t>
  </si>
  <si>
    <t>sentier de randonnée,sites touristiques,VTT,sentiers de randonnées,randonnées,sentiers de randonnée,sentiers VTT,hébergements,Sentier de randonnée</t>
  </si>
  <si>
    <t>français (Expérimenté (Nv.3)),créole,anglais</t>
  </si>
  <si>
    <t>3d9f270f</t>
  </si>
  <si>
    <t>f1d7b6e9</t>
  </si>
  <si>
    <t>galerie::galerie_Images/e1d673be.Path.111245.jpg</t>
  </si>
  <si>
    <t>Accueil peï avec le café de Bruno 
Horaires souples pour l'arrivée des personnes qui viennent de loin
Possibilité location à la journée avec nuitée chez un hébergeur du Dimitile (69euros)
Tarifs de groupe possible à partir de 6 personnes, tarifs visibles sur la page fb
A partir d'1m 50
Ils sont sur Insta !</t>
  </si>
  <si>
    <t>VTC ALP Réunion</t>
  </si>
  <si>
    <t>impasse des rosiers</t>
  </si>
  <si>
    <t>-21.209454, 55.554396</t>
  </si>
  <si>
    <t>earl.nfr@orange.fr</t>
  </si>
  <si>
    <t>0692 76 75 02</t>
  </si>
  <si>
    <t>https://vtc-alp.com/</t>
  </si>
  <si>
    <t>JVTC-ALP-Reunion est basé à La Plaine des Cafres. Depuis plusieurs années, nous proposons des services de VTC et de voiture de mariage avec des véhicules prestigieux tels que la Mercedes Coupé GLC. Nous sommes à votre disposition pour tous vos trajets sur toute l’île, que ce soit pour des excursions, des touristes ou pour vos transferts d’aéroport. Nous nous engageons à vous offrir un service de qualité et à vous faire profiter d’une expérience unique et mémorable.
Pour cela, il faut juste nous contacter.</t>
  </si>
  <si>
    <t>VTC-ALP-Réunion est votre partenaire de confiance pour tous vos besoins en matière de transport et de logistique sur l’île de la Réunion. Nous proposons des services de qualité à des tarifs abordables, et nous nous engageons à vous fournir un service à la hauteur de vos attentes.</t>
  </si>
  <si>
    <t>84d81589</t>
  </si>
  <si>
    <t>4626f39b</t>
  </si>
  <si>
    <t>galerie::galerie_Images/cc382729.Path.100556.jpg</t>
  </si>
  <si>
    <t>Z'ile 4x4</t>
  </si>
  <si>
    <t>0692085383</t>
  </si>
  <si>
    <t>https://www.zile4x4.com/</t>
  </si>
  <si>
    <t>Confortablement installé(e)s à bord de notre 4x4, découvrez autrement les merveilles de l'île de la Réunion, ses paysages époustouflants , sa faune endémique, sa flore tropicale luxuriante, son patrimoine, son histoire, racontés par un passionné.</t>
  </si>
  <si>
    <t>Uniquement sur lieu de rendez-vous</t>
  </si>
  <si>
    <t>sentier de randonnée,forêt,riviere,sites touristiques</t>
  </si>
  <si>
    <t>DeNi5383F5</t>
  </si>
  <si>
    <t>5b65795c</t>
  </si>
  <si>
    <t>galerie::galerie_Images/8cb30a41.Path.122225.png</t>
  </si>
  <si>
    <t xml:space="preserve"> Impasse des Avocats</t>
  </si>
  <si>
    <t>kreolie4x4@gmail.com</t>
  </si>
  <si>
    <t>0692 86 52 26</t>
  </si>
  <si>
    <t>0692865226</t>
  </si>
  <si>
    <t>Uniquement sur lieu de rendez  vous</t>
  </si>
  <si>
    <t>NaTh5226BA</t>
  </si>
  <si>
    <t>85d15621</t>
  </si>
  <si>
    <t>galerie::galerie_Images/4ed71f7a.Path.065031.jpg</t>
  </si>
  <si>
    <t>LAVE'NTURE</t>
  </si>
  <si>
    <t>Randonnée pédestre ; Spéléologie / tunnels de lave</t>
  </si>
  <si>
    <t>0692 01 59 56</t>
  </si>
  <si>
    <t>https://www.tunnelsdelave.net/?fbclid=IwAR38upPXWxw_8sPxucbhxcWze2vDvZJQlXGH_NjkxbUFrP1VbfMbWYZd-lY</t>
  </si>
  <si>
    <t>Sur lieu de rendez - vous uniquement</t>
  </si>
  <si>
    <t>vue montagne , visites pédagogiques , grand espace , vue mer</t>
  </si>
  <si>
    <t>BaMa5956sK</t>
  </si>
  <si>
    <t>70d23484</t>
  </si>
  <si>
    <t>galerie::galerie_Images/91fdeeb7.Path.095155.jpg</t>
  </si>
  <si>
    <t xml:space="preserve">Le Jardin des Bestioles </t>
  </si>
  <si>
    <t>-21.295655, 55.630263</t>
  </si>
  <si>
    <t>06 93 91 62 84</t>
  </si>
  <si>
    <t>0693916284</t>
  </si>
  <si>
    <t>https://www.lejardindesbestioles.com/?fbclid=IwAR04jmA78U645PZ3zrlYXkoAKno2zD-017iGwEpd7hm2RlJisdlyT7P5Cs4</t>
  </si>
  <si>
    <t>Arrivée au village de Grand Coude, prendre la première à droite, vous trouverez le Labyrinthe en Champ Thé sur votre droite, continuer sur quelques mètres et sur votre gauche vous êtes arrivée !</t>
  </si>
  <si>
    <t>air de pique-nique , vue montagne , visites pédagogiques , grand espace , vue mer , parking , sanitaires communs , jardin arboré , boutique , artiste , ferme , jardin clôturé , basse court</t>
  </si>
  <si>
    <t>sentier de randonnée,commerce alimentaire,point de vue panoramique,forêt,arrêt bus,poste - boite aux lettres</t>
  </si>
  <si>
    <t>KGe628401</t>
  </si>
  <si>
    <t>6becbed8</t>
  </si>
  <si>
    <t>galerie::galerie_Images/1d826060.Path.063946.jpg</t>
  </si>
  <si>
    <t>A partir du 01 janvier les prix vont passer à :
- 4€/enfant de 5 à 11 ans 
- 6€/adulte</t>
  </si>
  <si>
    <t xml:space="preserve"> Route Nationale 2 le Tremblet</t>
  </si>
  <si>
    <t>Le Tremblet</t>
  </si>
  <si>
    <t>0262989185</t>
  </si>
  <si>
    <t>0692921356</t>
  </si>
  <si>
    <t>Juanito est accompagnateur de moyenne montagne, certifié en spéléologie. Il est un guide sécurisant, fascinant et saura vous emmener dans des endroits merveilleux sous la Terre volcanique de notre ïle</t>
  </si>
  <si>
    <t>route du volcan,sentier de randonnée</t>
  </si>
  <si>
    <t>BoCa1356iz</t>
  </si>
  <si>
    <t>e6053c4a</t>
  </si>
  <si>
    <t xml:space="preserve"> Chemin Auguste Boyer</t>
  </si>
  <si>
    <t>-21.332334, 55.610820</t>
  </si>
  <si>
    <t>https://speleolave.fr/</t>
  </si>
  <si>
    <t>Teddy propose de découvrir  en toute convivialité toutes les richesses de ce joyau de l'océan Indien!
2 activités sont proposées de manière régulières :
* L'EXPLORATION DECOUVERTE  du Tunnel de Lave de la coulée de 2004 (3h30 d'activité / Parcours familial accessible à partir de 6 ans )
* L'EXPLORATION AVENTURE du Tunnel de Lave de la coulée de 2004 (4h30 d'activité / Parcours accessible à partir de 10 ans )
Il est possible également de privatiser l’encadrement si vous souhaitez avoir le guide que pour vous !</t>
  </si>
  <si>
    <t>Spéléo’Lave c'est Teddy Avril - Randonnées guidées sur le Volcan et Spéléologie dans les Tunnels de Lave !</t>
  </si>
  <si>
    <t>Chèque,Carte Bancaire,Espèces,Chèques vacances,American express</t>
  </si>
  <si>
    <t>921f4b10</t>
  </si>
  <si>
    <t>galerie::galerie_Files_/f192a9df.Path.102101.webp</t>
  </si>
  <si>
    <t>C'est le couzzz à Mélo mdrrrrrrrr</t>
  </si>
  <si>
    <t xml:space="preserve"> Route de Grand Galet</t>
  </si>
  <si>
    <t>-21.317707, 55.640809</t>
  </si>
  <si>
    <t>0692055382</t>
  </si>
  <si>
    <t>0692614040</t>
  </si>
  <si>
    <t>terrasse , repas originaux et traditionnels</t>
  </si>
  <si>
    <t>sentier de randonnée,riviere,forêt,pêche</t>
  </si>
  <si>
    <t>PaOl4040Ct</t>
  </si>
  <si>
    <t>0fae177f</t>
  </si>
  <si>
    <t>galerie::galerie_Images/30880295.Path.111159.jpg</t>
  </si>
  <si>
    <t>Pendant les vacances scolaires, nous sommes ouverts pour ,la pêche  de mardi à dimanche, de 14h-17h
Le prix du kilo est : 19,50€
La restauration commence de mercredi à dimanche, sur réservation,48h à l'avance, uniquement par texto, vous recevrez également la confirmation par la même voie.
Le tarif  repas + pêche est de 20,50€/personne, adulte ou/et enfants</t>
  </si>
  <si>
    <t>FUN BALL COLORS</t>
  </si>
  <si>
    <t>Air de pique nique Bras-Long</t>
  </si>
  <si>
    <t>-21.218521, 55.475748</t>
  </si>
  <si>
    <t>funballcolors@gmail.com</t>
  </si>
  <si>
    <t>0692 68 74 86</t>
  </si>
  <si>
    <t>https://www.paintball-entre-deux.com/</t>
  </si>
  <si>
    <t>Air de pique nique</t>
  </si>
  <si>
    <t>Vous trouverez un terrain naturel pour les amoureux de la nature et ou vous pouvez jouer librement!</t>
  </si>
  <si>
    <t>Depuis l'office de  tourisme prendre la direction route du Bras-Long/ Air de pique-nique. Roulez sur 3 kilomètres jusqu'à la fin de la route.</t>
  </si>
  <si>
    <t>sentier de randonnée,forêt,arrêt bus,hébergements,Sentier de randonnée</t>
  </si>
  <si>
    <t>aed867d5</t>
  </si>
  <si>
    <t>677a8ec4</t>
  </si>
  <si>
    <t>galerie::galerie_Images/ba3958e6.Path.091343.jpg</t>
  </si>
  <si>
    <t>Chemin de L Adieu</t>
  </si>
  <si>
    <t>0692 72 11 73</t>
  </si>
  <si>
    <t>ChCo1173Kj</t>
  </si>
  <si>
    <t>7ab3e4c7</t>
  </si>
  <si>
    <t>galerie::galerie_Images/8257bbe6.Path.064259.png</t>
  </si>
  <si>
    <t>LES HIBISCUS</t>
  </si>
  <si>
    <t>rue des Badamiers</t>
  </si>
  <si>
    <t>Mare-Longue</t>
  </si>
  <si>
    <t>-21.364277, 55.752822</t>
  </si>
  <si>
    <t>sudsauvageleshibiscus@gmail.com</t>
  </si>
  <si>
    <t>0693 93 35 34</t>
  </si>
  <si>
    <t>Possibilité de louer 3 chambres sous différentes formules (voir lien airbnb)
2 chambres adulte avec salle d’eau / Toilette indépendant. 
+ 1 chambre avec lit double + 1 lit simple (possibilité de combiné avec la chambre en face)
Possibilité de s'adapter pour un groupe de 7 personnes maximum avec la réservation de toutes les chambres (3 au total)
La cuisine est partagée par les visiteurs.
Mise à disposition d'un spa en extérieur, grand jardin à disposition.
Des places de parking sont à disposition à l'intérieur
Si animal de compagnie, à voir avec le propriétaire
Horaires flexibles
1 chambre lit queen size/ salle d’eau + 1 chambre équipée d’un lit double et 1 lit simple sans salle d’eau: 140€/nuit pour 1 nuit pour 2 nuits 120€/nuit
Lit bébé (jusqu’à 2 ans gratuit).</t>
  </si>
  <si>
    <t>Au cœur du Sud sauvage retrouvez 3 chambres chez l’habitant vous offrira un séjour détente.</t>
  </si>
  <si>
    <t>En direction de Sainte-Rose sur la RN2 Mare-Longue prendre à gauche au niveau de la rue des Badamiers, la maison se trouve sur la droite au bout du chemin</t>
  </si>
  <si>
    <t>jacuzzi , jardin , vue mer , linge de maison , parking , espace de restauration , wifi gratuit , micro-ondes , linge de toilette , four , Cafetière , frigo , cuisine équipée , Lit parapluie sur demande , salon de jardin , varangue , équipement bébé , brasseurs d'air</t>
  </si>
  <si>
    <t>poste - boite aux lettres,tabac presse,restaurants,sentier de randonnée,commerce alimentaire,parking public,site - lieu culturel,point de vue panoramique,forêt,sites touristiques,arrêt bus,transports en commun,station service,boulangerie,Point chaud,Centre - Ville</t>
  </si>
  <si>
    <t>7259c4b9</t>
  </si>
  <si>
    <t>a1a30312</t>
  </si>
  <si>
    <t>galerie::galerie_Files_/e695a323.Path.104534.webp</t>
  </si>
  <si>
    <t>CSC584HTQ</t>
  </si>
  <si>
    <t>Colors Of Humanity</t>
  </si>
  <si>
    <t>89</t>
  </si>
  <si>
    <t>route Nationale 2</t>
  </si>
  <si>
    <t>Basse Vallée</t>
  </si>
  <si>
    <t>-21.370570, 55.715144</t>
  </si>
  <si>
    <t>malikabouzerar@gmail.com</t>
  </si>
  <si>
    <t>0693 03 24 26</t>
  </si>
  <si>
    <t>Les articles textiles présentés (voir les photos) sont des basiques de tous les jours alliant un style confortable, décontracté et original. 
Il y a cinq types d'articles disponibles : 
1) Le tee-shirt modèle homme ;
2) Le tee-shirt modèle femme ;
3) Le débardeur modèle femme ;
4) La chemise modèle homme ;
5) Le chemisier modèle femme.
Ce sont tous des modèles chics et uniques.
Engagement solidaire 
Elle reverse 10% aux associations humanitaires
Modèle unique et unisexe</t>
  </si>
  <si>
    <t>Colors Of Humanity est une nouvelle marque qui prône le métissage des matières du monde (tissus de différents pays). Malika BOUZERAR a créé cette marque péi solidaire.</t>
  </si>
  <si>
    <t>Situé à Base Vallée</t>
  </si>
  <si>
    <t>français,anglais (Basique (Nv.2))</t>
  </si>
  <si>
    <t>811e6f24</t>
  </si>
  <si>
    <t>c7dabf07</t>
  </si>
  <si>
    <t>galerie::galerie_Images/fcd89fb6.Path.103706.jpg</t>
  </si>
  <si>
    <t>Les articles basiques sont vendus entre 30 et 70 euros.
Malika BOUZERAR reste à l'écoute pour toute demande.</t>
  </si>
  <si>
    <t>Case Vi D'O'</t>
  </si>
  <si>
    <t>Chemin Tan Georges</t>
  </si>
  <si>
    <t>-21.243668, 55.594989</t>
  </si>
  <si>
    <t>genevievevidot974@gmail.com</t>
  </si>
  <si>
    <t>0693 13 17 92</t>
  </si>
  <si>
    <t>https://www.casevido.com/</t>
  </si>
  <si>
    <t>La maison F3 de 100m2, tout équipé (fibre internet , wifi et chaîne TV, machine à laver, réfrigérateur, plaque de cuisson, cafetière, frigo, micro-onde, cuisine au feu de bois, chauffage etc.) la maison dispose aussi de produits pour le ménage et repassage.
Elle est entièrement clôturée, jardin, abris voiture et dispose de 3 chambres avec une literie confortable (3 lits de 2 pers. 160 + lits enfants superposés)
Les fêtes ne sont pas acceptées (musique forte, danse), ainsi que nos amis les bêtes
Eau chaude solaire +résistance chauffante , 4 voitures peuvent se garer dans la cour.</t>
  </si>
  <si>
    <t>Bienvenue dans la fraîcheur et le calme de la plaine des Cafres</t>
  </si>
  <si>
    <t>Après la gendarmerie de la plaine des cafres. Prendre à droite direction notre dame de la paix (7km), à l entré du village (aprèss la forêt Tamarins) passer devant l école, l église, prendre à 2ème sortie à gauche chemin Tan Georges, sur votre droite numéro 10 case vi d'o' .</t>
  </si>
  <si>
    <t>bouilloire , terrasse , barbecue , climatisation , fer et planche à repasser , chauffage , jardin , lave linge privatif , TV , vue montagne , grand espace , vue mer , linge de maison , parking , salon , wifi gratuit , micro-ondes , linge de toilette , douche , four , Cafetière , frigo , cuisine équipée , cuisine au bois</t>
  </si>
  <si>
    <t>sentier de grande randonnée,commerce alimentaire,forêt,sites touristiques,arrêt bus,station service</t>
  </si>
  <si>
    <t>Chèque,Espèces,Virement,booking,airbnb,Le bon coin,site internet</t>
  </si>
  <si>
    <t>19113dc0</t>
  </si>
  <si>
    <t>17c23ead</t>
  </si>
  <si>
    <t>galerie::galerie_Images/9de0ff62.Path.050651.jpg</t>
  </si>
  <si>
    <t>CSC598HTV</t>
  </si>
  <si>
    <t>Le Longanis</t>
  </si>
  <si>
    <t>146B</t>
  </si>
  <si>
    <t>rue Ronsard</t>
  </si>
  <si>
    <t>-21.347732, 55.660273</t>
  </si>
  <si>
    <t>axel.marcourt@orange.fr</t>
  </si>
  <si>
    <t>0692606555</t>
  </si>
  <si>
    <t>Endroit calme et reposant situé à la Crête. Accessible en fauteuil roulant.</t>
  </si>
  <si>
    <t>Voyage d'émotions au cœur de la verdure de la Crête.</t>
  </si>
  <si>
    <t>Prendre la route principale (RD34)</t>
  </si>
  <si>
    <t>barbecue , jacuzzi , jardin , lave linge privatif , salle de bain privée , TV , salon , espace de restauration , wifi gratuit , sanitaires privés , douche , linge de toilette , cuisine , veranda couverte , vue montagne</t>
  </si>
  <si>
    <t>sentier de randonnée,riviere,centre commercial,site - lieu culturel,point de vue panoramique,forêt,arrêt bus,poste - boite aux lettres,jardin,plage,transports en commun,sites touristiques,station essence,centre ville de Saint-Joseph,banque - guichet automatique,restaurants,littoral,stade de foot,pâtisserie</t>
  </si>
  <si>
    <t>bd850092</t>
  </si>
  <si>
    <t>d7ec0ae3</t>
  </si>
  <si>
    <t>CSC452HT@</t>
  </si>
  <si>
    <t>L'Art et le Choka</t>
  </si>
  <si>
    <t>302</t>
  </si>
  <si>
    <t>-21.242300, 55.480623</t>
  </si>
  <si>
    <t>aalc97414@gmail.com</t>
  </si>
  <si>
    <t>0693710962</t>
  </si>
  <si>
    <t>Valorisation de l'artisanat, ateliers, transmettre le savoir-faire
Organisation de foires, salons professionnels et congrès</t>
  </si>
  <si>
    <t>Association dont le but est de valoriser les produit du terroir et de l'artisanat de l'Entre-Deux
Ensemble valorisons notre patrimoine</t>
  </si>
  <si>
    <t>Dans le village de l'Entre Deux</t>
  </si>
  <si>
    <t>matériel pour l'activité , parking public , grand espace , ateliers , artiste plasticien , sur réservation</t>
  </si>
  <si>
    <t>sentier de randonnée,site - lieu culturel</t>
  </si>
  <si>
    <t>3e6dc780</t>
  </si>
  <si>
    <t>0af37aff</t>
  </si>
  <si>
    <t>galerie::galerie_Images/4aba2ff8.Path.054623.jpg</t>
  </si>
  <si>
    <t>Les Cazes de la Mer Cassée</t>
  </si>
  <si>
    <t>rue des Pandanus</t>
  </si>
  <si>
    <t>-21.364234, 55.753334</t>
  </si>
  <si>
    <t>orange.ed@hotmail.fr</t>
  </si>
  <si>
    <t>0692 34 37 75</t>
  </si>
  <si>
    <t>Ce logement paisible offre un séjour détente pour toute la famille. Proche de toute commodités ( restaurant, piscine municipale, foret et sentier de randonnée) La maison et toute équipée pour que vous passiez un agréable moment en famille. Composée de 2 chambres avec lits double et une chambre avec 2 petits lits. La beauté de notre sud sauvage saura vous détendre.
Le logement est proche de nombreux sentiers de randonnée, du jardin des parfums et des épices, de l'emblématique piscine naturelle de baril les bains et de nombreux petits restaurants où on mange très bien le palmiste.
2 places de parking dans la cour (voitures citadines)
Possibilité de partir plus tard si pas de réservation qui suivent
NOUVEAU &gt; Jaccuzi</t>
  </si>
  <si>
    <t>Ce logement paisible offre un séjour détente pour toute la famille.
L'hôte aime recevoir et dialoguer avec ses visiteurs</t>
  </si>
  <si>
    <t>Sur la Route Nationale 2 Mare Longue en venant de l'ouest, environ 600m après la forêt de Mare Longue, la rue des Pandanus se trouve sur la gauche. La maison se trouve directement sur la gauche au numéro 1.</t>
  </si>
  <si>
    <t>parking , wifi , Cafetière , cuisine équipée , salon , vue mer , balcon , barbecue , TV , Lit parapluie sur demande , fer et planche à repasser , jacuzzi , ventilateur , vue montagne , linge de maison , linge de toilette , douche , frigo , terrasse , salle à manger , salon de jardin , serviettes. , sèche-cheveux , bouilloire , parking sécurisé , lave linge privatif , cour clôturée , jeux</t>
  </si>
  <si>
    <t>restaurants,arrêt bus,littoral,piscine,sentier de randonnée</t>
  </si>
  <si>
    <t>booking,Chèque,Virement,Espèces,airbnb</t>
  </si>
  <si>
    <t>bc9d622a</t>
  </si>
  <si>
    <t>9f6e46f6</t>
  </si>
  <si>
    <t>galerie::galerie_Images/fbfc7918.Path.101916.jpg</t>
  </si>
  <si>
    <t>CSC577HTS</t>
  </si>
  <si>
    <t>Villa Bella</t>
  </si>
  <si>
    <t>21</t>
  </si>
  <si>
    <t>Impasse Helene Boucher</t>
  </si>
  <si>
    <t>-21.260225, 55.516563</t>
  </si>
  <si>
    <t>francehoarau@hotmail.com</t>
  </si>
  <si>
    <t>0692 82 31 84</t>
  </si>
  <si>
    <t>TV , fer et planche à repasser , vue montagne , vue mer , salon , micro-ondes , linge de toilette , four , Cafetière , frigo , terrasse , cuisine équipée , salle à manger , serviettes. , salle de bain , bouilloire , grille-pain , cour clôturée avec portail électrique , lave-linge , cuisine extérieur , garage , bureau</t>
  </si>
  <si>
    <t>f2e8a6e3</t>
  </si>
  <si>
    <t>a462df4b</t>
  </si>
  <si>
    <t>CSC597HTU</t>
  </si>
  <si>
    <t>LA CASE BOUISSEAU</t>
  </si>
  <si>
    <t>47</t>
  </si>
  <si>
    <t>rue des pinpins</t>
  </si>
  <si>
    <t>-21.366642, 55.682604</t>
  </si>
  <si>
    <t>lacasebouisseau@gmail.com</t>
  </si>
  <si>
    <t>0693 91 57 46</t>
  </si>
  <si>
    <t>https://www.lacasebouisseau.re/</t>
  </si>
  <si>
    <t>Située dans un cadre verdoyant et au calme, ce meublé touristique est idéalement situé à Vincendo pour vos escapades dans le Sud Sauvage (randonnées, cascades, coulée de volcan, etc) tout en étant à moins de 10 minutes des commodités tels que épicerie, pharmacie, boulangerie, etc.
Les + :
    Logement neuf de 2023
    2 brasseurs d'air, logement bien isolé
    moustiquaires à chaque fenêtre
    Soins énergétiques ou réflexologie plantaire juste à côté
    Lieu paisible
Profitez de votre séjour pour vous faire chouchouter avec des soins énergétiques ou de réflexologie plantaire juste à côté, voir https://www.bienetre-reiki-974.re
-&gt; Composition
La case Bouisseau est une construction neuve de 2023 d'une superficie de 25 m². Elle est composée
    - d'une chambre séparée avec 1 lit double de 140, un dressing.
    - d'une salle de douche indépendante avec douche italienne, lavabo, toilette et rangements
    - d'une pièce principale avec
        * une cuisine équipée d'une plaque électrique, réfrigérateur, machine à café, vaisselles
       * une table et des chaises
        * un coin salon avec un canapé-lit de 120, une table basse sur roulette, des jeux, des livres et une radio.
    - une terrasse de 10 m² avec une table et des chaises de jardin
    - un jardin avec un espace plantes aromatiques et médicinales (jeunes plants en aout 2023)
Une machine à laver est à disposition dans un local séparé, en commun avec les propriétaires.
Le linge de maison tel que draps, couvertures, serviettes, torchons, serpillière est fourni.
Toutes les fenêtres sont dotées d'une moustiquaire.
Le salon et la chambre sont dotés d'un brasseur d'air.
-&gt; En option
    Le petit déjeuner en supplément est composé d'une boisson café ou thé, ainsi que du pain, de la confiture et un jus de fruit.
    Vous pouvez également réserver un ou plusieurs soins énergétiques ou séances de réflexologie plantaire avec la propriétaire juste à côté, voir les détails sur http://www.bienetre-reiki-974.re.
-&gt; En cadeau
Des tisanes et/ou ou des fruits du jardin en guise de bienvenue.
-&gt; Parking et jardin
Bien que se situant sur la même parcelle que la maison des propriétaires, la cour de chaque logement est délimitée par une rangée de plantes. La parcelle elle-même est clôturée, il n'y a aucun animal.
Le parking est en commun devant l'entrée des propriétaires.
-&gt; Règlement intérieur
    - Lieu entièrement non fumeur
    - Animaux non acceptés
    - Les soirées bruyantes ne sont pas admises, merci de respecter également le calme du quartier en journée
    - Le logement et son équipement ne doivent être utilisés que par et pour les personnes indiquées lors de la réservation.
    - Utilisez les brasseurs d'air, les lumières et appareils électriques de manière responsable et éteignez les quand vous n’êtes pas dans le logement.
    - Vous bénéficiez d'un forfait ménage, néanmoins nous vous demandons de laisser le logement propre et rangé : poubelles vidées et sorties, réfrigérateur et congélateur vidés et nettoyés, vaisselle lavée et rangée, lits défaits et linge de maison rassemblé.
    - Les fruits et plantes du jardin ne doivent pas être cueillis ou coupés.
Non accessible aux personnes à mobilité réduite
La Case Bouisseau n'est pas encore accessible aux personnes à mobilité réduite. Mais c'est en projet.</t>
  </si>
  <si>
    <t>Au calme dans un écrin de verdure, ce bungalow est le lieu idéal pour vous détendre entre vos escapades dans le Sud Sauvage</t>
  </si>
  <si>
    <t>parking , linge de maison , linge de toilette , lave-linge , jardin , bibliothéque , jeux , cuisine équipée , brasseurs d'air , terrasse , douche</t>
  </si>
  <si>
    <t>9a3305ce</t>
  </si>
  <si>
    <t>53d37588</t>
  </si>
  <si>
    <t>galerie::galerie_Files_/a89b04aa.Path.101819.webp</t>
  </si>
  <si>
    <t>CSC596HTT</t>
  </si>
  <si>
    <t>/!\ Attention les tarifs ne sont pas encore fixés : le prestataire a pour projet de les retravailler pour les ajuster</t>
  </si>
  <si>
    <t>Villa Beau Soleil</t>
  </si>
  <si>
    <t>242</t>
  </si>
  <si>
    <t>Rue Maurice Kraft</t>
  </si>
  <si>
    <t>-21.198993, 55.576712</t>
  </si>
  <si>
    <t>pothinhenriclaude@gmail.com</t>
  </si>
  <si>
    <t>0692 87 54 85</t>
  </si>
  <si>
    <t>Idéalement située à proximité de la Maison du Volcan, la Villa Beausoleil est proche de toutes commodités et des principaux sentiers de randonnées. 
Sa grande cour et ses installations extérieures (feu de bois, kiosques, tables de pic-nic) vous permettront de profiter grandement de votre séjour. Entièrement équipée, la villa dispose du Wi-fi et à une capacité d'accueil de 12 à 14 personnes.
Le plan d'accès est disponible dans les pièces jointes de la fiche</t>
  </si>
  <si>
    <t>Villa Beau Soleil - Location saisonnière</t>
  </si>
  <si>
    <t>La Villa BEAUSOLEIL est accessible par la RN 3 (rue Maurice et Katia Krafft).
Elle est située au n°242, qui est à 500 mètres de la Cité du Volcan</t>
  </si>
  <si>
    <t>parking , fer et planche à repasser , linge de maison , chauffage , TV , linge de toilette , four , Cafetière , frigo , wifi , cuisine équipée , sèche-cheveux , cheminée</t>
  </si>
  <si>
    <t>sentier de randonnée,commerce alimentaire,point de vue panoramique,forêt,sites touristiques,arrêt bus</t>
  </si>
  <si>
    <t>Paypal,Espèces,airbnb,Le bon coin</t>
  </si>
  <si>
    <t>a6389184</t>
  </si>
  <si>
    <t>45ed73c5</t>
  </si>
  <si>
    <t>galerie::galerie_Images/47d52aee.Path.103515.jpg</t>
  </si>
  <si>
    <t>Vel'Hauts Run</t>
  </si>
  <si>
    <t>112F</t>
  </si>
  <si>
    <t>Route du Volcan</t>
  </si>
  <si>
    <t>-21.210244, 55.590542</t>
  </si>
  <si>
    <t>lauret.mikael@gmail.com</t>
  </si>
  <si>
    <t>0692 95 76 50</t>
  </si>
  <si>
    <t>https://www.velhautsrun.com/?fbclid=IwAR0R8dnSXmE_jV2-KI8PAHXUY14bLomy2bOVc1OZplXto3JhVUIldDcEwrs</t>
  </si>
  <si>
    <t>Prenez le temps de visiter le chemin qui mène au volcan en vélo tout terrain à assistance électrique (VVTAE), admirer les paysages magnifiques de la plaine des cafres.
Tarif:
30€ la demi journée 
60€ la journée 
Le prix est dégressif selon le nombre de vélo et sur la journée (si client régulier aussi)</t>
  </si>
  <si>
    <t>Louer un vélo électrique 
Nos vélo à assistance électrique vous emmènerons jusqu'au bout de l'Île.</t>
  </si>
  <si>
    <t>vue montagne , matériel pour l'activité , balade</t>
  </si>
  <si>
    <t>sentier de randonnée,point de vue panoramique,forêt,arrêt bus,Restauration,hébergements</t>
  </si>
  <si>
    <t>96c33950</t>
  </si>
  <si>
    <t>fd2e0658</t>
  </si>
  <si>
    <t>galerie::galerie_Images/7143301a.Path.074416.jpg</t>
  </si>
  <si>
    <t>Les Chalets à l'Orée du Bois - Le petit chalet</t>
  </si>
  <si>
    <t>5</t>
  </si>
  <si>
    <t>chemin Commerson</t>
  </si>
  <si>
    <t>-21.210830, 55.592317</t>
  </si>
  <si>
    <t>Petit chalet cuisine équipée frigo gaziniere +four appareils à café senseo et a couler boulloir marmitte a riz  télévision 
1chambres une un grand  lit  deux places et un grand d une place superposés 
Et 1chambre 1 grand lit double chauffage pompe à chaleur 
Capacité 5 personne 
Kiosque possibilité manger feu bois grillades  cour clôturer</t>
  </si>
  <si>
    <t>Les Chalets à l'Orée du Bois, situés dans les Hauteurs du Tampon, se composent d'un petit et d'un grand chalet. Le chaleureux petit chalet peut accueillir jusqu'à cinq personnes.</t>
  </si>
  <si>
    <t>Voir fiche du Grand Chalet</t>
  </si>
  <si>
    <t>5fa8e44c</t>
  </si>
  <si>
    <t>galerie::galerie_Images/3173ba44.Path.054706.jpg</t>
  </si>
  <si>
    <t>CSC591HTO</t>
  </si>
  <si>
    <t>Chauffage pompe à chaleur dans la salle principale
Pas de machine à laver 
Pas de lave vaisselle</t>
  </si>
  <si>
    <t>Impasse du Elien</t>
  </si>
  <si>
    <t>-21.232696, 55.472044</t>
  </si>
  <si>
    <t>nana.barketfastfood@gmail.com</t>
  </si>
  <si>
    <t>0692 76 90 50</t>
  </si>
  <si>
    <t>NANA barket &amp; fastfood</t>
  </si>
  <si>
    <t>DiRo9050Ax</t>
  </si>
  <si>
    <t>17278101</t>
  </si>
  <si>
    <t>galerie::galerie_Images/f686e402.Path.113817.jpg</t>
  </si>
  <si>
    <t>-21.362181, 55.647632</t>
  </si>
  <si>
    <t>0693402408</t>
  </si>
  <si>
    <t>Prendre la RN2, direction langevin, sur les berges, la personne de CA vous donnera rdv en fonction de l'état de la rivière</t>
  </si>
  <si>
    <t>grand espace</t>
  </si>
  <si>
    <t>sentier de randonnée,riviere,site - lieu culturel,restaurants,transports en commun,sentiers de randonnées,sites touristiques,Bassin de Manapany</t>
  </si>
  <si>
    <t>JaRé2408fS</t>
  </si>
  <si>
    <t>b6ca76ee</t>
  </si>
  <si>
    <t>galerie::galerie_Images/6ff1207e.Path.070128.png</t>
  </si>
  <si>
    <t>Ils ont une community manager qui répond au tel, Maëva :)</t>
  </si>
  <si>
    <t>Au Bonheur Du Miel</t>
  </si>
  <si>
    <t xml:space="preserve"> Rue Cafre</t>
  </si>
  <si>
    <t>-21.238333, 55.470212</t>
  </si>
  <si>
    <t>0692255248</t>
  </si>
  <si>
    <t>Création de savons artisanaux et  miel de la Réunion</t>
  </si>
  <si>
    <t>Sarah LUCAS confectionne des savons faits à la main et hydratants grâce à leur glycérine naturelle. Ils sont 100% naturels.
Dans le procédé industriel, la glycérine est séparée du savon pour être revendue. Le savon obtenu est donc " déglycériné ", faisant ainsi du savon un produit agressif.</t>
  </si>
  <si>
    <t>Prendre la rue du Commerce, puis route du Bras-Long. Faites 1  kilomètre et tournez sur votre gauche dans le chemin Macaire, faite 600 mètres et la rue Cafre est à votre droite.</t>
  </si>
  <si>
    <t>sanitaires communs , boutique</t>
  </si>
  <si>
    <t>commerces,hébergements,sentiers de randonnée</t>
  </si>
  <si>
    <t>LuSa5248tP</t>
  </si>
  <si>
    <t>34ed6a98</t>
  </si>
  <si>
    <t>galerie::galerie_Images/d50314b7.Path.075251.jpg</t>
  </si>
  <si>
    <t>introuvable sur internet &gt; adresse mail inexistante</t>
  </si>
  <si>
    <t xml:space="preserve">Les Bananiers </t>
  </si>
  <si>
    <t xml:space="preserve"> Chemin Cesar</t>
  </si>
  <si>
    <t>0262375303</t>
  </si>
  <si>
    <t>TV , jardin , Salle de jeux , linge de maison , linge de toilette , cuisine , lave linge privatif , ventilateur , sèche linge privatif , fer et planche à repasser , parking , salle de bain privée , sanitaires privés</t>
  </si>
  <si>
    <t>ad451c7f</t>
  </si>
  <si>
    <t>La Villa Tortue</t>
  </si>
  <si>
    <t>28 bis</t>
  </si>
  <si>
    <t>Chemin des Agératums</t>
  </si>
  <si>
    <t>-21.254241, 55.535721</t>
  </si>
  <si>
    <t>j.gael.grondin@gmail.com</t>
  </si>
  <si>
    <t>0692891207</t>
  </si>
  <si>
    <t>La maison est toute récente et se situe au Tampon, dans un quartier calme proche des commodités, où le climat est doux en été. 
Vous pourrez profiter de son jardin arborée et de la terrasse avec barbecue (et espace détente en cours d'aménagement) pendant votre séjour. La maison possède trois chambres à l'étage et peut accueillir jusqu'à 6 voyageurs.
Toilette au rez de chaussée.
Parking privé pouvant accueillir 2 voitures.</t>
  </si>
  <si>
    <t>Villa moderne au cœur de la Réunion</t>
  </si>
  <si>
    <t>Au niveau de la National en direction de la Plaine des Cafres, prendre à droite en direction du quartier de bras creux. 
La rue des Agératums se trouve sur la gauche sur la route en direction de la mairie annexe de Bras Creux. 
La maison se trouve au bout d'une allée, le numéro est indiqué sur la boite au lettre.</t>
  </si>
  <si>
    <t>barbecue , fer et planche à repasser , vue montagne , grand espace , vue mer , linge de maison , salon , jardin , TV , micro-ondes , wifi , salle de bain privée , linge de toilette , Lit parapluie sur demande , douche , four , terrasse , salon de jardin , jardin arboré , serviettes. , salle de bain , cour clôturée , Cafetière , frigo , varangue , cour clôturée avec portail électrique , cuisine équipée , jardin clôturé , salle à manger , plaque de cuisson , repas traditionnels</t>
  </si>
  <si>
    <t>sentier de randonnée,point de vue panoramique,commerce alimentaire,arrêt bus,station essence</t>
  </si>
  <si>
    <t>a479c1b4</t>
  </si>
  <si>
    <t>aa1c7a7e</t>
  </si>
  <si>
    <t>galerie::galerie_Files_/c8174807.Path.091240.webp</t>
  </si>
  <si>
    <t>CSC558HTR</t>
  </si>
  <si>
    <t>Lodge de Grand Coude</t>
  </si>
  <si>
    <t>rue Emile Mussard</t>
  </si>
  <si>
    <t>-21.296296, 55.628085</t>
  </si>
  <si>
    <t>elodie.malet974@gmail.com</t>
  </si>
  <si>
    <t>0692 23 54 37</t>
  </si>
  <si>
    <t>Venez découvrir Le Lodge de Grand Coude, niché à plus de 1100 mètres d'altitude, sur les hauteurs de Saint-Joseph, dans un endroit calme et verdoyant. Vous serez à quelques pas du Labyrinthe en Champ Thé, du Jardin des Bestioles ainsi que de la Maison du Laurina. L'hébergement de 49 m² a été entièrement rénové en 2020, dans une ambiance chaleureuse et cocooning. Il est idéal pour un couple et 2 enfants de - de 12 ans pour un moment de détente et de repos en couple ou en famille.</t>
  </si>
  <si>
    <t>tout équipé , terrasse , jacuzzi , parking</t>
  </si>
  <si>
    <t>sentier de randonnée,jardin,sites touristiques</t>
  </si>
  <si>
    <t>43a6411b</t>
  </si>
  <si>
    <t>1fae4151</t>
  </si>
  <si>
    <t>galerie::galerie_Images/e00a2584.Path.084527.jpg</t>
  </si>
  <si>
    <t>CSC428HT@</t>
  </si>
  <si>
    <t>Chèque de caution de 500€ nécessaire à l'arrivée. 2 nuits minimum en weekend. 1 nuit seulement en semaine. 
Bungalow en fin d'impasse situé juste à côté du Labyrinthe en champ thé. 
Le logement dispose d'une chambre parentale avec sdb et accès au jacuzzi. Un clic clac est dispo dans le salon pour une personne supplémentaire ou des enfants. 
La cuisine est très bien équipée avec tout le matériel nécessaire et l'appareil à raclette. 
Télé connectée avec wifi. Jeux de société dispo sur place.
Terrasse extérieure + salon de jardin et grand jardin.</t>
  </si>
  <si>
    <t xml:space="preserve">L'Eucalyptus </t>
  </si>
  <si>
    <t>chauffage , jardin , parking , salle de réunion - séminaire</t>
  </si>
  <si>
    <t>GrMa5478Qt</t>
  </si>
  <si>
    <t>b493f7d9</t>
  </si>
  <si>
    <t>table d'hôtes à fermer &gt; l'Eucalyptus chambre d'hôtes passera en meublé de tourisme 
RDV pris avec le presta pour le 08/09/2023 pour faire le point et mettre à jour</t>
  </si>
  <si>
    <t>Le Jardin FOU</t>
  </si>
  <si>
    <t>Terre ; Patrimoine culturel</t>
  </si>
  <si>
    <t>84</t>
  </si>
  <si>
    <t>rue du Paille en Queue</t>
  </si>
  <si>
    <t>Berive</t>
  </si>
  <si>
    <t>-21.305161, 55.533622</t>
  </si>
  <si>
    <t>lepointdevuefleuri@gmail.com</t>
  </si>
  <si>
    <t>0692 85 51 05</t>
  </si>
  <si>
    <t>Le point du vue fleuri est composé de 3 espaces différents : 
- le jardin fou : jardin à visiter en visite libre ou en visite guidée sur RDV
- le tunnel fleuri : salle de réunion de 100m² équipé de vidéo, tables, chaises, et un coin pause café (capacité de 25 personnes max)
- le boucan fleuri : air de pic-nic aménagé de 100m² couvert et espace détente aménagé de jeux de plein air, baby foot, billard,...
Ateliers jardinage sur résa et uniquement en groupe à partir de 7 personnes
Parking pour bus et voitures à dispo
Tarif de groupe et prestations : consulter M. Leveneur</t>
  </si>
  <si>
    <t>Fantaisiste Original Unique (Bérive - Le Tampon)</t>
  </si>
  <si>
    <t>Direction Bérive route départementale tourner à droite sur le chemin Bassin Martin puis 50m plus bas tourner à droite.</t>
  </si>
  <si>
    <t>barbecue , parking public , jardin , vue montagne , grand espace , vue mer , wifi gratuit , aire de jeux pour enfant , salon de jardin , jardin arboré , espace de restauration en extérieur , accès internet , table de ping-pong , billard , frigo , Cafetière , basse court</t>
  </si>
  <si>
    <t>pharmacie,sentier de randonnée,site - lieu culturel,point de vue panoramique,commerce alimentaire,arrêt bus,boulangerie,centre médical</t>
  </si>
  <si>
    <t>LeGe5105d7</t>
  </si>
  <si>
    <t>8dc2c0e0</t>
  </si>
  <si>
    <t>galerie::galerie_Images/0c9c2173.Path.112646.jpg</t>
  </si>
  <si>
    <t>En dessous  de 3 ans gratuit
Mode de paiement par carte à partir de 2023
&gt; info et coordonnées (affiche sera déposé dans les BIT dispo dans la galerie)
/!\ ATTENTION : Décès du propriétaire Août 2024 &gt; fermeture annoncée sur leur page fb pour le moment jusqu'à nouvel ordre</t>
  </si>
  <si>
    <t>Villa Jungle</t>
  </si>
  <si>
    <t>22 C</t>
  </si>
  <si>
    <t>route de la Grande Corniche</t>
  </si>
  <si>
    <t>-21.372937, 55.594525</t>
  </si>
  <si>
    <t>sebastoc974@gmail.com</t>
  </si>
  <si>
    <t>0692 70 66 21</t>
  </si>
  <si>
    <t>https://www.lesvillastropicales.re/</t>
  </si>
  <si>
    <t>La Villa "Jungle' T4 de standing, décorée avec soin est entièrement pensée pour votre confort. Le RDC avec salle d';eau, cuisine équipée et salon s';ouvre entièrement sur l'extérieur. Le jardin est une invitation à la détente avec jacuzzi, transats et barbecue à gaz haut de gamme. L'étage dispose de 3 chambres climatisées avec literie de qualité queen size, dressing et sdb. Idéalement située à proximité de restaurants, centre commercial et du bassin de Manapany pour vos baignades.</t>
  </si>
  <si>
    <t>Villa moderne Manapany -Jacuzzi-Proximité mer</t>
  </si>
  <si>
    <t>barbecue , climatisation , jacuzzi , vue mer , linge de maison , salon , TV , lave vaisselle , micro-ondes , linge de toilette , douche , four , Cafetière , frigo , wifi , terrasse , cuisine équipée , salle à manger , salon de jardin , serviettes.</t>
  </si>
  <si>
    <t>commerce alimentaire,point de vue panoramique,sites touristiques,arrêt bus</t>
  </si>
  <si>
    <t>21167c52</t>
  </si>
  <si>
    <t>64ed03cf</t>
  </si>
  <si>
    <t>galerie::galerie_Images/17570f72.Path.092358.jpg</t>
  </si>
  <si>
    <t>CSC530HT@</t>
  </si>
  <si>
    <t>La Villa JoLi</t>
  </si>
  <si>
    <t>22</t>
  </si>
  <si>
    <t>rue du Sagoutier</t>
  </si>
  <si>
    <t>-21.368016, 55.605174</t>
  </si>
  <si>
    <t>volsko@hotmail.fr</t>
  </si>
  <si>
    <t>0692 20 06 62</t>
  </si>
  <si>
    <t>https://www.villajoli.fr/?fbclid=IwAR1uxZ2GdRWy9HVLV-0VfrZAwHE_Zz2JtNMYX6ToZIUu6PAPBHCZ1h25YUo</t>
  </si>
  <si>
    <t>La Villa JoLi est une maison tout confort. Elle possède une cuisine entièrement équipée ouverte sur le séjour.
Elle est disposée de trois chambres dont une suite parentale de haut standing et d'une grande salle de bain. L'établissement a été conçu pour les familles. Les fêtes bruyantes, musiques et soirées "jeunes" sont strictement interdites. Les animaux ne sont pas acceptés.
La maison est entièrement clôturée avec trois places de voitures à l'intérieur.</t>
  </si>
  <si>
    <t>Idéalement située, "La Villa JoLi", vous accueille dans ses trois chambres tout confort dont une suite parentale.
Clôturée et sécurisée, vous pourrez profiter de la piscine et du jardin en toute quiétude.</t>
  </si>
  <si>
    <t>Située à Saint-Joseph, La Villa JoLi, maison tout confort :
- À 2 minutes de la zone commerciale les TERRASS.
- À 3 minutes du centre-ville de SAINT-JOSEPH.
 - À 5 minutes du bassin naturel de MANAPANY.</t>
  </si>
  <si>
    <t>barbecue , fer et planche à repasser , piscine , jardin , lave linge privatif , salle de bain privée , TV , ventilateur , lave linge collectif , linge de maison , salon , espace de restauration , wifi gratuit , lave vaisselle , micro-ondes , sanitaires privés , salle de réunion - séminaire , douche , four , aire de jeux pour enfant , linge de toilette , jardin arboré , accès internet , piscine chauffée , serviettes. , terrasse , cuisine équipée , parking sécurisé , tout équipé , cour clôturée , sur réservation , plaque de cuisson , frigo , varangue , Cafetière</t>
  </si>
  <si>
    <t>commerce alimentaire,point de vue panoramique</t>
  </si>
  <si>
    <t>Chèque,Virement,Espèces,carte bancaire uniquement en ligne</t>
  </si>
  <si>
    <t>c406803e</t>
  </si>
  <si>
    <t>ea2465d4</t>
  </si>
  <si>
    <t>galerie::galerie_Images/0de68fe3.Path.072120.jpg</t>
  </si>
  <si>
    <t>CSC498HT@</t>
  </si>
  <si>
    <t>TARIFICATION : En semaine, 120 euros la nuitée hors période de vacances scolaires (Réunion et Métropole) avec un minimum de 2 nuitées. En week-end, le tarif est de 650 euros du vendredi au dimanche. 
ATTENTION : En période de vacances scolaires (Métropole et Réunion) le tarif est de 150 euros avec un minimum de 5 nuitées. 
N.b. Le tarif week-end à 650 euros n'est pas appliqué pour les longs séjours.</t>
  </si>
  <si>
    <t xml:space="preserve"> Rue Pierre Rivals</t>
  </si>
  <si>
    <t>0692237622</t>
  </si>
  <si>
    <t>GrMa7622nr</t>
  </si>
  <si>
    <t>b79aed12</t>
  </si>
  <si>
    <t>fermeture définitive : courrier en attente!</t>
  </si>
  <si>
    <t>VILLA DU SUD SAUVAGE</t>
  </si>
  <si>
    <t>rue de l'Océan</t>
  </si>
  <si>
    <t>-21.363623, 55.770785</t>
  </si>
  <si>
    <t>rivierelinda29@gmail.com</t>
  </si>
  <si>
    <t>0693 01 87 11</t>
  </si>
  <si>
    <t>Cette maison allie charme, confort moderne et ambiance apaisante. Vous profiterez d’une piscine chauffée, d’un environnement paisible et du doux murmure de l’océan tout proche.
Parfaite pour un séjour en couple, en famille ou entre amis, la villa vous invite à ralentir le rythme, à vous reconnecter à l’essentiel et à savourer chaque instant.
Détendez-vous dans ce meublé de tourisme mettant à disposition 3 chambres.
Lit parapluie sur demande.</t>
  </si>
  <si>
    <t>Charmante et élégante villa située tout près de l'Océan. Vous aurez la possibilité d'être bercé par le bruit des vagues.</t>
  </si>
  <si>
    <t>St-Philippe</t>
  </si>
  <si>
    <t>climatisation , fer et planche à repasser , parking public , piscine , vue montagne , sur réservation , vue mer , linge de maison , parking , TV satellite , salon , chauffage , jardin , TV , espace de restauration , wifi gratuit , lave vaisselle , lave linge privatif , micro-ondes , linge de toilette , douche , four , Cafetière , frigo , sanitaires privés , terrasse , cuisine équipée , salle de bain privée , Lit parapluie sur demande , salon de jardin , accès internet , serviettes. , cour clôturée , varangue , plaque de cuisson , chauffe-eau solaire</t>
  </si>
  <si>
    <t>commerce alimentaire,forêt,sites touristiques,arrêt bus,poste - boite aux lettres,transports en commun,station service</t>
  </si>
  <si>
    <t>2a781456</t>
  </si>
  <si>
    <t>d4568163</t>
  </si>
  <si>
    <t>galerie::galerie_Images/bbba67fa.Path.094643.jpg</t>
  </si>
  <si>
    <t>CSC588HTU</t>
  </si>
  <si>
    <t>Deux nuits minimum pour toute réservation.
 Les offres promotionnelles proposées par le prestataires sont :
=&gt; Une réduction de 15% sur des séjours de 7 nuits et plus. 
=&gt; Une réduction de 40% sur des séjours d'un mois.</t>
  </si>
  <si>
    <t>Ti kaz Ravito</t>
  </si>
  <si>
    <t>impasse de vigny</t>
  </si>
  <si>
    <t>-21.374686, 55.630572</t>
  </si>
  <si>
    <t>hugonnot.sylvain@gmail.com</t>
  </si>
  <si>
    <t>0692 65 24 06</t>
  </si>
  <si>
    <t>Petit appartement indépendant, mitoyen d'une petite case créole, dans une impasse de la rue des Jacques à St Joseph. De quoi passer un agréable séjour, se reposer, étudier vos prochaines randonnées sur de jolis sentiers, la plaine des Grègues, Grand Coude, la Rivière Langevin, Cap Méchant, Basse Vallée (vanille), les coulées de laves ou prévoir une baignade au bassin de Manapany.</t>
  </si>
  <si>
    <t>Logement de 2 pièces indépendant, une seule chambre avec 2 lits doubles, une cuisine équipée, salle d'eau, WC indépendant.
Terrasse extérieure, vue mer.</t>
  </si>
  <si>
    <t>jardin , parking , wifi gratuit</t>
  </si>
  <si>
    <t>sentier de randonnée,riviere,forêt,sites touristiques,Bassin de Manapany,arrêt bus,transports en commun</t>
  </si>
  <si>
    <t>518046d8</t>
  </si>
  <si>
    <t>810f7a4c</t>
  </si>
  <si>
    <t>galerie::galerie_Images/fca9466a.Path.074800.jpg</t>
  </si>
  <si>
    <t>ATTENTION : NE SOUHAITE PAS ETRE PROMU PAR L'OTI !
Attention : location uniquement via Airbnb!!
Précisions tarifs : 45€ pour 1 nuit 1 personne puis +10€ par personne supplémentaire</t>
  </si>
  <si>
    <t>LEGRANDCOUDE</t>
  </si>
  <si>
    <t>146</t>
  </si>
  <si>
    <t>route du Grand Coude</t>
  </si>
  <si>
    <t>-21.301711, 55.629701</t>
  </si>
  <si>
    <t>legrandcoude@gmail.com</t>
  </si>
  <si>
    <t>0692 56 16 16</t>
  </si>
  <si>
    <t>Un espace de 6 000 m2 dédié a été créé. Trois formules sont proposées : Journée découverte, Week-end Maths et
Séjour apprenant. Des ateliers sont proposés aux apprenants pour découvrir, redécouvrir, manipuler, verbaliser et
abstraire des notions mathématiques et aussi permettre aux apprenants de développer leurs émotions cognitives
telles que l’attention, la concentration, la méditation, la mémorisation, le visuo-spatial, la communication, le
travail collaboratif, l’esprit d’équipe, l’estime de soi, la confiance en soi, l’autonomie..., l’aidant dans son
cheminement mental et son équilibre physique. Ce site à ciel ouvert utilise le potentiel d’innovation permis par
l’approche kinesthésique et la prise en compte des émotions, essentielles dans le processus d’apprentissage. La
nature joue un rôle de trait-d’union et la résolution de problèmes devient un plaisir.</t>
  </si>
  <si>
    <t>L’association LEGRANDCOUDE, régie par la loi du 1er juillet 1901, a pour objet de promouvoir, valoriser et développer le tourisme vert sur le site de « Grand Coude ».
Dans une démarche de développement durable concertée. Sensibiliser, favoriser des activités de découvertes de
pleine nature, proposer un sentier d’interprétation avec un parcours de santé physique et mental adapté aux
enfants (Ti Moun’), aux adultes (Di Moun’) et aux personnes âgées (Gran Moun’), sensibiliser sur l’utilisation des
énergies renouvelables et développer le concept de l’école marron© à savoir la résolution de problèmes à ciel
ouvert mathématiques (PÀCOM).
LEGRANDCOUDE met à disposition un camping où vous séjournerez dans la TI CAZ DE GRAND COUDE, située à 1100 mètres d'altitude dans les Hauts du Sud Sauvage de Saint-Joseph.</t>
  </si>
  <si>
    <t>6c37b814</t>
  </si>
  <si>
    <t>922ce1f0</t>
  </si>
  <si>
    <t>galerie::galerie_Images/006a3bec.Path.104625.jpg</t>
  </si>
  <si>
    <t>CSC587HTT</t>
  </si>
  <si>
    <t>Ne pas orienter de touriste car il n'accueille uniquement des mineurs dans le cadre des convention comme la Convention « Camping jeunes » avec la DRAJES et Agrément Académie de La Réunion. Voir CRM requête traitée le 27 mai pour détail, nous attendons néanmoins une info confirmant celà ou changement de statut pour le sortir de la bdd ou pas.</t>
  </si>
  <si>
    <t xml:space="preserve"> Impasse du Margouillat</t>
  </si>
  <si>
    <t>-21.254919, 55.464798</t>
  </si>
  <si>
    <t>0692 70 37 43</t>
  </si>
  <si>
    <t>http://www.entredeuxreves.fr</t>
  </si>
  <si>
    <t>Entre Deux Rêves dispose de 4 chambres d'hôtes labellisées Clévacances, 
les chambres Litchi, Papaye, Sapotille, et Zévi sont classées 2 clés. Elles disposent d'un lit double, d'un accès wifi et d'une terrasse. Un jacuzzi de 6 places est à disposition avec une vue sur l'océan et le Bras de Cilaos. Vous aurez accès à deux jardins arborés avec de belles vues sur le bras de Cilaos, le Dimitile et l'océan. Toutes les chambres disposent d'une vue sur la piscine.
Possibilité de découvrir la gastronomie réunionnaise lors des repas du soir en table d'hôte sur réservation 48h à l'avance selon les disponibilités 4 personnes minimum.
La résidence est équipée d'un parking sécurisé avec portail automatique. Des prises sont également à disposition dans le garage pour les vélos électriques.
L'hébergement est situé à proximité des accès aux randonnées du Coteau Sec et de Bayonne pour aller au Dimitile.
Une pièce commune est également à disposition pour les repas avec une cuisine aménagée avec réfrigirateur, une salle de bains et un salon avec télévision.
Le petit déjeuner (continental) se fait sur place entre 7h30 et 9h30. L'hôte utilise au maximum des produits bio et de saison.</t>
  </si>
  <si>
    <t>A l'entrée du village de l'Entre-deux, sur le CD 26, prendre la rue Rémy Rivière et l'impasse Margouillat, la résidence se trouve au n°8 au bout de l'impasse.</t>
  </si>
  <si>
    <t>petit déjeuner continental , climatisation , piscine , jacuzzi , vue montagne , vue mer , lave linge collectif , linge de maison , parking , jardin , TV , espace de restauration , wifi gratuit , micro-ondes , salle de bain privée , sanitaires privés , wifi , douche , four , terrasse , salon de jardin , linge de toilette , cuisine , jardin arboré , végétariens bienvenus , cour clôturée , veranda couverte , Cafetière , frigo , jardin clôturé , cour clôturée avec portail électrique</t>
  </si>
  <si>
    <t>sentier de randonnée,sentier de grande randonnée,point de vue panoramique,forêt,riviere,sites touristiques,arrêt bus,jardin,transports en commun,Gare routière,randonnées,hébergements</t>
  </si>
  <si>
    <t>Chèque,Virement,Espèces,Carte Bancaire,booking</t>
  </si>
  <si>
    <t>JaMa3743t8</t>
  </si>
  <si>
    <t>3ee0d291</t>
  </si>
  <si>
    <t>galerie::galerie_Files_/10b8ed9f.Path.100742.webp</t>
  </si>
  <si>
    <t>-21.254892, 55.464788</t>
  </si>
  <si>
    <t>0692703743</t>
  </si>
  <si>
    <t>Entre Deux Rêves dispose d'une chambre d'hôte classée 3 clés, la chambre Passion est spécialement conçue pour les amoureux, elle est équipée d'un lit double de 160x200 cm, d'un coin salon, d'un mini-bar, d'un accès wifi et d'une terrasse. 
(Possibilité d'ajouter un petit lit pour un enfant sur demande.)
Découverte de la gastronomie réunionnaise lors des repas du soir en table d'hôte sur réservation 48h à l'avance selon les disponibilités 4 personnes minimum.
La résidence dispose d'un parking sécurisé avec portail automatique.
Les clients ont accès à deux jardins arborés avec de belles vues sur le bras de Cilaos, le Dimitile et l'océan. La clientèle peut également profiter du jacuzzi de 6 places qui dispose d'une vue sur l'océan et le Bras de Cilaos. L'hébergement est situé à proximité des accès aux randonnées du Coteau Sec et de Bayonne pour aller au Dimitile.
Une pièce commune est également à disposition pour les repas avec une cuisine aménagée avec réfrigirateur, une salle de bains et un salon avec télévision.
Petit déjeuner sur place entre 7h30 et 9h30.
Utilisation au maximum de produits bio et de saison.
Des prises sont à disposition dans le garage pour les vélos électriques.</t>
  </si>
  <si>
    <t>climatisation , piscine , jacuzzi , vue montagne , vue mer , lave linge collectif , linge de maison , parking , salon , jardin , TV , restauration , wifi gratuit , micro-ondes , salle de bain privée , wifi , douche , four , terrasse , salon de jardin , linge de toilette , cuisine , Cuisine de produits frais locaux , jardin arboré , végétariens bienvenus , cour clôturée , Cafetière , frigo , varangue , coffre-fort , mini-bar , petit déjeuner continental , jardin clôturé , cour clôturée avec portail électrique , cuisine équipée , parking sécurisé</t>
  </si>
  <si>
    <t>booking,Chèque,Virement,Espèces,Carte Bancaire</t>
  </si>
  <si>
    <t>524791cf</t>
  </si>
  <si>
    <t>galerie::galerie_Files_/c8cb112a.Path.100429.webp</t>
  </si>
  <si>
    <t>-21.254925, 55.464797</t>
  </si>
  <si>
    <t>L'appartement Pitaya est labellisé Clévacances et classé 3 clés. Il dispose d'un séjour-cuisine avec canapé-lit, d'une chambre double d'une salle de bains avec baignoire et d'un jardin. 
L'appartement est climatisé et équipé pour 4 personnes. Vous pourrez également profiter du jacuzzi de 6 places qui dispose d'une vue sur l'océan et le Bras de Cilaos.
Vous aurez la possibilité de découvrir la gastronomie réunionnaise lors des repas du soir en table d'hôte sur réservation 48h à l'avance selon les disponibilités 4 personnes minimum.
La résidence dispose de deux jardins arborés avec de belles vues sur le bras de Cilaos, le Dimitile et l'océan.  L'hébergement est situé à proximité des accès aux randonnées du Coteau Sec et de Bayonne pour aller au Dimitile.
Des prises sont à disposition dans le garage pour les vélos électriques.
Une salle de courtoisie est à la disposition des hôtes à la fin du séjour.
La résidence dispose d'un parking sécurisé avec portail automatique.
Petit dejeuner sur demande avec supplément de 10 euros par personne entre 7h30 et 9h30</t>
  </si>
  <si>
    <t>climatisation , piscine , jacuzzi , vue montagne , vue mer , linge de maison , parking , salon , jardin , TV , wifi gratuit , lave vaisselle , lave linge privatif , micro-ondes , salle de bain privée , sanitaires privés , wifi , four , terrasse , salon de jardin , linge de toilette , cuisine , jardin arboré , cour clôturée , Cafetière , frigo , jardin clôturé , cour clôturée avec portail électrique , cuisine équipée , parking sécurisé , cours clôturée</t>
  </si>
  <si>
    <t>booking,Chèque,Espèces,Carte Bancaire</t>
  </si>
  <si>
    <t>1cdc0043</t>
  </si>
  <si>
    <t xml:space="preserve">Les Zakacias </t>
  </si>
  <si>
    <t>petite ferme CD 36</t>
  </si>
  <si>
    <t>madeleine.run@gmail.com</t>
  </si>
  <si>
    <t>0262592059</t>
  </si>
  <si>
    <t>0692873660</t>
  </si>
  <si>
    <t>chauffage , espace de restauration , jardin , parking , salle de bain privée , sanitaires privés</t>
  </si>
  <si>
    <t>RoMa3660Bw</t>
  </si>
  <si>
    <t>11430263</t>
  </si>
  <si>
    <t>en pause d'activité - à contacter en décembre 2023</t>
  </si>
  <si>
    <t>chemin de la Cure</t>
  </si>
  <si>
    <t>-21.249596, 55.474956</t>
  </si>
  <si>
    <t>0262 33 78 89</t>
  </si>
  <si>
    <t>0692332388</t>
  </si>
  <si>
    <t>La Villa les Grenadines d'une capacité de 3 personnes  se situe à l' Entre-Deux. 
Elle dispose d'une chambre double et d'un grand séjour équipé d'un canapé convertible pour 2 personnes. Un petit jardin avec barbecue extérieur est à la disposition des résidents.</t>
  </si>
  <si>
    <t>Passez un agréable séjour à l'Entre-Deux</t>
  </si>
  <si>
    <t>Arrivée à L’Entre-Deux, prendre la direction de l’Eglise.
A l’Eglise tourner à gauche, continuer jusqu’au Stop.
Prendre la direction de la Ravine Des Citrons, Rouler sur 200 mètres.
Tournez à droite , un panneau indique Villa Les Grenadines.
S’arrêter à la maison au toit gris sur votre droite.</t>
  </si>
  <si>
    <t>salon , salon de jardin , Cafetière , terrasse , cuisine équipée , plaque de cuisson , fer et planche à repasser , jardin , lave linge privatif , micro-ondes , TV</t>
  </si>
  <si>
    <t>BlMa2388fc</t>
  </si>
  <si>
    <t>d9bbe75f</t>
  </si>
  <si>
    <t>galerie::galerie_Images/3c1964ce.Path.062307.jpg</t>
  </si>
  <si>
    <t xml:space="preserve"> Chemin Safer Grand Coude</t>
  </si>
  <si>
    <t>-21.284417, 55.630738</t>
  </si>
  <si>
    <t>glwadys.olivar@gmail.com</t>
  </si>
  <si>
    <t>0692 37 93 78</t>
  </si>
  <si>
    <t>GrRe93785T</t>
  </si>
  <si>
    <t>fc28dacb</t>
  </si>
  <si>
    <t xml:space="preserve"> Chemin de l'Equerre</t>
  </si>
  <si>
    <t>-21.271436, 55.460831</t>
  </si>
  <si>
    <t>0693 42 15 93</t>
  </si>
  <si>
    <t>Deux bungalows: Drop et Maul. Tout deux sont disponibles pour trois à quatre personnes. Ils sont encerclés d'un jardin privatif et surplombés d'une grande véranda. Indispensable pour l'apéritif au coucher de soleil.
Vous y trouverez tout le confort nécessaire à votre escale: une cuisine équipée avec four et micro-onde, télévision, et de grands placards.
Une machine à laver est mise à disposition pour les longs séjours.</t>
  </si>
  <si>
    <t>Bungalows Les Bambous</t>
  </si>
  <si>
    <t>L'hébergement se situe chemin de l'Equerre</t>
  </si>
  <si>
    <t>climatisation , fer et planche à repasser , vue montagne , grand espace , vue mer , linge de maison , parking , salon , jardin , TV , wifi gratuit , lave linge privatif , linge de toilette , douche , Cafetière , frigo , Lit parapluie sur demande , sèche-cheveux</t>
  </si>
  <si>
    <t>sentier de randonnée,commerce alimentaire,site - lieu culturel,sites touristiques,arrêt bus</t>
  </si>
  <si>
    <t>Chèque,Espèces,airbnb,site internet</t>
  </si>
  <si>
    <t>JoAn1593fP</t>
  </si>
  <si>
    <t>f8443237</t>
  </si>
  <si>
    <t>galerie::galerie_Images/a20af7fc.Path.051710.jpg</t>
  </si>
  <si>
    <t>CSC185HT@</t>
  </si>
  <si>
    <t xml:space="preserve"> Impasse des Coquillages</t>
  </si>
  <si>
    <t>-21.378437, 55.633921</t>
  </si>
  <si>
    <t>0693 13 30 62</t>
  </si>
  <si>
    <t>https://meuble-de-tourisme-villa-reunion.webnode.fr/</t>
  </si>
  <si>
    <t>Une salle de séjour équipé d'un vrai canapé lit de marque "GRAND LITIER"/ Salle à manger pourvue d'une télévision, écran plat "THOMSON" avec plus de 90 chaines de télévision, WIFI, et d'une table 
Deux chambres à coucher climatisées avec un lit double chacune (literie neuve de marque française "JP GRUHIER").
Une chambre à coucher climatisée avec un lit double et étage un lit simple climatisée. 
Cuisine équipée d'une gazinière / four avec sa hotte, d'un réfrigérateur grand volume. Micro-ondes etc... 
-  Tout l'électroménager ainsi que la vaisselle de maison sont neufs. Un lave linge est à votre disposition.
Un WC/ Une salle d'eau .
Piscine « Waterair », entièrement rénovée en 2018, équipée d'un électrolyseur au sel pour assurer une qualité d'eau irréprochable pour un confort de baignade optimal.
Grande véranda couverte avec table à manger.
Espace barbecue.
Parking privé pour 2 véhicules.</t>
  </si>
  <si>
    <t>Venez découvrir et vivre des moments inoubliables dans ce meublé de tourisme agréable et chaleureux. Détendez-vous en famille ou entre amis dans ce lieu de caractère inoubliable.</t>
  </si>
  <si>
    <t>La VILLA RÉUNION est idéalement situé au cœur du Sud Sauvage, entre la Rivière Langevin et le centre ville de SAINT-JOSEPH.</t>
  </si>
  <si>
    <t>salle de bain , salon , salon de jardin , cuisine équipée , terrasse , piscine</t>
  </si>
  <si>
    <t>sentier de randonnée,commerce alimentaire,parking public,site - lieu culturel,point de vue panoramique,riviere</t>
  </si>
  <si>
    <t>LeJe8181zr</t>
  </si>
  <si>
    <t>a321d52a</t>
  </si>
  <si>
    <t>galerie::galerie_Images/369b458b.Path.095437.jpg</t>
  </si>
  <si>
    <t>Villa Ti Kaz Do Miel</t>
  </si>
  <si>
    <t>rue des abeilles</t>
  </si>
  <si>
    <t>-21.289457, 55.522179</t>
  </si>
  <si>
    <t>jessica.billikers@gmail.com</t>
  </si>
  <si>
    <t>0693614127</t>
  </si>
  <si>
    <t>https://billikers.com/fr/rentals/266005-villa-ti-caz-do-miel-piscine-bain-remous-le-tampon-ile-de-la-reunion-a-la-reunion?currency=EUR</t>
  </si>
  <si>
    <t>Bénéficiez d'un climat agréable, d'un lieu calme...dans une villa de charme. Appréciez cet havre de paix, de tranquillité et de fraicheur...
Située au Tampon, Ti caz do miel est une villa de charme. Proche de tous les commerces et commodités, cette villa vous offre tout le confort que vous recherchez. Idéal pour des vacances en famille ou entre amis, elle peut accueillir 10 personnes.
Vous bénéficiez d’une connexion wifi et d’un parking privé sur place.
Cette villa comprend :
- Un séjour lumineux disposant d’une TV avec un espace repas intérieur
- Une cuisine entièrement équipée : rangements, réfrigérateur, plaque de cuisson, bouilloire, Nespresso, machine à café, ustensiles de cuisine, vaisselle complète…
- Côté nuit, la villa propose 5 chambres :
• 3 chambres doubles,
• 1 chambre avec un lit superposé et un lit parapluie
• 1 suite parentale avec lit double et salle d'eau, vasque et toilettes
- une seconde salle de bain avec baignoire et un WC séparé.
Laissez-vous charmé par la villa : piscine, bain remous, bain de soleil, une terrasse avec salon de jardin et table à manger.
Profitez du soleil ou reposez-vous à l'ombre dans le jardin tropical qui entoure la maison. La maison étant entièrement clôturée, les enfants seront parfaitement en sécurité.
La piscine et le bain remous sont sous l’entière responsabilité des parents. Un entretien hebdomadaire par une société extérieure est planifié.
Partez à la découverte des sentiers de randonnées à proximité (Grand Bassin, Piton Mont Vert… et bien d’autres) ou bien profitez de sa proximité du parcours de santé de La Pointe, du marché forain tous les vendredis matins, marché couvert ouvert tous les jours.
Les fêtes ne sont pas autorisées. Les animaux ne sont pas admis. Le logement est non-fumeur.
Plan Fidélité : Lors de votre 3ème réservation, une bouteille de champagne vous est offerte.
La sérénité Billikers, assurez votre séjour avec l’assurance annulation.
A votre arrivée, votre chargé(e) d'accueil est à votre écoute pour tout renseignement.
Billikers vous propose un tarif à la nuitée, pour 15 jours ou au mois. Demandez votre devis.
En vacances ? Au travail ?
Profitez de nos offres préférentielles pour vos activités touristiques à la Réunion : survol de l’île en hélicoptère, plongée sous-marine, balade en mer, canyoning… et bien d'autres activités pour partir à la découverte de l’île intense.
SERVICES INCLUS :
- Kit de bienvenue
- Linge de maison (serviettes, draps, taies, tapis de bain, torchon)
- Ménage et désinfection du logement selon un protocole sanitaire renforcé COVID-19 après chaque location</t>
  </si>
  <si>
    <t>Située au Tampon, Ti caz do miel est une villa de charme. Proche de tous les commerces et commodités, cette villa vous offre tout le confort que vous recherchez. Idéal pour des vacances en famille ou entre amis, elle peut accueillir 10 personnes.</t>
  </si>
  <si>
    <t>fer et planche à repasser , lave vaisselle , lave-linge , terrasse , four , accès internet , barbecue , climatisation , piscine , jardin , TV , linge de maison , cuisine équipée , parking sécurisé , frigo , balcon</t>
  </si>
  <si>
    <t>Billikers</t>
  </si>
  <si>
    <t>68c670f0,4594a7b4,89d1f672,89d1f672</t>
  </si>
  <si>
    <t>c054459b</t>
  </si>
  <si>
    <t>galerie::galerie_Images/a4faf629.Path.100354.jpg</t>
  </si>
  <si>
    <t>CSC299HT@</t>
  </si>
  <si>
    <t>Attention : hébergement sous gestion agence immobilière "Billikers" // ne pas contacter le prestataire
Coordonnées Billikers pour réservation : 0262 01 10 20 // reservation@billikers.com</t>
  </si>
  <si>
    <t>LABEL FOURCHETTE</t>
  </si>
  <si>
    <t>1b</t>
  </si>
  <si>
    <t>Rue Victor Nativel</t>
  </si>
  <si>
    <t>-21.247035, 55.470793</t>
  </si>
  <si>
    <t>labelfourchette@gmail.com</t>
  </si>
  <si>
    <t>0693 04 03 61</t>
  </si>
  <si>
    <t>Change de menu tte les semaines</t>
  </si>
  <si>
    <t>Label Fourchette -🍴 Restaurant ☕ Coffee Shop
Café • Déjeuner • Apéro • Dîner
Sur place ou à emporter
🥗 Produits frais &amp; fait maison</t>
  </si>
  <si>
    <t>Arrivée au village de l'Entre Deux, se diriger vers la mairie, continuer dans la Rue du Commerce. Le restaurant se trouve sur la gauche au début de la rue Victor Nativel.</t>
  </si>
  <si>
    <t>wifi , terrasse , espace de restauration , espace de restauration en extérieur , vue montagne , repas originaux et traditionnels , repas traditionnels</t>
  </si>
  <si>
    <t>sentier de randonnée,riviere,site - lieu culturel,point de vue panoramique,commerce alimentaire,sites touristiques,arrêt bus,poste - boite aux lettres,jardin,transports en commun,station service,pharmacie,boulangerie,Point chaud,stade de foot</t>
  </si>
  <si>
    <t>347affe5</t>
  </si>
  <si>
    <t>3529903c</t>
  </si>
  <si>
    <t>galerie::galerie_Images/4563508a.Path.061737.jpg</t>
  </si>
  <si>
    <t>BAN'VERTE</t>
  </si>
  <si>
    <t>53</t>
  </si>
  <si>
    <t>Impasse de la Cure</t>
  </si>
  <si>
    <t>-21.249546, 55.474974</t>
  </si>
  <si>
    <t>0692 33 23 88</t>
  </si>
  <si>
    <t>Création de farine à partir des régimes de banane de son jardin, sans engrais ni pesticides. 
Cette farine est naturellement sans gluten, a un indice glycémique bas, riche en potassium et autres propriétés..
Propose des idées de recettes pour travailler la farine.
Partage de connaissance et savoir-faire.
TARIFS:
300g de farine 10€
Muffins au Chocolat 2,50€
Bani-ses (son produit phare) 2€</t>
  </si>
  <si>
    <t>Fabrication de la farine de banane verte</t>
  </si>
  <si>
    <t>Voici un descriptif pour s’y rendre :
Arrivée à L’Entre-Deux, prendre la direction de l’Eglise.
A l’Eglise tourner à gauche, continuer jusqu’au Stop.
Prendre la direction de la Ravine Des Citrons, Rouler sur 200 mètres.
Tournez à droite , un panneau indique Villa Les Grenadines.
S’arrêter à la maison au toit gris sur votre droite.</t>
  </si>
  <si>
    <t>grand espace , matériel pour l'activité</t>
  </si>
  <si>
    <t>sentier de randonnée,site - lieu culturel,point de vue panoramique,sites touristiques</t>
  </si>
  <si>
    <t>c1d7fd9f</t>
  </si>
  <si>
    <t>galerie::galerie_Images/c88cd9df.Path.075323.jpg</t>
  </si>
  <si>
    <t xml:space="preserve">La Rotissoire </t>
  </si>
  <si>
    <t xml:space="preserve"> Rue du Pere Castagnan</t>
  </si>
  <si>
    <t>0262461043</t>
  </si>
  <si>
    <t>0692608261</t>
  </si>
  <si>
    <t>SoCl82615H</t>
  </si>
  <si>
    <t>284f7f97</t>
  </si>
  <si>
    <t xml:space="preserve"> Chemin du Petit Tampon</t>
  </si>
  <si>
    <t xml:space="preserve">payet.jacky@wanadoo.fr </t>
  </si>
  <si>
    <t>0262278315</t>
  </si>
  <si>
    <t>PaJa8315wC</t>
  </si>
  <si>
    <t>2a6d228f</t>
  </si>
  <si>
    <t>Établissement fermé définitivement.</t>
  </si>
  <si>
    <t>chauffage , espace de restauration , jardin , linge de toilette , parking , salle de bain privée , sanitaires privés</t>
  </si>
  <si>
    <t>4e8651e4</t>
  </si>
  <si>
    <t>AS : Établissement fermé définitivement.</t>
  </si>
  <si>
    <t xml:space="preserve"> Rue des Zinnias</t>
  </si>
  <si>
    <t>0692360151</t>
  </si>
  <si>
    <t>barbecue , parking , piscine , TV , wifi</t>
  </si>
  <si>
    <t>LaMi0151GC</t>
  </si>
  <si>
    <t>6895c1e0</t>
  </si>
  <si>
    <t>Monsieur LACIRE ne souhaite pas que son établissement soit référencé sur BERTEL. 
Le 06 mars 2023, Monsieur LACIRE a informé de son projet de fermeture définitive de son hébergement au cours de cette année (mai 2023). En attente de confirmation écrite.</t>
  </si>
  <si>
    <t>92930K</t>
  </si>
  <si>
    <t>553a8a5d</t>
  </si>
  <si>
    <t>Nout Ti L'Arranzé</t>
  </si>
  <si>
    <t>Atelier cuisine</t>
  </si>
  <si>
    <t>87</t>
  </si>
  <si>
    <t>Chemin du Petit Tampon</t>
  </si>
  <si>
    <t>Petit Tampon</t>
  </si>
  <si>
    <t>-21.280885, 55.535863</t>
  </si>
  <si>
    <t>thomasgrondin974000@gmail.com</t>
  </si>
  <si>
    <t>0692 74 71 33</t>
  </si>
  <si>
    <t>Rejoignez nous pour une expérience inoubliable de partage et de délices !
Découvrez l’art et la passion en bouteille!
Ces rhums arrangés sont une symphonie de saveurs exotiques, créées avec amour et savoir-faire. Osez explorer de nouveaux horizons gustatifs.
Boutique et Atelier : élaboration de rhum + dégustation
La bouteille à partir de 25€</t>
  </si>
  <si>
    <t>L’esprit pur des arrangés de nos traditions.</t>
  </si>
  <si>
    <t>Prendre chemin du petit tampon, après un tournant la maison se trouve sur la gauche (l'entrée est visible grâce à sa peinture qui représente un visage) un parking est à disposition juste au dessus (entrée sans portail)</t>
  </si>
  <si>
    <t>jardin arboré , vue montagne , sur réservation , grand espace , vue mer , matériel pour l'activité</t>
  </si>
  <si>
    <t>site - lieu culturel,point de vue panoramique,commerce alimentaire</t>
  </si>
  <si>
    <t>982c2e61</t>
  </si>
  <si>
    <t>405ffb03</t>
  </si>
  <si>
    <t>Chez Alyre et Sylvette</t>
  </si>
  <si>
    <t>Chemin du Petitt tampon</t>
  </si>
  <si>
    <t>-21.280885, 55.535870</t>
  </si>
  <si>
    <t>0692  74  71  33</t>
  </si>
  <si>
    <t>Plongez dans un voyage gustatif au cœur de la Réunion 🏝️🍽️ 
La table d’hôtes « Chez Alyre et Sylvette » offre une immersion totale dans la cuisine créole authentique où les saveurs locales rencontre l’hospitalité chaleureuse. Découvrez chaque bouchée de nos plats préparés avec amour, mettant en valeurs des ingrédients frais de notre île 🇷🇪 
Du rougail saucisse épicé à la douceur exquise du gâteau patate, chaque assiette raconte une histoire de traditions et de convivialité. Rejoignez nous pour une expérience inoubliable de partage et de délices !😋🏝️</t>
  </si>
  <si>
    <t>Venez découvrir l'authenticité réunionnaise "Chez Alyre et Sylvette"</t>
  </si>
  <si>
    <t>jardin , vue montagne , sur réservation , grand espace , vue mer , parking , espace de restauration , jardin arboré</t>
  </si>
  <si>
    <t>point de vue panoramique,commerce alimentaire</t>
  </si>
  <si>
    <t>d210ba7c</t>
  </si>
  <si>
    <t>galerie::galerie_Images/dd38a240.Path.063451.jpg</t>
  </si>
  <si>
    <t>Le Saint-Hilaire</t>
  </si>
  <si>
    <t xml:space="preserve"> Rue Maurice Berrichon</t>
  </si>
  <si>
    <t>-21.250578, 55.477685</t>
  </si>
  <si>
    <t>0692 68 86 10</t>
  </si>
  <si>
    <t>Passez une belle soirée dans un cadre charmant tout en dégustant les bons plats raffinés français du SAINT-HILAIRE.</t>
  </si>
  <si>
    <t>terrasse</t>
  </si>
  <si>
    <t>GoFr8610sa</t>
  </si>
  <si>
    <t>17d36154</t>
  </si>
  <si>
    <t>galerie::galerie_Images/faa92b08.Path.060428.jpg</t>
  </si>
  <si>
    <t>Tourisme &amp; Handicap,Réunion pour Tous</t>
  </si>
  <si>
    <t xml:space="preserve"> Allée des Cormorans</t>
  </si>
  <si>
    <t>-21.373346, 55.592087</t>
  </si>
  <si>
    <t>0693 62 44 58</t>
  </si>
  <si>
    <t>Cap Vanisa dispose de plusieurs bungalows avec vue mer, à proximité du bassin de Manapany. Accessible aux personnes à mobilité réduite, tout équipés, et autre handicap possible. Grands espaces, restauration sur place</t>
  </si>
  <si>
    <t>Meublés de tourisme accessibles à tous, confortables, spacieux et éco construits. Proches de l'océan, au calme, et typiques créoles</t>
  </si>
  <si>
    <t>Depuis la RN2 en provenance de st pierre, prendre en descendant la rue Martin Luther King, une centaine de mètres sur la droite tourner à l'impasse des Pipengayes, suivre la route, qui tourne au bout, et descendre un peu, la structure est sur la droite avec un grand parking et de la signalétique</t>
  </si>
  <si>
    <t>barbecue , climatisation , piscine , jardin , salle de bain privée , ventilateur , linge de maison , parking , salon , espace de restauration , restauration , sanitaires privés , parking autocar , grand espace , wifi , douche , salon de jardin , linge de toilette , Cuisine de produits frais locaux , jardin arboré , bar , accès internet , table de ping-pong , serviettes. , terrasse , jardin clôturé , Propose des snacks , petit déjeuner créole ou classique , tout équipé , buanderie , piscine et accessiblité handicap , cuisine extérieur , varangue , salle de bain , cour clôturée , accessible aux personnes à mobilité réduite , produits de la ferme , repas originaux et traditionnels , cuisine extérieure , cours clôturée , repas traditionnels , sur réservation , veranda couverte</t>
  </si>
  <si>
    <t>PeIs4458oV</t>
  </si>
  <si>
    <t>acd222ea</t>
  </si>
  <si>
    <t>galerie::galerie_Images/3537a835.Path.174221.jpg</t>
  </si>
  <si>
    <t>Etablissement au top niveau équipement pour les personnes handicapées, les propriétaires sont sensibilisés par cette problématique, engagés et la demande pour le label tourisme et handicap est en cours.
Ils ont le projet de faire un snack, une ferme de légumes locaux, une boutique de souvenirs.... 
Possibilité de recevoir des groupes de 10 20 personnes à manger, il faut les contacter.
La structure est aussi éco touristique : 
phyto épuration/ récup eau de pluie/ ventilation naturelle/ mini station d'épuration/ aquaponie/ bientôt permaculture ....
Demandes de labels à monter</t>
  </si>
  <si>
    <t>Le Feuille Sonj' by LONBRAZ VOLKAN</t>
  </si>
  <si>
    <t>Rue Jean Albany</t>
  </si>
  <si>
    <t>Le Baril</t>
  </si>
  <si>
    <t>-21.369488, 55.720907</t>
  </si>
  <si>
    <t>emma.hascoat@gmail.com</t>
  </si>
  <si>
    <t>0692356611</t>
  </si>
  <si>
    <t>https://lonbrazvolkan.lodgify.com/</t>
  </si>
  <si>
    <t>Le logement est entièrement équipé pour vous permettre vous reposer au maximum. Une chambre, 2 lits, une salle de bain. Wifi haut débit.
Un lave-linge  ainsi qu’un lave-vaisselle sont à votre disposition. Tous le linge de maison est fourni (drap, serviette etc…). L’arrivée se fait à partir de 16h et le départ se fait à partir de 11h.
Tentez l'expérience d'un séjour aux pieds du volcan et venez découvrir le Sud Sauvage dans un décor chaleureux et une ambiance cocooning.
A deux ou en famille prenez le temps d'apprécier ce moment, le confort de l'espace intérieur vous apportera sérénité et bien-être. Les espaces extérieurs entièrement privatifs et clos vous permettront de profiter de chaque instant.
N'attendez plus, il ne reste qu'à faire vos valises</t>
  </si>
  <si>
    <t>Bienvenue à Lonbraz Volkan coincé entre les falaises abruptes de la côte du sud sauvage et les pentes escarpées du piton de la fournaise.
Venez vous détendre dans ces paysages luxuriants sous le regard du volcan.</t>
  </si>
  <si>
    <t>Arrivée par l'ouest (Saint-Joseph): prenez la deuxième rue à droite après l'église de Basse-Vallée. A l'intersection, tournez à droite et continuez tout droit sur 100 m. La location se trouve sur votre droite. Elle est clairement indiquée par un panneau publicitaire.
Arrivée par l'est (Sainte-Rose) : 
Prenez la deuxième rue à droite après le supermarché Leader Price. A l'intersection, prenez à gauche. La location se trouve immédiatement à votre gauche. Elle est clairement indiquée par un panneau publicitaire.</t>
  </si>
  <si>
    <t>vue montagne , vue mer , barbecue , jacuzzi , linge de maison , parking , ventilateur , salon , jardin , TV , lave vaisselle , lave linge privatif , micro-ondes , linge de toilette , douche , Cafetière , frigo , wifi , terrasse , cuisine équipée , salle à manger , salon de jardin , salle de bain , plaque de cuisson , sèche-cheveux , grille-pain , jardin clôturé</t>
  </si>
  <si>
    <t>sentier de randonnée,site - lieu culturel,point de vue panoramique,forêt,sites touristiques,arrêt bus,transports en commun,boulangerie</t>
  </si>
  <si>
    <t>Virement,Espèces,Carte Bancaire,booking,airbnb</t>
  </si>
  <si>
    <t>54aa28d1</t>
  </si>
  <si>
    <t>5b858ac7</t>
  </si>
  <si>
    <t>galerie::galerie_Images/6b2ce76b.Path.064213.jpg</t>
  </si>
  <si>
    <t>CSC586HTS</t>
  </si>
  <si>
    <t>Grand Natte</t>
  </si>
  <si>
    <t>111</t>
  </si>
  <si>
    <t>Chemin de Ceinture</t>
  </si>
  <si>
    <t>-21.357511, 55.747532</t>
  </si>
  <si>
    <t>stephen.reviron@orange.fr</t>
  </si>
  <si>
    <t>0692 25 07 52</t>
  </si>
  <si>
    <t>L'écolodge se situe à quelques minutes seulement de Baril les bains (avec sa piscine, son bassin naturel, son aire de pique nique avec kiosques).
Les amateurs de balades, de randonnées  et de cyclisme seront à une centaine de mètres seulement des sentiers forestiers et les caps de Saint Philippe offrent de nombreux spots de pêche pour les passionnés.
Pour les moments farniente, vous disposez de terrasses pour l'apéro ou pour profiter du soleil, du chant des oiseaux et de la vue sur la nature environnante. 
Avec son salon spacieux et ses deux cuisines, vous pourrez partager de bons moments conviviaux en famille ou entre amis, autour d'un cari au feu de bois ou des jeux de société (mis à disposition).
Ce logement indépendant, dispose d'une place de parking, d'une chambre avec lit double, d'un canapé-lit de 2 places dans le salon, d'une cuisine équipée, de terrasses, d'une smart TV avec Netflix gratuit, wifi, brasseurs d'air  et ventilateurs...
L'écolodge est quasi autonome en électricité grâce à sa centrale solaire par conséquent, pas de four électrique ni d'équipement trop énergivore.
Possibilité de jumeler avec Ti Natte pour accueillir jusqu'à 8 personnes.
Venez vous ressourcez...</t>
  </si>
  <si>
    <t>Venez découvrir Grand natte, niché en lisière de la forêt de Mare Longue avec vue sur la mer, au cœur d'un jardin tropical planté d'aromatiques et d'arbres fruitiers.</t>
  </si>
  <si>
    <t>Sur la N2 prendre à gauche au chemin ceinture ou route forestière Mare Longue continuer tout droit sur chemin ceinture. Ti Natte se trouve sur votre gauche au 111 chemin Ceinture.</t>
  </si>
  <si>
    <t>dressing , barbecue , vue montagne , grand espace , vue mer , linge de maison , parking , ventilateur , salon , chauffage , jardin , TV , micro-ondes , linge de toilette , douche , Cafetière , frigo , cuisine équipée , salon de jardin , jardin arboré , accès internet , plaque de cuisson , grille-pain , jardin clôturé , lave-linge , cuisine extérieure , netflix</t>
  </si>
  <si>
    <t>sentier de randonnée,point de vue panoramique,forêt,sites touristiques</t>
  </si>
  <si>
    <t>dabf8da5</t>
  </si>
  <si>
    <t>ddf8b13a</t>
  </si>
  <si>
    <t>CSC585HTR</t>
  </si>
  <si>
    <t>LA VILLA ROSANNA - La Réunionnaise</t>
  </si>
  <si>
    <t>8 C</t>
  </si>
  <si>
    <t>rue Pascal BLAISE</t>
  </si>
  <si>
    <t>-21.267769, 55.497814</t>
  </si>
  <si>
    <t>Située à mi chemin entre mer et montagne, LA VILLA ROSANNA est à Trois Mares, un quartier du Tampon avec un climat doux et très agréable. C'est un lieu calme propice au repos  pour se ressourcer. Loin du stress du quotidien, LA VILLA ROSANNA est une invitation à une pause pour un moment intime à deux.
Nous vous proposons trois appartements confortables, indépendantes et spacieuses : La Réunionnaise, L'Océan et Bleu Azur.</t>
  </si>
  <si>
    <t>barbecue , fer et planche à repasser , vue montagne , sur réservation , grand espace , vue mer , linge de maison , parking , TV satellite , salon , wifi gratuit , lave vaisselle , lave linge privatif , micro-ondes , linge de toilette , douche , four , Cafetière , frigo , kitchenette équipée , sanitaires privés , terrasse , cuisine , salle à manger , salle de bain privée , salon de jardin , espace de restauration en extérieur , accès internet , serviettes. , cour clôturée , plaque de cuisson , sèche-cheveux , piscine commune , bouilloire , grille-pain</t>
  </si>
  <si>
    <t>sentier de randonnée,commerce alimentaire,point de vue panoramique,sites touristiques,arrêt bus,poste - boite aux lettres,transports en commun</t>
  </si>
  <si>
    <t>c92474b6</t>
  </si>
  <si>
    <t>galerie::galerie_Images/f56175d0.Path.073112.jpg</t>
  </si>
  <si>
    <t>Fermé attente du doc</t>
  </si>
  <si>
    <t>LA VILLA ROSANNA - Bleu Azur</t>
  </si>
  <si>
    <t>8 E</t>
  </si>
  <si>
    <t>-21.267713, 55.497769</t>
  </si>
  <si>
    <t>larosa.therese@gmail.com</t>
  </si>
  <si>
    <t>sentier de randonnée,commerce alimentaire,point de vue panoramique,sites touristiques,arrêt bus,poste - boite aux lettres,transports en commun,station service,pharmacie,boulangerie,banque - guichet automatique,Point chaud,stade de foot,médecin,tabac presse,coiffeur,centre commercial,commerces,Centre - Ville,pâtisserie,Gare routière,piscine,restaurants,piscine municipale,centre médical,hébergements,épicerie,Terrain de jeux pour enfants,aire de jeux,centre de bien-être,Toutes commodités,snack,parcours de santé</t>
  </si>
  <si>
    <t>ac142a17</t>
  </si>
  <si>
    <t>galerie::galerie_Images/9e0f8bbc.Path.110636.jpg</t>
  </si>
  <si>
    <t>Lave-linge privatif. 
La piscine est chauffée en hiver uniquement.
Les soirées festives sont interdites.</t>
  </si>
  <si>
    <t>Villa Nature Evasion</t>
  </si>
  <si>
    <t>chemin des capucines</t>
  </si>
  <si>
    <t>-21.232593, 55.524315</t>
  </si>
  <si>
    <t>contactsdr974@gmail.com</t>
  </si>
  <si>
    <t>0693651020</t>
  </si>
  <si>
    <t>https://www.sejour-de-reve.com/fr/villa-nature-evasion</t>
  </si>
  <si>
    <t>Endroit charmant, calme et reposant, niché dans les hauteurs du sud de l'île de la Réunion. Cette dépendance de 2 chambres peut accueillir 4 personnes tout confort, et dispose de 2 canapés lits, permettant d'accueillir jusqu'à 8 personnes, 1 jardin privatif aménagé avec soins. Maison entièrement équipée, vous aurez même la possibilité de réserver le spa ou encore le repas (service en supplément, sous réserve de disponibilité). La villa NATURE ÉVASION n'attend que vous !</t>
  </si>
  <si>
    <t>SPA , lave-linge , jardin , parking , TV satellite</t>
  </si>
  <si>
    <t>031b98c3,031b98c3</t>
  </si>
  <si>
    <t>fbd1d932</t>
  </si>
  <si>
    <t>galerie::galerie_Images/550d2b47.Path.044929.jpg</t>
  </si>
  <si>
    <t>CSC489HT@</t>
  </si>
  <si>
    <t>ATTENTION : Hébergement en gestion chez "SEJOUR DE REVE" - ne pas contacter le propriétaire
Coordonnées de la conciergerie dans la fiche hébergement : contactsdr974@gmail.com // 06 93 65 10 20</t>
  </si>
  <si>
    <t>83237123</t>
  </si>
  <si>
    <t>Ti Natte</t>
  </si>
  <si>
    <t>chemin de ceinture</t>
  </si>
  <si>
    <t>-21.357721520408163, 55.74748422924956</t>
  </si>
  <si>
    <t>0692250752</t>
  </si>
  <si>
    <t>https://ti-natte.business.site/</t>
  </si>
  <si>
    <t>Idéal pour les couples amoureux de la nature, ce lodge meublé se compose comme suit : Une pièce à vivre composée d'une cuisine équipée (café et thé à dispo), d'un coin salon avec canapé-lit 2 personnes, TV, Wifi et climatisation, donnant sur une varangue munie d'un Spa 2 places haut de gamme pour vous relaxer. Une chambre climatisée avec un lit de 160x200 et dressing. Une salle d'eau équipée d'une grande douche 180x90, d'un lavabo et de toilettes avec douchette. A l’extérieur, une terrasse ombragée dotée d'un salon de jardin propice à la détente et d'un barbecue pour profiter de grillades en plein air. La cour accueille une place de stationnement privée et sécurisée ainsi qu'un jardin d'ornement.
Arrivée 15h00 - Départ 11h00</t>
  </si>
  <si>
    <t>Ti Natte est un petit chalet indépendant de 31m² situé à quelques pas seulement des premiers sentiers forestiers de la forêt de Mare Longue à Saint Philippe.</t>
  </si>
  <si>
    <t>barbecue , climatisation , jacuzzi , vue mer , linge de maison , parking , salon , jardin , micro-ondes , wifi , douche , four , terrasse , salon de jardin , linge de toilette , cuisine , jardin arboré , serviettes. , veranda couverte , Cafetière , frigo , parking sécurisé , SPA</t>
  </si>
  <si>
    <t>tunnels de lave,littoral,site - lieu culturel,forêt,jardin,pêche,restaurants,sentiers de randonnées,commerces,sites - lieux culturels,sites touristiques,route du volcan</t>
  </si>
  <si>
    <t>62e9af11</t>
  </si>
  <si>
    <t>galerie::galerie_Images/675c1556.Path.074638.jpg</t>
  </si>
  <si>
    <t>CSC443HT@</t>
  </si>
  <si>
    <t>Horaires flexibles</t>
  </si>
  <si>
    <t>Eric Le Forgeron</t>
  </si>
  <si>
    <t xml:space="preserve"> Chemin de la Grande-Ferme</t>
  </si>
  <si>
    <t>-21.215227, 55.589884</t>
  </si>
  <si>
    <t>eric.le.forgeron@gmail.com</t>
  </si>
  <si>
    <t>0262 59 27 62</t>
  </si>
  <si>
    <t>0692660338</t>
  </si>
  <si>
    <t>Taillandier et ferronnier, Eric Hoarau, passionné de la forge crée des produits contemporains avec des techniques presque aussi vieilles que l'histoire de l'homme. 
Visite possible de l'atelier sur réservation. Ouvert du lundi au vendredi de 08h30 à 12h et de 13h30 à 16h. Vente des objets sur commande.</t>
  </si>
  <si>
    <t>Possibilité de visiter des ateliers sur résa</t>
  </si>
  <si>
    <t>matériel pour l'activité , vue montagne , sur réservation , grand espace , vue mer</t>
  </si>
  <si>
    <t>sentier de randonnée,équitation,site - lieu culturel,point de vue panoramique,forêt</t>
  </si>
  <si>
    <t>HoEr0338gp</t>
  </si>
  <si>
    <t>57a1fbd6</t>
  </si>
  <si>
    <t>galerie::galerie_Images/fc038910.Path.041253.jpg</t>
  </si>
  <si>
    <t>Vacoamana</t>
  </si>
  <si>
    <t xml:space="preserve"> Impasse Camille Hoareau</t>
  </si>
  <si>
    <t>0262 53 54 11</t>
  </si>
  <si>
    <t>0692617748</t>
  </si>
  <si>
    <t>A la recherche des produits artisanaux 100% réunionnais, ne cherchez plus, vous êtes au bon endroit.
Madame TERGEMINA propose des ateliers de tressage de vacoa (jusqu'à dix personnes), un atelier peut aller jusqu'à trois heures (selon le nombre de participants). 
Vous aurez également la possibilité de découvrir les créations de Madame TERGEMINA (beaux paniers authentiques, pochettes artisanales en vacoa...) 
Possibilité de retrouver ses créations sur le marché forain de St-Joseph le vendredi matin.</t>
  </si>
  <si>
    <t>Tout le savoir faire local en tressage de Vacoas, traditionnel ou moderne</t>
  </si>
  <si>
    <t>Site du Four à Chaux de Manapany</t>
  </si>
  <si>
    <t>sentier de randonnée,site - lieu culturel,point de vue panoramique,plage,sites touristiques,Bassin de Manapany</t>
  </si>
  <si>
    <t>TeNa7748a7</t>
  </si>
  <si>
    <t>dfbc93bc</t>
  </si>
  <si>
    <t>galerie::galerie_Images/3e6cdc48.Path.093422.jpg</t>
  </si>
  <si>
    <t>TRANSPORTANOU</t>
  </si>
  <si>
    <t>rue des Foulards</t>
  </si>
  <si>
    <t>-21.359370, 55.663369</t>
  </si>
  <si>
    <t>thierrymussard@gmail.com</t>
  </si>
  <si>
    <t>0692006509</t>
  </si>
  <si>
    <t>https://www.transportanou.com/</t>
  </si>
  <si>
    <t>Réservez dès maintenant et gagnez du temps ! Tarifs de base pour au minimum 2 personnes.
Les services proposés par TRANSPORTANOU sont les suivants :
- Transferts aéroports ;
- Excursions (découverte de l’île de la Réunion...)
- Différents circuits touristiques/culturels (en demi-journée à partir de 150€) ;
- Autres activités sur-mesure (prise en charge départ/arrivée randonnées…) ;
Autres types de courses à la demande (mise à disposition chauffeur + voiture…).</t>
  </si>
  <si>
    <t>TRANSPORTANOU est à votre disposition, et assure vos trajets dans le confort et à bon port. Souhaitez-vous arriver à destination à temps tout en profitant d'un trajet plaisant ? Vous êtes au bon endroit. Avec TRANSPORTANOU, vous bénéficiez d'un service transport serein et adapté à vos besoins. Un chauffeur sera mis à votre disposition pour effectuer vos déplacements (courses, transferts aéroports, voiture privée, excursions, rendez-vous d'affaires...).</t>
  </si>
  <si>
    <t>Espèces,Carte Bancaire,Eurocard</t>
  </si>
  <si>
    <t>4ba3fdf3</t>
  </si>
  <si>
    <t>6ba5b578</t>
  </si>
  <si>
    <t>galerie::galerie_Images/9c01e270.Path.050924.jpg</t>
  </si>
  <si>
    <t>Thierry MUSSARD est un chauffeur privé pour le transport de voyageurs. TRANSPORTANOU est ouvert tous les jours. Merci d'appeler au 0.692.00.65.09 avant toute réservation car le prestataire s'adaptera aux différents horaires. 
Les tarifs pour les excursions sont les suivants :
Avec un SUV (5 places), 180€ la demi-journée (4h) et 320€ la journée (8h).
Avec un 9 places, (8 personnes au maximum), 240€ la demi-journée (4h) et 440€ la journée (8h)
Un van de 9 places sera utilisé automatiquement à partir de la 4ème personne. Un supplément de 20€ sera appliqué dès la 5ème personne.</t>
  </si>
  <si>
    <t>Chemin Hermitage</t>
  </si>
  <si>
    <t>-21.263851, 55.509610</t>
  </si>
  <si>
    <t xml:space="preserve"> gallylaurent@gmail.com</t>
  </si>
  <si>
    <t>0692 91 51 11</t>
  </si>
  <si>
    <t>Offrant une vue sur la mer, les Lianes de Jade location propose un hébergement avec un balcon, une piscine extérieure, une cuisine équipée et un parking privé gratuit.
Cet appartement dispose de 3 chambres, d'un salon, d'une télévision à écran plat, d'une cuisine équipée avec un réfrigérateur et un four, ainsi que d'une salle de bains pourvue d'une douche. Pour plus de commodité, l'établissement peut fournir des serviettes et du linge de lit moyennant des frais supplémentaires.
Un barbecue est à votre disposition sur place.</t>
  </si>
  <si>
    <t>Les Lianes de Jade - Appartement Tampon</t>
  </si>
  <si>
    <t>Prendre la sortie chemin Hermitage au niveau du rond point de la clinique vétérinaire des Trois Mares, l'hébergement se trouve sur la droite au numéro 16.</t>
  </si>
  <si>
    <t>jeux , salon , salon de jardin , barbecue , fer et planche à repasser , piscine , vue montagne , vue mer , linge de maison , jardin , TV , linge de toilette , douche , four , Cafetière , frigo , wifi , terrasse , cuisine équipée , salle à manger , serviettes. , plaque de cuisson , baignoire , bouilloire , grille-pain , balcon</t>
  </si>
  <si>
    <t>commerce alimentaire,arrêt bus,poste - boite aux lettres,station service,pharmacie,boulangerie,banque - guichet automatique,Point chaud</t>
  </si>
  <si>
    <t>Espèces,booking</t>
  </si>
  <si>
    <t>LaGA40229X</t>
  </si>
  <si>
    <t>11b1fd41</t>
  </si>
  <si>
    <t>galerie::galerie_Images/63ce4535.Path.070354.jpg</t>
  </si>
  <si>
    <t>Bijouterie Robert J 974</t>
  </si>
  <si>
    <t>206F</t>
  </si>
  <si>
    <t>rue du coin tranquille</t>
  </si>
  <si>
    <t>-21.239230, 55.563668</t>
  </si>
  <si>
    <t>bijouterierobert.j974@gmail.com</t>
  </si>
  <si>
    <t>0692 53 16 48</t>
  </si>
  <si>
    <t>https://www.bijouterierobertj974.com/</t>
  </si>
  <si>
    <t>Nous sommes une bijouterie Artisanale basée à la Plaine des Cafres. Depuis plusieurs années nous valorisons les produits de la Réunion tels que le Bois de Tamarin, La Lave volcanique, Les Goyaviers, Les Letchis, Les Filaos, L'ivoire végétale et Les roches de rivière.
Notre travail reconnu a été labellisé et nous sommes fiers de promouvoir notre savoir-faire sur notre belle ile de la Réunion. 
Tous nos produits sont fabriqués dans une idéologie éco-responsable pour préserver la richesse que nous donne la nature.
Nous réalisons aussi des bijoux sur mesure personnalisés pour vos événements (mariage, communion, anniversaire...) en collaboration avec d'autres Artisans locaux ce qui favorise la transmission de nos techniques de fabrication.
Dès juillet 2023, ouverture d'une boutique sur place et ateliers d'initiation à la création de pilons traditionnels en roche
Ateliers : 15 euros par personne pour 1h, sur réservation</t>
  </si>
  <si>
    <t>Vente de bijoux artisanal local 974</t>
  </si>
  <si>
    <t>Situé dans le quartier du Coin Tranquille</t>
  </si>
  <si>
    <t>vue montagne , grand espace , vue mer , ateliers , boutique</t>
  </si>
  <si>
    <t>point de vue panoramique,forêt,sites touristiques,arrêt bus</t>
  </si>
  <si>
    <t>73133f22</t>
  </si>
  <si>
    <t>6648bc67</t>
  </si>
  <si>
    <t>boutique en ligne sur leur site internet</t>
  </si>
  <si>
    <t>Rue du Général Bonnier</t>
  </si>
  <si>
    <t>-21.262764, 55.524463</t>
  </si>
  <si>
    <t>0262024987</t>
  </si>
  <si>
    <t>0693116657</t>
  </si>
  <si>
    <t>Le studio est pourvu d'une terrasse privée et abritée où vous pourrez prendre vos repas. 
Il dispose du wifi gratuit, d'une terrasse privée, d'une planche et fer à repasser, , d'une télévision, de sanitaires privés et d'une kitchenette. A l'extérieur, possibilité de profiter des aménagements communs tels que de la piscine chauffée, d'un parking privé, d'une machine à laver commune (payante) et d'un barbecue.</t>
  </si>
  <si>
    <t>Situé au Tampon, le Caloupilé propose un studio entièrement équipé pouvant accueillir 2 personnes.
Vous aurez accès à la piscine commune aux clients des chambres d'hôtes, située dans le jardin et chauffée toute l'année. Vous pourrez vous y prélasser dans un transat en profitant de la magnifique vue sur la mer.</t>
  </si>
  <si>
    <t>Chèques vacances,Espèces,Carte Bancaire</t>
  </si>
  <si>
    <t>français,anglais,Turc</t>
  </si>
  <si>
    <t>GeAl6657w2</t>
  </si>
  <si>
    <t>ee73bee0</t>
  </si>
  <si>
    <t>galerie::galerie_Images/bec1e84d.Path.113729.jpg</t>
  </si>
  <si>
    <t xml:space="preserve">Le Bungalow du Puits </t>
  </si>
  <si>
    <t>Route Nationale 2 Baril</t>
  </si>
  <si>
    <t>-21.368363, 55.731758</t>
  </si>
  <si>
    <t>0262565297</t>
  </si>
  <si>
    <t>0692738298</t>
  </si>
  <si>
    <t>micro-ondes , salle de bain , lave-linge , barbecue , TV , cuisine</t>
  </si>
  <si>
    <t>BéYo8298a4</t>
  </si>
  <si>
    <t>35aea835</t>
  </si>
  <si>
    <t>galerie::galerie_Images/5d815ae4.Path.061135.jpg</t>
  </si>
  <si>
    <t>CASA LOËVA</t>
  </si>
  <si>
    <t>36 A</t>
  </si>
  <si>
    <t>rue Cafre</t>
  </si>
  <si>
    <t>-21.238241, 55.470265</t>
  </si>
  <si>
    <t>contact@casaloeva.fr</t>
  </si>
  <si>
    <t>0693848394</t>
  </si>
  <si>
    <t>https://www.casaloeva.fr/</t>
  </si>
  <si>
    <t>Ô PALMISTE ROUGE :
Vous disposerez des équipements suivants :
- 1 Chambre
- Lit double + linge de maison
- Table de chevet
- Dressing
- Table et fer à repasser
- Coffre-fort
* LE SÉJOUR :
- Canapé lit, linge de lit, coussins
- Table basse
- Internet wifi en haut débit (fibre) en illimité et gratuit
- TV incluant de nombreuses chaînes.
Cuisine aménagée et équipée :
-  Réfrigérateur-congélateur, plaque vitro,  grille-pain, micro-onde,  cafetière, vaisselles, auto-cuiseur, machine à laver, ustensiles de cuisines ...
- Linges de maison.
- SALLE D'EAU et WC :
- douche et vasque ;
- serviettes mises à disposition ;
- sèche-cheveux ;
* Terrasse extérieure couverte :
- table + 4 chaises ;
- étendoir + pinces à linge ;
- barbecue.
Ô VERT-TIGE :
Vous disposerez des équipements suivants :
1 Chambre à l'étage vue sur la piscine et le jardin arboré et accès à la varangue : 
- Table + fauteuils ;
- Lit double + linge de maison ;
- Table et lampe de chevet ;
- Dressing &amp; rangements ;
- Bureau ;
- Table et fer à repasser ;
- Coffre fort.
* SÉJOUR :
- Canapé lit, linge de lit, coussins ;
- Table basse ;
- Internet WIFI en haut débit (fibre) en illimité et gratuit ;
- TV incluant de nombreuses chaînes.
* Cuisine aménagée et équipée :
- Réfrigérateur-congélateur, plaque vitro, four combiné, grille-pain,micro-onde,  cafetière, lave vaisselle, vaisselles, auto-cuiseur, ustensiles de cuisines...
- Linges de maison.
* SALLE D'EAU et WC :
- douche et vasque ;
- serviettes mises à disposition ;
- sèche cheveux ;
- machine à laver
* Terrasse extérieure couverte :
- table + 4 chaises
- étendoir + pinces à linge
* Cuisine extérieure :
- barbecue ;
- four combiné ; 
- table + 4 chaises.</t>
  </si>
  <si>
    <t>CASA LOËVA propose deux logements :
Ô PALMISTE ROUGE (1 chambre),  
Ô VERT-TIGE (1 chambre).
Ils sont entièrement meublés et bien équipés pour des vacances agréables et confortables à l' Entre-Deux.
Possibilité de réserver directement en ligne : https://www.casaloeva.fr/.</t>
  </si>
  <si>
    <t>Chèque,Espèces,carte bancaire uniquement en ligne</t>
  </si>
  <si>
    <t>0b7e55aa</t>
  </si>
  <si>
    <t>a5ff1067</t>
  </si>
  <si>
    <t>galerie::galerie_Images/0d56b43a.Path.100555.jpg</t>
  </si>
  <si>
    <t>CSC574HTP</t>
  </si>
  <si>
    <t>Tarification : à partir de 90€/nuit avec un minimum de deux nuits.
HORAIRES D'ACCUEIL : tous les jours de 8h00 à 18h00. 
Place de parking privée, sécurisée et gratuite. Option gratuite : dépôt de bagages avant départ. 
Livres et guides touristiques.
(lit parapluie, chaise haute, bouée bébé, jeux,livres...).</t>
  </si>
  <si>
    <t>25</t>
  </si>
  <si>
    <t>rue Loulou Bardeur</t>
  </si>
  <si>
    <t>-21.248963, 55.473231</t>
  </si>
  <si>
    <t>0692 88 08 26</t>
  </si>
  <si>
    <t>Situé dans le village de l'Entre-Deux, Les 7 Jardins proposent la location d'un appartement tout confort de 60 m² dans une maison créole tout en bois. Le logement dispose de 2 chambres doubles, d'un salon, d'une cuisine équipée et d'une grande terrasse pouvant accueillir 4 personnes.  Vue panoramique sur le village, proche des sentiers familiaux et de randonnées.
Parking disponible pour un véhicule</t>
  </si>
  <si>
    <t>Belle maison créole à proximité du village</t>
  </si>
  <si>
    <t>Une fois arrivé au village de l'Entre-Deux prendre la direction de la ravine des citrons puis prendre la première rue à droite. La maison se trouve au numéro 25.</t>
  </si>
  <si>
    <t>fer et planche à repasser , vue montagne , vue mer , linge de maison , parking , ventilateur , salon , jardin , TV , wifi gratuit , lave linge privatif , micro-ondes , linge de toilette , douche , four , Cafetière , frigo , terrasse , bibliothéque , salle à manger , Lit parapluie sur demande , cour clôturée , sèche-cheveux , bouilloire , grille-pain</t>
  </si>
  <si>
    <t>sentier de randonnée,sentier de grande randonnée,site - lieu culturel,point de vue panoramique,sites touristiques,arrêt bus,jardin,transports en commun,station service,pharmacie,boulangerie,banque - guichet automatique,Point chaud,stade de foot,médecin,tabac presse,piscine municipale</t>
  </si>
  <si>
    <t>6a674fd0</t>
  </si>
  <si>
    <t>6afb0528</t>
  </si>
  <si>
    <t>galerie::galerie_Images/d6ef6dc6.Path.061458.jpg</t>
  </si>
  <si>
    <t>Fermeture temporaire du 01/08/2025 jusqu'au 01/06/2026 (car contrat mobilité)</t>
  </si>
  <si>
    <t>Location saisonnière Ti Kaze Créole</t>
  </si>
  <si>
    <t>398</t>
  </si>
  <si>
    <t>rue des Flamboyants</t>
  </si>
  <si>
    <t>-21.263891, 55.489411</t>
  </si>
  <si>
    <t>legros.marie97430@gmail.com</t>
  </si>
  <si>
    <t>0692 36 43 50</t>
  </si>
  <si>
    <t>https://location-saisonniere-ti-kaze-creole.odoo.com/?fbclid=IwAR2po_JiOIe_VcRUQ3K_gZyZE7ajJpRxeAkPjk6-EwqIHjUxjU4RDaXpce8</t>
  </si>
  <si>
    <t>Grande maison créole avec une grande cour, jardin arboré (arbres fruitiers divers), équipé d'une piscine (partagé)
Grande terrasse équipée de tables et chaises avec billard, cuisine au feu de bois
Grand jardin avec espace de détente et jeux pour enfants (trampoline, balançoire..)
Parking
Grand espace idéal pour recevoir une grande famille, 4 chambres pouvant recevoir jusqu'à 12 personnes
Vue montagne</t>
  </si>
  <si>
    <t>Venez découvrir l'île intense chez Marie</t>
  </si>
  <si>
    <t>Sur la route des 400 continué vers la ZI des Trois Mares,  prendre à gauche sur la rue des Flamboyants. 
La maison se trouve sur la gauche premier portail marron de l'allée 
L'entrée du parking se trouve au niveau du portail est donne sur la route directement.</t>
  </si>
  <si>
    <t>équipement bébé , brasseurs d'air , surveillance caméra , barbecue , fer et planche à repasser , piscine , jardin , lave linge privatif , TV , vue montagne , grand espace , linge de maison , parking , salon , lave vaisselle , micro-ondes , linge de toilette , douche , four , Cafetière , frigo , wifi , terrasse , cuisine , bibliothéque , cuisine équipée , billard , salle à manger , Lit parapluie sur demande , aire de jeux pour enfant , salon de jardin , jardin arboré , cour clôturée , veranda couverte , tout équipé , sèche-cheveux , espace de restauration en extérieur , cuisine au bois , jardin clôturé , parking sécurisé , jeux</t>
  </si>
  <si>
    <t>salle de sport,point de vue panoramique,arrêt bus,tabac presse,restaurants,snack</t>
  </si>
  <si>
    <t>Chèque,Virement,Espèces,booking</t>
  </si>
  <si>
    <t>d5215a90</t>
  </si>
  <si>
    <t>e3adb0a2</t>
  </si>
  <si>
    <t>CSC580HTM</t>
  </si>
  <si>
    <t>Le Liseron Créole</t>
  </si>
  <si>
    <t>impasse des Liserons</t>
  </si>
  <si>
    <t>-21.381903, 55.613737</t>
  </si>
  <si>
    <t>leliseroncreole@gmail.com</t>
  </si>
  <si>
    <t>06 93 80 96 92</t>
  </si>
  <si>
    <t>Cet appartement climatisé comprend deux chambres, un salon, une cuisine entièrement équipée avec un réfrigérateur et une machine à café ainsi qu'une salle de bains pourvue d'une baignoire. Les serviettes et le linge de lit sont fournis.</t>
  </si>
  <si>
    <t>Situé entre Terre, Mer et Rivière, Le Liseron Créole, est un appartement qui vous offrira une belle vue sur la montagne.</t>
  </si>
  <si>
    <t>parking , climatisation , vue montagne , sur réservation , linge de maison</t>
  </si>
  <si>
    <t>centre commercial,site - lieu culturel,point de vue panoramique,sites touristiques,Bassin de Manapany,arrêt bus,transports en commun,commerces,station essence,centre ville de Saint-Joseph,boulangerie,pâtisserie,banque - guichet automatique,Gare routière,restaurants,hébergements,Point chaud,Toutes commodités</t>
  </si>
  <si>
    <t>b962756d</t>
  </si>
  <si>
    <t>d52f574c</t>
  </si>
  <si>
    <t>galerie::galerie_Images/00740b6c.Path.103523.jpg</t>
  </si>
  <si>
    <t>CSC551HTK</t>
  </si>
  <si>
    <t>AS : visite qui sera programmée prochainement.</t>
  </si>
  <si>
    <t xml:space="preserve">Les Agapanthes </t>
  </si>
  <si>
    <t xml:space="preserve"> Chemin Isautier</t>
  </si>
  <si>
    <t>-21.264357, 55.518102</t>
  </si>
  <si>
    <t>0262572014</t>
  </si>
  <si>
    <t>0692402155</t>
  </si>
  <si>
    <t>Les 2 logements peuvent accueillir 4 personnes chacun. Kiosque mis à disposition pour soirée. Buanderie avec lave-linge.</t>
  </si>
  <si>
    <t>L'hébergement LES AGAPANTHES est localisé dans le sud de l'île au Tampon. LES AGAPANTHES proposent deux bungalows entièrement équipés situés à proximité de la maison du propriétaire.</t>
  </si>
  <si>
    <t>barbecue , fer et planche à repasser , lave linge collectif , linge de maison , parking , TV satellite , ventilateur</t>
  </si>
  <si>
    <t>PaLo2155it</t>
  </si>
  <si>
    <t>e0c23335</t>
  </si>
  <si>
    <t>Dolly La Fêe</t>
  </si>
  <si>
    <t>Impasse de Vigny</t>
  </si>
  <si>
    <t>-21.374441, 55.630650</t>
  </si>
  <si>
    <t>irenegrunig@gmail.com</t>
  </si>
  <si>
    <t>0693 63 05 27</t>
  </si>
  <si>
    <t>Dolly propose des ateliers de cuisine végétale (se déplace sur les évènements + apporte son matériel)
Ateliers culinaires les mardis et mercredis matin à Carrement Pizza (St Jo)
Les ateliers se font à partir de 2 personnes - 8 personnes max
Sur réservation
3 pax / heure : 20€/pp
à partir de 4 personnes c'est 15€/pp
&gt; menu complet environ 2h/2h de préparation 
Les clients repartent avec leur plat. 
Immersion au pays des fruits et légumes. 
Elle propose également des paniers pique-nique frais.</t>
  </si>
  <si>
    <t>Cuisine végétale - faites voyager vos papilles</t>
  </si>
  <si>
    <t>34 Rue Du Général Lambert, Saint-Joseph</t>
  </si>
  <si>
    <t>sur réservation , espace de restauration , restauration , matériel pour l'activité , ateliers</t>
  </si>
  <si>
    <t>0a4c64ba</t>
  </si>
  <si>
    <t>198d5568</t>
  </si>
  <si>
    <t>galerie::galerie_Images/17d5e443.Path.053031.jpg</t>
  </si>
  <si>
    <t>Projet de mettre en place une épicerie fine et vente de produits frais de son exploitation (situé sur Petite-île)</t>
  </si>
  <si>
    <t>Bitasyon Bio du Souffleur d'Arbonne</t>
  </si>
  <si>
    <t>18</t>
  </si>
  <si>
    <t>Impasse Surcouf</t>
  </si>
  <si>
    <t>-21.367154, 55.735786</t>
  </si>
  <si>
    <t>0262 37 06 37</t>
  </si>
  <si>
    <t>0692654189</t>
  </si>
  <si>
    <t>Production, transformation et distribution de leur produits issue de l’Agriculture Biologique.
Accueil et vente de produits à la bitasyon (ferme) : Vanille, Curcuma, cloue de girofle, choux de palmiste, bananes, papayes, fruits de la passion ainsi que des fruits rares et anciens...
Nous proposons sur Saint Philippe des visites de nôtre terrain agricoles, à la découverte des épices, des fruits lontan, des fruits rares et du cacao.
Les visites dure environ 1h30 et sont uniquement sur rendez-vous ! 
(minimum 2 personnes et jusqu'à 40 personnes ils formeront des groupes de visites)
Pour réserver appeler Benoit au 0692654189</t>
  </si>
  <si>
    <t>Bitasyon Bio Souffleur d'Arbonne est une entreprise familiale fondée par Benoît MOREL.</t>
  </si>
  <si>
    <t>Sur la Route Nationale 2 en direction de Ste-Rose, au niveau du Souffleur d'Arbonne prendre à gauche Impasse Surcouf. Bitasyon se trouve au fond de l'impasse.</t>
  </si>
  <si>
    <t>sanitaires communs , parking , grand espace , vue montagne , vue mer , visites pédagogiques , boutique , jardin</t>
  </si>
  <si>
    <t>sentier de randonnée,commerce alimentaire,site - lieu culturel,point de vue panoramique,forêt,sites touristiques,arrêt bus</t>
  </si>
  <si>
    <t>MoBe4189Td</t>
  </si>
  <si>
    <t>85ac5387</t>
  </si>
  <si>
    <t>galerie::galerie_Images/e6859946.Path.071947.jpg</t>
  </si>
  <si>
    <t>0693 04 10 20 &gt; numéro de Franck MOREL (le fils de Benoît) qui s'occupe du côté administratif franckmorel974@gmail.com</t>
  </si>
  <si>
    <t>Atelier Palmiste Rouge</t>
  </si>
  <si>
    <t>57 C</t>
  </si>
  <si>
    <t>Route Nationale 2 le Tremblet</t>
  </si>
  <si>
    <t>-21.306412, 55.801458</t>
  </si>
  <si>
    <t>atelier.pr974@gmail.com</t>
  </si>
  <si>
    <t>0693 88 09 59</t>
  </si>
  <si>
    <t>L’Atelier du Palmiste Rouge est un des derniers restaurants ouverts à Saint Philippe, antre du palmiste et du vacoa. Ulrich Payet a toujours vécu là. Fils d’agriculteur, il exploitait jusqu’ici un vaste champ de palmiste, qui alimente une bonne partie des restaurants de la Réunion. Fin cuisinier, il a eu l’idée de créer son propre établissement mettant en l’air ce produit d’exception.</t>
  </si>
  <si>
    <t>Cuisinés de façon traditionnelle nous vous proposons proposons de déguster des plats typiques du sud sauvage chez vous.</t>
  </si>
  <si>
    <t>Depuis le Sud, prendre la RN2 jusqu'au Tremblet, le restaurant se trouvera peu après le bureau de Poste.</t>
  </si>
  <si>
    <t>parking , espace de restauration , terrasse , espace de restauration en extérieur , cuisine au bois , climatisation , ventilateur , sanitaires privés , jardin arboré</t>
  </si>
  <si>
    <t>sentier de randonnée,pêche,site - lieu culturel,point de vue panoramique,jardin,forêt,Sentier de randonnée,route des laves,coulées de lave,sites touristiques,tunnels de lave,littoral,sites - lieux culturels,hébergements,restaurants</t>
  </si>
  <si>
    <t>1f8ebfd6</t>
  </si>
  <si>
    <t>07a779cb</t>
  </si>
  <si>
    <t>galerie::galerie_Images/50a2b296.Path.054523.jpg</t>
  </si>
  <si>
    <t>Possibilité de commander en livraison
Le lundi au samedi de 18h à 20h
30/05/24 : la page Facebook est vide, blanche?</t>
  </si>
  <si>
    <t xml:space="preserve">La Bicyclette Gourmande </t>
  </si>
  <si>
    <t>rue Leconte Delisle</t>
  </si>
  <si>
    <t>-21.359407, 55.766702</t>
  </si>
  <si>
    <t>0693 93 71 93</t>
  </si>
  <si>
    <t>0693937193</t>
  </si>
  <si>
    <t>Le restaurant est sous une varangue. En face, vous trouvez Nancy Boutique. Un parking de bus se situe à 100 m. Accès direct au chemin des Vacoas avec des aires de repos et de balades, piscine eau de mer à 5 min. L'Office de Tourisme à 20 m.</t>
  </si>
  <si>
    <t>La Bicyclette Gourmande est un joli spot pour découvrir les saveurs authentiques de la gastronomie créole et zoreille de la Réunion. Le chef passionné concocte avec amour des plats faits maison à partir des produits emblématiques de Saint -Philippe, tels que la vanille, le chou Vacoa et les palmistes. Sa cuisine ravira vos papilles et vous plongera au cœur des traditions culinaires locales. Vous pourrez déguster ces spécialités dans la salle à manger ou sur la charmante terrasse en bois. De plus, l'accueil est chaleureux et convivial. Bref, c’est une invitation à un voyage gourmand.</t>
  </si>
  <si>
    <t>ventilateur , terrasse , espace de restauration , parking public</t>
  </si>
  <si>
    <t>BeDa7193Qp</t>
  </si>
  <si>
    <t>65fa6fb3</t>
  </si>
  <si>
    <t>galerie::galerie_Images/ec448d8a.Path.052524.jpg</t>
  </si>
  <si>
    <t>le 23/05/24  sur société.com on ne trouve aucun résultat correspondant au numéro de SIREN.</t>
  </si>
  <si>
    <t>VTC Réunion</t>
  </si>
  <si>
    <t xml:space="preserve"> Chemin Hermitage</t>
  </si>
  <si>
    <t xml:space="preserve">contact@reunion-vtc.re  </t>
  </si>
  <si>
    <t>0692915111</t>
  </si>
  <si>
    <t>GaLa5111uF</t>
  </si>
  <si>
    <t>babfd33e</t>
  </si>
  <si>
    <t>La Villa du Piton</t>
  </si>
  <si>
    <t>impasse des Bouvreuils</t>
  </si>
  <si>
    <t>-21.380002, 55.626694</t>
  </si>
  <si>
    <t>helenemay97435@gmail.com</t>
  </si>
  <si>
    <t>0692567294</t>
  </si>
  <si>
    <t>Quatre chambres sont situées à l'étage de la maison dont trois chambres sont équipées d'un lit double. La dernière chambre comprend un lit double et deux petits lits. La capacité d'accueil est de dix personnes avec les enfants compris. Les quatre chambres sont climatisées.
A l'extérieur, une piscine et un jacuzzi sont à disposition des visiteurs. 
Un garage et une allée avec possibilité d'y garer 3 véhicules. 
Maison spacieuse et lumineuse, dans un cadre paisible.</t>
  </si>
  <si>
    <t>Venez découvrir dans un endroit calme la villa du Piton.
Cette maison récemment rénové vous séduira avec ses 4 chambres, sa piscine et son jacuzzi.</t>
  </si>
  <si>
    <t>En venant de la ville de Saint-Joseph, juste après l'ancien pole emploi et l'EHPAD, juste avant la croix Jubilé à droite.
En venant de St-Philippe prendre à gauche après la croix Jubilé.</t>
  </si>
  <si>
    <t>bibliothéque , barbecue , climatisation , fer et planche à repasser , piscine , jacuzzi , vue mer , linge de maison , parking , TV satellite , ventilateur , salon , TV , espace de restauration , wifi gratuit , lave vaisselle , lave linge privatif , micro-ondes , salle de bain privée , sanitaires privés , douche , four , terrasse , linge de toilette , cuisine , accès internet , serviettes. , cuisine équipée , cour clôturée , veranda couverte , salle à manger , plaque de cuisson , frigo , garage</t>
  </si>
  <si>
    <t>sentier de randonnée,commerce alimentaire,parking public,site - lieu culturel,point de vue panoramique,riviere,sites touristiques,arrêt bus,poste - boite aux lettres,transports en commun,commerces,station essence,centre ville de Saint-Joseph,pharmacie,boulangerie,pâtisserie,banque - guichet automatique,restaurants,centre médical,hébergements,coiffeur,centre de bien-être,burger…,littoral</t>
  </si>
  <si>
    <t>1b69ba63</t>
  </si>
  <si>
    <t>7fa7a46d</t>
  </si>
  <si>
    <t>galerie::galerie_Images/4eecea7b.Path.071106.jpg</t>
  </si>
  <si>
    <t>CSC483HT@</t>
  </si>
  <si>
    <t>FERMETURE EN COURS : en vente</t>
  </si>
  <si>
    <t>0692152542</t>
  </si>
  <si>
    <t>TeSe2542W8</t>
  </si>
  <si>
    <t>8de99723</t>
  </si>
  <si>
    <t>route de Grand Coude</t>
  </si>
  <si>
    <t>-21.301557, 55.629661</t>
  </si>
  <si>
    <t>0692561616</t>
  </si>
  <si>
    <t>Le sentier d’interprétation avec un parcours de santé physique et mental permet de découvrir l’histoire, le
patrimoine du site naturel de Grand coude. Il s’agit avant tout d’une découverte procurant du plaisir et de
l’émotion tout en déstabilisant agréablement le visiteur afin de déclencher chez lui une curiosité, une réflexion, peut-être modifier son regard ou sa perception pour une prise de conscience de son rôle sur le milieu naturel.
Le dispositif école marron permet de préparer et d’accompagner tous les apprenants, en particulier les publics
les plus fragiles (éducation prioritaire, milieux populaires, jeunes handicapés…), dans la construction d’un parcours en phase avec leurs envies et leur potentiel.
L’ambition du concept école marron est de faire du monde une classe, forger la liberté mentale des apprenants,
les former à l’autonomie, à la prise d’initiatives réfléchies et créatives, à gérer l’imprévu, à développer des
capacités d’anticipation et solliciter les différentes formes d'intelligence ainsi qu’à lever les blocages liés à un
cadre strict de prise de parole : des jeunes Réunionnais dans leur espace deviennent maîtres de leur apprentissage.</t>
  </si>
  <si>
    <t>Le Jardin La Cour de l'association LEGRANDCOUDE est un espace où chacun retrouve ses valeurs, ses traditions, et où la connaissance est partagée. 
La Cour : dans les traditions créoles, représente un espace où les générations partagent leurs savoir-faire et savoir-être dans une approche horizontale. Le jardin reste chez les Réunionnais un lieu d'apaisement et où chacun cultive son jardin dans un esprit de partage. Le bœuf Moka qui est à l'image de la population mosaïque réunionnaise est la mascotte de l'association LEGRANDCOUDE.
Le pique-nique familial reste un moment important de partage en famille les dimanches en sillonnant les plus beaux coins de l'île de La Réunion.</t>
  </si>
  <si>
    <t>78e1a7c5</t>
  </si>
  <si>
    <t>galerie::galerie_Images/26727902.Path.074751.jpg</t>
  </si>
  <si>
    <t>Les visites guidées (Le Tunnel des nombres, Petit' Ferme &amp; Alphabet Nature) organisées par l'association LEGRANDCOUDE sont présentées grâce aux différents flyers (voir les photos).</t>
  </si>
  <si>
    <t>Chalet Akias</t>
  </si>
  <si>
    <t>-21.256553, 55.483403</t>
  </si>
  <si>
    <t>Possède 2 chambres -une chambre double avec un lit 160 X200 et 2 lits de 190X90 et un convertible 2 places.
Douche à l'italienne et WC .
Cuisine équipé ouverte sur le séjour, combiné micro onde/four, grand réfrigérateur avec distributeur d'eau fraiche, machine à laver, machine à café expresso, cuiseur à riz, plaque à induction et bouilloire.
Linge de maison fourni.
Prestations de ménage à 50€
Mode de règlement: chèque de caution de 1000.00€ , paiement du séjour le jour d'arrivée (chèque ou espèces).
Véranda donnant sur la piscine au sel équipée de salon d'angle résine et table.
Deck en bois exotique.
Bain de soleil, barbecue à charbon.
Chalet plus adapté aux familles
Lit parapluie, chaise bébé et divers équipements disponibles sur demande.</t>
  </si>
  <si>
    <t>Akias, chaleureux chalet avec piscine sécurisé à proximité des sentiers de randonnée (DASSY ENTRE DEUX) vous accueillent dans un cadre cosy.</t>
  </si>
  <si>
    <t>barbecue , lave linge privatif , TV , linge de maison , wifi gratuit , micro-ondes , douche , four , salon de jardin , terrasse , linge de toilette , piscine chauffée , serviettes. , cuisine équipée , parking sécurisé , cour clôturée , plaque de cuisson , frigo , vue montagne , Cafetière</t>
  </si>
  <si>
    <t>transports en commun,sentier de randonnée</t>
  </si>
  <si>
    <t>a14edfed</t>
  </si>
  <si>
    <t>galerie::galerie_Images/2270943a.Path.105829.jpg</t>
  </si>
  <si>
    <t>CSC519HT@</t>
  </si>
  <si>
    <t>ATTENTION /!\ STRUCTURE FERMéE AU 1ER AOUT 2023
sur demande garde d'enfant disponible avec supplément (CAP petite enfance)
Supplément de 30€ pour une 5è personne
tarif remisé selon la durée du séjour : 15% au delà de 8 nuits &amp; 25% au delà de 15 nuits
*** Petite attention aux clients : cadeau de bienvenue artisanal (porte clé - magnet Réunion) + assiette dégustation ou fruits de saison et boisson fraîche à l'arrivée // conseils visites, randos, bonnes adresses ***
Livre d'Or à disposition des clients</t>
  </si>
  <si>
    <t xml:space="preserve">Les Palmiers </t>
  </si>
  <si>
    <t>rue André Malraux</t>
  </si>
  <si>
    <t>0692604846</t>
  </si>
  <si>
    <t>Lieu de vie en rez-de-chaussée, avec coin cuisine, cabinet de toilette et petite terrasse sous varangue. Sur demande : Accès à internet gratuit sous réserve d’un usage conforme à  la loi ADOPI, de la  mise à disposition d’un lave linge et sèche linge et du barbecue. 
Excentré de la ville, à 15 min du centre ville du Tampon et à mi-distance entre mer et montagne. A 1h du Volcan, 30 min des Hautes Plaines et des plages du Sud (Saint-Pierre et Étang-Salé). Proche du parc des palmiers du Tampon et des commerces du quartier des Trois Mares. Tarif dégressif à partir de la troisième semaine.</t>
  </si>
  <si>
    <t>Dans un îlot résidentiel en zone semi-rurale, le Meublé de Tourisme se situe au bout d'une impasse. Studio de 20 m² classé Meublé de Tourisme 2 étoiles, dans un bungalow jumelé équipé pour un couple avec chambre en mezzanine et moustiquaires.</t>
  </si>
  <si>
    <t>barbecue , four , jardin , lave linge privatif , parking , TV , wifi</t>
  </si>
  <si>
    <t>PeNi4846Dm</t>
  </si>
  <si>
    <t>00dd405c</t>
  </si>
  <si>
    <t>galerie::galerie_Images/bd14c180.Path.115256.jpg</t>
  </si>
  <si>
    <t>La Libellule Qui Roule</t>
  </si>
  <si>
    <t>Food-truck</t>
  </si>
  <si>
    <t>mer cassée</t>
  </si>
  <si>
    <t>-21.363493, 55.754620</t>
  </si>
  <si>
    <t>lalibellule711@hotmail.com</t>
  </si>
  <si>
    <t>0693 31 14 01</t>
  </si>
  <si>
    <t>La Libellule qui roule se trouve au niveau de la mer cassée (sauf événement).
Ce foodtruck propose des burgers et sandwichs originaux confectionnés avec des produits frais sur place.
Propose des desserts maison et boissons fraîches. 
Sur réservation possibilité de se déplacer sur d'autres sites.
 Ouvert de 10h à 18h en continu du jeudi au lundi en général mais à confirmer sur les réseaux</t>
  </si>
  <si>
    <t>Burgers concept aux œufs brouillés. Desserts maison.
Boissons chaudes/froides.</t>
  </si>
  <si>
    <t>En venant de l'ouest sur la Route National 2, le food-truck se trouve sur la droite au niveau de la mer cassée juste en face du terrain de foot.</t>
  </si>
  <si>
    <t>vue montagne , grand espace , vue mer , parking , restauration , Cuisine de produits frais locaux</t>
  </si>
  <si>
    <t>sentier de randonnée,site - lieu culturel,point de vue panoramique,forêt,sites touristiques,arrêt bus,hébergements</t>
  </si>
  <si>
    <t>français,créole,anglais,espagnol,italien</t>
  </si>
  <si>
    <t>683f513b</t>
  </si>
  <si>
    <t>fa5071ec</t>
  </si>
  <si>
    <t>galerie::galerie_Images/2cedf85c.Path.091921.jpg</t>
  </si>
  <si>
    <t>Les horaires et jours d'ouverture sont disponibles sur insta et fb</t>
  </si>
  <si>
    <t>Au Coin Tranquille Chez Tof</t>
  </si>
  <si>
    <t>plateau du Dimitile</t>
  </si>
  <si>
    <t>-21.189231, 55.482062</t>
  </si>
  <si>
    <t>kristofbaret@hotmail.fr</t>
  </si>
  <si>
    <t>0692 02 88 56</t>
  </si>
  <si>
    <t>Cette table d'hôtes vous propose le repas ainsi que le petit-déjeuner en semaine et/ou en week-end en réservant au 06 92 02 88 56.
Carry feu bois
Gâteau feu bois</t>
  </si>
  <si>
    <t>Venez découvrir le gîte ainsi que la table d'hôtes Au Coin Tranquille.</t>
  </si>
  <si>
    <t>cuisine au bois , grand espace , vue mer , vue montagne , espace de restauration , repas traditionnels , espace de restauration en extérieur , restauration , petit déjeuner créole ou classique</t>
  </si>
  <si>
    <t>sentier de randonnée,point de vue panoramique</t>
  </si>
  <si>
    <t>6a588597</t>
  </si>
  <si>
    <t>83f23b55</t>
  </si>
  <si>
    <t>galerie::galerie_Images/4b7680d8.Path.072511.jpg</t>
  </si>
  <si>
    <t>En pause d'activité actuellement (problème personnel) info donnée à Alice le 26/04/2023
le 23/05/24  l'entreprise a changé de statut : en attente du nouveau Kbis ( gite, table d'hôte et chambre d'hôte)</t>
  </si>
  <si>
    <t>ESCAL'RUN - Appart Margouillat</t>
  </si>
  <si>
    <t>206</t>
  </si>
  <si>
    <t>Rue Docteur Ignace Hoarau</t>
  </si>
  <si>
    <t>-21.276587, 55.512359</t>
  </si>
  <si>
    <t>lescaleduvoyageur974@outlook.fr</t>
  </si>
  <si>
    <t>0692 54 79 34</t>
  </si>
  <si>
    <t>https://www.escalrun.com/fr/escalrun-appart-margouillat</t>
  </si>
  <si>
    <t>T2 de 33m² disposant d’une grande chambre avec lit double, d’une salle de bain avec douche à l’italienne/WC privatif et d’un coin salon/cuisine tout équipée avec canapé convertible.
Nous pouvons ajouter, sur demande, lit bébé ou matelas.
Terrasse extérieure avec vue sur le Piton des Neiges et coin repas.</t>
  </si>
  <si>
    <t>Notre Gîte de location saisonnière est situé au Tampon, à deux pas du centre-ville, dans le sud de la Réunion. ESCAL'RUN est un petit complexe de 3 appartements
Nos appartement sont adaptés aux familles et aux backpackers. 
Nous pouvons ajouter un lit parapluie ou un matelas supplémentaire dans la chambre sur demande.</t>
  </si>
  <si>
    <t>En venant de Saint-Pierre prendre la direction de la ligne des 400 puis prendre sur la droite : rue docteur Ignace Hoareau. Le logement se trouve sur la droite au numéro 206.</t>
  </si>
  <si>
    <t>fer et planche à repasser , vue montagne , vue mer , linge de maison , parking , ventilateur , salon , TV , wifi gratuit , lave linge privatif , micro-ondes , linge de toilette , douche , Cafetière , frigo , kitchenette équipée , sanitaires privés , wifi , terrasse , salle à manger , salle de bain privée , Lit parapluie sur demande , salon de jardin , serviettes. , sèche-cheveux , bouilloire , balcon , lave-linge , chauffe-eau solaire</t>
  </si>
  <si>
    <t>commerce alimentaire,site - lieu culturel,point de vue panoramique,sites touristiques,arrêt bus,poste - boite aux lettres,jardin,transports en commun,station service,pharmacie,banque - guichet automatique,Point chaud,Centre - Ville</t>
  </si>
  <si>
    <t>Carte Bancaire,booking,airbnb,site internet</t>
  </si>
  <si>
    <t>3bfec01f</t>
  </si>
  <si>
    <t>c8475bbf</t>
  </si>
  <si>
    <t>galerie::galerie_Images/5475f52d.Path.063200.jpg</t>
  </si>
  <si>
    <t>CSC583HTP</t>
  </si>
  <si>
    <t>ESCAL'RUN - Appart Paille-en-Queue</t>
  </si>
  <si>
    <t>-21.276588, 55.512360</t>
  </si>
  <si>
    <t>https://www.escalrun.com/fr/escalrun-appart-paille-en-queue</t>
  </si>
  <si>
    <t>T2 de 27m² disposant d’une chambre parentale avec lit double, salle de bain avec douche/WC privatif et d’un coin salon/cuisine tout équipée avec canapé convertible. 
Nous pouvons ajouter, sur demande, un lit bébé. 
Terrasse extérieure avec vue sur le Piton des Neiges et coin repas.
Peut accueillir jusqu’à 3 personnes ( 1 lit double + 1 canapé- lit 2 places dans le salon)
Chambre parentale avec SDB</t>
  </si>
  <si>
    <t>Notre Gîte de location saisonnière est situé au Tampon, à deux pas du centre-ville, dans le sud de la Réunion. ESCAL'RUN est un petit complexe de 3 appartements Nos appartement sont adaptés aux familles et aux backpackers. Nous pouvons ajouter un lit parapluie ou un matelas supplémentaire dans la chambre sur demande.</t>
  </si>
  <si>
    <t>fer et planche à repasser , vue montagne , vue mer , linge de maison , parking , ventilateur , salon , TV , wifi gratuit , lave linge privatif , micro-ondes , linge de toilette , douche , Cafetière , frigo , kitchenette équipée , sanitaires privés , terrasse , salle à manger , salle de bain privée , Lit parapluie sur demande , salon de jardin , serviettes. , salle de bain , cour clôturée , sèche-cheveux , bouilloire , balcon , lave-linge , chauffe-eau solaire</t>
  </si>
  <si>
    <t>site - lieu culturel,point de vue panoramique,sites touristiques,arrêt bus,poste - boite aux lettres,jardin,transports en commun,station service,pharmacie,boulangerie,banque - guichet automatique,Point chaud,sites - lieux culturels,Centre - Ville</t>
  </si>
  <si>
    <t>site internet,Carte Bancaire,booking,airbnb</t>
  </si>
  <si>
    <t>f9db0f82</t>
  </si>
  <si>
    <t>galerie::galerie_Images/625a39f6.Path.062014.jpg</t>
  </si>
  <si>
    <t>CSC582HTO</t>
  </si>
  <si>
    <t>ESCAL'RUN - Appart Tortue</t>
  </si>
  <si>
    <t>-21.276589, 55.512359</t>
  </si>
  <si>
    <t>https://www.escalrun.com/</t>
  </si>
  <si>
    <t>Studio de 28m² disposant d’une grande chambre avec lit double, d’une salle de bain avec douche/WC privatif et d’un coin cuisine tout équipée . Nous pouvons ajouter, sur demande un lit bébé . Balcon avec vue sur le Piton des Neiges et coin repas.
Situation
Le centre-ville est à 5min à pied, proche supermarchés, le lagon de Saint-Pierre est à 15min en voiture.
Vous pouvez rayonner facilement sur toute l’île pour explorer les sentiers de randonnée.
Point fort: proche Volcan.</t>
  </si>
  <si>
    <t>fer et planche à repasser , vue montagne , vue mer , linge de maison , parking , ventilateur , salon , TV , wifi gratuit , lave linge privatif , micro-ondes , linge de toilette , douche , Cafetière , frigo , kitchenette équipée , sanitaires privés , wifi , terrasse , salle de bain privée , Lit parapluie sur demande , salon de jardin , accès internet , cour clôturée , sèche-cheveux , bouilloire , balcon , chauffe-eau solaire</t>
  </si>
  <si>
    <t>site - lieu culturel,point de vue panoramique,sites touristiques,arrêt bus,poste - boite aux lettres,jardin,transports en commun,pharmacie,boulangerie,banque - guichet automatique,médecin,tabac presse,coiffeur,centre commercial,Centre - Ville,hébergements,épicerie</t>
  </si>
  <si>
    <t>airbnb,booking,Carte Bancaire,site internet</t>
  </si>
  <si>
    <t>80129f63</t>
  </si>
  <si>
    <t>CSC581HTN</t>
  </si>
  <si>
    <t>A la Kaz Ti Zozeff</t>
  </si>
  <si>
    <t>Rue henri Mussard</t>
  </si>
  <si>
    <t>-21.377332, 55.628389</t>
  </si>
  <si>
    <t>flo.girard123@gmail.com</t>
  </si>
  <si>
    <t>0693 87 57 74</t>
  </si>
  <si>
    <t>DESCRIPTION
Après avoir accueilli des voyageurs dans le sud-ouest de la France pendant plusieurs années, Florence et François, les hôtes, se sont installés à La Réunion en 2019. Lorsqu’ils ont vu cette maison, ils étaient surs : ce sera leur prochaine maison et c'est là qu’ils recevront les voyageurs. Avec le soutien actif de Florence, qui a conçu les chambres, François a entièrement rénové la maison et deux des trois chambres sont déjà disponibles à la location.
Florence a aménagé ces pièces et les pièces communes pour qu'elles soient agréables et confortables et avec une grande attention aux détails. Elle a déniché de nombreux trésors dans les brocantes et créé des éléments décoratifs originaux à partir de matériaux naturels qu'elle a elle-même collectés, comme du bois flotté ou des nids d'oiseaux tombés.
La salle commune lumineuse dégage chaleur et sécurité. La cuisine et la salle à manger sont à l'extérieur sous le porche couvert. La piscine offre un changement bienvenu. Le « Must » : le petit-déjeuner gourmand préparé par Florence.
Il y a beaucoup à voir et à faire dans la région de Saint-Joseph. N'hésitez pas à vous installer quelques jours dans cette chaleureuse chambre d'hôtes pour découvrir le sud sauvage. Florence et François sont des hôtes passionnés et toujours prêts à vous aider à préparer vos excursions.
CHAMBRES :
La 1ère chambre double : la chambre Bélouve de 15m², au bord de la piscine avec un accès direct depuis le jardin. Elle dispose d'un lit double, d'un bureau et d'une salle de bain moderne en pierre et céramique avec douche à l'italienne et WC et ventilateur.
La 2ème chambre est la grande chambre double Savane (35m²), elle se situe au 1er étage. Climatisée et spacieuse, elle peut accueillir jusqu'à 4 personnes. Elle est équipée d'un lit à baldaquin et de deux canapés lits, d'une salle d'eau avec une douche à l'italienne et des toilettes.
De la terrasse, cette chambre offre une vue unique sur la ville, la montagne "Piton Babet" et le coucher du soleil.
La 3ème chambre Hermitage, pouvant accueillir 2 ou3 personnes est composée d’un lit double et d'un lit simple. C’est un bungalow spacieux avec brasseur d’air, salle d’eau, WC, douche à l’italienne, bureau et terrasse privative donnant sur un jardin créole au bord de la piscine.
RESTAURATION
Le petit-déjeuner - tout ce que votre cœur désire : fruits frais et jus de fruits, gâteaux et yaourts maison. Florence sert le petit déjeuner à partir de 8h, si vous le voulez plus tôt, elle le prépare à l'avance. Elle se fera également un plaisir de vous le préparer pour emporter si vous souhaitez quitter la maison plus tôt.
Le soir, vous pourrez réchauffer les plats que vous aurez apportés dans la cuisine commune ou sortir vous restaurer dans les environs. François et Florence ont toujours de bons conseils pour vous !</t>
  </si>
  <si>
    <t>Une jolie maison récemment ouverte de trois chambres dans un quartier charmant de Saint-Joseph.
Trois chambres à la location appelées "Savane", "Bélouve" et "Hermitage".
De la vous pourrez découvrir toutes les richesses du Sud Sauvage.</t>
  </si>
  <si>
    <t>Dans le quartier des Jacques, sur la RN2 à gauche à la croix du Jubilé. Le logement est situé non loin du centre-ville dans un quartier résidentiel calme de Saint-Joseph. Il se trouve à un peu moins de 400 m de la route principale et de l'arrêt de bus.</t>
  </si>
  <si>
    <t>Tout équipé, wifi</t>
  </si>
  <si>
    <t>sentier de randonnée,sites touristiques,commerces,sites - lieux culturels,station service,centre ville de Saint-Joseph</t>
  </si>
  <si>
    <t>1c2428e4</t>
  </si>
  <si>
    <t>4dd5eb0f</t>
  </si>
  <si>
    <t>CSC478HT@</t>
  </si>
  <si>
    <t>BELOUVE 60€ pour 2 personnes, SAVANE 85€ pour 2, 125€ pour 3 et 145€ pour 4. en semaine
BELOUVE 70€ pour 2 personnes, SAVANE 95€ pour 2, 135€ pour 3 et 155€ pour 4. Minimum DEUX nuits. en week-end</t>
  </si>
  <si>
    <t>-21.250041, 55.477770</t>
  </si>
  <si>
    <t>0262 39 03 43</t>
  </si>
  <si>
    <t>0692416038</t>
  </si>
  <si>
    <t>climatisation , piscine , jacuzzi , linge de maison , parking , salon , jardin , TV , wifi , salle de bain privée , linge de toilette , douche , terrasse , salon de jardin , jardin arboré , serviettes. , cour clôturée , bibliothéque , repas originaux et traditionnels , frigo , sèche-cheveux</t>
  </si>
  <si>
    <t>DuNa6038Dv</t>
  </si>
  <si>
    <t>7593c3d7</t>
  </si>
  <si>
    <t>galerie::galerie_Images/1bf107fc.Path.064802.jpg</t>
  </si>
  <si>
    <t>impasse des chicorées</t>
  </si>
  <si>
    <t>-21.212794, 55.543719</t>
  </si>
  <si>
    <t>0692 60 79 12</t>
  </si>
  <si>
    <t>lave-linge , barbecue , fer et planche à repasser , TV , parking , wifi</t>
  </si>
  <si>
    <t>sentier de randonnée,forêt,sites - lieux culturels,Musée</t>
  </si>
  <si>
    <t>ChSo7912tU</t>
  </si>
  <si>
    <t>3aca051c</t>
  </si>
  <si>
    <t>galerie::galerie_Images/1b0f90fa.Path.120443.jpg</t>
  </si>
  <si>
    <t>Attention ! 2 chambres uniquement, capacité d'accueil confortable 4 personnes.</t>
  </si>
  <si>
    <t>Ti Kaz Martin Dé O La Réunion</t>
  </si>
  <si>
    <t>-21.212755, 55.543738</t>
  </si>
  <si>
    <t>jardin clôturé , fer et planche à repasser , chauffage , jardin , lave-linge , cuisine équipée , wifi , barbecue , parking , TV</t>
  </si>
  <si>
    <t>sentier de randonnée,commerce alimentaire,forêt</t>
  </si>
  <si>
    <t>fe6c626f</t>
  </si>
  <si>
    <t>galerie::galerie_Images/53baae18.Path.115833.jpg</t>
  </si>
  <si>
    <t xml:space="preserve">Les Biens Fées de Graziella </t>
  </si>
  <si>
    <t>372</t>
  </si>
  <si>
    <t>rue Raphaël BABET, étage 1</t>
  </si>
  <si>
    <t>-21.380354, 55.629103</t>
  </si>
  <si>
    <t>0262974355</t>
  </si>
  <si>
    <t>0692657454</t>
  </si>
  <si>
    <t>Pratique à son domicile et peut se déplacer pour les personnes à mobilité réduite.</t>
  </si>
  <si>
    <t>Espace de bien-être corps et esprit, situé à Saint-Joseph dans le Sud Sauvage.</t>
  </si>
  <si>
    <t>TéMa74545y</t>
  </si>
  <si>
    <t>1bb0aeea</t>
  </si>
  <si>
    <t>galerie::galerie_Images/405841fa.Path.065800.jpg</t>
  </si>
  <si>
    <t>170 A</t>
  </si>
  <si>
    <t>rue Jean Lauret</t>
  </si>
  <si>
    <t>-21.248400, 55.479096</t>
  </si>
  <si>
    <t>kelly-legros@hotmail.fr</t>
  </si>
  <si>
    <t>0692074863</t>
  </si>
  <si>
    <t>Venez vivre un moment chaleureux avec votre famille ou vos amis dans la Villa Letchi .👨‍👩‍👧‍👧
Elle peut accueillir 7 personnes :
🛏2 chambres de 2 places
🛏1 chambre avec 3 lits 1 place 
équipé de jeux de Société/ livres pour enfants📚
Vous pourrez également profiter de la piscine 💦 vue sur st pierre et tampon ainsi que du barbecue. 
Vous pourrez aussi vous évader dans les magnifiques sentiers comme 
-sentier Dassy qui est à 5min à pied🏃
Ou vous pourrez voir les arches naturel du bras de la Plaine .
-sentier le zèbre qui lui est à 15 min à pied 🏃
-sentier grande jument  à 5 min en voiture 🏃
Et le sentier bœuf (le dimitile )30min en voiture du départ .🏃
Nous nous situons à 30min de st pierre et 5min du centre ville de l entre deux.
⛔️par respect du voisinage seule une musique de fond est autorisée(les Sonos, pétards etc.. SONT  DONC INTERDITS)
⛔️nos amis les animaux ne sont eux aussi pas acceptés. 🐕</t>
  </si>
  <si>
    <t>Villa Letchi à l'Entre-Deux</t>
  </si>
  <si>
    <t>Une fois arrivée dans le village de l'entre deux continuer en direction de la Ravine des Citrons, prendre à droite chemin Maurice Bérichons, tourner à gauche au niveau du mur moellons</t>
  </si>
  <si>
    <t>barbecue , piscine , vue montagne , vue mer , linge de maison , salon , jardin , TV , lave vaisselle , micro-ondes , wifi , linge de toilette , douche , four , terrasse , cuisine au bois , accès internet , serviettes. , salle de bain , cour clôturée , bibliothéque , Cafetière , frigo , cuisine équipée , cours clôturée , jeux</t>
  </si>
  <si>
    <t>arrêt bus,sentier de randonnée,parking public,sites touristiques</t>
  </si>
  <si>
    <t>8144dc35</t>
  </si>
  <si>
    <t>65c10704</t>
  </si>
  <si>
    <t>galerie::galerie_Images/47adb657.Path.050825.jpg</t>
  </si>
  <si>
    <t>CSC525HT@</t>
  </si>
  <si>
    <t>Caution de 500€
Horaires flexibles</t>
  </si>
  <si>
    <t>Ti kaz Thérèse</t>
  </si>
  <si>
    <t>28</t>
  </si>
  <si>
    <t>rue Edouard Daladier</t>
  </si>
  <si>
    <t>-21.274459, 55.522493</t>
  </si>
  <si>
    <t>theresedijoux1@gmail.com</t>
  </si>
  <si>
    <t>0693 46 79 24</t>
  </si>
  <si>
    <t>Maison située dans la propriété du propriétaire, dans la même cour. Une place de parking disponible. Le parking est partagé avec le propriétaire. 
La maison de plein pied peut accueillir 4 personnes, elle dispose de 2 chambre et un bureau-dressing. La salle de bains est équipée d'une douche avec WC.
La cuisine est équipée avec tout le nécessaire pour le séjour.
Une petite cour est a disposition en extérieur si la voiture est garée en dehors.</t>
  </si>
  <si>
    <t>Petite maison de style créole à l'ancienne, a proximité du centre ville et de toutes commodités</t>
  </si>
  <si>
    <t>Une fois sur la route nationale au niveau du 12ème prendre sur la gauche sur la rue Jules Bertaud au niveau du rond point de la boulangerie. Puis continuer quelques mètres, la rue Edouard Daladier se trouve sur la droite. Continuer dans cette rue jusqu'au numéro 28 qui se trouve sur le côté gauche de la rue.</t>
  </si>
  <si>
    <t>salle de bain privée , linge de maison , parking , micro-ondes , linge de toilette , douche , Cafetière , frigo , wifi , salle à manger , cour clôturée</t>
  </si>
  <si>
    <t>commerce alimentaire,arrêt bus,poste - boite aux lettres,transports en commun,station service,pharmacie,boulangerie,banque - guichet automatique,stade de foot,médecin,tabac presse,coiffeur,Restauration,piscine municipale</t>
  </si>
  <si>
    <t>19a5e529</t>
  </si>
  <si>
    <t>4679b76b</t>
  </si>
  <si>
    <t>galerie::galerie_Images/a8896a3f.Path.092723.jpg</t>
  </si>
  <si>
    <t>CSC316HT@</t>
  </si>
  <si>
    <t>K'MILA PIZZA</t>
  </si>
  <si>
    <t xml:space="preserve"> Rue Marcel Pagnol</t>
  </si>
  <si>
    <t>pizzavincendo@gmail.com</t>
  </si>
  <si>
    <t>0692507899</t>
  </si>
  <si>
    <t>https://www.kmilapizza.re/kmila-pizza-vincendo/</t>
  </si>
  <si>
    <t>BoRo7899fg</t>
  </si>
  <si>
    <t>d6f64fb0</t>
  </si>
  <si>
    <t>Baril O'Thentik</t>
  </si>
  <si>
    <t>chemin Paul Hoarau</t>
  </si>
  <si>
    <t>Baril les Hauts</t>
  </si>
  <si>
    <t>-21.359624, 55.718957</t>
  </si>
  <si>
    <t>viannbouch@msn.com</t>
  </si>
  <si>
    <t>0692 18 10 57</t>
  </si>
  <si>
    <t>Baril O'thentik est une maison de vacances avec une capacité d'accueil de 10 personnes.
Cuisine équipée ouverte sur la salle à manger.
Un salon donnant sur un balcon avec vue sur océan et le littoral de Saint Philippe avec canapé-lit.
Equipée de 3 chambres : 
- une chambre double 
- une chambre triple avec un lit superposée et un lit simple
- chambre triple avec lit double et lit simple
Petit déjeuner en supplément 5€ sur demande (pain fait maison)
repas du soir en supplément à 15€ (apéritif, punch maison, spécialité fait maison + dessert maison)</t>
  </si>
  <si>
    <t>Gîte au calme entre océan et montagne</t>
  </si>
  <si>
    <t>Sur la route nationale en direction du centre ville de Saint-Philippe, prendre à gauche au niveau du restaurant "Le 57", continuer sur ce chemin puis prendre au gauche sur le chemin Paul Hoarau au niveau de l'intersection. La chambre d'hôtes se trouvera sur la gauche au fond d'une petite impasse</t>
  </si>
  <si>
    <t>wifi gratuit , Lit parapluie sur demande , jeux , vue montagne , vue mer , ventilateur ,</t>
  </si>
  <si>
    <t>épicerie,transports en commun,sentier de randonnée</t>
  </si>
  <si>
    <t>0375d83c</t>
  </si>
  <si>
    <t>5879bda2</t>
  </si>
  <si>
    <t>galerie::galerie_Images/1aae3cd7.Path.054036.jpg</t>
  </si>
  <si>
    <t>CSC550HTJ</t>
  </si>
  <si>
    <t>Petit déjeuner en supplément 5€ sur demande (pain fait maison)
Repas du soir en supplément à 15€ (apéritif, punch maison, spécialité fait maison + dessert
maison)</t>
  </si>
  <si>
    <t>L'ANNESSENCE DIVINE</t>
  </si>
  <si>
    <t>Bien-être</t>
  </si>
  <si>
    <t>253</t>
  </si>
  <si>
    <t>rue Jean LAURET</t>
  </si>
  <si>
    <t>-21.241988, 55.480612</t>
  </si>
  <si>
    <t>marieannehoarau040266@gmail.com</t>
  </si>
  <si>
    <t>0693 50 73 46</t>
  </si>
  <si>
    <t>Praticienne en massage et bien-être, Marie Anne HOARAU propose le massage  de détente et de relaxation tel que la méthode LE BALINAIS.
La maîtrise de cette technique de massage avec une partie à mains nues, et l' autre partie à l' huile (huiles neutres : coco, colza, pépin de raisin, sésame) associées ou pas aux huiles essentielles. Cela apporte un bienfait de détente et de relaxation au corps ainsi qu'à l' esprit.
Marie Anne HOARAU propose également le massage SHIATSU : technique de massage japonais par digitopression sur tous les méridiens (canaux d' énergie, exemples : foie, rate, pancréas, vessie...) qui sont situés sur la face dorsale et ventrale). Cette technique permet au receveur d' avoir un massage complet de la tête au pied pour équilibrer et harmoniser les énergies du corps.
Le prestataire propose le massage des 5 continents : cette technique énergétique permet de nettoyer les mauvaises énergies telles que (traumatismes enfouis, tristesse, chagrin, peur, perte d' un enfant...) et de rééquilibrer les énergies du corps.  option : technique du bol tibétain et bol de cristal.</t>
  </si>
  <si>
    <t>En qualité de Réflexologue certifiée par le CNR André LAFON, Marie Anne HOARAU propose aux clients la réflexologie plantaire, palmaire et faciale. Cette technique permet d'aller par digitopression (pression avec le pouce) titiller les organes (exemple : le foie, le cœur, les intestins...) qui sont représentés sous les pieds, dans les mains et sur le visage (d'après la médecine chinoise) afin de repérer les tensions et de libérer les toxines. Les bienfaits de ce massage apportent une détente physique, psychologique et psycho émotionnelle à la personne qui reçoit le massage.</t>
  </si>
  <si>
    <t>Ravine Citron</t>
  </si>
  <si>
    <t>matériel pour l'activité , Massages bien être , ateliers</t>
  </si>
  <si>
    <t>point de vue panoramique,sentier de grande randonnée,site - lieu culturel,hébergements</t>
  </si>
  <si>
    <t>e644f88b</t>
  </si>
  <si>
    <t>b8e59257</t>
  </si>
  <si>
    <t>galerie::galerie_Images/2adbcb15.Path.095636.jpg</t>
  </si>
  <si>
    <t xml:space="preserve">Le Gecko Vert </t>
  </si>
  <si>
    <t>-21.373684, 55.594180</t>
  </si>
  <si>
    <t>0692 64 69 96</t>
  </si>
  <si>
    <t>0692646996</t>
  </si>
  <si>
    <t>https://lamaisondeshotes.re/le-gecko-vert-manapany-les-bains/</t>
  </si>
  <si>
    <t>L'appartement équipé de 2 chambres avec canapé lits. Entièrement rénové et tout équipé, il est situé au rez-de-chaussée en face d'une grande piscine. 
Le Gecko Vert se trouve à 8 minutes à pied du bassin de baignade, a une vue sur mer et montagne dans un endroit particulièrement calme.
La location se fait à partir de 4 nuits minimum. Dépose bagages disponible</t>
  </si>
  <si>
    <t>climatisation , fer et planche à repasser , lave linge privatif , lave vaisselle , linge de maison , parking , piscine , TV satellite , ventilateur , wifi , coffre-fort</t>
  </si>
  <si>
    <t>sentier de randonnée,riviere,commerce alimentaire,sites touristiques,Bassin de Manapany,sites - lieux culturels,Restauration</t>
  </si>
  <si>
    <t>HeDe69965L</t>
  </si>
  <si>
    <t>43628594</t>
  </si>
  <si>
    <t>galerie::galerie_Images/8e46bb07.Path.044725.jpg</t>
  </si>
  <si>
    <t>Presta carré, sympa et habitué du tourisme, il propose même une liste de choses à faire dans le coin. Il a 3 structures.
Site internet ok
Le plus : sécurisé/ calme/ agréable/ ventilé
On s'y sent bien vraiment et pas cher pour les tarifs alentours !
Classé éco pour Booking car s'est engagé à ne plus du tout utiliser et proposer du plastique</t>
  </si>
  <si>
    <t xml:space="preserve">La Maison des Hôtes </t>
  </si>
  <si>
    <t xml:space="preserve"> Rue Joseph de Souville</t>
  </si>
  <si>
    <t>-21.378030, 55.618277</t>
  </si>
  <si>
    <t>0692705791</t>
  </si>
  <si>
    <t>https://lamaisondeshotes.re/la-maison-des-hotes-saint-joseph/</t>
  </si>
  <si>
    <t>La grande villa propose 3 chambres spacieuses dont une avec un lit king size. 
Pas de TV dans les chambres, pour éviter le bruit, mais un salon TV.
Clim dans toutes les chambres
Lumineuses
Elle dispose également d'une grande  terrasse, d'une cuisine extérieure et d'une piscine sans vis à vis, un salon créole typique d'extérieur,  de nombreuses bibliothèques dans la maison...
De nombreux restaurants se trouvent à proximité proposant des plats à emporter. Manapany et son bassin de baignade se situent à 3 km et la rivière Langevin est à  7 km, le Piton Babet à environ 200m ! 
Tarif affiché : 3 nuits minimum.</t>
  </si>
  <si>
    <t>Située au centre ville historique de Saint-Joseph, accessible facilement, dans un environnement calme et silencieux, La Maison des Hôtes, peut accueillir 6 personnes dans une ambiance conviviale, agréable.</t>
  </si>
  <si>
    <t>Venant de l'ouest, franchir le pont de la rivière des Remparts puis tourner à droite. Se diriger vers le centre ville en restant sur l'axe principal. La rue Joseph de Souville est à sens unique en montant. Il y a une agence de la BRED qui se situe à son intersection. La villa munie d'un portail blanc et d'un mur de clôture en pierre taillée est en haut à gauche.
Venant de l'est, suivre la direction de Saint-Pierre. Arrivé au pont de la rivière des Remparts, tourner à gauche en direction du centre ville. Rester sur l'axe principal. Tourner de nouveau à gauche devant l'agence de la BRED. La villa munie d'un portail blanc et d'un mur de clôture en pierre taillée est en haut à gauche.</t>
  </si>
  <si>
    <t>climatisation , fer et planche à repasser , jardin , lave linge privatif , linge de maison , parking , piscine , sèche linge privatif , TV satellite , ventilateur , wifi , coffre-fort</t>
  </si>
  <si>
    <t>f5a278bd</t>
  </si>
  <si>
    <t>galerie::galerie_Images/b6eb657d.Path.045814.jpg</t>
  </si>
  <si>
    <t>Le presta a deux site internet : un .fr et un .re
J'ai eu le presta au téléphone, sur le .fr il y'a ses disponibilités et sur le .re pour avec les dispos on est automatiquement rebasculé sur le .fr</t>
  </si>
  <si>
    <t>Papilles des Hauts</t>
  </si>
  <si>
    <t>100% La Réunion</t>
  </si>
  <si>
    <t>38 Bis</t>
  </si>
  <si>
    <t>chemin des Lupins</t>
  </si>
  <si>
    <t>-21.249633, 55.550622</t>
  </si>
  <si>
    <t>apicoleo@gmail.com</t>
  </si>
  <si>
    <t>0692 54 87 26</t>
  </si>
  <si>
    <t>Dans l'atelier de Virgine FURIC, on peut retrouver des saveurs et une cuisine longtemps. Toutes nos papilles retrouvent les senteurs de la cuisine des Hauts, recettes héritées : 
- Des anciens ;
- Du père de Virgine FURIC ;
- Des techniques de son parcours au lycée hôtelier ;
- D'un mari boucher charcutier traiteur.
Des produits frais et de la volaille élevés à l'ancienne. Les produits de son exploitation sont essentiellement transformés sous forme de rillettes, foie gras, confits et pour toute la partie végétal en achards et confitures réunis dans les saveurs des "Papilles des Hauts".</t>
  </si>
  <si>
    <t>Depuis 2018, Virginie FURIC fait la transformation des produits issues de son exploitation. L'appellation de "Papilles des Hauts" date de 2020. Cette entreprise située dans les Hauts du Tampon met en avant la confection de produits de terroir.
Les produits transformés de l'exploitation ont la marque 100% La Réunion.</t>
  </si>
  <si>
    <t>2a713156</t>
  </si>
  <si>
    <t>abf010e6</t>
  </si>
  <si>
    <t>galerie::galerie_Images/bdd4a3a3.Path.072510.jpg</t>
  </si>
  <si>
    <t>Les produits de l'exploitation sont commercialisés : 
- Marché forain du Tampon (le samedi matin) ;
- Belvédère du Bois-Court (le dimanche matin) ;
- Offices de Tourisme de l'OTISud (Entre-Deux ; Manapany ; Saint-Philippe) ;
- Boucherie le Palais Boucher au Tampon et au 17éme Plaine des Cafres à l'atelier de transformation en téléphonant au 0.692.54.87.26.</t>
  </si>
  <si>
    <t>L'Île Ô Vert</t>
  </si>
  <si>
    <t>chemin Grand Bassin</t>
  </si>
  <si>
    <t>Ravine Ango</t>
  </si>
  <si>
    <t>-21.349588, 55.791446</t>
  </si>
  <si>
    <t>lileovert97442@gmail.com</t>
  </si>
  <si>
    <t>0692 07 62 32</t>
  </si>
  <si>
    <t>https://lileovertsaunabienetremeubletouristique.bookinbeautiful.fr/</t>
  </si>
  <si>
    <t>- Grande terrasse avec jacuzzi gonflable et douche extérieure, cour clôturée et place de parking ;
- cuisine ouverte sur salon et salle à manger ;
- salle de douche et WC ;
- 2 chambres sur mezzanine : la chambre Rose avec son balcon et sa vue mer et la chambre Alamanda avec son  lit et un clic clac avec sa vue montagne.
Plus de confort grâce à l’installation récente de brasseurs d’air (un dans chaque chambre).
Nouveauté : Relax By Zot mêm
Offrez à votre corps et à votre esprit, un moment de détente, seul(e) ou à 2, dans un lieu réservé que pour vous ! (OFFRE RESERVEE UNIQUEMENT AUX LOCATAIRES de L'Île Ô Vert ou du Ti Coin Sauvage) à partir de 20€
L’offre repose sur :
 • Le sauna &amp; auto-massage : Une expérience immersive pour la détente et la récupération.
 • Le corner shop bien-être : Vente de produits de soin et accessoires bien-être.</t>
  </si>
  <si>
    <t>L'Île Ô Vert est un beau chalet en bois sous tôle de  65m² avec jacuzzi situé à SAINT-PHILIPPE à 5 minutes du Puits Arabe.</t>
  </si>
  <si>
    <t>• En voiture : 
En venant du SUD : Traversez la ville de Saint Philippe, vous arrivez au quartier de Ravine Ango. Passez le restaurant La Marmite du pécheur, le chalet se trouve à 3 minutes en voiture.
Avant l’arrêt de bus Fruit à pain, prendre le chemin à votre droite, chemin Grand Bassin. Descendre, passer les 2 premiers portails (maisons rondes) et prendre la première ruelle à droite. Le portail blanc et noir du chalet se trouve sur votre droite.
En venant de l’EST : Traversez Le Tremblet. Arrivés au quartier de Ravine Ango, passez le restaurant Le Maccabit .  L’accès au chalet se trouve à  votre gauche.
Avant l’arrêt de bus Fruit à pain, prendre le chemin à votre droite, chemin Grand Bassin. Descendre, passer les 2 premiers portails (maisons rondes) et prendre la première ruelle à droite. Le portail blanc et noir du chalet se trouve sur votre droite.
• En bus :
Descendre à l’Arrêt de bus Fruit à Pain, Ravine Ango, Saint-Philippe.
Descendre le chemin Grand Bassin, à 1 minute à pied. Passez les portails des maisons rondes et prendre le premier accès à droite. Le portail blanc et noir du chalet se trouve sur votre droite.</t>
  </si>
  <si>
    <t>barbecue , fer et planche à repasser , jacuzzi , vue montagne , sur réservation , grand espace , vue mer , lave linge collectif , linge de maison , parking , TV satellite , salon , jardin , TV , espace de restauration , wifi gratuit , micro-ondes , salle de bain privée , sanitaires privés , douche , four , terrasse , salon de jardin , linge de toilette , cuisine , jardin arboré , accès internet , serviettes. , salle de bain , cour clôturée , Cafetière , Lit parapluie sur demande , frigo , varangue , balcon , cuisine équipée , parking sécurisé , kitchenette équipée , salle à manger , plaque de cuisson , jeux , netflix</t>
  </si>
  <si>
    <t>sentier de randonnée,équitation,site - lieu culturel,point de vue panoramique,forêt,pêche,sites touristiques,arrêt bus,transports en commun,sites - lieux culturels,restaurants,sentiers de randonnées,Restauration,sentiers de randonnée,route des laves,coulées de lave,ferme équestre,route du volcan,littoral</t>
  </si>
  <si>
    <t>04c214a1</t>
  </si>
  <si>
    <t>9d09c682</t>
  </si>
  <si>
    <t>galerie::galerie_Images/72ddf124.Path.102826.jpg</t>
  </si>
  <si>
    <t>CSC516HT@</t>
  </si>
  <si>
    <t>Tarification : pour une nuit 90 euros pour 2 adultes et 2 enfants de moins de 10 ans (voir le tarif avec le prestataire selon la période de l'année) / 
2 nuits à 170 euros (tarif dégressif selon la durée du séjour).</t>
  </si>
  <si>
    <t>Humanity Spirituality Malika</t>
  </si>
  <si>
    <t>89 D</t>
  </si>
  <si>
    <t>route nationale 2</t>
  </si>
  <si>
    <t>-21.370571, 55.715138</t>
  </si>
  <si>
    <t>Malika propose avec passion des moments enrichissant 
- soins énergétique &gt; reiki
- réflexologie &gt; plantaire, faciale et énergétique
- détox et sportive 
- auriculothérapie &gt; acupuncture de l'oreille (60€)
- massage thaÏ (90€ 1h-1h30 / 110€ 2h)
- Son soin signature &gt; "Symbiose" (110€ 1h30)
Travaille avec des huiles
A savoir que les soins profonds prennent 3 jours et 3 nuits à l'organisme et au corps pour se replacer</t>
  </si>
  <si>
    <t>Malika BOUZERAR de l'entreprise : Humanity Spirituality Malika prendra soin de vous en utilisant différentes techniques de massages. Offrez-vous un moment de bien-être et relaxation.</t>
  </si>
  <si>
    <t>Chez elle ou se déplace</t>
  </si>
  <si>
    <t>matériel pour l'activité , vue mer , vue montagne , Massages bien être , espace spa - bien être</t>
  </si>
  <si>
    <t>5653bf97</t>
  </si>
  <si>
    <t>galerie::galerie_Images/bf7f0a7b.Path.121530.jpg</t>
  </si>
  <si>
    <t>Gigitecoco</t>
  </si>
  <si>
    <t>23</t>
  </si>
  <si>
    <t>chemin Corbeille d’Or</t>
  </si>
  <si>
    <t>-21.349318, 55.630415</t>
  </si>
  <si>
    <t>biotnadege@gmail.com</t>
  </si>
  <si>
    <t>0693 92 84 63</t>
  </si>
  <si>
    <t>Le logement de plein pied, comporte une cuisine aménagée (gazinière, four, réfrigérateur, cafetière ... ) une chambre fermée avec penderie, un salon/séjour avec un vrai canapé-lit 2 personnes. Une salle d'eau avec coin WC.
Jardin indépendant.
Nous pouvons fournir le nécessaire pour bébé : lit bébé, transat, baignoire...</t>
  </si>
  <si>
    <t>Venez profiter du Sud sauvage, en séjournant au GIGITECOCO. Ce gîte dispose d'une piscine chauffée et d'un jacuzzi pour 4/5 personnes.</t>
  </si>
  <si>
    <t>Prendre la direction de SAINT-JOSEPH puis Jean Petit. Prendre le chemin Corbeille d'Or juste avant l'abri bus du même nom. Au fond de la rue, prendre à droite puis à gauche (ne pas prendre la direction "Chez Gisou"). Remonter le chemin jusqu'au 23 où se trouve le panneau de bienvenue. Le gîte est au bout de l'allée privative.</t>
  </si>
  <si>
    <t>barbecue , piscine , jacuzzi , ventilateur , jardin , TV , wifi gratuit , vue montagne , sur réservation , salle de bain privée , grand espace , douche , four , salon de jardin , linge de toilette , cuisine , accès internet , salle de bain , vue mer , lave-linge , cuisine équipée , tout équipé , kitchenette équipée , parking sécurisé , frigo , Cafetière , Lit parapluie sur demande</t>
  </si>
  <si>
    <t>sentier de randonnée,sentier de grande randonnée,site - lieu culturel,point de vue panoramique,forêt,riviere,sites touristiques,arrêt bus,poste - boite aux lettres,centre commercial,transports en commun,commerces,sites - lieux culturels,station essence,centre ville de Saint-Joseph,pharmacie,pâtisserie,restaurants,centre médical,hébergements,commerce de proximité…,épicerie,médecin</t>
  </si>
  <si>
    <t>8657bf32</t>
  </si>
  <si>
    <t>935f27ac</t>
  </si>
  <si>
    <t>galerie::galerie_Images/d3cc200e.Path.050819.jpg</t>
  </si>
  <si>
    <t>CSC474HT@</t>
  </si>
  <si>
    <t>L'ÉCLAT TENTE CRÉATION</t>
  </si>
  <si>
    <t>36</t>
  </si>
  <si>
    <t>-21.248940, 55.473697</t>
  </si>
  <si>
    <t>sakim73@hotmail.fr</t>
  </si>
  <si>
    <t>0692 33 98 93</t>
  </si>
  <si>
    <t>Il est possible de se rendre à domicile pour découvrir les créations. Merci de prendre rendez-vous avec Audrey DIJOUX avant de se déplacer. Le prestataire reste joignable au 0.692.33.98.93.
Produits personnalisable !</t>
  </si>
  <si>
    <t>Audrey DIJOUX confectionne de beaux bijoux et accessoires essentiellement en résine. Cette dernière peut réaliser et personnaliser votre future création sur demande.</t>
  </si>
  <si>
    <t>A son domicile sur résa
Ou se déplace sur les marchés et event grand public</t>
  </si>
  <si>
    <t>9eef4bb2</t>
  </si>
  <si>
    <t>2a3aef60</t>
  </si>
  <si>
    <t>galerie::galerie_Images/eaf0e3f4.Path.114149.jpg</t>
  </si>
  <si>
    <t>Les ventes peuvent se faire à domicile uniquement sur rendez-vous. 
Les bijoux sont vendus à partir de six euros.</t>
  </si>
  <si>
    <t>Siro Dé Ô</t>
  </si>
  <si>
    <t>176</t>
  </si>
  <si>
    <t>rue Claude Marion</t>
  </si>
  <si>
    <t>-21.343693, 55.681673</t>
  </si>
  <si>
    <t>huetpascal97429@gmail.com</t>
  </si>
  <si>
    <t>0692 41 63 87</t>
  </si>
  <si>
    <t>Basé dans les hauts de St Joseph à l'île de la Réunion, notre entreprise est spécialisée dans la production de sirop médicinal et gourmand local. 
Nous mettons à profit les avantages de notre situation géographique, à 645 mètres d'altitude, pour offrir des produits de qualité supérieure. Notre engagement en faveur des ingrédients naturels et de la production responsable est au cœur de notre activité. 
Découvrez nos sirops et laissez-vous séduire par leurs saveurs authentiques et leurs bienfaits pour la santé.
Pas de boutique, vente en office de tourisme, fruits et légumes, charcuterie
6 euros pour les petites bouteilles de 25 cl et 9 euros pour les bouteilles de 50cl</t>
  </si>
  <si>
    <t>Nous produisons des sirops médicinaux et gourmands locaux à l'île de la Réunion</t>
  </si>
  <si>
    <t>1d1b4ce4</t>
  </si>
  <si>
    <t>ec99ed9a</t>
  </si>
  <si>
    <t>galerie::galerie_Images/a5551b81.Path.114032.jpg</t>
  </si>
  <si>
    <t>Suivi par une couveuse Coopérative POSSIBLE
LISTE DES VERTUS DES SIROPS EN PIECE JOINTE</t>
  </si>
  <si>
    <t>LA LOUISIANE</t>
  </si>
  <si>
    <t>86B</t>
  </si>
  <si>
    <t>rue de la PASSERELLE</t>
  </si>
  <si>
    <t>-21.376507, 55.649515</t>
  </si>
  <si>
    <t>huetpascal@hotmail.fr</t>
  </si>
  <si>
    <t>0692029878</t>
  </si>
  <si>
    <t>LA LOUISIANE est composée de : 
- Deux chambres et une mezzanine ;
- Une télévision à écran plat ;
- Un coin repas ainsi qu'une cuisine équipée d'un réfrigérateur et d'un four. 
Les serviettes et le linge de lit sont fournis.</t>
  </si>
  <si>
    <t>LA LOUISIANE est une maison de vacances conviviale située à SAINT-JOSEPH. Vous aurez à votre disposition deux chambres et une mezzanine pour profiter de votre séjour.</t>
  </si>
  <si>
    <t>barbecue , climatisation , fer et planche à repasser , linge de maison , TV satellite , ventilateur , salon , TV , espace de restauration , wifi gratuit , micro-ondes , four , Cafetière , frigo , kitchenette équipée , sanitaires privés , billard , accès internet , serviettes. , balcon , bouilloire , grille-pain</t>
  </si>
  <si>
    <t>sentier de randonnée,parking public,site - lieu culturel,point de vue panoramique,forêt,riviere,Bassin de Manapany,transports en commun,station service,pharmacie,boulangerie,banque - guichet automatique,Point chaud,stade de foot,médecin,tabac presse,centre commercial,station essence,pâtisserie,restaurants,hébergements</t>
  </si>
  <si>
    <t>37fcbf9e</t>
  </si>
  <si>
    <t>632b95d7</t>
  </si>
  <si>
    <t>galerie::galerie_Images/b769dbd7.Path.123614.jpg</t>
  </si>
  <si>
    <t>CSC578HTT</t>
  </si>
  <si>
    <t>Kaz'A Olymp</t>
  </si>
  <si>
    <t>impasse des sapotiers</t>
  </si>
  <si>
    <t>-21.238385, 55.471795</t>
  </si>
  <si>
    <t>hoarau.gerome@gmail.com</t>
  </si>
  <si>
    <t>0692590211</t>
  </si>
  <si>
    <t>https://www.keylodge.fr/location/maison-entre-deux-kaz-a-olymp-charmante-maison-de-80-m2-a-l-entre-deux-404719.html</t>
  </si>
  <si>
    <t>Gérome vous accueille dans sa maison « Kaz’A Olymp*** ». Cette charmante maison conçue pour 4 personnes est idéalement située pour découvrir les paysages verdoyants du sud de l’île !
• Située à l’Entre-Deux, un des plus beaux villages créoles de La Réunion
• Proche des départs de randonnées
• Deux places de parking privées
• Entièrement équipée (TV, cafetière, vaisselle, ...)
• Draps, serviettes, et linge de maison offerts !
• Ménage inclus
LE LOGEMENT :
✅ Une cuisine intégralement agencée et pensée pour votre séjour, avec toute la vaisselle et ustensiles de cuisine, grille-pain, cafetière, cuiseur à riz, micro-ondes, four ainsi qu’un réfrigérateur et congélateur.
✅ Un séjour équipé d'une TV écran plat et d’un canapé confortable pour vos soirées cocooning.
✅ Deux chambres équipées d’un lit double et d’une armoire.
✅ Une salle de bain avec douche et vasque.
✅ Une terrasse qui donne sur un petit jardin, avec une table pour vos petits déjeuners ensoleillés, un barbecue pour vos soirées grillades et deux transats !
*Les fêtes ne sont pas autorisées
**Le logement n’est pas accessible aux personnes à mobilité réduite
ACCES DES VOYAGEURS :
Gérome vous accueillera à votre arrivée. Vous recevrez au préalable un guide d'arrivée complet vous fournissant l'ensemble des instructions et indications pour accéder à l'hébergement. Vous pourrez joindre Gérome par téléphone pour lui indiquer votre heure d’arrivée.
SERVICES KEYLODGE :
🛎 L’équipe Keylodge est à votre service pour vous faire passer un séjour optimal ! Nous attachons une grande importance à votre bien être et au bon déroulé de votre séjour. L’agence Keylodge s’occupe de votre réservation.
Une fois sur place, Gérome sera votre hôte pour vous accueillir et répondre à toutes les questions que vous pourriez avoir concernant la maison.
Caution 600euros</t>
  </si>
  <si>
    <t>Charmante maison de 80 m2, classé 3 étoiles à l’Entre-deux.</t>
  </si>
  <si>
    <t>cour clôturée , salon de jardin , barbecue , fer et planche à repasser , parking , TV satellite , jardin , lave linge privatif , micro-ondes , wifi , douche , four , terrasse , Cafetière , frigo</t>
  </si>
  <si>
    <t>arrêt bus,transports en commun</t>
  </si>
  <si>
    <t>1fbc2f2d</t>
  </si>
  <si>
    <t>5197a0b6</t>
  </si>
  <si>
    <t>galerie::galerie_Images/1fbf0446.Path.050850.jpg</t>
  </si>
  <si>
    <t>CSC571HTM</t>
  </si>
  <si>
    <t>ATTENTION LOCATION AVEC KEYLODGE</t>
  </si>
  <si>
    <t>Glacier ; Crêperie</t>
  </si>
  <si>
    <t>-21.247529, 55.471044</t>
  </si>
  <si>
    <t>0262 91 57 43</t>
  </si>
  <si>
    <t>0693409986</t>
  </si>
  <si>
    <t>Entre-Deux Délices vous accueille sept jours sur sept (y compris les jours fériés) de 10h00 à 19h00 en service continu sur place et/ou à emporter...</t>
  </si>
  <si>
    <t>L'établissement Entre-Deux Délices situé comme son nom l'indique à l'Entre-Deux est une crêperie bretonne, une saladerie et un glacier.</t>
  </si>
  <si>
    <t>parking , wifi , terrasse , espace de restauration , restauration</t>
  </si>
  <si>
    <t>parking public,sentier de grande randonnée,site - lieu culturel,poste - boite aux lettres,station essence,Centre - Ville</t>
  </si>
  <si>
    <t>HaGu9986y3</t>
  </si>
  <si>
    <t>12f10b55</t>
  </si>
  <si>
    <t>galerie::galerie_Images/2afe3e8c.Path.111137.jpg</t>
  </si>
  <si>
    <t>Ti' Caz Serré</t>
  </si>
  <si>
    <t>146 B</t>
  </si>
  <si>
    <t>chemin Départemental 26</t>
  </si>
  <si>
    <t>-21.268664, 55.464391</t>
  </si>
  <si>
    <t>mariealine.pt@gmail.com</t>
  </si>
  <si>
    <t>0745439087</t>
  </si>
  <si>
    <t>LE LOGEMENT :
* Une cuisine intégralement agencée et pensée pour votre séjour, avec toute la vaisselle et ustensiles de cuisine, bouilloire, cafetière, four, micro-ondes, cuiseur à riz ainsi qu’un réfrigérateur et un congélateur. Un coin repas avec un mange debout.
* Une chambre équipée d’un lit double, d’une télévision et d’un espace de rangement pour vos affaires.
* Une salle de bain privée avec douche à l’italienne, vasque, sèche-cheveux et machine à laver.
* Un espace extérieur avec un petit coin jardin et terrasse avec table pour dîner.
Parking privé, 2 voitures.</t>
  </si>
  <si>
    <t>« Ti Caz Serré » est un charmant T2, situé dans le village de l’Entre-Deux, l’un des plus beaux villages de France. Cet appartement conçu pour 2 personnes est idéalement situé pour se ressourcer près de la nature.</t>
  </si>
  <si>
    <t>sur réservation , linge de maison , wifi gratuit , linge de toilette , douche , Cafetière , frigo , kitchenette équipée</t>
  </si>
  <si>
    <t>7f918879,6fb5614d</t>
  </si>
  <si>
    <t>f52ea37c</t>
  </si>
  <si>
    <t>galerie::galerie_Images/a8af97fc.Path.114510.jpg</t>
  </si>
  <si>
    <t>CSC579HTU</t>
  </si>
  <si>
    <t>Cet hébergement est géré par KEYLODGE.
Caution remboursable : 500 euros/réservation.</t>
  </si>
  <si>
    <t>Villa Jacqueline</t>
  </si>
  <si>
    <t>289 bis</t>
  </si>
  <si>
    <t>La Crête 2</t>
  </si>
  <si>
    <t>-21.337800, 55.661496</t>
  </si>
  <si>
    <t>boyerjacqueline4@gmail.com</t>
  </si>
  <si>
    <t>0692612549</t>
  </si>
  <si>
    <t>Cette maison de vacances climatisée comprend au total 3 chambres doubles. Deux des trois chambres sont situées à l'étage de la villa. Au total, trois salles de bain sont mis à disposition, deux salles de bain se trouvent à l'étage et une salle de bain se trouve dans la chambre du rez de chaussée.
Un canapé lit permet de se reposer ou de regarder la télévision dans le séjour. Vous pourrez également préparer vos petits plats à l'intérieur de la cuisine équipée.
Optez pour admirer le coucher de soleil depuis la terrasse qu'offre cet hébergement.</t>
  </si>
  <si>
    <t>Venez profiter du Sud Sauvage en séjournant dans un endroit calme et reposant. Située dans les Hauteurs de Saint-Joseph (Crête 2), La Villa Jacqueline vous offrira confort et repos. Optez pour un moment de détente en profitant de la piscine.</t>
  </si>
  <si>
    <t>Depuis l'aéroport Roland Garros ou celui de Pierrefonds, vous prenez la direction de Saint-Joseph. Vous continuez à rouler jusqu'à Vincendo puis vous prenez la direction "Crête, Parc à Mouton".
Depuis l'aéroport Roland Garros en passant par Sainte-Rose, direction Saint-Philippe, en quittant les rampes de Basse-Valée, à la première croisée, vous prenez la direction Crête Matuta.</t>
  </si>
  <si>
    <t>barbecue , climatisation , fer et planche à repasser , piscine , vue montagne , sur réservation , vue mer , lave linge collectif , linge de maison , salon , jardin , wifi gratuit , lave vaisselle , micro-ondes , salle de bain privée , douche , four , terrasse , accès internet , serviettes. , cuisine équipée , frigo , salle à manger , Cafetière , balcon</t>
  </si>
  <si>
    <t>sentier de randonnée,site - lieu culturel,point de vue panoramique,forêt,arrêt bus,transports en commun,hébergements,stade de foot</t>
  </si>
  <si>
    <t>0a6ed1a8</t>
  </si>
  <si>
    <t>db32aa39</t>
  </si>
  <si>
    <t>galerie::galerie_Images/6d4e5d14.Path.102532.jpg</t>
  </si>
  <si>
    <t>CSC429HT@</t>
  </si>
  <si>
    <t>-21.372501, 55.625765</t>
  </si>
  <si>
    <t>062126f8</t>
  </si>
  <si>
    <t xml:space="preserve">Le Placide </t>
  </si>
  <si>
    <t>-21.219424, 55.562742</t>
  </si>
  <si>
    <t>0692367978</t>
  </si>
  <si>
    <t>La maison est entièrement équipée. En effet, elle dispose d'un salon, d'une cuisine équipée, d'une cuisine en extérieur, d'une grande salle à manger et de 3 dortoirs de 14 places.</t>
  </si>
  <si>
    <t>"LE PLACIDE" est situé à la Plaine des Cafres dans un endroit calme. Ce lieu apportera sérénité et repos à votre séjour.</t>
  </si>
  <si>
    <t>De SAINT-PIERRE, prendre la RN3 direction La PLAINE DES CAFRES, arrivée au 23ème km après la gendarmerie, continuer sur 150 m puis prendre le chemin SOUPRAYEN (situé à droite). L'hébergement "LE PLACIDE" se trouve au n°15.</t>
  </si>
  <si>
    <t>TV satellite , cheminée , cuisine équipée , jardin , salon de jardin , jardin arboré , barbecue , parking , wifi gratuit , serviettes. , Cafetière</t>
  </si>
  <si>
    <t>transports en commun,restaurants,Maison du Volcan,Centres équestres,commerce de proximité…</t>
  </si>
  <si>
    <t>PaMa7978gy</t>
  </si>
  <si>
    <t>506d19de</t>
  </si>
  <si>
    <t>galerie::galerie_Images/fd872027.Path.064811.jpg</t>
  </si>
  <si>
    <t>Le prestataire a informé que : "Les fêtes ainsi que la musique ne sont pas autorisées dans cet hébergement."</t>
  </si>
  <si>
    <t>Au doux Tamarin des hauts</t>
  </si>
  <si>
    <t>40 Ter</t>
  </si>
  <si>
    <t>chemin des bibassiers</t>
  </si>
  <si>
    <t>-21.238940, 55.501200</t>
  </si>
  <si>
    <t>biaudetsophie@gmail.com</t>
  </si>
  <si>
    <t>0693827651</t>
  </si>
  <si>
    <t>En rez de chaussée de la maison du propriétaire, Au Doux Tamarin des Hauts dispose de 2 chambres doubles avec lit 160*200, une est équipée de toilettes, un divan de 80x200 avec lit tiroir avec second matelas de 80x200 proposant un couchage de 160x200 pour l'autre. Idéal pour 2 couples, d'un Coin cuisine avec plaque gaz 4 feux, un mini four, un réfrigérateur, congélateur, un micro onde, une bouilloire, une cafetière senseo, un cuiseur à riz, un grille pain.
Endroit calme et reposant. Wifi gratuite et télévision. Linge de toilettes et draps neufs fournis. Ménage à la charge du locataire, sinon possibilité de payer un supplément au propriétaire à la charge du client .
Chèque de caution rendu en fin de séjour après l'état des lieux de sortie.
Lave linge et séchoir de la propriétaire à disposition ainsi qu' une centrale vapeur et table à repasser.
Piscine sécurisée pour les enfants ou personnes ne sachant pas nager (alarme). Accessible aux PMR (travaux en cours pour améliorations)</t>
  </si>
  <si>
    <t>Tamarin des Hauts propose une maison pouvant accueillir 5 personnes.
Vue splendide sur la côte de Saint Pierre. Une véritable carte postale à chaque coucher de soleil.</t>
  </si>
  <si>
    <t>Depuis le rond point du 14ème prendre la direction Pont D'Yves, continuer tout droit puis prendre la direction Bras de Pontho puis le chemin des Bibassiers. Continuer sur 200 mètres dans le chemin des Bibassiers jusqu'au numéro 40 puis tourner à droite dans un chemin privé. L'hébergement se trouve à 15 mètres sur la gauche</t>
  </si>
  <si>
    <t>barbecue , piscine , jardin , TV , linge de maison , parking , wifi gratuit , micro-ondes , four , terrasse , lave-linge , cuisine , parking sécurisé</t>
  </si>
  <si>
    <t>Restauration,pharmacie,poste - boite aux lettres,épicerie,médecin,sentier de randonnée,riviere,point de vue panoramique,arrêt bus</t>
  </si>
  <si>
    <t>0e6cd83d</t>
  </si>
  <si>
    <t>c4bd36df</t>
  </si>
  <si>
    <t>galerie::galerie_Images/fc958c99.Path.053702.jpg</t>
  </si>
  <si>
    <t>CSC446HT@</t>
  </si>
  <si>
    <t>Tarification : 
* 595 euros à la semaine, soit 85 €/nuit à partir de deux nuits minimum.</t>
  </si>
  <si>
    <t>Le Farin la pluie by LONBRAZ VOLKAN</t>
  </si>
  <si>
    <t>rue Jean Albany</t>
  </si>
  <si>
    <t>-21.369529, 55.720901</t>
  </si>
  <si>
    <t>Cet appartement comprend une chambre, une télévision à écran plat, un coin salon et une salle de bains pourvue d'un jacuzzi. Sa cuisine est équipée d'un lave-vaisselle et d'un micro-ondes. Les serviettes et le linge de lit sont fournis.</t>
  </si>
  <si>
    <t>Tentez l'expérience d'un séjour aux pieds du volcan et venez découvrir le Sud Sauvage dans un décor chaleureux et une ambiance cocooning.
A deux ou en famille prenez le temps d'apprécier ce moment, le confort de l'espace intérieur vous apportera sérénité et bien-être. Les espaces extérieurs entièrement privatifs et clos vous permettront de profiter de chaque instant.
N'attendez plus, il ne reste qu'à faire vos valises...</t>
  </si>
  <si>
    <t>Cafetière , salon , salon de jardin , barbecue , espace spa - bien être , jardin clôturé , salle de bain , lave vaisselle , lave-linge , cuisine équipée</t>
  </si>
  <si>
    <t>commerce alimentaire,parking public,point de vue panoramique,station essence,Restauration,Point chaud</t>
  </si>
  <si>
    <t>bcbd6cad</t>
  </si>
  <si>
    <t>galerie::galerie_Images/522ad7e5.Path.052302.jpg</t>
  </si>
  <si>
    <t>CSC531HT@</t>
  </si>
  <si>
    <t>Tarification : 85 euros par nuit pour le logement. 
Pour l'entretien du logement après le séjour (le ménage de sortie...) pour une à deux nuits le tarif est à 30 euros. Au delà de deux nuits, l'entretien revient à 50 euros.</t>
  </si>
  <si>
    <t>chemin DIJOUX</t>
  </si>
  <si>
    <t>-21.243287, 55.468149</t>
  </si>
  <si>
    <t>0262496459</t>
  </si>
  <si>
    <t>0693062521</t>
  </si>
  <si>
    <t>Espace floral avec piscine</t>
  </si>
  <si>
    <t>piscine , barbecue , parking</t>
  </si>
  <si>
    <t>BoJe2521Va</t>
  </si>
  <si>
    <t>33a7ee19</t>
  </si>
  <si>
    <t>galerie::galerie_Images/f78deb6a.Path.111649.jpg</t>
  </si>
  <si>
    <t>CSC174HT@</t>
  </si>
  <si>
    <t>80 euros par nuit pour 2 personnes avec petit déjeuner. 25 euros par personne supplémentaire.</t>
  </si>
  <si>
    <t xml:space="preserve"> Impasse des Lys</t>
  </si>
  <si>
    <t>-21.195053, 55.537048</t>
  </si>
  <si>
    <t>0692684856</t>
  </si>
  <si>
    <t>TuAm4856N8</t>
  </si>
  <si>
    <t>4725d206</t>
  </si>
  <si>
    <t>ATTENTION fermée mais en attente de retour de documents (voir le CRM merci)</t>
  </si>
  <si>
    <t>Entre Mer et Montagne - Meublé Volcan</t>
  </si>
  <si>
    <t xml:space="preserve"> Chemin Mussard</t>
  </si>
  <si>
    <t>-21.265777, 55.502711</t>
  </si>
  <si>
    <t>entre.mer.et.montagne2@gmail.com ​​​</t>
  </si>
  <si>
    <t>0693 42 82 68</t>
  </si>
  <si>
    <t>Le meublé Volcan est classé 3 étoiles et équipé pour 4 personnes.
Il est composé :
• d’une cuisine tout équipée : table et chaises en teck, plaque 4 feux, autocuiseur, réfrigérateur/congélateur, micro-ondes, cafetière, vaisselle
• d’une chambre avec lit double et armoire en teck, TV écran plat LCD de 82 cm avec la TNT
• d’une salle d’eau contemporaine avec vasque en pierre naturel et douche à l’italienne, sèche-cheveux
• d’une généreuse terrasse couverte avec son jardin tropical : table et fauteuils en résine tressée, barbecue
Une piscine sécurisée, située en retrait est à la disposition des résidents des trois logements.</t>
  </si>
  <si>
    <t>Trois-Mares, rue Raphael Babet</t>
  </si>
  <si>
    <t>accès internet , piscine chauffée , barbecue , jardin , micro-ondes , parking , TV , table de ping-pong , climatisation</t>
  </si>
  <si>
    <t>HoJo8268Xl</t>
  </si>
  <si>
    <t>6c46582c</t>
  </si>
  <si>
    <t>galerie::galerie_Images/00d55979.Path.073441.jpg</t>
  </si>
  <si>
    <t>Les Jardins de Nicole</t>
  </si>
  <si>
    <t>chemin des Planteurs</t>
  </si>
  <si>
    <t>-21.202288, 55.542940</t>
  </si>
  <si>
    <t>amandine.tailee@outlook.fr</t>
  </si>
  <si>
    <t>0692319613</t>
  </si>
  <si>
    <t>https://lesjardinsdenicole.re/</t>
  </si>
  <si>
    <t>Les 3 chambres doubles sont aménagées et décorées avec goût, une mezzanine juxtaposée aux chambres comprend 2 lits simples, un salon, 2 WC et 2 salles de bain.
Piscine et sauna à disposition.
La pièce à vivre vous accueillera également autour d’une grande table à manger faites de bois pour savourer un bon repas créole ou métro. Un menu vous sera proposé peu avant votre arrivée afin de satisfaire les envies de tout un chacun.</t>
  </si>
  <si>
    <t>Chaleureux hébergement situé sur une exploitation bercée entre mer et montagne.</t>
  </si>
  <si>
    <t>Depuis la 4 voies de Saint-Pierre, prendre la direction du Tampon après, se diriger vers la Plaine des Cafres. Ensuite, prendre la direction du 23ème et continuer jusqu'à la Mairie de la Plaine des Cafres. Vous continuez sur la ligne droite puis, vous prenez le chemin des Planteurs situé à votre droite. L'hébergement se situe en haut du chemin tout de suite à droite.</t>
  </si>
  <si>
    <t>barbecue , fer et planche à repasser , parking public , piscine , jacuzzi , vue montagne , sur réservation , grand espace , lave linge collectif , linge de maison , parking , TV satellite , salon , chauffage , jardin , TV , espace de restauration , restauration , wifi gratuit , micro-ondes , salle de réunion - séminaire , sanitaires communs , linge de toilette , douche , four , aire de jeux pour enfant , terrasse , salon de jardin , cuisine , Cuisine de produits frais locaux , Petit déjeuner à toutes heures , espace de restauration en extérieur , accès internet , serviettes. , végétariens bienvenus , petit déjeuner créole ou classique , salle de bain , cour clôturée , repas originaux et traditionnels , Cafetière , frigo , salle de bain commune , petit déjeuner continental , cuisine équipée , parking sécurisé , piscine chauffée , samoussas , nems et autre fritures péi , sauna , salle à manger , sèche-cheveux , repas traditionnels , netflix , Massages bien être</t>
  </si>
  <si>
    <t>sentier de grande randonnée,commerce alimentaire,équitation,parking public,site - lieu culturel,point de vue panoramique,forêt,sites touristiques,arrêt bus,poste - boite aux lettres,jardin,transports en commun,commerces,sites - lieux culturels,station essence,station service,pharmacie,boulangerie,pâtisserie,maraicher,banque - guichet automatique,VTT,piscine,restaurants,Restauration,Maison du Volcan,sentiers VTT,Sentier de randonnée,ferme équestre,centre médical,quad,hébergements,route du volcan,Point chaud,stade de foot,commerce de proximité…,épicerie,médecin,tabac presse,coiffeur,Terrain de jeux pour enfants,aire de jeux,Toutes commodités,snack,village du 23ème,village du grand bassin,Cabaret Pat'Jaune,parc notre dame de la paix,Point de vue du Belvédère de Bois court,burger…,"tunnel de lave ""tunnel bleu du tampon""",forêt tamarhauts</t>
  </si>
  <si>
    <t>3114f9ef</t>
  </si>
  <si>
    <t>c64e4c64</t>
  </si>
  <si>
    <t>galerie_Images/56e48c1e.Path.111446.jpg</t>
  </si>
  <si>
    <t>CSC560HTK</t>
  </si>
  <si>
    <t>Balançoire et trampoline mis à la disposition des enfants.
Vous avez également la possibilité de faire votre séance de sport aux JARDINS DE NICOLE ! Pour seulement 30€, dépensez-vous et détendez-vous avec l'offre de remise en forme adaptée à chaque niveau.
 Vous aurez accès à :
- Une séance de sport au choix parmi le crosstraining ;
- La remise en forme ;
- La gym ou la préparation au trail ;
- Une heure d'accès à notre espace balnéo comprenant une piscine, un jacuzzi et un sauna.
A partir de deux personnes
Vous pouvez même venir en groupe (12 personnes maximum) ! Les horaires des cours sont les suivants : 6h30, 10h00 et 12h00.
Table d'hôtes le soir 40 euros par personne : apéritif, entrée, deux plats, dessert et boissons -&gt; l'hôte s'adapte aux demandes des clients pour l'élaboration du menu</t>
  </si>
  <si>
    <t>78372796</t>
  </si>
  <si>
    <t>Chez Frida</t>
  </si>
  <si>
    <t>27</t>
  </si>
  <si>
    <t>Impasse des Manguiers</t>
  </si>
  <si>
    <t>-21.250003, 55.473820</t>
  </si>
  <si>
    <t>jldussart@yahoo.fr</t>
  </si>
  <si>
    <t>0693 46 78 52</t>
  </si>
  <si>
    <t>Belle chambre neuve au calme avec salle de bain, WC et coin cuisine. 
Entrée indépendante.
Possibilité de mettre un matelas pour une 3ième personne.
65€/nuit/pers 
+10€ pour une personne en plus (75€ pour 2 et 85€ pour 3) et 20% de remise à partir de 3 nuitées</t>
  </si>
  <si>
    <t>Chez Frida : studio à l'Entre-Deux</t>
  </si>
  <si>
    <t>Après avoir passé l'Eglise de l'Entre-Deux, prendre l'impasse des manguiers sur la gauche.</t>
  </si>
  <si>
    <t>wifi , frigo , micro-ondes , kitchenette équipée , terrasse , linge de maison , linge de toilette , douche</t>
  </si>
  <si>
    <t>sentier de randonnée,site - lieu culturel,point de vue panoramique,sites touristiques,arrêt bus,transports en commun,station essence,Centre - Ville,pharmacie,piscine,restaurants</t>
  </si>
  <si>
    <t>c31f54f1</t>
  </si>
  <si>
    <t>6ef6d2a6</t>
  </si>
  <si>
    <t>galerie::galerie_Images/eb5392dc.Path.101737.jpg</t>
  </si>
  <si>
    <t>CSC566HTQ</t>
  </si>
  <si>
    <t xml:space="preserve"> Rue Surcouf</t>
  </si>
  <si>
    <t>-21.260822, 55.508438</t>
  </si>
  <si>
    <t>0262 38 36 65</t>
  </si>
  <si>
    <t>0692422777</t>
  </si>
  <si>
    <t>Grande maison, moderne, décorée avec goût, dans un espace végétalisé. Quartier très calme, en plein centre ville de Trois Mares !</t>
  </si>
  <si>
    <t>Maison au calme dans un jardin arboré toute équipée et proche de toutes commodités</t>
  </si>
  <si>
    <t>Route principale (RD3?), direction Trois Mares, Lycée Pierre Lagourgue....</t>
  </si>
  <si>
    <t>climatisation , chauffage , jardin , salle de bain privée , TV , ventilateur , linge de maison , wifi gratuit , lave vaisselle , micro-ondes , sanitaires privés , douche , four , salon de jardin , cuisine , jardin arboré , accès internet , serviettes. , terrasse , lave-linge , cuisine équipée , jardin clôturé , cours clôturée</t>
  </si>
  <si>
    <t>commerce alimentaire,parking public,point de vue panoramique,site - lieu culturel</t>
  </si>
  <si>
    <t>CaGe2777BE</t>
  </si>
  <si>
    <t>d48e7a56</t>
  </si>
  <si>
    <t>https://ryycrdhlkmzpxwwwwupy.supabase.co/storage/v1/object/public/old_media/54f12974.Path.051027.jpg</t>
  </si>
  <si>
    <t>Information du 23/06/2023 : Madame Vivianne Esparon de Brive gère actuellement cet hébergement car Madame Geneviève Cauchemez est hors département.
Madame Cauchemez habite là, mais parfois sa maison est complètement louée, du coup elle va louer qqc ailleurs ou hors département, c'est une baroudeuse de 68 ans, très gentille
Réduction de 50 euros pour les handicapés et les retraités.</t>
  </si>
  <si>
    <t>-21.260815, 55.508452</t>
  </si>
  <si>
    <t>6bddc074</t>
  </si>
  <si>
    <t>galerie::galerie_Images/7ed92638.Path.104856.jpg</t>
  </si>
  <si>
    <t>Information du 23/06/2023 : Madame Vivianne Esparon de Brive gère actuellement cet hébergement car Madame Geneviève CAUCHEMEZ est hors département.</t>
  </si>
  <si>
    <t>Ô PAS DES SABLES</t>
  </si>
  <si>
    <t>250 C</t>
  </si>
  <si>
    <t>rue Maurice KRAFT</t>
  </si>
  <si>
    <t>-21.198299, 55.578030</t>
  </si>
  <si>
    <t>0692310705</t>
  </si>
  <si>
    <t>Ô pas des Sables propose :
- 1 cuisine aménagée
- coin salon
- 2 chambres indépendantes 
- 1 salle de bain
- toilettes
3 nuits minimum sauf week-end 2</t>
  </si>
  <si>
    <t>Une maison qui vous offre un moment de confort</t>
  </si>
  <si>
    <t>fer à repasser , sèche-cheveux , parking , TV , wifi , chauffage , linge de maison , salle à manger , cuisine équipée</t>
  </si>
  <si>
    <t>Volcan le piton de la fournaise,cité du volcan,sentier de randonnée</t>
  </si>
  <si>
    <t>LeGu0705qw</t>
  </si>
  <si>
    <t>19393a90</t>
  </si>
  <si>
    <t>galerie::galerie_Files_/2dc1b9aa.Path.122635.webp</t>
  </si>
  <si>
    <t>VILLA BAIES ROSES</t>
  </si>
  <si>
    <t>231</t>
  </si>
  <si>
    <t>Chemin Farjeau</t>
  </si>
  <si>
    <t>-21.248887, 55.514873</t>
  </si>
  <si>
    <t>migougous@hotmail.com</t>
  </si>
  <si>
    <t>0693135614</t>
  </si>
  <si>
    <t>https://www.sejour-de-reve.com/fr/villa-baies-roses---piscine-chauffee-ile-reunion</t>
  </si>
  <si>
    <t>La Villa BAIES-ROSES est une grande maison récemment refaite à neuf sur 2 niveaux, dotée de 5 grandes chambres et un salon avec canapé convertible à l'étage, pouvant accueillir 11 personnes. 
A proximité, un espace cuisine extérieur/barbecue, le tout avec un accès directe à la pièce de vie et la cuisine ouverte. Vous aurez à disposition 2 salles d'eau avec chacune un WC.
L'entrée se fait par un portillon donnant sur l'espace piscine devant la maison. Au rez de chaussée, vous aurez la pièce à vivre, cuisine et les 2 salles d'eau. Une baie vitrée ouvre directement sur l'espace piscine.
Maison mitoyenne non-communicante, le logement est entièrement privatif et clôturé, avec portail électrique. Vous aurez à disposition : Un garage pouvant accueillir jusqu'à trois voitures, le logement de 140m2 sur 2 niveaux, et l'espace piscine entièrement clôturé.
Merci de ne pas ramener de matériel audio, la maison en est déjà équipée. Une caution vous sera demandée, ainsi que la signature d'un contrat de location entre les propriétaires et vous.</t>
  </si>
  <si>
    <t>Vous apprécierez passer des moments conviviaux en famille ou entre amis autour de la belle piscine chauffée à 32° de la VILLA BAIES ROSES.</t>
  </si>
  <si>
    <t>terrasse , chauffage , cuisine équipée , lave linge privatif , lave vaisselle , micro-ondes , Cafetière , linge de maison , linge de toilette , fer et planche à repasser , parking , parking sécurisé , wifi gratuit , piscine , TV</t>
  </si>
  <si>
    <t>2afebcab,031b98c3</t>
  </si>
  <si>
    <t>fac15efc</t>
  </si>
  <si>
    <t>galerie::galerie_Images/6d399e48.Path.105153.png</t>
  </si>
  <si>
    <t>CSC527HT@</t>
  </si>
  <si>
    <t>Attention : hébergement géré par la conciergerie "Séjour de Rêve". Pour toute réservation, merci de contacter directement la conciergerie.
Pour le plus grand respect du voisinage, les fêtes et événements bruyants ne sont pas autorisés.</t>
  </si>
  <si>
    <t>Souvenirs ; salle d'exposition</t>
  </si>
  <si>
    <t>-21.262598, 55.505653</t>
  </si>
  <si>
    <t>0262 59 91 74</t>
  </si>
  <si>
    <t>0692693126</t>
  </si>
  <si>
    <t>DoDa3126Sa</t>
  </si>
  <si>
    <t>c7787714</t>
  </si>
  <si>
    <t>galerie::galerie_Images/76d7697f.Path.095126.jpg</t>
  </si>
  <si>
    <t>-21.320003, 55.800055</t>
  </si>
  <si>
    <t xml:space="preserve">Jeanrene480@gmail.com </t>
  </si>
  <si>
    <t>0692 15 38 18</t>
  </si>
  <si>
    <t>0692066725</t>
  </si>
  <si>
    <t>Spécialités : chou de vacoa, palmiste et poisson. Dessert fait maison et jus de fruits frais. Les repas sont en formule buffet. Vue sur la coulée de 1986 et sur la mer. 
Ouvert de 11h30 à 16h00. Fermé le lundi et le vendredi .</t>
  </si>
  <si>
    <t>tunnels de lave,route des laves</t>
  </si>
  <si>
    <t>PaJe6725Qn</t>
  </si>
  <si>
    <t>e1aef538</t>
  </si>
  <si>
    <t>galerie::galerie_Images/c76bb1b2.Path.074342.jpg</t>
  </si>
  <si>
    <t>Natur'aissance</t>
  </si>
  <si>
    <t>lotissement Mag</t>
  </si>
  <si>
    <t>-21.349593, 55.605000</t>
  </si>
  <si>
    <t>virginie.tartas@protonmail.com</t>
  </si>
  <si>
    <t>0692 93 13 41</t>
  </si>
  <si>
    <t>https://naturaissance.re/</t>
  </si>
  <si>
    <t>Voici les massages proposés :
 * Les massages du monde aux huiles essentielles, du plus relaxant au plus tonique avec une spécificité pour les sportifs ou les personnes aimant les massages en profondeur.
 * Les massages et/ou soins ciblés sur une zone spécifique : réflexologie plantaire, massage Détox abdominal.
* Le massage duo : en couple ou entre amis, profitez ensemble du même créneau pour vous faire masser.
Fasciathérapie  et myofascialogie 60€ (1h15 voire 2h)
(Kinésiologie craniosacré)</t>
  </si>
  <si>
    <t>Au cœur du Sud Sauvage, venez profiter d'une bulle de bien-être avec NATUR'AISSANCE. Il y en a pour tous les goûts.</t>
  </si>
  <si>
    <t>Sur place chez elle 27 lotissement mag
Se déplace à domicile</t>
  </si>
  <si>
    <t>Massages bien être , espace spa - bien être , matériel pour l'activité</t>
  </si>
  <si>
    <t>sentier de randonnée,équitation,sentier de grande randonnée</t>
  </si>
  <si>
    <t>e7de9a3e</t>
  </si>
  <si>
    <t>55ae3324</t>
  </si>
  <si>
    <t>galerie::galerie_Images/204078fa.Path.072412.jpg</t>
  </si>
  <si>
    <t>Pour plus de précisions concernant les tarifs, merci d'appeler Madame Virginie TARTAS.
Les prestations de massages peuvent se faire à domicile, uniquement sur réservation.</t>
  </si>
  <si>
    <t xml:space="preserve">Le Ti Comptoir </t>
  </si>
  <si>
    <t>rue Lecomte De Lisle</t>
  </si>
  <si>
    <t>-21.376376, 55.616645</t>
  </si>
  <si>
    <t>0262 87 07 21</t>
  </si>
  <si>
    <t>0692668534</t>
  </si>
  <si>
    <t>Décoration artisanale et locale en bois, palette, métal, coco et vacoa.
LES HORAIRES D'OUVERTURE :
Le restaurant est ouvert le mardi et du jeudi au vendredi de 11h45 à 14h et de 18h45 à 22h. 
Fermé le mercredi midi et le samedi midi.</t>
  </si>
  <si>
    <t>Situé à Saint-Joseph, Le Ti Comptoir est un restaurant bistronomique. Le restaurant propose une cuisine métropolitaine composée avec des produits locaux.</t>
  </si>
  <si>
    <t>CaFa8534th</t>
  </si>
  <si>
    <t>f130bc29</t>
  </si>
  <si>
    <t>galerie::galerie_Images/9362cd48.Path.101031.jpg</t>
  </si>
  <si>
    <t>Le Ti Comptoir est fermé le mercredi midi et le samedi midi.</t>
  </si>
  <si>
    <t>Location Vert Eden</t>
  </si>
  <si>
    <t>87K</t>
  </si>
  <si>
    <t>Chemin Notre-Dame-de-la-Paix</t>
  </si>
  <si>
    <t>-21.231336, 55.577086</t>
  </si>
  <si>
    <t>0692165402</t>
  </si>
  <si>
    <t>Une chambre double avec lit parapluie pour bébé. Un canapé lit et un matelas pour 4 personnes en mezzanine 
Chauffage électrique,  Wifi et Netflix. Les serviettes et le linge de lit sont fournis.</t>
  </si>
  <si>
    <t>Un meublé accueillant 6 personnes. Le logement est neuf, confortable et zen.</t>
  </si>
  <si>
    <t>barbecue , fer et planche à repasser , chauffage , lave linge privatif , TV , wifi gratuit , micro-ondes , four , netflix</t>
  </si>
  <si>
    <t>MaMa5402f9</t>
  </si>
  <si>
    <t>39be87f4</t>
  </si>
  <si>
    <t>galerie::galerie_Images/efa925a2.Path.111518.jpg</t>
  </si>
  <si>
    <t>L'Etoile du Sud</t>
  </si>
  <si>
    <t>Gîte &amp; Villa ; Appartement</t>
  </si>
  <si>
    <t>109</t>
  </si>
  <si>
    <t>rue des Jacques - appartement 1</t>
  </si>
  <si>
    <t>-21.375053, 55.630890</t>
  </si>
  <si>
    <t>chanchitsang@wanadoo.fr</t>
  </si>
  <si>
    <t>0693824076</t>
  </si>
  <si>
    <t>Dès l’entrée, vous trouverez un large salon où vous pourrez vous détendre devant la télévision ou passer des moments conviviaux autour d’un jeu de société.
Au niveau de la cuisine, vous aurez tout le nécessaire pour vous faire un bon rougail saucisse et pour le déguster après une longue journée à découvrir le sud.
Pour dormir, nous vous proposons 2 belles chambres équipées de couchages de qualité.
Un canapé convertible se trouve également dans le salon.
Ces chambres offrent chacune une vue sur le jardin péï, jardin qui sera accessible.
Enfin, un extérieur comprenant une terrasse en bois et une piscine vous sera dédié pour commencer ou terminer votre journée en beauté.
Accès des voyageurs
Parking
Jardin
Terrasse et piscine</t>
  </si>
  <si>
    <t>Nous vous accueillons dans ce bel appartement avec piscine, rénové et fonctionnel, dans le quartier des Jacques à deux minutes de la ville et des différents sites touristiques : Langevin, Manapany, Grand coude, Grand Anse...
Bonus une supérette en face du logement et des installations sportives (Piste d'athlétisme, barres de traction) non loin de l'appartement.
Nous attends à zot !
À bientôt !</t>
  </si>
  <si>
    <t>parking , jardin , salon de jardin , balcon , Cafetière , frigo , cuisine équipée , wifi , climatisation , jeux , TV , lave linge privatif , linge de maison , linge de toilette , piscine</t>
  </si>
  <si>
    <t>maraicher,commerce alimentaire,arrêt bus</t>
  </si>
  <si>
    <t>39c3ac06</t>
  </si>
  <si>
    <t>7eb6914f</t>
  </si>
  <si>
    <t>galerie::galerie_Images/dfd787f6.Path.070435.jpg</t>
  </si>
  <si>
    <t>CSC570HTL</t>
  </si>
  <si>
    <t xml:space="preserve">Le QG </t>
  </si>
  <si>
    <t xml:space="preserve"> Rue Alfred Picard</t>
  </si>
  <si>
    <t>-21.204806, 55.578686</t>
  </si>
  <si>
    <t>0692317372</t>
  </si>
  <si>
    <t>Il propose une cuisine créole au feu de bois et des sandwichs variés, pizzas au feu de bois, bouchons faits maison, petit déjeuner, ainsi que des plats africains, etc. Menu sur place ou à emporter. Grand choix de rhums arrangés. 
Ouvert tous les jours de 12h à 15h30 et de 18h30 à 21h30. Tous les vendredis Soirée Karaoké de 19h à minuit.
Salle de séminaire d'une capacité de 20 personnes.
Accès pour personnes à mobilité réduite.</t>
  </si>
  <si>
    <t>cave à vin</t>
  </si>
  <si>
    <t>sentier de randonnée,station essence,Musée,Maison du Volcan,route pour aller au volcan,commerce de proximité…,village du 23ème</t>
  </si>
  <si>
    <t>FeDa7372MW</t>
  </si>
  <si>
    <t>455202f1</t>
  </si>
  <si>
    <t>galerie::galerie_Images/7e2af9c6.Path.095238.jpg</t>
  </si>
  <si>
    <t>FERMER TOUT LES ANS APRÈS LA FÊTE DES PÈRES PENDANT  3 SEMAINES</t>
  </si>
  <si>
    <t xml:space="preserve"> Chemin Farjeau</t>
  </si>
  <si>
    <t>-21.253543, 55.509474</t>
  </si>
  <si>
    <t>0262278875</t>
  </si>
  <si>
    <t>0692207926</t>
  </si>
  <si>
    <t>L'appartement est d'une capacité de 2 personnes entièrement équipés. Situé dans une grande maison composée d'autres studios en location à l'année.
Possibilité de venir avec son animal de compagnie (à voir selon la taille de l'animal)</t>
  </si>
  <si>
    <t>Situé dans le quartier de Trois-Mares, à proximité du centre-ville, Arc En Ciel propose 1 studio</t>
  </si>
  <si>
    <t>Au niveau du lycée de Trois Mares (Pierre Lagourgue), prendre la direction du chemin Mazeau, l'hébergement se trouve au numéro 124</t>
  </si>
  <si>
    <t>fer et planche à repasser , linge de maison , parking , micro-ondes , linge de toilette , douche , four , Cafetière , frigo , kitchenette équipée</t>
  </si>
  <si>
    <t>commerce alimentaire,arrêt bus,poste - boite aux lettres,transports en commun,station service,pharmacie,boulangerie,banque - guichet automatique,Point chaud,stade de foot,commerce de proximité…,médecin,tabac presse,coiffeur</t>
  </si>
  <si>
    <t>TeMa7926eD</t>
  </si>
  <si>
    <t>8013c419</t>
  </si>
  <si>
    <t>galerie::galerie_Images/36b343a1.Path.122557.jpg</t>
  </si>
  <si>
    <t>233</t>
  </si>
  <si>
    <t>chemin Rose PAYET</t>
  </si>
  <si>
    <t>-21.266277, 55.506391</t>
  </si>
  <si>
    <t xml:space="preserve">pothinfab@gmail.com </t>
  </si>
  <si>
    <t>0692989263</t>
  </si>
  <si>
    <t>Créations d'objets personnalisés à partir de feuilles de palmiers. Fabien POTHIN utilise le zampone pour réaliser ses créations qui peuvent être sur mesure.</t>
  </si>
  <si>
    <t>Fabien POTHIN réalise des arbres de vie personnalisés sur commande. Son entreprise plus connue sous le nom de ZAMPONE POTHIN propose des découpes personnalisées dans la feuille de palmiers. ZAMPONE propose également des ateliers créatifs pour : les écoles, les centres hospitaliers, les associations...</t>
  </si>
  <si>
    <t>PoFa9263Um</t>
  </si>
  <si>
    <t>155f30d6</t>
  </si>
  <si>
    <t>galerie::galerie_Images/b687c859.Path.103508.jpg</t>
  </si>
  <si>
    <t>PAYAZ &amp; MAYAZ</t>
  </si>
  <si>
    <t>81</t>
  </si>
  <si>
    <t>rue Jean Defos du Rau</t>
  </si>
  <si>
    <t>-21.233793, 55.567011</t>
  </si>
  <si>
    <t>gilles.toplan19@gmail.com</t>
  </si>
  <si>
    <t>0693833820</t>
  </si>
  <si>
    <t>Propose des ateliers d'initiation et démonstration de paillage de chaises avec des matériaux traditionnels et modernes : vacoa, jonc, ficelle ou trapilo (tissus recyclé). 
Atelier 6 personnes max sur réservation chez lui vendredi et samedi (pour initiation Ou réparation). S'adapte à la demande. Présent sur  les événements.
Peut réparer les chaises tabourets sur demande.</t>
  </si>
  <si>
    <t>Paillage de chaises traditionel avec de la</t>
  </si>
  <si>
    <t>f2552f83</t>
  </si>
  <si>
    <t>f4feb0ea</t>
  </si>
  <si>
    <t>galerie::galerie_Images/48588ea0.Path.070917.jpg</t>
  </si>
  <si>
    <t>VILLA EXOTIKA</t>
  </si>
  <si>
    <t>192A</t>
  </si>
  <si>
    <t>CD26</t>
  </si>
  <si>
    <t>-21.274961, 55.462944</t>
  </si>
  <si>
    <t>christian.lauret@orange.fr</t>
  </si>
  <si>
    <t>0693 00 45 86</t>
  </si>
  <si>
    <t>https://www.keylodge.fr/location/villa-entre-deux-villa-exotika-piscine-privee-68-m-entre-deux-410365.html</t>
  </si>
  <si>
    <t>• Piscine privée avec bains de soleil
• Belle terrasse avec coin repas extérieur, hamac et cuisine extérieure
• Magnifique décoration cosy et moderne.
• Draps, serviettes, savons, shampoing offert !
• Villa entièrement équipée (Smart TV, Wifi, cafetière, vaisselle, ...)
• Ménage inclus
LE LOGEMENT :
✅ Une cuisine américaine avec intégralement agencée et pensée pour votre séjour, avec toute la vaisselle et ustensiles de cuisine, bouilloire, cafetière, four, micro-ondes, cuiseur à riz, grille-pain, lave-vaisselle ainsi qu’un réfrigérateur et congélateur.
✅ Un petit séjour équipé d'une Smart TV avec accès aux chaînes satellites de la Réunion.
✅ Deux chambres climatisées équipées d’une literie de qualité et d’espace de rangements. Un canapé convertible est également disponible dans la mezzanine avec un ventilateur.
✅ Une salle de bain moderne avec douche à l’italienne.
✅ Une belle terrasse avec mobiliers d’extérieurs, hamac et un espace repas pour 6 personnes qui donne sur la piscine privée. Vous pourrez utiliser le barbecue qui est situé dans la cuisine extérieure pour vos soirées grillades.
✅ La villa est équipée d’une connexion internet.
*Les fêtes ne sont pas autorisées
**Logement non adapté aux personnes à mobilité réduite
ACCES DES VOYAGEURS :
🚀 Vous recevrez un guide d'arrivée complet pour vous fournir l'ensemble des instructions et indications pour accéder à l'hébergement.
Vous pourrez accéder en toute facilité et en toute autonomie à ce dernier grâce à un système d'accès spécifique : une boite à clé intelligente. On vous envoie le code et hop, les clés sont à vous !
⌛Pas besoin de rdv, pas besoin d'attendre quelqu'un pour récupérer vos clés !
C'est vous qui décidez à quel moment et sans attendre !
A proximité :
• À 13 minutes du sentier de randonnée Dassy
• À 16 minutes du centre-ville de Saint-Pierre
• À 18 minutes de la Plage de Saint-Pierre
• À 1h10 de l’aéroport de La Réunion Roland-Garros
• Proche des commodités (restaurants, supermarchés)
SERVICES KEYLODGE
🛎 L’équipe Keylodge est à votre service pour vous faire passer un séjour optimal ! Nous attachons une grande importance à votre bien être et au bon déroulé de votre séjour.
Que ce soit pour votre hébergement, pour votre séjour ou pour l'ensemble de vos besoins, nos hôtes sont à votre écoute pour que vous passiez un excellent séjour !
Services annexes :
🎒 Excursions
🚖 Location de véhicules
🚕 Transferts aéroport
🍴 Restaurants
💟 Bons Plans
🎁 Demandes particulières
Services optionnels à votre hébergement durant votre séjour:
💧 Service de ménage
🛌 Linge de maison
🐣 Lit Bébé et nécessaire puériculture</t>
  </si>
  <si>
    <t>Nous vous accueillons dans notre belle « Villa Exotica » de 68 m², située à l’Entre-Deux. Cette villa conçue pour 6 personnes est idéale pour profiter d’un séjour farniente en famille ou entre amis.</t>
  </si>
  <si>
    <t>barbecue , climatisation , piscine , linge de maison , TV satellite , ventilateur , jardin , lave vaisselle , micro-ondes , linge de toilette , douche , four , Cafetière , frigo , wifi , terrasse , cuisine équipée , salon de jardin , cuisine extérieure , bouilloire , grille-pain</t>
  </si>
  <si>
    <t>Carte Bancaire,airbnb,booking</t>
  </si>
  <si>
    <t>0be6e63b,6fb5614d</t>
  </si>
  <si>
    <t>9da011f2</t>
  </si>
  <si>
    <t>galerie::galerie_Images/acacbd83.Path.052240.jpg</t>
  </si>
  <si>
    <t>CSC575HTQ</t>
  </si>
  <si>
    <t>ATTENTION HEBERGEMENT EN GESTION CHEZ KEYLODGE (ne pas contacter le propriétaire mais l'agence pour toute demande)</t>
  </si>
  <si>
    <t>VILLA ANA&amp;DA</t>
  </si>
  <si>
    <t>impasse de l'EREBUS</t>
  </si>
  <si>
    <t>-21.229152, 55.577545</t>
  </si>
  <si>
    <t>fabrice.giron974@orange.fr</t>
  </si>
  <si>
    <t>0692804971</t>
  </si>
  <si>
    <t>Ce beau meublé de tourisme est composé de quatre chambres. Chaque chambre dispose d'une télévision.
La VILLA ANA&amp;DA se compose :
- Un grand salon (avec deux fauteuils, une cheminé et une télévision) ;
- Une cuisine intérieure toute équipée (four, micro-onde, couverts, assiettes, verres, marmites et ustensiles de cuisine, réfrigérateur) ;
- Deux salles de bains, deux WC ;
- Deux chambres doubles ;
- Un chambre avec deux lits doubles ;
- Une chambre avec un lit double et deux lits simples ;
- Deux salles à manger dont une est située à l'extérieur ;
- Un coin cuisine extérieur
- Un spa de nage, un sauna et un billard.</t>
  </si>
  <si>
    <t>Envie de tranquillité ? Séjournez à La VILLA ANA&amp;DA située dans les Hauts du TAMPON. La VILLA ANA&amp;DA est l'endroit idéal pour passer de beaux moments chaleureux en famille ou entre amis.</t>
  </si>
  <si>
    <t>barbecue , fer et planche à repasser , jacuzzi , vue montagne , sur réservation , grand espace , parking , salon , TV , espace de restauration , wifi gratuit , micro-ondes , linge de toilette , four , Cafetière , frigo , cuisine équipée , salle à manger , salle de bain , cours clôturée , lave-linge , sèche-cheveux , baignoire , sauna , SPA</t>
  </si>
  <si>
    <t>sentier de randonnée,commerce alimentaire,point de vue panoramique,sites touristiques,arrêt bus,transports en commun,station service,ferme équestre,Point de vue du Belvédère de Bois court,route pour aller au volcan</t>
  </si>
  <si>
    <t>cf5b53df</t>
  </si>
  <si>
    <t>4c9853ba</t>
  </si>
  <si>
    <t>galerie::galerie_Images/0896e4e8.Path.093040.jpg</t>
  </si>
  <si>
    <t>CSC576HTR</t>
  </si>
  <si>
    <t>Possibilité d'écouter de la musique et de faire la fête. Pour cela, Monsieur GIRON met à disposition une enceinte Bluetooth.</t>
  </si>
  <si>
    <t>-21.210241, 55.590550</t>
  </si>
  <si>
    <t>https://www.velhautsrun.com/</t>
  </si>
  <si>
    <t>Situé au Tampon, le VEL'HAUTS RUN propose un bar, un jardin et une terrasse. Cet hébergement climatisé se trouve à 40 km de Saint-Denis. Vous bénéficierez gratuitement d'une connexion Wi-Fi et d'un parking privé sur place.
Cette maison de vacances comprend 3 chambres, une télévision par câble à écran plat, un lave-linge et une salle de bains pourvue d'une baignoire. Sa cuisine est équipée d'un micro-ondes et d'un réfrigérateur.
Ses hôtes vous proposent de découvrir et de vivre le mode de vie des hauts.</t>
  </si>
  <si>
    <t>Au pied du Volcan, charmante maison et son jardin joliment arboré</t>
  </si>
  <si>
    <t>Au niveau du rond point prendre la sortie Route du Volcan, continuer sur quelques mètres, l'hébergement se trouve sur la droite au numéro 112F</t>
  </si>
  <si>
    <t>salon , salon de jardin , terrasse , jardin arboré , climatisation , lave linge privatif , TV , vue montagne , wifi gratuit , linge de toilette , Cafetière , salle de bain , salle à manger , four , frigo , cuisine équipée , plaque de cuisson , chauffage , douche , vue mer , linge de maison , micro-ondes , sèche-cheveux</t>
  </si>
  <si>
    <t>sentier de randonnée,point de vue panoramique,forêt,restaurants,sentiers VTT</t>
  </si>
  <si>
    <t>Chèque,Espèces,Carte Bancaire,booking,airbnb,Le bon coin</t>
  </si>
  <si>
    <t>8f6bf501</t>
  </si>
  <si>
    <t>galerie::galerie_Images/764a0e8a.Path.092234.jpg</t>
  </si>
  <si>
    <t>CSC562HTM</t>
  </si>
  <si>
    <t>Route Nat 3</t>
  </si>
  <si>
    <t>Pk 19</t>
  </si>
  <si>
    <t>0262902400</t>
  </si>
  <si>
    <t>0692652940</t>
  </si>
  <si>
    <t>DiNa2940rO</t>
  </si>
  <si>
    <t>576bf98f</t>
  </si>
  <si>
    <t>Ô 422</t>
  </si>
  <si>
    <t>422</t>
  </si>
  <si>
    <t>-21.235616, 55.480788</t>
  </si>
  <si>
    <t>patrick.jeanpierre@wanadoo.fr</t>
  </si>
  <si>
    <t>0692 26 80 16</t>
  </si>
  <si>
    <t>https://www.o422-e2.com/</t>
  </si>
  <si>
    <t>Cette propriété a appartenu à mes Grands Parents, mon Père y a grandi et mes parents l’ont habitée durant une dizaine d’année jusqu’en 2005. C’est une fierté pour mon épouse et moi-même, de la faire revivre avec quelques
aménagements qui, nous l’espérons, vont vous plaire. Nous vous souhaitons un excellent séjour chez nous et profitez
bien de tous les sentiers aux alentours, qui pour la plupart, vous mèneront au Dimitile.</t>
  </si>
  <si>
    <t>Ô 422 - Vos vacances entre deux rivières</t>
  </si>
  <si>
    <t>En arrivant en ville, prenez la direction Ravine des Citrons et vous serez directement dans la rue Jean Lauret. Et vous montez jusqu’à trouver le numéro 422 sur votre droite.</t>
  </si>
  <si>
    <t>terrasse , barbecue , climatisation , jacuzzi , lave linge privatif , salle de bain privée , TV , vue montagne , vue mer , linge de maison , salon , micro-ondes , linge de toilette , douche , Cafetière , frigo , wifi , bibliothéque , cuisine équipée , salle à manger , salon de jardin , serviettes. , cour clôturée , jardin clôturé , garage</t>
  </si>
  <si>
    <t>sentier de randonnée,riviere,parking public,site - lieu culturel,point de vue panoramique,commerce alimentaire,arrêt bus,poste - boite aux lettres,transports en commun</t>
  </si>
  <si>
    <t>Virement,Espèces,airbnb,reunion.fr</t>
  </si>
  <si>
    <t>7b8f35ec</t>
  </si>
  <si>
    <t>338b65da</t>
  </si>
  <si>
    <t>galerie::galerie_Files_/cccc7766.Path.094436.webp</t>
  </si>
  <si>
    <t>CSC567HTR</t>
  </si>
  <si>
    <t>Grille des tarifs disponibles dans les photos ou en PJ "livret d'accueil" ou sur son site internet
Prestataire engagé DD : tri des déchets et compostage, panneaux photovoltaïques</t>
  </si>
  <si>
    <t>10 C</t>
  </si>
  <si>
    <t xml:space="preserve"> Chemin Trou de Terre</t>
  </si>
  <si>
    <t>-21.233639, 55.484500</t>
  </si>
  <si>
    <t>0692014407</t>
  </si>
  <si>
    <t>Le bungalow de 16 m² dispose d'une terrasse couverte avec vue panoramique 360° sur mer, montagne et sur la ville de Saint-Louis, d'une cuisine extérieure équipée, d'une salle de douche à l'italienne et toilette, un emplacement parking et un jardin privé.</t>
  </si>
  <si>
    <t>Arrivée à l'Entre-Deux, prendre la direction "Ravine des Citrons". A environ 10 minutes du village tourner dans le chemin "Trou de Terre" à gauche (direction la grande jument) puis tourner à droite à la première intersection. Aller au bout du chemin.</t>
  </si>
  <si>
    <t>ChCa4407Uk</t>
  </si>
  <si>
    <t>b4bbe16c</t>
  </si>
  <si>
    <t>galerie::galerie_Images/e3699285.Path.063053.jpg</t>
  </si>
  <si>
    <t>CSC352HT@</t>
  </si>
  <si>
    <t>maison en vente</t>
  </si>
  <si>
    <t>Chez Elibabeth</t>
  </si>
  <si>
    <t>22 TER</t>
  </si>
  <si>
    <t>rue des Ageratums</t>
  </si>
  <si>
    <t>-21.254482, 55.535286</t>
  </si>
  <si>
    <t>location.bc974@gmail.com</t>
  </si>
  <si>
    <t>0692235698</t>
  </si>
  <si>
    <t>fer et planche à repasser , plaque de cuisson , frigo , barbecue , vue mer , linge de maison , salon , TV , wifi gratuit , lave vaisselle , lave linge privatif , micro-ondes , salle de bain privée , four , terrasse , linge de toilette , cuisine équipée , jardin clôturé , Cafetière</t>
  </si>
  <si>
    <t>épicerie,commerce alimentaire,arrêt bus</t>
  </si>
  <si>
    <t>f5257689</t>
  </si>
  <si>
    <t>f8acce68</t>
  </si>
  <si>
    <t>galerie::galerie_Images/ccd9eec9.Path.055854.jpg</t>
  </si>
  <si>
    <t>CSC537HTO</t>
  </si>
  <si>
    <t>Prix dégressif sur une grande durée de location (&gt;3semaines)</t>
  </si>
  <si>
    <t>Rue du Père Favron</t>
  </si>
  <si>
    <t>0692581245</t>
  </si>
  <si>
    <t>barbecue , chauffage , fer et planche à repasser , four , micro-ondes , TV</t>
  </si>
  <si>
    <t>ReVi1245Il</t>
  </si>
  <si>
    <t>3c312159</t>
  </si>
  <si>
    <t>hebergement fermé 
courrier reçu le 15/03 &gt; reversement ok le 02/06</t>
  </si>
  <si>
    <t>72938470</t>
  </si>
  <si>
    <t>FLO ET LES P'TITS PAPIERS</t>
  </si>
  <si>
    <t>239 bis</t>
  </si>
  <si>
    <t>chemin Romain ROLLAND</t>
  </si>
  <si>
    <t>-21.248580, 55.515032</t>
  </si>
  <si>
    <t>florence.padre11@gmail.com</t>
  </si>
  <si>
    <t>0692 94 86 76</t>
  </si>
  <si>
    <t>Ses créations sont en accord avec le principe d'Up Cycling. En effet, la créatrice de bijoux travaille le papier publicitaire, crépon, l'origami et la résine. Des chutes de tissus sont également utilisés pour en faire des bijoux inspirés de la tradition créole : les fameuses rosaces lontan.</t>
  </si>
  <si>
    <t>Florence PADRE confectionne des bijoux essentiellement en papiers.</t>
  </si>
  <si>
    <t>50fbbeb7</t>
  </si>
  <si>
    <t>50c5e806</t>
  </si>
  <si>
    <t>galerie::galerie_Images/ba77c173.Path.104356.jpg</t>
  </si>
  <si>
    <t>Les prix des bijoux :
- Les boucles d'oreilles : entre 12€ et 29€ ;
- Les colliers: entre 24€ et 40€ ;
- Les bracelets: entre 13€ et 21€ ;
- Les accessoires : à moins de 12€.</t>
  </si>
  <si>
    <t>Villa Letchi (Saint-Joseph)</t>
  </si>
  <si>
    <t xml:space="preserve"> Impasse Montesquieu</t>
  </si>
  <si>
    <t>0692607963</t>
  </si>
  <si>
    <t>piscine chauffée , accès internet , barbecue , cuisine extérieur , cour clôturée , parking</t>
  </si>
  <si>
    <t>PaJe7963GR</t>
  </si>
  <si>
    <t>6d28f9cc</t>
  </si>
  <si>
    <t>93921678</t>
  </si>
  <si>
    <t>Les Cormorans</t>
  </si>
  <si>
    <t>12 B</t>
  </si>
  <si>
    <t>Allée des Cormorans</t>
  </si>
  <si>
    <t>-21.373770, 55.592678</t>
  </si>
  <si>
    <t>0692448215</t>
  </si>
  <si>
    <t>https://gitedescormorans.hotelc2.top/</t>
  </si>
  <si>
    <t>1 appartement à l'étage composé de 2 chambres doubles.
2 studio au rez-de-chaussée de la villa, composé d'une chambre double chacune 
L'ensemble des hébergements se trouve face à la piscine, entièrement équipé vous pouvez préparer vous-mêmes vos repas et petits déjeuners, salle de bain indépendante avec douche italienne, vasque et wc. Vous pouvez prendre vos repas à l'intérieur (logement climatisé en période été austral de novembre à avril ) ou sur votre terrasse privative. 
Logement non-fumeur (autorisé sur la terrasse)</t>
  </si>
  <si>
    <t>Situés au cœur de Manapany-les-Bains, Les Cormorans proposent 2 studios et un appartement pouvant accueillir de 2 à 4 personnes.</t>
  </si>
  <si>
    <t>En venant de l'Ouest, arrivée à Manapany-les-Bains, prendre la première à droite, et encore première à droite au bout de la rue tourner à gauche prendre l'allée pour accéder à la location
En venant de l'Est, suivre direction Saint-Pierre, après le rond point de Manapany prendre la première rue à gauche ensuite la première à droite au bout de la rue tourner à gauche prendre l'allée pour accéder à la location.</t>
  </si>
  <si>
    <t>fer et planche à repasser , parking , lave linge collectif , jardin , jardin arboré , jardin clôturé , piscine chauffée , climatisation , vue mer , ventilateur , salon , TV , micro-ondes , wifi , douche , terrasse , salle de bain , Cafetière , frigo , cuisine équipée</t>
  </si>
  <si>
    <t>sentier de randonnée,point de vue panoramique,sites touristiques,Bassin de Manapany,transports en commun,commerces,pharmacie</t>
  </si>
  <si>
    <t>11c0156c</t>
  </si>
  <si>
    <t>3d4478e1</t>
  </si>
  <si>
    <t>CSC553HTM</t>
  </si>
  <si>
    <t>Randonnée aquatique ; kayak de mer ; Big Paddle</t>
  </si>
  <si>
    <t>Chemin de Cap Blanc</t>
  </si>
  <si>
    <t>0692200903</t>
  </si>
  <si>
    <t>Langevin:
Equipé d’un gilet de sauvetage, d’une combinaison intégrale et d’un casque, vous vous laisserez guider en toute sécurité à la découverte de la rivière Langevin. Cette activité se situe entre le canyoning et la nage en eau vive : en alternant, marche dans le lit de la rivière, toboggans, nage dans des piscines naturelles et sauts de cascades (non obligatoire)… . Très ludique encadré par des brevet d’état eaux vives, la Rando aqua se pratique dans un contexte unique à La Réunion et toute l’année. La Rando aquatique de Langevin est fabuleuse opportunité de découvrir un site merveilleux en famille ou/et entre ami(e)s ayant des niveaux de pratique totalement hétérogènes. (à partir de 7 ans) 1h30 à 2h de descente avec immersion au cœur des cascades et visite de petites grottes, découvertes de plusieurs bassins présentant de nombreuses possibilités de sauts ou de toboggans, aucun franchissement n’est obligatoire.
Capacité d’accueil : 16 personnes
À partir de 7 ans
Départ 9h, 13h et 16h
RDV à la balance de la canne à sucre de Langevin près de la Boulangerie
Prévoir : Maillot de bains, serviette de bain et chaussures fermées.
Rivière des Roches:
Parcours expert, faites le plein de sensation avec cette randonnée aquatique de la Rivière des Roches se situant dans l'est de l'île de La Réunion (Saint-Benoît). Équipé d’un gilet de sauvetage, d’une combinaison intégrale et d’un casque, vous vous laisserez guider en toute sécurité à la découverte d'un site naturel hors du commun. Cette activité se situe entre le canyoning et la nage en eau vive : en alternant , marche dans le lit de la rivière, toboggans, nage dans des piscine naturelles et sauts de cascades …. Parcours sportif, encadré par des brevets d’états eaux vives, la Randonnée aquatique se pratique dans un contexte unique à La Réunion et toute l’année. La Randonnée aquatique de la Rivière des Roches vous offrira des sensations uniques et des souvenirs plein la tête. 2h à 2h30 de descente avec immersion au cœur de la Rivière des Roches. Créneau ouvert uniquement le dernier dimanche de chaque mois, avec bivouac autonome ou pas la veille. Nombre de personne minimum: 4
Capacité d’accueil : 16 personnes
À partir de 10 ans
Départ 8h et 13h 
RDV au parking de Bassin la Paix (Saint- Benoit) 
Prévoir : Maillot de bains, serviette de bain et chaussures fermées .
Kayak, big paddle et paddle
Lieux : Plage de Trou d’Eau (La Saline-les-Bains), Bassin Pirogue (Etang Salé-les-Bains), Lagon de Saint-Pierre
Différentes formules sont proposées : Balade couché de soleil (avec apéro offert) / Balade avec sensibilisation à la faune et flore sous-marine.
Découverte des lagons de l’île de La Réunion, son écosystème, ses coraux et ses poissons. Malgré la faible surface des récifs coralliens, la biodiversité marine de La Réunion est comparable aux autres îles du secteur, qui vaut à l'archipel des Mascareignes son inscription parmi les 10 principaux « hot spots » de biodiversité mondiale 19. Les récifs coralliens de La Réunion, aussi bien au niveau des platiers que des barrières, sont principalement dominés par des espèces de corail branchu à croissance rapide du genre Acropora (famille des Acroporidae), qui permettent d'héberger et de nourrir de très nombreuses espèces tropicales. Les recherches scientifiques récentes font état à La Réunion de plus de 190 espèces de coraux, plus de 1300 espèces de mollusques, plus de 500 espèces de crustacés plus de 130 espèces d'échinodermes et plus de 1000 espèces de poissons. 
Capacité d’accueil : 16 personnes
À partir de 7 ans
Départ selon marée
RDV en fonction du Lagon choisit
Prévoir : Maillot de bains, serviette de bain et chaussures fermées</t>
  </si>
  <si>
    <t>Découvrir l'île autrement avec Aquasens, de la rivière à la mer au rythme de chacun, des sorties en kayak de mer, big paddle et de la randonnée aquatique.</t>
  </si>
  <si>
    <t>sentier de randonnée,riviere,point de vue panoramique,pêche,sites touristiques,Bassin de Manapany</t>
  </si>
  <si>
    <t>OrCh0903yq</t>
  </si>
  <si>
    <t>a30e4d3f</t>
  </si>
  <si>
    <t>galerie::galerie_Images/1130b664.Path.041507.jpg</t>
  </si>
  <si>
    <t xml:space="preserve"> Chemin des Papillons</t>
  </si>
  <si>
    <t>-21.230543, 55.516541</t>
  </si>
  <si>
    <t>Sur une propriété agricole Muriel et David sauront vous faire passer un agréable moment dans l'authenticité de la vie des hauts ! Visite de l'exploitation possible
Nos chambres 
-Le CHALET KAYAMB
-LA ROULOTTE 
Nos Chambres sont pour deux personnes une literie 140x190 avec salle de bain privatif.  Nous ne pouvons pas recevoir
 de jeunes enfants dans nos chambres .
Les animaux sont INTERDITS.
Pour les arrivées se fait à 17H et le départ 1 0H.
Nos chambres respectent les règles et normes sanitaires.
NOS TARIFS CHAMBRES :
- Le chalet kayamb 70 euros la nuitée/2personnes petit -déjeuner compris.
- La roulotte 80 euros la nuitée/2personnes petit-déjeuner compris
Gîte Ty kaz kryst'L
Le Ty Kaz Kryst'L à une capacité de 6personnes située sur l'exploitation agricole proche de toutes commodité.
Vous pourrez profitez du calme des hauteurs du Tampon.
Tarifs : 350euros/semaine
 2 NUITÉE minimum : 120euros /nuitée
LES FÊTES SONT INTERDITS.
LES ANIMAUX NE SONT PAS ACCEPTÉS.</t>
  </si>
  <si>
    <t>Ressourcez vous dans un charmant meublé en bois en plein milieu de champs dans la fré du Tampon</t>
  </si>
  <si>
    <t>RN3, au rond pt du 17ème, prendre direction Pont d'Yves puis suivre les panneaux de signalisation</t>
  </si>
  <si>
    <t>sentier de randonnée,équitation,point de vue panoramique,forêt,sentiers de randonnée,ferme équestre,hébergements,épicerie</t>
  </si>
  <si>
    <t>c30ebdbe</t>
  </si>
  <si>
    <t>galerie::galerie_Images/c17ca092.Path.061934.png</t>
  </si>
  <si>
    <t>chemin vacoa</t>
  </si>
  <si>
    <t>-21.358607, 55.765367</t>
  </si>
  <si>
    <t>0262370312</t>
  </si>
  <si>
    <t>0692648989</t>
  </si>
  <si>
    <t>http://www.domaineduvacoa.fr/</t>
  </si>
  <si>
    <t>climatisation , piscine , vue mer , linge de maison , parking , jardin , TV , espace de restauration , salle de bain privée , sanitaires privés , wifi , linge de toilette , Lit parapluie sur demande</t>
  </si>
  <si>
    <t>BiYv8989yw</t>
  </si>
  <si>
    <t>fe36e264</t>
  </si>
  <si>
    <t>galerie::galerie_Images/16743f9c.Path.100221.jpg</t>
  </si>
  <si>
    <t>Propose des séminaires et team building (voir les pièces jointes)</t>
  </si>
  <si>
    <t>chemin Vacoa</t>
  </si>
  <si>
    <t>0262 37 03 12</t>
  </si>
  <si>
    <t>Située dans le Sud Sauvage, à Saint-Philippe, la table d'hôte "Au Domaine du Vacoa" propose une cuisine créole traditionnelle. Spécialités : plats à base de palmiste, de vacoa et de pinpin (beignets, samoussas, caris).
Possibilité de séjourner dans les chambres d'hôte au Domaine du Vacoa, à la même adresse. Accès aux personnes à mobilité réduite.
Uniquement sur réservation de préférence le midi. 
Le midi réservation à partir de 10 personnes (pour les personnes extérieures à la chambre d'hôtes). 
Le soir pour les résidents à partir de 4 personnes (ouvert aux clients extérieurs également selon le nombre de personnes)</t>
  </si>
  <si>
    <t>Table et chambre d'hôtes labellisée Gîtes de France.</t>
  </si>
  <si>
    <t>jardin , parking , wifi</t>
  </si>
  <si>
    <t>b715d734</t>
  </si>
  <si>
    <t>galerie::galerie_Images/2af9b852.Path.074656.jpg</t>
  </si>
  <si>
    <t>1 Etoile(s),2 Etoile(s)</t>
  </si>
  <si>
    <t>10 Bis et 10 C</t>
  </si>
  <si>
    <t xml:space="preserve"> Chemin Terre Rouge</t>
  </si>
  <si>
    <t>-21.377752, 55.663459</t>
  </si>
  <si>
    <t>0262373595</t>
  </si>
  <si>
    <t>0692867231</t>
  </si>
  <si>
    <t>http://sudbungalow.com/index.html#content15-p</t>
  </si>
  <si>
    <t>4 bungalows équipés (dont 2 classés 2 étoiles et 2 classés 1 étoile)
La capacité d'accueil pour les bungalows classés une étoile est de 2 personnes par bungalow et les 2 bungalows classés 2 étoiles peuvent chacun accueillir 4 personnes. Les hébergements sont climatisés,  équipés d'une kitchenette, chauffe-eau, meubles de rangement. 
A l'extérieur,  possibilité de faire des grillades dans le kiosque.
En plein cœur du Sud Sauvage, niché entre mer et montagne,  non loin des falaises du Cap Jaune, dans un cadre verdoyant et enchanteur.
A proximité: les hauteurs de Grand Coude, la rivière de Langevin, Manapany, Saint-Philippe, Sainte-Rose et les coulées de lave.</t>
  </si>
  <si>
    <t>Location touristique à Vincendo</t>
  </si>
  <si>
    <t>climatisation , piscine , parking , jardin , TV , lave linge privatif , micro-ondes , cuisine</t>
  </si>
  <si>
    <t>PaJe7231KG</t>
  </si>
  <si>
    <t>cfcbec2e</t>
  </si>
  <si>
    <t>galerie::galerie_Files_/eabf0a87.Path.093559.webp</t>
  </si>
  <si>
    <t>ensemble de 4 bungalows 
2 bungalows 2 étoiles
2 bungalows 1 étoile</t>
  </si>
  <si>
    <t>YREN</t>
  </si>
  <si>
    <t>impasse ELIEN</t>
  </si>
  <si>
    <t>-21.233212, 55.472061</t>
  </si>
  <si>
    <t>olivier.nery@gmail.com</t>
  </si>
  <si>
    <t>0692050711</t>
  </si>
  <si>
    <t>https://yren.art/author/nery974/</t>
  </si>
  <si>
    <t>Yren (Olivier NERY) est un artiste-auteur de l'Entre-Deux spécialisé en street art et en photographie.
Dans le cadre de son activité picturale, il peint sur différents supports et organise des expositions. 
Il produit des peintures sur mur, des lives painting, et propose des ateliers d'art tout public. 
En photographie, il travaille principalement autour du portrait, du paysage et de la photographie de rue. 
Enfin, il confectionne et commercialise des produits dérivés et des produits d'artisanat d'art, allant du tee shirt aux sacs customisés, en passant par les suspensions florales et l'édition de print.</t>
  </si>
  <si>
    <t>125e0c18</t>
  </si>
  <si>
    <t>c70f14a9</t>
  </si>
  <si>
    <t>galerie::galerie_Images/ad910c5a.Path.043800.jpg</t>
  </si>
  <si>
    <t xml:space="preserve">Le Jardin Créole </t>
  </si>
  <si>
    <t xml:space="preserve"> Rue Payet</t>
  </si>
  <si>
    <t>-21.247479, 55.468275</t>
  </si>
  <si>
    <t>0693812065</t>
  </si>
  <si>
    <t>MiJo2065ou</t>
  </si>
  <si>
    <t>726f79d9</t>
  </si>
  <si>
    <t>galerie::galerie_Images/9fd01f59.Path.054449.jpg</t>
  </si>
  <si>
    <t>Les Villas Mandarines</t>
  </si>
  <si>
    <t>Rue Grand Fond Extérieur</t>
  </si>
  <si>
    <t>Grand fond intérieur</t>
  </si>
  <si>
    <t>-21.234562, 55.465086</t>
  </si>
  <si>
    <t>0692 76 52 44</t>
  </si>
  <si>
    <t>Pour des vacances réussies entre amis ou en famille, chaque villa dispose de 2 chambres doubles et d'un lit double sur la mezzanine.
Ces 3 villas ont été réalisées sur un parc de 5000 m2, composé de nombreux arbres fruitiers (fruit de la passion, goyaviers, litchi, mangues, papaye, mandarine etc ..) et essences de la Réunion
Une belle piscine commune aux 3 villas et sécurisée par une barrière, pour se relaxer après une balade, ou bien se faire une petite sieste sur les confortables transats.
Un espace BBQ vous attend au milieu des arbres du parc.
Un espace Buanderie avec machine à laver et vélos.
Et pourquoi pas, déguster une coupe de champagne en vous prélassant dans le jacuzzi de la Villa Carambole ?
Faites une pause dans l’agréable salon, avec télévision, accès internet
Ou profitez de la très confortable terrasse pour déguster vos repas devant des paysages à couper le souffle.</t>
  </si>
  <si>
    <t>Les Villas Mandarine portent le nom d'une partie des bons fruits que vous pourrez déguster dans le jardin :
- Villa Passion ;
- Villa Goyavier ;
- Villa Carambole.
C'est dans un cadre magique, que ces 3 villas sont situées.</t>
  </si>
  <si>
    <t>Située à la sortie du petit Village de l'Entre Deux, vous bénéficiez d’un havre de paix au milieu des montagnes, et en même temps à 2 pas du typique Village de l’Entre Deux et de toutes les commodités (restaurants, supermarchés, commerces etc ..)</t>
  </si>
  <si>
    <t>PrOl52446b,afa7f329</t>
  </si>
  <si>
    <t>60dcad7d</t>
  </si>
  <si>
    <t>galerie::galerie_Images/6b323bc2.Path.063313.jpg</t>
  </si>
  <si>
    <t>CSC182HT@</t>
  </si>
  <si>
    <t>Chaque villa peut accueillir jusqu'à 6 personnes, soient 18 personnes en tout pour les 3 villas.</t>
  </si>
  <si>
    <t>-21.349636, 55.613091</t>
  </si>
  <si>
    <t>0692746321</t>
  </si>
  <si>
    <t>barbecue , fer et planche à repasser , lave linge collectif , parking , piscine , ventilateur , wifi</t>
  </si>
  <si>
    <t>TéJe6321tE</t>
  </si>
  <si>
    <t>159031b6</t>
  </si>
  <si>
    <t>galerie::galerie_Images/076c0d17.Path.050423.jpg</t>
  </si>
  <si>
    <t>Tarification au 17/05/2023 :
-  300 € la semaine ;
- 25€ par nuit par personne.</t>
  </si>
  <si>
    <t>Les Crins de Bel Air</t>
  </si>
  <si>
    <t>Centre d'équitation ; Visite guidée ; Exploitation agricole ; Agrotourisme</t>
  </si>
  <si>
    <t>131</t>
  </si>
  <si>
    <t>Chemin de la Forêt</t>
  </si>
  <si>
    <t>-21.321783, 55.591279</t>
  </si>
  <si>
    <t>marcpotin429@gmail.com</t>
  </si>
  <si>
    <t>0692 58 48 20</t>
  </si>
  <si>
    <t>Centre d'élevage de chevaux, chèvres, poules, calèches</t>
  </si>
  <si>
    <t>Ferme pédagogique, élevage de pure sang arabe, activités enfants</t>
  </si>
  <si>
    <t>Prendre la D32, puis la D3, direction les lianes, puis à nouveau D32, et surtout suivre sur Google Maps !</t>
  </si>
  <si>
    <t>883a551d</t>
  </si>
  <si>
    <t>ebf74cdb</t>
  </si>
  <si>
    <t>galerie::galerie_Images/554e7bf5.Path.103800.jpg</t>
  </si>
  <si>
    <t xml:space="preserve">Le Fruit à Pain </t>
  </si>
  <si>
    <t>lefruitapain1@hotmail.com</t>
  </si>
  <si>
    <t>0262455860</t>
  </si>
  <si>
    <t>0692719496</t>
  </si>
  <si>
    <t>MeLE94961J</t>
  </si>
  <si>
    <t>9779b757</t>
  </si>
  <si>
    <t>12/05/2023 : Ce restaurant est fermé actuellement.</t>
  </si>
  <si>
    <t xml:space="preserve"> Rue Macaire</t>
  </si>
  <si>
    <t>-21.240072, 55.469912</t>
  </si>
  <si>
    <t>0692825775</t>
  </si>
  <si>
    <t>https://entre2songes.re/</t>
  </si>
  <si>
    <t>GrIs5775U4</t>
  </si>
  <si>
    <t>96da7ccc</t>
  </si>
  <si>
    <t>galerie::galerie_Images/b32ad045.Path.074402.jpg</t>
  </si>
  <si>
    <t xml:space="preserve">Puits des Français </t>
  </si>
  <si>
    <t>Rue Labourdonnais</t>
  </si>
  <si>
    <t>-21.372991, 55.710323</t>
  </si>
  <si>
    <t>0262285750</t>
  </si>
  <si>
    <t>0692362616</t>
  </si>
  <si>
    <t>Située à Saint-Philippe, Le Puit des Français propose 5 chambres doubles.</t>
  </si>
  <si>
    <t>climatisation , jardin , parking , piscine , salle de bain privée , salon de jardin , sanitaires privés</t>
  </si>
  <si>
    <t>sentier de randonnée,restaurants</t>
  </si>
  <si>
    <t>Chèque,Espèces,booking</t>
  </si>
  <si>
    <t>DaVa2616kM</t>
  </si>
  <si>
    <t>bb530d00</t>
  </si>
  <si>
    <t>galerie::galerie_Images/5994d22c.Path.060502.jpg</t>
  </si>
  <si>
    <t xml:space="preserve">L'Echappée Belle </t>
  </si>
  <si>
    <t xml:space="preserve"> Impasse du Palmier</t>
  </si>
  <si>
    <t>-21.247741, 55.470160</t>
  </si>
  <si>
    <t>0262229131</t>
  </si>
  <si>
    <t>0692555537</t>
  </si>
  <si>
    <t>L'Échappée Belle, entourée d'un écrin de nature, vous dépaysera en raison de son magnifique jardin verdoyant arboré de palmiers et de cocotiers. Vous pourrez ainsi vous ressourcer dans ce grand jardin, sous le soleil de la Réunion, en vous prélassant au bord de la piscine chauffée.</t>
  </si>
  <si>
    <t>jardin , lecteur DVD , parking , piscine , TV , wifi</t>
  </si>
  <si>
    <t>ThSé5537Lk</t>
  </si>
  <si>
    <t>035e76ff</t>
  </si>
  <si>
    <t>galerie::galerie_Images/fb9c7d88.Path.043415.jpg</t>
  </si>
  <si>
    <t>à changer de propriétaire, a recontacter début 2023</t>
  </si>
  <si>
    <t>TRANSPORT MAILLOT</t>
  </si>
  <si>
    <t>Impasse des Oeillets</t>
  </si>
  <si>
    <t>-21.323991, 55.601231</t>
  </si>
  <si>
    <t>transport.maillot@gmail.com</t>
  </si>
  <si>
    <t>0692 26 49 21</t>
  </si>
  <si>
    <t>Transfert aéroport 
Tous vos trajets 
Départ et arrivé de randonnée 
Tout type de soirées, toutes distances 
Suivit de cortège 
Tournois sportif
Profitez de vos moments festifs et laissez-vous transporter par un professionnel en toute sécurité 
Service 24/24 du Lundi au Dimanche toute l'année</t>
  </si>
  <si>
    <t>Le temps d'un voyage</t>
  </si>
  <si>
    <t>sur réservation</t>
  </si>
  <si>
    <t>a0d09d84</t>
  </si>
  <si>
    <t>d82092bb</t>
  </si>
  <si>
    <t>galerie::galerie_Images/f0f98a9f.Path.075242.jpg</t>
  </si>
  <si>
    <t>Unnamed Road</t>
  </si>
  <si>
    <t>0692 04 77 26</t>
  </si>
  <si>
    <t>https://gite-le-bras-sec.webnode.fr/hebergement/</t>
  </si>
  <si>
    <t>terrasse , espace de restauration en extérieur , espace de restauration , petit déjeuner créole ou classique , dortoir , chambre double</t>
  </si>
  <si>
    <t>RiFr6919ed</t>
  </si>
  <si>
    <t>e38d08a2</t>
  </si>
  <si>
    <t>galerie::galerie_Images/bbe4e572.Path.053655.jpg</t>
  </si>
  <si>
    <t>Chalet de Notre Dame</t>
  </si>
  <si>
    <t>6C</t>
  </si>
  <si>
    <t>-21.243977, 55.594944</t>
  </si>
  <si>
    <t>sopbege@gmail.com</t>
  </si>
  <si>
    <t>0692568446</t>
  </si>
  <si>
    <t>⛰️CHALET DE NOTRE DAME ⛰️
Détendez-vous dans ce chalet unique et tranquille. 
Grande terrasse exclusive avec une vue à couper le souffle sur le piton des neiges, grand Benard, Dimitile et la côte sud ouest. 
Le chalet se situe 5 minutes du sentier botanique de Notre dame de la paix, à 7 minutes de la maison du volcan et à 9 minutes des commerces les plus proches. 
Ce chalet comprend 2 chambres équipées pour 5 personnes, une cuisine, une salle d’eau avec bac à douche et WC, un coin dressing et une belle terrasse équipée d’un barbecue.
*********TARIF : La semaine 120€ la nuit********
•••••••••TARIF : Le week-end 190€ la nuit•••••••
🪴 Minimum 2 nuitée 🪴
⚠️FÊTES NON AUTORISÉES⚠️</t>
  </si>
  <si>
    <t>Chalet de Notre Dame - location saisonnière</t>
  </si>
  <si>
    <t>terrasse , fer et planche à repasser , vue montagne , vue mer , salon , chauffage , jardin , TV , micro-ondes , salle de bain privée , linge de toilette , douche , four , cuisine , frigo , cuisine équipée , lave-linge</t>
  </si>
  <si>
    <t>sentier de randonnée,point de vue panoramique,sentiers de randonnées,Volcan le piton de la fournaise</t>
  </si>
  <si>
    <t>Chèque,Virement,Espèces,booking,airbnb,Le bon coin,Abritel</t>
  </si>
  <si>
    <t>8d01220e</t>
  </si>
  <si>
    <t>004ace30</t>
  </si>
  <si>
    <t>galerie::galerie_Images/1ada5b8c.Path.061813.jpg</t>
  </si>
  <si>
    <t>CSC559HTS</t>
  </si>
  <si>
    <t>Le Niaouli</t>
  </si>
  <si>
    <t>rue Raphaël Babet</t>
  </si>
  <si>
    <t>-21.380323, 55.629095</t>
  </si>
  <si>
    <t>gplace849@gmail.com</t>
  </si>
  <si>
    <t>0693467289</t>
  </si>
  <si>
    <t>https://le-niaouli.business.site/?utm_source=gmb&amp;utm_medium=referral</t>
  </si>
  <si>
    <t>La chambre est attenante à notre logement mais bénéficie de son entrée indépendante et de son intimité.
Elle est équipée d' une salle de bain , d'une kitchenette et d'un espace repas en extérieur sur la terrasse couverte et ouverte sur la nature.
Une partie du jardin vous est accessible, nous avons mis une table et des chaises pour vous détendre, lire ou prendre un café.
Vous avez la possibilité de réserver des massages une semaine avant votre arrivée auprès de Graziella via les biens fées de Graziella.</t>
  </si>
  <si>
    <t>Le Niaouli, arbre symbolique de la location, est situé au fond d'une impasse privée, dans la nature.
Entouré d’une végétation luxuriante, vous y trouverez repos et tranquillité.</t>
  </si>
  <si>
    <t>Après la Croix Jubilé prendre à droite</t>
  </si>
  <si>
    <t>barbecue , ventilateur , jardin , TV , micro-ondes , salle de bain privée , sanitaires privés , wifi , douche , terrasse , salon de jardin , linge de toilette , jardin arboré , cuisine équipée , kitchenette équipée , Cafetière , frigo , cuisine extérieur</t>
  </si>
  <si>
    <t>riviere,sites touristiques,arrêt bus,centre ville de Saint-Joseph,boulangerie</t>
  </si>
  <si>
    <t>Virement,Espèces,airbnb,Le bon coin</t>
  </si>
  <si>
    <t>e1f6463a</t>
  </si>
  <si>
    <t>db72b11c</t>
  </si>
  <si>
    <t>galerie::galerie_Images/6e33ec46.Path.043714.jpg</t>
  </si>
  <si>
    <t>CSC546HTO</t>
  </si>
  <si>
    <t>Ti'Kratèr</t>
  </si>
  <si>
    <t>Allée du Vésuve</t>
  </si>
  <si>
    <t>-21.213831, 55.592608</t>
  </si>
  <si>
    <t>alexandrine.marteel@sfr.fr</t>
  </si>
  <si>
    <t>0693 97 90 41</t>
  </si>
  <si>
    <t>Chambre chez l'habitant dans Grande maison familiale au pied du volcan à 2km du GR R2, dans un hameau tranquille avec jardin, salon, billard et jeux de société.
Avant d'attaquer votre journée un petit déjeuner vous sera offert à l'heure qui vous convient.
Ti'Kratèr propose 4 chambres :
1 chambre familiale (2,3,4 pax)
1 chambre twin ou duo (sans fenêtre) &gt; louable au lit un peu comme dortoir 25€
2 chambre double
avec connexion Wi-Fi et parking privé gratuits.
Les chambres disposent d'une terrasse, d'une télévision et d'une salle de bains commune avec sèche-cheveux.
Nous serons heureux de vous accueillir Luc, Alexandrine, Nathan 3ans, Evie (chien), Olaf et Luna( chats).
GROS PLUS!!!
propose une navette pour leurs clients à tout heure du GR et sentier marabout (à tout heure)</t>
  </si>
  <si>
    <t>Chambres chez l'habitant pour une soirée conviviale sur la route du volcan.</t>
  </si>
  <si>
    <t>Au niveau du stade tourner à gauche jusque l'allée du Vésuve
Prendre le chemin Commerson, puis a droite allée du Vésuve.
Deuxième maison à gauche.</t>
  </si>
  <si>
    <t>chauffage , jardin , parking , aire de jeux pour enfant , wifi , vue montagne , Cafetière , cuisine équipée , bibliothéque , salon , balcon , micro-ondes , TV , Lit parapluie sur demande , jacuzzi , linge de maison , lave vaisselle , linge de toilette , douche , frigo , terrasse , billard , salle à manger , serviettes. , sèche-cheveux , salle de bain privée , wifi gratuit , jeux</t>
  </si>
  <si>
    <t>sentier de grande randonnée,point de vue panoramique,forêt,sites touristiques,arrêt bus,restaurants</t>
  </si>
  <si>
    <t>Chèque,Espèces,Virement,booking,airbnb,site internet</t>
  </si>
  <si>
    <t>b452be9f</t>
  </si>
  <si>
    <t>e433eb27</t>
  </si>
  <si>
    <t>galerie::galerie_Images/81d14beb.Path.052055.jpg</t>
  </si>
  <si>
    <t>CSC536HTN</t>
  </si>
  <si>
    <t>Horaires ajustables selon la demande</t>
  </si>
  <si>
    <t xml:space="preserve">Les Mimosas </t>
  </si>
  <si>
    <t>les mimosas</t>
  </si>
  <si>
    <t>0692 85 85 93</t>
  </si>
  <si>
    <t>Venez découvrit le village de Grand Bassin en séjournant aux Mimosas. Les Mimosas proposent deux chambres d'hôtes pouvant accueillir jusqu'à quatre 
personnes.</t>
  </si>
  <si>
    <t>salle de bain commune , sanitaires communs , wifi</t>
  </si>
  <si>
    <t>SéJo8888lb</t>
  </si>
  <si>
    <t>8ed545ce</t>
  </si>
  <si>
    <t>galerie::galerie_Images/d37d486e.Path.050443.jpg</t>
  </si>
  <si>
    <t>10 avril 2024 : fermeture provisoire cause décès de Michel Ducros
Réseau 4G partagé en WIFI aux Mimosas...</t>
  </si>
  <si>
    <t>VTC POININ COULIN</t>
  </si>
  <si>
    <t>10A</t>
  </si>
  <si>
    <t>rue des Anones</t>
  </si>
  <si>
    <t>-21.377300, 55.599787</t>
  </si>
  <si>
    <t>wilfrid.pc@gmail.com</t>
  </si>
  <si>
    <t>0692590176</t>
  </si>
  <si>
    <t>Pour vos trajets cour ou long ne vous posez plus de question. 
Réservez votre berline avec chauffeur qualifié et expérimenté pour vous éviter  les soucis tels que le carburant, parking, créneaux, places payante et stresse inutile. 
PC VTC se charger de tout
Fiche tarifaire en PJ de dossier 
Accepte les animaux de compagnie à bord à conditions qu'ils aient une cage de transport</t>
  </si>
  <si>
    <t>Berline 508 hybride - Sur réservation au 0692590176 ou par mail wilfrid.pc@gmail.com</t>
  </si>
  <si>
    <t>5a84ebae</t>
  </si>
  <si>
    <t>0fb5c492</t>
  </si>
  <si>
    <t>galerie::galerie_Images/36675de6.Path.095521.jpg</t>
  </si>
  <si>
    <t>Fiche tarifaire en PJ
Excursion tour de l'île (mise à dispo à la journée) 350€
Mise à dispo demi-journée 200€</t>
  </si>
  <si>
    <t>Anae Lodge</t>
  </si>
  <si>
    <t>-21.265741, 55.515412</t>
  </si>
  <si>
    <t>contact@atecap.re</t>
  </si>
  <si>
    <t>0692 24 34 67</t>
  </si>
  <si>
    <t>https://anaelodge.re/</t>
  </si>
  <si>
    <t>Chacun de nos deux lodges est équipé d’une piscine privative chauffée toute l’année.
Terrasses et jardins vous offriront tous les espaces nécessaires à l’apaisement et au partage.
Mêlant simplicité et raffinement, nous avons souhaité des intérieurs aux prestations de qualités.
Profitez de nos conseils pour organiser vos journées et de nos services pour optimiser votre séjour.
D’une superficie de 26m2 et d’une varangue de 14 m2 vous disposerez :
- D’un lit Queen size et d’une literie de qualité 
- salon pouvant accueillir 2 personnes supplémentaires ( dont un en lit mezzanine)
- télévision à écran plat
- un plateau de courtoisie avec bouilloire et machine Nespresso
- mini-réfrigérateur
-salle de bain est équipée :
- linge de toilette
- produits d’accueil (savon artisanal et shampoing)
- sèche-cheveux
- toilettes privées
Le petit déjeuner, servi en chambre, est compris dans le tarif de la nuitée.
Pour le dîner nous vous proposons des planches qui vous seront directement servies en terrasse ou dans le salon</t>
  </si>
  <si>
    <t>Anaé Lodge souhaite faire de votre séjour dans le sud un moment de détente et de découverte inoubliable.</t>
  </si>
  <si>
    <t>wifi , TV , salle de bain privée , sanitaires privés , jardin , piscine chauffée , linge de maison , vue montagne , sur réservation , douche , linge de toilette , frigo , salon , terrasse , Cafetière</t>
  </si>
  <si>
    <t>parking public,station essence,Centre - Ville,commerce alimentaire</t>
  </si>
  <si>
    <t>Chèques vacances,Virement,Espèces,Carte Bancaire</t>
  </si>
  <si>
    <t>96241813</t>
  </si>
  <si>
    <t>630d896a</t>
  </si>
  <si>
    <t>galerie::galerie_Images/db425f5b.Path.073455.png</t>
  </si>
  <si>
    <t>CSC533HTK</t>
  </si>
  <si>
    <t>Villa Cocoon</t>
  </si>
  <si>
    <t>22 B</t>
  </si>
  <si>
    <t>-21.363747, 55.587708</t>
  </si>
  <si>
    <t>0692706621</t>
  </si>
  <si>
    <t>La Villa "Cocoon" T4 de standing, décorée avec soin est entièrement pensée pour votre confort. Le RDC avec salle d'eau, cuisine équipée et salon s'ouvre entièrement sur l'extérieur. Le jardin est une invitation à la détente avec jacuzzi, transats et barbecue à gaz haut de gamme. L'étage dispose de 3 chambres climatisées avec literie de qualité queen size, dressing et sdb. Idéalement située à proximité de restaurants, centre commercial et du bassin de Manapany pour vos baignades</t>
  </si>
  <si>
    <t>Magnifique villa avec jacuzzi Proximité mer</t>
  </si>
  <si>
    <t>barbecue , climatisation , jacuzzi , jardin , lave linge privatif , salle de bain privée , TV , vue montagne , micro-ondes , linge de toilette , douche , four , Cafetière , frigo , wifi , cuisine équipée , salle à manger , salon de jardin</t>
  </si>
  <si>
    <t>sentier de randonnée,site - lieu culturel,point de vue panoramique,commerce alimentaire,sites touristiques,arrêt bus,transports en commun</t>
  </si>
  <si>
    <t>b16fed23</t>
  </si>
  <si>
    <t>galerie::galerie_Images/8af44e5e.Path.091318.jpg</t>
  </si>
  <si>
    <t>CSC529HT@</t>
  </si>
  <si>
    <t>ENTRE DEUX CASES</t>
  </si>
  <si>
    <t>2C</t>
  </si>
  <si>
    <t>rue CADET</t>
  </si>
  <si>
    <t>-21.235325, 55.470161</t>
  </si>
  <si>
    <t>entredeuxcases@gmail.com</t>
  </si>
  <si>
    <t>0693455734</t>
  </si>
  <si>
    <t>Maison neuve située en bout d'impasse. 
Entre-Deux, quartier bras long, vue sur les montagnes, proche des sentiers de randonnée.
Cour clôturée, parking privé, terrasse et patio, pièce de vie salon (TV, WIFI gratuit), coin bureau, salle à manger, espace cuisine entièrement équipée (lave vaisselle, micro-ondes, cafetière, bouilloire, grille-pain, plaque de cuisson, tous les ustensiles de cuisine), salle d'eau avec douche et produits fournis, WC indépendants, 2 chambres avec espaces de rangement, buanderie avec réfrigérateur, machine à laver, rangements, penderie, barbecue, parapluies à disposition, étendoir à linge, terrasse bois canapé coin apéro, terrasse "petit déjeuner" table et chaises.</t>
  </si>
  <si>
    <t>Maison cosy indépendante avec une vue splendide sur les montagnes. Venez profiter d'un séjour détente en plein coeur du village de l'ENTRE-DEUX.</t>
  </si>
  <si>
    <t>Depuis la 4 voies entre SAINT-LOUIS et SAINT-PIERRE, prendre la sortie ENTRE-DEUX ; 
Au Centre du village, prendre la direction Bras-Long sur 1,5 km, face à l'EHPAD prendre à gauche rue Bail, prendre la première rue à droite rue Cadet : arrivée au 2C.</t>
  </si>
  <si>
    <t>barbecue , lave linge privatif , salle de bain privée , TV , ventilateur , linge de maison , parking , TV satellite , salon , espace de restauration , wifi gratuit , lave vaisselle , micro-ondes , sanitaires privés , wifi , douche , terrasse , linge de toilette , cuisine , accès internet , serviettes. , lave-linge , tout équipé , cour clôturée , sur réservation , frigo , salle à manger , vue montagne , Cafetière , Lit parapluie sur demande</t>
  </si>
  <si>
    <t>sentier de randonnée,sentier de grande randonnée,parking public,point de vue panoramique,commerce alimentaire,forêt,sites touristiques,arrêt bus,transports en commun,sentiers de randonnées,hébergements,Point chaud,commerce de proximité…,pas d'accès routier</t>
  </si>
  <si>
    <t>7e803c23</t>
  </si>
  <si>
    <t>319d31a2</t>
  </si>
  <si>
    <t>galerie::galerie_Images/23c79f34.Path.053609.jpg</t>
  </si>
  <si>
    <t>CSC508HT@</t>
  </si>
  <si>
    <t>rue Fontaine</t>
  </si>
  <si>
    <t>-21.245492, 55.466999</t>
  </si>
  <si>
    <t>0262396006</t>
  </si>
  <si>
    <t>0692652806</t>
  </si>
  <si>
    <t>L’objectif de cette activité est d’inviter les familles à redécouvrir la cuisine et les saveurs d’antan. Au programme, fabrication et cuisson du pain de manière traditionnelle
et un repas cuit au feu de bois (riz, grains, cari, café...). Le dessert est un gâteau péi cuit à la braise de façon traditionnelle.
Tout public : 15 personnes minimum, 30 maximum. 
Activité du lundi au samedi. Le tarif comprend un punch, du vin et du rhum arrangé (de 21 à 30 personnes).</t>
  </si>
  <si>
    <t>Après la réhabilitation du Four à Pain "Du portail" situé au Grand Fond Intérieur à l'Entre-Deux.
L'association Entre-Deux Z'Epok met en place une nouvelle animation culturelle intitulée "Dimension culinaire".</t>
  </si>
  <si>
    <t>MaDé2806Me</t>
  </si>
  <si>
    <t>84f1ecc1</t>
  </si>
  <si>
    <t>galerie::galerie_Images/bf4a8a1a.Path.090553.jpg</t>
  </si>
  <si>
    <t>Tarification détaillée visible grâce à l'affiche transmise par le prestataire (voir les photos).
Les réservations se font deux semaines à l'avance.</t>
  </si>
  <si>
    <t xml:space="preserve"> Rue du Rond</t>
  </si>
  <si>
    <t>-21.326650, 55.607806</t>
  </si>
  <si>
    <t>0262 37 54 66</t>
  </si>
  <si>
    <t>0692935757</t>
  </si>
  <si>
    <t>https://www.la-maison-du-curcuma.fr/</t>
  </si>
  <si>
    <t>Au cœur du Sud Sauvage, dans le mini-cirque de la Plaine des Grègues, Mémé Rivière et sa famille invitent à la découverte du "safran pays" dans leur Maison du Curcuma. Des explications seront données sur le processus de transformation de la racine du curcuma, une épice qui occupe une place de choix dans la cuisine réunionnaise. 
Une visite du jardin privé, une petite balade d’environ 45 minutes ainsi qu’un petit détour dans la grotte à parfums, où se trouvent différentes épices utilisées par les Réunionnais, sont proposées. 
Petit film explicatif sur le safran et dégustation de produits en vente à la boutique.
Un pack de visite est disponible :
Circuit avec visite de l’exploitation + repas le midi au tarif de 39€ par personne</t>
  </si>
  <si>
    <t>Agriculteur actif, producteur sélectif</t>
  </si>
  <si>
    <t>Plaine des Grègues - chemin du rond au numéro 14</t>
  </si>
  <si>
    <t>visites pédagogiques , boutique</t>
  </si>
  <si>
    <t>RiAi57574h</t>
  </si>
  <si>
    <t>7460d2ef</t>
  </si>
  <si>
    <t>galerie::galerie_Images/5e5998d5.Path.101029.jpg</t>
  </si>
  <si>
    <t>0692613942</t>
  </si>
  <si>
    <t>MeMa3942vh</t>
  </si>
  <si>
    <t>f3e166b8</t>
  </si>
  <si>
    <t>-21.189231, 55.482030</t>
  </si>
  <si>
    <t>0692028856</t>
  </si>
  <si>
    <t>Situé dans les Hauts de l'Entre-Deux, plus précisément au Dimitile. Vous pourrez vous rendre au gîte en 4x4 ou en randonnée. Vous avez également la possibilité de vous régaler : le repas ainsi que le petit-déjeuner sont servis en semaine ou en week-end sur réservation au 06 92 02 88 56.</t>
  </si>
  <si>
    <t>Venez découvrir le gîte : Au Coin Tranquille Chez Tof. Vous pourrez profiter d'un agréable moment à passer en famille ou entre amis. Ce gîte se situe dans la fraîcheur des Hauts de l'Entre-Deux, à 1800 mètres d'altitude.</t>
  </si>
  <si>
    <t>repas originaux et traditionnels , Petit déjeuner à toutes heures</t>
  </si>
  <si>
    <t>sentiers de randonnées,point de vue panoramique</t>
  </si>
  <si>
    <t>495c8736</t>
  </si>
  <si>
    <t>galerie::galerie_Images/54f03bec.Path.091942.jpg</t>
  </si>
  <si>
    <t>CSC524HT@</t>
  </si>
  <si>
    <t>Le repas ainsi que le petit-déjeuner sont servis en semaine et/ou en week-end en réservant au 06 92 02 88 56.
En pause d'activité actuellement (problème personnel) info donnée à Alice le 26/04/2023 - période de fermeture de mars à mai 2023</t>
  </si>
  <si>
    <t>Au Cocon D'Adéli - Ma Sage Bien-être</t>
  </si>
  <si>
    <t>46 TER</t>
  </si>
  <si>
    <t>Route des Caféiers</t>
  </si>
  <si>
    <t>-21.236750, 55.524936</t>
  </si>
  <si>
    <t>aucocondadeli@gmail.com</t>
  </si>
  <si>
    <t>0692601819</t>
  </si>
  <si>
    <t>Dans la fraîcheur des hauts, Diane vous invite à venir prendre soin de vous dans un cocon chaleureux.
La santé est ce que l'on a de plus précieux, alors préservons la et osons prendre du temps pour soi.
Avant de débuter chaque séance et avec votre accord, le pendule peut être utilisé pour une purification et harmonisation de vos chakras. 
A la fin de chaque séance, pour prolonger la sensation de bien être, une collation légère avec une tisane péi ou jus de fruit frais vous sera offert autour d'un échange sur vos ressentis.</t>
  </si>
  <si>
    <t>Se mettre dans sa bulle,
et apprécier que le temps s'arrête….
ICI et Là</t>
  </si>
  <si>
    <t>sur réservation , espace spa - bien être , sanitaires communs , salon de jardin , jardin arboré , Massages bien être</t>
  </si>
  <si>
    <t>sentier de randonnée,point de vue panoramique,commerce alimentaire,équitation,forêt,hébergements</t>
  </si>
  <si>
    <t>4f0100db</t>
  </si>
  <si>
    <t>bd18001d</t>
  </si>
  <si>
    <t>galerie::galerie_Images/18eb522e.Path.050612.jpg</t>
  </si>
  <si>
    <t>Ajuste ses prestations et ses horaires selon le client et ses besoins</t>
  </si>
  <si>
    <t>LE P'TI CORAIL DE VINCENDO</t>
  </si>
  <si>
    <t>6 A</t>
  </si>
  <si>
    <t>impasse Cécilia</t>
  </si>
  <si>
    <t>-21.369026, 55.672761</t>
  </si>
  <si>
    <t>lepticoraildevincendo@gmail.com</t>
  </si>
  <si>
    <t>0693330174</t>
  </si>
  <si>
    <t>https://lepticoraildevincendo.re/nous-contacter/</t>
  </si>
  <si>
    <t>Cet hébergement dispose de trois chambres pouvant accueillir jusqu'à deux personnes chacune. 
Grand séjour qui s'ouvre sur la cuisine tout équipée (il y a également une chaise haute pour les bébés). 
Ce meublé de tourisme dispose d'un  parking privé (deux véhicules peuvent être garées).
La maison est située à proximité de toutes commodités avec un centre commercial à 5 minutes mais aussi des espaces naturels comme le sentier du Cap Jaune, la plage de Vincendo, la Rivière Langevin ou encore le piton de la Fournaise à quelques kilomètres.</t>
  </si>
  <si>
    <t>Le P’ti Corail de Vincendo vous propose de venir vous ressourcer dans une location de vacances réalisée avec soin et attention par ses propriétaires Alice et Eddy. Cette maison de charme située dans le quartier de Vincendo, vous accueillera avec son ameublement confortable et son ambiance chaleureuse ! 
Vous pourrez découvrir la magie de ce petit paradis grâce à la nature qui vous entoure et au calme de l’environnement qui la rend parfaite pour des vacances authentiques.</t>
  </si>
  <si>
    <t>En arrivant de SAINT-JOSEPH, direction le village de Vincendo, au rond-point, vous continuez tout droit sur environ 400 m, vous passez la ravine de Vincendo. Ensuite, vous prenez à gauche, vous montez. Il faut prendre la 3 ème impasse sur la droite et continuer jusqu'au numéro 6. 
En arrivant de SAINT-PHILIPPE, après les rampes de Basse-Vallée, vous continuez sur 1 km quand vous voyez la pharmacie de Vincendo (qui est à gauche ). Vous continuez encore sur 100 m et prenez le chemin à droite. Ensuite, vous montez et prenez la 3 ème impasse à droite et vous continuez jusqu'au numéro 6.</t>
  </si>
  <si>
    <t>barbecue , climatisation , fer et planche à repasser , jacuzzi , jardin , lave linge privatif , salle de bain privée , TV , vue montagne , sur réservation , linge de maison , parking , TV satellite , salon , wifi gratuit , lave vaisselle , micro-ondes , sanitaires privés , four , terrasse , linge de toilette , jardin arboré , accès internet , serviettes. , salle de bain , cour clôturée , veranda couverte , Cafetière , Lit parapluie sur demande , frigo , jardin clôturé , cuisine équipée , parking sécurisé , lave-linge , tout équipé , billard , kitchenette équipée , salle à manger , netflix</t>
  </si>
  <si>
    <t>sentier de randonnée,riviere,parking public,site - lieu culturel,point de vue panoramique,commerce alimentaire,forêt,pêche,sites touristiques,arrêt bus,poste - boite aux lettres,transports en commun,commerces,station essence,station service,centre ville de Saint-Joseph,pharmacie,boulangerie,banque - guichet automatique,Gare routière,piscine,pâtisserie,restaurants,sentiers de randonnées,Restauration,randonnées,piscine municipale,route des laves,tunnels de lave,littoral,centre médical,hébergements,route pour aller au volcan,Point chaud,stade de foot,maraicher,commerce de proximité…,épicerie,médecin,tabac presse,coiffeur,Terrain de jeux pour enfants,snack,burger…,Laverie,Toutes commodités</t>
  </si>
  <si>
    <t>5426776b</t>
  </si>
  <si>
    <t>33f364f5</t>
  </si>
  <si>
    <t>galerie::galerie_Images/fe59da06.Path.060330.jpg</t>
  </si>
  <si>
    <t>CSC513HT@</t>
  </si>
  <si>
    <t>Tarification semaine : 216 euros pour deux nuits (car possibilité de louer cet hébergement à partir de deux nuits la semaine).
Tarification week-end : 270 euros (nuit du vendredi et de celle de 
samedi).</t>
  </si>
  <si>
    <t>Ecuries du Volcan</t>
  </si>
  <si>
    <t xml:space="preserve"> Rue Du Domaine De Bellevue</t>
  </si>
  <si>
    <t>-21.193485, 55.577014</t>
  </si>
  <si>
    <t>0692666290</t>
  </si>
  <si>
    <t>https://www.ecurieduvolcan.re/</t>
  </si>
  <si>
    <t>Les activités sont accessibles aux débutant et les chevaux sont adaptés aux circuits. Accès aux personnes à mobilité réduite. Accueil les groupes, les C.E et C.O.S. Encadrement : BPJEPS, ATE. Langues parlées : mauricien et le malgache.
Ouvert 7 jours sur 7, de 9h00 à 12h00 et de 14h00 à 17h00.
Rando de 3 jours et +, bivouac sur réservation 
Presta enfant sans résa
Adulte sur résa 
A partir de 4 personnes et jusqu'à 15 si cavaliers et 12 personnes si c'est une groupe de néophytes</t>
  </si>
  <si>
    <t>Chèque,Chèques vacances,Virement,Espèces,PassLoisirs</t>
  </si>
  <si>
    <t>Malgache,français,créole,anglais</t>
  </si>
  <si>
    <t>CaJe62903A</t>
  </si>
  <si>
    <t>0b00d759</t>
  </si>
  <si>
    <t>galerie::galerie_Images/20e65e2a.Path.100046.jpg</t>
  </si>
  <si>
    <t>Ty Lodge La Réunion</t>
  </si>
  <si>
    <t>59</t>
  </si>
  <si>
    <t>bis chemin Fourcade</t>
  </si>
  <si>
    <t>-21.247371, 55.499462</t>
  </si>
  <si>
    <t>jperdriaud@orange.fr</t>
  </si>
  <si>
    <t>0685944487</t>
  </si>
  <si>
    <t>Le logement de plain pied est accessible depuis le parking (4 véhicules) par un escalier. Il dispose d'une pièce de vie de 36 m² avec TV, barre de son Bluetooth, téléphone, canapé, fauteuils, divers rangements, systèmes de ventilation et de chauffage et espace salle à manger, d'une cuisine ouverte équipée, 3 chambres équipées de lits King size (160X200), l'une des chambre possède un lit de relaxation électrique.
Possibilité de profiter d'un Spa (6 places avec airjets et hydrojets) permettant relaxation avec vue sur la mer au coucher de soleil.
Un coffre-fort est mis à la disposition des clients.
Draps et serviettes inclus.</t>
  </si>
  <si>
    <t>Doté d'une superbe vue mer panoramique, Ty Lodge La Réunion est situé au Tampon, dans un environnement calme et résidentiel.</t>
  </si>
  <si>
    <t>Route des Tamarins, sortir après Saint-Louis, prendre la sortie Ravine des Cabris, continuer au Parc des Palmiers, tourner à gauche rue Charles Beaudelaire, puis à droite chemin Fourcade (en face de Mam'zelle Pizza), Ty Lodge La Réunion se trouve au n°59 bis.</t>
  </si>
  <si>
    <t>barbecue , fer et planche à repasser , jacuzzi , sur réservation , grand espace , vue mer , linge de maison , parking , ventilateur , salon , jardin , TV , espace de restauration , wifi gratuit , lave vaisselle , lave linge privatif , micro-ondes , salle de bain privée , four , sèche linge privatif , accès internet , serviettes. , salle de bain , cour clôturée , veranda couverte , Cafetière , Lit parapluie sur demande , frigo , cuisine équipée , parking sécurisé , salle à manger , baignoire</t>
  </si>
  <si>
    <t>sentier de randonnée,commerce alimentaire,sites touristiques,arrêt bus,poste - boite aux lettres,transports en commun,commerces,station essence,Centre - Ville,pharmacie,boulangerie,pâtisserie,maraicher,banque - guichet automatique,piscine,restaurants,Restauration,hébergements,Point chaud,stade de foot,épicerie,médecin,coiffeur,Terrain de jeux pour enfants,snack</t>
  </si>
  <si>
    <t>2ae68588</t>
  </si>
  <si>
    <t>7450b89a</t>
  </si>
  <si>
    <t>galerie::galerie_Images/f7455732.Path.062913.jpg</t>
  </si>
  <si>
    <t>CSC554HTN</t>
  </si>
  <si>
    <t>* Les enterrements de vie de célibataire et autres fêtes de ce type sont interdits dans cet établissement.
* Cet hébergement est tournée vers le développement durable (voir les livrets en pièces jointes).
* Dépôt de Garantie : 500,00 €.</t>
  </si>
  <si>
    <t xml:space="preserve"> Impasse des Zinnias</t>
  </si>
  <si>
    <t>-21.256000, 55.535436</t>
  </si>
  <si>
    <t>francereine.garaios@gmail.com</t>
  </si>
  <si>
    <t>0692491370</t>
  </si>
  <si>
    <t>Magnifique villa Créole situé dans un quartier paisible et agréable du Bras Creux. Villa composée d'un grand jardin ainsi deux terrasses avant arrière et de 6 couchages. Une cuisine équipée pour se préparer de bon plat. Très bonne wifi. Centre commercial et ville à proximité. Villa isolé des grands axes routiers.</t>
  </si>
  <si>
    <t>fer et planche à repasser , jardin , parking , wifi , four , micro-ondes , TV , lave linge privatif , cuisine</t>
  </si>
  <si>
    <t>GaMa1370Mo</t>
  </si>
  <si>
    <t>2e720acc</t>
  </si>
  <si>
    <t>galerie::galerie_Images/0640c7f3.Path.122517.jpg</t>
  </si>
  <si>
    <t>Page airbnb désactivée</t>
  </si>
  <si>
    <t xml:space="preserve">227 C </t>
  </si>
  <si>
    <t>Rue Georges Pompidou</t>
  </si>
  <si>
    <t>-21.251954, 55.519943</t>
  </si>
  <si>
    <t>0262591743</t>
  </si>
  <si>
    <t>0692116118</t>
  </si>
  <si>
    <t>Idéales pour une lune de miel, 3 chambres avec séjour se situent à l'étage et 2 chambres en rez-de-chaussée. Toutes les chambres sont équipées d'un coin séjour avec thé, café, bouilloire, télévision. La structure comprend une piscine (accès libre). Entrée indépendante. Plusieurs kiosques sont mis à la disposition des hôtes.
Petit-déjeuner inclus.</t>
  </si>
  <si>
    <t>chauffage , espace de restauration , jardin , parking , piscine , TV , ventilateur , wifi</t>
  </si>
  <si>
    <t>CaRe6118BQ</t>
  </si>
  <si>
    <t>9633f262</t>
  </si>
  <si>
    <t>galerie::galerie_Images/ba3787fd.Path.045203.jpg</t>
  </si>
  <si>
    <t>grande salle dispo pour les séminaires, réunions, ateliers...</t>
  </si>
  <si>
    <t>AUTO SEB LOCATION</t>
  </si>
  <si>
    <t>rue Martinel LASSAYS</t>
  </si>
  <si>
    <t>-21.285579, 55.508640</t>
  </si>
  <si>
    <t>autoseblocation@gmail.com</t>
  </si>
  <si>
    <t>0693620003</t>
  </si>
  <si>
    <t>Pour pouvoir visiter l'île en toute tranquillité et en toute indépendance, louer une voiture durant son séjour à la Réunion semble indispensable. Auto Seb Location propose aux clients le meilleur service.</t>
  </si>
  <si>
    <t>4c5e8797</t>
  </si>
  <si>
    <t>7a4d9197</t>
  </si>
  <si>
    <t>galerie::galerie_Images/6779749a.Path.043539.jpg</t>
  </si>
  <si>
    <t>Auto Seb Location est ouvert 7j/7. L'accueil physique se fait uniquement sur rendez-vous. Les horaires pour prendre et restituer chaque véhicule sont souples.</t>
  </si>
  <si>
    <t>LUUNA KREATION</t>
  </si>
  <si>
    <t>ruelle Orange</t>
  </si>
  <si>
    <t>-21.242329, 55.479681</t>
  </si>
  <si>
    <t>g.gaelle67@yahoo.fr</t>
  </si>
  <si>
    <t>0692 71 64 04</t>
  </si>
  <si>
    <t>https://www.luuna-k.fr/?fbclid=IwAR2DE4it82Th4inW12kmt3eoA3MGzMmoqDYFtfJMmkMTaoz2Vp0mBq70otI</t>
  </si>
  <si>
    <t>Passionnée par la créations de bijoux artisanaux, Gaëlle GUENEDAL confectionne de beaux bracelets, colliers, attrapes-rêves et boucles d'oreilles en pierres naturelles.</t>
  </si>
  <si>
    <t>edf7448d</t>
  </si>
  <si>
    <t>8a469d18</t>
  </si>
  <si>
    <t>galerie::galerie_Images/8e3c2a81.Path.072354.jpg</t>
  </si>
  <si>
    <t>Les bijoux créés sont commercialisés :
- Le samedi matin au marché forain du TAMPON ;
- Le dimanche matin à l'ÉTANG-SALÉ LES BAINS.
La créatrice peut créer de beaux bijoux personnalisés sur demande.</t>
  </si>
  <si>
    <t>Four à pain</t>
  </si>
  <si>
    <t>Rue Grand Fond Interieur</t>
  </si>
  <si>
    <t>-21.245036, 55.466889</t>
  </si>
  <si>
    <t>Prendre la rue Fontaine en face de l'office de tourisme, puis rue Payet et ensuite chemin Grand-Fond Intérieur. Le four à Pain se trouve sur votre droite</t>
  </si>
  <si>
    <t>sanitaires communs , jardin , parking , ateliers , restauration</t>
  </si>
  <si>
    <t>restaurants,hébergements,sentiers de randonnée</t>
  </si>
  <si>
    <t>f8925c17</t>
  </si>
  <si>
    <t>galerie::galerie_Images/97d39575.Path.054942.jpg</t>
  </si>
  <si>
    <t>Le Chalet Gayar</t>
  </si>
  <si>
    <t>Impasse Leray</t>
  </si>
  <si>
    <t>-21.198531, 55.536087</t>
  </si>
  <si>
    <t>rayhan.carpaye@gmail.com</t>
  </si>
  <si>
    <t>0693 10 32 56</t>
  </si>
  <si>
    <t>Le Chalet Gadyamb sera pour vous un cocon tout neuf alliant confort et tranquillité mais aussi un pied à terre pour vos aventures en pleine nature ! Le chalet se compose d'une place de parking avec un jardin et une terrasse. A l'intérieur un coin salon avec table à manger et cuisine équipée, une salle d'eau (avec douche et toilette) 2 chambre : une chambre double et une chambre avec 2 lits simples</t>
  </si>
  <si>
    <t>Situé dans un lotissement où règnent calme et sérénité, le Chalet Gayar saura vous accueillir, vous qui êtes à la recherche d'un havre de paix.</t>
  </si>
  <si>
    <t>Rue Bois de Source</t>
  </si>
  <si>
    <t>jardin , TV , linge de maison , salon , micro-ondes , wifi , linge de toilette , douche , terrasse , Cafetière , frigo , cuisine équipée , salle de bain , plaque de cuisson</t>
  </si>
  <si>
    <t>3c9c7523</t>
  </si>
  <si>
    <t>1c804b85</t>
  </si>
  <si>
    <t>galerie::galerie_Images/115c67e9.Path.075334.jpg</t>
  </si>
  <si>
    <t>CSC563HTN</t>
  </si>
  <si>
    <t>Le Chalet Gadyamb</t>
  </si>
  <si>
    <t>8B</t>
  </si>
  <si>
    <t>-21.198531, 55.536090</t>
  </si>
  <si>
    <t>Le Chalet Gadyamb sera pour vous un cocon tout neuf alliant confort et tranquillité mais aussi un pied à terre pour vos aventures en pleine nature !
Le chalet se compose d'une place de parking avec un jardin et une terrasse.
A l'intérieur un coin salon avec table à manger et cuisine équipée, une salle d'eau (avec douche et toilette) 
2 chambre : une chambre double et une chambre avec 2 lits simples</t>
  </si>
  <si>
    <t>Situé dans un lotissement où règnent calme et sérénité, le Chalet Gadyamb saura vous accueillir.</t>
  </si>
  <si>
    <t>parking , jardin , four , TV , linge de maison , salon , micro-ondes , wifi , douche , terrasse , frigo , cuisine équipée</t>
  </si>
  <si>
    <t>Espèces,airbnb,Le bon coin</t>
  </si>
  <si>
    <t>4cc5422a</t>
  </si>
  <si>
    <t>galerie::galerie_Files_/e4ef8331.Path.072112.webp</t>
  </si>
  <si>
    <t>CSC564HTO</t>
  </si>
  <si>
    <t xml:space="preserve">Les Terrasses du Volcan </t>
  </si>
  <si>
    <t xml:space="preserve"> Chemin du Mont Dore</t>
  </si>
  <si>
    <t>-21.237468, 55.560228</t>
  </si>
  <si>
    <t>0692255625</t>
  </si>
  <si>
    <t>Le chalet bénéficie d'une magnifique vue sur toute la côte sud depuis les hauteurs des plaines. Vous serez niché au cœur d'un jardin de 1000 m², ou vous trouverez calme et tranquillité. Ce logis se fera un plaisir de vous accueillir pour un moment romantique ou conviviale en famille. Minimum 2 nuits
Un grand jardin clôturé permettra aux enfants de jouer en toute tranquillité pendant que les parents préparent le barbecue. Le soir venu 4 chambres ayant chacune leur thème vous attendrons et vous permettrons de passer d'agréables moments en famille. Le poêle à bois vous attendra afin de passer un bon moment au coin du feu.</t>
  </si>
  <si>
    <t>Cette magnifique villa située à la plaine des cafres dans un cadre tranquille et reposant.</t>
  </si>
  <si>
    <t>poêle à bois , fer et planche à repasser , vue montagne , grand espace , linge de maison , parking , salon , chauffage , TV , accès internet , lave-linge , sèche-cheveux , cuisine extérieure</t>
  </si>
  <si>
    <t>GiJe5625c4</t>
  </si>
  <si>
    <t>38018f53</t>
  </si>
  <si>
    <t>galerie::galerie_Files_/bfa508d9.Path.104825.webp</t>
  </si>
  <si>
    <t>Les Locations d'Elo &amp; Jul</t>
  </si>
  <si>
    <t>chemin René Gonthier</t>
  </si>
  <si>
    <t>-21.309299, 55.533525</t>
  </si>
  <si>
    <t>0693808129</t>
  </si>
  <si>
    <t>La maison se trouve dans un endroit très calme avec vue sur mer et montagne (à 15min de Saint-Pierre et à 10 min du centre ville du Tampon). Les Locations d'Elo &amp; Jul possèdent du Wifi, une piscine tubulaire et spa gonflable avec terrasse, cuisine américaine et salon équipée.
Endroit calme avec vue mer et montagne, maison équipée d'un spa avec terrasse, barbecue, petit jardin et piscine idéal pour la détente</t>
  </si>
  <si>
    <t>Situées au Tampon, les Locations d'Elo &amp; Jul est une maison de 125m² avec une capacité d'accueil de 6 personnes.</t>
  </si>
  <si>
    <t>En venant du centre ville du Tampon, prendre la direction de Mont Vert les Hauts. Les Locations d'Elo &amp; Jul se situe à l'entrée de Bérive.</t>
  </si>
  <si>
    <t>cuisine équipée , salon , salon de jardin , piscine , jacuzzi , vue montagne , vue mer , parking , jardin , accessible aux personnes à mobilité réduite , SPA</t>
  </si>
  <si>
    <t>booking,airbnb,Chèque,Espèces,Chèques vacances</t>
  </si>
  <si>
    <t>LaEl8129eV</t>
  </si>
  <si>
    <t>bf938569</t>
  </si>
  <si>
    <t>CSC396HT@</t>
  </si>
  <si>
    <t>Villa des Calistémons</t>
  </si>
  <si>
    <t>Grand Tampon</t>
  </si>
  <si>
    <t>-21.275450, 55.581340</t>
  </si>
  <si>
    <t>0692644339</t>
  </si>
  <si>
    <t>0692025648</t>
  </si>
  <si>
    <t>Notre Villa des calistémons - location saisonnière dispose d'une vue panoramique sur tout le sud (mer et montagnes), le terrain de pétanque et la table de ping pong.
Les enfants pourront profiter du jardin de 1000 m2.
Spacieuse et bien équipée, nous pouvons accueillir jusqu'à 10 personnes à dormir. 
Elle comporte :
- 3 grandes chambres avec lit double
- 1 salon (avec 2 clic clac)
- 1 grande terrasse vitrée avec vue panoramique- 1 cuisine intérieure 
- 1 cuisine extérieure avec coin " feu de bois "
- 2 salles de bain-
- 2 toilettes
Nos tarifs :
- week - end (vendredi à dimanche 17h00) : 350 €
- semaine (7 nuits) : 550 €- la nuit supplémentaire : 50 €
Tarifs dégressifs en fonction de la durée.
Modalités de réservation : 
- acompte : 150 €
- solde : le jour de l'arrivée
- caution : 200 €</t>
  </si>
  <si>
    <t>Bienvenue dans la fraîcheur des hauts!</t>
  </si>
  <si>
    <t>salle de bain , cuisine équipée , cuisine au bois , cuisine extérieur , terrasse , grand espace , table de ping-pong , jardin arboré , salon</t>
  </si>
  <si>
    <t>sentier de randonnée,équitation,point de vue panoramique,forêt,sites touristiques</t>
  </si>
  <si>
    <t>BeMa5648Zf</t>
  </si>
  <si>
    <t>fc29002b</t>
  </si>
  <si>
    <t>Lékazaline</t>
  </si>
  <si>
    <t>chemin du Petit Bois</t>
  </si>
  <si>
    <t>piton hyacinthe</t>
  </si>
  <si>
    <t>-21.220364, 55.530418</t>
  </si>
  <si>
    <t>lekazaline@gmail.com</t>
  </si>
  <si>
    <t>0692 01 13 21</t>
  </si>
  <si>
    <t>Lékazaline, vous ouvre ses portes tout au long de l’année. Idéale pour passer un bon moment en famille ou entre amis, elle se compose de : 
- 5 chambres
- 2 dortoirs dont 1 composé de 8 couchages et le second de 7 couchages 
- Le linge de maison vous ai fournis 
- 2 salles de bains et 2 wc
- Cheminée 
- 2 salons équipés de télévision 
- Wifi YouTube zeop….
- Salle à manger 
- Barbecue 
- Cuisine équipée :marmite, micro onde, vaisselles, cafetières ,bouteilles de gaz a disposition …..                                         
- Piscine                                                            
Villa d’une Capacité de 20 personnes, située à la plaine de cafres dans un environnement calme et reposant. La musique est tolérée dans la limite du raisonnable. 
Tarif minimum pour la nuit 250€ pour 10 personnes tarifs dégressifs selon le nombre de personnes.
Une caution de 800€ vous sera demandée. 
Au  plaisir de vous accueillir.Pour plus de renseignements merci de nous contactez au « 06 92 34 80 55 »</t>
  </si>
  <si>
    <t>location saisonnière, sur piton hyacinthe, dans un cadre calme et reposant</t>
  </si>
  <si>
    <t>L'hébergement se trouve non loin de l'école Piton Hyacinthe</t>
  </si>
  <si>
    <t>parking , cour clôturée , salle à manger , cuisine équipée , cuisine au bois , cuisine extérieur , frigo , micro-ondes , Cafetière , piscine , cheminée , TV , wifi , barbecue</t>
  </si>
  <si>
    <t>centre commercial,point de vue panoramique,commerce alimentaire,équitation,forêt,sites touristiques,arrêt bus</t>
  </si>
  <si>
    <t>27e92ea8</t>
  </si>
  <si>
    <t>50e5913f</t>
  </si>
  <si>
    <t>galerie::galerie_Images/dad0cb29.Path.051510.jpg</t>
  </si>
  <si>
    <t>CSC565HTP</t>
  </si>
  <si>
    <t>caution de 800 euros
location uniquement les week-end</t>
  </si>
  <si>
    <t>Lé Yabar - Table d'hôtes</t>
  </si>
  <si>
    <t>Table d'hôte ; Plantation ; Restauration traditionnelle</t>
  </si>
  <si>
    <t>Agriculture Biologique : AB</t>
  </si>
  <si>
    <t>Chemin du Grand Tampon</t>
  </si>
  <si>
    <t>-21.289597, 55.550919</t>
  </si>
  <si>
    <t>leyabar.re@gmail.com</t>
  </si>
  <si>
    <t>0692412658</t>
  </si>
  <si>
    <t>Dans un cadre agréable avec une vue imprenable, Lé Yabar vous invite à redécouvrir les légumes longtemps a travers des plats originaux, dans une ambiance familiale.
Sur réservation, table d'hôtes 2 fois par mois</t>
  </si>
  <si>
    <t>Un doux mélange des "cultures" et des saveurs Yab et Malbar, pour vous proposez une cuisine originale à base de produits bio de l'exploitation.</t>
  </si>
  <si>
    <t>Depuis le Tampon prenez la direction de Bérive, passé le Pont Payet, tourner à gauche vers Notre Dame de la Paix sur le chemin du Grand Tampon. Vous nous trouverez au numéro 133 sur la gauche.</t>
  </si>
  <si>
    <t>salon de jardin , jardin arboré , parking , piscine</t>
  </si>
  <si>
    <t>cc1819b6</t>
  </si>
  <si>
    <t>867e7a6f</t>
  </si>
  <si>
    <t>galerie::galerie_Images/8dde3fd0.Path.072534.jpg</t>
  </si>
  <si>
    <t>Lé Yabar</t>
  </si>
  <si>
    <t>Agrotourisme</t>
  </si>
  <si>
    <t>Agriculture Biologique : AB,100% La Réunion</t>
  </si>
  <si>
    <t>Chemin Grand Tampon</t>
  </si>
  <si>
    <t>-21.289614, 55.550896</t>
  </si>
  <si>
    <t>Entreprise familiale depuis 2017
fruits et légumes, visite de l'exploitation, atelier culinaire, beignet lontan et jus de canne lontan
Exploitation sur laquelle il y a une maison avec terrasse ouverte avec vue panoramique sur toute la partie sud
PRODUIT EN COURS DE CREATION : Journée découverte "dans les bottes d'un agriculteur" de 8h30 à 15h30 initiation à l'activité d'agriculteur et atelier culinaire, initiation au séga - maloya. Minimum 2 personnes et maximum 30 personnes. A partir de 3 ans. Tarif 60 euros adulte et 40 euros enfant (tout compri : petit dej, activités, déjeuner)</t>
  </si>
  <si>
    <t>Produits dérivés de la canne, douceurs indiennes, mix des 2 cultures, de la production à la transformation
Prestataires de service : cocktail, vins d'honneur....</t>
  </si>
  <si>
    <t>Direction Bérive, passer le bas de Terrain Fleuri, passer le pont payet, en sortie, à 100m après le pont payet, il y a la route de NDP, la CD36, vers Grand Tampon...
Après 5 min de montée, sur la gauche en montant... il y a un panneau</t>
  </si>
  <si>
    <t>ateliers , visites pédagogiques</t>
  </si>
  <si>
    <t>sentier de randonnée,forêt,sites touristiques,hébergements,parc notre dame de la paix</t>
  </si>
  <si>
    <t>7fd4ca52</t>
  </si>
  <si>
    <t>galerie::galerie_Images/0b61a4dd.Path.062517.jpg</t>
  </si>
  <si>
    <t>Visite davril 2023 : la table d'hôte ava être mise en pause probablement, pour se concentrer sur des journées de visite; 
Ils auront besoin de la liste des hébergements à proximité pour soutenir un combo
Concernant les animaux, si la structure est réservée exclusivement l'accueil de l'animal est à négocier, sinon non.</t>
  </si>
  <si>
    <t>-21.243691, 55.472233</t>
  </si>
  <si>
    <t>marie-christine.techer@hotmail.fr</t>
  </si>
  <si>
    <t>0692110876</t>
  </si>
  <si>
    <t>Au bout de la rue Commerce, tournez sur votre droite direction la Ravine des Citrons.  300 mètres plus loin sur votre gauche prendre chemin le Bord. Faites 700 mètres.</t>
  </si>
  <si>
    <t>TéJu5125oO</t>
  </si>
  <si>
    <t>555f637b</t>
  </si>
  <si>
    <t>galerie::galerie_Images/6a878171.Path.065857.jpg</t>
  </si>
  <si>
    <t xml:space="preserve">Le Beaucarnea </t>
  </si>
  <si>
    <t>Rue de Finlande</t>
  </si>
  <si>
    <t>-21.275923, 55.507363</t>
  </si>
  <si>
    <t>Studio pour 2 personnes situé à l'étage de la maison du propriétaire. Terrasse mise a disposition chez le propriétaire. Dispose d'une place de parking. Salle de bains équipée d'une douche, lave linge collectif disponible sur demande.
Accepte les animaux de compagnie (en fonction de la taille)</t>
  </si>
  <si>
    <t>Studio situé dans le quartier de la chatoire à proximité de la clinique Durieux</t>
  </si>
  <si>
    <t>Une fois arrivé à la clinique Durieux, continuer sur quelques mètres puis prendre à droite sur la rue de Finlande, l'hébergement se trouve au numéro 8</t>
  </si>
  <si>
    <t>lave linge collectif , linge de maison , parking , ventilateur , TV , wifi gratuit , micro-ondes , linge de toilette , douche , terrasse , Cafetière , frigo , Lit parapluie sur demande , serviettes. , cour clôturée , kitchenette équipée</t>
  </si>
  <si>
    <t>arrêt bus,pharmacie,poste - boite aux lettres,restaurants,tabac presse,station service,centre commercial,clinique</t>
  </si>
  <si>
    <t>98d59467</t>
  </si>
  <si>
    <t>galerie::galerie_Images/336a09a6.Path.062123.jpg</t>
  </si>
  <si>
    <t>VILLA JB</t>
  </si>
  <si>
    <t>chemin Liane café</t>
  </si>
  <si>
    <t>-21.377852, 55.649043</t>
  </si>
  <si>
    <t>jeannickgrondin70@gmail.com</t>
  </si>
  <si>
    <t>0692889303</t>
  </si>
  <si>
    <t>billard , barbecue , accès internet , parking , piscine , terrasse , garage , équipement sportif</t>
  </si>
  <si>
    <t>commerce de proximité…,riviere</t>
  </si>
  <si>
    <t>15f8de28</t>
  </si>
  <si>
    <t>a861ea76</t>
  </si>
  <si>
    <t>galerie::galerie_Images/b9bffcdc.Path.055125.jpg</t>
  </si>
  <si>
    <t>CSC416HT@</t>
  </si>
  <si>
    <t xml:space="preserve"> Route Forestière 36 de Basse Vallée</t>
  </si>
  <si>
    <t>0692872543</t>
  </si>
  <si>
    <t>Le Gîte Théophane &amp; Yoleine se compose de 4 chambres de 6 personnes soit 24 places avec table d’hôtes. Possibilité de manger sur place le midi et le soir sur réservation. La restauration est une cuisine créole traditionnelle avec des spécialités du Sud Sauvage, salade de palmiste, vacoa, choca, pousses de bambous selon la saison... Situé en plein cœur de la forêt de Basse Vallée, le gite se situe dans une forêt aux espèces endémiques de Saint Phillipe. Endroit calme et convivial.
15 euros par enfant : nuit 
20 euros par adulte : nuit
10 euros le petit déjeuner
30 euros le repas ou le déjeuner
Repas de l'apéritif au dessert (avec boisson comprise)</t>
  </si>
  <si>
    <t>vue montagne , sur réservation , grand espace , vue mer , linge de maison , parking , salon , jardin , espace de restauration , restauration , sanitaires communs , douche , terrasse , bibliothéque , salon de jardin , Cuisine de produits frais locaux , jardin arboré , cuisine au bois , petit déjeuner créole ou classique , salle de bain commune</t>
  </si>
  <si>
    <t>BèJi2543d8</t>
  </si>
  <si>
    <t>d8752eb0</t>
  </si>
  <si>
    <t>visite du jardin 1h à 1h30 sur réservation uniquement pour les clients du gîte tarif de 5 euros par personne (payant à partir de 18 ans)</t>
  </si>
  <si>
    <t>Art &amp; Artisanat ; Restaurant ; Souvenirs ; salle d'exposition</t>
  </si>
  <si>
    <t>-21.249713, 55.470883</t>
  </si>
  <si>
    <t>contact@vavangart.com</t>
  </si>
  <si>
    <t>0692609928</t>
  </si>
  <si>
    <t>Lieu de vie en plein centre du Village de l'Entre Deux</t>
  </si>
  <si>
    <t>Direction centre ville, se garer au parking de la maire ou de l'Eglise</t>
  </si>
  <si>
    <t>accès internet , restauration , billard , ateliers</t>
  </si>
  <si>
    <t>sentier de randonnée,riviere,point de vue panoramique,commerce alimentaire,forêt,sites touristiques,arrêt bus,poste - boite aux lettres,jardin,transports en commun,sites - lieux culturels,Centre - Ville,pharmacie,boulangerie,pâtisserie,restaurants,sentiers de randonnées,randonnées,sentiers VTT,Sentier de randonnée,centre ville</t>
  </si>
  <si>
    <t>MaNa1659A5</t>
  </si>
  <si>
    <t>77bbeb1f</t>
  </si>
  <si>
    <t>galerie::galerie_Images/1d3d2e65.Path.062143.png</t>
  </si>
  <si>
    <t>Possibilité de se restaurer sur place.</t>
  </si>
  <si>
    <t>Kaban'a Jus</t>
  </si>
  <si>
    <t>Gato Peï ; Jus de fruits frais</t>
  </si>
  <si>
    <t>48</t>
  </si>
  <si>
    <t>RN2</t>
  </si>
  <si>
    <t>-21.369338, 55.726241</t>
  </si>
  <si>
    <t>nathalie.leichnig2@wanadoo.fr</t>
  </si>
  <si>
    <t>0692 76 72 46</t>
  </si>
  <si>
    <t>Un espace pour se rafraîchir avec des boissons de fruits frais et grignoter des gato peï sans lait, sans beurre, ou boire un bon café à la vanille</t>
  </si>
  <si>
    <t>Atelier terrasse pour déguster des jus de fruits frais et de légumes, smoothies, et gato peï, en toute simplicité et convivialité, en familles comme entre amis.</t>
  </si>
  <si>
    <t>RN2, en face de l'école du Baril, en contrebas, la kaban est là</t>
  </si>
  <si>
    <t>jardin , parking , espace de restauration , sanitaires privés , boutique , terrasse , wifi gratuit , jardin arboré</t>
  </si>
  <si>
    <t>sentier de randonnée,sentier de grande randonnée,site - lieu culturel,point de vue panoramique,commerce alimentaire,équitation,forêt,arrêt bus,jardin,pêche,restaurants,transports en commun,ferme équestre,sentiers de randonnées,sites touristiques,tunnels de lave,littoral,sites - lieux culturels,sentiers de randonnée,route des laves,centre équestre,sentiers VTT,randonnées,Centres équestres,commerce de proximité…</t>
  </si>
  <si>
    <t>715fa66f</t>
  </si>
  <si>
    <t>fced1090</t>
  </si>
  <si>
    <t>galerie::galerie_Images/9126519c.Path.051144.jpg</t>
  </si>
  <si>
    <t>Samedi et dimanche =&gt; fermé</t>
  </si>
  <si>
    <t>Kaban' à Vanille</t>
  </si>
  <si>
    <t>Indication Géographique Protégée : IGP</t>
  </si>
  <si>
    <t>-21.369324, 55.726204</t>
  </si>
  <si>
    <t>0262 37 12 45</t>
  </si>
  <si>
    <t>0692683827</t>
  </si>
  <si>
    <t>https://la-kabana-vanille.business.site/</t>
  </si>
  <si>
    <t>La visite est gratuite et se fait sur réservation pour un groupe de 12 personnes maximum. Ouvert du lundi au vendredi de 9h30 à 17h30 non stop.</t>
  </si>
  <si>
    <t>Situé à Saint-Philippe, agriculteur de métier, Harry Leichnig propose la découverte et la fabrication de la vanille depuis la fécondation de la fleur jusqu'à la commercialisation de la gousse.
Possibilité d'admirer la liane de vanille dans le jardin</t>
  </si>
  <si>
    <t>De l'Ouest, passer l'église de Basse Vallée, puis dépasser le Leader Price, le kiosque de Kaban à Vanille Vanille 100% Réunion se trouve à droite.
De l'Est, passer la balance de cannes, monter la petite côte, le kiosque de Vanille 100% Réunion se trouve à gauche en face de l'école du Baril.</t>
  </si>
  <si>
    <t>jardin , parking , wifi , sanitaires privés , boutique , accès internet , terrasse</t>
  </si>
  <si>
    <t>sentier de randonnée,commerce alimentaire,pêche,parking public,site - lieu culturel,point de vue panoramique,sentier de grande randonnée,jardin,forêt,arrêt bus,restaurants,ferme équestre,sentiers de randonnées,commerces,sites touristiques,tunnels de lave,littoral,sites - lieux culturels,route des laves</t>
  </si>
  <si>
    <t>Chèque,Espèces,Carte Bancaire,Virement</t>
  </si>
  <si>
    <t>LeNa3827c0</t>
  </si>
  <si>
    <t>526d55a7</t>
  </si>
  <si>
    <t>galerie::galerie_Images/e32cb660.Path.093802.jpg</t>
  </si>
  <si>
    <t>La vanille des deux frères Leichnig y est vendue</t>
  </si>
  <si>
    <t xml:space="preserve">Le Four à Pain </t>
  </si>
  <si>
    <t>63 C</t>
  </si>
  <si>
    <t>RN2 Le Baril</t>
  </si>
  <si>
    <t>0692 36 61 55</t>
  </si>
  <si>
    <t>Depuis le Sud prendre la RN2 jusqu'au Baril, l'établissement se trouvera sur la route après le Leader Price de Saint-Philippe.</t>
  </si>
  <si>
    <t>climatisation , jardin , parking , piscine , sanitaires privés</t>
  </si>
  <si>
    <t>HuJo6155WM</t>
  </si>
  <si>
    <t>cedb254c</t>
  </si>
  <si>
    <t>galerie::galerie_Images/f25bc29c.Path.055353.png</t>
  </si>
  <si>
    <t>Chemin Safer</t>
  </si>
  <si>
    <t>Forêt de Mare Longue</t>
  </si>
  <si>
    <t>-21.357488, 55.752812</t>
  </si>
  <si>
    <t>0692784323</t>
  </si>
  <si>
    <t>Située à Saint-Philippe, la Ferme Auberge Le Ti’Planteur vous accueille dans un cadre paisible avec vue sur l’océan, et met à disposition un parking privé gratuit.
L’établissement propose 6 hébergements : 5 chambres doubles climatisées, et un bungalow familial (2 adultes, 2 enfants et 1 bébé). Chaque logement dispose d’une salle d’eau privative avec WC, d’une télévision à écran plat, d’un réfrigérateur, et s’ouvre sur une terrasse. Certains hébergements sont également équipés d’une kitchenette avec micro-ondes et plaque de cuisson.
Un jardin verdoyant invite à la détente.
Le soir, des repas sont proposés sur réservation. Pour les groupes à partir de 10 personnes, une table d’hôtes est ouverte midi et soir, sur réservation également.</t>
  </si>
  <si>
    <t>Au cœur d'une exploitation agricole où l'on retrouve des letchis, des palmistes, des fleurs exotiques. Vue splendide sur mer et montagne.</t>
  </si>
  <si>
    <t>L'établissement est situé sur une exploitation agricole. Il se situe à 5 min de la RN et du Jardin Parfums des Épices.
NE PAS PRENDRE LE CHEMIN SAFER !!</t>
  </si>
  <si>
    <t>climatisation , vue montagne , grand espace , vue mer , linge de maison , parking , jardin , TV , espace de restauration , sanitaires privés , salle de réunion - séminaire , sanitaires communs , linge de toilette , douche , frigo , jardin arboré , serviettes. , repas originaux et traditionnels , parking sécurisé , produits de la ferme</t>
  </si>
  <si>
    <t>sentier de randonnée,site - lieu culturel,point de vue panoramique,équitation,forêt,arrêt bus,poste - boite aux lettres,jardin,pêche,sites touristiques,sites - lieux culturels,tunnels de lave,boulangerie,tabac presse</t>
  </si>
  <si>
    <t>PoEr4323a3</t>
  </si>
  <si>
    <t>8a4af4ca</t>
  </si>
  <si>
    <t>galerie::galerie_Images/b0f593ef.Path.045632.jpg</t>
  </si>
  <si>
    <t>Presta pas content son hébergement n'est pas recommandé par les BIT selon elle</t>
  </si>
  <si>
    <t>L'Instant d'Évasion 2</t>
  </si>
  <si>
    <t>36 D</t>
  </si>
  <si>
    <t>chemin de la Grande Ferme</t>
  </si>
  <si>
    <t>-21.221070, 55.589335</t>
  </si>
  <si>
    <t>La maison est jumelée avec l'Instant d'Évasion 1, vous avez la possibilité de louer les deux maisons pour une capacité d'accueil de huit personnes.
La maison est située à 15 minutes en voiture d'un cabinet médical, pharmacie... , à 2 minutes en voiture de la cité du volcan et de l'office de tourisme, restaurant et supérette. vous bénéficierez d'une table d'hôtes à 2 minutes à pied de la maison.
La maison dispose d'une cuisine américaine ouverte sur le salon, entièrement équipée avec four, four micro-onde, plaque à induction, casseroles, poêles, vaisselles, plats à four, verres à vins, verres à champagnes... cafetière Senséo et à filtre pour tous les amateurs de café, boule à thé, gaufriers... et bien d'autres encore.
Le salon dispose d'un canapé lit de 140 /190, table basse et d'une télévision a écran plat fixé au mur. La salle de bain au rez-de-chaussée dispose d'une baignoire Balnéo, grand vasque et wc, porte serviette et lave-linge sèche linge (un 2 en 1) sèche cheveux et pèse personne.
A l'étage, la chambre est aménagée avec un lit double de 160/ 200 avec vue sur Piton des Neiges, d'un fauteuil, une armoire avec de nombreux rangements et d' un miroir (taille d'une personne)
L'accès à la chambre se fait par des escaliers en colimaçon. Vous aimerez l'ambiance chalet de montagne.
L'extérieur a été aménagé avec goût et amour, fleurs et plantes donnent de la couleurs et de beaux parfums. Le BBQ weber n'attend plus que vos brochettes pour des soirées sous les étoiles de La plaines des Cafres.
Une place de parking est disponible dans la résidence accès avec un portail manuel qui ferme à clé.
Voici les activités touristiques et balades à faire autour de la maison : La Plaine des Palmistes (20 minutes en voiture), Piton de la Fournaise (44 minutes en voiture), Volcan (55 minutes en voiture) Forêt Notre Dame de la Paix ( 10 minutes en voiture) Parcours de santé ( Le Tamar haut à 2 minutes en voiture) les loisirs comme quad, équitation, Vtt sont à moins de 5 minutes en voiture de la maison - estimation faite sur Waze.
Accès au parking privé et sécurisé avec possibilité de garer jusqu'à 2 voitures par logement (voir la fiche de l'établissement l'Instant d'Évasion 1).</t>
  </si>
  <si>
    <t>Des vacances en plein cœur de la nature vous ravira ! L'Instant d'Évasion 2 est une superbe maison neuve pouvant accueillir quatre personnes. Vous pourrez admirer la splendide vue sur le Piton des neiges et La Plaine des Cafres.</t>
  </si>
  <si>
    <t>lave-linge , four , barbecue , TV , terrasse , jardin , parking sécurisé , accès internet , cuisine équipée , Cafetière</t>
  </si>
  <si>
    <t>sentier de randonnée,équitation,site - lieu culturel,point de vue panoramique,forêt,sites touristiques,arrêt bus,station essence,pharmacie,restaurants,Maison du Volcan,hébergements,Cabaret Pat'Jaune,Point de vue du Belvédère de Bois court</t>
  </si>
  <si>
    <t>69eafc7a</t>
  </si>
  <si>
    <t>galerie::galerie_Images/9257b493.Path.073344.jpg</t>
  </si>
  <si>
    <t>CSC505HT@</t>
  </si>
  <si>
    <t>Tarification au 21/03/2023 : voir la photo en pièce jointe transmise par Madame ABLANCOURT le 20 mars 2023.</t>
  </si>
  <si>
    <t xml:space="preserve">Le Randonneur </t>
  </si>
  <si>
    <t>0693 11 30 04</t>
  </si>
  <si>
    <t>0692780450</t>
  </si>
  <si>
    <t>http://www.gitelerandonneur.net/</t>
  </si>
  <si>
    <t>piscine , linge de maison , petit déjeuner créole ou classique , sanitaires communs , vue montagne , douche</t>
  </si>
  <si>
    <t>NaJe0450F5</t>
  </si>
  <si>
    <t>281f907e</t>
  </si>
  <si>
    <t>rue Georges Pompidou</t>
  </si>
  <si>
    <t>-21.251945, 55.519944</t>
  </si>
  <si>
    <t>0262 59 17 43</t>
  </si>
  <si>
    <t>Situé dans la commune du Tampon, l'Auberge de Campagne Fleur de Vanille, labellisée Gîtes de France, propose une cuisine créole traditionnelle dans un cadre agréable et reposant.
Table d'hôte uniquement le midi sur réservation (pas de repas le soir) à partir de 20 couverts</t>
  </si>
  <si>
    <t>Table d'hôtes - Fleur de Vanille</t>
  </si>
  <si>
    <t>barbecue , chauffage , jardin , parking</t>
  </si>
  <si>
    <t>7fcd7830</t>
  </si>
  <si>
    <t>galerie::galerie_Images/c8876b54.Path.044828.jpg</t>
  </si>
  <si>
    <t>-21.369090, 55.671357</t>
  </si>
  <si>
    <t>0692398554</t>
  </si>
  <si>
    <t>Situé à Vincendo, "les Grands Monts" vous invite dans le charme de sa bâtisse en pierre du XIX ème siècle. Anciennement écurie puis devenue une rhumerie, l'établissement a ensuite été rénové et vous accueille désormais dans 4 chambres de charme.
Vous vivrez une expérience unique.
Cette maison d'hôtes élégante et raffinée vous propose ainsi un séjour au cœur de l'histoire réunionnaise.</t>
  </si>
  <si>
    <t>Chambre d'hôtes atypique située dans un endroit calme</t>
  </si>
  <si>
    <t>En direction de Vincendo, prendre le chemin sur la gauche avant la Pharmacie (Après chemin mouton) puis continuer jusqu'à la prochaine intersection, prendre à gauche.</t>
  </si>
  <si>
    <t>piscine , jardin , linge de maison , parking , restauration , wifi gratuit , sanitaires privés , douche , salon de jardin , linge de toilette , Cuisine de produits frais locaux , jardin arboré , Petit déjeuner à toutes heures , piscine chauffée , jardin clôturé , bibliothéque , parking sécurisé , petit déjeuner créole ou classique , varangue , vue montagne</t>
  </si>
  <si>
    <t>sentier de randonnée,riviere,centre commercial,pêche,sites touristiques,arrêt bus,transports en commun,commerces,station service,centre médical,Point chaud,boulangerie,tabac presse,médecin,pharmacie</t>
  </si>
  <si>
    <t>6dfcdd40</t>
  </si>
  <si>
    <t>galerie::galerie_Images/b99a582b.Path.084947.jpg</t>
  </si>
  <si>
    <t>CSC400HT@</t>
  </si>
  <si>
    <t>La Kaz Jaune</t>
  </si>
  <si>
    <t>1 A</t>
  </si>
  <si>
    <t>-21.361581, 55.760576</t>
  </si>
  <si>
    <t>janine.huet@live.fr</t>
  </si>
  <si>
    <t>0693312226</t>
  </si>
  <si>
    <t>La Kaz Jaune ☀️vous accueille pour vos séjours de courtes et moyennes durée.
Située à St Philippe, Elle a une capacité de 6 personnes. Maison tout confort, jacuzzi 👙, barbecue, terrasse et véranda couverte. Garage fermé et cour clôturée.
Petit jardinet pour les petits et les grands.</t>
  </si>
  <si>
    <t>Les Maisons Multicolores - LA KAZ JAUNE☀️</t>
  </si>
  <si>
    <t>Depuis le Sud, prendre la RN2 en direction de Saint-Philippe, dans le quartier de Mare Longue, l'établissement se trouvera après un garage.</t>
  </si>
  <si>
    <t>jardin , jacuzzi</t>
  </si>
  <si>
    <t>commerce alimentaire,restaurants,poste - boite aux lettres</t>
  </si>
  <si>
    <t>279713c7</t>
  </si>
  <si>
    <t>d382bb72</t>
  </si>
  <si>
    <t>galerie::galerie_Images/bbcdbc17.Path.105703.jpg</t>
  </si>
  <si>
    <t>CSC467HT@</t>
  </si>
  <si>
    <t>205</t>
  </si>
  <si>
    <t>rue Edmond Albius</t>
  </si>
  <si>
    <t>-21.353036, 55.613163</t>
  </si>
  <si>
    <t>0692199793</t>
  </si>
  <si>
    <t>HoDi9793mU</t>
  </si>
  <si>
    <t>1c6af6f8</t>
  </si>
  <si>
    <t>-21.195226, 55.536723</t>
  </si>
  <si>
    <t>rivierepailleenqueue.974@gmail.com</t>
  </si>
  <si>
    <t>0692243173</t>
  </si>
  <si>
    <t>Maison créole située au bois court à la plaine des Cafres. Elle se compose de 3 chambres , 1 salle de bain, 1 salon, 1 cuisine pouvant accueillir jusqu'à 6 personnes.</t>
  </si>
  <si>
    <t>Chez Ti Roland et Josie</t>
  </si>
  <si>
    <t>Cafetière , micro-ondes , TV , frigo , linge de maison , linge de toilette , lave-linge , cuisine équipée , parking</t>
  </si>
  <si>
    <t>commerce alimentaire,transports en commun,station service,sentier de grande randonnée,village du grand bassin</t>
  </si>
  <si>
    <t>airbnb,Virement</t>
  </si>
  <si>
    <t>RiSc3173wI</t>
  </si>
  <si>
    <t>feb1d5cb</t>
  </si>
  <si>
    <t xml:space="preserve">Le Paille en Queue </t>
  </si>
  <si>
    <t>impasse des Lys</t>
  </si>
  <si>
    <t>0262 59 03 66</t>
  </si>
  <si>
    <t>douche , linge de maison , sanitaires communs</t>
  </si>
  <si>
    <t>435244a3</t>
  </si>
  <si>
    <t>galerie::galerie_Images/f9600335.Path.100754.jpg</t>
  </si>
  <si>
    <t>Villa de la Pointe</t>
  </si>
  <si>
    <t>80</t>
  </si>
  <si>
    <t>Chemin Pointe du Tampon</t>
  </si>
  <si>
    <t>-21.296194, 55.516767</t>
  </si>
  <si>
    <t>06 41 03 07 26</t>
  </si>
  <si>
    <t>La maison se situe dans un quartier très calme du Tampon. Elle est spacieuse, confortable, très bien équipée et joliment décorée.
Un salon avec un canapé confortable et une grande télé connectée (Netflix/Youtube...) ainsi que son wifi.
Une cuisine très bien équipée : cafetière moulu/nespresso/bouilloire/rice cocker/four/micro onde/robot multifonction/lave vaisselle, frigo et plaque de cuisson électrique.
Vous pourrez profiter très agréablement de son extérieur avec sa piscine sécurisée et chauffée ainsi que son barbecue.
Vous trouverez un cellier avec machine à laver et sèche linge.
La maison a une chambre double et une salle de bain avec WC au RDC. À l'étage, il y a 1 chambre avec lit double et 1 canapé lit et 2 autres chambres (avec 2 lits simples dans chacune mais avec la possibilité de faire un lit double dans chacune d'elle en y mettant un sur matelas - sur demande), puis une salle de bain avec WC.
Vous pourrez garer vos voitures (2 maximum) sur la propriété (portail électrique).</t>
  </si>
  <si>
    <t>Villa La Pointe et son bel extérieur avec piscine</t>
  </si>
  <si>
    <t>barbecue , climatisation , fer et planche à repasser , vue montagne , grand espace , vue mer , linge de maison , salon , chauffage , jardin , TV , lave vaisselle , micro-ondes , wifi , linge de toilette , douche , four , terrasse , Cafetière , frigo , cuisine équipée , salon de jardin , jardin arboré , serviettes. , balcon , piscine chauffée , lave-linge , plaque de cuisson , sèche-cheveux , baignoire</t>
  </si>
  <si>
    <t>équitation,site - lieu culturel,parcours de santé</t>
  </si>
  <si>
    <t>Abritel,airbnb,booking</t>
  </si>
  <si>
    <t>0726mR</t>
  </si>
  <si>
    <t>8c3025f9</t>
  </si>
  <si>
    <t>galerie::galerie_Images/93e2c640.Path.053815.jpg</t>
  </si>
  <si>
    <t>CSC276HT@</t>
  </si>
  <si>
    <t xml:space="preserve">Les Grévilléas </t>
  </si>
  <si>
    <t>7 ter</t>
  </si>
  <si>
    <t xml:space="preserve"> Chemin Antoine Naze</t>
  </si>
  <si>
    <t>0262591797</t>
  </si>
  <si>
    <t>0692692614</t>
  </si>
  <si>
    <t>chauffage , espace de restauration , jardin , parking , piscine , salle de bain privée , sanitaires privés , wifi</t>
  </si>
  <si>
    <t>sentier de randonnée,équitation,VTT,forêt,arrêt bus</t>
  </si>
  <si>
    <t>ViMa2614Vf</t>
  </si>
  <si>
    <t>9b0f8968</t>
  </si>
  <si>
    <t>galerie::galerie_Images/d8cb09e0.Path.114611.jpg</t>
  </si>
  <si>
    <t>Le Filao</t>
  </si>
  <si>
    <t>106 bis</t>
  </si>
  <si>
    <t>route des Géraniums</t>
  </si>
  <si>
    <t>-21.248963, 55.537742</t>
  </si>
  <si>
    <t>camillecorrejean@gmail.com</t>
  </si>
  <si>
    <t>0674962556</t>
  </si>
  <si>
    <t>Le logement dispose d'un séjour/salle à manger. 
La cuisine est équipée d'une plaque à induction ainsi que le nécessaire pour cuisiner. Il y a également une salle de douche et d'une chambre.</t>
  </si>
  <si>
    <t>Le Filao est le lieu idéal pour vous détendre dans une ambiance paisible où vous pourrez admirer une vue imprenable.</t>
  </si>
  <si>
    <t>Depuis Saint-Pierre :
- À la sortie de la 4 voies, suivre la RN3 en direction de la Plaine des Cafres.
- Au rond point du 17ème km tournez à droite (il y a un S'center) ; vous continuer tout droit à l'intersection.
- Vous arrivez en face d'une seconde intersection (un arrêt de bus avec un gouzou dessus), vous prenez à gauche.
Vous continuez jusqu'à ce que vous voyez plusieurs boites aux lettres (106,106bis,108,110...). Vous entrez dans le petit chemin et descendez jusqu'au 106  bis.
Pour accéder à l'hébergement depuis la route des Plaines :
- Vous arriverez directement au niveau du rond-point du 17ème. Vous prenez à gauche (vers S'center) et suivez les étapes à partir de là.</t>
  </si>
  <si>
    <t>sur réservation , linge de maison , salon , espace de restauration , wifi gratuit , douche , Cafetière , kitchenette équipée</t>
  </si>
  <si>
    <t>sentier de randonnée,site - lieu culturel,point de vue panoramique,transports en commun,Centres équestres,route pour aller au volcan,forêt tamarhauts</t>
  </si>
  <si>
    <t>d6ea9e3f</t>
  </si>
  <si>
    <t>f9a903e6</t>
  </si>
  <si>
    <t>galerie::galerie_Images/9025d474.Path.075239.jpg</t>
  </si>
  <si>
    <t>CSC557HTQ</t>
  </si>
  <si>
    <t>308</t>
  </si>
  <si>
    <t>chemin Frappier de Montbenoit</t>
  </si>
  <si>
    <t>-21.212681, 55.549740</t>
  </si>
  <si>
    <t>0693935177</t>
  </si>
  <si>
    <t>Le bungalow est douillé et il est entouré d'un magnifique jardin fleuri.
Le logement est entièrement équipé, linge de maison fourni (draps, serviettes de toilette, torchons de cuisine). Une chambre séparée, un coin toilette et une cuisine entièrement équipée (frigidaire, micro onde). Wifi à disposition.
CHAUFFAGE à disposition en Hiver : De juillet à octobre
Parfait pour les couples et les voyageurs en solo</t>
  </si>
  <si>
    <t>Bungalow de charme situé à la PLAINE DES CAFRES.</t>
  </si>
  <si>
    <t>douche , Cafetière , micro-ondes , frigo , fer et planche à repasser , chauffage , sèche-cheveux , Lit parapluie sur demande , climatisation , linge de maison , linge de toilette , salon , TV , wifi , terrasse , salon de jardin , jardin arboré , cuisine équipée</t>
  </si>
  <si>
    <t>sentier de randonnée,équitation,point de vue panoramique,forêt,sites touristiques,arrêt bus</t>
  </si>
  <si>
    <t>ChSy51775c</t>
  </si>
  <si>
    <t>6009ecff</t>
  </si>
  <si>
    <t>galerie::galerie_Files_/02bfd502.Path.073448.webp</t>
  </si>
  <si>
    <t>La Maison des Remparts</t>
  </si>
  <si>
    <t>chemin de l’Aventure</t>
  </si>
  <si>
    <t>-21.292351, 55.623382</t>
  </si>
  <si>
    <t>boyerline@laposte.net</t>
  </si>
  <si>
    <t>0692352829</t>
  </si>
  <si>
    <t>Maison de cinq chambres (deux des chambres se situent au rez de chaussée, les trois autres sont à l'étage). Le jardin de la maison se trouve à l'entrée de la maison. Ce jardin peut être aménagé (des tables et chaises à disposition) à la convenance des clients. Cuisine aménagé pour les clients pour préparer des plats au feu de bois ou faire des grillades.</t>
  </si>
  <si>
    <t>Venez passer un agréable moment en famille, entre amis ou en amoureux dans notre maison qui se situe à Grand Coude.
Dépaysement, convivialité et calme sont les maitre-mots de notre maison. A proximité de la maison vous trouverez des sentiers de randonnée tel que le sentier marron (vers le volcan) ou encore d'autres sentiers beaucoup plus familiales.</t>
  </si>
  <si>
    <t>Si vous venez de SAINT-PIERRE :
* Au rond-point de Manapany, prenez la deuxième sortie (vers le Leclerc).
* Vous allez rencontrer à nouveau 5 ronds-points, il faudra continuer tout droit (deuxième sortie à chaque fois). 
* Au 5ème rond-point (Panneau Jean-Petit / Grand-Coude), tournez à gauche (troisième sortie) et continuez tout droit. * Restez sur la route principale pendant les 25/30 prochaines minutes. Vous traverserez un grand air de Pique - Nique (Petit serré), à la suite duquel vous trouverez le panneau Grand Coude. 
* Continuez tout droit (5 minutes) vous trouverez la superette de grand coude dans une intersection, aller à gauche.
 * Continuez sur la route, notre allée se trouve à gauche juste après une maison grise à carreaux que vous verrez sur votre droite.
 * Notre maison est la dernière de l'allée. 
Si vous venez de SAINT-PHILIPPE : 
* Sur la route principale, continuez jusqu'à la ville de Saint-Joseph.
 * Au rond-point de la Gare, prenez la première sortie à droite.
 * Allez tout droit (pente avec boulangerie).
 * Avant les feux, prenez la première sortie sur votre droite.
 * Restez sur le chemin principal, et au rond- point, prenez la deuxième sortie (tout droit).
* Restez sur la route principale pendant les 25/30 prochaines minutes. Vous traverserez un grand air de Pique - Nique (Petit serré), à la suite duquel vous trouverez le panneau Grand Coude. 
* Continuez tout droit (5 minutes) vous trouverez la supérette de Grand Coude dans une intersection, aller à gauche.
* Continuez sur la route, notre allée se trouve à gauche juste après une maison grise à carreaux que vous verrez sur votre droite.
 Notre maison est la dernière de l'allée.</t>
  </si>
  <si>
    <t>barbecue , fer et planche à repasser , lave linge collectif , linge de maison , TV satellite , salon , jardin , espace de restauration , wifi gratuit , vue montagne , sur réservation , micro-ondes , salle de bain privée , grand espace , four , jardin arboré , accès internet , salle de bain , cour clôturée , kitchenette équipée , parking sécurisé , frigo , salle à manger , Cafetière , cuisine extérieure , netflix</t>
  </si>
  <si>
    <t>sentier de randonnée,sentier de grande randonnée,commerce alimentaire,site - lieu culturel,point de vue panoramique,forêt,sites touristiques,arrêt bus,transports en commun,sites - lieux culturels,hébergements,Point chaud,stade de foot,épicerie,Terrain de jeux pour enfants,snack</t>
  </si>
  <si>
    <t>663bdba2</t>
  </si>
  <si>
    <t>d6631853</t>
  </si>
  <si>
    <t>galerie::galerie_Images/2689143e.Path.070355.jpg</t>
  </si>
  <si>
    <t>CSC481HT@</t>
  </si>
  <si>
    <t>Au rdc : maison de  2 chambres chambre avec cuisine intérieure + cuisine extérieur et feu de bois. 
A l'étage (accès séparé) il y a  3 autres chambres avec une salle de bain. 
Ce même accès ramène à l'arrière sur un bungalow de 2 personnes avec cuisine et sdb et un bout de jardin.</t>
  </si>
  <si>
    <t xml:space="preserve">Le Nideo </t>
  </si>
  <si>
    <t>Impasse de l'Erebus</t>
  </si>
  <si>
    <t>-21.229773, 55.577775</t>
  </si>
  <si>
    <t>lenideo@yahoo.com</t>
  </si>
  <si>
    <t>0693820050</t>
  </si>
  <si>
    <t>Maison d'une capacité de 11 personnes maximum.
Equipements de la maison :
- 2 chambres doubles , 
- 1 chambre familiale (avec 1 lit double et 2 lits superposées), 
- 1 chambre triple 
+ un lit parapluie
cuisine équipée, 2 salles de bains + 3WC, salon et salle à manger
Equipements extérieur :
un grand jardin avec barbecue, table de pingpong, piscine chauffée et clôturée, coin enfant..</t>
  </si>
  <si>
    <t>Le Nidéo - Location saisonnière à la Plaine des Cafres</t>
  </si>
  <si>
    <t>barbecue , jardin , lave linge privatif , salle de bain privée , TV , linge de maison , parking , salon , wifi gratuit , micro-ondes , sanitaires privés , four , aire de jeux pour enfant , terrasse , salon de jardin , cuisine équipée , piscine chauffée , table de ping-pong , lave-linge , salle à manger , jeux</t>
  </si>
  <si>
    <t>sentier de randonnée,point de vue panoramique,commerce alimentaire,équitation,forêt,arrêt bus</t>
  </si>
  <si>
    <t>fMa0050hp</t>
  </si>
  <si>
    <t>d38f5d79</t>
  </si>
  <si>
    <t>galerie::galerie_Images/3e3e3c1f.Path.044512.jpg</t>
  </si>
  <si>
    <t>Ti Kaz Ananas</t>
  </si>
  <si>
    <t>Table d'hôte ; Chambre d'hôte</t>
  </si>
  <si>
    <t>rue Césaire</t>
  </si>
  <si>
    <t>-21.251010, 55.469322</t>
  </si>
  <si>
    <t>tikazananas.entredeux@gmail.com</t>
  </si>
  <si>
    <t>0692 38 60 48</t>
  </si>
  <si>
    <t>https://www.facebook.com/TiKazAnanasEntreDeux/</t>
  </si>
  <si>
    <t>La chambre a une entrée indépendante. Elle est située à l'arrière de la maison de Madame MOUREAUX. Elle dispose d'une salle de bain privée.</t>
  </si>
  <si>
    <t>Madame MOUREAUX vous accueille dans sa table d'hôtes. Venez découvrir l'Entre-Deux en dégustant les bons plats de TI KAZ ANANAS. Offre réservée aux clients qui séjournent chez TI KAZ ANANAS.</t>
  </si>
  <si>
    <t>Arrivée au village de l'Entre-Deux. Il faut tourner à droite en direction de l'Office de Tourisme. Près de l'Office de Tourisme se trouve un parking, il faudra se garer dans ce parking. La maison se situe à environ 50 mètres dans une impasse au calme.</t>
  </si>
  <si>
    <t>parking public , jardin , salle de bain privée , ventilateur , linge de maison , espace de restauration , restauration , sanitaires privés , douche , salon de jardin , linge de toilette , Cuisine de produits frais locaux , jardin arboré , serviettes. , terrasse , petit déjeuner créole ou classique , cour clôturée , sur réservation , veranda couverte , frigo , varangue , repas originaux et traditionnels , Cafetière , Massages bien être</t>
  </si>
  <si>
    <t>sentier de randonnée,tennis,riviere,centre commercial,parking public,site - lieu culturel,point de vue panoramique,commerce alimentaire,sites touristiques,arrêt bus,poste - boite aux lettres,jardin,transports en commun,sites - lieux culturels,station essence,Centre - Ville,piscine,restaurants,sentiers de randonnées,centre médical,sentiers VTT,quad,hébergements,Point chaud,stade de foot,commerce de proximité…,épicerie,Gare routière,boulangerie,coiffeur,médecin,Terrain de jeux pour enfants,pharmacie,burger…</t>
  </si>
  <si>
    <t>aa879221</t>
  </si>
  <si>
    <t>6c4682f6</t>
  </si>
  <si>
    <t>galerie::galerie_Images/15eaa8a6.Path.074853.jpg</t>
  </si>
  <si>
    <t>CSC469HT@</t>
  </si>
  <si>
    <t>25 euros par personne pour le repas du soir (uniquement).
Le repas du soir comprend : apéritif, plat et dessert. De plus, les boissons non alcoolisés sont comprises.</t>
  </si>
  <si>
    <t xml:space="preserve">Les Pieds Dans l'Eau </t>
  </si>
  <si>
    <t>Rue des Anones</t>
  </si>
  <si>
    <t>-21.376877, 55.600564</t>
  </si>
  <si>
    <t>lespiedsdansleau12@gmail.com</t>
  </si>
  <si>
    <t>0692 03 02 50</t>
  </si>
  <si>
    <t>0692250138</t>
  </si>
  <si>
    <t>Le restaurant Les Pieds dans l’Eau est idéalement situé face à la rivière, avec une terrasse au bord de l’eau.
Cuisine chinoise &amp; créole 
Plats sur place &amp; à emporter
&gt; vérifier les évènements sur leur page Facebook : soirée karaoké</t>
  </si>
  <si>
    <t>Une cuisine créole et chinoise de qualité, au bord de la rivière Langevin. Les plats sont copieux et variés. 
Du lundi au vendredi à partir de 10h .</t>
  </si>
  <si>
    <t>vue montagne , grand espace , vue mer , espace de restauration , restauration , sanitaires communs , terrasse , espace de restauration en extérieur</t>
  </si>
  <si>
    <t>GrJo0138Os</t>
  </si>
  <si>
    <t>a6f2698e</t>
  </si>
  <si>
    <t>galerie::galerie_Images/f25392b4.Path.100415.jpg</t>
  </si>
  <si>
    <t>Le Bougainvillier</t>
  </si>
  <si>
    <t>13</t>
  </si>
  <si>
    <t>chemin de la Petite Chapelle</t>
  </si>
  <si>
    <t>-21.216107, 55.529773</t>
  </si>
  <si>
    <t>bougainvillier97418@gmail.com</t>
  </si>
  <si>
    <t>0692878640</t>
  </si>
  <si>
    <t>Doté d'un jardin et offrant une vue sur la montagne, l'établissement Le Bougainvillier est situé à La Plaine des Cafres. 
Cet hébergement climatisé vous permet de bénéficier d'un parking privé sur place et d'une connexion Wi-Fi gratuite.
Elle dispose d'une télévision par satellite à écran plat. Les serviettes et le linge de lit sont fournis.</t>
  </si>
  <si>
    <t>Nous sommes ravis de vous proposer au sein et notre cocon, deux jolies chambres d’hôtes.</t>
  </si>
  <si>
    <t>wifi , vue montagne , vue mer , jardin arboré , barbecue , climatisation , fer et planche à repasser , linge de maison , parking , salon , chauffage , TV , salle de bain privée , linge de toilette , douche , accès internet , serviettes. , petit déjeuner créole ou classique , salle à manger</t>
  </si>
  <si>
    <t>sites touristiques</t>
  </si>
  <si>
    <t>45991727</t>
  </si>
  <si>
    <t>192bf320</t>
  </si>
  <si>
    <t>galerie::galerie_Images/af3f644a.Path.062345.jpg</t>
  </si>
  <si>
    <t>CSC458HT@</t>
  </si>
  <si>
    <t>Au 08/12/2021, la chambre double est à 70 euros par nuit</t>
  </si>
  <si>
    <t xml:space="preserve"> rue de Bel Air</t>
  </si>
  <si>
    <t>-21.330233, 55.605455</t>
  </si>
  <si>
    <t>0692685499</t>
  </si>
  <si>
    <t>barbecue , fer et planche à repasser , four , jardin , lave linge privatif , linge de maison , micro-ondes , salon de jardin , TV</t>
  </si>
  <si>
    <t>GuDo5499sq</t>
  </si>
  <si>
    <t>48a5eb59</t>
  </si>
  <si>
    <t>Horaires flexibles les week-end (ex: arrivée à 16h le vendredi et départ à 16h le dimanche) Recopier sur le site de l'irt</t>
  </si>
  <si>
    <t xml:space="preserve"> Chemin Theophile Gauthier</t>
  </si>
  <si>
    <t>-21.289530, 55.625796</t>
  </si>
  <si>
    <t>0692924648</t>
  </si>
  <si>
    <t>Grande maison avec jardin
Cuisine équipée avec salon
Lit double</t>
  </si>
  <si>
    <t>Location meublé de tourisme au grand air. Brasero, divers activités au jardin.</t>
  </si>
  <si>
    <t>wifi gratuit , salon , salle à manger , salle de bain , cheminée , chauffage , barbecue , jardin , piscine chauffée , parking , cour clôturée</t>
  </si>
  <si>
    <t>LaMa4648dn</t>
  </si>
  <si>
    <t>29d3a846</t>
  </si>
  <si>
    <t>Auberge de campagne Les 4 Saisons</t>
  </si>
  <si>
    <t>Chambre d'hôte ; Table d'hôte</t>
  </si>
  <si>
    <t>chemin Pierre PICARD</t>
  </si>
  <si>
    <t>-21.209970, 55.596873</t>
  </si>
  <si>
    <t>ch.hote4saisons@gmail.com</t>
  </si>
  <si>
    <t>0692 86 42 72</t>
  </si>
  <si>
    <t>C'est endroit calme. 2 chambres disposent d'une salle de bain. Vous pourrez admirer des poissons dans un bassin. Vue panoramique sur le Piton des Neiges. Le repas comprend un apéro, entrée, plat (1 cari), dessert et une bouteille de vin.</t>
  </si>
  <si>
    <t>Prendre la route du Volcan. Il faut faire 300 mètres en prenant le chemin Pierre PICARD. C'est un chemin facile d'accès.</t>
  </si>
  <si>
    <t>parking public , jacuzzi , jardin , salle de bain privée , TV , linge de maison , salon , espace de restauration , restauration , wifi gratuit , sanitaires privés , grand espace , douche , salon de jardin , jardin arboré , salle de bain commune , serviettes. , sauna , cour clôturée , sur réservation , varangue , vue montagne , cuisine au bois</t>
  </si>
  <si>
    <t>sentier de randonnée,centre commercial,parking public,site - lieu culturel,point de vue panoramique,commerce alimentaire,équitation,forêt,sites touristiques,arrêt bus,poste - boite aux lettres,transports en commun,commerces,station essence,restaurants,centre médical,Musée,route du volcan,sentier du piton des neiges,Maison du Volcan,Centres équestres,route pour aller au volcan,Point chaud,stade de foot,épicerie,boulangerie,tabac presse,coiffeur,médecin,Terrain de jeux pour enfants,pharmacie,village du 23ème,village du grand bassin,Cabaret Pat'Jaune,parc notre dame de la paix,Point de vue du Belvédère de Bois court,pâtisserie</t>
  </si>
  <si>
    <t>e5be7e4c</t>
  </si>
  <si>
    <t>ab6df496</t>
  </si>
  <si>
    <t>galerie::galerie_Images/79f7aa91.Path.035802.jpg</t>
  </si>
  <si>
    <t>CSC471HT@</t>
  </si>
  <si>
    <t>-21.248330, 55.468116</t>
  </si>
  <si>
    <t xml:space="preserve">contact@choubidoux-kreation.re </t>
  </si>
  <si>
    <t>0692 25 20 46</t>
  </si>
  <si>
    <t>Création d’accessoires textiles, et ateliers sur demande, ou pour des événements</t>
  </si>
  <si>
    <t>🧵création et fabrication d’accessoires textiles</t>
  </si>
  <si>
    <t>Prendre la rue Fontaine en face de l'office de tourisme. Roulez sur  300 mètres et c'est la 1er maison sur votre gauche au début de la rue Payet en face d'une belle maison créole rose.</t>
  </si>
  <si>
    <t>jardin , boutique , ateliers</t>
  </si>
  <si>
    <t>commerce alimentaire,sentier de randonnée,poste - boite aux lettres,piscine,commerces,restaurants,hébergements,sites touristiques</t>
  </si>
  <si>
    <t>Jo2046w6</t>
  </si>
  <si>
    <t>4df21af6</t>
  </si>
  <si>
    <t>galerie::galerie_Images/9e7022eb.Path.074446.jpg</t>
  </si>
  <si>
    <t>Ils seront en vacances jusqu'au 3 octobre 2025</t>
  </si>
  <si>
    <t xml:space="preserve">Le Comptoir des arts </t>
  </si>
  <si>
    <t>4 C</t>
  </si>
  <si>
    <t>-21.249724, 55.470875</t>
  </si>
  <si>
    <t>0692 67 16 59</t>
  </si>
  <si>
    <t>Ambiance décontractée et familiale pour ce restaurant créatif et décalé, au milieu d'un centre d'art et d'artisanat avec une pépinière d'activités variées. Côté cuisine, du salé avec tapas et plats complets faits maison comme l'ananas farci aux camarons, un bar à desserts, et un super-brunch le dimanche. Également concerts, spectacles, et des kaz à fabrik : boutique de souvenirs, épicerie fine, ateliers (brassage de bière, création peinture/textile/bois, transformation de fruits et légumes), espace enfants. Un tiers-lieu où l'on se sent extrêmement bien !</t>
  </si>
  <si>
    <t>Chèque,Carte Bancaire,Espèces,Tickets restaurant</t>
  </si>
  <si>
    <t>dad7a5c4</t>
  </si>
  <si>
    <t>le 25/04 : nouveau numéro trouvé sur Tripadvisor et Petit Futé : 0692 60 99 28</t>
  </si>
  <si>
    <t>La Case à Nona</t>
  </si>
  <si>
    <t>127</t>
  </si>
  <si>
    <t>Boulevard de l'Océan</t>
  </si>
  <si>
    <t>-21.373940, 55.589908</t>
  </si>
  <si>
    <t>lacaseanona@gmail.com</t>
  </si>
  <si>
    <t>0693 85 16 93</t>
  </si>
  <si>
    <t>Situé à Manapany les bains à deux pas du bassin nous vous proposons une cuisine bistronomique française et sicilienne. 
Nous vous accueillons du mardi au samedi de 7h30 à 22h avec un service continu, du petit-déjeuner 🍳 jusqu’au dîner 🍽 en passant par l’aperitivo 🥂
Tout nos produits son frais, locaux et confectionnés sur place. 
En clair tout est fait maison.
La carte n'est pas fixe, le chef travaille avec des produits de saison.
Le restaurant propose des plats végétariens et vegans.
Formule petit déjeuner sucré ou salé avec jus fait maison.
Belle vue mer</t>
  </si>
  <si>
    <t>Cuisine bistronomique française et sicilienne.</t>
  </si>
  <si>
    <t>A partir de la route nationale prendre la direction de Manapany-Les-Bains, continuer vers le bassin, le restaurant se trouve sur la gauche au numéro 127</t>
  </si>
  <si>
    <t>parking public , vue mer , terrasse , bar</t>
  </si>
  <si>
    <t>point de vue panoramique,sites touristiques,Bassin de Manapany,arrêt bus,sites - lieux culturels,restaurants,hébergements</t>
  </si>
  <si>
    <t>neerlandais,français,créole,anglais,italien</t>
  </si>
  <si>
    <t>08bda014</t>
  </si>
  <si>
    <t>b4be873c</t>
  </si>
  <si>
    <t>galerie::galerie_Images/b2843b0d.Path.064714.jpg</t>
  </si>
  <si>
    <t>Restaurant La Table d'Elvina</t>
  </si>
  <si>
    <t>rue Martin Luther-King</t>
  </si>
  <si>
    <t>-21.374960, 55.595007</t>
  </si>
  <si>
    <t>latabledelvina@gmail.com</t>
  </si>
  <si>
    <t>0262 37 40 62</t>
  </si>
  <si>
    <t>Restaurant d'une capacité de 80 personnes, restauration sur place uniquement. 
Ouverts du mardi au dimanche le midi et le soir du mardi au samedi. 
Happy Hour tous les vendredis de 18h à 19h30 avec animation DJ, bières et cocktails à moitié prix avec planches de tapas. 
Cuisine de type réunionnaise (caris, rotis...) 
Spécialités : baba figue, roti pied de porc, queue de cochon gros pois, cuisine lontan (coq lontan), guêpes frites, wok minute (grosses crevettes palmistes), brèdes, bois de songes, desserts à base de fruits à pain, et autres spécialités ...
La carte est composée d'une sélection de plats fixes, et de plats du jour qui changent en fonction des produits de saison "les suggestions du jour".
Carte de boissons avec des produits locaux, cocktails et jus frais fait maison.
Carte des vins sélectionnés avec soin qui viennent d'un caviste local.
Utilisation au maximum de produits de producteurs locaux et bio si possible.
Cuisine fraîche au jour le jour fait maison.
Le restaurant travaille avec un boucher d'excellence pour les viandes, et propose du poisson frais tous les jours (tartares, espadons,...)</t>
  </si>
  <si>
    <t>Un nouveau lieu de vie de rencontre de partages et de convivialité autour d’une cuisine savoureuse
Entreprise familiale</t>
  </si>
  <si>
    <t>Sur la route nationale en direction de Manapany-Les-Bains tourner à droite sur la rue Martin Luther King le restaurant se trouve sur la gauche au numéro 13</t>
  </si>
  <si>
    <t>ventilateur , bar , terrasse</t>
  </si>
  <si>
    <t>centre commercial,point de vue panoramique,pêche,sites touristiques,Bassin de Manapany,arrêt bus,transports en commun</t>
  </si>
  <si>
    <t>9c56eef5</t>
  </si>
  <si>
    <t>a5b673b9</t>
  </si>
  <si>
    <t>galerie::galerie_Images/a9db375b.Path.061018.jpg</t>
  </si>
  <si>
    <t>nouvelle carte très bientôt! :)</t>
  </si>
  <si>
    <t xml:space="preserve"> Boulevard de l'Ocean</t>
  </si>
  <si>
    <t>-21.375901, 55.598540</t>
  </si>
  <si>
    <t>0262563183</t>
  </si>
  <si>
    <t>0692221038</t>
  </si>
  <si>
    <t>Notre chambre d'hôte Manapescale se situe dans le sud de l'île de la Réunion. Nos chambres confortables, notre copieux petit-déjeuner et nos conseils pour vos activités touristiques vous garantiront un séjour inoubliable.
2 chambres avec salle de bains privée. Une chambre triple et une chambre double. Location à partir de 2 nuits</t>
  </si>
  <si>
    <t>Notre établissement est situé à quelques minutes à pieds du bassin de Manapany et de l'ancien four à chaux donnant une vue imprenable sur l'océan.</t>
  </si>
  <si>
    <t>petit déjeuner créole ou classique , climatisation , piscine , linge de maison , salon , jardin , TV , lave vaisselle , micro-ondes , sanitaires privés , wifi , salle de bain privée , linge de toilette , Lit parapluie sur demande , douche , four , aire de jeux pour enfant , terrasse , salon de jardin , cuisine , jardin arboré , serviettes. , salle de bain , Cafetière , cour clôturée avec portail électrique , babyfoot , jeux</t>
  </si>
  <si>
    <t>KeCh10384O</t>
  </si>
  <si>
    <t>35aa7068</t>
  </si>
  <si>
    <t>galerie::galerie_Images/72baff45.Path.072222.jpg</t>
  </si>
  <si>
    <t>CSC77HTN</t>
  </si>
  <si>
    <t>SIRET en cours de modif
Petit déjeuner : pain tradition tranché, macatia chocolat, 2 fruits frais (bananes, ananas, pitaya), jus d'orange pressé</t>
  </si>
  <si>
    <t>75 ter</t>
  </si>
  <si>
    <t>Rue Alexandre FLEMMING</t>
  </si>
  <si>
    <t>-21.272034, 55.528645</t>
  </si>
  <si>
    <t>a.a.r.reunion@gmail.com</t>
  </si>
  <si>
    <t>0692 52 83 78</t>
  </si>
  <si>
    <t>https://aar-reunion.jimdofree.com/</t>
  </si>
  <si>
    <t>Le sud, en profondeur, cela se découvre à pied ! A la sueur de ton front et accompagné des commentaires avisés de ton guide de montagne pour t'immiscer dans les paysages époustouflants du volcan actif, de la montagne la plus haute de l'Océan Indien, de la forêt vierge ou des cirques, uniques au monde.
Les tarifs, pour la randonnée guidée jusqu'à 4 personnes adultes</t>
  </si>
  <si>
    <t>Découverte du territoire, de sa géologie, et de son histoire, guide ARGAT : Accompagnateur de randonnée</t>
  </si>
  <si>
    <t>Se rendre à l'Entre deux, après avoir pris contact avec Christopher</t>
  </si>
  <si>
    <t>sentier de randonnée,site - lieu culturel,forêt,riviere,sites touristiques,arrêt bus,jardin,transports en commun,commerces,station essence,Centre - Ville,pharmacie,boulangerie,pâtisserie,banque - guichet automatique,restaurants,sentiers de randonnées,Restauration,randonnées,sentiers de randonnée,sentiers VTT,Sentier de randonnée,hébergements,Point chaud,commerce de proximité…,épicerie,centre ville</t>
  </si>
  <si>
    <t>Espèces,Virement,Paypal</t>
  </si>
  <si>
    <t>KiCh8378Go</t>
  </si>
  <si>
    <t>bd59ee98</t>
  </si>
  <si>
    <t>galerie::galerie_Images/e02af32c.Path.053809.jpg</t>
  </si>
  <si>
    <t>Little Yogini</t>
  </si>
  <si>
    <t>Yoga</t>
  </si>
  <si>
    <t>14B</t>
  </si>
  <si>
    <t>rue Jean Turpin</t>
  </si>
  <si>
    <t>-21.361187, 55.765734</t>
  </si>
  <si>
    <t>clarissebenard974@gmail.com</t>
  </si>
  <si>
    <t>0693829358</t>
  </si>
  <si>
    <t>Propose des cours en studio ou en plein air. La location du studio impactera le prix des cours. 
Prix : 10 euros l'heure le cours d'essai et 15 euros le cours ponctuel en plein air
Le tarif dépend également du nombre de personnes en général entre 8 et 15 euros de l'heure</t>
  </si>
  <si>
    <t>* Yoga &amp; Holistic Vibes
* professeure de yoga flow
* cours collectifs /privés</t>
  </si>
  <si>
    <t>f1d0174b</t>
  </si>
  <si>
    <t>1e02910b</t>
  </si>
  <si>
    <t>galerie::galerie_Images/8d29e7ec.Path.045626.jpg</t>
  </si>
  <si>
    <t>Roselodge</t>
  </si>
  <si>
    <t>impasse cafo - PK19</t>
  </si>
  <si>
    <t>-21.235830, 55.544382</t>
  </si>
  <si>
    <t>https://www.sejour-de-reve.com/fr/villa-roselodge</t>
  </si>
  <si>
    <t>Maison de 2 chambres disposant de 2 salles de bains, un coin salon-cuisine, une véranda fermée et un grand terrain arboré de 1590 mètres carrés. Garage à disposition ou parking dans la cour. La maison peut accueillir 4 personnes grâce aux deux chambres équipée de 2 grands lits. Un canapé lit est également disponible dans le salon pour un couchage supplémentaire. Belle vue dégagée vers la mer et possibilité d'admirer le coucher du soleil. Endroit très calme idéal pour le repos</t>
  </si>
  <si>
    <t>chauffage , jardin , TV , parking , grand espace , wifi , douche , four , jardin arboré , accès internet , lave-linge , veranda couverte , frigo</t>
  </si>
  <si>
    <t>sentier de randonnée,commerce alimentaire,forêt,station service,boulangerie</t>
  </si>
  <si>
    <t>031b98c3,dd7cbdba,f93f6133</t>
  </si>
  <si>
    <t>9cfe8370</t>
  </si>
  <si>
    <t>galerie::galerie_Images/b3a945a0.Path.072913.jpg</t>
  </si>
  <si>
    <t>CSC487HT@</t>
  </si>
  <si>
    <t>Attention : hébergement géré par "SEJOUR DE REVE" - ne pas contacter le propriétaire
Coordonnées de la conciergerie dans la fiche hébergement : contactsdr974@gmail.com //06 93 65 10 20</t>
  </si>
  <si>
    <t xml:space="preserve">L'Arpège Austral </t>
  </si>
  <si>
    <t>Rue des Prunes</t>
  </si>
  <si>
    <t>0262563689</t>
  </si>
  <si>
    <t>0692707412</t>
  </si>
  <si>
    <t>espace de restauration , jardin , parking , salle de bain privée , sanitaires privés , TV , ventilateur</t>
  </si>
  <si>
    <t>BrSy7412Ux</t>
  </si>
  <si>
    <t>394e9e3e</t>
  </si>
  <si>
    <t>VEKA</t>
  </si>
  <si>
    <t>4 A</t>
  </si>
  <si>
    <t>rue des Frères</t>
  </si>
  <si>
    <t>-21.246259, 55.469140</t>
  </si>
  <si>
    <t>vkraemer.peintre@gmail.com</t>
  </si>
  <si>
    <t>0693005111</t>
  </si>
  <si>
    <t>Show-room, atelier
Propose des prestations d'accompagnement en individuelle ou en petit groupe (6max) sur réservation.
Propose des activités originales bien-être mentale.
Vente d'œuvres ou reproductions sur place</t>
  </si>
  <si>
    <t>VEKA est artiste plasticienne et art-thérapeute installée à Entre-Deux depuis mai 2021. Les œuvres réalisées apportent joie et zénitude aux personnes qui contemplent ses peintures.</t>
  </si>
  <si>
    <t>Une fois au village de l'Entre-deux, prendre à gauche dans la rue du commerce, au bout prendre à gauche rue Native, et à gauche rue des Frères. Parking au niveau de l'école.</t>
  </si>
  <si>
    <t>parking public , vue montagne , sur réservation , ateliers , boutique</t>
  </si>
  <si>
    <t>commerce alimentaire,parking public,point de vue panoramique,sites - lieux culturels,station essence,Centre - Ville</t>
  </si>
  <si>
    <t>0ecfa18f</t>
  </si>
  <si>
    <t>bc2407ec</t>
  </si>
  <si>
    <t>galerie::galerie_Images/99d2f92b.Path.091207.jpg</t>
  </si>
  <si>
    <t>Les horaires d'ouverture sont parfois variables. En cas d'absence, Véronique KRAEMER reste joignable par téléphone.
Véronique KRAEMER est art-thérapeute et peut également proposer des séances individuelles (1h30 =&gt; 60 euros) ou collectives (2 personnes minimum) sur des thèmes variés : mandalas, relaxation, confiance en soi, dessin neuro-graphique… (2 heures =&gt; 20 euros par personne). Sur rendez-vous.</t>
  </si>
  <si>
    <t>Le 57</t>
  </si>
  <si>
    <t>-21.369099, 55.725517</t>
  </si>
  <si>
    <t>rose974.didier@live.fr</t>
  </si>
  <si>
    <t>0262 20 14 81</t>
  </si>
  <si>
    <t>0692922024</t>
  </si>
  <si>
    <t>Le restaurant Le 57 se situe au Baril à Saint-Philippe. Il propose une carte de plats traditionnels créoles et créoles chinois. Billard disponible (le vendredi soir). Ouvert tous les jours midi et soir. Fermé le lundi, jeudi et le dimanche soir. 
Ouverture DE 11H A 15H ET DE 18H A 21H EN SEMAINE
LE VENDREDI ET LE SAMEDI DE 11H A 15H ET DE 18H00 A MINUIT
LE DIMANCHE DE 11H A 16H
En semaine sur réservation le soir (jusqu'à 16h30 pour réserver au 0692 92 20 24)</t>
  </si>
  <si>
    <t>Installé sur une jolie pelouse verte, Le 57 offre une belle vue sur les flancs verdoyants du volcan du Piton de La Fournaise.</t>
  </si>
  <si>
    <t>Venant de l'Ouest, prendre direction centre ville de Saint-Philippe, passer devant le Leader Price, le restaurant se trouve à 50 m à gauche. 
Venant de l'Est, après le centre ville de Saint-Philippe, traverser toute la forêt de Mare Longue, dépasser la balance de cannes, le restaurant se situe à 200 m à droite.</t>
  </si>
  <si>
    <t>climatisation , espace de restauration , sanitaires privés , parking public , terrasse , jardin arboré , karaoké , billard , soirée à thème</t>
  </si>
  <si>
    <t>sentier de randonnée,commerce alimentaire,pêche,parking public,site - lieu culturel,point de vue panoramique,sentier de grande randonnée,jardin,forêt,arrêt bus,ferme équestre,sentiers de randonnées,commerces,sites touristiques,tunnels de lave,littoral,sites - lieux culturels,route des laves,équitation,transports en commun,sentiers de randonnée,sentiers VTT,randonnées,commerce de proximité…</t>
  </si>
  <si>
    <t>DaJe6718R2</t>
  </si>
  <si>
    <t>364601d5</t>
  </si>
  <si>
    <t>galerie::galerie_Images/07af3593.Path.120819.jpg</t>
  </si>
  <si>
    <t>Numéro de tel pour réserver : 0692 92 20 24 (réservation obligatoire pour les soirs en semaine)</t>
  </si>
  <si>
    <t xml:space="preserve"> A Rue Cafre</t>
  </si>
  <si>
    <t>0262395963</t>
  </si>
  <si>
    <t>0692603761</t>
  </si>
  <si>
    <t>barbecue , fer et planche à repasser , jardin , lave linge collectif , lecteur DVD , linge de maison , linge de toilette , piscine , TV</t>
  </si>
  <si>
    <t>DoCa3761O2</t>
  </si>
  <si>
    <t>df8f008f</t>
  </si>
  <si>
    <t>galerie::galerie_Images/bc33840c.Path.045658.jpg</t>
  </si>
  <si>
    <t>email envoyé le 3/3/22 avec courrier à 17h</t>
  </si>
  <si>
    <t>Gayo Art</t>
  </si>
  <si>
    <t>boulevard Michel DEBRÉ</t>
  </si>
  <si>
    <t>-21.268699, 55.518732</t>
  </si>
  <si>
    <t>gayoperso@gmail.com</t>
  </si>
  <si>
    <t>0693 41 53 00</t>
  </si>
  <si>
    <t>L'atelier se situe à son domicile au 28 Boulevard Michel DEBRÉ - 
97430 Le Tampon (sur réservation)
Concernant l'artisanat :
Il confectionne des magnets, porte-clefs et boucles d'oreilles avec des bouchons de bière/soda depuis 2020, voici les phases de fabrication :
- Récupération avec des snacks et clients écolos ;
- Tri, nettoyage et désinfection ;
- Ponçage et apprêtage antirouille ;
- Apprêtage en blanc et mise en peinture acrylique (2 à 3 couches) ;
- Vernissage (3 à 4 couches avec temps de séchage intermédiaire) ;
- Montage des aimants et kit porte-clefs ;
- Emballage.
Autres prestations de GAYO ART' :
- Peinture et décoration sur toiles, bois de palette, des différents thèmes de la faune et la flore de notre si belle Ile.
- Réalisation de fresques murales (à domicile &gt; particuliers et professionnels)
- Animation d'atelier Art &amp; Récup' (associations, écoles, mercredi jeunesse...)
- Ateliers découverte et initiation de la technique de l'aérographe</t>
  </si>
  <si>
    <t>Christophe GALLIOT de GAYO ART' est un artiste peintre Tamponnais qui depuis sa reconversion en 2019, utilise des supports recyclés, de type capsules/bouchons métallique, paraboles satellite, bois de palettes pour son artisanat. Il leur donne une seconde vie en les customisant.
Étant adhérent à une SCOP CAE - POSSIBLE, il a pu lancer son projet après plusieurs années de travail salarial. Ce type de coopérative permet de tester et d'accompagner différents projets personnels.</t>
  </si>
  <si>
    <t>Propose des ateliers + petite boutique dans le village de l'Entre-Deux</t>
  </si>
  <si>
    <t>Produits artisanaux , artiste plasticien , matériel pour l'activité</t>
  </si>
  <si>
    <t>centre commercial,équitation,arrêt bus,poste - boite aux lettres,transports en commun,station essence,Centre - Ville,pharmacie,boulangerie,pâtisserie,banque - guichet automatique,Point chaud,épicerie,coiffeur</t>
  </si>
  <si>
    <t>0cd26af7</t>
  </si>
  <si>
    <t>4d9c75f8</t>
  </si>
  <si>
    <t>galerie::galerie_Images/21be0be3.Path.103235.png</t>
  </si>
  <si>
    <t>* Les horaires d'atelier sont à définir (sur réservation).
* Les créations sont dans les points de vente suivants : 
- NANAS VANILLE - Saint Pierre
- NOUT'BOUTIK - Entre-Deux à Vavang'Art
- LE DOMAINE DES TOURELLES - La Plaine des Palmistes
- LA CASANOU - Hellbourg Salazie
- SOLEIL VANILLE  - Saint Gilles Roches Noires</t>
  </si>
  <si>
    <t>La Caz à Hibiscus</t>
  </si>
  <si>
    <t>11B</t>
  </si>
  <si>
    <t>Chemin Avril Bénard</t>
  </si>
  <si>
    <t>-21.241120, 55.512472</t>
  </si>
  <si>
    <t>sherazanne.hoarau@gmail.com</t>
  </si>
  <si>
    <t>0692099315</t>
  </si>
  <si>
    <t>Profitez des nombreux avantages que propose cette maison , tel que la tranquillité de sa rue, sa très bonne localisation, son terrain de pétanque privatif et ses jeux à disposition, son jardin zen avec bassin à poisson, sa connexion wi-fi gratuit et bien d'autres avantages à découvrir.
Le logement
La maison est composé:
- de 3 chambres pouvant accueillir jusqu'à 8 personnes et 1 bébé.
- D'une grande cuisine ouverte sur le séjour.
- D'une salle de bain avec douche à l'italienne et wc séparé.
- D'un jardin avec bassin a poisson.
- D'un terrain de pétanque avec des jeux à disposition.
- Des places de parking sécurisées.
- D'une connexion wi-fi ainsi que des chaines télé.</t>
  </si>
  <si>
    <t>Venez vous reposer entre amis ou en famille dans "la Caz à Hibiscus" située au Tampon sur la magnifique île de la Réunion.</t>
  </si>
  <si>
    <t>Lorsque vous arrivez au rond point du 14eme kilomètre ( celui où vous avez l’école primaire du 14ème) vous allez en direction du Pont d'Yves. Sur environ 1km vous trouverez à votre droite le chemin Avril Bénard Louvins ( Là où il y a « la mission salut et guérison » )vous montez sur quelques mètres et à votre gauche vous trouverez au numéro 11 la Caz à Hibiscus derrière un grand portail gris.</t>
  </si>
  <si>
    <t>SPA , Tout équipé, wifi , jeux</t>
  </si>
  <si>
    <t>restaurants,Restauration,hébergements,commerce alimentaire,sentier de randonnée</t>
  </si>
  <si>
    <t>f169964d</t>
  </si>
  <si>
    <t>76486ebb</t>
  </si>
  <si>
    <t>galerie::galerie_Images/4e4b571d.Path.050447.jpg</t>
  </si>
  <si>
    <t>CSC507HT@</t>
  </si>
  <si>
    <t>Info du 15 février 2023 : attention nous attendons le courrier de fermeture définitive
Mail de demande d'informations complémentaires envoyé le 13 avril pour : siren/ assurance/ tarifs/ horaires... :)</t>
  </si>
  <si>
    <t>Une maison principale avec marquise peut accueillir 25 personnes en table d'hôtes.</t>
  </si>
  <si>
    <t>La chambre d'hôtes Le Four à Pain propose sa table d'hôtes à Saint-Philippe. Une façon pour le propriétaire des lieux de faire découvrir les produits de son exploitation : palmiste, vacoa, chou de coco, fruits de saison...</t>
  </si>
  <si>
    <t>Depuis le Sud prendre la RN2 jusqu'à Saint-Philippe, arrivé au Baril, l'établissement se trouvera peu après la Kaban'a Vanille.</t>
  </si>
  <si>
    <t>parking , wifi , piscine</t>
  </si>
  <si>
    <t>commerces,jardin</t>
  </si>
  <si>
    <t>171e225f</t>
  </si>
  <si>
    <t>galerie::galerie_Images/3e0a0def.Path.100005.jpg</t>
  </si>
  <si>
    <t>Le prestataire souhaite être appelé avant toute réservation.</t>
  </si>
  <si>
    <t xml:space="preserve">Le Palmier </t>
  </si>
  <si>
    <t>-21.359122, 55.770592</t>
  </si>
  <si>
    <t>lesdauphins974@gmail.com</t>
  </si>
  <si>
    <t>0692 92 39 21</t>
  </si>
  <si>
    <t>0692028571</t>
  </si>
  <si>
    <t>Au cœur du Sud Sauvage, dans un cadre idyllique et calme, les chambres d’hôtes, Le Palmier vous accueillera pour un séjour agréable et reposant.
Pour votre restauration : une grande salle de réception toute équipée avec TV et Wifi.
La chambre d'hôtes offre la possibilité à ses clients de dîner sur place à 20 euros par personne (hors boissons), sont inclus l'apéro, l'entrée, le plat principal et le dessert.</t>
  </si>
  <si>
    <t>wifi , parking sécurisé , jardin , piscine , salle de bain privée , sanitaires privés</t>
  </si>
  <si>
    <t>restaurants,sentier de randonnée,sentier de grande randonnée,point de vue panoramique,aéroport de Pierrefonds,ferme équestre</t>
  </si>
  <si>
    <t>72A8FE0087</t>
  </si>
  <si>
    <t>db19efad</t>
  </si>
  <si>
    <t>galerie::galerie_Images/8535406f.Path.102004.jpg</t>
  </si>
  <si>
    <t>L'Etoile des Mers</t>
  </si>
  <si>
    <t>rue de l'École</t>
  </si>
  <si>
    <t>-21.373130, 55.710261</t>
  </si>
  <si>
    <t>celinesalvan@hotmail.fr</t>
  </si>
  <si>
    <t>0262 37 04 60</t>
  </si>
  <si>
    <t>Le restaurant l'Etoile des Mers, au cœur du Sud Sauvage, à Saint-Philippe, propose une cuisine traditionnelle créole et chinoise, à déguster sur place ou à emporter. Spécialités : palmistes frais en salade et cuisiné, poissons variés selon les arrivages. Possibilité d'organiser des réceptions.</t>
  </si>
  <si>
    <t>Restaurant proposant de la cuisine traditionnelle dans un cadre magnifique.</t>
  </si>
  <si>
    <t>parking , wifi , climatisation , ventilateur</t>
  </si>
  <si>
    <t>SaMa0460xU</t>
  </si>
  <si>
    <t>0a6d63ac</t>
  </si>
  <si>
    <t>galerie::galerie_Images/e6e43dff.Path.102732.jpg</t>
  </si>
  <si>
    <t>Réservation recommandée surtout en fin de semaine.
Accès au parking du restaurant par la rue Labourdonnais.</t>
  </si>
  <si>
    <t>-21.359109, 55.770594</t>
  </si>
  <si>
    <t>0692923921</t>
  </si>
  <si>
    <t>Au cœur du Sud Sauvage, dans un cadre paisible et verdoyant, Le Palmier vous accueille pour un séjour agréable et reposant. La maison d’hôtes propose deux chambres doubles et une chambre familiale pour 4 personnes, toutes avec entrée indépendante et salle d’eau privative.
Une grande salle de réception tout équipée, avec TV et wifi, est mise à disposition pour vos repas. Sur réservation, un dîner complet est proposé à 20 € par personne (hors boissons), incluant apéritif, entrée, plat et dessert.</t>
  </si>
  <si>
    <t>1c9512b6</t>
  </si>
  <si>
    <t>galerie::galerie_Images/7880ee4a.Path.065655.jpg</t>
  </si>
  <si>
    <t xml:space="preserve">Le Caloupilé </t>
  </si>
  <si>
    <t>-21.262797, 55.524489</t>
  </si>
  <si>
    <t>La maison dispose de 2 chambres doubles et d'une chambre triple à la décoration soignée. Chaque chambre est équipée d'une salle de bain privée, d'une télévision et d'une connexion WIFI gratuite.
Le Caloupilé dispose également d'un grand jardin arboré et d'une piscine chauffée. Le parking est privé.</t>
  </si>
  <si>
    <t>Le Caloupilé situé au Tampon propose des chambres d'hôtes. La maison est dotée d'une vue imprenable, idéalement placée entre mer et montagne, entre le beau lagon de Saint-Pierre et la route du Volcan.</t>
  </si>
  <si>
    <t>prendre la RN3 direction Saint-Benoît, sortie Le Tampon. Sur la route du volcan/Saint-Benoît et continuer sur 2,5 km. Sur la gauche pharmacie du 11 ème puis la pharmacie Sautron (bâtiment orange). Continuer sur 1 km environ puis suivre le panneau Bras Creux (sur la droite).
Le Caloupilé se trouve au n°9 sur la gauche.</t>
  </si>
  <si>
    <t>parking , piscine , salle de bain privée , sanitaires privés , TV , ventilateur , wifi</t>
  </si>
  <si>
    <t>0dde0e7e</t>
  </si>
  <si>
    <t>* Les chambres doubles sont à 90 euros par nuit (le petit-déjeuner est compris).
* La chambre triple est à 115 euros par nuit (le petit déjeuner est compris).</t>
  </si>
  <si>
    <t>-21.209957, 55.596882</t>
  </si>
  <si>
    <t>Chambre d'hôtes | La chambre d'hôte Les Quatres Saisons est située sur la route du volcan dans un endroit calme en pleine nature avec vue sur le Piton des Neiges.</t>
  </si>
  <si>
    <t>ba7490f0</t>
  </si>
  <si>
    <t>galerie::galerie_Images/e21bd2ac.Path.043812.jpg</t>
  </si>
  <si>
    <t>-21.262729, 55.524419</t>
  </si>
  <si>
    <t>0262 02 49 87</t>
  </si>
  <si>
    <t>16b610e3</t>
  </si>
  <si>
    <t>galerie::galerie_Images/7122f2f2.Path.101431.jpg</t>
  </si>
  <si>
    <t>TABLE D'HOTE UNIQUEMENT POUR LES RESIDENTS
* Les chambres doubles sont à 90 euros par nuit (le petit-déjeuner est compris).
* La chambre triple est à 115 euros par nuit (le petit déjeuner est compris).</t>
  </si>
  <si>
    <t>Bungalow Tillandsia</t>
  </si>
  <si>
    <t>chemin Huitelec</t>
  </si>
  <si>
    <t>-21.232441, 55.547471</t>
  </si>
  <si>
    <t>daniel.begue58@gmail.com</t>
  </si>
  <si>
    <t>0692880904</t>
  </si>
  <si>
    <t>Situé au Tampon, le Bungalow Tillandsia dispose d'un jardin et d'une terrasse. 
Nous vous proposons la location d'un bungalow entièrement construit en bois d'une capacité maximale de 4 personnes (1 chambre  + 1 lit gigogne) à La Plaine des Cafres.
Vous pourrez vous restaurer sur place grâce sa cuisine entièrement équipée (plaque de cuisson, four, micro-ondes, machine à café, bouilloire, couverts pour 4 personnes). 
Lit d'appoint pour bébé disponible sur demande.
3 places de parking.
Location disponible à partir d'une nuit.
Idéalement situé dans une impasse calme, à proximité du volcan et de nombreux sites touristiques.
91€ par nuit pour 2 personnes et +10€ par personne supplémentaire</t>
  </si>
  <si>
    <t>Bungalow Tillandsia - location saisonnière à La Plaine des Cafres</t>
  </si>
  <si>
    <t>Une fois sur la route nationale en direction de la Plaine des Cafres, arrivé à proximité du centre d'arts martiaux tourner sur le chemin Huitelec, continuer dans le chemin jusqu'au numéro 18.</t>
  </si>
  <si>
    <t>équipement sportif , cuisine équipée , jeux , climatisation , vue montagne , vue mer , linge de maison , parking , salon , chauffage , jardin , TV , wifi gratuit , lave linge privatif , sanitaires privés , Lit parapluie sur demande , douche , terrasse , salon de jardin , cuisine , accès internet , Cafetière , frigo</t>
  </si>
  <si>
    <t>transports en commun,arrêt bus,station service,restaurants,sentier de randonnée,commerce alimentaire,site - lieu culturel,point de vue panoramique,riviere</t>
  </si>
  <si>
    <t>b803d1e2</t>
  </si>
  <si>
    <t>0cbdf425</t>
  </si>
  <si>
    <t>galerie::galerie_Images/838d324d.Path.075603.jpg</t>
  </si>
  <si>
    <t>CSC499HT@</t>
  </si>
  <si>
    <t xml:space="preserve">La Mer Cassée </t>
  </si>
  <si>
    <t>101</t>
  </si>
  <si>
    <t xml:space="preserve"> Route Nationale 2 Mare Longue</t>
  </si>
  <si>
    <t>-21.362913, 55.755537</t>
  </si>
  <si>
    <t>damouretienne1@gmail.com</t>
  </si>
  <si>
    <t>0262 46 56 18</t>
  </si>
  <si>
    <t>0692431193</t>
  </si>
  <si>
    <t>La Mer Cassée est un snack-bar situé le long de la route nationale, au cœur du Sud sauvage, à Saint Philippe. Il propose, à l'heure du déjeuner, des brochettes, du poulet, des salades, etc. Ouvert tous les jours de 9h à 16h. Réservation conseillée</t>
  </si>
  <si>
    <t>Restaurant familial sur le bord de la route qui offre un panorama magnifique</t>
  </si>
  <si>
    <t>parking , terrasse</t>
  </si>
  <si>
    <t>DaLu5618qs</t>
  </si>
  <si>
    <t>f0c5debe</t>
  </si>
  <si>
    <t>galerie::galerie_Images/74845d8a.Path.063947.jpg</t>
  </si>
  <si>
    <t>Qualité Tourisme Ile de La Réunion,Esprit Parc</t>
  </si>
  <si>
    <t>-21.323344, 55.800033</t>
  </si>
  <si>
    <t>chezmoustachetremblet@yahoo.com</t>
  </si>
  <si>
    <t>0692 33 27 03</t>
  </si>
  <si>
    <t>Ouvert tous les jours sauf le vendredi de 11h30 à 14h30 en semaine et de 11h30 à 15h00 le week end. Réservation fortement conseillée car restaurant très fréquenté. Les plats vont de 9 à 25 euros.</t>
  </si>
  <si>
    <t>cuisine au bois , boutique , espace de restauration , restauration , espace de restauration en extérieur , terrasse</t>
  </si>
  <si>
    <t>transports en commun,arrêt bus,sentier de randonnée,sentier de grande randonnée,sentiers de randonnées,sentiers de randonnée,sentiers VTT,Sentier de randonnée,route des laves,site - lieu culturel,coulées de lave</t>
  </si>
  <si>
    <t>Ro4149fB</t>
  </si>
  <si>
    <t>dcbf4f89</t>
  </si>
  <si>
    <t>galerie::galerie_Images/16e38d73.Path.150251.jpg</t>
  </si>
  <si>
    <t>Pour la salade de palmiste, ça peut être un peu long, car ils font sur place la salade, c'est du frais, surtout quand il y a du monde</t>
  </si>
  <si>
    <t>Villa Saint Jo</t>
  </si>
  <si>
    <t>5 Etoile(s)</t>
  </si>
  <si>
    <t>Impasse des filaos</t>
  </si>
  <si>
    <t>-21.372533, 55.625767</t>
  </si>
  <si>
    <t>https://villasaintjo.com/</t>
  </si>
  <si>
    <t>Située sur la commune de Saint Joseph au sud de île, dans un endroit paisible sans vis-à-vis.. La Villa Saint Jo vous offre une décoration unique, originale et créative privilégiant l'imagination des artistes Locaux. 
Une maison individuelle d’environ 300m2 sur une propriété de 1500m2 situé proche du centre-ville de saint Joseph.
De style Créole la villa Saint Jo se compose d’un grand salon bordé de baies vitrées donnant sur un balcon avec une vue imprenable sur la mer. 
Une luxueuse cuisine ouverte doter d’un mobilier en bois de tamarin toutes équipée d’appareils de qualités avec un design style vintage.
Elle est équipée de 8 chambres à thèmes dont deux suites parentales avec baignoire et douche, une salle de bain, deux WC, un grand balcon couvert.
Les Chambres à l'étage :
- Romantique : 13m² avec un lit double 140x190
- Tropical : 11m² avec un lit double 140x190
- Esprit Bohème : 13m² avec un lit double 140x190
- Monkey : 12 m² avec un lit double 140x190
A l'extérieur, un jardin tropical privatisé à la végétation abondante. La Villa possède une cour permettant de garer 3 véhicules. Deux kiosques sont à dispositions et vous permettra d’organiser des repas en extérieur. 
Profitez de la Piscine spacieuse de (7mx4m) chauffée en hiver pour vous détendre et profiter des transats mis à votre disposition sous des parasols Balinais.</t>
  </si>
  <si>
    <t>Villa 5 étoiles de haut standing</t>
  </si>
  <si>
    <t>https://www.google.fr/maps/dir//-21.3721395,55.6261843/@-21.372125,55.6218044,16z</t>
  </si>
  <si>
    <t>douche , plaque de cuisson , micro-ondes , Cafetière , salle de bain privée , salle à manger , piscine chauffée , parking sécurisé , terrasse , climatisation , vue mer , linge de maison , salon , jardin , TV , lave vaisselle , salon de jardin , cuisine équipée , Tout équipé, wifi , kiosques balinais</t>
  </si>
  <si>
    <t>riviere,centre commercial,site - lieu culturel,point de vue panoramique,sites touristiques,Bassin de Manapany,arrêt bus,commerces,station essence,centre ville de Saint-Joseph,Restauration,randonnées,hébergements,centre ville,Toutes commodités</t>
  </si>
  <si>
    <t>66e0abea</t>
  </si>
  <si>
    <t>galerie::galerie_Images/917a3969.Path.115945.jpg</t>
  </si>
  <si>
    <t>CSC509HT@</t>
  </si>
  <si>
    <t xml:space="preserve"> Chemin de Ceinture</t>
  </si>
  <si>
    <t>-21.361080, 55.738330</t>
  </si>
  <si>
    <t>0693 40 21 81</t>
  </si>
  <si>
    <t>Dans le Sud Sauvage à Saint-Philippe Le Palmier propose une cuisine créole.
Spécialités : palmiste en salade ou cari et le vacoa.
Visite / promenade dans la forêt et dans la palmisteraie. Riche moment de découverte de la flore tropicale et des espèces endémiques.</t>
  </si>
  <si>
    <t>jardin , parking , espace de restauration , terrasse , espace de restauration en extérieur , ventilateur , sanitaires privés</t>
  </si>
  <si>
    <t>FiMa0348Ri</t>
  </si>
  <si>
    <t>3a18b996</t>
  </si>
  <si>
    <t>galerie::galerie_Images/3ba6def3.Path.073913.jpg</t>
  </si>
  <si>
    <t>En instance de divorce &gt; Monsieur est en train de reprendre l'activité petit à petit, il nous recontactera qd il sera prêt à ouvrir</t>
  </si>
  <si>
    <t xml:space="preserve">Le Mascarin </t>
  </si>
  <si>
    <t>RN2 Saint-Philippe</t>
  </si>
  <si>
    <t>-21.368478, 55.733563</t>
  </si>
  <si>
    <t>hoareauaureliem@gmail.com</t>
  </si>
  <si>
    <t>0692 60 54 82</t>
  </si>
  <si>
    <t>Installé face à l'océan et ses embruns, dans une petite case authentique au toit rouge attenante au site du Puits des Anglais, Le Mascarin est une des meilleures adresses pour une pause déjeuner typique dans le Sud sauvage. On est tout de suite bercés par la quiétude des lieux.</t>
  </si>
  <si>
    <t>sanitaires communs , parking , espace de restauration , grand espace , espace de restauration en extérieur , repas originaux et traditionnels , restauration</t>
  </si>
  <si>
    <t>sentier de randonnée,parking public,site - lieu culturel,point de vue panoramique,forêt,arrêt bus,hébergements</t>
  </si>
  <si>
    <t>HoCa5482bn</t>
  </si>
  <si>
    <t>dd828111</t>
  </si>
  <si>
    <t>galerie::galerie_Images/667d9fd4.Path.072832.jpg</t>
  </si>
  <si>
    <t xml:space="preserve">Le Cap Méchant </t>
  </si>
  <si>
    <t>Route Labourdonnais</t>
  </si>
  <si>
    <t>-21.374176, 55.711355</t>
  </si>
  <si>
    <t>0262 37 00 61</t>
  </si>
  <si>
    <t>0692853032</t>
  </si>
  <si>
    <t>https://capmechant.re/</t>
  </si>
  <si>
    <t>En face du cap Méchant, un incontournable restaurant de cuisine créole locale, devenu absolument mythique depuis son ouverture dans les années 1980. Cuisine typique du Sud sauvage. Une réputation qui n'est plus à faire, une cuisine de qualité, une vue superbe.</t>
  </si>
  <si>
    <t>parking , espace de restauration</t>
  </si>
  <si>
    <t>CoJa3032Pt</t>
  </si>
  <si>
    <t>3767b384</t>
  </si>
  <si>
    <t>galerie::galerie_Images/b8936b9f.Path.044702.jpg</t>
  </si>
  <si>
    <t>Warren Hasting</t>
  </si>
  <si>
    <t>103 A</t>
  </si>
  <si>
    <t>-21.368292, 55.736713</t>
  </si>
  <si>
    <t>gerryrapeau410@yahoo.fr</t>
  </si>
  <si>
    <t>0692 15 79 31</t>
  </si>
  <si>
    <t>Le Warren Hastings, baptisé du nom du premier gouverneur général de l'Inde, était un vapeur britannique qui s'est échoué le 14 janvier 1897 devant Saint-Philippe. C'est aussi le nom de ce restaurant, tenu par les mêmes propriétaires que le Vieux Port au Tremblet (une référence dans la cuisine locale). Si le Warren Hasting a plus des airs de snack de bord de route, ne vous y trompez pas : sa cuisine y est excellente et l'accueil très chaleureux.</t>
  </si>
  <si>
    <t>Le restaurant le Warren Hasting sert une cuisine traditionnelle créole.
A noter que les tapas sont servis uniquement le soir, que le poulet est Hallal.
Tenu par les mêmes propriétaires que le Vieux Port au Tremblet, l’accueil y est chaleureux et le cadre très sympathique en bord des falaises de lave volcanique.</t>
  </si>
  <si>
    <t>En roulant sur la RN2, dans le quartier du Baril, au niveau du numéro 103, côté montagne se trouve le restaurant</t>
  </si>
  <si>
    <t>parking public , espace de restauration , restauration , grand espace , vue mer</t>
  </si>
  <si>
    <t>site - lieu culturel,point de vue panoramique,commerce alimentaire,forêt,sites touristiques</t>
  </si>
  <si>
    <t>DaJe7931Qc</t>
  </si>
  <si>
    <t>51095754</t>
  </si>
  <si>
    <t>galerie::galerie_Images/de9500e5.Path.072747.jpg</t>
  </si>
  <si>
    <t>Autre contact téléphone et email ajouté (Gerry RAPEAU: 06 92 94 13 20 - gerryrapeau410@yahoo.fr) Numéro à appeler concernant partenariat d'une Action B to C.</t>
  </si>
  <si>
    <t xml:space="preserve"> Route Forestiere Mare Longue</t>
  </si>
  <si>
    <t>-21.364338, 55.742897</t>
  </si>
  <si>
    <t>0262 37 09 63</t>
  </si>
  <si>
    <t>https://auberge-guimard.business.site/</t>
  </si>
  <si>
    <t>Jouxtant le jardin des parfums et des épices, à Saint-Philippe, lovée dans un écrin de verdure, se trouve l’auberge Guimard. Située à Mare Longue à Saint-Philippe, la table d'hôte Chez Guimard propose une cuisine créole.</t>
  </si>
  <si>
    <t>espace de restauration , espace de restauration en extérieur , jardin , wifi</t>
  </si>
  <si>
    <t>site - lieu culturel,forêt</t>
  </si>
  <si>
    <t>Gu0963lH</t>
  </si>
  <si>
    <t>58484630</t>
  </si>
  <si>
    <t>galerie::galerie_Images/07515d5c.Path.060527.jpg</t>
  </si>
  <si>
    <t xml:space="preserve"> Chemin Matouta</t>
  </si>
  <si>
    <t>25b3ec77</t>
  </si>
  <si>
    <t>galerie::galerie_Images/65e4a842.Path.112527.jpg</t>
  </si>
  <si>
    <t>Attention info particulière &gt; le mr serait décédé le 23 février?</t>
  </si>
  <si>
    <t xml:space="preserve">La Case Volcan </t>
  </si>
  <si>
    <t>123 A</t>
  </si>
  <si>
    <t>-21.291481, 55.798196</t>
  </si>
  <si>
    <t>honorelacasevolcan@gmail.com</t>
  </si>
  <si>
    <t>0692 18 37 53</t>
  </si>
  <si>
    <t>0692183753</t>
  </si>
  <si>
    <t>Concept original offrant la possibilité de déguster chacun des plats et des jus avant de faire son choix. Parmi les spécialités : ti jacques, palmiste, fruit à pain et choux de vacoa selon la saison. Jus de fruits frais selon la saison également. 
Ouvert tous les jours de 11h30 à 14h30. 
Un coin boutique est disponible pour l'achat d'objets souvenirs. 
Réservation conseillée car restaurant très fréquenté.</t>
  </si>
  <si>
    <t>sentier de randonnée,point de vue panoramique,forêt,sites touristiques,arrêt bus,transports en commun,route des laves,coulées de lave</t>
  </si>
  <si>
    <t>MuAu3753Z0</t>
  </si>
  <si>
    <t>cd922d04</t>
  </si>
  <si>
    <t>galerie::galerie_Images/79282826.Path.113257.jpg</t>
  </si>
  <si>
    <t xml:space="preserve">La Guinguette </t>
  </si>
  <si>
    <t>0693311542</t>
  </si>
  <si>
    <t>Boutique traiteur qui propose des plats cuisiné faits uniquement avec des produits locaux. Spécialité : gratin de palmiste</t>
  </si>
  <si>
    <t>Rôtisserie, épicerie, traiteur</t>
  </si>
  <si>
    <t>Depuis le Sud, prendre la nationale 2 jusqu'à Saint-Philippe, le restaurant se trouvera après la forêt de Mare Longue.</t>
  </si>
  <si>
    <t>espace de restauration , restauration , espace de restauration en extérieur</t>
  </si>
  <si>
    <t>GaGr1542uX</t>
  </si>
  <si>
    <t>82f93912</t>
  </si>
  <si>
    <t>galerie::galerie_Images/de1551cf.Path.094143.jpg</t>
  </si>
  <si>
    <t>Fermeture temporaire - En vacances jusqu'au 25 juin. (Source Facebook)</t>
  </si>
  <si>
    <t xml:space="preserve">Le Rond de Basse Vallée </t>
  </si>
  <si>
    <t>0692 69 65 51</t>
  </si>
  <si>
    <t>0692854037</t>
  </si>
  <si>
    <t>Nichée dans les hauts de Basse Vallée à Saint Philippe, la ferme auberge offre un cadre reposant et ressourçant. A sa table, Madame Josiane METRO vous invite à savourer les spécialités de la région , le palmiste et le chou vacoa accompagnés de produits fermiers tels que le poulet ou le canard. De vrais délices qui seront très certainement ravir les fins gourmets. Pour les randonneurs ou ceux qui recherchent dépaysement et calme, la ferme auberge propose 4 chambres décorées avec simplicité et charme.</t>
  </si>
  <si>
    <t>MéJo4037DR</t>
  </si>
  <si>
    <t>39a7e2fd</t>
  </si>
  <si>
    <t>galerie::galerie_Images/8202b1fb.Path.072504.jpg</t>
  </si>
  <si>
    <t>Le Macabit</t>
  </si>
  <si>
    <t>76</t>
  </si>
  <si>
    <t>Route Nationale 2 Ravine Ango</t>
  </si>
  <si>
    <t>-21.348800, 55.792019</t>
  </si>
  <si>
    <t>0262 37 15 30</t>
  </si>
  <si>
    <t>https://www.lemaccabit.re/</t>
  </si>
  <si>
    <t>Le restaurant Le Macabit se situe dans le Sud sauvage, à Saint-Philippe. Il propose une cuisine traditionnelle mais aussi des sandwichs et des pizzas. Ouvert de 08h30 à 21h. Fermé le mardi et le dimanche soir. Possibilité de livraison</t>
  </si>
  <si>
    <t>Restaurant proposant une cuisine traditionnelle créole à base de produits frais.</t>
  </si>
  <si>
    <t>sentier de randonnée,pêche,site - lieu culturel,forêt,transports en commun,route des laves,coulées de lave,ferme équestre,sites touristiques,tunnels de lave,littoral,sites - lieux culturels,hébergements,restaurants</t>
  </si>
  <si>
    <t>CoE15300Q</t>
  </si>
  <si>
    <t>ca0530b2</t>
  </si>
  <si>
    <t>galerie::galerie_Images/98c40ba7.Path.121111.jpg</t>
  </si>
  <si>
    <t xml:space="preserve">La Marmite du Pêcheur </t>
  </si>
  <si>
    <t>Restaurant ; Traiteur</t>
  </si>
  <si>
    <t>Qualité Tourisme Ile de La Réunion,Maîtres Restaurateur,Qualité Tourisme</t>
  </si>
  <si>
    <t>18 A</t>
  </si>
  <si>
    <t xml:space="preserve">   Route Nationale 2 Ravine Ango</t>
  </si>
  <si>
    <t>-21.352939, 55.785674</t>
  </si>
  <si>
    <t>0262 37 01 01</t>
  </si>
  <si>
    <t>0692852484</t>
  </si>
  <si>
    <t>espace de restauration , climatisation , jardin , parking autocar , parking</t>
  </si>
  <si>
    <t>LeCy248420</t>
  </si>
  <si>
    <t>d6126fb4</t>
  </si>
  <si>
    <t>galerie::galerie_Images/1c7ea712.Path.073141.jpg</t>
  </si>
  <si>
    <t>Le restaurant est ouvert de 12h00 à 14h30 tous les jours sauf le mercredi.</t>
  </si>
  <si>
    <t>Côté Sauvage</t>
  </si>
  <si>
    <t>-21.369151, 55.727910</t>
  </si>
  <si>
    <t>cotesauvagerestaurant@gmail.com</t>
  </si>
  <si>
    <t>0692 57 70 06</t>
  </si>
  <si>
    <t>0692721725</t>
  </si>
  <si>
    <t>D'une capacité de 200 personnes, le restaurant propose une cuisine typique et de gastronomie créole. La carte met en avant les produits locaux du terroir et des épices réunionnais. Plusieurs spécialités sont proposées : cari poulet fermier frais au palmiste, poisson grillé du jour, salade de palmiste frais... .
L'accueil se fera dans une ambiance chaleureuse. Possibilité d'offres événementielles...</t>
  </si>
  <si>
    <t>Le restaurant de l'Hôtel Les Embruns du Baril est appelé Côté Sauvage. Il dispose d'une salle et d'une terrasse qui jouissent d'un emplacement exceptionnel en bordure de falaise, vue spectaculaire et intense de l'océan Indien. Le restaurant est géré par les propriétaires de la Marmite du Pêcheur.</t>
  </si>
  <si>
    <t>espace de restauration , climatisation , parking , ventilateur , wifi</t>
  </si>
  <si>
    <t>sentier de randonnée,pêche,site - lieu culturel,coulées de lave,sites touristiques,hébergements</t>
  </si>
  <si>
    <t>MoAb17259o</t>
  </si>
  <si>
    <t>fbddeb6d</t>
  </si>
  <si>
    <t>galerie::galerie_Images/ca58a136.Path.053353.png</t>
  </si>
  <si>
    <t>Le lundi c'est ouvert uniquement le soir de 18h45 à 21h00.
Le propriétaire de cet établissement est M. MOGALIA cependant le restaurant "Côté Sauvage" est géré par M. LEBON.</t>
  </si>
  <si>
    <t>Villa Juliette</t>
  </si>
  <si>
    <t>lotissement rondes des épices</t>
  </si>
  <si>
    <t>-21.374221, 55.593747</t>
  </si>
  <si>
    <t>guieumaxime@gmail.com</t>
  </si>
  <si>
    <t>0692059420</t>
  </si>
  <si>
    <t>Située à 2 min du site de Manapany les Bains et de sa piscine d'eau de mer, la Villa Juliette dispose de tous les atouts pour un séjour agréable, calme et serein. Elle dispose d'un accès direct à l'axe principal du Sud de l'île menant à la route des laves et de la côte sauvage. De nombreuses activités de loisir sont accessibles rapidement comme les tunnels de lave ou le canyoning ou encore les bassins de la cascade Langevin Présent également à 3 min toutes les commodités nécessaires . Bienvenue
Vous serez accueillis par la conciergerie runbnb, qui vous joindra juste avant votre arrivée pour convenir avec ensemble du meilleur moment de remise des clés. La conciergerie est également présente avant et pendant votre séjour pour des informations ou des réservation d'activités de loisir.
Calme très calme et conviviale Voiture indispensable pour profiter pleinement des visites et des loisirs alentours</t>
  </si>
  <si>
    <t>224a3268</t>
  </si>
  <si>
    <t>2505528f</t>
  </si>
  <si>
    <t>CSC430HT@</t>
  </si>
  <si>
    <t>Lannmariah</t>
  </si>
  <si>
    <t>rue Pierre Rivals</t>
  </si>
  <si>
    <t>-21.231849, 55.540790</t>
  </si>
  <si>
    <t>lannmariah@gmail.com</t>
  </si>
  <si>
    <t>0692691374</t>
  </si>
  <si>
    <t>Les 3 chambres du LANNMARIAH disposent chacune d'un lit double, de nombreux rangements et d'un chauffage en hiver. La cuisine en chêne est toute équipée (réfrigérateur, lave-vaisselle, plaque halogène 4 feux, four à micro-ondes, four traditionnel, hôte aspirante, cafetière, bouilloire et divers ustensiles de cuisine). Sa salle de bain dispose d'une double vasque, d'une baignoire d'angle et d'un lave-linge. Les WC sont séparés. Le séjour/salle à manger, de plus de 40m² offre un espace généreux disposant de 2 salons et d'une grande table de 11 places. A l'extérieur, possibilité de profiter sous la terrasse ouverte et couverte qui donne sur le jardin.</t>
  </si>
  <si>
    <t>Offrez-vous l'expérience unique de plonger dans l'univers atypique d'une maison familiale des années 70, où les origines asiatiques, occidentales et créoles se nuancent. Des châteaux de la Loire aux animaux de la ferme, sa vie d'antan se révèle à travers son mobilier original et les tableaux exposés venus d'ailleurs.</t>
  </si>
  <si>
    <t>Depuis Saint-Pierre, prendre la 4 voies en direction du Tampon. Ensuite, prendre la Route Nationale numéro 3 et se diriger vers Saint-Benoît. Au rond point du 20ème km, prendre tout de suite à gauche en direction du Piton Hyacinthe. Lannmariah se situe dès l'entrée de la voie (à droite à 10 mètres du rond point). 
Depuis Saint-Benoît, prendre la Route Nationale numéro 3 en direction du Tampon. Au rond point du 20 ème km, prendre tout de suite à droite en  direction du Piton Hyacinthe. Lannmariah se situe dès l'entrée de la voie, tout de suite à droite.</t>
  </si>
  <si>
    <t>barbecue , fer et planche à repasser , chauffage , jardin , lave linge privatif , salle de bain privée , TV , linge de maison , TV satellite , salon , espace de restauration , wifi gratuit , lave vaisselle , micro-ondes , sanitaires privés , salle de réunion - séminaire , parking autocar , grand espace , wifi , four , salon de jardin , terrasse , linge de toilette , cuisine , jardin arboré , accès internet , serviettes. , lave-linge , cuisine équipée , cour clôturée , jardin clôturé , tout équipé , veranda couverte , parking sécurisé , salle de bain , sur réservation , plaque de cuisson , frigo , salle à manger , varangue , vue montagne , Cafetière , cour clôturée avec portail électrique , Tout équipé, wifi , espace de restauration en extérieur , Lit parapluie sur demande , balcon</t>
  </si>
  <si>
    <t>sentier de randonnée,sentier de grande randonnée,site - lieu culturel,point de vue panoramique,commerce alimentaire,équitation,forêt,sites touristiques,arrêt bus,poste - boite aux lettres,transports en commun,commerces,sites - lieux culturels,station essence,pharmacie,boulangerie,banque - guichet automatique,pâtisserie,restaurants,sentiers de randonnées,Restauration,Maison du Volcan,route des laves,ferme équestre,centre médical,hébergements,forêt de Tamar'haut,route pour aller au volcan,Point chaud,stade de foot,épicerie,médecin,village du 23ème,tabac presse,coiffeur,Terrain de jeux pour enfants,village du grand bassin,Cabaret Pat'Jaune,snack,parc notre dame de la paix,Point de vue du Belvédère de Bois court,centre de bien-être,burger…,Toutes commodités</t>
  </si>
  <si>
    <t>f0c8fbce</t>
  </si>
  <si>
    <t>3ab3d338</t>
  </si>
  <si>
    <t>galerie::galerie_Images/95adbcc1.Path.073218.jpg</t>
  </si>
  <si>
    <t>CSC472HT@</t>
  </si>
  <si>
    <t>Flexibilité pour les horaires.
Minimum de 3 nuits. 
Tarification : sept nuits = 546 euros.</t>
  </si>
  <si>
    <t xml:space="preserve"> Impasse Paul Valery</t>
  </si>
  <si>
    <t>0693550325</t>
  </si>
  <si>
    <t>GoJe0325u7</t>
  </si>
  <si>
    <t>ba9c1828</t>
  </si>
  <si>
    <t>21 fév 2023 : mail de demande d'info envoyé par mail au presta
Si pas de réponse, faudra l'appeler</t>
  </si>
  <si>
    <t xml:space="preserve"> Rue Leconte De Lisle</t>
  </si>
  <si>
    <t>0693001804</t>
  </si>
  <si>
    <t>NoFr18041W</t>
  </si>
  <si>
    <t>a75887d4</t>
  </si>
  <si>
    <t>Mission dans le social, cf leur site internet</t>
  </si>
  <si>
    <t xml:space="preserve"> Rue Jean de Cambiaire</t>
  </si>
  <si>
    <t>-21.355122, 55.605560</t>
  </si>
  <si>
    <t>0692106157</t>
  </si>
  <si>
    <t>Parapente dans le Sud sauvage, le lieu dépend de la météo</t>
  </si>
  <si>
    <t>Pratique et promotion du parapente dans le Sud sauvage</t>
  </si>
  <si>
    <t>Dépend du lieu de rendez - vous</t>
  </si>
  <si>
    <t>sentier de randonnée,point de vue panoramique,forêt</t>
  </si>
  <si>
    <t>ClGu6157BX</t>
  </si>
  <si>
    <t>42a35ae5</t>
  </si>
  <si>
    <t>La Kaza Baba</t>
  </si>
  <si>
    <t>Rue Motais de Narbonne</t>
  </si>
  <si>
    <t>-21.264446, 55.515787</t>
  </si>
  <si>
    <t>motais.reine@gmail.com</t>
  </si>
  <si>
    <t>0692679806</t>
  </si>
  <si>
    <t>La Kaza Baba avec son jardin exotique, est idéalement située entre mer et volcan avec sa vue plongeante sur l’océan et les beaux sommets de la Réunion.
Ce beau logement de 60m2, mitoyen à la villa des propriétaires, en bout d’impasse calme, est aménagé avec goût et soin.
Il se compose d'une grande chambre et possibilité d'accueillir deux autres personnes grâce au canapé convertible du salon, mini dressing, une cuisine équipée, une grande salle de bains, 1 WC séparé, un grand parking sécurisé et wifi.
Capacité d’accueil maximum de 4 personnes.</t>
  </si>
  <si>
    <t>Appartement moderne avec une entrée directe et indépendante dans une villa idéalement située au Tampon.</t>
  </si>
  <si>
    <t>En arrivant de la RN3, au rond point des Zazalés, prendre la 2ème sortie, suivre "Hotel de Ville", passez devant la mairie, direction Trois Mares, jusqu'au rond point du chemin Isautier.
Montez le chemin Isautier, dépassez le petit rond point, prendre la pente forte, plus loin prendre sur la gauche la rue "traverse portail", et de suite sur la gauche se trouve la rue Motais de Narbonne. Descendre toute l'allée, jusqu'au numéro 17.</t>
  </si>
  <si>
    <t>fer et planche à repasser , vue montagne , sur réservation , grand espace , vue mer , linge de maison , ventilateur , salon , jardin , TV , espace de restauration , wifi gratuit , micro-ondes , salle de bain privée , sanitaires privés , douche , terrasse , salon de jardin , cuisine , jardin arboré , accès internet , serviettes. , cour clôturée , Cafetière , Lit parapluie sur demande , frigo , cuisine équipée , parking sécurisé , salle à manger , netflix , Tout équipé, wifi , balcon , brasero</t>
  </si>
  <si>
    <t>point de vue panoramique,sites touristiques,arrêt bus,centre commercial,tennis,transports en commun,station essence,pharmacie,boulangerie,pâtisserie,banque - guichet automatique,piscine,restaurants,piscine municipale,centre médical,Point chaud,commerce de proximité…,épicerie,tabac presse,coiffeur,aire de jeux,Toutes commodités,snack,Laverie</t>
  </si>
  <si>
    <t>9a04f0f9</t>
  </si>
  <si>
    <t>3d6c88b9</t>
  </si>
  <si>
    <t>galerie::galerie_Images/17db6043.Path.100946.jpg</t>
  </si>
  <si>
    <t>CSC486HT@</t>
  </si>
  <si>
    <t>Information importante :  non fumeur.</t>
  </si>
  <si>
    <t xml:space="preserve"> Chemin de la Grande Ferme</t>
  </si>
  <si>
    <t>-21.221079, 55.589324</t>
  </si>
  <si>
    <t>0692 24 14 33</t>
  </si>
  <si>
    <t>Maryse, l'hôtesse et maîtresse de maison guidera chacun dans son établissement pour que chaque passage ne laisse personne indifférent.</t>
  </si>
  <si>
    <t>repas originaux et traditionnels , sur réservation</t>
  </si>
  <si>
    <t>sentier de randonnée,point de vue panoramique,sentier de grande randonnée,jardin,Centres équestres,VTT</t>
  </si>
  <si>
    <t>PaMa1433uR</t>
  </si>
  <si>
    <t>bf055b75</t>
  </si>
  <si>
    <t>galerie::galerie_Images/a478caaa.Path.075515.jpg</t>
  </si>
  <si>
    <t>-21.378662, 55.632811</t>
  </si>
  <si>
    <t>Villa dans un endroit calme, espaces détente, tout équipée, location à partir de 2 nuits, dans un jardin arboré tropical, aménagé et plein de bambous et de beaucarnéas, spacieuse, dans une ruelle à sens unique. Toute équipée PMR</t>
  </si>
  <si>
    <t>Villa moderne toute équipée dans une ruelle au calme proche du centre ville de st joseph. Toute équipée PMR</t>
  </si>
  <si>
    <t>Depuis le centre ville de st joseph, continuez sur la RN2, prendre à gauche une ruelle en montant, c'est la rue Jean Bart, monter une centaine de mètre, la villa est sur la gauche au numéro 15 :) grand portail coulissant blanc</t>
  </si>
  <si>
    <t>barbecue , climatisation , fer et planche à repasser , piscine , jardin , lave linge privatif , salle de bain privée , TV , linge de maison , parking , salon , wifi gratuit , lave vaisselle , micro-ondes , sanitaires privés , wifi , douche , parking autocar , linge de toilette , jardin arboré , accès internet , piscine chauffée , serviettes. , terrasse , cuisine , jardin clôturé , cuisine équipée , parking sécurisé , tarrasse , tout équipé , piscine et accessiblité handicap , cuisine extérieur , frigo , varangue , salle à manger , salle de bain , cour clôturée , grand espace , cours clôturée , sur réservation , veranda couverte</t>
  </si>
  <si>
    <t>sentier de randonnée,riviere,site - lieu culturel,point de vue panoramique,commerce alimentaire,jardin,transports en commun,sentiers de randonnées,commerces,sites touristiques,sentiers de randonnée,randonnées,Bassin de Manapany,Sentier de randonnée,Centre - Ville,tabac presse,pâtisserie,centre ville de Saint-Joseph</t>
  </si>
  <si>
    <t>623151af</t>
  </si>
  <si>
    <t>ATTENTION : mail du 20 février : cessation d'activité
Villa calme, propre, moderne, sans vis à vis, et surtout PMR !! et Héliane aime son métier de loueur de meublé de tourisme, elle aime recevoir ls gens, leur parler et souvent est invitée aux apéros de ses clients ! grand sourire, tout est carré chez elle ! 
Elle fait même signé des contrats de location, avec règlement intérieur et CGVR !</t>
  </si>
  <si>
    <t>200</t>
  </si>
  <si>
    <t>-21.201663, 55.601302</t>
  </si>
  <si>
    <t>pilou.marmitelontan@gmail.com</t>
  </si>
  <si>
    <t>0692605138</t>
  </si>
  <si>
    <t>chauffage , jardin , linge de maison , parking , salle de bain privée , sanitaires privés , bibliothéque , Salle de jeux , Legumes bio</t>
  </si>
  <si>
    <t>LaOl5138N4</t>
  </si>
  <si>
    <t>bd7235ee</t>
  </si>
  <si>
    <t>galerie::galerie_Images/61846130.Path.121910.png</t>
  </si>
  <si>
    <t>Attention, en cours de reprise par le fils.
Invité en atelier créateur le 23 février</t>
  </si>
  <si>
    <t xml:space="preserve">Le Pinpin d'Amour </t>
  </si>
  <si>
    <t>56 A</t>
  </si>
  <si>
    <t xml:space="preserve"> Chemin Paul Hoareau</t>
  </si>
  <si>
    <t>-21.359797, 55.720783</t>
  </si>
  <si>
    <t>0262371486</t>
  </si>
  <si>
    <t>0692643744</t>
  </si>
  <si>
    <t>https://www.pinpindamour.com/</t>
  </si>
  <si>
    <t>Pinpin d’Amour est un havre de nature et de convivialité à Saint‑Philippe. Entre le jardin luxuriant, les chambres décorées avec soin et l’accueil sincère de Marie‑Claude et Richard, on se sent immédiatement chez soi. Le petit-déjeuner est généreux, et le dîner maison avec cocktail local, plats créoles et digestif offre un moment de partage inoubliable. Accessible aux personnes à mobilité réduite. Parking, jardin, wifi, détente et histoire locale vous y attendent.
Sur place : un mini-parcours botanique (jardin particulier) et une animation à l'apéritif sur La Réunion. Une animation sur le Vacoa et le Pinpin font également partie  de l'accueil.</t>
  </si>
  <si>
    <t>espace de restauration , jardin , parking , salle de bain privée , sanitaires privés , ventilateur</t>
  </si>
  <si>
    <t>DaMa3744Sc</t>
  </si>
  <si>
    <t>17fe6897</t>
  </si>
  <si>
    <t>galerie::galerie_Images/9a6dedb7.Path.061549.jpg</t>
  </si>
  <si>
    <t>Info du 15 février 2023 : la table d'hôte n'est ouverte que pour les personnes qui dorment sur place</t>
  </si>
  <si>
    <t>Chemin Paul Hoareau</t>
  </si>
  <si>
    <t>022a9f0f</t>
  </si>
  <si>
    <t>galerie::galerie_Images/9a587bb9.Path.054929.jpg</t>
  </si>
  <si>
    <t>Ni le téléphone fixe (numéro non attribué), ni le mobile ne fonctionnent, pas de tonalité, appels coupés directement.</t>
  </si>
  <si>
    <t>-21.250930, 55.469359</t>
  </si>
  <si>
    <t>0692386048</t>
  </si>
  <si>
    <t>feba4b0e</t>
  </si>
  <si>
    <t>galerie::galerie_Images/c5cdef42.Path.052520.jpg</t>
  </si>
  <si>
    <t>25 euros par personne pour le repas du soir (uniquement).
Le repas du soir comprend : apéritif, plat et dessert. De plus, les boissons non alcoolisés sont comprises.
*** FERMETURE TEMPORAIRE du 01/05/2025 au 01/09/2026 ***</t>
  </si>
  <si>
    <t xml:space="preserve">Le Jardin des Parfums et des Epices </t>
  </si>
  <si>
    <t>Chemin Forestier</t>
  </si>
  <si>
    <t>-21.364357, 55.742493</t>
  </si>
  <si>
    <t>0262370636</t>
  </si>
  <si>
    <t>0692660901</t>
  </si>
  <si>
    <t>https://www.jardin-parfums-epices.com/</t>
  </si>
  <si>
    <t>parking , parking public , sanitaires communs</t>
  </si>
  <si>
    <t>FoPa09012g</t>
  </si>
  <si>
    <t>fb65851c</t>
  </si>
  <si>
    <t>galerie::galerie_Images/b44be45a.Path.105205.jpg</t>
  </si>
  <si>
    <t>accueil hors les murs le samedi 23 avril 2022.</t>
  </si>
  <si>
    <t>SCA DU BRAS CREUX</t>
  </si>
  <si>
    <t>Restauration traditionnelle ; Exploitation agricole ; Agrotourisme</t>
  </si>
  <si>
    <t>impasse des cerfs</t>
  </si>
  <si>
    <t>Piton Ravine Blanche</t>
  </si>
  <si>
    <t>-21.240402, 55.571450</t>
  </si>
  <si>
    <t>flogite974@gmail.com</t>
  </si>
  <si>
    <t>0693 11 82 85</t>
  </si>
  <si>
    <t>https://www.scadubrascreux.re/</t>
  </si>
  <si>
    <t>Dans la fraîcheur des hauts du Tampon, une exploitation agricole un peu différente des autres, mais un gros manger créole au feu de vois vous y attend !</t>
  </si>
  <si>
    <t>Elevage de cerfs et autres animaux de la ferme sur 50 ha de prairies</t>
  </si>
  <si>
    <t>RN3 &gt; tourner à droite au veux bardeaux, continuer sur rue du père favron &gt;Faire 2 km. Au cédez le passage, continuez tout droit. On passe devant le cabaret Pat’Jaune. A la petite chapelle de piton de la ravine blanche, continuez tout droit. Dans le virage tournez à gauche, chemin des cerfs. Suivre ensuite Parcours de santé Tamarhauts, la flèche rouge. Vous allez passer 2 radiers en béton.. Au deuxième radier prendre à gauche. Suivre le panneau en bois Sentier botanique. Au fond de la voie sans issue, vous trouverez un portique en bois avec un portail métallique.Vous êtes arrivé.</t>
  </si>
  <si>
    <t>barbecue , espace de restauration , restauration , grand espace , Legumes bio , parking sécurisé , Propose des snacks , samoussas , produits de la ferme , repas originaux et traditionnels , cuisine extérieure , repas traditionnels , vue montagne , cuisine au bois , cheminée , Cafetière</t>
  </si>
  <si>
    <t>sentier de randonnée,site - lieu culturel,point de vue panoramique,équitation,forêt,sites touristiques,randonnées,ferme équestre,sentiers de randonnée,sentiers VTT,hébergements,centre équestre,route du volcan,Sentier de randonnée,Volcan le piton de la fournaise,forêt de Tamar'haut,Centres équestres,route pour aller au volcan,village du 23ème</t>
  </si>
  <si>
    <t>français (Expérimenté (Nv.3)),français,créole,anglais</t>
  </si>
  <si>
    <t>4647049e</t>
  </si>
  <si>
    <t>02606f73</t>
  </si>
  <si>
    <t>galerie::galerie_Images/9904a54d.Path.111556.png</t>
  </si>
  <si>
    <t>868a56c0</t>
  </si>
  <si>
    <t>galerie::galerie_Images/539222a0.Path.063332.png</t>
  </si>
  <si>
    <t>35 € / adulte
10 € par enfants de moins de 12 ans
Gratuit moins de 3 ans
Règlement sur place par chèque ou espèce uniquement
​</t>
  </si>
  <si>
    <t xml:space="preserve">Le Pinpin </t>
  </si>
  <si>
    <t>Rue de l'école Cap Méchant</t>
  </si>
  <si>
    <t>lepinpin.restaurant@orange.fr</t>
  </si>
  <si>
    <t>0692 08 18 26</t>
  </si>
  <si>
    <t>Le restaurant le Pinpin, à Saint-Philippe, au cœur du Sud Sauvage, dispose d'une terrasse ouverte sur un grand jardin. Il propose des spécialités de palmiste et de vacoa sous toutes ses formes. Démonstration de préparation du palmiste et du vacoa pour tous groupes. Ouvert tous les jours de 11h30 à 14h. Fermé le Mercredi.
Réservation conseillée le dimanche.
Ouverture possible le soir sur réservation pour les groupes.</t>
  </si>
  <si>
    <t>Restaurant traditionnel avec comme  spécialité le palmiste et le vacoa</t>
  </si>
  <si>
    <t>En arrivant de Saint-Pierre, prendre à droite au pont de Basse Vallée, en direction du Cap Méchant. Le restaurant est à l'angle du boulodrome sur le site du Cap Méchant.</t>
  </si>
  <si>
    <t>jardin , parking , ventilateur</t>
  </si>
  <si>
    <t>hébergements,littoral,sentier de randonnée,pêche,riviere,parking public,site - lieu culturel,point de vue panoramique,jardin</t>
  </si>
  <si>
    <t>Chèque,Carte Bancaire,Espèces,Eurocard,Virement</t>
  </si>
  <si>
    <t>BoJo1826w3</t>
  </si>
  <si>
    <t>18e8137e</t>
  </si>
  <si>
    <t>galerie::galerie_Images/271fce73.Path.080359.jpg</t>
  </si>
  <si>
    <t>Fermé en février 2023</t>
  </si>
  <si>
    <t>Les Tourterelles</t>
  </si>
  <si>
    <t>chemin des Tourterelles</t>
  </si>
  <si>
    <t>-21.379380, 55.654797</t>
  </si>
  <si>
    <t>location.lestourterelles@gmail.com</t>
  </si>
  <si>
    <t>0693 61 70 18</t>
  </si>
  <si>
    <t>Situé à Saint-Joseph, à 1,3 km de La Marine Langevin et à 6 km de la cascade de Trou noir, l'établissement Les tourterelles dispose d'une terrasse et de la climatisation. Vous profiterez d'une piscine privée et d'un parking privé gratuit.
Située au rez-de-chaussée, cette maison de vacances comprend 3 chambres, une télévision par satellite à écran plat ainsi qu'une cuisine entièrement équipée avec un micro-ondes, un réfrigérateur, un lave-linge, un four et des plaques de cuisson. Les serviettes et le linge de lit sont fournis.
Vous séjournerez à 8 km de la cascade de Grand Galet et de la Maison du Curcuma.</t>
  </si>
  <si>
    <t>Maison spacieuse avec grand jardin.
Attentifs au bon déroulement de leur séjour
Proximité de la mer , parcours de santé , de randonnée , des commerces etc...</t>
  </si>
  <si>
    <t>en voiture RN2 direction Vincendo puis chemin des Tourterelles à Gauche ( côte mer)</t>
  </si>
  <si>
    <t>climatisation , barbecue , piscine , jardin , TV , linge de maison , parking , salon , micro-ondes , four , terrasse , cuisine équipée , tout équipé</t>
  </si>
  <si>
    <t>commerce alimentaire,point de vue panoramique,site - lieu culturel,riviere</t>
  </si>
  <si>
    <t>Espèces,Virement,booking</t>
  </si>
  <si>
    <t>fbeeea07</t>
  </si>
  <si>
    <t>2c572c72</t>
  </si>
  <si>
    <t>galerie::galerie_Images/49b1d437.Path.095251.jpg</t>
  </si>
  <si>
    <t>CSC497HT@</t>
  </si>
  <si>
    <t>Antre Ô Pots</t>
  </si>
  <si>
    <t>ruelle Jaune</t>
  </si>
  <si>
    <t>-21.241419, 55.479516</t>
  </si>
  <si>
    <t>0692224381</t>
  </si>
  <si>
    <t>https://www.clairefalconnet.re/?fbclid=IwAR08pCbnqq88nTbJ6QHHe7pxTwgu-mCBWZsgSvvUUwP_HLj5jVYPFLOiqk0</t>
  </si>
  <si>
    <t>Atelier de poterie, vente d'articles
Elle accompagne et mets la personne en situation de découvrir ce qui peut se passer dans sa rencontre avec l’argile.  Sa transmission est fondée sur la conviction du pouvoir profondément transformateur du travail de l’argile et sur la nécessité de partager l’expérience issu de son vécu de Potière. Ses matières premières pour les émeaux : cendre de goyavier, rouge de cuivre basalte, chaux de Saint Leu, et terre de l’Entre-Deux.</t>
  </si>
  <si>
    <t>Atelier de poterie et céramique à la Réunion. Cuisson au gaz. Fabrication des emaux sur place</t>
  </si>
  <si>
    <t>Depuis le village, prendre direction ravine citron, RD26, Suivre le panneau poterie, prendre la rue arc en ciel sur la gauche en montant, à un croisement prendre en face, monter, quelques dizaines de mètres en avant, la ruelle jaune est sur la gauche. L'atelier est dans l'angle sur la pente montante</t>
  </si>
  <si>
    <t>matériel pour l'activité , ateliers , boutique</t>
  </si>
  <si>
    <t>sentier de randonnée,point de vue panoramique,sites touristiques,site - lieu culturel</t>
  </si>
  <si>
    <t>français,créole,anglais,espagnol,arabe</t>
  </si>
  <si>
    <t>4381FE</t>
  </si>
  <si>
    <t>f10b67c4</t>
  </si>
  <si>
    <t>galerie::galerie_Images/d450bcd7.Path.092542.png</t>
  </si>
  <si>
    <t xml:space="preserve"> Rue Defaud</t>
  </si>
  <si>
    <t>0692926039</t>
  </si>
  <si>
    <t>SoSy6039W1</t>
  </si>
  <si>
    <t>6e25d55d</t>
  </si>
  <si>
    <t xml:space="preserve">Le Margouillat </t>
  </si>
  <si>
    <t xml:space="preserve"> Rue Benjamin Hoarau</t>
  </si>
  <si>
    <t>0262346135</t>
  </si>
  <si>
    <t>0692097861</t>
  </si>
  <si>
    <t>IcIc7861rD</t>
  </si>
  <si>
    <t>300dc04c</t>
  </si>
  <si>
    <t>Fermeture temporaire jusqu'au 28/02/2022
Conversation téléphonique du 10/12/2021 : Mme ICHAYE indique ne pas être en activité touristique pour le moment mais ne souhaite pas fermer définitivement. Elle est en pause d'activité jusqu'au 28/02/2022 &gt; date après laquelle il faudra refaire le point avec elle 
A retel le 7 mars &gt; doit se renseigner si hébergement social pour femme battue tds exigée. Va rappeler semaine pro</t>
  </si>
  <si>
    <t xml:space="preserve">Le Vieux Port </t>
  </si>
  <si>
    <t>0692590923</t>
  </si>
  <si>
    <t>0692157931</t>
  </si>
  <si>
    <t>6db403f1</t>
  </si>
  <si>
    <t>galerie::galerie_Images/609c3d77.Path.054946.jpg</t>
  </si>
  <si>
    <t>"Etablissement fermé depuis 2021" rapporte le propriétaire, "définitivement fermé" sur google.</t>
  </si>
  <si>
    <t>joseph-marius.labenne@orange.fr</t>
  </si>
  <si>
    <t>0262 3148 83</t>
  </si>
  <si>
    <t>Chez Jo est un incontournable du Sud sauvage idéalement situé juste au-dessus du bassin de Manapany : on ne voit que lui ! Une cuisine créole, chinoise et hexagonale, avec une carte proposant du poisson, des grillades et bien sûr de délicieux caris, dont le fameux canard au palmiste. La cuisine est copieuse et le service sympathique.</t>
  </si>
  <si>
    <t>parking autocar , parking , ventilateur</t>
  </si>
  <si>
    <t>LaJo4883TZ</t>
  </si>
  <si>
    <t>9b0213fc</t>
  </si>
  <si>
    <t>galerie::galerie_Images/f11f2ccf.Path.073919.jpg</t>
  </si>
  <si>
    <t xml:space="preserve">Le Gréguois </t>
  </si>
  <si>
    <t>-21.330236, 55.606055</t>
  </si>
  <si>
    <t>0692 68 44 54</t>
  </si>
  <si>
    <t>BèJa4454ES</t>
  </si>
  <si>
    <t>7314d6ad</t>
  </si>
  <si>
    <t>galerie::galerie_Images/76cfd634.Path.060857.jpg</t>
  </si>
  <si>
    <t>PRINCESSE REINE</t>
  </si>
  <si>
    <t>29</t>
  </si>
  <si>
    <t>rue Jules HOAREAU</t>
  </si>
  <si>
    <t>-21.345932, 55.612767</t>
  </si>
  <si>
    <t>reinemayvitry@gmail.com</t>
  </si>
  <si>
    <t>0692956590</t>
  </si>
  <si>
    <t>Madame VITRY, est agricultrice à la Plaine des Grègues. Elle a embrassé la carrière de ses aïeux "le travail de la Terre". Elle transforme sa production en confitures, gelées et sirops faits maison. Les fruits exotiques utilisés sont issu de son exploitation certifiée BIO. Tous les produits de "PRINCESSE REINE" sont en vente également au magasin ARTS CHAMPS BEAUX au 19ème. Ce magasin se trouve dans le splendide Domaine ARCHAMBEAUD, à la PLAINE DES CAFRES.</t>
  </si>
  <si>
    <t>e62bf4e9</t>
  </si>
  <si>
    <t>da9c0c96</t>
  </si>
  <si>
    <t>galerie::galerie_Images/488f3d0b.Path.104240.jpg</t>
  </si>
  <si>
    <t xml:space="preserve"> Rue Vaitonne</t>
  </si>
  <si>
    <t>0692171181</t>
  </si>
  <si>
    <t>RoWi1181KP</t>
  </si>
  <si>
    <t>c62c9b45</t>
  </si>
  <si>
    <t>Not'Ecrin</t>
  </si>
  <si>
    <t>rue des Bois Blancs</t>
  </si>
  <si>
    <t>-21.374898, 55.663532</t>
  </si>
  <si>
    <t>notecrin@gmail.com</t>
  </si>
  <si>
    <t>Située à Vincendo commune de Saint Joseph la villa Not’Ecrin
Vous accueille le temps des vacances , d’un week-end, d'une nuitée, ou à la semaine.
Cette villa moderne et équipée peut accueillir 6 personnes et jusqu’à 9 maximum
Couchages : 2 chambres doubles avec leurs salles d’eaux et Wc privatives
1 chambre double avec salle d’eau et Wc et possibilité d’un lit d’appoint
Canapé lit dans le séjour
Séjour cuisine toute équipée
Possibilité de garer 3 voitures
Extérieur avec piscine et barbecue</t>
  </si>
  <si>
    <t>Villa moderne avec piscine</t>
  </si>
  <si>
    <t>En venant de St-Joseph prendre à gauche juste avant la station essence de Vincendo.</t>
  </si>
  <si>
    <t>barbecue , climatisation , fer et planche à repasser , piscine , chauffage , jardin , lave linge privatif , salle de bain privée , TV , vue montagne , vue mer , linge de maison , parking , salon , wifi gratuit , lave vaisselle , micro-ondes , sanitaires privés , douche , four , terrasse , linge de toilette , cuisine , cuisine équipée , jardin clôturé , salle à manger , Cafetière , Lit parapluie sur demande , cours clôturée , plaque de cuisson , frigo</t>
  </si>
  <si>
    <t>sentier de randonnée,riviere,centre commercial,site - lieu culturel,point de vue panoramique,commerce alimentaire,sites touristiques,arrêt bus,poste - boite aux lettres,station essence,pharmacie,boulangerie,pâtisserie,maraicher,restaurants,centre médical,Point chaud,médecin,tabac presse,coiffeur</t>
  </si>
  <si>
    <t>397e65bd</t>
  </si>
  <si>
    <t>6b9939fd</t>
  </si>
  <si>
    <t>galerie::galerie_Images/cba84a48.Path.090850.jpg</t>
  </si>
  <si>
    <t>CSC540HTI</t>
  </si>
  <si>
    <t>15€ supplémentaire par personne 
Horaires flexibles le week-end</t>
  </si>
  <si>
    <t xml:space="preserve"> Chemin Citerne Bras de Pontho</t>
  </si>
  <si>
    <t>0693471272</t>
  </si>
  <si>
    <t>BoSt1272ra</t>
  </si>
  <si>
    <t>657eefd3</t>
  </si>
  <si>
    <t>MECHANT!</t>
  </si>
  <si>
    <t>route Labourdonnais</t>
  </si>
  <si>
    <t>Cap Méchant</t>
  </si>
  <si>
    <t>-21.372229, 55.714627</t>
  </si>
  <si>
    <t>mamiemechant@gmail.com</t>
  </si>
  <si>
    <t>0692224620</t>
  </si>
  <si>
    <t>https://www.mechant.re/?fbclid=IwAR3prgWy0IrwAyoLGNxXCUCqda5GFFXAtI0nHdfg-kRQGVqiWoUvU1tourQ</t>
  </si>
  <si>
    <t>Authentique maison centenaire en bois sous tôle au Cap Méchant avec deux chambres doubles, et un lit parapluie disponible sur demande, un jardin luxuriant, une terrasse avec brasero, deux belles varangues, du mobilier, de la vaisselle, du linge de maison, un aménagement intérieur et paysager faisant l'objet d'une attention toute particulière
Fêtes et bruits gênants, non autorisés.</t>
  </si>
  <si>
    <t>Charmante ancienne petite maison créole traditionnelle retapée entièrement façon Frida Kahlo locale</t>
  </si>
  <si>
    <t>Depuis Saint Pierre, par la RN2, dépasser les rampes de Basse Vallée, descendre direction le Cap Méchant, quelques virages, rester sur la route vers la gauche, c'est le Bd Labourdonnais, roulez deux à trois minutes, sur la gauche, vous apercevrez la maison</t>
  </si>
  <si>
    <t>wifi gratuit , terrasse , salon de jardin , four , lave linge privatif , linge de maison , linge de toilette , douche , cuisine , frigo , Cafetière , brasero , barbecue , baignoire</t>
  </si>
  <si>
    <t>littoral,poste - boite aux lettres,sentier de randonnée,commerce alimentaire,transports en commun,pharmacie,médecin</t>
  </si>
  <si>
    <t>DaFa4620tI</t>
  </si>
  <si>
    <t>5c198529</t>
  </si>
  <si>
    <t>galerie::galerie_Images/7aee35ee.Path.100113.jpg</t>
  </si>
  <si>
    <t>CSC528HT@</t>
  </si>
  <si>
    <t>La réservation en ligne avec règlement d'arrhes (20% du montant total) et règlement du solde (80%) sur place en chèque ou espèces, ou avant l'arrivée, par virement bancaire.
Il n'y a pas de climatisation</t>
  </si>
  <si>
    <t>Air d'adhésion du Parc</t>
  </si>
  <si>
    <t>Villa Tourmaline</t>
  </si>
  <si>
    <t>142 bis</t>
  </si>
  <si>
    <t>chemin Raphaël Babet</t>
  </si>
  <si>
    <t>-21.269679, 55.499573</t>
  </si>
  <si>
    <t>corinnebanor@gmail.com</t>
  </si>
  <si>
    <t>0692533872</t>
  </si>
  <si>
    <t>https://www.runissime.re/tampon+974+villa+location-vacances+r24770579.html?marche=1&amp;transaction_url=location-vacances</t>
  </si>
  <si>
    <t>Runissime vous propose sa nouvelle et sublime location saisonnière située dans les hauts du sud de l'île, cette magnifique villa est en capacité d'accueillir jusqu'à 6 personnes maximum avec ces trois grandes chambres situés au premier étage de celle-ci.
La maison est entièrement équipée pour des moments de détente au bord de sa belle piscine en pierre naturelle ou encore dans des moments de relaxation dans le jacuzzi privée de la villa</t>
  </si>
  <si>
    <t>Villa avec piscine + jacuzzi : 3 chambres pour 6 personnes</t>
  </si>
  <si>
    <t>fer et planche à repasser , piscine , jacuzzi , jardin , lave linge privatif , TV , linge de maison , wifi gratuit , four</t>
  </si>
  <si>
    <t>2527288c</t>
  </si>
  <si>
    <t>7c89c7c2</t>
  </si>
  <si>
    <t>galerie::galerie_Images/b2ae8aae.Path.070552.jpg</t>
  </si>
  <si>
    <t>CSC556HTP</t>
  </si>
  <si>
    <t>ATTENTION : Hébergement sous gestion agence immobilière avec Runissime</t>
  </si>
  <si>
    <t>Randonnée pédestre ; Visite guidée</t>
  </si>
  <si>
    <t xml:space="preserve">jocelyn.peche@gmail.com </t>
  </si>
  <si>
    <t>0692295439</t>
  </si>
  <si>
    <t>visites pédagogiques , grand espace</t>
  </si>
  <si>
    <t>point de vue panoramique,riviere</t>
  </si>
  <si>
    <t>CeJo5439x8</t>
  </si>
  <si>
    <t>6246312c</t>
  </si>
  <si>
    <t>Le Sunset</t>
  </si>
  <si>
    <t>appt 38 - 4e étage - résidence Charlotte - Bât. B</t>
  </si>
  <si>
    <t>63 bis rue Paul Herman</t>
  </si>
  <si>
    <t>-21.270410, 55.517268</t>
  </si>
  <si>
    <t>bruno.gangnant@orange.fr</t>
  </si>
  <si>
    <t>0692 33 40 66</t>
  </si>
  <si>
    <t>Charmant T3 de 60m2 équipé d'une superbe terrasse de 40m2. Vue imprenable sur la côte sud et magnifiques couchers de soleil.
Résidence sécurisée et calme, ascenseur, piscine collective,
2 chambres avec lits 160 et salles de bains privatives, placards, lave- linge, télé, internet par fibre, cuisine équipée et fonctionnelle.
Proche des commodités (bus, boulangerie,restaurants...)
plage de Saint-Pierre à 10', proximité de sentiers de randonnée (Grand-Bassin) et du volcan
Grande terrasse équipée de bains de soleil, parasol, table haute, soyez émerveillé devant le coucher de soleil tout en savourant un délicieux rhum arrangé.
Chambres dotées de leurs salles de bain privatives gagent d'intimité préservée</t>
  </si>
  <si>
    <t>Appartement Le Sunset</t>
  </si>
  <si>
    <t>Une fois arrivée au lycée Roland Garros continuer sur le boulevard direction Trois-Mares, 
Une fois arrivée au rond point de Midas, prendre direction la Plaine des Cafres, chemin Paul Hermann, la résidence se trouve sur la gauche au numéro 63bis</t>
  </si>
  <si>
    <t>fer et planche à repasser , piscine , vue montagne , vue mer , linge de maison , parking , salon , TV , wifi gratuit , lave linge privatif , micro-ondes , salle de bain privée , douche , four , terrasse , salon de jardin , linge de toilette , cuisine , serviettes. , Cafetière , Lit parapluie sur demande , frigo , cour clôturée avec portail électrique</t>
  </si>
  <si>
    <t>restaurants,tabac presse,pharmacie,médecin,commerce alimentaire,point de vue panoramique,transports en commun,commerces,Centre - Ville,boulangerie,Point chaud</t>
  </si>
  <si>
    <t>eccb7df7</t>
  </si>
  <si>
    <t>5615b9ae</t>
  </si>
  <si>
    <t>galerie::galerie_Files_/890851c3.Path.043734.webp</t>
  </si>
  <si>
    <t>CSC552HTL</t>
  </si>
  <si>
    <t>ALTIRUN</t>
  </si>
  <si>
    <t>54</t>
  </si>
  <si>
    <t>Rue Grand Fond Intérieur</t>
  </si>
  <si>
    <t>-21.241748, 55.467282</t>
  </si>
  <si>
    <t>altirun.montagne@gmail.com</t>
  </si>
  <si>
    <t>0692942153</t>
  </si>
  <si>
    <t>&gt; Sorties rando ou trail à la journée ou en itinérance (trek).
&gt; Stages de trail et d'orientation
&gt; Selon programme ou sur mesure pour s'adapter précisément à vos envies.
&gt; Forte expérience de la montagne en général, et de la randonnée et du trail en particulier.
&gt; Très bonne connaissance de La Réunion (spécificité tropicale) et des Alpes.
&gt; Professionnel diplômé d'état, qualifié et assuré (SIRET 90136654200024)</t>
  </si>
  <si>
    <t>Accompagnateur en Montagne basé à La Réunion.
Spécialiste RANDO &amp; TRAIL tous niveaux.
Formations à l'orientation.</t>
  </si>
  <si>
    <t>Prendre la RD26 direction l'Entre Deux, vers les pompiers de l'Entre Deux, prendre la rue Dijoux, puis à Gauche en suivant Grand Fond intérieur</t>
  </si>
  <si>
    <t>matériel pour l'activité , équipement sportif</t>
  </si>
  <si>
    <t>arrêt bus,station essence,Centre - Ville,sentier de randonnée,banque - guichet automatique,restaurants,sentiers de randonnées,commerces,sites touristiques,forêt,sentiers de randonnée,randonnées,Sentier de randonnée,hébergements,Point chaud,activités aériennes,snack</t>
  </si>
  <si>
    <t>e4b311d0</t>
  </si>
  <si>
    <t>1c9eb4da</t>
  </si>
  <si>
    <t>galerie::galerie_Images/3e19c406.Path.160335.jpg</t>
  </si>
  <si>
    <t xml:space="preserve">Le Colibri </t>
  </si>
  <si>
    <t>-21.238505, 55.537043</t>
  </si>
  <si>
    <t>0262354028</t>
  </si>
  <si>
    <t>0692870357</t>
  </si>
  <si>
    <t>Les chambres se situent à l'étage de la maison avec une entrée indépendante. possibilité de lit supplémentaire.
Un grand jardin est également à disposition. La chambre d'hôtes dispose d'un parking avec portail automatique.
Les 3 chambres ont accès à 2 salles de bains avec douches, à un petit espace pour se restaurer (frigo, évier, bouilloire, cafetière sur demande) et à un salon commun équipé d'une télévision.
Un accès wifi gratuit est également disponible.
A proximité : randonnées sur la région du Volcan, à Grand Bassin. Proche de toutes commodités.</t>
  </si>
  <si>
    <t>Depuis le Sud : prendre la 4 voies en direction du Tampon. Arrivé au rond-point des Azalées, suivre la RN3 en direction de Saint-Benoît. Passer le rond-point du 17ème km. La chambre d’hôtes Le Colibri se trouve sur la gauche au n°79.
Depuis les Plaines : suivre la RN3 en direction du Tampon jusqu’au 19ème km. Continuer de descendre après l'école primaire, la structure se trouve sur la droite après le panneau de fin de zone "le dix-neuvième".</t>
  </si>
  <si>
    <t>barbecue , fer et planche à repasser , vue montagne , vue mer , lave linge collectif , linge de maison , parking , salon , jardin , TV , wifi gratuit , micro-ondes , sanitaires communs , douche , linge de toilette , cour clôturée , Cafetière , Lit parapluie sur demande , frigo , salle de bain commune , petit déjeuner continental , cour clôturée avec portail électrique , balcon</t>
  </si>
  <si>
    <t>sentier de randonnée,point de vue panoramique,arrêt bus,transports en commun,maraicher,restaurants,médecin,snack</t>
  </si>
  <si>
    <t>Chèque,Virement,Espèces,Carte Bancaire,booking,airbnb</t>
  </si>
  <si>
    <t>BeGi035713</t>
  </si>
  <si>
    <t>79465a73</t>
  </si>
  <si>
    <t>galerie::galerie_Images/9528abf0.Path.071336.jpg</t>
  </si>
  <si>
    <t>Création de Lilie</t>
  </si>
  <si>
    <t>32</t>
  </si>
  <si>
    <t>Chemin Jamalacs</t>
  </si>
  <si>
    <t>-21.336021, 55.628165</t>
  </si>
  <si>
    <t>elisa_courcinoux@hotmail.com</t>
  </si>
  <si>
    <t>0692 07 98 17</t>
  </si>
  <si>
    <t>Le bijou se présente sous la forme d’un bracelet : l’association de la numérologie et de la lithothérapie. Un bracelet comprenant 8 pierres qui seront associés à sa propre personne avec différentes informations personnelles de son arbre généalogique. Chaque pierre qui constitue notre chemin de vie a une symbolique particulière pour la personne qui la porte. 
A travers la création de votre bijou personnalisé, Élisa GRONDIN vous expliquera vos points faibles (qui en réalité sont vos points forts), vos points forts, les schémas qui se répètent à travers l’histoire de l’arbre généalogique.</t>
  </si>
  <si>
    <t>Découvrez les bijoux créés en pierres naturelles artisanales. Création de Lilie propose également la fabrication de votre bijou de chemin de vie.</t>
  </si>
  <si>
    <t>A retrouver dans les boutiques</t>
  </si>
  <si>
    <t>07ff48f1</t>
  </si>
  <si>
    <t>18c415fa</t>
  </si>
  <si>
    <t>galerie::galerie_Images/6bac1b34.Path.044837.jpg</t>
  </si>
  <si>
    <t xml:space="preserve"> Rue Lin Benard</t>
  </si>
  <si>
    <t>10e</t>
  </si>
  <si>
    <t>-21.277578, 55.526105</t>
  </si>
  <si>
    <t>0262 57 50 36</t>
  </si>
  <si>
    <t>EnRo9888Sj</t>
  </si>
  <si>
    <t>bea8d66e</t>
  </si>
  <si>
    <t>galerie::galerie_Images/4bfcdf97.Path.074132.jpg</t>
  </si>
  <si>
    <t>SEVERIN</t>
  </si>
  <si>
    <t>ruelle Bleue</t>
  </si>
  <si>
    <t>-21.245899, 55.478656</t>
  </si>
  <si>
    <t>monsieur.severin@gmail.com</t>
  </si>
  <si>
    <t>0692490744</t>
  </si>
  <si>
    <t>Maison avec jardin arboré, feu de camp disponible pour les grillades, table de pique-nique, 2 places de parking dans la cour, 1 grande chambre avec lit 2 places et un clic-clac (avec vrai matelas) dans le salon, cuisine toute équipée, grande varangue avec espace salle à manger, sans vis à vis, douche à l'italienne. Matériel pour accueillir un bébé qui peut être mis à disposition.
Pour les personnes à mobilité réduite, à voir selon le handicap : portes larges, maison de plein pied</t>
  </si>
  <si>
    <t>centre de bien-être,sentier de randonnée,point de vue panoramique,commerce alimentaire,forêt,sites touristiques,transports en commun,restaurants,épicerie</t>
  </si>
  <si>
    <t>0f090691</t>
  </si>
  <si>
    <t>cb8e8c5c</t>
  </si>
  <si>
    <t>galerie::galerie_Images/01e56ce0.Path.075029.jpg</t>
  </si>
  <si>
    <t>CSC464HT@</t>
  </si>
  <si>
    <t xml:space="preserve">L'Arbre du Voyageur </t>
  </si>
  <si>
    <t xml:space="preserve"> Cd 26</t>
  </si>
  <si>
    <t>-21.256600, 55.465123</t>
  </si>
  <si>
    <t>0262 69 42 17</t>
  </si>
  <si>
    <t>0692617981</t>
  </si>
  <si>
    <t>terrasse , sèche-cheveux , chauffage , jardin , parking , wifi , climatisation , piscine , TV , four , linge de maison , cuisine équipée , micro-ondes , jardin clôturé , salon , Cafetière , barbecue , Lit parapluie sur demande , jacuzzi , lave vaisselle , linge de toilette , douche , frigo , salle à manger , serviettes. , bouilloire , grille-pain , lave linge privatif , jeux , garage , piscine chauffée , lave-linge , espace spa - bien être</t>
  </si>
  <si>
    <t>sentier de randonnée,point de vue panoramique,tennis,VTT,arrêt bus,stade de foot,aire de jeux</t>
  </si>
  <si>
    <t>RiJa7981we</t>
  </si>
  <si>
    <t>2493e0d8</t>
  </si>
  <si>
    <t>galerie::galerie_Images/07891b96.Path.063149.jpg</t>
  </si>
  <si>
    <t>KAYAMBALH</t>
  </si>
  <si>
    <t>Apt 10 - N°118</t>
  </si>
  <si>
    <t>-21.264351, 55.518516</t>
  </si>
  <si>
    <t>steve.sc@hotmail.fr</t>
  </si>
  <si>
    <t>0693512263</t>
  </si>
  <si>
    <t>Activité en développement avec "Possible"
Création de bijoux sur mesure, personnalisé
Possibilité d'organiser des ateliers de création pour 5 personnes maximum
Présent sur les salons (comme le marché de Noël par exemple, à voir avec le prestataire)
Pas de boutique - pas d'atelier à visiter</t>
  </si>
  <si>
    <t>Création de bijoux à base de graines, de bois, nacre, coquillages... personnalisés</t>
  </si>
  <si>
    <t>bijoux personnalisés</t>
  </si>
  <si>
    <t>ad58d342</t>
  </si>
  <si>
    <t>ee34330e</t>
  </si>
  <si>
    <t>galerie::galerie_Images/8ee9372a.Path.064103.jpg</t>
  </si>
  <si>
    <t>Prestataire boutique OTISud // serait intéressé par les ateliers organisés par l'OTISud pour faire découvrir son activité
Ne propose pas de visite de son atelier mais possibilité de créer des bijoux personnalisés à la demande du client.</t>
  </si>
  <si>
    <t xml:space="preserve">La Ferme des Pitayas </t>
  </si>
  <si>
    <t xml:space="preserve"> rue des Passerines </t>
  </si>
  <si>
    <t>-21.305042, 55.524497</t>
  </si>
  <si>
    <t>catherine.apostin@gmail.com</t>
  </si>
  <si>
    <t>0692043088</t>
  </si>
  <si>
    <t>accès internet , wifi , barbecue , TV , lave vaisselle , linge de maison , serviettes.</t>
  </si>
  <si>
    <t>ApCa3088Ia</t>
  </si>
  <si>
    <t>b6e68439</t>
  </si>
  <si>
    <t>galerie::galerie_Images/a00ae756.Path.092305.jpg</t>
  </si>
  <si>
    <t>Les 3 soleils</t>
  </si>
  <si>
    <t>Rue Victor Hugo</t>
  </si>
  <si>
    <t>-21.380081, 55.638179</t>
  </si>
  <si>
    <t>0692662628</t>
  </si>
  <si>
    <t>barbecue , climatisation , fer et planche à repasser , parking public , piscine , jacuzzi</t>
  </si>
  <si>
    <t>CeBe2628UC</t>
  </si>
  <si>
    <t>f07f22b1</t>
  </si>
  <si>
    <t>galerie::galerie_Images/9d5e3aa0.Path.154505.jpg</t>
  </si>
  <si>
    <t>ML : a rappeler en février pour visite</t>
  </si>
  <si>
    <t>Le Chalet de Noël</t>
  </si>
  <si>
    <t>9B</t>
  </si>
  <si>
    <t>impasse Augustin LEBRETON</t>
  </si>
  <si>
    <t>-21.210676, 55.593525</t>
  </si>
  <si>
    <t>n.vitry@yahoo.fr</t>
  </si>
  <si>
    <t>0692217985</t>
  </si>
  <si>
    <t>Au total, le Chalet de Noël dispose de quatre belles chambres. Au rez de chaussée, l'espace est dédié à la détente, vous y trouverez une grande pièce de vie qui s'ouvre sur une terrasse couverte. La villa est aménagé de sorte à profiter de la magnifique vue côté montagne. 
3 salles de bain sont à la disposition des vacanciers. De plus, un coin douche est disponible près du sauna (rez de chaussée). 
La villa comporte au total, deux cuisines aménagées. L'une se situe à l'intérieur de la maison (au chaud). L'autre se trouve à l'entrée de la maison. Les vacances auront la possibilité d'admirer le paysage à travers les baies vitrées au quatre coins de la maison.</t>
  </si>
  <si>
    <t>Véritable pépite située à la Plaine des Cafres, le Chalet de Noël vous accueille pour votre séjour dans les Hauts du Tampon. Le Chalet de Noël est le lieu idéal pour passer un séjour entre amis ou en famille.</t>
  </si>
  <si>
    <t>Vous prenez la direction de la route principale du volcan. Sur cette route, se trouve le chemin du COMMERSON. L'impasse Augustin LEBRETON se situe dans cette rue. Le Chalet de Noël se trouve au fond de l'impasse.</t>
  </si>
  <si>
    <t>barbecue , fer et planche à repasser , piscine , vue montagne , sur réservation , grand espace , linge de maison , parking , TV satellite , salon , chauffage , jardin , TV , espace de restauration , wifi gratuit , lave vaisselle , équipement sportif , matériel pour l'activité , espace spa - bien être , lave linge privatif , micro-ondes , salle de bain privée , douche , four , sèche linge privatif , aire de jeux pour enfant , terrasse , salon de jardin , linge de toilette , cuisine , jardin arboré , espace de restauration en extérieur , bar , accès internet , piscine chauffée , serviettes. , cuisine équipée , cour clôturée , veranda couverte , billard , Salle de jeux , cave à vin , sauna , salle à manger , Cafetière , plaque de cuisson , frigo , cuisine extérieur , cheminée , netflix , Tout équipé, wifi , cour clôturée avec portail électrique , brasero</t>
  </si>
  <si>
    <t>sentier de randonnée,commerce alimentaire,équitation,parking public,site - lieu culturel,point de vue panoramique,forêt,sites touristiques,arrêt bus,transports en commun,station essence,pharmacie,boulangerie,pâtisserie,banque - guichet automatique,restaurants,Maison du Volcan,ferme équestre,hébergements,route du volcan,village du 23ème,Cabaret Pat'Jaune,parc notre dame de la paix,Point de vue du Belvédère de Bois court,forêt tamarhauts</t>
  </si>
  <si>
    <t>0e381d63</t>
  </si>
  <si>
    <t>02af3d40</t>
  </si>
  <si>
    <t>galerie::galerie_Images/d575a340.Path.104945.jpg</t>
  </si>
  <si>
    <t>CSC532HT@</t>
  </si>
  <si>
    <t xml:space="preserve">Le Bardeau </t>
  </si>
  <si>
    <t>-21.248808, 55.469620</t>
  </si>
  <si>
    <t>melanie.venault974@gmail.com</t>
  </si>
  <si>
    <t>0693 94 39 00</t>
  </si>
  <si>
    <t>VeMé3900rx</t>
  </si>
  <si>
    <t>30c7c3fa</t>
  </si>
  <si>
    <t>galerie::galerie_Images/a3e55e4b.Path.065321.jpg</t>
  </si>
  <si>
    <t>Le restaurant "LE BARDEAU" est ouvert du lundi au samedi (midi et soir)</t>
  </si>
  <si>
    <t>D32</t>
  </si>
  <si>
    <t>-21.358953, 55.600298</t>
  </si>
  <si>
    <t>0692033727</t>
  </si>
  <si>
    <t>Aux portes du sud de l’ile de La Réunion, dans un village typiquement Créole, Les Lodges Les Vanilliers sont idéalement situés.
A proximité de toutes commodités et à 10 minutes de la plage de Grande Anse, ce nouveau complexe vous permettra de savourer tous les plaisirs de l’ile.
Les 10 bungalows dont certains ont vue sur mer, sont équipés d’une terrasse privative, kitchenette et ustensiles de cuisine en option, TV, et Wifi disponible au restaurant.
Les + : Piscine et parking sécurisés,  table d’hôtes avec grande terrasse et vue sur la mer</t>
  </si>
  <si>
    <t>Ce complexe composée de 10 Bungalows meublés pouvant accueillir de 2 à 4 personnes, vous offre un cadre exceptionnel et calme.</t>
  </si>
  <si>
    <t>parking sécurisé , piscine , vue mer , terrasse , kitchenette équipée , wifi , TV</t>
  </si>
  <si>
    <t>DuAl8215Wg</t>
  </si>
  <si>
    <t>68596079</t>
  </si>
  <si>
    <t>Situé à Manapany les Bains dans un endroit calme et reposant, le gîte des Cormorans dispose de 3 logements dont 2 studios « Récif et Corail » pouvant accueillir 2 personnes (possibilité de lit 90 cm pour enfant ou lit BB gratuit) et 1 appartement 'Le Lagon" pour 4 personnes. Terrasse couverte de 13 m² et kitchenette équipée pour les studios; petit balcon et cuisine équipée pour l’appartement. Chambres climatisées, terrasse et balcon avec vue sur mer, piscine et jardin.</t>
  </si>
  <si>
    <t>barbecue , climatisation , fer et planche à repasser , jardin , lave linge collectif , piscine , TV</t>
  </si>
  <si>
    <t>DuAl8215Wg,3A17DFBCC3,13fc4380</t>
  </si>
  <si>
    <t>dd160577</t>
  </si>
  <si>
    <t>-21.282903, 55.521372</t>
  </si>
  <si>
    <t>accès internet payant , chauffage , climatisation , espace spa - bien être , jardin , parking autocar , parking , piscine , salle de réunion - séminaire , téléphone , TV , ventilateur</t>
  </si>
  <si>
    <t>7678e1b9</t>
  </si>
  <si>
    <t>galerie::galerie_Files_/e63f20d8.Path.114122.avif</t>
  </si>
  <si>
    <t>pour service presta en cas d'urgence : numéro de M. PAYET (directeur) 0692 42 22 45 (ne pas communiquer ce num aux touristes)</t>
  </si>
  <si>
    <t>Coco Vanille</t>
  </si>
  <si>
    <t>rue Labourdonnais</t>
  </si>
  <si>
    <t>0262931876</t>
  </si>
  <si>
    <t>0692945112</t>
  </si>
  <si>
    <t>https://www.coco-vanille.com/</t>
  </si>
  <si>
    <t>Coco Vanille propose quatre chambres d'hôtes nommées : Coco, Orchidée, Bambou et Vanille. Chaque chambre dispose de sanitaires privés.
Une piscine-balnéothérapie avec traitement naturel au magnésium est à disposition des résidents. Détente, zénitude et revitalisation seront assurées après les randonnées. A disposition des clients, table et réfrigérateur sous la varangue.
Cette chambre d'hôtes propose uniquement le repas du soir sur réservation.</t>
  </si>
  <si>
    <t>En séjournant dans cette chambre d'hôtes située à Saint-Philippe, vous pourrez déguster votre petit déjeuner sous la varangue.</t>
  </si>
  <si>
    <t>De l'Ouest, à partir du panneau Basse-Vallée, à droite se trouve la pharmacie le Grand Bleu. Tout de suite après la pharmacie, vous tournez à droite au terre- plein central, Coco Vanille se trouve à 100 mètres à gauche. 
De l'Est, vous dépassez l'église de Basse-Vallée, puis au terre-plein central, vous tournez à gauche. Coco Vanille se trouve à 100 mètres à gauche.</t>
  </si>
  <si>
    <t>climatisation , parking public , piscine , sur réservation , linge de maison , ventilateur , salon , chauffage , espace de restauration , restauration , wifi gratuit , micro-ondes , sanitaires privés , douche , linge de toilette , jardin arboré , espace de restauration en extérieur , bar , accès internet , serviettes. , végétariens bienvenus , petit déjeuner créole ou classique , salle de bain , cour clôturée , bibliothéque , veranda couverte , Legumes bio , repas originaux et traditionnels , Cafetière , Lit parapluie sur demande , frigo , varangue</t>
  </si>
  <si>
    <t>sentier de randonnée,riviere,parking public,site - lieu culturel,point de vue panoramique,commerce alimentaire,équitation,forêt,pêche,sites touristiques,arrêt bus,poste - boite aux lettres,jardin,plage,transports en commun,sites - lieux culturels,station essence,Centre - Ville,pharmacie,boulangerie,pâtisserie,maraicher,banque - guichet automatique,VTT,piscine,restaurants,Restauration,piscine municipale,sentiers VTT,route des laves,coulées de lave,ferme équestre,centre médical,quad,hébergements,route du volcan,Volcan le piton de la fournaise,Point chaud,stade de foot,commerce de proximité…,épicerie,médecin,tabac presse,coiffeur,Terrain de jeux pour enfants,aire de jeux,marchés,centre de bien-être,Toutes commodités,tunnels de lave</t>
  </si>
  <si>
    <t>HeJe5112CO</t>
  </si>
  <si>
    <t>5cac3753</t>
  </si>
  <si>
    <t>galerie::galerie_Images/52bab743.Path.065654.jpg</t>
  </si>
  <si>
    <t>Tarification au 30/12/2022 (base de deux personnes par chambre avec petit déjeuner) :
La chambre Coco : à partir de 68 euros ;
La chambre Orchidée : à partir de 68 euros ;
La chambre Bambou : à partir de 75 euros ;
La chambre Vanille : à partir de 75 euros.</t>
  </si>
  <si>
    <t>JASMIN NUIT JACUZZI REUNION - Villa Songes</t>
  </si>
  <si>
    <t>14 C et D</t>
  </si>
  <si>
    <t>chemin Fidélio Robert</t>
  </si>
  <si>
    <t>-21.268440, 55.527679</t>
  </si>
  <si>
    <t>jasmindenuitlareunion@gmail.com</t>
  </si>
  <si>
    <t>0692303717</t>
  </si>
  <si>
    <t>https://www.jasmin-de-nuit.com/?fbclid=IwAR3So7oPBRB8_U-1SGTfodIDmAMcAdxyc6X_a-g66LtOTmqofai2koaDyKo</t>
  </si>
  <si>
    <t>Découvrez la Villa "SONGE" idéale pour une escapade en amoureux sans vis à vis ! Son jacuzzi privatif et sa plancha vous séduiront dans un espace détente cosy. A l'extérieur des parties privatives, une partie commune abritée d'env. 25m² avec barbecue et brazero. Un coin zen avec bassin à poissons et fontaine pour profiter au mieux de votre séjour. A prox. du centre ville et des commerces. Entre mer et montagne, sur la route du Volcan, et à 15min des plages du Sud (St Pierre).</t>
  </si>
  <si>
    <t>Villa Cosy, spacieux pour 2 personnes, tout équipé avec linge maison. Jardin et jacuzzi privatif 3 places. Parking privatif sécurisé, entrée avec digicode et bip. Sur le terrain il y a deux villas avec un espace collectif (abrité, barbecue, braséro) ainsi qu'un espace zen.</t>
  </si>
  <si>
    <t>Une fois sur la RN3 au niveau du 12ème km : au rond point juste avant la pharmacie du 11ème km, prendre la sortie vers la rue Jules Bertaut (la boulangerie est dans l'angle du rond point, sur votre droite), continuer tout droit sur le chemin Fidélio Robert, l'hébergement se trouve sur la droite au numéro 14 C et D</t>
  </si>
  <si>
    <t>SPA , parking sécurisé , tout équipé , terrasse , wifi gratuit , ventilateur , TV , fer et planche à repasser , brasero , barbecue , jacuzzi , jardin , linge de maison</t>
  </si>
  <si>
    <t>restaurants,boulangerie,pharmacie,transports en commun</t>
  </si>
  <si>
    <t>booking,Carte Bancaire,airbnb,Virement,Espèces</t>
  </si>
  <si>
    <t>52e311cf</t>
  </si>
  <si>
    <t>84b19d7b</t>
  </si>
  <si>
    <t>galerie::galerie_Files_/de715787.Path.104800.webp</t>
  </si>
  <si>
    <t>CSC523HT@</t>
  </si>
  <si>
    <t>2 petites maisons disposants chacune de leur jacuzzi privé sans vis à vis
établissement idéal pour les couples
atouts : jacuzzi privé, animaux acceptés, espace extérieur avec barbecue et brasero</t>
  </si>
  <si>
    <t>JASMIN NUIT JACUZZI REUNION - Villa Fournaise</t>
  </si>
  <si>
    <t>-21.268443, 55.527701</t>
  </si>
  <si>
    <t>Situé au Tampon, le JASMIN DE NUIT - Villa FOURNAISE propose un jardin, un spa et centre de bien-être ainsi qu'une terrasse. Vous séjournerez à 44 km de Saint-Denis. Vous bénéficierez gratuitement d'un parking privé sur place et d'une connexion Wi-Fi.
Cette maison de vacances comprend une chambre, une salle de bains, du linge de lit, des serviettes, une télévision à écran plat, un coin repas, une cuisine entièrement équipée et une terrasse avec vue sur le jardin.
Lors de votre séjour, vous pourrez profiter d'un jacuzzi.
Les couples apprécient particulièrement l'emplacement de cet établissement.</t>
  </si>
  <si>
    <t>brasero , barbecue , fer et planche à repasser , jacuzzi , chauffage , jardin , TV , ventilateur , linge de maison , wifi gratuit , terrasse , tout équipé , parking sécurisé , SPA</t>
  </si>
  <si>
    <t>transports en commun,pharmacie,boulangerie,restaurants</t>
  </si>
  <si>
    <t>Carte Bancaire,airbnb,booking,Virement,Espèces</t>
  </si>
  <si>
    <t>7c29e262</t>
  </si>
  <si>
    <t>galerie::galerie_Files_/72f4171c.Path.114553.webp</t>
  </si>
  <si>
    <t xml:space="preserve">La Case au pied du volcan </t>
  </si>
  <si>
    <t xml:space="preserve"> Chemin du Champ de Foire</t>
  </si>
  <si>
    <t>-21.203741, 55.582407</t>
  </si>
  <si>
    <t>0692 09 42 85</t>
  </si>
  <si>
    <t>https://www.caseaupiedduvolcan.com/</t>
  </si>
  <si>
    <t>La Case au Pied du Volcan, située à la porte du Parc National de La Réunion, vous permettra de rayonner dans le cœur de l’île et d’organiser un séjour sur plusieurs jours à la découverte du volcan et de l’authenticité des hauts de l’île.</t>
  </si>
  <si>
    <t>cuisine extérieur , barbecue</t>
  </si>
  <si>
    <t>DuCy4285eR</t>
  </si>
  <si>
    <t>30aabbb6</t>
  </si>
  <si>
    <t>galerie::galerie_Images/aceeda9f.Path.073001.jpg</t>
  </si>
  <si>
    <t>Tarification au 21 décembre 2022 : La location se fait à partir de deux nuits. 
Les frais de ménage sont à 45 euros (à régler en plus).</t>
  </si>
  <si>
    <t>Les Agapanthes du 27ème</t>
  </si>
  <si>
    <t>198F</t>
  </si>
  <si>
    <t>-21.201503, 55.574318</t>
  </si>
  <si>
    <t>philippepitou2@gmail.com</t>
  </si>
  <si>
    <t>0692 76 52 04</t>
  </si>
  <si>
    <t>Situé à 600 mètres de la maison du volcan, l'établissement LES AGAPANTHES du 27ème propose un salon commun, un jardin et une cuisine commune. Vous bénéficierez gratuitement d'une connexion Wi-Fi et d'un parking privé.
2 chambres au rez de chaussée avec un lit double et une salle d'eau privative. 
2 chambres à l'étage : 2 lit double dans une chambre, et 1 lit double + 1 lit simple et une salle d'eau partagé à l'étage
Un petit-déjeuner continental est servi tous les matins sur place compris dans le tarif à la nuit. 
Une cuisine avec grand espace de restauration est à votre disposition sur place.
Dîner du soir sur réservation, possibilité de cuisiner les régimes particuliers (végétariens, intolérance) 
&gt; 25€ comprends apéritifs, entrée, plats, dessert
Possibilité de faire venir des accompagnants qui ne séjournent pas sur place pour manger le soir</t>
  </si>
  <si>
    <t>Chambre d'hôte à proximité de la route du volcan, proposant des petits déjeuners et repas sur demande faits avec les produits locaux.</t>
  </si>
  <si>
    <t>Depuis Tampon centre, prendre direction Saint Benoit, par la RN3, jusqu'au village d Bourg Murat. Arrivé au rond point de la Cité du Volcan, continuer 2 minutes, prendre la petite allée juste derrière le snack le Plainois.</t>
  </si>
  <si>
    <t>cuisine équipée , cuisine , chauffage , jardin , parking , vue montagne , Cafetière , salon , micro-ondes , TV , Lit parapluie sur demande , linge de maison , lave vaisselle , linge de toilette , frigo , terrasse , salon de jardin , espace de restauration , jeux , salle de bain commune , sèche linge privatif , lave linge collectif , varangue</t>
  </si>
  <si>
    <t>sentier de randonnée,site - lieu culturel,équitation,forêt,sites touristiques,transports en commun,station essence,boulangerie,sentiers de randonnées,Maison du Volcan,Musée,hébergements,route du volcan,Volcan le piton de la fournaise,sentier du piton des neiges,Point chaud</t>
  </si>
  <si>
    <t>booking,airbnb,Espèces,Carte Bancaire</t>
  </si>
  <si>
    <t>03a163fe</t>
  </si>
  <si>
    <t>ff3ae857</t>
  </si>
  <si>
    <t>galerie::galerie_Images/4f225c86.Path.053253.png</t>
  </si>
  <si>
    <t>CSC548HTQ</t>
  </si>
  <si>
    <t>Tibouchina</t>
  </si>
  <si>
    <t>chemin Ferrier Lebon</t>
  </si>
  <si>
    <t>-21.222769, 55.527010</t>
  </si>
  <si>
    <t>0692 52 61 24</t>
  </si>
  <si>
    <t>Au coeur des champs du Piton Hyacinthe, Le Tibouchina vous accueille avec ses deux chambres décorées avec soin dans un style mélangeant le moderne et le vintage.
La maison dispose d'un grand salon - salle à manger et d'une cuisine équipée. 
Possibilité de se garer dans la cour gazonnée et bien fleurie. Vous pourrez également profiter d'une belle vue sur les champs alentours, et admirer le coucher de soleil en fin de journée.
En hiver la cheminée est à votre disposition, le bois est également fourni</t>
  </si>
  <si>
    <t>Pour vos vacances à la réunion, le Tibouchina vous offre une prestation de qualité dans un endroit calme, excellent point de départ pour visiter toute l'ïle. Proche du volcan, du grand bassin , du piton des neiges, du Trou de Fer, Belouve ...</t>
  </si>
  <si>
    <t>Prendre la direction du Piton Hyacinthe, une fois passé devant l'école, continuer sur le chemin Ferrier Lebon puis tourner sur la gauche à côté de la réserve d'eau</t>
  </si>
  <si>
    <t>parking , barbecue , climatisation , fer et planche à repasser , vue montagne , vue mer , linge de maison , salon , chauffage , TV , wifi gratuit , lave vaisselle , lave linge privatif , micro-ondes , salle de bain privée , four , terrasse , salon de jardin , linge de toilette , jardin arboré , cuisine équipée , bibliothéque , salle à manger , Cafetière , Lit parapluie sur demande , frigo , salon climatisé , cheminée , jeux , baignoire</t>
  </si>
  <si>
    <t>sentier de randonnée,commerce alimentaire,point de vue panoramique,sites touristiques,arrêt bus,Point chaud,Terrain de jeux pour enfants</t>
  </si>
  <si>
    <t>Chèque,Virement,Espèces,Carte Bancaire,airbnb</t>
  </si>
  <si>
    <t>VeJe6124sx</t>
  </si>
  <si>
    <t>2a771ecd</t>
  </si>
  <si>
    <t>galerie::galerie_Images/88b4d980.Path.044754.jpg</t>
  </si>
  <si>
    <t>CSC538HTP</t>
  </si>
  <si>
    <t>Ti Kaz Fontaine Ananas</t>
  </si>
  <si>
    <t>20 TER</t>
  </si>
  <si>
    <t>Chemin Clémencin PAYET</t>
  </si>
  <si>
    <t>-21.264704, 55.524796</t>
  </si>
  <si>
    <t>fontainejd@wanadoo.fr</t>
  </si>
  <si>
    <t>0692147192</t>
  </si>
  <si>
    <t>Ti Kaz Fontaine "Ananas" se compose de deux chambres avec des lits 2 places, une salle de bain avec douche, un coin salon avec sa télévision écran plat, une connexion internet en wifi, une cuisine équipée avec four,micro-ondes, cafetière dolce gusto, bouilloire, grille pain, lave vaisselle.
 Vous trouverez également machine a laver, sèche linge, fer et table à repasser. Un berceau parapluie ainsi qu un siège bébé vous sera également fourni sur demande.</t>
  </si>
  <si>
    <t>Découvrez le charme de cet hébergement situé entre mer et montagnes, dans un quartier calme et reposant du Tampon. Classé 3 étoiles, Ti Kaz Fontaine "Ananas" vous offrira un confort idéal pour passer d'agréables vacances. Après vos journées de découvertes, vous vous détendrez dans le jacuzzi privatif et profiterez du jardin avec son coin barbecue .</t>
  </si>
  <si>
    <t>Depuis Saint-Pierre :
- Prendre la 4 voies en direction du Tampon. Ensuite, il faut rester sur la route nationale et prendre la sortie en direction de Bras-Creux (c'est la rue Général Bonnier). Vous prenez la première à droite, chemin Clémencin PAYET. L'hébergement se trouve à votre gauche lorsque vous descendez.</t>
  </si>
  <si>
    <t>barbecue , fer et planche à repasser , jacuzzi , sur réservation , salon , jardin , TV , espace de restauration , wifi gratuit , salle de bain privée , sanitaires privés , douche , four , salon de jardin , cuisine , accès internet , jardin clôturé , tout équipé , parking sécurisé , cours clôturée , frigo , salle à manger , Cafetière</t>
  </si>
  <si>
    <t>équitation,point de vue panoramique,arrêt bus,poste - boite aux lettres,centre commercial,transports en commun,commerces,station essence,Centre - Ville,pharmacie,boulangerie,piscine,pâtisserie,restaurants,ferme équestre,centre médical,hébergements,Point chaud,épicerie,médecin,tabac presse,coiffeur,snack,Point de vue du Belvédère de Bois court,Toutes commodités</t>
  </si>
  <si>
    <t>d2f2c4e5</t>
  </si>
  <si>
    <t>97da0187</t>
  </si>
  <si>
    <t>galerie::galerie_Images/01c7bcb7.Path.043402.jpg</t>
  </si>
  <si>
    <t>CSC463HT@</t>
  </si>
  <si>
    <t>Les frais de ménage sont à 20 euros =&gt; Frais facturés une seule fois par l'hébergeur.</t>
  </si>
  <si>
    <t>Ti Kaz Fontaine Letchis</t>
  </si>
  <si>
    <t>20 BIS</t>
  </si>
  <si>
    <t>-21.264713, 55.524789</t>
  </si>
  <si>
    <t>Ti Kaz Fontaine "Letchis" se compose d'une chambre en mezzanine avec un lit deux places 140 *190 et un lit un place 90* 190, une salle de bain avec douche, un coin salon avec sa télévision écran plat avec TNT, une cuisine équipée avec four, micro-ondes, cafetière dolce gusto, cafetière traditionnelle, bouilloire, grille pain, lave vaisselle, auto-cuiseur. 
Vous trouverez également machine à laver, sèche linge, fer et table à repasser. Un berceau parapluie une baignoire bébé ainsi qu un siège bébé vous sera également fourni sur demande.</t>
  </si>
  <si>
    <t>Découvrez le charme de cet hébergement situé entre mer et montagnes, dans un quartier calme et reposant du Tampon. Classé 3 étoiles, Ti Kaz Fontaine "Letchis" vous offrira un confort idéal pour passer d'agréables vacances.</t>
  </si>
  <si>
    <t>barbecue , fer et planche à repasser , jacuzzi , jardin , lave linge privatif , salle de bain privée , TV , ventilateur , linge de maison , parking , salon , espace de restauration , wifi gratuit , lave vaisselle , espace spa - bien être , micro-ondes , sanitaires privés , douche , four , sèche linge privatif , salon de jardin , linge de toilette , jardin arboré , accès internet , serviettes. , terrasse , lave-linge , kitchenette équipée , parking sécurisé</t>
  </si>
  <si>
    <t>centre commercial,commerce alimentaire,équitation,arrêt bus,poste - boite aux lettres,transports en commun,station essence,piscine,restaurants,centre médical,boulangerie,tabac presse,coiffeur,médecin</t>
  </si>
  <si>
    <t>2f739536</t>
  </si>
  <si>
    <t>galerie::galerie_Images/387cd8c9.Path.114625.jpg</t>
  </si>
  <si>
    <t>CSC462HT@</t>
  </si>
  <si>
    <t>La Terrasse Pei</t>
  </si>
  <si>
    <t>impasse des Dahlias</t>
  </si>
  <si>
    <t>-21.259277, 55.534311</t>
  </si>
  <si>
    <t>cerveaux.loic@gmail.com</t>
  </si>
  <si>
    <t>0693861885</t>
  </si>
  <si>
    <t>Il y a tout ce qu'il faut pour se détendre. Vous pourrez prendre vos repas sur la terrasse, vous prélassez dans le jacuzzi, nager dans la piscine et faire des parties de billards à volonté.
L'emplacement est idéal pour vos vacances. Proximité avec le centre ville tout en étant niché dans un coin de verdure au calme. 
Nous proposons également la location à la journée pour vos événements. Possibilité d'accueillir jusqu'à 10 personnes avec accès piscine, jacuzzi, billard… En illimité toute la journée.</t>
  </si>
  <si>
    <t>La Terrrasse Péi ouvre ses portes !</t>
  </si>
  <si>
    <t>piscine , jacuzzi , salon , TV , équipement sportif , micro-ondes , wifi , four , terrasse , salon de jardin , cuisine , jardin arboré , billard , salle à manger , cheminée</t>
  </si>
  <si>
    <t>site - lieu culturel,point de vue panoramique,commerce alimentaire,arrêt bus,poste - boite aux lettres,transports en commun,station service,restaurants</t>
  </si>
  <si>
    <t>Virement,Espèces,airbnb,booking</t>
  </si>
  <si>
    <t>96879316</t>
  </si>
  <si>
    <t>7e36e2ed</t>
  </si>
  <si>
    <t>galerie::galerie_Files_/6e215d36.Path.071315.webp</t>
  </si>
  <si>
    <t>CSC547HTP</t>
  </si>
  <si>
    <t>Terre et feu créations</t>
  </si>
  <si>
    <t>Atelier poterie et céramique</t>
  </si>
  <si>
    <t>20b</t>
  </si>
  <si>
    <t>chemin Souprayen</t>
  </si>
  <si>
    <t>-21.219622, 55.562803</t>
  </si>
  <si>
    <t>terreetfeu.creation@gmail.com</t>
  </si>
  <si>
    <t>0692 58 48 77</t>
  </si>
  <si>
    <t>Potière céramiste avec plus de 20 ans d'expérience. 
Propose des ateliers de découvertes et d'animation à la poterie pour les enfants à partir de 4ans tout au long de l'année.
Des poteries à décorer pour les fêtes (Noël, fêtes des mères...), des créations personnalisées ou sur commande à partir de 4€. 
Possibilité de réaliser les ateliers dans les écoles.
Apporte le matériel et peut se déplacer</t>
  </si>
  <si>
    <t>Claudine Poleya - Terre et feu Création</t>
  </si>
  <si>
    <t>matériel pour l'activité , sculteur , artiste plasticien , artiste</t>
  </si>
  <si>
    <t>2e4e1fb3</t>
  </si>
  <si>
    <t>cd92b8d6</t>
  </si>
  <si>
    <t>galerie::galerie_Files_/dfa4075a.Path.055030.webp</t>
  </si>
  <si>
    <t>Ne propose plus d'atelier pour le moment (signalé par mail + retrait de son activité sur le site sudreunion)</t>
  </si>
  <si>
    <t>La Kaz à Mélina 1</t>
  </si>
  <si>
    <t xml:space="preserve"> Rue Georges Pompidou</t>
  </si>
  <si>
    <t>-21.261024, 55.522602</t>
  </si>
  <si>
    <t>0692004332</t>
  </si>
  <si>
    <t>http://www.lakazamelina.re/</t>
  </si>
  <si>
    <t>cour clôturée , barbecue , fer et planche à repasser , chauffage , jardin , lave linge privatif , TV , ventilateur , linge de maison , parking , salon , wifi gratuit , micro-ondes , four , terrasse , linge de toilette , cuisine équipée , jardin clôturé , bibliothéque , tout équipé</t>
  </si>
  <si>
    <t>VaMa4332wy</t>
  </si>
  <si>
    <t>fd23e9b5</t>
  </si>
  <si>
    <t>galerie::galerie_Images/2167419f.Path.064610.jpg</t>
  </si>
  <si>
    <t>Horaires départ et arrivée flexibles</t>
  </si>
  <si>
    <t xml:space="preserve">Le Grillanoo </t>
  </si>
  <si>
    <t>rue Paul DEPEINDRAY</t>
  </si>
  <si>
    <t>0262591010</t>
  </si>
  <si>
    <t>ClGi4711VG</t>
  </si>
  <si>
    <t>d575b15b</t>
  </si>
  <si>
    <t>Paul DEPEINDRAY</t>
  </si>
  <si>
    <t>https://grillanoo-fr.webnode.fr/</t>
  </si>
  <si>
    <t>chauffage , climatisation , parking autocar , salle de réunion - séminaire , wifi</t>
  </si>
  <si>
    <t>1059764b</t>
  </si>
  <si>
    <t>galerie::galerie_Images/4e272b54.Path.073936.jpg</t>
  </si>
  <si>
    <t>0692 65 36 26</t>
  </si>
  <si>
    <t>Séjours multi activités et natation enfants et adultes. 
Lors du séjour de votre enfant chez Bouilllon d'Aventures, son planning sera chargé. Entre activités sportives, pédagogiques, les repas et les temps libres, vous pouvez être sûr que votre enfant reviendra avec des souvenirs inoubliables.</t>
  </si>
  <si>
    <t>Association de loisirs</t>
  </si>
  <si>
    <t>équipement sportif , matériel pour l'activité , jardin , grand espace , ateliers , sur réservation , balade , espace de restauration</t>
  </si>
  <si>
    <t>BrEr9387Dg</t>
  </si>
  <si>
    <t>3259b505</t>
  </si>
  <si>
    <t>galerie::galerie_Images/dd079985.Path.064440.jpg</t>
  </si>
  <si>
    <t>Secrétariat, réservation stage, récré du mercredi
Flora : 06.92.65.36.26
&gt;&gt;De 8h à 15h : lundi, mardi, jeudi, vendredi 
&gt;&gt;De 9h à 13h le samedi
Séjour adapté , récré adapté (enfant en situation d'handicap)
Paméla FOURNIER : 06.92.11.29.13
&gt;&gt;De 9h à 18h : du lundi au vendredi
&gt;&gt;De 9h30 à 15h30 le samedi
Information natation: 
Guillaume CHAMBORD : 06.92.02.82.46 
Réservation et info voyage Corse:
Eric : 06.92.66.93.87 - Pati : 06.93.03.78.41</t>
  </si>
  <si>
    <t>Patrimoine agricole ; Patrimoine industriel</t>
  </si>
  <si>
    <t>Plantation ; Distillerie - sucrerie</t>
  </si>
  <si>
    <t>0262561333</t>
  </si>
  <si>
    <t>0692651048</t>
  </si>
  <si>
    <t>MoBe1048Jf</t>
  </si>
  <si>
    <t>0c94cc96</t>
  </si>
  <si>
    <t>Chez I&amp;S</t>
  </si>
  <si>
    <t>chemin Neuf Lotissement des Citrons</t>
  </si>
  <si>
    <t>-21.243533, 55.481422</t>
  </si>
  <si>
    <t>chezisa.steph@gmail.com</t>
  </si>
  <si>
    <t>0692765321</t>
  </si>
  <si>
    <t>Assurance individuelle incluse dans le prix
Casque, anti-vol obligatoires (fournis)
Gants fournis sur demande à restituer au retour
Retour des locations impérativement avant 17h00
* une caution et une pièce d'identité vous seront demandées lors de la location</t>
  </si>
  <si>
    <t>Vivez une nouvelle aventure ! Location VTT à assistance électrique.</t>
  </si>
  <si>
    <t>sur réservation , grand espace , équipement sportif , matériel pour l'activité</t>
  </si>
  <si>
    <t>171ab6c8</t>
  </si>
  <si>
    <t>4fa827be</t>
  </si>
  <si>
    <t>rue Léon de Heaulme</t>
  </si>
  <si>
    <t>-21.378134, 55.606646</t>
  </si>
  <si>
    <t>0692077495</t>
  </si>
  <si>
    <t>HoMi7495IU</t>
  </si>
  <si>
    <t>5d4fbd3d</t>
  </si>
  <si>
    <t>galerie::galerie_Images/c8914e5f.Path.113250.jpg</t>
  </si>
  <si>
    <t>a l'intention de proposer des visites guidées 10h et 15h, sinon visite libre</t>
  </si>
  <si>
    <t>Chamantini's Paper Bead's</t>
  </si>
  <si>
    <t>chemin Epidor Hoarau</t>
  </si>
  <si>
    <t>-21.245472, 55.511938</t>
  </si>
  <si>
    <t>coco.chamantini@gmail.com</t>
  </si>
  <si>
    <t>0693949198</t>
  </si>
  <si>
    <t>https://chamantini.re/</t>
  </si>
  <si>
    <t>Création de bijoux à partir de papiers glacés (recyclage), et pièces en tissus de type tabliers à partir de tissus récupérés</t>
  </si>
  <si>
    <t>Corinne est une créatrice de bijoux autodidacte à base de matériaux neufs ou recyclés</t>
  </si>
  <si>
    <t>En venant du centre ville du Tampon, prendre direction "Trois Mares", dépasser le stade du collège de Trois Mares, puis ralentir pour prendre sur la droite dans un virage le chemin pentu "Epidor Hoarau". Monter jusqu'au numéro 200</t>
  </si>
  <si>
    <t>français,créole,Langue des Signes Française</t>
  </si>
  <si>
    <t>c0d72ae9</t>
  </si>
  <si>
    <t>78c1364e</t>
  </si>
  <si>
    <t>galerie::galerie_Images/2cf56a3a.Path.094606.jpg</t>
  </si>
  <si>
    <t>Fais des récupérations de jean
Détenteur de la Marque Distinctive Artisanat Réunion</t>
  </si>
  <si>
    <t xml:space="preserve">Les Jasmins </t>
  </si>
  <si>
    <t xml:space="preserve"> Rue Dachery</t>
  </si>
  <si>
    <t>-21.271582, 55.526584</t>
  </si>
  <si>
    <t>0262270973</t>
  </si>
  <si>
    <t>0692666631</t>
  </si>
  <si>
    <t>ScPa66312G,8de1759c</t>
  </si>
  <si>
    <t>0a3c5d40</t>
  </si>
  <si>
    <t>Chez M. Cassier Michel (4D)</t>
  </si>
  <si>
    <t>4D</t>
  </si>
  <si>
    <t>-21.266614, 55.514370</t>
  </si>
  <si>
    <t>fer et planche à repasser , douche , kitchenette équipée , barbecue , piscine , TV , vue montagne , vue mer , linge de maison , wifi gratuit , four , terrasse , linge de toilette , cuisine , cour clôturée , billard , parking sécurisé , Cafetière , plaque de cuisson , frigo , piscine commune</t>
  </si>
  <si>
    <t>commerce alimentaire,arrêt bus,transports en commun,restaurants</t>
  </si>
  <si>
    <t>fde298ed</t>
  </si>
  <si>
    <t>CSC544HTM</t>
  </si>
  <si>
    <t>Attention : arrivées à 17h max</t>
  </si>
  <si>
    <t>Chez M. Cassier Michel (4A)</t>
  </si>
  <si>
    <t>4A</t>
  </si>
  <si>
    <t>Allée de l'Aiglon</t>
  </si>
  <si>
    <t>-21.266609, 55.514368</t>
  </si>
  <si>
    <t>barbecue , fer et planche à repasser , piscine , lave linge privatif , salle de bain privée , TV , vue montagne , vue mer , linge de maison , TV satellite , wifi gratuit , micro-ondes , douche , four , terrasse , linge de toilette , cuisine , cour clôturée , billard , kitchenette équipée , parking sécurisé , Cafetière , plaque de cuisson , frigo , piscine commune</t>
  </si>
  <si>
    <t>39074ac1</t>
  </si>
  <si>
    <t>CSC543HTL</t>
  </si>
  <si>
    <t>-21.375631, 55.650168</t>
  </si>
  <si>
    <t>0693991335</t>
  </si>
  <si>
    <t>barbecue , fer et planche à repasser , four , lave linge privatif , lecteur DVD , micro-ondes , parking , TV , ventilateur , wifi</t>
  </si>
  <si>
    <t>GaBr1335NL</t>
  </si>
  <si>
    <t>dabf7053</t>
  </si>
  <si>
    <t>galerie::galerie_Images/72c378c2.Path.093055.jpg</t>
  </si>
  <si>
    <t>Brigitte loue ce meublé très agréable de temps à autre, elle ne cherche pas forcément de client, mais elle dit qu'il faut faire vivre cette maison, vraiment sympa !</t>
  </si>
  <si>
    <t xml:space="preserve"> Impasse Henri Techer</t>
  </si>
  <si>
    <t>bf0c5f98</t>
  </si>
  <si>
    <t>Coco Dream</t>
  </si>
  <si>
    <t>441</t>
  </si>
  <si>
    <t>-21.379484, 55.629209</t>
  </si>
  <si>
    <t>robert.ford974@gmail.com</t>
  </si>
  <si>
    <t>0692411084</t>
  </si>
  <si>
    <t>Détendez-vous pendant les vacances en famille ou entre amis à la villa Coco Dream à Saint Joseph.
Une piscine ⛲, une terrasse☀️, un petit kiosque et un coin barbecue🍗🍢 pour vous accueillir. 
Vous y trouverez 4 chambres de standing avec salle de bain privative plus un canapé lit double dans l'une des chambres un espace cuisine et salon pour 8 à 10 personnes.</t>
  </si>
  <si>
    <t>Location de meublé de vacances pour de courts ou long séjour bénéficiant du  calme et du charme de saint joseph</t>
  </si>
  <si>
    <t>barbecue , climatisation , piscine , jardin , salle de bain privée , TV , linge de maison , salon , micro-ondes , wifi , douche , four , terrasse , salon de jardin , linge de toilette , cuisine équipée , jardin clôturé , Cafetière</t>
  </si>
  <si>
    <t>sites touristiques,restaurants,transports en commun</t>
  </si>
  <si>
    <t>94d2a1e3</t>
  </si>
  <si>
    <t>863f8dea</t>
  </si>
  <si>
    <t>galerie::galerie_Images/514fa305.Path.053721.jpg</t>
  </si>
  <si>
    <t>CSC436HT@</t>
  </si>
  <si>
    <t>La Trattoria "casa 23"</t>
  </si>
  <si>
    <t>Village,Milieu rural,Montagne</t>
  </si>
  <si>
    <t>40 A</t>
  </si>
  <si>
    <t>chemin Notre Dame de la Paix</t>
  </si>
  <si>
    <t>-21.226270, 55.572813</t>
  </si>
  <si>
    <t>trattoriacasa23@gmail.com</t>
  </si>
  <si>
    <t>0693 30 54 55</t>
  </si>
  <si>
    <t>https://couleurvolcanreunion.re/</t>
  </si>
  <si>
    <t>La Trattoria "casa 23" est un restaurant italien situé dans la chambre d'hôtes "La Maison Couleur Volcan"
Le restaurant propose chaque semaine un menu différent mais toujours composé de :
- Antipasti : entrées froides italiennes en assortiment
- Planche de dégustation fromage et/ou charcuterie 100% italienne
- Pâtes fraîches, à choisir, selon la forme que vous préférez
- Des sauces toutes faites maison, le choix est large
- Des desserts fait maison avec des produits frais, tiramisu citron ou café, panna cotta, etc,...
- Une gamme de cafés à l'italienne à découvrir, comme l'affogato ou le gianguja
Ouvert les vendredi, samedi et dimanche midi sans réservation - pendant les vacances scolaires aussi ouvert le jeudi midi
Ouvert le soir sur réservation (48h avant) du jeudi au dimanche
ATTENTION RESERVATIONS au 0693 30 54 55
Capacité d accueil du restaurant intérieur 25 couverts, extérieur 20 couverts
En partenariat avec Kdo Péi</t>
  </si>
  <si>
    <t>Restaurant italien à la Plaine des Cafres!</t>
  </si>
  <si>
    <t>Direction la Plaine des Cafres. Prendre la route Notre Dame de la Paix juste après la gendarmerie du 23ème. Continuer à rouler jusqu'au premier passage piéton. Tout de suite à droite, se repérer avec le portail bleu de la Maison Couleur Volcan.
Depuis la route des Plaines, vous tournez à gauche (route Notre Dame de la Paix). Ensuite, il faut prendre la route Notre Dame de la Paix qui se situe après la gendarmerie du 23ème. Continuer à rouler jusqu'au premier passage pour piétons. Tout de suite à droite, se repérer avec le portail bleu de la Maison Couleur Volcan.</t>
  </si>
  <si>
    <t>barbecue , vue montagne , sur réservation , grand espace , espace de restauration , restauration , wifi gratuit , sanitaires privés , wifi , tout équipé , Cafetière , accessible aux personnes à mobilité réduite</t>
  </si>
  <si>
    <t>sentier de randonnée,site - lieu culturel,point de vue panoramique,forêt,arrêt bus,poste - boite aux lettres,transports en commun,commerces,station essence,pâtisserie,banque - guichet automatique,restaurants,Maison du Volcan,hébergements,village du 23ème,tabac presse,Point de vue du Belvédère de Bois court,centre équestre,route pour aller au volcan</t>
  </si>
  <si>
    <t>69c48b2a</t>
  </si>
  <si>
    <t>eb795ba0</t>
  </si>
  <si>
    <t>galerie::galerie_Images/669ad42b.Path.062007.jpg</t>
  </si>
  <si>
    <t>RESTAURANT REPRIS PAR COUHAULT OLIVIER &gt; pas fermé mais le propriétaire n'étant plus le bon et impossible de le changer, il y a une autre fiche à jour dans bertel</t>
  </si>
  <si>
    <t>Maison Couleur Volcan</t>
  </si>
  <si>
    <t>Chemin Notre Dame de la Paix</t>
  </si>
  <si>
    <t>-21.226212, 55.572785</t>
  </si>
  <si>
    <t>couleurvolcan@gmail.com</t>
  </si>
  <si>
    <t>0693305455</t>
  </si>
  <si>
    <t>Nos couchages en lits suspendus ou en lits 160 cm sont équipés de matelas à mémoire de forme pour un grand confort. Le salon avec un coin cheminée saura vous séduire .
Salle de bain (douche à l’italienne) et toilettes séparés à proximité des chambres ou dans les chambres.
Des lingettes réutilisables et lavables sont mis à la disposition des clients.
À l’étage, une salle de jeux (piscine à bulles ; jeux de société…) est mise à la disposition des enfants qui portent des handicaps ou non. Coin de lecture. Le portillon sécurisé se trouvant à l'étage et est fermé toutes les nuits.
Une chambre est accessible PMR
Les horaires d'arrivées et de départs ne sont pas fixes
Les animaux de compagnie sont acceptés sous conditions à voir avec l'hébergeur et avec supplément à fixer</t>
  </si>
  <si>
    <t>La Maison Couleur Volcan est une maison bucolique située dans les Hauteurs du Tampon. Découvrez une maison avec une décoration bohème dont le cadre est convivial.</t>
  </si>
  <si>
    <t>barbecue , parking public , vue montagne , sur réservation , linge de maison , jardin , espace de restauration , restauration , wifi gratuit , salle de bain privée , sanitaires privés , douche , linge de toilette , Cuisine de produits frais locaux , bar , serviettes. , cuisine équipée , cour clôturée , Salle de jeux , frigo , salle à manger , accessible aux personnes à mobilité réduite , Tout équipé, wifi , brasero</t>
  </si>
  <si>
    <t>sentier de randonnée,point de vue panoramique,forêt,arrêt bus,poste - boite aux lettres,transports en commun,commerces,sites - lieux culturels,station essence,pâtisserie,banque - guichet automatique,restaurants,Maison du Volcan,route du volcan,épicerie,village du 23ème,tabac presse,Point de vue du Belvédère de Bois court,centre de bien-être,centre équestre,route pour aller au volcan</t>
  </si>
  <si>
    <t>Chèque,Carte Bancaire,Espèces,Chèques vacances,Virement</t>
  </si>
  <si>
    <t>509f60c7</t>
  </si>
  <si>
    <t>galerie::galerie_Images/89af3dc2.Path.062436.jpg</t>
  </si>
  <si>
    <t>CSC512HT@</t>
  </si>
  <si>
    <t>CET HEBERGEMENT EST MAINTENANT GERE PAR COUHAULT OLIVIER - pas de déclaration de fermeture car reprise activité</t>
  </si>
  <si>
    <t>Pêche</t>
  </si>
  <si>
    <t>-21.358685, 55.646714</t>
  </si>
  <si>
    <t>0262913248</t>
  </si>
  <si>
    <t>Fédération pour la pêche et la protection du milieu aquatique</t>
  </si>
  <si>
    <t>A partir de la balance langevin, monter 5 minutes, sur la droite les batîments jaunes très pâles sont là</t>
  </si>
  <si>
    <t>sentier de randonnée,forêt,riviere,pêche,sites touristiques,bassin</t>
  </si>
  <si>
    <t>MeAr3248ig</t>
  </si>
  <si>
    <t>83851d23</t>
  </si>
  <si>
    <t>galerie::galerie_Images/b12a0fdc.Path.100714.png</t>
  </si>
  <si>
    <t>Acteur incontournable sur la règlementation liée à la pêche, notamment sur la démarche pour la délivrance des cartes de pêche</t>
  </si>
  <si>
    <t>-21.380729, 55.613645</t>
  </si>
  <si>
    <t>Djoossys.stjoseph@gmail.com</t>
  </si>
  <si>
    <t>0262 69 03 03</t>
  </si>
  <si>
    <t>Burgers artisanaux, frites maison, nuggets maison, et plein d'autres choses!</t>
  </si>
  <si>
    <t>Laissez parler votre estomac</t>
  </si>
  <si>
    <t>Le fast food se situe en face de l'Eglise du Butor</t>
  </si>
  <si>
    <t>parking public , espace de restauration , restauration , sanitaires communs</t>
  </si>
  <si>
    <t>centre commercial,site - lieu culturel,point de vue panoramique,commerce alimentaire,centre ville de Saint-Joseph</t>
  </si>
  <si>
    <t>db8b6e59</t>
  </si>
  <si>
    <t>23006330</t>
  </si>
  <si>
    <t>galerie::galerie_Images/e0b11270.Path.052210.jpg</t>
  </si>
  <si>
    <t xml:space="preserve">Les Fleurettes </t>
  </si>
  <si>
    <t>0262 31 18 46</t>
  </si>
  <si>
    <t>0692031856</t>
  </si>
  <si>
    <t>Association emblématique de notre territoire, « les Fleurettes » mettent en valeur un savoir-faire typique : le tressage du vacoa</t>
  </si>
  <si>
    <t>Arrivé sur la balance de Langevin, juste dans le virage, sous les arbres en face de la balance, il y a la maison de la ruralité, les Fleurettes sont à l'intérieur</t>
  </si>
  <si>
    <t>sentier de randonnée,site - lieu culturel,forêt,riviere,pêche,sites touristiques,Bassin de Manapany,arrêt bus,transports en commun,station essence,centre ville de Saint-Joseph,pharmacie,boulangerie,pâtisserie,restaurants</t>
  </si>
  <si>
    <t>BeBe1856O6</t>
  </si>
  <si>
    <t>ad23eee3</t>
  </si>
  <si>
    <t>galerie::galerie_Images/0be5f610.Path.092648.jpg</t>
  </si>
  <si>
    <t>LE PTI COIN DES ZABITANTS</t>
  </si>
  <si>
    <t>Snack-bar ; Restauration traditionnelle</t>
  </si>
  <si>
    <t>116</t>
  </si>
  <si>
    <t>De la passerelle</t>
  </si>
  <si>
    <t>-21.375412, 55.649753</t>
  </si>
  <si>
    <t>lebenjoin@orange.fr</t>
  </si>
  <si>
    <t>0692340163</t>
  </si>
  <si>
    <t>Un espace simple et efficace pour se restaurer ou embarquer de quoi passer une belle journée de pique nique à la rivière Langevin</t>
  </si>
  <si>
    <t>Snack ti dej et restauration traditionnelle sur la rivière Langevin</t>
  </si>
  <si>
    <t>A partir de la balance Langevin, monter quelques minutes direction la cascade, le snack restaurant se trouve sur la droite en montant</t>
  </si>
  <si>
    <t>riviere,sentier de randonnée,sentier de grande randonnée,site - lieu culturel,forêt,sites touristiques,Bassin de Manapany,centre ville de Saint-Joseph</t>
  </si>
  <si>
    <t>cede8ece</t>
  </si>
  <si>
    <t>fb4bacec</t>
  </si>
  <si>
    <t>galerie::galerie_Images/07231bb0.Path.101335.jpg</t>
  </si>
  <si>
    <t>Ouvre à 9h30</t>
  </si>
  <si>
    <t>0692040480</t>
  </si>
  <si>
    <t>OlAu0480Aw</t>
  </si>
  <si>
    <t>07b0bdb8</t>
  </si>
  <si>
    <t>-21.385175, 55.645862</t>
  </si>
  <si>
    <t>0262566244</t>
  </si>
  <si>
    <t>Le "Tillandsia" est composé d'un séjour, d'une chambre climatisée avec un lit de 180x200 possibilité de chambre twin, d'une salle à manger avec cuisine aménagée, d'une salle d'eau avec douche à l'Italienne et toilette séparée.
À l'extérieur dans un petit jardin, espace de vie sous kiosque équipé de mobilier de jardin.</t>
  </si>
  <si>
    <t>barbecue , climatisation , fer et planche à repasser , linge de maison , parking , TV , wifi , four , salon de jardin , linge de toilette , cuisine équipée , salle à manger , Cafetière , Lit parapluie sur demande</t>
  </si>
  <si>
    <t>sentier de randonnée,commerce alimentaire,point de vue panoramique,riviere</t>
  </si>
  <si>
    <t>LaAl80543T</t>
  </si>
  <si>
    <t>48afabdc</t>
  </si>
  <si>
    <t>Les Sapotis</t>
  </si>
  <si>
    <t>114</t>
  </si>
  <si>
    <t>chemin Charles Baudelaire</t>
  </si>
  <si>
    <t>-21.380070, 55.656837</t>
  </si>
  <si>
    <t>La villa Sapotis 
Venez vous retrouver entre amis ou famille dans ce cadre arboré de 5000m2
Capacité 16 personnes
- Piscine
- Petite salle de sport avec table ping-pong
- Kiosque vu mer
- Pergola avec cheminée, feu chinois plus évier extérieur
- Parking</t>
  </si>
  <si>
    <t>Location de standing du côté du Sud Sauvage de la Réunion. A quelques minutes d'un site exception.</t>
  </si>
  <si>
    <t>équipement sportif , piscine , TV , barbecue , climatisation , four , jardin , lave vaisselle , wifi , salon de jardin , terrasse , cuisine équipée , micro-ondes , jardin clôturé , salon , salle de bain privée , douche</t>
  </si>
  <si>
    <t>f4bd5c55</t>
  </si>
  <si>
    <t>CSC435HT@</t>
  </si>
  <si>
    <t>Les Alizés</t>
  </si>
  <si>
    <t>chemin des Alizes</t>
  </si>
  <si>
    <t>-21.385341, 55.648724</t>
  </si>
  <si>
    <t>location.lesalizes974@gmail.com</t>
  </si>
  <si>
    <t>0692644008</t>
  </si>
  <si>
    <t>https://www.booking.com/hotel/re/les-alizes.fr.html</t>
  </si>
  <si>
    <t>Cet appartement moderne de 35m² comprend une chambre, une salle de bains, du linge de lit, des serviettes, une télévision à écran plat, un coin repas, une cuisine entièrement équipée et une terrasse de 15m² avec vue sur la montagne.</t>
  </si>
  <si>
    <t>Appartement moderne "LES ALIZES"</t>
  </si>
  <si>
    <t>TV , four , linge de maison , lave vaisselle , wifi , salon de jardin , terrasse , lave-linge , cuisine équipée , linge de toilette , micro-ondes , fer et planche à repasser , parking sécurisé , vue montagne</t>
  </si>
  <si>
    <t>6394ddc9</t>
  </si>
  <si>
    <t>0ed6a8f8</t>
  </si>
  <si>
    <t>galerie::galerie_Images/7473b01e.Path.112142.jpg</t>
  </si>
  <si>
    <t>CSC426HT@</t>
  </si>
  <si>
    <t>Le Paille en Ke Chalet</t>
  </si>
  <si>
    <t>Lotissement ti coin charmant</t>
  </si>
  <si>
    <t>-21.377149, 55.599381</t>
  </si>
  <si>
    <t>0693508478</t>
  </si>
  <si>
    <t>Petite maison avec cour, parking privé, à 20 minutes du bassin</t>
  </si>
  <si>
    <t>Depuis la RN2, direction st jo, manapany les bains, au rd pt sortir à droite, 2éme rue après le rd point sur la droite (dépasser la ravine carrosse). Tout de suite à gauche au fond</t>
  </si>
  <si>
    <t>sentier de randonnée,riviere,sites touristiques,station essence,centre ville de Saint-Joseph,Restauration</t>
  </si>
  <si>
    <t>HoMo8478XH</t>
  </si>
  <si>
    <t>f0104cf9</t>
  </si>
  <si>
    <t>galerie::galerie_Images/e259246e.Path.060200.jpg</t>
  </si>
  <si>
    <t>Bienvenue à la ferme,Gîtes de France</t>
  </si>
  <si>
    <t>0692696551</t>
  </si>
  <si>
    <t>espace de restauration , jardin , parking , salle de bain privée , sanitaires privés</t>
  </si>
  <si>
    <t>ff06c69e</t>
  </si>
  <si>
    <t>galerie::galerie_Images/5513bf92.Path.050226.jpg</t>
  </si>
  <si>
    <t>Mme METRO Josiane est décédée, la structure sera reprise par sa fille Mme METRO Sheila (qui est elle aussi agricultrice) &gt; la réouverture sera surement prévue au début aout 2024
Promo explore en déc 2022</t>
  </si>
  <si>
    <t>Casa Bello</t>
  </si>
  <si>
    <t>46</t>
  </si>
  <si>
    <t>rue Bras Long</t>
  </si>
  <si>
    <t>-21.242905, 55.471271</t>
  </si>
  <si>
    <t>casabello@wanadoo.fr</t>
  </si>
  <si>
    <t>0692058260</t>
  </si>
  <si>
    <t>cuisine extérieure , piscine commune , piscine , jardin , linge de maison , parking , wifi , terrasse</t>
  </si>
  <si>
    <t>commerce alimentaire,transports en commun,Centre - Ville</t>
  </si>
  <si>
    <t>6eaffba6</t>
  </si>
  <si>
    <t>5b6bbf63</t>
  </si>
  <si>
    <t>galerie::galerie_Images/261f7a03.Path.073307.jpg</t>
  </si>
  <si>
    <t>CSC449HT@</t>
  </si>
  <si>
    <t>pas d'enfants (par rapport à la piscine) / hébergement situé en rez-de-chaussée de maison / très fléxible au niveau des horaires d'arrivée et de départ / cuisine extérieure / piscine partagée avec les propriétaires</t>
  </si>
  <si>
    <t>Destination Bien Être</t>
  </si>
  <si>
    <t>77</t>
  </si>
  <si>
    <t>-21.375954, 55.593245</t>
  </si>
  <si>
    <t>fabien.pignault@laposte.net</t>
  </si>
  <si>
    <t>0693 20 24 39</t>
  </si>
  <si>
    <t>https://fabien480-dlg.pagesperso-orange.fr/?fbclid=IwAR3JaZWJNh_cQliYjYwstqT3T0_72cb2Bsa_Yl50C-5n26_a1S-sj0mYw9o</t>
  </si>
  <si>
    <t>Destination Bien-Être, by Fabien PIGNAULT : un espace dédié à votre bien-être physique et mental. Découvrez une large gamme de massages et de thérapies alternatives pour vous aider à vous détendre, soulager vos douleurs et améliorer votre santé globale.
Fabien peut se rendre disponible sur demande même le week-end</t>
  </si>
  <si>
    <t>Des massages variés aux portes du sud sauvage</t>
  </si>
  <si>
    <t>En venant de st pierre, rester sur la RN2, direction st joseph, prendre à droite en descendant la rue Martin Luther King, jusquau stop, tourner à droite direction bassin, puis 50m plus loin, un grand portail blanc côté gauche (océan). C'est un lotissement, il s'agira de contacter Fabien avant.</t>
  </si>
  <si>
    <t>ventilateur , sanitaires privés , sur réservation , Massages bien être</t>
  </si>
  <si>
    <t>riviere,sites touristiques,Bassin de Manapany,arrêt bus,plage,sites - lieux culturels,Restauration,hébergements</t>
  </si>
  <si>
    <t>Chèque,Carte Bancaire,Espèces,Paypal</t>
  </si>
  <si>
    <t>c70f3227</t>
  </si>
  <si>
    <t>b7666e4c</t>
  </si>
  <si>
    <t>galerie::galerie_Images/553f1faf.Path.071302.jpg</t>
  </si>
  <si>
    <t>Entreprise jeunes convention de partenariat signée le 3 déc 2021 avec Coop Union</t>
  </si>
  <si>
    <t xml:space="preserve"> Chemin de la Croizure</t>
  </si>
  <si>
    <t>0692687873</t>
  </si>
  <si>
    <t>vue montagne , visites pédagogiques , sur réservation , matériel pour l'activité</t>
  </si>
  <si>
    <t>hébergements</t>
  </si>
  <si>
    <t>GrMa7873Wh</t>
  </si>
  <si>
    <t>cae70771</t>
  </si>
  <si>
    <t>Villa Palmeraie</t>
  </si>
  <si>
    <t>103</t>
  </si>
  <si>
    <t>Chemin Mata</t>
  </si>
  <si>
    <t>-21.247547, 55.492015</t>
  </si>
  <si>
    <t>isabellerouveau@outlook.fr</t>
  </si>
  <si>
    <t>0693 20 51 74</t>
  </si>
  <si>
    <t>barbecue , climatisation , fer et planche à repasser , piscine , vue montagne , vue mer , linge de maison , salon , TV , lave vaisselle , matériel pour l'activité , micro-ondes , salle de bain privée , wifi , douche , four , salon de jardin , linge de toilette , cuisine équipée , jardin clôturé , Cafetière , Lit parapluie sur demande</t>
  </si>
  <si>
    <t>sentier de randonnée,point de vue panoramique,arrêt bus,transports en commun,restaurants,Point chaud</t>
  </si>
  <si>
    <t>Virement,airbnb</t>
  </si>
  <si>
    <t>60fa14e4</t>
  </si>
  <si>
    <t>4e86e5c4</t>
  </si>
  <si>
    <t>CSC539HTQ</t>
  </si>
  <si>
    <t>RDC peut être accessible au PMR</t>
  </si>
  <si>
    <t>Rue du Général de Gaulle</t>
  </si>
  <si>
    <t>-21.273593, 55.517039</t>
  </si>
  <si>
    <t>0262 57 34 31</t>
  </si>
  <si>
    <t>0692633602</t>
  </si>
  <si>
    <t>Aux Délices des Iles propose des spécialités créoles et asiatiques dans la ville du Tampon, salades pates, gratins, fritures (de style nems, croquettes de poulet, beignets salés), en vitrine une vingtaine de plats aux choix.
Sur place (quelques tables en terrasse) ou à emporter</t>
  </si>
  <si>
    <t>Restauration rapide avec plats au choix en vitrine (barquettes ou sur place)</t>
  </si>
  <si>
    <t>Sur le boulevard du lycée au Tampon.
Une fois arrivé au niveau du lycée Roland Garros, continuer en direction de Trois Mares, vous passerez 2 ronds points, puis le restaurant se trouvera sur votre gauche, à côté d'une superette</t>
  </si>
  <si>
    <t>parking public , terrasse</t>
  </si>
  <si>
    <t>commerce alimentaire,arrêt bus,transports en commun,commerces,Centre - Ville,boulangerie,pâtisserie,maraicher</t>
  </si>
  <si>
    <t>Espèces,Carte Bancaire,American express,Tickets restaurant</t>
  </si>
  <si>
    <t>ChMo3602zy,17e1e46e,32264d6a</t>
  </si>
  <si>
    <t>8251f967</t>
  </si>
  <si>
    <t>galerie::galerie_Images/b12efb2c.Path.053828.jpg</t>
  </si>
  <si>
    <t>rapide, efficace, et bon!</t>
  </si>
  <si>
    <t xml:space="preserve">Les Frangipaniers </t>
  </si>
  <si>
    <t>165 A</t>
  </si>
  <si>
    <t>-21.247407, 55.479444</t>
  </si>
  <si>
    <t>0262395108</t>
  </si>
  <si>
    <t>0692238919</t>
  </si>
  <si>
    <t>espace spa - bien être , parking , salle de bain privée , sanitaires privés</t>
  </si>
  <si>
    <t>BeLi8919jJ</t>
  </si>
  <si>
    <t>0a76f8ae</t>
  </si>
  <si>
    <t>galerie::galerie_Images/1af33d9f.Path.102013.jpg</t>
  </si>
  <si>
    <t>Pour un séjour bien être, les Frangipaniers disposent de deux chambres très confortables à la décoration épurée.
Nos chambres sont équipées d’une salle de bain individuelle.
Le tarif de nos chambres :
• LA CHAMBRE pour 2 personnes +petit-déjeuner + un bain hydro massant ( 30 mn ) 115,00 €
• LA CHAMBRE pour 2 personnes +petit-déjeuner + un bain hydro massant ( 30 mn ) 105,00 € / nuit pour 2 nuits
• LA CHAMBRE pour 2 personnes +petit-déjeuner + un bain hydro massant ( 30 mn ) 95,00 €/ nuit à partir de 3 nuits
Tarifs dégressifs sur demande pour de longs séjours</t>
  </si>
  <si>
    <t xml:space="preserve"> Chemin Saint Expédit</t>
  </si>
  <si>
    <t>-21.260903, 55.500366</t>
  </si>
  <si>
    <t>0693482251</t>
  </si>
  <si>
    <t>barbecue , four , jardin , lave linge privatif , lave vaisselle , micro-ondes , parking , salon de jardin , téléphone , TV , wifi</t>
  </si>
  <si>
    <t>AvKa2251eg</t>
  </si>
  <si>
    <t>09dc5744</t>
  </si>
  <si>
    <t>Probablement fermé, nous attendons les documents du presta. Cf CRM</t>
  </si>
  <si>
    <t>RN2 &amp; Route Nationale 2 le Tremblet</t>
  </si>
  <si>
    <t>0692181277</t>
  </si>
  <si>
    <t>BoFr1277oR</t>
  </si>
  <si>
    <t>df1878f4</t>
  </si>
  <si>
    <t>CSC177HT@</t>
  </si>
  <si>
    <t>Fermé probablement, mais le presta ne renvoie pas les infos. Cf CRM</t>
  </si>
  <si>
    <t>96</t>
  </si>
  <si>
    <t>-21.230949, 55.575469</t>
  </si>
  <si>
    <t>0692334231</t>
  </si>
  <si>
    <t>barbecue , chauffage , climatisation , fer et planche à repasser , four , jardin , lave linge privatif , lave vaisselle , linge de maison , micro-ondes , parking , piscine , TV satellite , wifi</t>
  </si>
  <si>
    <t>GrCo4231kK</t>
  </si>
  <si>
    <t>db8883c9</t>
  </si>
  <si>
    <t>galerie::galerie_Images/9d587442.Path.064712.jpg</t>
  </si>
  <si>
    <t>Ne souhaite pas se faire promouvoir</t>
  </si>
  <si>
    <t xml:space="preserve"> Allée du Four à Chaux</t>
  </si>
  <si>
    <t>0262373711</t>
  </si>
  <si>
    <t>3711bN</t>
  </si>
  <si>
    <t>c081c7c3</t>
  </si>
  <si>
    <t>Ti Planterre</t>
  </si>
  <si>
    <t>Indication Géographique Protégée : IGP,Agriculture Biologique : AB</t>
  </si>
  <si>
    <t>-21.372840, 55.711503</t>
  </si>
  <si>
    <t>ti.planterre@gmail.com</t>
  </si>
  <si>
    <t>0692 27 15 50</t>
  </si>
  <si>
    <t>https://www.tiplanterre.re/</t>
  </si>
  <si>
    <t>Agriculteur depuis plus de trente ans à l’île de la Réunion Louis LEICHNIG a toujours voulu proposer aux consommateurs des produits réunionnais de qualité. Il s’est donc lancé dans la production de vanille et de fruits exotiques de saison, certifiée Agriculture Biologique, gage de qualité. Ainsi, sur ses vingt hectares de terrains, il a mis en place une culture extensive puisque toute sa vanille est cultivée sous bois et que les arbres fruitiers sont aux abords de cette forêt. Tout le travail qu’il fait, que ce soit pour la vanille ou pour les fruits, rend ses produits exceptionnels sur le marché. Produits typiques de la Réunion que tout un chacun devrait pouvoir utiliser. Afin de commercialiser ses produits, Louis LEICHNIG a décidé de venir les proposer en France métropolitaine. De salon en salon, il en fait la promotion.</t>
  </si>
  <si>
    <t>Vente de vanille certifiée Agriculture Biologique et IGP. Pas de boutique, mais présence dans différentes foires et marchés, avec possibilité d'achat en ligne sur le site internet.</t>
  </si>
  <si>
    <t>Depuis le Sud prendre la RN2 jusque la Route Labourdonnais, l'établissement se trouvera peu après l'école primaire de Basse Vallée.</t>
  </si>
  <si>
    <t>site - lieu culturel,restaurants,littoral</t>
  </si>
  <si>
    <t>eb989730</t>
  </si>
  <si>
    <t>62f4b75b</t>
  </si>
  <si>
    <t>galerie::galerie_Images/7c227ab2.Path.101813.jpg</t>
  </si>
  <si>
    <t>Pour le moment, ne pas envoyer de client sur place. Sa vanille est revendue au Kossassa pour celles et ceux qui en cherchent</t>
  </si>
  <si>
    <t xml:space="preserve">La Case Cardinale </t>
  </si>
  <si>
    <t>Gîtes de France , Qualité Tourisme Ile de La Réunion</t>
  </si>
  <si>
    <t>145 G</t>
  </si>
  <si>
    <t xml:space="preserve"> Cd 36 Nd de la Paix</t>
  </si>
  <si>
    <t>-21.245713, 55.593513</t>
  </si>
  <si>
    <t>0692073001</t>
  </si>
  <si>
    <t>barbecue , chauffage , fer et planche à repasser , four , jardin , lave linge privatif , lave vaisselle , micro-ondes , parking , téléphone , TV satellite , wifi</t>
  </si>
  <si>
    <t>LaRo3001bA</t>
  </si>
  <si>
    <t>eb04a4d5</t>
  </si>
  <si>
    <t>galerie::galerie_Images/a254fb3c.Path.053053.jpg</t>
  </si>
  <si>
    <t>AMIR a contacté le 18 matin/ message laissé pour demande de visite</t>
  </si>
  <si>
    <t>Domaine de la Louise</t>
  </si>
  <si>
    <t>Impasse Notre Dame de Lourdes</t>
  </si>
  <si>
    <t>-21.338734, 55.667028</t>
  </si>
  <si>
    <t>lalouise.reunion@gmail.com</t>
  </si>
  <si>
    <t>0693490220</t>
  </si>
  <si>
    <t>https://www.la-louise-vacances.com/</t>
  </si>
  <si>
    <t>Location de chambres d’hôte, avec petits déjeuners, piscine chauffée, jacuzzi espace détente. Propriété close de murs au calme sur les hauts de Saint-joseph. Pour votre confort, nous mettons à votre disposition une cuisine créole sous kiosque entièrement équipé où vous pourrez préparer à loisir vos repas de groupe ou de famille.</t>
  </si>
  <si>
    <t>Domaine de la Louise Gite et Chambres D'hôtes</t>
  </si>
  <si>
    <t>En face du stade a coté de l'église Notre Dame de Lourdes</t>
  </si>
  <si>
    <t>cuisine équipée , espace spa - bien être , petit déjeuner créole ou classique , piscine chauffée , jacuzzi</t>
  </si>
  <si>
    <t>sentier de randonnée,forêt,Volcan le piton de la fournaise</t>
  </si>
  <si>
    <t>a94b631c</t>
  </si>
  <si>
    <t>93a3c4d6</t>
  </si>
  <si>
    <t>galerie::galerie_Images/d194e630.Path.041715.jpg</t>
  </si>
  <si>
    <t>CSC521HT@</t>
  </si>
  <si>
    <t xml:space="preserve">Le Point de vue gourmand </t>
  </si>
  <si>
    <t>-21.304829, 55.534067</t>
  </si>
  <si>
    <t>0692855105</t>
  </si>
  <si>
    <t>Chambre d'hôtes typique et atypique, avec une belle vue, un beau cadre, les repas sont faits avec les produits de la ferme (petit déjeuner compris, déjeuner et dîner en supplément)
Piscine accessible de novembre à mai
Animaux acceptés sous conditions
Une chambre aménagée pour les PMR</t>
  </si>
  <si>
    <t>jacuzzi , petit déjeuner créole ou classique , jardin arboré , piscine</t>
  </si>
  <si>
    <t>snack,point de vue panoramique,commerce alimentaire,forêt,arrêt bus,poste - boite aux lettres,transports en commun,randonnées,ferme équestre,centre médical,route du volcan,Point chaud,commerce de proximité…,épicerie,boulangerie,pharmacie,parc notre dame de la paix</t>
  </si>
  <si>
    <t>cf50ae61</t>
  </si>
  <si>
    <t>terrasse , produits de la ferme , repas traditionnels</t>
  </si>
  <si>
    <t>ef810401</t>
  </si>
  <si>
    <t>table d'hôtes en standby pour le moment</t>
  </si>
  <si>
    <t>38 bis</t>
  </si>
  <si>
    <t>Rue Eugene Dayot</t>
  </si>
  <si>
    <t>-21.287609, 55.517614</t>
  </si>
  <si>
    <t>0262221498</t>
  </si>
  <si>
    <t>0692728237</t>
  </si>
  <si>
    <t>Située aux portes du volcan, cette villa de plus de 150m² est implanté sur une parcelle de 600m². Elle dispose d'un magnifique jardin arboré et d'une grande piscine privative et chauffée, d'une grande cuisine ouverte et entièrement équipée, d'une terrasse de plus de 45m². Vous pourrez rejoindre la route du volcan en une demi heure.
cette villa de caractère est située au centre ville du Tampon dans un quartier très calme.
Tout a été imaginé pour que vous puissiez passer un agréable séjour. Après vos multiples escapades pour découvrir les charmes de notre île, vous aurez la possibilité de profiter de son magnifique jardin en vous reposant à l'ombre des arbres fruitiers (manguiers, letchi....) ou alors privilégier la farniente et le repos autour de la piscine.</t>
  </si>
  <si>
    <t>jardin clôturé , parking , accès internet , piscine chauffée</t>
  </si>
  <si>
    <t>MaVé7941kg</t>
  </si>
  <si>
    <t>5104babf</t>
  </si>
  <si>
    <t>Magnolia</t>
  </si>
  <si>
    <t>23D</t>
  </si>
  <si>
    <t xml:space="preserve"> Rue Saint Vincent de Paul</t>
  </si>
  <si>
    <t>-21.269127, 55.526195</t>
  </si>
  <si>
    <t>0693484156</t>
  </si>
  <si>
    <t>Cette villa comprend 2 chambres, une télévision par satellite à écran plat, un lave-linge et un sèche-linge et une salle de bains avec un jacuzzi. Sa cuisine équipée comporte un réfrigérateur et un lave-vaisselle.
La villa possède un espace bien-être avec un jacuzzi. A l'extérieur, elle dispose d'une piscine, d'un jardin et d'un barbecue.</t>
  </si>
  <si>
    <t>Située au Tampon, la villa Magnolia peut accueillir 6 personnes (4 adultes et 2 enfants).</t>
  </si>
  <si>
    <t>TV , jacuzzi , piscine , barbecue , jardin , salon de jardin , cuisine , linge de toilette , linge de maison , parking , fer et planche à repasser</t>
  </si>
  <si>
    <t>HoLo41563N</t>
  </si>
  <si>
    <t>877b8c0c</t>
  </si>
  <si>
    <t>galerie::galerie_Images/96f40686.Path.121122.png</t>
  </si>
  <si>
    <t>-21.375520, 55.590211</t>
  </si>
  <si>
    <t>0692089093</t>
  </si>
  <si>
    <t>DaDi9093x5</t>
  </si>
  <si>
    <t>d1244e43</t>
  </si>
  <si>
    <t>-21.385162, 55.645870</t>
  </si>
  <si>
    <t>0693008340</t>
  </si>
  <si>
    <t>La collecte et la préparation des végétaux locaux tels que vétyver, vacoas et autres matières pour le tissage et la fabrication d’objets d’artisanats ainsi que la culture et la préparation de plantes aromatiques jusqu’à sa vente.</t>
  </si>
  <si>
    <t>Artisanat vacoa et vétiver</t>
  </si>
  <si>
    <t>matériel pour l'activité , ateliers , artiste</t>
  </si>
  <si>
    <t>CoMu8340Fi</t>
  </si>
  <si>
    <t>3bfdd2a8</t>
  </si>
  <si>
    <t>galerie::galerie_Images/7890f819.Path.104450.jpg</t>
  </si>
  <si>
    <t>x</t>
  </si>
  <si>
    <t>emmanuel.naze@orange.fr</t>
  </si>
  <si>
    <t>0692736349</t>
  </si>
  <si>
    <t>Culture de légumes, de melons, de racines et de tubercules</t>
  </si>
  <si>
    <t>boutique , Legumes bio</t>
  </si>
  <si>
    <t>NaEm6349A1</t>
  </si>
  <si>
    <t>9dc17bc7</t>
  </si>
  <si>
    <t>jardin , parking , salon de jardin , Massages bien être</t>
  </si>
  <si>
    <t>60ee2a37</t>
  </si>
  <si>
    <t>galerie::galerie_Images/e080f429.Path.102710.jpg</t>
  </si>
  <si>
    <t>Lilie Location saisonnière Langevin</t>
  </si>
  <si>
    <t>chemin Terrain Galet</t>
  </si>
  <si>
    <t>-21.379978, 55.649599</t>
  </si>
  <si>
    <t>0692 80 80 26</t>
  </si>
  <si>
    <t>PAS DE FETE ACCEPTÉE voisin proche
Une petite terrasse équipée d'une piscine (non chauffée) de 4m² profondeur 1.20m et d'une table et banc et d'un transat 
Maison clôturée en mitoyenneté  avec portail - voisin proche
3 places de parking devant la maison (dans la rue)
Une salle de bain : Douche italienne et toilette dans la même pièce
Cuisine : Cuisinière a induction - barbecue /feu de bois-  Trépied - four micro onde - four - frigo - lave vaisselle - couvert- ustensiles de cuisine-
Salon : canapé convertible (2 personnes peuvent dormir), tv, table et 2 bancs, ventilateur,  
wifi
Une seule Chambre climatisée à l'étage :
 grande chambre d'environ 25 m2  équipée de 2 grands lit pour 2 personnes + 2 personnes ,  (le tout dans la même pièce c'est une grande pièce) couverture oreiller et draps fournis
Caution de 500 euros en cheque 
Acompte de 50% nécessaire pour la réservation  virement,  espèce,  cb a distance,  PayPal,  paylib,...</t>
  </si>
  <si>
    <t>Maison à Langevin</t>
  </si>
  <si>
    <t>Maison proche de la rivière Langevin et de la balance canne</t>
  </si>
  <si>
    <t>barbecue , climatisation , piscine , TV , ventilateur , linge de maison , parking , TV satellite , salon , espace de restauration , wifi gratuit , lave vaisselle , micro-ondes , sanitaires privés , four , terrasse</t>
  </si>
  <si>
    <t>sentier de randonnée,point de vue panoramique,riviere,Bassin de Manapany</t>
  </si>
  <si>
    <t>MoAu80267b</t>
  </si>
  <si>
    <t>c1c6c4f0</t>
  </si>
  <si>
    <t>galerie::galerie_Images/dbad8fe4.Path.115208.jpg</t>
  </si>
  <si>
    <t>CSC473HT@</t>
  </si>
  <si>
    <t>Chez Lilie - Plaine des Cafres</t>
  </si>
  <si>
    <t xml:space="preserve"> Chemin Gilles Begue</t>
  </si>
  <si>
    <t>-21.232230, 55.550347</t>
  </si>
  <si>
    <t>FETE STRICTEMENT INTERDITE/voisins proches / mitoyenneté
3 terrasses aménagées une entrée devant la maison pouvant accueillir 3 a 4 voitures maximum
Maison accessible via un escalier (pas d'accessibilité en fauteuil roulant) (c'est le haut d'une maison mais bien insonorisée)
Une salle de bain : Douche italienne et toilette dans la même pièce
Cuisine   - barbecue - Trépied - feu de bois - four et four micro onde - machine a laver - lave vaisselle - billard et baby foot - marmite - couvert et ustensiles de cuisine
Caution : Un cheque de 500 euros  
La composition des chambres :
maison disposé de 1 à  12 personnes (adultes et enfant compris)  ( pas d'invités supplémentaires même de passage possible) :
3 chambres :
&gt;&gt;1 chambre pour 4 personnes:  (1 grand lit  2 personnes  + 1 lit gigogne à tiroir pour 2 personnes)
&gt;&gt;1 chambre (2 grands lits  :2 personnes en bas + 2 personnes  en haut  pour 4 personnes )
&gt;&gt;1 chambre ( grand lit double pour 2 personnes)
&gt;&gt;un canapé lit convertible . (2 personnes)
&gt;&gt;un clic clac ( 2 personnes)</t>
  </si>
  <si>
    <t>Location plaine des cafres située au 22eme kilomètre</t>
  </si>
  <si>
    <t>PK22</t>
  </si>
  <si>
    <t>cuisine équipée , cuisine , cuisine au bois , micro-ondes , four , lave vaisselle , billard , barbecue , wifi gratuit , babyfoot</t>
  </si>
  <si>
    <t>sentier de randonnée,point de vue panoramique,forêt,sites touristiques,station essence,restaurants</t>
  </si>
  <si>
    <t>2fd20996</t>
  </si>
  <si>
    <t>galerie::galerie_Images/b2db31bf.Path.061654.jpg</t>
  </si>
  <si>
    <t>Les gourmandises du jardin</t>
  </si>
  <si>
    <t>Produits du terroir ; Jus de fruits frais ; Agrotourisme</t>
  </si>
  <si>
    <t>chemin des acacias</t>
  </si>
  <si>
    <t>-21.226458, 55.530592</t>
  </si>
  <si>
    <t>Vente de produits transformés, certifiés bio (confitures, jus, nectars, goyave au sirop). Uniquement à partir des fruits du verger
Confitures sans pectine, sans gélatine, sans conservateurs. 
Vente chez Chocamande, Upro bio, restaurant l’Olivier, les marchés (Eperon le 3e samedi du mois), et événements bio
Exemple de produits : goyave blanc ou rose au sirop (5€), nectar de goyave, nectar de goyavier (2,80€), confiture de chouchou gingembre-mangue (petit pot 3,70€ // grand 6€), confiture de goyave
Gamme de produits : 
- kakis: confiture géranium ou vervaine</t>
  </si>
  <si>
    <t>Produits bio artisanaux</t>
  </si>
  <si>
    <t>A contacter</t>
  </si>
  <si>
    <t>e2f3decd</t>
  </si>
  <si>
    <t>galerie::galerie_Images/e021b806.Path.044056.jpg</t>
  </si>
  <si>
    <t>0692 92 66 92 Elsa</t>
  </si>
  <si>
    <t>Kom'une Évidence 974</t>
  </si>
  <si>
    <t>de la Pompe</t>
  </si>
  <si>
    <t>-21.358937, 55.770692</t>
  </si>
  <si>
    <t>jerome.t97480@gmail.com</t>
  </si>
  <si>
    <t>0692244243</t>
  </si>
  <si>
    <t>Villa récente idéale pour un séjour en famille ou entre amis située en plein cœur de St Philippe.</t>
  </si>
  <si>
    <t>Arrivée en face de la caserne des pompiers de Saint-Philippe, il faut prendre la direction de Sainte-Rose. Puis, à 500 mètres après la caserne des pompiers, il faut prendre la première rue à droite : c'est la rue de la Pompe</t>
  </si>
  <si>
    <t>barbecue , climatisation , fer et planche à repasser , jacuzzi , lave linge privatif , salle de bain privée , TV , linge de maison , espace de restauration , wifi gratuit , lave vaisselle , micro-ondes , sanitaires privés , douche , four , jardin arboré , terrasse , jardin clôturé , parking sécurisé , cour clôturée , sur réservation , veranda couverte , frigo , salle à manger</t>
  </si>
  <si>
    <t>sentiers de randonnées,centre ville,littoral</t>
  </si>
  <si>
    <t>b4451ab5</t>
  </si>
  <si>
    <t>54d200b6</t>
  </si>
  <si>
    <t>galerie::galerie_Images/3f25d9da.Path.062633.jpg</t>
  </si>
  <si>
    <t>CSC459HT@</t>
  </si>
  <si>
    <t>LA VILLA ROMA</t>
  </si>
  <si>
    <t>chemin Eliodore Fontaine</t>
  </si>
  <si>
    <t>-21.370013, 55.594345</t>
  </si>
  <si>
    <t>pierre24150@gmail.com</t>
  </si>
  <si>
    <t>0693441020</t>
  </si>
  <si>
    <t>A vous le charme du Sud sauvage!!!
Située à proximité du bassin naturel de Manapany, détendez-vous dans cette ravissante villa avec piscine...
La villa Roma est parfaite pour profiter des moments entre amis ou en famille.
Spacieuse et lumineuse, elle est équipée d'une grande cuisine, d'un séjour,de 4 chambres doubles, de 2 salles-de-bains.
Vous pourrez également profiter de ces beaux espaces extérieurs comprenant barbecue et cuisine extérieure.</t>
  </si>
  <si>
    <t>4 chambres, 2 salles de bain et 800m² de terrain</t>
  </si>
  <si>
    <t>varangue , barbecue , climatisation , fer et planche à repasser , piscine , jardin , parking , grand espace , wifi , salon de jardin , cuisine équipée</t>
  </si>
  <si>
    <t>e38c16bc</t>
  </si>
  <si>
    <t>45635f0b</t>
  </si>
  <si>
    <t>CSC484HT@</t>
  </si>
  <si>
    <t xml:space="preserve">La Ferme du Kilimandjaro </t>
  </si>
  <si>
    <t>Impasse Bernard Céleste</t>
  </si>
  <si>
    <t>-21.233626, 55.580464</t>
  </si>
  <si>
    <t>0262431341</t>
  </si>
  <si>
    <t>0692592519</t>
  </si>
  <si>
    <t>Chaque roulotte comprend une chambre double et des sanitaires avec solarium privé. La Ferme du Kilimandjaro s'étend sur un terrain de 3000 m² avec vue sur le littoral sud et le massif du Piton des Neiges au cœur de la ferme agricole. Visite gratuite du rucher. La capacité est de deux adultes et un enfant par roulotte. 
Poêle à bois et électricité solaire.
Activités possibles : tir à l’arc, mini
golf, balançoire...</t>
  </si>
  <si>
    <t>La Ferme du Kilimandjaro est située dans les Hauts du Tampon. Optez pour séjourner au clair de lune dans l'une des deux chambres d'hôtes aménagées séparément dans deux roulottes. Le petit déjeuner est servi exclusivement aux hôtes séjournant dans cet hébergement.</t>
  </si>
  <si>
    <t>Depuis Saint-Benoît, prendre la RN3 direction La Plaine des Cafres - Le Tampon. Au rond-point de la Cité du Volcan suivre "Volcan, direction grande Ferme" sur 1-2 km environ, puis à l'intersection prendre à gauche direction Notre Dame de la Paix puis tourner à gauche impasse Bernard Céleste.
Depuis Saint-Pierre, prendre la RN3 direction La Plaine des Cafres. A la gendarmerie prendre la première à droite direction Petite Ferme, continuer jusqu'à l'impasse Bernard Céleste à gauche.</t>
  </si>
  <si>
    <t>parking public , chauffage , jardin , salle de bain privée , linge de maison , restauration , wifi gratuit , vue montagne , visites pédagogiques , sur réservation , équipement sportif , matériel pour l'activité , sanitaires privés , grand espace , wifi , douche , aire de jeux pour enfant , salon de jardin , linge de toilette , jardin arboré , cuisine au bois , accès internet , végétariens bienvenus , petit déjeuner créole ou classique , salle de bain , ferme , vue mer</t>
  </si>
  <si>
    <t>sentier de randonnée,sentier de grande randonnée,site - lieu culturel,point de vue panoramique,commerce alimentaire,équitation,forêt,sites touristiques,arrêt bus,poste - boite aux lettres,jardin,transports en commun,commerces,sites - lieux culturels,station essence,pharmacie,boulangerie,banque - guichet automatique,pâtisserie,restaurants,sentiers de randonnées,Restauration,Maison du Volcan,coulées de lave,ferme équestre,centre médical,quad,Musée,hébergements,route du volcan,Volcan le piton de la fournaise,sentier du piton des neiges,forêt de Tamar'haut,Point chaud,stade de foot,maraicher,commerce de proximité…,épicerie,médecin,village du 23ème,tabac presse,coiffeur,Terrain de jeux pour enfants,aire de jeux,marchés,village du grand bassin,Cabaret Pat'Jaune,snack,parc notre dame de la paix,Point de vue du Belvédère de Bois court,centre de bien-être,burger…,Toutes commodités</t>
  </si>
  <si>
    <t>MaSe2519dM</t>
  </si>
  <si>
    <t>f8c2fcbb</t>
  </si>
  <si>
    <t>galerie::galerie_Images/d655c168.Path.105740.jpg</t>
  </si>
  <si>
    <t>Uniquement le vendredi, lorsque les deux chambres d'hôtes sont réservées. Les hôtes ont la possibilité de déguster la pizza fait maison, cuite au feu de bois. 
La tarification exclusive de cette formule pizza est à 25 euros par personne et à 12 euros par enfant.
Le petit déjeuner est servi de 7h00 à 9h00.</t>
  </si>
  <si>
    <t xml:space="preserve">Les Cent pieds </t>
  </si>
  <si>
    <t>-21.245572, 55.524018</t>
  </si>
  <si>
    <t>0262595876</t>
  </si>
  <si>
    <t>Association de randonnées pédestres : Les Cent Pieds</t>
  </si>
  <si>
    <t>visites pédagogiques , équipement sportif , grand espace</t>
  </si>
  <si>
    <t>5876ZL</t>
  </si>
  <si>
    <t>e8613569</t>
  </si>
  <si>
    <t>-21.233627, 55.580466</t>
  </si>
  <si>
    <t>0262 43 13 41</t>
  </si>
  <si>
    <t>La ferme s'étend sur un domaine de 3000m2, au cœur d'un rucher où de nombreux arbres fruitiers et endémiques ont été plantés.
- Le petit déjeuner : entre 7h00 et 9h00 servi en terrasse individuelle ou dans les roulottes si le temps ne le permet pas.
Compositions : boisson chaude au choix, un jus d’orange frais, des confitures maisons, du pain, des croissants, des œufs frais si les poules ont pondu.
Pour les départs en rando avant 7 heures un panier est préparé dans la cuisine extérieure et en remplacement du pain frais et viennoiseries, une brioche est proposée. (Merci de prévenir à l’avance pour pouvoir avoir les jus d’orange pressés).
- Le repas du soir est destiné aux hôtes (sur réservation.)
Le menu est sans alcool.
Tous les jours : plateau repas composé de samoussas, salade, charcuteries, fromages, petite douceur maison selon les envies du chef et café.</t>
  </si>
  <si>
    <t>La Ferme du Kilimandjaro est située dans les Hauts du Tampon, avec une vue du battant des lames au sommet des montagnes. Optez pour un séjourner au clair de lune dans des roulottes tout confort pour découvrir les hauts de la Réunion,  le volcan et les produits de la ferme.</t>
  </si>
  <si>
    <t>chauffage , linge de maison , parking , sanitaires privés , wifi</t>
  </si>
  <si>
    <t>3982fe13</t>
  </si>
  <si>
    <t>galerie::galerie_Images/3f8c7624.Path.131905.jpg</t>
  </si>
  <si>
    <t>Uniquement le vendredi, lorsque les deux chambres d'hôtes sont réservées. Les hôtes ont la possibilité de déguster la pizza fait maison, cuite au feu de bois. 
La tarification exclusive de cette formule pizza est à 25 euros par personne et à 12 euros par enfant.</t>
  </si>
  <si>
    <t>Galet Réunion</t>
  </si>
  <si>
    <t>chemin des Flamands</t>
  </si>
  <si>
    <t>-21.334423, 55.601373</t>
  </si>
  <si>
    <t>francois.nicolle6@orange.fr</t>
  </si>
  <si>
    <t>0692 05 39 60</t>
  </si>
  <si>
    <t>François NICOLLE, est un sculpteur sur pierre qui s'exprime à travers l'art qu'il maîtrise. Cet artiste vous fera découvrir ses créations authentiques et originales en pierres.</t>
  </si>
  <si>
    <t>Francois Nicolle artiste sculpteur sur galet basalte création œuvre d'art contemporain.</t>
  </si>
  <si>
    <t>vue montagne , matériel pour l'activité , ateliers , sculteur</t>
  </si>
  <si>
    <t>b3061c76</t>
  </si>
  <si>
    <t>a3f73f8c</t>
  </si>
  <si>
    <t>galerie::galerie_Images/4aa09618.Path.111255.jpg</t>
  </si>
  <si>
    <t>Villa des Bibassiers</t>
  </si>
  <si>
    <t>19D</t>
  </si>
  <si>
    <t>-21.238175, 55.500256</t>
  </si>
  <si>
    <t>https://www.sejour-de-reve.com/fr/la-villa-des-bibassiers</t>
  </si>
  <si>
    <t>Avec sa capacité d'accueil de 14 personnes, chacun y trouvera sa place ! Vous pourrez passer des moments conviviaux, en famille ou entre amis, sur sa grande terrasse avec piscine, tout en profitant d'une magnifique vue au coucher du soleil.
Un grand espace de parking clôturé vous permettra d'y stationner toutes vos voitures en toute sécurité. Situé dans les bas du TAMPON, dans un quartier tranquille, vous êtes à tout juste quelques pas du sentier de randonnée du DASSY (Bras de la Plaine : voir photos), idéal donc pour une sortie en groupe.
Vous apprécierez aussi son espace cuisine extérieur et son billard pour terminer vos journées dans la joie et la bonne humeur.   
Pour le plus grand respect du voisinage : Fête et évènements bruyants non autorisé.
Les animaux de compagnie ne sont pas autorisés. Merci de votre compréhension.</t>
  </si>
  <si>
    <t>La VILLA DES BIBASSIERS est une récente bâtisse à grand volume, idéale pour accueillir les familles nombreuses. Vous souhaitez respirer l'air frais du TAMPON, dans un endroit calme et reposant ? Cette villa est faite pour vous !</t>
  </si>
  <si>
    <t>parking , piscine , jardin</t>
  </si>
  <si>
    <t>031b98c3</t>
  </si>
  <si>
    <t>63fe574a</t>
  </si>
  <si>
    <t>galerie::galerie_Images/5755684c.Path.115900.jpg</t>
  </si>
  <si>
    <t>CSC488HT@</t>
  </si>
  <si>
    <t>Rue des Orangers</t>
  </si>
  <si>
    <t>-21.249422, 55.477689</t>
  </si>
  <si>
    <t>0692692041</t>
  </si>
  <si>
    <t>DiAl2041z5</t>
  </si>
  <si>
    <t>539b99ba</t>
  </si>
  <si>
    <t>galerie::galerie_Images/d231a73f.Path.083749.jpg</t>
  </si>
  <si>
    <t>Chemin Farjeau Les Trois Mares</t>
  </si>
  <si>
    <t>-21.253754, 55.508130</t>
  </si>
  <si>
    <t>0262 33 30 14</t>
  </si>
  <si>
    <t>0692699414</t>
  </si>
  <si>
    <t>vue montagne , vue mer , visites pédagogiques , grand espace</t>
  </si>
  <si>
    <t>LaRu94142r</t>
  </si>
  <si>
    <t>308a1dec</t>
  </si>
  <si>
    <t>galerie::galerie_Images/d4086503.Path.100848.jpg</t>
  </si>
  <si>
    <t xml:space="preserve">Le Jardin Secret </t>
  </si>
  <si>
    <t xml:space="preserve"> Chemin des Acacias</t>
  </si>
  <si>
    <t>-21.226506, 55.530542</t>
  </si>
  <si>
    <t>Rez de chaussée de villa, composé de deux chambres décorées avec soins avec 2 lits doubles 140x190. Un lit une place dans le coin salon cheminée. Une grande cuisine équipée, avec une grande table idéale pour accueillir une famille. L'hébergement dispose d'un grand jardin arboré, avec salon de jardin et d'un brasero idéal pour les soirées autour du feu. Barbecue a disposition.
L'hébergement est situé sur une exploitation bio (certifié bio CERTIPAQ)</t>
  </si>
  <si>
    <t>Pour vos vacances à la réunion, le Jardin Secret vous offre une prestation de qualité dans un endroit calme, excellent point de départ pour visiter toute l'ïle. Proche du volcan, du grand bassin , du piton des neiges, du Trou de Fer, Belouve …</t>
  </si>
  <si>
    <t>En arrivant du 17e prendre la direction de Piton Hyacinthe (route des caféiers), puis prendre à droite sur le chemin des Acacias/Bérichon. Continuer jusqu'au numéro 82, l'hébergement se trouve sur la droite.</t>
  </si>
  <si>
    <t>barbecue , climatisation , fer et planche à repasser , chauffage , lave linge privatif , salle de bain privée , TV , linge de maison , salon , wifi gratuit , vue montagne , micro-ondes , sanitaires privés , four , salon de jardin , terrasse , linge de toilette , cuisine , jardin arboré , table de ping-pong , cuisine équipée , cour clôturée , bibliothéque , Legumes bio , parking sécurisé , salle de bain , plaque de cuisson , frigo , salle à manger , Cafetière , cheminée</t>
  </si>
  <si>
    <t>aire de jeux,sentier de randonnée,point de vue panoramique,commerce alimentaire,forêt,arrêt bus,transports en commun</t>
  </si>
  <si>
    <t>96cdb62b</t>
  </si>
  <si>
    <t>galerie::galerie_Images/5f4187f7.Path.112312.jpg</t>
  </si>
  <si>
    <t>Horaires flexibles
***Cadeau de bienvenue (confiture certifiée bio maison)***</t>
  </si>
  <si>
    <t xml:space="preserve">Le Figuier </t>
  </si>
  <si>
    <t>-21.226423, 55.530680</t>
  </si>
  <si>
    <t>Charmante maisonnette studio avec mezzanine, situé dans un grand jardin bio.
Petite cuisine tout équipée, avec table et TV. 
Equipée d'un lit double au rez de chaussée (140x190) et d'un lit une place à l'étage accessible avec une échelle. 
Petite terrasse en extérieur donnant sur le jardin bio.</t>
  </si>
  <si>
    <t>Beau chalet-studio indépendant dans un grand jardin
Venez profiter des hauteurs de l'ile dans un cadre calme et soigné, prestation de qualité, excellent point de départ pour le volcan, le Grand-Bassin, trou de Fer , Piton des Neiges et autres sites ...</t>
  </si>
  <si>
    <t>parking sécurisé , salon de jardin , jardin arboré , barbecue , climatisation , fer et planche à repasser , chauffage , TV , linge de maison , wifi gratuit , vue montagne , micro-ondes , douche , four , terrasse , cuisine , lave-linge , bibliothéque , Legumes bio , plaque de cuisson , frigo</t>
  </si>
  <si>
    <t>sentier de randonnée,point de vue panoramique,commerce alimentaire,forêt,arrêt bus,transports en commun</t>
  </si>
  <si>
    <t>2f00bace</t>
  </si>
  <si>
    <t>galerie::galerie_Images/51a32672.Path.111727.jpg</t>
  </si>
  <si>
    <t>horaires flexibles
cadeau de bienvenue (confiture certifiée bio maison)</t>
  </si>
  <si>
    <t>Plantation ; Visite guidée</t>
  </si>
  <si>
    <t>Milieu rural,Centre ville</t>
  </si>
  <si>
    <t>rue Kerveguen</t>
  </si>
  <si>
    <t>-21.287163, 55.520518</t>
  </si>
  <si>
    <t>secretariat.caheb@gmail.com</t>
  </si>
  <si>
    <t>0262270227</t>
  </si>
  <si>
    <t>visites pédagogiques , sur réservation , matériel pour l'activité , jardin , parking autocar , ateliers , boutique</t>
  </si>
  <si>
    <t>commerce alimentaire,site - lieu culturel,arrêt bus</t>
  </si>
  <si>
    <t>SeMa0227Rh</t>
  </si>
  <si>
    <t>96962c88</t>
  </si>
  <si>
    <t>adresse mail modifiée le 20/05/2022 suite à un échange téléphonique.</t>
  </si>
  <si>
    <t xml:space="preserve"> Rue Georges Hoarau</t>
  </si>
  <si>
    <t>-21.258750, 55.497109</t>
  </si>
  <si>
    <t>https://couteauxbourbon.com/</t>
  </si>
  <si>
    <t>Couteaux forgés main à l'Ile de la Réunion</t>
  </si>
  <si>
    <t>visites pédagogiques , matériel pour l'activité , artiste</t>
  </si>
  <si>
    <t>531d2e23</t>
  </si>
  <si>
    <t xml:space="preserve"> Rue Victor Hugo</t>
  </si>
  <si>
    <t>-21.382189, 55.643679</t>
  </si>
  <si>
    <t>0692052007</t>
  </si>
  <si>
    <t>https://www.bilimbi.re/</t>
  </si>
  <si>
    <t>Le meublé est indépendant et fonctionnel avec stationnement privé, portail automatique…
La maison de vacances se compose de 
3 chambres (dont deux climatisées et une ventilée.
Situé à quelques mètres du pont de la Rivière Langevin.
Le meublé permet de profiter du calme, du cadre environnant et de s’immerger naturellement dans la culture créole pour y découvrir le temps d’un séjour les subtilités et l’art de vivre de l’île.</t>
  </si>
  <si>
    <t>Le bilimbi  vous accueille pour un séjour agréable à l’île de la Réunion  !</t>
  </si>
  <si>
    <t>jardin clôturé , parking , parking sécurisé , salon , Cafetière , barbecue , climatisation , lave linge privatif , salle de bain privée , TV , ventilateur , linge de maison , lave vaisselle , micro-ondes , wifi , four , terrasse , linge de toilette , accès internet</t>
  </si>
  <si>
    <t>sentier de randonnée,riviere,point de vue panoramique,commerce alimentaire,commerces,station essence,Restauration,Point chaud</t>
  </si>
  <si>
    <t>VoRa2007Rz</t>
  </si>
  <si>
    <t>7de9a809</t>
  </si>
  <si>
    <t>galerie::galerie_Images/bcf8d2ae.Path.115349.jpg</t>
  </si>
  <si>
    <t>Villa Les Papangues</t>
  </si>
  <si>
    <t>49</t>
  </si>
  <si>
    <t>chemin de la pointe</t>
  </si>
  <si>
    <t>-21.295472, 55.520095</t>
  </si>
  <si>
    <t>https://www.sejour-de-reve.com/fr/villa-les-papangues</t>
  </si>
  <si>
    <t>Changez d'air et profiter du climat agréable de la ville du TAMPON en famille dans cette villa où il sera difficile de vous sentir à l’étroit ! Idéalement située, à l'entrée de la ville du TAMPON, plus précisément à la Pointe, dans un petit quartier agréable, cette maison vous séduira par son grand espace de vie avec une généreuse hauteur sous plafond.
Dotée de 4 chambres spacieuses et d’une mezzanine avec canapé-lit, une famille de 9 à 11 personne pourra aisément y trouver chacun sa place.
Au rez-de chaussé : salon ouvert sur la salle à manger et la cuisine américaine ouverte. 1 salle de douche et toilettes ainsi que 2 grandes chambres dont une avec 3 lits simple et 1 bureau, et l’autre avec 1 lit double.
À l’étage : 2 chambres doubles donnants sur une mezzanine avec coins lecture, coins jeux de société et canapé lit 2 places.
Vous pourrez apprécier de bons repas en famille sur la terrasse équipée d’un barbecue/cuisine au feu de bois, et profiter d’un jardin gazonné et arboré à l’arrière de la maison.
La VILLA DES PAPANGUES bénéficie d’une situation géographique stratégique afin de pouvoir accéder aisément à toute commodité. À 3 minutes de la 4 voies, vous pourrez tout aussi bien vous rendre à Saint-Pierre en seulement 15 à 20 minutes (selon le trafic). Envie d’un petit footing ? Le parcours de santé de la pointe vous attend à seulement quelques minutes.
Envie d’un petit massage authentique thaïlandais à domicile ? C’est tout à fait possible grâce à notre partenariat avec un praticien certifié ! Faite votre demande lors de votre réservation.
Pour le plus grand respect du voisinage : Fête et évènements bruyants non autorisé.
Les animaux de compagnie ne sont pas autorisés.</t>
  </si>
  <si>
    <t>5ef4844d</t>
  </si>
  <si>
    <t>galerie::galerie_Images/c07b9ec0.Path.115441.jpg</t>
  </si>
  <si>
    <t>CSC490HT@</t>
  </si>
  <si>
    <t>0692464581</t>
  </si>
  <si>
    <t>Il y a deux points de retrait/ remise : à la mairie même et au niveau du stade Raphaël Babet, retrait de 6h à 20h. Via une application à télécharger sur le smartphone. Un numéro d’assistance est précisé sur ces bornes en cas de besoin pour quoi que ce soit. Service téléphonique en français et en anglais</t>
  </si>
  <si>
    <t>Location de trottinettes électriques en libre-service sur Saint-Joseph.</t>
  </si>
  <si>
    <t>En face de la mairie de Saint-Joseph et au niveau du stade Raphaël Babet</t>
  </si>
  <si>
    <t>sentier de randonnée,parking public,site - lieu culturel,point de vue panoramique,commerce alimentaire,arrêt bus,centre ville de Saint-Joseph</t>
  </si>
  <si>
    <t>HoDe9380AX</t>
  </si>
  <si>
    <t>52cd824a</t>
  </si>
  <si>
    <t>galerie::galerie_Images/d3823621.Path.100632.jpg</t>
  </si>
  <si>
    <t>TAMAR'INN</t>
  </si>
  <si>
    <t>152</t>
  </si>
  <si>
    <t>chemin du Champ de Foire</t>
  </si>
  <si>
    <t>-21.202419, 55.581593</t>
  </si>
  <si>
    <t>tamarinn974@gmail.com</t>
  </si>
  <si>
    <t>0692 60 95 64</t>
  </si>
  <si>
    <t>https://beds24.com/booking2.php?propid=151283&amp;fbclid=IwAR3xHykd3eo-zWehAa4oJZ5t4AE5LaNFuYKVX12U2EXQPQ7RjERqBsaAnZk</t>
  </si>
  <si>
    <t>Chaque chambre est équipée d'une literie King size confortable, du chauffage, d'une salle de bain avec baignoire et douche, (douche uniquement pour un chalet), d'un coin salon, un espace dressing avec porte bagage.
Les chalets disposent d'une terrasse privative équipée d'un jacuzzi et d'un sauna et un espace extérieur avec une table et 2 chaises.
Le petit-déjeuner est composé de viennoiserie, pain, fruits, jus et boissons chaudes, (pas compris dans le tarif nuitée).
Les repas du soir ne sont pas proposés, les clients peuvent ramener à emporter et boissons. 
Plusieurs adresses de restaurants à proximité.</t>
  </si>
  <si>
    <t>Situé au début de la route du Volcan avec une belle vue sur le Piton des Neiges, Tamar'INN propose 3 chambres haut de gamme sous forme de chalets privatifs.</t>
  </si>
  <si>
    <t>A 800 m de la Nationale 3, rue Maurice et Katia Kraff, accès direct depuis le chemin de Foire.</t>
  </si>
  <si>
    <t>petit déjeuner créole ou classique , terrasse , sauna , jacuzzi , chauffage , salle de bain privée , TV , linge de maison , salon , wifi</t>
  </si>
  <si>
    <t>ferme équestre,sentier de randonnée,point de vue panoramique,commerce alimentaire,forêt,restaurants,Maison du Volcan,Volcan le piton de la fournaise</t>
  </si>
  <si>
    <t>b132c6e0</t>
  </si>
  <si>
    <t>51ae6997</t>
  </si>
  <si>
    <t>galerie::galerie_Images/240f5bcb.Path.054101.jpg</t>
  </si>
  <si>
    <t>CSC522HT@</t>
  </si>
  <si>
    <t>0692347450</t>
  </si>
  <si>
    <t>jardin , parking , climatisation , accès internet</t>
  </si>
  <si>
    <t>HaTh7450zd</t>
  </si>
  <si>
    <t>bdbeb897</t>
  </si>
  <si>
    <t xml:space="preserve"> Chemin de Cap Blanc</t>
  </si>
  <si>
    <t>Village de Grand Galet</t>
  </si>
  <si>
    <t>-21.310626, 55.640507</t>
  </si>
  <si>
    <t>0692603492</t>
  </si>
  <si>
    <t>Le gite dispose de 3 chambres (2 de 6 et 1 de 3). Découvrez les alentours avec votre hôte: des balades, des bassins, la rivière qui est à 1 h de marche.
Le gîte propose repas et si vous le souhaitez , le matin au petit déjeuner en + du pain, café, thé, lait, un riz chauffé vous sera proposé. 
Venez découvrir les charmes de la nature . 
Sous Réservation prix du coucher( 25€/pers, repas 25€/ pers ( _ 12 ans 10€), pti déj 5€</t>
  </si>
  <si>
    <t>Le Gite cascade 3 galets à grand galet dans les hauts de Langevin Saint-Joseph à coté d'une rivière.</t>
  </si>
  <si>
    <t>Nous sommes dans le village de grand galet au numéro 18 chemin cap blanc. Quand vous venez du volcan si vous faites la descente à partir de la plaine des sables vous arrivez sur grand galet dans le village.</t>
  </si>
  <si>
    <t>repas originaux et traditionnels , Cafetière , parking , petit déjeuner créole ou classique , frigo , lave-linge , vue montagne , jardin arboré , jardin clôturé , douche</t>
  </si>
  <si>
    <t>sentier de randonnée,sentier de grande randonnée,riviere,forêt,bassin</t>
  </si>
  <si>
    <t>MuJe3492vM</t>
  </si>
  <si>
    <t>9cd267fa</t>
  </si>
  <si>
    <t>galerie::galerie_Images/5b252c27.Path.054708.jpg</t>
  </si>
  <si>
    <t>Seul hébergement à Grand Galet, gîte simple, propre, efficace, on y dort bien ! Jean Jacques est le spécialiste de la rando, et Jean Philippe celui de la bonne cuisine réconfortante :) surtout pour les beignets de carottes :) 
25 euros la nuit
25 euros le dîner (dont apéro)
5 euros le petit déj (avec riz chauffé poussa ki veu !)</t>
  </si>
  <si>
    <t>Tourisme &amp; Handicap</t>
  </si>
  <si>
    <t xml:space="preserve"> Rue Bras Long</t>
  </si>
  <si>
    <t>-21.244477, 55.470418</t>
  </si>
  <si>
    <t>direction@hotel-ledimitile.com</t>
  </si>
  <si>
    <t>0262 39 20 00</t>
  </si>
  <si>
    <t>jardin , parking autocar , parking , piscine , salle de réunion - séminaire , tennis , TV , ventilateur , aire de jeux pour enfant</t>
  </si>
  <si>
    <t>BaDa2000XG,ScPh2000FB</t>
  </si>
  <si>
    <t>4ef898f3</t>
  </si>
  <si>
    <t>galerie::galerie_Images/5d67c1e2.Path.055324.jpg</t>
  </si>
  <si>
    <t>Cet établissement est fermé provisoirement jusqu'en septembre 2023.</t>
  </si>
  <si>
    <t>Tourisme &amp; Handicap,Qualité Tourisme Ile de La Réunion,Qualité Tourisme,Ecolabel Européen</t>
  </si>
  <si>
    <t>-21.24450866636792, 55.4703752918730</t>
  </si>
  <si>
    <t>contact@hotel-ledimitile.com</t>
  </si>
  <si>
    <t>https://hotel-ledimitile.com/</t>
  </si>
  <si>
    <t>Entièrement rénové, l’établissement propose 38 chambres dont 4 suites :
- Chambres doubles
- Chambre supérieure avec vue piscine ou avec vue panoramique
- Suite junior
- Chambre supérieure triple vue piscine
** Piscine **
Détendez-vous autour de notre piscine chauffée et équipée de jets hydromassants.
Réservée aux clients de l’hôtel, la piscine est ouverte de 8h à 19h.
** Événements **
Pour organiser vos réunions de travail, vos séminaires ou autres événements privés.
Un espace événementiel modulable de 80 m² avec 3 configurations possibles, pouvant accueillir 40 personnes assises et jusqu’à 60 personnes en cocktail vous accueille.
Il existe aussi des formules à la journée:
- Journée détente à partir de 45€/pax
- Pool and Breakfast à partir de 65€/pax</t>
  </si>
  <si>
    <t>Au cœur du village de l’Entre-Deux, Le Dimitile Hôtel &amp; Spa est un condensé de confort et de charme au pied du massif du Dimitile.</t>
  </si>
  <si>
    <t>petit déjeuner créole ou classique , Cafetière , bouilloire , douche , baignoire , ventilateur , Massages bien être , salle de réunion - séminaire , salle à manger , terrasse , mobilier d'extérieur , balcon , espace de restauration , restauration , vue montagne , articles de toilette , linge de maison , linge de toilette , jeux , espace spa - bien être , SPA , piscine chauffée , bar , climatisation , jardin , parking , téléphone , TV satellite , wifi , coffre-fort , mini-bar , pressing , service de blanchisserie , service de bagagerie , réception</t>
  </si>
  <si>
    <t>sentier de randonnée,point de vue panoramique,sentier de grande randonnée,site - lieu culturel,sites touristiques,Centre - Ville,arrêt bus,poste - boite aux lettres,station service,boulangerie,Point chaud,épicerie,snack,transports en commun,pharmacie,médecin,tabac presse,restaurants</t>
  </si>
  <si>
    <t>dd999d1a</t>
  </si>
  <si>
    <t>galerie::galerie_Images/eb50b37b.Path.104856.jpg</t>
  </si>
  <si>
    <t>Directrice adjointe disponible pour intervenir si atelier au sujet d'un de ses labels!</t>
  </si>
  <si>
    <t xml:space="preserve"> Chemin Doudou</t>
  </si>
  <si>
    <t>0262013289</t>
  </si>
  <si>
    <t>0692590350</t>
  </si>
  <si>
    <t>LeFl0350xg</t>
  </si>
  <si>
    <t>e9c23d57</t>
  </si>
  <si>
    <t>rue alfred lacroix</t>
  </si>
  <si>
    <t>-21.212183, 55.566693</t>
  </si>
  <si>
    <t>scea.lesplatanes@gmail.com</t>
  </si>
  <si>
    <t>0693 39 13 68</t>
  </si>
  <si>
    <t>https://www.scealesplatanes.com/</t>
  </si>
  <si>
    <t>Depuis plus de 20 ans, nous partageons notre passion pour rendre les fabuleux paysages du Parc National des hauts de l'ile de la Réunion faciles et accessibles.
Nous faisons également de l'élevage. La majorité de nos chevaux sont nés sur site.
Nos chemins de balades dans la forêt et les plaines permettent de retrouver le calme, la nature et d'oublier toute forme de civilisation.
Lors de randonnée nous proposons de rejoindre le volcan et galoper sur son sable noir.
Nous proposons des moments de tranquillité, bien être en connexion avec la nature, seul en famille ou entre amis pour partager une aventure inoubliable.
*******
Possibilité de réserver une salle de séminaire (environ 30 pax) / séminaire d'entreprise à la demande 
*******
Pour plus d'informations sur les tarifs des prestations voir le site internet : https://www.scealesplatanes.com/
ATTENTION PMR &gt; en fonction du profil/spécificité (autiste, TDAH...)</t>
  </si>
  <si>
    <t>La SCEA Les Platanes, Centre Equestre Alti-Merens propose des balades tous niveaux, des randonnées (1 ou 2 jours), et des cours d'équitation.</t>
  </si>
  <si>
    <t>parking , salle de réunion - séminaire , matériel pour l'activité , grand espace</t>
  </si>
  <si>
    <t>sentier de randonnée,commerce alimentaire,équitation,parking public,point de vue panoramique,forêt,sites touristiques,arrêt bus,station service,boulangerie,Point chaud,épicerie,snack,transports en commun,banque - guichet automatique,Maison du Volcan</t>
  </si>
  <si>
    <t>français,anglais,allemand,portugais,espagnol</t>
  </si>
  <si>
    <t>FoJ-47925N</t>
  </si>
  <si>
    <t>02127b55</t>
  </si>
  <si>
    <t>galerie::galerie_Images/33193047.Path.053050.jpg</t>
  </si>
  <si>
    <t>- Numéro de téléphone à utiliser pour le public et les réservations de balade : 0693 39 13 68
- Pour l'administratif Mme FONTAINE Audrey : 0693 39 17 40</t>
  </si>
  <si>
    <t>Impasse Gustave Courbet</t>
  </si>
  <si>
    <t>-21.261855, 55.521016</t>
  </si>
  <si>
    <t>0692879516</t>
  </si>
  <si>
    <t>vue montagne , visites pédagogiques , sur réservation</t>
  </si>
  <si>
    <t>LePa9516Xm</t>
  </si>
  <si>
    <t>7482afc6</t>
  </si>
  <si>
    <t xml:space="preserve"> Chemin Avril Benard Louvins</t>
  </si>
  <si>
    <t>-21.236061, 55.518108</t>
  </si>
  <si>
    <t>0262273201</t>
  </si>
  <si>
    <t>0692668477</t>
  </si>
  <si>
    <t>boutique , visites pédagogiques , matériel pour l'activité</t>
  </si>
  <si>
    <t>GrNa8477WT</t>
  </si>
  <si>
    <t>50a0314c</t>
  </si>
  <si>
    <t>galerie::galerie_Images/dfb0f265.Path.093623.jpg</t>
  </si>
  <si>
    <t>Le Multipliant</t>
  </si>
  <si>
    <t>route national 2</t>
  </si>
  <si>
    <t>-21.371434, 55.712037</t>
  </si>
  <si>
    <t>carolinerichard77@hotmail.fr</t>
  </si>
  <si>
    <t>0693814449</t>
  </si>
  <si>
    <t>Villa composée de 2 studios indépendants, avec 2 grandes terrasses vue mer.
Chaque studio peut accueillir 2 personnes.</t>
  </si>
  <si>
    <t>Studio neuf avec terrasse vue mer sur grand terrain arboré de palmistes et nombreux fruitiers, dans le Sud Sauvage, à 3km des coulées du volcan du Piton de la Fournaise.</t>
  </si>
  <si>
    <t>parking , micro-ondes , TV , terrasse</t>
  </si>
  <si>
    <t>restaurants</t>
  </si>
  <si>
    <t>2ff376ef</t>
  </si>
  <si>
    <t>4408abee</t>
  </si>
  <si>
    <t>galerie::galerie_Images/7ee166e4.Path.100543.jpg</t>
  </si>
  <si>
    <t>CSC431HT@</t>
  </si>
  <si>
    <t>Studio très spacieux et propre. Endroit très calme.</t>
  </si>
  <si>
    <t xml:space="preserve">L'Arbre de Vie </t>
  </si>
  <si>
    <t xml:space="preserve"> Allée Des Rameaux</t>
  </si>
  <si>
    <t>-21.371412, 55.673103</t>
  </si>
  <si>
    <t>0262778430</t>
  </si>
  <si>
    <t>0693823380</t>
  </si>
  <si>
    <t>climatisation , jardin , parking</t>
  </si>
  <si>
    <t>MaSt3380XT</t>
  </si>
  <si>
    <t>c7f7382f</t>
  </si>
  <si>
    <t>3 chambres double 
1 grande chambre familiale (jusqu'à 6 personne) sous forme de mezzanine : 90e pour 2 personnes et 25euros par personne supplémentaire.
Possibilité de faire des ateliers fabrication de savons
Partenariat avec les producteurs locaux / traiteurs pour les repas</t>
  </si>
  <si>
    <t xml:space="preserve">La Chambrita </t>
  </si>
  <si>
    <t>-21.373769, 55.594555</t>
  </si>
  <si>
    <t>http://chambrita.re/</t>
  </si>
  <si>
    <t>La Chambrita met à votre disposition trois chambres doubles à thème, toutes climatisées, et non-fumeur, à l’étage de leur villa. Chaque chambre est équipée de salle de bain et toilettes privées, une literie complête et un accès Internet wifi.
Elles sont desservies par un espace salon-bibliothèque, pour la détente et la lecture, et une salle à manger pour vos petits déjeuners.
Dans l’arrière- cour, « le far West » vous attend. Charmant bungalow entièrement équipé, sa petite courette, équipée d’un barbecue. A l’extérieur, vous pourrez vous détendre dans la piscine (espace clôturé, sécurisé), et sous le kiosque situé dans le jardin arboré.
Services compris dans le prix:
Draps, serviettes de toilette et de bain fournies, ménage deux fois par semaine, Petit-déjeuner, Parking et piscine.</t>
  </si>
  <si>
    <t>Chambre d'hôte dans une grande et jolie villa, à quelques minutes du bassin de Manapany, toute équipée, avec possibilité de profiter d'une piscine et d'un jaccouzy. Les hôtes sont présents, gentils et plein d'enthousiasme à recevoir des touristes. L'heure d'arrivée est négociable ! et surprise quand on arrive, le jus maison (et pas "jus de boutique") est servi avec un petit encas local :)</t>
  </si>
  <si>
    <t>RN2 vers Saint joseph, tourner à droite 1km environ après le belvédère de Manapany, rue Martin Luther King, puis quelques dizaines de mètres en descendant, prendre à droite, impasse des pipengayes, la chambre se trouve sur la gauche (côté océan), grand portail blanc :)</t>
  </si>
  <si>
    <t>barbecue , climatisation , fer et planche à repasser , piscine , jacuzzi , jardin , lave linge privatif , salle de bain privée , TV , ventilateur , linge de maison , parking , TV satellite , salon , espace de restauration , restauration , wifi gratuit , espace spa - bien être , sanitaires privés , wifi , douche , salon de jardin , linge de toilette , jardin arboré , accès internet , terrasse , plaque de cuisson , cuisine , jardin clôturé , tout équipé , frigo , salon climatisé , varangue , salle à manger , salle de bain , cour clôturée</t>
  </si>
  <si>
    <t>sentier de randonnée,point de vue panoramique,commerce alimentaire,arrêt bus,jardin,randonnées,hébergements,Bassin de Manapany,Sentier de randonnée</t>
  </si>
  <si>
    <t>8e9ca8aa</t>
  </si>
  <si>
    <t>galerie::galerie_Images/07fe660c.Path.055826.png</t>
  </si>
  <si>
    <t>Chambre américaine (familiale) : 140euros la nuit avec pdj 
La location pour 5 personnes : 2 nuits à 250 euros sans pdj
Fera sa déclaration d'octobre en décalé : hors territoire</t>
  </si>
  <si>
    <t>Bugg's Buggy 974</t>
  </si>
  <si>
    <t xml:space="preserve"> Rue Jean de Fos du Rau</t>
  </si>
  <si>
    <t>-21.223805, 55.558062</t>
  </si>
  <si>
    <t>0262011974</t>
  </si>
  <si>
    <t>https://www.buggsbuggy974.re/tarifs-p351902.html</t>
  </si>
  <si>
    <t>Au programme de ces excursions : balades en buggys sur un site unique et privé à la Plaine des Cafres, d'un peu plus 100 hectares, comprenant un parc ovins et bovins, ainsi des excursions sur une durée minimale de 45 minute et maximale de 3H30.</t>
  </si>
  <si>
    <t>La société BUGG’S BUGGY 974 organise des excursions en buggy sur la Plaine des Cafres.</t>
  </si>
  <si>
    <t>Situé à moins de 2 min du Leclerc de La Plaine des Cafres sur la route National dans un tournant.</t>
  </si>
  <si>
    <t>parking public , sur réservation</t>
  </si>
  <si>
    <t>sentier de randonnée,point de vue panoramique,transports en commun,restaurants,sentiers de randonnées,forêt,hébergements,Restauration,sentiers VTT</t>
  </si>
  <si>
    <t>MeMi6560R1</t>
  </si>
  <si>
    <t>61385eab</t>
  </si>
  <si>
    <t>galerie::galerie_Images/7754d80e.Path.053522.jpg</t>
  </si>
  <si>
    <t>FERMETURE TEMPORAIRE JUSQUA MI-OCTOBRE
Sortez des circuits touristiques traditionnels et venez "randonner en buggy " sur les plaines
EN BUGGY RZR
- Circuit 1h30 -&gt; 2 personnes -&gt; 199 euros
- Circuit 3h00 -&gt; 2 personnes -&gt; 299 euros
EN BUGGY RANGER 4/6 PERSONNES MAXI
- Circuit 1h30 -&gt; 4 personnes -&gt; 259 euros
- Circuit 3h00 -&gt; 4 personnes -&gt; 359 euros
Horaires :
lundi &gt;&gt;14:00–17:30
mardi/mercredi/jeudi/vendredi &gt;&gt; 09:00–12:00, 14:00–17:30
samedi &gt;&gt; 09:00–18:00
dimanche &gt;&gt; 09:00–18:00</t>
  </si>
  <si>
    <t>Paintball de Grand Coude</t>
  </si>
  <si>
    <t>Impasse des Nectarines Grand Coude</t>
  </si>
  <si>
    <t>-21.289682, 55.633140</t>
  </si>
  <si>
    <t>0692431349</t>
  </si>
  <si>
    <t>https://paintball974.wixsite.com/website?fbclid=IwAR1oafA8Rhpe23oqfqlQ96uttJsYkdOcUCGmF6gTFcLUk8lkYzF1ruO5YdE</t>
  </si>
  <si>
    <t>Paintball de Grand-Coude offre aux joueurs un moment de jeux intense . Notre activité accompagnée de son terrain de 2 hectares est une des meilleures sources de divertissement que nous avons à offrir. Venez l'essayer par vous-même !</t>
  </si>
  <si>
    <t>Le plaisir est permanent chez Paintball de Grand-Coude, avec ses jeux et ses activités familiales. Des jeunes débutants aux vétérans chevronnés, nous sommes la pour que vous passiez un moment agréable en compagnie de vos amis ou votre famille . Venez nous rejoindre pour que les bonnes choses commencent !</t>
  </si>
  <si>
    <t>Nous sommes situées dans les hauts de l'île ce qui nous emmène sur un lieu en pleine nature que nous avons adapter pour le paintball souvent accompagner de son brouillard frais l'après midi ce qui donne un style de jeu encore plus passionnant</t>
  </si>
  <si>
    <t>équipement sportif , matériel pour l'activité , parking autocar , grand espace , sur réservation , vue montagne</t>
  </si>
  <si>
    <t>RiJe1349sl</t>
  </si>
  <si>
    <t>1f07b19d</t>
  </si>
  <si>
    <t>galerie::galerie_Files_/d3eccf27.Path.061038.webp</t>
  </si>
  <si>
    <t>62</t>
  </si>
  <si>
    <t>0262200717</t>
  </si>
  <si>
    <t>https://www.lesembrunsdubaril.com/</t>
  </si>
  <si>
    <t>L'hôtel les Embruns du baril est située au bord de l'océan indien sur la côte du sud sauvage, à 15 minutes de la route des laves et ces tunnels de laves, nous vous proposons 14 chambres confortables avec vue mer. Certaines donnent directement sur la falaise.
Une belle piscine centrale complète le cadre idyllique et panoramique de la structure à l'architecture créoles.
*** 12 Chambre Double Standard Vue Jardin Avec Terrasse ***
Capacité : 2 adultes possibilité d'y rajouter un lit d'appoint en supplément.
La chambre standard avec terrasse vue jardin a une superficie d'environ 14m2, disposant d'un lit double et d'une penderie , les salles de bain sont équipées d'une douche à l'italienne.
Cette chambre dispose d'une terrasse avec une vue sur le jardin tropical et typique.
A noter que  la mer est visible dans tous les recoins de l'établissement, aux abords de laquelle se lie une végétation tropicale.
Découvrez notre chambre double standard avec terrasse vue jardin fonctionnelle confortable  , profitez du calme assis paisiblement sur votre terrasse.
*** 9,10 Ou 14 Chambre Double Standard Vue Mer ***
Capacité : 2 adultes possibilité d'y rajouter un lit d'appoint en supplément.
Les chambres standards ont une superficie d'environ 13m2, disposant d'un lit double et d'une penderie , les salles de bain sont équipées d'une douche à l'italienne.
Chaque chambre disposent d'une terrasse avec une vue sur le jardin tropical et typique ainsi que sur la mer qui est visible dans tous les recoins de l'établissement, aux abords de laquelle se lie une végétation tropicale.
Découvrez nos chambres standards confortables respirez l’air iodé de l’océan indien assis paisiblement sur votre terrasse.
Les Chambre standard sont équipées de :
-Climatisation
-TV Ecran plat 
-Réfrigérateur
-Coin bureau
-Bouilloire et plateau de bienvenu ( thé, café, sucre ) 
- Serviettes de bain fournies
-Sèche cheveux &amp; fer à repasser disponible à la Réception sur demande.
*** 7 Ou 4 Chambre Double Vue Jardin ***
Capacité : 2 adultes possibilité d'y rajouter un lit d'appoint en supplément.
Les chambres double vue jardin ont une superficie d'environ 12m2, disposant d'un lit double et d'une penderie , les salles de bain sont équipées d'une douche à l'italienne.
Chaque chambre ont une vue sur le jardin tropical. Ces chambres sont calmes et reposantes. De plus vous pourrez apercevoir  la mer qui est visible dans tous les recoins de l'établissement, aux abords de laquelle se lie une végétation tropicale.
Ces chambres sont confortables, et fonctionnelles.
Les Chambres double vue jardin sont équipées de :
-Climatisation
-TV Ecran plat
-Réfrigérateur
-Coin bureau
-Bouilloire et plateau de bienvenu ( thé, café, sucre )
- Serviettes de bain fournies
-Sèche cheveux &amp; fer à repasser disponible à la Réception sur demande.
*** 2 Ou 3 Double Supérieure Vue Sur La Mer ***
Capacité : 2 adultes 
Les chambres supérieure vue mer ont une superficie d'environ 11m2, disposant d'un lit double et d'une penderie , les salles de bain sont équipées d'une douche à l'italienne.
Chaque chambres disposent d'une belle vue panoramique sur la mer , aux abords de la chambre se trouve un coin transat ou vous pourrez profitez pleinement du calme et du repos bercer par le bruit de l'océan.
Les Chambre supérieure sont équipées de :
-Climatisation
-TV Ecran plat
-Réfrigérateur
-Coin bureau
-Bouilloire et plateau de bienvenu ( thé, café, sucre )
- Serviettes de bain fournies
-Sèche cheveux &amp; fer à repasser disponible à la Réception sur demande.
*** 15 Chambre Supérieure Sur La Falaise Vue Mer ***
Capacité : 2 adultes avec possibilité d'y rajouter en supplément un lit d'appoint pour un enfant.
Situées au rez-de-chaussée, cette chambre de catégorie Supérieure donnent directement sur la falaise. Elles disposent d'une salle de bain avec baignoire, d’un bureau,  d’une TV à écran plat, d'une penderie, d'une bouilloire accompagné d'un plateau de bienvenu ( thé, café , sucre ) , d'un réfrigérateur , ainsi que de rideaux occultants pour de bonnes nuits de sommeil.
Les Serviettes de bain sont fournies.
Un sèche cheveux ainsi qu'un fer à repasser sont disponible à la Réception sur demande.
*** 5 Chambre Twin Vue Jardin ***
Capacité : 2 adultes ou 2 adolecents
La chambre twin a une superficie d'environ 11m2, disposant de 2 lits simples et d'une penderie , la salle de bain est équipée d'une douche à l'italienne.
Cette chambre disposent d'une vue sur le jardin tropical. A savoir que la mer est visible dans tous les recoins de l'établissement.
Découvrez notre chambre Twin confortable &amp; fonctionnelle.
La Chambre twin est équipée de :
-Climatisation
-TV Ecran plat
-Réfrigérateur
-Coin bureau
-Bouilloire et plateau de bienvenu ( thé, café, sucre )
- Serviettes de bain fournies
-Sèche cheveux &amp; fer à repasser disponible à la Réception sur demande.
*** 6 Chambre Triple Acces PMR ***
Capacité : 3 adultes possibilité d'y rajouter un lit d'appoint en supplément.
La chambre triple accès PMR à une superficie d'environ 16 m2, disposant d'un lit double et d'un lit simple ,d'une penderie , les salles de bain sont équipées d'une douche à l'italienne, ainsi que tous les éléments nécessaires pour l'accès PMR ( tels que chaise de bain , lavabo accessible en fauteuil roulant ) .
Cette chambre dispose d'une terrasse avec une vue sur le jardin tropical.
A noter que  la mer qui est visible dans tous les recoins de l'établissement.
Découvrez notre chambre triple avec accès PMR confortable et fonctionnelles, respirez l’air iodé de l’océan indien assis paisiblement sur votre terrasse.
La Chambre est équipée de :
-Climatisation
-TV Ecran plat
-Réfrigérateur
-Coin bureau
-Bouilloire et plateau de bienvenu ( thé, café, sucre )
- Serviettes de bain fournies
-Sèche cheveux &amp; fer à repasser disponible à la Réception sur demande.
*** 8 Triple Avec Terrasse ***
CAPACITÉ :
• 2 adultes + 2 enfants ( bas âge ou 1 adolescent) 
Chambre de 18 m², avec sa terrasse plongeant sur un jardin exotique &amp; une vue sur l’Océan. Simple et agréable, cette chambre vous offrira un espace de détente unique et reposant, à quelques mètres de la falaise : spectacle nature garanti ! Elle dispose d’un grand lit double &amp; un second lit double standard, une salle de bain avec douche à l’italienne. La Chambre est équipée d’une climatisation individuelle réglable, d’une bouilloire avec un plateau de bienvenu ( thé , café , sucre ), d’un réfrigérateur, d’une télévision à écran plat.
Les serviettes de bain sont fournies.
un sèche cheveux &amp; un fer à repasser sont disponible à la Réception sur demande.
*** 1 Chambre Quadruple Superieure Vue Sur Mer ***
CAPACITÉ :
• 2 adultes + 2 enfants
Chambre de 24 m², avec une vue directe sur l’Océan. Spacieuse et agréable, la chambre est dotée d’une décoration épurée, chic, des meubles en bois , elle dispose d’un lit double ainsi que 2 lits simples, d’une  salle de bain avec douche à l’italienne. La Chambre est équipée d’une climatisation individuelle réglable, d’une bouilloire ainsi qu'un plateau de bienvenu ( thé, café, sucre),d’une télévision à écran plat , et un bureau d'appoint.
Les Serviettes sont fournies.
Sèche-cheveux et fer à repasser sont disponible sur demande à la Réception.
******
Petit déjeuner continental sous forme de buffet ou en plateau.
Viennoiseries , café , thé , pain , beurre , confiture fait maison , jus fruits et fruit de saisons .. A ne pas oublier notre traditionnel Riz Sofé &amp; rougail tomates !
******
LOCATION SALLE DE SEMINAIRE
Capacité 32 places assises
150€ la demi journée
280€ la journée
+ petit déjeuner : 6€/pax
+ petit déjeuner + déjeuner (entrée plat ou plat dessert) : 35€/pax</t>
  </si>
  <si>
    <t>Bienvenue dans le sud sauvage, entre Terre et Mer...</t>
  </si>
  <si>
    <t>jardin , parking , wifi , climatisation , salle de réunion - séminaire , salon , vue mer , TV , Lit parapluie sur demande , fer et planche à repasser , piscine , ventilateur , linge de toilette , douche , frigo , terrasse , salle à manger , salon de jardin , sèche-cheveux , bouilloire , salle de bain privée , espace de restauration , petit déjeuner créole ou classique , accessible aux personnes à mobilité réduite , jus frais</t>
  </si>
  <si>
    <t>commerce alimentaire,point de vue panoramique,site - lieu culturel,forêt,sites touristiques,arrêt bus,Point chaud,restaurants</t>
  </si>
  <si>
    <t>Carte Bancaire,Espèces,Chèques vacances</t>
  </si>
  <si>
    <t>9e8ac8a2</t>
  </si>
  <si>
    <t>galerie::galerie_Images/3ff88f27.Path.050648.jpg</t>
  </si>
  <si>
    <t>-21.293455, 55.624795</t>
  </si>
  <si>
    <t>damourjeanfred@hotmail.com</t>
  </si>
  <si>
    <t>0692687118</t>
  </si>
  <si>
    <t>barbecue , linge de maison , TV satellite</t>
  </si>
  <si>
    <t>DaFr7118SC</t>
  </si>
  <si>
    <t>61d44778</t>
  </si>
  <si>
    <t>TI BRUN NATURE</t>
  </si>
  <si>
    <t>-21.371001, 55.712928</t>
  </si>
  <si>
    <t>lola-leichnig@hotmail.fr</t>
  </si>
  <si>
    <t>0692 24 27 07</t>
  </si>
  <si>
    <t>https://www.tibrinnature.com/</t>
  </si>
  <si>
    <t>Les ateliers se font chez Madame LEICHNIG sous une varangue. Quand il fait, les ateliers peuvent avoir lieu en plein air sur une terrasse en bois.</t>
  </si>
  <si>
    <t>Lauriane LEICHNIG met en avant des créations en fibres végétales de vacoa. Tout d'abord, la plantation, ensuite, viens la préparation de la matière première. Au final, des créations originales sont réalisées. L'entreprise "TI BRUN NATURE" concrétise toutes les étapes énoncées précédemment. 
Il est également possible de commander sur le site web de "TI BRUN NATURE". Vous y découvrirez de belles créations réalisées à partir du vacoa.</t>
  </si>
  <si>
    <t>En arrivant de SAINT-JOSEPH : après la rampe de BASSE-VALLÉE, vous continuez tout droit en suivant la route nationale. Vous trouverez sur votre droite une boutique bleue et jaune. Cette boutique présente quelques créations réalisées par Madame LEICHNIG.
En arrivant de SAINTE-ROSE : vous passez devant l'Église de BASSE puis devant la boulangerie "le moulin de BASSE-VALLÉE". Vous continuez tout droit puis, sur votre gauche vous trouverez la boutique bleue et jaune. Cette boutique présente quelques créations réalisées par Madame LEICHNIG.</t>
  </si>
  <si>
    <t>jardin , wifi gratuit , sanitaires privés , ateliers , sur réservation , veranda couverte , vue montagne</t>
  </si>
  <si>
    <t>sentier de randonnée,tennis,site - lieu culturel,point de vue panoramique,commerce alimentaire,équitation,forêt,pêche,sites touristiques,arrêt bus,poste - boite aux lettres,transports en commun,commerces,sites - lieux culturels,station essence,Centre - Ville,pharmacie,boulangerie,banque - guichet automatique,VTT,piscine,pâtisserie,restaurants,sentiers de randonnées,ferme équestre,tunnels de lave,littoral,centre médical,hébergements,Point chaud,stade de foot,commerce de proximité…,épicerie,médecin</t>
  </si>
  <si>
    <t>9fe3fe5f</t>
  </si>
  <si>
    <t>a3214fd4</t>
  </si>
  <si>
    <t>galerie::galerie_Images/1d384f9d.Path.110910.jpg</t>
  </si>
  <si>
    <t>"Ti Brin Nature". Ouverture uniquement les quatre jours suivants : lundi, mardi, jeudi et vendredi. Pour toute réservation (les ateliers), il faut appeler Madame LEICHNIG. Il faut également appeler Madame LEICHNIG si on souhaite venir à la boutique. En effet, Madame LEICHNIG peut faire des déplacements occasionnels.</t>
  </si>
  <si>
    <t>34</t>
  </si>
  <si>
    <t>gondole974@gmail.com</t>
  </si>
  <si>
    <t>0262 56 16 12</t>
  </si>
  <si>
    <t>0692683406</t>
  </si>
  <si>
    <t>Dans un cadre familial, la pizzeria La Gondole propose un large choix de pizzas sur place et à emporter, des salades, des pâtes, des lasagnes, des plats du jour, des andouillettes,   ainsi qu'une bonne variété de viandes, filets de poulet grillés, entrecôtes, steaks Black Angus, magrets de canard, camemberts rôtis… Également une cuisine du terroir à l'ancienne avec des suggestions quotidiennes, à apprécier dans la salle climatisée ou sur l'agréable terrasse.  Ouvert tous les jours sauf le mardi.</t>
  </si>
  <si>
    <t>A l'entrée ouest de Saint-Joseph, un restaurant-pizzeria qui vaut le détour. Ouvert depuis 1994, il propose des soirées à thème tous les mardis et karaoké deux jeudis par mois
Expositions temporaires d'artistes.</t>
  </si>
  <si>
    <t>parking , aire de jeux pour enfant , ventilateur , terrasse</t>
  </si>
  <si>
    <t>PeDo34060S</t>
  </si>
  <si>
    <t>b768a388</t>
  </si>
  <si>
    <t>02/05/24 : entreprise en liquidation judiciaire depuis le 31/05/23</t>
  </si>
  <si>
    <t>La Caz à Éva</t>
  </si>
  <si>
    <t>225 bis</t>
  </si>
  <si>
    <t>Rue Raphaël Babet</t>
  </si>
  <si>
    <t>-21.377995, 55.616976</t>
  </si>
  <si>
    <t>lacaz.a.eva@orange.fr</t>
  </si>
  <si>
    <t>0262 47 58 95</t>
  </si>
  <si>
    <t>Du magret de canard aux framboises, au tournedos façon Rossini, en passant par la dorade au combava, vous allez voyager en découvrant ce restaurant pour connaisseurs, niché dans une impasse de Saint-Joseph. Ici, ne vous attendez pas toujours à de la cuisine créole, mais à des plats inattendus dans cette petite ville du Sud Sauvage. Les produits locaux sont mis à l'honneur, comme cette fameuse truite de Langevin que l'on retrouve rarement dans les restaurants du coin. Et c'est un bonheur.</t>
  </si>
  <si>
    <t>cuisine , Cuisine de produits frais locaux</t>
  </si>
  <si>
    <t>5895XI</t>
  </si>
  <si>
    <t>dbdefb7e</t>
  </si>
  <si>
    <t>galerie::galerie_Images/d28ac2be.Path.060357.jpg</t>
  </si>
  <si>
    <t xml:space="preserve"> Impasse des Cypres</t>
  </si>
  <si>
    <t>0692622946</t>
  </si>
  <si>
    <t>TeBr2946cC</t>
  </si>
  <si>
    <t>1cf2485c</t>
  </si>
  <si>
    <t>CSC408HT@</t>
  </si>
  <si>
    <t>LE TAAJ PALACE</t>
  </si>
  <si>
    <t>78</t>
  </si>
  <si>
    <t>chemin de l'Equerre</t>
  </si>
  <si>
    <t>-21.272060, 55.460311</t>
  </si>
  <si>
    <t>chailendra@hotmail.fr</t>
  </si>
  <si>
    <t>0692029283</t>
  </si>
  <si>
    <t>La villa Taaj Palace est plus qu'une location de vacances, c'est un lieu de méditation, loin de tout regard et en pleine nature ! Dotée d’un grand jardin et d’une piscine privative, elle offre luxe, calme et douceur de vivre pour des vacances familiales ou entre amis. Elle peut accueillir 6 personnes. Vues mer et montagne complétées par un coucher de soleil visible toute l'année.
La villa Taaj Palace dispose de tout le confort souhaité, une magnifique varangue bioclimatique où prendre vos petits déjeuners et repas au bord de la piscine. Vous profiterez également d’un bar extérieur, d’un barbecue au gaz et d’un petit salon extérieur confortable. La cuisine lumineuse ouverte sur le salon intérieur, est équipée de lave-vaisselle, et tout le matériel nécessaire à la réalisation et la dégustation de vos repas. Les 3 chambres avec lit double et salles d’eau offrent calme et confort pour un repos agréable. Un lave-linge se trouve dans le module des deux chambres.</t>
  </si>
  <si>
    <t>Villa Taaj Palace</t>
  </si>
  <si>
    <t>Située dans les bas de l'Entre-Deux, à proximité du pont du Bras de La Plaine</t>
  </si>
  <si>
    <t>piscine , TV , terrasse , micro-ondes , Cafetière , barbecue , ventilateur , lave vaisselle , douche , frigo , bouilloire , parking sécurisé , lave linge privatif , cuisine</t>
  </si>
  <si>
    <t>4608405f</t>
  </si>
  <si>
    <t>235d3ce5</t>
  </si>
  <si>
    <t>galerie::galerie_Images/3f09b4d4.Path.063033.jpg</t>
  </si>
  <si>
    <t>CSC455HT@</t>
  </si>
  <si>
    <t>-21.295446, 55.626204</t>
  </si>
  <si>
    <t>0262475487</t>
  </si>
  <si>
    <t>0692014089</t>
  </si>
  <si>
    <t>parking , jardin , sanitaires privés , salle de bain privée , chauffage , linge de maison , TV satellite , barbecue , cuisine , fer et planche à repasser</t>
  </si>
  <si>
    <t>FrLi4089ym</t>
  </si>
  <si>
    <t>5e8b7bf1</t>
  </si>
  <si>
    <t>Crypto-Sign n° 561</t>
  </si>
  <si>
    <t xml:space="preserve"> chemin de la Chapelle Notre Dame de la Paix</t>
  </si>
  <si>
    <t>0262265773</t>
  </si>
  <si>
    <t>0692823326</t>
  </si>
  <si>
    <t>barbecue , chauffage , fer et planche à repasser , four , lave linge privatif , lave vaisselle , linge de maison , micro-ondes , parking , TV</t>
  </si>
  <si>
    <t>LaSi3326AG</t>
  </si>
  <si>
    <t>b8f40243</t>
  </si>
  <si>
    <t xml:space="preserve"> Rue du Docteur Charriere</t>
  </si>
  <si>
    <t>0262834352</t>
  </si>
  <si>
    <t>0692002347</t>
  </si>
  <si>
    <t>barbecue , climatisation , fer et planche à repasser , jardin , lave linge privatif , linge de maison , micro-ondes , parking , TV</t>
  </si>
  <si>
    <t>EtLu2347hs</t>
  </si>
  <si>
    <t>81f3ffae</t>
  </si>
  <si>
    <t xml:space="preserve">La Vieille Tonnelle </t>
  </si>
  <si>
    <t>contact@gite-reunion-vieille-tonnelle.fr</t>
  </si>
  <si>
    <t>0692 53 06 41</t>
  </si>
  <si>
    <t>https://la-vieille-tonnelle.business.site/</t>
  </si>
  <si>
    <t>SéTh0641Vo</t>
  </si>
  <si>
    <t>b2b34f39</t>
  </si>
  <si>
    <t>galerie::galerie_Images/6684ca56.Path.045044.jpg</t>
  </si>
  <si>
    <t>-21.214934, 55.561759</t>
  </si>
  <si>
    <t>boutique , chauffage , espace de restauration , jardin , parking , salle de bain privée , sanitaires privés , aire de jeux pour enfant</t>
  </si>
  <si>
    <t>a2d4dd3f</t>
  </si>
  <si>
    <t>EL LATINO</t>
  </si>
  <si>
    <t>Restaurant ; Pub</t>
  </si>
  <si>
    <t>-21.272137, 55.511464</t>
  </si>
  <si>
    <t>contact@el-latino.com</t>
  </si>
  <si>
    <t>0262 59  68 58</t>
  </si>
  <si>
    <t>0692020342</t>
  </si>
  <si>
    <t>https://www.el-latino.com/index.php/restaurant</t>
  </si>
  <si>
    <t>Situé au Tampon, le restaurant El Latino propose une cuisine traditionnelle du sud-ouest : viandes et poissons à la plancha, confit de canard maison, salades et desserts maison. Le restaurant propose également un bar à tapas, il dispose de 2 terrasses fumeur et non fumeur. 
Ouvert le lundi uniquement de 10h à 14h, le mardi au samedi de 10h à 14h et de 17h à minuit.</t>
  </si>
  <si>
    <t>.Un bar-restaurant convivial et très fréquenté, que vous repérerez facilement grâce aux fresques colorées, très street art, que revête sa façade. À l'intérieur ou en terrasse, l'ambiance est décontractée et la musique de mise. Des concerts y sont régulièrement organisés</t>
  </si>
  <si>
    <t>Depuis le Sud  : Prendre la 4 voies du Tampon, arrivé au rond-point de la tour des Azalées prendre à droite direction centre-ville. Continuer tout droit au 3ème rond-point prendre la 3ème sortie, traverser le centre ville du Tampon. Passer la mairie, le restaurant se trouve à gauche.
Depuis les Plaines : Suivre la RN3 en direction du Tampon. Au rond-point «Chandelle» suivre la direction centre ville première sortie à droite. Traverser le centre ville du Tampon, passer la mairie, le restaurant se trouve à gauche.</t>
  </si>
  <si>
    <t>commerce alimentaire,centre commercial,arrêt bus,transports en commun</t>
  </si>
  <si>
    <t>MoNa0342N8</t>
  </si>
  <si>
    <t>b34d606b</t>
  </si>
  <si>
    <t>galerie::galerie_Images/2d36f7d2.Path.061357.jpg</t>
  </si>
  <si>
    <t>Chemin des Cevennes PK 20 A RN3</t>
  </si>
  <si>
    <t>-21.232859, 55.541612</t>
  </si>
  <si>
    <t>0692 73 77 14</t>
  </si>
  <si>
    <t>http://detentecreole.e-monsite.com/</t>
  </si>
  <si>
    <t>2 chambres triple comprenant un lit double et un lit simple (Tangor et Combava)
Les chambres sont aménagées typiquement créole.
La salle d'accueil dispose d'un coin détente avec un salon créole et une salle à manger. 
2 formules repas sont possibles : la formule apéritifs, entrée, plats, desserts, et l'autre avec uniquement plat et dessert.
Possibilité de se restaurer sur place et de découvrir la culture culinaire et le folklore de La Réunion. 
Attention : minimum 2 nuits.</t>
  </si>
  <si>
    <t>chauffage , parking , sanitaires privés , TV</t>
  </si>
  <si>
    <t>SmJo7714uo</t>
  </si>
  <si>
    <t>c6a47dda</t>
  </si>
  <si>
    <t>galerie::galerie_Files_/06bd6c4b.Path.120550.webp</t>
  </si>
  <si>
    <t>Les chèques sont acceptés sous réserve d'encaissement. Le tarif indiqué concerne le lit double (et non la chambre double).</t>
  </si>
  <si>
    <t xml:space="preserve">Le Palmier de la Paix </t>
  </si>
  <si>
    <t xml:space="preserve"> Rue Eucher Pothin</t>
  </si>
  <si>
    <t>-21.260349, 55.529908</t>
  </si>
  <si>
    <t>0262599653</t>
  </si>
  <si>
    <t>0692297009</t>
  </si>
  <si>
    <t>"Situé au Tampon, l’établissement Le Palmier de la Paix vous propose un salon commun et une connexion Wi-Fi gratuite.
Tous les logements disposent d’une télévision par satellite à écran plat, de matériel de repassage, d’une armoire et d’un coin salon muni d’un canapé. Vous aurez accès à une cuisine avec un lave-vaisselle, un micro-ondes, un réfrigérateur, un four, des plaques de cuisson, une bouilloire et une machine à café.
Cet établissement sert un petit-déjeuner continental ou asiatique sans produits laitiers tous les matins.
Par beau temps, vous pourrez également apprécier la terrasse bien exposée et le jardin sur place."</t>
  </si>
  <si>
    <t>Prendre le chemin Général Bonnier. Ensuite, il faut prendre tout de suite à droite (à environ 50 mètres) et ensuite prendre le chemin Eucher POTHIN.</t>
  </si>
  <si>
    <t>LeJo70092B</t>
  </si>
  <si>
    <t>41ec8697</t>
  </si>
  <si>
    <t>galerie::galerie_Images/b2bc3a84.Path.101457.jpg</t>
  </si>
  <si>
    <t xml:space="preserve">Le Palais Indien </t>
  </si>
  <si>
    <t>-21.284283, 55.521864</t>
  </si>
  <si>
    <t>0692081324</t>
  </si>
  <si>
    <t>AuYa1324zr</t>
  </si>
  <si>
    <t>2150b7dd</t>
  </si>
  <si>
    <t>L'AN DORMI VACANCES</t>
  </si>
  <si>
    <t>impasse des Boutons D'Or</t>
  </si>
  <si>
    <t>-21.199987, 55.534489</t>
  </si>
  <si>
    <t>marie-aurelie.dijoux@orange.fr</t>
  </si>
  <si>
    <t>0692255767</t>
  </si>
  <si>
    <t>Dotée d'une console PS3, cette maison de vacances dispose d'une kitchenette avec un micro-ondes, un réfrigérateur et un four, d'un salon avec des coins salon et repas, de 2 chambres ainsi que d'une salle de bains avec un jacuzzi et une douche. Il dispose également d'une télévision par satellite à écran plat.
Un barbecue est à votre disposition sur place.</t>
  </si>
  <si>
    <t>sentier de randonnée,commerce alimentaire,équitation,point de vue panoramique,restaurants,poste - boite aux lettres,banque - guichet automatique,sites touristiques,sentiers de randonnées,centre équestre,route du volcan,Volcan le piton de la fournaise,Maison du Volcan,Centres équestres,sites - lieux culturels,parc notre dame de la paix,marâicher,tabac presse,coiffeur,pâtisserie,médecin,boulangerie</t>
  </si>
  <si>
    <t>128cc6ba</t>
  </si>
  <si>
    <t>c8ade362</t>
  </si>
  <si>
    <t>galerie::galerie_Images/9179ed53.Path.104056.jpg</t>
  </si>
  <si>
    <t>CSC461HT@</t>
  </si>
  <si>
    <t>Le départ du dimanche se fait à partir de 16 heures.
Un service de location de voitures est assuré sur place.</t>
  </si>
  <si>
    <t>-21.381380, 55.644197</t>
  </si>
  <si>
    <t>0692046051</t>
  </si>
  <si>
    <t>barbecue , climatisation , jacuzzi , TV , linge de maison , parking , lave vaisselle , wifi , salon de jardin , terrasse , lave-linge , cuisine équipée</t>
  </si>
  <si>
    <t>FrBr6051sd</t>
  </si>
  <si>
    <t>0e8fc57b</t>
  </si>
  <si>
    <t>galerie::galerie_Images/d6edca37.Path.104454.jpg</t>
  </si>
  <si>
    <t>Flexibilité sur les horaires, sur demande.</t>
  </si>
  <si>
    <t xml:space="preserve"> Rue Léon Dierx</t>
  </si>
  <si>
    <t>0693508042</t>
  </si>
  <si>
    <t>WeJe8042jQ</t>
  </si>
  <si>
    <t>eed2f9f8</t>
  </si>
  <si>
    <t xml:space="preserve"> Rue Paul Hermann</t>
  </si>
  <si>
    <t>-21.270738, 55.517422</t>
  </si>
  <si>
    <t xml:space="preserve">kazanoo@yahoo.com </t>
  </si>
  <si>
    <t>0692389249</t>
  </si>
  <si>
    <t>Appartement situé au Tampon dans une résidence avec piscine.</t>
  </si>
  <si>
    <t>TV , piscine , four , lave linge privatif , micro-ondes , fer et planche à repasser , parking</t>
  </si>
  <si>
    <t>RoFr9249Lx</t>
  </si>
  <si>
    <t>6a7f2824</t>
  </si>
  <si>
    <t>galerie::galerie_Images/efdb3d37.Path.120401.jpg</t>
  </si>
  <si>
    <t xml:space="preserve">CSC261HT@ </t>
  </si>
  <si>
    <t>hébergement revendu (annonces trouvées sur airbnb et booking avec le nouveau proprio)</t>
  </si>
  <si>
    <t>Magnifique maison dans le sud sauvage</t>
  </si>
  <si>
    <t>rue des cyclamens</t>
  </si>
  <si>
    <t>-21.341927, 55.602926</t>
  </si>
  <si>
    <t>renee.moze974@hotmail.fr</t>
  </si>
  <si>
    <t>0692851016</t>
  </si>
  <si>
    <t>Dans un écrin de verdure venez découvrir le charme cette belle maison spacieuse, lumineuse et confortable située dans le sud sauvage au dessus de St Joseph, à 600 mètres d'altitude. Elle se compose de 3 manifiques chambres doubles, d'une cuisine entiérement équipée ouverte sur le salon , salle à manger et sans oublier sa terrasse ou vous pourrez vous détendre et profiter de la vue. Décoration soignée.  Four, lave vaisselle, réfrigérateur américain, lave linge, séche linge, serviettes de bain et drap de lit fournis. Toutes les fenêtres sont équipées de moustiquaires. Un grand jardin de 800m2. Une vue sur mer.
La construction est en plein coeur du sud sauvage à 500m d'altitude à proximité de la route du volcan et du départ de magnifiques randonnées. 
Quartier calme avec vue imprenable. Le quartier des Lianes connu son époque à la culture du géranium, vient ensuite la culture de la canne à sucre. A 10minutes de la maison vous pourrez visiter la Maison du curcuma à la Plaine des Grégues où mémé Riviére et sa famille vous invitent à découvrir le processus de transformation de la racine du curcuma.
On arrive à Saint Philippe en 1h, c'est non loin de là au Cap Méchant que commence à se dessiner une côte sauvage, déchiquetée, tourmentée... c'est le pays du vacoas. Ici, les feuilles de cet arbre étrange reconnaissable à ses racines hors-sol et à sa tête ébouriffée sont utilisées par les habitants qui les tressent en paniers, couffins, chapeaux... Tandis qu'ils mangent également les coeurs(choux) ou les pinpins. 
Le tarif est dégressif selon la durée du séjour. 
La caution vous sera demander a votre arriver .</t>
  </si>
  <si>
    <t>barbecue , jardin , TV , linge de maison , parking , lave vaisselle , sèche linge privatif , terrasse , accès internet , lave-linge , cuisine équipée , cours clôturée , vue mer</t>
  </si>
  <si>
    <t>transports en commun,médecin,épicerie,pharmacie</t>
  </si>
  <si>
    <t>Abritel</t>
  </si>
  <si>
    <t>de2265fc</t>
  </si>
  <si>
    <t>5fff17db</t>
  </si>
  <si>
    <t>galerie::galerie_Files_/da0922e1.Path.105535.f10.webp</t>
  </si>
  <si>
    <t>CSC515HT@</t>
  </si>
  <si>
    <t>La Kaz Tiloup</t>
  </si>
  <si>
    <t>rue Marius et Ary LEBLOND appartement B28 - Résidence Les Scories - Lot 106</t>
  </si>
  <si>
    <t>-21.284724, 55.519796</t>
  </si>
  <si>
    <t>ay.imperium@gmail.com</t>
  </si>
  <si>
    <t>0693810408</t>
  </si>
  <si>
    <t>La Kaz Tiloup est perchée dans une petite résidence familiale privée-sécurisée et dispose de son propre parking.
Offrant une vue verdoyante et dégagée sur l’océan depuis son espace extérieur, La Kaz Tiloup dispose d'une salle de bain spacieuse avec douche à l'italienne, d'une cuisine fonctionnelle entièrement équipée, d'un espace nuit cocooning avec dressing et d'un coin salon-salle à manger confortable.</t>
  </si>
  <si>
    <t>Venez explorer l’Île Intense et profiter d’un séjour reposant dans notre cocon idéalement situé au cœur de La Réunion.
La Kaz Tiloup est un logement proposant tout le confort moderne pour une immersion dans la vie réunionnaise des hauts.
Son emplacement de choix offre un point de départ privilégié pour des sorties à la journée aux quatre coins de l’île (plages et lagon, randonnées, volcans, cirques, vie culturelle) et une proximité inédite aux commerces essentiels du centre-ville pour votre quotidien.</t>
  </si>
  <si>
    <t>9e77a3e6</t>
  </si>
  <si>
    <t>cb3f59fe</t>
  </si>
  <si>
    <t>https://ryycrdhlkmzpxwwwwupy.supabase.co/storage/v1/object/public/old_media/4b30f488.Path.120011.jpg</t>
  </si>
  <si>
    <t>CSC514HT@</t>
  </si>
  <si>
    <t>0262573030</t>
  </si>
  <si>
    <t>0692830133</t>
  </si>
  <si>
    <t>linge de toilette , parking , TV , linge de maison , lave linge collectif</t>
  </si>
  <si>
    <t>ThH0133L7</t>
  </si>
  <si>
    <t>08f655a9</t>
  </si>
  <si>
    <t xml:space="preserve">Kaz à crèpe  </t>
  </si>
  <si>
    <t>Village,Milieu rural,Village des Hauts</t>
  </si>
  <si>
    <t>Allée des Moëllons</t>
  </si>
  <si>
    <t>-21.251482, 55.473969</t>
  </si>
  <si>
    <t>0693402558</t>
  </si>
  <si>
    <t>Dans une grande maison un peu au calme dans le village de l'Entre Deux, Raoul sert jusque 6 personnes des délicieuses crêpes :)</t>
  </si>
  <si>
    <t>Déguster une crêpes dans une maison calme dans le village de l'Entre Deux. Raoul propose une large carte salée et sucrée</t>
  </si>
  <si>
    <t>Au village de l'Entre deux, passer la mairie, l'église, continuer vers ravine citrons, sur qq centaines de mètres, la rue des Corneilles sur la gauche avant un virage, faire qq dizaines de mètres, l'allée des moellons est en contrebas à droite :)</t>
  </si>
  <si>
    <t>climatisation , ventilateur , parking , salon , espace de restauration , restauration , sanitaires privés , terrasse , cuisine équipée , jardin clôturé , varangue , cour clôturée , cours clôturée , veranda couverte , salle à manger , vue montagne</t>
  </si>
  <si>
    <t>sentier de randonnée,site - lieu culturel,point de vue panoramique,jardin,transports en commun,sites touristiques,Centre - Ville,sentiers de randonnées,randonnées</t>
  </si>
  <si>
    <t>Chèque,Espèces,Tickets restaurant</t>
  </si>
  <si>
    <t>ViRa2558TS</t>
  </si>
  <si>
    <t>dd0a7be8</t>
  </si>
  <si>
    <t>galerie::galerie_Images/967eb491.Path.170255.jpg</t>
  </si>
  <si>
    <t>Raoul est passionné de rando, il pourrait vous accompagner en sentier de randonnée après avoir dégusté une bonne crêpes</t>
  </si>
  <si>
    <t>Kazavac</t>
  </si>
  <si>
    <t>rue du sagouttier</t>
  </si>
  <si>
    <t>Les Gregues</t>
  </si>
  <si>
    <t>-21.367128, 55.605651</t>
  </si>
  <si>
    <t>joel.hoareau21@gmail.com</t>
  </si>
  <si>
    <t>0692866493</t>
  </si>
  <si>
    <t>2bd6780e</t>
  </si>
  <si>
    <t>0044d0fb</t>
  </si>
  <si>
    <t xml:space="preserve">Le Ti Vacoa </t>
  </si>
  <si>
    <t>1 chemin du puits des anglais</t>
  </si>
  <si>
    <t>Depuis Saint-Pierre suivre la nationale 2 jusqu'à Saint-Philippe. Le snack se trouve peu après, au niveau de la piscine du Baril.</t>
  </si>
  <si>
    <t>pêche,littoral,route des laves</t>
  </si>
  <si>
    <t>2024kY</t>
  </si>
  <si>
    <t>8df88ea0</t>
  </si>
  <si>
    <t>LE BEL HORIZON</t>
  </si>
  <si>
    <t>rue Sarda GARRIGA</t>
  </si>
  <si>
    <t>-21.282499, 55.520008</t>
  </si>
  <si>
    <t>gladys-v@live.fr</t>
  </si>
  <si>
    <t>0693605173</t>
  </si>
  <si>
    <t>https://www.bedandbreakfast.eu/fr/a/8226378/le-bel-horizon/</t>
  </si>
  <si>
    <t>Ce studio, idéal pour 2 personnes est entièrement équipé : baignoire, climatisation ainsi que tout le nécessaire de cuisine. Le linge de lit est fourni.</t>
  </si>
  <si>
    <t>Au cœur du centre ville du TAMPON, profitez d'un nid douillé et d'une vue panoramique sur la mer. Idéalement situé, vous pourrez profiter du centre ville à pied mais aussi de SAINT-PIERRE qui se situe à 10 minutes (en voiture). Pour les amoureux de la nature, BOURG MURAT et à 25 minutes (en voiture), départ de la route du volcan, le sentier de l'ENTRE-DEUX est à 13 minutes (en voiture).</t>
  </si>
  <si>
    <t>climatisation , parking public , salle de bain privée , TV , linge de maison , TV satellite , espace de restauration , wifi gratuit , micro-ondes , sanitaires privés , wifi , linge de toilette , cuisine , accès internet , serviettes. , cuisine équipée , parking sécurisé , tout équipé , salle de bain , sur réservation , plaque de cuisson , frigo , salon climatisé , Cafetière , Tout équipé, wifi , vue mer</t>
  </si>
  <si>
    <t>sentier de randonnée,sentier de grande randonnée,centre commercial,parking public,site - lieu culturel,point de vue panoramique,commerce alimentaire,forêt,sites touristiques,arrêt bus,poste - boite aux lettres,jardin,plage,transports en commun,commerces,sites - lieux culturels,station essence,station service,Centre - Ville,pharmacie,boulangerie,aéroport de Pierrefonds,banque - guichet automatique,Gare routière,pâtisserie,restaurants,sentiers de randonnées,Restauration,piscine municipale,centre médical,sentiers de randonnée,hébergements,Point chaud,stade de foot,maraicher,commerce de proximité…,épicerie,médecin,parking privée,tabac presse,coiffeur,centre ville,Terrain de jeux pour enfants,snack,centre de bien-être,burger…,Laverie,Toutes commodités</t>
  </si>
  <si>
    <t>05b05d49</t>
  </si>
  <si>
    <t>a8995497</t>
  </si>
  <si>
    <t>galerie::galerie_Images/80801355.Path.114050.jpg</t>
  </si>
  <si>
    <t>CSC511HT@</t>
  </si>
  <si>
    <t xml:space="preserve">Les Bougies de Cathy </t>
  </si>
  <si>
    <t>6156sR</t>
  </si>
  <si>
    <t>86ee30b9</t>
  </si>
  <si>
    <t>Villa Isis</t>
  </si>
  <si>
    <t>rue Frontin</t>
  </si>
  <si>
    <t>-21.257709, 55.465399</t>
  </si>
  <si>
    <t>https://billikers.com/fr/rentals/265984-villa-isis-piscine-randonnee-entre-deux-ile-de-la-reunion-a-la-reunion</t>
  </si>
  <si>
    <t>Villa de standing avec piscine chauffée en ardoise, pour 6/8 personnes (3 chambres doubles et un canapé-lit)
Villa entre mer et montagne avec Wifi, située dans un authentique village créole, vous proposant de nombreuses activités (notamment des randonnées).
La villa dispose d'un espace extérieur qui vous permet de passer d'agréables moments autour de la piscine avec barbecue.
Elle comprend également une cuisine américaine avec îlot central ouvert sur la salle à manger, un four, un micro-onde, plaque électrique, lave-vaisselle, réfrigérateur, machine à laver, ustensiles de cuisine, petits électroménagers (cafetière, grille-pain, bouilloire)…
Le salon est ouvert sur la terrasse avec une vue sur la piscine.
La villa se compose de :
- Au rez-de-chaussée,
deux chambres (avec lit double dans chacune)
une salle d’eau comprenant une douche à l’intérieur et une autre à l’extérieur et des sanitaires
- Au 1er étage,
une suite parentale avec une salle d’eau, des sanitaires et un balcon
un dressing (en haut des escaliers)
La villa dispose également d'un garage sécurisé pour un véhicule. Il est possible de garer un autre véhicule à l’intérieur (villa clôturée).
En hiver austral, la température de la piscine est de 22°C maximum (altitude : 300 mètres environ, piscine à débordement).
Les fêtes ne sont pas autorisées. La villa est équipée d'un détecteur de nuisances sonores (il mesure le niveau de décibels).
Les animaux ne sont pas admis. Le logement est non-fumeur.</t>
  </si>
  <si>
    <t>barbecue , climatisation , fer et planche à repasser , piscine , chauffage , jardin , TV , linge de maison , TV satellite , lave vaisselle , micro-ondes , four , terrasse , linge de toilette , piscine chauffée , lave-linge , cuisine équipée , jardin clôturé , parking sécurisé , tout équipé , Cafetière , garage , balcon , vue mer</t>
  </si>
  <si>
    <t>68c670f0</t>
  </si>
  <si>
    <t>78b30feb</t>
  </si>
  <si>
    <t>CSC380HT@</t>
  </si>
  <si>
    <t xml:space="preserve"> chemin du Champ de Foire Bourg Murat</t>
  </si>
  <si>
    <t>-21.202517, 55.581594</t>
  </si>
  <si>
    <t>0262591041</t>
  </si>
  <si>
    <t>0692088009</t>
  </si>
  <si>
    <t>Situé dans le village de la Plaine des Cafres sur la route principale qui mène vers le volcan, Clément propose 5 chambres d'hôtes tout confort. A proximité du volcan, des principaux sites et activités touristiques, des sentiers de randonnée et des commerces et stations essence.
Possibilité de repas en table d'hôte. Le repas comprend  le punch maison, l'entrée, le plat de résistance, le dessert, la boisson et le rhum arrangé. Plats créoles traditionnels et originaux à base de vanille, combavas. Demi-tarif pour les enfants de - 10 ans (repas).
Le petit déjeuner est servi de 7h30 à 8h30.</t>
  </si>
  <si>
    <t>salon , chauffage , jardin , TV , parking , espace de restauration , restauration , wifi gratuit</t>
  </si>
  <si>
    <t>Chèque,Chèques vacances,Espèces,Carte Bancaire,Lien UP2 PAY Crédit Agricole</t>
  </si>
  <si>
    <t>AlCl8009JW</t>
  </si>
  <si>
    <t>7a2c6e6e</t>
  </si>
  <si>
    <t>galerie::galerie_Images/c6011758.Path.064154.jpg</t>
  </si>
  <si>
    <t>Villa de Charme</t>
  </si>
  <si>
    <t>impasse Les Caps</t>
  </si>
  <si>
    <t>-21.375373, 55.595339</t>
  </si>
  <si>
    <t>eric.sotomayor25@gmail.com</t>
  </si>
  <si>
    <t>0692748841</t>
  </si>
  <si>
    <t>Grande maison en bois de plain pieds, décoration "voyage"
Très agréable</t>
  </si>
  <si>
    <t>Villa en bois dans un village privilégié
profitez de la grande terrasse et de la proximité du bassin de Manapany et de la balade vers ti sable(4 VTT sont à votre disposition avec antivol pour vous balader en toute sérénité dans le coin)</t>
  </si>
  <si>
    <t>Bassin de Manapany,sentier de grande randonnée</t>
  </si>
  <si>
    <t>ab648f42</t>
  </si>
  <si>
    <t>0ad6c188</t>
  </si>
  <si>
    <t>galerie::galerie_Files_/b20d8d35.Path.041017.webp</t>
  </si>
  <si>
    <t>CSC480HT@</t>
  </si>
  <si>
    <t>La tarification (le meublé de tourisme se loue uniquement à partir d'une semaine )  :
- Une semaine =&gt; 980 euros ;
- Deux semaines =&gt; 1750 euros ;
- Trois semaines =&gt; 2300 euros.</t>
  </si>
  <si>
    <t>44</t>
  </si>
  <si>
    <t>Impasse Gaston Doumergue</t>
  </si>
  <si>
    <t>0692040902</t>
  </si>
  <si>
    <t>BaGi0902h5</t>
  </si>
  <si>
    <t>f6970762</t>
  </si>
  <si>
    <t>L'Horizon Bleu</t>
  </si>
  <si>
    <t>228B</t>
  </si>
  <si>
    <t>rue Marcel Pagnol</t>
  </si>
  <si>
    <t>-21.371067, 55.680382</t>
  </si>
  <si>
    <t>sevlocationpro@gmail.com</t>
  </si>
  <si>
    <t>0692349820</t>
  </si>
  <si>
    <t>Maison sur Vincendo(sur la national),Facile d'accès.3 pièces conçu pour votre confort.Vous y trouverez 1 cuisine entièrement équipée,1 salle a manger,1 séjour comprenant 1 canapé pouvant accueillir 2 personnes,2 chambres climatisé avec lit 140+1 espace de travail,1 salle de bain avec douche à l'italienne.1 Balcon privative pour se détendre.
Emplacement privé et sécurisé par portail automatique pour 2 voitures .
Arrivée autonome grâce à une boîte à clé.
*** Le logement
Batiment Situé en hauteur , bien aéré et éclairé.
La maison dispose de 2 chambres climatisé avec lit double , dressing.
une salle de bain avec douche a l'italienne.
et un salon pouvant accueillir 2 personnes de plus grâce au canapé modulable .
tout est fourni , drap , serviettes de bain , torchon , café , Sucre , gel douche , shampooing.
vous disposez également d'un balcon privative pour vous détendre..
Et 2 places de parking privé dans la cour .
Arrivée autonome grâce à une boîte a clé.
*** Accès des voyageurs
Wifi gratuit
Arrivée autonome ( boite à clé sécurisée avec code )
Internet illimité ( FIBRE )
Bouquet Tv ( + de 125 chaînes)
Les linges de maisons tels que : draps , housse de couettes , serviettes de bain , torchons pour la cuisine sont fournis .</t>
  </si>
  <si>
    <t>terrasse , mobilier d'extérieur , grille-pain , Cafetière , bouilloire , four , frigo , cuisine équipée , chauffage , Lit parapluie sur demande , équipement bébé , netflix , TV , coffre-fort , fer et planche à repasser , linge de maison , linge de toilette , sèche-cheveux , parking , wifi , climatisation , vue mer , balcon , lave-linge , tout équipé</t>
  </si>
  <si>
    <t>site - lieu culturel,arrêt bus,Point chaud,transports en commun,pharmacie,commerces</t>
  </si>
  <si>
    <t>Carte Bancaire,airbnb,Virement,Espèces</t>
  </si>
  <si>
    <t>4b3513fa</t>
  </si>
  <si>
    <t>bbc1f2bf</t>
  </si>
  <si>
    <t>galerie::galerie_Files_/a3c5a71c.Path.062211.webp</t>
  </si>
  <si>
    <t>CSC491HT@</t>
  </si>
  <si>
    <t>Attention sous gestion conciergerie : "SEV LOCATION PRO" ne pas contacter le propriétaire
Coordonnées de la conciergerie : 06 92 34 98 20 // sevlocationpro@gmail.com</t>
  </si>
  <si>
    <t xml:space="preserve">Le Limousin </t>
  </si>
  <si>
    <t>9e51dd12</t>
  </si>
  <si>
    <t>Le Temblet</t>
  </si>
  <si>
    <t>-21.324957, 55.800079</t>
  </si>
  <si>
    <t>0262 37 03 99</t>
  </si>
  <si>
    <t>Des visites guidées sont proposées pour découvrir l'ensemble du processus de plantation, transformation, conditionnement de la vanille traditionnelle mais aussi découvrir la Vanille Bleue, une vanille révolutionnaire, développée et brevetée par Escale Bleue, avec la spécificité de pouvoir se manger entièrement (même la gousse !). 
Trouvable nulle part ailleurs, cette vanille d’exception a été primée à Bruxelles par un jury composé entièrement de chefs et a valu à Escale Bleue le statut étatique d’Entreprise du Patrimoine Vivant pour son savoir-faire rare et d’excellence. 
Dans la boutique, la vanille est disponible en gousses, en poudre, en extrait, ou entrant dans la composition de produits dérivés (condiments, thé, produits spa, etc…).
Boutique et visite guidée : du lundi au samedi, de 9h30 à 17h30.</t>
  </si>
  <si>
    <t>LeAi0399yL</t>
  </si>
  <si>
    <t>52ac2b3b</t>
  </si>
  <si>
    <t>galerie::galerie_Images/474045bd.Path.095733.jpg</t>
  </si>
  <si>
    <t>40 B</t>
  </si>
  <si>
    <t>-21.373284, 55.709652</t>
  </si>
  <si>
    <t>0692182194</t>
  </si>
  <si>
    <t>Propose des balades en vélos couchés avec des sentiers en bord de mer, urbains, volcaniques et en forêt. Propose des des animations sur mesure.
-Animation pour centre aéré et école.
-Organisation d'évènements à la carte pour entreprise.
-Animation de modélisme (RC voiture électrique).
-Activités de remise en forme avec le halfbike.</t>
  </si>
  <si>
    <t>Randonnées guidées et encadrées en vélos couchés.</t>
  </si>
  <si>
    <t>Sur Rendez - Vous</t>
  </si>
  <si>
    <t>sentier de randonnée,commerce alimentaire,restaurants,sites touristiques,tunnels de lave,littoral,sites - lieux culturels,hébergements</t>
  </si>
  <si>
    <t>Chèque,Espèces,Carte Bancaire,Chèques vacances,Virement,PassLoisirs,Chèques Peï (dispositif partenaire)</t>
  </si>
  <si>
    <t>BeMi4717Rj</t>
  </si>
  <si>
    <t>e19a33fa</t>
  </si>
  <si>
    <t>galerie::galerie_Images/0047a8f0.Path.062617.jpg</t>
  </si>
  <si>
    <t>La maison de la tresse et du terroir</t>
  </si>
  <si>
    <t>Route National 2 Le Braril</t>
  </si>
  <si>
    <t>-21.371051, 55.719104</t>
  </si>
  <si>
    <t>mttberceauduvacoa@gmail.com</t>
  </si>
  <si>
    <t>0262734519</t>
  </si>
  <si>
    <t>Boutique de produits d'artisanat, démonstration de tressage de vacoa en matinée et propose également des ateliers de tressage.</t>
  </si>
  <si>
    <t>Implantée en plein cœur du sud Sauvage, la Maison de la Tresse et du Terroir expose et vend divers produits tressés en feuilles de vacoa : sacs à dos traditionnels, sacs, vanities, porte-documents…</t>
  </si>
  <si>
    <t>Depuis le Sud, prendre la RN2 jusque Basse Vallée, l'établissement se trouve peu après l'Église de Basse Vallée.</t>
  </si>
  <si>
    <t>restaurants,pharmacie</t>
  </si>
  <si>
    <t>8445fa29</t>
  </si>
  <si>
    <t>294edb04</t>
  </si>
  <si>
    <t>13 h</t>
  </si>
  <si>
    <t xml:space="preserve"> Rue Leconte de Lisle</t>
  </si>
  <si>
    <t>-21.359471, 55.766748</t>
  </si>
  <si>
    <t>0262517635</t>
  </si>
  <si>
    <t>0692651983</t>
  </si>
  <si>
    <t>KJo1983ZW</t>
  </si>
  <si>
    <t>152c38c8</t>
  </si>
  <si>
    <t>BPRINT BY BARIL AND CO</t>
  </si>
  <si>
    <t>Chemin Départemental 46</t>
  </si>
  <si>
    <t>-21.262484, 55.464748</t>
  </si>
  <si>
    <t>bprintstudio@outlook.fr</t>
  </si>
  <si>
    <t>0693 86 82 71</t>
  </si>
  <si>
    <t>L'atelier Baril and Co propose des décorations alliant l'utile à l'agréable, en recyclant des barils pour en faire des objets uniques tels que des bars, comptoirs, meubles etc. Parfaits pour la maison ou pour des événements.</t>
  </si>
  <si>
    <t>Fabrications artisanales dans un esprit écoresponsable.</t>
  </si>
  <si>
    <t>Virement,Espèces,Paypal</t>
  </si>
  <si>
    <t>f19fc814</t>
  </si>
  <si>
    <t>3bf6ef07</t>
  </si>
  <si>
    <t>galerie::galerie_Images/db6b665b.Path.045805.png</t>
  </si>
  <si>
    <t xml:space="preserve">Le Baril de Poudre </t>
  </si>
  <si>
    <t>59 A</t>
  </si>
  <si>
    <t>0692260991</t>
  </si>
  <si>
    <t>https://www.lebarildepoudre.com/</t>
  </si>
  <si>
    <t>FoMa0991c9</t>
  </si>
  <si>
    <t>e0a431c4</t>
  </si>
  <si>
    <t>-21.325388, 55.800187</t>
  </si>
  <si>
    <t>0692647767</t>
  </si>
  <si>
    <t>Maître artisan confiturier proposant des confitures et sauces faites maison.</t>
  </si>
  <si>
    <t>PeFa7767pR</t>
  </si>
  <si>
    <t>1149d359</t>
  </si>
  <si>
    <t>CAZ GANI</t>
  </si>
  <si>
    <t>10 A</t>
  </si>
  <si>
    <t>impasse des Rosiers</t>
  </si>
  <si>
    <t>-21.209600, 55.553567</t>
  </si>
  <si>
    <t>ganifc974@hotmail.fr</t>
  </si>
  <si>
    <t>0692045850</t>
  </si>
  <si>
    <t>La CAZ GANI comporte deux chambres familiales. Dans chaque chambre, un lit double ainsi qu'un lit superposé seront à votre disposition. La maison dispose d'une salle de bain avec une douche italienne. Les toilettes sont séparées. Une salle à manger composé d'un coin cuisine pourra vous permettre de vous détendre.</t>
  </si>
  <si>
    <t>Située à la PLAINE DES CAFRES, la CAZ GANI est une case typiquement créole entièrement restaurée.</t>
  </si>
  <si>
    <t>Depuis SAINT-PIERRE, prendre la 4 voies, direction LE TAMPON. Ensuite, il faut se diriger vers LA PLAINE DES CAFRES en suivant la RN3. Lorsque vous êtes au 23ème kms, vous prenez la direction de BOIS-COURT. Vous passez la boulangerie, la charcuterie PAYET et vous prenez le chemin DEURVEILHER LES HAUTS (après le bar BEJODA). Ensuite, vous montez jusqu'au chemin des ALPES (à gauche) puis vous arrivez à l'impasse des ROSIERS.</t>
  </si>
  <si>
    <t>barbecue , fer et planche à repasser , chauffage , jardin , lave linge privatif , TV , lave linge collectif , linge de maison , parking , TV satellite , salon , espace de restauration , wifi gratuit , micro-ondes , sanitaires communs , douche , four , aire de jeux pour enfant , salle de bain commune , accès internet , terrasse , cuisine équipée , kitchenette équipée , bibliothéque , parking sécurisé , tout équipé , cour clôturée , sur réservation , frigo , salle à manger , cuisine extérieur , vue montagne , cuisine au bois , poil a bois , canal plus… , Cafetière</t>
  </si>
  <si>
    <t>sentier de randonnée,centre commercial,point de vue panoramique,commerce alimentaire,équitation,forêt,sites touristiques,arrêt bus,poste - boite aux lettres,transports en commun,commerces,station essence,station service,pharmacie,boulangerie,banque - guichet automatique,VTT,pâtisserie,restaurants,sentiers de randonnées,Restauration,Maison du Volcan,ferme équestre,centre médical,hébergements,centre équestre,route du volcan,Volcan le piton de la fournaise,sentier du piton des neiges,Centres équestres,route pour aller au volcan,Point chaud,stade de foot,maraicher,commerce de proximité…,épicerie,médecin,village du 23ème,tabac presse,coiffeur,Terrain de jeux pour enfants,village du grand bassin,Cabaret Pat'Jaune,snack,Point de vue du Belvédère de Bois court,Laverie</t>
  </si>
  <si>
    <t>3ab92c9a</t>
  </si>
  <si>
    <t>da0a0317</t>
  </si>
  <si>
    <t>galerie::galerie_Images/61549a2c.Path.080015.jpg</t>
  </si>
  <si>
    <t>CSC479HT@</t>
  </si>
  <si>
    <t>ATTENTION ! Les réservations se font à partir de deux nuits minimum.
La tarification : 
* Le weekend : du vendredi au dimanche =&gt; 300€/weekend sans le linge de lit
* La semaine : du lundi au jeudi =&gt; 100€ la nuit</t>
  </si>
  <si>
    <t xml:space="preserve">Le Crabe Sous la Varangue </t>
  </si>
  <si>
    <t>Gîtes de France,Esprit Parc</t>
  </si>
  <si>
    <t>-21.325806, 55.800217</t>
  </si>
  <si>
    <t>Trois chambres d’hôtes tout confort vous accueillent, dont : une double et une triple (accessible aux personnes à mobilité réduite) en rez-de-jardin, ainsi qu’une quadruple indépendante, idéale pour plus d’intimité. Chacune dispose de sanitaires privatifs et d’un accès à un espace commun chaleureux. Petits-déjeuners et repas faits maison sont servis sous la varangue ; les repas sont proposés sur réservation en table d’hôtes.</t>
  </si>
  <si>
    <t>Depuis le sud, prendre la RN2, dépasser Ravine Ango, au début du Tremblet, sur votre gauche, la chambre d'hôte est là</t>
  </si>
  <si>
    <t>jardin , parking , salle de bain privée , sanitaires privés , ventilateur</t>
  </si>
  <si>
    <t>315ebf45</t>
  </si>
  <si>
    <t>galerie::galerie_Images/026627bc.Path.060146.jpg</t>
  </si>
  <si>
    <t>IGESA LA PLAINE DES CAFRES</t>
  </si>
  <si>
    <t>route militaire - pk27</t>
  </si>
  <si>
    <t>-21.194448, 55.575662</t>
  </si>
  <si>
    <t>gdefosse@igesa.fr</t>
  </si>
  <si>
    <t>0693 64 14 88</t>
  </si>
  <si>
    <t>Etablissement composé de plusieurs bungalows, et maison mitoyennes. 
Un bungalow est accessible aux PMR.
Résidence réservée aux personnels des armées.
Ouvert toute l'année excepté du 23/06/2025 au 30/06/2025 et du 15/09/2025 au 29/09/2025</t>
  </si>
  <si>
    <t>Aux portes du volcan - Résidence militaire</t>
  </si>
  <si>
    <t>Plaine des cafres</t>
  </si>
  <si>
    <t>chauffage , lave linge collectif , parking , aire de jeux pour enfant , table de ping-pong , jardin clôturé , cour clôturée , vue montagne</t>
  </si>
  <si>
    <t>commerce alimentaire,transports en commun,sites - lieux culturels,station service,boulangerie,restaurants,Maison du Volcan,sentiers de randonnée,Musée,centre équestre</t>
  </si>
  <si>
    <t>cc50a92c,c50f8c69</t>
  </si>
  <si>
    <t>fb44dc13</t>
  </si>
  <si>
    <t>galerie::galerie_Images/635d88be.Path.115755.jpg</t>
  </si>
  <si>
    <t>CSC485HT@</t>
  </si>
  <si>
    <t>ATTENTION : Etablissement réservé aux militaires &gt; pas que... (NC)</t>
  </si>
  <si>
    <t xml:space="preserve"> Impasse Kerinval</t>
  </si>
  <si>
    <t>-21.237851, 55.506014</t>
  </si>
  <si>
    <t>0692437914</t>
  </si>
  <si>
    <t>C'est un bungalow de charme qui dispose d'un spa et d'un sauna privatif.</t>
  </si>
  <si>
    <t>Établissement situé dans les Hauts du Tampon (Pont d'Yves).</t>
  </si>
  <si>
    <t>barbecue , climatisation , fer et planche à repasser , jacuzzi , chauffage , lave linge privatif , salle de bain privée , TV , linge de maison , parking , salon , espace de restauration , wifi gratuit , espace spa - bien être , micro-ondes , sanitaires privés , douche , linge de toilette , Cuisine de produits frais locaux , accès internet , serviettes. , sur réservation , frigo , varangue , accessible aux personnes à mobilité réduite , SPA , Cafetière</t>
  </si>
  <si>
    <t>sentier de randonnée,riviere,site - lieu culturel,point de vue panoramique,commerce alimentaire,équitation,forêt,arrêt bus,poste - boite aux lettres,transports en commun,station essence,station service,Centre - Ville,banque - guichet automatique,piscine,route des laves,ferme équestre,hébergements,Point chaud,stade de foot,épicerie,boulangerie,tabac presse,coiffeur,médecin,Terrain de jeux pour enfants,pharmacie,village du 23ème,village du grand bassin,Cabaret Pat'Jaune,parc notre dame de la paix,Point de vue du Belvédère de Bois court,centre de bien-être</t>
  </si>
  <si>
    <t>créole,anglais,Français</t>
  </si>
  <si>
    <t>LoGi7914gY</t>
  </si>
  <si>
    <t>691187ee</t>
  </si>
  <si>
    <t>CSC413HT@</t>
  </si>
  <si>
    <t>Pour toute réservation, un dépôt de caution de 100 euros est demandé.</t>
  </si>
  <si>
    <t>Sentier de la Rivière des Remparts Roche Plate</t>
  </si>
  <si>
    <t>0262591394</t>
  </si>
  <si>
    <t>0692683532</t>
  </si>
  <si>
    <t>MoMa35321Z</t>
  </si>
  <si>
    <t>7c0b0c52</t>
  </si>
  <si>
    <t>Tarification : 20€ par adulte / 20€ par enfant</t>
  </si>
  <si>
    <t xml:space="preserve">L'Auberge des Cratères </t>
  </si>
  <si>
    <t>-21.209799, 55.591175</t>
  </si>
  <si>
    <t>0262082579</t>
  </si>
  <si>
    <t>0692909342</t>
  </si>
  <si>
    <t>6 dortoirs de 4 (1 personne min) et 4 dortoirs de 6 (1 personne min et 3 personne max). L'auberge dispose d'un restaurant.</t>
  </si>
  <si>
    <t>chauffage , jardin , parking autocar , parking , salle de réunion - séminaire , TV</t>
  </si>
  <si>
    <t>LeJe0836a9</t>
  </si>
  <si>
    <t>a85305d7</t>
  </si>
  <si>
    <t xml:space="preserve">Les Korrigans </t>
  </si>
  <si>
    <t>0262870720</t>
  </si>
  <si>
    <t>MoAu07208l</t>
  </si>
  <si>
    <t>68ee05eb</t>
  </si>
  <si>
    <t>jean defos durau PK 24</t>
  </si>
  <si>
    <t>-21.223359, 55.557194</t>
  </si>
  <si>
    <t>lebelvedere.reception@gmail.com</t>
  </si>
  <si>
    <t>0262 39 38 65</t>
  </si>
  <si>
    <t>Restaurant proposant de la cuisine métropolitaine et créole</t>
  </si>
  <si>
    <t>A la Plaine des Cafres, au 23e km après l'Église continuer sur la RN3, le restaurant se trouvera peu après sur la gauche.</t>
  </si>
  <si>
    <t>PaPA0135PM</t>
  </si>
  <si>
    <t>a0c94a93</t>
  </si>
  <si>
    <t>galerie::galerie_Images/f05a19af.Path.103859.jpg</t>
  </si>
  <si>
    <t xml:space="preserve"> Rue Jules Bertaut</t>
  </si>
  <si>
    <t>-21.280419, 55.516875</t>
  </si>
  <si>
    <t>wardah27@outlook.fr</t>
  </si>
  <si>
    <t>0262 27 96 57</t>
  </si>
  <si>
    <t>0692228822</t>
  </si>
  <si>
    <t>Le restaurant Bar A 4 propose des spécialités indiennes ( poulet tandoori, briani poulet en sauce) des sandwichs, des salades, des samoussas, des bouchons faits maison, des pâtisseries indiennes et orientales</t>
  </si>
  <si>
    <t>En plein centre-ville du Tampon, ce petit restaurant qui ne paie pourtant pas de mine propose une cuisine indienne traditionnelle de qualité. La décoration, typique des boutiques créoles « lontan » (d'antan), vous fera voyager au cœur de la culture musulmane. Les plats y sont préparés avec soin par un couple charmant</t>
  </si>
  <si>
    <t>commerce alimentaire,parking public,site - lieu culturel,banque - guichet automatique</t>
  </si>
  <si>
    <t>Da9657fs</t>
  </si>
  <si>
    <t>1b57244e</t>
  </si>
  <si>
    <t>galerie::galerie_Images/254060db.Path.054931.jpg</t>
  </si>
  <si>
    <t xml:space="preserve">L'Auberge du Volcan </t>
  </si>
  <si>
    <t>194</t>
  </si>
  <si>
    <t xml:space="preserve"> Rue Maurice et Katia Krafft</t>
  </si>
  <si>
    <t>0262 27 50 91</t>
  </si>
  <si>
    <t>https://aubergeduvolcan.re/</t>
  </si>
  <si>
    <t>A 100 m de la Maison du Volcan, l’Auberge du Volcan, chaleureuse dans son style un peu désuet, prépare une cuisine créole et métro à savourer après une longue marche au volcan. C'est l'un des établissements les plus anciens de Bourg Murat.</t>
  </si>
  <si>
    <t>sentier de randonnée,équitation,parking public,point de vue panoramique,sentier de grande randonnée,centre commercial,arrêt bus,station essence,boulangerie,pâtisserie</t>
  </si>
  <si>
    <t>OlSu5091GH</t>
  </si>
  <si>
    <t>6a7e8782</t>
  </si>
  <si>
    <t>galerie::galerie_Images/c7da7402.Path.102514.jpg</t>
  </si>
  <si>
    <t>Happy Time Run</t>
  </si>
  <si>
    <t>Restaurant ; Bistrot</t>
  </si>
  <si>
    <t>178</t>
  </si>
  <si>
    <t>-21.277294, 55.521529</t>
  </si>
  <si>
    <t>happytime.run@gmail.com</t>
  </si>
  <si>
    <t>0692 39 42 13</t>
  </si>
  <si>
    <t>HAPPY TIME RUN est un restaurant qui vous accueille du petit-déjeuner au dîner associé à un espace coworking. Open space et salle de réunion sont à louer à l'étage!</t>
  </si>
  <si>
    <t>Le concept mis en avant par les gérants mêle simplicité et générosité en combinant des produits sains, frais et locaux à des prix abordables.
Le fait maison reste l'élément central du restaurant, d'où un fonctionnement à l'ardoise qui permet de proposer des préparations variées et de saison.
Happy Time.Run s'engage dans le développement durable et choisit, dans la mesure du possible, des matériaux et des procédés permettant de limiter son impact environnemental : utilisation de matériaux recyclables, choix des circuits courts pour les approvisionnements, tri des déchets, ...</t>
  </si>
  <si>
    <t>Sur le boulevard Lycée Roland Garros, aller vers la Poste, au rond pt de la Poste prendre à droite en descendant, c'est juste la première bâtisse, à gauche (çà fait l'angle), visible de la rue :)</t>
  </si>
  <si>
    <t>coworking , climatisation , espace de restauration , restauration , salle de réunion - séminaire , sanitaires communs , wifi , accès internet , parking sécurisé , Propose des snacks , salon climatisé , varangue</t>
  </si>
  <si>
    <t>commerce alimentaire,centre commercial,station essence,Centre - Ville,pharmacie,transports en commun,commerces,banque - guichet automatique,médecin,piscine municipale,piscine,arrêt bus,poste - boite aux lettres,jardin,Gare routière,hébergements,stade de foot,restaurants</t>
  </si>
  <si>
    <t>a19794bf</t>
  </si>
  <si>
    <t>78fca6cb</t>
  </si>
  <si>
    <t>galerie::galerie_Images/78e1e6e6.Path.031423.jpg</t>
  </si>
  <si>
    <t>Tarifs co working en photos dans l'album de l'établissement, merci</t>
  </si>
  <si>
    <t>Pizza d'Éric</t>
  </si>
  <si>
    <t>-21.214826, 55.589834</t>
  </si>
  <si>
    <t>eric.le.forgeron@orange.fr</t>
  </si>
  <si>
    <t>https://www.pizzaderic.com/</t>
  </si>
  <si>
    <t>La Pizza D'Eric existe depuis 10 ans spécialisé dans la pizza artisanales. Cuite au feu de bois, en suivant les recettes traditionnelles italiennes. Nous travaillons avec des ingrédients à 88% frais et 44% produits locaux, nos fournisseurs sont le charcutier du coin, les agriculteurs de notre région,  nous vous promettons une
saveur unique</t>
  </si>
  <si>
    <t>pizza au feu de bois</t>
  </si>
  <si>
    <t>4084c7f0</t>
  </si>
  <si>
    <t xml:space="preserve">L'Impériale Pirun Pizzeria </t>
  </si>
  <si>
    <t>-21.280265, 55.513200</t>
  </si>
  <si>
    <t>judelmas12@gmail.com</t>
  </si>
  <si>
    <t>0262575527</t>
  </si>
  <si>
    <t>0693940380</t>
  </si>
  <si>
    <t>sentier de randonnée,commerce alimentaire,équitation,parking public,site - lieu culturel,tennis,centre commercial,Centre - Ville,arrêt bus,station service,boulangerie,banque - guichet automatique,Laverie,centre ville,Gare routière</t>
  </si>
  <si>
    <t>DeJu0380BQ</t>
  </si>
  <si>
    <t>110a0c75</t>
  </si>
  <si>
    <t>galerie::galerie_Images/58b3e6eb.Path.075606.jpg</t>
  </si>
  <si>
    <t>-21.204651, 55.582893</t>
  </si>
  <si>
    <t>0262 44 63 30</t>
  </si>
  <si>
    <t>0692670329</t>
  </si>
  <si>
    <t>Depuis le Sud, arrivé au Tampon, continuer sur la RN3 jusqu'à Bourg Murat, à la Plaine des Cafres, au rond-point de la Cité du Volcan, prendre à droite et continuer sur la rue Alfred Picard, le restaurant se trouvera à la fin de la rue sur la gauche peu avant un rond-point.</t>
  </si>
  <si>
    <t>sentier de randonnée,sentier de grande randonnée,parking public,site - lieu culturel,commerce alimentaire,Maison du Volcan</t>
  </si>
  <si>
    <t>NoMa03294W</t>
  </si>
  <si>
    <t>0e40fb88</t>
  </si>
  <si>
    <t>galerie::galerie_Images/c5b5d681.Path.050734.jpg</t>
  </si>
  <si>
    <t>-21.286741, 55.522827</t>
  </si>
  <si>
    <t>shirley-lovely@hotmail.fr</t>
  </si>
  <si>
    <t>0262 91 21 37</t>
  </si>
  <si>
    <t>Restaurant familial proposant de la cuisine traditionnelle ainsi que des pizzas et des crêpes.</t>
  </si>
  <si>
    <t>Depuis le Sud, au rond-point de la tour des Azalées, prendre à droite vers le centre-ville. Au prochain rond-point, prendre à droite et continuer, le restaurant se trouvera juste en face après le dernier rond-point.</t>
  </si>
  <si>
    <t>parking public,arrêt bus,station essence,Centre - Ville,pharmacie,boulangerie,pâtisserie,médecin,centre médical</t>
  </si>
  <si>
    <t>Carte Bancaire,Espèces,Eurocard,Tickets restaurant</t>
  </si>
  <si>
    <t>LaMa2137gR</t>
  </si>
  <si>
    <t>913846f7</t>
  </si>
  <si>
    <t>galerie::galerie_Images/6a112e39.Path.044106.jpg</t>
  </si>
  <si>
    <t>-21.280121, 55.513453</t>
  </si>
  <si>
    <t>qichao.wu2001@gmail.com</t>
  </si>
  <si>
    <t>0262576796</t>
  </si>
  <si>
    <t>0692757724</t>
  </si>
  <si>
    <t>Cuisine chinoise à emporter ou sur place.</t>
  </si>
  <si>
    <t>Depuis le Sud, arrivé au Tampon, au rond-point de la tour des Azalées, prendre la 2e sortie et continuer tout droit, arrivé au stop,  prendre à droite et monter la rue jusque la gare routière, le restaurant se trouvera sur la droite.</t>
  </si>
  <si>
    <t>centre commercial,parking public,commerces,Gare routière</t>
  </si>
  <si>
    <t>Ha5L</t>
  </si>
  <si>
    <t>8ffd45b7</t>
  </si>
  <si>
    <t>galerie::galerie_Images/1eb78041.Path.105841.jpg</t>
  </si>
  <si>
    <t>Prevel Sculpteur</t>
  </si>
  <si>
    <t>-21.242188, 55.470622</t>
  </si>
  <si>
    <t>0692097358</t>
  </si>
  <si>
    <t>sculteur , artiste plasticien</t>
  </si>
  <si>
    <t>PrDi7358TR</t>
  </si>
  <si>
    <t>4c81bbe2</t>
  </si>
  <si>
    <t>galerie::galerie_Images/dcc838c1.Path.072559.jpg</t>
  </si>
  <si>
    <t>Tropikalya</t>
  </si>
  <si>
    <t>Mauvais code postale !</t>
  </si>
  <si>
    <t>close_207</t>
  </si>
  <si>
    <t>mail envoyé pour annoncer la fermeture depuis janvier 2022 mais déclarations manquantes depuis janvier 2021 et dernière période de 2019 non reversée / courrier fermeture ok</t>
  </si>
  <si>
    <t>19</t>
  </si>
  <si>
    <t>chemin Dijoux</t>
  </si>
  <si>
    <t>-21.241346, 55.468829</t>
  </si>
  <si>
    <t>0692773884</t>
  </si>
  <si>
    <t>DoMa3884ZM</t>
  </si>
  <si>
    <t>400f87f2</t>
  </si>
  <si>
    <t>galerie::galerie_Images/eff40171.Path.044814.jpg</t>
  </si>
  <si>
    <t>Il dispose de 9 chambres dont 2 accessibles aux PMR et accueille ses hôtes dans une atmosphère intime et chaleureuse. Appartient au Club de l'Hôtellerie créole indépendante et familiale.
Après des heures de marche, il est agréable de retrouver la convivialité d'un repas créole ou métropolitain dans le restaurant.</t>
  </si>
  <si>
    <t>chauffage , espace de restauration , parking , téléphone , TV</t>
  </si>
  <si>
    <t>07a05df4</t>
  </si>
  <si>
    <t>Mme OLLIVIER Suzanne est décédé en 2023 &gt; c'est Patricia OLLIVIER qui a répondu au mail TDS depuis !</t>
  </si>
  <si>
    <t>Paintball de Saint-Joseph</t>
  </si>
  <si>
    <t>Chemin des cannes</t>
  </si>
  <si>
    <t>-21.370138, 55.636623</t>
  </si>
  <si>
    <t>0692361277</t>
  </si>
  <si>
    <t>https://www.paintballclubsaintjoseph.fr/</t>
  </si>
  <si>
    <t>Sur près de 4000m2 dans un grand verger aménagé nettoyé et sécurisé, possibilité d'organiser des parties de Paintball, tout le matériél est fourni sur place.
durée ent e2h et 2h30
Enfant moins de 12 ans : lanceurs et billes enfants
Enfant entre 12 et 18 ans autorisation parentale demandée pour utilisation du matériel adulte
Adultes au delà de 18 ans, matériel adulte 
Tarifs : 
enfants de moins de 12 ans : 20 euros
adultes : 35euros
Uniquement sur réservation et à partir de 10 personnes.
Appeler pour infos pour des anniversaires ou EVJG ou EVJF</t>
  </si>
  <si>
    <t>Des vergers de letchis et longanis pour jouer au Paintball entre amis, en familles, sur des parties scénarisées par l'Association</t>
  </si>
  <si>
    <t>RN2, déviation de st jo, au bout, stop à gauche (Jean Albany), autre stop, à droite chemin des prunes, puis stop, tout droit rue des oignons. En face un peu sur la gauche, chemin des cannes, faire 200m entrée sur la droite</t>
  </si>
  <si>
    <t>barbecue , jardin , matériel pour l'activité , sanitaires privés</t>
  </si>
  <si>
    <t>riviere,commerce alimentaire,forêt,transports en commun,centre ville de Saint-Joseph,sentiers de randonnées</t>
  </si>
  <si>
    <t>LePa1277UU</t>
  </si>
  <si>
    <t>ce34ce5d</t>
  </si>
  <si>
    <t>galerie::galerie_Images/2eb59cd9.Path.120315.png</t>
  </si>
  <si>
    <t>Il faut appeler sur l'un des deux numéros absolument car c'est uniquement sur réservation et à partir de 10 personnes ! 
ce sont deux frères passionnés, sur leur terrain familial, 
ce qui est bien c'est que ce n'est pas loin du tout du centre ville de St Jo :)</t>
  </si>
  <si>
    <t>-21.250232, 55.468998</t>
  </si>
  <si>
    <t>studiomemoiredsens@gmail.com</t>
  </si>
  <si>
    <t>0693026462</t>
  </si>
  <si>
    <t>TuAn6462nS</t>
  </si>
  <si>
    <t>ef61b5b3</t>
  </si>
  <si>
    <t>galerie::galerie_Images/21d63d04.Path.091303.jpg</t>
  </si>
  <si>
    <t>Côté Sud Sauvage</t>
  </si>
  <si>
    <t>209</t>
  </si>
  <si>
    <t>rue Leconte DE LISLE</t>
  </si>
  <si>
    <t>-21.368701, 55.622760</t>
  </si>
  <si>
    <t>vero.eberlin@gmail.com</t>
  </si>
  <si>
    <t>0693925301</t>
  </si>
  <si>
    <t>La maison principale comprend :
- 1 chambre double avec lit en 140 + dressing ;
- 1 chambre double avec un lit en 160 + dressing ;
- 1 salle de bain avec douche italienne, lavabo 2 vasques ;
- 1 suite parentale avec un lit en 160, dressing et sa salle de bain avec douche italienne attenante, lavabo 2 vasques et toilettes ; 
- Cuisine entièrement équipée et aménagée ;
- Table repas ;
- Salon avec télévision et abonnement numérique ;
- Le tout climatisé et moustiquaires aux fenêtres.</t>
  </si>
  <si>
    <t>Belle maison créole entièrement rénovée et équipée avec goût. Vue sur mer et piscine sont au rendez-vous.</t>
  </si>
  <si>
    <t>Côté Sud Sauvage se situe sur la route du Sud Sauvage à 150 m d’altitude :
- à 2 minutes de l’axe SAINT-PHILIPPE/SAINT-PIERRE ;
- à 20 minutes de SAINT-PIERRE ;
- à 15 minutes de la magnifique plage de Grand Anse ;
- à 30 minutes de la Rivière Langevin et de sa cascade Grand Galet.</t>
  </si>
  <si>
    <t>2b4f2b7d</t>
  </si>
  <si>
    <t>6a972fe8</t>
  </si>
  <si>
    <t>galerie::galerie_Images/f0878eaf.Path.090501.jpg</t>
  </si>
  <si>
    <t>CSC482HT@</t>
  </si>
  <si>
    <t>Les tarifs suivants sont à prendre en compte selon la période concernée :
- Du 22 janvier 2022 au 08 juillet 2022, la nuit est à 250 euros pour 8 personnes (au maximum) ; 
- Du 08 juillet 2022 au 19 décembre 2022, la nuit est à 280 euros pour 8 personnes (au maximum) ; 
- Du 19 décembre 2022 au 1er janvier 2023, le tarif est à 300 euros par nuit pour 8 personnes (au maximum).</t>
  </si>
  <si>
    <t xml:space="preserve">Le Chalet Kreol </t>
  </si>
  <si>
    <t xml:space="preserve"> Impasse Jean Moulin</t>
  </si>
  <si>
    <t>-21.382851, 55.611684</t>
  </si>
  <si>
    <t>0693043797</t>
  </si>
  <si>
    <t>Doté d'un jardin et d'une terrasse, Le Chalet Kréol est situé à Saint-Joseph, à 6 km de La Marine Langevin, à 11 km de la Maison du Curcuma et à 12 km de la cascade de Trou noir. Cet hébergement climatisé se trouve à 1,1 km de la plage de Sable Noir. Vous bénéficierez d'un parking privé sur place et d'une connexion Wi-Fi gratuite.
Cette maison de vacances comprend 2 chambres, une télévision par câble à écran plat, un lave-linge et une salle de bains pourvue d'une douche. Sa cuisine est équipée d'un micro-ondes et d'un réfrigérateur. Les serviettes et le linge de lit sont fournis.
Vous pourrez profiter d'un spa.
La cascade de Grand Galet se trouve à 14 km du Chalet Kréol.</t>
  </si>
  <si>
    <t>climatisation , jardin , salle de bain privée , TV , wifi , wifi gratuit</t>
  </si>
  <si>
    <t>fGi37974k</t>
  </si>
  <si>
    <t>a7518f06</t>
  </si>
  <si>
    <t>galerie::galerie_Images/c8157f1d.Path.052943.jpg</t>
  </si>
  <si>
    <t>-21.311049, 55.801311</t>
  </si>
  <si>
    <t>kreolivanartisanat@gmail.com</t>
  </si>
  <si>
    <t>0692448220</t>
  </si>
  <si>
    <t>RoSy8220aP</t>
  </si>
  <si>
    <t>a65b22c2</t>
  </si>
  <si>
    <t>galerie::galerie_Images/24d86dee.Path.074634.jpg</t>
  </si>
  <si>
    <t>Villa Latanier</t>
  </si>
  <si>
    <t>53B</t>
  </si>
  <si>
    <t>rue du puits</t>
  </si>
  <si>
    <t>-21.383204, 55.653635</t>
  </si>
  <si>
    <t>annieclaudepayet@outlook.fr</t>
  </si>
  <si>
    <t>0692372477</t>
  </si>
  <si>
    <t>La villa Latanier se situe à Saint Joseph près de la rivière Langevin et des cascades de Grand Galets. 
La villa dispose:
 de 4 grandes chambres climatisées,
 d'une salle d'eau avec WC et d'une salle de bain 🛁avec WC séparée 
 de deux cuisines toutes équipées et
 d'une piscine 🏊‍♂️sécurisée pour une capacité d'accueil de 16personnes maximum🙂 (12 adultes et 4 enfants)
🌺Située dans une impasse calme et proche de toutes commodités. 
🌺Possibilité de garer plusieurs voitures 
❗La musique 🎶forte  et les soirées bruyantes ne sont pas autorisées ❗
Pour toute information 💁complémentaire et pour vos réservations 0692 37 24 77</t>
  </si>
  <si>
    <t>Grande Villa sur st joseph pour 12 personnes avec grande piscine</t>
  </si>
  <si>
    <t>En direction de st pierre vers st joseph, dépassez la balance Langevin, prenez à droite la deuxième route en descendant, c'est la rue du puits, la maison est au fond</t>
  </si>
  <si>
    <t>Tout équipé, wifi , barbecue , climatisation , piscine , jardin , lave linge privatif , salle de bain privée , TV , ventilateur , linge de maison , parking , salon , douche</t>
  </si>
  <si>
    <t>sentier de randonnée,sentier de grande randonnée,riviere,centre commercial,site - lieu culturel,pêche,sites touristiques,Bassin de Manapany,arrêt bus,jardin,transports en commun,commerces,sites - lieux culturels,station essence,station service,Centre - Ville,centre ville de Saint-Joseph,restaurants,sentiers de randonnées,sentiers de randonnée,hébergements</t>
  </si>
  <si>
    <t>be581eda</t>
  </si>
  <si>
    <t>39ccbdbb</t>
  </si>
  <si>
    <t>CSC447HT@</t>
  </si>
  <si>
    <t>Apiculture Reunion</t>
  </si>
  <si>
    <t>Chemin Chateau d'eau</t>
  </si>
  <si>
    <t>-21.234121, 55.472344</t>
  </si>
  <si>
    <t>apiculturereunion@gmail.com</t>
  </si>
  <si>
    <t>06 92 60 64 04</t>
  </si>
  <si>
    <t>https://www.apiculture-reunion.com/</t>
  </si>
  <si>
    <t>visite apiculture, pantalon et manche longue requis
Notre formation apicole couvre les connaissances de base nécessaires à la pratique de l'apiculture, telles que les soins aux colonies d'abeilles.
Le tronc commun est essentiel pour donner une base solide à tous les participants, peu importe leur niveau de connaissances préalables.
Propose également après le tronc commun des modules complémentaire de formation gratuit dans un cadre associatif pour ceux qui souhaitent poursuivre et se spécialiser dans le domaine de l'apiculture
Nos compléments de formation permettent à chaque participant de personnaliser leur formation en fonction de leurs intérêts et de leurs objectifs.
En plus de la formation tronc commun « théorique et pratique », nous offrons également la possibilité aux participants de mettre en pratique leurs connaissances sur notre rucher participatif basé sur l’Entre-deux. Cela leur permet de vivre une expérience concrète dans le monde de l'apiculture et de développer leurs compétences en travaillant avec des colonies d'abeilles réelles et cela en trinôme. Cette expérience pratique renforce les connaissances acquises lors de la formation tronc commun et donne aux participants une compréhension complète de ce qu'implique la pratique de l'apiculture.
Tarif : 180€ TTC  pour 2 jours, par personne, chouquette et café le matin</t>
  </si>
  <si>
    <t>Stage apicole- Hoarau Henri Claude</t>
  </si>
  <si>
    <t>Village de l'Entre-Deux</t>
  </si>
  <si>
    <t>matériel pour l'activité , sur réservation , visites pédagogiques , ateliers , vue montagne , jardin arboré , grand espace</t>
  </si>
  <si>
    <t>site - lieu culturel,pharmacie,Point chaud,arrêt bus</t>
  </si>
  <si>
    <t>PayE</t>
  </si>
  <si>
    <t>0ee54a57</t>
  </si>
  <si>
    <t>galerie::galerie_Images/9f20a1f2.Path.060421.jpg</t>
  </si>
  <si>
    <t>Rue Edmond Albius,</t>
  </si>
  <si>
    <t>-21.353038, 55.613132</t>
  </si>
  <si>
    <t>De la plantation à la récolte, en passant par la transformation en aliment prêt à être consommé, toutes les étapes seront abordées. Canne à sucre, ananas, bourbon pointu, brèdes divers, agrumes, curcuma ou encore arrow-root, les visiteurs se retrouveront plongés dans la ruralité réunionnaise.
Mais Didier n’est pas seulement un agriculteur passionné désireux de valoriser le patrimoine agricole local ; il fait partie de ceux qui ne souhaitent pas voir s’éteindre l’une des richesses de l’ile : le vétiver. Tous les lundis et mercredis, il propose d’ailleurs une visite de son exploitation davantage orientée vers l’univers de cette graminée en y intégrant un atelier participatif. De la racine à la feuille, le vétiver dévoilera tous ses secrets !
« Conteur moderne », Didier invite donc les voyageurs à découvrir ou à redécouvrir aussi bien la richesse et la diversité du Sud Sauvage que la splendeur de son terroir. Une richesse de curiosités pour une pluralité de connaissances.
Visite uniquement le mercredi à 14h
Possibilité de réserver sur citybreak</t>
  </si>
  <si>
    <t>parking public , sanitaires communs , wifi</t>
  </si>
  <si>
    <t>c8d97a84</t>
  </si>
  <si>
    <t>galerie::galerie_Images/17dfc5b3.Path.060358.jpg</t>
  </si>
  <si>
    <t>Pour la vente de produits à la boutique, la facturation se fait par l'Association Tisseurs Peï</t>
  </si>
  <si>
    <t>39</t>
  </si>
  <si>
    <t>-21.376536, 55.595902</t>
  </si>
  <si>
    <t>0692300577</t>
  </si>
  <si>
    <t>BaJe0577SR</t>
  </si>
  <si>
    <t>2141a61a</t>
  </si>
  <si>
    <t>galerie::galerie_Images/ae6ce11c.Path.060314.jpg</t>
  </si>
  <si>
    <t xml:space="preserve"> Chemin des Pourpiers</t>
  </si>
  <si>
    <t>-21.333585, 55.604072</t>
  </si>
  <si>
    <t>0692068575</t>
  </si>
  <si>
    <t>parking , TV , lave linge collectif , wifi , cuisine , wifi gratuit , accès internet</t>
  </si>
  <si>
    <t>FoMé85754t</t>
  </si>
  <si>
    <t>2594a32c</t>
  </si>
  <si>
    <t>galerie::galerie_Files_/f923bc89.Path.111353.webp</t>
  </si>
  <si>
    <t>sentier de la Rivière des remparts</t>
  </si>
  <si>
    <t>0692 68 35 32</t>
  </si>
  <si>
    <t>Dans le petit village "lontan", accessible uniquement à pied (depuis le nez de boeuf au volcan), à proximité de beaux bassins et d'un site de pêche de truites sauvages, le gîte de Roche-Plate-Rivière des Remparts (à ne pas confondre avec Roche Plate-Mafate) dispose d’un bungalow de 16 personnes (2 chambres de 8 personnes) et un bungalow de 15 dont 3 chambres de 2 personnes, une de 3 personnes, une mezzanine de 6 places.
Jacqueline propose une cuisine authentique au feu de bois : Choca bleu, boucané maison, achard de papaye, jus de fruit maison, gâteaux, fruits de saison et punch maison. Crêpes au petit déjeuner.</t>
  </si>
  <si>
    <t>58d1da21</t>
  </si>
  <si>
    <t>galerie::galerie_Images/3cd48932.Path.044454.jpg</t>
  </si>
  <si>
    <t>Lodge Bel Air</t>
  </si>
  <si>
    <t>Impasse Bernard</t>
  </si>
  <si>
    <t>-21.199763, 55.543271</t>
  </si>
  <si>
    <t>wendygangnant@gmail.com</t>
  </si>
  <si>
    <t>0692 77 94 94</t>
  </si>
  <si>
    <t>Le lodge de Bel Air à 2 propositions de chambre : 
- 1 Chambre avec salle de bain et cuisine 
- 1 Chambre avec juste accès à la salle de bain</t>
  </si>
  <si>
    <t>Ce cottage offre tout le confort nécessaire pour une escapade totale déconnection. Il se situe dans le village de la Plaine-des-Cafres, à environ 1500m d'altitude.</t>
  </si>
  <si>
    <t>Prendre la RN3, direction bois court, après la pizzeria, prendre l'impasse bernard sur la droite
Situé dans une impasse, facile d'accès et à une minute de l'horloge hydraulique de Boiscourt et du départ de la randonnée mythique de Grand Bassin. toutes les pâtisseries, épiceries, à moins de 2 minutes. Il y a même une pizzeria où vous pouvez aller à pied récupérer vos pizzas (moins de 5 minutes)
En savoir plus</t>
  </si>
  <si>
    <t>sentier de randonnée,sentier de grande randonnée,point de vue panoramique,jardin,restaurants,équitation,sentiers de randonnées,sites touristiques,forêt,sentiers de randonnée,randonnées,Sentier de randonnée,sites - lieux culturels,hébergements,Musée,Maison du Volcan,Centres équestres,route pour aller au volcan,Point chaud,village du 23ème,village du grand bassin,Point de vue du Belvédère de Bois court,ferme équestre,centre équestre</t>
  </si>
  <si>
    <t>25b318ee</t>
  </si>
  <si>
    <t>daa75eaf</t>
  </si>
  <si>
    <t>galerie::galerie_Images/bcc5627f.Path.035800.jpg</t>
  </si>
  <si>
    <t>CSC447HR@</t>
  </si>
  <si>
    <t>Insta existant (lien bug au moment de la saisie)
Site internet en cours de création
Pt GPS à confirmer 
Tarifs : 
Haute saison (du 8 juillet au 15 août et du 1er oct au 22 janvier): 240euros
Concernant la remise des clés, possibilité de d'échanger sur les horaires d'arrivée
Prévoir visite dès le mois d'avril</t>
  </si>
  <si>
    <t>Souvenirs</t>
  </si>
  <si>
    <t>rue du docteur ignace hoarau</t>
  </si>
  <si>
    <t>-21.282743, 55.503322</t>
  </si>
  <si>
    <t>Au rez de chaussée d'une grande maison dans un jardin créole à la sortie du village.</t>
  </si>
  <si>
    <t>Atelier de confection de bijoux en vacoa</t>
  </si>
  <si>
    <t>route dgauche stationner devant pied dbwa</t>
  </si>
  <si>
    <t>climatisation , jardin , salon</t>
  </si>
  <si>
    <t>sentier de randonnée,riviere,site - lieu culturel</t>
  </si>
  <si>
    <t>bd459528</t>
  </si>
  <si>
    <t>0dfd241c</t>
  </si>
  <si>
    <t>Lez arts d'eco</t>
  </si>
  <si>
    <t>impasse adolphe thiers</t>
  </si>
  <si>
    <t>-21.282661, 55.514238</t>
  </si>
  <si>
    <t>greglefevre@live.fr</t>
  </si>
  <si>
    <t>0692 43 20 57</t>
  </si>
  <si>
    <t>Créations engagées où se mêlent écologie, artisanat local, design et recyclage.</t>
  </si>
  <si>
    <t>3c219050</t>
  </si>
  <si>
    <t>f828147a</t>
  </si>
  <si>
    <t>galerie::galerie_Images/82e6acdc.Path.063108.png</t>
  </si>
  <si>
    <t>Broderie de Paul et Virginie</t>
  </si>
  <si>
    <t>20</t>
  </si>
  <si>
    <t>impasse edgar degas</t>
  </si>
  <si>
    <t>-21.249134, 55.520964</t>
  </si>
  <si>
    <t>leboncarole.re@gmail.com</t>
  </si>
  <si>
    <t>0692 639953</t>
  </si>
  <si>
    <t>Créations textiles personnalisables et zéro déchet.</t>
  </si>
  <si>
    <t>7320f06c</t>
  </si>
  <si>
    <t>198ac5e9</t>
  </si>
  <si>
    <t>Saveurs des forêts</t>
  </si>
  <si>
    <t>Plantation ; Visite guidée ; Produits du terroir ; Restauration traditionnelle ; Exploitation agricole</t>
  </si>
  <si>
    <t>69a</t>
  </si>
  <si>
    <t>-21.347391, 55.792603</t>
  </si>
  <si>
    <t>0692002391</t>
  </si>
  <si>
    <t>Visite d'exploitation agricole et repas en table d'hôte autour des produits du terroir</t>
  </si>
  <si>
    <t>HoAu2391A4</t>
  </si>
  <si>
    <t>dc4d9644</t>
  </si>
  <si>
    <t>59341748</t>
  </si>
  <si>
    <t>Margoz Amer</t>
  </si>
  <si>
    <t>64</t>
  </si>
  <si>
    <t>Rue le Bord</t>
  </si>
  <si>
    <t>-21.248659, 55.470086</t>
  </si>
  <si>
    <t>contact.margoz@gmail.com</t>
  </si>
  <si>
    <t>0693 45 30 21</t>
  </si>
  <si>
    <t>https://www.etsy.com/fr/shop/margozboutik</t>
  </si>
  <si>
    <t>🔹Artiste
▫️ Illustratrice digitale
🔸Créatrice de bijoux artistiques
🔹Graveuse sur verre</t>
  </si>
  <si>
    <t>Illustratrice - créations graphiques / digitales</t>
  </si>
  <si>
    <t>pas d'espace d'accueil</t>
  </si>
  <si>
    <t>ec935805</t>
  </si>
  <si>
    <t>53adbbeb</t>
  </si>
  <si>
    <t>galerie::galerie_Images/bb671958.Path.083508.jpg</t>
  </si>
  <si>
    <t>Le Bismarckia</t>
  </si>
  <si>
    <t>87 bis</t>
  </si>
  <si>
    <t>rue Saint Vincent de Paul</t>
  </si>
  <si>
    <t>-21.271126, 55.530464</t>
  </si>
  <si>
    <t>cslallemand@orange.fr</t>
  </si>
  <si>
    <t>0692104191</t>
  </si>
  <si>
    <t>location saisonnière en semaine ,week-end, avec un accès piscine privatisé</t>
  </si>
  <si>
    <t>piscine , jardin , lave linge privatif , TV , linge de maison , parking , sanitaires privés , wifi , jardin arboré , accès internet , cour clôturée</t>
  </si>
  <si>
    <t>1c130a5d</t>
  </si>
  <si>
    <t>c19841ee</t>
  </si>
  <si>
    <t>CSC465HT@</t>
  </si>
  <si>
    <t>Résidence Tik Tik</t>
  </si>
  <si>
    <t>18A</t>
  </si>
  <si>
    <t>-21.244402, 55.467752</t>
  </si>
  <si>
    <t>faj2@wanadoo.fr</t>
  </si>
  <si>
    <t>0692 82 98 33</t>
  </si>
  <si>
    <t>La Résidence Tik Tik comporte cinq bungalows. Voici la description des cinq bungalows :
* Le logement Ananas comprend 2 chambres : - La première, climatisée, équipée d'un lit double, d'un placard et du nécessaire de nuit (table de chevet, draps couette et oreilles)
- La seconde équipée de 2 lits simples avec le même confort de nuit (table de chevet, draps, couette et oreilles)
La cuisine est équipée d'un four micro ondes, de plaques de cuisson à induction, d'un réfrigérateur et tout le nécessaire pour cuisiner (ustensiles, cafetière Senseo, poêles et casseroles, cuiseur à riz et essoreuse)
* Le logement Pastèque comprend 2 chambres :
- La première, climatisée, équipée d'un lit double, d'un placard et du nécessaire de nuit (table de chevet, draps couette et oreilles)
- La seconde équipée de 2 lits simples avec le même confort de nuit (table de chevet, draps, couette et oreilles)
Une salle de bain avec une douche à l'italienne, des toilettes séparées.
La cuisine est équipée d'un four micro ondes, de plaques de cuisson à induction, d'un réfrigérateur et tout le nécessaire pour cuisiner (ustensiles, huile, sel et poivre, cafetière Senseo, poêles et casseroles, cuiseur à riz et essoreuse)
* Le logement Letchis : Il offre à l’intérieur une chambre avec un lit à baldaquin, climatisée. Elle est attenante à une salle de bain avec douche à l'italienne, lavabo avec rangement et toilette.
Un salon comprenant une kitchenette tout équipée (frigidaire, plaque de cuisson, micro onde et cafetière), un coin repas avec chaise et table haute ainsi qu'un canapé convertible.
Sur sa grande terrasse avec vue sur la piscine se tient une loveuse et un mobilier d'extérieur.
* Le logement Ti Bredes :  Il offre à l’intérieur une chambre climatisée avec un lit double, télévision et table de chevet. Elle est attenante à une salle de bain avec douche à l'italienne, lavabo avec rangement et toilettes.
* Le logement Tomate : Il offre à l’intérieur une chambre climatisée avec un lit double, télévision et table de chevet. Elle est attenante à une salle de bain avec douche à l'italienne, lavabo avec rangement et toilettes.</t>
  </si>
  <si>
    <t>La résidence TikTik vous propose de séjourner dans un cadre calme et chaleureux au creux des montagnes du sud de l'île, à l'Entre-Deux.</t>
  </si>
  <si>
    <t>climatisation , vue montagne , TV , table de ping-pong , lave-linge , barbecue , piscine , cuisine , parking , wifi</t>
  </si>
  <si>
    <t>sentier de randonnée,Centre - Ville,arrêt bus</t>
  </si>
  <si>
    <t>Chèque,Espèces,Virement,airbnb</t>
  </si>
  <si>
    <t>d5846f02</t>
  </si>
  <si>
    <t>963f5f9e</t>
  </si>
  <si>
    <t>galerie::galerie_Images/67aa4cdb.Path.062842.jpg</t>
  </si>
  <si>
    <t>CSC460HT@</t>
  </si>
  <si>
    <t>La Résidence Tik Tik comprend cinq bungalows. Il est à noter qu'il y a deux déclarations en mairie pour ces cinq bungalows.</t>
  </si>
  <si>
    <t>La Villa De Charme</t>
  </si>
  <si>
    <t>37 A</t>
  </si>
  <si>
    <t>Chemin Deurveiller les Hauts</t>
  </si>
  <si>
    <t>juliennesmp@gmail.com</t>
  </si>
  <si>
    <t>0692807995</t>
  </si>
  <si>
    <t>ecfb8f0d</t>
  </si>
  <si>
    <t>c8ef467c</t>
  </si>
  <si>
    <t>Cet établissement n'est pas déclaré en mairie</t>
  </si>
  <si>
    <t>Perle Sauvage</t>
  </si>
  <si>
    <t>49 bis</t>
  </si>
  <si>
    <t>rue Léonce Jeannet</t>
  </si>
  <si>
    <t>-21.355000, 55.607983</t>
  </si>
  <si>
    <t>cathy.filau@hotmail.fr</t>
  </si>
  <si>
    <t>0692657872</t>
  </si>
  <si>
    <t>La villa idéale pour les petites familles ou entre amis, à 10 minutes de grande anse, et de la ville de St Joseph avec le tout nouveau leclerc Terass.
Villa d"exception, avec son jacuzzi chauffé, son trampoline de 4 m en jardin pour les enfants.
Tout le linge de maisons fournis et vos peignoirs</t>
  </si>
  <si>
    <t>salon de jardin , terrasse , cuisine équipée , jacuzzi , jardin , linge de maison</t>
  </si>
  <si>
    <t>centre commercial,sites touristiques,Bassin de Manapany,arrêt bus,transports en commun,commerces,Centre - Ville,restaurants</t>
  </si>
  <si>
    <t>8db6f2b5</t>
  </si>
  <si>
    <t>feaaa8ac</t>
  </si>
  <si>
    <t>CSC420HT@</t>
  </si>
  <si>
    <t>Manapany Team</t>
  </si>
  <si>
    <t>67</t>
  </si>
  <si>
    <t>-21.376207, 55.600375</t>
  </si>
  <si>
    <t>buisson.immo@hotmail.fr</t>
  </si>
  <si>
    <t>0610040410</t>
  </si>
  <si>
    <t>Manapany Team vous propose pour vos vacances (minimum deux nuits) et week-end.
Une grande villa pour 20 personnes maximum.
Venez vous ressourcer et vous retrouver en famille ou entre amis
Location saisonnière d'une grande maison avec 6 chambres (dont une chambre dortoir) 2 salles d’eau, une grande salle de bain, un grand salon, une cuisine, une cuisine au bois, une grande terrasse, une petite véranda, une piscine à débordement et un garage.
Elle est proche du centre ville de saint joseph et de Manapany (15 min à pied). Toutes les commodités sont proches (grand Leclerc, snack...).
PAS DE FÊTES DE NUIT
Acompte de 30% à prévoir à la réservation et caution de 500€ non encaissée à l’entrée dans la maison</t>
  </si>
  <si>
    <t>Villa composée de 6 chambres avec piscine à débordement pour 20 personnes maximum à Manapany proche de tous commerces et du centre ville.</t>
  </si>
  <si>
    <t>garage , terrasse , cuisine équipée , cuisine au bois , piscine</t>
  </si>
  <si>
    <t>centre commercial,commerce alimentaire,pêche,sites touristiques,Bassin de Manapany,arrêt bus,transports en commun,commerces,sites - lieux culturels,Centre - Ville,restaurants,littoral</t>
  </si>
  <si>
    <t>3af14f33</t>
  </si>
  <si>
    <t>e636da06</t>
  </si>
  <si>
    <t>CSC421HT@</t>
  </si>
  <si>
    <t>Les Cabanes Robinson</t>
  </si>
  <si>
    <t>Impasse des Vavangues</t>
  </si>
  <si>
    <t>cabanerobinsondelangevin@gmail.com</t>
  </si>
  <si>
    <t>0692442327</t>
  </si>
  <si>
    <t>https://www.cabanerobinsonvilladecharme.com/</t>
  </si>
  <si>
    <t>77ead142</t>
  </si>
  <si>
    <t>d65689a1</t>
  </si>
  <si>
    <t>ATTENTION : ce prestataire n'est pas déclaré en mairie!
Ouvert et en activité mais à désactiver car pas de déclaration mairie - est placé dans la liste des marrons CASUD pour le moment</t>
  </si>
  <si>
    <t>boulevard de l'océan</t>
  </si>
  <si>
    <t xml:space="preserve">https://www.manapescale.fr/ </t>
  </si>
  <si>
    <t>cb51287c</t>
  </si>
  <si>
    <t>Villa Rosaline</t>
  </si>
  <si>
    <t>135</t>
  </si>
  <si>
    <t>-21.360067, 55.630735</t>
  </si>
  <si>
    <t>0692885425</t>
  </si>
  <si>
    <t>a61e8c19</t>
  </si>
  <si>
    <t>CSC442HT@</t>
  </si>
  <si>
    <t>Mail du 17 mars
tds peux pas fermée car date de fin donnée au 31 mars et madame doit déclarer pour mars après je ferme</t>
  </si>
  <si>
    <t>La Créole Améthyste</t>
  </si>
  <si>
    <t>chemin des faucons</t>
  </si>
  <si>
    <t>-21.336837, 55.603543</t>
  </si>
  <si>
    <t>aurely.gonthier@hotmail.fr</t>
  </si>
  <si>
    <t>0692886809</t>
  </si>
  <si>
    <t>1ab5aa6b</t>
  </si>
  <si>
    <t>69b9097c</t>
  </si>
  <si>
    <t>CSC439HT@</t>
  </si>
  <si>
    <t>Anadele</t>
  </si>
  <si>
    <t>allée des rameaux</t>
  </si>
  <si>
    <t>-21.373214, 55.674537</t>
  </si>
  <si>
    <t>dlebon@oxygen-rp.com</t>
  </si>
  <si>
    <t>0692857477</t>
  </si>
  <si>
    <t>c4b2d6d9</t>
  </si>
  <si>
    <t>92fc215d</t>
  </si>
  <si>
    <t>CSC434HT@</t>
  </si>
  <si>
    <t>Ti Caz Saint Jo</t>
  </si>
  <si>
    <t>-21.379060, 55.605776</t>
  </si>
  <si>
    <t>gaug@hotmail.fr</t>
  </si>
  <si>
    <t>0692330278</t>
  </si>
  <si>
    <t>Le bungalow de 35 m² possède une terrasse de 40 m², 2 chambres séparées 
de 2 lits doubles, un grand canapé convertible dans le salon, d'accès 
internet, four, machine à laver, ligne de maison, climatisation, piscine</t>
  </si>
  <si>
    <t>Situé à Saint-Joseph, Ti Caz Saint-Jo peut accueillir 6 personnes</t>
  </si>
  <si>
    <t>barbecue , piscine</t>
  </si>
  <si>
    <t>commerce alimentaire,littoral</t>
  </si>
  <si>
    <t>736fd1d6,2c8d5618</t>
  </si>
  <si>
    <t>9782813f</t>
  </si>
  <si>
    <t>CSC432HT@</t>
  </si>
  <si>
    <t>Manapany Lodge</t>
  </si>
  <si>
    <t>rue Martin Luther King</t>
  </si>
  <si>
    <t>-21.374772, 55.595032</t>
  </si>
  <si>
    <t>manapanylodge@gmail.com</t>
  </si>
  <si>
    <t>0693 62 01 61</t>
  </si>
  <si>
    <t>Location saisonnière composée de 2 bungalows. Le bungalow Pitaya peut accueillir 2 personnes dans une chambre climatisée (lit king size) avec sanitaires privés (douche à l'italienne) et un espace cuisine entièrement équipé et une terrasse avec accès piscine. Le bungalow Lataniers peut accueillir 4 personnes avec une chambre climatisée avec un lit double king size, un espace salon comportant un canapé lit pour 2 personnes, et un espace cuisine entièrement équipé avec une terrasse. La piscine est commune pour les deux bungalows.</t>
  </si>
  <si>
    <t>piscine , jardin , salle de bain privée , linge de maison , parking , sanitaires privés , wifi , piscine chauffée , terrasse , cuisine , tarrasse , tout équipé</t>
  </si>
  <si>
    <t>7b857267</t>
  </si>
  <si>
    <t>e04dd21a</t>
  </si>
  <si>
    <t>galerie::galerie_Images/1c8072a3.Path.074053.jpg</t>
  </si>
  <si>
    <t>CSC427HT@</t>
  </si>
  <si>
    <t>La Barbadine</t>
  </si>
  <si>
    <t>rue de Nantes</t>
  </si>
  <si>
    <t>PK23</t>
  </si>
  <si>
    <t>-21.224542, 55.555214</t>
  </si>
  <si>
    <t>scarlett.lenormand@gmail.com</t>
  </si>
  <si>
    <t>0692 61 70 82</t>
  </si>
  <si>
    <t>Doté d'un balcon, le Barbadine est situé à La Plaine des Cafres. Ce chalet dispose d'un jardin, d'un barbecue, ainsi que d'une connexion Wi-Fi et d'un parking privé gratuits. Ce chalet dispose de 3 chambres, d'une télévision par satellite à écran plat, d'une cuisine équipée d'un lave-vaisselle et d'un micro-ondes, d'un lave-linge et d'une salle de bains avec baignoire. Pour plus de commodité, l'établissement peut fournir des serviettes et du linge de lit moyennant des frais supplémentaires. Le chalet possède une terrasse. Lors de votre séjour, vous pourrez profiter d'un salon commun et faire de la randonnée dans les environs. Le Volcano House se trouve à 3,9 km du Barbadine. L'aéroport de Pierrefonds, le plus proche, est implanté à 17 km.</t>
  </si>
  <si>
    <t>Profitez d'un moment de paix à la Plaine des Cafres</t>
  </si>
  <si>
    <t>cuisine équipée , accès internet , barbecue , TV , parking , lave-linge</t>
  </si>
  <si>
    <t>village du grand bassin,commerce de proximité…,sentier de randonnée</t>
  </si>
  <si>
    <t>022cd9aa</t>
  </si>
  <si>
    <t>f74970a3</t>
  </si>
  <si>
    <t>galerie::galerie_Images/6a505650.Path.115040.jpg</t>
  </si>
  <si>
    <t>CSC419HT@</t>
  </si>
  <si>
    <t>11866825</t>
  </si>
  <si>
    <t>Les Milles et une nuit du gecko</t>
  </si>
  <si>
    <t>impasse des Margouillats</t>
  </si>
  <si>
    <t>-21.374886, 55.594310</t>
  </si>
  <si>
    <t>lesmillesetunenuitdugecko@hotmail.com</t>
  </si>
  <si>
    <t>0692027731</t>
  </si>
  <si>
    <t>Villa pouvant recevoir 8 personnes en location saisonnière</t>
  </si>
  <si>
    <t>barbecue , climatisation , fer et planche à repasser , piscine , jardin , lave linge privatif , TV , linge de maison , lave vaisselle , micro-ondes , sanitaires privés , wifi , four , accès internet , terrasse , frigo , parking sécurisé</t>
  </si>
  <si>
    <t>sentier de randonnée,sites - lieux culturels,sites touristiques,Bassin de Manapany,littoral</t>
  </si>
  <si>
    <t>61e6b8f0</t>
  </si>
  <si>
    <t>9cc4acaa</t>
  </si>
  <si>
    <t>galerie::galerie_Images/3aaf2a6d.Path.073857.jpg</t>
  </si>
  <si>
    <t>CSC425HT@</t>
  </si>
  <si>
    <t>Villa Vetyvers</t>
  </si>
  <si>
    <t>impasse des vetyvers</t>
  </si>
  <si>
    <t>-21.233671, 55.469827</t>
  </si>
  <si>
    <t>entrepriseleclairjy@gmail.com</t>
  </si>
  <si>
    <t>0692698650</t>
  </si>
  <si>
    <t>La villa vétyvers est dotée d’une piscine extérieur et d’un kiosque située près d un bassin poisson.
La villa est équipée de deux cuisines 
1 modernes qui possède un micro ondes,four plaques de cuisson et réfrigérateur et l autre cuisine pour les amateurs de la cuisine au feu bois (acacia)
Elle a 3 chambres avec vue sur les montagnes 
1salle de bain avec douche équipée (serviette disponible) d une machine à laver et d un sèche linge 
1 W.C
1 grand salon qui possède 2 clic clac</t>
  </si>
  <si>
    <t>Villa des Vetyvers</t>
  </si>
  <si>
    <t>kiosque , piscine , cuisine équipée , micro-ondes , vue montagne , douche , frigo , serviettes. , plaque de cuisson , cuisine au bois , sèche-linge</t>
  </si>
  <si>
    <t>sentier de randonnée,arrêt bus</t>
  </si>
  <si>
    <t>4badf335</t>
  </si>
  <si>
    <t>357c64db</t>
  </si>
  <si>
    <t>galerie::galerie_Images/b71bd4a1.Path.062634.jpg</t>
  </si>
  <si>
    <t>CSC444HT@</t>
  </si>
  <si>
    <t xml:space="preserve">La Plantation </t>
  </si>
  <si>
    <t xml:space="preserve"> Route de Jean Petit</t>
  </si>
  <si>
    <t>-21.360516, 55.630663</t>
  </si>
  <si>
    <t>0262560886</t>
  </si>
  <si>
    <t>0692335492</t>
  </si>
  <si>
    <t>climatisation , fer et planche à repasser , jardin , parking , piscine , salle de bain privée , TV satellite , ventilateur , wifi</t>
  </si>
  <si>
    <t>HaAu5492af</t>
  </si>
  <si>
    <t>cd8908ef</t>
  </si>
  <si>
    <t>galerie::galerie_Images/eb9c09ef.Path.073547.jpg</t>
  </si>
  <si>
    <t xml:space="preserve"> Rue Cesaire</t>
  </si>
  <si>
    <t>0262396869</t>
  </si>
  <si>
    <t>chauffage , jardin , lave linge privatif , piscine , salle de bain privée , TV , ventilateur</t>
  </si>
  <si>
    <t>MaJe6869JN</t>
  </si>
  <si>
    <t>21F3DCCBCF</t>
  </si>
  <si>
    <t xml:space="preserve">Le Plamétys </t>
  </si>
  <si>
    <t>fb</t>
  </si>
  <si>
    <t>0262263981</t>
  </si>
  <si>
    <t>0693600550</t>
  </si>
  <si>
    <t>KrRO0550Fr</t>
  </si>
  <si>
    <t>4C88AD8454</t>
  </si>
  <si>
    <t xml:space="preserve"> Rue Louis Aragon</t>
  </si>
  <si>
    <t>0262577181</t>
  </si>
  <si>
    <t>0692653294</t>
  </si>
  <si>
    <t>four , lave linge privatif , parking , téléphone , TV</t>
  </si>
  <si>
    <t>GrMa32948u</t>
  </si>
  <si>
    <t>096c6a9e</t>
  </si>
  <si>
    <t>galerie::galerie_Images/1ba98d3c.Path.114753.jpg</t>
  </si>
  <si>
    <t xml:space="preserve"> Chemin Luc Hoarau</t>
  </si>
  <si>
    <t>-21.266531, 55.500718</t>
  </si>
  <si>
    <t>0262 04 53 30</t>
  </si>
  <si>
    <t>0692045330</t>
  </si>
  <si>
    <t>barbecue , fer et planche à repasser , jardin , parking , piscine</t>
  </si>
  <si>
    <t>SeSe5330ug</t>
  </si>
  <si>
    <t>14ca1368</t>
  </si>
  <si>
    <t>galerie::galerie_Images/a55a1450.Path.114851.jpg</t>
  </si>
  <si>
    <t xml:space="preserve">Le Milena's </t>
  </si>
  <si>
    <t>7 c</t>
  </si>
  <si>
    <t>Rue Raphael Babet</t>
  </si>
  <si>
    <t>?</t>
  </si>
  <si>
    <t>0262409162</t>
  </si>
  <si>
    <t>0692589148</t>
  </si>
  <si>
    <t>OrJe9148Yn</t>
  </si>
  <si>
    <t>7684705C76</t>
  </si>
  <si>
    <t>0262775388</t>
  </si>
  <si>
    <t>0692750762</t>
  </si>
  <si>
    <t>CoPa0762MO</t>
  </si>
  <si>
    <t>cea8dc30</t>
  </si>
  <si>
    <t>galerie::galerie_Files_/77504525.Path.114720.webp</t>
  </si>
  <si>
    <t>69b</t>
  </si>
  <si>
    <t xml:space="preserve"> Route Nationale 2 Ravine Ango</t>
  </si>
  <si>
    <t>1C0066FCB8</t>
  </si>
  <si>
    <t>69</t>
  </si>
  <si>
    <t>-21.321615, 55.606839</t>
  </si>
  <si>
    <t>0692 66 59 48</t>
  </si>
  <si>
    <t>HoGu59482V</t>
  </si>
  <si>
    <t>924ab1ee</t>
  </si>
  <si>
    <t>galerie::galerie_Images/b056700e.Path.114403.jpg</t>
  </si>
  <si>
    <t xml:space="preserve"> Rue Victor le Vigoureux</t>
  </si>
  <si>
    <t>-21.280322, 55.519700</t>
  </si>
  <si>
    <t>0262550219</t>
  </si>
  <si>
    <t>Centre ville du tampon</t>
  </si>
  <si>
    <t>0219zk</t>
  </si>
  <si>
    <t>19e4b704</t>
  </si>
  <si>
    <t>Chemin des Alpilles</t>
  </si>
  <si>
    <t>pas de mail@jaiap</t>
  </si>
  <si>
    <t>0692837877</t>
  </si>
  <si>
    <t>FrDa7877tG</t>
  </si>
  <si>
    <t>3e3407b5</t>
  </si>
  <si>
    <t xml:space="preserve">Le Millepertuis </t>
  </si>
  <si>
    <t xml:space="preserve"> Rue des Mimosas</t>
  </si>
  <si>
    <t>0692563905</t>
  </si>
  <si>
    <t>HoFr3905vt</t>
  </si>
  <si>
    <t>1C3235691F</t>
  </si>
  <si>
    <t>Rue Hippolyte Foucque</t>
  </si>
  <si>
    <t>-21.374741, 55.624983</t>
  </si>
  <si>
    <t>0262982312</t>
  </si>
  <si>
    <t>2312qo</t>
  </si>
  <si>
    <t>19F60F6365</t>
  </si>
  <si>
    <t xml:space="preserve">Les Orchidées </t>
  </si>
  <si>
    <t>-21.181291, 55.535170</t>
  </si>
  <si>
    <t>0262 38 02 73</t>
  </si>
  <si>
    <t>0692173457</t>
  </si>
  <si>
    <t>espace de restauration , linge de maison , salle de bain commune , sanitaires communs</t>
  </si>
  <si>
    <t>sentier de randonnée,point de vue panoramique,riviere</t>
  </si>
  <si>
    <t>SeJe3457kd</t>
  </si>
  <si>
    <t>0ae3131a</t>
  </si>
  <si>
    <t>galerie::galerie_Images/b7ac0370.Path.070642.jpg</t>
  </si>
  <si>
    <t>-21.374707, 55.665964</t>
  </si>
  <si>
    <t>0417AF3E52</t>
  </si>
  <si>
    <t>89-91</t>
  </si>
  <si>
    <t>0262373567</t>
  </si>
  <si>
    <t>SiYv3567yX</t>
  </si>
  <si>
    <t>4C8508CEC8</t>
  </si>
  <si>
    <t xml:space="preserve">213-173 </t>
  </si>
  <si>
    <t>0262241079</t>
  </si>
  <si>
    <t>Sa5197fq</t>
  </si>
  <si>
    <t>1A3CE3E653</t>
  </si>
  <si>
    <t>La Kaz à Mélina 2</t>
  </si>
  <si>
    <t>-21.261000, 55.522602</t>
  </si>
  <si>
    <t>Maison indépendante agréablement meublée pour 2 à 4 personnes, mitoyenne avec celle du propriétaire. Le gîte comprend 2 chambres et un lit BB, un séjour, une cuisine équipée, une salle de bains, une grande terrasse aménagée donnant sur un petit jardin privatif créole et parking clôturé, où il est agréable de déjeuner ou d'apprécier des moments paisibles en écoutant le chant des oiseaux.
Le calme et la tranquillité sont des atouts indéniables.</t>
  </si>
  <si>
    <t>barbecue , fer et planche à repasser , chauffage , jardin , lave linge privatif , TV , ventilateur , linge de maison , parking , wifi gratuit , micro-ondes , four , salon de jardin , linge de toilette , cuisine équipée , jardin clôturé , veranda couverte</t>
  </si>
  <si>
    <t>53e091a9</t>
  </si>
  <si>
    <t>galerie::galerie_Images/78aa2e78.Path.063005.jpg</t>
  </si>
  <si>
    <t xml:space="preserve">L'Oasis </t>
  </si>
  <si>
    <t xml:space="preserve">grandbassin.oasis@gmail.com </t>
  </si>
  <si>
    <t>0262 27 51 91</t>
  </si>
  <si>
    <t>0692250232</t>
  </si>
  <si>
    <t>La capacité du gîte est de 26 places.
Nous disposons de:
* 1 Dortoir de 8 personnes ( lit simple superposés)
* 1 Dortoir de 6 personnes (lit simple superposés)
* 1 Dortoir de 4 personnes (lit simple superposés)
* 2 Chambres double ( 1 lit double et un lit superposés).</t>
  </si>
  <si>
    <t>Situé à Grand-Bassin, nous serons ravis de vous accueillir au gîte pour un moment de convivialité et de détente.
Nous vous ferons découvrir nos repas traditionnels au feu de bois et nos rhum maison.</t>
  </si>
  <si>
    <t>espace de restauration , grand espace , dortoir , chambre double</t>
  </si>
  <si>
    <t>NaDi02329t</t>
  </si>
  <si>
    <t>0cb18343</t>
  </si>
  <si>
    <t>galerie::galerie_Images/f3ac3db7.Path.064635.jpg</t>
  </si>
  <si>
    <t xml:space="preserve">Maison des Délices </t>
  </si>
  <si>
    <t xml:space="preserve"> Impasse de l'Ebeko</t>
  </si>
  <si>
    <t>gardonclemence@hotmail.com</t>
  </si>
  <si>
    <t>0262 98 92 86</t>
  </si>
  <si>
    <t>0692757377</t>
  </si>
  <si>
    <t>GaFr7377yr</t>
  </si>
  <si>
    <t>6680d08f</t>
  </si>
  <si>
    <t>galerie::galerie_Files_/435f490f.Path.083354.webp</t>
  </si>
  <si>
    <t>Ancienne adresse mail pirater lamaisondesdelices@hotmail.com 
&gt;&gt;&gt;&gt; la nouvelle &gt; gardonclemence@hotmail.com</t>
  </si>
  <si>
    <t xml:space="preserve">La Kaz Lizette </t>
  </si>
  <si>
    <t xml:space="preserve"> Rue du Raccourci</t>
  </si>
  <si>
    <t>-21.332477, 55.608758</t>
  </si>
  <si>
    <t>0692698487</t>
  </si>
  <si>
    <t>jardin , micro-ondes , parking , TV , wifi</t>
  </si>
  <si>
    <t>ViBe84872I</t>
  </si>
  <si>
    <t>28f89297</t>
  </si>
  <si>
    <t>galerie::galerie_Images/292d9e74.Path.073250.jpg</t>
  </si>
  <si>
    <t>Rue Edouard Turpin</t>
  </si>
  <si>
    <t>-21.334569, 55.659820</t>
  </si>
  <si>
    <t>sculpture.nelson1973@gmail.com</t>
  </si>
  <si>
    <t>0692617016</t>
  </si>
  <si>
    <t>BoNe7016Xp</t>
  </si>
  <si>
    <t>01e0e4a9</t>
  </si>
  <si>
    <t>galerie::galerie_Images/14d23831.Path.083202.jpg</t>
  </si>
  <si>
    <t xml:space="preserve">Le Galabert </t>
  </si>
  <si>
    <t>0262977304</t>
  </si>
  <si>
    <t>0692692766</t>
  </si>
  <si>
    <t>barbecue , fer et planche à repasser , four , jardin , lave linge privatif , linge de maison , linge de toilette , micro-ondes , parking , TV , ventilateur</t>
  </si>
  <si>
    <t>LeMi2766si</t>
  </si>
  <si>
    <t>4DA3D738B5</t>
  </si>
  <si>
    <t xml:space="preserve">Les Grands Monts </t>
  </si>
  <si>
    <t xml:space="preserve"> Impasse Sabine</t>
  </si>
  <si>
    <t>0692121021</t>
  </si>
  <si>
    <t>piscine , TV satellite</t>
  </si>
  <si>
    <t>MoMa10212m,2fd546db</t>
  </si>
  <si>
    <t>0c8db7c8</t>
  </si>
  <si>
    <t xml:space="preserve"> chemin des conflors</t>
  </si>
  <si>
    <t>0262412833</t>
  </si>
  <si>
    <t>0692443849</t>
  </si>
  <si>
    <t>four , micro-ondes , piscine , sanitaires communs , wifi</t>
  </si>
  <si>
    <t>HoMi3849k2</t>
  </si>
  <si>
    <t>326E5C2942</t>
  </si>
  <si>
    <t xml:space="preserve">Le Grill de Virginie </t>
  </si>
  <si>
    <t>N3</t>
  </si>
  <si>
    <t>0262592957</t>
  </si>
  <si>
    <t>2957oF</t>
  </si>
  <si>
    <t>61970CA90D</t>
  </si>
  <si>
    <t>0262597592</t>
  </si>
  <si>
    <t>0692656867</t>
  </si>
  <si>
    <t>ChRo6867eH</t>
  </si>
  <si>
    <t>46A808B5CF</t>
  </si>
  <si>
    <t>-21.226558, 55.574349</t>
  </si>
  <si>
    <t>0692561322</t>
  </si>
  <si>
    <t>GeJe13223x,PaM1322qU</t>
  </si>
  <si>
    <t>2cb168dd</t>
  </si>
  <si>
    <t xml:space="preserve">La Case O Gecko </t>
  </si>
  <si>
    <t xml:space="preserve"> b Rue Léon Dierx</t>
  </si>
  <si>
    <t>-21.376791, 55.630965</t>
  </si>
  <si>
    <t>0262 58 30 47</t>
  </si>
  <si>
    <t>0692480332</t>
  </si>
  <si>
    <t>wifi , jacuzzi</t>
  </si>
  <si>
    <t>SePh0332t2</t>
  </si>
  <si>
    <t>8f08da66</t>
  </si>
  <si>
    <t>galerie::galerie_Images/1ab00139.Path.075921.jpg</t>
  </si>
  <si>
    <t xml:space="preserve">Les Coeurs d'Amants </t>
  </si>
  <si>
    <t>-21.355606, 55.605281</t>
  </si>
  <si>
    <t>0262230151</t>
  </si>
  <si>
    <t>jardin , parking , piscine , salle de bain privée , sanitaires privés , wifi</t>
  </si>
  <si>
    <t>LeCh0151Ll</t>
  </si>
  <si>
    <t>27EA69A293</t>
  </si>
  <si>
    <t xml:space="preserve"> Chemin Avril Amaye</t>
  </si>
  <si>
    <t>-21.243894, 55.498233</t>
  </si>
  <si>
    <t>06 92 08 81 93</t>
  </si>
  <si>
    <t>NaDa8193QY</t>
  </si>
  <si>
    <t>fa6e18c3</t>
  </si>
  <si>
    <t>galerie::galerie_Images/db1f43c5.Path.102748.jpg</t>
  </si>
  <si>
    <t xml:space="preserve">Le Repos d'Or </t>
  </si>
  <si>
    <t xml:space="preserve"> Impasse des Pluies d'Or</t>
  </si>
  <si>
    <t>0262566592</t>
  </si>
  <si>
    <t>0692690073</t>
  </si>
  <si>
    <t>barbecue , climatisation , fer et planche à repasser , four , lave linge privatif , linge de toilette , micro-ondes , parking , piscine , sanitaires privés , TV , wifi</t>
  </si>
  <si>
    <t>KoOl1332ci</t>
  </si>
  <si>
    <t>f06f1974</t>
  </si>
  <si>
    <t>196</t>
  </si>
  <si>
    <t>Chemin coin tranquille</t>
  </si>
  <si>
    <t>-21.237362, 55.560282</t>
  </si>
  <si>
    <t>0692661885</t>
  </si>
  <si>
    <t>CaJe18851K</t>
  </si>
  <si>
    <t>0760E8A605</t>
  </si>
  <si>
    <t xml:space="preserve"> Rue des Coccinelles</t>
  </si>
  <si>
    <t>0692902994</t>
  </si>
  <si>
    <t>climatisation , jardin , linge de maison , linge de toilette , piscine , salle de bain privée , sanitaires privés , wifi</t>
  </si>
  <si>
    <t>DoPa2994fy</t>
  </si>
  <si>
    <t>c67b7169</t>
  </si>
  <si>
    <t xml:space="preserve"> Rue Concession</t>
  </si>
  <si>
    <t>0262566648</t>
  </si>
  <si>
    <t>0692668920</t>
  </si>
  <si>
    <t>SaJe8920hp</t>
  </si>
  <si>
    <t>5866f784</t>
  </si>
  <si>
    <t>chauffage , espace de restauration , jardin , parking , salle de bain privée , sanitaires privés , TV</t>
  </si>
  <si>
    <t>1a2bf4ed</t>
  </si>
  <si>
    <t>Rue du Commandeur</t>
  </si>
  <si>
    <t>0692 44 54 95</t>
  </si>
  <si>
    <t>ElAr5495kX</t>
  </si>
  <si>
    <t>288120cb</t>
  </si>
  <si>
    <t>galerie::galerie_Images/d4e2f98d.Path.055006.jpg</t>
  </si>
  <si>
    <t xml:space="preserve">Le Rougail Mangue </t>
  </si>
  <si>
    <t>-21.380077, 55.658032</t>
  </si>
  <si>
    <t>0262315509</t>
  </si>
  <si>
    <t>0692202163</t>
  </si>
  <si>
    <t>barbecue , micro-ondes , parking , piscine</t>
  </si>
  <si>
    <t>MoCo2163dK</t>
  </si>
  <si>
    <t>330B7C476F</t>
  </si>
  <si>
    <t>Chemin des Geraniums</t>
  </si>
  <si>
    <t>-21.283724, 55.636295</t>
  </si>
  <si>
    <t>chauffage , jardin , lave linge privatif , parking</t>
  </si>
  <si>
    <t>654A8D2270</t>
  </si>
  <si>
    <t>0692682020</t>
  </si>
  <si>
    <t>DeSt2020ik</t>
  </si>
  <si>
    <t>117CBC6389</t>
  </si>
  <si>
    <t xml:space="preserve">Le Village Sauvage </t>
  </si>
  <si>
    <t>-21.379033, 55.659465</t>
  </si>
  <si>
    <t>0262568028</t>
  </si>
  <si>
    <t>0692310938</t>
  </si>
  <si>
    <t>barbecue , fer et planche à repasser , parking , piscine , TV satellite , ventilateur , wifi</t>
  </si>
  <si>
    <t>ViAn0938yl</t>
  </si>
  <si>
    <t>49D31FEF01</t>
  </si>
  <si>
    <t xml:space="preserve"> Lotissement Lauriers Cocos</t>
  </si>
  <si>
    <t>-21.376783, 55.602459</t>
  </si>
  <si>
    <t>0692143647</t>
  </si>
  <si>
    <t>Le studio est équipé d'un lit 160X200, d'une télévision, de wifi gratuit, de climatisation, d'un salon extérieur et terrasse, d'un coin bureau, d'une cuisine extérieure équipée, d'un bbq, d'un jaccuzi !
Linge de maison et de toilette fournis.
Moment de détente dans le jacuzzi ou dans la piscine, 2 transats disposés sur le deck sont à disposition.</t>
  </si>
  <si>
    <t>Dans le Sud Sauvage à Saint-Joseph, niché dans un écrin de verdure tout en bois, Margayillat dispose d'un charmant studio pouvant accueillir 2 personnes.</t>
  </si>
  <si>
    <t>barbecue , climatisation , fer et planche à repasser , four , micro-ondes , parking , piscine , TV satellite , wifi , jacuzzi</t>
  </si>
  <si>
    <t>riviere,centre commercial,site - lieu culturel,commerce alimentaire,restaurants,commerces,sites touristiques,commerce de proximité…,station essence,Bassin de Manapany,Restauration,station service,Centre - Ville,épicerie,centre ville de Saint-Joseph</t>
  </si>
  <si>
    <t>WoPa3647Jb</t>
  </si>
  <si>
    <t>71f72479</t>
  </si>
  <si>
    <t>galerie::galerie_Images/81aa1267.Path.100030.png</t>
  </si>
  <si>
    <t>CSC399HT@</t>
  </si>
  <si>
    <t>Pascal a du goût, il est posé et il est possible de tenter de réserver même à la dernière minute. Son studio est vraiment un bijoux à l'entrée de st joseph :)</t>
  </si>
  <si>
    <t xml:space="preserve">Les Lys </t>
  </si>
  <si>
    <t>0692818419</t>
  </si>
  <si>
    <t>barbecue , chauffage , jardin , lave linge privatif , parking , TV satellite</t>
  </si>
  <si>
    <t>ouvert</t>
  </si>
  <si>
    <t>BeBe8419BR</t>
  </si>
  <si>
    <t>2E84E7ECFC</t>
  </si>
  <si>
    <t xml:space="preserve">Les Maisonnettes de Standing du Piton Mahot </t>
  </si>
  <si>
    <t>Chemin Mathias</t>
  </si>
  <si>
    <t>-21.222927, 55.590267</t>
  </si>
  <si>
    <t>0692690002</t>
  </si>
  <si>
    <t>chauffage , four , linge de maison , linge de toilette , micro-ondes , parking , TV , kitchenette équipée , barbecue , jardin</t>
  </si>
  <si>
    <t>PiJ-0002Kq</t>
  </si>
  <si>
    <t>5F34616928</t>
  </si>
  <si>
    <t xml:space="preserve"> Chemin de la Grande Ferme plaine des Cafres</t>
  </si>
  <si>
    <t>-21.221095, 55.589314</t>
  </si>
  <si>
    <t>0692241433</t>
  </si>
  <si>
    <t>chauffage , lave linge collectif , parking , wifi , salon de jardin , jardin arboré , Petit déjeuner à toutes heures</t>
  </si>
  <si>
    <t>4491860d</t>
  </si>
  <si>
    <t>Dattier</t>
  </si>
  <si>
    <t>0262974688</t>
  </si>
  <si>
    <t>0692031667</t>
  </si>
  <si>
    <t>Meublé au rez de chaussée d'une maison pour 2 personnes avec une chambre double climatisée, une cabine de douche balnéo, une terrasse à quelques pas de la piscine, un barbecue et un jardin privé. Location via airbnb</t>
  </si>
  <si>
    <t>Situé dans le Sud Sauvage à Manapany les Bains, dans la commune de Saint-Joseph, Madame KBIDI offre à la location touristique un meublé au rez de chaussée pour 2 personnes avec une chambre double climatisée, une cabine de douche balnéo, une terrasse à quelques pas de la piscine, un barbecue et un jardin privé.</t>
  </si>
  <si>
    <t>barbecue , climatisation , jardin , lave linge privatif , lave vaisselle , parking , piscine , ventilateur</t>
  </si>
  <si>
    <t>KVé1667Vt</t>
  </si>
  <si>
    <t>2424887b</t>
  </si>
  <si>
    <t>CSC448HT@</t>
  </si>
  <si>
    <t>-21.271984, 55.555264</t>
  </si>
  <si>
    <t>0692671153</t>
  </si>
  <si>
    <t>barbecue , espace spa - bien être , fer et planche à repasser , four , lave linge privatif , lave vaisselle , lecteur DVD , micro-ondes , TV satellite</t>
  </si>
  <si>
    <t>BoDi1153YF</t>
  </si>
  <si>
    <t>6122E3A5E4</t>
  </si>
  <si>
    <t>-21.273524, 55.516325</t>
  </si>
  <si>
    <t>0262276516</t>
  </si>
  <si>
    <t>0693005488</t>
  </si>
  <si>
    <t>FoFr5488sI</t>
  </si>
  <si>
    <t>709156B511</t>
  </si>
  <si>
    <t xml:space="preserve">La Cité du Volcan </t>
  </si>
  <si>
    <t>-21.203329, 55.573900</t>
  </si>
  <si>
    <t xml:space="preserve"> cdv.reservations@museesreunion.re</t>
  </si>
  <si>
    <t>0262590026</t>
  </si>
  <si>
    <t>SiJe0026Ug</t>
  </si>
  <si>
    <t>35D0EC87E7</t>
  </si>
  <si>
    <t>-21.200711, 55.574369</t>
  </si>
  <si>
    <t>0262 59 29 75</t>
  </si>
  <si>
    <t>0692228988</t>
  </si>
  <si>
    <t>Le gîte dispose de :
- 3 chambres avec salle de bains et toilette privés 
Chambre double 55€ (pax supp 25€)
Chambre dortoir 25€/pers
Tarif enfant de 2 à 12 ans 15€
Petit déjeuner sur réservation.
Petit dej ADT 11€
Petit dej enfant 7€
A proximité de plusieurs activités et de sentiers de randonnées.</t>
  </si>
  <si>
    <t>repas du soir sur réservation , dortoir , chauffage , parking , wifi</t>
  </si>
  <si>
    <t>MePa8988Gj</t>
  </si>
  <si>
    <t>058d7c65</t>
  </si>
  <si>
    <t>galerie::galerie_Images/6e0a3726.Path.100119.jpg</t>
  </si>
  <si>
    <t>-21.280170, 55.520310</t>
  </si>
  <si>
    <t>0262272436</t>
  </si>
  <si>
    <t>ErJu2436fM</t>
  </si>
  <si>
    <t>1c474204</t>
  </si>
  <si>
    <t>Domaine de Bellevue - PK28</t>
  </si>
  <si>
    <t>-21.193011, 55.576471</t>
  </si>
  <si>
    <t>0262591502</t>
  </si>
  <si>
    <t>0692078083</t>
  </si>
  <si>
    <t>chauffage , jardin , linge de toilette , parking , salle de bain privée , sanitaires privés , TV</t>
  </si>
  <si>
    <t>sentier de randonnée,sentier de grande randonnée,point de vue panoramique,équitation,forêt,sites touristiques,sentiers de randonnées,randonnées,sentiers de randonnée,sentiers VTT,quad,Musée,hébergements,centre équestre,route du volcan,Sentier de randonnée,Quad,Volcan le piton de la fournaise,sentier du piton des neiges,"tunnel de lave ""tunnel bleu du tampon""",forêt de Tamar'haut,Maison du Volcan,Centres équestres,route pour aller au volcan</t>
  </si>
  <si>
    <t>D'Gl8083HL</t>
  </si>
  <si>
    <t>1fa2699d</t>
  </si>
  <si>
    <t xml:space="preserve">La Case O Zoizos </t>
  </si>
  <si>
    <t xml:space="preserve"> Rue Leon Dehaulme</t>
  </si>
  <si>
    <t>-21.378485, 55.606551</t>
  </si>
  <si>
    <t>0693469948</t>
  </si>
  <si>
    <t>La chambre Paille en Queue accueille 2 personnes adultes par chambre, dont une avec la possibilité de loger un enfant, et est équipée du wifi gratuit, d'un barbecue, d'une cuisine extérieure, d'une terrasse, de la climatisation et d'une salle de bain privative. Elle est située à 5 minutes du centre ville, à 10 minutes de marche d'une superbe plage de sable noir et de toutes commodités.</t>
  </si>
  <si>
    <t>Situé à Saint-Joseph, La Case O Zoizos peut accueillir 2 x 2 personnes.</t>
  </si>
  <si>
    <t>barbecue , climatisation , jardin , piscine , sanitaires privés</t>
  </si>
  <si>
    <t>sentier de randonnée,riviere,centre commercial,parking public,sites touristiques,Bassin de Manapany,plage,station essence,station service,Centre - Ville,centre ville de Saint-Joseph,restaurants,sentiers de randonnées,Restauration,randonnées</t>
  </si>
  <si>
    <t>LeMa9948ee</t>
  </si>
  <si>
    <t>70e00d15</t>
  </si>
  <si>
    <t>galerie::galerie_Images/6e9efb4d.Path.071837.jpg</t>
  </si>
  <si>
    <t>Martine a le goût pour ses chambres d'hôtes! superbe villa créole, avec jardin tropical arboré ou l'on peut y déguster le petit déj local local fait maison !
Une 3eme chambre est en préparation, celle ci sera totalement accessible PMR.
Les autres c'est un peu difficile, mais c'est faisable !</t>
  </si>
  <si>
    <t>3/5</t>
  </si>
  <si>
    <t>Rue Jean Mermoz</t>
  </si>
  <si>
    <t>-21.379613, 55.608414</t>
  </si>
  <si>
    <t>0262 56 67 21</t>
  </si>
  <si>
    <t>0692660711</t>
  </si>
  <si>
    <t>Artiste céramiste, c'est à Saint-Joseph que M. Claude Berlie-Caillat fait découvrir son atelier des Arts du Feu et son travail contemporain autour du basalte. 
Ouvert du lundi au vendredi de 8h à 12h et de 14h à 17h. Visite possible le samedi et dimanche sur rendez-vous.
Capacité : environ 15 personnes par visite.</t>
  </si>
  <si>
    <t>ArtSud est un lieu d'expérimentations liées à l'utilisation du basalte. Tantôt résidence d'artistes, tantôt transformé en ateliers de découverte de la céramique et des arts du feu, cette association est une structure pluridisciplinaire qui a pour vocation le développement de des techniques entourant le basalte... une curiosité culturelle et artistique à visiter !</t>
  </si>
  <si>
    <t>Prendre la RN2 depuis Saint Pierre, au premier rd pt à l'entrée de Manapany, prendre l'ancienne RN en contre bas à droite, continuez qq km, dépassez le ferme &amp; jardins, la rue Jean Mermoz (ex Rue Juliette dodu sur les cartes internet non à jour), se trouve juste après le ferme &amp; jardin, monter, continuez qq dizaines de mètres, il y a un parking en terre / gazon sur la gauche, se garer là, ce sont les bâtiments blancs au fond</t>
  </si>
  <si>
    <t>parking public , jardin , sanitaires privés , salle de réunion - séminaire , parking autocar , grand espace , ateliers</t>
  </si>
  <si>
    <t>riviere,centre commercial,parking public,site - lieu culturel,commerce alimentaire,arrêt bus,jardin,plage,transports en commun,sites touristiques,Bassin de Manapany,commerces,sites - lieux culturels,station essence,station service,Centre - Ville,centre ville de Saint-Joseph</t>
  </si>
  <si>
    <t>BeCl0711jg</t>
  </si>
  <si>
    <t>e147e628</t>
  </si>
  <si>
    <t>galerie::galerie_Images/790b999a.Path.070834.png</t>
  </si>
  <si>
    <t>Les visites sont pour le moment "gratuites", il s'agira de dire de vérifier.
M. BERLIE est un passionné des arts du feu, et la gestion de sa structure est compliquée. Il manque de personnel et de fonds. Mais c'est un établissement à grand potentiel avec des créations à voir...
(ex Rue Juliette Dodu)</t>
  </si>
  <si>
    <t xml:space="preserve">L'Ecrin </t>
  </si>
  <si>
    <t>RN3 PK27 Bourg-murat</t>
  </si>
  <si>
    <t>-21.204669, 55.571145</t>
  </si>
  <si>
    <t>0262590202</t>
  </si>
  <si>
    <t>0692643092</t>
  </si>
  <si>
    <t>Dans un écrin de verdure et de sérénité, l'Hôtel se situe aux portes du volcan, face au piton des neiges.
Vous serez séduit par le calme qui l'entoure et les chambres disposés en bungalow.
Proche de nombreuses randonnées comme le piton des neiges et le volcan vous pourrez admirer nos pitons cirques et rempart inscrit au patrimoine de l'UNESCO (panorama à couper le souffle)
Après vos escapades vous pourrez faire nettoyer et sécher vos vêtements par notre service de buanderie.
En ce qui concerne nos hébergement, nous disposons de 21 chambres :
17 double
2 quadruple
1 triple
1 appartement T2 avec kitchenette et coin repas pour 5 personnes.
Ces dernières sont équipées d'écran LCD avec chaine satellites, d'une salle de bain/WC; et d'une climatisation réversible
Le petit déjeuner continental est servi à table ou en chambre selon vos envi.
Toutes nos activités sont gratuites : Sauna, hammam, mini golf, billard, ping pong. Un portique avec balançoire fera la joie de vos enfants.</t>
  </si>
  <si>
    <t>L'Hôtel l'ECRIN (situé au centre de l'ILE DE LA REUNION)</t>
  </si>
  <si>
    <t>petit déjeuner continental , sèche-cheveux , sauna , table de ping-pong , aire de jeux pour enfant , jeux , linge de maison , linge de toilette , boutique , service de blanchisserie , billard , bar , service de bagagerie , babyfoot , accessible aux personnes à mobilité réduite , espace de restauration , espace spa - bien être , SPA , chauffage , hammam , jardin , parking , wifi , climatisation , salle de réunion - séminaire , TV , vue montagne , TV satellite , téléphone , golf</t>
  </si>
  <si>
    <t>sentier de randonnée,commerce alimentaire,équitation,parking public,point de vue panoramique,sites touristiques,arrêt bus,station service,boulangerie,Point chaud,épicerie,snack,transports en commun,tabac presse,commerces,pâtisserie,banque - guichet automatique,Restauration,Maison du Volcan</t>
  </si>
  <si>
    <t>PaTh3092hC</t>
  </si>
  <si>
    <t>b7a0ef20</t>
  </si>
  <si>
    <t>galerie::galerie_Images/09ccce0a.Path.114051.jpg</t>
  </si>
  <si>
    <t xml:space="preserve">Le Bengali 2 </t>
  </si>
  <si>
    <t>-21.379082, 55.605791</t>
  </si>
  <si>
    <t>0262565401</t>
  </si>
  <si>
    <t>0692765252</t>
  </si>
  <si>
    <t>barbecue , climatisation , four , jardin , lave linge privatif , micro-ondes , parking , piscine , TV</t>
  </si>
  <si>
    <t>KeAn5252pw</t>
  </si>
  <si>
    <t>6F26F06727</t>
  </si>
  <si>
    <t xml:space="preserve">Le Bengali 1 </t>
  </si>
  <si>
    <t>-21.379063, 55.605791</t>
  </si>
  <si>
    <t>climatisation , jardin , lave linge privatif , parking , piscine , TV</t>
  </si>
  <si>
    <t>0C360C6C75</t>
  </si>
  <si>
    <t>Chemin Isautier</t>
  </si>
  <si>
    <t>0262572791</t>
  </si>
  <si>
    <t>0692968574</t>
  </si>
  <si>
    <t>barbecue , chauffage , fer et planche à repasser , four , jardin , lave linge privatif , lave vaisselle , micro-ondes , parking , TV , ventilateur , wifi</t>
  </si>
  <si>
    <t>HuDa8574DY</t>
  </si>
  <si>
    <t>3D4DA75E78</t>
  </si>
  <si>
    <t>0692010836</t>
  </si>
  <si>
    <t>jardin , parking , salle de réunion - séminaire</t>
  </si>
  <si>
    <t>9d6ee082</t>
  </si>
  <si>
    <t>0692751844</t>
  </si>
  <si>
    <t>GiFl1844Gf</t>
  </si>
  <si>
    <t>6CB306071B</t>
  </si>
  <si>
    <t>-21.204372, 55.574118</t>
  </si>
  <si>
    <t>0692 79 41 29</t>
  </si>
  <si>
    <t>barbecue , chauffage , fer et planche à repasser , four , lave linge privatif , lave vaisselle , linge de maison , linge de toilette , micro-ondes , parking , TV</t>
  </si>
  <si>
    <t>Chèque,Espèces,Virement,booking</t>
  </si>
  <si>
    <t>PrJe4129uX</t>
  </si>
  <si>
    <t>0827a41a</t>
  </si>
  <si>
    <t>galerie::galerie_Images/a6b2a290.Path.114014.jpg</t>
  </si>
  <si>
    <t>-21.378419, 55.664281</t>
  </si>
  <si>
    <t>micro-ondes , parking , sanitaires privés , wifi , coffre-fort</t>
  </si>
  <si>
    <t>77962C115B</t>
  </si>
  <si>
    <t>Rue Edmond Michel</t>
  </si>
  <si>
    <t>0692689477</t>
  </si>
  <si>
    <t>PoMa9477Ka</t>
  </si>
  <si>
    <t>423FD77172</t>
  </si>
  <si>
    <t>Route Forestière 2 de Bébour-Bélouve</t>
  </si>
  <si>
    <t>0262 59 21 99</t>
  </si>
  <si>
    <t>0692267455</t>
  </si>
  <si>
    <t>Amateur de randonnées de sentier, venez découvrir notre gîte, notre cuisine au feu de bois et nos produit frais</t>
  </si>
  <si>
    <t>douche , dortoir , grand espace , espace de restauration , sanitaires communs , cuisine au bois</t>
  </si>
  <si>
    <t>SéJe7455FC</t>
  </si>
  <si>
    <t>0d9781b7</t>
  </si>
  <si>
    <t>galerie::galerie_Images/27d8323e.Path.074832.jpg</t>
  </si>
  <si>
    <t xml:space="preserve">Les Chalets Aurore </t>
  </si>
  <si>
    <t xml:space="preserve"> Rue Raphael Douyere</t>
  </si>
  <si>
    <t>-21.196924, 55.539418</t>
  </si>
  <si>
    <t>0692760372</t>
  </si>
  <si>
    <t>chauffage , jardin , micro-ondes , TV</t>
  </si>
  <si>
    <t>MoCh0372iL</t>
  </si>
  <si>
    <t>8533c78f</t>
  </si>
  <si>
    <t>galerie::galerie_Images/6794c794.Path.113843.jpg</t>
  </si>
  <si>
    <t>-21.216892, 55.552307</t>
  </si>
  <si>
    <t>0262275008</t>
  </si>
  <si>
    <t>0692009836</t>
  </si>
  <si>
    <t>chauffage , jardin , parking autocar , parking , TV</t>
  </si>
  <si>
    <t>PaAn9836dQ</t>
  </si>
  <si>
    <t>b3b1c766</t>
  </si>
  <si>
    <t>galerie::galerie_Images/428424dd.Path.113756.jpg</t>
  </si>
  <si>
    <t>Auberge la Fermette a changé de propriétaire à partir de 2025</t>
  </si>
  <si>
    <t>;</t>
  </si>
  <si>
    <t>D36</t>
  </si>
  <si>
    <t>-21.251006, 55.584386</t>
  </si>
  <si>
    <t>barbecue , four , lecteur DVD , micro-ondes , parking , TV</t>
  </si>
  <si>
    <t>a5cafa0b</t>
  </si>
  <si>
    <t>galerie::galerie_Images/8daac296.Path.062720.jpg</t>
  </si>
  <si>
    <t>-21.202514, 55.581564</t>
  </si>
  <si>
    <t>0262610854</t>
  </si>
  <si>
    <t>0692660769</t>
  </si>
  <si>
    <t>barbecue , chauffage , fer et planche à repasser , parking , TV satellite , wifi</t>
  </si>
  <si>
    <t>LaPa0769yX</t>
  </si>
  <si>
    <t>af5044f7</t>
  </si>
  <si>
    <t>galerie::galerie_Images/68bd71cf.Path.113534.jpg</t>
  </si>
  <si>
    <t>0262592762</t>
  </si>
  <si>
    <t>3b4683a0</t>
  </si>
  <si>
    <t>Crypto-Sign n° 56</t>
  </si>
  <si>
    <t>-21.251561, 55.583564</t>
  </si>
  <si>
    <t>barbecue , chauffage , fer et planche à repasser , four , lave linge privatif , linge de maison , linge de toilette , micro-ondes , parking , TV</t>
  </si>
  <si>
    <t>b1ede6d3</t>
  </si>
  <si>
    <t>Crypto-Sign n° 562</t>
  </si>
  <si>
    <t>barbecue , chauffage , fer et planche à repasser , four , jardin , lave linge privatif , lave vaisselle , linge de maison , micro-ondes , parking , sèche linge privatif , téléphone , TV</t>
  </si>
  <si>
    <t>80dabcc8</t>
  </si>
  <si>
    <t>Rue Bassin Julien</t>
  </si>
  <si>
    <t>-21.351673, 55.605109</t>
  </si>
  <si>
    <t>0262239737</t>
  </si>
  <si>
    <t>0692767643</t>
  </si>
  <si>
    <t>lave linge privatif , micro-ondes , TV</t>
  </si>
  <si>
    <t>HoGé7643VC</t>
  </si>
  <si>
    <t>1BDC0F2413</t>
  </si>
  <si>
    <t xml:space="preserve">Le Palais du Fromage </t>
  </si>
  <si>
    <t>50</t>
  </si>
  <si>
    <t>Rue Alfred Picard</t>
  </si>
  <si>
    <t>mariefrancepayet17@gmail.com</t>
  </si>
  <si>
    <t>0692610150</t>
  </si>
  <si>
    <t>https://lepalaisdufromage.fr/</t>
  </si>
  <si>
    <t>RoMa01503P</t>
  </si>
  <si>
    <t>0c2b3662</t>
  </si>
  <si>
    <t>galerie::galerie_Images/50cd4bc4.Path.094327.jpg</t>
  </si>
  <si>
    <t>tarifs des produits à retrouver dans la galerie &gt; voir tout</t>
  </si>
  <si>
    <t xml:space="preserve">Le Troêne </t>
  </si>
  <si>
    <t>-21.228133, 55.551187</t>
  </si>
  <si>
    <t>0262590491</t>
  </si>
  <si>
    <t>0692045665</t>
  </si>
  <si>
    <t>LaJe5665AO</t>
  </si>
  <si>
    <t>5CF4D3157C</t>
  </si>
  <si>
    <t xml:space="preserve">Kakouk Tisaneur Ledoyen Frantz </t>
  </si>
  <si>
    <t>chemin du Dimitile</t>
  </si>
  <si>
    <t>-21.208021, 55.493869</t>
  </si>
  <si>
    <t>kakouk.ledoyen@gmail.com</t>
  </si>
  <si>
    <t>0692838187</t>
  </si>
  <si>
    <t>"Tisaneur" situé au Dimitile, sur les hauteurs de l'Entre-Deux, Frantz propose les tisanes du pays.
Le samedi matin, tous les 15 jours boutique chez Kakouk de 9h à midi (sur réservation)
Visite dans la forêt plantes médicinales minimum 10 personnes / option déjeuner possible chez lui : 10 euros par personne et le repas 25 euros par personne
Présent sur les manifestations de type Florilèges, les talents péi avec Leclerc, fête du chouchou, fête vacoa, fête choca, journées du patrimoine</t>
  </si>
  <si>
    <t>Tisaneur très connu sur le Dimitile</t>
  </si>
  <si>
    <t>Situé à 8 km du village, une fois arrivé au village prendre la rue de l'Eglise, au stop prendre direction le Dimitile Ravine des Citrons, la maison se trouve à 8km</t>
  </si>
  <si>
    <t>parking , restauration , boutique , visites pédagogiques , visites guidées , dégustation</t>
  </si>
  <si>
    <t>LeFr8187SA</t>
  </si>
  <si>
    <t>0678a63e</t>
  </si>
  <si>
    <t>galerie::galerie_Images/70ef1489.Path.065918.jpg</t>
  </si>
  <si>
    <t xml:space="preserve">La Bergerie </t>
  </si>
  <si>
    <t>0692099384</t>
  </si>
  <si>
    <t>MuMe93848g</t>
  </si>
  <si>
    <t>256901A4F3</t>
  </si>
  <si>
    <t xml:space="preserve"> Impasse des Canelles</t>
  </si>
  <si>
    <t>0692698538</t>
  </si>
  <si>
    <t>chauffage , fer et planche à repasser , four , micro-ondes , parking , TV satellite , ventilateur , wifi</t>
  </si>
  <si>
    <t>BaVi8538Tt</t>
  </si>
  <si>
    <t>704484EF4D</t>
  </si>
  <si>
    <t>Rue Payet</t>
  </si>
  <si>
    <t>-21.247889, 55.468177</t>
  </si>
  <si>
    <t>0262440314</t>
  </si>
  <si>
    <t>Meublé Arc en Ciel</t>
  </si>
  <si>
    <t>Au cœur du village de l'Entre-Deux</t>
  </si>
  <si>
    <t>barbecue , climatisation , four , lave linge privatif , micro-ondes , parking , TV</t>
  </si>
  <si>
    <t>HoSe8501yI</t>
  </si>
  <si>
    <t>74713442</t>
  </si>
  <si>
    <t>galerie::galerie_Images/be5ea960.Path.062524.jpg</t>
  </si>
  <si>
    <t xml:space="preserve"> Impasse des Campanules</t>
  </si>
  <si>
    <t>0692900813</t>
  </si>
  <si>
    <t>ClJe0813Wl</t>
  </si>
  <si>
    <t>58ebb086</t>
  </si>
  <si>
    <t>chauffage , espace de restauration , jardin , parking , salle de bain privée , sanitaires privés , TV , wifi</t>
  </si>
  <si>
    <t>6055092EDD</t>
  </si>
  <si>
    <t>0262279244</t>
  </si>
  <si>
    <t>0692025229</t>
  </si>
  <si>
    <t>Pa5229ed</t>
  </si>
  <si>
    <t>554F02760A</t>
  </si>
  <si>
    <t>-21.240079, 55.469912</t>
  </si>
  <si>
    <t>barbecue , chauffage , douche , fer et planche à repasser , jardin , lave linge collectif , micro-ondes , parking , sanitaires communs , TV , wifi</t>
  </si>
  <si>
    <t>4a3e4eb5</t>
  </si>
  <si>
    <t>galerie::galerie_Images/6105cd14.Path.062410.jpg</t>
  </si>
  <si>
    <t>Art &amp; Artisanat ; Souvenirs ; salle d'exposition</t>
  </si>
  <si>
    <t xml:space="preserve"> Rue Justinien Vitry</t>
  </si>
  <si>
    <t>-21.251162, 55.470013</t>
  </si>
  <si>
    <t>0692603038</t>
  </si>
  <si>
    <t>EdMa303814</t>
  </si>
  <si>
    <t>8f69aaa2</t>
  </si>
  <si>
    <t>galerie::galerie_Images/450bca95.Path.082758.jpg</t>
  </si>
  <si>
    <t>barbecue , jardin , lave linge collectif , lave vaisselle , parking , TV</t>
  </si>
  <si>
    <t>6AF9047D18</t>
  </si>
  <si>
    <t>148</t>
  </si>
  <si>
    <t>-21.241467, 55.482883</t>
  </si>
  <si>
    <t>0692666651</t>
  </si>
  <si>
    <t>https://versionecaille.com/</t>
  </si>
  <si>
    <t>parking public,parking privée</t>
  </si>
  <si>
    <t>RiYv6651OD</t>
  </si>
  <si>
    <t>d5b8ba78</t>
  </si>
  <si>
    <t>l'Atelier est fermé sur l'Entre-Deux, mais expose ses créations à la boutique de l'OTI</t>
  </si>
  <si>
    <t>0262241760</t>
  </si>
  <si>
    <t>0693101776</t>
  </si>
  <si>
    <t>espace spa - bien être , jardin , parking , wifi</t>
  </si>
  <si>
    <t>LeMa1776jA</t>
  </si>
  <si>
    <t>1cf3d541</t>
  </si>
  <si>
    <t>CSC398HT@</t>
  </si>
  <si>
    <t>Fermé depuis le 9 sept 2021 mail sur plateforme tds</t>
  </si>
  <si>
    <t xml:space="preserve">Le Vavangueur </t>
  </si>
  <si>
    <t xml:space="preserve"> Rue Lucien Vitry</t>
  </si>
  <si>
    <t>0262707927</t>
  </si>
  <si>
    <t>0692671768</t>
  </si>
  <si>
    <t>barbecue , fer et planche à repasser , jardin , parking , piscine , TV satellite , ventilateur , wifi</t>
  </si>
  <si>
    <t>GéEl1768kU</t>
  </si>
  <si>
    <t>079956f5</t>
  </si>
  <si>
    <t>CSC394HT@</t>
  </si>
  <si>
    <t>18 déclarations manquantes, il s'agira de faire le point pour tout régulariser pour pouvoir désactiver dans la tds</t>
  </si>
  <si>
    <t>-21.293272, 55.534809</t>
  </si>
  <si>
    <t>0692852155</t>
  </si>
  <si>
    <t>linge de toilette , parking , sanitaires privés , wifi</t>
  </si>
  <si>
    <t>1239d90f</t>
  </si>
  <si>
    <t>galerie::galerie_Images/4016afbe.Path.101445.png</t>
  </si>
  <si>
    <t xml:space="preserve">Le Verger de la Chapelle </t>
  </si>
  <si>
    <t>Le Verger</t>
  </si>
  <si>
    <t>De la Chapelle</t>
  </si>
  <si>
    <t>-21.242979, 55.468347</t>
  </si>
  <si>
    <t>0692123785</t>
  </si>
  <si>
    <t>barbecue , douche , jardin , parking , sanitaires communs</t>
  </si>
  <si>
    <t>FoLa3785wc</t>
  </si>
  <si>
    <t>d3c3093d</t>
  </si>
  <si>
    <t>galerie::galerie_Images/ccebf7c3.Path.060308.jpg</t>
  </si>
  <si>
    <t xml:space="preserve"> Rue Alverdy</t>
  </si>
  <si>
    <t>0692321475</t>
  </si>
  <si>
    <t>barbecue , climatisation , fer et planche à repasser , lave linge privatif , linge de maison , linge de toilette , parking , piscine , TV satellite , ventilateur , wifi</t>
  </si>
  <si>
    <t>pI1475Sd</t>
  </si>
  <si>
    <t>c3a5d40f</t>
  </si>
  <si>
    <t>La Résidence des Caféiers</t>
  </si>
  <si>
    <t xml:space="preserve"> Chemin Emile Zola </t>
  </si>
  <si>
    <t>-21.235475, 55.501648</t>
  </si>
  <si>
    <t>0692682075</t>
  </si>
  <si>
    <t>Les 3 chambres doubles sont équipées de salle de bain et de sanitaires privés.
Recommandées pour couple recherchant détente et bien-être. Sauna et spa privatifs.
Repas sur place sur réservation, départ de randonnées, à proximité du Volcan, de Cilaos et du Sud Sauvage. (etablissement réservé aux adultes)</t>
  </si>
  <si>
    <t>Située au Tampon, La Résidence des Caféiers dispose de 3 chambres d'hôtes de charme, calme et sérénité.</t>
  </si>
  <si>
    <t>petit déjeuner créole ou classique , sauna , jacuzzi , chauffage , jardin , salle de bain privée , TV , ventilateur , linge de maison , parking , espace de restauration , sanitaires privés , wifi , salon de jardin</t>
  </si>
  <si>
    <t>HoYv2075Lm</t>
  </si>
  <si>
    <t>e33ae59f</t>
  </si>
  <si>
    <t>Pas d'enfants // pas de limitation d'horaires pour l'utilisation du SPA // anciennement Tikazhoareau</t>
  </si>
  <si>
    <t>Impasse des Cerises</t>
  </si>
  <si>
    <t>-21.255264, 55.465962</t>
  </si>
  <si>
    <t>0262449489</t>
  </si>
  <si>
    <t>sanitaires communs , jardin , ateliers</t>
  </si>
  <si>
    <t>BoJo9489ai</t>
  </si>
  <si>
    <t>ccf11c7a</t>
  </si>
  <si>
    <t xml:space="preserve">Le Cabaret Pat'Jaune </t>
  </si>
  <si>
    <t>-21.227773, 55.559912</t>
  </si>
  <si>
    <t>0692 85 81 14</t>
  </si>
  <si>
    <t>0692858114</t>
  </si>
  <si>
    <t>Découverte de l'univers authentique des habitants des hauts de l'île,
à travers un spectacle musical original avec une bonne dose de bonne humeur.
La soirée sera aussi l'occasion de découvrir l’authentique cari cuit au feu de bois ainsi que d’autres spécialités locales, dans un cadre chaleureux... 
Dépaysement et émotions garantis !
Le cabaret est ouvert tous les vendredis et samedis. Réservation obligatoire 
Les tarifs : 
60€/pers sans boissons
70€/pers avec boissons
Les Shows auront lieu de 12H30 à 16H00.
Les réservations se feront par mail :  patjaune@wanadoo.fr 
Merci d'indiquer votre N° de Tél dans le mail.</t>
  </si>
  <si>
    <t>TaCl8114nZ</t>
  </si>
  <si>
    <t>f780e1ef</t>
  </si>
  <si>
    <t>galerie::galerie_Images/bd32c483.Path.083031.jpg</t>
  </si>
  <si>
    <t xml:space="preserve">Les Casalis </t>
  </si>
  <si>
    <t xml:space="preserve"> Chemin Philomar</t>
  </si>
  <si>
    <t>barbecue , fer et planche à repasser , jardin , lave linge collectif , parking , piscine , TV</t>
  </si>
  <si>
    <t>1936FB7996</t>
  </si>
  <si>
    <t xml:space="preserve">La Candela </t>
  </si>
  <si>
    <t xml:space="preserve"> Chemin Jean Baptiste</t>
  </si>
  <si>
    <t>-21.228568, 55.552557</t>
  </si>
  <si>
    <t>0692273419</t>
  </si>
  <si>
    <t>ThCh341996</t>
  </si>
  <si>
    <t>2F0784F375</t>
  </si>
  <si>
    <t xml:space="preserve">Les Lilas </t>
  </si>
  <si>
    <t>109 A</t>
  </si>
  <si>
    <t>-21.241528, 55.481275</t>
  </si>
  <si>
    <t>0262646056</t>
  </si>
  <si>
    <t>0692602104</t>
  </si>
  <si>
    <t>fer et planche à repasser , jardin , lave linge privatif , linge de maison , linge de toilette , micro-ondes , parking , TV</t>
  </si>
  <si>
    <t>ClBe2104uN</t>
  </si>
  <si>
    <t>c3985a6d</t>
  </si>
  <si>
    <t xml:space="preserve"> Rue Victor Natvel</t>
  </si>
  <si>
    <t>-21.246812, 55.469875</t>
  </si>
  <si>
    <t>0692643964</t>
  </si>
  <si>
    <t>barbecue , climatisation , lave linge privatif , salon de jardin , TV , wifi</t>
  </si>
  <si>
    <t>BePa3964eH</t>
  </si>
  <si>
    <t>6B954066E6</t>
  </si>
  <si>
    <t>0262395747</t>
  </si>
  <si>
    <t>0692678859</t>
  </si>
  <si>
    <t>barbecue , climatisation , four , linge de maison , micro-ondes , parking , TV</t>
  </si>
  <si>
    <t>ClMa8859Dh</t>
  </si>
  <si>
    <t>1981351DAB</t>
  </si>
  <si>
    <t xml:space="preserve"> Rue Corneille</t>
  </si>
  <si>
    <t>-21.250807, 55.474830</t>
  </si>
  <si>
    <t>marie.francine974@hotmail.fr</t>
  </si>
  <si>
    <t>0262395228</t>
  </si>
  <si>
    <t>PaFr5228SJ</t>
  </si>
  <si>
    <t>f9beda47</t>
  </si>
  <si>
    <t>galerie::galerie_Images/89f859b6.Path.102624.jpg</t>
  </si>
  <si>
    <t xml:space="preserve">Le P'tit Marron </t>
  </si>
  <si>
    <t xml:space="preserve"> Impasse des Bananiers</t>
  </si>
  <si>
    <t>-21.239564, 55.481527</t>
  </si>
  <si>
    <t>0692 05 61 19</t>
  </si>
  <si>
    <t>0692056119</t>
  </si>
  <si>
    <t>Le P'tit Marron</t>
  </si>
  <si>
    <t>jardin , parking , wifi , four , micro-ondes , TV , Lit parapluie sur demande , linge de maison , lave vaisselle , lave linge privatif</t>
  </si>
  <si>
    <t>sentier de randonnée,parking public,point de vue panoramique,site - lieu culturel,riviere</t>
  </si>
  <si>
    <t>RaJo6119Aj</t>
  </si>
  <si>
    <t>46aa8db9</t>
  </si>
  <si>
    <t>galerie::galerie_Images/b90598a1.Path.050445.jpg</t>
  </si>
  <si>
    <t xml:space="preserve"> Rue Grand Fond Interieur</t>
  </si>
  <si>
    <t>-21.237385, 55.468097</t>
  </si>
  <si>
    <t>0692150953</t>
  </si>
  <si>
    <t>barbecue , fer et planche à repasser , piscine , sanitaires privés , TV satellite , ventilateur</t>
  </si>
  <si>
    <t>sentier de randonnée,sentier de grande randonnée</t>
  </si>
  <si>
    <t>GéMi0953jP</t>
  </si>
  <si>
    <t>4b6581fd</t>
  </si>
  <si>
    <t>galerie::galerie_Images/d2e147da.Path.065929.jpg</t>
  </si>
  <si>
    <t>0692683150</t>
  </si>
  <si>
    <t>barbecue , four , jardin , micro-ondes , TV</t>
  </si>
  <si>
    <t>SaBr3150Pk</t>
  </si>
  <si>
    <t>2634577b</t>
  </si>
  <si>
    <t xml:space="preserve"> Chemin Barbadines</t>
  </si>
  <si>
    <t>-21.344832, 55.686113</t>
  </si>
  <si>
    <t>0692 61 73 47</t>
  </si>
  <si>
    <t>jardin , parking , salle de bain commune , salle de bain privée , sanitaires communs</t>
  </si>
  <si>
    <t>7effc4a3</t>
  </si>
  <si>
    <t>galerie::galerie_Images/46d8f136.Path.071803.jpg</t>
  </si>
  <si>
    <t>0262574303</t>
  </si>
  <si>
    <t>0692672454</t>
  </si>
  <si>
    <t>PaFr2454bc</t>
  </si>
  <si>
    <t>839b2cbe</t>
  </si>
  <si>
    <t xml:space="preserve"> Chemin Raphael Babet</t>
  </si>
  <si>
    <t>0693465293</t>
  </si>
  <si>
    <t>parking , piscine , TV , wifi</t>
  </si>
  <si>
    <t>LeCh52934V</t>
  </si>
  <si>
    <t>e17c9fd5</t>
  </si>
  <si>
    <t>galerie::galerie_Images/740456d9.Path.050355.jpg</t>
  </si>
  <si>
    <t xml:space="preserve"> Chemin Armanette</t>
  </si>
  <si>
    <t>0693001177</t>
  </si>
  <si>
    <t>p11777Y</t>
  </si>
  <si>
    <t>5A62124CB1</t>
  </si>
  <si>
    <t xml:space="preserve"> Chemin Francois Robert</t>
  </si>
  <si>
    <t>0692210182</t>
  </si>
  <si>
    <t>HoDa0182Iu</t>
  </si>
  <si>
    <t>06d7c311</t>
  </si>
  <si>
    <t>11 A</t>
  </si>
  <si>
    <t>route du Bras-long</t>
  </si>
  <si>
    <t>-21.246175, 55.470194</t>
  </si>
  <si>
    <t>0693 92 81 23</t>
  </si>
  <si>
    <t>regroupement d’artisans travaillant la fibre du choca
essayer prise de contact adpm@live.fr 
(.com introuvable)</t>
  </si>
  <si>
    <t>Association qui a un espace de présentation de ses confections dans le village de l'Entre - Deux</t>
  </si>
  <si>
    <t>A partir du bureau de l'OTI SUD de l'Entre-Deux, se rendre dans  la rue du Commerce (rue principale). A l'intersection prendre direction Bras-Long (en face). 200 mètres plus loin sur votre gauche ce trouve l'ADPM</t>
  </si>
  <si>
    <t>arrêt bus,poste - boite aux lettres,commerce alimentaire,parking public,piscine,sentiers de randonnées,commerces,restaurants</t>
  </si>
  <si>
    <t>HoJu8123xa</t>
  </si>
  <si>
    <t>8b4b06b2</t>
  </si>
  <si>
    <t>galerie::galerie_Images/d9d3a3b9.Path.073437.jpg</t>
  </si>
  <si>
    <t>Ruelle bleu</t>
  </si>
  <si>
    <t>-21.247398, 55.479104</t>
  </si>
  <si>
    <t>dreamsbea@hotmail.fr</t>
  </si>
  <si>
    <t>0692309778</t>
  </si>
  <si>
    <t>A l'intersection de la rue du Commerce prendre sur votre droite direction la Ravine des Citrons, roulez sur 1 kilomètre. La ruelle Bleu se trouve sur votre gauche en face du terrain synthétique.</t>
  </si>
  <si>
    <t>sanitaires communs , jardin , boutique , ateliers</t>
  </si>
  <si>
    <t>sentier de randonnée,arrêt bus,hébergements</t>
  </si>
  <si>
    <t>SeBé9778f7</t>
  </si>
  <si>
    <t>775592a6</t>
  </si>
  <si>
    <t>galerie::galerie_Images/0a536023.Path.073609.jpg</t>
  </si>
  <si>
    <t>Au Bord de la falaise</t>
  </si>
  <si>
    <t>Rue des Quais Plateau Vincendo</t>
  </si>
  <si>
    <t>0262 94 24 84</t>
  </si>
  <si>
    <t>0692273511</t>
  </si>
  <si>
    <t>Au Bord De La Falaise propose une expérience culinaire unique mêlant les saveurs créoles à une vue spectaculaire sur l'océan. Notre équipe de cuisiniers talentueux utilise des ingrédients locaux et de saison pour créer des plats savoureux et originaux. Notre restaurant est situé au sommet d'une falaise offrant une vue panoramique incroyable. Nous sommes fiers de proposer une expérience inoubliable à nos clients, où ils peuvent se détendre et savourer des plats raffinés tout en profitant de la beauté naturelle de l'environnement.</t>
  </si>
  <si>
    <t>Table D'hôtes AuborddelaFalaise</t>
  </si>
  <si>
    <t>plateau Vincendo</t>
  </si>
  <si>
    <t>grand espace , vue mer , terrasse , espace de restauration , repas traditionnels , espace de restauration en extérieur , restauration</t>
  </si>
  <si>
    <t>commerce alimentaire,point de vue panoramique,sentier de grande randonnée,site - lieu culturel</t>
  </si>
  <si>
    <t>LeJo3511Fy</t>
  </si>
  <si>
    <t>f5396d18</t>
  </si>
  <si>
    <t>galerie::galerie_Images/182c2501.Path.111212.jpg</t>
  </si>
  <si>
    <t>Pour déjeuner, il faudra réserver au 0.262.94.24.84 au moins deux jours à l'avance car les produits sont frais.</t>
  </si>
  <si>
    <t>0262886703</t>
  </si>
  <si>
    <t>0692576464</t>
  </si>
  <si>
    <t>6464pG</t>
  </si>
  <si>
    <t>622A95CA48</t>
  </si>
  <si>
    <t>4E0EC8DF3A</t>
  </si>
  <si>
    <t xml:space="preserve">Les Baies Roses du 17ème </t>
  </si>
  <si>
    <t>Chemin Barbot</t>
  </si>
  <si>
    <t>EvVa0915aQ</t>
  </si>
  <si>
    <t>6033b0f1</t>
  </si>
  <si>
    <t xml:space="preserve">Le Bel'Eden </t>
  </si>
  <si>
    <t xml:space="preserve"> Chemin Odilien Picard</t>
  </si>
  <si>
    <t>PaIs52799G</t>
  </si>
  <si>
    <t>e385fa34</t>
  </si>
  <si>
    <t xml:space="preserve">Les Bijoux d'Hermana </t>
  </si>
  <si>
    <t>des Lauriers Roses</t>
  </si>
  <si>
    <t>-21.220805, 55.531635</t>
  </si>
  <si>
    <t>hermana974delphine@gmail.com</t>
  </si>
  <si>
    <t>0692071337</t>
  </si>
  <si>
    <t>Créatrice de bijoux en graines, parcourant l'île à la recherche de graines anciennes et de leurs histoires.</t>
  </si>
  <si>
    <t>bn</t>
  </si>
  <si>
    <t>56022774</t>
  </si>
  <si>
    <t>galerie::galerie_Images/6b7f71e9.Path.092727.jpg</t>
  </si>
  <si>
    <t xml:space="preserve"> Chemin Stephane</t>
  </si>
  <si>
    <t>-21.263047, 55.501710</t>
  </si>
  <si>
    <t>0692228668</t>
  </si>
  <si>
    <t>jardin , tarrasse , accès internet , parking</t>
  </si>
  <si>
    <t>MaJo8668pe</t>
  </si>
  <si>
    <t>04FD8090FF</t>
  </si>
  <si>
    <t>CSC403HT@</t>
  </si>
  <si>
    <t xml:space="preserve">1 bis Boyer Teddy </t>
  </si>
  <si>
    <t>-21.203992, 55.578167</t>
  </si>
  <si>
    <t>0692275878</t>
  </si>
  <si>
    <t>1B97A4E873</t>
  </si>
  <si>
    <t xml:space="preserve">3 Boyer Teddy </t>
  </si>
  <si>
    <t>-21.204010, 55.578141</t>
  </si>
  <si>
    <t>268129DA3A</t>
  </si>
  <si>
    <t>Chez Gilbert</t>
  </si>
  <si>
    <t xml:space="preserve"> Rue du General Lambert</t>
  </si>
  <si>
    <t>-21.266096, 55.513558</t>
  </si>
  <si>
    <t xml:space="preserve">rosenat@live.fr </t>
  </si>
  <si>
    <t>0692407801</t>
  </si>
  <si>
    <t>Cet appartement comprend une chambre, une salle de bains, du linge de lit, des serviettes, une télévision par câble à écran plat, un coin repas, une cuisine entièrement équipée et une terrasse avec vue sur le jardin. Vous pourrez profiter de l'ambiance des environs depuis le coin repas extérieur. Pour plus d'intimité, l'hébergement insonorisé dispose d'une entrée privée.</t>
  </si>
  <si>
    <t>Meublé chez Gilbert</t>
  </si>
  <si>
    <t>chauffage , douche , sèche-cheveux , terrasse , serviettes. , cuisine équipée , jardin , piscine , linge de maison , parking , barbecue , TV , wifi , climatisation</t>
  </si>
  <si>
    <t>NaRo7801BG</t>
  </si>
  <si>
    <t>1ec2eebf</t>
  </si>
  <si>
    <t>galerie::galerie_Images/a70f69cb.Path.093650.png</t>
  </si>
  <si>
    <t>CSC412HT@</t>
  </si>
  <si>
    <t xml:space="preserve"> Chemin Bastian</t>
  </si>
  <si>
    <t>0692948583</t>
  </si>
  <si>
    <t>grand espace , frigo , bancs</t>
  </si>
  <si>
    <t>BrJo85834p</t>
  </si>
  <si>
    <t>353692DA38</t>
  </si>
  <si>
    <t>0692941773</t>
  </si>
  <si>
    <t>0E96E0F564</t>
  </si>
  <si>
    <t>Chemin Henri Cabeu</t>
  </si>
  <si>
    <t>-21.200528, 55.535928</t>
  </si>
  <si>
    <t>0693944284</t>
  </si>
  <si>
    <t>Si vous choisissez notre villa, nous serons très heureux de vous accueillir dans notre demeure qui est située à la Plaine des Câfres, dans un quartier résidentiel, au lieu-dit « Bois Court » proche du point de vue sur le Grand Bassin. Elle est prévue idéalement pour 12 adultes et 6 enfants, mais nous avons déjà accueilli 18 adultes, comme un groupe de 18 randonneurs ou une association d'artistes peintres de 18 personnes. Notre maison de 170 m², avec un très beau jardin gazonné, est équipée d'1 gazinière four, réfrigérateur, congélateur, four micro-onde, cafetière, grille pain, marmite à riz, vaisselle, ustensiles de cuisine, (…) avec une possibilité de cuisiner au feu de bois. Il faut prévoir son linge de maison: Serviettes de bain- draps- taies; cependant, le linge de maison (torchons -couettes et couvertures) est fourni.
Nous accueillons des clients depuis 2020 sur un autre site, mais nous avons décidé de nous inscrire sur Booking: nous aimons recevoir des clients, savoir qu'ils apprécient notre villa, qu'ils ont passé un bon séjour. Nous améliorons régulièrement notre maison, sur les aménagements intérieurs et extérieurs, sur la décoration et le jardin.
Notre maison vous permet de profiter de La Plaine des Câfres et de ses alentours: Belvédère de Bois Court, sentier du Grand Bassin, Cité du Volcan, Piton de la Fournaise, sentier botanique de Notre Dame de la Paix, Forêt de Bélouve, Sud de l’île. Les randonneurs se donneront donc à cœur joie de découvrir le sentier de Grand Bassin qui se situe à proximité, ou encore les sentiers qui mènent aux deux volcans de l'île (Le Piton des Neiges et le Piton de la Fournaise). De nombreuses activités sportives sont également proposées dans le secteur: VTT, équitation, randonnées, quad, paintball… Le centre ville se trouve à 5 km et vous permet d'accéder rapidement des commodités dont vous pouvez avoir besoin (supermarchés, pharmacie, médecins, station service, charcuterie, poste, église ...)</t>
  </si>
  <si>
    <t>chauffage , jardin , parking , wifi , vue montagne , Cafetière , cuisine équipée , salon , barbecue , four , micro-ondes , TV , Lit parapluie sur demande , fer et planche à repasser , linge de maison , lave vaisselle , linge de toilette , douche , frigo , terrasse , plaque de cuisson , baignoire , accessible aux personnes à mobilité réduite , lave-linge , cuisine extérieur , Salle de jeux , mobilier d'extérieur</t>
  </si>
  <si>
    <t>BoBe4284fh</t>
  </si>
  <si>
    <t>bca14b1c</t>
  </si>
  <si>
    <t>galerie::galerie_Images/093fbda0.Path.112146.jpg</t>
  </si>
  <si>
    <t>Chemin Montserin</t>
  </si>
  <si>
    <t>0692550727</t>
  </si>
  <si>
    <t>SeDa0727Qb</t>
  </si>
  <si>
    <t>0adcbb72</t>
  </si>
  <si>
    <t>galerie::galerie_Images/05f60c6a.Path.124922.jpg</t>
  </si>
  <si>
    <t>D70</t>
  </si>
  <si>
    <t>0692605206</t>
  </si>
  <si>
    <t>SeBe5206gs</t>
  </si>
  <si>
    <t>4d0eb65b</t>
  </si>
  <si>
    <t xml:space="preserve">Le Citron Galet </t>
  </si>
  <si>
    <t>chloelallemand07@gmail.com</t>
  </si>
  <si>
    <t>0262370613</t>
  </si>
  <si>
    <t>0693806435</t>
  </si>
  <si>
    <t>LaGe6435Tb</t>
  </si>
  <si>
    <t>bd8143e4</t>
  </si>
  <si>
    <t>CSC364HT@</t>
  </si>
  <si>
    <t xml:space="preserve">Le Cone Volcanique </t>
  </si>
  <si>
    <t>route Alfred La Croix - RN 3</t>
  </si>
  <si>
    <t>-21.207331, 55.567502</t>
  </si>
  <si>
    <t>0692188614</t>
  </si>
  <si>
    <t>grande maison 5 chambres comprenant 3 wc 2 salles de bains une grande cuisine 1 salon</t>
  </si>
  <si>
    <t>DuRe8614Vr</t>
  </si>
  <si>
    <t>a38b1f88</t>
  </si>
  <si>
    <t>galerie::galerie_Images/c67a6ad6.Path.074900.jpg</t>
  </si>
  <si>
    <t xml:space="preserve">Les Figuiers </t>
  </si>
  <si>
    <t>6 Allée Jacques Lougnon</t>
  </si>
  <si>
    <t>-21.264461, 55.496899</t>
  </si>
  <si>
    <t>0692082677</t>
  </si>
  <si>
    <t>tSt2677vw</t>
  </si>
  <si>
    <t>bbb49034</t>
  </si>
  <si>
    <t xml:space="preserve"> Rue du Général de Gaulle</t>
  </si>
  <si>
    <t>0692946131</t>
  </si>
  <si>
    <t>ViCH6131Zp</t>
  </si>
  <si>
    <t>726a9d01</t>
  </si>
  <si>
    <t>-21.242582, 55.467005</t>
  </si>
  <si>
    <t>hoarys@hotmail.fr</t>
  </si>
  <si>
    <t>0692 60 86 51</t>
  </si>
  <si>
    <t>HGL Location de voiture 🌴
Un séjour sur l'île prévu ? 🔍
Un véhicule en panne ? 🔧</t>
  </si>
  <si>
    <t>HoGi8651MV</t>
  </si>
  <si>
    <t>a980767c</t>
  </si>
  <si>
    <t>galerie::galerie_Images/73198491.Path.072841.png</t>
  </si>
  <si>
    <t>le prestataire n'utilise pas cette adresse pour échanger &gt; ginot.hoarau.gh@gmail.com</t>
  </si>
  <si>
    <t xml:space="preserve"> Chemin Chateau d'Eau</t>
  </si>
  <si>
    <t>0692606404</t>
  </si>
  <si>
    <t>parking , jardin , boutique</t>
  </si>
  <si>
    <t>HoHe6404Qn</t>
  </si>
  <si>
    <t>9c616a2e</t>
  </si>
  <si>
    <t>0262396956</t>
  </si>
  <si>
    <t>DiCh6956Du</t>
  </si>
  <si>
    <t>f30aac5b</t>
  </si>
  <si>
    <t xml:space="preserve"> Chemin Corbeille d'Or</t>
  </si>
  <si>
    <t>0262973185</t>
  </si>
  <si>
    <t>0692351603</t>
  </si>
  <si>
    <t>piscine , jardin clôturé , parking sécurisé , TV , accès internet , cuisine équipée , cuisine au bois , barbecue , linge de maison</t>
  </si>
  <si>
    <t>LeFr1603Bg</t>
  </si>
  <si>
    <t>356E0C566A</t>
  </si>
  <si>
    <t>CSC397HT@</t>
  </si>
  <si>
    <t xml:space="preserve">Le Blue soleil appart </t>
  </si>
  <si>
    <t>Rue Alexandre Flemming, appartement 85</t>
  </si>
  <si>
    <t>-21.273232, 55.527259</t>
  </si>
  <si>
    <t>0692685861</t>
  </si>
  <si>
    <t>Appartement T2 de 53 m2 en rez-de-jardin, dans une résidence sécurisée et calme à quelques minutes du centre-ville du Tampon, proche de toutes commodités, entièrement meublé (lave-linge, sèche-linge) composé d’une cuisine toute équipée, d’une chambre avec placard, salle de bain et WC séparés, une pièce à vivre (salon, salle à manger), et varangue de 10 m2 avec jardin privatif. 
1 place de parking, linge de maison fourni.
Caution exigée, frais de ménage facturés selon l'état de l'appartement à votre départ</t>
  </si>
  <si>
    <t>Le Blue Soleil Appart</t>
  </si>
  <si>
    <t>accès internet , parking , linge de maison , lave-linge , sèche-linge , cuisine équipée , varangue</t>
  </si>
  <si>
    <t>LaSo5861kH</t>
  </si>
  <si>
    <t>1f40e500</t>
  </si>
  <si>
    <t>galerie::galerie_Images/418dae0a.Path.094452.jpg</t>
  </si>
  <si>
    <t>CSC407HT@</t>
  </si>
  <si>
    <t>Entre Mer et Montagne - Meublé "Mer"</t>
  </si>
  <si>
    <t>-21.265774, 55.502705</t>
  </si>
  <si>
    <t>0693428268</t>
  </si>
  <si>
    <t>Le meublé mer est composé  :
• d’une cuisine tout équipée : table et chaises en teck, plaque 4 feux, autocuiseur, réfrigérateur/congélateur, micro-ondes, cafetière, vaisselle
• d’un salon : TV écran plat LCD de 82 cm avec la TNT, un canapé lit BZ 2 places
• d’une chambre avec lit double et grand placard en chêne massif
• d’une salle d’eau contemporaine avec douche, sèche-cheveux
• d’une grande terrasse semi couverte avec vue sur mer et montagne comportant table et chaises en résine tressée, barbecue
****
Chaque logement dispose d’une cuisine tout équipée et d’une généreuse terrasse.
Une piscine sécurisée, située en retrait est à la disposition des résidents des trois logements.
Chaque meublé bénéficie de la connexion wifi et d’une place de parking.
L’équipement bébé (lit parapluie + chaise haute) est fourni sur demande sans supplément.
Les meublés ne sont pas accessibles aux PMR en fauteuil roulant. Pour toutes autres PMR veuillez nous contacter.
Une piscine sécurisée, située en retrait est à la disposition des résidents des trois logements.</t>
  </si>
  <si>
    <t>Situés au Tampon, au fond d’une impasse, dans un cadre verdoyant, vous apprécierez l’accueil chaleureux de ses hôtes, son calme et son climat tempéré été comme hiver, loin de la chaleur côtière ou de la fraicheur des hauts.
Trois spacieux meublés à thème, de décoration soignée, indépendants situés dans une charmante villa créole, vous sont proposés :
MER, MONTAGNE et VOLCAN</t>
  </si>
  <si>
    <t>Trois-Mares, rue Rapahel Babet</t>
  </si>
  <si>
    <t>1cdd51ca</t>
  </si>
  <si>
    <t>galerie::galerie_Images/8e346a5f.Path.095013.jpg</t>
  </si>
  <si>
    <t>Route Departemental 26</t>
  </si>
  <si>
    <t>-21.256019, 55.465658</t>
  </si>
  <si>
    <t>0692670684</t>
  </si>
  <si>
    <t>Villa à proximité du village de l'Entre-Deux avec vue sur les montagnes. Il y a 2 chambres, 1 salon, 1 cuisine équipée, 1 salle de bain avec douche italienne, 1 petite cour devant et une terrasse pergola à l'arrière avec plancha.</t>
  </si>
  <si>
    <t>Ma petite maison - style chalet</t>
  </si>
  <si>
    <t>Située sur la départementale</t>
  </si>
  <si>
    <t>terrasse , parking , accès internet</t>
  </si>
  <si>
    <t>AbJe0684q9</t>
  </si>
  <si>
    <t>de52122d</t>
  </si>
  <si>
    <t>galerie::galerie_Images/179dbb15.Path.060704.jpg</t>
  </si>
  <si>
    <t>CSC405HT@</t>
  </si>
  <si>
    <t>-21.198116, 55.577736</t>
  </si>
  <si>
    <t xml:space="preserve">ticazloc@orange.fr </t>
  </si>
  <si>
    <t>0692687996</t>
  </si>
  <si>
    <t>La villa dispose de 3 chambres avec chacune sa salle d'eau, préservant l'intimité de chaque personne.
Chambre 1 : 1 lit double
Chambre 2 : 1 lit double
Chambre 3 : 2 lits simples
La pièce principale est complètement ouverte sur l'extérieur donnant ainsi une clarté et une sensation de "vie en plein air ".
Le revêtement extérieur est composé essentiellement de scories volcaniques ( lave refroidie, légère et fragmentée) typique au charme de la région. La Maison du Volcan est à 5 minutes à pieds.
Une cuisine extérieure est à votre disposition pour vos repas et grillades...Des tables et fauteuils de jardin également.
Pour passer le temps un mini espace de pétanque est mis à votre disposition et enfin pour vous relaxer après vos randonnées, un jacuzzi vous est proposé pour une capacité de 5 personnes ( 2 places allongées et 3 assises ).</t>
  </si>
  <si>
    <t>My Home Villa</t>
  </si>
  <si>
    <t>chauffage , jardin , parking , wifi , cuisine équipée , salon , barbecue , four , TV , fer et planche à repasser , jacuzzi , vue montagne , linge de maison , lave vaisselle , linge de toilette , frigo , sèche-cheveux , bouilloire , cheminée</t>
  </si>
  <si>
    <t>sentier de randonnée,commerce alimentaire,équitation,point de vue panoramique,sentier de grande randonnée</t>
  </si>
  <si>
    <t>airbnb,site internet</t>
  </si>
  <si>
    <t>OuJe7996e1</t>
  </si>
  <si>
    <t>0ac46bae</t>
  </si>
  <si>
    <t>CSC415HT@</t>
  </si>
  <si>
    <t>ya aussi un chalet</t>
  </si>
  <si>
    <t xml:space="preserve">Le P'tit Paille en Queue </t>
  </si>
  <si>
    <t>87 T</t>
  </si>
  <si>
    <t>-21.231131, 55.576831</t>
  </si>
  <si>
    <t>0262590366</t>
  </si>
  <si>
    <t>https://www.locationplainedescafres.com/pages/coordonnees.html#:~:text=LOCATION%20SAISONNIERE%20LE%20P'TIT%20PAILLE%20EN%20QUEUE,-%3F&amp;text=Pour%20vos%20moments%20de%20d%C3%A9tente,est%20de%2014%20personnes%20maximum.</t>
  </si>
  <si>
    <t>La maison comprend 4 chambres de 1 grand lit et un lit superposé.
Un lit parapluie est disponible pour bébé
Pour le coté pratique et améliorer votre confort, 2 salles de bain et 2 WC ont été prévus.
Elle est entièrement équipée : cuisinière, four, four micro onde, réfrigérateur, congélateur, marmite à riz, cafetière (senséo et classique), vaisselles, ustensiles de cuisine, TV et décodeur Parabole, barbecue, etc....
Merci de noter qu'il n'y a pas de wifi
La cuisine extérieure vous permettra au choix de cuisiner un bon carry au feu de bois ou à gaz (2 feux tripatte)
Une table de Ping-Pong, billard et un Babby Foot vous attendent pour passer des agréables moments.
Les couettes et les couvertures sont fournies.
Le linge de lit et de toilette sont disponibles pour ceux qui le souhaitent avec supplément.
TARIF TTC (y compris taxe de séjour et sans forfait linge de lit)
- Jusqu'à 9 personnes : 320 € pour 2 nuits (weekend ou en semaine) et 680 € la semaine complète ou 6 nuits. (vous avez accès à 3 chambres uniquement). Si vous voulez les 4 chambres, le tarif sera de 420 €.
Nuit supplémentaire : 110 €
- De 10 à 14 pers maxi ou 4 chambres : 420 € pour 2 nuits (weekend ou en semaine) et 820 € la semaine complète ou 6 nuits 
Nuit supplémentaire : 150 €
Facultatif : Forfait draps à 50 € et forfait serviettes à 30 €
La location pour une seule nuit sera accordée de façon exceptionnelle : 200 € (3 chambres, 9 pers max) et 300 € (4 chambres, 14 pers max).
La remise des clés se fait à partir de 14 h et la sortie au plus tard à 17h
Pour toute réservation, il faudra verser un acompte de 30 % minimum. Le solde est à régler au plus tard lors de la réception des clés.
Une caution de 300 € minimum sera demandée lors de la réception des clés.
Des frais de ménage de 50 € seront imputés sur la caution si le nettoyage n'est pas satisfaisant.</t>
  </si>
  <si>
    <t>Maison Le p'tit paille en queue</t>
  </si>
  <si>
    <t>"Le p'tit Paille en Queue" qui se situe à la Plaine des Cafres, chemin Notre Dame de la Paix, Petite Ferme.</t>
  </si>
  <si>
    <t>Cafetière , micro-ondes , cuisine équipée , cuisine au bois , cuisine extérieur , salon , salle à manger , salon de jardin , salle de bain , espace de restauration en extérieur , billard , babyfoot , dortoir</t>
  </si>
  <si>
    <t>sentier de randonnée,équitation,point de vue panoramique,forêt,arrêt bus,station service,Maison du Volcan</t>
  </si>
  <si>
    <t>Espèces,site internet,Le bon coin,Chèque,Virement</t>
  </si>
  <si>
    <t>87bf6189</t>
  </si>
  <si>
    <t>galerie::galerie_Images/8120b819.Path.095515.jpg</t>
  </si>
  <si>
    <t>-21.263057, 55.501685</t>
  </si>
  <si>
    <t>544ADBD273</t>
  </si>
  <si>
    <t>CSC404HT@</t>
  </si>
  <si>
    <t xml:space="preserve">Les Palmiers Verts </t>
  </si>
  <si>
    <t xml:space="preserve"> Chemin Fidelio Robert</t>
  </si>
  <si>
    <t>-21.267035, 55.528713</t>
  </si>
  <si>
    <t>0692691405</t>
  </si>
  <si>
    <t>HoSa1405jo</t>
  </si>
  <si>
    <t>67ff67ad</t>
  </si>
  <si>
    <t>galerie::galerie_Files_/38b95b60.Path.095720.webp</t>
  </si>
  <si>
    <t xml:space="preserve">La Plaine Escapade </t>
  </si>
  <si>
    <t>0692496210</t>
  </si>
  <si>
    <t>AjEm6210we</t>
  </si>
  <si>
    <t>46C482666E</t>
  </si>
  <si>
    <t>-21.260043, 55.515862</t>
  </si>
  <si>
    <t>0692582787</t>
  </si>
  <si>
    <t>GrPi2787iX</t>
  </si>
  <si>
    <t>3db0cf21</t>
  </si>
  <si>
    <t xml:space="preserve"> Rue De La Balance</t>
  </si>
  <si>
    <t>0262480539</t>
  </si>
  <si>
    <t>0692661098</t>
  </si>
  <si>
    <t>BeJe1098qZ</t>
  </si>
  <si>
    <t>75C5E67EE0</t>
  </si>
  <si>
    <t xml:space="preserve">La Roulotte Géante </t>
  </si>
  <si>
    <t>Roulotte</t>
  </si>
  <si>
    <t xml:space="preserve"> Chemin Rosemond</t>
  </si>
  <si>
    <t>-21.230846, 55.568268</t>
  </si>
  <si>
    <t>0692 46 62 61</t>
  </si>
  <si>
    <t>Nous louons deux adorables chalets très fonctionnels et équipés. Ils sont loin de toutes circulations tout en restant très accessibles ( chemin privé ) aux vacanciers. 
Nous sommes situés à 5 min en voiture du centre de la Plaine Des Cafres et donc proche de toutes les commodités ( supérettes, pharmacie, pâtisserie, ... ). 
Les extérieurs sont équipés d'un espace de jeux aménagés pour les enfants , d'un coin cuisine/ barbecue et d'un kiosque. 
Le bivouac est possible en complément de la location d'un chalet. Il est à 8 euros / nuit /personnes. 
N'hésitez pas à nous contacter pour plus d'informations .</t>
  </si>
  <si>
    <t>vue montagne , terrasse , mobilier d'extérieur , barbecue , chauffage , douche , TV , four , frigo , micro-ondes , plaque de cuisson , cuisine , jeux , jardin , parking , climatisation , Cafetière</t>
  </si>
  <si>
    <t>restaurants,sentier de randonnée,route pour aller au volcan,forêt tamarhauts</t>
  </si>
  <si>
    <t>ViYa6261EQ</t>
  </si>
  <si>
    <t>c4df8a88</t>
  </si>
  <si>
    <t>galerie::galerie_Images/93cacd3a.Path.100339.jpg</t>
  </si>
  <si>
    <t xml:space="preserve"> Rue De La Marine</t>
  </si>
  <si>
    <t>0692598186</t>
  </si>
  <si>
    <t>8186p5</t>
  </si>
  <si>
    <t>723E3DA150</t>
  </si>
  <si>
    <t xml:space="preserve"> Rue Eugène Michel</t>
  </si>
  <si>
    <t>0693823253</t>
  </si>
  <si>
    <t>FeSi3253V7</t>
  </si>
  <si>
    <t>1459a4fa</t>
  </si>
  <si>
    <t>Ti Kaz Tranquil (FERME DEFINITIVEMENT)</t>
  </si>
  <si>
    <t>-21.370174, 55.722339</t>
  </si>
  <si>
    <t>0692251689</t>
  </si>
  <si>
    <t>accès internet , parking</t>
  </si>
  <si>
    <t>MuJi1689uM</t>
  </si>
  <si>
    <t>0cb5c40b</t>
  </si>
  <si>
    <t>0692589294</t>
  </si>
  <si>
    <t>0692880722</t>
  </si>
  <si>
    <t>Maison en pleine nature avec vue à proximité des sentiers</t>
  </si>
  <si>
    <t>Accessible par divers sentiers (sentier Bœuf la Chapelle, sentier de la Grande Jument, sentier du Zèbre...) ou la piste 4*4*. C'est aussi accessible aux personnes handicapées.</t>
  </si>
  <si>
    <t>français,créole,Français</t>
  </si>
  <si>
    <t>FoJe4605lq</t>
  </si>
  <si>
    <t>8ef049a8</t>
  </si>
  <si>
    <t>galerie::galerie_Images/d430b0b0.Path.061015.jpg</t>
  </si>
  <si>
    <t>Le tarif est à 25 euros par nuit et par personne. Le prestataire indique que pour 25 euros de plus, le repas du soir et le petit déjeuner est compris. De plus, le repas du midi est à 20 euros par personne.</t>
  </si>
  <si>
    <t xml:space="preserve"> Rue Roland Garros</t>
  </si>
  <si>
    <t>0262234545</t>
  </si>
  <si>
    <t>AuJu4545vD</t>
  </si>
  <si>
    <t>0E7FA0A568</t>
  </si>
  <si>
    <t>0692601489</t>
  </si>
  <si>
    <t>jardin , parking , cuisine équipée , veranda couverte</t>
  </si>
  <si>
    <t>AmMa1489JO</t>
  </si>
  <si>
    <t>69D30F1052</t>
  </si>
  <si>
    <t>0693309909</t>
  </si>
  <si>
    <t>HoNi9909hw</t>
  </si>
  <si>
    <t>b5d2df51</t>
  </si>
  <si>
    <t xml:space="preserve"> Chemin Notre-Dame-de-la-Paix</t>
  </si>
  <si>
    <t>-21.226088, 55.572232</t>
  </si>
  <si>
    <t>0692013364</t>
  </si>
  <si>
    <t>PaGu3364O2</t>
  </si>
  <si>
    <t>c99ea819</t>
  </si>
  <si>
    <t>galerie::galerie_Images/cd29476d.Path.100810.jpg</t>
  </si>
  <si>
    <t>CSC414HT@</t>
  </si>
  <si>
    <t>0693472068</t>
  </si>
  <si>
    <t>1A4D5A2DB6</t>
  </si>
  <si>
    <t xml:space="preserve">La Villa Dany </t>
  </si>
  <si>
    <t>233 A</t>
  </si>
  <si>
    <t>-21.248797, 55.514937</t>
  </si>
  <si>
    <t>0692 32 64 83</t>
  </si>
  <si>
    <t>Elle se compose de 4 chambres, d'une cuisine équipée, d'une salle bain, d'une piscine chauffée, d'un spa, d'un barbecue ...
Les chambres et la cuisine sont toutes équipées.
Le linge de maison ainsi que les serviettes de toilettes sont à prévoir.</t>
  </si>
  <si>
    <t>Villa Dany</t>
  </si>
  <si>
    <t>piscine , parking , SPA</t>
  </si>
  <si>
    <t>PaCi6483tI</t>
  </si>
  <si>
    <t>2c54571b</t>
  </si>
  <si>
    <t>galerie::galerie_Images/31392b52.Path.115549.jpg</t>
  </si>
  <si>
    <t>CSC418HT@</t>
  </si>
  <si>
    <t>Rue Grand Fond intérieur</t>
  </si>
  <si>
    <t>0692765244</t>
  </si>
  <si>
    <t>PrOl52446b</t>
  </si>
  <si>
    <t>3e7c0372</t>
  </si>
  <si>
    <t xml:space="preserve">Bengali  </t>
  </si>
  <si>
    <t>close_1</t>
  </si>
  <si>
    <t>97caf91a-a0b8-4698-a791-e05c0c77a98d</t>
  </si>
  <si>
    <t xml:space="preserve">, </t>
  </si>
  <si>
    <t>close_2</t>
  </si>
  <si>
    <t xml:space="preserve">Mielina  </t>
  </si>
  <si>
    <t>close_3</t>
  </si>
  <si>
    <t>close_4</t>
  </si>
  <si>
    <t xml:space="preserve">Coeur Voyageur  </t>
  </si>
  <si>
    <t>close_5</t>
  </si>
  <si>
    <t>2994153c-0e7f-47c8-9813-49437b257f60</t>
  </si>
  <si>
    <t xml:space="preserve">Acacia Bleu  </t>
  </si>
  <si>
    <t>close_6</t>
  </si>
  <si>
    <t>close_7</t>
  </si>
  <si>
    <t>Abnezia</t>
  </si>
  <si>
    <t>close_8</t>
  </si>
  <si>
    <t>close_9</t>
  </si>
  <si>
    <t xml:space="preserve">Relais - Chez Ti' Rose  </t>
  </si>
  <si>
    <t>close_10</t>
  </si>
  <si>
    <t>69a0d50b-f7e3-4145-81ce-53cfe73223b7</t>
  </si>
  <si>
    <t>close_11</t>
  </si>
  <si>
    <t xml:space="preserve">Calypso  </t>
  </si>
  <si>
    <t>close_12</t>
  </si>
  <si>
    <t>bf84f98a-8ea6-4d51-8606-886b3ed700b5</t>
  </si>
  <si>
    <t>close_13</t>
  </si>
  <si>
    <t>close_14</t>
  </si>
  <si>
    <t>close_15</t>
  </si>
  <si>
    <t>589eb137-58a6-44c5-9329-0489578463f0</t>
  </si>
  <si>
    <t xml:space="preserve">Oiseau de Mer  </t>
  </si>
  <si>
    <t>close_16</t>
  </si>
  <si>
    <t>17f5c4ab-c8bf-4eec-a519-0a538489475d</t>
  </si>
  <si>
    <t>close_17</t>
  </si>
  <si>
    <t xml:space="preserve">Médina du Sud  </t>
  </si>
  <si>
    <t>close_18</t>
  </si>
  <si>
    <t>8389d297-d4bf-40d4-a972-9b1361ce061e</t>
  </si>
  <si>
    <t xml:space="preserve">Lotus  </t>
  </si>
  <si>
    <t>close_19</t>
  </si>
  <si>
    <t>60034c26-e63e-4d7e-8ab2-6392684b7908</t>
  </si>
  <si>
    <t xml:space="preserve">Grand Bleu  </t>
  </si>
  <si>
    <t>close_20</t>
  </si>
  <si>
    <t>2706487f-02b9-41f8-9a99-b198e9a7506e</t>
  </si>
  <si>
    <t>close_21</t>
  </si>
  <si>
    <t>close_22</t>
  </si>
  <si>
    <t>close_23</t>
  </si>
  <si>
    <t xml:space="preserve">Ambroisie  </t>
  </si>
  <si>
    <t>close_24</t>
  </si>
  <si>
    <t>Anaka</t>
  </si>
  <si>
    <t>close_25</t>
  </si>
  <si>
    <t xml:space="preserve">Bel'Eden  </t>
  </si>
  <si>
    <t>close_26</t>
  </si>
  <si>
    <t>close_27</t>
  </si>
  <si>
    <t xml:space="preserve">Baies Roses du 17ème  </t>
  </si>
  <si>
    <t>close_28</t>
  </si>
  <si>
    <t>CLEUX ALFRED</t>
  </si>
  <si>
    <t>close_29</t>
  </si>
  <si>
    <t>close_30</t>
  </si>
  <si>
    <t xml:space="preserve">Victoria  </t>
  </si>
  <si>
    <t>close_31</t>
  </si>
  <si>
    <t xml:space="preserve">Belvédère  </t>
  </si>
  <si>
    <t>close_32</t>
  </si>
  <si>
    <t>82ed8ef7-7326-4ccc-ad81-fe7ad4e9c56a</t>
  </si>
  <si>
    <t>close_33</t>
  </si>
  <si>
    <t>Chez Dan's 2</t>
  </si>
  <si>
    <t>close_34</t>
  </si>
  <si>
    <t>close_35</t>
  </si>
  <si>
    <t xml:space="preserve">2 Chênes  </t>
  </si>
  <si>
    <t>close_36</t>
  </si>
  <si>
    <t>close_37</t>
  </si>
  <si>
    <t xml:space="preserve">Accueil  </t>
  </si>
  <si>
    <t>close_38</t>
  </si>
  <si>
    <t>close_39</t>
  </si>
  <si>
    <t>2152b4fd-db99-43f1-b862-49acb5383003</t>
  </si>
  <si>
    <t xml:space="preserve">Sapins Bleus  </t>
  </si>
  <si>
    <t>close_40</t>
  </si>
  <si>
    <t>close_41</t>
  </si>
  <si>
    <t>close_42</t>
  </si>
  <si>
    <t>Ti Kaz Grondin</t>
  </si>
  <si>
    <t>close_43</t>
  </si>
  <si>
    <t>close_44</t>
  </si>
  <si>
    <t xml:space="preserve">Epidendrums  </t>
  </si>
  <si>
    <t>close_45</t>
  </si>
  <si>
    <t>close_46</t>
  </si>
  <si>
    <t>Joli Ti Kaz</t>
  </si>
  <si>
    <t>close_47</t>
  </si>
  <si>
    <t xml:space="preserve">Bertha  </t>
  </si>
  <si>
    <t>close_48</t>
  </si>
  <si>
    <t>close_49</t>
  </si>
  <si>
    <t>Ti Case Les Hauts</t>
  </si>
  <si>
    <t>close_50</t>
  </si>
  <si>
    <t xml:space="preserve">Camellias  </t>
  </si>
  <si>
    <t>close_51</t>
  </si>
  <si>
    <t>close_52</t>
  </si>
  <si>
    <t xml:space="preserve">Ficus  </t>
  </si>
  <si>
    <t>close_53</t>
  </si>
  <si>
    <t>close_54</t>
  </si>
  <si>
    <t>d60f8260-816d-4a65-a57c-28d7f8d97123</t>
  </si>
  <si>
    <t xml:space="preserve">4 Epices  </t>
  </si>
  <si>
    <t>close_55</t>
  </si>
  <si>
    <t xml:space="preserve">Tibouchina  </t>
  </si>
  <si>
    <t>close_56</t>
  </si>
  <si>
    <t xml:space="preserve">Volcania  </t>
  </si>
  <si>
    <t>close_57</t>
  </si>
  <si>
    <t xml:space="preserve">Hortensias  </t>
  </si>
  <si>
    <t>close_58</t>
  </si>
  <si>
    <t>f0fe98eb-9581-4f95-b736-1dd518b8b2db</t>
  </si>
  <si>
    <t xml:space="preserve">Epidor  </t>
  </si>
  <si>
    <t>close_59</t>
  </si>
  <si>
    <t>Chez Nathalie</t>
  </si>
  <si>
    <t>close_60</t>
  </si>
  <si>
    <t>da350c55-b238-4ea4-b570-6fc8d8424a5b</t>
  </si>
  <si>
    <t>close_61</t>
  </si>
  <si>
    <t xml:space="preserve">Passion du Chalet  </t>
  </si>
  <si>
    <t>close_62</t>
  </si>
  <si>
    <t>close_63</t>
  </si>
  <si>
    <t>close_64</t>
  </si>
  <si>
    <t xml:space="preserve">Framboisiers  </t>
  </si>
  <si>
    <t>close_65</t>
  </si>
  <si>
    <t>close_66</t>
  </si>
  <si>
    <t xml:space="preserve">Etoile des Neiges  </t>
  </si>
  <si>
    <t>close_67</t>
  </si>
  <si>
    <t>ef9cff90-284c-4070-82a0-6fdd7aff05c4</t>
  </si>
  <si>
    <t xml:space="preserve">Rosier  </t>
  </si>
  <si>
    <t>close_68</t>
  </si>
  <si>
    <t xml:space="preserve">Rosier </t>
  </si>
  <si>
    <t>close_69</t>
  </si>
  <si>
    <t>close_70</t>
  </si>
  <si>
    <t xml:space="preserve">Oasis des Senteurs  </t>
  </si>
  <si>
    <t>close_71</t>
  </si>
  <si>
    <t xml:space="preserve">Case Soleil  </t>
  </si>
  <si>
    <t>close_72</t>
  </si>
  <si>
    <t>e00cf419-ba9f-4832-bfef-4f5d9585caa7</t>
  </si>
  <si>
    <t xml:space="preserve">Bougainvillier  </t>
  </si>
  <si>
    <t>close_73</t>
  </si>
  <si>
    <t>close_74</t>
  </si>
  <si>
    <t>close_75</t>
  </si>
  <si>
    <t>close_76</t>
  </si>
  <si>
    <t xml:space="preserve">Domaine d'Eglantine  </t>
  </si>
  <si>
    <t>close_77</t>
  </si>
  <si>
    <t>close_78</t>
  </si>
  <si>
    <t>close_79</t>
  </si>
  <si>
    <t>close_80</t>
  </si>
  <si>
    <t>765239d7-5897-4c52-aa7c-549ea55dd3d1</t>
  </si>
  <si>
    <t xml:space="preserve">Source des Goyaviers  </t>
  </si>
  <si>
    <t>close_81</t>
  </si>
  <si>
    <t>close_82</t>
  </si>
  <si>
    <t>close_83</t>
  </si>
  <si>
    <t>Bunga'Flo</t>
  </si>
  <si>
    <t>close_84</t>
  </si>
  <si>
    <t>close_85</t>
  </si>
  <si>
    <t>BDM</t>
  </si>
  <si>
    <t>close_86</t>
  </si>
  <si>
    <t xml:space="preserve">Boutique de la Réunion  </t>
  </si>
  <si>
    <t>close_87</t>
  </si>
  <si>
    <t>57d46d61-2d00-41d2-8e67-4401a45d8b2e</t>
  </si>
  <si>
    <t xml:space="preserve">Cocotier  </t>
  </si>
  <si>
    <t>close_88</t>
  </si>
  <si>
    <t>close_89</t>
  </si>
  <si>
    <t>3868a7db-4897-4f2e-8da1-93838e07271b</t>
  </si>
  <si>
    <t>Manacoël   / Oiseau du Paradis</t>
  </si>
  <si>
    <t>close_90</t>
  </si>
  <si>
    <t>dff16601-d842-47ed-b35c-22e093fa777d</t>
  </si>
  <si>
    <t>close_91</t>
  </si>
  <si>
    <t>007db119-f999-4ffd-b00f-5577acaf5eff</t>
  </si>
  <si>
    <t>close_92</t>
  </si>
  <si>
    <t>Espace Yishudan</t>
  </si>
  <si>
    <t>close_93</t>
  </si>
  <si>
    <t>afdac8f1-938c-409a-bde2-12610b4fad3c</t>
  </si>
  <si>
    <t>close_94</t>
  </si>
  <si>
    <t xml:space="preserve">Eden  </t>
  </si>
  <si>
    <t>close_95</t>
  </si>
  <si>
    <t>dd4e3915-fd46-4d88-a643-8d78d0c9c7bd</t>
  </si>
  <si>
    <t>close_96</t>
  </si>
  <si>
    <t>8a5d9629-117f-46bb-80a4-81a1b41aff0c</t>
  </si>
  <si>
    <t>close_97</t>
  </si>
  <si>
    <t>close_98</t>
  </si>
  <si>
    <t>Yolaine Artisanat</t>
  </si>
  <si>
    <t>close_99</t>
  </si>
  <si>
    <t>close_100</t>
  </si>
  <si>
    <t>close_101</t>
  </si>
  <si>
    <t>close_102</t>
  </si>
  <si>
    <t>close_103</t>
  </si>
  <si>
    <t>close_104</t>
  </si>
  <si>
    <t>Aux quat cuit d'un swar</t>
  </si>
  <si>
    <t>close_105</t>
  </si>
  <si>
    <t xml:space="preserve">Fée du bien  </t>
  </si>
  <si>
    <t>close_106</t>
  </si>
  <si>
    <t>Institut Stéphanie B</t>
  </si>
  <si>
    <t>close_107</t>
  </si>
  <si>
    <t>7be79103-e95d-4af1-9d51-93a1e17df5de</t>
  </si>
  <si>
    <t>close_108</t>
  </si>
  <si>
    <t>091adc30-90b3-4748-8125-d59760c33c2f</t>
  </si>
  <si>
    <t>close_109</t>
  </si>
  <si>
    <t>78150f19-cce0-4ef7-b5d1-e4fe67e7b3ae</t>
  </si>
  <si>
    <t>close_110</t>
  </si>
  <si>
    <t>close_111</t>
  </si>
  <si>
    <t>96bc5f69-69fe-4394-8d09-4ab727c0e2dd</t>
  </si>
  <si>
    <t>close_112</t>
  </si>
  <si>
    <t>-21.200715, 55.535467</t>
  </si>
  <si>
    <t>close_113</t>
  </si>
  <si>
    <t>Cabriolane</t>
  </si>
  <si>
    <t>close_114</t>
  </si>
  <si>
    <t>close_115</t>
  </si>
  <si>
    <t>Aiki Mushindo</t>
  </si>
  <si>
    <t>close_116</t>
  </si>
  <si>
    <t>close_117</t>
  </si>
  <si>
    <t>close_118</t>
  </si>
  <si>
    <t xml:space="preserve">Ateliers Bourbon  </t>
  </si>
  <si>
    <t>close_119</t>
  </si>
  <si>
    <t xml:space="preserve">Embériques  </t>
  </si>
  <si>
    <t>close_120</t>
  </si>
  <si>
    <t xml:space="preserve">Sens ciel  </t>
  </si>
  <si>
    <t>close_121</t>
  </si>
  <si>
    <t>801a12fd-ede5-4e95-ab2e-5b6503719569</t>
  </si>
  <si>
    <t>close_122</t>
  </si>
  <si>
    <t>close_123</t>
  </si>
  <si>
    <t xml:space="preserve">Hôtel Piton des Forges  </t>
  </si>
  <si>
    <t>close_124</t>
  </si>
  <si>
    <t>close_125</t>
  </si>
  <si>
    <t>close_126</t>
  </si>
  <si>
    <t>close_127</t>
  </si>
  <si>
    <t>close_128</t>
  </si>
  <si>
    <t>close_129</t>
  </si>
  <si>
    <t>close_130</t>
  </si>
  <si>
    <t>close_131</t>
  </si>
  <si>
    <t>close_132</t>
  </si>
  <si>
    <t>81e903bf-335a-46a6-a8fe-8fb16ef89321</t>
  </si>
  <si>
    <t>close_133</t>
  </si>
  <si>
    <t xml:space="preserve">Case O' Doudous  </t>
  </si>
  <si>
    <t>close_134</t>
  </si>
  <si>
    <t>0975e467-2831-4367-9ed8-ae68f994ed97</t>
  </si>
  <si>
    <t>close_135</t>
  </si>
  <si>
    <t>close_136</t>
  </si>
  <si>
    <t xml:space="preserve">Pluies D'or  </t>
  </si>
  <si>
    <t>close_137</t>
  </si>
  <si>
    <t xml:space="preserve">Grenouillère  </t>
  </si>
  <si>
    <t>close_138</t>
  </si>
  <si>
    <t>03452b35-4973-44e8-9ac5-aec329ac0d30</t>
  </si>
  <si>
    <t>close_139</t>
  </si>
  <si>
    <t>close_140</t>
  </si>
  <si>
    <t>close_141</t>
  </si>
  <si>
    <t>8b5b172d-5b48-4b22-a9d0-af85dada6eb2</t>
  </si>
  <si>
    <t xml:space="preserve">Tulipier  </t>
  </si>
  <si>
    <t>close_142</t>
  </si>
  <si>
    <t>close_143</t>
  </si>
  <si>
    <t>close_144</t>
  </si>
  <si>
    <t xml:space="preserve">Kauri  </t>
  </si>
  <si>
    <t>close_145</t>
  </si>
  <si>
    <t>close_146</t>
  </si>
  <si>
    <t xml:space="preserve">Cosy du Piton  </t>
  </si>
  <si>
    <t>close_147</t>
  </si>
  <si>
    <t>close_148</t>
  </si>
  <si>
    <t xml:space="preserve">Villa du Bonheur  </t>
  </si>
  <si>
    <t>chemin Luc Hoarau</t>
  </si>
  <si>
    <t>-21.270365, 55.494988</t>
  </si>
  <si>
    <t>correalain66@gmail.com</t>
  </si>
  <si>
    <t>0693203893</t>
  </si>
  <si>
    <t>Je vous ouvre ma porte sur un salon de 70m², qui vous ravira par son grand écran et ses jeux de sociétés. 
Je vous invite dans ma cuisine intérieure où vous trouverez tout le nécessaire pour vous concocter de bons petits plats.
Vous passerez de douces nuits dans mes 3 chambres avec lits doubles dont une chambre parentale équipée d'un grand écran avec Netflix.
Venez prendre votre petit déjeuner près d'une piscine naturelle privative et profitez du soleil sur mes transats avant un bon déjeuner préparé  par vos soins en extérieur.</t>
  </si>
  <si>
    <t>Venez découvrir "La Villa du Bonheur", un havre de paix où il fait bon vivre, dans le calme et la sérénité avec vos amis, votre famille.</t>
  </si>
  <si>
    <t>barbecue , piscine , jardin , four</t>
  </si>
  <si>
    <t>sentier de randonnée,parking public</t>
  </si>
  <si>
    <t>c4b66490</t>
  </si>
  <si>
    <t>9c355ca4</t>
  </si>
  <si>
    <t>galerie::galerie_Images/f3639900.Path.101004.jpg</t>
  </si>
  <si>
    <t>CSC340HT@</t>
  </si>
  <si>
    <t>59acab39-8c31-4b50-aa25-5874532b1669</t>
  </si>
  <si>
    <t>close_149</t>
  </si>
  <si>
    <t>close_150</t>
  </si>
  <si>
    <t>Accacia</t>
  </si>
  <si>
    <t>close_151</t>
  </si>
  <si>
    <t>close_152</t>
  </si>
  <si>
    <t>Souffleur d'Arbonne   1</t>
  </si>
  <si>
    <t>close_153</t>
  </si>
  <si>
    <t>Souffleur d'Arbonne   2</t>
  </si>
  <si>
    <t>close_154</t>
  </si>
  <si>
    <t>Desert Nathalie</t>
  </si>
  <si>
    <t>close_155</t>
  </si>
  <si>
    <t>close_156</t>
  </si>
  <si>
    <t>Gîte les Palmiers</t>
  </si>
  <si>
    <t>dole9606p</t>
  </si>
  <si>
    <t>close_157</t>
  </si>
  <si>
    <t>Régal Fruits</t>
  </si>
  <si>
    <t>close_158</t>
  </si>
  <si>
    <t xml:space="preserve">Fler Kann  </t>
  </si>
  <si>
    <t>close_159</t>
  </si>
  <si>
    <t>close_160</t>
  </si>
  <si>
    <t>f607d463-4918-4b69-afee-44443ba90564</t>
  </si>
  <si>
    <t>close_161</t>
  </si>
  <si>
    <t xml:space="preserve">Copacabana  </t>
  </si>
  <si>
    <t>close_162</t>
  </si>
  <si>
    <t>Ferme Feuille Songe</t>
  </si>
  <si>
    <t>close_163</t>
  </si>
  <si>
    <t xml:space="preserve">Capucines  </t>
  </si>
  <si>
    <t>close_164</t>
  </si>
  <si>
    <t xml:space="preserve">Kasali  </t>
  </si>
  <si>
    <t>close_165</t>
  </si>
  <si>
    <t>close_166</t>
  </si>
  <si>
    <t>close_167</t>
  </si>
  <si>
    <t xml:space="preserve">Manacoël  </t>
  </si>
  <si>
    <t>close_168</t>
  </si>
  <si>
    <t>cb21a168-01e6-4d6a-ac36-709b537be0e9</t>
  </si>
  <si>
    <t>Manacoël   / Palmier Fleurs de Canne</t>
  </si>
  <si>
    <t>close_169</t>
  </si>
  <si>
    <t xml:space="preserve">2 palmiers  </t>
  </si>
  <si>
    <t>close_170</t>
  </si>
  <si>
    <t>36d5269c-124f-4055-adc8-40b0c6ac0981</t>
  </si>
  <si>
    <t>close_171</t>
  </si>
  <si>
    <t>close_172</t>
  </si>
  <si>
    <t>VITRY François : toujours actif TDS car reversement en attente + courrier de fermeture non réceptionné
AS : Le prestataire a été appelé le 03/12/2021 mais ce dernier n'a pas répondu à mon appel. Le numéro composé est le suivant : 0692.86.06.71</t>
  </si>
  <si>
    <t>63e92c96-8b3f-493b-9d81-a0a68d362217</t>
  </si>
  <si>
    <t xml:space="preserve">Vanilliers  </t>
  </si>
  <si>
    <t>close_173</t>
  </si>
  <si>
    <t>close_174</t>
  </si>
  <si>
    <t>close_175</t>
  </si>
  <si>
    <t xml:space="preserve">Jam-Rosa  </t>
  </si>
  <si>
    <t>close_176</t>
  </si>
  <si>
    <t xml:space="preserve">P'tit Margouillat  </t>
  </si>
  <si>
    <t>close_177</t>
  </si>
  <si>
    <t>close_178</t>
  </si>
  <si>
    <t xml:space="preserve">Petite Tomie  </t>
  </si>
  <si>
    <t>close_179</t>
  </si>
  <si>
    <t xml:space="preserve">Camélias  </t>
  </si>
  <si>
    <t>close_180</t>
  </si>
  <si>
    <t>AS : 04/01/2022 =&gt; Envoi par mail du courrier type de déclaration de fermeture de structure
ML : fermeture faite au 10/01/2022 suite au reversement TDS + réception du courrier de fermeture</t>
  </si>
  <si>
    <t>eaed5e06-05ed-4b1b-9c60-4ffacd52af37</t>
  </si>
  <si>
    <t>close_181</t>
  </si>
  <si>
    <t xml:space="preserve">Case des Hauts  </t>
  </si>
  <si>
    <t>close_182</t>
  </si>
  <si>
    <t xml:space="preserve">Refuge du Tampon  </t>
  </si>
  <si>
    <t>close_183</t>
  </si>
  <si>
    <t xml:space="preserve">Bonne Cuisine  </t>
  </si>
  <si>
    <t>close_184</t>
  </si>
  <si>
    <t xml:space="preserve">Ferme d'El Pio  </t>
  </si>
  <si>
    <t>close_185</t>
  </si>
  <si>
    <t xml:space="preserve">Kaz Ti Gens  </t>
  </si>
  <si>
    <t>close_186</t>
  </si>
  <si>
    <t xml:space="preserve">Rivière des Sens  </t>
  </si>
  <si>
    <t>close_187</t>
  </si>
  <si>
    <t xml:space="preserve">Vague du Sud  </t>
  </si>
  <si>
    <t>close_188</t>
  </si>
  <si>
    <t xml:space="preserve">Canistel  </t>
  </si>
  <si>
    <t>close_189</t>
  </si>
  <si>
    <t xml:space="preserve">Murier Sauvage  </t>
  </si>
  <si>
    <t>close_190</t>
  </si>
  <si>
    <t>e02f0bca-84ac-427b-996d-16c37627c9c4</t>
  </si>
  <si>
    <t xml:space="preserve">Baril  </t>
  </si>
  <si>
    <t>close_191</t>
  </si>
  <si>
    <t>close_192</t>
  </si>
  <si>
    <t xml:space="preserve">Langevin  </t>
  </si>
  <si>
    <t>close_193</t>
  </si>
  <si>
    <t>close_194</t>
  </si>
  <si>
    <t>toujours actif plateforme TDS car pas de courrier de fermeture (relancé par mail par ML le 04/10/2021 + 12/11/2021)
AS : 22/11/2021 =&gt; Mme ETHEVE a été appelée pour faire le point concernant son courrier de fermeture de structure. 
AS : 30/11/2021 =&gt; Le prestataire est passé pour remettre son courrier de déclaration de fermeture de structure.</t>
  </si>
  <si>
    <t xml:space="preserve">Payanke  </t>
  </si>
  <si>
    <t>close_195</t>
  </si>
  <si>
    <t xml:space="preserve">Bambous  </t>
  </si>
  <si>
    <t>close_196</t>
  </si>
  <si>
    <t>close_197</t>
  </si>
  <si>
    <t xml:space="preserve">Hibiscus  </t>
  </si>
  <si>
    <t>close_198</t>
  </si>
  <si>
    <t>N'est pas vraiment fermé, en stand-by. La personne rencontrée, n'a pas voulu s'épancher sur le sujet.</t>
  </si>
  <si>
    <t xml:space="preserve">Saveurs de la Tonnelle  </t>
  </si>
  <si>
    <t>close_199</t>
  </si>
  <si>
    <t xml:space="preserve">Estanco  </t>
  </si>
  <si>
    <t>close_200</t>
  </si>
  <si>
    <t>close_201</t>
  </si>
  <si>
    <t>close_202</t>
  </si>
  <si>
    <t xml:space="preserve">Villa du Barrage - Chez Franco  </t>
  </si>
  <si>
    <t>close_203</t>
  </si>
  <si>
    <t xml:space="preserve">Rosiers  </t>
  </si>
  <si>
    <t>close_204</t>
  </si>
  <si>
    <t>Maison de la Cascade</t>
  </si>
  <si>
    <t>close_205</t>
  </si>
  <si>
    <t>en attente de reversement pour désactivation TDS // fermeture déjà déclarée en mairie
AS : J'ai appelé le prestataire le 03/12/2021 mais je n'ai eu personne au bout du fil. Le numéro appelé est le suivant : 0.692.70.97.33.</t>
  </si>
  <si>
    <t xml:space="preserve">Maison de l'Ananas  </t>
  </si>
  <si>
    <t>close_206</t>
  </si>
  <si>
    <t>close_208</t>
  </si>
  <si>
    <t>close_209</t>
  </si>
  <si>
    <t>close_210</t>
  </si>
  <si>
    <t>close_211</t>
  </si>
  <si>
    <t>close_212</t>
  </si>
  <si>
    <t>05069a1f-2c06-4a67-b301-ea392b6daf13</t>
  </si>
  <si>
    <t>close_213</t>
  </si>
  <si>
    <t>Parc Biologique Joseph Hubert   - Les Tisanes du Sud Sauvage</t>
  </si>
  <si>
    <t>close_214</t>
  </si>
  <si>
    <t>Chez Jasmine</t>
  </si>
  <si>
    <t>close_215</t>
  </si>
  <si>
    <t>close_216</t>
  </si>
  <si>
    <t>Multi Services Auto</t>
  </si>
  <si>
    <t>close_217</t>
  </si>
  <si>
    <t>Sud Alizé</t>
  </si>
  <si>
    <t>close_218</t>
  </si>
  <si>
    <t>Villa Ti Sable</t>
  </si>
  <si>
    <t>close_219</t>
  </si>
  <si>
    <t xml:space="preserve">Durentas  </t>
  </si>
  <si>
    <t>close_220</t>
  </si>
  <si>
    <t>close_221</t>
  </si>
  <si>
    <t>close_222</t>
  </si>
  <si>
    <t>close_223</t>
  </si>
  <si>
    <t xml:space="preserve">Café ou l'Arôme d'une Histoire  </t>
  </si>
  <si>
    <t>close_224</t>
  </si>
  <si>
    <t>close_225</t>
  </si>
  <si>
    <t>close_226</t>
  </si>
  <si>
    <t>28b5dee0-162d-4a02-b252-f357f29423d2</t>
  </si>
  <si>
    <t>close_227</t>
  </si>
  <si>
    <t>close_228</t>
  </si>
  <si>
    <t>P'tit Kaz Melda</t>
  </si>
  <si>
    <t>close_230</t>
  </si>
  <si>
    <t>close_231</t>
  </si>
  <si>
    <t xml:space="preserve">Demeure Créole  </t>
  </si>
  <si>
    <t>close_232</t>
  </si>
  <si>
    <t>close_233</t>
  </si>
  <si>
    <t>Saga Dojo</t>
  </si>
  <si>
    <t>close_234</t>
  </si>
  <si>
    <t>91ff2458-0f35-4173-934e-e532d97bbb39</t>
  </si>
  <si>
    <t>close_235</t>
  </si>
  <si>
    <t>1 Clé(s)</t>
  </si>
  <si>
    <t>close_236</t>
  </si>
  <si>
    <t xml:space="preserve">Tortue Jaune  </t>
  </si>
  <si>
    <t>close_237</t>
  </si>
  <si>
    <t xml:space="preserve">Roses  </t>
  </si>
  <si>
    <t>close_238</t>
  </si>
  <si>
    <t xml:space="preserve">Case  </t>
  </si>
  <si>
    <t>close_239</t>
  </si>
  <si>
    <t>5 Epi(s)</t>
  </si>
  <si>
    <t>close_240</t>
  </si>
  <si>
    <t>Ti Case Réunion</t>
  </si>
  <si>
    <t>close_241</t>
  </si>
  <si>
    <t xml:space="preserve">Case à Sylvie  </t>
  </si>
  <si>
    <t>close_242</t>
  </si>
  <si>
    <t>close_243</t>
  </si>
  <si>
    <t xml:space="preserve">Jolool  </t>
  </si>
  <si>
    <t>close_244</t>
  </si>
  <si>
    <t>Ti'Cazes La Roc</t>
  </si>
  <si>
    <t>close_245</t>
  </si>
  <si>
    <t>close_246</t>
  </si>
  <si>
    <t>close_247</t>
  </si>
  <si>
    <t xml:space="preserve">Volcano  </t>
  </si>
  <si>
    <t>close_248</t>
  </si>
  <si>
    <t>Agriculteur à Grand Coude</t>
  </si>
  <si>
    <t>close_249</t>
  </si>
  <si>
    <t xml:space="preserve">Chocas  </t>
  </si>
  <si>
    <t>close_250</t>
  </si>
  <si>
    <t>close_251</t>
  </si>
  <si>
    <t>94349433-2606-4279-902d-d9f3ad1da7a1</t>
  </si>
  <si>
    <t xml:space="preserve">Amandine  </t>
  </si>
  <si>
    <t>close_252</t>
  </si>
  <si>
    <t>e06f804f-a167-42ac-962b-99005dcca056</t>
  </si>
  <si>
    <t xml:space="preserve">Arcade  </t>
  </si>
  <si>
    <t>close_253</t>
  </si>
  <si>
    <t>50daaff5-9794-4989-bca5-bb9288c8a112</t>
  </si>
  <si>
    <t>close_254</t>
  </si>
  <si>
    <t>close_255</t>
  </si>
  <si>
    <t>close_256</t>
  </si>
  <si>
    <t>25f92687-46f2-4099-ab80-fbc48c3e6f71</t>
  </si>
  <si>
    <t>close_257</t>
  </si>
  <si>
    <t>Au fil du temps</t>
  </si>
  <si>
    <t>close_258</t>
  </si>
  <si>
    <t>1531a252-0a0f-40f7-9d9c-68a95d704e2c</t>
  </si>
  <si>
    <t>close_259</t>
  </si>
  <si>
    <t>close_260</t>
  </si>
  <si>
    <t xml:space="preserve">Bambino  </t>
  </si>
  <si>
    <t>close_261</t>
  </si>
  <si>
    <t>b6e99574-b042-42d2-b968-afb34442ee33</t>
  </si>
  <si>
    <t>close_262</t>
  </si>
  <si>
    <t>close_263</t>
  </si>
  <si>
    <t xml:space="preserve">Benjoin  </t>
  </si>
  <si>
    <t>close_264</t>
  </si>
  <si>
    <t xml:space="preserve">Bertelle  </t>
  </si>
  <si>
    <t>close_265</t>
  </si>
  <si>
    <t xml:space="preserve">Bonne Idée  </t>
  </si>
  <si>
    <t>close_266</t>
  </si>
  <si>
    <t xml:space="preserve">Carail  </t>
  </si>
  <si>
    <t>close_267</t>
  </si>
  <si>
    <t>close_268</t>
  </si>
  <si>
    <t>5da22be5-2fa7-4c1d-9a71-849a54abda02</t>
  </si>
  <si>
    <t>close_269</t>
  </si>
  <si>
    <t>close_270</t>
  </si>
  <si>
    <t>Cat &amp; Jy</t>
  </si>
  <si>
    <t>close_271</t>
  </si>
  <si>
    <t>close_272</t>
  </si>
  <si>
    <t>close_273</t>
  </si>
  <si>
    <t>close_274</t>
  </si>
  <si>
    <t>92db76fd-1d71-448a-8ab0-283f5a8f3027</t>
  </si>
  <si>
    <t>close_275</t>
  </si>
  <si>
    <t xml:space="preserve">Cho-Cho  </t>
  </si>
  <si>
    <t>close_276</t>
  </si>
  <si>
    <t xml:space="preserve">Cigales  </t>
  </si>
  <si>
    <t>close_277</t>
  </si>
  <si>
    <t>close_278</t>
  </si>
  <si>
    <t>close_279</t>
  </si>
  <si>
    <t>c30a9dcb-a7ff-4ea9-9033-739e7b09f1c1</t>
  </si>
  <si>
    <t>close_280</t>
  </si>
  <si>
    <t xml:space="preserve">Conti  </t>
  </si>
  <si>
    <t>close_281</t>
  </si>
  <si>
    <t>close_282</t>
  </si>
  <si>
    <t>close_283</t>
  </si>
  <si>
    <t>3d03ea2e-0dfd-441a-ae98-a5cc6d72f764</t>
  </si>
  <si>
    <t xml:space="preserve">Crête  </t>
  </si>
  <si>
    <t>close_284</t>
  </si>
  <si>
    <t>close_285</t>
  </si>
  <si>
    <t>close_286</t>
  </si>
  <si>
    <t>close_287</t>
  </si>
  <si>
    <t>close_288</t>
  </si>
  <si>
    <t>close_289</t>
  </si>
  <si>
    <t>Entre 2 Zescal</t>
  </si>
  <si>
    <t>close_290</t>
  </si>
  <si>
    <t>close_291</t>
  </si>
  <si>
    <t>a33f157a-a7c5-4642-810c-fd92b6b7a7c3</t>
  </si>
  <si>
    <t>close_292</t>
  </si>
  <si>
    <t xml:space="preserve">Flamboyant  </t>
  </si>
  <si>
    <t>close_293</t>
  </si>
  <si>
    <t>be3f71e3-4fc4-45af-bcf7-968f2688e8bf</t>
  </si>
  <si>
    <t>close_294</t>
  </si>
  <si>
    <t>close_295</t>
  </si>
  <si>
    <t>Frites Péi</t>
  </si>
  <si>
    <t>close_296</t>
  </si>
  <si>
    <t>8ac4e382-a9cd-4597-80e8-bb46bc669f81</t>
  </si>
  <si>
    <t xml:space="preserve">Gadjack  </t>
  </si>
  <si>
    <t>close_297</t>
  </si>
  <si>
    <t>6818feb6-9347-462b-a3fc-1c0443015a26</t>
  </si>
  <si>
    <t>close_298</t>
  </si>
  <si>
    <t>427a62a6-0e96-44d2-a9b1-ef81247fdd51</t>
  </si>
  <si>
    <t>close_299</t>
  </si>
  <si>
    <t>86baf029-d16c-4591-9dbe-3b9a443cad0b</t>
  </si>
  <si>
    <t>close_300</t>
  </si>
  <si>
    <t>close_301</t>
  </si>
  <si>
    <t>close_302</t>
  </si>
  <si>
    <t>close_303</t>
  </si>
  <si>
    <t xml:space="preserve">Hirondelle  </t>
  </si>
  <si>
    <t>close_304</t>
  </si>
  <si>
    <t>I-Tal Food</t>
  </si>
  <si>
    <t>close_305</t>
  </si>
  <si>
    <t xml:space="preserve">Ilot Perles  </t>
  </si>
  <si>
    <t>close_306</t>
  </si>
  <si>
    <t xml:space="preserve">Jardin des Délices  </t>
  </si>
  <si>
    <t>close_307</t>
  </si>
  <si>
    <t>close_308</t>
  </si>
  <si>
    <t xml:space="preserve">Kaïcia Snack  </t>
  </si>
  <si>
    <t>close_309</t>
  </si>
  <si>
    <t>close_310</t>
  </si>
  <si>
    <t>close_311</t>
  </si>
  <si>
    <t>a5585159-6d06-4acb-95ea-424223d2440d</t>
  </si>
  <si>
    <t>close_312</t>
  </si>
  <si>
    <t xml:space="preserve">Piton de l'Eau  </t>
  </si>
  <si>
    <t>close_313</t>
  </si>
  <si>
    <t xml:space="preserve">Long Board  </t>
  </si>
  <si>
    <t>close_314</t>
  </si>
  <si>
    <t>ec1cb4ea-8d9a-4ddc-a0b1-46269f7cf678</t>
  </si>
  <si>
    <t>close_315</t>
  </si>
  <si>
    <t>add35809-3d92-4fc1-bbc3-a60b795753f0</t>
  </si>
  <si>
    <t>close_316</t>
  </si>
  <si>
    <t>Mineral Creation</t>
  </si>
  <si>
    <t>close_317</t>
  </si>
  <si>
    <t>Mira Ceramik Art</t>
  </si>
  <si>
    <t>close_318</t>
  </si>
  <si>
    <t>712426ea-3d9b-4a4b-9ea9-07ac77d74c52</t>
  </si>
  <si>
    <t xml:space="preserve">Moulin Rouge  </t>
  </si>
  <si>
    <t>close_319</t>
  </si>
  <si>
    <t>O Paille en Queue</t>
  </si>
  <si>
    <t>close_320</t>
  </si>
  <si>
    <t>Oliv'Auto</t>
  </si>
  <si>
    <t>close_321</t>
  </si>
  <si>
    <t>close_322</t>
  </si>
  <si>
    <t xml:space="preserve">Panama  </t>
  </si>
  <si>
    <t>close_323</t>
  </si>
  <si>
    <t>close_324</t>
  </si>
  <si>
    <t>close_325</t>
  </si>
  <si>
    <t>Pizza Romeo</t>
  </si>
  <si>
    <t>close_326</t>
  </si>
  <si>
    <t>Pizzeria Chez Hubert</t>
  </si>
  <si>
    <t>close_327</t>
  </si>
  <si>
    <t xml:space="preserve">Poivrier  </t>
  </si>
  <si>
    <t>close_328</t>
  </si>
  <si>
    <t xml:space="preserve">Pti Paul Langevin  </t>
  </si>
  <si>
    <t>close_329</t>
  </si>
  <si>
    <t xml:space="preserve">Puits des Anglais  </t>
  </si>
  <si>
    <t>close_330</t>
  </si>
  <si>
    <t xml:space="preserve">Pussy Cat  </t>
  </si>
  <si>
    <t>close_331</t>
  </si>
  <si>
    <t>close_332</t>
  </si>
  <si>
    <t>close_333</t>
  </si>
  <si>
    <t>close_334</t>
  </si>
  <si>
    <t>353ffb17-6df9-4a6c-a65c-e815a22884ac</t>
  </si>
  <si>
    <t xml:space="preserve">Réveil du Village  </t>
  </si>
  <si>
    <t>close_335</t>
  </si>
  <si>
    <t>Riz Soleil</t>
  </si>
  <si>
    <t>close_336</t>
  </si>
  <si>
    <t>close_337</t>
  </si>
  <si>
    <t xml:space="preserve">Soucoupe Volante  </t>
  </si>
  <si>
    <t>close_338</t>
  </si>
  <si>
    <t xml:space="preserve">Souffleur d'Angel  </t>
  </si>
  <si>
    <t>close_339</t>
  </si>
  <si>
    <t>close_340</t>
  </si>
  <si>
    <t xml:space="preserve">Strada Pizza  </t>
  </si>
  <si>
    <t>close_341</t>
  </si>
  <si>
    <t>close_342</t>
  </si>
  <si>
    <t>close_343</t>
  </si>
  <si>
    <t>Ti Case à Pain</t>
  </si>
  <si>
    <t>close_344</t>
  </si>
  <si>
    <t>close_345</t>
  </si>
  <si>
    <t>close_346</t>
  </si>
  <si>
    <t>close_347</t>
  </si>
  <si>
    <t>close_348</t>
  </si>
  <si>
    <t xml:space="preserve">Villa Créole  </t>
  </si>
  <si>
    <t>close_349</t>
  </si>
  <si>
    <t>Zenanou</t>
  </si>
  <si>
    <t>close_350</t>
  </si>
  <si>
    <t xml:space="preserve"> Allée des Moellons</t>
  </si>
  <si>
    <t>-21.251473, 55.473955</t>
  </si>
  <si>
    <t>Dans une grande maison dans un jardin arboré, 2 chambre dans un étage avec salon privatif, et 1 chambre type studio complètement autonome au rdc.</t>
  </si>
  <si>
    <t>3 chambres dans une maison au calme dont 1 totalement individuelle :) Possibilité de manger des crêpes !</t>
  </si>
  <si>
    <t>Au village, dépassez la mairie, l'église, continuer vers ravine citrons, qq centaines de mètres plus loin, à gauche prendre la rue des corneilles, puis qq dizaines de mètres plus loin, prendre l'allée des moellons en contre bas sur la droite.</t>
  </si>
  <si>
    <t>climatisation , jacuzzi , jardin , TV , ventilateur , parking , salon , espace de restauration , restauration , wifi gratuit , douche , salon de jardin , jardin arboré , accès internet , serviettes. , jardin clôturé , varangue , salle de bain , cour clôturée , repas originaux et traditionnels , cours clôturée , sur réservation , veranda couverte , salon climatisé , salle à manger</t>
  </si>
  <si>
    <t>sentier de randonnée,riviere,site - lieu culturel,point de vue panoramique,jardin,sites touristiques,Centre - Ville,restaurants,Point chaud,sentiers de randonnée,randonnées,commerce de proximité…,boulangerie,Sentier de randonnée</t>
  </si>
  <si>
    <t>6774242c</t>
  </si>
  <si>
    <t>galerie::galerie_Images/17f6b362.Path.092842.jpg</t>
  </si>
  <si>
    <t>CSC179HT@</t>
  </si>
  <si>
    <t>Raoul est un super mec passionné de randonnée, guide touristique, et de bons conseils, il accompagne ses touristes sur les sentiers s'il est dispo. 
Il se fait connaître par le bouche à oreille essentiellement. 
C'est propre, coloré, joyeux, convivial, çà sent bon !
Possibilité de tenter de réserver à la dernière minute :)
Habitué des clientèles germanophones</t>
  </si>
  <si>
    <t xml:space="preserve"> Julius Horrau</t>
  </si>
  <si>
    <t>0693902144</t>
  </si>
  <si>
    <t>BeNa2144Op</t>
  </si>
  <si>
    <t>def3262a</t>
  </si>
  <si>
    <t>CSC275HT@</t>
  </si>
  <si>
    <t>120</t>
  </si>
  <si>
    <t>-21.372641, 55.588595</t>
  </si>
  <si>
    <t>0692537608</t>
  </si>
  <si>
    <t>Logement face à la mer à Manapany Les Bains</t>
  </si>
  <si>
    <t>Prendre la RN2, descendre vers le bassin de Manapany, à 50 m</t>
  </si>
  <si>
    <t>CaIs7608Vk</t>
  </si>
  <si>
    <t>5c948368</t>
  </si>
  <si>
    <t>Manapany</t>
  </si>
  <si>
    <t>0692097576</t>
  </si>
  <si>
    <t>jardin , TV , micro-ondes , four , linge de maison , climatisation , parking , fer et planche à repasser , barbecue , lave linge collectif , salon de jardin</t>
  </si>
  <si>
    <t>LaPa75760C</t>
  </si>
  <si>
    <t>01c375fc</t>
  </si>
  <si>
    <t>galerie::galerie_Images/f6c46686.Path.080129.jpg</t>
  </si>
  <si>
    <t xml:space="preserve">Le Pipengaye </t>
  </si>
  <si>
    <t>-21.373646, 55.594183</t>
  </si>
  <si>
    <t>0692854900</t>
  </si>
  <si>
    <t>WyFr4900Xm</t>
  </si>
  <si>
    <t>059C4A3BAF</t>
  </si>
  <si>
    <t xml:space="preserve"> Chemin des Muguets</t>
  </si>
  <si>
    <t>-21.379775, 55.660666</t>
  </si>
  <si>
    <t>0692 39 89 69</t>
  </si>
  <si>
    <t>Maison avec jardin, calme, située prés du cap jaune, de la marine Langevin et de la marine Vincendo. Vue sur le volcan.
Arrets bus à proximité.
Chambre située à l'étage avec lit double de 140 cm , mansardée.
Vaste salle de bains commune. WC isolé.
Le Case Taapuna sert un petit-déjeuner continental tous les matins.</t>
  </si>
  <si>
    <t>Case Taapuna</t>
  </si>
  <si>
    <t>barbecue , parking , jardin , terrasse , vue montagne , ventilateur , frigo , sèche-cheveux , bouilloire , wifi , plaque de cuisson , petit déjeuner continental</t>
  </si>
  <si>
    <t>épicerie,arrêt bus,boulangerie,sentier de randonnée,sites touristiques,station service</t>
  </si>
  <si>
    <t>BiRo8969DQ</t>
  </si>
  <si>
    <t>06ec65f6</t>
  </si>
  <si>
    <t>galerie::galerie_Images/ecc94911.Path.070712.jpg</t>
  </si>
  <si>
    <t xml:space="preserve">Le Ti'son Dort </t>
  </si>
  <si>
    <t>-21.338936, 55.604119</t>
  </si>
  <si>
    <t>cuisine équipée , varangue , parking , cour clôturée avec portail électrique</t>
  </si>
  <si>
    <t>5C49BB466A</t>
  </si>
  <si>
    <t xml:space="preserve">Les Zamours des Lianes </t>
  </si>
  <si>
    <t xml:space="preserve"> Route Hubert Delisle</t>
  </si>
  <si>
    <t>-21.340933, 55.594231</t>
  </si>
  <si>
    <t>0692584820</t>
  </si>
  <si>
    <t>CaMa4820l2</t>
  </si>
  <si>
    <t>8766560d</t>
  </si>
  <si>
    <t>galerie::galerie_Images/076cd571.Path.071129.jpg</t>
  </si>
  <si>
    <t>212 bis</t>
  </si>
  <si>
    <t>-21.370916, 55.678490</t>
  </si>
  <si>
    <t>0692106704</t>
  </si>
  <si>
    <t>Située dans le Sud de l'île, la villa "Ti' kaz gingembre" peut accueillir jusqu'à 8 personnes.
Avec sa belle cuisine extérieure, sa piscine en pierre naturelle et son jardin, vous y passerez d'agréables moments en famille ou entre amis</t>
  </si>
  <si>
    <t>piscine , jardin , cuisine extérieure , parking sécurisé , accès internet , barbecue , salon climatisé</t>
  </si>
  <si>
    <t>HuJe6704Xh</t>
  </si>
  <si>
    <t>472110d1</t>
  </si>
  <si>
    <t>CSC401HT@</t>
  </si>
  <si>
    <t>Fermeture provisoire du 1 juin au 17 juillet</t>
  </si>
  <si>
    <t xml:space="preserve">La Maison de vacances </t>
  </si>
  <si>
    <t xml:space="preserve"> Rue Des Jacques</t>
  </si>
  <si>
    <t>-21.375832, 55.628442</t>
  </si>
  <si>
    <t xml:space="preserve">lmv97480@hotmail.com </t>
  </si>
  <si>
    <t>0692651883</t>
  </si>
  <si>
    <t>piscine , parking , cours clôturée , climatisation , accès internet , canal plus…</t>
  </si>
  <si>
    <t>RiEr18838F</t>
  </si>
  <si>
    <t>7bdee93d</t>
  </si>
  <si>
    <t>galerie::galerie_Files_/6aede0f8.Path.071519.webp</t>
  </si>
  <si>
    <t>CSC409HT@</t>
  </si>
  <si>
    <t xml:space="preserve">Les Platanes </t>
  </si>
  <si>
    <t>-21.300048, 55.628902</t>
  </si>
  <si>
    <t>manatsrce@gmail.com</t>
  </si>
  <si>
    <t>0693606994</t>
  </si>
  <si>
    <t>MaBe6994h1</t>
  </si>
  <si>
    <t>7f02b8cd</t>
  </si>
  <si>
    <t>Villa Entre-Deux Centre</t>
  </si>
  <si>
    <t>Impasse Mahot</t>
  </si>
  <si>
    <t>-21.246589, 55.472716</t>
  </si>
  <si>
    <t>marieline.werner@gmail.com</t>
  </si>
  <si>
    <t>0692 07 93 68</t>
  </si>
  <si>
    <t>Cette maison de vacances spacieuse comprend 3 chambres, 2 salles de bains, du linge de lit, des serviettes, une télévision à écran plat, une cuisine entièrement équipée et une terrasse avec vue sur la mer. Elle comprend également un coin salon, un lave-linge et 2 salles de bains avec douche à l'italienne. Cette maison de vacances est non-fumeurs et adaptée aux personnes souffrant d'allergies.
Vous pourrez également vous détendre dans le jardin.
Possibilité de garer 3 voitures dans la court : 1 place dans le garage + 1 place devant + 1 place (+ dangereuse dans la pente au 1 er niveau de la maison, seulement pour les conducteurs avertis !)</t>
  </si>
  <si>
    <t>Belle villa récemment construite à 3min à pied du centre de l'Entre-Deux</t>
  </si>
  <si>
    <t>La maison se trouve à 1 minute du centre du village 
Juste après l'église prendre en direction de Ravine Citron, prendre à gauche tout de suite dans l'impasse 
Un garage  disposition sur la route (ne pas prendre la pente)</t>
  </si>
  <si>
    <t>jardin , salle de bain privée , vue montagne , vue mer , fer et planche à repasser , linge de maison , ventilateur , salon , TV , wifi gratuit , lave vaisselle , lave linge privatif , micro-ondes , linge de toilette , douche , four , Cafetière , frigo , Lit parapluie sur demande , terrasse , cuisine équipée , salon de jardin , jardin arboré , serviettes. , tout équipé , sèche-cheveux , bouilloire , grille-pain , balcon , garage , jeux</t>
  </si>
  <si>
    <t>riviere,site - lieu culturel,sites touristiques,commerce alimentaire,arrêt bus,station service</t>
  </si>
  <si>
    <t>Chèque,Espèces,Virement,booking,airbnb</t>
  </si>
  <si>
    <t>français,créole,anglais,allemand,français (Expérimenté (Nv.3))</t>
  </si>
  <si>
    <t>fc347500</t>
  </si>
  <si>
    <t>317f6cf4</t>
  </si>
  <si>
    <t>galerie::galerie_Images/30816445.Path.073257.jpg</t>
  </si>
  <si>
    <t>CSC628HTP</t>
  </si>
  <si>
    <t>a supprimer</t>
  </si>
  <si>
    <t>445 b</t>
  </si>
  <si>
    <t>-21.378318, 55.629100</t>
  </si>
  <si>
    <t>Sur la N2 en direction de Saint-Philippe, après la croix jubilé, prendre la rue Raphaël Babet (celui un peu cassé). La maison se trouve au fond du chemin.</t>
  </si>
  <si>
    <t>b9f7ac5f</t>
  </si>
  <si>
    <t>O Fil de l'O</t>
  </si>
  <si>
    <t>Route de la Passerelle</t>
  </si>
  <si>
    <t>-21.380028, 55.646283</t>
  </si>
  <si>
    <t>ofildelo974@gmail.com</t>
  </si>
  <si>
    <t>0692892015</t>
  </si>
  <si>
    <t>Logement en bord de rivière, au dessus de la maison des propriétaires</t>
  </si>
  <si>
    <t>Location d'un meublé de tourisme d'une capacité de 4 personnes sur les rives de la rivière Langevin à Saint Joseph</t>
  </si>
  <si>
    <t>Accès direct depuis la route de Langevin</t>
  </si>
  <si>
    <t>jardin , parking , salle de bain privée , grand espace , barbecue , fer et planche à repasser , linge de maison , ventilateur , salon , TV , wifi gratuit , lave linge privatif , micro-ondes , linge de toilette , douche , four , Cafetière , frigo , kitchenette équipée , sanitaires privés , wifi , Lit parapluie sur demande , terrasse , cuisine équipée , salle à manger , salon de jardin , jardin arboré , accès internet , serviettes. , salle de bain , cour clôturée , plaque de cuisson , baignoire , bouilloire , balcon , jardin clôturé , parking sécurisé</t>
  </si>
  <si>
    <t>sentier de randonnée,point de vue panoramique,sites touristiques,commerce alimentaire,forêt,riviere,station service,pharmacie,boulangerie,banque - guichet automatique,commerce de proximité…,médecin,tabac presse,pâtisserie,restaurants,parcours de santé,pizzeria</t>
  </si>
  <si>
    <t>cd260b88,f18bf83f</t>
  </si>
  <si>
    <t>2051eb8d</t>
  </si>
  <si>
    <t>galerie::galerie_Images/78b2c0fc.Path.063154.jpg</t>
  </si>
  <si>
    <t>CSC636HTO</t>
  </si>
  <si>
    <t>90€ par nuit pour 2 personnes. 150€ pour 4 personnes. A PARTIR DE 2 NUITS. Si résa pour 2, la deuxième chambre est fermée. 
Location saisonnière face à la rivière Langevin à 1 minute de la nationale. A deux pas des commerces, de la boulangerie et des activités. Hébergements de 2 chambres au dessus de la maison des propriétaires. Accès à la rivière en face de la maison. 
- Cuisine équipée ( four, micro-ondes, bouilloire, machine à café etc.)
- Salle de bain avec baignoire et 2 vasques
- Salle à manger / salon équipé 
- Smart Tv avec accès internet 
- Jardin libre d'accès 
- Terrasse en extérieur à disposition avec transat et table/chaises
 Le linge de maison et serviettes ainsi que le nécessaire pour la cuisine est fourni.
PAS DE PMR 
ANNIMAUX NON ACCEPTES</t>
  </si>
  <si>
    <t>L'Hibiscus</t>
  </si>
  <si>
    <t>rue Adolphe Hoareau</t>
  </si>
  <si>
    <t>-21.349636, 55.631013</t>
  </si>
  <si>
    <t>fayegaubert@orange.fr</t>
  </si>
  <si>
    <t>06 79 65 04 69</t>
  </si>
  <si>
    <t>https://9a703982.smoobu.net/fr/apartment/LHibiscus/1990622?fbclid=IwAR2XTx4TjtRN6iuU8R96LW9QmVClhdnxS9RgXAMU727s4YpsXWLS7uO9ap0</t>
  </si>
  <si>
    <t>Venez découvrir le Sud Sauvage et détendez-vous dans ce logement au calme.
Situé à seulement 10 mins du centre de Saint-Joseph.
Logement de plein pied comprenant 2 chambres, séjour, salon, cuisine équipée, jardin.
Stationnement privatif
"L'Hibiscus" a ouvert ses portes en février 2024.
Le logement
Le logement :
🛎 Un portail permettant l'accès au logement, stationnement possible dans l'allée.
Extérieur composé d'un jardin à l'avant et à l'arrière de la maison permettant une double exposition.
Vous entrerez dans la salle à manger et la cuisine entièrement équipée (four, micro ondes, réfrigérateur, vaisselles, marmite à riz, cafetière, bouilloire, ...), qui dessert le salon équipé d'un canapé et d'une TV écran plat.
De cet espace, vous accéderez à :
* une première chambre avec un lit 160 x 200 cm complété d'un dressing
* une seconde chambre avec un lit superposé (lit double en bas et un lit simple à l'étage) complété d'une armoire
* une salle d'eau avec vasque, douche à l'italienne, lave-linge.
Les serviettes de toilettes sont fournis.
* un WC séparé.
N’hésitez pas à me faire part de vos demandes particulières
Accès des voyageurs
Les voyageurs auront accès à l'intégralité de la propriété à l'exception du carport (véhicule propriétaire restant sur la propriété)
Autres remarques
Arrivée à partir de 16 Heures
Départ au plus tard à 10 Heures
Caution de 1.000€ par empreinte bancaire à prévoir lors de votre arrivée.</t>
  </si>
  <si>
    <t>Villa pour 5 personnes située à Saint-Joseph (Jean-Petit)</t>
  </si>
  <si>
    <t>cour clôturée , douche , salon , jardin , parking , plaque de cuisson , Cafetière , bouilloire , micro-ondes , four , frigo , cuisine équipée , wifi , ventilateur , équipement bébé , jeux , Lit parapluie sur demande , TV , lave linge privatif , linge de maison , linge de toilette , sèche-cheveux</t>
  </si>
  <si>
    <t>site internet,airbnb,booking</t>
  </si>
  <si>
    <t>d1530f18,ed2da975</t>
  </si>
  <si>
    <t>4ed00c40</t>
  </si>
  <si>
    <t>galerie::galerie_Files_/10fa7f43.Path.105339.webp</t>
  </si>
  <si>
    <t>CSC633HTL</t>
  </si>
  <si>
    <t>N'est plus sous gestion Caro&amp;Co</t>
  </si>
  <si>
    <t>Ti Kaz Bleu</t>
  </si>
  <si>
    <t>route du Piton Bleu</t>
  </si>
  <si>
    <t>-21.188174, 55.552643</t>
  </si>
  <si>
    <t>tikazbleu@gmail.com</t>
  </si>
  <si>
    <t>0692657462</t>
  </si>
  <si>
    <t>La maison dispose de 3 chambres, d'une cuisine équipée, ainsi que d'un salon et d'une salle a manger. 
Profitez d'une cuisine extérieure et d'une grande table avec une vue imprenable sur le piton des neiges 
Le linge de maison est fourni hors serviettes de bain. 
Vous profiterez de l'air frais dans les espaces extérieurs, avec une cour clôturée et un parking privé pouvant accueillir 3 voitures. 
Située à 10 minutes de toutes commodités, Pharmacie, supermarché, église, médecin, restaurants, boulangerie, snack et pizzeria.. 
Proche de nombreux départs de randonnée tel que Piton des neiges, Mare à boue, Cilaos à 5 minutes, Grand Bassin à 2 minutes. 
Située à 10 minutes (en voiture) de la Cité du Volcan et à 50 minutes du Parking du Pas de Bellecombe (en voiture)
Le quartier est calme, sans vis à vis, en pleine campagne, avec une vue imprenable sur les montagnes
Tarif dégressif selon le nombre de personnes et le nombre de nuits</t>
  </si>
  <si>
    <t>Ti Kaz Bleu vous accueille dans la fraîcheur des hauts de l'île de la Réunion</t>
  </si>
  <si>
    <t>Depuis Le Tampon, prendre la direction de La Plaine des Cafres. Une fois arrivé à la maison du volcan, prendre la 3ème sortie du rond point puis continuer sur 1km et prendre à gauche à la première intersection, la maison est à environ 200m sur la gauche</t>
  </si>
  <si>
    <t>climatisation , jardin , parking , salle de bain privée , barbecue , TV , lave linge privatif , micro-ondes , linge de maison , douche , four , Cafetière , frigo , chauffage , vue montagne , salon , terrasse , wifi gratuit , Lit parapluie sur demande , bibliothéque , cuisine équipée , salon de jardin , jeux , cour clôturée , salle à manger , cuisine extérieure , bouilloire , plaque de cuisson , chauffe-eau solaire</t>
  </si>
  <si>
    <t>ferme pédagogique,sentier de randonnée,point de vue panoramique,forêt,commerce alimentaire,Point chaud,arrêt bus,transports en commun,boulangerie,sites touristiques,snack</t>
  </si>
  <si>
    <t>Espèces,Carte Bancaire,Virement,booking</t>
  </si>
  <si>
    <t>3a0cbe8c</t>
  </si>
  <si>
    <t>1c78161a</t>
  </si>
  <si>
    <t>galerie::galerie_Images/19595b9b.Path.065836.jpg</t>
  </si>
  <si>
    <t>CSC631HTJ</t>
  </si>
  <si>
    <t>Villa Germaine</t>
  </si>
  <si>
    <t>445 bis</t>
  </si>
  <si>
    <t>Rue Raphaële Babet</t>
  </si>
  <si>
    <t>-21.378384, 55.629093</t>
  </si>
  <si>
    <t>mickaelpayet@hotmail.fr</t>
  </si>
  <si>
    <t>0692 68 25 86</t>
  </si>
  <si>
    <t>Villa spacieuse, lumineuse, avec un jardin exotique où vous trouverez bananier, papayer, évis nain...
A l'étage, vous pourrez profiter d'une vue extraordinaire sur le piton Babet et d'un espace qui ravira les enfants!
A l'extérieur, une terrasse couverte équipée d'une cuisine extérieure est attenante à la piscine.</t>
  </si>
  <si>
    <t>Villa Germaine, entre mer et rivière dispose de 3 chambres</t>
  </si>
  <si>
    <t>Sur la RN2 en direction de Saint-Philippe, après la&amp; croix jubilée, prendre la rue Raphaël (celui peu cassé). La maison se trouve au fond du jardin.</t>
  </si>
  <si>
    <t>jardin , parking , barbecue , lave vaisselle , TV , lave linge privatif , micro-ondes , fer et planche à repasser , linge de maison , four , Cafetière , piscine , wifi , climatisation , cuisine équipée , cour clôturée , grille-pain , sèche-cheveux , dressing , armoire</t>
  </si>
  <si>
    <t>Centre - Ville,sentier de randonnée</t>
  </si>
  <si>
    <t>85fd8774</t>
  </si>
  <si>
    <t>2a86edfe</t>
  </si>
  <si>
    <t>galerie::galerie_Images/25cc7cce.Path.064827.jpg</t>
  </si>
  <si>
    <t>Couleurs du Sud Sauvage -  EXCURSIONS</t>
  </si>
  <si>
    <t>-21.354707, 55.606490</t>
  </si>
  <si>
    <t>La villa couleurs du sud sauvage, vous propose de découvrir les richesses de l’île intense à bord d’un véhicule 6 places (+ chauffeur). 
Philippe, professionnel du transport sera heureux de vous emmener dans les lieux incontournables de l’île mais aussi en dehors des sentiers battus pour aller à la rencontre des producteurs et artisans locaux. Vous choisirez votre circuit parmi nos propositions ou nous établirons votre parcours avec vous selon vos points d'intérêts et votre rythme. Les départs pourront se faire de la villa Couleurs du sud sauvage ou d'un autre lieu d'hébergement pour des excursions à la journée ou à la demi-journée.
Pour les randonneurs, nous facilitons votre expérience en vous emmenant à votre lieu de départ du sentier et en venant vous rechercher à votre arrivée. Pas de souci de parking et idéal pour ne pas revenir sur vos pas et profiter pleinement de la splendeur des paysages !
Un bon moyen de découvrir la Réunion en toute sérénité !
TARIFS : 
- Excursions à la journée  : 90€/personne avec panier pique-nique
- Transferts randonneurs :  tarif selon les km
- Transfert aéroport : 150 €/trajet jusqu'à 6 personnes (selon bagages)
- Formule tout compris : hébergement + petit-déjeuner +dîner en table d'hôtes + excursion journée &gt; 165€/ personne/ jour base chambre double</t>
  </si>
  <si>
    <t>Excursions, découverte de l'île</t>
  </si>
  <si>
    <t>Nous assurons également les transferts aéroport : nous venons vous chercher pour vous conduire à votre lieu d'hébergement, chez nous ou ailleurs, et vous ramenons à la fin de votre séjour.</t>
  </si>
  <si>
    <t>climatisation , balade</t>
  </si>
  <si>
    <t>sentier de randonnée,pêche,point de vue panoramique,riviere,sites touristiques</t>
  </si>
  <si>
    <t>Espèces,Virement,Carte Bancaire</t>
  </si>
  <si>
    <t>f04cbbcd</t>
  </si>
  <si>
    <t>galerie::galerie_Images/831b8dff.Path.064023.jpg</t>
  </si>
  <si>
    <t>La Kaz O Rèv</t>
  </si>
  <si>
    <t>24</t>
  </si>
  <si>
    <t>Rue du Docteur Ignace Hoarau</t>
  </si>
  <si>
    <t>ligne des 400</t>
  </si>
  <si>
    <t>-21.282612, 55.504339</t>
  </si>
  <si>
    <t>elodie.martin.em974@gmail.com</t>
  </si>
  <si>
    <t>0692 33 33 01</t>
  </si>
  <si>
    <t>Maison avec 4 chambres climatisées dont une suite parentale avec sa salle de douche, un grand salon/salle à manger , 3 autres chambres , une deuxième salle de bain avec baignoire, machine a laver , sèche linge, fer à repasser . Sans supplément possibilité d'avoir un lit parapluie, une baignoire bébé, une chaise haute à disposition.
Petit parking gratuit disponible juste devant la maison
La maison est équipée d'une cafetière Senseo et cafetière a filtre ainsi que d'un chauffe eau solaire.</t>
  </si>
  <si>
    <t>La Kaz O Rèv - Maison</t>
  </si>
  <si>
    <t>Au niveau de la ligne 400 juste après Pasithéa au niveau du grand pont sur la ligne</t>
  </si>
  <si>
    <t>jacuzzi , douche extérieure , fer et planche à repasser , espace de restauration en extérieur , Cafetière , baignoire , bouilloire , dressing , salon , salon de jardin , barbecue , parking , TV , ventilateur , linge de maison , micro-ondes , linge de toilette , four , frigo , wifi , climatisation , Lit parapluie sur demande , cuisine équipée , serviettes. , sèche-cheveux , grille-pain , bibliothéque , lave-linge , jeux , équipement bébé , sèche-linge</t>
  </si>
  <si>
    <t>centre commercial,parking public,point de vue panoramique,commerce alimentaire</t>
  </si>
  <si>
    <t>Espèces,Virement,airbnb</t>
  </si>
  <si>
    <t>33d30ea2</t>
  </si>
  <si>
    <t>4e12fdac</t>
  </si>
  <si>
    <t>galerie::galerie_Files_/16bfc8fa.Path.094206.webp</t>
  </si>
  <si>
    <t>CSC635HTN</t>
  </si>
  <si>
    <t>LE MUGUET SAUVAGE</t>
  </si>
  <si>
    <t>182</t>
  </si>
  <si>
    <t>chemin des muguets</t>
  </si>
  <si>
    <t>-21.254894, 55.546332</t>
  </si>
  <si>
    <t>lemuguetsauvage@gmail.com</t>
  </si>
  <si>
    <t>06 92 47 32 97</t>
  </si>
  <si>
    <t>https://le-muguet-sauvage.lodgify.com/</t>
  </si>
  <si>
    <t>Location saisonnière au Bras Creux 
Endroit calme et apaisant 
Capacité 10 personnes + 1 berceau et 1 lit parapluie
4 chambres 2 SDB
Cuisine extérieure au feu de bois 
Jacuzzi 5 places 
Maison toute équipée 
Petite musique autorisée
***
Possibilité de location à la journée 
Journée détente dans un endroit calme et verdoyant 
70 euros pour 2 personnes 
+ 10 euros par personne supplémentaire max 10 personnes 
 De 9h à 17h</t>
  </si>
  <si>
    <t>Maison avec jardin située entre mer et montagne, le muguet sauvage vous accueille dans un endroit calme et reposant.</t>
  </si>
  <si>
    <t>Bras Creux, A côté des pâturages verdoyants venez respirer la douce fraîcheur des hauts à 15 minutes de la plage et à 10 minutes de la forêt, parcours de santé et randonnées</t>
  </si>
  <si>
    <t>Lit parapluie sur demande , bouilloire , four , sèche-linge , lave linge privatif , lave vaisselle , micro-ondes , cheminée , frigo , jeux , TV , terrasse , cuisine équipée , cuisine au bois , wifi gratuit , barbecue , salle de bain privée , baignoire , jardin , jacuzzi , salon de jardin , parking</t>
  </si>
  <si>
    <t>Chèque,Espèces,booking,airbnb,site internet</t>
  </si>
  <si>
    <t>949c0671</t>
  </si>
  <si>
    <t>183f3ab1</t>
  </si>
  <si>
    <t>galerie::galerie_Images/5ac21300.Path.071814.jpg</t>
  </si>
  <si>
    <t>CSC634HTM</t>
  </si>
  <si>
    <t>Sans voisin fêtes acceptés !
Quelqu'un de l'office est passé pour pointage ? et lui as dit qu'elle recevrait des prospectus tous les mois ? nous informé et dire la vérité c'est pas une option c'est la qualité</t>
  </si>
  <si>
    <t>Les capucines du volcan</t>
  </si>
  <si>
    <t>Chemin Mussard</t>
  </si>
  <si>
    <t>-21.226281, 55.554040</t>
  </si>
  <si>
    <t>muriel97427@gmail.com</t>
  </si>
  <si>
    <t>0692 65 06 50</t>
  </si>
  <si>
    <t>Cette maison de vacances comprend 6 chambres, une cuisine entièrement équipée et 5 salles de bains. Il dispose également d'une télévision à écran plat. Il offre une vue sur le jardin.</t>
  </si>
  <si>
    <t>Les Capucines du Volcan</t>
  </si>
  <si>
    <t>jacuzzi , salon de jardin , jardin clôturé , parking , cuisine équipée , Lit parapluie sur demande , fer et planche à repasser , piscine , lave linge privatif , chauffage , wifi , Cafetière , balcon , barbecue , TV , frigo , sèche-cheveux , cuisine extérieure , cheminée , sèche-linge , bureau</t>
  </si>
  <si>
    <t>sentier de randonnée,commerce alimentaire,équitation,parking public,point de vue panoramique,sentier de grande randonnée,site - lieu culturel,riviere</t>
  </si>
  <si>
    <t>Espèces,Virement,booking,airbnb,Le bon coin</t>
  </si>
  <si>
    <t>ea4df968</t>
  </si>
  <si>
    <t>f2932199</t>
  </si>
  <si>
    <t>galerie::galerie_Images/292c14a9.Path.094111.jpg</t>
  </si>
  <si>
    <t>CSC637HTP</t>
  </si>
  <si>
    <t>Trésor d'Ange</t>
  </si>
  <si>
    <t>-21.370299, 55.719109</t>
  </si>
  <si>
    <t>elianeorange25@gmail.com</t>
  </si>
  <si>
    <t>0692 84 70 48</t>
  </si>
  <si>
    <t>Chambre pour 2 personnes, possibilité d'ajouter un lit d'appoint pour enfant ou bébé 
Chaque chambre à sa salle d'eau privé + toilette avec une petite terrasse 
Possibilité de garer les voitures sur la route (le portail est cassé pour l'instant mais possibilité de se garer à l'intérieur)
Petit déjeuner (avec fruits de saison)
Repas du soir (sur réservation)
S'adapte aux horaires</t>
  </si>
  <si>
    <t>Chambre d'hôte - Trésor d'Ange</t>
  </si>
  <si>
    <t>repas traditionnels , petit déjeuner créole ou classique , vue mer , balcon , Lit parapluie sur demande , ventilateur , vue montagne , linge de toilette , douche , frigo , terrasse , serviettes. , jardin clôturé , chambre double</t>
  </si>
  <si>
    <t>forêt,sites touristiques,arrêt bus,poste - boite aux lettres,station service</t>
  </si>
  <si>
    <t>Carte Bancaire,Espèces,Virement</t>
  </si>
  <si>
    <t>4d4dc786</t>
  </si>
  <si>
    <t>461f9163</t>
  </si>
  <si>
    <t>galerie::galerie_Images/39fade5f.Path.115856.jpg</t>
  </si>
  <si>
    <t>CSC638HTQ</t>
  </si>
  <si>
    <t>CAP MANAPANY</t>
  </si>
  <si>
    <t>Restaurant ; Table d'hôte</t>
  </si>
  <si>
    <t>allée des cormorans</t>
  </si>
  <si>
    <t>-21.372502, 55.592173</t>
  </si>
  <si>
    <t>0693624458</t>
  </si>
  <si>
    <t>Le restaurant est une grande varangue avec une vue panoramique sur la baie de Manapany les bains. La salle est accessible aux personnes à mobilité réduite. Nous proposons une cuisine créole fraiche et authentique préparée au feu de bois. Notre menu varie tous les jours, nous vous proposons une formule avec un duo de buffet, entrées et plats. Cap Manapany vous accueille pour vos repas lors de vos séminaires ou événements professionnel. Nous favorisons les circuits courts pour la sélection de nos fournisseurs et sommes attentifs à la réduction des déchets.</t>
  </si>
  <si>
    <t>Restauration traditionnelle dans une grande varangue</t>
  </si>
  <si>
    <t>RN2 direction le bassin de Manapany, sur le bd de l'Océan, prendre l'allée des Cormorans sur la droite, monter 200 mètres, l'entrée est sur la gauche</t>
  </si>
  <si>
    <t>piscine , ventilateur , vue montagne , grand espace , vue mer , espace de restauration , restauration , terrasse , espace de restauration en extérieur , jardin arboré , accessible aux personnes à mobilité réduite , parking autocar , cour clôturée , veranda couverte , varangue , parking sécurisé , samoussas , cuisine extérieure , cuisine extérieur</t>
  </si>
  <si>
    <t>Bassin de Manapany</t>
  </si>
  <si>
    <t>b1fa47de</t>
  </si>
  <si>
    <t>Mira Céramik Art</t>
  </si>
  <si>
    <t>salle d'exposition ; Atelier poterie et céramique</t>
  </si>
  <si>
    <t>Lotissement les Topazes</t>
  </si>
  <si>
    <t>-21.197570, 55.583044</t>
  </si>
  <si>
    <t>kamalam@netcourrier.com</t>
  </si>
  <si>
    <t>0692 49 30 11</t>
  </si>
  <si>
    <t>https://www.mira-ceramique.re/</t>
  </si>
  <si>
    <t>Mirâ Céramik Art propose un atelier de céramique et travaille l'argile en particulier le grès.
Les créations sont uniques et inédites sur l'île, Mirâ Céramik Art est labellisé Artisanat Réunion reconnu par l'institut National des Métiers d'Art de Paris (INMA).
A Saint-Denis, un showroom où sont exposés et en vente les créations et à La Plaine des Cafres au Bourg-Murat Mirâ Céramik Art propose des ateliers créatifs les week-ends. 
Inscription atelier sur Facebook, téléphone.
ATELIER : 
- Le samedi pour les ateliers mais il y a possibilité de faire un devis et organiser un atelier. Organise en fonction de la demande. 
- Peut se déplacer 
- Groupe de 8  pour les atelier 9h-16h minimum, sur une journée entière (les gens emmène l'entrée), ils font des repas sans viande. Construction de 3 pièces
- Maximum 10 pax 
- A partir de 7 ans avec accompagnement. 
- Accueil avec café et thé. 
- Il faut un tablier, pull, morceaux de tissu. 
- Possibilité de se garer chez eux.
- Une matinée à 50€ 9h-12h construction de 1 pièce 
Base de la poterie, théorique sur l'argile, tour rapide...</t>
  </si>
  <si>
    <t>Création et vente de poteries, et de produits céramiques uniques en grès et porcelaine à usage alimentaire</t>
  </si>
  <si>
    <t>parking , matériel pour l'activité , ateliers</t>
  </si>
  <si>
    <t>d8e9e845</t>
  </si>
  <si>
    <t>41687efc</t>
  </si>
  <si>
    <t>galerie::galerie_Images/6d7fa594.Path.090832.jpg</t>
  </si>
  <si>
    <t>Ti Kaz Sandjo</t>
  </si>
  <si>
    <t>3b</t>
  </si>
  <si>
    <t>chemin Trou de Magasin</t>
  </si>
  <si>
    <t>-21.233857, 55.470875</t>
  </si>
  <si>
    <t>jojc13@sfr.fr</t>
  </si>
  <si>
    <t>0693 83 55 97</t>
  </si>
  <si>
    <t>Ce chalet dispose d'une terrasse avec vue sur les montagnes, d'une chambre, d'un salon avec une télévision écran plat, une cuisine équipée d'un four et d'un micro-onde, ainsi qu'une salle d'eau avec douche. Les serviettes et le linge de lit sont inclus. La propriété offre aussi un espace salle à manger extérieur.</t>
  </si>
  <si>
    <t>Tikaz Sandjo</t>
  </si>
  <si>
    <t>Village Entre-Deux</t>
  </si>
  <si>
    <t>jardin , parking , wifi , TV , four , linge de maison , cuisine équipée , micro-ondes , salon , Cafetière , ventilateur , vue montagne , linge de toilette , douche , frigo , serviettes. , plaque de cuisson , sèche-cheveux , bouilloire , grille-pain , dressing</t>
  </si>
  <si>
    <t>sentier de randonnée,commerce alimentaire,parking public,point de vue panoramique,site - lieu culturel</t>
  </si>
  <si>
    <t>aff47b1e</t>
  </si>
  <si>
    <t>f708b79f</t>
  </si>
  <si>
    <t>galerie::galerie_Images/6ebcedd1.Path.115243.jpg</t>
  </si>
  <si>
    <t>CSC640HTJ</t>
  </si>
  <si>
    <t>L'Ecrin Péi</t>
  </si>
  <si>
    <t>1a</t>
  </si>
  <si>
    <t>Impasse des Dattiers</t>
  </si>
  <si>
    <t>-21.241460, 55.467142</t>
  </si>
  <si>
    <t>taxi-payetremy@outlook.fr</t>
  </si>
  <si>
    <t>0693 91 29 10</t>
  </si>
  <si>
    <t>Située au cœur d'un des plus beaux villages de France, nôtre maison que nous avons voulus cocooning, confortable et chaleureuse, saura nous espérons vous séduire lors de vos voyages.
Afin de parfaire à la détente, vous pourrez profiter d'un jacuzzi privatif.
Entièrement crée à neuf en 2023, nous avons voulu en faire un cocon douillet qui puisse rendre vos séjours le plus confortable possible.
Vous y trouverez tout le nécessaire .
Sur demande, nous pouvons nous occuper de faire laver votre linge.</t>
  </si>
  <si>
    <t>L'Ecrin Pei - 🏠Location saisonnière à l’Entre-Deux</t>
  </si>
  <si>
    <t>parking , wifi , TV , four , linge de maison , salon de jardin , cuisine équipée , micro-ondes , jardin clôturé , salon , Cafetière , bibliothéque , barbecue , Lit parapluie sur demande , fer et planche à repasser , jacuzzi , ventilateur , vue montagne , linge de toilette , frigo , plaque de cuisson , sèche-cheveux , bouilloire , grille-pain , dressing , lave linge privatif , jeux , équipement bébé , brasero</t>
  </si>
  <si>
    <t>sentier de randonnée,commerce alimentaire,parking public,point de vue panoramique,sentier de grande randonnée,site - lieu culturel,riviere,sites touristiques</t>
  </si>
  <si>
    <t>0d9a48c9</t>
  </si>
  <si>
    <t>6c18bb85</t>
  </si>
  <si>
    <t>galerie::galerie_Files_/3e9e38e8.Path.070346.webp</t>
  </si>
  <si>
    <t>CSC639HTR</t>
  </si>
  <si>
    <t>Mon Voyage Fleuri</t>
  </si>
  <si>
    <t>Artisanat bijoux ; atelier</t>
  </si>
  <si>
    <t>Rue Loulou Bardeur</t>
  </si>
  <si>
    <t>-21.249383, 55.473202</t>
  </si>
  <si>
    <t>christelle.amoussou38@gmail.com</t>
  </si>
  <si>
    <t>0693 86 35 92</t>
  </si>
  <si>
    <t>L'activité est dirigée vers le bien- être cela passe par des Ateliers créatifs ou de reconnexion à soi et soin énergétique
Je propose donc :
- des soins énergétiques Lahochi (1h30) pour aller plus un accompagnement est proposé sur plusieurs séances
 - Ateliers bijoux ( enfants/ adultes - hommes/femmes ) dure environ 2h + matériel fournis
- Atelier bien-être ( réflexion sur L'ÊTRE- à partir de 18ans ) dure environ 2h + matériel fournis
Je souhaite également exposer mes bijoux fantaisie confectionnés à la main ( perles / petites pierres de lithothérapie/ fils laiton ...)</t>
  </si>
  <si>
    <t>🌺Accompagnatrice Holistique
🍃Je vous accompagne dans votre voyage intérieur
🦋 Cœur-Corps-Esprit</t>
  </si>
  <si>
    <t>Peux faire les ateliers dans un espace dédié au niveau de condé
Peux se deplacer</t>
  </si>
  <si>
    <t>ateliers , matériel pour l'activité</t>
  </si>
  <si>
    <t>5b3bee7d</t>
  </si>
  <si>
    <t>1ae5f65b</t>
  </si>
  <si>
    <t>galerie::galerie_Images/48478641.Path.054448.jpg</t>
  </si>
  <si>
    <t>Horaires flexibles 
Disponible le dimanche pour des évènements</t>
  </si>
  <si>
    <t>Étoile de la Plaine</t>
  </si>
  <si>
    <t>-21.327679, 55.606634</t>
  </si>
  <si>
    <t>bbcabriers@gmail.com</t>
  </si>
  <si>
    <t>0692 35 00 41</t>
  </si>
  <si>
    <t>https://www.premiumsaisonnier.fr/location/maison-saint-joseph-etoile-de-la-plaine-471870.html</t>
  </si>
  <si>
    <t>Maison - 4 personnes - 3 pièces - 2 chambres - 78 m²
Bain à remous - Télévision - Terrasse - place de parking en extérieur
Premium Immobilier vous présente en lcoation saisonnière à l'Île de la Réunion, dans la ville de Saint-Joseph, le quartier de la Plaine des Grègues dans les hauteurs, Étoile de La Plaine, une charmante maison de 100 m2 de surface totale environs, avec un joli jardin.
Possible de garer 3 voitures.
Vous profiterez d'un jacuzzi et d'une douche extérieure.
Visite virtuelle disponible sur notre site.
Dépôt de garantie à verser non encaissé d'un montant de 750€.
Accès PMR difficile.
Options et Services:
Caution hébergement: Obligatoire par CB : 750€
place de parking en extérieur: Inclus dans le prix
Télévision: Inclus dans le prix
Accès Internet: Inclus dans le prix
Animaux acceptés: Non
Ménage fin de séjour: Obligatoire : 126€
Serviette: Inclus dans le prix
Draps: Inclus dans le prix
Taxe séjour adulte: à régler sur place selon tarifs en vigueur
Charges: Inclus dans le prix
A noter : la géolocalisation de la location sur la carte est approximative et non contractuelle</t>
  </si>
  <si>
    <t>Étoile de la Plaine - Maison</t>
  </si>
  <si>
    <t>Plaine des Grègues</t>
  </si>
  <si>
    <t>jardin , parking , wifi , TV , four , linge de maison , cuisine équipée , micro-ondes , Cafetière , bibliothéque , balcon , fer et planche à repasser , jacuzzi , ventilateur , vue montagne , frigo , plaque de cuisson , bouilloire , grille-pain , jeux , lave-linge , bureau , douche extérieure</t>
  </si>
  <si>
    <t>sentier de randonnée,commerce alimentaire,point de vue panoramique,forêt,arrêt bus</t>
  </si>
  <si>
    <t>9ba8e403,4a92e060,91d7bc7c,68c670f0</t>
  </si>
  <si>
    <t>df5f4ae1</t>
  </si>
  <si>
    <t>galerie::galerie_Files_/397ff627.Path.073103.webp</t>
  </si>
  <si>
    <t>CSC641HTK</t>
  </si>
  <si>
    <t>CONCIERGERIE !!! Premium immobilier ocean indien</t>
  </si>
  <si>
    <t>Eau Clair de Lune</t>
  </si>
  <si>
    <t>5f</t>
  </si>
  <si>
    <t>Allée des Rameaux</t>
  </si>
  <si>
    <t>-21.371620, 55.673357</t>
  </si>
  <si>
    <t>erickaorboin@hotmail.fr</t>
  </si>
  <si>
    <t>0693 32 50 13</t>
  </si>
  <si>
    <t>Cette villa climatisée comprend 2 chambres, un salon, une cuisine entièrement équipée avec un four et une machine à café ainsi qu'une salle de bains pourvue d'une douche à l'italienne et d'un jacuzzi. Les serviettes et le linge de lit sont fournis. Il offre une vue sur le jardin et la mer.
Vous pourrez vous détendre dans le jardin.
Tarif dégressif à partir de 7 nuits</t>
  </si>
  <si>
    <t>Au dessus du stade et du cimetière Vincendo</t>
  </si>
  <si>
    <t>douche , cour clôturée , salon de jardin , parking , salon , salle à manger , wifi , climatisation , Cafetière , cuisine équipée , barbecue , four , micro-ondes , TV , ventilateur , linge de maison , linge de toilette , frigo , plaque de cuisson , dressing , lave-linge</t>
  </si>
  <si>
    <t>parking public,point de vue panoramique,Point chaud,pâtisserie,stade de foot,restaurants</t>
  </si>
  <si>
    <t>b3121202</t>
  </si>
  <si>
    <t>e2b1eacc</t>
  </si>
  <si>
    <t>galerie::galerie_Files_/0433e6aa.Path.104228.webp</t>
  </si>
  <si>
    <t>CSC653HTN</t>
  </si>
  <si>
    <t>Peace and Lodge II</t>
  </si>
  <si>
    <t>-21.348317, 55.609236</t>
  </si>
  <si>
    <t>peaceandlodge974@gmail.com</t>
  </si>
  <si>
    <t>0693 84 86 85</t>
  </si>
  <si>
    <t>https://9a703982.smoobu.net/fr/apartment/PeaceLodgeIIaucurdelaverdureetdtentedanslejacuzzi/1907696</t>
  </si>
  <si>
    <t>🛎 Un portail permettant l'accès au logement, stationnement possible dans l'allée.
Extérieur composé :
       ¤ d'une cour et d'un espace détente abrité.
       ¤ Un Jacuzzi est également présent la varangue.
Une cuisine extérieure abritée est à votre disposition pour passer un agréable séjour.
Accès depuis la varangue, vous entrerez dans la salle à manger et la cuisine entièrement équipée (four, micro ondes, réfrigérateur, vaisselles, marmite à riz, cafetière, bouilloire, ...), qui dessert le salon équipé d'un canapé et d'une TV écran plat.
De cet espace, un couloir desservant :
* une première chambre avec un lit double et armoire
* une salle d'eau avec douche à l'italienne. Les serviettes de toilettes sont fournis.
* un WC
* une seconde chambre avec lit double et un lit simple, armoire
* une troisième chambre avec un lit superposé ainsi qu'un lit simple. Espace bureau également.
☆ Petits plus inclus ☆
Lit parapluie à disposition sur demande gratuitement.</t>
  </si>
  <si>
    <t>Peace &amp; Lodge II avec jacuzzi</t>
  </si>
  <si>
    <t>Les lianes</t>
  </si>
  <si>
    <t>jardin , parking , Cafetière , cuisine équipée , salon , four , micro-ondes , TV , Lit parapluie sur demande , fer et planche à repasser , jacuzzi , linge de maison , linge de toilette , frigo , salon de jardin , bouilloire , grille-pain , lave linge privatif , varangue , bureau</t>
  </si>
  <si>
    <t>commerce alimentaire,site - lieu culturel,sites touristiques,arrêt bus</t>
  </si>
  <si>
    <t>Chèque,Espèces,booking,airbnb,Caro&amp;co</t>
  </si>
  <si>
    <t>daaf7ae8,5a9a3eae,ed2da975</t>
  </si>
  <si>
    <t>6fd7ee31</t>
  </si>
  <si>
    <t>galerie::galerie_Images/093b6723.Path.053825.jpg</t>
  </si>
  <si>
    <t>Peace and Lodge I</t>
  </si>
  <si>
    <t>38A</t>
  </si>
  <si>
    <t>Rue Hubert Delisle</t>
  </si>
  <si>
    <t>-21.348387, 55.609256</t>
  </si>
  <si>
    <t>https://9a703982.smoobu.net/fr/apartment/PeaceLodgeIaucurdelaverdure/1907693</t>
  </si>
  <si>
    <t>🛎 Un portail permettant l'accès au logement, stationnement possible dans l'allée.
Extérieur composé d'un jardin, et d'un espace détente abrité avec un barbecue qui est à votre disposition
Accès depuis la varangue, vous entrerez dans la salle à manger et la cuisine entièrement équipée (four, micro ondes, réfrigérateur, vaisselles, marmite à riz, cafetière, bouilloire, ...), qui dessert le salon équipé d'un canapé-lit et d'une TV écran plat.
De cet espace, une première chambre avec un lit 160 x 200 cm avec commode à disposition.
Un couloir desservant :
* une salle d'eau avec douche à l'italienne, lave-linge, simple vasque.
Les serviettes de toilettes sont fournis.
* un WC
* une seconde chambre avec deux lits simples, possibilité de réunion des deux lits, accompagnés d'une armoire.
☆ Petits plus inclus ☆
Lit parapluie à disposition sur demande gratuitement.
N’hésitez pas à me faire part de vos demandes particulières
🍾 Fêtes et musiques bruyantes interdites
🚬 Logement non fumeur</t>
  </si>
  <si>
    <t>Peace &amp; Lodge I, au cœur de la verdure</t>
  </si>
  <si>
    <t>jardin , parking , wifi , TV , four , linge de maison , salon de jardin , terrasse , cuisine équipée , micro-ondes , salon , Cafetière , barbecue , Lit parapluie sur demande , linge de toilette , frigo , serviettes. , sèche-cheveux , bouilloire , grille-pain , lave-linge</t>
  </si>
  <si>
    <t>commerce alimentaire,sites touristiques,arrêt bus,station service,boulangerie</t>
  </si>
  <si>
    <t>Espèces,Virement,booking,airbnb,Caro&amp;co</t>
  </si>
  <si>
    <t>daaf7ae8,ed2da975</t>
  </si>
  <si>
    <t>d43af744</t>
  </si>
  <si>
    <t>galerie::galerie_Files_/5f722673.Path.062623.webp</t>
  </si>
  <si>
    <t>Héritage Écolodge &amp; Spa</t>
  </si>
  <si>
    <t>Lodges</t>
  </si>
  <si>
    <t>Impasse de Bellevue</t>
  </si>
  <si>
    <t>-21.192906, 55.578513</t>
  </si>
  <si>
    <t>direction.hdg@gmail.com</t>
  </si>
  <si>
    <t>0693 03 15 18</t>
  </si>
  <si>
    <t>https://heritage-ecolodge.fr/</t>
  </si>
  <si>
    <t>HEBERGEMENTS (Adult Only)
1 Master Lodge de plus de 50m2 équipé de 2 chambres et d’une douche vue sur la nature.
4 Suites Lodge duo de + 30 m2 conçues pour un luxe en pleine nature pourvus de terrasses (15m2)
Les lodges sont équipés de Literie Hôtelière – Phone box – Coin bureau – Salle de douche à l’italienne vue sur la cheminée, sèche-cheveux et baignoires extérieures.
AUTRES PRESTATIONS
- Séminaire &amp; Incentive 
- Evènementiels &amp; privatisations
- Animations &amp; Ateliers : Lontan - rhum arrangé - Bien-être - communication</t>
  </si>
  <si>
    <t>🌿Lodges de luxe
📍Plaine des cafres
🌼 Au cœur de la nature, ressourcez vous et laissez vous porter...</t>
  </si>
  <si>
    <t>RN3 direction Bellevue, au champ de foire, prendre direction Piton Bleu (à gauche en montant)</t>
  </si>
  <si>
    <t>espace de restauration , grand espace , espace de restauration en extérieur , espace spa - bien être , SPA , Tout équipé, wifi , tout équipé , Petit déjeuner à toutes heures</t>
  </si>
  <si>
    <t>point de vue panoramique,sentier de grande randonnée,VTT,forêt,sites touristiques,restaurants,Maison du Volcan,centre équestre,quad,route du volcan,forêt de Tamar'haut,tunnels de lave</t>
  </si>
  <si>
    <t>Carte Bancaire,Espèces,booking,site internet</t>
  </si>
  <si>
    <t>ef2821b6</t>
  </si>
  <si>
    <t>f44c8ca3</t>
  </si>
  <si>
    <t>galerie::galerie_Images/57a3e70e.Path.054614.jpg</t>
  </si>
  <si>
    <t>CSC672HTO</t>
  </si>
  <si>
    <t>Enfants NON ADMIS</t>
  </si>
  <si>
    <t>Le Temps d'une Escale</t>
  </si>
  <si>
    <t>71 bis</t>
  </si>
  <si>
    <t>Rue du Périgord</t>
  </si>
  <si>
    <t>PK19</t>
  </si>
  <si>
    <t>-21.238551, 55.539854</t>
  </si>
  <si>
    <t>hoamel@hotmail.com</t>
  </si>
  <si>
    <t>0692 77 93 83</t>
  </si>
  <si>
    <t>Maison pouvant accueillir 6/8 personnes en nuitée, disposant d'une piscine chauffée toute l'année, d'un jardin, abri, place de parking, et tous les équipements d'une maison au quotidien ( télé abonnement canal, wifi, lave linge, sèche linge, babyfoot...).</t>
  </si>
  <si>
    <t>"Le temps d'une escale" petite maison</t>
  </si>
  <si>
    <t>Proche du Domaine Archambeaud</t>
  </si>
  <si>
    <t>jardin , parking , wifi , piscine , TV , four , linge de maison , salon de jardin , terrasse , cuisine équipée , micro-ondes , jardin clôturé , salon , Cafetière , salle de bain privée , vue montagne , linge de toilette , douche , frigo , salle à manger , serviettes. , cheminée , babyfoot</t>
  </si>
  <si>
    <t>sentier de randonnée,commerce alimentaire,parking public,point de vue panoramique,sentier de grande randonnée,site - lieu culturel</t>
  </si>
  <si>
    <t>Espèces,Virement,airbnb,Paypal,Le bon coin</t>
  </si>
  <si>
    <t>35fe300b</t>
  </si>
  <si>
    <t>51be5dd2</t>
  </si>
  <si>
    <t>galerie::galerie_Images/9539ad33.Path.064249.jpg</t>
  </si>
  <si>
    <t>CSC646HTP</t>
  </si>
  <si>
    <t>Kaz Mado</t>
  </si>
  <si>
    <t>Impasse Armand Fallieres</t>
  </si>
  <si>
    <t>-21.283725, 55.516361</t>
  </si>
  <si>
    <t>carabin.fontaine@yahoo.fr</t>
  </si>
  <si>
    <t>0692 81 20 07</t>
  </si>
  <si>
    <t>Vous serez accueillis dans un lieu calme et sécurisé avec le confort nécessaire pour passer un séjour agréable.
Vous pourrez profiter de votre séjour pour visiter à pied la ville du Tampon et même découvrir ces parcs de verdures.
Nous vous apporterons toute l'attention nécessaire dès votre arrivée pour que vous soyez comme chez vous chez nous.
Le logement
La maison située dans une cour sécurisée est accessible aux personnes à mobilité réduite. La maison est spacieuse avec un espace extérieure où vous pourrez prendre votre apéritif ou votre petit déjeuner en toute tranquillité.</t>
  </si>
  <si>
    <t>La Kaz MADO située au Tampon centre-ville est à mi-chemin entre le littoral sud et la région du volcan.</t>
  </si>
  <si>
    <t>Une fois arrivé au rond point des Azalées, prendre la rue Vallon Hoarau puis prendre à gauche sur l'impasse Armand Fallières (à côté de la boulangerie Vi-Tong). La maison se trouve au numéro 6 sur la droite</t>
  </si>
  <si>
    <t>jardin , parking , wifi , Cafetière , cuisine équipée , bibliothéque , salon , barbecue , four , micro-ondes , TV , Lit parapluie sur demande , fer et planche à repasser , ventilateur , linge de maison , lave vaisselle , linge de toilette , douche , frigo , salle à manger , plaque de cuisson , sèche-cheveux , bouilloire , grille-pain , dressing , jardin clôturé , cour clôturée , jeux , bar</t>
  </si>
  <si>
    <t>commerce alimentaire,centre commercial,Centre - Ville,arrêt bus,boulangerie,Point chaud,sites - lieux culturels,épicerie,transports en commun,pharmacie,médecin,tabac presse,coiffeur,station essence,commerces,pâtisserie,banque - guichet automatique,Restauration,restaurants,Laverie,centre ville,pizzeria,hébergements,aire de jeux,marchés,centre médical</t>
  </si>
  <si>
    <t>Espèces,Virement,airbnb,Paypal</t>
  </si>
  <si>
    <t>a06df092</t>
  </si>
  <si>
    <t>0fc3f4fb</t>
  </si>
  <si>
    <t>galerie::galerie_Files_/beefbffa.Path.095653.webp</t>
  </si>
  <si>
    <t>CSC645HTO</t>
  </si>
  <si>
    <t>Chez Ti Karl</t>
  </si>
  <si>
    <t>30C</t>
  </si>
  <si>
    <t>Chemin Totor</t>
  </si>
  <si>
    <t>-21.239148, 55.502117</t>
  </si>
  <si>
    <t>tmrt@live.fr</t>
  </si>
  <si>
    <t>0692 47 54 28</t>
  </si>
  <si>
    <t>Bénéficiez gratuitement d'une connexion Wi-Fi et d'un parking privé. 
Offrant une vue sur la mer, cet appartement spacieux dispose d'une terrasse, de 2 chambres, d'un salon, d'une télévision à écran plat, d'une cuisine équipée avec un micro-ondes et un réfrigérateur ainsi que d'une salle de bains pourvue d'une douche. Vous pourrez prendre vos repas dans le coin repas extérieur tout en admirant la vue sur le jardin. Pour plus d'intimité, l'hébergement insonorisé dispose d'une entrée privée.
Vous trouverez un café sur place.
Lors de votre séjour, vous pourrez visiter les environs à pied ou profiter du jardin.</t>
  </si>
  <si>
    <t>CHEZ TI KARL propose un hébergement avec vue sur la montagne.</t>
  </si>
  <si>
    <t>jeux , jardin , wifi , vue mer , vue montagne , Cafetière , cuisine équipée , salon , barbecue , four , micro-ondes , TV , fer et planche à repasser , linge de maison , linge de toilette , douche , frigo , terrasse , serviettes. , bouilloire , grille-pain , dressing , salle de bain</t>
  </si>
  <si>
    <t>f912ae82</t>
  </si>
  <si>
    <t>f9a72d35</t>
  </si>
  <si>
    <t>galerie::galerie_Images/38c95319.Path.142207.jpg</t>
  </si>
  <si>
    <t>CSC658HTS</t>
  </si>
  <si>
    <t>Le Verger de la Plaine</t>
  </si>
  <si>
    <t>420</t>
  </si>
  <si>
    <t>-21.199121, 55.538455</t>
  </si>
  <si>
    <t>mariechristinetecher@gmail.com</t>
  </si>
  <si>
    <t>https://www.billikers.com/fr/rentals/515109-le-verger-de-la-plaine-jolie-maison-sur-la-plaine-des-cafres-pour-10-pers-a-le-tampon</t>
  </si>
  <si>
    <t>Jolie maison de la plaine des Cafres pour 10 personnes avec un agréable jardin clos et d'une terrasse d'environ 40 m2.
La maison dispose d'une belle et grande cuisine entièrement équipée : lave-vaisselle, four, plaque de cuisson...ustensiles au complet, plat (petit et moyen) vaisselle complètes, verres (vin, eau , champagne) , coin repas pour 10 personnes accès sur les deux côtés de la maison jardin à l'avant et à l'arrière de la maison avec barbecue. Salon avec cheminée fonctionnelle, coin repas pour 4 personnes, coin cosy avec canapé, table basse et télévisions , près de la cheminée accès au grand jardin par une porte vitrée.
Les 4 chambres sont équipées de literies haut de gamme et neuves : 2 chambres doubles et 2 chambres dont : 1 lit double + 1 lit superposé par chambre (couette, rideaux opaque, rangement , lit parapluie)
Le jardin dispose de plusieurs arbres fruitiers et d'un grand espace au clame.
Un kit de bienvenue est mis également à votre disposition.
Services inclus:
- Ménage et désinfection de fin de séjour
- Wifi gratuit
- Parking public gratuit
- 2 jeux de linge de maison pour tout séjour de plus de huit jours
Le linge de maison (serviettes de douche, draps, taies d’oreillers, tapis de bains et torchons) est installé à votre arrivée.
Prestations supplémentaires sur devis :
- Ménage durant le séjour
- Jeu de draps supplémentaire</t>
  </si>
  <si>
    <t>Le verger de la plaine, jolie maison sur la plaine des cafres pour 10 pers</t>
  </si>
  <si>
    <t>Proche du Belvédère de Bois Court</t>
  </si>
  <si>
    <t>jardin , parking , wifi , TV , four , linge de maison , salon de jardin , terrasse , cuisine équipée , micro-ondes , salon , Cafetière , balcon , barbecue , Lit parapluie sur demande , fer et planche à repasser , frigo , serviettes. , sèche-cheveux , bouilloire , grille-pain , cheminée</t>
  </si>
  <si>
    <t>sentier de randonnée,commerce alimentaire,équitation,parking public,point de vue panoramique,sentier de grande randonnée</t>
  </si>
  <si>
    <t>booking,Billikers</t>
  </si>
  <si>
    <t>d731bb92,68c670f0</t>
  </si>
  <si>
    <t>41acbb9c</t>
  </si>
  <si>
    <t>galerie::galerie_Images/c8023437.Path.043617.jpg</t>
  </si>
  <si>
    <t>Chez Ginot</t>
  </si>
  <si>
    <t>332 bis</t>
  </si>
  <si>
    <t>-21.253038, 55.508861</t>
  </si>
  <si>
    <t>mariepascalineboyer@zeop.re</t>
  </si>
  <si>
    <t>0692 53 04 82</t>
  </si>
  <si>
    <t>𝖲𝗂𝗍𝗎𝖾́𝖾 𝖺𝗎 𝟣𝟩𝖾̀𝗆𝖾 𝗄𝗆, 𝗅𝖺 𝗆𝖺𝗂𝗌𝗈𝗇 𝗉𝖾𝗎𝗍 𝖺𝖼𝖼𝗎𝖾𝗂𝗅𝗅𝗂𝗋 𝟨 𝖺̀ 𝟪 𝗉𝖾𝗋𝗌𝗈𝗇𝗇𝖾𝗌. 𝖢𝗈𝗆𝗉𝗈𝗌𝖾́𝖾 𝖽𝖾 𝟥 𝖼𝗁𝖺𝗆𝖻𝗋𝖾𝗌（ + 𝖼𝗁𝖺𝗎𝖿𝖿𝖺𝗀𝖾 ）, 𝟣 𝗌𝖺𝗅𝗅𝖾 𝖽𝖾 𝖻𝖺𝗂𝗇, 𝟣 𝖼𝗎𝗂𝗌𝗂𝗇𝖾 𝖾́𝗊𝗎𝗂𝗉𝖾́𝖾 ＆ 𝟣 𝖾𝗌𝗉𝖺𝖼𝖾 𝗌𝖺𝗅𝗈𝗇 ／𝗌𝖺𝗅𝗅𝖾 𝖺̀ 𝗆𝖺𝗇𝗀𝖾𝗋．
𝖵𝖾𝗇𝖾𝗓 𝗏𝗈𝗎𝗌 𝖽𝖾́𝗍𝖾𝗇𝖽𝗋𝖾 𝗉𝗋𝖾̀𝗌 𝖽𝖾 𝗅𝖺 𝖼𝗁𝖾𝗆𝗂𝗇𝖾́𝖾 𝗈𝗎̀ 𝗏𝗈𝗎𝗌 𝗉𝗈𝗎𝗋𝗋𝖾𝗓 𝖿𝖺𝗂𝗋𝖾 𝗎𝗇 𝖻𝖺𝗋𝖻𝖾𝖼𝗎𝖾 𝗈𝗎 𝗎𝗇 𝖻𝗈𝗇 𝖼𝖺𝗋𝗋𝗒 🔥. 𝖵𝗈𝗎𝗌 𝖺𝗎𝗋𝖾𝗓 𝖾́𝗀𝖺𝗅𝖾𝗆𝖾𝗇𝗍 𝖺𝖼𝖼𝖾̀𝗌 𝖺𝗎 𝗍𝖾𝗋𝗋𝖺𝗂𝗇 𝖽𝖾 𝗉𝖾́𝗍𝖺𝗇𝗊𝗎𝖾 𝖽𝖺𝗇𝗌 𝗅𝖾 𝗃𝖺𝗋𝖽𝗂𝗇． 
𝖳𝖺𝗋𝗂𝖿𝗌 ：𝟭𝟮𝟬€ 𝗽𝗮𝗿 𝗻𝘂𝗶𝘁 （ 𝟤 𝗇𝗎𝗂𝗍𝗌 𝗆𝗂𝗇𝗂𝗆𝗎𝗆 ）
 🚫 𝖯𝖺𝗌 𝖽𝖾 𝖿𝖾̂𝗍𝖾𝗌 － 𝖭𝗈𝗌 𝖺𝗆𝗂𝗌 𝗅𝖾𝗌 𝖺𝗇𝗂𝗆𝖺𝗎𝗑 𝗇𝖾 𝗌𝗈𝗇𝗍 𝗉𝖺𝗌 𝗅𝖾𝗌 𝖻𝗂𝖾𝗇𝗏𝖾𝗇𝗎𝖾</t>
  </si>
  <si>
    <t>𝑪𝒉𝒆𝒛 𝑮𝒊𝒏𝒐𝒕 🏡</t>
  </si>
  <si>
    <t>Proche de Miel Vert</t>
  </si>
  <si>
    <t>jardin , wifi , Cafetière , cuisine équipée , salon , four , micro-ondes , TV , vue montagne , linge de maison , linge de toilette , douche , frigo</t>
  </si>
  <si>
    <t>sentier de randonnée,équitation,parking public,point de vue panoramique,sites touristiques</t>
  </si>
  <si>
    <t>d8bbff51</t>
  </si>
  <si>
    <t>ae2aa988</t>
  </si>
  <si>
    <t>galerie::galerie_Images/831f492b.Path.064542.jpg</t>
  </si>
  <si>
    <t>Mon chez moi</t>
  </si>
  <si>
    <t>203</t>
  </si>
  <si>
    <t>-21.264609, 55.502884</t>
  </si>
  <si>
    <t>ericdarocha@hotmail.fr</t>
  </si>
  <si>
    <t>0692 03 94 21</t>
  </si>
  <si>
    <t>Cet appartement de 2 chambres comprend un salon avec une télévision à écran plat et des services de streaming, une cuisine entièrement équipée avec un four et un micro-ondes ainsi qu'une salle de bains pourvue d'une douche à l'italienne. Les serviettes et le linge de lit sont fournis. Pour plus d'intimité, l'hébergement dispose d'une entrée privée.</t>
  </si>
  <si>
    <t>Mon chez moi - appartement</t>
  </si>
  <si>
    <t>Le logement se trouve au 203 chemin raphael babet, en dessous de carrefour market trois mares</t>
  </si>
  <si>
    <t>jardin , parking , wifi , Cafetière , cuisine équipée , salon , four , micro-ondes , TV , linge de maison , linge de toilette , douche , frigo , salon de jardin , serviettes. , plaque de cuisson , bouilloire , dressing , salle de bain , cour clôturée , accès internet , canapé lit , brasseurs d'air</t>
  </si>
  <si>
    <t>commerce alimentaire,parking public,point de vue panoramique,site - lieu culturel,Centre - Ville,arrêt bus,poste - boite aux lettres,station service,boulangerie</t>
  </si>
  <si>
    <t>Carte Bancaire,Espèces,Virement,booking,airbnb</t>
  </si>
  <si>
    <t>5fa9446f</t>
  </si>
  <si>
    <t>1988aa45</t>
  </si>
  <si>
    <t>galerie::galerie_Images/e9a46357.Path.112612.jpg</t>
  </si>
  <si>
    <t>CSC647HTQ</t>
  </si>
  <si>
    <t>horaires flexibles selon dispo</t>
  </si>
  <si>
    <t>Vanille &amp; Goyavier</t>
  </si>
  <si>
    <t>56G</t>
  </si>
  <si>
    <t>-21.309540, 55.801505</t>
  </si>
  <si>
    <t>barnierchantel@gmail.com</t>
  </si>
  <si>
    <t>0693 22 63 08</t>
  </si>
  <si>
    <t>https://www.vanille-goyavier.com/</t>
  </si>
  <si>
    <t>Maison qui se composent de 3 chambres :
- la chambre bambou letchi
- la chambre nature
- la chambre chic
** Petit déjeuner inclus et repas du soir sur réservations  (cuisine marocaine, italienne et métro) **
Venez vite découvrir notre petit coin de paradis. 
À seulement 5 min de l'enclos du volcan en voiture, du puits Arabe, du merveilleux jardin des parfums et des épices. 
Notre terrasse avec vue sur la mer et la forêt offre un calme apaisant
Réception des animaux de compagnie selon le type d'animal (à voir directement avec le prestataire)
Horaire flexibles
Tarif dégressif en fonction du nombre de nuits</t>
  </si>
  <si>
    <t>Sur la route des laves au plus près de l'enclos, de la vanille et le jardin du parfum et des épices.</t>
  </si>
  <si>
    <t>En venant de Saint-Joseph, une fois arrivé à l'arrêt de bus "La Chapelle", à 20 mètres tourner dans un chemin (un petit panneau s'y trouve au nom de la chambre d'hôtes), la chambre d'hôtes se trouve au bout du chemin.</t>
  </si>
  <si>
    <t>bouilloire , parking , wifi , salon , vue mer , linge de maison , linge de toilette , douche , terrasse , salle à manger , salon de jardin , salle de bain privée , espace de restauration , sanitaires privés , veranda couverte , petit déjeuner créole ou classique , jardin arboré , repas du soir sur réservation</t>
  </si>
  <si>
    <t>sentier de randonnée,point de vue panoramique,sites touristiques,forêt,arrêt bus,sentiers de randonnée,route pour aller au volcan,route des laves,coulées de lave</t>
  </si>
  <si>
    <t>Carte Bancaire,Espèces,Virement,booking</t>
  </si>
  <si>
    <t>936cc83f</t>
  </si>
  <si>
    <t>a2210de2</t>
  </si>
  <si>
    <t>galerie::galerie_Images/3f627746.Path.114326.jpg</t>
  </si>
  <si>
    <t>CSC649HTS</t>
  </si>
  <si>
    <t>La Kaz Lily</t>
  </si>
  <si>
    <t>3bis</t>
  </si>
  <si>
    <t>rue de Vienne</t>
  </si>
  <si>
    <t>-21.253484, 55.466360</t>
  </si>
  <si>
    <t>sd.kazanou@gmail.com</t>
  </si>
  <si>
    <t>0692 409 469</t>
  </si>
  <si>
    <t>https://www.kazanou-immobilier.re/location-vacances/la-kaz-lily/59661.htm</t>
  </si>
  <si>
    <t>Dès votre arrivée un grand espace extérieur vous attend, avec tout le nécessaire pour passer de bonnes vacances : grande piscine, végétation tropicale, bain de soleil , cuisine d’été avec barbecue et plancha à gaz , varangue très spacieuse pour déjeuner en famille mais aussi de petits espaces pour papoter entre amis ou lire un bon livre au calme face au décor époustouflant que nous offre les montagnes de notre île .
Au rez de chaussée une belle pièce de vie ornée d’une cheminée, d’un salon tv très cosy, d’un espace repas et d’une cuisine ouverte bien équipée et fonctionnelle vous ferons passer des moments inoubliables en famille ou entre amis …
Toujours au premier niveau la villa nous offre une belle suite parentale avec sa salle de bain privative et son dressing, et une autre chambre à la décoration subtile.
A L’étage, deux grandes chambres sont à votre disposition dont une pouvant accueillir en plus d’un couple un jeune enfant en lit superposé. Une salle de bain avec baignoire et des toilettes séparées permettent une organisation optimale pour des vacances réussies !!!
Les points forts de la Kaz Lily sont vraiment d’abord, son calme et sa situation incroyable face au spectacle et la magie de L’Entre Deux et sa magnifique piscine très conviviale qui restent des valeurs sures pour une détente assurée
*****
Tarif nuitée : 300€ en semaine et 330€ les week end 
Périodes de vacances scolaires : la nuitée est a 330€ 
2 nuitées minimum / remise de 30% pour les résa au delà de 6 nuitées / remise de 50% pour les résa au delà de 30 nuitées
Acompte de 30% demandé pour bloquer les séjours
Arrivée entre 15h et 18h // Départ à 11h (négociable)</t>
  </si>
  <si>
    <t>La conciergerie du sud vous propose à la location saisonnière cette jolie villa pouvant accueillir jusqu’à 9 voyageurs, nichée au cœur du panorama que nous offre le joli village fleuri de l’Entre Deux .</t>
  </si>
  <si>
    <t>Prendre la route en direction de l'Entre-Deux puis tourner à droite dans la rue Vienne qui se trouve bien avant le village de l'Entre-Deux, juste après un arrêt de bus</t>
  </si>
  <si>
    <t>jardin , parking , wifi , piscine , TV , four , linge de maison , salon de jardin , terrasse , cuisine équipée , micro-ondes , jardin clôturé , salon , Cafetière , salle de bain privée , barbecue , fer et planche à repasser , ventilateur , vue montagne , lave vaisselle , linge de toilette , douche , frigo , salle à manger , plaque de cuisson , sèche-cheveux , bouilloire , grille-pain , parking sécurisé , cour clôturée , équipement bébé , enceinte , douche extérieure</t>
  </si>
  <si>
    <t>sentier de randonnée,point de vue panoramique,site - lieu culturel,sites touristiques,Centre - Ville,arrêt bus,Point chaud,transports en commun</t>
  </si>
  <si>
    <t>b7539ae7,9d392cb0</t>
  </si>
  <si>
    <t>7752a11f</t>
  </si>
  <si>
    <t>galerie::galerie_Images/18969a63.Path.092333.jpg</t>
  </si>
  <si>
    <t>CSC651HTL</t>
  </si>
  <si>
    <t>SIRENE en cours</t>
  </si>
  <si>
    <t>rue Prospere Merime</t>
  </si>
  <si>
    <t>-21.373671, 55.674690</t>
  </si>
  <si>
    <t>Service le soir de 19h à 21h
Menu unique et changé chaque semaine 
Cuisine de produits locaux (s'adapte)
Propose aussi un menu + adapté pour les enfants sur demande
Le tarif comprends les boissons et le repas 
Pour les enfants de moins de 10 ans c'est à 20€
Possibilité de se garer devant la maison</t>
  </si>
  <si>
    <t>Les Oliviers sous le cocotier</t>
  </si>
  <si>
    <t>Avant dernière maison au fond de l'impasse</t>
  </si>
  <si>
    <t>parking , wifi , vue mer , espace de restauration , grand espace</t>
  </si>
  <si>
    <t>commerce alimentaire,arrêt bus,boulangerie,Point chaud,sentier de randonnée,site - lieu culturel,point de vue panoramique</t>
  </si>
  <si>
    <t>afa24bf1</t>
  </si>
  <si>
    <t>galerie::galerie_Images/0718d883.Path.095143.jpg</t>
  </si>
  <si>
    <t>Les Irish du Bois Noir La Villa</t>
  </si>
  <si>
    <t>Rue Denis Picard</t>
  </si>
  <si>
    <t>-21.379736, 55.641779</t>
  </si>
  <si>
    <t>stephaniehoareau2807@gmail.com</t>
  </si>
  <si>
    <t>0692230772</t>
  </si>
  <si>
    <t>Bienvenue aux Irish du Bois Noir, La Villa.
Séjournez dans cette belle et spacieuse villa de 120m2 avec piscine et jardin, classée 4 étoiles en qualité tourisme. Située sur un domaine équestre en pleine nature avec vue sur les chevaux où le calme est de rigueur.
La villa est idéalement située pour vous permettre de découvrir le Sud Sauvage de l'Ile et ses paysages époustouflants.
A l'intérieur, vous pourrez profiter d'une grande pièce à vivre très lumineuse comprenant un beau salon-salle à manger et une cuisine moderne entièrement équipée et fonctionnelle.
Dans la partie couchage, vous retrouverez 3 belles chambres doubles climatisées et une salle de bain avec baignoire, grande douche italienne et double vasques.</t>
  </si>
  <si>
    <t>Les Irish du bois noir - la villa</t>
  </si>
  <si>
    <t>Située dans le quartier de Bois Noir.</t>
  </si>
  <si>
    <t>lave vaisselle , sèche-cheveux , lave-linge , climatisation , linge de maison , cuisine équipée , barbecue , piscine , douche , baignoire , jardin , parking , wifi , four , TV , vue montagne , terrasse</t>
  </si>
  <si>
    <t>ferme équestre,épicerie,boulangerie,pharmacie,sites touristiques</t>
  </si>
  <si>
    <t>be7c248a</t>
  </si>
  <si>
    <t>334a9975</t>
  </si>
  <si>
    <t>galerie::galerie_Files_/3f9bac47.Path.094509.webp</t>
  </si>
  <si>
    <t>CSC664HTP</t>
  </si>
  <si>
    <t>Zi 2 cann</t>
  </si>
  <si>
    <t>Bar à jus</t>
  </si>
  <si>
    <t>rue Grand Fond Intérieur</t>
  </si>
  <si>
    <t>-21.242148, 55.466641</t>
  </si>
  <si>
    <t>pascalmarie95@gmail.com</t>
  </si>
  <si>
    <t>06 92 09 43 23</t>
  </si>
  <si>
    <t>Jus de canne à sucre et fruits de saison frais
Proposition de snacking mauricien : gâteaux piments, sandwichs clubs,...
Nous sommes tous les Vendredis et Samedis après midi sur la place de la liberté de l'Entre Deux et nous pouvons répondre à d'autres évènements . Déguster un vrai jus de canne, pressé devant le public et consommer à la minute, mais aussi commander au litre pour les professionnels et le public !
Nous nous déplaçons avec notre presse et tout le matériel. Nous avons juste besoin d'un espace de 5m carré  et un accès à l'électricité et dans l'idéal un point d'eau accessible.</t>
  </si>
  <si>
    <t>Création de jus frais à partir de canne à sucre</t>
  </si>
  <si>
    <t>Prestation en itinérance et dans le village de l'Entre-Deux, en face du collège sur La Place de la Liberté</t>
  </si>
  <si>
    <t>Propose des snacks , jus frais</t>
  </si>
  <si>
    <t>arrêt bus,centre ville</t>
  </si>
  <si>
    <t>acd9c8e1</t>
  </si>
  <si>
    <t>2162c564</t>
  </si>
  <si>
    <t>galerie::galerie_Images/5e42928e.Path.041916.jpg</t>
  </si>
  <si>
    <t>Janma</t>
  </si>
  <si>
    <t>312</t>
  </si>
  <si>
    <t>Rue Raphael Douyère</t>
  </si>
  <si>
    <t>-21.195135, 55.539084</t>
  </si>
  <si>
    <t>gaellebertil2@gmail.com</t>
  </si>
  <si>
    <t>0692 49 22 99</t>
  </si>
  <si>
    <t>☀️🌱 JANMA vous propose  : 
- des cours de yoga collectifs à la Plaine des Cafres (divers lieux, présentés bientôt) et à Condé 400
- des cours de yoga particuliers à votre domicile 
- des massages ayurvédiques à votre domicile 
- des partages autour des mots et de la lecture 
- des week-ends ou matinées spécifiques 
- des partages des rencontres de cette vie
Formation groupe 4 à 5
Cours particulier 1 pax min
Cours à partir de 10€/pax 
Cours particulier 40€ (frais déplacement si hors zone Tampon)
Massage complet à partir 75€ (zone PDC, tampon, sp)
Hors offre spéciale
Le matériel est apporté par la prestataires
Pas d'horaire, s'adapte en fonction de son emploi du temps perso</t>
  </si>
  <si>
    <t>JANMA - Yoga dans le sud de l'île de la Réunion
Massages ayurvédiques
Week-end retraite
Littérature</t>
  </si>
  <si>
    <t>Se déplace + propose des lieux pour les cours également</t>
  </si>
  <si>
    <t>sur réservation , ateliers , matériel pour l'activité</t>
  </si>
  <si>
    <t>72616364</t>
  </si>
  <si>
    <t>d66c3948</t>
  </si>
  <si>
    <t>galerie::galerie_Images/c219903e.Path.051042.jpg</t>
  </si>
  <si>
    <t>La casa del Ju Lya</t>
  </si>
  <si>
    <t>142</t>
  </si>
  <si>
    <t>rue des flamboyants</t>
  </si>
  <si>
    <t>-21.279768, 55.500501</t>
  </si>
  <si>
    <t>toulonnais974@laposte.net</t>
  </si>
  <si>
    <t>0692 43 85 43</t>
  </si>
  <si>
    <t>https://www.locasun.fr/1012767-Location-Appartement-Le-Tampon.htm</t>
  </si>
  <si>
    <t>Charmante maison avec piscine 3.50m sur 7.00m située au Tampon pour 6 personnes (4 adultes et 2 enfants).
Le confort et le charme d'une maison de vacances avec piscine pour 6 personnes située au Tampon, proche de toutes commodités (boulangerie) et de tout axes routiers (proche Saint-Pierre)
Vous profiterez d'une piscine sans vis-à-vis, d'une agréable terrasse cosy et éclairée le soir équipée d'une plancha.
Au rez-de-chaussée, la villa comprend une cuisine neuve avec îlot central ouverte sur le coin repas entièrement équipée, une chambre, une salle de bain et un wc. À l'étage, vous disposerez d'une chambre double, d'une mezzanine avec 2 lits simples (possibilité de l'installer en lit double) et d'un bureau.</t>
  </si>
  <si>
    <t>Jolie maison avec piscine située au Tampon</t>
  </si>
  <si>
    <t>linge de maison , linge de toilette , lave-linge , bouilloire , micro-ondes , fer et planche à repasser , frigo , cuisine , jardin , parking , climatisation , piscine , TV , four , lave vaisselle , douche , sèche-cheveux , accès internet</t>
  </si>
  <si>
    <t>arrêt bus,station service,boulangerie,Point chaud,épicerie,snack,transports en commun,tabac presse,pâtisserie,Restauration,maraicher</t>
  </si>
  <si>
    <t>654e374d,68c670f0</t>
  </si>
  <si>
    <t>eda47313</t>
  </si>
  <si>
    <t>galerie::galerie_Images/69f10fbb.Path.113058.jpg</t>
  </si>
  <si>
    <t>CSC657HTR</t>
  </si>
  <si>
    <t>sous gestion BILLIKERS⚠️A CHANGÉ DE CONCIERGERIE &gt; BNB CONCIERGERIE
Billikers n'a pas transmis la décision de classement 
Pas de SIREN (madame en a un pour son activité de coiffeuse mais c'est tout)</t>
  </si>
  <si>
    <t>Les Irish du Bois Noir La Prairie</t>
  </si>
  <si>
    <t>Détendez-vous dans ce spacieux appartement en rez-de-jardin de 90 m² avec un grand jacuzzi et un jardin clos au milieu des chevaux. Classé 4 étoiles en qualité touristique, cette location de charme vous garantit calme, détente et dépaysement. Vous pourrez également prendre vos repas en plein air. L’appartement est situé à Saint-Joseph, à La Réunion, et dispose d’une vue sur la montagne. Il est récemment rénové et comprend trois chambres, un salon, une cuisine équipée avec lave-vaisselle et four, ainsi qu’une salle de bains avec douche à l’italienne. De plus, il est climatisé et hypoallergénique. Profitez du jacuzzi et du dressing pendant votre séjour.</t>
  </si>
  <si>
    <t>jardin , wifi , climatisation , cuisine équipée , TV , jacuzzi , vue montagne , linge de maison , lave-linge</t>
  </si>
  <si>
    <t>épicerie,sites touristiques,boulangerie,pharmacie,ferme équestre</t>
  </si>
  <si>
    <t>bb45af60</t>
  </si>
  <si>
    <t>galerie::galerie_Images/4fff2cf5.Path.093403.jpg</t>
  </si>
  <si>
    <t>CSC665HTQ</t>
  </si>
  <si>
    <t>Havre de verdure</t>
  </si>
  <si>
    <t>12E</t>
  </si>
  <si>
    <t>-21.248265, 55.468464</t>
  </si>
  <si>
    <t>havredeverdure974@gmail.com</t>
  </si>
  <si>
    <t>0692 66 44 93</t>
  </si>
  <si>
    <t>Cette maison de vacances comprend une chambre ainsi qu'une cuisine entièrement équipée avec un lave-vaisselle, un four et une machine à café. Les serviettes et le linge de lit sont fournis. L'établissement possède un coin repas extérieur.</t>
  </si>
  <si>
    <t>Havre de Verdure</t>
  </si>
  <si>
    <t>A l'entrée du village de l'Entre-Deux au rond point en face de l'office de tourisme, prendre à gauche rue Fontaine, puis à droite continuer tout droit.
Au croisement prendre à gauche rue Payet. La maison se trouve sur la droite au numéro 12E.</t>
  </si>
  <si>
    <t>jardin , parking , wifi , four , linge de maison , salon de jardin , terrasse , cuisine équipée , micro-ondes , jardin clôturé , salon , Cafetière , vue montagne , linge de toilette , douche , frigo , bouilloire , grille-pain , lave linge privatif</t>
  </si>
  <si>
    <t>afdbcbd8</t>
  </si>
  <si>
    <t>galerie::galerie_Images/7ed2c846.Path.053836.jpg</t>
  </si>
  <si>
    <t>CSC659HTT</t>
  </si>
  <si>
    <t>Le Sunrise</t>
  </si>
  <si>
    <t>63bis</t>
  </si>
  <si>
    <t>rue Paul Hermann - Résidence Charlotte - Bat. B - Appt. 41</t>
  </si>
  <si>
    <t>-21.265288, 55.517415</t>
  </si>
  <si>
    <t>0693 11 99 70</t>
  </si>
  <si>
    <t>Au Sunrise tout a été conçu avec passion et par dessus tout avec coeur !
Propriétaires engagés, c'est une joie pour nous d'offrir le meilleur de nous-même et garantir un séjour mémorable
Propre, moderne, spacieux, lumineux, équipements haut de gamme.
Vue mer et montagne, vous apprécierez la vue et les couchers de soleils
piscine collective, ascenseur
Location de 3 nuitées minimum
fêtes non autorisées
caution: 900 euros exigée à l'arrivée
Le logement :
Prestations de qualité, confort, garage fermé, superbe terrasse
3 chambres en duplex, lits queen size
piscine collective au sein de la résidence
proximité de toutes commodités (boulangerie, restauration,cabinets médicaux, poste..)</t>
  </si>
  <si>
    <t>Appartement T4 avec vue et piscine</t>
  </si>
  <si>
    <t>piscine commune , espace de restauration en extérieur , salon de jardin , terrasse , Lit parapluie sur demande , fer et planche à repasser , plaque de cuisson , grille-pain , Cafetière , bouilloire , lave vaisselle , micro-ondes , four , frigo , cuisine équipée , ventilateur , TV , linge de maison , linge de toilette , lave linge privatif , sèche-cheveux , baignoire , vue mer , vue montagne , parking , wifi , articles de toilette , mobilier d'extérieur , ascenseur</t>
  </si>
  <si>
    <t>arrêt bus,boulangerie,épicerie,snack,transports en commun,tabac presse,commerces,pâtisserie,Restauration,centre ville,pizzeria,maraicher</t>
  </si>
  <si>
    <t>22df0e9e</t>
  </si>
  <si>
    <t>galerie::galerie_Files_/4d9dce2a.Path.051904.webp</t>
  </si>
  <si>
    <t>CSC660HTL</t>
  </si>
  <si>
    <t>Le Zirondelle</t>
  </si>
  <si>
    <t>inaccessible aux véhicules</t>
  </si>
  <si>
    <t>Sentier Grand Bassin</t>
  </si>
  <si>
    <t>-21.182490, 55.534003</t>
  </si>
  <si>
    <t>dady.gr@gmail.com</t>
  </si>
  <si>
    <t>0692 59 45 80</t>
  </si>
  <si>
    <t>Maison composé
1 cuisine équipée + salon
2 dortoirs : 1 lit double et  lit simple (+1 clic clac dans l'un des dortoirs)
1 grand jardin avec salon de jardin
Pas d'animaux dans la maison !</t>
  </si>
  <si>
    <t>Location saisonnière - Le Zirondelle
À Grand Bassin</t>
  </si>
  <si>
    <t>Grand Bassin !</t>
  </si>
  <si>
    <t>jardin , vue montagne , Cafetière , cuisine équipée , salon , linge de maison , linge de toilette , douche , frigo , salle de bain , jardin clôturé , jeux , canapé lit , dortoir</t>
  </si>
  <si>
    <t>sentier de randonnée,point de vue panoramique,sentier de grande randonnée,riviere</t>
  </si>
  <si>
    <t>266d0419</t>
  </si>
  <si>
    <t>a57233a0</t>
  </si>
  <si>
    <t>CSC663HTO</t>
  </si>
  <si>
    <t>Mobilboard</t>
  </si>
  <si>
    <t>Segway</t>
  </si>
  <si>
    <t>la</t>
  </si>
  <si>
    <t>plaine des cafres</t>
  </si>
  <si>
    <t>-21.200979, 55.579873</t>
  </si>
  <si>
    <t>saint-pierre@mobilboard.com</t>
  </si>
  <si>
    <t>0693 93 61 31</t>
  </si>
  <si>
    <t>https://www.mobilboard.com/fr/la-reunion</t>
  </si>
  <si>
    <t>Ce sont des guides locaux qui vous font découvrir leur territoire. Amoureux des trésors de nos régions, nous vous partageons nos secrets de façon simple et authentique. Chaque jour nous vous accueillions par petits groupes afin de privilégier la relation.
Nous croyons à un tourisme responsable, au respect des habitants, des commerçants et de l'environnement. Gyropode, trottinette, vélo, nous faisons le choix d'une mobilité douce électrique et silencieuse. Vous pouvez choisir votre rythme : faire un maximum de chose top chrono ou au contraire, prendre tout votre temps pour profiter et flâner.
Nous sommes très attentifs à votre confort et à votre sécurité, toutes nos activités se déroulent en plein air ! Depuis plus de 10 ans, nous créons de véritables expériences accessibles au plus grand nombre. Mobilboard, ce sont avant tout des occasions précieuses pour partager des supers moments avec ceux que vous aimez.
Alors, on parie que vous allez adorer ?</t>
  </si>
  <si>
    <t>Mobilboard Segway La Réunion</t>
  </si>
  <si>
    <t>Départ Plaine des Cafres</t>
  </si>
  <si>
    <t>vue mer , vue montagne , balade , grand espace , matériel pour l'activité</t>
  </si>
  <si>
    <t>route du volcan,route pour aller au volcan,Volcan le piton de la fournaise,forêt</t>
  </si>
  <si>
    <t>Carte Bancaire,site internet</t>
  </si>
  <si>
    <t>fea7d986</t>
  </si>
  <si>
    <t>ab2dae86</t>
  </si>
  <si>
    <t>galerie::galerie_Files_/1ecd5e82.Path.064322.tiff</t>
  </si>
  <si>
    <t>Fiche produit volcan en pj</t>
  </si>
  <si>
    <t>Entre Mer et Montagne - meublé "Montagne"</t>
  </si>
  <si>
    <t>167</t>
  </si>
  <si>
    <t>chemin Raphael Babet</t>
  </si>
  <si>
    <t>-21.265758, 55.502749</t>
  </si>
  <si>
    <t>http://meuble-tampon.fr/?fbclid=IwZXh0bgNhZW0CMTAAAR3GNKs7WUNnz0IcI5R8g4Va3Dfd9B0ocooHbfScKqIEZWuzu0VCaVLmCns_aem_pNKJNq0ioBmqoGgRx-gHHQ</t>
  </si>
  <si>
    <t>Le meublé montagne est composé :
• d’une cuisine tout équipée : table et chaises en teck, plaque 4 feux, autocuiseur, réfrigérateur/congélateur, micro-ondes, cafetière, vaisselle
• d’un salon : TV écran plat LCD de 82 cm avec la TNT, un canapé lit BZ 2 places
• d’une chambre avec lit double et grand placard en chêne massif
• d’une salle d’eau contemporaine avec douche, sèche-cheveux
• d’une grande terrasse semi couverte avec vue sur mer et montagne comportant table et chaises en résine tressée, barbecue
*****
Chaque logement dispose d’une cuisine tout équipée et d’une généreuse terrasse.
Une piscine sécurisée, située en retrait est à la disposition des résidents des trois logements.
Chaque meublé bénéficie de la connexion wifi et d’une place de parking.
L’équipement bébé (lit parapluie + chaise haute) est fourni sur demande sans supplément.
Les meublés ne sont pas accessibles aux PMR en fauteuil roulant. Pour toutes autres PMR veuillez nous contacter.
Une piscine sécurisée, située en retrait est à la disposition des résidents des trois logements.</t>
  </si>
  <si>
    <t>Trois Mares, rue Raphael Babet</t>
  </si>
  <si>
    <t>barbecue , vue mer , vue montagne , terrasse , sèche-cheveux , douche , parking , wifi , TV , four , cuisine équipée , micro-ondes , salon</t>
  </si>
  <si>
    <t>commerce alimentaire,équitation,parking public,site - lieu culturel</t>
  </si>
  <si>
    <t>b9c3bffa</t>
  </si>
  <si>
    <t>galerie::galerie_Files_/3891f546.Path.065257.webp</t>
  </si>
  <si>
    <t>La Table du Dimitile</t>
  </si>
  <si>
    <t>30</t>
  </si>
  <si>
    <t>rue bras long</t>
  </si>
  <si>
    <t>-21.244116, 55.470467</t>
  </si>
  <si>
    <t>https://hotel-ledimitile.com/restaurant-entre-deux/</t>
  </si>
  <si>
    <t>UNE CUISINE MÉTISSÉE
La Table du Dimitile :
Mettant à l’honneur l’authenticité des produits du terroir réunionnais alliant audace et subtilité. Un savant mélange de tradition créole revisitée et d’influences culinaires venues d’ailleurs, à l’image de la culture de l’île : diversifiée, multicolore et généreuse. 
 Il se fournit chez les maraîchers, éleveurs et marins-pêcheurs de l’île, reconnus pour leur professionnalisme et la qualité de leurs produits.
Également amoureux du végétal, le chef propose des recettes spécialement élaborées pour les végétariens.
-Le déjeuner est servi de 12h à 14h 
-Le dîner de 19h à 22h
Le restaurant est ouvert aux clients de l’hôtel ainsi qu’aux personnes extérieures.
***
UN MOMENT DE CONVIVIALITÉ
Le bar du Letchi, est l’endroit idéal pour boire un verre dans une ambiance verdoyante, avec une sélection de cocktails et de mocktails spécialement conçus par notre chef barman.
***
UN MOMENT GOURMAND
Le petit-déjeuner buffet : 
Varié et servi de 7h à 10h dans la salle du restaurant ou sur la terrasse. Un large éventail de produits est proposé, accompagné d’un service attentionné et personnalisé.
Au Dimitile Hôtel &amp; Spa, le petit-déjeuner est loin d’être un détail ! Souhaitant que vous vous sentiez le mieux possible, nous vous proposons une « formule en chambre » à 20 €. Pensez à bien réserver la veille au soir avant 21h30 à la réception ou en faisant le 9 de votre téléphone.
***
ROOM SERVICE
En-cas de petite faim, profitez d’un moment gourmand , le room service de l’hôtel vous permet de savourer un snack sur votre terrasse ou votre chambre. Service disponible 7jours/7 de 12h à 14h et de 18h30 à 22h (dernière prise de commande).
Au choix :
-Planche de charcuterie 18 €
-Planche de fromages 18 €
-Assiettes de créolité 18 €
Pour commander, faites 10 de votre téléphone.
***
PRIVATISATION
Repas d'affaires et groupes :
La Table du Dimitile peut accueillir des groupes le midi et le soir.
Sa capacité est de 50 à 150 pax.</t>
  </si>
  <si>
    <t>La Table du Dimitile vous fait découvrir les multiples saveurs de La Réunion en version bistronomique.</t>
  </si>
  <si>
    <t>wifi , terrasse , vue montagne , espace de restauration , espace de restauration en extérieur , bar , Legumes bio , jus frais</t>
  </si>
  <si>
    <t>sentier de randonnée,site - lieu culturel,sites touristiques,Centre - Ville,arrêt bus,poste - boite aux lettres,boulangerie,Point chaud,snack,transports en commun,pharmacie</t>
  </si>
  <si>
    <t>BaDa2000XG</t>
  </si>
  <si>
    <t>e7ab7b60</t>
  </si>
  <si>
    <t>galerie::galerie_Images/142a93d6.Path.110027.jpg</t>
  </si>
  <si>
    <t>Dimitile Hôtel - Espace Bien-Être</t>
  </si>
  <si>
    <t>-21.238345, 55.471553</t>
  </si>
  <si>
    <t>https://hotel-ledimitile.com/hotel-spa-entre-deux/</t>
  </si>
  <si>
    <t>L’espace bien-être est ouvert de 10h à 19h. 
Il comprend : 
- Hammam
- Sauna
- Fontaine à glace
- Bain Kneipp 
- Tunnel de douches sensorielles
- Gamme de soins
- Massages
- Modelages 
L’espace bien-être est privatisable.
** Formule journée détente **
Prenez du temps pour vous et découvrez notre formule détente :
– Un rafraîchissement + déjeuner (plat &amp; dessert) hors boissons.
– L’accès à la piscine de 10h à 17h. 
– 6 personnes max par réservation y compris enfants de 3 à 11 ans inclus.
– La semaine : 45 €/adt et 30 €/enfant de 3 à 11 ans.
– Week-end : 55 €/adt et 35 €/enfant de 3 à 11 ans.
** Formule Pool &amp; Breakfast **
Disponible en semaine : 65€/adt et 45€/enfant (hors jours fériés et vacances scolaires).
– Sur réservation uniquement : 6 personnes max/réservation y compris enfants.
– Accès à l’établissement de 8h à 17h.
– Petit-déjeuner sous forme de buffet à volonté inclus.
– 1 boisson sans alcool offerte durant la matinée.
– Déjeuner en 2 temps à la carte (plat + dessert).
– Un goûter vous est proposé au bar à jus (sélection de glaces et sorbet de la maison GAC et un cocktail de fruit).</t>
  </si>
  <si>
    <t>À la découverte d’un trésor caché :
Cocon de douceur au cœur d’un environnement zen, notre spa vous accueille dans un espace unique, hors du temps.</t>
  </si>
  <si>
    <t>terrasse , parking , piscine chauffée , espace spa - bien être , Massages bien être , douches sensorielles , fontaine à glace , sauna , hammam , bain Kneipp</t>
  </si>
  <si>
    <t>station service,sites touristiques,site - lieu culturel,poste - boite aux lettres,arrêt bus,boulangerie,Point chaud,point de vue panoramique,snack,épicerie,transports en commun,pharmacie,restaurants,tabac presse,médecin,sentier de randonnée</t>
  </si>
  <si>
    <t>français,anglais,créole,espagnol,allemand</t>
  </si>
  <si>
    <t>e8a22d5e</t>
  </si>
  <si>
    <t>galerie::galerie_Files_/c3ea6503.Path.101108.webp</t>
  </si>
  <si>
    <t>Kaz O'Rêve</t>
  </si>
  <si>
    <t>99</t>
  </si>
  <si>
    <t>chemin Mata</t>
  </si>
  <si>
    <t>-21.247481, 55.492267</t>
  </si>
  <si>
    <t>philduvoid@yahoo.fr</t>
  </si>
  <si>
    <t>0692 36 89 09</t>
  </si>
  <si>
    <t>Cette charmante villa est nichée dans un lotissement privatif, au cœur des champs de canne, saura vous surprendre par ses prestations.
Composée d'une pièce de vie centrale avec cuisine ouverte desservant 3 suites parentales avec lits doubles dont 2 donnant directement sur la piscine et la terrasse, vous permettront de vous relaxer à l'issue de vos journées de randonnée. Elle offre une vue mer et montagne ainsi qu'une belle varangue avec plancha pour un repas en extérieur. L'espace "jeux" avec son babyfoot et sa table de pingpong contribuera au bonheur des petits et des grands. Vous aurez à disposition également un coin lecture et détente agrémenté de jeux de société ainsi que la WIFI en illimité. Vous pourrez ainsi profiter de votre séjour dans un confort idéal. 
Le linge de maison : draps - serviettes - torchons sont fournis. Une caution de 1500 € vous sera demandé. 
Une réduction de 10% sera appliquée pour un séjour supérieur à 7 nuitées.</t>
  </si>
  <si>
    <t>Villa Kaz'O'Reve</t>
  </si>
  <si>
    <t>Proche du sentier Dassy</t>
  </si>
  <si>
    <t>Espèces,Virement,airbnb,Le bon coin</t>
  </si>
  <si>
    <t>67b27657</t>
  </si>
  <si>
    <t>6c922ac0</t>
  </si>
  <si>
    <t>galerie::galerie_Files_/f50afecc.Path.065213.webp</t>
  </si>
  <si>
    <t>Prenez Soin de Vous by CG</t>
  </si>
  <si>
    <t>-21.374958, 55.593317</t>
  </si>
  <si>
    <t>christelle.gigan@gmail.com</t>
  </si>
  <si>
    <t>0693 66 96 32</t>
  </si>
  <si>
    <t>https://prenezsoindevousbycg.fr/</t>
  </si>
  <si>
    <t>Fabriquée à la main à La Réunion avec soin et passion, notre bougie végétale est l'alliée parfaite pour créer une ambiance chaleureuse et apaisante chez vous.
🌿 Parfum de Grasse 
❌ Sans CMR 
🌏 Respectueuse de l'environnement
💖 Une touche d’amour réunionnaise
Embellissez votre intérieur et offrez-vous un moment de détente authentique et sain avec notre bougie végétale artisanale. Disponible dès maintenant !</t>
  </si>
  <si>
    <t>Boutique en ligne</t>
  </si>
  <si>
    <t>Produits artisanaux , articles de toilette</t>
  </si>
  <si>
    <t>Carte Bancaire,Espèces,site internet</t>
  </si>
  <si>
    <t>e33614ee</t>
  </si>
  <si>
    <t>9583d4e9</t>
  </si>
  <si>
    <t>Ti Kaz du Sud Francomme</t>
  </si>
  <si>
    <t>6bis</t>
  </si>
  <si>
    <t>Rue des Pervenches</t>
  </si>
  <si>
    <t>-21.378246, 55.626127</t>
  </si>
  <si>
    <t>laurentisa1@hotmail.fr</t>
  </si>
  <si>
    <t>0692 22 73 18</t>
  </si>
  <si>
    <t>Location meublée a courte durée sur saint Joseph ville.  Capacité 4 personnes 2 nuits minimum. une chambre lit superposé double climatisé.  Télévision wifi, clic clac, salle de bain, toilette, petite cuisine, petite terrasse indépendant. Linge de maison fourni . Parking public gratuit</t>
  </si>
  <si>
    <t>Location meublé - Saint-Joseph ville</t>
  </si>
  <si>
    <t>Rue des pervenches</t>
  </si>
  <si>
    <t>lave linge privatif , serviettes. , kitchenette équipée , canapé lit , douche , wifi , vue mer , TV , linge de maison , terrasse , salon , Cafetière</t>
  </si>
  <si>
    <t>commerce alimentaire,parking public,point de vue panoramique,site - lieu culturel,centre commercial,VTT,Centre - Ville,arrêt bus,poste - boite aux lettres,station service,boulangerie,Point chaud,snack,transports en commun,pharmacie</t>
  </si>
  <si>
    <t>80b7e9d5</t>
  </si>
  <si>
    <t>a63b1c08</t>
  </si>
  <si>
    <t>galerie::galerie_Images/fac51b44.Path.110201.jpg</t>
  </si>
  <si>
    <t>CSC667HTS</t>
  </si>
  <si>
    <t>Les Mains d'Adrienne</t>
  </si>
  <si>
    <t>45A</t>
  </si>
  <si>
    <t>-21.251536, 55.473456</t>
  </si>
  <si>
    <t>lesmainsdadrienne@gmail.com</t>
  </si>
  <si>
    <t>0692 41 73 62</t>
  </si>
  <si>
    <t>À travers le découpage, le pliage et l'assemblage du papier, ainsi que mon expertise en illustration numérique, « Les mains d'Adrienne » crée des œuvres qui ajoutent une touche de rêverie à n'importe quel espace. 
Ma vision est d’offrir une expérience artistique immersive et mémorable, où chaque création inspire, émerveille et fait rêver. 
Que ce soit pour une commande personnalisée, lors d’évènements ou pour des ateliers, rejoignez-moi dans cette aventure où la créativité défie les limites de l'imagination et ouvre de nouveaux horizons artistiques.
Kaz créole, photofaure + bougie &gt; 20€
Fleur sous cloche &gt; 125€
Cadre papier découpé &gt; 65€
Magnet succulente et fiole 10€
Atelier découverte
Atelier kaz créole (paper art)
6 pax max</t>
  </si>
  <si>
    <t>Les mains d'Adrienne - Illustratice et Paper Artist</t>
  </si>
  <si>
    <t>Atelier sur place ? ou se déplace ?</t>
  </si>
  <si>
    <t>artiste , artiste plasticien , Produits artisanaux , boutique , ateliers , matériel pour l'activité , illustration</t>
  </si>
  <si>
    <t>snack,commerce alimentaire,arrêt bus,pharmacie,boulangerie,tabac presse,sentier de randonnée,site - lieu culturel,point de vue panoramique</t>
  </si>
  <si>
    <t>6331cdf0</t>
  </si>
  <si>
    <t>b356c2e1</t>
  </si>
  <si>
    <t>galerie::galerie_Images/6ac16ec2.Path.082147.jpg</t>
  </si>
  <si>
    <t>Ô Palmiers 511</t>
  </si>
  <si>
    <t>511</t>
  </si>
  <si>
    <t>-21.379370, 55.634506</t>
  </si>
  <si>
    <t>barbara.payet8@gmail.com</t>
  </si>
  <si>
    <t>0692 08 42 71</t>
  </si>
  <si>
    <t>Situé dans le Sud Sauvage !! à 5 mins du centre de Saint Joseph et 5 mins de Langevin Logement de plein pied comprenant une chambre climatisée pouvant accueillir jusqu'à 3 personnes, cour privative avec un jacuzzi. Une place de parking privative. "Ô Palmiers 511" a ouvert ses portes en décembre 2023. 🛎 Depuis votre place de parking, une porte d'accéder à votre varangue équipée : * d'un espace détente, * d'un jacuzzi, * d'un espace diner, * d'une cuisine * d'une douche extérieure Puis une porte permettant d'accéder à la chambre climatisée composée d'un lit double pour deux personnes, avec rangements et télévision, ainsi qu'un canapé lit pour accueillir une 3ème personne. Un couloir desservant : * un wc suspendu * une salle d'eau composée d'une double vasque avec miroir, petits rangements sous vasque, douche à l'italienne. N’hésitez pas à me faire part de vos demandes particulières
A mi chemin entre le centre ville de Saint Joseph et la rivière Langevin.</t>
  </si>
  <si>
    <t>climatisation , terrasse , fer et planche à repasser , ventilateur , douche , linge de maison , linge de toilette , frigo , cuisine équipée , plaque de cuisson , Cafetière , micro-ondes , four , netflix , TV , wifi , jacuzzi</t>
  </si>
  <si>
    <t>8f0c2cc2</t>
  </si>
  <si>
    <t>ece8a90a</t>
  </si>
  <si>
    <t>CSC671HTN</t>
  </si>
  <si>
    <t>Saveurs Lé Ô</t>
  </si>
  <si>
    <t>88</t>
  </si>
  <si>
    <t>Rue Petite Plaine</t>
  </si>
  <si>
    <t>-21.330676, 55.611682</t>
  </si>
  <si>
    <t>saveursleo23@gmail.com</t>
  </si>
  <si>
    <t>0692 62 39 57</t>
  </si>
  <si>
    <t>Saveurs Lé Ô propose des créations gourmandes artisanales aux accents péi. Du fruit, du goût, une explosion de saveurs à travers des confitures 100 % naturelles, des achards maison, des piments savoureux et diverses préparations réalisées avec soin. Des recettes simples et authentiques qui mettent en valeur le caractère des fruits, des épices et du savoir faire local.
Confitures :
110g &gt; 4,50€
250g &gt; 9€
Piments :
200g &gt; 7€
100g &gt; 5€</t>
  </si>
  <si>
    <t>Saveurs Lé Ô - Du fruit, du goût</t>
  </si>
  <si>
    <t>Retrouvez ses produits en boutique à Manapany ou au marché forain le vendredi à Saint-Joseph</t>
  </si>
  <si>
    <t>Cuisine de produits frais locaux , Produits artisanaux , confitures</t>
  </si>
  <si>
    <t>313d1c4c</t>
  </si>
  <si>
    <t>5191b55a</t>
  </si>
  <si>
    <t>galerie::galerie_Images/fcc04371.Path.044619.jpg</t>
  </si>
  <si>
    <t>Damaniel Ze Détente</t>
  </si>
  <si>
    <t>2b</t>
  </si>
  <si>
    <t>Chemin Lislet Geoffroy</t>
  </si>
  <si>
    <t>-21.246853, 55.495190</t>
  </si>
  <si>
    <t>zedetentedamaniel@gmail.com</t>
  </si>
  <si>
    <t>0692 07 49 64</t>
  </si>
  <si>
    <t>Venez séjourner dans cette jolie maisonnette de 45m2 à l'ambiance chalet des villes pour une déconnection paisible. Vous profiterez de son jacuzzi à l'abri des regards, idéal pour se détendre après une bonne randonnée ou une longue journée de travail.</t>
  </si>
  <si>
    <t>DAMANIEL - "Ze Détente"</t>
  </si>
  <si>
    <t>four , canapé lit , bain à remous , salle de bain , Cafetière , fer et planche à repasser , chauffage , douche , sèche-cheveux , wifi , TV , linge de maison , salon de jardin , terrasse , cuisine équipée , micro-ondes , jardin clôturé , salon , barbecue , jacuzzi , linge de toilette , frigo , serviettes. , plaque de cuisson , bouilloire , grille-pain , parking sécurisé</t>
  </si>
  <si>
    <t>Virement,booking,airbnb</t>
  </si>
  <si>
    <t>17526bc6</t>
  </si>
  <si>
    <t>5a7f29c8</t>
  </si>
  <si>
    <t>galerie::galerie_Images/3f51823d.Path.061824.jpg</t>
  </si>
  <si>
    <t>CSC673HTP</t>
  </si>
  <si>
    <t>Les Ateliers Péï</t>
  </si>
  <si>
    <t>atelier</t>
  </si>
  <si>
    <t>Rue Martin Luther King</t>
  </si>
  <si>
    <t>-21.373635, 55.594758</t>
  </si>
  <si>
    <t>lesatelierspei@gmail.com</t>
  </si>
  <si>
    <t>0692 23 15 20</t>
  </si>
  <si>
    <t>- atelier marmailles (couture, zéro déchet) 
- apprentissage vélo ou remise en selle pour les petits et les grands.
- groupe de parentalité
- la fresque du Climat,
- l'atelier Inventons nos vies bas carbone
- la fresque de la Renaissance Ecologique
- des ateliers informatiques, crochet couture zéro déchet... etc...
&gt; tout ce qui permet de vivre mieux ensemble tout en respectant notre environnement.
Nos objectifs sont les suivants:
- la mise en valeur et la promotion des savoir-faire de la Réunion.
- la formation et l’éducation populaire concernant la protection de l’environnement, les éco-gestes du quotidien, le développement durable, l’économie circulaire, la réduction et la revalorisation des déchets.
-et favoriser le vivre ensemble.
La capacité dépend des ateliers (individuel ou au minimum)
Espace boutique et détente sur place
Vente d'artisanat local et boissons
Sur réservation uniquement
Possibilité d'ouvrir en dehors des horaires sur réservation
Prix à fixer selon la demande, prendre contact avec la structure</t>
  </si>
  <si>
    <t>Lieu de convivialité proposant des produits artisanaux de la Réunion et des ateliers pour tous les publics</t>
  </si>
  <si>
    <t>6 rue Martin Luther King à Manapany les bains juste à côté de l'école maternelle.</t>
  </si>
  <si>
    <t>matériel pour l'activité , sur réservation , ateliers</t>
  </si>
  <si>
    <t>sentier de randonnée,commerce alimentaire,parking public,point de vue panoramique,sites touristiques,Centre - Ville,arrêt bus</t>
  </si>
  <si>
    <t>1b019a24</t>
  </si>
  <si>
    <t>103c9bf6</t>
  </si>
  <si>
    <t>galerie::galerie_Images/593f702c.Path.110913.jpg</t>
  </si>
  <si>
    <t>Elle peut récupérer des tissus, des machines qu'ils peuvent réparer, peut accueillir 10 pax pour un atelier de réparation d'objet, idée fiche pour mélo petit dej zéro déchet</t>
  </si>
  <si>
    <t>Fée Gadiamb</t>
  </si>
  <si>
    <t>Rue de l'Arc en Ciel</t>
  </si>
  <si>
    <t>-21.243333, 55.479487</t>
  </si>
  <si>
    <t>feegadiamb@gmail.com</t>
  </si>
  <si>
    <t>0692 64 39 70</t>
  </si>
  <si>
    <t>Fabrication d'accessoires en tissus PERSONNALISABLE A LA DEMANDE pour la femme, l'enfant et la maison :
Sacs / Trousses / lingettes démaquillantes/ masques de nuit / bandeaux / bobs / bavoirs / Torchons / Porte tarte ...
Fabrication de bijoux :
Boucles d'oreilles
Pas de point de vente / Vente à Distance via les réseaux sociaux ou à l'occasion de marchés ou autres évènements</t>
  </si>
  <si>
    <t>Na pas de pointe de vente, vend ses produits via les réseaux et les marchés</t>
  </si>
  <si>
    <t>point de vue panoramique,site - lieu culturel</t>
  </si>
  <si>
    <t>27a723f6</t>
  </si>
  <si>
    <t>a4635725</t>
  </si>
  <si>
    <t>galerie::galerie_Images/38013b4a.Path.053949.jpg</t>
  </si>
  <si>
    <t>Ti Mélanz</t>
  </si>
  <si>
    <t>Chemin Auguste Boyer</t>
  </si>
  <si>
    <t>-21.336365, 55.611845</t>
  </si>
  <si>
    <t>contact.timelanz@gmail.com</t>
  </si>
  <si>
    <t>0692 31 42 49</t>
  </si>
  <si>
    <t>Sirops et vinaigres artisanaux, huiles, à base de curcuma🌱🫚 d'épices diverses🧅🧄🌶️ plantes aromatiques🌿 et fruits🍍🥭🍊🍋
Curcuma, Arrow-root, Massalé 🇷🇪
Mélanz d'épices du monde 🌍🍲🌶️(couscous, tandoori, grillades, paëlla et pleins d'autres !)
Tarifs pro :
Sirops 250ml à 5,00€
Vinaigre 250ml à 6,00€ (vanille à 8€)
Ti Mélanz z'épices 100g entre 2,00€ et 2,50€</t>
  </si>
  <si>
    <t>Ti Mélanz - Sirops, Vinaigres, Épices, Huiles</t>
  </si>
  <si>
    <t>se déplace sur rdv</t>
  </si>
  <si>
    <t>30b757dd</t>
  </si>
  <si>
    <t>a3c00aae</t>
  </si>
  <si>
    <t>galerie::galerie_Images/2750cf45.Path.041122.jpg</t>
  </si>
  <si>
    <t>Ô'Meublés des 2Bois</t>
  </si>
  <si>
    <t>85</t>
  </si>
  <si>
    <t>Rue Auguste Lacaussade</t>
  </si>
  <si>
    <t>-21.271838, 55.529393</t>
  </si>
  <si>
    <t>boisdenath@gmail.com</t>
  </si>
  <si>
    <t>0693 70 99 98</t>
  </si>
  <si>
    <t>Bienvenue dans la résidence Ô 2 BOIS, ensemble de 5 meublés de tourisme avec des espaces extérieurs partagés exceptionnels : piscine chauffée à débordement, spa et cuisine extérieure au feu de bois.
Votre appartement privé vous offrira tout le confort dans un cadre paisible et convivial.
• Un salon avec TV et WIFI
➤ Une grande cuisine entièrement équipée pour préparer de délicieux repas
• Four, micro-onde, plaque de cuisson, lave-vaisselle, machine à café, grille-pain
• Café et thé sont offerts pour le premier jour
➤ Vous disposerez d'une chambre climatisée et une salle de bain
• Des rangements pour vos vêtements
• Draps, serviettes, savon, shampoing fournis
• Machine à laver, table et fer à repasser
➤ Un canapé-lit vous est proposé à partir de 3 personnes, draps et serviettes fournis.
➤ Laisser vous charmer par les espaces extérieurs partagés
• Une grande piscine parfaite pour se rafraîchir
• Un spa idéal pour se détendre
• Une terrasse avec une cuisine extérieure au feu de bois pour des soirées mémorables avec vos amis ou vos voisins
• Un petit coin de jardin tropical qui ravira les enfants et les amoureux de la nature
• Une place de stationnement sécurisée dans la propriété
La conciergerie KEYSTIM sera disponible tout au long de votre séjour en cas de besoin.
Studio, T1 74€ la nuit
T2 84€ la nuit
T3 114€ la nuit</t>
  </si>
  <si>
    <t>Ô'Meublés DES 2BOIS location saisonnière</t>
  </si>
  <si>
    <t>Sur la national en direction de la Plaine des Cafres prendre à droite rue St Vincent de Paul, continuer tout droit et prendre à droit rue Auguste Lacaussade, la maison se trouve au numéro 85</t>
  </si>
  <si>
    <t>cuisine équipée , barbecue , jacuzzi , plaque de cuisson , cuisine au bois , cuisine extérieure , dressing , jardin , parking , wifi , climatisation , piscine , TV , four , linge de maison , salon de jardin , micro-ondes , jardin clôturé , salon , Cafetière , fer et planche à repasser , ventilateur , lave vaisselle , linge de toilette , douche , frigo , serviettes. , sèche-cheveux , bouilloire , grille-pain , lave-linge , bureau</t>
  </si>
  <si>
    <t>commerce alimentaire,équitation,parking public,site - lieu culturel,centre commercial</t>
  </si>
  <si>
    <t>542f2ad1</t>
  </si>
  <si>
    <t>335febc4</t>
  </si>
  <si>
    <t>galerie::galerie_Images/f5d08ef9.Path.054942.jpg</t>
  </si>
  <si>
    <t>CSC675HTR</t>
  </si>
  <si>
    <t>Le lien Airbnb vous amène directement sur les 5 annonces</t>
  </si>
  <si>
    <t>Ti Caz Désir</t>
  </si>
  <si>
    <t>127A</t>
  </si>
  <si>
    <t>rue Paul Verlaine</t>
  </si>
  <si>
    <t>-21.245344, 55.510554</t>
  </si>
  <si>
    <t>fabriceboyer44@gmail.com</t>
  </si>
  <si>
    <t>0692 78 31 11</t>
  </si>
  <si>
    <t>☀️Ti caz désir se situe sur le 14 ème km, dans les hauts du tampon, se trouvant à proximité de toutes les commodités nécessaires pour un séjour confortable !
Capacité de 6 personnes maximum. 
À 10 minutes du Parc des palmiers 🌴 pour aller découvrir ce parc merveilleux, à moins d’une heure du site du volcan 🌋 Également à 15 minutes de la ville pour faire du shopping 🛍️ 
La maison dispose de : 
- 3 chambres ( grands lits, dressing ), et un lit parapluie dans une des chambres. 
-Un grand séjour avec canapé, TV
-Une cuisine équipée 🙌 
-Salle de bain avec douche à l’italienne 
-WC séparé 
-Une terrasse pour prendre un petit déjeuner au lever du jour ☀️
-Parking privé entrant 3 voitures maximum 
Animaux interdit 🚫 
Fête et soirée bruyante interdit 🚫 
•450€ la semaine  💵 
•180€ le week-end 💵 ( vendredi après midi jusqu’à dimanche) 
Caution obligatoire
‼️ MINIMUM 2 NUITS. ‼️</t>
  </si>
  <si>
    <t>14è</t>
  </si>
  <si>
    <t>parking , parking sécurisé , balcon , salle de bain , jardin , vue montagne , Cafetière , cuisine équipée , salon , four , micro-ondes , TV , fer et planche à repasser , linge de maison , linge de toilette , douche , frigo , terrasse , salle à manger , serviettes. , bouilloire , lave-linge</t>
  </si>
  <si>
    <t>poste - boite aux lettres,tabac presse,Restauration,station service,site - lieu culturel,"tunnel de lave ""tunnel bleu du tampon"""</t>
  </si>
  <si>
    <t>8a7e0551</t>
  </si>
  <si>
    <t>ddf5f748</t>
  </si>
  <si>
    <t>galerie::galerie_Images/0167bf75.Path.064528.jpg</t>
  </si>
  <si>
    <t>CSC679HTV</t>
  </si>
  <si>
    <t>Ti Caze Mémé</t>
  </si>
  <si>
    <t>Chemin de la 2ème Citerne</t>
  </si>
  <si>
    <t>-21.357245, 55.720578</t>
  </si>
  <si>
    <t>sfremikbidi@gmail.com</t>
  </si>
  <si>
    <t>0692 38 67 67</t>
  </si>
  <si>
    <t>Venez découvrir ce charmant F3 qui se situe à 5 min en voiture de la piscine du baril.
2 chambres (1 lit double + 1 lit simple) et 1 salle de bains
Les serviettes et le linge de lit sont fournis. Pour plus d'intimité, l'hébergement dispose d'une entrée privée.
Hébergement en rez de chaussée</t>
  </si>
  <si>
    <t>Ti Caz Mémé</t>
  </si>
  <si>
    <t>Logement situé dans les hauts du baril, après avoir traversé des champs de canne et des exploitations agricole, chemin Paul Hoareau</t>
  </si>
  <si>
    <t>serviettes. , linge de maison , Lit parapluie sur demande , linge de toilette , parking , vue mer , TV , four , micro-ondes , salon , Cafetière , salle de bain privée , douche , frigo , bouilloire , armoire</t>
  </si>
  <si>
    <t>piscine,sentier de randonnée,commerce alimentaire,parking public,point de vue panoramique,sites touristiques</t>
  </si>
  <si>
    <t>Espèces,booking,airbnb</t>
  </si>
  <si>
    <t>b0992651</t>
  </si>
  <si>
    <t>f7e13a60</t>
  </si>
  <si>
    <t>galerie::galerie_Images/75d5e22d.Path.063430.jpg</t>
  </si>
  <si>
    <t>CSC676HTS</t>
  </si>
  <si>
    <t>Les caze de la mer cassée avec piscine</t>
  </si>
  <si>
    <t>73</t>
  </si>
  <si>
    <t>RN2 Mare longue</t>
  </si>
  <si>
    <t>la mer cassée</t>
  </si>
  <si>
    <t>-21.364191, 55.753329</t>
  </si>
  <si>
    <t>Meublé de tourisme avec piscine, pouvant accueillir 6 personnes équipé d'une terrasse couverte avec mobilier extérieur
Décoration moderne et travaillée
Tout équipé
2 places de parking dispo en extérieur</t>
  </si>
  <si>
    <t>Ce logement paisible offre un séjour détente pour toute la famille. Notre hébergement proche de la mer cassée sera vous détendre pour un moment unique au son des vagues.</t>
  </si>
  <si>
    <t>Depuis Saint-Pierre prendre la route en direction de Saint-Philippe la location se trouve sur la gauche dans le quartier de la Mer Cassée (un peu avant le restaurant le Dragon Express)</t>
  </si>
  <si>
    <t>Lit parapluie sur demande , jardin , parking , wifi , vue mer , vue montagne , piscine , TV , four , linge de maison , salon de jardin , terrasse , cuisine équipée , micro-ondes , salon , Cafetière , fer et planche à repasser , linge de toilette , douche , frigo , sèche-cheveux , bouilloire , grille-pain , TV satellite , baignoire , espace de restauration en extérieur , armoire , lave-linge , mobilier d'extérieur</t>
  </si>
  <si>
    <t>tunnels de lave,point de vue panoramique,arrêt bus,transports en commun,restaurants,jardin,sentiers de randonnée,littoral</t>
  </si>
  <si>
    <t>7cf73126</t>
  </si>
  <si>
    <t>galerie::galerie_Images/6d307fef.Path.111154.jpg</t>
  </si>
  <si>
    <t>CSC674HTQ</t>
  </si>
  <si>
    <t>Natur'Run</t>
  </si>
  <si>
    <t>4 b</t>
  </si>
  <si>
    <t>rue de la république</t>
  </si>
  <si>
    <t>-21.278405, 55.525820</t>
  </si>
  <si>
    <t>contact@nature-run.re</t>
  </si>
  <si>
    <t>06 92 88 36 09</t>
  </si>
  <si>
    <t>Natur'Run est une boutique située au Tampon, dédiée à la valorisation des produits locaux et de l’artisanat réunionnais. Nous proposons une large gamme de produits "made in Réunion", allant des confitures péï et du café Bourbon Pointu aux bijoux et objets artisanaux.
Chez Natur'Run, nous mettons un point d'honneur à sélectionner des produits de qualité, issus de partenariats avec des artisans locaux, comme nos confitures médaillées, nos miels ou encore notre gamme de pâtes à tartiner maison.
Natur'Run est située au cœur de la commune du Tampon. Cette localisation est un véritable atout, car elle fait de notre boutique un lieu unique dans la région, offrant aux habitants et aux visiteurs l'accès à une large gamme de produits locaux et artisanaux.</t>
  </si>
  <si>
    <t>Retrouvez chez Natur'Run une large sélection de produits péï gourmands et gastronomiques.</t>
  </si>
  <si>
    <t>Une fois arrivé au Tampon rester sur la route nationale. La boutique se trouve sur la droite en direction de Terrain Fleuri</t>
  </si>
  <si>
    <t>parking , boutique</t>
  </si>
  <si>
    <t>commerce alimentaire,parking public,Centre - Ville,arrêt bus,poste - boite aux lettres,station service,boulangerie,Point chaud,épicerie,snack,transports en commun,tabac presse,coiffeur,commerces,Restauration,pizzeria</t>
  </si>
  <si>
    <t>815e86aa</t>
  </si>
  <si>
    <t>f7958115</t>
  </si>
  <si>
    <t>galerie::galerie_Images/0b81b74b.Path.102603.jpg</t>
  </si>
  <si>
    <t>Ti Dodo</t>
  </si>
  <si>
    <t>5 bis</t>
  </si>
  <si>
    <t>allée du four à chaux</t>
  </si>
  <si>
    <t>-21.374779, 55.590178</t>
  </si>
  <si>
    <t>michael.morel388@orange.fr</t>
  </si>
  <si>
    <t>06 27 14 05 17</t>
  </si>
  <si>
    <t>🌿 Cadre idyllique et calme absolu
🌊 À 5 minutes de la mer
🚗 Parking privé gratuit
📶 Wi-Fi inclus
🥾 Accès à de nombreux sentiers de randonnée à proximité
🌴 Un véritable havre de paix pour déconnecter, se ressourcer et profiter de la nature. Vous pourrez bientôt réserver votre place dans ce petit coin de paradis.</t>
  </si>
  <si>
    <t>🏡 Vous rêvez de vous évader ? Préparez-vous à découvrir notre charmante maison cosy, idéale pour 2 personnes. Située dans un cadre exceptionnel, elle allie confort moderne et authenticité pour un séjour mémorable.</t>
  </si>
  <si>
    <t>Allé du Four A Chaux juste au dessus de l'Office de Tourisme</t>
  </si>
  <si>
    <t>jardin , parking , wifi , terrasse , salon de jardin</t>
  </si>
  <si>
    <t>sentier de randonnée,point de vue panoramique,plage,sites touristiques,arrêt bus,sites - lieux culturels,transports en commun,Bassin de Manapany,Restauration,hébergements,bassin,littoral</t>
  </si>
  <si>
    <t>site internet</t>
  </si>
  <si>
    <t>dc86c182</t>
  </si>
  <si>
    <t>1b5ea1c4</t>
  </si>
  <si>
    <t>galerie::galerie_Images/b3e0e8a9.Path.102541.jpg</t>
  </si>
  <si>
    <t>CSC681HTO</t>
  </si>
  <si>
    <t>***** Conciergerie **** 
SCHMITT LUXURY HOME</t>
  </si>
  <si>
    <t>Au Coeur de La Réunion</t>
  </si>
  <si>
    <t>171</t>
  </si>
  <si>
    <t>-21.246440, 55.479207</t>
  </si>
  <si>
    <t>contact@visitemonile.re</t>
  </si>
  <si>
    <t>06 92 68 98 88</t>
  </si>
  <si>
    <t>https://www.visitemonile.re/</t>
  </si>
  <si>
    <t>Résidente à La Réunion depuis l’an 2000, c’est dans le cadre d’une reconversion professionnelle et la rencontre avec Kakouk, guide péi depuis 1992 et tisaneur dans les hauts de l’Entre-Deux, que Brigitte a eu l'envie de partager les richesses de cette magnifique Ile.
Brigitte, accompagnatrice guide touristique sur l'ensemble de l'île, se tient à disposition pour agrémenter au mieux le séjour de chacun.
Les réservations peuvent se faire à la journée ou sur plusieurs journées, le guide reste avec les convives.
Minimum 2 personnes pour une visite.
Maximum un bus soit 40 à 50 personnes.
Pour les groupes supérieurs à 8 personnes et Comité d’Entreprise, contacter Brigitte pour une étude et un devis personnalisés.
Pour les tarifs et conditions générales, voir le site internet.
**** CONDITIONS *****
Les visites se font sur réservations téléphoniques au 0692 68 98 88 ou sur mon mail contact@visitemonile.re, les personnes doivent laisser leur numéro de portable.
Le matin début de la visite 9H30 et l'après-midi 14h30 – RDV devant l’office du tourisme 15 mn avant de partir.  Tous les jours sur réservation
Durée de la visite 2h minimum.
Pour les associations, comité, groupe : horaire à convenir
-----------------------
12 euros/ personne,  pour toutes personnes à partir de 12 ans
6 euros/ enfants,  entre 6 ans et 11 ans
10 euros/personne, pour Associations, comités, groupes accompagnés &gt; 10 personnes
Les paiements acceptés sont :
Pour tous : Espèces pour les sommes inférieures à 50 euros
Pour les citoyens français : Chèque français sur présentation de la carte d’identité à partir de 50 euros
Pour les associations, comités, groupes : Si virement, anticiper une semaine avant, RIB envoyé par mail à la demande
**** ANIMAUX DE COMPAGNIE ****
J’accepte les animaux de compagnie,
Sous conditions que l’animal soit calme, qu’il soit tenu en laisse pour la sécurité et la quiétude de la commune, des jardins, des maisons et des citoyens.
Et qu’il soit surveillés et assistés par son propriétaire lors du parcours quant à la propreté et les respect des biens du village et des villageois.
Je me réserve néanmoins le droit de refuser l’animal, avant le départ de la visite, si les conditions ne sont pas remplies ou si je juge que l’animal risque de poser problème pendant le parcours.</t>
  </si>
  <si>
    <t>Découverte de La Réunion au travers de circuits organisés ou à la carte. Au cœur de la Réunion - Du Battant des lames au sommet des montagnes !</t>
  </si>
  <si>
    <t>Se déplace selon la demande</t>
  </si>
  <si>
    <t>visites guidées</t>
  </si>
  <si>
    <t>c6dcc907</t>
  </si>
  <si>
    <t>33c492e0</t>
  </si>
  <si>
    <t>galerie::galerie_Images/99f4b12e.Path.063555.png</t>
  </si>
  <si>
    <t>** Voir en pièce jointe le circuit de l'Entre-Deux!</t>
  </si>
  <si>
    <t>Maniak O Fil</t>
  </si>
  <si>
    <t>-21.246603, 55.470668</t>
  </si>
  <si>
    <t>maniakofilmagaly@gmail.com</t>
  </si>
  <si>
    <t>0692 41 80 11</t>
  </si>
  <si>
    <t>Tricot et crochet 
Produits proposées :
Bracelets à 3€
Roses 5€
Echarpe 25€
Bonnet simple 10€
Bonnet fleur 15€
Tour de coup 15€
Châles et poncho 50€
Peut choisir la couleur et longueur</t>
  </si>
  <si>
    <t>Peut proposer des ateliers + tard</t>
  </si>
  <si>
    <t>94576468</t>
  </si>
  <si>
    <t>daf9a545</t>
  </si>
  <si>
    <t>Belly Bellule</t>
  </si>
  <si>
    <t>RN2 Baril - site du puits des anglais</t>
  </si>
  <si>
    <t>-21.369254, 55.732327</t>
  </si>
  <si>
    <t>emiliepetchy@gmail.com</t>
  </si>
  <si>
    <t>0692 55 90 51</t>
  </si>
  <si>
    <t>Au menu, de savoureuses crêpes, de croustillantes gaufres, de la glace artisanale et de délicieux desserts maison pour satisfaire toutes vos envies sucrées. 🍦🍰
Venez vous régaler et partager un instant de plaisir avec nous !🌺☀️</t>
  </si>
  <si>
    <t>Notre food truck Belly Bellule vous attend à Baril les Bains, à Saint-Philippe, pour un délicieux moment gourmand. 😋</t>
  </si>
  <si>
    <t>espace de restauration en extérieur , grand espace , vue mer</t>
  </si>
  <si>
    <t>parking public,office de tourisme,point de vue panoramique,sites touristiques,arrêt bus,transports en commun,piscine</t>
  </si>
  <si>
    <t>66104e4b</t>
  </si>
  <si>
    <t>98d07519</t>
  </si>
  <si>
    <t>galerie::galerie_Images/233be0a5.Path.091634.jpg</t>
  </si>
  <si>
    <t>Petit Paradis</t>
  </si>
  <si>
    <t>4 Etoile(s),4 Clé(s)</t>
  </si>
  <si>
    <t>chemin du captage</t>
  </si>
  <si>
    <t>-21.350907, 55.630987</t>
  </si>
  <si>
    <t>locpetitparadis@gmail.com</t>
  </si>
  <si>
    <t>0693 44 69 31</t>
  </si>
  <si>
    <t>https://locationpetitparadis.fr/</t>
  </si>
  <si>
    <t>La villa bénéfice d'une magnifique vue mer, et se situe à proximité des champs de canne à sucre. Elle dispose d'une cuisine ouverte toute équipée donnant sur un grand séjour avec canapé et TV écran plat, de 3 chambres climatisées :
Une chambre au RDC avec un lit double 160X200, une chambre au R+1 avec un lit double 160X200 et une terrasse privative, une chambre familiale au R+1 avec un lit double 140X190 et 2 lits simples 90X190 (superposés).
La villa comporte 2 salles de bains avec 2 WC. Petit Paradis dispose également d'une salle de jeux intérieure avec babyfoot, bibliothèque, jeux pour enfants et coin TV.
Côté extérieur, la villa est équipée d'une piscine au sel, d'un spa, d'une table de ping-pong et d'une aire de jeux pour enfants. Elle dispose d'un jardin privatif arboré avec terrasse couverte et barbecue.
Des équipements bébé sont également disponibles sur demande sans frais supplémentaires (lit bébé, chaise haute, matelas à langer, baignoire bébé).
https://www.clevacances.com/fr/locationvacances/domtom/iledelareunion/saint-joseph-81343/petit_paradis/68140
Nos tarifs oscillent entre 250 et 300€ la nuitée selon la période avec des remises selon la durée (20% 7 nuits - 30% pour 14 nuits et 40 % plus de 21 nuits) 
Une caution par chèque de 2000€ est demandée</t>
  </si>
  <si>
    <t>Petit Paradis est une villa de luxe située à Jean Petit, dans les hauteurs de Saint-Joseph, dans un endroit calme et reposant. Villa neuve d'une capacité de 8 personnes.</t>
  </si>
  <si>
    <t>La villa se trouve à Jean-Petit, au bout du chemin Corbeille d'Or à Saint-Joseph (à proximité du 72 chemin Corbeille d'Or). Pour trouver la villa, il faut utiliser l'application Google Maps, et taper "Petit Paradis, chemin du Captage, Saint-Joseph"</t>
  </si>
  <si>
    <t>chauffage , vue mer , espace spa - bien être , SPA , jardin , jacuzzi , jeux , Salle de jeux , balcon , barbecue , baignoire , terrasse , mobilier d'extérieur , fer et planche à repasser , netflix , TV , TV satellite , douche , dressing , linge de maison , linge de toilette , lave-linge , sèche-linge , frigo , micro-ondes , lave vaisselle , bouilloire , four , Lit parapluie sur demande , plaque de cuisson , Cafetière , grille-pain , parking , wifi , piscine</t>
  </si>
  <si>
    <t>sentier de randonnée,commerce alimentaire,point de vue panoramique,arrêt bus</t>
  </si>
  <si>
    <t>Carte Bancaire,Virement</t>
  </si>
  <si>
    <t>83bf1080</t>
  </si>
  <si>
    <t>53adad42</t>
  </si>
  <si>
    <t>galerie::galerie_Images/52a917c8.Path.113811.jpg</t>
  </si>
  <si>
    <t>L'Antre de Cimarron</t>
  </si>
  <si>
    <t>287 bis</t>
  </si>
  <si>
    <t>-21.240028, 55.480494</t>
  </si>
  <si>
    <t>rosalie.olivier.flp@gmail.com</t>
  </si>
  <si>
    <t>0692 39 05 05</t>
  </si>
  <si>
    <t>L'ANTRE DE CIMARRON vous reçoit sur réservations, à la ravine des citrons l'entre-deux pour des moments conviviaux et musicaux  chez l'habitant. 
Couples ? Groupes (jusqu'à 35 personnes) ? 
En plein air avec une vue magnifique... feu de bois et tout fait maison , animations ping-pong et fléchettes.. 
8 lits
Pas d'horaire d'entrée ou d'arrivée &gt; très flexible</t>
  </si>
  <si>
    <t>Chambre d'hôtes - L'Antre des Cimarron</t>
  </si>
  <si>
    <t>climatisation , cuisine au bois , vue mer , linge de maison , parking , jardin , espace de restauration , wifi gratuit , sanitaires privés , linge de toilette , douche</t>
  </si>
  <si>
    <t>commerce alimentaire,arrêt bus,transports en commun</t>
  </si>
  <si>
    <t>français,créole,anglais,espagnol,Malgache</t>
  </si>
  <si>
    <t>cf961044</t>
  </si>
  <si>
    <t>921cfbdd</t>
  </si>
  <si>
    <t>galerie::galerie_Images/cb1c8b0b.Path.072355.jpg</t>
  </si>
  <si>
    <t>Prestation de qualité moyenne.
Proximité des parcs canards et parcs chiens (odeurs, bruits)
Repas créoles, mais pas une "grande cuisine traditionnelle"
Idéal séjour sans exigence, pour clients adaptatifs</t>
  </si>
  <si>
    <t>La Payette Etoilée</t>
  </si>
  <si>
    <t>41 TER</t>
  </si>
  <si>
    <t>chemin de la Passerelle</t>
  </si>
  <si>
    <t>-21.237552, 55.496031</t>
  </si>
  <si>
    <t>payet.michelle974@gmail.com</t>
  </si>
  <si>
    <t>0693 41 89 44</t>
  </si>
  <si>
    <t>Maison jumelée avec piscine chauffée et jardin partagé composée de deux chambres doubles et un lit d'appoint d'une place.
Parking dans la cour à disposition pour 2 voitures maximum.
Salle de bains équipée d'une baignoire
Vue mer
Berceau à disposition
à partir de 40 euros par nuit et par personne, tarif à définir avec le propriétaire</t>
  </si>
  <si>
    <t>Location saisonnier Tampon capacité 5 personnes + bébé au calme</t>
  </si>
  <si>
    <t>jardin , parking , wifi , vue mer , TV , linge de maison , salon de jardin , cuisine équipée , micro-ondes , jardin clôturé , salon , Cafetière , bibliothéque , barbecue , fer et planche à repasser , linge de toilette , frigo , salle à manger , serviettes. , plaque de cuisson , parking sécurisé , jeux , baignoire , piscine chauffée , armoire , lave-linge</t>
  </si>
  <si>
    <t>sentier de randonnée,commerce alimentaire,point de vue panoramique,arrêt bus,boulangerie,épicerie,snack,transports en commun,pharmacie,médecin,tabac presse,coiffeur,pizzeria</t>
  </si>
  <si>
    <t>b7dea068</t>
  </si>
  <si>
    <t>0dbe215a</t>
  </si>
  <si>
    <t>Bungalows Bras Lontan</t>
  </si>
  <si>
    <t>Impasse Cézanne</t>
  </si>
  <si>
    <t>-21.239491, 55.499660</t>
  </si>
  <si>
    <t>picardo.peribe@gmail.com</t>
  </si>
  <si>
    <t>0692 58 36 66</t>
  </si>
  <si>
    <t>https://gitebraslontan.re/</t>
  </si>
  <si>
    <t>Nos 3 bungalows disposent de tout le nécessaire pour un séjour agréable, avec des espaces privés pour vous détendre.
- Le bungalow Riviere de lest vous plonge dans une atmosphère douce et apaisante, à l'image du célèbre arbre tamarinier de La Réunion. Ce bungalow est idéal pour ceux qui recherchent un séjour calme et ressourçant, entouré par la nature.
- Le bungalow Cap Jaune vous offre une escapade simple et raffinée, avec une décoration inspirée par la beauté du bambou. Ce bungalow est l’endroit idéal pour se reconnecter avec la nature tout en profitant d’un confort moderne.
- Le bungalow Piton des neiges est un espace dynamique et coloré, inspiré par l’arbre emblématique de l’île aux fleurs éclatantes. Si vous aimez l’énergie et la vitalité, ce bungalow est fait pour vous, tout en offrant une atmosphère confortable et accueillante.
Ambiance Relaxante : Profitez d’un cadre calme, idéal pour des moments de repos ou des activités en plein air avec vos proches.
NOS LOISIRS
Profitez de moments de détente et de divertissement grâce à nos équipements de loisirs.
Barbecue : Savourez de délicieuses grillades en plein air grâce à notre barbecue. 
Spa : Détendez-vous dans notre spa et laissez le stress s’évaporer. 
Pétanque : Profitez d’un moment de convivialité sur notre terrain de pétanque, idéal pour des parties amicales en plein air.</t>
  </si>
  <si>
    <t>Évadez-vous dans nos bungalows confortables, où nature et détente se rencontrent. Chaque bungalow est soigneusement conçu pour vous offrir un refuge paisible, parfait pour une escapade en toute tranquillité. Profitez d’un espace chaleureux, où vous pourrez vous ressourcer au cœur de la nature.</t>
  </si>
  <si>
    <t>Bras Pontho</t>
  </si>
  <si>
    <t>jardin , parking , wifi , matériel pour l'activité , vue montagne , TV , four , linge de maison , salon de jardin , terrasse , cuisine équipée , micro-ondes , jardin clôturé , salon , Cafetière , salle de bain privée , barbecue , jacuzzi , linge de toilette , douche , frigo , serviettes. , jeux</t>
  </si>
  <si>
    <t>sentier de randonnée,commerce alimentaire,parking public,point de vue panoramique,site - lieu culturel,arrêt bus,Point chaud</t>
  </si>
  <si>
    <t>Chèque,Espèces,Virement,airbnb,site internet</t>
  </si>
  <si>
    <t>af325596</t>
  </si>
  <si>
    <t>2bee4ff4</t>
  </si>
  <si>
    <t>galerie::galerie_Images/add278c2.Path.053011.jpg</t>
  </si>
  <si>
    <t>CSC687HTU</t>
  </si>
  <si>
    <t>La BBO La Bulle by Baril O'thentik</t>
  </si>
  <si>
    <t>bulle</t>
  </si>
  <si>
    <t>Chemin Paul Hoarau Baril les Hauts</t>
  </si>
  <si>
    <t>-21.359709, 55.719075</t>
  </si>
  <si>
    <t>Doté d'un parking privé gratuit, d'un jardin et offrant une vue sur la mer, l'établissement La BBO La Bulle by Baril O'thentik est situé à Saint-Philippe. 
Les serviettes et le linge de lit sont fournis. Cet établissement est non-fumeurs.
Un petit-déjeuner continental composé de jus de fruits et de fromage est servi tous les matins sur place.</t>
  </si>
  <si>
    <t>articles de toilette , serviettes. , jardin , parking , vue mer , vue montagne , Cafetière , salon , micro-ondes , espace de restauration , douche , frigo , bouilloire , salle de bain privée</t>
  </si>
  <si>
    <t>sentier de randonnée,site - lieu culturel,forêt,restaurants,littoral</t>
  </si>
  <si>
    <t>6cc68287</t>
  </si>
  <si>
    <t>galerie::galerie_Images/01be9f4b.Path.075643.jpg</t>
  </si>
  <si>
    <t>CSC684HTR</t>
  </si>
  <si>
    <t>L'empreinte</t>
  </si>
  <si>
    <t>148B</t>
  </si>
  <si>
    <t>chemin Albert Hibon</t>
  </si>
  <si>
    <t>-21.256873, 55.498328</t>
  </si>
  <si>
    <t>contact@lempreinte.re</t>
  </si>
  <si>
    <t>0693 99 16 87</t>
  </si>
  <si>
    <t>https://www.lempreinte.re/</t>
  </si>
  <si>
    <t>L’Empreinte vous accueille pour des vacances inoubliables à l'île de la Réunion. Nichée dans un cadre tropical enchanteur, elle offre un refuge cosy doté de tout le confort nécessaire. Vous pourrez profiter votre propre piscine privée, entourée d'un jardin luxuriant. 
L'Empreinte est idéalement située pour explorer les merveilles de l'île de la Réunion, que ce soit ses plages, ses montagnes, ses randonnées ou sa cuisine créole. Elle est le point de départ parfait pour des aventures inoubliables dans cet incroyable paradis tropical.</t>
  </si>
  <si>
    <t>lave vaisselle , lave linge privatif , jardin , parking , wifi , Cafetière , micro-ondes , TV , fer et planche à repasser , piscine , linge de maison , linge de toilette , douche , frigo</t>
  </si>
  <si>
    <t>89e4eac8</t>
  </si>
  <si>
    <t>galerie::galerie_Images/339b2cf7.Path.111826.jpg</t>
  </si>
  <si>
    <t>CSC686HTT</t>
  </si>
  <si>
    <t>KAZAYO VILLA LOCATION SAISONNIERE</t>
  </si>
  <si>
    <t>RUE JEAN DE CAMBIAIRE CAROSSE</t>
  </si>
  <si>
    <t>-21.362192, 55.591209</t>
  </si>
  <si>
    <t>malika.damour@gmail.com</t>
  </si>
  <si>
    <t>06 92 14 47 64</t>
  </si>
  <si>
    <t>- capacité d’accueil de 6 personnes
- 3 chambres doubles (+ places enfant)
- piscine + jacuzzi privatifs 
- grand jardin avec cuisine extérieure
et barbecue 
- places de parking
N’hésitez pas à nous contacter pour connaître les prochaines dates disponibles.
Merci de privilégier les SMS, nous vous répondrons au plus vite.</t>
  </si>
  <si>
    <t>Kazayo villa location saisonnière à Saint-Joseph</t>
  </si>
  <si>
    <t>veranda couverte , jardin , jacuzzi , lave vaisselle , lave-linge , barbecue , parking , piscine , TV , linge de maison , wifi gratuit</t>
  </si>
  <si>
    <t>point de vue panoramique,Bassin de Manapany,centre commercial,arrêt bus,centre ville de Saint-Joseph</t>
  </si>
  <si>
    <t>Espèces,Virement,Le bon coin</t>
  </si>
  <si>
    <t>d83d5e71</t>
  </si>
  <si>
    <t>9664403a</t>
  </si>
  <si>
    <t>galerie::galerie_Images/ab1c9a90.Path.103459.jpg</t>
  </si>
  <si>
    <t>CSC688HTV</t>
  </si>
  <si>
    <t>Chez Titi</t>
  </si>
  <si>
    <t>Rue des Amethystes</t>
  </si>
  <si>
    <t>-21.219401, 55.555229</t>
  </si>
  <si>
    <t>jean-maxi.lallemand@orange.fr</t>
  </si>
  <si>
    <t>0692 03 50 62</t>
  </si>
  <si>
    <t>Ce bungalow est indépendant avec son entré privé pas de problème de stationnement, endroit calme. Dispose d'un lit double, d'un canapé convertible ,d'un lit parapluie pour bébé .Une sale à mangé avec 6 places ,d'une cheminée avec coin cuisine feu de bois, un petit coin de télé et cuisine, d'une terrasse et d'un jacuzzi</t>
  </si>
  <si>
    <t>Venez chez Ti Case Les Haut pour passer vos vacances dans la fraîcheur des hauts de l'île.</t>
  </si>
  <si>
    <t>23e km</t>
  </si>
  <si>
    <t>stade de foot,Restauration,arrêt bus,sentier de randonnée,hébergements,Point de vue du Belvédère de Bois court</t>
  </si>
  <si>
    <t>8bd219f2</t>
  </si>
  <si>
    <t>1cd130ff</t>
  </si>
  <si>
    <t>galerie::galerie_Images/365b57a0.Path.061629.jpg</t>
  </si>
  <si>
    <t>CSC248HT@</t>
  </si>
  <si>
    <t>HOARAU Alain</t>
  </si>
  <si>
    <t>Rue Joachim du Bellay</t>
  </si>
  <si>
    <t>-21.257297, 55.504530</t>
  </si>
  <si>
    <t>alain-hoarau.guetali@orange.fr</t>
  </si>
  <si>
    <t>0692 86 93 81</t>
  </si>
  <si>
    <t>Cuisine équipée 
Extérieur avec garage et parking
3 chambres avec 2 lits doubles et 3 lits enfants
Tarif dégressif</t>
  </si>
  <si>
    <t>parking , garage , barbecue , lave linge privatif , lave vaisselle , four , frigo , micro-ondes , cuisine équipée , Cafetière</t>
  </si>
  <si>
    <t>Restauration,centre médical,salle de sport,tennis,stade de foot,piscine</t>
  </si>
  <si>
    <t>c0f97cad</t>
  </si>
  <si>
    <t>d06bbef7</t>
  </si>
  <si>
    <t>CSC691HTP</t>
  </si>
  <si>
    <t>Villa Koté Shandèl</t>
  </si>
  <si>
    <t>177D</t>
  </si>
  <si>
    <t>-21.354207, 55.606508</t>
  </si>
  <si>
    <t>hoareau.magalie@wanadoo.fr</t>
  </si>
  <si>
    <t>0692 77 41 28</t>
  </si>
  <si>
    <t>La villa comprend 3 chambres doubles pour 6 personnes , une cuisine équipée, une pièce à vivre, une terrasse, un spa, une salle de bain, 2 WC et un cellier.</t>
  </si>
  <si>
    <t>Villa Koté Shandèl, un logement calme et élégant avec la tranquillité environnante vue mer et nature.</t>
  </si>
  <si>
    <t>jacuzzi , parking , jardin , mobilier d'extérieur , barbecue , plaque de cuisson , grille-pain , Cafetière , bouilloire , cuisine équipée , lave vaisselle , lave-linge , micro-ondes , four , frigo , wifi , TV , fer et planche à repasser , douche extérieure , sèche-cheveux</t>
  </si>
  <si>
    <t>Terrain de foot,point de vue panoramique,centre commercial,Centre - Ville,arrêt bus,restaurants</t>
  </si>
  <si>
    <t>f24154f3</t>
  </si>
  <si>
    <t>0b291a47</t>
  </si>
  <si>
    <t>galerie::galerie_Files_/d2df7544.Path.101507.avif</t>
  </si>
  <si>
    <t>CSC692HTQ</t>
  </si>
  <si>
    <t>Villa ö nature sauvage</t>
  </si>
  <si>
    <t>Rue Kerveguen</t>
  </si>
  <si>
    <t>-21.370125, 55.710862</t>
  </si>
  <si>
    <t>villaonaturesauvage@gmail.com</t>
  </si>
  <si>
    <t>0692 72 72 23</t>
  </si>
  <si>
    <t>La maison dispose de:
✨2 chambres climatisées
✨2 lits d’appoints
✨Une cuisine entièrement équipée
✨Piscine à débordement
✨une cuisine extérieur avec cheminée
✨un grand jardin 🪴
✨maison individuelle avec place de parking à l’intérieur de la cour.
✨capacité d’accueil 6 personnes (un lit parapluie sur demande).</t>
  </si>
  <si>
    <t>✨Découvrez notre charmante maison située à Basse Vallée.</t>
  </si>
  <si>
    <t>jardin , parking , wifi , vue mer , Cafetière , cuisine équipée , salon , four , micro-ondes , TV , Lit parapluie sur demande , fer et planche à repasser , piscine , linge de maison , linge de toilette , frigo , salon de jardin , serviettes. , bouilloire , grille-pain , jeux , baignoire , équipement bébé , lave-linge , cuisine extérieure , douche extérieure</t>
  </si>
  <si>
    <t>forêt,sites touristiques,arrêt bus,restaurants,littoral,Terrain de foot</t>
  </si>
  <si>
    <t>8a21972e</t>
  </si>
  <si>
    <t>83028085</t>
  </si>
  <si>
    <t>galerie::galerie_Images/c154c6f4.Path.111658.jpg</t>
  </si>
  <si>
    <t>CSC680HTN</t>
  </si>
  <si>
    <t>Domaine du KM Zéro</t>
  </si>
  <si>
    <t>165</t>
  </si>
  <si>
    <t>-21.247526, 55.479109</t>
  </si>
  <si>
    <t>contact@domaine-kmzero.com</t>
  </si>
  <si>
    <t>0693 83 03 66</t>
  </si>
  <si>
    <t>https://www.domaine-kmzero.com/</t>
  </si>
  <si>
    <t>Situé sur la commune de l'entre Deux (Ravine des citrons - 3min de centre ville) l'un des plus charmants villages de l'île.
Le domaine KM Zéro propose 3 hébergements allant de 2 à 6 personnes: 
- La villa Lontan (6 pers max) 200€/nuit:  
Bâtisse au charme typique réunionnais, la villa dispose de 2 chambres, d'une mezzanine, de grands espaces chaleureux et entièrement équipés, d'un jacuzzi privatif et d'un accès à l'espace détente (sauna et hammam)
- La Kaz Lorizon (4 pers max) 150€/nuit: 
Idéale pour une famille ou 2 couples d'amis. La Kaz dispose de 2 chambres avec chacune salle d'eau et toilette, d'un espace chaleureux et entièrement équipé, d'un jacuzzi privatif et d'un accès à l'espace détente (Sauna Hammam) 
- Le Ti'Zéro (2 pers max) 70€/nuit : 
Parfait pour les escapades en couple, le studio mêle intimité et confort avec son espace extérieur niché au cœur de la végétation.
La structure n'est-elle accessible aux PMR (Personne à Mobilité Réduite) et n'autorise pas les animaux de compagnie.</t>
  </si>
  <si>
    <t>Le Domaine KM Zéro invite à une immersion totale au cœur de la nature réunionnaise.</t>
  </si>
  <si>
    <t>sèche-cheveux , cuisine équipée , linge de maison , lave-linge , Cafetière , lave vaisselle , wifi , TV , jacuzzi , jardin</t>
  </si>
  <si>
    <t>sentier de randonnée,Centre - Ville,arrêt bus,boulangerie,stade de foot,restaurants,clinique,office de tourisme</t>
  </si>
  <si>
    <t>96162387,718f880e</t>
  </si>
  <si>
    <t>4af11b3d</t>
  </si>
  <si>
    <t>galerie::galerie_Images/96687824.Path.070203.jpg</t>
  </si>
  <si>
    <t>CSC690HTO</t>
  </si>
  <si>
    <t>Possibilité d'avoir une salle de séminaire (la salle à manger + projecteur et tt ce qu'il faut comme équipement) environ 10pax</t>
  </si>
  <si>
    <t>Bungalow Ti Kaz Misouk</t>
  </si>
  <si>
    <t>8A</t>
  </si>
  <si>
    <t>Rue de l'église</t>
  </si>
  <si>
    <t>-21.248829, 55.472627</t>
  </si>
  <si>
    <t>palmier.royal974@gmail.com</t>
  </si>
  <si>
    <t>0692 01 44 07</t>
  </si>
  <si>
    <t>Vous serez hébergé dans un bungalow indépendant classé 2 * tout neuf de type studio disposant de tous le confort nécessaire avec vue sur le fameux Dimitile ...
Le bungalow dispose d'une cuisine fonctionnelle et entièrement équipée : Réfrigérateur- congélateur, Sensèo, cafetière 12 tasses, bouilloire, grille pain, micro onde-grill , marmite a riz, lave linge ) et tous les ustensiles pour cuisiner.
l'espace nuit est composé d'un lit 2 personnes en "alcove ", d'un lit 1 place , d'un dressing, de colonnes et meuble de rangements, d'une table basse de salon et un mange debout.
Un espace salon avec téléviseur , tablette et connexion wifi
La salle d'eau est équipé d'une vasque, d'un toilette et d'une grande douche à l'italienne avec une colonne de rangement.
Vous pourrez profiter des espaces extérieurs composés d'une grande varangue couverte équipée d'un canapé 3 places , d'une table basse , d'un comptoir pour prendre les apéros et d'une table a manger et 4 chaises ainsi que d'une plancha a gaz pour vos grillades.
Enfin , un parking privé vous permettra de vous garer directement devant le bungalow.</t>
  </si>
  <si>
    <t>Profitez d'un logement élégant et central.</t>
  </si>
  <si>
    <t>Le bungalow se trouve en fond d'impasse , a l'écart de la circulation et vous disposerez d'un accès facile au parking privé.
Idéalement situé a proximité de la ville de St Pierre réputée pour ses animations et a mi - chemin entre le sud sauvage et l'ouest , le village de l'Entre Deux est un bon compromis pour se ressourcer et profiter de tout les sites qu'il ne faut pas manquer : le volcan, le sud sauvage, les plages et la montagne.</t>
  </si>
  <si>
    <t>barbecue , lave-linge , parking , sèche-cheveux , TV , cuisine , wifi , fer à repasser</t>
  </si>
  <si>
    <t>boulangerie,piscine,office de tourisme,restaurants,clinique,centre ville,stade de foot,sentier de randonnée,arrêt bus</t>
  </si>
  <si>
    <t>81b771ab</t>
  </si>
  <si>
    <t>galerie::galerie_Images/6cbcd5a1.Path.101036.jpg</t>
  </si>
  <si>
    <t>CSC689HTW</t>
  </si>
  <si>
    <t>La Gourmandise des Moches</t>
  </si>
  <si>
    <t>4C</t>
  </si>
  <si>
    <t>-21.249665, 55.470809</t>
  </si>
  <si>
    <t>contactgourmandisedesmoches@gmail.com</t>
  </si>
  <si>
    <t>0692 55 35 72</t>
  </si>
  <si>
    <t>https://100pour100reunion.fr/portfolio/la-gourmandises-des-moches/</t>
  </si>
  <si>
    <t>Boutique 
- confiture
- ketchup
- sirops, nectar, soupe, achards, pickles, chutney
La cuisine anti-gaspi permet de faire le lien entre nos comportements alimentaires et nos impacts écologiques en réalisant des recettes aux valeurs écoresponsables : limiter le gaspillage alimentaire, utiliser des produits sains, de saison...
Les objectifs :
- Limiter le gaspillage alimentaire en favorisant l'utilisation des restes et de toutes les parties des aliments
- Idées recettes, trucs et astuces 
- Changer les habitudes alimentaires 
- Cohésion en groupe
- Bocaux recyclés
- Immersion complète (préparation, vaisselle/nettoyage, sensibilisation ++ avec réinsertion !)
- Ateliers confitures &gt; 1h30 à 3h
Choix de fruit ou légumes pour faire SA confiture 
Salle avec cuisine ou accès à une prise électrique et eau
Tarifs grp (10 à 12pax &gt; 250€)
- Atelier cuisine anti-gaspi &gt; 2h
Repars avec son repas ou possibilité de manger sur place !
Tarifs grp (10 à 12pax &gt; 250€)
S'adapte à tout type de public</t>
  </si>
  <si>
    <t>La Gourmandise des Moches - Atelier cuisine anti gaspi et boutique</t>
  </si>
  <si>
    <t>Centre du village à Vavang'Art</t>
  </si>
  <si>
    <t>boutique , matériel pour l'activité , ateliers</t>
  </si>
  <si>
    <t>7527b582</t>
  </si>
  <si>
    <t>aaf89416</t>
  </si>
  <si>
    <t>galerie::galerie_Images/3658d894.Path.095059.png</t>
  </si>
  <si>
    <t>Les Synergies d'Amandine</t>
  </si>
  <si>
    <t>-21.249261, 55.473389</t>
  </si>
  <si>
    <t>synergiesdamandine@gmail.com</t>
  </si>
  <si>
    <t>0693 30 39 84</t>
  </si>
  <si>
    <t>https://synergiesdamandine.com/</t>
  </si>
  <si>
    <t>Cosmétiques naturels, issus de l'agriculture biologique (adaptés pour tous)
Claudia &gt;&gt; produits potentiellement à mettre en boutique ( liste produits et tarifs pro en PJ)
Douce piqure 
Sunset 
Détente
Ateliers min 3pax 
Partager un moment de convivialité assuré !
Amandine propose pleins de conseils en aromathérapie traditionnelle et cosmétique 
-Matériels fournis 
- repars avec sa création
Formules 2h ( détails des formules ateliers dans les PJ)</t>
  </si>
  <si>
    <t>Les Synergies d'Amandine - Créatrice en aromathérapie cosmétiques</t>
  </si>
  <si>
    <t>Se déplace pour les ateliers 
A plusieurs point de vente :
- Natur'Run
- Pharmacie de l'Entre Deux
- Possibilité de commander 
- ....</t>
  </si>
  <si>
    <t>matériel pour l'activité , ateliers , cosmétiques</t>
  </si>
  <si>
    <t>d788e62b</t>
  </si>
  <si>
    <t>c3f9427c</t>
  </si>
  <si>
    <t>galerie::galerie_Images/4d196c87.Path.105057.png</t>
  </si>
  <si>
    <t>Cœur de Ville - 3JP</t>
  </si>
  <si>
    <t>Rue Sarda Garriga</t>
  </si>
  <si>
    <t>-21.282412, 55.519934</t>
  </si>
  <si>
    <t>3jpsarl@gmail.com</t>
  </si>
  <si>
    <t>0692 70 45 81</t>
  </si>
  <si>
    <t>Le logement peut accueillir 6 pers
Il est composé de 2 chambres, d'une salle de bain, WC et d'une salle de bain
Il est interdit de fumer dans l'appartement</t>
  </si>
  <si>
    <t>Un appart qui offre un confort nécessaire pour un séjour agréable</t>
  </si>
  <si>
    <t>canapé lit , linge de maison , parking , cuisine équipée , micro-ondes , TV , canal plus… , wifi gratuit</t>
  </si>
  <si>
    <t>arrêt bus,station service,boulangerie,Point chaud,transports en commun,restaurants,Gare routière</t>
  </si>
  <si>
    <t>booking,airbnb,site internet</t>
  </si>
  <si>
    <t>5ea6941b</t>
  </si>
  <si>
    <t>15598f73</t>
  </si>
  <si>
    <t>galerie::galerie_Images/c690ded0.Path.043344.jpg</t>
  </si>
  <si>
    <t>TiNAT</t>
  </si>
  <si>
    <t>-21.357326, 55.718599</t>
  </si>
  <si>
    <t>ti.nat@hotmail.com</t>
  </si>
  <si>
    <t>0692 54 54 24</t>
  </si>
  <si>
    <t>Créée en 2020 dans la forêt du Baril les hauts à St Philippe
TiNAT est un acteur engagé dans la voie d'une agriculture vertueuse.
TiNAT à l'ambition de restaurer ce sanctuaire de biodiversité proche de la forêt de Mare Longue. Nous plantons des espèces endémiques et indigènes dans le but de relancer la dynamique forestière après avoir enlevé les Espèces Exotiques Envahissantes (EEE) des zones dégradées.
Nous proposons de découvrir nos produits du terroir, issus d'une gestion durable de la forêt et certifiés biologique
TiNAT, c'est une exploitation agricole 100% biologique qui s'inscrit dans une dynamique agro écologique performante alliant la belle diversité et résilience d'un jardin créole et des méthodes de productions professionnelles modernes et respectueuses de la nature.
Tous nos plants sont issus de notre parcelle agricole forestière privée de St Philippe durablement gérée et de pieds mères cultivés avec passion depuis des années !
Nous avons 5 activités :
- Pépinière spécialisée en plantes endémiques et plantes aromatiques et médicinales
- Producteur de tisane : plantes fraiches et sèches : aromatiques, médicinale, à parfum
- Producteur de fruits rares (verger ultra diversifié)
- Producteur et transformateur de Vanille indépendant (vanille sèche et fraiche)
- Producteur de palmiste rouge
Possibilité d'élaborer un atelier sur mesure
ATELIER 1 "Gayar !" Agroforesterie et diversification : l'agriculture bio
- Présentation de l'activité  
- Démonstration / Quizz : sur les plants
- Consultation de documentation / site web / application 
ATELIER 2 "Zandémik" Plantes endémiques / indigènes et PAPAM ( Plantes Aromatiques Médicinales et à Parfum) 
- Reconnaissance de partie de plantes et botanique simple sur les plantes coupées
- Présentation de l'activité 
ATELIER 3 "Plant out zarlor" : Pépinière endémique 
- Reconnaissance de partie de plantes et botanique simple sur les plantes coupées
- Démonstration d'empotage, bouturage, récupération de sauvageons
- Confection de godet avec une plante
Plus de détail en pièce jointe ateliers infos</t>
  </si>
  <si>
    <t>TiNAT * Agroécologie Andémik Réunion
Exploitation agricole certifiée Bio
L'Agroforesterie dann karo d’bwa d’koulèr
Tisanes Péi et Pépinière d'endémiques</t>
  </si>
  <si>
    <t>Baril Les Hauts
La pépinière se trouve en forêt ! Elle est uniquement accessible en 4x4 rehaussé. Les visites se font donc seulement sur RDV.</t>
  </si>
  <si>
    <t>matériel pour l'activité , ateliers , grand espace , vue mer , vue montagne</t>
  </si>
  <si>
    <t>point de vue panoramique,forêt,arrêt bus</t>
  </si>
  <si>
    <t>b3077a95</t>
  </si>
  <si>
    <t>7b87c7fa</t>
  </si>
  <si>
    <t>galerie::galerie_Images/54f024f5.Path.053017.jpg</t>
  </si>
  <si>
    <t>Je suis intéressé pour être contacté à l'avance dès qu'il y aura un évènement prévu dans l'OTi Sud et principalement à St Philippe à Baril les bains car mon exploitation est très proche de là.
Je pourrais alors venir présenter mon activité, éventuellement proposer des activités /animer des ateliers aux enfants ou adultes sur les plantes endémiques et les PAPAM, Tisanes de la forêt du sud sauvage ( Plantes Aromatiques Médicinales et à Parfum).
Je travaille déjà avec les écoles de Saint Philippe où l'on a créé des arboretums de plantes endémiques et médicinales. Je suis partenaire du Parc National et de l'ARMEFLHOR dans le cadre du projet GAIAR et également leur fournisseur dans le cadre de la reforestation de la forêt de Mare Longue.</t>
  </si>
  <si>
    <t>Villa Tropicale Détente &amp; Spa</t>
  </si>
  <si>
    <t>Impasse Cité-Lavarenette</t>
  </si>
  <si>
    <t>-21.276768, 55.513441</t>
  </si>
  <si>
    <t>contact.tropicaledetente@gmail.com</t>
  </si>
  <si>
    <t>0693 06 04 59</t>
  </si>
  <si>
    <t>https://contacttropicalede.wixsite.com/monsite-1?fbclid=IwY2xjawIZVwlleHRuA2FlbQIxMAABHTDG8qAJjbhcnOs1u_DH1HxrKd7d15wPcZxjVKWv4FsQiII6WkRNNebDXA_aem_8Rkh2rjpyweTCHSO9_7u1w</t>
  </si>
  <si>
    <t>Maison très bien situé avec cours entièrement clôturé et sécurisé.
Séjour salle à manger
Salle de bain et WC
Etage:
Deux chambres avec mezzanine
Salle de bain et WC
Cours entièrement clôturé
avec place de parking.</t>
  </si>
  <si>
    <t>Villa Tropicale Détente &amp; Spa - maison au centre ville du Tampon</t>
  </si>
  <si>
    <t>Au centre ville du Tampon, derrière scootshop</t>
  </si>
  <si>
    <t>lave linge privatif , brasero , jardin , parking , wifi , vue mer , Cafetière , cuisine équipée , salon , barbecue , four , micro-ondes , TV , fer et planche à repasser , jacuzzi , ventilateur , linge de maison , linge de toilette , douche , frigo , terrasse , salle à manger , salon de jardin , serviettes. , plaque de cuisson , bouilloire , grille-pain , dressing , salle de bain , jardin clôturé , jeux</t>
  </si>
  <si>
    <t>commerce alimentaire,parking public,point de vue panoramique,site - lieu culturel,centre commercial,Centre - Ville,arrêt bus</t>
  </si>
  <si>
    <t>a3ba7004</t>
  </si>
  <si>
    <t>7a34eb76</t>
  </si>
  <si>
    <t>galerie::galerie_Images/60be8bc0.Path.100503.jpg</t>
  </si>
  <si>
    <t>CSC699HTX</t>
  </si>
  <si>
    <t>La Terrasse Vanillée</t>
  </si>
  <si>
    <t>104</t>
  </si>
  <si>
    <t>-21.300195, 55.800681</t>
  </si>
  <si>
    <t>kyhas85@hotmail.fr</t>
  </si>
  <si>
    <t>0692 70 85 24</t>
  </si>
  <si>
    <t>La maison vous offre :
- un espace jeux (baby foot, jeux d'enfants, ping-pong, pelouse clôturée).
- une cuisine intérieure et une extérieure avec cheminée feu de bois/grillade
- une belle terrasse avec vue mer sur jardin tropical, salon de jardin, sans vis à vis.
Maison offrant 3 chambres avec chacune une ambiance différente typique des lieux.
Elle dispose d'une douche à l'italienne et de toilettes séparés.
Jolie maison au calme, vous apprécierez le charme des lieux et l'immersion dans un cadre typiquement créole.
Ideal pour passer des moments entre amis ou en famille, la belle terrasse avec sa cheminée vous promet de belles soirées et de magnifique levé du soleil.</t>
  </si>
  <si>
    <t>Maison "La terrasse Vanillée"</t>
  </si>
  <si>
    <t>cuisine équipée , cuisine au bois , jardin , parking , wifi , climatisation , vue mer , vue montagne , four , linge de maison , salon de jardin , terrasse , micro-ondes , salon , Cafetière , fer et planche à repasser , ventilateur , linge de toilette , douche , frigo , serviettes. , cheminée</t>
  </si>
  <si>
    <t>sentier de randonnée,point de vue panoramique,forêt,Restauration,route des laves,tunnels de lave</t>
  </si>
  <si>
    <t>cc8505e8</t>
  </si>
  <si>
    <t>6751d10f</t>
  </si>
  <si>
    <t>galerie::galerie_Images/c4b5ac30.Path.073447.jpg</t>
  </si>
  <si>
    <t>CSC669HTU</t>
  </si>
  <si>
    <t>La Case Bibasse</t>
  </si>
  <si>
    <t>205 A</t>
  </si>
  <si>
    <t>Route du Bras-Long</t>
  </si>
  <si>
    <t>-21.229680, 55.473611</t>
  </si>
  <si>
    <t>fabien.techer57@yahoo.com</t>
  </si>
  <si>
    <t>0640 55 99 52</t>
  </si>
  <si>
    <t>Mettez vous à l'aise et profitez de ce beau studio entre océan et montagne pour vous détendre et explorer le plus beau village de l'île !
Détendez-vous dans ce logement calme et élégant imaginé avec goût</t>
  </si>
  <si>
    <t>La Case Bibasse maison calme</t>
  </si>
  <si>
    <t>chauffage , vue montagne , TV , linge de maison , salon de jardin , micro-ondes , Cafetière , balcon , barbecue , ventilateur , linge de toilette , frigo , serviettes. , sèche-cheveux , bouilloire , garage , lave-linge , fer à repasser</t>
  </si>
  <si>
    <t>sentier de randonnée,point de vue panoramique,arrêt bus,Point chaud</t>
  </si>
  <si>
    <t>51a2dcd6</t>
  </si>
  <si>
    <t>6ce55084</t>
  </si>
  <si>
    <t>galerie::galerie_Images/86723b5b.Path.101023.jpg</t>
  </si>
  <si>
    <t>CSC696HTU</t>
  </si>
  <si>
    <t>ISDrawing 97430</t>
  </si>
  <si>
    <t>Dessin</t>
  </si>
  <si>
    <t>Andre Maurois</t>
  </si>
  <si>
    <t>-21.237628, 55.503772</t>
  </si>
  <si>
    <t>isdrawing97430@gmail.com</t>
  </si>
  <si>
    <t>0693 02 95 63</t>
  </si>
  <si>
    <t>https://sites.google.com/view/isdrawing974/accueil?fbclid=IwY2xjawH6_BRleHRuA2FlbQIxMAABHdqRLP6Ec0bJufp4Tag_Dqbo3kGrKgdEn8dDkpYn3pgIEDp8LsYtmsSyYQ_aem_BY3X2GfIuoGNMP8y8o4Qnw</t>
  </si>
  <si>
    <t>Accompagnement dans
l'apprentissage des techniques de dessin manga et de dessin sur la culture
réunionnaise pour le jeune public
( enfants et adolescents)
Mission :
Transmettre la passion du dessin
et créer des échanges dans les
groupes autour de la culture
japonaise à travers les mangas et
la culture réunionnaise.
Un atelier dessin (2h -200€ + matériels) sur la culture c'est :
- racontage légende de la réunion 
- explication des dessins 
&gt; "je dessine pour découvrir mon ile"</t>
  </si>
  <si>
    <t>Island Sewing and Drawing</t>
  </si>
  <si>
    <t>Artiste Nomade</t>
  </si>
  <si>
    <t>4eb07692</t>
  </si>
  <si>
    <t>0a068d8a</t>
  </si>
  <si>
    <t>galerie::galerie_Images/0b6eea76.Path.100848.jpg</t>
  </si>
  <si>
    <t>Change-écorce</t>
  </si>
  <si>
    <t>108E</t>
  </si>
  <si>
    <t>Chemin MAZEAU</t>
  </si>
  <si>
    <t>-21.255919, 55.508665</t>
  </si>
  <si>
    <t>contact@change-ecorce.fr</t>
  </si>
  <si>
    <t>0693 02 66 89</t>
  </si>
  <si>
    <t>www.change-ecorce.fr</t>
  </si>
  <si>
    <t>Change-écorce propose  :
- Des séances de sophrologie et de relaxation en nature, en cabinet ou en collectivité/entreprises : : "La sophrologie est une méthode psycho-corporelle, visant à mieux se connaître et à mobiliser ses ressources intérieures de manière plus naturelle. Elle est basée sur des techniques de relaxation dynamique, de respiration et de visualisation positive pour aider chacun à trouver son propre équilibre. Chaque séance est une invitation à vous (re)connaître, à explorer vos ressources intérieures et à vous recentrer".
- Des ateliers thématiques en nature : "le temps d'une matinée, d'une journée ou d'un week-end, rencontrons-nous en pleine nature pour explorer, au sein d'un groupe bienveillant, un thème de développement personnel".
- Des bains de forêt : "Prendre un bain de forêt, c’est vivre la forêt autrement… C’est ralentir et marcher avec les sens ouverts pour une connexion à vous-même, à l’autre et à la forêt. C’est sentir ce lien magique qui nous unit, et cultiver l’échange, la gratitude, et l’harmonie.
bain 3 à 6 pax
ramener un tapis basket tenue confortable</t>
  </si>
  <si>
    <t>Vivez, expérimentez et voyez la forêt autrement</t>
  </si>
  <si>
    <t>Dans la forêt ou les jardins</t>
  </si>
  <si>
    <t>Chèque,Espèces,Virement,site internet</t>
  </si>
  <si>
    <t>d8e7ac1d</t>
  </si>
  <si>
    <t>92f10f0f</t>
  </si>
  <si>
    <t>galerie::galerie_Images/fce8fd33.Path.064530.jpg</t>
  </si>
  <si>
    <t>La Kaz Mémé Tampon</t>
  </si>
  <si>
    <t>RUELLE ANATOLE FRANCE</t>
  </si>
  <si>
    <t>-21.243251, 55.504168</t>
  </si>
  <si>
    <t>s.totalmy@gmail.com</t>
  </si>
  <si>
    <t>0692 88 99 65</t>
  </si>
  <si>
    <t>Située dans les hauteurs du Tampon, vous pourrez profiter d'une magnifique vue sur les montagnes environnantes. 
Elle est composée : 
- De 2 chambres doubles, 
- D'une cuisine toute équipée
- D'une salle de bain avec douche 
- Accès wifi</t>
  </si>
  <si>
    <t>Location saisonnière pour un dépaysement totale</t>
  </si>
  <si>
    <t>terrasse , jacuzzi , linge de maison , cuisine équipée , jardin , wifi , vue mer , vue montagne , TV</t>
  </si>
  <si>
    <t>Le bon coin,Virement</t>
  </si>
  <si>
    <t>910cc931</t>
  </si>
  <si>
    <t>3e38c639</t>
  </si>
  <si>
    <t>galerie::galerie_Images/f6502cf0.Path.071204.jpg</t>
  </si>
  <si>
    <t>CSC700HTG</t>
  </si>
  <si>
    <t>67551572</t>
  </si>
  <si>
    <t>Résidence G'Komo : Bungalows</t>
  </si>
  <si>
    <t>3D</t>
  </si>
  <si>
    <t>-21.372128, 55.588139</t>
  </si>
  <si>
    <t>contact.gkomo@gmail.com</t>
  </si>
  <si>
    <t>0621 63 32 03</t>
  </si>
  <si>
    <t>Les 2 bungalows sont conçus pour 2 personnes maximum et sont équipés :
- 1 cuisine équipée 
- 1 salle de bain avec douche
-  terrasse privative
- 1 place de parking par bungalow
Les tarifs sont gérés automatiquement par la conciergerie sur un outil dédié et en fonction de l’activité.</t>
  </si>
  <si>
    <t>Bungalows Java et Jazz &gt; Un séjour avec un cadre exceptionnel et un vue imprenable sur l'océan.</t>
  </si>
  <si>
    <t>A 5 min à pied du bassin de Manapany</t>
  </si>
  <si>
    <t>wifi , salle de bain , balcon , vue mer , vue montagne , linge de maison , cuisine équipée , climatisation</t>
  </si>
  <si>
    <t>point de vue panoramique,plage,arrêt bus,Bassin de Manapany,restaurants</t>
  </si>
  <si>
    <t>dbf8fa46</t>
  </si>
  <si>
    <t>a3a9606b</t>
  </si>
  <si>
    <t>galerie::galerie_Files_/a188f45d.Path.103131.avif</t>
  </si>
  <si>
    <t>CSC707HTN</t>
  </si>
  <si>
    <t>Résidence G'Komo - Ti Caz Marley</t>
  </si>
  <si>
    <t>3A</t>
  </si>
  <si>
    <t>-21.372096, 55.588401</t>
  </si>
  <si>
    <t>Notre appartement dispose de :
→ 6 COUCHAGES : un lit double, 2 lits simples, un canapé-lit 
→ Netflix sur la SMART TV HD
→ Cuisine entièrement ÉQUIPÉE 
→ Salle de bain avec fourniture des serviettes, gel douche et shampoing
→ Grande TERRASSE couverte avec vue
→ PARKING sécurisé pour un véhicule dans la propriété
L'appartement est à votre entière disposition ainsi que la terrasse attenante, une place de parking à l'intérieur de la propriété, fermée à clé.
Les tarifs sont gérés automatiquement par la conciergerie sur un outil dédié et en fonction de l’activité.</t>
  </si>
  <si>
    <t>Passer des vacances reposantes et mémorables dans notre “ti coin charmant”.</t>
  </si>
  <si>
    <t>A 5min à pied du basse de Manapany</t>
  </si>
  <si>
    <t>parking , wifi , climatisation , vue mer , vue montagne , cuisine équipée , TV , Lit parapluie sur demande , fer et planche à repasser , ventilateur , linge de maison , sèche-cheveux</t>
  </si>
  <si>
    <t>office de tourisme,arrêt bus,restaurants,Bassin de Manapany</t>
  </si>
  <si>
    <t>50267ef6</t>
  </si>
  <si>
    <t>galerie::galerie_Images/6c4597f5.Path.105003.jpg</t>
  </si>
  <si>
    <t>CSC706HTM</t>
  </si>
  <si>
    <t>VILLA CAP JAUNE</t>
  </si>
  <si>
    <t>lotissement Deurveilher Maillot</t>
  </si>
  <si>
    <t>-21.375511, 55.668999</t>
  </si>
  <si>
    <t>clarine.roos@caf-france.net</t>
  </si>
  <si>
    <t>06 89 61 04 96</t>
  </si>
  <si>
    <t>Ce logement chaleureux et familial au calme, peut accueillir 6 à 10 personnes dans 3 grandes chambres.
Proche de toutes commodités à pied et de nombreux sites touristiques à moins de 5 min en voiture (Cascade Langevin, Plage de Grande Anse, Cap Méchant, Cap Jaune, Puits des Français, Marine Vincendo ...). La piscine privative chauffée en face de la cuisine en fond un atout appréciable de tous les convives. Le kiosque légèrement en hauteur permet de surveiller les enfants en dégustant un verre
Le logement
2 chambres vue mer et 1 vue montagne
De beaux espaces propre et spacieux en intérieur.
Des endroits cosy pour se détendre dans la propriété
Une grande et agréable piscine entretenue et privative.
Une proximité immédiate de la mer (15 min de marche sur une petite route agricole bordée de canne et de vacoas)
Une villa bien pensée et aménagée
Tous les commerces sont accessibles à pieds à moins de 5 min de marche (boulangerie, Super U, essence, fraicheur, ...)
Le linge de maison est fourni.
Le lave linge est disponible sur demande.
Accès des voyageurs
Piscine sécurisé et clôturée
Un kiosque pour se détendre
un four à pizza
2 places de parking sécurisée dans la propriété et des places extérieures à proximité immédiates
Quartier paisible et résidentiel
Autres remarques
Le forfait ménage n’est pas inclus. Le ménage est à faire avant le départ par les locataires ou à souscrire à l’arrivée : forfait en sus à 80€.</t>
  </si>
  <si>
    <t>Villa avec piscine à Vincendo</t>
  </si>
  <si>
    <t>En arrivant à Vincendo, il y a un unique rond point, prenez direction LE Lycée, la Marine (sortie en direction de l'océan).
Prenez ensuite la première rue à gauche (direction le Super U). ⚠️ Longer le grillage du Super U, Puis prenez le chemin à droite entre les 2 parking du Super U, le long de la clôture.
La maison est au bout de la rue, le n*10 lotissement Deurveilher Maillot à Vincendo, un grand portail en bois et métal blanc</t>
  </si>
  <si>
    <t>piscine chauffée , jardin , parking , wifi , climatisation , TV , four , linge de maison , salon de jardin , cuisine équipée , micro-ondes , jardin clôturé , salon , Cafetière , bibliothéque , barbecue , Lit parapluie sur demande , lave vaisselle , linge de toilette , frigo , plaque de cuisson , sèche-cheveux , bouilloire , dressing , cour clôturée , jeux , baignoire , accès internet , espace de restauration en extérieur , équipement bébé , cuisine extérieure , articles de toilette , brasero , brasseurs d'air , mobilier d'extérieur , douche extérieure</t>
  </si>
  <si>
    <t>sentier de randonnée,commerce alimentaire,point de vue panoramique,arrêt bus,transports en commun,littoral,Toutes commodités</t>
  </si>
  <si>
    <t>640098f1</t>
  </si>
  <si>
    <t>d3a25f5a</t>
  </si>
  <si>
    <t>galerie::galerie_Images/0a667c7b.Path.073813.jpg</t>
  </si>
  <si>
    <t>CSC701HTH</t>
  </si>
  <si>
    <t>Douceur du Sud</t>
  </si>
  <si>
    <t>226</t>
  </si>
  <si>
    <t>RUE Frédéric Badré</t>
  </si>
  <si>
    <t>-21.266537, 55.523563</t>
  </si>
  <si>
    <t>douceurdusud974@gmail.com</t>
  </si>
  <si>
    <t>0693 65 30 67</t>
  </si>
  <si>
    <t>Cette maison de vacances propose :
- Cuisine équipée
- 1 chambre 
- Salle d'eau
- Terrasse avec vue sur le jardin 
Accepte les animaux si celui-ci est sociable. 
Ok pour les chats</t>
  </si>
  <si>
    <t>Une expérience calme avec douceur du sud</t>
  </si>
  <si>
    <t>jardin , parking , wifi , TV , four , terrasse , cuisine équipée , salon , salle de bain privée , barbecue , salle de bain , jeux , lave-linge</t>
  </si>
  <si>
    <t>point de vue panoramique,forêt,Maison du Volcan</t>
  </si>
  <si>
    <t>Virement,booking,airbnb,Abritel,Le bon coin</t>
  </si>
  <si>
    <t>ce8a8bc2</t>
  </si>
  <si>
    <t>451fd845</t>
  </si>
  <si>
    <t>galerie::galerie_Images/091eee33.Path.044934.jpg</t>
  </si>
  <si>
    <t>CSC702HTI</t>
  </si>
  <si>
    <t>Villa Baril Sucré</t>
  </si>
  <si>
    <t>impasse des Caféiers, la Trinité</t>
  </si>
  <si>
    <t>-21.355212, 55.775079</t>
  </si>
  <si>
    <t>zenclan.immo@gmail.com</t>
  </si>
  <si>
    <t>06 16 76 35 34</t>
  </si>
  <si>
    <t>Envie de nature, de détente et de moments inoubliables en famille ou entre amis ? Cette villa spacieuse 🏡 située à Saint-Philippe vous ouvre ses portes pour un séjour chaleureux et ressourçant. 
Avec ses 3 chambres confortables, ses 2 salles de bain, et sa capacité d’accueil de 8 personnes, c’est l’endroit rêvé pour se retrouver et partager de beaux souvenirs.✨
Profitez d’un grand jardin tropical 🌺, d’une piscine privée 🏊‍♀️ et d’une cuisine entièrement équipée 🍽️ pour des repas conviviaux. La cuisine au feu de bois vous permettra également de cuisiner de bons cari traditionnels en extérieur. Le cadre est calme, verdoyant, idéal pour déconnecter... même vos compagnons à quatre pattes sont les bienvenus 🐾 !
📍 Située dans une région authentique de l’île, entre forêts, coulées de lave et océan, la maison est le point de départ parfait pour explorer le Sud sauvage et ses trésors naturels 🌊🌋.
🛏️ 3 chambres | 🛁 2 salles de bain | 🌴 Jardin | 🐶 Animaux acceptés | 👨‍👩‍👧‍👦 Jusqu'à 8 personnes</t>
  </si>
  <si>
    <t>Découvrez le charme authentique dans notre villa spacieuse et confortable</t>
  </si>
  <si>
    <t>Sur la RN2 en direction de Sainte-Rose, prendre l'impasse des pommiers puis impasse des Caféiers avant ravine Ango</t>
  </si>
  <si>
    <t>climatisation , parking , aire de jeux pour enfant , wifi , vue mer , vue montagne , piscine , TV , linge de maison , cuisine équipée , lave vaisselle , lave-linge</t>
  </si>
  <si>
    <t>tunnels de lave,piscine,Volcan le piton de la fournaise,sentier de randonnée,forêt</t>
  </si>
  <si>
    <t>35199e6c</t>
  </si>
  <si>
    <t>b63a5234</t>
  </si>
  <si>
    <t>galerie::galerie_Images/d10dcfcb.Path.054638.jpg</t>
  </si>
  <si>
    <t>CSC697HTV</t>
  </si>
  <si>
    <t>Entr'Deux Gones</t>
  </si>
  <si>
    <t>Rue Cafre</t>
  </si>
  <si>
    <t>-21.238730, 55.469796</t>
  </si>
  <si>
    <t>entredeuxgones69@gmail.com</t>
  </si>
  <si>
    <t>0693 86 31 14</t>
  </si>
  <si>
    <t>La chambre d'hôte propose : 
- Deux chambres pour deux personnes
- Salle de bains et toilettes indépendants
- Cuisine extérieure équipée
- Accès à la piscine chauffée</t>
  </si>
  <si>
    <t>Charmantes chambres d'hôtes dans le village de l'Entre Deux</t>
  </si>
  <si>
    <t>Au village prendre rue bras long, puis à gauche rue macaire puis à droite rue cafre</t>
  </si>
  <si>
    <t>Cafetière , bouilloire , micro-ondes , plaque de cuisson , frigo , piscine chauffée , cuisine extérieure</t>
  </si>
  <si>
    <t>sentier de randonnée,tennis,arrêt bus,station service,pharmacie,stade de foot,piscine municipale,restaurants</t>
  </si>
  <si>
    <t>dfcf01fe</t>
  </si>
  <si>
    <t>b4d1a7d1</t>
  </si>
  <si>
    <t>galerie::galerie_Images/c7cf3e36.Path.070952.jpg</t>
  </si>
  <si>
    <t>CSC703HTJ</t>
  </si>
  <si>
    <t>RODBIKELOC</t>
  </si>
  <si>
    <t>97b</t>
  </si>
  <si>
    <t>Rue du Maréchal Leclerc</t>
  </si>
  <si>
    <t>-21.373652, 55.613353</t>
  </si>
  <si>
    <t>rodbikeloc@hotmail.com</t>
  </si>
  <si>
    <t>0692 30 04 02</t>
  </si>
  <si>
    <t>https://www.location-velo-electrique-974.fr/</t>
  </si>
  <si>
    <t>RODBIKELOC, entreprise de location de vélo électrique à Saint-Joseph, vous propose de découvrir ses différentes prestations :
Location de vélo électrique
Location d’équipements de vélo
Notre entreprise de location de vélo électrique à Saint-Joseph vous propose des solutions sur mesure (location à la demi-journée, location à la semaine…) et une assistance 7j/7.
TOUJOURS Caution chèque ou empreinte bancaire (voire virement)
Matériels :
16 vélos Adultes
4 vélos enfants
+ peut proposer d'autres vélos</t>
  </si>
  <si>
    <t>RodbikeLoc, c’est la location de VTT à assistance électrique au cœur du Sud Sauvage. Appelez-nous, on vous livre également.</t>
  </si>
  <si>
    <t>A Saint-Joseph un espace d'accueil et livre sur toute l'île</t>
  </si>
  <si>
    <t>matériel pour l'activité , location VTT</t>
  </si>
  <si>
    <t>Chèque,Carte Bancaire,Espèces,Virement,Paypal</t>
  </si>
  <si>
    <t>be689979</t>
  </si>
  <si>
    <t>e43e87eb</t>
  </si>
  <si>
    <t>galerie::galerie_Images/9ebbc310.Path.062843.jpg</t>
  </si>
  <si>
    <t>Le Chalet des Écuries</t>
  </si>
  <si>
    <t>rue du Domaine de Bellevue</t>
  </si>
  <si>
    <t>-21.193135, 55.576347</t>
  </si>
  <si>
    <t>manuela97436@gmail.com</t>
  </si>
  <si>
    <t>0693 01 44 44</t>
  </si>
  <si>
    <t>https://lechaletdesecuries.re</t>
  </si>
  <si>
    <t>Ce chalet soigneusement décoré et fraichement rénové est l'endroit idéal pour lire au coin du feu, faire des ballades en forêt, à cheval ou à pieds et des jeux de société en famille. 
Un réel lieu de repos hors du temps, confortable et entièrement équipé.
Plongez au cœur de la nature 🌿 dans ce magnifique chalet en bois, idéalement situé à Le Tampon. Avec sa capacité d'accueil de 15 personnes 🧑‍🤝‍🧑, il est parfait pour les réunions de famille 👨‍👩‍👧‍👦 ou les escapades entre amis 🎉.​
Airbnb
Le chalet offre une ambiance chaleureuse grâce à son intérieur en bois 🪵 et son poêle à bois 🔥, créant une atmosphère cosy pour vos soirées. La cuisine entièrement équipée 🍽️ vous permettra de préparer de délicieux repas, tandis que la grande table à manger est idéale pour partager des moments conviviaux.​
À l'extérieur, profitez d'un vaste espace vert 🌳, parfait pour les jeux en plein air ou simplement pour se détendre en écoutant les sons de la nature. Les amateurs de randonnée seront ravis de la proximité des sentiers menant au Piton de la Fournaise 🌋.</t>
  </si>
  <si>
    <t>Magnifique chalet situé à bourg Murat, sur la route du volcan</t>
  </si>
  <si>
    <t>Porche des écuries du volcan, domaine de Bellevue
Derrière grillanoo</t>
  </si>
  <si>
    <t>douche , vue montagne , terrasse , jeux , chauffage , fer et planche à repasser , sèche-cheveux , cheminée , sèche-linge , parking , wifi , TV , four , linge de maison , salon de jardin , cuisine équipée , micro-ondes , salon , Cafetière , barbecue , lave vaisselle , linge de toilette , bouilloire , grille-pain , lave-linge</t>
  </si>
  <si>
    <t>sentier de randonnée,commerce alimentaire,équitation,point de vue panoramique,sentier de grande randonnée,VTT,forêt</t>
  </si>
  <si>
    <t>8bd0a9f5</t>
  </si>
  <si>
    <t>442c3ce3</t>
  </si>
  <si>
    <t>galerie::galerie_Files_/0b75c1ba.Path.044354.avif</t>
  </si>
  <si>
    <t>CSC708HTO</t>
  </si>
  <si>
    <t>5A Transports</t>
  </si>
  <si>
    <t>Zone sud sauvage</t>
  </si>
  <si>
    <t>-21.369629, 55.700668</t>
  </si>
  <si>
    <t>contact@5a-transports.fr</t>
  </si>
  <si>
    <t>0692 37 92 89</t>
  </si>
  <si>
    <t>https://5a-transports.fr/</t>
  </si>
  <si>
    <t>Avec une flotte de véhicules récents et tout équipés, 5A Transports vous récupère à l’heure et à l’adresse convenues. Profitez d’un trajet optimisé, agrémenté du wifi à bord et de la présence d’un chauffeur discret, souriant et attentionné.
Prestations :
✅ Excursions touristiques avec chauffeur-guide
✅ Transferts vers et depuis l’aéroport
✅ Dépose au départ de randonnées
✅ Courses ponctuelles en toute simplicité
-&gt; Circuits avec guides touristiques à la journée (en plus du chauffeur): 
Disponible en français, créole, anglais, chinois, il vous accompagne tout au long du trajet pour vous faire découvrir l’histoire, la culture et les secrets des lieux visités.
✔ Explications enrichissantes et anecdotes exclusives
✔ Interaction en temps réel pour répondre à toutes vos questions
✔ Découverte immersive adaptée à vos centres d’intérêt
Les circuits sur notre territoire :
- Volcan Piton de la Fournaise (option Rando) + Cité du Volcan
-  Sud Sauvage (option Tunnels de Lave)
- "Road trip" Tour de l'île en 13 étapes !</t>
  </si>
  <si>
    <t>Vos transferts et excursions à la Réunion</t>
  </si>
  <si>
    <t>équipement bébé , wifi , visites guidées , circuit touristique , chauffeur , vtc , boisson</t>
  </si>
  <si>
    <t>français,créole,anglais,allemand,espagnol,chinois</t>
  </si>
  <si>
    <t>8250d508</t>
  </si>
  <si>
    <t>f1ad0527</t>
  </si>
  <si>
    <t>galerie::galerie_Images/576ff7c6.Path.070701.jpg</t>
  </si>
  <si>
    <t>Tarifs en pj</t>
  </si>
  <si>
    <t>Chez Francine</t>
  </si>
  <si>
    <t>Impasse des Jonquilles</t>
  </si>
  <si>
    <t>-21.240845, 55.526778</t>
  </si>
  <si>
    <t>lhc974@hotmail.fr</t>
  </si>
  <si>
    <t>0692 10 68 18</t>
  </si>
  <si>
    <t>3 chambres (+ 1 lit superposées)
1 mezzanine (salon détente)
1 cours clôturée avec garage (possibilité de garer 4 à 5 voitures)
cuisine équipée avec salle à manger et salon avec wifi tv et netflix à dispo
le week-end 2 nuits minimum</t>
  </si>
  <si>
    <t>Maison de vacances au 17e - Chez Francine</t>
  </si>
  <si>
    <t>PK 17, au rond point prendre à gauche puis à droite directement à droite impasse des Jonquilles
La maison se trouve au fond de l'impasse</t>
  </si>
  <si>
    <t>douche , cheminée , jardin , parking , wifi , vue mer , vue montagne , Cafetière , cuisine équipée , salon , four , micro-ondes , TV , linge de maison , linge de toilette , frigo , salle à manger , serviettes. , bouilloire , grille-pain , salle de bain , garage</t>
  </si>
  <si>
    <t>sentier de randonnée,commerce alimentaire,équitation,parking public,point de vue panoramique,site - lieu culturel</t>
  </si>
  <si>
    <t>ff1b597b</t>
  </si>
  <si>
    <t>8dbaa193</t>
  </si>
  <si>
    <t>galerie::galerie_Images/c52efa71.Path.110504.jpg</t>
  </si>
  <si>
    <t>CSC709HTP</t>
  </si>
  <si>
    <t>Villa Vétiver</t>
  </si>
  <si>
    <t>Chemin du Captage</t>
  </si>
  <si>
    <t>-21.356198, 55.630003</t>
  </si>
  <si>
    <t>johnylebon881@gmail.com</t>
  </si>
  <si>
    <t>0692 95 37 67</t>
  </si>
  <si>
    <t>https://paa.ge/villavetiver/fr?fbclid=IwY2xjawJNxU9leHRuA2FlbQIxMAABHcA2f1f6YwE-XzUm3Q4ENMhDpWiAYKf3I4Onz5qvwKp0CJP60E-edgEqoA_aem_9vchK6mL9UWcSuiPaLImeA</t>
  </si>
  <si>
    <t>Cette spacieuse villa de plus de 300m2 peut accueillir jusqu’à 12 personnes grâce à ses 5 chambres doubles climatisées et son canapé convertible confortable. 
La villa comprend également une belle piscine, un jacuzzi et un sauna, idéal pour un séjour détente en famille ou entre amis. 
La cuisine extérieur entièrement équipée (plaque feux, four, feux de bois) vous permettra de profiter des journées d’été en toute convivialité. 
Le logement comprend : 
- Une grande pièce à vivre avec un immense canapé d’angle, une cuisine entièrement équipée et une belle salle à manger ; 
- 5 chambres doubles climatisées avec rangements ; 
- 1 canapé convertible confortable pour 2 personnes ; 
- 1 salle de bain moderne avec douche italienne ; 
- Des extérieurs entièrement aménagés et privatifs : piscine, jacuzzi, sauna, cuisine d’été, etc… 
- Une terrasse avec billard et baby-foot ; - 5 places de parking sur place. 
Le logement est entièrement privatif et comprend 5 places de parking.</t>
  </si>
  <si>
    <t>Séjournez à la Villa Vétiver située à Jean Petit à Saint-Joseph.</t>
  </si>
  <si>
    <t>Jean Petit chemin du captage</t>
  </si>
  <si>
    <t>jardin , parking , wifi , climatisation , grand espace , piscine , TV , four , linge de maison , salon de jardin , terrasse , cuisine équipée , micro-ondes , jardin clôturé , salon , Cafetière , Lit parapluie sur demande , bain à remous , lave vaisselle , linge de toilette , douche , frigo , billard , serviettes. , plaque de cuisson , lave-linge , sauna</t>
  </si>
  <si>
    <t>5ada99e5</t>
  </si>
  <si>
    <t>e4014af6</t>
  </si>
  <si>
    <t>galerie::galerie_Images/a9713cfb.Path.051427.jpg</t>
  </si>
  <si>
    <t>CSC710HTH</t>
  </si>
  <si>
    <t>Villa Ô Ti Paille-en-queue</t>
  </si>
  <si>
    <t>239</t>
  </si>
  <si>
    <t>Rue Marcel Pagnol</t>
  </si>
  <si>
    <t>-21.370880, 55.680482</t>
  </si>
  <si>
    <t>https://paa.ge/villaotipailleenqueue/fr?fbclid=IwY2xjawJNyr1leHRuA2FlbQIxMAABHQgzekVqFfV7kIok-PKgOy65mP7NZn5aO6zbyNi_nzCxHyZXIUuYTPjFzQ_aem_zX0J4G7FIMI_lYd79okL7w</t>
  </si>
  <si>
    <t>Cette spacieuse villa de plus de 170m2 peut accueillir jusqu’à 14 personnes grâce à ses 5 chambres doubles climatisées et sa mezzanine comprenant 2 lits simples. 
La villa comprend également une belle piscine et un jacuzzi , idéal pour un séjour détente en famille ou entre amis. 
La cuisine extérieure vous permettra de profiter des journées d’été en toute convivialité. 
Le logement comprend : 
- Une grande pièce à vivre avec un immense canapé d’angle, une cuisine entièrement équipée et une belle salle à manger ; 
- 5 chambres doubles climatisées avec rangements (dont 1 chambre parentale avec salle de bain attenante) ; 
- 1 mezzanine avec 2 lits simples ; 
- 1 salle de bain moderne avec douche italienne ; 
- Des extérieurs entièrement aménagés et privatifs : piscine (chauffée en hiver), jacuzzi, cuisine d’été, transats, etc… - Une terrasse avec billard ; 
- 4 places de parking sur place. Le logement est entièrement privatif et comprend 4 places de parking.</t>
  </si>
  <si>
    <t>Séjournez à la Villa Ô Ti Paille-en-Queue située à Vincendo à Saint-Joseph</t>
  </si>
  <si>
    <t>Vincendo , rue Marcel Pagnol</t>
  </si>
  <si>
    <t>chauffage , jardin , parking , wifi , climatisation , piscine , TV , four , linge de maison , salon de jardin , terrasse , cuisine équipée , micro-ondes , salon , Cafetière , bain à remous , jacuzzi , lave vaisselle , linge de toilette , douche , frigo , billard , serviettes. , plaque de cuisson , équipement bébé , lave-linge</t>
  </si>
  <si>
    <t>sentier de randonnée,commerce alimentaire,point de vue panoramique,plage,riviere,arrêt bus</t>
  </si>
  <si>
    <t>96e8e859</t>
  </si>
  <si>
    <t>galerie::galerie_Files_/8b7d5ccc.Path.053038.avif</t>
  </si>
  <si>
    <t>CSC711HTI</t>
  </si>
  <si>
    <t>Kaz Hibiscus</t>
  </si>
  <si>
    <t>impasse de l'Abbé Prevost</t>
  </si>
  <si>
    <t>-21.379823, 55.650219</t>
  </si>
  <si>
    <t>gaellepierlot@gmail.com</t>
  </si>
  <si>
    <t>0693 11 79 78</t>
  </si>
  <si>
    <t>** Le logement **
La maison dispose d’une piscine au sel, non chauffée, entièrement privative. Les deux chambres, équipées de ventilateurs de plafond, proposent également la climatisation en option. Vous trouverez une salle d’eau moderne et des toilettes séparées, ainsi qu’une cuisine parfaitement équipée avec tout le nécessaire : réfrigérateur, lave-vaisselle, four, micro-ondes, cafetière classique, machine à expresso, bouilloire et blender pour préparer vos repas et boissons. Le salon, doté d’une télévision connectée, est parfait pour vos moments de détente.
À l’extérieur, vous profiterez d’une belle terrasse donnant sur un jardin privé avec barbecue, idéal pour partager des moments conviviaux. Une place de parking sécurisée, surveillée par une caméra, est également à votre disposition.
Le quartier regorge de commodités accessibles à pied. Vous pourrez y trouver deux boulangeries, une pizzeria, des étals de fruits locaux et, le dimanche, des poulets grillés à quelques dizaines de mètres de la maison. Le restaurant "Le Nirvana", célèbre dans la commune pour la qualité de sa cuisine créole, ainsi que la marine de Langevin et son parcours de santé sont également à proximité pour agrémenter votre séjour. Pharmacie, médecin, kinésithérapeute, dentiste, coiffeur et arrêt de bus se trouvent à quelques pas seulement.
** Autres remarques **
À votre arrivée, Marie, qui habite juste à côté, sera présente pour vous remettre les clés. En cas d’indisponibilité, un code pour une boîte à clés vous sera transmis. Notez que le nombre de personnes hébergées doit correspondre à la réservation et que les visites extérieures ne sont pas autorisées, afin de préserver la qualité et l’intimité du lieu.</t>
  </si>
  <si>
    <t>Située au cœur du Sud Sauvage de l’île de La Réunion, cette maison est idéale pour découvrir les nombreux sites incontournables des communes environnantes. Conçue pour accueillir jusqu’à quatre adultes, elle offre tout le confort nécessaire pour un séjour inoubliable.</t>
  </si>
  <si>
    <t>parking , espace de restauration en extérieur , mobilier d'extérieur , barbecue , four , grille-pain , Cafetière , cuisine équipée , brasseurs d'air , piscine , climatisation , TV , fer et planche à repasser , lave-linge , wifi</t>
  </si>
  <si>
    <t>2af33e1a</t>
  </si>
  <si>
    <t>bd87a809</t>
  </si>
  <si>
    <t>galerie::galerie_Images/bc204577.Path.105658.jpg</t>
  </si>
  <si>
    <t>CSC712HTJ</t>
  </si>
  <si>
    <t>Ceramika</t>
  </si>
  <si>
    <t>Rue des Citronniers</t>
  </si>
  <si>
    <t>-21.279813, 55.541306</t>
  </si>
  <si>
    <t>marika.sergeat@gmail.com</t>
  </si>
  <si>
    <t>0693 62 63 57</t>
  </si>
  <si>
    <t>Toujours en quête de textures et de formes puisées dans la nature, je m’efforce d'insuffler une âme à travers mon art.
Pour moi, l’art et le mode de vie ne font qu’un, d’où ma volonté de ne concevoir que des pièces uniques afin que l’art s’intègre à notre quotidien.
Inspirée par les poteries anciennes, primitives voire archaïques, et guidée par les contours façonnés par la nature à travers l’érosion et le passage du temps, je modèle sous ces influences.
Mon objectif est de capturer la sensualité de la terre et de transmettre cette émotion au travers de mes créations.
Je cherche à établir un lien tangible entre cette l’homme et la matière, suscitant ainsi une émotion palpable au creux de la main.
Artiste céramiste installée au Tampon, je propose des stages initiation à mon atelier.
Public : à partir de 6 ans
Tarif : 60 euros
Le prix comprend la terre, les engobes porcelaines, la 1ere cuisson puis la 2eme cuisson avec émail transparent</t>
  </si>
  <si>
    <t>Marika Ceramika - céramistes</t>
  </si>
  <si>
    <t>Atelier au tampon dans son atelier</t>
  </si>
  <si>
    <t>08bca908</t>
  </si>
  <si>
    <t>3c117096</t>
  </si>
  <si>
    <t>galerie::galerie_Images/3c8f2cc5.Path.063022.jpg</t>
  </si>
  <si>
    <t>Entre Fleurs et Plantes</t>
  </si>
  <si>
    <t>Horticulture</t>
  </si>
  <si>
    <t>Coteau Sec</t>
  </si>
  <si>
    <t>-21.247387, 55.462184</t>
  </si>
  <si>
    <t>dominique.belizaire@orange.fr</t>
  </si>
  <si>
    <t>0692 01 49 29</t>
  </si>
  <si>
    <t>Entre fleurs et plantes située sur le village de l'Entre-deux est une entreprise horticole qui propose des fleurs coupées, des feuillages pour compositions, des plantes en pots, des compositions de plantes grasses ainsi que des terrariums de plantes.</t>
  </si>
  <si>
    <t>Dominique Belizaire - Horticultrice</t>
  </si>
  <si>
    <t>ne reçois pas du public sur son exploitation horticole
Coteau Sec et se déplace sur les marchés et à d'autres manifestations ponctuelles.</t>
  </si>
  <si>
    <t>plantes , composition florale</t>
  </si>
  <si>
    <t>commerce alimentaire,point de vue panoramique,sentier de grande randonnée,riviere</t>
  </si>
  <si>
    <t>9b37bd95</t>
  </si>
  <si>
    <t>bb202bb9</t>
  </si>
  <si>
    <t>galerie::galerie_Images/c945bf8f.Path.044200.jpg</t>
  </si>
  <si>
    <t>Ti Macaron PéÏ</t>
  </si>
  <si>
    <t>rue Fortune Hoarau</t>
  </si>
  <si>
    <t>-21.249053, 55.469978</t>
  </si>
  <si>
    <t>timacaron.pei@gmail.com</t>
  </si>
  <si>
    <t>0692 79 78 09</t>
  </si>
  <si>
    <t xml:space="preserve"> www.timacaronpei.re</t>
  </si>
  <si>
    <t>Boutik Artisanale de Macarons à l'ancienne aux amandes
Biscuiterie réunionnaise depuis 2014
- 22 parfums aux saveurs de la Réunion
- Café et thé gourmand
- Glace 1 boule + 1 macaron
- Fruits secs déshydratés
- Boissons fraîches (café, coca, cot, citronnade maison)
3€ le sachet de 5 
6€ le sachet de 10
9€ le sachet de 15
30€ le sachet de 50
Les horaires et jours d'ouverture varient en fonction de sa disponibilité (de semaine en semaine)</t>
  </si>
  <si>
    <t>Biscuiterie Artisanale - Ti Macaron PéÏ</t>
  </si>
  <si>
    <t>la boutique ti macaron pei est située juste en face de la pizzeria entre-deux et de la mairie dans le centre ville.
Se déplace aussi sur les events</t>
  </si>
  <si>
    <t>salon , terrasse , Cuisine de produits frais locaux , boutique</t>
  </si>
  <si>
    <t>sentier de randonnée,commerce alimentaire,parking public,point de vue panoramique,site - lieu culturel,riviere</t>
  </si>
  <si>
    <t>0a14802e</t>
  </si>
  <si>
    <t>01c6c49b</t>
  </si>
  <si>
    <t>galerie::galerie_Images/735356ce.Path.110522.jpg</t>
  </si>
  <si>
    <t>Les Z'aventuriers</t>
  </si>
  <si>
    <t>Vans aménagés</t>
  </si>
  <si>
    <t>Rue Jules Bertaut</t>
  </si>
  <si>
    <t>-21.285802, 55.510169</t>
  </si>
  <si>
    <t>lucie.dias.pro@laposte.net</t>
  </si>
  <si>
    <t>0693 87 10 69</t>
  </si>
  <si>
    <t>https://www.leszaventuriers.com/</t>
  </si>
  <si>
    <t>Optez pour une alliance fiable &amp; authentique en réservant votre séjour à bord de l’un de nos véhicules aménagés ou de l'une de nos voitures de location. L’occasion rêvée de découvrir l’île de la Réunion en couple, entre amis, en aventurier solitaire ou en famille !
Lieu de dépôt &amp; retour au choix
Optez pour un service de dépôt et remise du véhicule dans le lieu de votre choix afin d’alléger votre itinéraire et prolonger un maximum votre voyage.
ZÉRO TRACAS
Faites votre valise nous nous occupons du reste !
Écrivez votre histoire sur-mesure en choisissant les options les plus adaptées à votre âme d’aventurier : 
- Pack découverte « île intense », 
- pack « farniente », des balades à vélos en famille, sièges auto (&amp; bien plus encore…)
ET D'AUTRES PACKAGES (vanlifes écoresponsables, week-end escapade...)
Inclus dans chaque package :
&gt; assurance professionnelle tous risques
&gt; Matériel complet : cuisine, linge de lit, table, chaises, réchaud gaz, frigo, WC, douche, lampes...
LES VÉHICULES AMÉNAGÉS :
- Le SUV aménagé Mango
Petit gabarit et petit budget !
Il offre 4 couchages, et est équipé de tout le nécessaire camping. Un coffre entièrement aménagé
- Le Van aménagé Longani
Plus d'espace et de confort ! Il dispose de 3 couchages, une douche intérieure, un grand coffre, évier, glacière électrique, batterie externe, matériel de camping, jeux...
TARIFS EN PJ
2 ans permis min idéalement 3 ans (franchises assu)</t>
  </si>
  <si>
    <t>Location de voiture &amp; van aménagé
Zot ve aller 𝗯𝗮𝘁’ 𝗸𝗮𝗿𝗲́ pou 𝗱𝗲́𝗰𝗼𝘂𝘃𝗿𝗲 𝗻𝗼𝘂𝘁 𝘁𝗶 𝗹’𝗶𝗹𝗲 ? 𝗕𝗜𝗡𝗚𝗢 c’est par 𝗶𝗰𝗶 🚌</t>
  </si>
  <si>
    <t>remise au tampon 400 (gratuit)
et partout sur l'ile y'a un supplément</t>
  </si>
  <si>
    <t>douche , frigo , linge de maison , linge de toilette , cuisine équipée , table , chaises , réchaud gaz , WC , lampe</t>
  </si>
  <si>
    <t>sentier de randonnée,commerce alimentaire,équitation,parking public,point de vue panoramique,site - lieu culturel,riviere,forêt</t>
  </si>
  <si>
    <t>05f6ecb6</t>
  </si>
  <si>
    <t>feb4e803</t>
  </si>
  <si>
    <t>galerie::galerie_Images/39525170.Path.050346.jpg</t>
  </si>
  <si>
    <t>La BiB - Ateliers de brassage de bière</t>
  </si>
  <si>
    <t>-21.249808, 55.470787</t>
  </si>
  <si>
    <t>labibreunion@gmail.com</t>
  </si>
  <si>
    <t>0693 81 49 22</t>
  </si>
  <si>
    <t>https://labib.re/</t>
  </si>
  <si>
    <t>En plein cœur de l’Entre-deux, à Vavang’Art, nous vous proposons un atelier de brassage de bière unique à la Réunion.
Pendant 4h30 vous allez brasser votre propre bière, avec du matériel performant, des ingrédients de qualité, guidé par un coach durant tout le processus de brassage.
Lors de votre atelier de brassage, vous choisirez votre recette, effectuerez toutes les étapes de la fabrication de votre bière et récupérer 1 mois plus tard VOTRE bière ! (Atelier Premium)
PRESTATIONS :
&gt; Immersion - premiers pas dans le brassage (49€/pax - 2h)
- dégustation des bières 
- présentation des brasseries 
+ pack de 6 bières
&gt; Atelier de brassage - initiation au brassage de bière (139€/brassin - 4h30)
- seul ou à deux le pris est le même
- choix de la recette (blonde, blanche..)
- découverte de toutes les étzpes de brassage 
- dégustations
+ récupérez entre 3 et 10 litres de bières 
&gt; Brewlab - Reviens brasser ta bière en autonomie (189€/pax)
* Tu es déjà venu brasser en atelier d’initiation avec nous
* Reviens brasser en autonomie et créer ta recette
* Nous sommes là pour te guider mais tu réalises toi même ton nettoyage et encapsulage
Récupérez entre 18 et 20 litres de bières
Tout est inclus : mise à disposition du matériel, des ingrédients, du savoir faire et des connaissances, la dégustation, le suivi de fermentation et l’embouteillage.
Réservation sur le site !</t>
  </si>
  <si>
    <t>La BiB - Atelier de brassage
Venez brasser votre propre bière dans notre atelier de brassage</t>
  </si>
  <si>
    <t>En plein cœur de l'Entre-deux, à Vavang'Art</t>
  </si>
  <si>
    <t>dégustation , ateliers , matériel pour l'activité</t>
  </si>
  <si>
    <t>commerce alimentaire,site - lieu culturel,riviere,sites touristiques</t>
  </si>
  <si>
    <t>83d16921</t>
  </si>
  <si>
    <t>8ba10e27</t>
  </si>
  <si>
    <t>galerie::galerie_Images/0bd7e8ef.Path.062134.jpg</t>
  </si>
  <si>
    <t>Jardin Entre 2 Saisons</t>
  </si>
  <si>
    <t>108</t>
  </si>
  <si>
    <t>-21.237501, 55.471658</t>
  </si>
  <si>
    <t>vchantohing@gmail.com</t>
  </si>
  <si>
    <t>0692 23 29 89</t>
  </si>
  <si>
    <t>Au pied de la montagne, tout près du sentier de Bayonne, se cache un petit coin de nature où tradition et passion se rencontrent.
Dans mon verger familiale, je cultive avec soin des fruits et légumes en harmonie avec la terre, sans pesticides, en respectant le rythme des saisons 🍀
De ces récoltes, je confectionne artisanalement des gelées parfumées, des sirops délicats, des pâtes de fruits fondantes, mais aussi des fruits séchés et confits, ainsi que des achards relevés aux saveurs du terroir. Chaque préparation est réalisée avec amour et exigence, pour préserver le goût authentique des produits de notre beau village de l'Entre-deux ✨
Mon engagement 🤓 ?
Offrir des produits naturels, issus d'une agriculture respectueuse, pour partager avec vous le vrai goût du fait maison.</t>
  </si>
  <si>
    <t>Cultiver et transformer des produits sains et savoureux tout en prenant soin de l'ecosystème.</t>
  </si>
  <si>
    <t>Retrouver mes créations gourmandes chez ENTR2CREA au 3F rue Victor Nativel à l'Entre-Deux.</t>
  </si>
  <si>
    <t>Produits artisanaux , grand espace , vue mer , vue montagne</t>
  </si>
  <si>
    <t>524564ea</t>
  </si>
  <si>
    <t>7ba26bc3</t>
  </si>
  <si>
    <t>Mont Et Nature</t>
  </si>
  <si>
    <t>2 Etoile(s),3 Epi(s)</t>
  </si>
  <si>
    <t>-21.210693, 55.556272</t>
  </si>
  <si>
    <t>idriss.vci@gmail.com</t>
  </si>
  <si>
    <t>0692 81 07 23</t>
  </si>
  <si>
    <t>Un très beau gîte avec sa terrasse privative et son grand jardin clos. Idéal pour une famille, deux chambres la première équipée dans lit double Queen Size et la seconde de deux lits simples. Une buanderie, une cuisine équipée : four, four micro-onde, cafetière, bouilloire, grille-pain, lave-linge et de nombreux appareils électroménagers. Salon cosy et relax TV connectée et WIFI.</t>
  </si>
  <si>
    <t>Idéalement situé au calme de la campagne et aux portes de la montagne et du volcan, Le Tampon est une ville dynamique entre commerces, marchés colorés, festivals traditionnels, culture, sites historiques et touristiques. Un havre de paix dans une ambiance chaleureuse pour vous détendre en toute sérénité</t>
  </si>
  <si>
    <t>Plaine des Cafres chemin Deuveiller les Hauts</t>
  </si>
  <si>
    <t>bureau , chauffage , parking , wifi , climatisation , vue montagne , bibliothéque , salon , micro-ondes , TV , fer et planche à repasser , linge de maison , linge de toilette , douche , frigo , terrasse , salon de jardin , serviettes. , sèche-cheveux , lave linge privatif , jardin clôturé</t>
  </si>
  <si>
    <t>gîte de france,airbnb</t>
  </si>
  <si>
    <t>096833c6</t>
  </si>
  <si>
    <t>77f6ed5b</t>
  </si>
  <si>
    <t>galerie::galerie_Files_/e76d5991.Path.100309.avif</t>
  </si>
  <si>
    <t>CSC715HTM</t>
  </si>
  <si>
    <t>Eric Hoarau</t>
  </si>
  <si>
    <t>Rue Pierre Rivals</t>
  </si>
  <si>
    <t>-21.239168, 55.539886</t>
  </si>
  <si>
    <t>eric.hoarau.ecam@gmail.com</t>
  </si>
  <si>
    <t>0693 52 78 90</t>
  </si>
  <si>
    <t>aaaf7970</t>
  </si>
  <si>
    <t>e8bec578</t>
  </si>
  <si>
    <t>CSC713HTK</t>
  </si>
  <si>
    <t>La cabane céleste &amp; Lovevibes sur la TDS
Mais pb car nous n'avons qu'un seul CERFA ?!</t>
  </si>
  <si>
    <t>Le Ti Récif</t>
  </si>
  <si>
    <t>Impasse Palmiste</t>
  </si>
  <si>
    <t>-21.301711, 55.800317</t>
  </si>
  <si>
    <t>co.gael@gmail.com</t>
  </si>
  <si>
    <t>0692 28 30 07</t>
  </si>
  <si>
    <t>Savourez une authentique cuisine créole au feu de bois au restaurant le Ti Récif, au Tremblet, dans un cadre unique, verdoyant et spacieux.</t>
  </si>
  <si>
    <t>Cuisine créole au feu bois</t>
  </si>
  <si>
    <t>après l'Atelier du Palmiste rouge, en direction de Sainte-Rose via la RN2 le restaurant se trouve sur la gauche</t>
  </si>
  <si>
    <t>cuisine au bois , vue mer , terrasse , parking , ventilateur , grand espace</t>
  </si>
  <si>
    <t>sentier de randonnée,point de vue panoramique,sites touristiques,arrêt bus,forêt</t>
  </si>
  <si>
    <t>Espèces,Carte Bancaire,Tickets restaurant</t>
  </si>
  <si>
    <t>9841ca86</t>
  </si>
  <si>
    <t>1565cf90</t>
  </si>
  <si>
    <t>Nou Dor Ter La</t>
  </si>
  <si>
    <t>-21.244787, 55.479520</t>
  </si>
  <si>
    <t>pascal.tiercelin@laposte.net</t>
  </si>
  <si>
    <t>0693 43 44 26</t>
  </si>
  <si>
    <t>L’hébergement Nou Dor Ter La se trouve à Entre-Deux,  Il propose une connexion Wi-Fi gratuite et un parking privé.
Cet appartement comprend une terrasse, 1 chambre, un salon et une cuisine bien équipée. Une télévision à écran plat est disponible.</t>
  </si>
  <si>
    <t>Ravine citron rue arc en ciel</t>
  </si>
  <si>
    <t>linge de maison , salon , lave linge privatif , salle de bain privée , salon de jardin , linge de toilette , jardin clôturé , plaque de cuisson , vue mer , TV , micro-ondes , wifi , douche , four , terrasse , cuisine équipée , frigo , vue montagne , Cafetière , serviettes.</t>
  </si>
  <si>
    <t>sentier de randonnée,commerce alimentaire,point de vue panoramique,arrêt bus,site - lieu culturel</t>
  </si>
  <si>
    <t>c4e01ab6</t>
  </si>
  <si>
    <t>5eadf3be</t>
  </si>
  <si>
    <t>galerie::galerie_Images/dc7238a0.Path.051544.jpg</t>
  </si>
  <si>
    <t>CSC716HTN</t>
  </si>
  <si>
    <t>-21.376547, 55.597345</t>
  </si>
  <si>
    <t>nass.den@gmail.com</t>
  </si>
  <si>
    <t>0692 31 61 47</t>
  </si>
  <si>
    <t>🏡 Villa à Manapany avec vue mer, grand jardin et piscine à débordement.
🛏️ 3 chambres dont une suite au rez-de-chaussée, 2 à l’étage (1 avec balcon).
🍽️ Cuisine équipée et salon à l’étage.
🌴 Espace extérieur avec transats, coin repas, douche et WC.
🚗 Garage + stationnements intérieurs et extérieurs.</t>
  </si>
  <si>
    <t>La villa est située à Manapany</t>
  </si>
  <si>
    <t>jardin , parking , wifi , grand espace , vue mer , TV , four , linge de maison , salon de jardin , terrasse , cuisine équipée , micro-ondes , jardin clôturé , salon , Cafetière , salle de bain privée , linge de toilette , douche , frigo , serviettes. , plaque de cuisson</t>
  </si>
  <si>
    <t>sentier de randonnée,commerce alimentaire,sentier de grande randonnée,site - lieu culturel,plage,sites touristiques,Centre - Ville,arrêt bus</t>
  </si>
  <si>
    <t>9a9ca0a9</t>
  </si>
  <si>
    <t>b1f88ac7</t>
  </si>
  <si>
    <t>galerie::galerie_Files_/d39559c4.Path.111503.avif</t>
  </si>
  <si>
    <t>CSC207HT@</t>
  </si>
  <si>
    <t>Association Tradition et Passions</t>
  </si>
  <si>
    <t>rue Defaud</t>
  </si>
  <si>
    <t>-21.244707, 55.481211</t>
  </si>
  <si>
    <t>dijoux.jacqueline@orange.fr</t>
  </si>
  <si>
    <t>0692 31 36 53</t>
  </si>
  <si>
    <t>C'est une association intergerationnelle qui oeuvre depuis sa création en faveur du savoir-faire réunionnais et de sa transmission aux générations futures pour la conservation de notre patrimoine que ce soit culinaire, artistiques, culturel et bien d'autres...
Culinaire : Remettre au goût du jour les légumes oubliées, valoriser les recettes d'antan, des grands-mères : pâté créole, gâteau mariage, chemin fer, bonbon miel, colle pistaches, bonbon coco, initier aux nouvelles recettes : choca, vacoa, ti-jacques...
Transformation des produits locaux : fruits (gelées, confitures, sirops) 
légumes (achards, conserves enn bocaux, pickles)</t>
  </si>
  <si>
    <t>matériel pour l'activité , grand espace , Propose des snacks , ateliers , Cuisine de produits frais locaux , repas originaux et traditionnels , Produits artisanaux</t>
  </si>
  <si>
    <t>sentier de randonnée,commerce alimentaire,point de vue panoramique,site - lieu culturel</t>
  </si>
  <si>
    <t>b584e8d1</t>
  </si>
  <si>
    <t>b584e67b</t>
  </si>
  <si>
    <t>Ti Oasis</t>
  </si>
  <si>
    <t>Impasse Francis Payet</t>
  </si>
  <si>
    <t>-21.373278, 55.593394</t>
  </si>
  <si>
    <t>boissayejeanmarc@gmail.com</t>
  </si>
  <si>
    <t>0608 45 09 11</t>
  </si>
  <si>
    <t>Située au rez-de-chaussée de la villa, la partie locative est un meublé de tourisme équivalent T2, comprenant une suite parentale avec un grand lit, une salle de bains et un WC, une pièce de vie/salon, une cuisine extérieure couverte, une terrasse. Le tout d’une surface de 45 m2 environ (60 m2 au sol).
Vous serez accueillis en personne par le propriétaire, qui loge sur place
La capacité d’accueil et de couchage est de 2 personnes.
L’accès à la partie locative est indépendant de l’entrée principale de la villa et se fait par un portail électrique donnant sur un parking pouvant accueillir une voiture.
(Adult only)</t>
  </si>
  <si>
    <t>Bienvenue à Ti Oasis !
Plongez au cœur de ce (ti) écrin de verdure avec son jardin tropical surplombé d'une magnifique piscine à débordement.</t>
  </si>
  <si>
    <t>jardin , parking , wifi , vue mer , Cafetière , cuisine équipée , bibliothéque , salon , four , micro-ondes , TV , fer et planche à repasser , piscine , linge de maison , linge de toilette , douche , frigo , terrasse , salon de jardin , serviettes. , plaque de cuisson , sèche-cheveux , bouilloire , grille-pain , salle de bain , jardin clôturé , canal plus… , jeux , jardin arboré</t>
  </si>
  <si>
    <t>Bassin de Manapany,parking public,point de vue panoramique,site - lieu culturel,sites touristiques,arrêt bus</t>
  </si>
  <si>
    <t>Virement,site internet</t>
  </si>
  <si>
    <t>ac36de57</t>
  </si>
  <si>
    <t>91bba942</t>
  </si>
  <si>
    <t>CSC714HTL</t>
  </si>
  <si>
    <t>Duplex Bellevue</t>
  </si>
  <si>
    <t>24B</t>
  </si>
  <si>
    <t>Chemin des Jamerosas</t>
  </si>
  <si>
    <t>-21.241069, 55.498848</t>
  </si>
  <si>
    <t>jianny.gigan@gmail.com</t>
  </si>
  <si>
    <t>0680 18 28 10</t>
  </si>
  <si>
    <t>Cet appartement propose un balcon et une bouilloire.  
Il possède 2 chambres, un salon, une télévision, une cuisine équipée avec un réfrigérateur et un lave-vaisselle, ainsi que 1 salle de bains avec une douche. Cet hébergement 3 étoiles comprend un parking privé gratuit ainsi qu’une connexion Wi-Fi gratuite dans l’ensemble de ses locaux.</t>
  </si>
  <si>
    <t>L’hébergement Duplex Bellevue - Entre Mer et Montagne - Meublé Classé 3 Etoiles offre une vue sur la montagne</t>
  </si>
  <si>
    <t>Bras de Pontho - Chemin des Jamerosas</t>
  </si>
  <si>
    <t>wifi , vue mer , vue montagne , TV , four , linge de maison , salon de jardin , terrasse , cuisine équipée , micro-ondes , jardin clôturé , salon , Cafetière , salle de bain privée , balcon , barbecue , fer et planche à repasser , ventilateur , linge de toilette , douche , sèche-cheveux , bouilloire , grille-pain , sèche linge privatif</t>
  </si>
  <si>
    <t>sentier de randonnée,commerce alimentaire,point de vue panoramique,sentier de grande randonnée,site - lieu culturel</t>
  </si>
  <si>
    <t>Carte Bancaire,Virement,booking,airbnb</t>
  </si>
  <si>
    <t>50d9f2e5</t>
  </si>
  <si>
    <t>614adb61</t>
  </si>
  <si>
    <t>galerie::galerie_Images/50977598.Path.050155.jpg</t>
  </si>
  <si>
    <t>CSC717HTO</t>
  </si>
  <si>
    <t>Waterfalls Canyoning</t>
  </si>
  <si>
    <t>Chemin des Maquis</t>
  </si>
  <si>
    <t>-21.346543, 55.600934</t>
  </si>
  <si>
    <t>waterfallscanyoning@gmail.com</t>
  </si>
  <si>
    <t>0693 13 36 18</t>
  </si>
  <si>
    <t>Prestations (flyer en pièce jointe) à partir de 2 pax idéalement 4 pax :
SECTEUR LANGEVIN
- Rando aqua de Langevin - 60€/pax
3h de sauts toboggans naturels et tyroliennes très ludique, dans un cadre paradisiaque.
Le classique pour toute la famille (à partir de 8ans)
- Cascade Grand Galet - 90€/pax
Descente de la cascade et ses 90m de hauteur, suivi de la randonnée aquatique de Langevin. Un parcours sportif de 5h, qui allie beauté et sensations. (à partir de 14ans)
BIVOUAC FAMILY - Salazie - Riviere des Fleurs Jaunes (1 à 2 familles)
Partez dans une aventure en famille pour 2 jours de randonnée en rivière, dans un site à couper le souffle, à la recherche des plus belles cascades. Matériel de bivouac et sacs étanches fournis. (à partir de 8ans)
jeux de pistes et fournis de matériels (sac de portage, tente..) sauf le petit déj
EXPERIENCE VIP (2 à 4 pax 270e secteur sud sur Langevin prix pour le Palm)
Profitez d'un moment privilégié avec votre entourage et un guide en exclusivité, sur devis
Comprend :
- transport 
- sécurité
- parcours sur mesure (flexibilité)
- brunch (producteurs locaux)
- apporte le matériel
+ photos</t>
  </si>
  <si>
    <t>Canyoning, rando aquatique, tyroliennes et bivouac à La Réunion.</t>
  </si>
  <si>
    <t>Secteur Langevin</t>
  </si>
  <si>
    <t>tout équipé , visites pédagogiques , équipement sportif , matériel pour l'activité , grand espace</t>
  </si>
  <si>
    <t>sentier de randonnée,parking public,point de vue panoramique,pêche,riviere</t>
  </si>
  <si>
    <t>ad49bc24</t>
  </si>
  <si>
    <t>51714068</t>
  </si>
  <si>
    <t>galerie::galerie_Images/088cb05a.Path.111937.jpg</t>
  </si>
  <si>
    <t>Ti Case Louise</t>
  </si>
  <si>
    <t>-21.374032, 55.594731</t>
  </si>
  <si>
    <t>gaelle.siujeng@gmail.com</t>
  </si>
  <si>
    <t>06 95 21 93 07</t>
  </si>
  <si>
    <t>https://www.caroandconciergerie.com/les-logements-de-la-conciergerie?fbclid=IwY2xjawKqUutleHRuA2FlbQIxMABicmlkETFpTEpMU0FSbUdVYVQxU0FaAR4lP1fj2yN3naJwj9oV3Auc04001JiHxQn5yyhVYyOgi-HwoHtFVefxgHz2Uw_aem_XZnhuxlLmcpx2brPFpHR3g</t>
  </si>
  <si>
    <t>Accueillant jusqu'à 7 personnes (adultes / enfants / bébé)
Le logement
La villa comprend : trois chambres, une cuisine équipée, un salon, un jardin accueillant et une terrasse ensoleillée ainsi qu'une place de parking en intérieur.​
Les draps et les serviettes de toilette sont fournis
Accès des voyageurs
Les voyageurs auront accès à l'intégralité de la villa
Autres remarques
🍾 Fêtes et musiques bruyantes interdites.
🚬 Logement non fumeur
➡️ Arrivée à partir de 16 Heures
➡️ Départ au plus tard à 10 Heures
➡️ Caution de 1.000 € par empreinte bancaire.
Durant votre séjour, Caroline (conciergerie CARO &amp; CO) se rend disponible afin de passer un agréable moment dans le Sud Sauvage.</t>
  </si>
  <si>
    <t>Bienvenue à Ti Case Louise ! Vous serez au cœur du quartier de Manapany, à proximité de l'un des plus beaux bassins de l'île. Vous pourrez également profiter d'autres lieux touristiques sur Saint-Joseph. Maison spacieuse aux influences réunionnaises, marocaines et balinaises, tout ce qu'il vous faut pour passer un séjour mémorable.</t>
  </si>
  <si>
    <t>jardin , espace de restauration en extérieur , mobilier d'extérieur , grille-pain , Cafetière , bouilloire , frigo , micro-ondes , four , cuisine équipée , wifi , Lit parapluie sur demande , fer et planche à repasser , parking , TV , lave linge privatif</t>
  </si>
  <si>
    <t>transports en commun,sentiers de randonnées,littoral,Bassin de Manapany,arrêt bus,Restauration</t>
  </si>
  <si>
    <t>ff8c475b,cc768d2e,ed2da975</t>
  </si>
  <si>
    <t>631bfcd8</t>
  </si>
  <si>
    <t>galerie::galerie_Images/c014db17.Path.110431.jpg</t>
  </si>
  <si>
    <t>CSC718HTP</t>
  </si>
  <si>
    <t>CONCIERGERIE CARO &amp; CO &gt; contrat terminé depuis septembre 2025</t>
  </si>
  <si>
    <t>La Fabrik</t>
  </si>
  <si>
    <t>54 bis</t>
  </si>
  <si>
    <t>Rue Bois de Gaulette</t>
  </si>
  <si>
    <t>-21.276536, 55.547497</t>
  </si>
  <si>
    <t>contact.lafabrik974@gmail.com</t>
  </si>
  <si>
    <t>0693 93 45 18</t>
  </si>
  <si>
    <t>Ce studio est parfait pour une personne seule, ou pour un couple (possibilité d'avoir un enfant de moins de 5 ans). 
Il se compose de :
🏠Une pièce principale spacieuse avec une belle lumière naturelle
🚿Douche et toilettes séparées
💦Jacuzzi privatif sur la terrasse 💖
🛏️ Lit King size (possibilité d'avoir un lit bébé sur demande) + une penderie
Une place de parking sécurisée est disponible.
L'accès au logement se fait par une entrée indépendante</t>
  </si>
  <si>
    <t>Détendez-vous dans ce studio calme, lumineux et confortable, situé au Tampon 📍🏠</t>
  </si>
  <si>
    <t>Au bout de la rue</t>
  </si>
  <si>
    <t>climatisation , jacuzzi , linge de maison , salon , TV , lave linge privatif , micro-ondes , wifi , douche , four , linge de toilette , salle de bain , plaque de cuisson , frigo , parking , Cafetière , dressing</t>
  </si>
  <si>
    <t>Virement,airbnb,booking</t>
  </si>
  <si>
    <t>aedace46</t>
  </si>
  <si>
    <t>ecb12f6e</t>
  </si>
  <si>
    <t>galerie::galerie_Images/e01580b6.Path.042133.jpg</t>
  </si>
  <si>
    <t>Villa Romana</t>
  </si>
  <si>
    <t>Impasse Merle</t>
  </si>
  <si>
    <t>-21.297573, 55.515841</t>
  </si>
  <si>
    <t>villaromana97430@gmail.com</t>
  </si>
  <si>
    <t>0692 60 65 24</t>
  </si>
  <si>
    <t>La villa est composé de :
4 chambres 
3 salles de bains
Cuisine  équipée
Piscine
Sauna 
Jacuzzi 8 places
Plancha...</t>
  </si>
  <si>
    <t>jacuzzi , piscine , parking , barbecue , cuisine équipée , wifi , TV</t>
  </si>
  <si>
    <t>0107dc27</t>
  </si>
  <si>
    <t>fde1f5e6</t>
  </si>
  <si>
    <t>galerie::galerie_Images/1f9de88e.Path.053720.jpg</t>
  </si>
  <si>
    <t>CSC721HTJ</t>
  </si>
  <si>
    <t>Le Rucher du Petit Piton</t>
  </si>
  <si>
    <t>CHEMIN GERMAIN DIJOUX</t>
  </si>
  <si>
    <t>-21.224986, 55.525572</t>
  </si>
  <si>
    <t>guichardmarietatiana@yahoo.fr</t>
  </si>
  <si>
    <t>0692 46 29 90</t>
  </si>
  <si>
    <t>Producteur de miel, mais pas que !
Maraichage, confiture, achard, sirop, pate piment, œufs frais...
Souhaite ouvrir leur exploitation au public, préférable d'appeler avant de passer. 
Pas d'horaire fixe. 
Retrouvez les douceurs concoctées par Tatiana à la boutique « Arts Champs Beaux » du Tampon. 
Possibilité de livraisons dans le Sud uniquement, entre Le Tampon et Saint-Leu.
PRIX : 
- Pains d’épices (2 € les 250 g et 6 € les 450 g).
- Plusieurs variétés de salades (1,50 € le pied) : laitue, rosat...
- Trois sortes de miel (6 € les 250 g) letchi, baies roses, toutes fleurs
- Bonbons miel (3,50 € les 6)</t>
  </si>
  <si>
    <t>Le Rucher du Petit Piton - apiculture et maraîchage</t>
  </si>
  <si>
    <t>Marché et livraison</t>
  </si>
  <si>
    <t>grand espace , vue montagne</t>
  </si>
  <si>
    <t>2ed010c0</t>
  </si>
  <si>
    <t>47f3d5bc</t>
  </si>
  <si>
    <t>galerie::galerie_Images/9cc755cc.Path.102507.jpg</t>
  </si>
  <si>
    <t>c9df1840</t>
  </si>
  <si>
    <t>Sucette péï</t>
  </si>
  <si>
    <t>impasse des Matrecoeurs</t>
  </si>
  <si>
    <t>-21.258053, 55.523239</t>
  </si>
  <si>
    <t>couleursdumonde974@yahoo.com</t>
  </si>
  <si>
    <t>0692 38 43 45</t>
  </si>
  <si>
    <t>https://sucette-evenement-974.fr/</t>
  </si>
  <si>
    <t>Sucette péï propose : 
- des sucettes personnalisés
- bouteille customisées
- des ateliers créatifs
-  impressions de flyers</t>
  </si>
  <si>
    <t>Découvrez les sucettes ou bouteilles personnalisées de Sucette Péi, des produits à votre image ou l’image de votre entreprise !</t>
  </si>
  <si>
    <t>7cde3292</t>
  </si>
  <si>
    <t>f5e4a030</t>
  </si>
  <si>
    <t>0c52f4d6</t>
  </si>
  <si>
    <t>Ti Kaz Fond D'or</t>
  </si>
  <si>
    <t>Rue Jean Bart</t>
  </si>
  <si>
    <t>-21.273521, 55.502763</t>
  </si>
  <si>
    <t>isabelle.mussard@orange.fr</t>
  </si>
  <si>
    <t>0692 70 47 91</t>
  </si>
  <si>
    <t>Ti Kaz Fond D'or est composé de : 
- Une cuisine américaine 
- Jardin 
- Une terrasse vue mer
-  2 chambres l’une avec un lit de 140 l’autre avec un lit de 160
-  lit bébé
- Une place de parking
Logement non fumeur
Fête interdite
Animaux interdit</t>
  </si>
  <si>
    <t>La Chatoire</t>
  </si>
  <si>
    <t>wifi , Lit parapluie sur demande , TV , linge de maison , lave-linge , jardin , parking , vue mer , salon de jardin , salon , barbecue</t>
  </si>
  <si>
    <t>sentier de randonnée,arrêt bus,station service</t>
  </si>
  <si>
    <t>Carte Bancaire,airbnb</t>
  </si>
  <si>
    <t>89cb8030</t>
  </si>
  <si>
    <t>bd3153ec</t>
  </si>
  <si>
    <t>galerie::galerie_Files_/e195c784.Path.045348.avif</t>
  </si>
  <si>
    <t>CSC726HTO</t>
  </si>
  <si>
    <t>0753592a</t>
  </si>
  <si>
    <t>Chez Rodolphe</t>
  </si>
  <si>
    <t>rue Jean Bart</t>
  </si>
  <si>
    <t>-21.274150, 55.502926</t>
  </si>
  <si>
    <t>stephane.noel.baudet@gmail.com</t>
  </si>
  <si>
    <t>0692 86 12 13</t>
  </si>
  <si>
    <t>Le logement chez Rodolphe est composé de : 
- Une cuisine extérieur équipée
- Chambre avec lit double
- Deux lits simples
- Équipements complets pour bébé et service de baby-sitting disponible.
- Matériel de plage et de randonnée à disposition.
- Pack d’accueil offert à l’arrivée.
Pas de frais de ménage, mais propreté demandée.
Des chats vivent sur place : il est recommandé de bien fermer les portes pour éviter qu’ils ne rentrent.</t>
  </si>
  <si>
    <t>Logement indépendant, calme et bien situé, proche de toutes commodités.</t>
  </si>
  <si>
    <t>grille-pain , Cafetière , bouilloire , frigo , micro-ondes , four , wifi , ventilateur , jeux , Lit parapluie sur demande , bibliothéque , TV , fer et planche à repasser , linge de maison , linge de toilette , sèche-cheveux , cuisine équipée , jardin , produits d'hygiène , condiments de base , matériel de plage</t>
  </si>
  <si>
    <t>centre commercial,transports en commun,commerces,Gare routière,arrêt bus,médecin</t>
  </si>
  <si>
    <t>ce37e555</t>
  </si>
  <si>
    <t>407dc916</t>
  </si>
  <si>
    <t>galerie::galerie_Images/9782a503.Path.052633.jpg</t>
  </si>
  <si>
    <t>CSC725HTN</t>
  </si>
  <si>
    <t>2a93f4f3</t>
  </si>
  <si>
    <t>Ti Kaz Dédé</t>
  </si>
  <si>
    <t>Chemin Cafre</t>
  </si>
  <si>
    <t>-21.238329, 55.469535</t>
  </si>
  <si>
    <t>eurlpayetandre@gmail.com</t>
  </si>
  <si>
    <t>0660 24 98 39</t>
  </si>
  <si>
    <t>Cette maison spacieuse, idéale pour 6 voyageurs, séduit par ses 3 chambres , son salon séjour lumineux et sa cuisine équipée. À l’extérieur, un jardin et un coin repas invitent à la détente sous le ciel tropical. Avec son parking privé et son ambiance authentique moderne, ce logement promet des souvenirs enchanteurs, entre douceur de vivre et dépaysement. Un écrin de sérénité pour des vacances inoubliables.</t>
  </si>
  <si>
    <t>Ti Kaz Dédé - Un havre de charme créole</t>
  </si>
  <si>
    <t>Village Entre-Deux vers bras long</t>
  </si>
  <si>
    <t>jardin , parking , wifi , climatisation , vue montagne , Cafetière , bibliothéque , four , micro-ondes , TV , linge de maison , lave vaisselle , linge de toilette , douche , frigo , salle à manger , salon de jardin , serviettes. , sèche-cheveux , bouilloire , grille-pain , lave-linge</t>
  </si>
  <si>
    <t>6ce3fe90,2e4b000c</t>
  </si>
  <si>
    <t>460f8adf</t>
  </si>
  <si>
    <t>galerie::galerie_Images/b53f7fb5.Path.074604.jpg</t>
  </si>
  <si>
    <t>CSC727HTP</t>
  </si>
  <si>
    <t>attention hébergement géré par la CONCIERGERIE BNB CONCIERGERIE</t>
  </si>
  <si>
    <t>644abebe</t>
  </si>
  <si>
    <t>La Caze à Manoue by Résiste</t>
  </si>
  <si>
    <t>Impasses des Passiflores</t>
  </si>
  <si>
    <t>-21.232212, 55.501185</t>
  </si>
  <si>
    <t>sasha.latchoumanin@gmail.com</t>
  </si>
  <si>
    <t>0619 25 66 34</t>
  </si>
  <si>
    <t xml:space="preserve"> la-caze-a-manou-by-resiste.com</t>
  </si>
  <si>
    <t>🍩 Bon mangé bien mangé
🍁 Pâtisseries à base de sucre non raffiné
L'idée est de pouvoir proposer des produits en leur montrant les bienfaits sur l'organisme avec de a bonne farine et des super aliments. Evidemment "testé et approuvé" car les résultats sur le corps ont été probants. 
La gamme de pâtisserie proposé est sans sucre raffiné ajouté (indice glycémique bas), aussi sans gluten et végan. C'est une sensibilisation contre le sucre et apprendre ce que c'est que les sucres naturels BRUTS et comment les consommer ? Offrir la possibilité dès, tout petits en passant par les diabétiques, personnes malades, agées, sportifs et désireuses de savoir ce qu'elles mangent.
Commande 48h avant</t>
  </si>
  <si>
    <t>La Caze à Manoue by Résiste 🧁- pâtisserie éco-responsable</t>
  </si>
  <si>
    <t>La retrouver sur les marchés (st leu samedi, cilaos dimanche + st jo le vendredi et tampon samedi = en attente de réponse)
Projet de truck</t>
  </si>
  <si>
    <t>boulangerie-pâtisserie</t>
  </si>
  <si>
    <t>5b2ee392</t>
  </si>
  <si>
    <t>f2c04d9b</t>
  </si>
  <si>
    <t>galerie::galerie_Images/aa83de8e.Path.052942.jpg</t>
  </si>
  <si>
    <t>Sabrin'Art</t>
  </si>
  <si>
    <t>Impasse des Chandelles</t>
  </si>
  <si>
    <t>-21.223096, 55.537408</t>
  </si>
  <si>
    <t>sabal974@outlook.fr</t>
  </si>
  <si>
    <t>0692 08 39 45</t>
  </si>
  <si>
    <t>Intervenante ateliers créatifs : martelage de plante sur tissus, sel coloré en pot, peinture sur vanne, cadre bâtonnet, poterie
Prix produits : 
marque page 3,80
sous verre 3,50
liège 2,80
Atelier 12€-24€ en fonction du type d'atelier (12 à 30 pax)
- Peinture sur divers supports/pointillisme
- Serviettage sur divers supports 
-Papier mâché coloré
- Poteries et modelage
- Mosaïque sur divers support</t>
  </si>
  <si>
    <t>Créatrice gravure sur bois, ardoise, carrelage, cuir… Personnalisez votre texte. Ile de la Réunion.</t>
  </si>
  <si>
    <t>Vends ses produits au Vieux Domaine, Cité du Volcan</t>
  </si>
  <si>
    <t>5406b6e6</t>
  </si>
  <si>
    <t>265496bd</t>
  </si>
  <si>
    <t>galerie::galerie_Images/7fae8384.Path.042252.jpg</t>
  </si>
  <si>
    <t>828017bf</t>
  </si>
  <si>
    <t>KREOL TOURS REUNION</t>
  </si>
  <si>
    <t>Allée des Verveines</t>
  </si>
  <si>
    <t>sud sauvage</t>
  </si>
  <si>
    <t>-21.33853458704427, 55.560267167558834</t>
  </si>
  <si>
    <t>contact@kreol-tours-reunion.com</t>
  </si>
  <si>
    <t>0692 04 90 15</t>
  </si>
  <si>
    <t>https://www.kreol-tours-reunion.com/</t>
  </si>
  <si>
    <t>Le départ et le programme sont modifiables selon le lieu de prise en charge.
Journée en privatif (589€) : un luxe indéniable pour visiter l’île
Voyagez à votre rythme ! Vous visiterez en toute tranquillité avec un chauffeur-Guide privé et un véhicule rien que pour vous, jusqu’à 4 personnes
Journée en groupe (169€/pers.) : un luxe accessible pour visiter l’île
Vous partagerez le véhicule, par exemple avec un autre couple ou une personne avec un enfant, et respecterez les horaires pour les visites.
- SUD SAUVAGE| PICNIC « La nature à l’état brut »
Le Sud Sauvage est connu pour son côté préservé et authentique avec ses villages créoles.
🕖 Départ à 7h00 (heure et lieu modulables)
🌴 Au programme :
• Grand Anse (Petite-Île)
• Cascades de Langevin (Saint-Joseph)
• Exploitation bio (Saint-Joseph)
• Sentier des pêcheurs (Saint-Philippe)
• Route des laves et coulée de 2007 (Sainte-Rose)
🥗 Collation incluse
🍽️ Déjeuner créole raffiné en pleine nature
🍦 Option : visite d'une vanilleraie (en supplément)
🕓 Retour vers 16h30 (horaire variable selon la circulation et le lieu de départ)
- VOLCAN | PICNIC « La montagne de feu »
Culminant à 2632 mètres d’altitude, il offre aux visiteurs un dépaysement assuré avec ses paysages lunaires.
🕖 Départ à 7h00 (heure et lieu modulables)
🌋 Au programme :
• Domaine agricole (Plaine des Cafres, Le Tampon)
• Nez de Bœuf et rivière des Remparts (Plaine des Cafres)
• Cratère Commerson et Plaine des Sables (Plaine des Cafres)
• Pas de Bellecombe Jacob avec vue sur le Piton de la Fournaise (Volcan, Sainte-Rose)
🥗 Collation incluse
🍽️ Déjeuner créole raffiné en pleine nature
🏛️ Option : visite de la Cité du Volcan (en supplément)
🗺️ Alternative : lieux secrets des Hauts ou littoral Sud-Ouest
🕔 Retour vers 16h30 – 17h00 (variable selon la circulation et le lieu de départ)
Accueil possible uniquement pour personnes autonomes:
Personnes autonomes, avec ou sans canne : maximum 2 personnes
Personnes autonomes utilisant un déambulateur pliable et léger : maximum 2 personnes.
Pas adapté aux fauteuils roulants ni personne présentant un handicap moteur nécessitant une assistance permanente</t>
  </si>
  <si>
    <t>KREOL TOURS REUNION 
Explorez La Réunion autrement : visites privées avec guide local, sites emblématiques, secrets bien gardés et délices créoles au menu. 100% péi</t>
  </si>
  <si>
    <t>Prise en charge dans la zone OUEST ou SUD. Autres zones sur devis : contact@kreol-tours-reunion.com</t>
  </si>
  <si>
    <t>matériel pour l'activité , matériel de plage , visites pédagogiques , visites guidées , Cuisine de produits frais locaux , repas originaux et traditionnels , vtc</t>
  </si>
  <si>
    <t>sentier de randonnée,commerce alimentaire,point de vue panoramique,sites touristiques,arrêt bus,station service,sentiers de randonnées,commerces,site - lieu culturel</t>
  </si>
  <si>
    <t>Virement,site internet,Carte Bancaire</t>
  </si>
  <si>
    <t>25c284ff</t>
  </si>
  <si>
    <t>6dd3f0c8</t>
  </si>
  <si>
    <t>galerie::galerie_Images/939c194b.Path.045703.png</t>
  </si>
  <si>
    <t>NE PAS FAIRE DE COMMUNICATION = HORS TERRITOIRIE</t>
  </si>
  <si>
    <t>9fea8c0e</t>
  </si>
  <si>
    <t>Insel Tours</t>
  </si>
  <si>
    <t>147</t>
  </si>
  <si>
    <t>-21.276849, 55.510933</t>
  </si>
  <si>
    <t>insel.tours974@gmail.com</t>
  </si>
  <si>
    <t>0692 65 97 54</t>
  </si>
  <si>
    <t>Je propose des visites de l'île aux touristes germanophones à partir de 5 personnes et jusqu'à maximum 20 personnes, pour garder une proximité avec chaque client. Je connais parfaitement l'île et les attendus des touristes germanophones. J'habite à La Réunion depuis 30 ans et je suis au contact des touristes depuis plusieurs années.
Je suis accompagnateur touristique et je loue des bus avec chauffeur avec mon partenaire Mooland.
Je propose un tour de l'île ou des visites thématiques. Possibilité de récupérer les touristes dans leurs hôtel et durée moyenne d'une sortie 6 heures.
Prestation comprend un repas créole + Boisson, bouteille d'eau et bouteille coca par personne.
Traducteur</t>
  </si>
  <si>
    <t>Thomas SCHULZE - Accompagnateur touristique germanophone 🇩🇪
Deutschsprachiger Reisebegleiter</t>
  </si>
  <si>
    <t>visites pédagogiques , visites guidées</t>
  </si>
  <si>
    <t>cd39ef40</t>
  </si>
  <si>
    <t>fe16a52b</t>
  </si>
  <si>
    <t>galerie::galerie_Images/d5168a0c.Path.074643.jpg</t>
  </si>
  <si>
    <t>Infos supplémentaire en allemand dans la galerie !</t>
  </si>
  <si>
    <t>b2b00f8b</t>
  </si>
  <si>
    <t>Gîte Le Dahlia - Hydrangea</t>
  </si>
  <si>
    <t>2 Etoile(s),2 Epi(s)</t>
  </si>
  <si>
    <t>261 A</t>
  </si>
  <si>
    <t>RUE MAURICE KRAFFT</t>
  </si>
  <si>
    <t>-21.198752, 55.576030</t>
  </si>
  <si>
    <t>06 92 47 31 00</t>
  </si>
  <si>
    <t>Le Gîte Le Dahlia est un charmant studio pour deux personnes sur une propriété de plus de 6000m2 avec jardin arboré et basse-cour au pied du studio.
Hébergement est entièrement équipé (cuisine, terrasse, salle de bains privative) pour un séjour en toute autonomie.
Idéal pour une escapade en couple.</t>
  </si>
  <si>
    <t>Plaines des Cafres</t>
  </si>
  <si>
    <t>linge de maison , frigo , kitchenette équipée , équipement bébé , micro-ondes</t>
  </si>
  <si>
    <t>transports en commun,restaurants,pharmacie,médecin,commerces</t>
  </si>
  <si>
    <t>booking,airbnb,gîte de france</t>
  </si>
  <si>
    <t>9a44c4a8</t>
  </si>
  <si>
    <t>galerie::galerie_Images/0f5ca79d.Path.112732.jpg</t>
  </si>
  <si>
    <t>dea8c68c</t>
  </si>
  <si>
    <t>Gîte Le Prunier - Hydrangea</t>
  </si>
  <si>
    <t>261 B</t>
  </si>
  <si>
    <t>Rue Maurice Krafft</t>
  </si>
  <si>
    <t>parking , équipement bébé , kitchenette équipée , barbecue , linge de maison , frigo , micro-ondes</t>
  </si>
  <si>
    <t>97d5918b</t>
  </si>
  <si>
    <t>galerie::galerie_Images/65b6fc86.Path.113633.jpg</t>
  </si>
  <si>
    <t>fda49707</t>
  </si>
  <si>
    <t>Gîte Hydrangea 974</t>
  </si>
  <si>
    <t>Maurice Krafft</t>
  </si>
  <si>
    <t>0692 47 31 00</t>
  </si>
  <si>
    <t>L’Hydrangea est un gîte de groupe chaleureux pouvant accueillir jusqu’à 14 personnes.
Le gîte propose jardin, terrasse, cuisine commune, Wi-Fi et parking gratuits. Les hébergements disposent d’une salle de bains partagée. Un petit-déjeuner végétarien/végétalien buffet est servi sur place.</t>
  </si>
  <si>
    <t>linge de maison , lave-linge , parking , frigo , four , micro-ondes , terrasse , buanderie , cuisine , chambre double , wifi gratuit , WC , salle de bain , jardin , sèche-cheveux</t>
  </si>
  <si>
    <t>forêt,cité du volcan,restaurants,randonnées</t>
  </si>
  <si>
    <t>5e33e1a4</t>
  </si>
  <si>
    <t>galerie::galerie_Images/32ec46cf.Path.102328.jpg</t>
  </si>
  <si>
    <t>88d1f2e1</t>
  </si>
  <si>
    <t>Chalet Papang</t>
  </si>
  <si>
    <t>Rue Amelie Lebon</t>
  </si>
  <si>
    <t>-21.343552, 55.630336</t>
  </si>
  <si>
    <t>mrh-nicolas@hotmail.fr</t>
  </si>
  <si>
    <t>0693 01 84 67</t>
  </si>
  <si>
    <t>idéalement situés, venez découvrir la chaleur et l'esprit des hauts dans l'un de nos 2 chalets lors de votre séjour dans le sud sauvage.</t>
  </si>
  <si>
    <t>terrain petangue , jardin , terrasse , salon , jacuzzi , salle à manger , salle de bain</t>
  </si>
  <si>
    <t>poste - boite aux lettres,arrêt bus,commerce de proximité…</t>
  </si>
  <si>
    <t>7afb1fcd</t>
  </si>
  <si>
    <t>7d958938</t>
  </si>
  <si>
    <t>galerie::galerie_Images/6420e1b1.Path.054431.jpg</t>
  </si>
  <si>
    <t>CSC734HTN</t>
  </si>
  <si>
    <t>59c9b4b0</t>
  </si>
  <si>
    <t>Chalet Payanké</t>
  </si>
  <si>
    <t>-21.343680, 55.630281</t>
  </si>
  <si>
    <t>lebonv@hotmail.fr</t>
  </si>
  <si>
    <t>0641 13 97 80</t>
  </si>
  <si>
    <t>Découvrez la chaleur et l'esprit des hauts dans l'un de nos 2 chalets lors de votre séjour au cœur du sud sauvage. Pensés pour accueillir jusqu’à 4 personnes.
Chaque chalet dispose de tout le nécessaire. Profitez d’un jardin privatif, ainsi que d’équipements extérieurs tels qu’un jacuzzi et un terrain de pétanque.
À proximité, vous trouverez toutes les commodités essentielles pour votre.</t>
  </si>
  <si>
    <t>Les Chalets du Morne - Chalet Payanké</t>
  </si>
  <si>
    <t>Depuis Saint-Pierre, prenez la RN2 en direction de Saint-Joseph. Une fois arrivé à Saint-Joseph, continuez vers le centre-ville, puis suivez les panneaux vers Jean-Petit. Poursuivez sur la route de Jean-Petit sur quelques kilomètres.</t>
  </si>
  <si>
    <t>linge de maison , bouilloire , Cafetière , grille-pain , brasero , jardin , wifi , salon , barbecue , four , TV , jacuzzi , frigo , terrasse , salle à manger , salon de jardin , serviettes. , salle de bain , terrain petangue</t>
  </si>
  <si>
    <t>jardin,banque - guichet automatique,sentier de randonnée,site - lieu culturel,arrêt bus,pharmacie,médecin,commerce de proximité…</t>
  </si>
  <si>
    <t>7209cf24</t>
  </si>
  <si>
    <t>0816b068</t>
  </si>
  <si>
    <t>galerie::galerie_Images/8a443310.Path.060533.jpg</t>
  </si>
  <si>
    <t>CSC733HTM</t>
  </si>
  <si>
    <t>516604dd</t>
  </si>
  <si>
    <t>LocaDébo 4x4</t>
  </si>
  <si>
    <t>rue le Bord</t>
  </si>
  <si>
    <t>-21.243611, 55.473733</t>
  </si>
  <si>
    <t>locadebo4x4@gmail.com</t>
  </si>
  <si>
    <t>0692 54 53 12</t>
  </si>
  <si>
    <t>Location de 4x4 tout-terrain : véhicules récents, entretenus et prêts à l’aventure.
Assurance &amp; assistance incluses pour une tranquillité d’esprit totale.
Kilométrage illimité, pour explorer l’île sans contrainte.
Tarifs dégressifs adaptés aux besoins (demi-journées, journée, week-end.. ).
Pour qui ?
Les voyageurs souhaitant découvrir les sites incontournables de La Réunion : cirques (Mafate, Cilaos, Salazie), plages et Hauts de l’île.
Les amateurs de plein air pour des week-ends camping ou randonnées.
Les familles et groupes d’amis pour des sorties conviviales et inoubliables.
Les particuliers ayant besoin d’un véhicule robuste pour un déménagement ou le transport de matériel.
Avec LocaDébo,c’est la garantie de vivre l’aventure réunionnaise autrement, en toute liberté, au volant d’un véhicule fiable et taillé pour l’île.
Mon objectif est d’offrir à mes clients une expérience qualitative, authentique, confortable… adaptée à leurs besoins, en mettant l’accent sur la sécurité, le confort, la découverte locale, la flexibilité. Je propose également services complémentaires afin de garantir une expérience complète et mémorable.</t>
  </si>
  <si>
    <t>Je propose la location de 4x4 double cabine à La Réunion. Je propose des véhicules robustes, confortables et parfaitement adaptés aux routes et aux pistes de l’île, pour permettre à mes clients de vivre une expérience unique en toute liberté.</t>
  </si>
  <si>
    <t>cd50aada</t>
  </si>
  <si>
    <t>8632ae0a</t>
  </si>
  <si>
    <t>galerie::galerie_Images/feef6545.Path.065606.jpg</t>
  </si>
  <si>
    <t>712d54fa</t>
  </si>
  <si>
    <t>Des Racines et des Brèdes</t>
  </si>
  <si>
    <t>51</t>
  </si>
  <si>
    <t>-21.242986, 55.470881</t>
  </si>
  <si>
    <t>desracinesetdesbredes@gmail.com</t>
  </si>
  <si>
    <t>0692 34 15 47</t>
  </si>
  <si>
    <t>Service Traiteur :
Cuisine au feu de bois cuisine et livré dans des conteneurs chauds.
Produits la cour ou de proximité
Produits de saison
Dans la pure tradition créole
Boissons locales (Infusions)
Animation d’atelier :
Découverte des racines et des brèdes pays
Cuisine traditionnelle
Transformation de produits locaux en :
• Confitures
• Achards
• Pâtes de piments et autres
Epices locaux : Curcuma, La rouroute, Farines...</t>
  </si>
  <si>
    <t>Nous vous proposons un service traiteur à la carte ; Cuisine au feu de bois ; Des produits de saison ; Dans la pure tradition créole.</t>
  </si>
  <si>
    <t>cc1ae872</t>
  </si>
  <si>
    <t>74f67d42</t>
  </si>
  <si>
    <t>galerie::galerie_Images/39e668b9.Path.044710.jpg</t>
  </si>
  <si>
    <t>f373d39c</t>
  </si>
  <si>
    <t>Joseph Henri Hoarau</t>
  </si>
  <si>
    <t>163</t>
  </si>
  <si>
    <t>-21.277138, 55.543122</t>
  </si>
  <si>
    <t>museejhoareau@gmail.com</t>
  </si>
  <si>
    <t>06 92 68 86 61</t>
  </si>
  <si>
    <t>l est situé sur la commune du Tampon principalement au Petit Tampon. 
recherche, réfection et mise en valeur des objets d'art et de tradition populaire du patrimoine historique de la Réunion
Le Musée présente des objets lontan et agricole comme:
Roue de charrette
Râpe de manioc
Filtre à essence de vétiver
machine à alcool marron...
Il à était inauguré le 29 aout 1992 .</t>
  </si>
  <si>
    <t>Musée est Joseph Henri Hoarau dit "Beco" anciennement "Musée du village du petit tampon"</t>
  </si>
  <si>
    <t>adefce0e</t>
  </si>
  <si>
    <t>77bc267e</t>
  </si>
  <si>
    <t>galerie::galerie_Images/a0412a5d.Path.060027.jpg</t>
  </si>
  <si>
    <t>c58d3d10</t>
  </si>
  <si>
    <t>La Tit'Kaz Bégonia</t>
  </si>
  <si>
    <t>Rue des Bégonias</t>
  </si>
  <si>
    <t>-21.361427, 55.770063</t>
  </si>
  <si>
    <t>kock2000@hotmail.fr</t>
  </si>
  <si>
    <t>0611 44 02 86</t>
  </si>
  <si>
    <t>Maison familiale prévue idéalement pour une famille de 4 à 5 personnes dispose d’une cuisine équipée, d’une belle terrasse avec vue sur montagne et de 2 chambres doubles avec rangements et ventilateurs.
Un canapé lit convertible pouvant accueillir une 5ème personne est également disponible (sur demande).
A l’extérieur, la maison dispose d'un espace détente avec fauteuils et hamacs ainsi qu'un barbecue pour profiter du jardin et déjeuner à l'extérieur.
Conditions de réservation :
- 2 nuits minimum
- Dépôt de garantie de 1000€ par pré autorisation bancaire
- Fêtes interdites</t>
  </si>
  <si>
    <t>Séjournez dans cette charmante maison avec vue sur les montagnes située dans un quartier calme de Saint-Philippe.</t>
  </si>
  <si>
    <t>Depuis Saint-Pierre, prendre la route nationale N2 en direction de Saint-Philippe. Une fois arrivé dans le centre-ville, tournez à droite sur la rue de la Marine, juste après la station-service. Continuez tout droit jusqu'au gymnase, puis poursuivez sur la rue du Collège. Suivez ensuite la direction de la Ferme Équestre du Sud Sauvage. La Cité des Bégonia se trouvera sur votre droite.</t>
  </si>
  <si>
    <t>jardin , parking , wifi , Cafetière , cuisine équipée , salon , barbecue , four , micro-ondes , TV , Lit parapluie sur demande , ventilateur , linge de maison , linge de toilette , douche , frigo , terrasse , salon de jardin , serviettes. , sèche-cheveux , grille-pain , baignoire , lave-linge , lit parapluie</t>
  </si>
  <si>
    <t>Restauration,station service,commerces,piscine municipale</t>
  </si>
  <si>
    <t>booking,airbnb,Abritel,gîte de france</t>
  </si>
  <si>
    <t>636d94bc</t>
  </si>
  <si>
    <t>10a8d46a</t>
  </si>
  <si>
    <t>galerie::galerie_Images/22c2a437.Path.071315.jpg</t>
  </si>
  <si>
    <t>595AE0BA7C</t>
  </si>
  <si>
    <t>Association Entre-Deux Culture et Traditions</t>
  </si>
  <si>
    <t>-21.250456, 55.469444</t>
  </si>
  <si>
    <t>0692 64 39 64</t>
  </si>
  <si>
    <t>Partenariat avec des intervenants locaux pour la mise en valeur des richesses du patrimoine et terroir sous toutes ses formes, particulièrement du village de l'Entre-Deux 
- écotourisme
- développement durable
- organisation de randonnées à thème
- animations artisanales, culturelles et artistiques
- mise en valeur du patrimoine historique du village 
- découverte et partage du patrimoine des iles voisines (histoire, culture, évolution similaire à la nôtre)
L'association n'est pas ouverte en permanence, en fonction des activités u réunion mais il reste joignable à tous moments
Propose diverses activités tout au long de l'année (fête des amoureux, fête du patrimoine, semaine créole..), met en place des activités de cuisine afin de mettre en valeur la cuisine créole
(ont un accès PMR)</t>
  </si>
  <si>
    <t>Association Entre-Deux Culture et Traditions - AECDT</t>
  </si>
  <si>
    <t>bancs , table</t>
  </si>
  <si>
    <t>a19d75e3</t>
  </si>
  <si>
    <t>Dalon La Kour</t>
  </si>
  <si>
    <t>chemin</t>
  </si>
  <si>
    <t>-21.279725, 55.503104</t>
  </si>
  <si>
    <t>dalonlakourinfo@gmail.com</t>
  </si>
  <si>
    <t>0693 65 88 31</t>
  </si>
  <si>
    <t>https://www.dalonlakour.com/</t>
  </si>
  <si>
    <t>Cédric vous partage un peu de son territoire et vous en montrer le meilleur.
Il partage avec vous l'histoire de la Réunion, sa gastronomie et ses traditions.
Voyager dans une nouvelle région peut être parfois stressante. C'est pourquoi Cédric est là pour vous fournir des offres exclusives, des entrées parfois incluent et des astuces pour que vous puissiez profiter pleinement de votre séjour.
Des visites déjà toute prête pour vous, mais si vous souhaitez en faire sur mesure et découvrir des lieux incontournables, n'hésitez pas à le contacter pour le réaliser ensemble.</t>
  </si>
  <si>
    <t>Dalon La Kour - Guide lokal</t>
  </si>
  <si>
    <t>Se déplace sur toute l'île</t>
  </si>
  <si>
    <t>visites pédagogiques , visites guidées , circuit touristique</t>
  </si>
  <si>
    <t>sentier de randonnée,parking public,point de vue panoramique,sentier de grande randonnée,route du volcan</t>
  </si>
  <si>
    <t>eb7ace44</t>
  </si>
  <si>
    <t>0b546692</t>
  </si>
  <si>
    <t>galerie::galerie_Images/b2aed771.Path.115843.jpg</t>
  </si>
  <si>
    <t>e2a3dddd</t>
  </si>
  <si>
    <t>Tantine Zaza</t>
  </si>
  <si>
    <t>Jus de fruits frais</t>
  </si>
  <si>
    <t>Rue Trovalet</t>
  </si>
  <si>
    <t>-21.367138, 55.607748</t>
  </si>
  <si>
    <t>elsafontaine974@gmail.com</t>
  </si>
  <si>
    <t>0692 59 47 28</t>
  </si>
  <si>
    <t>Boissons artisanales locales 
Issue d'une petite entreprise agricole familiale cultivant les arbes fruitiers (letchi, longani, pitaya, passion et corossol), Tantine Zaza assure la revalorisation des fruits en cocktails d'exception !
"La production témoigne des valeurs qui me sont chères : le respect de l'environnement, le circuit court, le zéro gaspillage et des produits de qualité (forte teneur en fruit, peu voire sans sucre ajouté, préservation des propriétés grâce à une extraction à froid et une conservation au fris immédiate")
* Les parfums sont susceptibles d'évoluer en fonction des stocks et des saisons. 
Le goût du local, pour sublimer tous vos événements ! Une expérience naturelle et rafraîchissante , tout en soutenant les producteurs locaux !
Tarif en fonction du nombre de personnes, de la durée de prestations souhaitées et du lieu
♻️ Favorise le circuit court 
👉Agriculture raisonnée et engagée et certifié Global Gap (letchi)
👉Gobelets en cartons recyclés</t>
  </si>
  <si>
    <t>Tantine Zaza - Fabricante de jus de fruits artisanaux</t>
  </si>
  <si>
    <t>Saint-Joseph mais se déplace</t>
  </si>
  <si>
    <t>matériel pour l'activité , jus frais</t>
  </si>
  <si>
    <t>sentier de randonnée,commerce alimentaire,parking public,centre commercial</t>
  </si>
  <si>
    <t>385debdc</t>
  </si>
  <si>
    <t>b2eb7fa0</t>
  </si>
  <si>
    <t>galerie::galerie_Images/a9e3644c.Path.075208.jpg</t>
  </si>
  <si>
    <t>38bee07f</t>
  </si>
  <si>
    <t>La Maison Couleur Volcan</t>
  </si>
  <si>
    <t>40A</t>
  </si>
  <si>
    <t>chemin Notre Dame de La Paix</t>
  </si>
  <si>
    <t>-21.226173, 55.572865</t>
  </si>
  <si>
    <t>maisoncouleurvolcan2@gmail.com</t>
  </si>
  <si>
    <t>0692 00 87 91</t>
  </si>
  <si>
    <t>Notre gîte, situé à la Petite Ferme dans les hauteurs du Tampon, dispose de quatre chambres d’hôtes adaptées à toutes les configurations : voyageur solo, couple, famille ou groupe jusqu'à 5 personnes par chambre. Vous profiterez d'une literie de qualité, du linge fourni (draps, serviettes) et d'une propreté impeccable.
Services inclus pour votre confort :
→ jeux de sociétés et de plein air, livres, documentation touristique
 → Petit-déjeuner local et généreux (7h à 9h)
 → Parking gratuit à proximité
 → Salon commun avec télévision et wifi gratuite
 → Conseils personnalisés sur les activités à faire à La Réunion</t>
  </si>
  <si>
    <t>La Maison Couleur Volcan - Un havre de paix au cœur de La Réunion</t>
  </si>
  <si>
    <t>chauffage , jardin , parking , wifi , grand espace , vue mer , vue montagne , cuisine équipée , bibliothéque , salon , espace de restauration , linge de maison , linge de toilette , douche , salon de jardin , serviettes. , sèche-cheveux</t>
  </si>
  <si>
    <t>équitation,parking public,point de vue panoramique,sentier de grande randonnée,site - lieu culturel,forêt</t>
  </si>
  <si>
    <t>espagnol,italien,anglais,français</t>
  </si>
  <si>
    <t>02efac38</t>
  </si>
  <si>
    <t>c54ba8c1</t>
  </si>
  <si>
    <t>galerie::galerie_Images/b0a31543.Path.065747.jpg</t>
  </si>
  <si>
    <t>&gt; horaires flexibles selon saison et disponibilité
&gt; pour les tarifs groupe et une seule personne voir avec le prestataire</t>
  </si>
  <si>
    <t>9a8f7c6d</t>
  </si>
  <si>
    <t>Casa Trattoria 23</t>
  </si>
  <si>
    <t>-21.226185, 55.572859</t>
  </si>
  <si>
    <t>La Maison Couleur Volcan vous invite à sa table d'hôte pour une expérience gustative authentique, entre terroir créole et inspiration italienne. Nos plats sont cuisinés sur place avec des produits locaux,  dans un esprit de partage et de convivialité.
La Table est disponible 7j/7 à la clientèle de la Chambre
⚠️Le restaurant pour les personnes extérieurs (voir horaires et jours d'ouverture)
Un menu qui allie tradition et originalité
Vous y trouverez :
- Des classiques créoles : rougail saucisse, cari, poulet boucané
- Nos incontournables lasagnes : bœuf, poulet combava, végétariennes safran pei, aux saveurs adaptées au goût réunionnais
- Des desserts maison : tiramisu au rhum ou café-vanille, panna cotta, gâteau chocolat, tarte aux fruits de saison
- Boissons locales, bières, apéritifs et vins sélectionnés</t>
  </si>
  <si>
    <t>Une cuisine maison aux saveurs réunionnaises et italiennes</t>
  </si>
  <si>
    <t>Plaine des Cafres, Petite-ferme</t>
  </si>
  <si>
    <t>repas originaux et traditionnels , repas du soir sur réservation , espace de restauration , restauration , espace de restauration en extérieur , sur réservation</t>
  </si>
  <si>
    <t>sentier de randonnée,parking public,point de vue panoramique,station service,Maison du Volcan</t>
  </si>
  <si>
    <t>français,anglais,italien,espagnol</t>
  </si>
  <si>
    <t>0b9f3b32</t>
  </si>
  <si>
    <t>galerie::galerie_Images/7eefd02d.Path.065952.jpg</t>
  </si>
  <si>
    <t>ouverture possible en dehors des jours mentionnés sur réservation à partir de 8 personnes
formule à 25 euros par personne plat dessert boisson</t>
  </si>
  <si>
    <t>5E9276CCD3</t>
  </si>
  <si>
    <t>Alexandre DIJOUX - Guide Conférencier</t>
  </si>
  <si>
    <t>Chemin de l'Equerre</t>
  </si>
  <si>
    <t>-21.265828, 55.464337</t>
  </si>
  <si>
    <t>0693 05 15 15</t>
  </si>
  <si>
    <t>Alexandre propose une visite guidée du village de l'Entre-Deux 
📍RDV devant la Kaz Tourist'
Le tarif est de 10 € par personne pour une durée de 1h30
"Suivre mes pas c'est s'accorder un moment pour découvrir un panorama sur plus de 3 siècles d'évolution architecturale à la Réunion et découvrir le peuplement du village créole de l'Entre-Deux"
Guide conférencier depuis 2005, le yab qui parle en lu vous racontera tout sa que la arriver depuis l'ère des pionniers à la civilisation de la varangue de la hutte à la case en bois où l'âme créole vibre dans cet écrin majestueux au pied du massif du Dimitile. 
Après cette visite seriez vous prompt à vous demander : "aurais-je découvert avec Alexandre le plus beau village de la Réunion?"
- "Le pavé est  lancé dans la Mare et on s y donne rendez vous."
- "C' est le nom du centre ville ! "
- " Pavé ? "
- " Non ôté ! La Mare"
Il y avait plusieurs mares poissonneuses au temps des noirs marrons mais elles ont été asséchées par contre le gosier d Alexandre lui non; alors arrive à zot !</t>
  </si>
  <si>
    <t>Alexandre DIJOUX - Guide conférencier - Café Habitation</t>
  </si>
  <si>
    <t>RDV devant l'office de tourisme de l'Entre-Deux</t>
  </si>
  <si>
    <t>matériel pour l'activité , visites pédagogiques , visites guidées</t>
  </si>
  <si>
    <t>commerce alimentaire,point de vue panoramique,sentier de grande randonnée,site - lieu culturel,sites touristiques,office de tourisme</t>
  </si>
  <si>
    <t>c2322881</t>
  </si>
  <si>
    <t>galerie::galerie_Images/23b39e68.Path.115108.jpg</t>
  </si>
  <si>
    <t>50a9f771</t>
  </si>
  <si>
    <t>L'Enclos du Volcan</t>
  </si>
  <si>
    <t>Chemin Bois Joly Potier</t>
  </si>
  <si>
    <t>-21.202997, 55.577156</t>
  </si>
  <si>
    <t>anna.boyer@hotmail.fr</t>
  </si>
  <si>
    <t>0693 02 46 24</t>
  </si>
  <si>
    <t>https://lenclosduvolcan.fr/</t>
  </si>
  <si>
    <t>L'établissement " L'enclos du Volcan" a ouvert ses portes en septembre 2024. Il s'agit d'une maison des années 1930 qui a été totalement rénovée. Chaque chambre possède un accès indépendant. 
L'établissement est composé de : 
- 2 chambres doubles standards avec terrasse privative (Piton Dugain et Darid)
- 2 chambres doubles deluxes avec jacuzzi privatif (Piton Desforges)
La chambre standard est à 90€
La chambre deluxe (avec jacuzzi) à 150€
Le petit déj est en supplément à 10€/personnes
Toutes nos chambres sont équipées de salles de bains privatives, penderies mais aussi de téléviseurs , chauffages et plateaux bouilloires . Vous trouverez également dans chaque chambre des bouteilles d'eau.</t>
  </si>
  <si>
    <t>L'Enclos du Volcan - Chambres d'hôtes sur la route du volcan</t>
  </si>
  <si>
    <t>A proximité de la Maison du Volcan, rue Bois Joly Potier</t>
  </si>
  <si>
    <t>douche , chambre double , salon de jardin , terrasse , jardin , lave-linge , chauffage , wifi , TV , linge de maison , jacuzzi , linge de toilette , frigo , serviettes. , bouilloire</t>
  </si>
  <si>
    <t>sentier de randonnée,commerce alimentaire,équitation,parking public,sentier de grande randonnée,Maison du Volcan</t>
  </si>
  <si>
    <t>Chèque,Espèces,booking,airbnb</t>
  </si>
  <si>
    <t>9937df04</t>
  </si>
  <si>
    <t>d6164ef3</t>
  </si>
  <si>
    <t>galerie::galerie_Images/798ef072.Path.063511.jpg</t>
  </si>
  <si>
    <t>CSC735HTO</t>
  </si>
  <si>
    <t>La chambre standard est à 90€
La chambre deluxe (avec jacuzzi) à 150€
Le petit déj est en supplément à 10€/personnes</t>
  </si>
  <si>
    <t>223f278c</t>
  </si>
  <si>
    <t>Aux Chalets du Tourneur</t>
  </si>
  <si>
    <t>87d</t>
  </si>
  <si>
    <t>-21.230306, 55.576846</t>
  </si>
  <si>
    <t>auxchaletsdutourneur@gmail.com</t>
  </si>
  <si>
    <t>0692 61 95 47</t>
  </si>
  <si>
    <t>http://www.auxchaletsdutourneur.re</t>
  </si>
  <si>
    <t>Dans son atelier, il conçoit principalement de la vaisselle en bois tourné, des bijoux et des objets personnalisés grâce à la gravure laser.
Il est spécialisé dans cette fabrication artisanale depuis une vingtaine d'années.
Chaque pièce produite est soigneusement travaillée pour mettre en valeur l'élégance naturelle du bois pays tout en répondant aux attentes de ma clientèle en matière de design et de durabilité.
Que ce soit pour un cadeau unique, une décoration ou un usage quotidien, je vous propose des produits authentiques et écoresponsables, façonnés avec passion et savoir-faire, le plus souvent en tamarin des hauts et letchi.
Détails de ces produits à retrouver en pièce jointe dans son catalogue
- Bols en bois (environ 38€ selon la taille et la technique)
- Assiettes tournées en letchi et tamarin (environ 25€ l'assiette à dessert et 32€ assiette plate)
- Saladiers (25 cm de diamètre à 120€ / 40cm de diamètre à 330€)
- Tournages spéciaux sur commande
- Bijoux, sculpture, petit mobilier, pilons,  trophées/médailles, souvenirs, accessoires... 
Sur commande</t>
  </si>
  <si>
    <t>Son atelier se trouve à la petite ferme, Notre Dame de la Paix</t>
  </si>
  <si>
    <t>matériel pour l'activité , grand espace , vue montagne , ateliers</t>
  </si>
  <si>
    <t>équitation,point de vue panoramique,sentier de grande randonnée,sites touristiques</t>
  </si>
  <si>
    <t>aada5318</t>
  </si>
  <si>
    <t>0fe1a2e3</t>
  </si>
  <si>
    <t>galerie::galerie_Images/1c517822.Path.110854.jpg</t>
  </si>
  <si>
    <t>ad7f596b</t>
  </si>
  <si>
    <t>Entre Volcan et Montagnes</t>
  </si>
  <si>
    <t>Chemin Commerson</t>
  </si>
  <si>
    <t>-21.213563, 55.591691</t>
  </si>
  <si>
    <t>earlpassionbovine@outlook.fr</t>
  </si>
  <si>
    <t>0692 67 50 51</t>
  </si>
  <si>
    <t>Picard Family vous propose la location saisonnière « Entre Volcans et Montagnes » 
La maison est située à la Grande Ferme, Plaine des Cafres, proche de la route du Volcan et du sentier du Piton des Neiges avec à proximité de nombreuses randonnées !
La maison dispose d’une cuisine aménagée, de chambres doubles et de chambres avec couchages multiples.
Une cuisine extérieure également accompagnée d’une terrasse pour profiter de l’air pur de la Plaine des Cafres. 
Une grande pièce à vivre pour vos repas en famille ou entre amis, avec billard et petit coin lecture. 
Un jardin et un parking clôturé.
Wifi gratuit, équipements cuisine, linges de lits fournis.</t>
  </si>
  <si>
    <t>🌋 Entre Volcan et Montagnes – Votre prochaine escapade à la Plaine des Cafres !</t>
  </si>
  <si>
    <t>Plaine des Cafres, à 2min en voiture de la Cité du Volcan</t>
  </si>
  <si>
    <t>babyfoot , chauffage , douche , équipement bébé , jardin , wifi , grand espace , vue montagne , Cafetière , cuisine équipée , bibliothéque , four , micro-ondes , TV , linge de maison , linge de toilette , frigo , terrasse , billard , bouilloire , grille-pain , cuisine au bois</t>
  </si>
  <si>
    <t>cité du volcan,sentier de randonnée,équitation,point de vue panoramique,site - lieu culturel,forêt,arrêt bus</t>
  </si>
  <si>
    <t>05e458e0</t>
  </si>
  <si>
    <t>6ccb3572</t>
  </si>
  <si>
    <t>galerie::galerie_Images/8248f891.Path.042328.jpg</t>
  </si>
  <si>
    <t>CSC741HTL</t>
  </si>
  <si>
    <t>La Maison des Camélias</t>
  </si>
  <si>
    <t>chemin Abraham</t>
  </si>
  <si>
    <t>-21.227181, 55.557550</t>
  </si>
  <si>
    <t>martineabr@icloud.com</t>
  </si>
  <si>
    <t>0692 09 15 98</t>
  </si>
  <si>
    <t>Situer au 24eme kilomètres à la plaine des cafres c’est une charmante maison confortable dans un lieu calme et agréable. Elle peut accueillir 6personnes 
Ce logement paisible offre un séjour détente pour toute la famille .
A cœur de l’île de la réunion vous pourrez profiter du bon air des hauts . A proximité de toutes commodités : 
Leclerc , mairie , maison du volcan,randonnée, grand bassin, parcours de santé, et à 5 minutes du cabaret pat ‘ jaune à pied , en janvier près du site miel vert ,belvédère du bois court . 
La maison est tout équipée en plus d’une pompe à chaleur vous permettra d’avoir une maison bien chauffée. Une grande cour avec jolie vue sur saint Pierre et un coin grillade . 
Vous pouvez louer en semaine, en week-end ou un mois  (jusqu’à 3 mois ).</t>
  </si>
  <si>
    <t>Profitez d'un séjour agréable à la maison des Camélias</t>
  </si>
  <si>
    <t>canapé lit , baignoire , cuisine équipée , climatisation , jardin , parking , wifi</t>
  </si>
  <si>
    <t>Volcan le piton de la fournaise</t>
  </si>
  <si>
    <t>728e9c1d</t>
  </si>
  <si>
    <t>03712cbd</t>
  </si>
  <si>
    <t>galerie::galerie_Images/42638a29.Path.064643.jpg</t>
  </si>
  <si>
    <t>CSC736HTP</t>
  </si>
  <si>
    <t>a164d04c</t>
  </si>
  <si>
    <t>Villa Des 4 Sens</t>
  </si>
  <si>
    <t>rue Blaise Pascal</t>
  </si>
  <si>
    <t>-21.267545, 55.497820</t>
  </si>
  <si>
    <t>contact@villades4sens.com</t>
  </si>
  <si>
    <t>0692 40 45 50</t>
  </si>
  <si>
    <t>https://www.villades4sens.com/fr</t>
  </si>
  <si>
    <t>Dans cet espace chaleureux et zen, avec piscine chauffée, jacuzzi  en roft top et vue imprenable sur la mer, vous pourrez vous détendre pleinement.
Préparez-vous à vivre une expérience sensorielle unique à la Villa des 4 Sens, où tout est pensé pour éveiller vos sens et vous offrir des souvenirs inoubliables.</t>
  </si>
  <si>
    <t>la Villa des 4 Sens est une invitation à l'évasion et à la découverte</t>
  </si>
  <si>
    <t>En direction de st Pierre, prendre le chemin Stéphane. La rue Blaise Pascal se trouve tout en bas sur votre gauche.</t>
  </si>
  <si>
    <t>salle de bain privée , cuisine équipée , cuisine équipée , , wifi , jacuzzi , vue mer , parking , piscine</t>
  </si>
  <si>
    <t>centre commercial,sentier de randonnée,arrêt bus</t>
  </si>
  <si>
    <t>site internet,Carte Bancaire,booking</t>
  </si>
  <si>
    <t>c7e64e49</t>
  </si>
  <si>
    <t>66055df7</t>
  </si>
  <si>
    <t>galerie::galerie_Images/c76527fd.Path.063148.jpg</t>
  </si>
  <si>
    <t>CSC742HTM</t>
  </si>
  <si>
    <t>a311fc46</t>
  </si>
  <si>
    <t>Ti Kaz Paradis</t>
  </si>
  <si>
    <t>rue Louis Aragon</t>
  </si>
  <si>
    <t>-21.268118, 55.494682</t>
  </si>
  <si>
    <t>sylvieetgregory@hotmail.com</t>
  </si>
  <si>
    <t>0692 32 48 77</t>
  </si>
  <si>
    <t>Ti Kaz Paradis est un élégant bungalow en bois classé 4 étoiles &amp; lové au cœur d'un jardin tropical luxuriant. 
Il est composé : 
- 1 piscine
- 1 chambre
- TV 
- Salle de bain avec une douche
Les serviettes et linge de lit sont mise à disposition</t>
  </si>
  <si>
    <t>Ligne des 400</t>
  </si>
  <si>
    <t>vue montagne , ventilateur , TV , barbecue , piscine , cuisine équipée , parking , wifi , grand espace</t>
  </si>
  <si>
    <t>Volcan le piton de la fournaise,cité du volcan</t>
  </si>
  <si>
    <t>Espèces,Virement,booking,airbnb,Abritel</t>
  </si>
  <si>
    <t>2b536d24</t>
  </si>
  <si>
    <t>62d13a55</t>
  </si>
  <si>
    <t>https://ryycrdhlkmzpxwwwwupy.supabase.co/storage/v1/object/public/old_media/57bb080f.Path.074100.jpg</t>
  </si>
  <si>
    <t>CSC743HTN</t>
  </si>
  <si>
    <t>4c8bf0e8</t>
  </si>
  <si>
    <t>Autour des Palmiers</t>
  </si>
  <si>
    <t>274</t>
  </si>
  <si>
    <t>Chemin Raphaël Babet</t>
  </si>
  <si>
    <t>-21.266636, 55.502113</t>
  </si>
  <si>
    <t>sylgarsa.97430@gmail.com</t>
  </si>
  <si>
    <t>0692 80 51 09</t>
  </si>
  <si>
    <t>Résidence située au milieu d'un jardin fleuri et entourée de palmiers.
L'appartement comprend un salon, une cuisine ouverte, une chambre double , une terrasse et un jardin.
Les hôtes peuvent profiter d’une terrasse et d’un patio donnant sur un jardin verdoyant, ainsi que d’un parking privé gratuit sur place.</t>
  </si>
  <si>
    <t>Situé dans le sud de l'île dans la ville du Tampon, Autour des Palmier est un appartement pouvant accueillir 2 personnes.</t>
  </si>
  <si>
    <t>Proche des commerces de proximité, le parc aux mille palmiers est à 7 min en voiture, des sites privilégiés comme le volcan et la plage de Saint-Pierre.</t>
  </si>
  <si>
    <t>grille-pain , bouilloire , micro-ondes , lave-linge , TV , terrasse , douche , chambre double , frigo , cuisine équipée , jardin , parking , wifi</t>
  </si>
  <si>
    <t>sentier de randonnée,cité du volcan</t>
  </si>
  <si>
    <t>Virement,booking</t>
  </si>
  <si>
    <t>6af396f7</t>
  </si>
  <si>
    <t>5af3ea7a</t>
  </si>
  <si>
    <t>galerie::galerie_Images/13edcc22.Path.054028.jpg</t>
  </si>
  <si>
    <t>CSC661HTM</t>
  </si>
  <si>
    <t>PRIX :
Haute saison : 353€/ semaine
Basse saison : 339€/ semaine</t>
  </si>
  <si>
    <t>91af577f</t>
  </si>
  <si>
    <t>Vakoa Distil - Gin Fabrik</t>
  </si>
  <si>
    <t>Distillerie - sucrerie</t>
  </si>
  <si>
    <t>Rue Georges Pompidou PK12</t>
  </si>
  <si>
    <t>-21.265372, 55.523181</t>
  </si>
  <si>
    <t>direction@vakoadistillerie.com</t>
  </si>
  <si>
    <t>07 77 91 07 01</t>
  </si>
  <si>
    <t>https://vakoadistillerie.com/</t>
  </si>
  <si>
    <t>Créée par Tiphanie Bolo, passionnée de spiritueux et du terroir réunionnais, elle propose des gins haut de gamme élaborés en petites séries, à partir d’ingrédients locaux comme la baie rose, l’ananas Victoria, la vanille ou le thé blanc de Grand Coude.
Les produits phares :
VAKOA L’Original : gin puissant aux notes d’agrumes et de romarin
Jardin Tropical : gin exotique à l’ananas et hibiscus
Ti’Gin : gin doux infusé au thé blanc et verveine
Gin vieilli à la vanille : édition limitée en fût de chêne
Engagements : production durable, circuits courts, bouteilles recyclables, soutien aux producteurs locaux.</t>
  </si>
  <si>
    <t>Bienvenue dans l'univers de VAKOA : Le GIN artisanal réunionnais</t>
  </si>
  <si>
    <t>f8ba8302</t>
  </si>
  <si>
    <t>3304a12b</t>
  </si>
  <si>
    <t>3a4f632f</t>
  </si>
  <si>
    <t>Entre 2 Bulles</t>
  </si>
  <si>
    <t>chemin trou de magasin</t>
  </si>
  <si>
    <t>-21.229012, 55.469847</t>
  </si>
  <si>
    <t>payet.marina@live.fr</t>
  </si>
  <si>
    <t>0693 20 72 50</t>
  </si>
  <si>
    <t>Une Bubble dôme composer d'une sas d'entrée, une bulle chambre et une bulle salle de bain.
Avec une cours privatif pour un maximum d'intimité. Le petit déjeuner est inclus dans le tarif.</t>
  </si>
  <si>
    <t>Envie d’une nuit hors du commun ? Plongez dans une bulle de magie sous les étoiles, avec une ambiance lumineuse apaisante grâce aux LED intégrées.</t>
  </si>
  <si>
    <t>parking , chaises longues , chauffage , climatisation , Cafetière , barbecue , jacuzzi , surveillance caméra , mobilier d'extérieur , table , chaises</t>
  </si>
  <si>
    <t>point de vue panoramique,sentier de randonnée,restaurants,centre ville</t>
  </si>
  <si>
    <t>Carte Bancaire,airbnb,Virement</t>
  </si>
  <si>
    <t>2ebecebe</t>
  </si>
  <si>
    <t>fda301c2</t>
  </si>
  <si>
    <t>galerie::galerie_Images/c71e77eb.Path.044157.jpg</t>
  </si>
  <si>
    <t>CSC747HTR</t>
  </si>
  <si>
    <t>40de15c1</t>
  </si>
  <si>
    <t>Exotica</t>
  </si>
  <si>
    <t>49 B</t>
  </si>
  <si>
    <t>Rue Edouard Lavie</t>
  </si>
  <si>
    <t>-21.370685, 55.618828</t>
  </si>
  <si>
    <t>giseleb97480@gmail.com</t>
  </si>
  <si>
    <t>0692 16 97 27</t>
  </si>
  <si>
    <t>Exotica est composé de : 
- 1 chambre
- 1 salle de bain
- parking gratuit
- petit terrasse 
Idéal pour 2 personnes</t>
  </si>
  <si>
    <t>Faites une pause et détendez vous chez Exotica</t>
  </si>
  <si>
    <t>A proximité de la rivière des remparts</t>
  </si>
  <si>
    <t>lave-linge , cuisine équipée , parking , wifi</t>
  </si>
  <si>
    <t>Bassin de Manapany,riviere,sentier de randonnée</t>
  </si>
  <si>
    <t>e60c42f0</t>
  </si>
  <si>
    <t>07aad84d</t>
  </si>
  <si>
    <t>c51a5142</t>
  </si>
  <si>
    <t>Villa Ti Gargoulette</t>
  </si>
  <si>
    <t>81A</t>
  </si>
  <si>
    <t>-21.346656, 55.602949</t>
  </si>
  <si>
    <t>xavier.maryse@wanadoo.fr</t>
  </si>
  <si>
    <t>La maison dispose de 3 chambres avec lits doubles confortables, dont une climatisée, toutes équipées de rangements. 
Un parking privé est également à disposition pour plus de confort et de sécurité.
L’extérieur offre un jardin clos et deux terrasses agréables</t>
  </si>
  <si>
    <t>Maison chaleureuse pour 6 personnes aux Lianes.</t>
  </si>
  <si>
    <t>fer à repasser , lave-linge , table , cuisine équipée , barbecue , chauffage , climatisation , TV , vue mer , jardin , parking , wifi</t>
  </si>
  <si>
    <t>sentier de randonnée,arrêt bus,Bassin de Manapany</t>
  </si>
  <si>
    <t>2088b095,ac32f7a8</t>
  </si>
  <si>
    <t>eb59d3e9</t>
  </si>
  <si>
    <t>galerie::galerie_Images/1f271870.Path.102817.jpg</t>
  </si>
  <si>
    <t>CSC745HTP</t>
  </si>
  <si>
    <t>Attention : géré par l'agence ZOT CONCIERGERIE</t>
  </si>
  <si>
    <t>989bb74a</t>
  </si>
  <si>
    <t>Le Nid House</t>
  </si>
  <si>
    <t>380</t>
  </si>
  <si>
    <t>-21.236079, 55.479970</t>
  </si>
  <si>
    <t>sevdidale@gmail.com</t>
  </si>
  <si>
    <t>0692 45 65 06</t>
  </si>
  <si>
    <t>Une chambre calme et agréable à vivre, idéalement située à proximité du charmant village de L’Entre-Deux et des départs de nombreux sentiers de randonnée.
Confortable et bien équipée, elle comprend une salle de bain privative avec douche et WC, ainsi qu’un four à micro-ondes, une bouilloire, une cafetière, une télévision, le linge de maison et un espace détente propice au repos.</t>
  </si>
  <si>
    <t>Un lieu idéal pour profiter d’un cadre paisible, entre nature, authenticité et sérénité.</t>
  </si>
  <si>
    <t>Arrivée au centre ville de l'Entre-Deux, prendre en direction de ravine des citrons continuer sur 3km jusqu'au 380 sur votre droite.</t>
  </si>
  <si>
    <t>TV , wifi , cuisine au bois , cuisine extérieure , salle de bain , chambre double , barbecue</t>
  </si>
  <si>
    <t>point de vue panoramique,sentier de randonnée,centre ville</t>
  </si>
  <si>
    <t>349d5951</t>
  </si>
  <si>
    <t>447a0bfc</t>
  </si>
  <si>
    <t>galerie::galerie_Images/6efbf940.Path.054532.jpg</t>
  </si>
  <si>
    <t>b716cbe7</t>
  </si>
  <si>
    <t>Maison Verlaine</t>
  </si>
  <si>
    <t>Rue Yvon Sery</t>
  </si>
  <si>
    <t>-21.196898, 55.574496</t>
  </si>
  <si>
    <t>maisonverlaine974@gmail.com</t>
  </si>
  <si>
    <t>0262 72 62 30</t>
  </si>
  <si>
    <t>Un lieu unique avec son architecture créole, la Maison Verlaine rend hommage au célèbre poète Paul Verlaine, l’un des plus grands noms de la poésie française
La Maison Verlaine est composée de : 
- Une cheminée
- Un salon spacieux 
- 3 chambres
- 1 cuisine</t>
  </si>
  <si>
    <t>Bienvenue à la maison Verlaine</t>
  </si>
  <si>
    <t>barbecue , Cafetière , jeux , parking , jardin , salon , cuisine , TV , chauffage , wifi</t>
  </si>
  <si>
    <t>sentier de randonnée,point de vue panoramique,station service,Maison du Volcan,office de tourisme</t>
  </si>
  <si>
    <t>cc0780ae</t>
  </si>
  <si>
    <t>295b76e0</t>
  </si>
  <si>
    <t>galerie::galerie_Files_/ac544fe2.Path.050924.avif</t>
  </si>
  <si>
    <t>CSC750HTL</t>
  </si>
  <si>
    <t>31c1d557</t>
  </si>
  <si>
    <t>Villa au centre ville du Tampon</t>
  </si>
  <si>
    <t>95 bis</t>
  </si>
  <si>
    <t>Rue Benjamin Hoareau</t>
  </si>
  <si>
    <t>-21.275522, 55.511884</t>
  </si>
  <si>
    <t>bofnet974@free.fr</t>
  </si>
  <si>
    <t>0618 42 36 00</t>
  </si>
  <si>
    <t>La villa est composée de :
- 2 chambres avec des lits doubles
- 2 chambres avec des lits simples
- 1 cuisine équipée
- 1 salle de bain avec baignoire
Les fêtes sont interdites.</t>
  </si>
  <si>
    <t>Profitez d’un moment en famille dans cette superbe villa au Tampon</t>
  </si>
  <si>
    <t>La villa est située à proximité du Djoosy’s et du marché couvert.</t>
  </si>
  <si>
    <t>Cafetière , parking , Lit parapluie sur demande , barbecue , cuisine équipée , wifi , TV , baignoire , fer à repasser</t>
  </si>
  <si>
    <t>centre commercial,sentier de randonnée,point de vue panoramique,arrêt bus</t>
  </si>
  <si>
    <t>Carte Bancaire,Virement,airbnb</t>
  </si>
  <si>
    <t>d2ee1915</t>
  </si>
  <si>
    <t>a621774b</t>
  </si>
  <si>
    <t>galerie::galerie_Files_/827065ab.Path.044443.avif</t>
  </si>
  <si>
    <t>CSC761HTN</t>
  </si>
  <si>
    <t>cdbfafea</t>
  </si>
  <si>
    <t>Le Tranquillou</t>
  </si>
  <si>
    <t>rue ABRAHAM</t>
  </si>
  <si>
    <t>-21.229656, 55.554053</t>
  </si>
  <si>
    <t>domingue.frederic@gmail.com</t>
  </si>
  <si>
    <t>0692 12 10 03</t>
  </si>
  <si>
    <t>Situé au lieu-dit « Coin Tranquille », à l’entrée du village de la Plaine des Cafres, le Tranquillou se présente comme une maison de location saisonnière pouvant accueillir jusqu’à six personnes.
De type chalet, cet hébergement de vacances offre la possibilité de séjourner une nuit, un week-end, une semaine ou davantage, selon les envies de ses visiteurs.
Doté d’un jardin, d’un parking privé, d'une cuisine entièrement équipée, d’un salon et de trois chambres, le lieu garantit un séjour paisible dans un cadre agréable.</t>
  </si>
  <si>
    <t>Le Tranquillou, où confort et charme se rencontrent au cœur de la Plaine des Cafres.</t>
  </si>
  <si>
    <t>linge de maison , Cafetière , barbecue , vue mer , vue montagne , salle de bain privée , baignoire , parking</t>
  </si>
  <si>
    <t>arrêt bus,cité du volcan,sentier de randonnée</t>
  </si>
  <si>
    <t>82d2ed5a</t>
  </si>
  <si>
    <t>c1b18769</t>
  </si>
  <si>
    <t>galerie::galerie_Images/65dda266.Path.044029.jpg</t>
  </si>
  <si>
    <t>CSC753HTO</t>
  </si>
  <si>
    <t>6183ed99</t>
  </si>
  <si>
    <t>Logement entier Saint-Joseph "classe 3 étoiles"</t>
  </si>
  <si>
    <t>rue Henry Mussard</t>
  </si>
  <si>
    <t>-21.375989, 55.628872</t>
  </si>
  <si>
    <t>marcel97480@gmail.com</t>
  </si>
  <si>
    <t>06 92 26 01 91</t>
  </si>
  <si>
    <t>Parfait pour un séjour en famille ou entre ami 
L'appartement est composé de :
- 3 chambres
- 1 cuisine entièrement équipée (réfrigérateur, four)
- 1 salle de bains moderne avec douche
- 1 terrasse et un balcon offrant une belle vue sur la mer.</t>
  </si>
  <si>
    <t>Votre refuge 3 étoiles à Saint-Joseph</t>
  </si>
  <si>
    <t>Cafetière , ventilateur , Lit parapluie sur demande , jardin , cuisine équipée , sèche-cheveux , lave-linge , TV , wifi</t>
  </si>
  <si>
    <t>snack,station service,stade de foot,riviere,centre ville,arrêt bus,pâtisserie</t>
  </si>
  <si>
    <t>Virement,Abritel,booking,airbnb</t>
  </si>
  <si>
    <t>f7a9db30</t>
  </si>
  <si>
    <t>2ca24c1e</t>
  </si>
  <si>
    <t>galerie::galerie_Images/bf7ced36.Path.045351.jpg</t>
  </si>
  <si>
    <t>CSC752HTN</t>
  </si>
  <si>
    <t>4418e6ba</t>
  </si>
  <si>
    <t>La belle du sud</t>
  </si>
  <si>
    <t>rue de la Fontaine</t>
  </si>
  <si>
    <t>-21.365729, 55.679026</t>
  </si>
  <si>
    <t>labelledusud974@gmail.com</t>
  </si>
  <si>
    <t>0693 92 53 01</t>
  </si>
  <si>
    <t>https://www.labelledusud.re/</t>
  </si>
  <si>
    <t>9bb10366</t>
  </si>
  <si>
    <t>2ff5100f</t>
  </si>
  <si>
    <t>galerie::galerie_Images/f329143c.Path.063251.jpg</t>
  </si>
  <si>
    <t>a626b82d</t>
  </si>
  <si>
    <t>-21.369300, 55.679348</t>
  </si>
  <si>
    <t>e17f061e</t>
  </si>
  <si>
    <t>galerie::galerie_Images/1befea7c.Path.070453.jpg</t>
  </si>
  <si>
    <t>02326ae4</t>
  </si>
  <si>
    <t>Associations 3AR</t>
  </si>
  <si>
    <t>87 D</t>
  </si>
  <si>
    <t>-21.224447, 55.576963</t>
  </si>
  <si>
    <t>association3ar@gmail.com</t>
  </si>
  <si>
    <t>Cette association a pour but de contribuer à créer un cadre propice à l'exercice des métiers d'art. Développer la filière des métiers d'art et de la création artisanale locale.
Son objet est de dynamiser et valoriser la filière d'artisanat d'art de la Réunion par la création d'ateliers, d'espaces de vente et la mise en place de formation.</t>
  </si>
  <si>
    <t>Association
des Artisans d'Art de Ia Réunion</t>
  </si>
  <si>
    <t>73a1b2d2</t>
  </si>
  <si>
    <t>2411e9e5</t>
  </si>
  <si>
    <t>Kolibriz</t>
  </si>
  <si>
    <t>Rue de la Grande Corniche</t>
  </si>
  <si>
    <t>-21.370193, 55.588519</t>
  </si>
  <si>
    <t>kolibriz974@gmail.com</t>
  </si>
  <si>
    <t>0692 72 90 97</t>
  </si>
  <si>
    <t>https://kolibriz.com/</t>
  </si>
  <si>
    <t>L’objectif est simple : offrir un moment suspendu dans le temps, loin du rythme du quotidien, pour retrouver légèreté, sérénité et harmonie intérieure.
Plusieurs massage disponible en duo ou solo : 
-Massage balinais 
-Massage ostéo thaï 
-Massage suédois 
-Bols tibétains 
-Abhyanga
- .....
Propose également des cartes cadeaux
Kolibriz propose des massages en entreprise, pour améliorer la qualité de vie au travail, en apportant détente et énergie. 
Ils interviennent aussi lors d’événements, avec des prestations sur table ou sur chaise ergonomique.
SUR RESERVATION PAR MAIL
La structure n'est pas accessible au PMR</t>
  </si>
  <si>
    <t>Kolibriz est un espace dédié au bien-être</t>
  </si>
  <si>
    <t>Massages bien être</t>
  </si>
  <si>
    <t>arrêt bus,centre ville de Saint-Joseph,Bassin de Manapany,sentier de randonnée</t>
  </si>
  <si>
    <t>f6066f2d</t>
  </si>
  <si>
    <t>25d5da5a</t>
  </si>
  <si>
    <t>galerie::galerie_Images/c24d1541.Path.104836.jpg</t>
  </si>
  <si>
    <t>eccd29ab</t>
  </si>
  <si>
    <t>Villa Rosat</t>
  </si>
  <si>
    <t>51C</t>
  </si>
  <si>
    <t>Rue théophile Gauthier</t>
  </si>
  <si>
    <t>-21.287304, 55.623288</t>
  </si>
  <si>
    <t>grondin.honorine@orange.fr</t>
  </si>
  <si>
    <t>0692 30 56 88</t>
  </si>
  <si>
    <t>La maison se compose d'un grand séjour pouvant accueillir de petits évènements sur demande.
La cuisine est ouverte sur le séjour avec un espace repas et salon.
Deux chambres doubles sont séparées par la salle d'eau et WC et d'un WC indépendant.
A l'étage en mezzanine, une chambre familiale avec un lit en 140x190 et deux lits simples.</t>
  </si>
  <si>
    <t>La Villa Rosat – Nichée au cœur du charmant quartier de Grand Coude</t>
  </si>
  <si>
    <t>Pas loin du collège Théophile Gauthier</t>
  </si>
  <si>
    <t>lave vaisselle , lave-linge , table , douche , terrasse , salle de bain privée , cuisine , TV</t>
  </si>
  <si>
    <t>sentier de randonnée,point de vue panoramique,jardin</t>
  </si>
  <si>
    <t>booking,gîte de france</t>
  </si>
  <si>
    <t>bc327f52</t>
  </si>
  <si>
    <t>c532bcc3</t>
  </si>
  <si>
    <t>galerie::galerie_Images/1d5f5c1d.Path.052927.jpg</t>
  </si>
  <si>
    <t>CSC754HTP</t>
  </si>
  <si>
    <t>7f5f40e8</t>
  </si>
  <si>
    <t>Auberge La Fermette</t>
  </si>
  <si>
    <t>Rue Raphaël Douyere</t>
  </si>
  <si>
    <t>-21.216595, 55.552551</t>
  </si>
  <si>
    <t>aubergelafermette@gmail.com</t>
  </si>
  <si>
    <t>06 93 11 73 85</t>
  </si>
  <si>
    <t>Auberge la fermette propose 9 chambres tout confort dont 8 chambres doubles et 1 chambre twin avec deux lits jumeaux.
Les chambres sont sont accolées au restaurant Les Sens Ciel , idéal pour allier détente et plaisir gourmand, dans un cadre calme et ressourçant.
Petit déjeuner à 10€</t>
  </si>
  <si>
    <t>🌿 Envie d’une pause confort au cœur de la Plaine des Cafres ? 🌿</t>
  </si>
  <si>
    <t>En direction du Belvédère de bois court</t>
  </si>
  <si>
    <t>salle de bain privée , climatisation , TV , parking , wifi</t>
  </si>
  <si>
    <t>sentier de randonnée,Point de vue du Belvédère de Bois court</t>
  </si>
  <si>
    <t>Carte Bancaire,Espèces,booking</t>
  </si>
  <si>
    <t>11711f38</t>
  </si>
  <si>
    <t>galerie::galerie_Images/32ec99f5.Path.102954.jpg</t>
  </si>
  <si>
    <t>Date de reprise à voir avec le presta (tds) 25 août 2025</t>
  </si>
  <si>
    <t>099dc85a</t>
  </si>
  <si>
    <t>Les Volets de l'Océan</t>
  </si>
  <si>
    <t>44B</t>
  </si>
  <si>
    <t>RN2 Baril</t>
  </si>
  <si>
    <t>-21.363826, 55.723536</t>
  </si>
  <si>
    <t>dany.damour@hotmail.fr</t>
  </si>
  <si>
    <t>0692 05 69 14</t>
  </si>
  <si>
    <t>La maison Les Volets de l’Océan est composée de deux chambres doubles offrant une vue mer et montagne, d’une cuisine entièrement équipée, ainsi que d’une terrasse couverte avec barbecue pour profiter de repas en plein air.
La maison dispose également d’un parking gratuit, et propose un petit-déjeuner en option.</t>
  </si>
  <si>
    <t>Maison tout confort à Saint-Philippe, idéal pour découvrir le Sud !</t>
  </si>
  <si>
    <t>Situé à côté du Leader Price, juste avant la piscine du Baril.</t>
  </si>
  <si>
    <t>vue montagne , mobilier d'extérieur , Cafetière , ventilateur , lave-linge , TV , parking , vue mer , terrasse , barbecue , wifi , cuisine équipée</t>
  </si>
  <si>
    <t>point de vue panoramique,sites touristiques,forêt,épicerie</t>
  </si>
  <si>
    <t>b14d9b83</t>
  </si>
  <si>
    <t>1f82be45</t>
  </si>
  <si>
    <t>galerie::galerie_Files_/5423adff.Path.052200.avif</t>
  </si>
  <si>
    <t>CSC749HTT</t>
  </si>
  <si>
    <t>b74cbb62</t>
  </si>
  <si>
    <t>Terra'péi by Lonbraz Volkan</t>
  </si>
  <si>
    <t>-21.369396, 55.720994</t>
  </si>
  <si>
    <t>jeremy.hascoat@gmail.com</t>
  </si>
  <si>
    <t>0692 36 91 92</t>
  </si>
  <si>
    <t>Il dispose :
-une chambre double
-un canapé lit dans le salon
-une cuisine équipée
-une terrasse avec salon de jardin</t>
  </si>
  <si>
    <t>Vivez l'expérience unique d'un séjour au pied du volcan et laissez-vous séduire par la beauté du Sud Sauvage</t>
  </si>
  <si>
    <t>Après l'église de Base Vallée</t>
  </si>
  <si>
    <t>parking , Lit parapluie sur demande , Cafetière , jacuzzi , barbecue , cuisine équipée , ventilateur , jeux , TV , accès internet , wifi , lave-linge</t>
  </si>
  <si>
    <t>piscine,arrêt bus,sentier de randonnée</t>
  </si>
  <si>
    <t>8a32071e</t>
  </si>
  <si>
    <t>9203d93a</t>
  </si>
  <si>
    <t>galerie::galerie_Images/6553af24.Path.070003.jpg</t>
  </si>
  <si>
    <t>CSC755HTQ</t>
  </si>
  <si>
    <t>Gîte Sarasvathy</t>
  </si>
  <si>
    <t>198B</t>
  </si>
  <si>
    <t>-21.282583, 55.561003</t>
  </si>
  <si>
    <t>Le gîte Sarasvathy propose : 
- 3 chambres (deux lit doubles) 
- 1 salle de bain et WC séparé
- 1 cuisine équipée pro 
- TV 2m56
- Wifi gratuite 
Salle de séminaire disponible pour des réunions, pouvant accueillir 15 à 20 personnes.</t>
  </si>
  <si>
    <t>Venez découvrir le gîte Sarasvathy</t>
  </si>
  <si>
    <t>wifi , parking , jardin , ventilateur , salle de réunion - séminaire , salle de bain , vue mer , vue montagne , cuisine équipée , bibliothéque , TV , espace de restauration</t>
  </si>
  <si>
    <t>Terrain de foot,point de vue panoramique</t>
  </si>
  <si>
    <t>a9eed5db</t>
  </si>
  <si>
    <t>CSC767HTT</t>
  </si>
  <si>
    <t>7c8e2c3e</t>
  </si>
  <si>
    <t>Chez Monsieur LEBON</t>
  </si>
  <si>
    <t>-21.370095, 55.631980</t>
  </si>
  <si>
    <t>luc.lebon894@orange.fr</t>
  </si>
  <si>
    <t>0693 13 48 72</t>
  </si>
  <si>
    <t>Passez des vacances agréables dans notre appartement tout équipé, linge de maison fourni, 1 chambre, plain pied (selon situation d'handicap possible, la salle de bain n'est pas assez grande pour un fauteuil), avec terrasse vue mer, parking voiture, proche de toutes commodités.
Tarif progressif en fonction du séjour :
-200 € la semaine
-650€ le mois
-Pour un séjour de moins d'un mois c'est 25€ la nuit.
Caméra de surveillance extérieure 
Horaires flexibles
Fumer à l'extérieur uniquement</t>
  </si>
  <si>
    <t>Les Jacques au dessus du collège</t>
  </si>
  <si>
    <t>surveillance caméra , wifi , vue mer , TV , four , linge de maison , terrasse , cuisine équipée , micro-ondes , jardin clôturé , salon , Cafetière , linge de toilette , douche , frigo , parking sécurisé , jardin arboré</t>
  </si>
  <si>
    <t>18b0c34a</t>
  </si>
  <si>
    <t>c7538b0f</t>
  </si>
  <si>
    <t>galerie::galerie_Images/5c9da89e.Path.042402.jpg</t>
  </si>
  <si>
    <t>CSC756HTR</t>
  </si>
  <si>
    <t>e1affab8</t>
  </si>
  <si>
    <t>Eilaroc</t>
  </si>
  <si>
    <t>rue des coccinelles</t>
  </si>
  <si>
    <t>-21.370513, 55.610134</t>
  </si>
  <si>
    <t>eilaroc.contact@gmail.com</t>
  </si>
  <si>
    <t>0695 06 79 75</t>
  </si>
  <si>
    <t>https://www.eilaroc.fr/about-9</t>
  </si>
  <si>
    <t>Eilaroc est une marque artisanale écoresponsable basée à La Réunion, à Saint-Joseph. Elle crée des vêtements et accessoires à partir de matières de récupération, inspirés par l’identité et la richesse de l’île. 
À travers des collections comme Motifs Péï, aux illustrations locales, ou Bonbon Cravate, mettant à l’honneur l’upcycling de cravates, la marque propose des pièces uniques, haut de gamme, reconnues sur les podiums nationaux et internationaux.
Possibilité de retrouver ses produits dans deux boutiques : 
- Mon île : boutique collaborative d'artisans locaux à Saint-Denis
- Atelier Alexandra : boutique de produit locaux à Saint-André</t>
  </si>
  <si>
    <t>Vêtements, bijoux, accessoires et décorations, la marque expérimente et tente par une démarche écoresponsable de proposer des produits uniques et originaux.</t>
  </si>
  <si>
    <t>Proche du Leclerc les Terrasses et de MyGym</t>
  </si>
  <si>
    <t>Produits artisanaux , vêtement</t>
  </si>
  <si>
    <t>centre commercial,station service,centre ville de Saint-Joseph</t>
  </si>
  <si>
    <t>1952f2a2</t>
  </si>
  <si>
    <t>ae088acd</t>
  </si>
  <si>
    <t>galerie::galerie_Images/2ceafaad.Path.050616.jpg</t>
  </si>
  <si>
    <t>18b25ce7</t>
  </si>
  <si>
    <t>Appartement Ti'Gouillat</t>
  </si>
  <si>
    <t>Rue Jules Bertaut Bat F apt 157</t>
  </si>
  <si>
    <t>-21.272324, 55.524072</t>
  </si>
  <si>
    <t>julia.fournet@gmail.com</t>
  </si>
  <si>
    <t>06 92 50 46 02</t>
  </si>
  <si>
    <t>Idéal pour une escapade en couple ou solo, l'appartement Ti'Gouillat propose : 
- 1 cuisine équipée
- 1 lit Queen Size
- 1 salle de bain privatif
Possibilité d'avoir des attentions particulières (champagne, pétales de roses, chocolat, bougies) avec supplément de 50 euros.</t>
  </si>
  <si>
    <t>Bienvenue au Ti'Gouillat, cet élégant studio situé à quelques pas du centre-ville !</t>
  </si>
  <si>
    <t>ascenseur , Cafetière , cuisine équipée , wifi , ventilateur , TV , linge de maison , parking , Lit parapluie sur demande</t>
  </si>
  <si>
    <t>arrêt bus,pharmacie,Laverie,restaurants,boulangerie</t>
  </si>
  <si>
    <t>Espèces,Virement,airbnb,booking</t>
  </si>
  <si>
    <t>5b1ab49c</t>
  </si>
  <si>
    <t>01a84357</t>
  </si>
  <si>
    <t>galerie::galerie_Files_/51edc8ad.Path.075236.avif</t>
  </si>
  <si>
    <t>f8c147fe</t>
  </si>
  <si>
    <t>Le Clos Gentil</t>
  </si>
  <si>
    <t>chemin Mathias</t>
  </si>
  <si>
    <t>-21.221702, 55.587726</t>
  </si>
  <si>
    <t>briceline@orange.fr</t>
  </si>
  <si>
    <t>0692 35 84 21</t>
  </si>
  <si>
    <t>Cette villa est idéale pour un séjour en famille ou entre amis. 
Elle est composée de : 
- 3 chambres avec lits doubles avec salle de bain 
- 1 dortoir avec 4 couchages avec salle de bain
- Cuisine équipée
- Une grande terrasse 
Propose le petit déjeuner
tarif de 89€ pour la CH</t>
  </si>
  <si>
    <t>Votre escapade entre volcans et prairies</t>
  </si>
  <si>
    <t>Pas loin de l'église la grande ferme, tourner à droite au niveau du petit pont orange</t>
  </si>
  <si>
    <t>vue montagne , linge de maison , parking , Cafetière , surveillance caméra , climatisation , wifi , TV , terrasse , cuisine équipée , barbecue , billard</t>
  </si>
  <si>
    <t>d51314b9</t>
  </si>
  <si>
    <t>aecfcf2d</t>
  </si>
  <si>
    <t>galerie::galerie_Images/847eb980.Path.063227.jpg</t>
  </si>
  <si>
    <t>CSC768HTU</t>
  </si>
  <si>
    <t>f6e247f4</t>
  </si>
  <si>
    <t>Le Cap Sud</t>
  </si>
  <si>
    <t>Chemin Alanvert</t>
  </si>
  <si>
    <t>-21.231364, 55.504303</t>
  </si>
  <si>
    <t>thomas.selly@icloud.com</t>
  </si>
  <si>
    <t>0693 06 34 07</t>
  </si>
  <si>
    <t>Le Cap Sud est composé d’un rez-de-jardin lumineux et spacieux, d’une chambre avec lit king size, d’un salon avec canapé convertible pour accueillir 2 personnes supplémentaires, et d’une cuisine entièrement équipée.
Le logement dispose d’un accès privé et d’un parking sécurisé. Idéal pour explorer l’île ou profiter d’un séjour reposant.</t>
  </si>
  <si>
    <t>Évadez-vous au Cap Sud ! Amoureux, famille ou amis : profitez d'un séjour tout confort dans ce meublé de tourisme classé 4 étoiles. Élégant et cosy, il promet une escale réussie au cœur du Sud de l'île.</t>
  </si>
  <si>
    <t>parking , wifi , TV , salon , Cafetière , barbecue , Lit parapluie sur demande , salle à manger , salle de bain , jeux , canapé lit , lave-linge</t>
  </si>
  <si>
    <t>sentier de randonnée,point de vue panoramique,arrêt bus,Point de vue du Belvédère de Bois court</t>
  </si>
  <si>
    <t>583697f8</t>
  </si>
  <si>
    <t>11a609de</t>
  </si>
  <si>
    <t>galerie::galerie_Images/26c64ad6.Path.070548.jpg</t>
  </si>
  <si>
    <t>CSC764HTQ</t>
  </si>
  <si>
    <t>352ab9ee</t>
  </si>
  <si>
    <t>GAMIKIT</t>
  </si>
  <si>
    <t>Chemin des Goyaviers</t>
  </si>
  <si>
    <t>-21.355793, 55.679517</t>
  </si>
  <si>
    <t>contact@somnica-event.com</t>
  </si>
  <si>
    <t>0693 91 96 21</t>
  </si>
  <si>
    <t>Création d'expériences ludiques, accessibles et pleines de sens, où le jeu devient un vrai moteur de partage et de découverte.
GAMIKIT propose : 
- des animations sportives 
- escape games
- jeux de pistes et kits d'activités
… pensés pour éveiller la curiosité, renforcer l'esprit d'équipe et rendre chaque évènement unique.
Le jeu ne s'arrête pas sur le terrain, GAMIKIT existe aussi en ligne avec : 
- des activités à télécharger, prête à imprimer 
- ou même livrées directement chez vous 
Chaque aventure est conçu pour captiver les enfants, simplifier la vie des adultes et laisser un souvenir collectif fort.
Détails des activités en PJ "Catalogue GAMIKIT"
1 intervenant = 12 enfants 
Les jeux sont adaptables (intervenant, nombre de personne, thématique)</t>
  </si>
  <si>
    <t>GAMIKIT - Somnica-Event
En route pour l'aventure</t>
  </si>
  <si>
    <t>parking public,transports en commun,station service</t>
  </si>
  <si>
    <t>a077cd82</t>
  </si>
  <si>
    <t>5106d6e7</t>
  </si>
  <si>
    <t>galerie::galerie_Images/0b2b7ff4.Path.083425.png</t>
  </si>
  <si>
    <t>59a43d23</t>
  </si>
  <si>
    <t>Chalet Des Rêves</t>
  </si>
  <si>
    <t>Chemin des Rêves</t>
  </si>
  <si>
    <t>Trou de Magasin</t>
  </si>
  <si>
    <t>-21.230604, 55.471015</t>
  </si>
  <si>
    <t>sabrinadufour974@gmail.com</t>
  </si>
  <si>
    <t>0693 53 28 93</t>
  </si>
  <si>
    <t>74d32a83</t>
  </si>
  <si>
    <t>bb3a0e23</t>
  </si>
  <si>
    <t>CSC765HTR</t>
  </si>
  <si>
    <t>785bec7f</t>
  </si>
  <si>
    <t>La Kaz Malet</t>
  </si>
  <si>
    <t>Chef à domicile</t>
  </si>
  <si>
    <t>-21.267688, 55.513851</t>
  </si>
  <si>
    <t>lakazmalet@outlook.com</t>
  </si>
  <si>
    <t>0692 64 40 02</t>
  </si>
  <si>
    <t>Passionné par la cuisine traditionnelle au feu de bois, Jacques souhaite mettre en avant les produits locaux  BIO de saison en alliant tradition et modernité. 
Jacques favorise une expérience de qualité en travaillant avec des artisans, producteurs et agriculteurs locaux et des produits frais.
À travers ses prestations, il défend une cuisine🍽️, ancrée dans le terroir 🌿, où le savoir-faire 👨‍🍳 et le partage 🤝 occupent une place essentielle.
Un acompte de  40% de la facture finale et un paiement à réception de facture (Hors exception organisme à paiement différé).</t>
  </si>
  <si>
    <t>🔪Chef à domicile
🔥Cuisine traditionnelle au feu de bois
🇷🇪Tradition et modernité</t>
  </si>
  <si>
    <t>Se déplace sur toute l'île.</t>
  </si>
  <si>
    <t>cuisine au bois , cuisine , Cuisine de produits frais locaux</t>
  </si>
  <si>
    <t>commerce alimentaire,parking public,sentier de grande randonnée</t>
  </si>
  <si>
    <t>6981bf74</t>
  </si>
  <si>
    <t>3234576b</t>
  </si>
  <si>
    <t>galerie::galerie_Images/d5138d98.Path.061140.jpg</t>
  </si>
  <si>
    <t>ad68cb5d</t>
  </si>
  <si>
    <t>Tiny Eden</t>
  </si>
  <si>
    <t>5B</t>
  </si>
  <si>
    <t>Rue Jacques Lougnon</t>
  </si>
  <si>
    <t>-21.264231, 55.496432</t>
  </si>
  <si>
    <t>quentin.vytri@gmail.com</t>
  </si>
  <si>
    <t>0693 62 97 83</t>
  </si>
  <si>
    <t>Tiny Eden est un studio idéal pour une escapade en duo ou en solo. Il se compose de :
- Une mezzanine
- Un lit XXL
- Une terrasse privée avec jacuzzi privatif
- Une cuisine équipée</t>
  </si>
  <si>
    <t>Bienvenue à Tiny Eden, un petit cocon de calme et de douceur</t>
  </si>
  <si>
    <t>vue montagne , climatisation , linge de maison , Cafetière , cuisine équipée , wifi , jacuzzi , TV</t>
  </si>
  <si>
    <t>centre commercial,centre ville,point de vue panoramique,sentier de randonnée,arrêt bus</t>
  </si>
  <si>
    <t>df3386dc</t>
  </si>
  <si>
    <t>ab06c135</t>
  </si>
  <si>
    <t>galerie::galerie_Files_/a9c95036.Path.054454.avif</t>
  </si>
  <si>
    <t>CSC766HTS</t>
  </si>
  <si>
    <t>848d4886</t>
  </si>
  <si>
    <t>Dans Les Mains d'Emy</t>
  </si>
  <si>
    <t>Massage bien - être ; Bien-être</t>
  </si>
  <si>
    <t>5 Chemin</t>
  </si>
  <si>
    <t>Raphaël Babet</t>
  </si>
  <si>
    <t>-21.271438, 55.496728</t>
  </si>
  <si>
    <t>danslesmainsdemy@gmail.com</t>
  </si>
  <si>
    <t>0692 85 90 73</t>
  </si>
  <si>
    <t>https://emy.re/</t>
  </si>
  <si>
    <t>Les Mains d'Emy propose : 
- massage duo 
- massage intuitif (personnalisé selon vos besoins, et envie du moment physique, mental, émotionnel...)
- massage Ayurvédique Abhyanga (massage indien traditionnel aux huiles tièdes)
- massage des 5 continents 
- soin du dos oriental
Sur réservation
Bon cadeaux disponible
Possibilité de faire à domicile avec un supplément de 5€</t>
  </si>
  <si>
    <t>Massage bien-être avec Les Mains d'Emy</t>
  </si>
  <si>
    <t>Pas loin du stade 400 Champcourt</t>
  </si>
  <si>
    <t>arrêt bus,stade de foot</t>
  </si>
  <si>
    <t>Carte Bancaire,Virement,site internet</t>
  </si>
  <si>
    <t>ce8470ff</t>
  </si>
  <si>
    <t>dd1c6c4c</t>
  </si>
  <si>
    <t>https://ryycrdhlkmzpxwwwwupy.supabase.co/storage/v1/object/public/old_media/7e6cb6d8.Path.063958.jpg</t>
  </si>
  <si>
    <t>004315a7</t>
  </si>
  <si>
    <t>La Jolycya</t>
  </si>
  <si>
    <t>Rue Bois de source</t>
  </si>
  <si>
    <t>-21.198907, 55.536390</t>
  </si>
  <si>
    <t>wamaby@icloud.com</t>
  </si>
  <si>
    <t>0693 22 63 91</t>
  </si>
  <si>
    <t>Situé à la Plaine des Cafres, La JOLYCYA incarne l’art de vivre créole et sublime les moments de convivialité. 
Cette Kaz créole authentique vous propose 6 couchages et plus, ainsi qu'un vaste espace extérieur : jardin, guinguette couverte et cuisine feu de bois.</t>
  </si>
  <si>
    <t>La Jolycya - Kaz Créole à La Plaine des Cafres</t>
  </si>
  <si>
    <t>À proximité du belvédère de Bois court, sentier Grand bassin, La Cité du Volcan...</t>
  </si>
  <si>
    <t>jeux , Salle de jeux , vue montagne , cheminée , TV , salle de bain privée , barbecue , cuisine équipée , linge de maison , lave-linge , parking , wifi</t>
  </si>
  <si>
    <t>aire de jeux,épicerie,point de vue panoramique,Point de vue du Belvédère de Bois court</t>
  </si>
  <si>
    <t>Carte Bancaire,Virement,booking</t>
  </si>
  <si>
    <t>4c16a57f,afa7f329</t>
  </si>
  <si>
    <t>db658e1c</t>
  </si>
  <si>
    <t>galerie::galerie_Images/89755e5b.Path.092250.jpg</t>
  </si>
  <si>
    <t>d7e43f3b</t>
  </si>
  <si>
    <t>Oasis péï</t>
  </si>
  <si>
    <t>Rue Sarda Garriga Le Jardin colonial Apt 2060</t>
  </si>
  <si>
    <t>-21.282459, 55.519850</t>
  </si>
  <si>
    <t>oasispei974@gmail.com</t>
  </si>
  <si>
    <t>0693 87 71 10</t>
  </si>
  <si>
    <t>Cet appartement se compose de : 
- 2 chambres
- Un canapé-lit
- Une cuisine équipée 
- Une terrasse 
- Une salle de bain équipée
Services disponibles sur demande :
• Transfert aéroport
• Plateau de fruits ou de fromages à l’arrivée</t>
  </si>
  <si>
    <t>Un T3 lumineux idéalement situé en plein centre-ville du Tampon.</t>
  </si>
  <si>
    <t>À proximité de La Halle du Tampon, au centre-ville</t>
  </si>
  <si>
    <t>chaise haute , parking , wifi , TV , climatisation , lave linge privatif , Cafetière , cuisine équipée , lit parapluie</t>
  </si>
  <si>
    <t>sentier de randonnée,point de vue panoramique,restaurants,snack,centre commercial,Centre - Ville,arrêt bus,jardin,pharmacie</t>
  </si>
  <si>
    <t>airbnb,Carte Bancaire</t>
  </si>
  <si>
    <t>7acbb32f</t>
  </si>
  <si>
    <t>f25c1d85</t>
  </si>
  <si>
    <t>galerie::galerie_Images/39e0b1d7.Path.051846.jpg</t>
  </si>
  <si>
    <t>la conciergerie COSY HOLIDAYS gère le logement mais ne s'occupe pas de la TDS (les clients paient directement au propriétaire)</t>
  </si>
  <si>
    <t>b414150e</t>
  </si>
  <si>
    <t>Au milieu des sapins</t>
  </si>
  <si>
    <t>chemin Rosemond</t>
  </si>
  <si>
    <t>-21.229849, 55.565989</t>
  </si>
  <si>
    <t>aumilieudessapins@gmail.com</t>
  </si>
  <si>
    <t>0692 65 32 39</t>
  </si>
  <si>
    <t>Au milieu des sapins se compose de : 
- Une cuisine équipée
- Une chambre avec un lit double 
- Une chambre avec deux lits simples et un lit double
- 1 grand jardin
PRIX : 
- 95€ la nuit jusqu'à 2 pax et 10€ supplémentaire par personnes pour atteindre les 6 adultes 
- 330e le week-end (vendredi au dimanche) ou (samedi au lundi)</t>
  </si>
  <si>
    <t>Profitez du cadre calme et verdoyant du chalet en pleine nature</t>
  </si>
  <si>
    <t>À proximité du cabaret Pat’Jaune</t>
  </si>
  <si>
    <t>barbecue , cuisine équipée , Cafetière , parking , chauffage , climatisation , lit parapluie , TV , fer à repasser , lave-linge</t>
  </si>
  <si>
    <t>sentier de randonnée,point de vue panoramique,station service,Maison du Volcan,Point de vue du Belvédère de Bois court</t>
  </si>
  <si>
    <t>3e94f655</t>
  </si>
  <si>
    <t>0bc17388</t>
  </si>
  <si>
    <t>galerie::galerie_Images/b64ac174.Path.070806.jpg</t>
  </si>
  <si>
    <t>CSC775HTS</t>
  </si>
  <si>
    <t>39c50266</t>
  </si>
  <si>
    <t>Au pays du mouton blanc</t>
  </si>
  <si>
    <t>chemin Piton Sahal</t>
  </si>
  <si>
    <t>-21.207080, 55.553285</t>
  </si>
  <si>
    <t>Au Pays du mouton blanc vous accueille au sein d'une cabane de berger&amp;spa très bien équipée pour un duo de couple (4 couchages). 
La cabane propose :
- Une Salle de bain avec douche italienne
- Une Cuisine équipée
- Un Sauna et un jacuzzi extérieur, vue sur la voie lactée par nuit claire
- Un Jardin avec bancs et foyer-feu de bois (apportez vos bûches)
- Une Buanderie en accès libre (machine à laver &amp; sèche-linge)</t>
  </si>
  <si>
    <t>Découvrez un cocon de sérénité au cœur des volcans, entouré de forêt, de moutons et de patous, offrant un cadre idéal pour profiter des panoramas montagneux.</t>
  </si>
  <si>
    <t>mini-four , parking , vue mer , vue montagne , Cafetière , cuisine équipée , bibliothéque , barbecue , jacuzzi , lave-linge , cheminée , sèche-linge , sauna , fer à repasser</t>
  </si>
  <si>
    <t>Maison du Volcan,point de vue panoramique,Point de vue du Belvédère de Bois court,sentier de randonnée</t>
  </si>
  <si>
    <t>Paypal,Carte Bancaire,Espèces,Virement,airbnb,site internet,Apple Pay</t>
  </si>
  <si>
    <t>4c16a57f</t>
  </si>
  <si>
    <t>ef7cfcf8</t>
  </si>
  <si>
    <t>galerie::galerie_Files_/71e1e275.Path.095214.avif</t>
  </si>
  <si>
    <t>CSC770HTN</t>
  </si>
  <si>
    <t>cb9b8ef9</t>
  </si>
  <si>
    <t>La Maison Verte</t>
  </si>
  <si>
    <t>Rue du domaine de Bellevue</t>
  </si>
  <si>
    <t>-21.194837, 55.578260</t>
  </si>
  <si>
    <t>lmv97418@gmail.com</t>
  </si>
  <si>
    <t>0692 74 00 76</t>
  </si>
  <si>
    <t>La maison verte propose :
- 1 chambre avec lit double 
- 3 chambres avec des lit jumeaux
- service de pressing (uniquement lave-linge)
Le petit déjeuner est à 8€ par personne.
Certains soir la maison verte propose le repas du soir à partir 20€ selon les formules proposés le jour j.
Propose des produits transformés issus de l’agriculture de Rita, des boissons fraiches et collations sont à commander sur place.</t>
  </si>
  <si>
    <t>La maison verte - Chambre et table d'hôtes</t>
  </si>
  <si>
    <t>À proximité du parc 27ème, continuez tout droit sur la nationale, puis prenez à gauche sur la rue "Impasse de Bellevue"</t>
  </si>
  <si>
    <t>kitchenette équipée , service de blanchisserie , wifi , salle de bain privée , parking</t>
  </si>
  <si>
    <t>cité du volcan,point de vue panoramique,Point de vue du Belvédère de Bois court,parc,sentier de randonnée</t>
  </si>
  <si>
    <t>ae6089b4</t>
  </si>
  <si>
    <t>bf24ce58</t>
  </si>
  <si>
    <t>galerie::galerie_Files_/960cde90.Path.055155.avif</t>
  </si>
  <si>
    <t>49342f66</t>
  </si>
  <si>
    <t>Dragon Fly</t>
  </si>
  <si>
    <t>41B</t>
  </si>
  <si>
    <t>Chemin Luc Hoarau</t>
  </si>
  <si>
    <t>-21.268327, 55.496925</t>
  </si>
  <si>
    <t>dragonfly41b@gmail.com</t>
  </si>
  <si>
    <t>0693 93 06 72</t>
  </si>
  <si>
    <t>https://www.saisonnier-reunion.re/</t>
  </si>
  <si>
    <t>La maison se compose de : 
- 1 chambre avec un lit double 
- 1 chambre avec un lit double et un lit simple
- 1 terrasse avec un salon d’extérieur
Tarifs : 
Lundi - Jeudi : 75€/ nuit 
Vendredi - Dimanche : 80€/ nuit
Semaine : 520€
Minimum 2 nuits. 
Service de nettoyage disponible à 40 euros.</t>
  </si>
  <si>
    <t>Plus qu'une location, un cocon lumineux où poser vos valises et votre esprit</t>
  </si>
  <si>
    <t>Continuer tout droit sur la ligne 400, puis tourner à droite sur le chemin Luc Hoarau. L’hébergement se trouve à proximité de VTC Natur'Run.</t>
  </si>
  <si>
    <t>sèche-cheveux , douche , TV , salle de bain privée , linge de maison , surveillance caméra , ventilateur , terrasse , cuisine équipée , parking , wifi</t>
  </si>
  <si>
    <t>stade de foot,arrêt bus,aire de jeux,sentier de randonnée</t>
  </si>
  <si>
    <t>9beb7349</t>
  </si>
  <si>
    <t>4e35170c</t>
  </si>
  <si>
    <t>galerie::galerie_Images/58b91740.Path.053217.jpg</t>
  </si>
  <si>
    <t>CSC776HTT</t>
  </si>
  <si>
    <t>Chez Liline</t>
  </si>
  <si>
    <t>125</t>
  </si>
  <si>
    <t>Rue Raphaël Douyère</t>
  </si>
  <si>
    <t>-21.212878, 55.550458</t>
  </si>
  <si>
    <t>chezliline97418@gmail.com</t>
  </si>
  <si>
    <t>0692 42 16 17</t>
  </si>
  <si>
    <t>48b893f1</t>
  </si>
  <si>
    <t>CSC777HTU</t>
  </si>
  <si>
    <t>17589b4c</t>
  </si>
  <si>
    <t>Association Aster Lontan</t>
  </si>
  <si>
    <t>300</t>
  </si>
  <si>
    <t>chemin Jean Lauret</t>
  </si>
  <si>
    <t>-21.242549, 55.480699</t>
  </si>
  <si>
    <t>asterlontan@gmail.com</t>
  </si>
  <si>
    <t>0693 47 61 22</t>
  </si>
  <si>
    <t>Aster Lontan propose des ateliers découverte ou des formations autour du textile en général et du patrimoine du textile réunionnais.
Autrice du livre "Broderie : les jours de Cilaos - Histoire, Techniques, Modèles". Elle peut faire découvrir cette technique aux adultes, enfants (à partir de 8ans),  débutants ou brodeurs aguerris, par groupe de 4 à 10 personnes maximum.
Elle anime des ateliers d’initiation au tressage de végétaux, au cours desquels elle accompagne les participants depuis la préparation de la plante jusqu’à la réalisation d’un petit objet.
Elle peut également animer des ateliers autour : 
- du tapis mendiant
- du tressage de vacoa
- du tissage
- du filage de laine
- de la  dentelle au fuseau
- de la broderie traditionnelle
- du crochet
- du tricot
Elle vient de crée sa marque "SIRANDANE", elle propose de l'artisanat d'art en lien avec le patrimoine de La Réunion : bijoux, accessoires et tableaux brodés. Mais aussi, des kits d'initiation à différentes techniques.
TARIFS :
- Atelier découverte de la broderie de Cilaos 20 € pour 2 h
- Autres atelier (tissage de vacoa, tressage de végétaux, tissage, dentelle....) 30€ avec le matériel compris
Les formules peuvent différer en fonction des demandes, du matériel nécessaire, du nombre d'ateliers prévus....
 * Propose également des ateliers pour les médiathèques, les municipalités avec un forfait de 200€ pour 2 h d'atelier découverte pour 10 personnes.
* Formation longue de 8 séances d'initiation à la broderie de Cilaos réparties sur l'année 180 €/séance de 2 h</t>
  </si>
  <si>
    <t>Association pour la promotion du patrimoine culturel réunionnais</t>
  </si>
  <si>
    <t>A proximité d l'église Ravine des Citrons</t>
  </si>
  <si>
    <t>282d9a87</t>
  </si>
  <si>
    <t>9abfe073</t>
  </si>
  <si>
    <t>galerie::galerie_Images/429a2f91.Path.050500.jpg</t>
  </si>
  <si>
    <t>f44a8ee8</t>
  </si>
  <si>
    <t>EcoKaz Palmita</t>
  </si>
  <si>
    <t>17 Bis</t>
  </si>
  <si>
    <t>Rue du Docteur Ignace Hoareau</t>
  </si>
  <si>
    <t>-21.282048, 55.504840</t>
  </si>
  <si>
    <t>tom@edenhomes.re</t>
  </si>
  <si>
    <t>0692 03 55 15</t>
  </si>
  <si>
    <t>linge de maison , vue montagne , salle de bain privée , baignoire , terrasse , parking , wifi</t>
  </si>
  <si>
    <t>arrêt bus,station service,centre ville,commerce de proximité…</t>
  </si>
  <si>
    <t>cd8b8424</t>
  </si>
  <si>
    <t>f30fc064</t>
  </si>
  <si>
    <t>galerie::galerie_Images/b5586c7e.Path.054958.jpg</t>
  </si>
  <si>
    <t>CSC778HTV</t>
  </si>
  <si>
    <t>5e8190a3</t>
  </si>
  <si>
    <t>L'escapade des Hauts</t>
  </si>
  <si>
    <t>298</t>
  </si>
  <si>
    <t>Chemin Frappier de Montbenoit</t>
  </si>
  <si>
    <t>-21.212433, 55.548933</t>
  </si>
  <si>
    <t>amablelebonketty@gmail.com</t>
  </si>
  <si>
    <t>0693 03 30 34</t>
  </si>
  <si>
    <t>L'escapade des Hauts propose : 
- 3 chambres avec lit doubles 
- 1 chambre avec deux lits simples et un berceau
- 1 jacuzzi 
- 1 grand jardin avec des airs de jeux pour enfants
Ménage disponible pendant le séjour.
Un seul animal est accepté.</t>
  </si>
  <si>
    <t>Venez découvrir - L'escapade des Hauts</t>
  </si>
  <si>
    <t>parking , aire de jeux pour enfant , cuisine équipée , table de ping-pong , fer à repasser , jardin , jacuzzi , barbecue , Cafetière , wifi , cheminée , chauffage , climatisation , berceau , TV , lave-linge , chaise haute</t>
  </si>
  <si>
    <t>aire de jeux,sentier de randonnée,point de vue panoramique,arrêt bus</t>
  </si>
  <si>
    <t>booking,airbnb,Abritel</t>
  </si>
  <si>
    <t>19c110d3</t>
  </si>
  <si>
    <t>2b5ea4ca</t>
  </si>
  <si>
    <t>galerie::galerie_Files_/554c427c.Path.060055.avif</t>
  </si>
  <si>
    <t>CSC779HTW</t>
  </si>
  <si>
    <t>95b96890</t>
  </si>
  <si>
    <t>Rando Péizaj 974</t>
  </si>
  <si>
    <t>Rue de la Cayenne</t>
  </si>
  <si>
    <t>La cayenne</t>
  </si>
  <si>
    <t>-21.384826, 55.612567</t>
  </si>
  <si>
    <t>jb.waro@yahoo.fr</t>
  </si>
  <si>
    <t>0692 66 92 99</t>
  </si>
  <si>
    <t>Jean Hoarau Bernard est un guide réunionnais passionné et expérimenté.
Actuellement en formation d’Accompagnateur en Moyenne Montagne (AMM), il finalisera ses unités de formation en juin 2026 et pourra encadrer des sorties dès début mai, dans le cadre de son statut de stagiaire.
Médiateur depuis 17 ans au Parc National de La Réunion, il apporte aux randonnées une véritable dimension de médiation :
- Lecture de paysage
- Compréhension des patrimoines naturels, culturels et historiques
- Sensibilisation aux enjeux environnementaux
- Valorisation des savoir-faire locaux
Il s’attache à offrir des expériences de randonnée enrichissantes et responsables, mettant en valeur les paysages, les trésors patrimoniaux et les savoir-faire locaux du Sud de l’île, en particulier autour de Saint-Joseph.
Son approche favorise un tourisme durable et qualitatif, alliant sécurité, pédagogie et plaisir de la découverte.
Que vous soyez randonneur débutant, marcheur aguerri, famille en quête d’aventure ou traileur en préparation, ses itinéraires s’adaptent à tous les niveaux.
Ses services : 
 **Randonnée à la journée ou demi-journée, en privatif ou en groupe (max. 8 personnes)
**Sorties thématiques : faune, flore, volcanisme, patrimoine et histoire créoles, rando photos,
**Accompagnement familles, enfants, groupes scolaires ou entreprises
**Itinérance sur plusieurs jours avec bivouac ou gîte
Randonnées à la journée :
Privative : 250 € / jour (maximum 3 personnes)
Groupe ou famille : tarif sur demande (maximum 8 personnes)
Treks sur plusieurs jours :
Tarif sur devis, selon le séjour (gîte, taxi, prestation de guidage)
Une fiche descriptive est envoyée après la réservation de chaque randonnée.</t>
  </si>
  <si>
    <t>Rando Péizaj 974 -  Accompagnateur en moyenne montagne</t>
  </si>
  <si>
    <t>67c54927</t>
  </si>
  <si>
    <t>7109cd76</t>
  </si>
  <si>
    <t>2fc0da0f</t>
  </si>
  <si>
    <t>L'Affiche d'une île</t>
  </si>
  <si>
    <t>Impasse des Lavandières</t>
  </si>
  <si>
    <t>-21.362217, 55.597071</t>
  </si>
  <si>
    <t>info@lafficheduneile.re</t>
  </si>
  <si>
    <t>http://www.lafficheduneile.re</t>
  </si>
  <si>
    <t>Les artistes Hippolyte et Guillaume Plantevin, auteurs et illustrateurs, ont crée l'affiche d'une île en 2017.
Tout est dessiner à la main et imprimé à la Réunion.
Ils proposent : 
- des affiches 
- des cartes postales 
- calendriers
Grâce à l’agenda disponible sur leur site internet, on peut savoir sur quel marché forain ils sont présents et à quelles dates.
Leurs créations sont aussi disponibles dans plusieurs points de vente, tels que :
- Espace Culturel E.Leclerc / Les Terrass
- Cité du volcan
- Le Dimitile Hôtel &amp; Spa ****
La liste complète des points de vente est disponible sur leur site internet.</t>
  </si>
  <si>
    <t>Maison d’édition réunionnaise - Créations d'affiches, cartes postales et calendriers</t>
  </si>
  <si>
    <t>A proximité de l'école de Carosse</t>
  </si>
  <si>
    <t>affiche</t>
  </si>
  <si>
    <t>df2b07af</t>
  </si>
  <si>
    <t>c23eabbd</t>
  </si>
  <si>
    <t>galerie::galerie_Images/274024c7.Path.050247.png</t>
  </si>
  <si>
    <t>Le poste de Cécile MASSAT-TRUCAT : Relation clientèle &amp; suivi de projet</t>
  </si>
  <si>
    <t>La Villa Monstera</t>
  </si>
  <si>
    <t>Chemin Emmanuel Burel</t>
  </si>
  <si>
    <t>-21.270846, 55.496409</t>
  </si>
  <si>
    <t>patrick.carpaye@outlook.fr</t>
  </si>
  <si>
    <t>0693 80 43 54</t>
  </si>
  <si>
    <t>La villa monstera est composée de :
Au 1er étage : 
- 1 chambre double avec coin salon et dressing
- 1 chambre avec lit double 
- Une salle d'eau avec WC
- Coin bureau/bibliothèque avec jeux et livres à disposition
Au 2ème étages : 
- 1 chambre avec lit double
- WC</t>
  </si>
  <si>
    <t>Appartement spacieux au Tampon</t>
  </si>
  <si>
    <t>Lignes des 400</t>
  </si>
  <si>
    <t>parking , four , terrasse , salon de jardin , micro-ondes , TV</t>
  </si>
  <si>
    <t>sentier de randonnée,point de vue panoramique,centre commercial</t>
  </si>
  <si>
    <t>99454988</t>
  </si>
  <si>
    <t>30eb9f6c</t>
  </si>
  <si>
    <t>https://ryycrdhlkmzpxwwwwupy.supabase.co/storage/v1/object/public/old_media/f7c1b481.Path.044259.jpg</t>
  </si>
  <si>
    <t>8e6858f0</t>
  </si>
  <si>
    <t>Chez Monblanc</t>
  </si>
  <si>
    <t>2 Bis</t>
  </si>
  <si>
    <t>rue Maunier</t>
  </si>
  <si>
    <t>-21.378906, 55.645485</t>
  </si>
  <si>
    <t>monblancmezino97480@gmail.com</t>
  </si>
  <si>
    <t>0618 91 41 81</t>
  </si>
  <si>
    <t>Chez Monblanc propose : 
- 2 chambres avec lit double 
- Un canapé convertible
- Une cuisine équipée
- Wi-Fi disponible</t>
  </si>
  <si>
    <t>Profitez d'un agréable séjour chez Monblanc</t>
  </si>
  <si>
    <t>Depuis le centre de Saint-Joseph, suivre la direction Langevin.
Après le rond-point de Bois Noir, tourner à gauche sur la rue Guichard, puis prendre à droite sur le chemin Maunier.</t>
  </si>
  <si>
    <t>Cafetière , parking , Lit parapluie sur demande , wifi , chauffage , ventilateur , climatisation , TV , cuisine équipée , fer à repasser , lave-linge , vue mer , vue montagne</t>
  </si>
  <si>
    <t>sentier de randonnée,point de vue panoramique,riviere,cascade</t>
  </si>
  <si>
    <t>9210e9ce</t>
  </si>
  <si>
    <t>fb2bdb56</t>
  </si>
  <si>
    <t>galerie::galerie_Files_/2b53b3c2.Path.055005.avif</t>
  </si>
  <si>
    <t>4b957857</t>
  </si>
  <si>
    <t>Ti Case Mémé Lauret - Villa Marine</t>
  </si>
  <si>
    <t>Ter impasse Juliette - Logement 2</t>
  </si>
  <si>
    <t>-21.370172, 55.673314</t>
  </si>
  <si>
    <t>ticasememelauret@gmail.com</t>
  </si>
  <si>
    <t>0693 63 60 05</t>
  </si>
  <si>
    <t>La villa propose : 
- 2 chambres avec lits doubles
- 1 canapé lit au salon 
- une terrasse
- une baignoire extérieur 
- une piscine 
- une cuisine équipée
Le logement n’est pas adapté aux fêtes ou événements.
Tarifs : 
120€ la nuitée en semaine 
150€ la nuitée le vendredi et samedi
2 jours minimum</t>
  </si>
  <si>
    <t>Venez profiter d’un séjour à la Villa Cap Jaune</t>
  </si>
  <si>
    <t>piscine , Cafetière , cuisine équipée , wifi , chauffage , ventilateur , climatisation , berceau , TV , lave-linge</t>
  </si>
  <si>
    <t>sentier de randonnée,point de vue panoramique,riviere,station service,snack,pharmacie</t>
  </si>
  <si>
    <t>7f1f249f</t>
  </si>
  <si>
    <t>01efc91e</t>
  </si>
  <si>
    <t>galerie::galerie_Files_/507fe056.Path.065434.avif</t>
  </si>
  <si>
    <t>989d5201</t>
  </si>
  <si>
    <t>Ti Case Mémé Lauret - Villa Cap Jaune</t>
  </si>
  <si>
    <t>Ter Impasse Juliette - Logement 3</t>
  </si>
  <si>
    <t>-21.370189, 55.673300</t>
  </si>
  <si>
    <t>La villa propose : 
- 2 chambres avec lits doubles
- 1 canapé-lit 
- piscine 
- cuisine entièrement équipée
- télévision avec Canal +
- une terrasse
Tarifs : 
120€ la nuitée en semaine 
150€ la nuitée le vendredi et samedi
2 jours minimum</t>
  </si>
  <si>
    <t>Bienvenue à la Villa Cap Jaune</t>
  </si>
  <si>
    <t>ventilateur , chauffage , climatisation , Lit parapluie sur demande , berceau , TV , lave-linge , piscine , vue mer , vue montagne</t>
  </si>
  <si>
    <t>pizzeria,boulangerie,sentier de randonnée,point de vue panoramique,pharmacie,station essence</t>
  </si>
  <si>
    <t>3feed35c</t>
  </si>
  <si>
    <t>galerie::galerie_Files_/2b82cbd8.Path.072321.avif</t>
  </si>
  <si>
    <t>f5d77505</t>
  </si>
  <si>
    <t>La forêt de nuages</t>
  </si>
  <si>
    <t>Chemin Assing</t>
  </si>
  <si>
    <t>-21.328267, 55.652460</t>
  </si>
  <si>
    <t>laforetdenuages@outlook.com</t>
  </si>
  <si>
    <t>https://laforetdenuages.com/</t>
  </si>
  <si>
    <t>La Forêt de Nuages a pour objet d’œuvrer, à travers des actions et projets, pour :
- Un développement durable
- Le commerce équitable
- La préservation de la biodiversité
- L’éducation à l’environnement
- Le maintien de l’agriculture paysanne de manière écologique et équitable
- La valorisation des ressources locales naturelles et recyclées 
- La protection de la santé
- La promotion et la création artistique
L’association implique femmes, hommes et enfants de tous âges, de toutes catégories sociales, sans tenir compte de leurs religions ou origines, à La Réunion.
Ouvert sur demande.
Excursion 2.5€/heure par personne.</t>
  </si>
  <si>
    <t>675b90c3</t>
  </si>
  <si>
    <t>db789d9c</t>
  </si>
  <si>
    <t>Ti Karé Dan Péi</t>
  </si>
  <si>
    <t>Guide Accompagnateur Touristique</t>
  </si>
  <si>
    <t>-21.239367, 55.503196</t>
  </si>
  <si>
    <t>benoit-fontaine@orange.fr</t>
  </si>
  <si>
    <t>0692 85 72 11</t>
  </si>
  <si>
    <t>🌿 Ti Karé Dan Péï
Des sorties et visites pour découvrir La Réunion autrement : nature, patrimoine, paysages et histoires péï.
Des balades accessibles, conviviales et pédagogiques, guidées avec passion pour mieux comprendre et aimer notre territoire.</t>
  </si>
  <si>
    <t>Fontaine Benoit - Guide Accompagnateur Touristique
Aux quatre coins de l'Ile et sommet des lieux où la nature et la culture s’entremêlent pour créer une expérience de visite inoubliable, invitant à la découverte et à la préservation de ce patrimoine unique. 🌋🏝️</t>
  </si>
  <si>
    <t>matériel pour l'activité , grand espace , vue mer , vue montagne , visites guidées</t>
  </si>
  <si>
    <t>sentier de randonnée,parking public,point de vue panoramique,site - lieu culturel,plage,pêche,forêt</t>
  </si>
  <si>
    <t>7238f05d</t>
  </si>
  <si>
    <t>1ecd5348</t>
  </si>
  <si>
    <t>6c5daf60</t>
  </si>
  <si>
    <t>Repos Sport</t>
  </si>
  <si>
    <t>45 bis</t>
  </si>
  <si>
    <t>rue bois de source</t>
  </si>
  <si>
    <t>-21.195953, 55.537181</t>
  </si>
  <si>
    <t>christophe.rouget05@gmail.com</t>
  </si>
  <si>
    <t>0692 79 91 51</t>
  </si>
  <si>
    <t>La maison est composée de :
-  trois chambres confortables avec lits doubles
- un espace fitness privé équipé pour vos séances de remise en forme
- un salon lumineux avec canapé-lit, TV et accès direct au jardin
- une cuisine entièrement équipée 
- une buanderie-cellier avec machine à laver 
- une terrasse extérieure avec mobilier et guirlande lumineuse</t>
  </si>
  <si>
    <t>Séjournez dans une villa lumineuse entre nature et remise en forme</t>
  </si>
  <si>
    <t>A proximité de l'aire de jeux de bois court</t>
  </si>
  <si>
    <t>parking , barbecue , Cafetière , cuisine équipée , wifi , chauffage , jeux , TV , salle de sport</t>
  </si>
  <si>
    <t>sentier de randonnée,point de vue panoramique,Point de vue du Belvédère de Bois court</t>
  </si>
  <si>
    <t>1ca53823</t>
  </si>
  <si>
    <t>7ee8a565</t>
  </si>
  <si>
    <t>galerie::galerie_Files_/90995784.Path.054529.avif</t>
  </si>
  <si>
    <t>CSC780HTO</t>
  </si>
  <si>
    <t>b4120054</t>
  </si>
  <si>
    <t>Ô Chalet</t>
  </si>
  <si>
    <t>Chemin Vacoa</t>
  </si>
  <si>
    <t>-21.358704, 55.766045</t>
  </si>
  <si>
    <t>resa.ledodolela@gmail.com</t>
  </si>
  <si>
    <t>0692 30 35 42</t>
  </si>
  <si>
    <t>Le chalet est composé de : 
- 1 chambre avec deux lits simple 
- 1 chambre avec un lit double 
- 1 terrasse 
- 1 cuisine équipée
Les animaux sont acceptés dans le jardin et sur la terrasse mais pas dans le chalet. Il faudra ramasser leurs excréments sous peine de facturation en cas de non-respect du règlement.
Le chalet propose également : 
- location de porte bébé de rando (9-36 mois)
- location de matériel de camping et bivouac (tente, matelas, réchaud, table etc...)</t>
  </si>
  <si>
    <t>Charmant chalet au cœur de la ville côtière de Saint-Philippe</t>
  </si>
  <si>
    <t>Prendre la N2 en direction de Saint-Philippe. Après avoir dépassé la station TotalEnergies de Saint-Philippe, il faudra prendre la rue à gauche, chemin du Centre.</t>
  </si>
  <si>
    <t>lave-linge , TV , parking , Lit parapluie sur demande , Cafetière , cuisine équipée , wifi , ventilateur , berceau , climatisation , jeux de société</t>
  </si>
  <si>
    <t>piscine,route du volcan,route pour aller au volcan,sentier de randonnée</t>
  </si>
  <si>
    <t>d1e1ac32</t>
  </si>
  <si>
    <t>976b978e</t>
  </si>
  <si>
    <t>galerie::galerie_Files_/4429cead.Path.091406.avif</t>
  </si>
  <si>
    <t>b08a3e5c</t>
  </si>
  <si>
    <t>Emi Yogam</t>
  </si>
  <si>
    <t>Chemin de l'établissement</t>
  </si>
  <si>
    <t>-21.291001, 55.520567</t>
  </si>
  <si>
    <t>gonthieremilie@yahoo.fr</t>
  </si>
  <si>
    <t>0693 11 47 04</t>
  </si>
  <si>
    <t>Emi Yogam est une activité dédiée au bien-être située dans le sud de l’île de La Réunion, proposant des cours de yoga, des séances de relaxation et des massages bien-être.
Professeure de yoga et praticienne en massage, elle accompagne des personnes de tous niveaux dans une approche accessible et bienveillante, permettant d’améliorer la mobilité, la respiration et la détente mentale.
Les séances de yoga (Hatha, Yin, vinyasa ou relaxation) offrent un moment pour ralentir, relâcher les tensions et se reconnecter à soi. 
En complément, elle propose des massages relaxants, drainants et sportifs, favorisant la récupération physique, la circulation et la détente profonde.
Les séances peuvent se dérouler dans son espace dédié au bien-être, en intérieur ou en extérieur dans le jardin, mais également dans différents lieux à La Réunion : hôtels, structures touristiques, entreprises, événements bien-être ou séjours organisés.
Emi Yogam accueille aussi bien les habitants de l’île que les visiteurs souhaitant vivre une expérience de détente et de ressourcement pendant leur séjour à La Réunion.
Des séances peuvent également être proposées pour des groupes, événements ou séjours bien-être.
Les tarifs :
Forfaits mensuels : 
1 cours par semaine : 40€/mois
2 cours par semaine : 70€/mois
4 cours par semaine : 110€/mois
A la carte : 
Carnet de 10 tickets : 120€
La séance : 14€</t>
  </si>
  <si>
    <t>Emi Yogam - cours de yoga, massage</t>
  </si>
  <si>
    <t>A proximité du Stade municipal de la pointe et du terrain de sport</t>
  </si>
  <si>
    <t>Massages bien être , yoga</t>
  </si>
  <si>
    <t>arrêt bus,jardin,parcours de santé,stade de foot</t>
  </si>
  <si>
    <t>23032ce2</t>
  </si>
  <si>
    <t>97761ac9</t>
  </si>
  <si>
    <t>galerie::galerie_Images/b7d9d8f4.Path.042434.jpg</t>
  </si>
  <si>
    <t>kml</t>
  </si>
  <si>
    <t>r1</t>
  </si>
  <si>
    <t>Coeu de parc national</t>
  </si>
  <si>
    <t>Presta ID</t>
  </si>
  <si>
    <t>Genre</t>
  </si>
  <si>
    <t>Numéro de telephone</t>
  </si>
  <si>
    <t>Fonction</t>
  </si>
  <si>
    <t>Newsletter</t>
  </si>
  <si>
    <t>Nombre d'establissements</t>
  </si>
  <si>
    <t>Temp_form_ID</t>
  </si>
  <si>
    <t>DOB</t>
  </si>
  <si>
    <t>Revenus</t>
  </si>
  <si>
    <t>Rue Victor le Vigoureux</t>
  </si>
  <si>
    <t>56273DC925</t>
  </si>
  <si>
    <t>HOARAU ARHEL</t>
  </si>
  <si>
    <t>Viviane</t>
  </si>
  <si>
    <t>Mme</t>
  </si>
  <si>
    <t>Propriétaire</t>
  </si>
  <si>
    <t>rue Maurice et Katia Krafft</t>
  </si>
  <si>
    <t>523b1e15</t>
  </si>
  <si>
    <t>JAMIN</t>
  </si>
  <si>
    <t>Stéphanie</t>
  </si>
  <si>
    <t>0641030726</t>
  </si>
  <si>
    <t>55f47e3b</t>
  </si>
  <si>
    <t>539932F7F9</t>
  </si>
  <si>
    <t>HEUDEBOURG</t>
  </si>
  <si>
    <t>Mr</t>
  </si>
  <si>
    <t>noncommuniquelorsdelappel@gmail.com</t>
  </si>
  <si>
    <t>0692303946</t>
  </si>
  <si>
    <t>d01182ba</t>
  </si>
  <si>
    <t>Principale</t>
  </si>
  <si>
    <t>BEGUE</t>
  </si>
  <si>
    <t>rec5bTILGfGPeLo90,2B679EBD9D</t>
  </si>
  <si>
    <t>e15fe401</t>
  </si>
  <si>
    <t>HUET</t>
  </si>
  <si>
    <t>LUDOVIC</t>
  </si>
  <si>
    <t>e0b2948d</t>
  </si>
  <si>
    <t>0259208820</t>
  </si>
  <si>
    <t>Rue du General de Gaulle</t>
  </si>
  <si>
    <t>0A91F44390</t>
  </si>
  <si>
    <t>PRIOR</t>
  </si>
  <si>
    <t>MICHEL</t>
  </si>
  <si>
    <t>3F66101D4B</t>
  </si>
  <si>
    <t>0E391BABBF</t>
  </si>
  <si>
    <t>Allée du Four à Chaux</t>
  </si>
  <si>
    <t>639B5ED4C2</t>
  </si>
  <si>
    <t>FALCONNET</t>
  </si>
  <si>
    <t>Claire</t>
  </si>
  <si>
    <t>Prestataires_Images/4381FE.Photo.092614.jpg</t>
  </si>
  <si>
    <t>b8fec00b</t>
  </si>
  <si>
    <t>Blvrd de l'Ocean</t>
  </si>
  <si>
    <t>0F726B97E1</t>
  </si>
  <si>
    <t>0262475895</t>
  </si>
  <si>
    <t>Rue des Poinsetias</t>
  </si>
  <si>
    <t>3036FB8347</t>
  </si>
  <si>
    <t>MARTY</t>
  </si>
  <si>
    <t>Éva</t>
  </si>
  <si>
    <t>166F0425A6</t>
  </si>
  <si>
    <t>ABDELCADER</t>
  </si>
  <si>
    <t>JEAN-NOEL</t>
  </si>
  <si>
    <t>0692896156</t>
  </si>
  <si>
    <t>Chemin Neuf</t>
  </si>
  <si>
    <t>54DB633C38</t>
  </si>
  <si>
    <t>4F875C70D4</t>
  </si>
  <si>
    <t>d78744e3</t>
  </si>
  <si>
    <t>0692627684</t>
  </si>
  <si>
    <t>5010270291</t>
  </si>
  <si>
    <t>Route de Grand Coude</t>
  </si>
  <si>
    <t>35DE244F69</t>
  </si>
  <si>
    <t>MARIE-MARTHE</t>
  </si>
  <si>
    <t>Marie Linda</t>
  </si>
  <si>
    <t>0692728145  /  0262325778</t>
  </si>
  <si>
    <t>Co-gérant</t>
  </si>
  <si>
    <t>4c64e915</t>
  </si>
  <si>
    <t>0262409142</t>
  </si>
  <si>
    <t>Rue De La Marine</t>
  </si>
  <si>
    <t>40371A3A44</t>
  </si>
  <si>
    <t>MUSSARD</t>
  </si>
  <si>
    <t>Reine Lys</t>
  </si>
  <si>
    <t>rue de La Passerelle</t>
  </si>
  <si>
    <t>2d17201d</t>
  </si>
  <si>
    <t>15B9E7B44D</t>
  </si>
  <si>
    <t>0692529293</t>
  </si>
  <si>
    <t>Rue de L'Eglise</t>
  </si>
  <si>
    <t>dae40b07</t>
  </si>
  <si>
    <t>AbAl73943i</t>
  </si>
  <si>
    <t>Ablancourt</t>
  </si>
  <si>
    <t>Aliette</t>
  </si>
  <si>
    <t>0692607394</t>
  </si>
  <si>
    <t>Chemin Mazeau</t>
  </si>
  <si>
    <t>824e25c5</t>
  </si>
  <si>
    <t>Abraham</t>
  </si>
  <si>
    <t>Jean Dany</t>
  </si>
  <si>
    <t>1AF9CAB9A4</t>
  </si>
  <si>
    <t>AdJe0544bj</t>
  </si>
  <si>
    <t>Adenor</t>
  </si>
  <si>
    <t>Jean-Luc</t>
  </si>
  <si>
    <t>Chemin de la Concession les Bas</t>
  </si>
  <si>
    <t>recl3YsjDvax0JOqx,reccZJ9INTTb7Mxtg,recTOYS57f6XsJiuz,31D46730D6,7a4a1113</t>
  </si>
  <si>
    <t>f345f8d5</t>
  </si>
  <si>
    <t>AdMa0544yT</t>
  </si>
  <si>
    <t>Maryse</t>
  </si>
  <si>
    <t xml:space="preserve">Gérant </t>
  </si>
  <si>
    <t>recl3YsjDvax0JOqx,reccZJ9INTTb7Mxtg,recTOYS57f6XsJiuz</t>
  </si>
  <si>
    <t>4e8799fd</t>
  </si>
  <si>
    <t>Ah-fat</t>
  </si>
  <si>
    <t>Gilbert</t>
  </si>
  <si>
    <t>Chemin des Pois de Senteur</t>
  </si>
  <si>
    <t>3AC558A4EF</t>
  </si>
  <si>
    <t>Ajagamel</t>
  </si>
  <si>
    <t>Emmanuel</t>
  </si>
  <si>
    <t>Chemin Souprayen</t>
  </si>
  <si>
    <t>58676E1655</t>
  </si>
  <si>
    <t>Alicalapa-tenon</t>
  </si>
  <si>
    <t>Clément</t>
  </si>
  <si>
    <t>chemin du Champ de Foire Bourg Murat</t>
  </si>
  <si>
    <t>Prestataires_Images/AlCl8009JW.Photo.061520.jpg</t>
  </si>
  <si>
    <t>47EE10E7A7</t>
  </si>
  <si>
    <t>Amily</t>
  </si>
  <si>
    <t>Marie Paule</t>
  </si>
  <si>
    <t>3D8AAC746F</t>
  </si>
  <si>
    <t>Ambiehl</t>
  </si>
  <si>
    <t>Patrick</t>
  </si>
  <si>
    <t>Chemin Emile Zola</t>
  </si>
  <si>
    <t>35396C21A5</t>
  </si>
  <si>
    <t>Anthony</t>
  </si>
  <si>
    <t>CLAUDIN</t>
  </si>
  <si>
    <t>rue Hubert delisle</t>
  </si>
  <si>
    <t>b700b8bd</t>
  </si>
  <si>
    <t>Anouvaraly</t>
  </si>
  <si>
    <t>Zaïd</t>
  </si>
  <si>
    <t>Rue Marius et Ary Leblond</t>
  </si>
  <si>
    <t>e5d1c732</t>
  </si>
  <si>
    <t>Apostin</t>
  </si>
  <si>
    <t>Catherine</t>
  </si>
  <si>
    <t>rue des Passerines</t>
  </si>
  <si>
    <t>15DE73495F</t>
  </si>
  <si>
    <t>Arnaud</t>
  </si>
  <si>
    <t>Carle</t>
  </si>
  <si>
    <t>Impasse des Evis</t>
  </si>
  <si>
    <t>Prestataires_Images/ArCa7144Fs.Photo.064852.jpg</t>
  </si>
  <si>
    <t>3f80996b</t>
  </si>
  <si>
    <t>Secondaire</t>
  </si>
  <si>
    <t>Arquier</t>
  </si>
  <si>
    <t>Sylvie</t>
  </si>
  <si>
    <t>13796E0DE7</t>
  </si>
  <si>
    <t>ASTIER TECHER</t>
  </si>
  <si>
    <t>Christine</t>
  </si>
  <si>
    <t>5AF2F43307</t>
  </si>
  <si>
    <t>Auffray</t>
  </si>
  <si>
    <t>Julien</t>
  </si>
  <si>
    <t>Rue Roland Garros</t>
  </si>
  <si>
    <t>2BBF85AADD</t>
  </si>
  <si>
    <t>Auckburally</t>
  </si>
  <si>
    <t>Yazir</t>
  </si>
  <si>
    <t>0698A6B6D9</t>
  </si>
  <si>
    <t>Avril</t>
  </si>
  <si>
    <t>Karl</t>
  </si>
  <si>
    <t>Chemin Saint Expédit</t>
  </si>
  <si>
    <t>52CA20D2DE</t>
  </si>
  <si>
    <t>Teddy Henry</t>
  </si>
  <si>
    <t>rue des Zanzibar</t>
  </si>
  <si>
    <t>Petite-Ile</t>
  </si>
  <si>
    <t>recqN19d2eJTgPzZy,recgxZ5CI3DpWzURM,1DBAACEE25,1DBAACEE25</t>
  </si>
  <si>
    <t>Prestataires_Images/AvTe5314dE.Photo.110047.jpg</t>
  </si>
  <si>
    <t>922f7730</t>
  </si>
  <si>
    <t>Calçada</t>
  </si>
  <si>
    <t>0262392000</t>
  </si>
  <si>
    <t>rec5vqdPwSdrFzsvs,recwnAf36kcAw7rJr,022C4A9B1C,97c59f68</t>
  </si>
  <si>
    <t>6306ac69</t>
  </si>
  <si>
    <t>Bazin</t>
  </si>
  <si>
    <t>Ginette</t>
  </si>
  <si>
    <t>3CCFBAA643</t>
  </si>
  <si>
    <t>Barret</t>
  </si>
  <si>
    <t>Jean-Marie</t>
  </si>
  <si>
    <t>0021B714DF</t>
  </si>
  <si>
    <t>Balanger</t>
  </si>
  <si>
    <t>Matthieu</t>
  </si>
  <si>
    <t>0692015956</t>
  </si>
  <si>
    <t>Prestataires_Images/BaMa5956sK.Photo.115122.jpg</t>
  </si>
  <si>
    <t>886cb216</t>
  </si>
  <si>
    <t>Baudet</t>
  </si>
  <si>
    <t>37CBA1AC32</t>
  </si>
  <si>
    <t>Bader kerbrat</t>
  </si>
  <si>
    <t>Virginie</t>
  </si>
  <si>
    <t>Impasse des Canelles</t>
  </si>
  <si>
    <t>5ED4ADA14B</t>
  </si>
  <si>
    <t>Beaudemoulin</t>
  </si>
  <si>
    <t>Alain</t>
  </si>
  <si>
    <t>2693927034</t>
  </si>
  <si>
    <t>Rue Albert Frejaville</t>
  </si>
  <si>
    <t>55A78C5005</t>
  </si>
  <si>
    <t>Behari</t>
  </si>
  <si>
    <t>Bertrand</t>
  </si>
  <si>
    <t>Prestataires_Images/BeBe1856O6.Photo.094845.png</t>
  </si>
  <si>
    <t>3CE566E541</t>
  </si>
  <si>
    <t>Benoit</t>
  </si>
  <si>
    <t>Bernard</t>
  </si>
  <si>
    <t>Impasse des Lys</t>
  </si>
  <si>
    <t>3C00B5E328</t>
  </si>
  <si>
    <t>Berlie-caillat</t>
  </si>
  <si>
    <t>Claude</t>
  </si>
  <si>
    <t>Rue Juliette Dodu</t>
  </si>
  <si>
    <t>882a05b1</t>
  </si>
  <si>
    <t>PLUMARD</t>
  </si>
  <si>
    <t>Prestataires_Images/BeDa7193Qp.Photo.071808.png</t>
  </si>
  <si>
    <t>41D67ECECD</t>
  </si>
  <si>
    <t>Bertron</t>
  </si>
  <si>
    <t>Didier Manuel</t>
  </si>
  <si>
    <t>0693137978</t>
  </si>
  <si>
    <t>9 b</t>
  </si>
  <si>
    <t>Allée du Four A Chaux</t>
  </si>
  <si>
    <t>561D8A99D1</t>
  </si>
  <si>
    <t>Berthilde</t>
  </si>
  <si>
    <t>da7c3ec5</t>
  </si>
  <si>
    <t>Bègue</t>
  </si>
  <si>
    <t>Jacky</t>
  </si>
  <si>
    <t>0692684454</t>
  </si>
  <si>
    <t>Rue Jules Hoareau</t>
  </si>
  <si>
    <t>0D0B7A4484</t>
  </si>
  <si>
    <t>Beauval</t>
  </si>
  <si>
    <t>Jean-François</t>
  </si>
  <si>
    <t>Rue De La Balance</t>
  </si>
  <si>
    <t>4F1108656D</t>
  </si>
  <si>
    <t>Beauquis</t>
  </si>
  <si>
    <t>Jérôme</t>
  </si>
  <si>
    <t>Impasse des Eglantines</t>
  </si>
  <si>
    <t>recXYOu8iyDxwxsYj,recFDv6ASx8x1hXN8</t>
  </si>
  <si>
    <t>9d06e398</t>
  </si>
  <si>
    <t>Jim Paul</t>
  </si>
  <si>
    <t>Route Forestière 36 de Basse Vallée</t>
  </si>
  <si>
    <t>Prestataires_Images/BèJi2543d8.Photo.062451.jpg</t>
  </si>
  <si>
    <t>4B2D2C0CE9</t>
  </si>
  <si>
    <t>Bernadeau</t>
  </si>
  <si>
    <t>Liliane</t>
  </si>
  <si>
    <t>recm363jik6qQvAIJ,recAUYluxAfp1ft4c</t>
  </si>
  <si>
    <t>3168CA0FB6</t>
  </si>
  <si>
    <t>Begue</t>
  </si>
  <si>
    <t>Maryline</t>
  </si>
  <si>
    <t>Prestataires_Images/BeMa5648Zf.Photo.071823.png</t>
  </si>
  <si>
    <t>43531273A9</t>
  </si>
  <si>
    <t>Benard</t>
  </si>
  <si>
    <t>Mikael</t>
  </si>
  <si>
    <t>0692444717</t>
  </si>
  <si>
    <t>0D3590B21A</t>
  </si>
  <si>
    <t>Mirette</t>
  </si>
  <si>
    <t>Impasse Pierre Boulle</t>
  </si>
  <si>
    <t>25587721</t>
  </si>
  <si>
    <t>Monique</t>
  </si>
  <si>
    <t>05D5E656D3</t>
  </si>
  <si>
    <t>Berthelier</t>
  </si>
  <si>
    <t>Nathalie Carol</t>
  </si>
  <si>
    <t>Julius Horrau</t>
  </si>
  <si>
    <t>46F922A87E</t>
  </si>
  <si>
    <t>Beldan</t>
  </si>
  <si>
    <t>Patricia &amp; Henri</t>
  </si>
  <si>
    <t>Rue Victor Natvel</t>
  </si>
  <si>
    <t>recf4PScUvfaDzZFG,595AE0BA7C</t>
  </si>
  <si>
    <t>93e7129f</t>
  </si>
  <si>
    <t>Pascal</t>
  </si>
  <si>
    <t>2BCECE05DD</t>
  </si>
  <si>
    <t>Bénard</t>
  </si>
  <si>
    <t>Yoland</t>
  </si>
  <si>
    <t>a78469cd</t>
  </si>
  <si>
    <t>Billet</t>
  </si>
  <si>
    <t>Roland Marcel</t>
  </si>
  <si>
    <t>0692398969</t>
  </si>
  <si>
    <t>Chemin des Muguets</t>
  </si>
  <si>
    <t>7414ac47</t>
  </si>
  <si>
    <t>Bigot</t>
  </si>
  <si>
    <t>Yvon</t>
  </si>
  <si>
    <t>0692 64 89 89</t>
  </si>
  <si>
    <t>recnrwOK2ZcOdiQDq,recP65RYkZMUdYTBH</t>
  </si>
  <si>
    <t>205E63092B</t>
  </si>
  <si>
    <t>LEVENEUR</t>
  </si>
  <si>
    <t>Marie</t>
  </si>
  <si>
    <t>recJy5Jqc46L9JsWS,b7d17801</t>
  </si>
  <si>
    <t>95f1e062</t>
  </si>
  <si>
    <t>3BE537D34D</t>
  </si>
  <si>
    <t>Boyer</t>
  </si>
  <si>
    <t>5A91B635CC</t>
  </si>
  <si>
    <t>Boucher</t>
  </si>
  <si>
    <t>Annie</t>
  </si>
  <si>
    <t>Rue Jules Hoarau</t>
  </si>
  <si>
    <t>40A6869106</t>
  </si>
  <si>
    <t>Bourgoin</t>
  </si>
  <si>
    <t>chemin Boissy</t>
  </si>
  <si>
    <t>Saint - Pierre</t>
  </si>
  <si>
    <t>b54a692e</t>
  </si>
  <si>
    <t>rec3tQoHttdUUoQed,recQ92NHVqgQnEXJ1</t>
  </si>
  <si>
    <t>1A1389AAAF</t>
  </si>
  <si>
    <t>Bouquet</t>
  </si>
  <si>
    <t>Didier</t>
  </si>
  <si>
    <t>17699026B1</t>
  </si>
  <si>
    <t>Fabrice</t>
  </si>
  <si>
    <t>0262565601</t>
  </si>
  <si>
    <t>route de la passerelle</t>
  </si>
  <si>
    <t>69886ec4</t>
  </si>
  <si>
    <t>Borga</t>
  </si>
  <si>
    <t>Franco</t>
  </si>
  <si>
    <t>3B24AEA746</t>
  </si>
  <si>
    <t>Bonmosso</t>
  </si>
  <si>
    <t>Jean Michel</t>
  </si>
  <si>
    <t>maryse.bonmosso@gmail.com</t>
  </si>
  <si>
    <t>reccHIVp7euYxlSGu,60F5CCC471</t>
  </si>
  <si>
    <t>60F5CCC471</t>
  </si>
  <si>
    <t>Joseph Guylhem</t>
  </si>
  <si>
    <t>0692081826</t>
  </si>
  <si>
    <t>Rue de l'Ecole</t>
  </si>
  <si>
    <t>0432E024E1</t>
  </si>
  <si>
    <t>Bouc</t>
  </si>
  <si>
    <t>Josiane</t>
  </si>
  <si>
    <t>44995966CA</t>
  </si>
  <si>
    <t>Nelson</t>
  </si>
  <si>
    <t>2AC792F1C8</t>
  </si>
  <si>
    <t>CHANGEL</t>
  </si>
  <si>
    <t>Laurency</t>
  </si>
  <si>
    <t>recxuQJWOF1ivPs3a,recQJbrvmavCgqhmk</t>
  </si>
  <si>
    <t>5efb1ef4</t>
  </si>
  <si>
    <t>Bost</t>
  </si>
  <si>
    <t>Chemin Citerne Bras de Pontho</t>
  </si>
  <si>
    <t>41B882CFAE</t>
  </si>
  <si>
    <t>Teddy</t>
  </si>
  <si>
    <t>Rue Josemont Lauret</t>
  </si>
  <si>
    <t>recLjUyJFdNesBiuw,recQ9liZ5brrOqO7U,reco5TvEXQ3yvErid</t>
  </si>
  <si>
    <t>3EF14B2ADA</t>
  </si>
  <si>
    <t>Brochier</t>
  </si>
  <si>
    <t>Eric</t>
  </si>
  <si>
    <t>0692669387</t>
  </si>
  <si>
    <t>Impasse du Palmier</t>
  </si>
  <si>
    <t>1D632A1861</t>
  </si>
  <si>
    <t>Brutier</t>
  </si>
  <si>
    <t>Josian</t>
  </si>
  <si>
    <t>Chemin Bastian</t>
  </si>
  <si>
    <t>recLuYYogESVmKbtp,rect40nnjmkadzDoi</t>
  </si>
  <si>
    <t>1265174AF5</t>
  </si>
  <si>
    <t>Briant</t>
  </si>
  <si>
    <t>1EE6E0B986</t>
  </si>
  <si>
    <t>Cany</t>
  </si>
  <si>
    <t>Fanny</t>
  </si>
  <si>
    <t>Prestataires_Images/CaFa8534th.Photo.072759.jpg</t>
  </si>
  <si>
    <t>518eeaeb</t>
  </si>
  <si>
    <t>Calpetard</t>
  </si>
  <si>
    <t>Flavie</t>
  </si>
  <si>
    <t>Route Forestière du Rond</t>
  </si>
  <si>
    <t>899cb54a</t>
  </si>
  <si>
    <t>Cauchemez</t>
  </si>
  <si>
    <t>Geneviève</t>
  </si>
  <si>
    <t>0692 42 27 77</t>
  </si>
  <si>
    <t>Rue Surcouf</t>
  </si>
  <si>
    <t>reckOZ7OU50TrRb1v,recWwDQC56FAfLRPU</t>
  </si>
  <si>
    <t>31A73DFF16</t>
  </si>
  <si>
    <t>Caro</t>
  </si>
  <si>
    <t>Isabelle</t>
  </si>
  <si>
    <t>recqq8LMuPaRzKLFp,3745B77FC9</t>
  </si>
  <si>
    <t>3745B77FC9</t>
  </si>
  <si>
    <t>Caumes</t>
  </si>
  <si>
    <t>Jean Patrice</t>
  </si>
  <si>
    <t>16EFD12E4C</t>
  </si>
  <si>
    <t>Casimir</t>
  </si>
  <si>
    <t>Jean François</t>
  </si>
  <si>
    <t>Rue Du Domaine De Bellevue</t>
  </si>
  <si>
    <t>4947bc8e</t>
  </si>
  <si>
    <t>Cardot</t>
  </si>
  <si>
    <t>Josie</t>
  </si>
  <si>
    <t>0692100722</t>
  </si>
  <si>
    <t>4C6E103704</t>
  </si>
  <si>
    <t>Cadet</t>
  </si>
  <si>
    <t>Maria</t>
  </si>
  <si>
    <t>Route Hubert Delisle</t>
  </si>
  <si>
    <t>acb27210</t>
  </si>
  <si>
    <t>Cavery</t>
  </si>
  <si>
    <t>Madeleine</t>
  </si>
  <si>
    <t>Rue du Paille en Queue</t>
  </si>
  <si>
    <t>Prestataires_Images/CaMa5939VQ.Photo.070837.jpg</t>
  </si>
  <si>
    <t>6306133594</t>
  </si>
  <si>
    <t>Carron</t>
  </si>
  <si>
    <t>Reine-May</t>
  </si>
  <si>
    <t>227 C</t>
  </si>
  <si>
    <t>ue Georges Pompidou</t>
  </si>
  <si>
    <t>rec4Sp1Kc7fr9A3H4,recdYDKpysnem09GC</t>
  </si>
  <si>
    <t>0eb8eb40</t>
  </si>
  <si>
    <t>CADET</t>
  </si>
  <si>
    <t>Solange</t>
  </si>
  <si>
    <t>4C65D95B4D</t>
  </si>
  <si>
    <t>Celle</t>
  </si>
  <si>
    <t>Benoite</t>
  </si>
  <si>
    <t>44F4760C1E</t>
  </si>
  <si>
    <t>Ceus</t>
  </si>
  <si>
    <t>Jocelyn</t>
  </si>
  <si>
    <t>Chemin Bancoule</t>
  </si>
  <si>
    <t>5639CED1FC</t>
  </si>
  <si>
    <t>Chauvin</t>
  </si>
  <si>
    <t>Impasse des Letchis</t>
  </si>
  <si>
    <t>recCqLoT1f1PRg809,07D151EF55</t>
  </si>
  <si>
    <t>67ad985d</t>
  </si>
  <si>
    <t>VALLAUD</t>
  </si>
  <si>
    <t>Wendy</t>
  </si>
  <si>
    <t>0692721173</t>
  </si>
  <si>
    <t>Prestataires_Images/ChCo1173Kj.Photo.111545.png</t>
  </si>
  <si>
    <t>49A19D662A</t>
  </si>
  <si>
    <t>Chamand</t>
  </si>
  <si>
    <t>Jean</t>
  </si>
  <si>
    <t>0692331604</t>
  </si>
  <si>
    <t>4880aeac</t>
  </si>
  <si>
    <t>Chane Kuen</t>
  </si>
  <si>
    <t>Daniel</t>
  </si>
  <si>
    <t>0692639817</t>
  </si>
  <si>
    <t>rue Jules Hoareau</t>
  </si>
  <si>
    <t>5c294167</t>
  </si>
  <si>
    <t>Chane-kong</t>
  </si>
  <si>
    <t>Laure Reine</t>
  </si>
  <si>
    <t>0262565319</t>
  </si>
  <si>
    <t>02B3337457</t>
  </si>
  <si>
    <t>Chan shan kwong</t>
  </si>
  <si>
    <t>Mickaël</t>
  </si>
  <si>
    <t>48232DD8DC</t>
  </si>
  <si>
    <t>ChMo3602zy</t>
  </si>
  <si>
    <t>Chan</t>
  </si>
  <si>
    <t>8206a94f</t>
  </si>
  <si>
    <t>Chan-yu-hon</t>
  </si>
  <si>
    <t>Nicolas</t>
  </si>
  <si>
    <t>0692773097</t>
  </si>
  <si>
    <t>14349886F6</t>
  </si>
  <si>
    <t>Chane-Kaye-Bone</t>
  </si>
  <si>
    <t>0692849549</t>
  </si>
  <si>
    <t>Directeur</t>
  </si>
  <si>
    <t>route Nationale 3 PK28</t>
  </si>
  <si>
    <t>9045a62d</t>
  </si>
  <si>
    <t>Rolande</t>
  </si>
  <si>
    <t>0DE81C56E1</t>
  </si>
  <si>
    <t>Chassenieux</t>
  </si>
  <si>
    <t>Sonia</t>
  </si>
  <si>
    <t>Rue de Vienne</t>
  </si>
  <si>
    <t>recZx01uZHg0R4TGL,recF7jALDXSn1wIxA</t>
  </si>
  <si>
    <t>Prestataires_Images/ChSo7912tU.Photo.115005.jpg</t>
  </si>
  <si>
    <t>13291DEBF4</t>
  </si>
  <si>
    <t>CHANE HIME</t>
  </si>
  <si>
    <t>14a366b0</t>
  </si>
  <si>
    <t>Clain</t>
  </si>
  <si>
    <t>Bernadette</t>
  </si>
  <si>
    <t>4417768E6B</t>
  </si>
  <si>
    <t>DEBURE</t>
  </si>
  <si>
    <t>Yannick</t>
  </si>
  <si>
    <t>legrillanooestferme@gmail.com</t>
  </si>
  <si>
    <t>0692224711</t>
  </si>
  <si>
    <t>Rue Bory Saint-Vincent</t>
  </si>
  <si>
    <t>recPSE7kaNd2ah5OF,recbecALsbU1wWWKs,291bef0d,291bef0d</t>
  </si>
  <si>
    <t>291bef0d</t>
  </si>
  <si>
    <t>Guibert</t>
  </si>
  <si>
    <t>26779B4115</t>
  </si>
  <si>
    <t>Jean Patrick</t>
  </si>
  <si>
    <t>Impasse des Campanules</t>
  </si>
  <si>
    <t>12649266B1</t>
  </si>
  <si>
    <t>Marie-Jeanne</t>
  </si>
  <si>
    <t>Rue Macaire</t>
  </si>
  <si>
    <t>3C7939356B</t>
  </si>
  <si>
    <t>Covindin</t>
  </si>
  <si>
    <t>0692 65 70 54</t>
  </si>
  <si>
    <t>Chemin Alexandre Sery</t>
  </si>
  <si>
    <t>541b8bf8</t>
  </si>
  <si>
    <t>Coulombeau</t>
  </si>
  <si>
    <t>0262371530</t>
  </si>
  <si>
    <t>60fcdc9a</t>
  </si>
  <si>
    <t>Courtois</t>
  </si>
  <si>
    <t>47C5542378</t>
  </si>
  <si>
    <t>Murielle</t>
  </si>
  <si>
    <t>5061847DF9</t>
  </si>
  <si>
    <t>Couloutchy</t>
  </si>
  <si>
    <t>0916903EA5</t>
  </si>
  <si>
    <t>Corre</t>
  </si>
  <si>
    <t>sully</t>
  </si>
  <si>
    <t>0692688775</t>
  </si>
  <si>
    <t>Prestataires_Images/Cosu8775Iy.Photo.070620.png</t>
  </si>
  <si>
    <t>63A7873890</t>
  </si>
  <si>
    <t>D'ambelle de peindray</t>
  </si>
  <si>
    <t>Gladys</t>
  </si>
  <si>
    <t>Domaine de Bellevue</t>
  </si>
  <si>
    <t>1985872078</t>
  </si>
  <si>
    <t>Dauharry</t>
  </si>
  <si>
    <t>0262279657</t>
  </si>
  <si>
    <t>11E41156BA</t>
  </si>
  <si>
    <t>Dalleau</t>
  </si>
  <si>
    <t>34AF0E091D</t>
  </si>
  <si>
    <t>Dally</t>
  </si>
  <si>
    <t>Chemin Terre Rouge</t>
  </si>
  <si>
    <t>recvVfwpQJxSLM8gw,05E89ADE3E</t>
  </si>
  <si>
    <t>Prestataires_Images/DaFa4620tI.Photo.035416.jpg</t>
  </si>
  <si>
    <t>1aa8892b</t>
  </si>
  <si>
    <t>Damour</t>
  </si>
  <si>
    <t>Fred</t>
  </si>
  <si>
    <t>Chemin Theophile Gauthier</t>
  </si>
  <si>
    <t>2E7DF64107</t>
  </si>
  <si>
    <t>ROSE</t>
  </si>
  <si>
    <t>6e4f245a</t>
  </si>
  <si>
    <t>Jerôme</t>
  </si>
  <si>
    <t>rect7UvJo5k0nkGS2,5EF05AAF2A</t>
  </si>
  <si>
    <t>81022daa</t>
  </si>
  <si>
    <t>Lucette</t>
  </si>
  <si>
    <t>0262465618</t>
  </si>
  <si>
    <t>99-105</t>
  </si>
  <si>
    <t>Route Nationale 2 Mare Longue</t>
  </si>
  <si>
    <t>54777309</t>
  </si>
  <si>
    <t>Marie Claude</t>
  </si>
  <si>
    <t>rectWEkEy9yKaFMIN,recmOcTv8PqeQEtt3</t>
  </si>
  <si>
    <t>20096ADA0B</t>
  </si>
  <si>
    <t>Valérie</t>
  </si>
  <si>
    <t>3B4387D0D4</t>
  </si>
  <si>
    <t>Delmas</t>
  </si>
  <si>
    <t>Julia</t>
  </si>
  <si>
    <t>a6a3ef4d</t>
  </si>
  <si>
    <t>Delaunay</t>
  </si>
  <si>
    <t>5C4D230E19</t>
  </si>
  <si>
    <t>Devid</t>
  </si>
  <si>
    <t>035BE3606E</t>
  </si>
  <si>
    <t>Desprairies</t>
  </si>
  <si>
    <t>Willy</t>
  </si>
  <si>
    <t>Chemin Matouta</t>
  </si>
  <si>
    <t>recyo9vN3jZJkMCaG,recLhcE8i5LRInX0q</t>
  </si>
  <si>
    <t>b644ad9c</t>
  </si>
  <si>
    <t>Alexandre</t>
  </si>
  <si>
    <t>rec1ajTtcRMgP0gne,5E9276CCD3</t>
  </si>
  <si>
    <t>3229a9ba</t>
  </si>
  <si>
    <t>Dany</t>
  </si>
  <si>
    <t>recTTSlj16dRzY3u5,rectkcd9c376ecSPi</t>
  </si>
  <si>
    <t>4f606aa5</t>
  </si>
  <si>
    <t>Dindar</t>
  </si>
  <si>
    <t>Nassimah</t>
  </si>
  <si>
    <t>Route Nat 3 Pk 19</t>
  </si>
  <si>
    <t>2E48E8031E</t>
  </si>
  <si>
    <t>Rodolphe</t>
  </si>
  <si>
    <t>Impasse Elien</t>
  </si>
  <si>
    <t>c19a8665</t>
  </si>
  <si>
    <t>Donz</t>
  </si>
  <si>
    <t>Carl</t>
  </si>
  <si>
    <t>A Rue Cafre</t>
  </si>
  <si>
    <t>29B7ED5E40</t>
  </si>
  <si>
    <t>Domitile</t>
  </si>
  <si>
    <t>Prestataires_Images/DoDa3126Sa.Photo.095245.jpg</t>
  </si>
  <si>
    <t>ed8efba9</t>
  </si>
  <si>
    <t>Doumax</t>
  </si>
  <si>
    <t>Martine</t>
  </si>
  <si>
    <t>25E1451A89</t>
  </si>
  <si>
    <t>Dorr</t>
  </si>
  <si>
    <t>Rue des Coccinelles</t>
  </si>
  <si>
    <t>1D055B6298</t>
  </si>
  <si>
    <t>Duflot</t>
  </si>
  <si>
    <t>recDzw3shtVyBGBsv,recQ3Bj6W82jxiMsj,recVdXu0rsUHbC1PP</t>
  </si>
  <si>
    <t>104C1970B1</t>
  </si>
  <si>
    <t>Duchemane</t>
  </si>
  <si>
    <t>Antoinette</t>
  </si>
  <si>
    <t>recYXnTfDab78EFHe,rec9MwfPPzvt3aO6r</t>
  </si>
  <si>
    <t>4766F9687D</t>
  </si>
  <si>
    <t>Ducret</t>
  </si>
  <si>
    <t>Cyril</t>
  </si>
  <si>
    <t>Chemin du Champ de Foire</t>
  </si>
  <si>
    <t>31a3dbb3</t>
  </si>
  <si>
    <t>Dupont</t>
  </si>
  <si>
    <t>Jean Jacques</t>
  </si>
  <si>
    <t>Chemin Parny</t>
  </si>
  <si>
    <t>recrXpfhr4ww18lTF,recO1uEKQ3APjOMKe</t>
  </si>
  <si>
    <t>0DBA0FC31E</t>
  </si>
  <si>
    <t>Duchemann</t>
  </si>
  <si>
    <t>Marie Irise</t>
  </si>
  <si>
    <t>13800a0b</t>
  </si>
  <si>
    <t>Dugay técher</t>
  </si>
  <si>
    <t>Nathalie</t>
  </si>
  <si>
    <t>0692 41 60 38</t>
  </si>
  <si>
    <t>Rue Maurice Berrichon</t>
  </si>
  <si>
    <t>573D6EBF52</t>
  </si>
  <si>
    <t>Dumont</t>
  </si>
  <si>
    <t>René Paul</t>
  </si>
  <si>
    <t>738bbca6</t>
  </si>
  <si>
    <t>Ducros</t>
  </si>
  <si>
    <t>Susanna</t>
  </si>
  <si>
    <t>2829302f</t>
  </si>
  <si>
    <t>Marsy</t>
  </si>
  <si>
    <t>Edgar</t>
  </si>
  <si>
    <t>Rue Justinien Vitry</t>
  </si>
  <si>
    <t>08510B742D</t>
  </si>
  <si>
    <t>Guillaume</t>
  </si>
  <si>
    <t>06BC155FCD</t>
  </si>
  <si>
    <t>Enis</t>
  </si>
  <si>
    <t>Rockel</t>
  </si>
  <si>
    <t>0692999888</t>
  </si>
  <si>
    <t>Rue Lin Benard</t>
  </si>
  <si>
    <t>ca1af3cc</t>
  </si>
  <si>
    <t>Juré</t>
  </si>
  <si>
    <t>4F2883622B</t>
  </si>
  <si>
    <t>Ethève</t>
  </si>
  <si>
    <t>Luc</t>
  </si>
  <si>
    <t>0692 00 23 47</t>
  </si>
  <si>
    <t>Rue du Docteur Charriere</t>
  </si>
  <si>
    <t>22AD6C2885</t>
  </si>
  <si>
    <t>Evan</t>
  </si>
  <si>
    <t>0692420915</t>
  </si>
  <si>
    <t>5FD93A5DFD</t>
  </si>
  <si>
    <t>Feldis</t>
  </si>
  <si>
    <t>bcdb247b</t>
  </si>
  <si>
    <t>Fenouil</t>
  </si>
  <si>
    <t>Sigrid</t>
  </si>
  <si>
    <t>Rue Eugène Michel</t>
  </si>
  <si>
    <t>1A4E84BEA1</t>
  </si>
  <si>
    <t>fontaine</t>
  </si>
  <si>
    <t>Gilles Laurent</t>
  </si>
  <si>
    <t>0693 04 37 97</t>
  </si>
  <si>
    <t>Impasse Jean Moulin</t>
  </si>
  <si>
    <t>38B9ED73BA</t>
  </si>
  <si>
    <t>Firoaguer</t>
  </si>
  <si>
    <t>Guito</t>
  </si>
  <si>
    <t>rec6xFWezIgLtUSIN,recvnq0jDmYJVUdUv,2ebf141a</t>
  </si>
  <si>
    <t>2dd81a36</t>
  </si>
  <si>
    <t>Fiarda</t>
  </si>
  <si>
    <t>Prestataires_Images/FiMa0348Ri.Photo.095920.jpg</t>
  </si>
  <si>
    <t>0EA9A9BB08</t>
  </si>
  <si>
    <t>Marie Sophie</t>
  </si>
  <si>
    <t>recu2lcOsEa6JR1X9,50DEA31539</t>
  </si>
  <si>
    <t>9b27a6d6</t>
  </si>
  <si>
    <t>FONTAINE</t>
  </si>
  <si>
    <t>0692280436</t>
  </si>
  <si>
    <t>chemin du Grand Tampon</t>
  </si>
  <si>
    <t>Prestataires_Images/Fo9291TB.Photo.104550.jpg</t>
  </si>
  <si>
    <t>326087026C</t>
  </si>
  <si>
    <t>Fontaine</t>
  </si>
  <si>
    <t>0692 33 72 32</t>
  </si>
  <si>
    <t>Rue Paul Fontaine</t>
  </si>
  <si>
    <t>recnCbirK0S2umj7c,recQRpmcaf9Rr00kU,recP4MXflYy2LDQOc</t>
  </si>
  <si>
    <t>f85ecffe</t>
  </si>
  <si>
    <t>Folio</t>
  </si>
  <si>
    <t>François</t>
  </si>
  <si>
    <t>2C9DA5D0E6</t>
  </si>
  <si>
    <t>0693 39 17 40</t>
  </si>
  <si>
    <t>66a59ebf</t>
  </si>
  <si>
    <t>0692934605</t>
  </si>
  <si>
    <t>75</t>
  </si>
  <si>
    <t>Grand Fond Extérieur</t>
  </si>
  <si>
    <t>5F57DF1AEE</t>
  </si>
  <si>
    <t>Fontanaud</t>
  </si>
  <si>
    <t>Laurent</t>
  </si>
  <si>
    <t>Le Verger De la Chapelle</t>
  </si>
  <si>
    <t>032d8ccb</t>
  </si>
  <si>
    <t>Laurence</t>
  </si>
  <si>
    <t>0692773844</t>
  </si>
  <si>
    <t>1FE8D167AB</t>
  </si>
  <si>
    <t>5B83B329ED</t>
  </si>
  <si>
    <t>Chemin des Pourpiers</t>
  </si>
  <si>
    <t>484AECD8AA</t>
  </si>
  <si>
    <t>Parfums et Épices Garden</t>
  </si>
  <si>
    <t>recK7OqJ0GoZM2zxL,041684A779</t>
  </si>
  <si>
    <t>041684A779</t>
  </si>
  <si>
    <t>Fourmand</t>
  </si>
  <si>
    <t>Vincent</t>
  </si>
  <si>
    <t>Chemin Raoul Hoarau</t>
  </si>
  <si>
    <t>81d82284</t>
  </si>
  <si>
    <t>Yanis</t>
  </si>
  <si>
    <t>Rue Lesquelin</t>
  </si>
  <si>
    <t>a4fedb1a</t>
  </si>
  <si>
    <t>Francomme</t>
  </si>
  <si>
    <t>Brigitte</t>
  </si>
  <si>
    <t>Rue Guichard</t>
  </si>
  <si>
    <t>Prestataires_Images/FrBr6051sd.Photo.102125.jpg</t>
  </si>
  <si>
    <t>053FEDF2D4</t>
  </si>
  <si>
    <t>Fregence</t>
  </si>
  <si>
    <t>WLADIMIR</t>
  </si>
  <si>
    <t>0CCEEDBF84</t>
  </si>
  <si>
    <t>Fremousse</t>
  </si>
  <si>
    <t>17DE6D3284</t>
  </si>
  <si>
    <t>Gauthe</t>
  </si>
  <si>
    <t>eeba0d17</t>
  </si>
  <si>
    <t>Gardon</t>
  </si>
  <si>
    <t>Impasse de l'Ebeko</t>
  </si>
  <si>
    <t>09B822AEC1</t>
  </si>
  <si>
    <t>Gache</t>
  </si>
  <si>
    <t>Greg</t>
  </si>
  <si>
    <t>2901EF0B9A</t>
  </si>
  <si>
    <t>Gally</t>
  </si>
  <si>
    <t>5F3596E7BA</t>
  </si>
  <si>
    <t>Garaïos</t>
  </si>
  <si>
    <t>Marie-France</t>
  </si>
  <si>
    <t>Impasse des Zinnias</t>
  </si>
  <si>
    <t>0060103CC4</t>
  </si>
  <si>
    <t>Gevez</t>
  </si>
  <si>
    <t>Alice</t>
  </si>
  <si>
    <t>Rue du General Bonnier</t>
  </si>
  <si>
    <t>recs82ArpkH5fQU1c,recs82ArpkH5fQU2c,recBHofXS36EJHBsE</t>
  </si>
  <si>
    <t>fd6e3567</t>
  </si>
  <si>
    <t>Gélabert</t>
  </si>
  <si>
    <t>Elisabeth</t>
  </si>
  <si>
    <t>Rue Lucien Vitry</t>
  </si>
  <si>
    <t>58BF417FAB</t>
  </si>
  <si>
    <t>GeJe13223x</t>
  </si>
  <si>
    <t>Georget</t>
  </si>
  <si>
    <t>Jean Philippe</t>
  </si>
  <si>
    <t>recUBqeeg4AJGfuv4,reco2MfzJdwyiquYE</t>
  </si>
  <si>
    <t>686116ab</t>
  </si>
  <si>
    <t>Gérard</t>
  </si>
  <si>
    <t>Michel Patrick</t>
  </si>
  <si>
    <t>184269a5</t>
  </si>
  <si>
    <t>Gigan</t>
  </si>
  <si>
    <t>Florence</t>
  </si>
  <si>
    <t>Rue Dachery</t>
  </si>
  <si>
    <t>3E9377691A</t>
  </si>
  <si>
    <t>Giraud</t>
  </si>
  <si>
    <t>Jean-Louis</t>
  </si>
  <si>
    <t>Chemin du Mont Dore</t>
  </si>
  <si>
    <t>55A83EE83D</t>
  </si>
  <si>
    <t>Giacomino</t>
  </si>
  <si>
    <t>Michel</t>
  </si>
  <si>
    <t>1CC23E65FA</t>
  </si>
  <si>
    <t>Gorce</t>
  </si>
  <si>
    <t>0692 68 12 10</t>
  </si>
  <si>
    <t>Rue De La Fontaine</t>
  </si>
  <si>
    <t>rec8iE3TifuN54Xqg,recbRr1ijxva6gcC2</t>
  </si>
  <si>
    <t>7f724b09</t>
  </si>
  <si>
    <t>Goderon</t>
  </si>
  <si>
    <t>Frédéric</t>
  </si>
  <si>
    <t>0692688610</t>
  </si>
  <si>
    <t>4e25808a</t>
  </si>
  <si>
    <t>Gonthier</t>
  </si>
  <si>
    <t>Jean Hugues</t>
  </si>
  <si>
    <t>Impasse Paul Valery</t>
  </si>
  <si>
    <t>125B03D62B</t>
  </si>
  <si>
    <t>Brian</t>
  </si>
  <si>
    <t>recl9vgzWXUMtVpSU,2FCBD7A933</t>
  </si>
  <si>
    <t>8e62969a</t>
  </si>
  <si>
    <t>Corinne</t>
  </si>
  <si>
    <t>61521BEED6</t>
  </si>
  <si>
    <t>GROSSET-PARIS</t>
  </si>
  <si>
    <t>recnhduaXvdeVbMyx,rece8RyzBW3w2cOb5</t>
  </si>
  <si>
    <t>01F685B784</t>
  </si>
  <si>
    <t>Joseph</t>
  </si>
  <si>
    <t>lespiedsdansleau10@gmail.com</t>
  </si>
  <si>
    <t>5a1aee40</t>
  </si>
  <si>
    <t>resirun.annaik@live.fr</t>
  </si>
  <si>
    <t>Rue Louis Aragon</t>
  </si>
  <si>
    <t>recTDp4S3YLJclRMD,4E10413808</t>
  </si>
  <si>
    <t>4E10413808</t>
  </si>
  <si>
    <t>Marie-Claude</t>
  </si>
  <si>
    <t>0693816340</t>
  </si>
  <si>
    <t>chemin de la Croizure</t>
  </si>
  <si>
    <t>reczW3r1Y9cjywTS9,recoJ74xoQIidLPQY</t>
  </si>
  <si>
    <t>54682D1BC0</t>
  </si>
  <si>
    <t>25cbffc7</t>
  </si>
  <si>
    <t>Marie Michèle</t>
  </si>
  <si>
    <t>Chemin Barbadines</t>
  </si>
  <si>
    <t>rectYxHpmY1O4G5QB,recjJHC2IhRLVFXkn</t>
  </si>
  <si>
    <t>b33bace5</t>
  </si>
  <si>
    <t>Marie Françoise</t>
  </si>
  <si>
    <t>4E7D5D75AA</t>
  </si>
  <si>
    <t>jour@xn--ne-bja.com</t>
  </si>
  <si>
    <t>Chemin de la Croizure</t>
  </si>
  <si>
    <t>5773C18407</t>
  </si>
  <si>
    <t>Nadine</t>
  </si>
  <si>
    <t>046EDD0739</t>
  </si>
  <si>
    <t>Pierrot</t>
  </si>
  <si>
    <t>24B9D0F175</t>
  </si>
  <si>
    <t>Grenier</t>
  </si>
  <si>
    <t>René</t>
  </si>
  <si>
    <t>Chemin Safer Grand Coude</t>
  </si>
  <si>
    <t>d8dd0a69</t>
  </si>
  <si>
    <t>Impasse des Pipengayes</t>
  </si>
  <si>
    <t>reczq9MjKzK8unDnR,589cbdcc,49f759f0</t>
  </si>
  <si>
    <t>49f759f0</t>
  </si>
  <si>
    <t>Guimard</t>
  </si>
  <si>
    <t>0262370963</t>
  </si>
  <si>
    <t>Route Forestiere Mare Longue</t>
  </si>
  <si>
    <t>309B2A8361</t>
  </si>
  <si>
    <t>Guichon</t>
  </si>
  <si>
    <t>Dominique</t>
  </si>
  <si>
    <t>rue de Bel Air</t>
  </si>
  <si>
    <t>1B2CC387A1</t>
  </si>
  <si>
    <t>Guichard</t>
  </si>
  <si>
    <t>Johny</t>
  </si>
  <si>
    <t>0692 52 30 94</t>
  </si>
  <si>
    <t>d11c0d34</t>
  </si>
  <si>
    <t>Wu</t>
  </si>
  <si>
    <t>HAIYONG</t>
  </si>
  <si>
    <t>6d3a9898</t>
  </si>
  <si>
    <t>Hamon</t>
  </si>
  <si>
    <t>Aurélie</t>
  </si>
  <si>
    <t>4B76285833</t>
  </si>
  <si>
    <t>Hardouin</t>
  </si>
  <si>
    <t>87218837</t>
  </si>
  <si>
    <t>huet</t>
  </si>
  <si>
    <t>Arlain</t>
  </si>
  <si>
    <t>17BFC75C0A</t>
  </si>
  <si>
    <t>Hardy</t>
  </si>
  <si>
    <t>Thomas</t>
  </si>
  <si>
    <t>022D533161</t>
  </si>
  <si>
    <t>Heekeng</t>
  </si>
  <si>
    <t>Camille</t>
  </si>
  <si>
    <t>0692588445</t>
  </si>
  <si>
    <t>Rue du General Ailleret</t>
  </si>
  <si>
    <t>1EA0087D36</t>
  </si>
  <si>
    <t>Heuvrard</t>
  </si>
  <si>
    <t>Denis et Francia</t>
  </si>
  <si>
    <t>recD5BtUZul1AMUmq,recDHjG1lQVPlasLV,de35a8f4,95bf2654</t>
  </si>
  <si>
    <t>Prestataires_Images/HeDe69965L.Photo.065846.jpg</t>
  </si>
  <si>
    <t>b10df40e</t>
  </si>
  <si>
    <t>Heitzler</t>
  </si>
  <si>
    <t>Jenny</t>
  </si>
  <si>
    <t>1bfd2bc5</t>
  </si>
  <si>
    <t>hJ</t>
  </si>
  <si>
    <t>13A4D1D486</t>
  </si>
  <si>
    <t>Hoarau</t>
  </si>
  <si>
    <t>rec6Rb5RhH3JSPCDP,06CCA673EC</t>
  </si>
  <si>
    <t>ba54ab52</t>
  </si>
  <si>
    <t>Hoareau</t>
  </si>
  <si>
    <t>0692605482</t>
  </si>
  <si>
    <t>22D41C6003</t>
  </si>
  <si>
    <t>Denis</t>
  </si>
  <si>
    <t>0692829380</t>
  </si>
  <si>
    <t>6b61af1b</t>
  </si>
  <si>
    <t>Rue Harry Truman</t>
  </si>
  <si>
    <t>recpoMrt052WGicmB,recT85tGK7M7X4oxF</t>
  </si>
  <si>
    <t>Prestataires_Images/HoDi9793mU.Photo.092430.jpg</t>
  </si>
  <si>
    <t>2668E0E625</t>
  </si>
  <si>
    <t>0692 66 03 38</t>
  </si>
  <si>
    <t>Chemin de la Grande-Ferme</t>
  </si>
  <si>
    <t>recl9uvlNfH70ndXp,reccRUqRPZ0v29qHD,07EA525265,02326ae4</t>
  </si>
  <si>
    <t>3f83c55f</t>
  </si>
  <si>
    <t>Françoise</t>
  </si>
  <si>
    <t>Rue des Mimosas</t>
  </si>
  <si>
    <t>3EB75ADB7B</t>
  </si>
  <si>
    <t>17558BF677</t>
  </si>
  <si>
    <t>0692608651</t>
  </si>
  <si>
    <t>PK24 RN3</t>
  </si>
  <si>
    <t>c96a7efb</t>
  </si>
  <si>
    <t>Ginot André</t>
  </si>
  <si>
    <t>453bbab7</t>
  </si>
  <si>
    <t>0692665948</t>
  </si>
  <si>
    <t>5AB46EA069</t>
  </si>
  <si>
    <t>Henri Claude</t>
  </si>
  <si>
    <t>Chemin Chateau d'Eau</t>
  </si>
  <si>
    <t>2195960358</t>
  </si>
  <si>
    <t>Josian Noam</t>
  </si>
  <si>
    <t>Chemin Raphael Babet</t>
  </si>
  <si>
    <t>recJQJSyzPhwSYxQq,recbTjQjQZULrhTNx,29CCE76FFB</t>
  </si>
  <si>
    <t>ee6377a2</t>
  </si>
  <si>
    <t>Juste Augustin</t>
  </si>
  <si>
    <t>0693928123</t>
  </si>
  <si>
    <t>BRAS-LONG</t>
  </si>
  <si>
    <t>0C8ED7EBD8</t>
  </si>
  <si>
    <t>Judith</t>
  </si>
  <si>
    <t>adpm@life.com</t>
  </si>
  <si>
    <t>1fe82fc2</t>
  </si>
  <si>
    <t>23B</t>
  </si>
  <si>
    <t>Rue Saint Vincent de Paul</t>
  </si>
  <si>
    <t>33B8AD1BEF</t>
  </si>
  <si>
    <t>Hondet</t>
  </si>
  <si>
    <t>Mathieu</t>
  </si>
  <si>
    <t>0693610120</t>
  </si>
  <si>
    <t>Rue Aimé Césaire</t>
  </si>
  <si>
    <t>3E14BB8B34</t>
  </si>
  <si>
    <t>chemin des conflors</t>
  </si>
  <si>
    <t>recQYocIze3BFp7BR,rechT8wtzhW46TzWU</t>
  </si>
  <si>
    <t>41B6FC60A5</t>
  </si>
  <si>
    <t>Vandas Garden</t>
  </si>
  <si>
    <t>606F1EB3A6</t>
  </si>
  <si>
    <t>Monica</t>
  </si>
  <si>
    <t>0693 50 84 78</t>
  </si>
  <si>
    <t>lotissement ti coin charmant</t>
  </si>
  <si>
    <t>4A49EFEBEF</t>
  </si>
  <si>
    <t>Nicole</t>
  </si>
  <si>
    <t>4560A9AD19</t>
  </si>
  <si>
    <t>Sandra</t>
  </si>
  <si>
    <t>Chemin Fidelio Robert</t>
  </si>
  <si>
    <t>recTBMgPtpK8Hawt3,1EB401E26E</t>
  </si>
  <si>
    <t>1EB401E26E</t>
  </si>
  <si>
    <t>Samuel</t>
  </si>
  <si>
    <t>Rue Georges Hoarau</t>
  </si>
  <si>
    <t>recXvnqHcPh0QoC1K,recd35RAACGXmxl78</t>
  </si>
  <si>
    <t>4170EB7818</t>
  </si>
  <si>
    <t>Serge Paul</t>
  </si>
  <si>
    <t>0693918501</t>
  </si>
  <si>
    <t>58128DFC05</t>
  </si>
  <si>
    <t>Yves</t>
  </si>
  <si>
    <t>Prestataires_Images/HoYv2075Lm.Photo.051719.jpg</t>
  </si>
  <si>
    <t>29FBD22400</t>
  </si>
  <si>
    <t>Hurot</t>
  </si>
  <si>
    <t>592F2EAFCC</t>
  </si>
  <si>
    <t>Huet</t>
  </si>
  <si>
    <t>Jean Didier</t>
  </si>
  <si>
    <t>0B68F10198</t>
  </si>
  <si>
    <t>Joseph Jean Marc</t>
  </si>
  <si>
    <t>0692366155</t>
  </si>
  <si>
    <t>recI8HW0JOu8UrmFs,rechFFrgz5BbO2egc</t>
  </si>
  <si>
    <t>d53c84f5</t>
  </si>
  <si>
    <t>Ichaye</t>
  </si>
  <si>
    <t>Marie Noëlle</t>
  </si>
  <si>
    <t>Rue Benjamin Hoarau</t>
  </si>
  <si>
    <t>34C58AFCC6</t>
  </si>
  <si>
    <t>Jacquot</t>
  </si>
  <si>
    <t>Impasse du Margouillat</t>
  </si>
  <si>
    <t>recsiobm7nPsxCU8B,recEBk4LA7NmOo6cL,recXQr75TtnS6XXik</t>
  </si>
  <si>
    <t>0dce7a78</t>
  </si>
  <si>
    <t>Janisset</t>
  </si>
  <si>
    <t>Rémi</t>
  </si>
  <si>
    <t>Manager</t>
  </si>
  <si>
    <t>1869604751</t>
  </si>
  <si>
    <t>Jeffray</t>
  </si>
  <si>
    <t>Rue Amiral Courbet</t>
  </si>
  <si>
    <t>466a9bc0</t>
  </si>
  <si>
    <t>Jolivet</t>
  </si>
  <si>
    <t>0692252046</t>
  </si>
  <si>
    <t>Prestataires_Images/Jo2046w6.Photo.112052.png</t>
  </si>
  <si>
    <t>05B1AEBF19</t>
  </si>
  <si>
    <t>Jonard</t>
  </si>
  <si>
    <t>André</t>
  </si>
  <si>
    <t>47FA862104</t>
  </si>
  <si>
    <t>Marguerite</t>
  </si>
  <si>
    <t>Rue Martinel Lassays</t>
  </si>
  <si>
    <t>6b64b72f</t>
  </si>
  <si>
    <t>Josseron</t>
  </si>
  <si>
    <t>Quentin</t>
  </si>
  <si>
    <t>0692 92 55 23</t>
  </si>
  <si>
    <t>Lotissement Candassamy</t>
  </si>
  <si>
    <t>Prestataires_Images/JoQu5523aZ.Photo.072422.png</t>
  </si>
  <si>
    <t>68c98bcc</t>
  </si>
  <si>
    <t>Kerebel</t>
  </si>
  <si>
    <t>0692 76 52 52</t>
  </si>
  <si>
    <t>recvyUiaGu16a8JBz,rec9bIz9rYYHTHuWQ</t>
  </si>
  <si>
    <t>2F18A17F9E</t>
  </si>
  <si>
    <t>Kerbidi</t>
  </si>
  <si>
    <t>Charles</t>
  </si>
  <si>
    <t>0692 22 10 38</t>
  </si>
  <si>
    <t>recyoVAha32J3VwKH,1BD2F795D0</t>
  </si>
  <si>
    <t>Prestataires_Images/KeCh10384O.Photo.072526.jpg</t>
  </si>
  <si>
    <t>81c99b09</t>
  </si>
  <si>
    <t>K bidi</t>
  </si>
  <si>
    <t>Georges Sandro</t>
  </si>
  <si>
    <t>Prestataires_Images/KGe628401.Photo.090838.jpg</t>
  </si>
  <si>
    <t>16251CA76A</t>
  </si>
  <si>
    <t>KINDLER</t>
  </si>
  <si>
    <t>Christoph</t>
  </si>
  <si>
    <t>0692528378</t>
  </si>
  <si>
    <t>Rue Alexandre Flemming</t>
  </si>
  <si>
    <t>Prestataires_Images/KiCh8378Go.Photo.093454.jpg</t>
  </si>
  <si>
    <t>1F813D3844</t>
  </si>
  <si>
    <t>Kibidy</t>
  </si>
  <si>
    <t>Laurent Stéphane</t>
  </si>
  <si>
    <t>29682373A3</t>
  </si>
  <si>
    <t>Joseph Gilbert</t>
  </si>
  <si>
    <t>Rue Leconte de Lisle</t>
  </si>
  <si>
    <t>01CBE5536F</t>
  </si>
  <si>
    <t>Kokoi</t>
  </si>
  <si>
    <t>Olivier</t>
  </si>
  <si>
    <t>0692431332</t>
  </si>
  <si>
    <t>Impasse des Pluies d'Or</t>
  </si>
  <si>
    <t>1E14BF09C3</t>
  </si>
  <si>
    <t>Krishna doressamy</t>
  </si>
  <si>
    <t>115289437C</t>
  </si>
  <si>
    <t>Véronique</t>
  </si>
  <si>
    <t>2F4407DD19</t>
  </si>
  <si>
    <t>Lavaud</t>
  </si>
  <si>
    <t>Agnès</t>
  </si>
  <si>
    <t>0B8FD7C631</t>
  </si>
  <si>
    <t>Lao-yec</t>
  </si>
  <si>
    <t>Alix</t>
  </si>
  <si>
    <t>5BD35F7116</t>
  </si>
  <si>
    <t>LAM KON SENG</t>
  </si>
  <si>
    <t>0faa511b</t>
  </si>
  <si>
    <t>Laval</t>
  </si>
  <si>
    <t>5fe01138</t>
  </si>
  <si>
    <t>Lallemand</t>
  </si>
  <si>
    <t>Chemin de l'École de Bérive</t>
  </si>
  <si>
    <t>0FD1AB3EFF</t>
  </si>
  <si>
    <t>GALLY</t>
  </si>
  <si>
    <t>0692 70 40 22</t>
  </si>
  <si>
    <t>7fc4b063</t>
  </si>
  <si>
    <t>Georges-Mary</t>
  </si>
  <si>
    <t>1408457E4C</t>
  </si>
  <si>
    <t>Lacouture</t>
  </si>
  <si>
    <t>Jean Louis</t>
  </si>
  <si>
    <t>Rue Jean de Fos du Rau</t>
  </si>
  <si>
    <t>2BD369005E</t>
  </si>
  <si>
    <t>Labenne</t>
  </si>
  <si>
    <t>0262314883</t>
  </si>
  <si>
    <t>869fe2ed</t>
  </si>
  <si>
    <t>Landon</t>
  </si>
  <si>
    <t>0262912137</t>
  </si>
  <si>
    <t>1e7b97b9</t>
  </si>
  <si>
    <t>Lastouillat</t>
  </si>
  <si>
    <t>Marie Hélène</t>
  </si>
  <si>
    <t>53012EA737</t>
  </si>
  <si>
    <t>Lacire</t>
  </si>
  <si>
    <t>Rue des Zinnias</t>
  </si>
  <si>
    <t>48778598F5</t>
  </si>
  <si>
    <t>Lassale</t>
  </si>
  <si>
    <t>Olivier (Pilou)</t>
  </si>
  <si>
    <t>a6a1d88b</t>
  </si>
  <si>
    <t>Labaune</t>
  </si>
  <si>
    <t>4773BD77ED</t>
  </si>
  <si>
    <t>Antoine Patrick</t>
  </si>
  <si>
    <t>21A2D3AE05</t>
  </si>
  <si>
    <t>0692 09 75 76</t>
  </si>
  <si>
    <t>Lotissement Tit Coin Charmant</t>
  </si>
  <si>
    <t>579ECF9A5D</t>
  </si>
  <si>
    <t>Rose-Mery</t>
  </si>
  <si>
    <t>140</t>
  </si>
  <si>
    <t>Chemin jean baptiste huet</t>
  </si>
  <si>
    <t>reccMrDJTa1lyK06z,2458161E1B,0a4eeb01</t>
  </si>
  <si>
    <t>Prestataires_Images/LaRo3001bA.Photo.045629.jpg</t>
  </si>
  <si>
    <t>0a4eeb01</t>
  </si>
  <si>
    <t>Rudy</t>
  </si>
  <si>
    <t>0692 69 94 14</t>
  </si>
  <si>
    <t>Tunnels de Lave La Réunion : Tunnels de Lave KOKAPAT RANDO Île de La Réunion</t>
  </si>
  <si>
    <t>4B27E1B95C</t>
  </si>
  <si>
    <t>Signole</t>
  </si>
  <si>
    <t>chemin de la Chapelle Notre Dame de la Paix</t>
  </si>
  <si>
    <t>recE5VNa96vaxikyC,recsmtZHio13LzMT1,recpW8Env2k0SRElr,rec1RPdKGg2xh4SQ3,386AB887A8</t>
  </si>
  <si>
    <t>386AB887A8</t>
  </si>
  <si>
    <t>Lasalle</t>
  </si>
  <si>
    <t>Rue Alexandre Flemming - Appartement 85</t>
  </si>
  <si>
    <t>0CD0ED2431</t>
  </si>
  <si>
    <t>Leichnig</t>
  </si>
  <si>
    <t>Aimé</t>
  </si>
  <si>
    <t>0262370399</t>
  </si>
  <si>
    <t>d4823fbe</t>
  </si>
  <si>
    <t>Lebon</t>
  </si>
  <si>
    <t>07D819422D</t>
  </si>
  <si>
    <t>Le saulnier</t>
  </si>
  <si>
    <t>0911338D17</t>
  </si>
  <si>
    <t>Le guen</t>
  </si>
  <si>
    <t>b3f4c8b4</t>
  </si>
  <si>
    <t>Cyrille</t>
  </si>
  <si>
    <t>16-26</t>
  </si>
  <si>
    <t>17B7C510C4</t>
  </si>
  <si>
    <t>Leriche</t>
  </si>
  <si>
    <t>Rue Aristide Briand</t>
  </si>
  <si>
    <t>rec5sUyLAXxYXVrm5,cc970d55,a21cf197,a21cf197</t>
  </si>
  <si>
    <t>a21cf197</t>
  </si>
  <si>
    <t>Lebeau</t>
  </si>
  <si>
    <t>Chemin Doudou</t>
  </si>
  <si>
    <t>recGcbCzQoxY9ymi4,recq28sGlflaf7WsB</t>
  </si>
  <si>
    <t>5DE298EE0F</t>
  </si>
  <si>
    <t>Lecomte</t>
  </si>
  <si>
    <t>Chemin Corbeille d'Or</t>
  </si>
  <si>
    <t>37406F2B97</t>
  </si>
  <si>
    <t>Ledoyen</t>
  </si>
  <si>
    <t>Frantz</t>
  </si>
  <si>
    <t>kakoukledoyen@gmail.com</t>
  </si>
  <si>
    <t>0692 83 81 87</t>
  </si>
  <si>
    <t>424D75354A</t>
  </si>
  <si>
    <t>Leveneur</t>
  </si>
  <si>
    <t>recVMxK2n2g0JqxYW,recZoxsLi2oB0OMo1,5D60AA1162,5D60AA1162</t>
  </si>
  <si>
    <t>Prestataires_Images/LeGe5105d7.Photo.113348.jpg</t>
  </si>
  <si>
    <t>fe0327bf</t>
  </si>
  <si>
    <t>Guy Joseph</t>
  </si>
  <si>
    <t>3E972CCC4A</t>
  </si>
  <si>
    <t>LEPINAY</t>
  </si>
  <si>
    <t>Jacques</t>
  </si>
  <si>
    <t>0a598e12</t>
  </si>
  <si>
    <t>NAGUIN</t>
  </si>
  <si>
    <t>Toumay</t>
  </si>
  <si>
    <t>recePf1vuFY5Mm5by,recJK4upgE96mO8Rr</t>
  </si>
  <si>
    <t>1DC9E36D31</t>
  </si>
  <si>
    <t>0692 87 09 33</t>
  </si>
  <si>
    <t>Rue Henry Mussard</t>
  </si>
  <si>
    <t>recLwYJ5mSKfz2cY4,rec24oq9hEWo7CiRW,recxkoYM7UADfrlL7</t>
  </si>
  <si>
    <t>Prestataires_Images/LeJe0933Cy.Photo.130253.jpg</t>
  </si>
  <si>
    <t>5608C544DF</t>
  </si>
  <si>
    <t>0693018181</t>
  </si>
  <si>
    <t>Impasse des Coquillages</t>
  </si>
  <si>
    <t>470211CE54</t>
  </si>
  <si>
    <t>Jocelyne</t>
  </si>
  <si>
    <t>0F786AB84E</t>
  </si>
  <si>
    <t>LEGROS</t>
  </si>
  <si>
    <t>chemin Melin - Bas du Ruisseau</t>
  </si>
  <si>
    <t>44801efd</t>
  </si>
  <si>
    <t>LEPERRE</t>
  </si>
  <si>
    <t>Marie Josette</t>
  </si>
  <si>
    <t>Rue des Quais</t>
  </si>
  <si>
    <t>03638CA5ED</t>
  </si>
  <si>
    <t>Lefevre</t>
  </si>
  <si>
    <t>Rue Eucher Pothin</t>
  </si>
  <si>
    <t>0CDA268EFD</t>
  </si>
  <si>
    <t>Lebreton</t>
  </si>
  <si>
    <t>Lydie</t>
  </si>
  <si>
    <t>180</t>
  </si>
  <si>
    <t>Chemin du Coulet</t>
  </si>
  <si>
    <t>Plan D'Orgon</t>
  </si>
  <si>
    <t>f89cebed</t>
  </si>
  <si>
    <t>Marie Reine May</t>
  </si>
  <si>
    <t>48D1DCAB3E</t>
  </si>
  <si>
    <t>Le floch</t>
  </si>
  <si>
    <t>0693 46 99 48</t>
  </si>
  <si>
    <t>Rue Leon Dehaulme</t>
  </si>
  <si>
    <t>13C6D40EBC</t>
  </si>
  <si>
    <t>Mickaëla</t>
  </si>
  <si>
    <t>5D2F8DAD93</t>
  </si>
  <si>
    <t>0692882704</t>
  </si>
  <si>
    <t>Chemin des Papillons</t>
  </si>
  <si>
    <t>recR99OmSXnqpQRCv,rec1YVOft2oXH4wUP</t>
  </si>
  <si>
    <t>b66fbcb4</t>
  </si>
  <si>
    <t>Harry</t>
  </si>
  <si>
    <t>2A917643FB</t>
  </si>
  <si>
    <t>Rue Emile Hoareau</t>
  </si>
  <si>
    <t>Prestataires_Images/LePa1277UU.Photo.160603.jpg</t>
  </si>
  <si>
    <t>4A7DE85601</t>
  </si>
  <si>
    <t>Leu</t>
  </si>
  <si>
    <t>468890EA82</t>
  </si>
  <si>
    <t>Sandrine</t>
  </si>
  <si>
    <t>Chemin du Bois de Gale</t>
  </si>
  <si>
    <t>3683B985FB</t>
  </si>
  <si>
    <t>Leeb</t>
  </si>
  <si>
    <t>Susanne</t>
  </si>
  <si>
    <t>0692468189</t>
  </si>
  <si>
    <t>Impasse Mickael Lossy</t>
  </si>
  <si>
    <t>5CE4BA5FE2</t>
  </si>
  <si>
    <t>Liberbaum</t>
  </si>
  <si>
    <t>Danielle</t>
  </si>
  <si>
    <t>Impasse Cezanne</t>
  </si>
  <si>
    <t>283FE9212E</t>
  </si>
  <si>
    <t>Lindecker</t>
  </si>
  <si>
    <t>548ABA1025</t>
  </si>
  <si>
    <t>Lorion</t>
  </si>
  <si>
    <t>Impasse Kerinval</t>
  </si>
  <si>
    <t>5FA359D5AA</t>
  </si>
  <si>
    <t>Lucas</t>
  </si>
  <si>
    <t>Sarah</t>
  </si>
  <si>
    <t>c2d19492</t>
  </si>
  <si>
    <t>Jacque</t>
  </si>
  <si>
    <t>0262575465</t>
  </si>
  <si>
    <t>Père Maunier</t>
  </si>
  <si>
    <t>51AD28E9AF</t>
  </si>
  <si>
    <t>Marcadal</t>
  </si>
  <si>
    <t>Alexis</t>
  </si>
  <si>
    <t>Rue Gral de Gaulle</t>
  </si>
  <si>
    <t>Prestataires_Images/MaAl3210vb.Photo.110724.png</t>
  </si>
  <si>
    <t>0B4018D942</t>
  </si>
  <si>
    <t>Mahe</t>
  </si>
  <si>
    <t>184D4DC1A8</t>
  </si>
  <si>
    <t>Maumes</t>
  </si>
  <si>
    <t>0692004777</t>
  </si>
  <si>
    <t>dc2ad21d</t>
  </si>
  <si>
    <t>APAYA</t>
  </si>
  <si>
    <t>recCz37zq42LWcgFJ,reccZzX5MzB9ojrS1</t>
  </si>
  <si>
    <t>d291b332</t>
  </si>
  <si>
    <t>Marti</t>
  </si>
  <si>
    <t>Jean Christophe</t>
  </si>
  <si>
    <t>Rue Cesaire</t>
  </si>
  <si>
    <t>1FFEA186C6</t>
  </si>
  <si>
    <t>Mary</t>
  </si>
  <si>
    <t>Chemin Stephane</t>
  </si>
  <si>
    <t>reckQiiEhivZGcoy1,reczwAXP6kVqcpsUm</t>
  </si>
  <si>
    <t>44A27116CC</t>
  </si>
  <si>
    <t>Maulat</t>
  </si>
  <si>
    <t>Marie-Nadège</t>
  </si>
  <si>
    <t>Impasse Des Filaos</t>
  </si>
  <si>
    <t>recb5EMH9K8Qtm9Ze,rec81WSvSWza2HMKr,recr8fxU0od0bvvnh,0CEB5E626E</t>
  </si>
  <si>
    <t>Prestataires_Images/MaMa0833LW.Photo.032852.png</t>
  </si>
  <si>
    <t>cf19e5cf</t>
  </si>
  <si>
    <t>Negro</t>
  </si>
  <si>
    <t>Marie-Renée</t>
  </si>
  <si>
    <t>chemin Kerbl</t>
  </si>
  <si>
    <t>Les Avirons</t>
  </si>
  <si>
    <t>recfS3ibqtiRSEOVy,5691093BC8</t>
  </si>
  <si>
    <t>Prestataires_Images/MaMa5402f9.Photo.061759.png</t>
  </si>
  <si>
    <t>fe443da0</t>
  </si>
  <si>
    <t>JOVET MOREAU</t>
  </si>
  <si>
    <t>recGdUh3I1diAtI6r,recQLIS5lMhCC9Bjz</t>
  </si>
  <si>
    <t>529FDF915F</t>
  </si>
  <si>
    <t>TECHER</t>
  </si>
  <si>
    <t>Reine May</t>
  </si>
  <si>
    <t>0692850474</t>
  </si>
  <si>
    <t>Rue Aime Turpin</t>
  </si>
  <si>
    <t>Prestataires_Images/MaRe0474XJ.Photo.113345.jpg</t>
  </si>
  <si>
    <t>19F1F99E88</t>
  </si>
  <si>
    <t>Maréchal</t>
  </si>
  <si>
    <t>Sergio</t>
  </si>
  <si>
    <t>Impasse Bernard Celeste</t>
  </si>
  <si>
    <t>recHEZWTMQ8a9lBp5,recHEZWTMQ8a9lBp6</t>
  </si>
  <si>
    <t>6430a9be</t>
  </si>
  <si>
    <t>Marchesi</t>
  </si>
  <si>
    <t>Allée Des Rameaux</t>
  </si>
  <si>
    <t>recR9kjiaOAoduSpN,21DDC85526</t>
  </si>
  <si>
    <t>21DDC85526</t>
  </si>
  <si>
    <t>Martin</t>
  </si>
  <si>
    <t>0692480432</t>
  </si>
  <si>
    <t>Rue De La Pompe</t>
  </si>
  <si>
    <t>3327A8EB39</t>
  </si>
  <si>
    <t>Maillot</t>
  </si>
  <si>
    <t>0692667941</t>
  </si>
  <si>
    <t>5AAD5889AF</t>
  </si>
  <si>
    <t>Mainfroi</t>
  </si>
  <si>
    <t>Wilfrid</t>
  </si>
  <si>
    <t>recR7TTdU2Cd6LXtY,recd0bjcfRVLbyOCv</t>
  </si>
  <si>
    <t>92c30c6b</t>
  </si>
  <si>
    <t>Metro</t>
  </si>
  <si>
    <t>Armand</t>
  </si>
  <si>
    <t>0692022962</t>
  </si>
  <si>
    <t>Prestataires_Images/MeAr3248ig.Photo.100410.png</t>
  </si>
  <si>
    <t>8c4b1d06</t>
  </si>
  <si>
    <t>Mézino</t>
  </si>
  <si>
    <t>Astérie</t>
  </si>
  <si>
    <t>3b096965</t>
  </si>
  <si>
    <t>recEMpzm8TU3vMA56,recyNnsimhBpL1X8t</t>
  </si>
  <si>
    <t>394E4EA7EA</t>
  </si>
  <si>
    <t>Meignen</t>
  </si>
  <si>
    <t>01E33FCBF8</t>
  </si>
  <si>
    <t>Mezino</t>
  </si>
  <si>
    <t>Marie Nathalie</t>
  </si>
  <si>
    <t>486A1CCA32</t>
  </si>
  <si>
    <t>Meltachi</t>
  </si>
  <si>
    <t>Miloud</t>
  </si>
  <si>
    <t>0692326560</t>
  </si>
  <si>
    <t>30b9f7a9</t>
  </si>
  <si>
    <t>Mesresse</t>
  </si>
  <si>
    <t>0692 22 89 88</t>
  </si>
  <si>
    <t>Rue Maurice et Katia Krafft</t>
  </si>
  <si>
    <t>4006949A63</t>
  </si>
  <si>
    <t>Meyer</t>
  </si>
  <si>
    <t>reca0ng1xv5qFiYah,3438063AE7,3438063AE7</t>
  </si>
  <si>
    <t>a10f758a</t>
  </si>
  <si>
    <t>Sophie</t>
  </si>
  <si>
    <t>0692 19 57 02</t>
  </si>
  <si>
    <t>820815ea</t>
  </si>
  <si>
    <t>Impasse des Combavas</t>
  </si>
  <si>
    <t>13C2A2908E</t>
  </si>
  <si>
    <t>Mignon</t>
  </si>
  <si>
    <t>Johnny</t>
  </si>
  <si>
    <t>3BA5453C22</t>
  </si>
  <si>
    <t>BARRET</t>
  </si>
  <si>
    <t>0262 20 07 17</t>
  </si>
  <si>
    <t>recEzS7wrcSBUBnRJ,recieRtH5ulY1vw33</t>
  </si>
  <si>
    <t>882736c1</t>
  </si>
  <si>
    <t>Moulinec</t>
  </si>
  <si>
    <t>43210A0E83</t>
  </si>
  <si>
    <t>0692808026</t>
  </si>
  <si>
    <t>allée des Mesanges</t>
  </si>
  <si>
    <t>recGIk7nWQkpYIgSf,5c37ae83</t>
  </si>
  <si>
    <t>c293593b</t>
  </si>
  <si>
    <t>25303B6984</t>
  </si>
  <si>
    <t>Benoît</t>
  </si>
  <si>
    <t>0692 65 41 89</t>
  </si>
  <si>
    <t>le baril</t>
  </si>
  <si>
    <t>Prestataires_Images/MoBe4189Td.Photo.091306.jpg</t>
  </si>
  <si>
    <t>378E875359</t>
  </si>
  <si>
    <t>Mounier</t>
  </si>
  <si>
    <t>Christiane</t>
  </si>
  <si>
    <t>Rue Raphael Douyere</t>
  </si>
  <si>
    <t>3E77EDEEEE</t>
  </si>
  <si>
    <t>Koehler</t>
  </si>
  <si>
    <t>Claus</t>
  </si>
  <si>
    <t>Prestataires_Images/MoCh0936NK.Photo.120507.jpg</t>
  </si>
  <si>
    <t>38209F20FB</t>
  </si>
  <si>
    <t>Mortilla</t>
  </si>
  <si>
    <t>Cosimo</t>
  </si>
  <si>
    <t>621FFE3740</t>
  </si>
  <si>
    <t>Mourgaya Virapatrin</t>
  </si>
  <si>
    <t>Gérald</t>
  </si>
  <si>
    <t>12FC320EA6</t>
  </si>
  <si>
    <t>Jean Jules</t>
  </si>
  <si>
    <t>recxbFAb21PaP3LUg,rechsrpWpaPBLT7WZ</t>
  </si>
  <si>
    <t>19DF602371</t>
  </si>
  <si>
    <t>Manuella</t>
  </si>
  <si>
    <t>0692510959</t>
  </si>
  <si>
    <t>Rue Miquel</t>
  </si>
  <si>
    <t>15FBF62095</t>
  </si>
  <si>
    <t>MoMa10212m</t>
  </si>
  <si>
    <t>Marie-Reine</t>
  </si>
  <si>
    <t>Impasse Sabine</t>
  </si>
  <si>
    <t>51D521D410</t>
  </si>
  <si>
    <t>Marie Jacqueline</t>
  </si>
  <si>
    <t>recSjqfh5cXc6yUFr,recv7htzdqjD5x7LI</t>
  </si>
  <si>
    <t>284412762B</t>
  </si>
  <si>
    <t>Mogun</t>
  </si>
  <si>
    <t>c1e1923b</t>
  </si>
  <si>
    <t>Honoré</t>
  </si>
  <si>
    <t>c8c766bf</t>
  </si>
  <si>
    <t>Mussard</t>
  </si>
  <si>
    <t>Rue Louis Blériot</t>
  </si>
  <si>
    <t>11F87A344A</t>
  </si>
  <si>
    <t>recvlazHYiTRiE0nE,454738B76C</t>
  </si>
  <si>
    <t>a74b9dfb</t>
  </si>
  <si>
    <t>Jean-Philippe</t>
  </si>
  <si>
    <t>Prestataires_Images/MuJe3492vM.Photo.103440.jpg</t>
  </si>
  <si>
    <t>4165869989</t>
  </si>
  <si>
    <t>Jimmy Laurent</t>
  </si>
  <si>
    <t>1D251CA941</t>
  </si>
  <si>
    <t>Joseph Frédéric</t>
  </si>
  <si>
    <t>Rue Pasteur</t>
  </si>
  <si>
    <t>26FEBFFF0E</t>
  </si>
  <si>
    <t>Marie-Céline</t>
  </si>
  <si>
    <t>Rue Leo Ferre</t>
  </si>
  <si>
    <t>5feab33d</t>
  </si>
  <si>
    <t>Martialine</t>
  </si>
  <si>
    <t>0692536223</t>
  </si>
  <si>
    <t>Chemin Leroy</t>
  </si>
  <si>
    <t>c79c7689</t>
  </si>
  <si>
    <t>Muller</t>
  </si>
  <si>
    <t>Mercey</t>
  </si>
  <si>
    <t>18E0A13D67</t>
  </si>
  <si>
    <t>95670783</t>
  </si>
  <si>
    <t>THOOPHANY</t>
  </si>
  <si>
    <t>Muhammad</t>
  </si>
  <si>
    <t>9ce613dd</t>
  </si>
  <si>
    <t>Nativel</t>
  </si>
  <si>
    <t>0692088193</t>
  </si>
  <si>
    <t>Chemin Avril Amaye</t>
  </si>
  <si>
    <t>471A2D646A</t>
  </si>
  <si>
    <t>Dimitri</t>
  </si>
  <si>
    <t>0CC99E8A40</t>
  </si>
  <si>
    <t>Naze</t>
  </si>
  <si>
    <t>5A78EA68B5</t>
  </si>
  <si>
    <t>06ba01bd</t>
  </si>
  <si>
    <t>0692765281</t>
  </si>
  <si>
    <t>136706201E</t>
  </si>
  <si>
    <t>Rose Catherine</t>
  </si>
  <si>
    <t>Rue du General Lambert</t>
  </si>
  <si>
    <t>04022164D5</t>
  </si>
  <si>
    <t>Thierry</t>
  </si>
  <si>
    <t>Impasse des Avocats</t>
  </si>
  <si>
    <t>1572E70455</t>
  </si>
  <si>
    <t>Norro</t>
  </si>
  <si>
    <t>Rue Leconte De Lisle</t>
  </si>
  <si>
    <t>5061C772B2</t>
  </si>
  <si>
    <t>Noël</t>
  </si>
  <si>
    <t>Marie Guilaine</t>
  </si>
  <si>
    <t>3b8175d5</t>
  </si>
  <si>
    <t>Olivar</t>
  </si>
  <si>
    <t>4EA4CD0808</t>
  </si>
  <si>
    <t>Ollivier</t>
  </si>
  <si>
    <t>Suzanne</t>
  </si>
  <si>
    <t>recYktplxCsh6Dsen,recXej1WibudDrBPL</t>
  </si>
  <si>
    <t>209fce23</t>
  </si>
  <si>
    <t>Ortega</t>
  </si>
  <si>
    <t>Lot les Cytises Terre Sainte</t>
  </si>
  <si>
    <t>Prestataires_Images/OrCh0903yq.Photo.040723.png</t>
  </si>
  <si>
    <t>f78d621c</t>
  </si>
  <si>
    <t>Orange</t>
  </si>
  <si>
    <t>Jean Bruno</t>
  </si>
  <si>
    <t>38209E4182</t>
  </si>
  <si>
    <t>Allée des Palmiers</t>
  </si>
  <si>
    <t>1449558BB3</t>
  </si>
  <si>
    <t>Oussenekan</t>
  </si>
  <si>
    <t>Jean Laurent</t>
  </si>
  <si>
    <t>092BE960D6</t>
  </si>
  <si>
    <t>payet</t>
  </si>
  <si>
    <t>Chemin Armanette</t>
  </si>
  <si>
    <t>2AC415AFB2</t>
  </si>
  <si>
    <t>3AB3636FDD</t>
  </si>
  <si>
    <t>Gisèle</t>
  </si>
  <si>
    <t>08bbd2a2</t>
  </si>
  <si>
    <t>Annick Michel</t>
  </si>
  <si>
    <t>0693840162</t>
  </si>
  <si>
    <t>63A21F4AF0</t>
  </si>
  <si>
    <t>Cindy</t>
  </si>
  <si>
    <t>0692326483</t>
  </si>
  <si>
    <t>b691ead4</t>
  </si>
  <si>
    <t>Damien</t>
  </si>
  <si>
    <t>91 bis</t>
  </si>
  <si>
    <t>Rue Amiral Lacaze</t>
  </si>
  <si>
    <t>135A83B847</t>
  </si>
  <si>
    <t>Patchane Lacane</t>
  </si>
  <si>
    <t>Marie Dolaine</t>
  </si>
  <si>
    <t>0692604721</t>
  </si>
  <si>
    <t>chemin Patchane</t>
  </si>
  <si>
    <t>07B75BE85B</t>
  </si>
  <si>
    <t>50EA128177</t>
  </si>
  <si>
    <t>0692526403</t>
  </si>
  <si>
    <t>Rue Corneille</t>
  </si>
  <si>
    <t>f828fbfc</t>
  </si>
  <si>
    <t>Gabriel</t>
  </si>
  <si>
    <t>recV8iFzPN3kxVIgG,rec3mYOqM2ldm5hdI,7f5f40e8</t>
  </si>
  <si>
    <t>ee3eaaac</t>
  </si>
  <si>
    <t>Ginot</t>
  </si>
  <si>
    <t>Chemin du Coteau Sec</t>
  </si>
  <si>
    <t>3D67C014C0</t>
  </si>
  <si>
    <t>Palmas</t>
  </si>
  <si>
    <t>Guy Noël</t>
  </si>
  <si>
    <t>rectSsyrYK0HPQkcn,2A7BE7DB59</t>
  </si>
  <si>
    <t>28e89b87</t>
  </si>
  <si>
    <t>0692525279</t>
  </si>
  <si>
    <t>Chemin Odilien Picard</t>
  </si>
  <si>
    <t>2AADB142EC</t>
  </si>
  <si>
    <t>PAYET</t>
  </si>
  <si>
    <t>Jacky Lucot</t>
  </si>
  <si>
    <t>recmua6X7wqdxhzhr,rec4qi0IUvyOb7F6G</t>
  </si>
  <si>
    <t>17BFA67795</t>
  </si>
  <si>
    <t>Jean Paul</t>
  </si>
  <si>
    <t>06 92 43 37 34</t>
  </si>
  <si>
    <t>2FAB8C7BAD</t>
  </si>
  <si>
    <t>Jean-René</t>
  </si>
  <si>
    <t>2B62E0B863</t>
  </si>
  <si>
    <t>Jean-Daniel</t>
  </si>
  <si>
    <t>3F4D78F62F</t>
  </si>
  <si>
    <t>Padre</t>
  </si>
  <si>
    <t>Jean Arlando</t>
  </si>
  <si>
    <t>Impasse Montesquieu</t>
  </si>
  <si>
    <t>462C6E2818</t>
  </si>
  <si>
    <t>Jean Emile</t>
  </si>
  <si>
    <t>3B88740F8D</t>
  </si>
  <si>
    <t>ef54b866</t>
  </si>
  <si>
    <t>Loïs</t>
  </si>
  <si>
    <t>9f6bb2eb</t>
  </si>
  <si>
    <t>PaM1322qU</t>
  </si>
  <si>
    <t>Marie France</t>
  </si>
  <si>
    <t>34e2cc8b</t>
  </si>
  <si>
    <t>recuTyBQOgIlWc2zY,recOcuxtjmr1W3lPa</t>
  </si>
  <si>
    <t>Prestataires_Images/PaMa1433uR.Photo.094357.jpg</t>
  </si>
  <si>
    <t>a52feae5</t>
  </si>
  <si>
    <t>rue Lislet Geoffroy</t>
  </si>
  <si>
    <t>La Rivière Saint-Louis</t>
  </si>
  <si>
    <t>recUOCYFvmBoqRPQ9,146C3A4570,146C3A4570</t>
  </si>
  <si>
    <t>Prestataires_Images/PaMa7978gy.Photo.101424.jpg</t>
  </si>
  <si>
    <t>81f14e3c</t>
  </si>
  <si>
    <t>0692826579</t>
  </si>
  <si>
    <t>566A3451FA</t>
  </si>
  <si>
    <t>Pacaud</t>
  </si>
  <si>
    <t>Route de Grand Galet</t>
  </si>
  <si>
    <t>2A47360AE5</t>
  </si>
  <si>
    <t>PATRICK</t>
  </si>
  <si>
    <t>0692690135</t>
  </si>
  <si>
    <t>rue jean defos durau</t>
  </si>
  <si>
    <t>e3799b96</t>
  </si>
  <si>
    <t>recLUDThzoN8tU2By,recahr7MiYZML3KgU</t>
  </si>
  <si>
    <t>a8b18d9c</t>
  </si>
  <si>
    <t>Patricia</t>
  </si>
  <si>
    <t>0692 82 45 85</t>
  </si>
  <si>
    <t>rec8MEwXzZOyroHld,15734B3C2E</t>
  </si>
  <si>
    <t>51f4afe3</t>
  </si>
  <si>
    <t>Prestataires_Images/PaTh3092hC.Photo.094455.png</t>
  </si>
  <si>
    <t>c9ad9995</t>
  </si>
  <si>
    <t>chemin château d'eau</t>
  </si>
  <si>
    <t>Prestataires_Images/PayE.Photo.075050.jpg</t>
  </si>
  <si>
    <t>3ED2FC34CC</t>
  </si>
  <si>
    <t>Perret</t>
  </si>
  <si>
    <t>47DF2DE34C</t>
  </si>
  <si>
    <t>Perot</t>
  </si>
  <si>
    <t>6359080BBC</t>
  </si>
  <si>
    <t>Petit</t>
  </si>
  <si>
    <t>4956CE7682</t>
  </si>
  <si>
    <t>Peris</t>
  </si>
  <si>
    <t>recOk422JMgj9tU8L,7ffeea05</t>
  </si>
  <si>
    <t>Prestataires_Images/PeIs4458oV.Photo.173918.jpg</t>
  </si>
  <si>
    <t>7209bc47</t>
  </si>
  <si>
    <t>Perrault</t>
  </si>
  <si>
    <t>Laurie</t>
  </si>
  <si>
    <t>0262704053</t>
  </si>
  <si>
    <t>0FE635D36F</t>
  </si>
  <si>
    <t>Peretti</t>
  </si>
  <si>
    <t>Palms Park</t>
  </si>
  <si>
    <t>efa76ad1</t>
  </si>
  <si>
    <t>passegue</t>
  </si>
  <si>
    <t>572D36A5AA</t>
  </si>
  <si>
    <t>Picard</t>
  </si>
  <si>
    <t>J-Raymond</t>
  </si>
  <si>
    <t>171F309AD4</t>
  </si>
  <si>
    <t>Jacques Dany</t>
  </si>
  <si>
    <t>28AC3E0F5F</t>
  </si>
  <si>
    <t>Ponama</t>
  </si>
  <si>
    <t>Erika</t>
  </si>
  <si>
    <t>5E124A3E45</t>
  </si>
  <si>
    <t>Pothin</t>
  </si>
  <si>
    <t>Fabien</t>
  </si>
  <si>
    <t>Chemin Rosé PAYET</t>
  </si>
  <si>
    <t>409f69ea</t>
  </si>
  <si>
    <t>Potin</t>
  </si>
  <si>
    <t>Marlène</t>
  </si>
  <si>
    <t>584CB8351E</t>
  </si>
  <si>
    <t>Pontoizeau</t>
  </si>
  <si>
    <t>rec7avEaqvA8YmUOb,recxEhup5GEjfdHRJ,29348652</t>
  </si>
  <si>
    <t>5015a109</t>
  </si>
  <si>
    <t>0692 87 08 57</t>
  </si>
  <si>
    <t>1a1c2cbe</t>
  </si>
  <si>
    <t>Prével</t>
  </si>
  <si>
    <t>a162300b</t>
  </si>
  <si>
    <t>Prugniere</t>
  </si>
  <si>
    <t>Jean Claude</t>
  </si>
  <si>
    <t>0692794129</t>
  </si>
  <si>
    <t>Rue Alfred Lacroix</t>
  </si>
  <si>
    <t>a0d38b50</t>
  </si>
  <si>
    <t>Prugnieres</t>
  </si>
  <si>
    <t>recS5CY0vUJ4cR2J8,recArc8PtMhw95w9W</t>
  </si>
  <si>
    <t>f1674336</t>
  </si>
  <si>
    <t>7b055a1c</t>
  </si>
  <si>
    <t>Ramalingom</t>
  </si>
  <si>
    <t>Alexina</t>
  </si>
  <si>
    <t>639540647E</t>
  </si>
  <si>
    <t>Ratane</t>
  </si>
  <si>
    <t>Josette</t>
  </si>
  <si>
    <t>Impasse des Bananiers</t>
  </si>
  <si>
    <t>079E872623</t>
  </si>
  <si>
    <t>Reboule</t>
  </si>
  <si>
    <t>4B176090E4</t>
  </si>
  <si>
    <t>Prestataires_Images/RiAi57574h.Photo.101206.png</t>
  </si>
  <si>
    <t>a68ae211</t>
  </si>
  <si>
    <t>Riviere</t>
  </si>
  <si>
    <t>Clara</t>
  </si>
  <si>
    <t>1A17064FB6</t>
  </si>
  <si>
    <t>Rue Des Jacques</t>
  </si>
  <si>
    <t>26D86959AC</t>
  </si>
  <si>
    <t>Franck Joseph</t>
  </si>
  <si>
    <t>0692056919</t>
  </si>
  <si>
    <t>360ec7d1</t>
  </si>
  <si>
    <t>Rifosta</t>
  </si>
  <si>
    <t>Cd 26</t>
  </si>
  <si>
    <t>df298d4c</t>
  </si>
  <si>
    <t>6e62256f</t>
  </si>
  <si>
    <t>Marc</t>
  </si>
  <si>
    <t>marc@leplatgarni.re</t>
  </si>
  <si>
    <t>rue du commerce</t>
  </si>
  <si>
    <t>08259b8b</t>
  </si>
  <si>
    <t>Scholastie</t>
  </si>
  <si>
    <t>recdcZS7keFGDATmz,recuLSFLTDZfmA6WQ</t>
  </si>
  <si>
    <t>0E95D48424</t>
  </si>
  <si>
    <t>Riou</t>
  </si>
  <si>
    <t>5E37A2AC79</t>
  </si>
  <si>
    <t>DUGAIN</t>
  </si>
  <si>
    <t>Rose May</t>
  </si>
  <si>
    <t>0692344149</t>
  </si>
  <si>
    <t>Prestataires_Images/Ro4149fB.Photo.151755.png</t>
  </si>
  <si>
    <t>09b7879a</t>
  </si>
  <si>
    <t>Robert</t>
  </si>
  <si>
    <t>allée des bilimbis</t>
  </si>
  <si>
    <t>La Ravine des Cabris</t>
  </si>
  <si>
    <t>recdvAGsdsNAoP037,353E2627B1</t>
  </si>
  <si>
    <t>9acce875</t>
  </si>
  <si>
    <t>Rodzinka</t>
  </si>
  <si>
    <t>Jean Pierre</t>
  </si>
  <si>
    <t>Rue Vallon Hoarau</t>
  </si>
  <si>
    <t>rectoH9CeGaP9kY6Y,1157469E2A</t>
  </si>
  <si>
    <t>456ec80e</t>
  </si>
  <si>
    <t>rec74mTejOAzSsXH8,636ABBFD69,636ABBFD69,ec44993c</t>
  </si>
  <si>
    <t>ec44993c</t>
  </si>
  <si>
    <t>0692 87 36 60</t>
  </si>
  <si>
    <t>Petite Ferme CD 36</t>
  </si>
  <si>
    <t>recvtcjTSEBfgQJzW,recWVYXqJcjVpjRLF</t>
  </si>
  <si>
    <t>5DA3A1E35B</t>
  </si>
  <si>
    <t>Marie Héliane</t>
  </si>
  <si>
    <t>recV3FbnKoB841Pz0,recQj57Xv9jXL2umf</t>
  </si>
  <si>
    <t>f2c8b3fe</t>
  </si>
  <si>
    <t>16B6F67EDE</t>
  </si>
  <si>
    <t>Ulysse</t>
  </si>
  <si>
    <t>520C56F154</t>
  </si>
  <si>
    <t>Willem</t>
  </si>
  <si>
    <t>Rue Vaitonne</t>
  </si>
  <si>
    <t>589D139D09</t>
  </si>
  <si>
    <t>San-ching</t>
  </si>
  <si>
    <t>0692875197</t>
  </si>
  <si>
    <t>213-173</t>
  </si>
  <si>
    <t>4C7F467443</t>
  </si>
  <si>
    <t>Sauvage</t>
  </si>
  <si>
    <t>5211FCCD3C</t>
  </si>
  <si>
    <t>Sadehe</t>
  </si>
  <si>
    <t>Rue Concession</t>
  </si>
  <si>
    <t>recSBFdQrES7WyBxv,recmlkfusePI2Jmwl</t>
  </si>
  <si>
    <t>0637E03E93</t>
  </si>
  <si>
    <t>Salvan</t>
  </si>
  <si>
    <t>Céline</t>
  </si>
  <si>
    <t>0262370460</t>
  </si>
  <si>
    <t>13 rue de l'École</t>
  </si>
  <si>
    <t>0b5839fe</t>
  </si>
  <si>
    <t>ScPa66312G</t>
  </si>
  <si>
    <t>Schildt</t>
  </si>
  <si>
    <t>14E04D4726</t>
  </si>
  <si>
    <t>Sery</t>
  </si>
  <si>
    <t>31EB44EEF9</t>
  </si>
  <si>
    <t>Béatrice</t>
  </si>
  <si>
    <t>recqlrw688v3ayk46,bc1fce20</t>
  </si>
  <si>
    <t>bc1fce20</t>
  </si>
  <si>
    <t>Selly</t>
  </si>
  <si>
    <t>Davy Léon</t>
  </si>
  <si>
    <t>266B079E97</t>
  </si>
  <si>
    <t>Jeannick</t>
  </si>
  <si>
    <t>3944e1b4</t>
  </si>
  <si>
    <t>Séry</t>
  </si>
  <si>
    <t>Jean-Yves</t>
  </si>
  <si>
    <t>5E684259CA</t>
  </si>
  <si>
    <t>Joceline</t>
  </si>
  <si>
    <t>joceline@sery.re</t>
  </si>
  <si>
    <t>0692 61 88 88</t>
  </si>
  <si>
    <t>reczhuWwdniGCsFk9,556135B28E,556135B28E</t>
  </si>
  <si>
    <t>556135B28E</t>
  </si>
  <si>
    <t>Marie Rose</t>
  </si>
  <si>
    <t>1E2BA3F6AC</t>
  </si>
  <si>
    <t>Segaux</t>
  </si>
  <si>
    <t>b Rue Léon Dierx</t>
  </si>
  <si>
    <t>fa3ad637</t>
  </si>
  <si>
    <t>Serge</t>
  </si>
  <si>
    <t>509BBFBF74</t>
  </si>
  <si>
    <t>Thérèse</t>
  </si>
  <si>
    <t>0692530641</t>
  </si>
  <si>
    <t>50A545AD01</t>
  </si>
  <si>
    <t>Sita</t>
  </si>
  <si>
    <t>5DAC3A9CDF</t>
  </si>
  <si>
    <t>Signorelli</t>
  </si>
  <si>
    <t>26C0901D82</t>
  </si>
  <si>
    <t>Smith</t>
  </si>
  <si>
    <t>0692737714</t>
  </si>
  <si>
    <t>Chemin des Cevennes</t>
  </si>
  <si>
    <t>rec8V96z3M3TU00Ae,3F309B9A28</t>
  </si>
  <si>
    <t>3F309B9A28</t>
  </si>
  <si>
    <t>Souton</t>
  </si>
  <si>
    <t>Rue du Pere Castagnan</t>
  </si>
  <si>
    <t>recJLeOBxeJYZCIaT,recww4Jp7KJgtqTfD</t>
  </si>
  <si>
    <t>0BB44723F4</t>
  </si>
  <si>
    <t>Solignat</t>
  </si>
  <si>
    <t>15CEE8B2F7</t>
  </si>
  <si>
    <t>Sumac</t>
  </si>
  <si>
    <t>3F7332FD0C</t>
  </si>
  <si>
    <t>Tarby</t>
  </si>
  <si>
    <t>Linda</t>
  </si>
  <si>
    <t>0692 63 75 20</t>
  </si>
  <si>
    <t>3CC9E27BC2</t>
  </si>
  <si>
    <t>Telegone</t>
  </si>
  <si>
    <t>Brice</t>
  </si>
  <si>
    <t>Impasse des Cypres</t>
  </si>
  <si>
    <t>066FE40929</t>
  </si>
  <si>
    <t>Técher</t>
  </si>
  <si>
    <t>6752f3a9</t>
  </si>
  <si>
    <t>Justine</t>
  </si>
  <si>
    <t>0262395125</t>
  </si>
  <si>
    <t>30E2DBB43A</t>
  </si>
  <si>
    <t>Tévané</t>
  </si>
  <si>
    <t>Marie Graziella</t>
  </si>
  <si>
    <t>Prestataires_Images/TéMa74545y.Photo.065846.jpg</t>
  </si>
  <si>
    <t>2FA713B81F</t>
  </si>
  <si>
    <t>Techer</t>
  </si>
  <si>
    <t>Marie Anne</t>
  </si>
  <si>
    <t>0692 20 79 26</t>
  </si>
  <si>
    <t>rue de Finlande</t>
  </si>
  <si>
    <t>recW5SKUQWWgrDLvC,recfEmpLnY5H9dk0r</t>
  </si>
  <si>
    <t>84a7b35a</t>
  </si>
  <si>
    <t>c6ec4513</t>
  </si>
  <si>
    <t>Tergemina</t>
  </si>
  <si>
    <t>Nadège</t>
  </si>
  <si>
    <t>0692 61 77 48</t>
  </si>
  <si>
    <t>Impasse Camille Hoareau</t>
  </si>
  <si>
    <t>recyNTh7vGAYgzmHO,30307215</t>
  </si>
  <si>
    <t>Prestataires_Images/TeNa7748a7.Photo.051009.jpg</t>
  </si>
  <si>
    <t>30307215</t>
  </si>
  <si>
    <t>Impasse Henri Techer</t>
  </si>
  <si>
    <t>recy2pLyhjtLbfJjp,recC5TA152zJVPLyx</t>
  </si>
  <si>
    <t>395A772F7B</t>
  </si>
  <si>
    <t>Thermes</t>
  </si>
  <si>
    <t>Chantal</t>
  </si>
  <si>
    <t>Chemin Jean Baptiste</t>
  </si>
  <si>
    <t>5755900A7B</t>
  </si>
  <si>
    <t>5C51DE914D</t>
  </si>
  <si>
    <t>Thiaw-nam-tong</t>
  </si>
  <si>
    <t>Henri</t>
  </si>
  <si>
    <t>3E00DA941C</t>
  </si>
  <si>
    <t>Thebault</t>
  </si>
  <si>
    <t>Raphaël</t>
  </si>
  <si>
    <t>48AEFC84CC</t>
  </si>
  <si>
    <t>Tholozan</t>
  </si>
  <si>
    <t>Sébastien</t>
  </si>
  <si>
    <t>5F0036990B</t>
  </si>
  <si>
    <t>0692339860</t>
  </si>
  <si>
    <t>84d9714f</t>
  </si>
  <si>
    <t>Tonru</t>
  </si>
  <si>
    <t>Jannick</t>
  </si>
  <si>
    <t>0493628C49</t>
  </si>
  <si>
    <t>Chonsen</t>
  </si>
  <si>
    <t>Allée Jacques Lougnon</t>
  </si>
  <si>
    <t>38A9501EF6</t>
  </si>
  <si>
    <t>Amélie</t>
  </si>
  <si>
    <t>532EB82190</t>
  </si>
  <si>
    <t>Anne-Margareth</t>
  </si>
  <si>
    <t>17 B</t>
  </si>
  <si>
    <t>RUE BENJOINS</t>
  </si>
  <si>
    <t>27BC8D13AC</t>
  </si>
  <si>
    <t>Valromex</t>
  </si>
  <si>
    <t>rec2VkaNFgTUZQarj,rectgw5U8BugwUIyW</t>
  </si>
  <si>
    <t>0BDA41C9B4</t>
  </si>
  <si>
    <t>Valery</t>
  </si>
  <si>
    <t>0692885924</t>
  </si>
  <si>
    <t>recE5pXjJa4NwgWXw,recqyCMD3ckL0A0rX</t>
  </si>
  <si>
    <t>43ae46b0</t>
  </si>
  <si>
    <t>Versluys</t>
  </si>
  <si>
    <t>FRANCK</t>
  </si>
  <si>
    <t>150-178</t>
  </si>
  <si>
    <t>4e13af92</t>
  </si>
  <si>
    <t>Velia</t>
  </si>
  <si>
    <t>Jean Fred</t>
  </si>
  <si>
    <t>Chemin des Acacias</t>
  </si>
  <si>
    <t>recEqFurEd2CSBjqg,recfcEj0VScC9avif,59D0EA4483,3e9ccb68</t>
  </si>
  <si>
    <t>e95d4c4b</t>
  </si>
  <si>
    <t>Venault</t>
  </si>
  <si>
    <t>Mélanie</t>
  </si>
  <si>
    <t>0693943900</t>
  </si>
  <si>
    <t>aad154a2</t>
  </si>
  <si>
    <t>Vigueur</t>
  </si>
  <si>
    <t>0D351C478F</t>
  </si>
  <si>
    <t>Vitry</t>
  </si>
  <si>
    <t>Rue du Raccourci</t>
  </si>
  <si>
    <t>4E3AB8CD20</t>
  </si>
  <si>
    <t>Vilcourt</t>
  </si>
  <si>
    <t>Marie-Laure</t>
  </si>
  <si>
    <t>Chemin Antoine Naze</t>
  </si>
  <si>
    <t>88b98e79</t>
  </si>
  <si>
    <t>Vian</t>
  </si>
  <si>
    <t>Raoul</t>
  </si>
  <si>
    <t>0693 40 25 58</t>
  </si>
  <si>
    <t>Allée des Moellons</t>
  </si>
  <si>
    <t>Prestataires_Images/ViRa2558TS.Photo.071329.png</t>
  </si>
  <si>
    <t>03EF9CF411</t>
  </si>
  <si>
    <t>Vienne</t>
  </si>
  <si>
    <t>Raymonde</t>
  </si>
  <si>
    <t>0692 20 41 58</t>
  </si>
  <si>
    <t>Rue Claude Marion</t>
  </si>
  <si>
    <t>33CD92BB02</t>
  </si>
  <si>
    <t>0692466261</t>
  </si>
  <si>
    <t>Chemin Rosemond</t>
  </si>
  <si>
    <t>6148D5CAC8</t>
  </si>
  <si>
    <t>Volsan</t>
  </si>
  <si>
    <t>03077551D1</t>
  </si>
  <si>
    <t>Wacogne</t>
  </si>
  <si>
    <t>38 A</t>
  </si>
  <si>
    <t>91f147e4</t>
  </si>
  <si>
    <t>Weiss</t>
  </si>
  <si>
    <t>Jessica</t>
  </si>
  <si>
    <t>Rue Léon Dierx</t>
  </si>
  <si>
    <t>3ECE8F10B7</t>
  </si>
  <si>
    <t>Wozniack</t>
  </si>
  <si>
    <t>Lotissement Lauriers Cocos</t>
  </si>
  <si>
    <t>83665ce0</t>
  </si>
  <si>
    <t>Wysocki</t>
  </si>
  <si>
    <t>Francine</t>
  </si>
  <si>
    <t>180186313F</t>
  </si>
  <si>
    <t>REVIRON</t>
  </si>
  <si>
    <t>Stephen</t>
  </si>
  <si>
    <t>83237123,87c31917</t>
  </si>
  <si>
    <t>59fb4c11</t>
  </si>
  <si>
    <t>LECLAIR DE BELLEVUE</t>
  </si>
  <si>
    <t>17 A</t>
  </si>
  <si>
    <t>8f4ed75f</t>
  </si>
  <si>
    <t>0bef5406</t>
  </si>
  <si>
    <t>TRICART</t>
  </si>
  <si>
    <t>Nelly</t>
  </si>
  <si>
    <t>rue Berteaux</t>
  </si>
  <si>
    <t>Saint-Leu-La-Forêt</t>
  </si>
  <si>
    <t>ce2d435f</t>
  </si>
  <si>
    <t>MEZINO</t>
  </si>
  <si>
    <t>33 bis</t>
  </si>
  <si>
    <t>route de la Grande Corniche - Manapany-Les-Bains</t>
  </si>
  <si>
    <t>3e7f0dc0</t>
  </si>
  <si>
    <t>LEBRETON</t>
  </si>
  <si>
    <t>Yann</t>
  </si>
  <si>
    <t>chemin des Alizes - Langevin</t>
  </si>
  <si>
    <t>01720ac6</t>
  </si>
  <si>
    <t>GRONDIN</t>
  </si>
  <si>
    <t>chemin liane café Langevin</t>
  </si>
  <si>
    <t>de5cbaf4</t>
  </si>
  <si>
    <t>LENORMAND</t>
  </si>
  <si>
    <t>Scarlett</t>
  </si>
  <si>
    <t>0692617082</t>
  </si>
  <si>
    <t>2 rue du Père Favron</t>
  </si>
  <si>
    <t>474709b7</t>
  </si>
  <si>
    <t>jeanphilippetecher@live.fr</t>
  </si>
  <si>
    <t>0692 69 90 13</t>
  </si>
  <si>
    <t>937a7219</t>
  </si>
  <si>
    <t>MALET</t>
  </si>
  <si>
    <t>0692235437</t>
  </si>
  <si>
    <t>16 A</t>
  </si>
  <si>
    <t>ligne des Quatre Cent Vingt</t>
  </si>
  <si>
    <t>c4446084</t>
  </si>
  <si>
    <t>BOYER</t>
  </si>
  <si>
    <t>Jacqueline</t>
  </si>
  <si>
    <t>rue Claude Marion - La Crête 2</t>
  </si>
  <si>
    <t>4ab919e9,d029b989</t>
  </si>
  <si>
    <t>d029b989</t>
  </si>
  <si>
    <t>GUIEU</t>
  </si>
  <si>
    <t>Maxime</t>
  </si>
  <si>
    <t>chemin du Colorado</t>
  </si>
  <si>
    <t>La Montagne</t>
  </si>
  <si>
    <t>5ad450df</t>
  </si>
  <si>
    <t>RICHARD</t>
  </si>
  <si>
    <t>Caroline</t>
  </si>
  <si>
    <t>RN2 - Le Tremblet</t>
  </si>
  <si>
    <t>1402749d,c49f03be,c49f03be</t>
  </si>
  <si>
    <t>Prestataires_Images/2ff376ef.Photo.095529.jpg</t>
  </si>
  <si>
    <t>c49f03be</t>
  </si>
  <si>
    <t>736fd1d6</t>
  </si>
  <si>
    <t>GAUGUIN</t>
  </si>
  <si>
    <t>Gérôme</t>
  </si>
  <si>
    <t>8f309bba</t>
  </si>
  <si>
    <t>e10b60a7</t>
  </si>
  <si>
    <t>Bruno</t>
  </si>
  <si>
    <t>0692 68 46 53</t>
  </si>
  <si>
    <t>Conjoint collaborator</t>
  </si>
  <si>
    <t>Prestataires_Images/e10b60a7.Photo.061413.jpg</t>
  </si>
  <si>
    <t>b873288e</t>
  </si>
  <si>
    <t>2b96c273</t>
  </si>
  <si>
    <t>Myriam</t>
  </si>
  <si>
    <t>myriambarret.mb@gmail.com</t>
  </si>
  <si>
    <t>0692474941</t>
  </si>
  <si>
    <t>e7782c94</t>
  </si>
  <si>
    <t>LEBLANC</t>
  </si>
  <si>
    <t>Eddie</t>
  </si>
  <si>
    <t>allée des rameaux - Vincendo</t>
  </si>
  <si>
    <t>98e7f09a</t>
  </si>
  <si>
    <t>ROBERT</t>
  </si>
  <si>
    <t>Johan</t>
  </si>
  <si>
    <t>chemin Marcelin</t>
  </si>
  <si>
    <t>b63b38bb,aa1c6110</t>
  </si>
  <si>
    <t>6fab3adf</t>
  </si>
  <si>
    <t>AMILY</t>
  </si>
  <si>
    <t>Marceau</t>
  </si>
  <si>
    <t>0693130774</t>
  </si>
  <si>
    <t>d1bbabec</t>
  </si>
  <si>
    <t>Ketty</t>
  </si>
  <si>
    <t>rue de la commanderie</t>
  </si>
  <si>
    <t>Villedieu-La-Blouere</t>
  </si>
  <si>
    <t>6669e8c8</t>
  </si>
  <si>
    <t>Jean Cédrix</t>
  </si>
  <si>
    <t>chemin des faucons - Les Lianes</t>
  </si>
  <si>
    <t>e3bc6963</t>
  </si>
  <si>
    <t>Janine</t>
  </si>
  <si>
    <t>RN2 - Le Baril</t>
  </si>
  <si>
    <t>75959da5</t>
  </si>
  <si>
    <t>BRIZARD</t>
  </si>
  <si>
    <t>cbc8d9e0</t>
  </si>
  <si>
    <t>HOARAU</t>
  </si>
  <si>
    <t>Yvonne</t>
  </si>
  <si>
    <t>rue de la pompe</t>
  </si>
  <si>
    <t>recyyAOrP5ABYe0Qk,34636f32</t>
  </si>
  <si>
    <t>7b909791</t>
  </si>
  <si>
    <t>ABLANCOURT</t>
  </si>
  <si>
    <t>0692 34 94 33</t>
  </si>
  <si>
    <t>rue de l'église</t>
  </si>
  <si>
    <t>0833720e</t>
  </si>
  <si>
    <t>7beceb7d,0834e5dc</t>
  </si>
  <si>
    <t>81ecbce7</t>
  </si>
  <si>
    <t>LEICHNIG</t>
  </si>
  <si>
    <t>Louis</t>
  </si>
  <si>
    <t>0692271550</t>
  </si>
  <si>
    <t>rue Labourdonnais - Basse-Vallée</t>
  </si>
  <si>
    <t>ca427fdb</t>
  </si>
  <si>
    <t>108f8b77</t>
  </si>
  <si>
    <t>FORMAN</t>
  </si>
  <si>
    <t>Priscillia</t>
  </si>
  <si>
    <t>Rue Vavangue</t>
  </si>
  <si>
    <t>Saint - Louis</t>
  </si>
  <si>
    <t>2a1e10a6</t>
  </si>
  <si>
    <t>0692767246</t>
  </si>
  <si>
    <t>d0a65b37</t>
  </si>
  <si>
    <t>27ebeac1</t>
  </si>
  <si>
    <t>COUROUPOULA</t>
  </si>
  <si>
    <t>Vital</t>
  </si>
  <si>
    <t>vcouroupoula@sfr.fr</t>
  </si>
  <si>
    <t>0692888570</t>
  </si>
  <si>
    <t>rue Vavangue</t>
  </si>
  <si>
    <t>bcaaa187</t>
  </si>
  <si>
    <t>GERMAIN</t>
  </si>
  <si>
    <t>chemin des bibassiers - Bras de Pontho</t>
  </si>
  <si>
    <t>f28b7b1d,95e1c128</t>
  </si>
  <si>
    <t>Prestataires_Images/0e6cd83d.Photo.045813.jpg</t>
  </si>
  <si>
    <t>9d28adea</t>
  </si>
  <si>
    <t>Edith</t>
  </si>
  <si>
    <t>mtt.berceauduvacoa@gmail.com</t>
  </si>
  <si>
    <t>9176fc6e</t>
  </si>
  <si>
    <t>Jean Dominique</t>
  </si>
  <si>
    <t>rue du puits - Langevin</t>
  </si>
  <si>
    <t>f65587d3</t>
  </si>
  <si>
    <t>BELLO</t>
  </si>
  <si>
    <t>c7287dda,c7287dda</t>
  </si>
  <si>
    <t>77dff134</t>
  </si>
  <si>
    <t>COVINDIN</t>
  </si>
  <si>
    <t>Sendy</t>
  </si>
  <si>
    <t>e7efd87e</t>
  </si>
  <si>
    <t>BELMAS</t>
  </si>
  <si>
    <t>73129a50</t>
  </si>
  <si>
    <t>HOAREAU</t>
  </si>
  <si>
    <t>Joël</t>
  </si>
  <si>
    <t>303b58f2,ab33784f</t>
  </si>
  <si>
    <t>ab33784f</t>
  </si>
  <si>
    <t>chemin de la Petite Chapelle - Piton Hyacinthe</t>
  </si>
  <si>
    <t>0064fffb,0064fffb,113a206c,113a206c,113a206c,4c8118bc,4c8118bc</t>
  </si>
  <si>
    <t>58a09494</t>
  </si>
  <si>
    <t>ETHEVE</t>
  </si>
  <si>
    <t>0692 85 49 78</t>
  </si>
  <si>
    <t>9d4ae3ec,2852ef6f</t>
  </si>
  <si>
    <t>Prestataires_Images/3c6e5135.Photo.145317.jpg</t>
  </si>
  <si>
    <t>3b3c9a02</t>
  </si>
  <si>
    <t>MARCOURT</t>
  </si>
  <si>
    <t>Axel</t>
  </si>
  <si>
    <t>155</t>
  </si>
  <si>
    <t>rue Ronsard - La Crête</t>
  </si>
  <si>
    <t>2ceb5df4</t>
  </si>
  <si>
    <t>France May</t>
  </si>
  <si>
    <t>3a638741,7f5a5d38,a0111038</t>
  </si>
  <si>
    <t>Prestataires_Images/8ffc87c4.Photo.162940.png</t>
  </si>
  <si>
    <t>a0111038</t>
  </si>
  <si>
    <t>PATCHANE LACANE</t>
  </si>
  <si>
    <t>Varadan</t>
  </si>
  <si>
    <t>387ab275,af78e6d7</t>
  </si>
  <si>
    <t>Prestataires_Images/cc1819b6.Photo.061524.jpg</t>
  </si>
  <si>
    <t>8c78a486</t>
  </si>
  <si>
    <t>DREUMONT</t>
  </si>
  <si>
    <t>Chaïlendra</t>
  </si>
  <si>
    <t>chemin de l'equerre</t>
  </si>
  <si>
    <t>d541b6a8</t>
  </si>
  <si>
    <t>RATANE</t>
  </si>
  <si>
    <t>Marina</t>
  </si>
  <si>
    <t>0cfcf8dd,ccd1add0</t>
  </si>
  <si>
    <t>Prestataires_Images/ac3f437d.Photo.084703.jpg</t>
  </si>
  <si>
    <t>da5e7a32</t>
  </si>
  <si>
    <t>cabanerobinsonlangevin@gmail.com</t>
  </si>
  <si>
    <t>fba1a5b9</t>
  </si>
  <si>
    <t>THEODORAT</t>
  </si>
  <si>
    <t>Gilles</t>
  </si>
  <si>
    <t>43 A</t>
  </si>
  <si>
    <t>3b1dc324</t>
  </si>
  <si>
    <t>TONRU</t>
  </si>
  <si>
    <t>Chemin Glissant</t>
  </si>
  <si>
    <t>f867846d</t>
  </si>
  <si>
    <t>dd7cbdba</t>
  </si>
  <si>
    <t>LAUDE</t>
  </si>
  <si>
    <t>Marie Luce</t>
  </si>
  <si>
    <t>laude.marieluce@bbox.fr</t>
  </si>
  <si>
    <t>0660463145</t>
  </si>
  <si>
    <t>allée Schubert - Le Mont Ouest</t>
  </si>
  <si>
    <t>Tignieu-Jameyzieu</t>
  </si>
  <si>
    <t>cef154cd</t>
  </si>
  <si>
    <t>PIGNAULT</t>
  </si>
  <si>
    <t>pignault.fabien@orange.fr</t>
  </si>
  <si>
    <t>Boulevard de l'Océan - numéro 8 lot. Minmin</t>
  </si>
  <si>
    <t>Prestataires_Images/c70f3227.Photo.065507.jpg</t>
  </si>
  <si>
    <t>c050812f</t>
  </si>
  <si>
    <t>LEBON</t>
  </si>
  <si>
    <t>Marie Aurélie</t>
  </si>
  <si>
    <t>chemin Concession</t>
  </si>
  <si>
    <t>46b2c40c,3fcdd84d</t>
  </si>
  <si>
    <t>91cb1174</t>
  </si>
  <si>
    <t>BUISSON DE LARICHAUDY</t>
  </si>
  <si>
    <t>route de Sainte-Luce</t>
  </si>
  <si>
    <t>Blaye</t>
  </si>
  <si>
    <t>8334fb07</t>
  </si>
  <si>
    <t>FILAUMART</t>
  </si>
  <si>
    <t>Cathy</t>
  </si>
  <si>
    <t>rue Léonce Jeannet - Bézaves</t>
  </si>
  <si>
    <t>cc35e53f</t>
  </si>
  <si>
    <t>0692394213</t>
  </si>
  <si>
    <t>63c86e39</t>
  </si>
  <si>
    <t>MONDON</t>
  </si>
  <si>
    <t>rue Augustin Gruchet</t>
  </si>
  <si>
    <t>Piton Saint-Leu</t>
  </si>
  <si>
    <t>90ecece8</t>
  </si>
  <si>
    <t>LE QUERE</t>
  </si>
  <si>
    <t>Laure</t>
  </si>
  <si>
    <t>Prestataires_Images/93a651b9.Photo.074259.png</t>
  </si>
  <si>
    <t>5cfffba9</t>
  </si>
  <si>
    <t>Chemin Léon</t>
  </si>
  <si>
    <t>986ea8dd,6952bda4</t>
  </si>
  <si>
    <t>2dd27594</t>
  </si>
  <si>
    <t>Julienne</t>
  </si>
  <si>
    <t>chemin Deurveiller les Hauts</t>
  </si>
  <si>
    <t>1373b0d6</t>
  </si>
  <si>
    <t>Corré</t>
  </si>
  <si>
    <t>9405fbb1</t>
  </si>
  <si>
    <t>TURPIN</t>
  </si>
  <si>
    <t>0692829833</t>
  </si>
  <si>
    <t>c013dfae</t>
  </si>
  <si>
    <t>Amaye</t>
  </si>
  <si>
    <t>amayealain@gmail.com</t>
  </si>
  <si>
    <t>0692864272</t>
  </si>
  <si>
    <t>Bis chemin Avril Amaye</t>
  </si>
  <si>
    <t>d9f1c7dd,d9f1c8dd</t>
  </si>
  <si>
    <t>dbdb1470</t>
  </si>
  <si>
    <t>Jonathan</t>
  </si>
  <si>
    <t>ruelle bleue - Ravine des Citrons</t>
  </si>
  <si>
    <t>d821b58e</t>
  </si>
  <si>
    <t>MOUREAUX</t>
  </si>
  <si>
    <t>Anaïs</t>
  </si>
  <si>
    <t>anais.m.mk@hotmail.com</t>
  </si>
  <si>
    <t>2740c3db,2740c4db,a6989044</t>
  </si>
  <si>
    <t>687dbbc1</t>
  </si>
  <si>
    <t>91</t>
  </si>
  <si>
    <t>cd1a0737</t>
  </si>
  <si>
    <t>LI-WOUNG-KI</t>
  </si>
  <si>
    <t>Anne-Marie</t>
  </si>
  <si>
    <t>4889b438</t>
  </si>
  <si>
    <t>BIOT</t>
  </si>
  <si>
    <t>7d424482</t>
  </si>
  <si>
    <t>Impasse des bougainvilliers</t>
  </si>
  <si>
    <t>Prestataires_Images/3d9f270f.Photo.110554.jpg</t>
  </si>
  <si>
    <t>8259b4ad</t>
  </si>
  <si>
    <t>f1d36097</t>
  </si>
  <si>
    <t>Sotomayor</t>
  </si>
  <si>
    <t>Éric</t>
  </si>
  <si>
    <t>0692 74 88 41</t>
  </si>
  <si>
    <t>collège Tamarin, rue François de Mahy</t>
  </si>
  <si>
    <t>387b8dd0</t>
  </si>
  <si>
    <t>Estanguet</t>
  </si>
  <si>
    <t>rue Carles</t>
  </si>
  <si>
    <t>Saint-Marcellin</t>
  </si>
  <si>
    <t>22b418d4</t>
  </si>
  <si>
    <t>Line</t>
  </si>
  <si>
    <t>3841109e</t>
  </si>
  <si>
    <t>GUENEDAL</t>
  </si>
  <si>
    <t>Gaëlle</t>
  </si>
  <si>
    <t>44b5e868</t>
  </si>
  <si>
    <t>MAILLOT</t>
  </si>
  <si>
    <t>Prestataires_Images/ec935805.Photo.121556.png</t>
  </si>
  <si>
    <t>d8e507ec</t>
  </si>
  <si>
    <t>Ferrere</t>
  </si>
  <si>
    <t>Marie Hélène May</t>
  </si>
  <si>
    <t>774c4237</t>
  </si>
  <si>
    <t>901f1ed5</t>
  </si>
  <si>
    <t>COULOMBEL</t>
  </si>
  <si>
    <t>coulombel@yahoo.fr</t>
  </si>
  <si>
    <t>0262 33 49 58</t>
  </si>
  <si>
    <t>61a</t>
  </si>
  <si>
    <t>Prestataires_Images/901f1ed5.Photo.060002.jpg</t>
  </si>
  <si>
    <t>59beacff</t>
  </si>
  <si>
    <t>Eberlin</t>
  </si>
  <si>
    <t>443fd2ae,a626b82d</t>
  </si>
  <si>
    <t>d6859898</t>
  </si>
  <si>
    <t>Carole</t>
  </si>
  <si>
    <t>Prestataires_Images/7320f06c.Photo.114808.jpg</t>
  </si>
  <si>
    <t>7514c72e</t>
  </si>
  <si>
    <t>LEFEVRE</t>
  </si>
  <si>
    <t>Gregory</t>
  </si>
  <si>
    <t>0692 432057</t>
  </si>
  <si>
    <t>e769fef3</t>
  </si>
  <si>
    <t>LECOLIER</t>
  </si>
  <si>
    <t>Florent</t>
  </si>
  <si>
    <t>des poinsettias</t>
  </si>
  <si>
    <t>ceb8cd51,ceb8cd52</t>
  </si>
  <si>
    <t>f43cf30a</t>
  </si>
  <si>
    <t>laurence.ablancourt@gmail.com</t>
  </si>
  <si>
    <t>0692 61 95 27</t>
  </si>
  <si>
    <t>Chemin de la grande ferme</t>
  </si>
  <si>
    <t>a4fe2628,3fb285d5</t>
  </si>
  <si>
    <t>d85fb629</t>
  </si>
  <si>
    <t>Margarita</t>
  </si>
  <si>
    <t>pierreb24150@gmail.com</t>
  </si>
  <si>
    <t>bc77d7f4</t>
  </si>
  <si>
    <t>JEAN-THOMAS</t>
  </si>
  <si>
    <t>5 A</t>
  </si>
  <si>
    <t>RUE MACAIRE</t>
  </si>
  <si>
    <t>Prestataires_Images/aed867d5.Photo.101547.jpg</t>
  </si>
  <si>
    <t>88b9b491</t>
  </si>
  <si>
    <t>Pierre</t>
  </si>
  <si>
    <t>8690cb09</t>
  </si>
  <si>
    <t>GARCIANNE</t>
  </si>
  <si>
    <t>Georges-Ino</t>
  </si>
  <si>
    <t>0693617018</t>
  </si>
  <si>
    <t>15cab431</t>
  </si>
  <si>
    <t>GANGNANT</t>
  </si>
  <si>
    <t>0692779494</t>
  </si>
  <si>
    <t>Plaine des Palmistes</t>
  </si>
  <si>
    <t>b74aa3f4,b74aa3f4</t>
  </si>
  <si>
    <t>302614d4</t>
  </si>
  <si>
    <t>GIRARD</t>
  </si>
  <si>
    <t>rue Henri Mussard</t>
  </si>
  <si>
    <t>ea2a87f6</t>
  </si>
  <si>
    <t>Ulrich</t>
  </si>
  <si>
    <t>69f746b8,69f746b8,69f746b8,69f746b8,69f746b8</t>
  </si>
  <si>
    <t>Prestataires_Files_/1f8ebfd6.Photo.115729.webp</t>
  </si>
  <si>
    <t>0692200662</t>
  </si>
  <si>
    <t>79b5df20</t>
  </si>
  <si>
    <t>Sherazanne</t>
  </si>
  <si>
    <t>11C</t>
  </si>
  <si>
    <t>Prestataires_Images/f169964d.Photo.044920.jpg</t>
  </si>
  <si>
    <t>c9528074</t>
  </si>
  <si>
    <t>VITRY</t>
  </si>
  <si>
    <t>rue Petite Plaine</t>
  </si>
  <si>
    <t>cc0315bb,cc0315bb,cc0315bb,f9c669a7,f9c669a7</t>
  </si>
  <si>
    <t>f9c669a7</t>
  </si>
  <si>
    <t>GANIMEDE</t>
  </si>
  <si>
    <t>Claudine</t>
  </si>
  <si>
    <t>76 A</t>
  </si>
  <si>
    <t>rue VALMY</t>
  </si>
  <si>
    <t>b7038578</t>
  </si>
  <si>
    <t>HUGONNOT</t>
  </si>
  <si>
    <t>Sylvain</t>
  </si>
  <si>
    <t>0692652406</t>
  </si>
  <si>
    <t>66c125cb</t>
  </si>
  <si>
    <t>Lauriane</t>
  </si>
  <si>
    <t>0692242707</t>
  </si>
  <si>
    <t>0dc15fb6,59c6e7f3</t>
  </si>
  <si>
    <t>Prestataires_Images/9fe3fe5f.Photo.111843.jpg</t>
  </si>
  <si>
    <t>14de8e7c</t>
  </si>
  <si>
    <t>laupadomos@orange.fr</t>
  </si>
  <si>
    <t>a4de6bb6</t>
  </si>
  <si>
    <t>Berrichon</t>
  </si>
  <si>
    <t>0693868271</t>
  </si>
  <si>
    <t>Chemin Départemental 26</t>
  </si>
  <si>
    <t>Prestataires_Images/f19fc814.Photo.043418.png</t>
  </si>
  <si>
    <t>512180dc</t>
  </si>
  <si>
    <t>DEFOSSE</t>
  </si>
  <si>
    <t>Gabrielle</t>
  </si>
  <si>
    <t>Caserne Lambert – BP 50800</t>
  </si>
  <si>
    <t>saint denis cedex</t>
  </si>
  <si>
    <t>67db8f98</t>
  </si>
  <si>
    <t>MOTAIS DE NARBONNE</t>
  </si>
  <si>
    <t>Reine Claude</t>
  </si>
  <si>
    <t>rue Motais de Narbonne</t>
  </si>
  <si>
    <t>b76340fd,5b30bdff</t>
  </si>
  <si>
    <t>44b04130</t>
  </si>
  <si>
    <t>JACOUTOT</t>
  </si>
  <si>
    <t>Aurélien</t>
  </si>
  <si>
    <t>Prestataires_Images/e4b311d0.Photo.154355.png</t>
  </si>
  <si>
    <t>cb71add7</t>
  </si>
  <si>
    <t>7f56c9cc</t>
  </si>
  <si>
    <t>LIMERY</t>
  </si>
  <si>
    <t>sarahlimery0@gmail.com</t>
  </si>
  <si>
    <t>0692694545</t>
  </si>
  <si>
    <t>chemin des capucines - PK17</t>
  </si>
  <si>
    <t>8ab343c5</t>
  </si>
  <si>
    <t>4b3e02a9</t>
  </si>
  <si>
    <t>D'EURVEILHER</t>
  </si>
  <si>
    <t>Loïc</t>
  </si>
  <si>
    <t>loicdeurveilher2@gmail.com</t>
  </si>
  <si>
    <t>0693014668</t>
  </si>
  <si>
    <t>chemin de la forêt</t>
  </si>
  <si>
    <t>dd5b6f93</t>
  </si>
  <si>
    <t>PAYET Jérémy</t>
  </si>
  <si>
    <t>SÉJOUR DE REVE</t>
  </si>
  <si>
    <t>Agence/Conciergerie</t>
  </si>
  <si>
    <t>allée de Grenoble - PK19</t>
  </si>
  <si>
    <t>eb28c8d0,c5385694,0a630ade,eeb7389e,367d6f26</t>
  </si>
  <si>
    <t>7c2ed7fa</t>
  </si>
  <si>
    <t>FRUTEAU DE LACLOS</t>
  </si>
  <si>
    <t>fdl974@hotmail.fr</t>
  </si>
  <si>
    <t>0692883194</t>
  </si>
  <si>
    <t>impasse Augustin Malraux</t>
  </si>
  <si>
    <t>Cagnac Les Mines</t>
  </si>
  <si>
    <t>487215c4</t>
  </si>
  <si>
    <t>VATEL</t>
  </si>
  <si>
    <t>Marie-Gladys</t>
  </si>
  <si>
    <t>impasse Nassibia</t>
  </si>
  <si>
    <t>bac55d6b</t>
  </si>
  <si>
    <t>AUGER-WROBEL</t>
  </si>
  <si>
    <t>Peggy Karen Katia</t>
  </si>
  <si>
    <t>Chemin Notre de la Paix</t>
  </si>
  <si>
    <t>7949ab8c,971c994a</t>
  </si>
  <si>
    <t>Prestataires_Images/69c48b2a.Photo.095853.jpg</t>
  </si>
  <si>
    <t>07872e6f</t>
  </si>
  <si>
    <t>AGUADO</t>
  </si>
  <si>
    <t>Basilio</t>
  </si>
  <si>
    <t>c9df1840,c9df1840</t>
  </si>
  <si>
    <t>d7dd7db4</t>
  </si>
  <si>
    <t>Elisa</t>
  </si>
  <si>
    <t>0692079817</t>
  </si>
  <si>
    <t>fb2ad3dc</t>
  </si>
  <si>
    <t>VENTURINI</t>
  </si>
  <si>
    <t>Benoît Guiseppe</t>
  </si>
  <si>
    <t>6d1256d3</t>
  </si>
  <si>
    <t>KRAEMER</t>
  </si>
  <si>
    <t>7f9e5843,7f9e5843</t>
  </si>
  <si>
    <t>8bab8305</t>
  </si>
  <si>
    <t>Eddy</t>
  </si>
  <si>
    <t>e011cbfe</t>
  </si>
  <si>
    <t>BILLIKERS</t>
  </si>
  <si>
    <t>BOYER Jessica</t>
  </si>
  <si>
    <t>Mail de Rodrigues</t>
  </si>
  <si>
    <t>Saint-Paul</t>
  </si>
  <si>
    <t>885199aa,ae3bc50f,3fb285d5</t>
  </si>
  <si>
    <t>2f0f3953</t>
  </si>
  <si>
    <t>Guy Emile</t>
  </si>
  <si>
    <t>db31dc38</t>
  </si>
  <si>
    <t>Le Brigand</t>
  </si>
  <si>
    <t>Diminique</t>
  </si>
  <si>
    <t>domalbert97400@hotmail.com</t>
  </si>
  <si>
    <t>BODIN</t>
  </si>
  <si>
    <t>Aymeric</t>
  </si>
  <si>
    <t>15 B</t>
  </si>
  <si>
    <t>chemin de l'École</t>
  </si>
  <si>
    <t>f5560e92</t>
  </si>
  <si>
    <t>THIA NAM</t>
  </si>
  <si>
    <t>rue des Cyclamens</t>
  </si>
  <si>
    <t>7b0db733</t>
  </si>
  <si>
    <t>FELICITE</t>
  </si>
  <si>
    <t>Marie Valérie</t>
  </si>
  <si>
    <t>chemin Grand Bassin Ravine Ango</t>
  </si>
  <si>
    <t>9167e1d4</t>
  </si>
  <si>
    <t>CHAMANT</t>
  </si>
  <si>
    <t>Prestataires_Images/c0d72ae9.Photo.045840.png</t>
  </si>
  <si>
    <t>fa9840d3</t>
  </si>
  <si>
    <t>impasse Henri TECHER</t>
  </si>
  <si>
    <t>95fe3c97</t>
  </si>
  <si>
    <t>34 bis</t>
  </si>
  <si>
    <t>rue Augustin Mondon</t>
  </si>
  <si>
    <t>58b8c676,ca528e1d</t>
  </si>
  <si>
    <t>bd4a37fe</t>
  </si>
  <si>
    <t>NICOLLE</t>
  </si>
  <si>
    <t>François Benjamin</t>
  </si>
  <si>
    <t>0692053960</t>
  </si>
  <si>
    <t>Prestataires_Images/b3061c76.Photo.105502.jpg</t>
  </si>
  <si>
    <t>95182a81</t>
  </si>
  <si>
    <t>259</t>
  </si>
  <si>
    <t>ca79be2b,b2b00f8b,b2b00f8b,dea8c68c,fda49707</t>
  </si>
  <si>
    <t>999d1c78</t>
  </si>
  <si>
    <t>Marie Laurence Sandra</t>
  </si>
  <si>
    <t>0692888968</t>
  </si>
  <si>
    <t>178 bis</t>
  </si>
  <si>
    <t>rue du Paille en Queue - Berive</t>
  </si>
  <si>
    <t>0fcf57e0,02f9f539</t>
  </si>
  <si>
    <t>Prestataires_Images/d571cb3c.Photo.061315.jpg</t>
  </si>
  <si>
    <t>46f4af08</t>
  </si>
  <si>
    <t>POLLET</t>
  </si>
  <si>
    <t>bffd3e89</t>
  </si>
  <si>
    <t>BARET</t>
  </si>
  <si>
    <t>7c</t>
  </si>
  <si>
    <t>chemin la Ouette</t>
  </si>
  <si>
    <t>34b3834f,12ccef71,12ccef71</t>
  </si>
  <si>
    <t>18841687</t>
  </si>
  <si>
    <t>Marie Estelle</t>
  </si>
  <si>
    <t>a06eebde</t>
  </si>
  <si>
    <t>MARIE</t>
  </si>
  <si>
    <t>Philomène</t>
  </si>
  <si>
    <t>0692054176</t>
  </si>
  <si>
    <t>759afed5,f866e18f,f866e18f</t>
  </si>
  <si>
    <t>Prestataires_Images/3e6dc780.Photo.103722.png</t>
  </si>
  <si>
    <t>f866e18f</t>
  </si>
  <si>
    <t>chemin Champ de Foire</t>
  </si>
  <si>
    <t>6365c70c</t>
  </si>
  <si>
    <t>Kelly</t>
  </si>
  <si>
    <t>rue Maurice Berrichon</t>
  </si>
  <si>
    <t>532cc428</t>
  </si>
  <si>
    <t>DELARUELLE</t>
  </si>
  <si>
    <t>Mélanie Nicole Claudine</t>
  </si>
  <si>
    <t>14C</t>
  </si>
  <si>
    <t>chemin Fidélo Robert</t>
  </si>
  <si>
    <t>92c88920,53c685de</t>
  </si>
  <si>
    <t>79ff0ac7</t>
  </si>
  <si>
    <t>HASCOAT</t>
  </si>
  <si>
    <t>Emmanuelle</t>
  </si>
  <si>
    <t>rue des Papangues</t>
  </si>
  <si>
    <t>b7f612c9,a6fd5816,a6fd5816,5dc324d8</t>
  </si>
  <si>
    <t>Prestataires_Images/54aa28d1.Photo.063615.jpg</t>
  </si>
  <si>
    <t>93e57bc3</t>
  </si>
  <si>
    <t>2afebcab</t>
  </si>
  <si>
    <t>e7ec0abe</t>
  </si>
  <si>
    <t>JETSHAN</t>
  </si>
  <si>
    <t>Jay</t>
  </si>
  <si>
    <t>Prestataires_Images/0fd306b4.Photo.101543.jpg</t>
  </si>
  <si>
    <t>c4e57f38</t>
  </si>
  <si>
    <t>0692683375</t>
  </si>
  <si>
    <t>chemin Avril AMAYE</t>
  </si>
  <si>
    <t>d3f47fbc</t>
  </si>
  <si>
    <t>LETOURMY</t>
  </si>
  <si>
    <t>Aline</t>
  </si>
  <si>
    <t>chouippea@gmail.com</t>
  </si>
  <si>
    <t>3e547a20</t>
  </si>
  <si>
    <t>MARTEEL</t>
  </si>
  <si>
    <t>Alexandrine</t>
  </si>
  <si>
    <t>0693979041</t>
  </si>
  <si>
    <t>a0836252</t>
  </si>
  <si>
    <t>SERY</t>
  </si>
  <si>
    <t>0692 65 41 06</t>
  </si>
  <si>
    <t>bf86c5b3</t>
  </si>
  <si>
    <t>TAOCHY</t>
  </si>
  <si>
    <t>1f63754b</t>
  </si>
  <si>
    <t>PITOU</t>
  </si>
  <si>
    <t>Marguerite Marie Caroline</t>
  </si>
  <si>
    <t>0692765204</t>
  </si>
  <si>
    <t>198 F</t>
  </si>
  <si>
    <t>8119cadd</t>
  </si>
  <si>
    <t>PINGUIN</t>
  </si>
  <si>
    <t>impasse Pinguin</t>
  </si>
  <si>
    <t>1d256115</t>
  </si>
  <si>
    <t>Nanoune</t>
  </si>
  <si>
    <t>Prestataires_Images/cede8ece.Photo.061657.png</t>
  </si>
  <si>
    <t>8bf9d7f6</t>
  </si>
  <si>
    <t>GONNEVILLE</t>
  </si>
  <si>
    <t>18 b</t>
  </si>
  <si>
    <t>Rue des Bois Blancs</t>
  </si>
  <si>
    <t>5412eeff</t>
  </si>
  <si>
    <t>JOUSSE</t>
  </si>
  <si>
    <t>rue Raphael Babet</t>
  </si>
  <si>
    <t>c73ab89c</t>
  </si>
  <si>
    <t>CASSIER</t>
  </si>
  <si>
    <t>f9dfc45a,76821c69,76821c69,6d85b7c0,6d85b7c0</t>
  </si>
  <si>
    <t>ceef7662</t>
  </si>
  <si>
    <t>chemin Bassin Pilon Canots</t>
  </si>
  <si>
    <t>892ef2ec</t>
  </si>
  <si>
    <t>POLEYA</t>
  </si>
  <si>
    <t>20 b</t>
  </si>
  <si>
    <t>71f48e35,b3bafd07,b3bafd07</t>
  </si>
  <si>
    <t>Prestataires_Images/2e4e1fb3.Photo.055056.jpg</t>
  </si>
  <si>
    <t>b3bafd07</t>
  </si>
  <si>
    <t>PLACE</t>
  </si>
  <si>
    <t>950ea611</t>
  </si>
  <si>
    <t>CERVEAUX</t>
  </si>
  <si>
    <t>Impasse des Dahlias</t>
  </si>
  <si>
    <t>52b552bb</t>
  </si>
  <si>
    <t>POININ COULIN</t>
  </si>
  <si>
    <t>Jean Wilfrid</t>
  </si>
  <si>
    <t>Prestataires_Images/5a84ebae.Photo.094545.jpg</t>
  </si>
  <si>
    <t>802a1adc</t>
  </si>
  <si>
    <t>BENARD</t>
  </si>
  <si>
    <t>Clarisse</t>
  </si>
  <si>
    <t>e80bb07e</t>
  </si>
  <si>
    <t>Fridelin</t>
  </si>
  <si>
    <t>b96c14c6</t>
  </si>
  <si>
    <t>rue des Poinsetias</t>
  </si>
  <si>
    <t>Saint-André</t>
  </si>
  <si>
    <t>dcdc2945,fb45d590</t>
  </si>
  <si>
    <t>d3cec1c0</t>
  </si>
  <si>
    <t>DUFLOT</t>
  </si>
  <si>
    <t>20075477</t>
  </si>
  <si>
    <t>SCHIESTE</t>
  </si>
  <si>
    <t>Steve</t>
  </si>
  <si>
    <t>Apt 10 - n°118</t>
  </si>
  <si>
    <t>Prestataires_Images/ad58d342.Photo.044629.jpg</t>
  </si>
  <si>
    <t>4f853204</t>
  </si>
  <si>
    <t>PERDRIAUD</t>
  </si>
  <si>
    <t>allée des Ajoncs</t>
  </si>
  <si>
    <t>Pont Péan</t>
  </si>
  <si>
    <t>b707f9b0</t>
  </si>
  <si>
    <t>MOUCAYE</t>
  </si>
  <si>
    <t>Diane</t>
  </si>
  <si>
    <t>Route des Caféiers PK17</t>
  </si>
  <si>
    <t>95d16f3c</t>
  </si>
  <si>
    <t>BANOR</t>
  </si>
  <si>
    <t>rue Montesquieu - Trois Mares</t>
  </si>
  <si>
    <t>8f742f39</t>
  </si>
  <si>
    <t>Simon</t>
  </si>
  <si>
    <t>82fb3149</t>
  </si>
  <si>
    <t>Gaël</t>
  </si>
  <si>
    <t>37938f89</t>
  </si>
  <si>
    <t>Galliot</t>
  </si>
  <si>
    <t>Prestataires_Images/0cd26af7.Photo.103704.png</t>
  </si>
  <si>
    <t>49fa2581</t>
  </si>
  <si>
    <t>Marie Monique</t>
  </si>
  <si>
    <t>Rue Laurent lauret</t>
  </si>
  <si>
    <t>3d006905</t>
  </si>
  <si>
    <t>Taïlée</t>
  </si>
  <si>
    <t>Amandine</t>
  </si>
  <si>
    <t>ac45f823</t>
  </si>
  <si>
    <t>VIDOT</t>
  </si>
  <si>
    <t>ef16f122</t>
  </si>
  <si>
    <t>BUISSON</t>
  </si>
  <si>
    <t>Régis &amp; Caroline</t>
  </si>
  <si>
    <t>6c20fc2c</t>
  </si>
  <si>
    <t>HAIRON</t>
  </si>
  <si>
    <t>ed089f02</t>
  </si>
  <si>
    <t>Gianni</t>
  </si>
  <si>
    <t>0262974062</t>
  </si>
  <si>
    <t>rue Leon Dehaulme</t>
  </si>
  <si>
    <t>Prestataires_Images/9c56eef5.Photo.060938.jpg</t>
  </si>
  <si>
    <t>b80a83ad</t>
  </si>
  <si>
    <t>BARNET</t>
  </si>
  <si>
    <t>0693851693</t>
  </si>
  <si>
    <t>93b0a2fb</t>
  </si>
  <si>
    <t>LAURET</t>
  </si>
  <si>
    <t>32B</t>
  </si>
  <si>
    <t>chemin Commerson, La Grande Ferme</t>
  </si>
  <si>
    <t>cbf4f863,276ec6e0</t>
  </si>
  <si>
    <t>11c1b87c</t>
  </si>
  <si>
    <t>Jean Vianney</t>
  </si>
  <si>
    <t>chemin Paul HOARAU</t>
  </si>
  <si>
    <t>c97e2026,129c8e42</t>
  </si>
  <si>
    <t>6aa01413</t>
  </si>
  <si>
    <t>Luc Bertrand</t>
  </si>
  <si>
    <t>lucbertrand.maillot@gmail.com</t>
  </si>
  <si>
    <t>0e2a1e8a</t>
  </si>
  <si>
    <t>DUSSART</t>
  </si>
  <si>
    <t>88150c93</t>
  </si>
  <si>
    <t>NARINSAMY</t>
  </si>
  <si>
    <t>3dbadb56</t>
  </si>
  <si>
    <t>CARPAYE</t>
  </si>
  <si>
    <t>Rayhan</t>
  </si>
  <si>
    <t>4bdad81d,3b723673</t>
  </si>
  <si>
    <t>72c97d9d</t>
  </si>
  <si>
    <t>LEON</t>
  </si>
  <si>
    <t>avenue de Villeroy</t>
  </si>
  <si>
    <t>Mennecy</t>
  </si>
  <si>
    <t>24d4fbf4</t>
  </si>
  <si>
    <t>Prestataires_Images/4ba3fdf3.Photo.055518.jpg</t>
  </si>
  <si>
    <t>9163ce4a</t>
  </si>
  <si>
    <t>0692851694</t>
  </si>
  <si>
    <t>Rue des Ormeaux la Saline les bains</t>
  </si>
  <si>
    <t>d531e051</t>
  </si>
  <si>
    <t>RABHI</t>
  </si>
  <si>
    <t>Faten</t>
  </si>
  <si>
    <t>Chemin des Dahlias la Rivière</t>
  </si>
  <si>
    <t>a578f9ca,a578f9ca</t>
  </si>
  <si>
    <t>16326856</t>
  </si>
  <si>
    <t>FURIC</t>
  </si>
  <si>
    <t>Bis chemin des Lupins</t>
  </si>
  <si>
    <t>d60bebd7,d60bebd7</t>
  </si>
  <si>
    <t>60a66a11</t>
  </si>
  <si>
    <t>0692011321</t>
  </si>
  <si>
    <t>8 bis</t>
  </si>
  <si>
    <t>chemin du petit bois</t>
  </si>
  <si>
    <t>6a90d6e3</t>
  </si>
  <si>
    <t>ERACAMA SIMAYA</t>
  </si>
  <si>
    <t>63E</t>
  </si>
  <si>
    <t>020bbb05</t>
  </si>
  <si>
    <t>5186f638</t>
  </si>
  <si>
    <t>waro1981@hotmail.com</t>
  </si>
  <si>
    <t>0692 60 26 16</t>
  </si>
  <si>
    <t>45bis</t>
  </si>
  <si>
    <t>Chemin de Ligne</t>
  </si>
  <si>
    <t>ae5c304a</t>
  </si>
  <si>
    <t>JEAN-PIERRE</t>
  </si>
  <si>
    <t>0babedf4</t>
  </si>
  <si>
    <t>MOUNOUSSAMY-DARCEL</t>
  </si>
  <si>
    <t>Franck</t>
  </si>
  <si>
    <t>brin2@outlook.fr</t>
  </si>
  <si>
    <t>7c10cbbf</t>
  </si>
  <si>
    <t>DIJOUX</t>
  </si>
  <si>
    <t>0693467924</t>
  </si>
  <si>
    <t>26</t>
  </si>
  <si>
    <t>9bc6d9c9</t>
  </si>
  <si>
    <t>BOUZERAR</t>
  </si>
  <si>
    <t>Malika</t>
  </si>
  <si>
    <t>3ee94f31,38bc1fba,38bc1fba</t>
  </si>
  <si>
    <t>Prestataires_Images/811e6f24.Photo.122139.jpg</t>
  </si>
  <si>
    <t>1e16d1ac</t>
  </si>
  <si>
    <t>NERY</t>
  </si>
  <si>
    <t>Prestataires_Images/125e0c18.Photo.044010.jpg</t>
  </si>
  <si>
    <t>743549ad</t>
  </si>
  <si>
    <t>POTIN</t>
  </si>
  <si>
    <t>Prestataires_Images/883a551d.Photo.102506.png</t>
  </si>
  <si>
    <t>f9c56820</t>
  </si>
  <si>
    <t>CHAN CHIT SANG</t>
  </si>
  <si>
    <t>rue des Jacques - appartement 2</t>
  </si>
  <si>
    <t>c03ef510</t>
  </si>
  <si>
    <t>1c292624,ff39cb07</t>
  </si>
  <si>
    <t>77ecc6d8</t>
  </si>
  <si>
    <t>d0b71b60</t>
  </si>
  <si>
    <t>PADRE</t>
  </si>
  <si>
    <t>0692948676</t>
  </si>
  <si>
    <t>chemin Romain ROLLAND pk14</t>
  </si>
  <si>
    <t>e8d875fb</t>
  </si>
  <si>
    <t>Prestataires_Images/1d1b4ce4.Photo.114007.jpg</t>
  </si>
  <si>
    <t>41318bf5</t>
  </si>
  <si>
    <t>SAÏBO</t>
  </si>
  <si>
    <t>Impasse Vincent Van Gogh</t>
  </si>
  <si>
    <t>a2266a5b,e49d2a13,bf5b8eff</t>
  </si>
  <si>
    <t>Prestataires_Images/3bfec01f.Photo.054100.png</t>
  </si>
  <si>
    <t>f641d534</t>
  </si>
  <si>
    <t>f4394c4e</t>
  </si>
  <si>
    <t>0be6e63b</t>
  </si>
  <si>
    <t>Christian</t>
  </si>
  <si>
    <t>181</t>
  </si>
  <si>
    <t>4d8bf645</t>
  </si>
  <si>
    <t>GIRON</t>
  </si>
  <si>
    <t>0692 72 31 22</t>
  </si>
  <si>
    <t>193A</t>
  </si>
  <si>
    <t>rue Fidelio ROBERT</t>
  </si>
  <si>
    <t>8e9ed477</t>
  </si>
  <si>
    <t>rue RONSARD</t>
  </si>
  <si>
    <t>f53748db</t>
  </si>
  <si>
    <t>6fb5614d</t>
  </si>
  <si>
    <t>KEYLODGE</t>
  </si>
  <si>
    <t>rdesvignes@keylodge.fr</t>
  </si>
  <si>
    <t>06 92 73 99 65</t>
  </si>
  <si>
    <t>153</t>
  </si>
  <si>
    <t>avenue Marcel Hoarau</t>
  </si>
  <si>
    <t>Saint-Denis</t>
  </si>
  <si>
    <t>0f08cd96,a9a2f996</t>
  </si>
  <si>
    <t>3c72d6b8</t>
  </si>
  <si>
    <t>POINY-TOPLAN</t>
  </si>
  <si>
    <t>Prestataires_Images/f2552f83.Photo.071000.jpg</t>
  </si>
  <si>
    <t>af03c03d</t>
  </si>
  <si>
    <t>7f918879</t>
  </si>
  <si>
    <t>PICARD-TURPIN</t>
  </si>
  <si>
    <t>Marie Aline</t>
  </si>
  <si>
    <t>impasse d'ESCOIR</t>
  </si>
  <si>
    <t>Poullignac</t>
  </si>
  <si>
    <t>d37c8ac9</t>
  </si>
  <si>
    <t>TARTAS</t>
  </si>
  <si>
    <t>6680436a</t>
  </si>
  <si>
    <t>ORANGE</t>
  </si>
  <si>
    <t>Flora Davila</t>
  </si>
  <si>
    <t>89A</t>
  </si>
  <si>
    <t>b21791cd,6cdcafe1</t>
  </si>
  <si>
    <t>10457d89</t>
  </si>
  <si>
    <t>2cf20e49</t>
  </si>
  <si>
    <t>Marie Mimose</t>
  </si>
  <si>
    <t>ff5d78e4</t>
  </si>
  <si>
    <t>SECONDÉ</t>
  </si>
  <si>
    <t>Yann Frédéric</t>
  </si>
  <si>
    <t>7A</t>
  </si>
  <si>
    <t>Rue Pierre Mendès-France</t>
  </si>
  <si>
    <t>Prestataires_Images/683f513b.Photo.091856.jpg</t>
  </si>
  <si>
    <t>ffa05fbe</t>
  </si>
  <si>
    <t>ALBAC</t>
  </si>
  <si>
    <t>Dolly</t>
  </si>
  <si>
    <t>7f867b80</t>
  </si>
  <si>
    <t>MOULLAN</t>
  </si>
  <si>
    <t>Ibrahim</t>
  </si>
  <si>
    <t>3360f88b,b54365c5</t>
  </si>
  <si>
    <t>32b997c6</t>
  </si>
  <si>
    <t>6eca292a</t>
  </si>
  <si>
    <t>BELDA MIGOT</t>
  </si>
  <si>
    <t>nathalie.migot@gmail.com</t>
  </si>
  <si>
    <t>81cc2156</t>
  </si>
  <si>
    <t>BORG</t>
  </si>
  <si>
    <t>Nancy</t>
  </si>
  <si>
    <t>85482f0c</t>
  </si>
  <si>
    <t>RIVIÈRE</t>
  </si>
  <si>
    <t>chemin du Jardin</t>
  </si>
  <si>
    <t>Sainte-Rose</t>
  </si>
  <si>
    <t>ebb036a9</t>
  </si>
  <si>
    <t>Alyre</t>
  </si>
  <si>
    <t>2ee06406,2ee06406,4df008e0</t>
  </si>
  <si>
    <t>Prestataires_Images/982c2e61.Photo.063522.jpg</t>
  </si>
  <si>
    <t>01f270e3</t>
  </si>
  <si>
    <t>Marie-Ange</t>
  </si>
  <si>
    <t>219</t>
  </si>
  <si>
    <t>chemin du Volcan</t>
  </si>
  <si>
    <t>b2002b86,92a08ac5</t>
  </si>
  <si>
    <t>53ea27e5</t>
  </si>
  <si>
    <t>PEGOUD</t>
  </si>
  <si>
    <t>Cité Eperon</t>
  </si>
  <si>
    <t>0061f72e</t>
  </si>
  <si>
    <t>Jean-Claude</t>
  </si>
  <si>
    <t>Rue des Camomilles</t>
  </si>
  <si>
    <t>4f4f049c</t>
  </si>
  <si>
    <t>BELDA</t>
  </si>
  <si>
    <t>nathalie.migot35@gmail.com</t>
  </si>
  <si>
    <t>c9a5acce,d50abcd6</t>
  </si>
  <si>
    <t>391548f6</t>
  </si>
  <si>
    <t>PICARD</t>
  </si>
  <si>
    <t>Luc et Myris</t>
  </si>
  <si>
    <t>b9b0c11d</t>
  </si>
  <si>
    <t>APAYA GADABAYA</t>
  </si>
  <si>
    <t>Marie-Madeleine</t>
  </si>
  <si>
    <t>1eae3dbc</t>
  </si>
  <si>
    <t>Guito André</t>
  </si>
  <si>
    <t>2535c2fa</t>
  </si>
  <si>
    <t>POTHIN</t>
  </si>
  <si>
    <t>Impasse Maillot</t>
  </si>
  <si>
    <t>0b744e64</t>
  </si>
  <si>
    <t>Impasse Hélène Boucher</t>
  </si>
  <si>
    <t>0879eff3</t>
  </si>
  <si>
    <t>BOUISSEAU</t>
  </si>
  <si>
    <t>b64b02e4</t>
  </si>
  <si>
    <t>NATIVEL</t>
  </si>
  <si>
    <t>a804239d</t>
  </si>
  <si>
    <t>AMANVILLE</t>
  </si>
  <si>
    <t>Théo</t>
  </si>
  <si>
    <t>Prestataires_Images/6b53c83b.Photo.051052.jpg</t>
  </si>
  <si>
    <t>f53fa03b</t>
  </si>
  <si>
    <t>D'ARRIGO</t>
  </si>
  <si>
    <t>edapro@sfr.fr</t>
  </si>
  <si>
    <t>rue des Rossignols</t>
  </si>
  <si>
    <t>Yerres</t>
  </si>
  <si>
    <t>f6230e4f</t>
  </si>
  <si>
    <t>PIFFARELLY</t>
  </si>
  <si>
    <t>Jean Frédéric</t>
  </si>
  <si>
    <t>10 B</t>
  </si>
  <si>
    <t>Ruelle Jaune</t>
  </si>
  <si>
    <t>1987f241</t>
  </si>
  <si>
    <t>Rue Théophile Gautier</t>
  </si>
  <si>
    <t>Prestataires_Images/b8ab7f32.Photo.052354.jpg</t>
  </si>
  <si>
    <t>835af68c</t>
  </si>
  <si>
    <t>LAVALLE</t>
  </si>
  <si>
    <t>Prestataires_Images/4ef15eb1.Photo.064902.jpg</t>
  </si>
  <si>
    <t>66deee2e</t>
  </si>
  <si>
    <t>NOIRAT</t>
  </si>
  <si>
    <t>c8c614c6,a7dc804c,2866c4fb,a1a9fa58,a1a9fa58</t>
  </si>
  <si>
    <t>7bd88aa7</t>
  </si>
  <si>
    <t>OLIVIER</t>
  </si>
  <si>
    <t>a80daa2c,17cb6388,17cb6388,17cb6388,17cb6388</t>
  </si>
  <si>
    <t>3ac54d23</t>
  </si>
  <si>
    <t>TAYLLAMIN</t>
  </si>
  <si>
    <t>Marie-Corinne</t>
  </si>
  <si>
    <t>2e8c6fa2</t>
  </si>
  <si>
    <t>79ad354a</t>
  </si>
  <si>
    <t>FLORET</t>
  </si>
  <si>
    <t>5a</t>
  </si>
  <si>
    <t>192a2428</t>
  </si>
  <si>
    <t>BERTILE</t>
  </si>
  <si>
    <t>d1c2c472</t>
  </si>
  <si>
    <t>GAMAIN</t>
  </si>
  <si>
    <t>manu.gamain@wanadoo.fr</t>
  </si>
  <si>
    <t>0749 64 86 65</t>
  </si>
  <si>
    <t>33 Bis</t>
  </si>
  <si>
    <t>Rue Pierre Mauroy</t>
  </si>
  <si>
    <t>Lille</t>
  </si>
  <si>
    <t>f34b802e</t>
  </si>
  <si>
    <t>bb278d65</t>
  </si>
  <si>
    <t>DRUGUET</t>
  </si>
  <si>
    <t>Prestataires_Images/52b00a00.Photo.055440.jpg</t>
  </si>
  <si>
    <t>dcbd4ecf</t>
  </si>
  <si>
    <t>Christelle</t>
  </si>
  <si>
    <t>Rue la Crèche</t>
  </si>
  <si>
    <t>28f60c38</t>
  </si>
  <si>
    <t>CHOISIS</t>
  </si>
  <si>
    <t>263 A</t>
  </si>
  <si>
    <t>Rue Lambert</t>
  </si>
  <si>
    <t>69d501a7,f5d77505,f5d77505,f5d77505</t>
  </si>
  <si>
    <t>Prestataires_Images/a121251a.Photo.062757.png</t>
  </si>
  <si>
    <t>8632c447</t>
  </si>
  <si>
    <t>54070421</t>
  </si>
  <si>
    <t>RASSOLMIAN</t>
  </si>
  <si>
    <t>Someyya</t>
  </si>
  <si>
    <t>42 B</t>
  </si>
  <si>
    <t>rue Antoine Bertin</t>
  </si>
  <si>
    <t>ec76809c</t>
  </si>
  <si>
    <t>ed2da975</t>
  </si>
  <si>
    <t>Caro &amp; Co</t>
  </si>
  <si>
    <t>BUISSON Caroline</t>
  </si>
  <si>
    <t>caroandconciergerie@gmail.com</t>
  </si>
  <si>
    <t>0610 09 73 06</t>
  </si>
  <si>
    <t>Rue des Papangues</t>
  </si>
  <si>
    <t>4d6852c8</t>
  </si>
  <si>
    <t>dff17621</t>
  </si>
  <si>
    <t>13ecf2d9,13ecf2d9</t>
  </si>
  <si>
    <t>ba06539d</t>
  </si>
  <si>
    <t>Olivier Jean</t>
  </si>
  <si>
    <t>240</t>
  </si>
  <si>
    <t>rue Dachery</t>
  </si>
  <si>
    <t>c2941514,f45e99ad</t>
  </si>
  <si>
    <t>3d403b79</t>
  </si>
  <si>
    <t>Claudette</t>
  </si>
  <si>
    <t>94728db1</t>
  </si>
  <si>
    <t>FERRERE</t>
  </si>
  <si>
    <t>Marie Emilie</t>
  </si>
  <si>
    <t>acdbe8f6</t>
  </si>
  <si>
    <t>RIFOSTA</t>
  </si>
  <si>
    <t>Amédée Jean Pierre</t>
  </si>
  <si>
    <t>amedee.rifosta@laposte.net</t>
  </si>
  <si>
    <t>0693 70 23 65</t>
  </si>
  <si>
    <t>Chemin Balzamine - Bois d'Olives</t>
  </si>
  <si>
    <t>c07c5e9a,92e84c52</t>
  </si>
  <si>
    <t>559ed937</t>
  </si>
  <si>
    <t>GABORIT</t>
  </si>
  <si>
    <t>06 68 28 56 54</t>
  </si>
  <si>
    <t>Chemin du Roc de Peillet</t>
  </si>
  <si>
    <t>Roquemaure</t>
  </si>
  <si>
    <t>cc51a5b4</t>
  </si>
  <si>
    <t>Joseph Arnaud</t>
  </si>
  <si>
    <t>221</t>
  </si>
  <si>
    <t>f4375377,6e56232a</t>
  </si>
  <si>
    <t>23dd3d9e</t>
  </si>
  <si>
    <t>FOURNADET</t>
  </si>
  <si>
    <t>711e7c4c</t>
  </si>
  <si>
    <t>Chemin de Bibassiers</t>
  </si>
  <si>
    <t>668dfa2b</t>
  </si>
  <si>
    <t>WERNER-LAFOSSE</t>
  </si>
  <si>
    <t>Marie-Line</t>
  </si>
  <si>
    <t>Florastrasse</t>
  </si>
  <si>
    <t>Uster</t>
  </si>
  <si>
    <t>f39b9f72</t>
  </si>
  <si>
    <t>cd260b88</t>
  </si>
  <si>
    <t>Marie Renée</t>
  </si>
  <si>
    <t>Route de la Passserelle</t>
  </si>
  <si>
    <t>9077f262,5e4027d0</t>
  </si>
  <si>
    <t>5e4027d0</t>
  </si>
  <si>
    <t>f18bf83f</t>
  </si>
  <si>
    <t>font-fred@orange.fr</t>
  </si>
  <si>
    <t>rue de la passerelle</t>
  </si>
  <si>
    <t>c1232eec</t>
  </si>
  <si>
    <t>d1530f18</t>
  </si>
  <si>
    <t>GAUBERT</t>
  </si>
  <si>
    <t>1391</t>
  </si>
  <si>
    <t>chemin Le PY</t>
  </si>
  <si>
    <t>Compolibat</t>
  </si>
  <si>
    <t>Prestataires_Images/d1530f18.Photo.113351.jpg</t>
  </si>
  <si>
    <t>fbed8609</t>
  </si>
  <si>
    <t>Anne Marie</t>
  </si>
  <si>
    <t>129B</t>
  </si>
  <si>
    <t>9f6ae86a</t>
  </si>
  <si>
    <t>Mickael Sébastien</t>
  </si>
  <si>
    <t>c3e9e4d5,c3e9e4d5,c3e9e4d5</t>
  </si>
  <si>
    <t>15738b63</t>
  </si>
  <si>
    <t>MARTIN</t>
  </si>
  <si>
    <t>24 bis</t>
  </si>
  <si>
    <t>rue du Docteur Ignace Hoarau</t>
  </si>
  <si>
    <t>d4fdf8fd</t>
  </si>
  <si>
    <t>Marie Sabrina</t>
  </si>
  <si>
    <t>184</t>
  </si>
  <si>
    <t>chemin des Muguets - Bras Creux</t>
  </si>
  <si>
    <t>Prestataires_Images/949c0671.Photo.071747.jpg</t>
  </si>
  <si>
    <t>4b7d5c99</t>
  </si>
  <si>
    <t>Muriel</t>
  </si>
  <si>
    <t>0692 30 73 76</t>
  </si>
  <si>
    <t>chemin mussard</t>
  </si>
  <si>
    <t>2d17d48d</t>
  </si>
  <si>
    <t>Eliane</t>
  </si>
  <si>
    <t>rue Général de Gaulle</t>
  </si>
  <si>
    <t>8372980b</t>
  </si>
  <si>
    <t>CAMALON</t>
  </si>
  <si>
    <t>Mira</t>
  </si>
  <si>
    <t>Rue Sainte Marie</t>
  </si>
  <si>
    <t>e1522bd8</t>
  </si>
  <si>
    <t>CORDIER</t>
  </si>
  <si>
    <t>sandrine.cordier1973@gmail.com</t>
  </si>
  <si>
    <t>05882f5a</t>
  </si>
  <si>
    <t>Rémy</t>
  </si>
  <si>
    <t>32cfb814</t>
  </si>
  <si>
    <t>AMOUSSOU</t>
  </si>
  <si>
    <t>768b9bc5</t>
  </si>
  <si>
    <t>9ba8e403</t>
  </si>
  <si>
    <t>Michelle</t>
  </si>
  <si>
    <t>118</t>
  </si>
  <si>
    <t>Rue des mandariniers</t>
  </si>
  <si>
    <t>b4387cbf</t>
  </si>
  <si>
    <t>ORBOIN</t>
  </si>
  <si>
    <t>Ericka</t>
  </si>
  <si>
    <t>Rue de l'Eglise</t>
  </si>
  <si>
    <t>99bde76f</t>
  </si>
  <si>
    <t>daaf7ae8</t>
  </si>
  <si>
    <t>185b</t>
  </si>
  <si>
    <t>Chemin Champcourt</t>
  </si>
  <si>
    <t>5791a9b1,6dcee182</t>
  </si>
  <si>
    <t>ca4ad9ae</t>
  </si>
  <si>
    <t>HIBON</t>
  </si>
  <si>
    <t>Maëva</t>
  </si>
  <si>
    <t>hibonmaeva@gmail.com</t>
  </si>
  <si>
    <t>Prestataires_Images/ef2821b6.Photo.073640.png</t>
  </si>
  <si>
    <t>be6eb9ad</t>
  </si>
  <si>
    <t>MARIMAO</t>
  </si>
  <si>
    <t>71</t>
  </si>
  <si>
    <t>271332f0</t>
  </si>
  <si>
    <t>6ter</t>
  </si>
  <si>
    <t>Impasse Armand Fallières</t>
  </si>
  <si>
    <t>0d1e607e</t>
  </si>
  <si>
    <t>30b</t>
  </si>
  <si>
    <t>c8fb67bc</t>
  </si>
  <si>
    <t>d731bb92</t>
  </si>
  <si>
    <t>127B</t>
  </si>
  <si>
    <t>rue Marius et Ary Leblond</t>
  </si>
  <si>
    <t>c4b8dc77</t>
  </si>
  <si>
    <t>332bis</t>
  </si>
  <si>
    <t>6ce0411f</t>
  </si>
  <si>
    <t>DA ROCHA</t>
  </si>
  <si>
    <t>Eric Olivier</t>
  </si>
  <si>
    <t>80381071</t>
  </si>
  <si>
    <t>4a92e060</t>
  </si>
  <si>
    <t>PREMIUM IMMOBILIER OCEAN INDIEN</t>
  </si>
  <si>
    <t>IKHLEF Sabrina</t>
  </si>
  <si>
    <t>gestion@premiumsaisonnier.fr</t>
  </si>
  <si>
    <t>0693 91 41 45</t>
  </si>
  <si>
    <t>RUE RUISSEAU DES NOIRS</t>
  </si>
  <si>
    <t>efc56ce4</t>
  </si>
  <si>
    <t>BARNIER</t>
  </si>
  <si>
    <t>m.barnier.frederic@gmail.com</t>
  </si>
  <si>
    <t>0693 21 43 34</t>
  </si>
  <si>
    <t>d89874c1,e97267c4</t>
  </si>
  <si>
    <t>Prestataires_Images/936cc83f.Photo.115223.jpg</t>
  </si>
  <si>
    <t>e97267c4</t>
  </si>
  <si>
    <t>b7539ae7</t>
  </si>
  <si>
    <t>FALLET-GUIOL</t>
  </si>
  <si>
    <t>lucfallet@yahoo.fr</t>
  </si>
  <si>
    <t>RUE CONDORCET</t>
  </si>
  <si>
    <t>REIMS</t>
  </si>
  <si>
    <t>0a1c654b</t>
  </si>
  <si>
    <t>9d392cb0</t>
  </si>
  <si>
    <t>LA CONCIERGERIE DU SUD BY KAZANOU</t>
  </si>
  <si>
    <t>DE LONGPREZ Stone</t>
  </si>
  <si>
    <t>06 93 20 36 91</t>
  </si>
  <si>
    <t>107</t>
  </si>
  <si>
    <t>route de la Ligne Paradis</t>
  </si>
  <si>
    <t>cfe81eaf</t>
  </si>
  <si>
    <t>499267bc,ae555722</t>
  </si>
  <si>
    <t>fa27e19e</t>
  </si>
  <si>
    <t>Jean-Pascal</t>
  </si>
  <si>
    <t>rue Grand Fond Interieur</t>
  </si>
  <si>
    <t>Prestataires_Images/acd9c8e1.Photo.042016.jpg</t>
  </si>
  <si>
    <t>236c680e</t>
  </si>
  <si>
    <t>BERTIL</t>
  </si>
  <si>
    <t>a761f605</t>
  </si>
  <si>
    <t>654e374d</t>
  </si>
  <si>
    <t>PASINI</t>
  </si>
  <si>
    <t>Bernard &amp; Marie</t>
  </si>
  <si>
    <t>35481f49</t>
  </si>
  <si>
    <t>Marie Annie</t>
  </si>
  <si>
    <t>0692594580</t>
  </si>
  <si>
    <t>b0d744c1</t>
  </si>
  <si>
    <t>GODET</t>
  </si>
  <si>
    <t>Monira</t>
  </si>
  <si>
    <t>Place Napoléon Hoareau</t>
  </si>
  <si>
    <t>7a925be0</t>
  </si>
  <si>
    <t>DUVOID</t>
  </si>
  <si>
    <t>kazoreve@gmail.com</t>
  </si>
  <si>
    <t>rue de Salazie</t>
  </si>
  <si>
    <t>32b614b1</t>
  </si>
  <si>
    <t>GIGAN</t>
  </si>
  <si>
    <t>651adc75</t>
  </si>
  <si>
    <t>FRANCOMME</t>
  </si>
  <si>
    <t>6 bis</t>
  </si>
  <si>
    <t>9fc2cb1b</t>
  </si>
  <si>
    <t>6d7868ea</t>
  </si>
  <si>
    <t>Barbara</t>
  </si>
  <si>
    <t>f14bd003</t>
  </si>
  <si>
    <t>AUDIT</t>
  </si>
  <si>
    <t>Maximone</t>
  </si>
  <si>
    <t>e4e5aa4a,0534ccd7</t>
  </si>
  <si>
    <t>Prestataires_Images/313d1c4c.Photo.045051.jpg</t>
  </si>
  <si>
    <t>0534ccd7</t>
  </si>
  <si>
    <t>ICHANA</t>
  </si>
  <si>
    <t>Anne-Emmanuelle</t>
  </si>
  <si>
    <t>02b</t>
  </si>
  <si>
    <t>fcf45690</t>
  </si>
  <si>
    <t>PINA</t>
  </si>
  <si>
    <t>pina.celine@yahoo.fr</t>
  </si>
  <si>
    <t>60a98f79</t>
  </si>
  <si>
    <t>Gaelle</t>
  </si>
  <si>
    <t>332eb94e</t>
  </si>
  <si>
    <t>1f66b8b5</t>
  </si>
  <si>
    <t>DE DEBOIVILLIERS</t>
  </si>
  <si>
    <t>rue Auguste Lacaussade</t>
  </si>
  <si>
    <t>2e75f179</t>
  </si>
  <si>
    <t>Jean Fabrice</t>
  </si>
  <si>
    <t>Chemin d'Alsace</t>
  </si>
  <si>
    <t>af79d4c3</t>
  </si>
  <si>
    <t>K/BIDI</t>
  </si>
  <si>
    <t>3G</t>
  </si>
  <si>
    <t>Chemin de la 2e Citerne</t>
  </si>
  <si>
    <t>3c862de2</t>
  </si>
  <si>
    <t>TOUITOU</t>
  </si>
  <si>
    <t>Laëtitia</t>
  </si>
  <si>
    <t>06 93 51 05 53</t>
  </si>
  <si>
    <t>rue des Glycines</t>
  </si>
  <si>
    <t>b7d10043</t>
  </si>
  <si>
    <t>MOREL</t>
  </si>
  <si>
    <t>Michael</t>
  </si>
  <si>
    <t>rue Henri Barbusse</t>
  </si>
  <si>
    <t>Guyancourtt</t>
  </si>
  <si>
    <t>2883feba</t>
  </si>
  <si>
    <t>GROSJEAN</t>
  </si>
  <si>
    <t>bgrosjean974@gmail.com</t>
  </si>
  <si>
    <t>Prestataires_Images/c6dcc907.Photo.115120.jpg</t>
  </si>
  <si>
    <t>d106640d</t>
  </si>
  <si>
    <t>BASQUE</t>
  </si>
  <si>
    <t>Magaly</t>
  </si>
  <si>
    <t>8789769e</t>
  </si>
  <si>
    <t>PETCHY</t>
  </si>
  <si>
    <t>allée des Pamplemousses - HLM Pamplemousses apt78</t>
  </si>
  <si>
    <t>Prestataires_Images/66104e4b.Photo.091744.jpg</t>
  </si>
  <si>
    <t>ee4eadd2</t>
  </si>
  <si>
    <t>LONGO</t>
  </si>
  <si>
    <t>Kévin</t>
  </si>
  <si>
    <t>rue Ignace Barret</t>
  </si>
  <si>
    <t>Prestataires_Images/83bf1080.Photo.113532.jpg</t>
  </si>
  <si>
    <t>4b0de6d6</t>
  </si>
  <si>
    <t>ROSALIE</t>
  </si>
  <si>
    <t>5e3a132a</t>
  </si>
  <si>
    <t>Marie Micheline</t>
  </si>
  <si>
    <t>41 B</t>
  </si>
  <si>
    <t>chemin de la Passerelle - Bras de Pontho</t>
  </si>
  <si>
    <t>c7c3c5df</t>
  </si>
  <si>
    <t>PICARDO</t>
  </si>
  <si>
    <t>Jimmy</t>
  </si>
  <si>
    <t>Impasse Appolone</t>
  </si>
  <si>
    <t>c771fea5</t>
  </si>
  <si>
    <t>DAMOUR</t>
  </si>
  <si>
    <t>MALIKA</t>
  </si>
  <si>
    <t>a9639df0</t>
  </si>
  <si>
    <t>LALLEMAND</t>
  </si>
  <si>
    <t>Jean Maxi</t>
  </si>
  <si>
    <t>535e2a35</t>
  </si>
  <si>
    <t>1f3b4d8e</t>
  </si>
  <si>
    <t>Jackson</t>
  </si>
  <si>
    <t>179</t>
  </si>
  <si>
    <t>278a1462</t>
  </si>
  <si>
    <t>MYRTHE</t>
  </si>
  <si>
    <t>0692908556</t>
  </si>
  <si>
    <t>Chemin lautret</t>
  </si>
  <si>
    <t>Prestataires_Images/8a21972e.Photo.112711.jpg</t>
  </si>
  <si>
    <t>faef8a27</t>
  </si>
  <si>
    <t>96162387</t>
  </si>
  <si>
    <t>DALLET</t>
  </si>
  <si>
    <t>lauredallet@hotmail.com</t>
  </si>
  <si>
    <t>Avenue des Martins</t>
  </si>
  <si>
    <t>59a397e6</t>
  </si>
  <si>
    <t>RAMAYE</t>
  </si>
  <si>
    <t>78aedf32</t>
  </si>
  <si>
    <t>BALLEYDIER</t>
  </si>
  <si>
    <t>fe2a4011</t>
  </si>
  <si>
    <t>Chemin Léo Ferré</t>
  </si>
  <si>
    <t>cd518bd7</t>
  </si>
  <si>
    <t>CHAUDESAIGUES</t>
  </si>
  <si>
    <t>b64b5422</t>
  </si>
  <si>
    <t>Jean Daniel</t>
  </si>
  <si>
    <t>monsieurdaniels@gmail.com</t>
  </si>
  <si>
    <t>3f093857</t>
  </si>
  <si>
    <t>LE GALL</t>
  </si>
  <si>
    <t>chemin Bois de Chapelet</t>
  </si>
  <si>
    <t>Sainte-Marie</t>
  </si>
  <si>
    <t>496532af</t>
  </si>
  <si>
    <t>Fabien Jean Rene</t>
  </si>
  <si>
    <t>Rue Melanie Malye</t>
  </si>
  <si>
    <t>Bitche</t>
  </si>
  <si>
    <t>203321f1</t>
  </si>
  <si>
    <t>MOUNIAMA</t>
  </si>
  <si>
    <t>Laetitia</t>
  </si>
  <si>
    <t>33 A</t>
  </si>
  <si>
    <t>ANDRE MAUROIS</t>
  </si>
  <si>
    <t>20c57856</t>
  </si>
  <si>
    <t>BASSONVILLE</t>
  </si>
  <si>
    <t>Juliette</t>
  </si>
  <si>
    <t>juliette.bassonville@gmail.com</t>
  </si>
  <si>
    <t>APPT E</t>
  </si>
  <si>
    <t>108 TER Chemin MAZEAU</t>
  </si>
  <si>
    <t>3fe053b3</t>
  </si>
  <si>
    <t>TOTALMY</t>
  </si>
  <si>
    <t>Stéphane Franck</t>
  </si>
  <si>
    <t>allée des Granits, Bellepierre</t>
  </si>
  <si>
    <t>e348a83e</t>
  </si>
  <si>
    <t>c50f8c69</t>
  </si>
  <si>
    <t>CONDÉ</t>
  </si>
  <si>
    <t>Adrien</t>
  </si>
  <si>
    <t>aconde@igesa.fr</t>
  </si>
  <si>
    <t>0693 62 78 51</t>
  </si>
  <si>
    <t>489d13a7</t>
  </si>
  <si>
    <t>GIACOMINO</t>
  </si>
  <si>
    <t>g.giacomino@gmail.com</t>
  </si>
  <si>
    <t>Rue MARENGO</t>
  </si>
  <si>
    <t>Marseille</t>
  </si>
  <si>
    <t>67551572,1f64e736</t>
  </si>
  <si>
    <t>f8e7288d</t>
  </si>
  <si>
    <t>ROOS</t>
  </si>
  <si>
    <t>Clarine</t>
  </si>
  <si>
    <t>rue principale</t>
  </si>
  <si>
    <t>NIEDERSOULTZBACH</t>
  </si>
  <si>
    <t>193d219e</t>
  </si>
  <si>
    <t>718f880e</t>
  </si>
  <si>
    <t>BOUCHET</t>
  </si>
  <si>
    <t>aureliebouchetmor@gmail.com</t>
  </si>
  <si>
    <t>0681 86 23 28</t>
  </si>
  <si>
    <t>fb14bb6c</t>
  </si>
  <si>
    <t>LEGRAND MARCHAND</t>
  </si>
  <si>
    <t>nathseb91@gmail.com</t>
  </si>
  <si>
    <t>Rue Frédéric Bradé</t>
  </si>
  <si>
    <t>e8235998</t>
  </si>
  <si>
    <t>TINJUS</t>
  </si>
  <si>
    <t>Evelyne</t>
  </si>
  <si>
    <t>0616763534</t>
  </si>
  <si>
    <t>56</t>
  </si>
  <si>
    <t>Rue du Havre</t>
  </si>
  <si>
    <t>Aulnay-sous-Bois</t>
  </si>
  <si>
    <t>1f6199a0</t>
  </si>
  <si>
    <t>GALLIN</t>
  </si>
  <si>
    <t>Colette</t>
  </si>
  <si>
    <t>colette.gallin@yahoo.fr</t>
  </si>
  <si>
    <t>491f00dd</t>
  </si>
  <si>
    <t>BOULANGIER</t>
  </si>
  <si>
    <t>Impasse Chenieu</t>
  </si>
  <si>
    <t>2c61073c</t>
  </si>
  <si>
    <t>PEYROT</t>
  </si>
  <si>
    <t>Manuela</t>
  </si>
  <si>
    <t>rue Albert Camus</t>
  </si>
  <si>
    <t>Saint-Leu</t>
  </si>
  <si>
    <t>061b20bc</t>
  </si>
  <si>
    <t>DEPAY</t>
  </si>
  <si>
    <t>Ludovic Rodolphe</t>
  </si>
  <si>
    <t>Chemin des Combavas</t>
  </si>
  <si>
    <t>76dd4ba9</t>
  </si>
  <si>
    <t>5f34c90d</t>
  </si>
  <si>
    <t>0692 82 84 82</t>
  </si>
  <si>
    <t>9 bis</t>
  </si>
  <si>
    <t>a0fddb84,8ca02e8c</t>
  </si>
  <si>
    <t>97396551</t>
  </si>
  <si>
    <t>AMO</t>
  </si>
  <si>
    <t>rue Dora Maar</t>
  </si>
  <si>
    <t>Montpellier</t>
  </si>
  <si>
    <t>61aa635f</t>
  </si>
  <si>
    <t>SERGEAT</t>
  </si>
  <si>
    <t>Marika</t>
  </si>
  <si>
    <t>1a75385d</t>
  </si>
  <si>
    <t>BELIZAIRE</t>
  </si>
  <si>
    <t>Allée des Olympiades</t>
  </si>
  <si>
    <t>78ca82a2</t>
  </si>
  <si>
    <t>THOMAS</t>
  </si>
  <si>
    <t>Lenaïk</t>
  </si>
  <si>
    <t>5bc70890</t>
  </si>
  <si>
    <t>GONTHIER</t>
  </si>
  <si>
    <t>89b7fbae</t>
  </si>
  <si>
    <t>6b69de57</t>
  </si>
  <si>
    <t>TANG-CHEW-PING</t>
  </si>
  <si>
    <t>24d88d7f</t>
  </si>
  <si>
    <t>VIRAPIN CAROUMBIN</t>
  </si>
  <si>
    <t>Idris</t>
  </si>
  <si>
    <t>Chemin Deurveiller Les Hauts</t>
  </si>
  <si>
    <t>c398329b</t>
  </si>
  <si>
    <t>9cf70c46,02326ae4</t>
  </si>
  <si>
    <t>240a3a81</t>
  </si>
  <si>
    <t>COLLET</t>
  </si>
  <si>
    <t>12B</t>
  </si>
  <si>
    <t>Impasse Juliette Vincendo</t>
  </si>
  <si>
    <t>7855aefd</t>
  </si>
  <si>
    <t>TIERCELIN</t>
  </si>
  <si>
    <t>Rue de L'Arc en Ciel</t>
  </si>
  <si>
    <t>0aefb819</t>
  </si>
  <si>
    <t>NASSIBOU</t>
  </si>
  <si>
    <t>Denise</t>
  </si>
  <si>
    <t>6c6918c8</t>
  </si>
  <si>
    <t>Marie-Jacqueline</t>
  </si>
  <si>
    <t>00db8186</t>
  </si>
  <si>
    <t>BOISSAYE</t>
  </si>
  <si>
    <t>Jean-Marc</t>
  </si>
  <si>
    <t>3da2681f</t>
  </si>
  <si>
    <t>Jianny</t>
  </si>
  <si>
    <t>Rue Georges Guingouin</t>
  </si>
  <si>
    <t>Saint Pantaleon de Larche</t>
  </si>
  <si>
    <t>0eb2e7f1</t>
  </si>
  <si>
    <t>TEYTAUD</t>
  </si>
  <si>
    <t>f1a38c67</t>
  </si>
  <si>
    <t>ROUGEMONT</t>
  </si>
  <si>
    <t>Thomas Michel</t>
  </si>
  <si>
    <t>f0705ee1</t>
  </si>
  <si>
    <t>ff8c475b</t>
  </si>
  <si>
    <t>SIU JENG</t>
  </si>
  <si>
    <t>allée des Citrines - Bellepierre</t>
  </si>
  <si>
    <t>e4646306</t>
  </si>
  <si>
    <t>Chemin Notre Dame de la Salette</t>
  </si>
  <si>
    <t>01a4a449</t>
  </si>
  <si>
    <t>Luciano</t>
  </si>
  <si>
    <t>e7f253a6</t>
  </si>
  <si>
    <t>cddc8d72</t>
  </si>
  <si>
    <t>BAUDET</t>
  </si>
  <si>
    <t>93e4e41b</t>
  </si>
  <si>
    <t>6ce3fe90</t>
  </si>
  <si>
    <t>Saint-Salvy-de-la-Balme</t>
  </si>
  <si>
    <t>a5b507a5</t>
  </si>
  <si>
    <t>LATCHOUMANIN</t>
  </si>
  <si>
    <t>Impasse des Passiflores</t>
  </si>
  <si>
    <t>0f89b0af</t>
  </si>
  <si>
    <t>Sabrina</t>
  </si>
  <si>
    <t>b54fcdd7</t>
  </si>
  <si>
    <t>MAFFRE</t>
  </si>
  <si>
    <t>828017bf,c20dc8f8</t>
  </si>
  <si>
    <t>Prestataires_Images/25c284ff.Photo.045952.jpg</t>
  </si>
  <si>
    <t>9fc9597a</t>
  </si>
  <si>
    <t>SCHULZE</t>
  </si>
  <si>
    <t>9fea8c0e,23d988fe</t>
  </si>
  <si>
    <t>Prestataires_Images/cd39ef40.Photo.074540.jpg</t>
  </si>
  <si>
    <t>23d988fe</t>
  </si>
  <si>
    <t>2e4b000c</t>
  </si>
  <si>
    <t>BNB CONCIERGERIE</t>
  </si>
  <si>
    <t>SAINT-CYR Olivier</t>
  </si>
  <si>
    <t>bnbconciergerie974@gmail.com</t>
  </si>
  <si>
    <t>avenue François Mitterand</t>
  </si>
  <si>
    <t>596c9aa6</t>
  </si>
  <si>
    <t>Sentier Lucilien Lebon</t>
  </si>
  <si>
    <t>ced09e9d</t>
  </si>
  <si>
    <t>avenue de Verdun</t>
  </si>
  <si>
    <t>Decize</t>
  </si>
  <si>
    <t>2204a266</t>
  </si>
  <si>
    <t>Déborah</t>
  </si>
  <si>
    <t>113 F</t>
  </si>
  <si>
    <t>d500441e</t>
  </si>
  <si>
    <t>5ca9580c</t>
  </si>
  <si>
    <t>MUSEE DU VILLAGE PETIT TAMPON</t>
  </si>
  <si>
    <t>CHEMIN DU PETIT TAMPON</t>
  </si>
  <si>
    <t>0f6956af</t>
  </si>
  <si>
    <t>Kockelmann</t>
  </si>
  <si>
    <t>rue Olivier Brillouet</t>
  </si>
  <si>
    <t>Surgères</t>
  </si>
  <si>
    <t>7ed59154</t>
  </si>
  <si>
    <t>Cédric</t>
  </si>
  <si>
    <t>810</t>
  </si>
  <si>
    <t>Chemin des Limites</t>
  </si>
  <si>
    <t>a929e11b</t>
  </si>
  <si>
    <t>Elsa</t>
  </si>
  <si>
    <t>rue Trovalet</t>
  </si>
  <si>
    <t>a973bc58</t>
  </si>
  <si>
    <t>COUHAULT</t>
  </si>
  <si>
    <t>0693 84 97 73</t>
  </si>
  <si>
    <t>38bee07f,9a8f7c6d</t>
  </si>
  <si>
    <t>179ff44e</t>
  </si>
  <si>
    <t>Anna</t>
  </si>
  <si>
    <t>50a9f771,f6ab49cf</t>
  </si>
  <si>
    <t>f6ab49cf</t>
  </si>
  <si>
    <t>a7e2595b</t>
  </si>
  <si>
    <t>Marie Corinne</t>
  </si>
  <si>
    <t>5d09053a</t>
  </si>
  <si>
    <t>ABRAHAM</t>
  </si>
  <si>
    <t>Marie Martine</t>
  </si>
  <si>
    <t>95c0232e</t>
  </si>
  <si>
    <t>ANDRES</t>
  </si>
  <si>
    <t>449</t>
  </si>
  <si>
    <t>chemin Badamier - Ligne Paradis</t>
  </si>
  <si>
    <t>53e1e5e1</t>
  </si>
  <si>
    <t>BARITEAU</t>
  </si>
  <si>
    <t>a311fc46,0146553f</t>
  </si>
  <si>
    <t>0146553f</t>
  </si>
  <si>
    <t>CAZAL</t>
  </si>
  <si>
    <t>247</t>
  </si>
  <si>
    <t>013c74c5</t>
  </si>
  <si>
    <t>BOLO</t>
  </si>
  <si>
    <t>Tiphanie Sylvie Anaïs</t>
  </si>
  <si>
    <t>Résidence Jade appt 6</t>
  </si>
  <si>
    <t>193 Rue haute</t>
  </si>
  <si>
    <t>7f86d328</t>
  </si>
  <si>
    <t>b71cf45a</t>
  </si>
  <si>
    <t>BOXE</t>
  </si>
  <si>
    <t>Marie Gisèle</t>
  </si>
  <si>
    <t>b87776ff</t>
  </si>
  <si>
    <t>2088b095</t>
  </si>
  <si>
    <t>DEVAUX</t>
  </si>
  <si>
    <t>chemin de Longue vue</t>
  </si>
  <si>
    <t>La Bazoge</t>
  </si>
  <si>
    <t>ca772e38</t>
  </si>
  <si>
    <t>ac32f7a8</t>
  </si>
  <si>
    <t>GUERRO Gwendoline</t>
  </si>
  <si>
    <t>Zot Conciergerie</t>
  </si>
  <si>
    <t>contact@zotconciergerie.com</t>
  </si>
  <si>
    <t>0693 05 99 02</t>
  </si>
  <si>
    <t>impasse Francis</t>
  </si>
  <si>
    <t>0a37f579</t>
  </si>
  <si>
    <t>Didier Alexis</t>
  </si>
  <si>
    <t>67ccd593</t>
  </si>
  <si>
    <t>CHAN YO THU</t>
  </si>
  <si>
    <t>LOTISSEMENT DES HIBISCUS</t>
  </si>
  <si>
    <t>8 allée des Primeroses</t>
  </si>
  <si>
    <t>f6b432e5</t>
  </si>
  <si>
    <t>BLANCO</t>
  </si>
  <si>
    <t>117</t>
  </si>
  <si>
    <t>Rue de Picpus</t>
  </si>
  <si>
    <t>Paris</t>
  </si>
  <si>
    <t>31c1d557,31c1d557,31c1d557</t>
  </si>
  <si>
    <t>edb786ea</t>
  </si>
  <si>
    <t>DOMINGUE</t>
  </si>
  <si>
    <t>6cc99f7c</t>
  </si>
  <si>
    <t>Edgard</t>
  </si>
  <si>
    <t>e687e3dc</t>
  </si>
  <si>
    <t>EBERLAIN</t>
  </si>
  <si>
    <t>Rue de la Fontaine</t>
  </si>
  <si>
    <t>4418e6ba,4418e6ba</t>
  </si>
  <si>
    <t>92503211</t>
  </si>
  <si>
    <t>RENAUT</t>
  </si>
  <si>
    <t>Route de la Grande Corniche</t>
  </si>
  <si>
    <t>fc9f8a32</t>
  </si>
  <si>
    <t>Sandro Danilou</t>
  </si>
  <si>
    <t>chemin Tamby Selom Grand Bois</t>
  </si>
  <si>
    <t>a9f7a31f</t>
  </si>
  <si>
    <t>8d318661</t>
  </si>
  <si>
    <t>MICHAELI</t>
  </si>
  <si>
    <t>impasse des marguerites - bras creux</t>
  </si>
  <si>
    <t>e46068f9</t>
  </si>
  <si>
    <t>Joseph Freddy</t>
  </si>
  <si>
    <t>44A</t>
  </si>
  <si>
    <t>d35ede4c</t>
  </si>
  <si>
    <t>Jérémy</t>
  </si>
  <si>
    <t>Rue des papangues</t>
  </si>
  <si>
    <t>8465f694</t>
  </si>
  <si>
    <t>04e2b29a</t>
  </si>
  <si>
    <t>afa7f329</t>
  </si>
  <si>
    <t>AUTHENTIC STAY</t>
  </si>
  <si>
    <t>POURTEIGT Emilie</t>
  </si>
  <si>
    <t>direction.authenticstay@gmail.com</t>
  </si>
  <si>
    <t>06 93 61 52 00</t>
  </si>
  <si>
    <t>Route du Moufia</t>
  </si>
  <si>
    <t>3b2a4651</t>
  </si>
  <si>
    <t>QUIRIET</t>
  </si>
  <si>
    <t>Coralie Marie Maude</t>
  </si>
  <si>
    <t>Rue des coccinelles</t>
  </si>
  <si>
    <t>e1affab8,e1affab8</t>
  </si>
  <si>
    <t>d3a45ef0</t>
  </si>
  <si>
    <t>FOURNET</t>
  </si>
  <si>
    <t>rue du docteur Guy Hoarau</t>
  </si>
  <si>
    <t>dc510ccc</t>
  </si>
  <si>
    <t>SEVAI</t>
  </si>
  <si>
    <t>route des caféiers PK17</t>
  </si>
  <si>
    <t>e97502ee</t>
  </si>
  <si>
    <t>SELLY</t>
  </si>
  <si>
    <t>9ac22c40</t>
  </si>
  <si>
    <t>SOMNICA</t>
  </si>
  <si>
    <t>Terry</t>
  </si>
  <si>
    <t>Chemin des Goyavier</t>
  </si>
  <si>
    <t>d8d9006e</t>
  </si>
  <si>
    <t>785bec7f,15a6e03a</t>
  </si>
  <si>
    <t>Prestataires_Images/6981bf74.Photo.061230.jpg</t>
  </si>
  <si>
    <t>15a6e03a</t>
  </si>
  <si>
    <t>DUFOUR</t>
  </si>
  <si>
    <t>Allée Jacques Monod Bat K Apt 288 - ZUPII</t>
  </si>
  <si>
    <t>Le Port</t>
  </si>
  <si>
    <t>8b2b9883</t>
  </si>
  <si>
    <t>c1738f90</t>
  </si>
  <si>
    <t>DAUVERGNE</t>
  </si>
  <si>
    <t>Emeline</t>
  </si>
  <si>
    <t>5 chemin</t>
  </si>
  <si>
    <t>ed1ba789</t>
  </si>
  <si>
    <t>Rue Suffren apt 7</t>
  </si>
  <si>
    <t>004315a7,39c50266,39c50266</t>
  </si>
  <si>
    <t>0632a87b</t>
  </si>
  <si>
    <t>BARROSO</t>
  </si>
  <si>
    <t>Xavier</t>
  </si>
  <si>
    <t>xavbarroso@gmail.com</t>
  </si>
  <si>
    <t>10 Ter</t>
  </si>
  <si>
    <t>Chemin département 9 Mont Vert Les Bas</t>
  </si>
  <si>
    <t>98ef46a9</t>
  </si>
  <si>
    <t>sylvie_dijoux@live.fr</t>
  </si>
  <si>
    <t>6309e6a2</t>
  </si>
  <si>
    <t>BELLUNE</t>
  </si>
  <si>
    <t>Rita Elisabeth</t>
  </si>
  <si>
    <t>Rue du domaine d Bellevue</t>
  </si>
  <si>
    <t>cb9b8ef9,cb9b8ef9</t>
  </si>
  <si>
    <t>52d08de2</t>
  </si>
  <si>
    <t>Marie Emeline</t>
  </si>
  <si>
    <t>170</t>
  </si>
  <si>
    <t>Chemin Belhomme</t>
  </si>
  <si>
    <t>6acc7667,6acc7667,6acc7667</t>
  </si>
  <si>
    <t>864543be</t>
  </si>
  <si>
    <t>Marie Evelyne</t>
  </si>
  <si>
    <t>evelynemezino1@gmail.com</t>
  </si>
  <si>
    <t>0bdca637</t>
  </si>
  <si>
    <t>CHEVREAU</t>
  </si>
  <si>
    <t>Clotilde Anne Hélène</t>
  </si>
  <si>
    <t>f30a4011</t>
  </si>
  <si>
    <t>STOCKER</t>
  </si>
  <si>
    <t>Rue Adolphe Ramassamy - Sainte Clotilde</t>
  </si>
  <si>
    <t>f04a893a</t>
  </si>
  <si>
    <t>Ruelle Bras de Songe</t>
  </si>
  <si>
    <t>d4141e7b</t>
  </si>
  <si>
    <t>Jean Bernard</t>
  </si>
  <si>
    <t>95b96890,95b96890</t>
  </si>
  <si>
    <t>3e2b19c6</t>
  </si>
  <si>
    <t>MASSA-TRUCAT</t>
  </si>
  <si>
    <t>Cécile</t>
  </si>
  <si>
    <t>cecile@lafficheduneile.re</t>
  </si>
  <si>
    <t>0692 93 65 31</t>
  </si>
  <si>
    <t>Impasse des Lavandrieres</t>
  </si>
  <si>
    <t>2fc0da0f,2fc0da0f</t>
  </si>
  <si>
    <t>f5d38d32</t>
  </si>
  <si>
    <t>0692 46 91 65</t>
  </si>
  <si>
    <t>25c95a71</t>
  </si>
  <si>
    <t>Joseph Guibert</t>
  </si>
  <si>
    <t>Allée des Tamaris</t>
  </si>
  <si>
    <t>Carnoux-en-Provence</t>
  </si>
  <si>
    <t>8e6858f0,8e6858f0</t>
  </si>
  <si>
    <t>942c9fa7</t>
  </si>
  <si>
    <t>Marie Lucie</t>
  </si>
  <si>
    <t>lauret17@gmail.com</t>
  </si>
  <si>
    <t>rue des anones</t>
  </si>
  <si>
    <t>4b957857,989d5201</t>
  </si>
  <si>
    <t>bf6f9fe9</t>
  </si>
  <si>
    <t>Prestataires_Images/7238f05d.Photo.053145.jpg</t>
  </si>
  <si>
    <t>aaa49c37</t>
  </si>
  <si>
    <t>ROUGET</t>
  </si>
  <si>
    <t>Rue des mouettes - Champ borne</t>
  </si>
  <si>
    <t>3bbd3ae2</t>
  </si>
  <si>
    <t>GONZALES</t>
  </si>
  <si>
    <t>Victoria</t>
  </si>
  <si>
    <t>42B</t>
  </si>
  <si>
    <t>Rue de l'horizon</t>
  </si>
  <si>
    <t>3cc65e52</t>
  </si>
  <si>
    <t>Emilie Amandine</t>
  </si>
  <si>
    <t>b08a3e5c,b08a3e5c</t>
  </si>
  <si>
    <t>b9f248a3</t>
  </si>
  <si>
    <t>Horaires_id</t>
  </si>
  <si>
    <t>jours</t>
  </si>
  <si>
    <t>AM_Start</t>
  </si>
  <si>
    <t>AM_Finish</t>
  </si>
  <si>
    <t>PM_Start</t>
  </si>
  <si>
    <t>PM_Finish</t>
  </si>
  <si>
    <t>Révervation</t>
  </si>
  <si>
    <t>586bd9f1</t>
  </si>
  <si>
    <t>Lundi , Mardi , Mercredi , Jeudi , Vendredi , Samedi , Dimanche</t>
  </si>
  <si>
    <t>a2ec91c5</t>
  </si>
  <si>
    <t>69ea617a</t>
  </si>
  <si>
    <t>0dbc67a8</t>
  </si>
  <si>
    <t>Jeudi</t>
  </si>
  <si>
    <t>172705db</t>
  </si>
  <si>
    <t>e01b1ac5</t>
  </si>
  <si>
    <t>adde6fb9</t>
  </si>
  <si>
    <t>9f00ebaf</t>
  </si>
  <si>
    <t>70e80f9e</t>
  </si>
  <si>
    <t>Lundi , Mardi , Mercredi , Jeudi , Vendredi</t>
  </si>
  <si>
    <t>1d6a33fb</t>
  </si>
  <si>
    <t>Lundi , Vendredi</t>
  </si>
  <si>
    <t>d3e0e2d8</t>
  </si>
  <si>
    <t>Dimanche</t>
  </si>
  <si>
    <t>d4bde6d2</t>
  </si>
  <si>
    <t>Vendredi , Samedi</t>
  </si>
  <si>
    <t>65f77747</t>
  </si>
  <si>
    <t>Mardi , Mercredi , Vendredi</t>
  </si>
  <si>
    <t>1c52b6ca</t>
  </si>
  <si>
    <t>985c85ac</t>
  </si>
  <si>
    <t>Vendredi</t>
  </si>
  <si>
    <t>b94679d9</t>
  </si>
  <si>
    <t>Samedi</t>
  </si>
  <si>
    <t>04868caf</t>
  </si>
  <si>
    <t>3edf0e4f</t>
  </si>
  <si>
    <t>adc18cdf</t>
  </si>
  <si>
    <t>ea3db7b6</t>
  </si>
  <si>
    <t>e30eb1c9</t>
  </si>
  <si>
    <t>Lundi , Dimanche</t>
  </si>
  <si>
    <t>03198b19</t>
  </si>
  <si>
    <t>03ab8aa2</t>
  </si>
  <si>
    <t>56d08dc9</t>
  </si>
  <si>
    <t>eac94751</t>
  </si>
  <si>
    <t>e309dd44</t>
  </si>
  <si>
    <t>8f0ead39</t>
  </si>
  <si>
    <t>941c908c</t>
  </si>
  <si>
    <t>9926a2b0</t>
  </si>
  <si>
    <t>48cd09f8</t>
  </si>
  <si>
    <t>e09e0077</t>
  </si>
  <si>
    <t>6c106d39</t>
  </si>
  <si>
    <t>115e353e</t>
  </si>
  <si>
    <t>10abc0e2</t>
  </si>
  <si>
    <t>Mercredi , Jeudi , Vendredi , Samedi , Dimanche</t>
  </si>
  <si>
    <t>897999fc</t>
  </si>
  <si>
    <t>4584657a</t>
  </si>
  <si>
    <t>Mardi , Samedi</t>
  </si>
  <si>
    <t>7ebcb26d</t>
  </si>
  <si>
    <t>1697f7dd</t>
  </si>
  <si>
    <t>b187bb72</t>
  </si>
  <si>
    <t>bc48785d</t>
  </si>
  <si>
    <t>d0abdfa4</t>
  </si>
  <si>
    <t>9572dc8b</t>
  </si>
  <si>
    <t>8ceb3a76</t>
  </si>
  <si>
    <t>ffdfaa8f</t>
  </si>
  <si>
    <t>a1054b8b</t>
  </si>
  <si>
    <t>75ae1271</t>
  </si>
  <si>
    <t>8d831f76</t>
  </si>
  <si>
    <t>ba3872f1</t>
  </si>
  <si>
    <t>4e802d05</t>
  </si>
  <si>
    <t>745fbe33</t>
  </si>
  <si>
    <t>16baec64</t>
  </si>
  <si>
    <t>8a66d847</t>
  </si>
  <si>
    <t>24347f90</t>
  </si>
  <si>
    <t>916a0c82</t>
  </si>
  <si>
    <t>cae808b7</t>
  </si>
  <si>
    <t>fdfaee2e</t>
  </si>
  <si>
    <t>516cc550</t>
  </si>
  <si>
    <t>42acbb48</t>
  </si>
  <si>
    <t>f4b64c4b</t>
  </si>
  <si>
    <t>25974b5b</t>
  </si>
  <si>
    <t>831d93f3</t>
  </si>
  <si>
    <t>e606ca5d</t>
  </si>
  <si>
    <t>73635c47</t>
  </si>
  <si>
    <t>6649f707</t>
  </si>
  <si>
    <t>5c7ba7f1</t>
  </si>
  <si>
    <t>8fc358f6</t>
  </si>
  <si>
    <t>30612316</t>
  </si>
  <si>
    <t>96ee9b55</t>
  </si>
  <si>
    <t>f16ffc68</t>
  </si>
  <si>
    <t>Lundi , Mardi , Mercredi , Jeudi , Vendredi , Samedi</t>
  </si>
  <si>
    <t>6e92d215</t>
  </si>
  <si>
    <t>048c3e2d</t>
  </si>
  <si>
    <t>d82e8f3c</t>
  </si>
  <si>
    <t>0c4ee0e0</t>
  </si>
  <si>
    <t>1922cd89</t>
  </si>
  <si>
    <t>Mardi , Mercredi , Jeudi , Vendredi , Samedi</t>
  </si>
  <si>
    <t>5874cac8</t>
  </si>
  <si>
    <t>fa1b09ff</t>
  </si>
  <si>
    <t>aa5fe886</t>
  </si>
  <si>
    <t>adcd8c66</t>
  </si>
  <si>
    <t>3e496fc9</t>
  </si>
  <si>
    <t>3fb0bc95</t>
  </si>
  <si>
    <t>ee16c762</t>
  </si>
  <si>
    <t>f07c978c</t>
  </si>
  <si>
    <t>Lundi , Mardi , Mercredi</t>
  </si>
  <si>
    <t>d483bff4</t>
  </si>
  <si>
    <t>3f1b8965</t>
  </si>
  <si>
    <t>404a7654</t>
  </si>
  <si>
    <t>cb6ab298</t>
  </si>
  <si>
    <t>462bab6c</t>
  </si>
  <si>
    <t>1f94bb49</t>
  </si>
  <si>
    <t>16a71ed7</t>
  </si>
  <si>
    <t>bc783b0a</t>
  </si>
  <si>
    <t>Samedi , Dimanche</t>
  </si>
  <si>
    <t>95325d7a</t>
  </si>
  <si>
    <t>0996610f</t>
  </si>
  <si>
    <t>9ef5ed0f</t>
  </si>
  <si>
    <t>5b59f8ad</t>
  </si>
  <si>
    <t>55814882</t>
  </si>
  <si>
    <t>0ad096ec</t>
  </si>
  <si>
    <t>edd3530e</t>
  </si>
  <si>
    <t>c66f11f0</t>
  </si>
  <si>
    <t>Mardi , Mercredi , Jeudi , Vendredi , Samedi , Dimanche</t>
  </si>
  <si>
    <t>38005a5a</t>
  </si>
  <si>
    <t>d1a6def4</t>
  </si>
  <si>
    <t>a8b7fc1e</t>
  </si>
  <si>
    <t>Lundi , Jeudi</t>
  </si>
  <si>
    <t>60858aea</t>
  </si>
  <si>
    <t>c111c5bc</t>
  </si>
  <si>
    <t>576ec10c</t>
  </si>
  <si>
    <t>7ae3cadf</t>
  </si>
  <si>
    <t>Jeudi , Vendredi , Samedi</t>
  </si>
  <si>
    <t>c19a4662</t>
  </si>
  <si>
    <t>Lundi , Mardi</t>
  </si>
  <si>
    <t>8b7a3f55</t>
  </si>
  <si>
    <t>Lundi</t>
  </si>
  <si>
    <t>4ca56086</t>
  </si>
  <si>
    <t>Mercredi</t>
  </si>
  <si>
    <t>f45a472a</t>
  </si>
  <si>
    <t>a890ebce</t>
  </si>
  <si>
    <t>8611208f</t>
  </si>
  <si>
    <t>208ea4fd</t>
  </si>
  <si>
    <t>Lundi , Mercredi</t>
  </si>
  <si>
    <t>c185332c</t>
  </si>
  <si>
    <t>2d604033</t>
  </si>
  <si>
    <t>3a890599</t>
  </si>
  <si>
    <t>b9f81ee6</t>
  </si>
  <si>
    <t>5ea53cea</t>
  </si>
  <si>
    <t>e4c10d71</t>
  </si>
  <si>
    <t>b5b64c96</t>
  </si>
  <si>
    <t>27ed54f1</t>
  </si>
  <si>
    <t>c32ea58c</t>
  </si>
  <si>
    <t>ae87db61</t>
  </si>
  <si>
    <t>2c0e6b94</t>
  </si>
  <si>
    <t>c4f0a032</t>
  </si>
  <si>
    <t>227965c1</t>
  </si>
  <si>
    <t>5ee66056</t>
  </si>
  <si>
    <t>940372c9</t>
  </si>
  <si>
    <t>a954e31f</t>
  </si>
  <si>
    <t>09e5baf8</t>
  </si>
  <si>
    <t>893f6e69</t>
  </si>
  <si>
    <t>437261bb</t>
  </si>
  <si>
    <t>d809c8d8</t>
  </si>
  <si>
    <t>a5744c15</t>
  </si>
  <si>
    <t>dcaec188</t>
  </si>
  <si>
    <t>7a92559c</t>
  </si>
  <si>
    <t>Lundi , Mardi , Mercredi , Jeudi</t>
  </si>
  <si>
    <t>0d8cf023</t>
  </si>
  <si>
    <t>72592661</t>
  </si>
  <si>
    <t>32d6aa3a</t>
  </si>
  <si>
    <t>669babb6</t>
  </si>
  <si>
    <t>37970a47</t>
  </si>
  <si>
    <t>de00bdfb</t>
  </si>
  <si>
    <t>b777b3ce</t>
  </si>
  <si>
    <t>fd148b65</t>
  </si>
  <si>
    <t>0d71d26a</t>
  </si>
  <si>
    <t>0461d5f7</t>
  </si>
  <si>
    <t>Mardi , Mercredi , Jeudi</t>
  </si>
  <si>
    <t>99aacd59</t>
  </si>
  <si>
    <t>f602e1e0</t>
  </si>
  <si>
    <t>e0bc37d9</t>
  </si>
  <si>
    <t>Mardi</t>
  </si>
  <si>
    <t>86094fae</t>
  </si>
  <si>
    <t>b051b601</t>
  </si>
  <si>
    <t>a1044b1b</t>
  </si>
  <si>
    <t>6d266567</t>
  </si>
  <si>
    <t>a86dc9af</t>
  </si>
  <si>
    <t>Mercredi , Jeudi , Vendredi , Samedi</t>
  </si>
  <si>
    <t>a168e1fb</t>
  </si>
  <si>
    <t>891539b2</t>
  </si>
  <si>
    <t>ce9d2936</t>
  </si>
  <si>
    <t>Lundi , Mardi , Mercredi , Samedi</t>
  </si>
  <si>
    <t>383e26ee</t>
  </si>
  <si>
    <t>dbddef81</t>
  </si>
  <si>
    <t>b285dbd0</t>
  </si>
  <si>
    <t>b76ca928</t>
  </si>
  <si>
    <t>ac5dc8f5</t>
  </si>
  <si>
    <t>bc7dabe5</t>
  </si>
  <si>
    <t>17f6ab1e</t>
  </si>
  <si>
    <t>Vendredi , Samedi , Dimanche</t>
  </si>
  <si>
    <t>7f157bc4</t>
  </si>
  <si>
    <t>e0118b95</t>
  </si>
  <si>
    <t>6758ca09</t>
  </si>
  <si>
    <t>31b24fbe</t>
  </si>
  <si>
    <t>e0cf6244</t>
  </si>
  <si>
    <t>db4b258a</t>
  </si>
  <si>
    <t>bbdaeaac</t>
  </si>
  <si>
    <t>ce1e1eae</t>
  </si>
  <si>
    <t>ff605b67</t>
  </si>
  <si>
    <t>1d19534b</t>
  </si>
  <si>
    <t>114f4465</t>
  </si>
  <si>
    <t>97cc6933</t>
  </si>
  <si>
    <t>52a61164</t>
  </si>
  <si>
    <t>083674a5</t>
  </si>
  <si>
    <t>7f731479</t>
  </si>
  <si>
    <t>a9bee18d</t>
  </si>
  <si>
    <t>8485ad23</t>
  </si>
  <si>
    <t>e8c4b471</t>
  </si>
  <si>
    <t>1278d49a</t>
  </si>
  <si>
    <t>1bc298bd</t>
  </si>
  <si>
    <t>97d42d5c</t>
  </si>
  <si>
    <t>d37c0bf6</t>
  </si>
  <si>
    <t>6ce7a090</t>
  </si>
  <si>
    <t>6347a1e1</t>
  </si>
  <si>
    <t>50ef7a71</t>
  </si>
  <si>
    <t>37fb02a2</t>
  </si>
  <si>
    <t>9012cbed</t>
  </si>
  <si>
    <t>431feb77</t>
  </si>
  <si>
    <t>3bbea377</t>
  </si>
  <si>
    <t>b4b4d645</t>
  </si>
  <si>
    <t>af3b7dc7</t>
  </si>
  <si>
    <t>eff4a31f</t>
  </si>
  <si>
    <t>0f859aed</t>
  </si>
  <si>
    <t>a24ea2f0</t>
  </si>
  <si>
    <t>31532b9c</t>
  </si>
  <si>
    <t>3548939c</t>
  </si>
  <si>
    <t>021f8e16</t>
  </si>
  <si>
    <t>61ef8da6</t>
  </si>
  <si>
    <t>404909c1</t>
  </si>
  <si>
    <t>cd0baf76</t>
  </si>
  <si>
    <t>88f4d4ca</t>
  </si>
  <si>
    <t>01702cbe</t>
  </si>
  <si>
    <t>5c09e21d</t>
  </si>
  <si>
    <t>1f215c44</t>
  </si>
  <si>
    <t>ba853760</t>
  </si>
  <si>
    <t>b70745c8</t>
  </si>
  <si>
    <t>cbee9abc</t>
  </si>
  <si>
    <t>afb37577</t>
  </si>
  <si>
    <t>89a16ac6</t>
  </si>
  <si>
    <t>6f834142</t>
  </si>
  <si>
    <t>5f1a9084</t>
  </si>
  <si>
    <t>Lundi , Mardi , Mercredi , Jeudi , Samedi</t>
  </si>
  <si>
    <t>97d89e88</t>
  </si>
  <si>
    <t>f0b94379</t>
  </si>
  <si>
    <t>b145908f</t>
  </si>
  <si>
    <t>104675b3</t>
  </si>
  <si>
    <t>621cd4ed</t>
  </si>
  <si>
    <t>d8f639cd</t>
  </si>
  <si>
    <t>83c77c12</t>
  </si>
  <si>
    <t>51a97040</t>
  </si>
  <si>
    <t>c24fa629</t>
  </si>
  <si>
    <t>da671d1f</t>
  </si>
  <si>
    <t>c823e98b</t>
  </si>
  <si>
    <t>c84eb891</t>
  </si>
  <si>
    <t>f8f870f9</t>
  </si>
  <si>
    <t>e839dba7</t>
  </si>
  <si>
    <t>4ecfbc84</t>
  </si>
  <si>
    <t>5d64c7e5</t>
  </si>
  <si>
    <t>a82265d5</t>
  </si>
  <si>
    <t>21633fbf</t>
  </si>
  <si>
    <t>85ed5c69</t>
  </si>
  <si>
    <t>e0a42e03</t>
  </si>
  <si>
    <t>Lundi , Mercredi , Vendredi , Samedi , Dimanche</t>
  </si>
  <si>
    <t>c4c2a045</t>
  </si>
  <si>
    <t>68b924f3</t>
  </si>
  <si>
    <t>7f6fe37d</t>
  </si>
  <si>
    <t>45017f6c</t>
  </si>
  <si>
    <t>e93fcf2b</t>
  </si>
  <si>
    <t>06c28de4</t>
  </si>
  <si>
    <t>62d45127</t>
  </si>
  <si>
    <t>8a6c5cc4</t>
  </si>
  <si>
    <t>953d2e52</t>
  </si>
  <si>
    <t>7fae4bbf</t>
  </si>
  <si>
    <t>13a23819</t>
  </si>
  <si>
    <t>6e9b3452</t>
  </si>
  <si>
    <t>Lundi , Mardi , Jeudi , Vendredi , Samedi , Dimanche</t>
  </si>
  <si>
    <t>f4ccb919</t>
  </si>
  <si>
    <t>0e4a08f4</t>
  </si>
  <si>
    <t>71fb063c</t>
  </si>
  <si>
    <t>7e454bb1</t>
  </si>
  <si>
    <t>511ed8d5</t>
  </si>
  <si>
    <t>a83e97ce</t>
  </si>
  <si>
    <t>4a7a012e</t>
  </si>
  <si>
    <t>83d839cb</t>
  </si>
  <si>
    <t>6f77081d</t>
  </si>
  <si>
    <t>2f33a8dd</t>
  </si>
  <si>
    <t>1432c55a</t>
  </si>
  <si>
    <t>Lundi , Mercredi , Jeudi , Vendredi , Samedi , Dimanche</t>
  </si>
  <si>
    <t>66d39e1b</t>
  </si>
  <si>
    <t>1dbdbbc3</t>
  </si>
  <si>
    <t>b561ce2b</t>
  </si>
  <si>
    <t>316b6ce6</t>
  </si>
  <si>
    <t>c478d191</t>
  </si>
  <si>
    <t>c8a8a3a3</t>
  </si>
  <si>
    <t>827bb4be</t>
  </si>
  <si>
    <t>f12cb4cd</t>
  </si>
  <si>
    <t>f1b99dfe</t>
  </si>
  <si>
    <t>4cfbd38b</t>
  </si>
  <si>
    <t>21f40842</t>
  </si>
  <si>
    <t>573d8b13</t>
  </si>
  <si>
    <t>a04413c0</t>
  </si>
  <si>
    <t>a912f9ff</t>
  </si>
  <si>
    <t>db9fd6f7</t>
  </si>
  <si>
    <t>Lundi , Mardi , Mercredi , Jeudi , Dimanche</t>
  </si>
  <si>
    <t>081aad44</t>
  </si>
  <si>
    <t>f12fd1ad</t>
  </si>
  <si>
    <t>d327e64a</t>
  </si>
  <si>
    <t>9b0df369</t>
  </si>
  <si>
    <t>e16735d7</t>
  </si>
  <si>
    <t>fcb97c70</t>
  </si>
  <si>
    <t>4d52cabc</t>
  </si>
  <si>
    <t>50349320</t>
  </si>
  <si>
    <t>b729ba78</t>
  </si>
  <si>
    <t>40d1f694</t>
  </si>
  <si>
    <t>442d3b87</t>
  </si>
  <si>
    <t>c55ae4f2</t>
  </si>
  <si>
    <t>1496f6ba</t>
  </si>
  <si>
    <t>2b53d4dd</t>
  </si>
  <si>
    <t>f1d9d7f2</t>
  </si>
  <si>
    <t>82a6cb22</t>
  </si>
  <si>
    <t>11afac28</t>
  </si>
  <si>
    <t>06bb02b8</t>
  </si>
  <si>
    <t>20a720bb</t>
  </si>
  <si>
    <t>5e60c7d0</t>
  </si>
  <si>
    <t>a23e3d72</t>
  </si>
  <si>
    <t>b99b9f4b</t>
  </si>
  <si>
    <t>55a27fd1</t>
  </si>
  <si>
    <t>fba31d1a</t>
  </si>
  <si>
    <t>d56d72fe</t>
  </si>
  <si>
    <t>c9461523</t>
  </si>
  <si>
    <t>63e0e529</t>
  </si>
  <si>
    <t>25ad8468</t>
  </si>
  <si>
    <t>905aeeeb</t>
  </si>
  <si>
    <t>b2ebe27b</t>
  </si>
  <si>
    <t>98d7e904</t>
  </si>
  <si>
    <t>5982762a</t>
  </si>
  <si>
    <t>bd3d8b23</t>
  </si>
  <si>
    <t>cbcc7096</t>
  </si>
  <si>
    <t>5e95817e</t>
  </si>
  <si>
    <t>Jeudi , Vendredi , Samedi , Dimanche</t>
  </si>
  <si>
    <t>557f9930</t>
  </si>
  <si>
    <t>2f571b38</t>
  </si>
  <si>
    <t>a12bf871</t>
  </si>
  <si>
    <t>162f2c25</t>
  </si>
  <si>
    <t>6b0697f0</t>
  </si>
  <si>
    <t>ebec3b2b</t>
  </si>
  <si>
    <t>b7dd4870</t>
  </si>
  <si>
    <t>5f2d3b5a</t>
  </si>
  <si>
    <t>d22f3e84</t>
  </si>
  <si>
    <t>8d0535b3</t>
  </si>
  <si>
    <t>e6b0f5b8</t>
  </si>
  <si>
    <t>Mardi , Mercredi</t>
  </si>
  <si>
    <t>a6ba0a1e</t>
  </si>
  <si>
    <t>b4ff7509</t>
  </si>
  <si>
    <t>6d6dfbe8</t>
  </si>
  <si>
    <t>ba13d762</t>
  </si>
  <si>
    <t>fbe51d8a</t>
  </si>
  <si>
    <t>ecfbd2d8</t>
  </si>
  <si>
    <t>f68bb0de</t>
  </si>
  <si>
    <t>39eb7863</t>
  </si>
  <si>
    <t>c306bcc4</t>
  </si>
  <si>
    <t>98fc5681</t>
  </si>
  <si>
    <t>15f7ead3</t>
  </si>
  <si>
    <t>6f38dde1</t>
  </si>
  <si>
    <t>e0aa1bcd</t>
  </si>
  <si>
    <t>7eab4e7a</t>
  </si>
  <si>
    <t>b93b6fb5</t>
  </si>
  <si>
    <t>3b88df25</t>
  </si>
  <si>
    <t>48df910b</t>
  </si>
  <si>
    <t>4890b770</t>
  </si>
  <si>
    <t>a1ec8fef</t>
  </si>
  <si>
    <t>4f7fe135</t>
  </si>
  <si>
    <t>063d9ebd</t>
  </si>
  <si>
    <t>f3fcd551</t>
  </si>
  <si>
    <t>44a49f47</t>
  </si>
  <si>
    <t>c1cd2e18</t>
  </si>
  <si>
    <t>3715a395</t>
  </si>
  <si>
    <t>a0553087</t>
  </si>
  <si>
    <t>907b9d6e</t>
  </si>
  <si>
    <t>181124eb</t>
  </si>
  <si>
    <t>392b7dd5</t>
  </si>
  <si>
    <t>a865c73c</t>
  </si>
  <si>
    <t>8520fdc9</t>
  </si>
  <si>
    <t>592b9546</t>
  </si>
  <si>
    <t>52422d32</t>
  </si>
  <si>
    <t>ded9dc7b</t>
  </si>
  <si>
    <t>81e8c9de</t>
  </si>
  <si>
    <t>71c66c9a</t>
  </si>
  <si>
    <t>dc2c66ad</t>
  </si>
  <si>
    <t>e97f89bc</t>
  </si>
  <si>
    <t>15cab2e0</t>
  </si>
  <si>
    <t>ceec809c</t>
  </si>
  <si>
    <t>c13dc45f</t>
  </si>
  <si>
    <t>c5bcbb64</t>
  </si>
  <si>
    <t>9b9b854b</t>
  </si>
  <si>
    <t>ef3d550b</t>
  </si>
  <si>
    <t>683f6e0c</t>
  </si>
  <si>
    <t>a619e6b7</t>
  </si>
  <si>
    <t>54fa43e6</t>
  </si>
  <si>
    <t>c49ef335</t>
  </si>
  <si>
    <t>8882c5a3</t>
  </si>
  <si>
    <t>Lundi , Mardi , Mercredi , Samedi , Dimanche</t>
  </si>
  <si>
    <t>2465d961</t>
  </si>
  <si>
    <t>84ef9b5c</t>
  </si>
  <si>
    <t>b235ee97</t>
  </si>
  <si>
    <t>dc9461e0</t>
  </si>
  <si>
    <t>8fd691fe</t>
  </si>
  <si>
    <t>abdad563</t>
  </si>
  <si>
    <t>a0319f33</t>
  </si>
  <si>
    <t>32a100c5</t>
  </si>
  <si>
    <t>af1b42a7</t>
  </si>
  <si>
    <t>4f70837c</t>
  </si>
  <si>
    <t>08add76f</t>
  </si>
  <si>
    <t>2f6df812</t>
  </si>
  <si>
    <t>4a916bf4</t>
  </si>
  <si>
    <t>1917eac1</t>
  </si>
  <si>
    <t>e6aef97a</t>
  </si>
  <si>
    <t>71973912</t>
  </si>
  <si>
    <t>99011ed6</t>
  </si>
  <si>
    <t>07a9bf66</t>
  </si>
  <si>
    <t>Lundi , Mardi , Jeudi , Vendredi</t>
  </si>
  <si>
    <t>e3e17dd5</t>
  </si>
  <si>
    <t>90b6e3d2</t>
  </si>
  <si>
    <t>1b39e6ff</t>
  </si>
  <si>
    <t>b3d22773</t>
  </si>
  <si>
    <t>8ddd2ec9</t>
  </si>
  <si>
    <t>f229c7d8</t>
  </si>
  <si>
    <t>4c80f9c1</t>
  </si>
  <si>
    <t>6953faa9</t>
  </si>
  <si>
    <t>d1ad4121</t>
  </si>
  <si>
    <t>fd906208</t>
  </si>
  <si>
    <t>6f3e7ad3</t>
  </si>
  <si>
    <t>4813b0ac</t>
  </si>
  <si>
    <t>ed4f3bb4</t>
  </si>
  <si>
    <t>f367daed</t>
  </si>
  <si>
    <t>e2c71bf6</t>
  </si>
  <si>
    <t>Lundi , Jeudi , Vendredi , Samedi , Dimanche</t>
  </si>
  <si>
    <t>79aec8cb</t>
  </si>
  <si>
    <t>a09a9f20</t>
  </si>
  <si>
    <t>2b14745f</t>
  </si>
  <si>
    <t>Mardi , Mercredi , Jeudi , Dimanche</t>
  </si>
  <si>
    <t>1b4f0429</t>
  </si>
  <si>
    <t>b2ae3335</t>
  </si>
  <si>
    <t>3a517996</t>
  </si>
  <si>
    <t>2041819b</t>
  </si>
  <si>
    <t>dcd5c9d1</t>
  </si>
  <si>
    <t>8d353897</t>
  </si>
  <si>
    <t>d1648cde</t>
  </si>
  <si>
    <t>f20f60e4</t>
  </si>
  <si>
    <t>01e9689f</t>
  </si>
  <si>
    <t>b224eb84</t>
  </si>
  <si>
    <t>Lundi , Mardi , Mercredi , Vendredi , Samedi , Dimanche</t>
  </si>
  <si>
    <t>52ac3142</t>
  </si>
  <si>
    <t>803928db</t>
  </si>
  <si>
    <t>3a758ed4</t>
  </si>
  <si>
    <t>c25f83f2</t>
  </si>
  <si>
    <t>79161db5</t>
  </si>
  <si>
    <t>bcb8571f</t>
  </si>
  <si>
    <t>058a071c</t>
  </si>
  <si>
    <t>595a6c3b</t>
  </si>
  <si>
    <t>d80361e6</t>
  </si>
  <si>
    <t>af6b7b47</t>
  </si>
  <si>
    <t>89ba94e2</t>
  </si>
  <si>
    <t>715b8250</t>
  </si>
  <si>
    <t>d4898eb9</t>
  </si>
  <si>
    <t>2bd17eb1</t>
  </si>
  <si>
    <t>943d9c8d</t>
  </si>
  <si>
    <t>3e2539b8</t>
  </si>
  <si>
    <t>fe8fe9a9</t>
  </si>
  <si>
    <t>9a184ddb</t>
  </si>
  <si>
    <t>6b6f5050</t>
  </si>
  <si>
    <t>91aa06b8</t>
  </si>
  <si>
    <t>Mardi , Mercredi , Samedi</t>
  </si>
  <si>
    <t>b498f8a3</t>
  </si>
  <si>
    <t>Mercredi , Samedi</t>
  </si>
  <si>
    <t>e0f38fa4</t>
  </si>
  <si>
    <t>5641e1bc</t>
  </si>
  <si>
    <t>4a24602b</t>
  </si>
  <si>
    <t>eed11abd</t>
  </si>
  <si>
    <t>7c2b7019</t>
  </si>
  <si>
    <t>9e5057b2</t>
  </si>
  <si>
    <t>b3ea3fe5</t>
  </si>
  <si>
    <t>c054fba5</t>
  </si>
  <si>
    <t>22a60b5f</t>
  </si>
  <si>
    <t>64b8ccde</t>
  </si>
  <si>
    <t>6a3cc965</t>
  </si>
  <si>
    <t>b2dc8b6a</t>
  </si>
  <si>
    <t>a7ff7ae2</t>
  </si>
  <si>
    <t>6b1c1711</t>
  </si>
  <si>
    <t>086cec17</t>
  </si>
  <si>
    <t>01d66b33</t>
  </si>
  <si>
    <t>eb5c06a3</t>
  </si>
  <si>
    <t>3d1e3347</t>
  </si>
  <si>
    <t>936ecaa1</t>
  </si>
  <si>
    <t>2057854c</t>
  </si>
  <si>
    <t>75af64bb</t>
  </si>
  <si>
    <t>8e1a45a8</t>
  </si>
  <si>
    <t>8c69e8c9</t>
  </si>
  <si>
    <t>493a2326</t>
  </si>
  <si>
    <t>63f9bbe9</t>
  </si>
  <si>
    <t>54d96b81</t>
  </si>
  <si>
    <t>c490ba5e</t>
  </si>
  <si>
    <t>294a9b95</t>
  </si>
  <si>
    <t>061ca781</t>
  </si>
  <si>
    <t>300c70d2</t>
  </si>
  <si>
    <t>7d44861e</t>
  </si>
  <si>
    <t>2989138a</t>
  </si>
  <si>
    <t>1f0b1837</t>
  </si>
  <si>
    <t>f18657ed</t>
  </si>
  <si>
    <t>fb77dd9f</t>
  </si>
  <si>
    <t>f70cb083</t>
  </si>
  <si>
    <t>6835b5f8</t>
  </si>
  <si>
    <t>c25b1d31</t>
  </si>
  <si>
    <t>87eeb9a6</t>
  </si>
  <si>
    <t>2086bbe7</t>
  </si>
  <si>
    <t>52dbec5f</t>
  </si>
  <si>
    <t>44355be1</t>
  </si>
  <si>
    <t>feebe459</t>
  </si>
  <si>
    <t>8d3c9d11</t>
  </si>
  <si>
    <t>f7b5e98f</t>
  </si>
  <si>
    <t>b78cfd58</t>
  </si>
  <si>
    <t>b0e27a04</t>
  </si>
  <si>
    <t>d9c6082a</t>
  </si>
  <si>
    <t>39e6e60a</t>
  </si>
  <si>
    <t>ede2c9be</t>
  </si>
  <si>
    <t>7c29e049</t>
  </si>
  <si>
    <t>60ba0976</t>
  </si>
  <si>
    <t>Lundi , Mardi , Jeudi , Vendredi , Samedi</t>
  </si>
  <si>
    <t>3508de48</t>
  </si>
  <si>
    <t>84b019db</t>
  </si>
  <si>
    <t>b772a1f2</t>
  </si>
  <si>
    <t>2952bb0b</t>
  </si>
  <si>
    <t>1185f8db</t>
  </si>
  <si>
    <t>1c4b9142</t>
  </si>
  <si>
    <t>09eed410</t>
  </si>
  <si>
    <t>c7aa8377</t>
  </si>
  <si>
    <t>2543228c</t>
  </si>
  <si>
    <t>50ed4c4b</t>
  </si>
  <si>
    <t>ad9f3796</t>
  </si>
  <si>
    <t>e45d88a8</t>
  </si>
  <si>
    <t>789cb139</t>
  </si>
  <si>
    <t>bd16023d</t>
  </si>
  <si>
    <t>5c94a114</t>
  </si>
  <si>
    <t>facc5bca</t>
  </si>
  <si>
    <t>a00e904b</t>
  </si>
  <si>
    <t>4049c698</t>
  </si>
  <si>
    <t>9e7877fa</t>
  </si>
  <si>
    <t>5bf25551</t>
  </si>
  <si>
    <t>c6c757d3</t>
  </si>
  <si>
    <t>1aeb7b44</t>
  </si>
  <si>
    <t>99aeef60</t>
  </si>
  <si>
    <t>Lundi , Mardi , Mercredi , Jeudi , Samedi , Dimanche</t>
  </si>
  <si>
    <t>470f438e</t>
  </si>
  <si>
    <t>e891b4e5</t>
  </si>
  <si>
    <t>ca2f6bcf</t>
  </si>
  <si>
    <t>bb8c84cf</t>
  </si>
  <si>
    <t>87d32416</t>
  </si>
  <si>
    <t>e9360d3b</t>
  </si>
  <si>
    <t>01f23422</t>
  </si>
  <si>
    <t>2bbccdc4</t>
  </si>
  <si>
    <t>b5095ed8</t>
  </si>
  <si>
    <t>642fbbe6</t>
  </si>
  <si>
    <t>e6241a47</t>
  </si>
  <si>
    <t>538d8f3f</t>
  </si>
  <si>
    <t>4683a486</t>
  </si>
  <si>
    <t>f550239f</t>
  </si>
  <si>
    <t>a6d41678</t>
  </si>
  <si>
    <t>4c2a77af</t>
  </si>
  <si>
    <t>4b59cc9b</t>
  </si>
  <si>
    <t>f77ae669</t>
  </si>
  <si>
    <t>66a90aa6</t>
  </si>
  <si>
    <t>d4c4a95d</t>
  </si>
  <si>
    <t>0c85d676</t>
  </si>
  <si>
    <t>ca8f3e77</t>
  </si>
  <si>
    <t>40960c6a</t>
  </si>
  <si>
    <t>505697b0</t>
  </si>
  <si>
    <t>d514c5e6</t>
  </si>
  <si>
    <t>deaeea16</t>
  </si>
  <si>
    <t>911b1a4f</t>
  </si>
  <si>
    <t>00e1730e</t>
  </si>
  <si>
    <t>2956afe3</t>
  </si>
  <si>
    <t>dd1292f0</t>
  </si>
  <si>
    <t>46ea5b61</t>
  </si>
  <si>
    <t>dbe01dc9</t>
  </si>
  <si>
    <t>b1dcfb4f</t>
  </si>
  <si>
    <t>76c9a930</t>
  </si>
  <si>
    <t>96c237c9</t>
  </si>
  <si>
    <t>c4233833</t>
  </si>
  <si>
    <t>90180aad</t>
  </si>
  <si>
    <t>dd84886a</t>
  </si>
  <si>
    <t>24463aad</t>
  </si>
  <si>
    <t>732f62c5</t>
  </si>
  <si>
    <t>b0c3ce93</t>
  </si>
  <si>
    <t>14875770</t>
  </si>
  <si>
    <t>86d1de03</t>
  </si>
  <si>
    <t>269bf3a9</t>
  </si>
  <si>
    <t>cab38357</t>
  </si>
  <si>
    <t>642f1a5d</t>
  </si>
  <si>
    <t>5be8f6c4</t>
  </si>
  <si>
    <t>52723f19</t>
  </si>
  <si>
    <t>51bfec90</t>
  </si>
  <si>
    <t>bb5e13cb</t>
  </si>
  <si>
    <t>24597e5d</t>
  </si>
  <si>
    <t>3a0db8b2</t>
  </si>
  <si>
    <t>3f3b31d1</t>
  </si>
  <si>
    <t>190a28aa</t>
  </si>
  <si>
    <t>7dce6366</t>
  </si>
  <si>
    <t>b39fd999</t>
  </si>
  <si>
    <t>c2198dcb</t>
  </si>
  <si>
    <t>49417cf3</t>
  </si>
  <si>
    <t>d83533b8</t>
  </si>
  <si>
    <t>6fc69289</t>
  </si>
  <si>
    <t>834dee31</t>
  </si>
  <si>
    <t>cd4a7e71</t>
  </si>
  <si>
    <t>4d120b37</t>
  </si>
  <si>
    <t>258e4f25</t>
  </si>
  <si>
    <t>f4227297</t>
  </si>
  <si>
    <t>3c15d812</t>
  </si>
  <si>
    <t>d68bcb16</t>
  </si>
  <si>
    <t>2631e42a</t>
  </si>
  <si>
    <t>111b3bf0</t>
  </si>
  <si>
    <t>c7d0b25c</t>
  </si>
  <si>
    <t>b2015091</t>
  </si>
  <si>
    <t>11ce81ed</t>
  </si>
  <si>
    <t>996d9eb9</t>
  </si>
  <si>
    <t>ffd3a589</t>
  </si>
  <si>
    <t>d982fa20</t>
  </si>
  <si>
    <t>d0beba94</t>
  </si>
  <si>
    <t>734a28e5</t>
  </si>
  <si>
    <t>9d6302b2</t>
  </si>
  <si>
    <t>4ab9fa2f</t>
  </si>
  <si>
    <t>cb343787</t>
  </si>
  <si>
    <t>846d0ee2</t>
  </si>
  <si>
    <t>4dac5d3f</t>
  </si>
  <si>
    <t>c423281b</t>
  </si>
  <si>
    <t>0db831e0</t>
  </si>
  <si>
    <t>2404d7a9</t>
  </si>
  <si>
    <t>b8f695bf</t>
  </si>
  <si>
    <t>78eb8835</t>
  </si>
  <si>
    <t>d95a986d</t>
  </si>
  <si>
    <t>7ad64549</t>
  </si>
  <si>
    <t>bcccecc9</t>
  </si>
  <si>
    <t>d4f6a6a5</t>
  </si>
  <si>
    <t>204a9523</t>
  </si>
  <si>
    <t>0c19989a</t>
  </si>
  <si>
    <t>01b420c3</t>
  </si>
  <si>
    <t>49494967</t>
  </si>
  <si>
    <t>3c6e19fd</t>
  </si>
  <si>
    <t>302df0ec</t>
  </si>
  <si>
    <t>7fc84e01</t>
  </si>
  <si>
    <t>b7691ffa</t>
  </si>
  <si>
    <t>377b2227</t>
  </si>
  <si>
    <t>c7cc97a1</t>
  </si>
  <si>
    <t>5f4e96cd</t>
  </si>
  <si>
    <t>4693d337</t>
  </si>
  <si>
    <t>4ab249f0</t>
  </si>
  <si>
    <t>4203fd55</t>
  </si>
  <si>
    <t>2939fe1b</t>
  </si>
  <si>
    <t>cfb80fbb</t>
  </si>
  <si>
    <t>8660aded</t>
  </si>
  <si>
    <t>276e1bad</t>
  </si>
  <si>
    <t>ac42b841</t>
  </si>
  <si>
    <t>e4b3e7cb</t>
  </si>
  <si>
    <t>a5d48353</t>
  </si>
  <si>
    <t>8028ca07</t>
  </si>
  <si>
    <t>82bd69d4</t>
  </si>
  <si>
    <t>43bc4385</t>
  </si>
  <si>
    <t>0d91e6c3</t>
  </si>
  <si>
    <t>cbb06496</t>
  </si>
  <si>
    <t>2558ecb8</t>
  </si>
  <si>
    <t>d4a336b0</t>
  </si>
  <si>
    <t>35e8986a</t>
  </si>
  <si>
    <t>58f5f875</t>
  </si>
  <si>
    <t>851137b2</t>
  </si>
  <si>
    <t>8b36927f</t>
  </si>
  <si>
    <t>c37467dd</t>
  </si>
  <si>
    <t>4524aa98</t>
  </si>
  <si>
    <t>dbf92a30</t>
  </si>
  <si>
    <t>83f4ae53</t>
  </si>
  <si>
    <t>03406c04</t>
  </si>
  <si>
    <t>38f26285</t>
  </si>
  <si>
    <t>e8dc59fb</t>
  </si>
  <si>
    <t>dddc93cb</t>
  </si>
  <si>
    <t>64c92b5b</t>
  </si>
  <si>
    <t>bf98d36e</t>
  </si>
  <si>
    <t>8f3a3796</t>
  </si>
  <si>
    <t>974bfa13</t>
  </si>
  <si>
    <t>246fea7a</t>
  </si>
  <si>
    <t>c27f3fe1</t>
  </si>
  <si>
    <t>8ab90578</t>
  </si>
  <si>
    <t>7c65835e</t>
  </si>
  <si>
    <t>9595ee15</t>
  </si>
  <si>
    <t>423e7ee3</t>
  </si>
  <si>
    <t>e48e90a6</t>
  </si>
  <si>
    <t>20bf622a</t>
  </si>
  <si>
    <t>aa3ad372</t>
  </si>
  <si>
    <t>cb705e42</t>
  </si>
  <si>
    <t>Lundi , Mardi , Mercredi , Vendredi , Samedi</t>
  </si>
  <si>
    <t>1dbaa9b9</t>
  </si>
  <si>
    <t>96c151f4</t>
  </si>
  <si>
    <t>910e9bc2</t>
  </si>
  <si>
    <t>98175c97</t>
  </si>
  <si>
    <t>7490a843</t>
  </si>
  <si>
    <t>7333ada1</t>
  </si>
  <si>
    <t>43aaad9d</t>
  </si>
  <si>
    <t>1de8c283</t>
  </si>
  <si>
    <t>fe9d5184</t>
  </si>
  <si>
    <t>78ac1fb3</t>
  </si>
  <si>
    <t>fc85eed0</t>
  </si>
  <si>
    <t>17e2f8e3</t>
  </si>
  <si>
    <t>690d2ca8</t>
  </si>
  <si>
    <t>0f723229</t>
  </si>
  <si>
    <t>7d4a7f64</t>
  </si>
  <si>
    <t>d32a3924</t>
  </si>
  <si>
    <t>1f500f24</t>
  </si>
  <si>
    <t>e20427b9</t>
  </si>
  <si>
    <t>d4ac4005</t>
  </si>
  <si>
    <t>0eda0264</t>
  </si>
  <si>
    <t>e475f0f3</t>
  </si>
  <si>
    <t>a0ab3088</t>
  </si>
  <si>
    <t>711446aa</t>
  </si>
  <si>
    <t>b8fbaa7d</t>
  </si>
  <si>
    <t>7587ea96</t>
  </si>
  <si>
    <t>697e99fe</t>
  </si>
  <si>
    <t>6b430db2</t>
  </si>
  <si>
    <t>78d51a3b</t>
  </si>
  <si>
    <t>04b13f98</t>
  </si>
  <si>
    <t>50aac720</t>
  </si>
  <si>
    <t>911ab43d</t>
  </si>
  <si>
    <t>366786f8</t>
  </si>
  <si>
    <t>f26223cd</t>
  </si>
  <si>
    <t>2c06efe8</t>
  </si>
  <si>
    <t>b55ab923</t>
  </si>
  <si>
    <t>d5a707cd</t>
  </si>
  <si>
    <t>c2341a0c</t>
  </si>
  <si>
    <t>58d3af43</t>
  </si>
  <si>
    <t>50578fec</t>
  </si>
  <si>
    <t>2fe763b6</t>
  </si>
  <si>
    <t>876bac8c</t>
  </si>
  <si>
    <t>3f04e400</t>
  </si>
  <si>
    <t>8b95ee7f</t>
  </si>
  <si>
    <t>aab536ee</t>
  </si>
  <si>
    <t>c03166b1</t>
  </si>
  <si>
    <t>Lundi , Samedi , Dimanche</t>
  </si>
  <si>
    <t>26ecf3ec</t>
  </si>
  <si>
    <t>bfa5e4ea</t>
  </si>
  <si>
    <t>83c32e00</t>
  </si>
  <si>
    <t>c793db52</t>
  </si>
  <si>
    <t>ebfa0323</t>
  </si>
  <si>
    <t>138d6dd4</t>
  </si>
  <si>
    <t>0cbb1e23</t>
  </si>
  <si>
    <t>258ae6ce</t>
  </si>
  <si>
    <t>104667a8</t>
  </si>
  <si>
    <t>70dd1c37</t>
  </si>
  <si>
    <t>3f572912</t>
  </si>
  <si>
    <t>591d99c7</t>
  </si>
  <si>
    <t>8bd1e177</t>
  </si>
  <si>
    <t>1a3e0ef9</t>
  </si>
  <si>
    <t>aa638f8c</t>
  </si>
  <si>
    <t>3195d74c</t>
  </si>
  <si>
    <t>47ea05a3</t>
  </si>
  <si>
    <t>53c4077b</t>
  </si>
  <si>
    <t>0c23a214</t>
  </si>
  <si>
    <t>f1e352f6</t>
  </si>
  <si>
    <t>0a822c22</t>
  </si>
  <si>
    <t>e999b445</t>
  </si>
  <si>
    <t>36100817</t>
  </si>
  <si>
    <t>4baba985</t>
  </si>
  <si>
    <t>5ca7a5b4</t>
  </si>
  <si>
    <t>eabaf202</t>
  </si>
  <si>
    <t>e5fcb760</t>
  </si>
  <si>
    <t>239295d5</t>
  </si>
  <si>
    <t>6988a97f</t>
  </si>
  <si>
    <t>ff28d46d</t>
  </si>
  <si>
    <t>7cb4106c</t>
  </si>
  <si>
    <t>47b8d155</t>
  </si>
  <si>
    <t>29c61f6b</t>
  </si>
  <si>
    <t>bd78d177</t>
  </si>
  <si>
    <t>2f4d0614</t>
  </si>
  <si>
    <t>70f35c76</t>
  </si>
  <si>
    <t>c3edc32e</t>
  </si>
  <si>
    <t>72a14a65</t>
  </si>
  <si>
    <t>eb65c84e</t>
  </si>
  <si>
    <t>aa372596</t>
  </si>
  <si>
    <t>9b3b47ee</t>
  </si>
  <si>
    <t>bd82784d</t>
  </si>
  <si>
    <t>3ed18b7a</t>
  </si>
  <si>
    <t>7a493b16</t>
  </si>
  <si>
    <t>0e3ed0a6</t>
  </si>
  <si>
    <t>ac598d23</t>
  </si>
  <si>
    <t>b18ca94f</t>
  </si>
  <si>
    <t>6f23ca68</t>
  </si>
  <si>
    <t>80b59fec</t>
  </si>
  <si>
    <t>a3375239</t>
  </si>
  <si>
    <t>7e1926e0</t>
  </si>
  <si>
    <t>e4747664</t>
  </si>
  <si>
    <t>28e704a3</t>
  </si>
  <si>
    <t>bad9bbc5</t>
  </si>
  <si>
    <t>74a4c871</t>
  </si>
  <si>
    <t>50ea5869</t>
  </si>
  <si>
    <t>Id</t>
  </si>
  <si>
    <t>View_name</t>
  </si>
  <si>
    <t>display name</t>
  </si>
  <si>
    <t>image</t>
  </si>
  <si>
    <t>description</t>
  </si>
  <si>
    <t>App ID</t>
  </si>
  <si>
    <t>57bda9b2</t>
  </si>
  <si>
    <t>Bertel</t>
  </si>
  <si>
    <t>Launcher_Images/57bda9b2.image.081618.png</t>
  </si>
  <si>
    <t>Recherches sur le territoire</t>
  </si>
  <si>
    <t>BertelManagerBeta-2149577</t>
  </si>
  <si>
    <t>a4eb15f4</t>
  </si>
  <si>
    <t>Ajouter un Etablissement</t>
  </si>
  <si>
    <t>Launcher_Images/a4eb15f4.image.085650.png</t>
  </si>
  <si>
    <t>Pour ajouter un nouvel établissement: 
Choisissez un préstataires existant ou créer en un nouveau .</t>
  </si>
  <si>
    <t>ef05f855</t>
  </si>
  <si>
    <t>DB</t>
  </si>
  <si>
    <t>Visite Manager</t>
  </si>
  <si>
    <t>Launcher_Images/ef05f855.image.084223.png</t>
  </si>
  <si>
    <t>Prise de rendez-vous et gestion des visites</t>
  </si>
  <si>
    <t>VisteManager-2149577</t>
  </si>
  <si>
    <t>0f9bf6f8</t>
  </si>
  <si>
    <t>Carte</t>
  </si>
  <si>
    <t>Massifs Manager</t>
  </si>
  <si>
    <t>Launcher_Images/0f9bf6f8.image.084600.png</t>
  </si>
  <si>
    <t>Gestion des massifs</t>
  </si>
  <si>
    <t>MassifManger-2149577</t>
  </si>
  <si>
    <t>5388757b</t>
  </si>
  <si>
    <t>Demandes</t>
  </si>
  <si>
    <t>Demande de matériel informatique</t>
  </si>
  <si>
    <t>Launcher_Images/5388757b.image.113028.jpg</t>
  </si>
  <si>
    <t>Pour faire votre liste au père nöel</t>
  </si>
  <si>
    <t>5c5ead3a-1ba5-4fd3-8195-67cc56f9f0fa</t>
  </si>
  <si>
    <t>4e00d0d8</t>
  </si>
  <si>
    <t>Tous les liens</t>
  </si>
  <si>
    <t>Qr code OTI sud</t>
  </si>
  <si>
    <t>Launcher_Images/4e00d0d8.image.084837.png</t>
  </si>
  <si>
    <t>Fabriquer des QR code personnaliser OTI</t>
  </si>
  <si>
    <t>e96e2f36-c93a-449c-9d28-a3a7ba3663ff</t>
  </si>
  <si>
    <t>3cb11abb</t>
  </si>
  <si>
    <t>Evénements</t>
  </si>
  <si>
    <t>Réservation manager</t>
  </si>
  <si>
    <t>Launcher_Images/3cb11abb.image.080919.png</t>
  </si>
  <si>
    <t>Créer un formulaire de réservation et gérer les réservations</t>
  </si>
  <si>
    <t>30a43548-919e-45a0-a4e3-7e41c56c652d</t>
  </si>
  <si>
    <t>e71ee3d7</t>
  </si>
  <si>
    <t>Fréquentation</t>
  </si>
  <si>
    <t>Launcher_Images/e71ee3d7.image.051922.png</t>
  </si>
  <si>
    <t>Gestion de la fréquentation des BIT</t>
  </si>
  <si>
    <t>3cda71df-60bb-4217-80fc-f65aeb8ed31e</t>
  </si>
  <si>
    <t>9ae10016</t>
  </si>
  <si>
    <t>EtabOpen</t>
  </si>
  <si>
    <t>Launcher_Images/9ae10016.image.104118.jpg</t>
  </si>
  <si>
    <t>L'appli pour gérer les QR code Ousailé</t>
  </si>
  <si>
    <t>Ousaile-2149577</t>
  </si>
  <si>
    <t>8a9b97f5</t>
  </si>
  <si>
    <t>Launcher_Images/8a9b97f5.image.090416.png</t>
  </si>
  <si>
    <t>App pour mettre à jour la fréquentation</t>
  </si>
  <si>
    <t>Img_id</t>
  </si>
  <si>
    <t>Path</t>
  </si>
  <si>
    <t>main_Pic</t>
  </si>
  <si>
    <t>Description</t>
  </si>
  <si>
    <t>dc9facdf</t>
  </si>
  <si>
    <t>https://ryycrdhlkmzpxwwwwupy.supabase.co/storage/v1/object/public/old_media/dc9facdf.Path.220951.jpg</t>
  </si>
  <si>
    <t>Qualitée tourisme !</t>
  </si>
  <si>
    <t>0dde0989</t>
  </si>
  <si>
    <t>https://ryycrdhlkmzpxwwwwupy.supabase.co/storage/v1/object/public/old_media/0dde0989.Path.221010.jpg</t>
  </si>
  <si>
    <t>9d5e3aa0</t>
  </si>
  <si>
    <t>https://ryycrdhlkmzpxwwwwupy.supabase.co/storage/v1/object/public/old_media/9d5e3aa0.Path.154505.jpg</t>
  </si>
  <si>
    <t>826855f7</t>
  </si>
  <si>
    <t>https://ryycrdhlkmzpxwwwwupy.supabase.co/storage/v1/object/public/old_media/826855f7.Path.161307.jpg</t>
  </si>
  <si>
    <t>3b663cce</t>
  </si>
  <si>
    <t>https://ryycrdhlkmzpxwwwwupy.supabase.co/storage/v1/object/public/old_media/3b663cce.Path.161344.jpg</t>
  </si>
  <si>
    <t>3b0fafaa</t>
  </si>
  <si>
    <t>https://ryycrdhlkmzpxwwwwupy.supabase.co/storage/v1/object/public/old_media/3b0fafaa.Path.115610.jpg</t>
  </si>
  <si>
    <t>5d67c1e2</t>
  </si>
  <si>
    <t>https://ryycrdhlkmzpxwwwwupy.supabase.co/storage/v1/object/public/old_media/5d67c1e2.Path.055324.jpg</t>
  </si>
  <si>
    <t>089c21da</t>
  </si>
  <si>
    <t>https://ryycrdhlkmzpxwwwwupy.supabase.co/storage/v1/object/public/old_media/089c21da.Path.055352.jpg</t>
  </si>
  <si>
    <t>08efbe45</t>
  </si>
  <si>
    <t>https://ryycrdhlkmzpxwwwwupy.supabase.co/storage/v1/object/public/old_media/08efbe45.Path.055326.jpg</t>
  </si>
  <si>
    <t>c7fe269d</t>
  </si>
  <si>
    <t>https://ryycrdhlkmzpxwwwwupy.supabase.co/storage/v1/object/public/old_media/c7fe269d.Path.055352.jpg</t>
  </si>
  <si>
    <t>93cfda2c</t>
  </si>
  <si>
    <t>https://ryycrdhlkmzpxwwwwupy.supabase.co/storage/v1/object/public/old_media/93cfda2c.Path.055421.jpg</t>
  </si>
  <si>
    <t>7d8495de</t>
  </si>
  <si>
    <t>https://ryycrdhlkmzpxwwwwupy.supabase.co/storage/v1/object/public/old_media/7d8495de.Path.090337.jpg</t>
  </si>
  <si>
    <t>1f2a34a2</t>
  </si>
  <si>
    <t>https://ryycrdhlkmzpxwwwwupy.supabase.co/storage/v1/object/public/old_media/1f2a34a2.Path.090406.jpg</t>
  </si>
  <si>
    <t>fdd55438</t>
  </si>
  <si>
    <t>https://ryycrdhlkmzpxwwwwupy.supabase.co/storage/v1/object/public/old_media/fdd55438.Path.090435.jpg</t>
  </si>
  <si>
    <t>24f8e447</t>
  </si>
  <si>
    <t>https://ryycrdhlkmzpxwwwwupy.supabase.co/storage/v1/object/public/old_media/24f8e447.Path.090452.jpg</t>
  </si>
  <si>
    <t>4a358074</t>
  </si>
  <si>
    <t>https://ryycrdhlkmzpxwwwwupy.supabase.co/storage/v1/object/public/old_media/4a358074.Path.113804.jpg</t>
  </si>
  <si>
    <t>d930bee3</t>
  </si>
  <si>
    <t>https://ryycrdhlkmzpxwwwwupy.supabase.co/storage/v1/object/public/old_media/d930bee3.Path.113822.jpg</t>
  </si>
  <si>
    <t>13f9fada</t>
  </si>
  <si>
    <t>https://ryycrdhlkmzpxwwwwupy.supabase.co/storage/v1/object/public/old_media/13f9fada.Path.113850.jpg</t>
  </si>
  <si>
    <t>5799c5cb</t>
  </si>
  <si>
    <t>https://ryycrdhlkmzpxwwwwupy.supabase.co/storage/v1/object/public/old_media/5799c5cb.Path.113918.jpg</t>
  </si>
  <si>
    <t>667d9fd4</t>
  </si>
  <si>
    <t>https://ryycrdhlkmzpxwwwwupy.supabase.co/storage/v1/object/public/old_media/667d9fd4.Path.072832.jpg</t>
  </si>
  <si>
    <t>740456d9</t>
  </si>
  <si>
    <t>https://ryycrdhlkmzpxwwwwupy.supabase.co/storage/v1/object/public/old_media/740456d9.Path.050355.jpg</t>
  </si>
  <si>
    <t>c985f1d4</t>
  </si>
  <si>
    <t>https://ryycrdhlkmzpxwwwwupy.supabase.co/storage/v1/object/public/old_media/c985f1d4.Path.050534.jpg</t>
  </si>
  <si>
    <t>bd0d8832</t>
  </si>
  <si>
    <t>https://ryycrdhlkmzpxwwwwupy.supabase.co/storage/v1/object/public/old_media/bd0d8832.Path.050551.jpg</t>
  </si>
  <si>
    <t>093fbda0</t>
  </si>
  <si>
    <t>https://ryycrdhlkmzpxwwwwupy.supabase.co/storage/v1/object/public/old_media/093fbda0.Path.112146.jpg</t>
  </si>
  <si>
    <t>1195402e</t>
  </si>
  <si>
    <t>https://ryycrdhlkmzpxwwwwupy.supabase.co/storage/v1/object/public/old_media/1195402e.Path.112211.jpg</t>
  </si>
  <si>
    <t>1aabf7e0</t>
  </si>
  <si>
    <t>https://ryycrdhlkmzpxwwwwupy.supabase.co/storage/v1/object/public/old_media/1aabf7e0.Path.112351.jpg</t>
  </si>
  <si>
    <t>73cd5537</t>
  </si>
  <si>
    <t>https://ryycrdhlkmzpxwwwwupy.supabase.co/storage/v1/object/public/old_media/73cd5537.Path.112427.jpg</t>
  </si>
  <si>
    <t>45f043f3</t>
  </si>
  <si>
    <t>https://ryycrdhlkmzpxwwwwupy.supabase.co/storage/v1/object/public/old_media/45f043f3.Path.112447.jpg</t>
  </si>
  <si>
    <t>7794b098</t>
  </si>
  <si>
    <t>https://ryycrdhlkmzpxwwwwupy.supabase.co/storage/v1/object/public/old_media/7794b098.Path.112700.jpg</t>
  </si>
  <si>
    <t>150bd2a5</t>
  </si>
  <si>
    <t>https://ryycrdhlkmzpxwwwwupy.supabase.co/storage/v1/object/public/old_media/150bd2a5.Path.112741.jpg</t>
  </si>
  <si>
    <t>21037423</t>
  </si>
  <si>
    <t>https://ryycrdhlkmzpxwwwwupy.supabase.co/storage/v1/object/public/old_media/21037423.Path.112902.jpg</t>
  </si>
  <si>
    <t>6400cbf8</t>
  </si>
  <si>
    <t>https://ryycrdhlkmzpxwwwwupy.supabase.co/storage/v1/object/public/old_media/6400cbf8.Path.065210.jpg</t>
  </si>
  <si>
    <t>6a878171</t>
  </si>
  <si>
    <t>https://ryycrdhlkmzpxwwwwupy.supabase.co/storage/v1/object/public/old_media/6a878171.Path.065857.jpg</t>
  </si>
  <si>
    <t>d9d3a3b9</t>
  </si>
  <si>
    <t>https://ryycrdhlkmzpxwwwwupy.supabase.co/storage/v1/object/public/old_media/d9d3a3b9.Path.073437.jpg</t>
  </si>
  <si>
    <t>0a536023</t>
  </si>
  <si>
    <t>https://ryycrdhlkmzpxwwwwupy.supabase.co/storage/v1/object/public/old_media/0a536023.Path.073609.jpg</t>
  </si>
  <si>
    <t>d50314b7</t>
  </si>
  <si>
    <t>https://ryycrdhlkmzpxwwwwupy.supabase.co/storage/v1/object/public/old_media/d50314b7.Path.075251.jpg</t>
  </si>
  <si>
    <t>3ff88f27</t>
  </si>
  <si>
    <t>https://ryycrdhlkmzpxwwwwupy.supabase.co/storage/v1/object/public/old_media/3ff88f27.Path.050648.jpg</t>
  </si>
  <si>
    <t>9d587442</t>
  </si>
  <si>
    <t>https://ryycrdhlkmzpxwwwwupy.supabase.co/storage/v1/object/public/old_media/9d587442.Path.064712.jpg</t>
  </si>
  <si>
    <t>639d60bc</t>
  </si>
  <si>
    <t>https://ryycrdhlkmzpxwwwwupy.supabase.co/storage/v1/object/public/old_media/639d60bc.Path.064721.jpg</t>
  </si>
  <si>
    <t>b2db31bf</t>
  </si>
  <si>
    <t>https://ryycrdhlkmzpxwwwwupy.supabase.co/storage/v1/object/public/old_media/b2db31bf.Path.061654.jpg</t>
  </si>
  <si>
    <t>a4915413</t>
  </si>
  <si>
    <t>https://ryycrdhlkmzpxwwwwupy.supabase.co/storage/v1/object/public/old_media/a4915413.Path.061702.jpg</t>
  </si>
  <si>
    <t>a87af688</t>
  </si>
  <si>
    <t>https://ryycrdhlkmzpxwwwwupy.supabase.co/storage/v1/object/public/old_media/a87af688.Path.091954.jpg</t>
  </si>
  <si>
    <t>6b7f71e9</t>
  </si>
  <si>
    <t>https://ryycrdhlkmzpxwwwwupy.supabase.co/storage/v1/object/public/old_media/6b7f71e9.Path.092727.jpg</t>
  </si>
  <si>
    <t>17dfc5b3</t>
  </si>
  <si>
    <t>https://ryycrdhlkmzpxwwwwupy.supabase.co/storage/v1/object/public/old_media/17dfc5b3.Path.060358.jpg</t>
  </si>
  <si>
    <t>39cb45c1</t>
  </si>
  <si>
    <t>https://ryycrdhlkmzpxwwwwupy.supabase.co/storage/v1/object/public/old_media/39cb45c1.Path.060701.jpg</t>
  </si>
  <si>
    <t>dd788e5a</t>
  </si>
  <si>
    <t>https://ryycrdhlkmzpxwwwwupy.supabase.co/storage/v1/object/public/old_media/dd788e5a.Path.060836.jpg</t>
  </si>
  <si>
    <t>d2e147da</t>
  </si>
  <si>
    <t>https://ryycrdhlkmzpxwwwwupy.supabase.co/storage/v1/object/public/old_media/d2e147da.Path.065929.jpg</t>
  </si>
  <si>
    <t>b2de3eb7</t>
  </si>
  <si>
    <t>https://ryycrdhlkmzpxwwwwupy.supabase.co/storage/v1/object/public/old_media/b2de3eb7.Path.070150.jpg</t>
  </si>
  <si>
    <t>8b3efa52</t>
  </si>
  <si>
    <t>https://ryycrdhlkmzpxwwwwupy.supabase.co/storage/v1/object/public/old_media/8b3efa52.Path.070322.jpg</t>
  </si>
  <si>
    <t>450bca95</t>
  </si>
  <si>
    <t>https://ryycrdhlkmzpxwwwwupy.supabase.co/storage/v1/object/public/old_media/450bca95.Path.082758.jpg</t>
  </si>
  <si>
    <t>3e8b82f6</t>
  </si>
  <si>
    <t>https://ryycrdhlkmzpxwwwwupy.supabase.co/storage/v1/object/public/old_media/3e8b82f6.Path.082856.jpg</t>
  </si>
  <si>
    <t>aceeda9f</t>
  </si>
  <si>
    <t>https://ryycrdhlkmzpxwwwwupy.supabase.co/storage/v1/object/public/old_media/aceeda9f.Path.073001.jpg</t>
  </si>
  <si>
    <t>ef6fac9a</t>
  </si>
  <si>
    <t>https://ryycrdhlkmzpxwwwwupy.supabase.co/storage/v1/object/public/old_media/ef6fac9a.Path.073018.jpg</t>
  </si>
  <si>
    <t>66463f71</t>
  </si>
  <si>
    <t>https://ryycrdhlkmzpxwwwwupy.supabase.co/storage/v1/object/public/old_media/66463f71.Path.073027.jpg</t>
  </si>
  <si>
    <t>094c1f9d</t>
  </si>
  <si>
    <t>https://ryycrdhlkmzpxwwwwupy.supabase.co/storage/v1/object/public/old_media/094c1f9d.Path.073035.jpg</t>
  </si>
  <si>
    <t>3bd41f60</t>
  </si>
  <si>
    <t>https://ryycrdhlkmzpxwwwwupy.supabase.co/storage/v1/object/public/old_media/3bd41f60.Path.073042.jpg</t>
  </si>
  <si>
    <t>01b161fa</t>
  </si>
  <si>
    <t>https://ryycrdhlkmzpxwwwwupy.supabase.co/storage/v1/object/public/old_media/01b161fa.Path.073059.jpg</t>
  </si>
  <si>
    <t>e04ad986</t>
  </si>
  <si>
    <t>https://ryycrdhlkmzpxwwwwupy.supabase.co/storage/v1/object/public/old_media/e04ad986.Path.073108.jpg</t>
  </si>
  <si>
    <t>e2328e3f</t>
  </si>
  <si>
    <t>https://ryycrdhlkmzpxwwwwupy.supabase.co/storage/v1/object/public/old_media/e2328e3f.Path.073116.jpg</t>
  </si>
  <si>
    <t>00d55979</t>
  </si>
  <si>
    <t>https://ryycrdhlkmzpxwwwwupy.supabase.co/storage/v1/object/public/old_media/00d55979.Path.073441.jpg</t>
  </si>
  <si>
    <t>2b4ede87</t>
  </si>
  <si>
    <t>https://ryycrdhlkmzpxwwwwupy.supabase.co/storage/v1/object/public/old_media/2b4ede87.Path.073502.jpg</t>
  </si>
  <si>
    <t>8d513eb0</t>
  </si>
  <si>
    <t>https://ryycrdhlkmzpxwwwwupy.supabase.co/storage/v1/object/public/old_media/8d513eb0.Path.073526.jpg</t>
  </si>
  <si>
    <t>98642af1</t>
  </si>
  <si>
    <t>https://ryycrdhlkmzpxwwwwupy.supabase.co/storage/v1/object/public/old_media/98642af1.Path.073546.jpg</t>
  </si>
  <si>
    <t>c09bdda2</t>
  </si>
  <si>
    <t>https://ryycrdhlkmzpxwwwwupy.supabase.co/storage/v1/object/public/old_media/c09bdda2.Path.073556.jpg</t>
  </si>
  <si>
    <t>fd52e5c8</t>
  </si>
  <si>
    <t>https://ryycrdhlkmzpxwwwwupy.supabase.co/storage/v1/object/public/old_media/fd52e5c8.Path.100255.jpg</t>
  </si>
  <si>
    <t>33c925d3</t>
  </si>
  <si>
    <t>https://ryycrdhlkmzpxwwwwupy.supabase.co/storage/v1/object/public/old_media/33c925d3.Path.100238.jpg</t>
  </si>
  <si>
    <t>a254fb3c</t>
  </si>
  <si>
    <t>https://ryycrdhlkmzpxwwwwupy.supabase.co/storage/v1/object/public/old_media/a254fb3c.Path.053053.jpg</t>
  </si>
  <si>
    <t>6c8e61cc</t>
  </si>
  <si>
    <t>https://ryycrdhlkmzpxwwwwupy.supabase.co/storage/v1/object/public/old_media/6c8e61cc.Path.053112.jpg</t>
  </si>
  <si>
    <t>e49c4c49</t>
  </si>
  <si>
    <t>https://ryycrdhlkmzpxwwwwupy.supabase.co/storage/v1/object/public/old_media/e49c4c49.Path.053128.jpg</t>
  </si>
  <si>
    <t>5936911f</t>
  </si>
  <si>
    <t>https://ryycrdhlkmzpxwwwwupy.supabase.co/storage/v1/object/public/old_media/5936911f.Path.053145.jpg</t>
  </si>
  <si>
    <t>c6011758</t>
  </si>
  <si>
    <t>https://ryycrdhlkmzpxwwwwupy.supabase.co/storage/v1/object/public/old_media/c6011758.Path.064154.jpg</t>
  </si>
  <si>
    <t>797cbc50</t>
  </si>
  <si>
    <t>https://ryycrdhlkmzpxwwwwupy.supabase.co/storage/v1/object/public/old_media/797cbc50.Path.064214.jpg</t>
  </si>
  <si>
    <t>05ba4cd0</t>
  </si>
  <si>
    <t>https://ryycrdhlkmzpxwwwwupy.supabase.co/storage/v1/object/public/old_media/05ba4cd0.Path.064231.jpg</t>
  </si>
  <si>
    <t>69000d5d</t>
  </si>
  <si>
    <t>https://ryycrdhlkmzpxwwwwupy.supabase.co/storage/v1/object/public/old_media/69000d5d.Path.064237.jpg</t>
  </si>
  <si>
    <t>ed9f09d9</t>
  </si>
  <si>
    <t>https://ryycrdhlkmzpxwwwwupy.supabase.co/storage/v1/object/public/old_media/ed9f09d9.Path.064300.jpg</t>
  </si>
  <si>
    <t>c9f6b036</t>
  </si>
  <si>
    <t>https://ryycrdhlkmzpxwwwwupy.supabase.co/storage/v1/object/public/old_media/c9f6b036.Path.064306.jpg</t>
  </si>
  <si>
    <t>3fc05175</t>
  </si>
  <si>
    <t>https://ryycrdhlkmzpxwwwwupy.supabase.co/storage/v1/object/public/old_media/3fc05175.Path.074839.jpg</t>
  </si>
  <si>
    <t>b3f2acf9</t>
  </si>
  <si>
    <t>https://ryycrdhlkmzpxwwwwupy.supabase.co/storage/v1/object/public/old_media/b3f2acf9.Path.074854.jpg</t>
  </si>
  <si>
    <t>656a7ebf</t>
  </si>
  <si>
    <t>https://ryycrdhlkmzpxwwwwupy.supabase.co/storage/v1/object/public/old_media/656a7ebf.Path.074952.jpg</t>
  </si>
  <si>
    <t>3fdfd2f8</t>
  </si>
  <si>
    <t>https://ryycrdhlkmzpxwwwwupy.supabase.co/storage/v1/object/public/old_media/3fdfd2f8.Path.075003.jpg</t>
  </si>
  <si>
    <t>5a7fddcb</t>
  </si>
  <si>
    <t>https://ryycrdhlkmzpxwwwwupy.supabase.co/storage/v1/object/public/old_media/5a7fddcb.Path.075020.jpg</t>
  </si>
  <si>
    <t>a478caaa</t>
  </si>
  <si>
    <t>https://ryycrdhlkmzpxwwwwupy.supabase.co/storage/v1/object/public/old_media/a478caaa.Path.075515.jpg</t>
  </si>
  <si>
    <t>f5b1b9be</t>
  </si>
  <si>
    <t>https://ryycrdhlkmzpxwwwwupy.supabase.co/storage/v1/object/public/old_media/f5b1b9be.Path.075531.jpg</t>
  </si>
  <si>
    <t>ddbbf629</t>
  </si>
  <si>
    <t>https://ryycrdhlkmzpxwwwwupy.supabase.co/storage/v1/object/public/old_media/ddbbf629.Path.075547.jpg</t>
  </si>
  <si>
    <t>11bb3f76</t>
  </si>
  <si>
    <t>https://ryycrdhlkmzpxwwwwupy.supabase.co/storage/v1/object/public/old_media/11bb3f76.Path.075603.jpg</t>
  </si>
  <si>
    <t>07fe660c</t>
  </si>
  <si>
    <t>https://ryycrdhlkmzpxwwwwupy.supabase.co/storage/v1/object/public/old_media/07fe660c.Path.055826.png</t>
  </si>
  <si>
    <t>Vue d'ensemble, à l'entrée principale</t>
  </si>
  <si>
    <t>e7c98ae0</t>
  </si>
  <si>
    <t>https://ryycrdhlkmzpxwwwwupy.supabase.co/storage/v1/object/public/old_media/e7c98ae0.Path.053312.jpg</t>
  </si>
  <si>
    <t>864d8f63</t>
  </si>
  <si>
    <t>https://ryycrdhlkmzpxwwwwupy.supabase.co/storage/v1/object/public/old_media/864d8f63.Path.053514.jpg</t>
  </si>
  <si>
    <t>cf51687c</t>
  </si>
  <si>
    <t>https://ryycrdhlkmzpxwwwwupy.supabase.co/storage/v1/object/public/old_media/cf51687c.Path.053558.jpg</t>
  </si>
  <si>
    <t>ce98f39a</t>
  </si>
  <si>
    <t>https://ryycrdhlkmzpxwwwwupy.supabase.co/storage/v1/object/public/old_media/ce98f39a.Path.054252.jpg</t>
  </si>
  <si>
    <t>2e68f445</t>
  </si>
  <si>
    <t>https://ryycrdhlkmzpxwwwwupy.supabase.co/storage/v1/object/public/old_media/2e68f445.Path.054758.jpg</t>
  </si>
  <si>
    <t>1b0f90fa</t>
  </si>
  <si>
    <t>https://ryycrdhlkmzpxwwwwupy.supabase.co/storage/v1/object/public/old_media/1b0f90fa.Path.120443.jpg</t>
  </si>
  <si>
    <t>5eddc61e</t>
  </si>
  <si>
    <t>https://ryycrdhlkmzpxwwwwupy.supabase.co/storage/v1/object/public/old_media/5eddc61e.Path.060940.jpg</t>
  </si>
  <si>
    <t>50fa0e5e</t>
  </si>
  <si>
    <t>https://ryycrdhlkmzpxwwwwupy.supabase.co/storage/v1/object/public/old_media/50fa0e5e.Path.060946.jpg</t>
  </si>
  <si>
    <t>cecbf78f</t>
  </si>
  <si>
    <t>https://ryycrdhlkmzpxwwwwupy.supabase.co/storage/v1/object/public/old_media/cecbf78f.Path.061005.jpg</t>
  </si>
  <si>
    <t>5e44f3bb</t>
  </si>
  <si>
    <t>https://ryycrdhlkmzpxwwwwupy.supabase.co/storage/v1/object/public/old_media/5e44f3bb.Path.094216.jpg</t>
  </si>
  <si>
    <t>98c4e7dd</t>
  </si>
  <si>
    <t>https://ryycrdhlkmzpxwwwwupy.supabase.co/storage/v1/object/public/old_media/98c4e7dd.Path.094303.jpg</t>
  </si>
  <si>
    <t>8a654c64</t>
  </si>
  <si>
    <t>https://ryycrdhlkmzpxwwwwupy.supabase.co/storage/v1/object/public/old_media/8a654c64.Path.094313.jpg</t>
  </si>
  <si>
    <t>6ae9d0b0</t>
  </si>
  <si>
    <t>https://ryycrdhlkmzpxwwwwupy.supabase.co/storage/v1/object/public/old_media/6ae9d0b0.Path.094320.jpg</t>
  </si>
  <si>
    <t>deee63f6</t>
  </si>
  <si>
    <t>https://ryycrdhlkmzpxwwwwupy.supabase.co/storage/v1/object/public/old_media/deee63f6.Path.094338.jpg</t>
  </si>
  <si>
    <t>119cef51</t>
  </si>
  <si>
    <t>https://ryycrdhlkmzpxwwwwupy.supabase.co/storage/v1/object/public/old_media/119cef51.Path.101026.jpg</t>
  </si>
  <si>
    <t>e067dadc</t>
  </si>
  <si>
    <t>https://ryycrdhlkmzpxwwwwupy.supabase.co/storage/v1/object/public/old_media/e067dadc.Path.101054.jpg</t>
  </si>
  <si>
    <t>607a735c</t>
  </si>
  <si>
    <t>https://ryycrdhlkmzpxwwwwupy.supabase.co/storage/v1/object/public/old_media/607a735c.Path.101124.jpg</t>
  </si>
  <si>
    <t>27865fec</t>
  </si>
  <si>
    <t>https://ryycrdhlkmzpxwwwwupy.supabase.co/storage/v1/object/public/old_media/27865fec.Path.101132.jpg</t>
  </si>
  <si>
    <t>7b3927e6</t>
  </si>
  <si>
    <t>https://ryycrdhlkmzpxwwwwupy.supabase.co/storage/v1/object/public/old_media/7b3927e6.Path.101139.jpg</t>
  </si>
  <si>
    <t>fe3b49f1</t>
  </si>
  <si>
    <t>https://ryycrdhlkmzpxwwwwupy.supabase.co/storage/v1/object/public/old_media/fe3b49f1.Path.101501.jpg</t>
  </si>
  <si>
    <t>8349cddb</t>
  </si>
  <si>
    <t>https://ryycrdhlkmzpxwwwwupy.supabase.co/storage/v1/object/public/old_media/8349cddb.Path.101510.jpg</t>
  </si>
  <si>
    <t>be441890</t>
  </si>
  <si>
    <t>https://ryycrdhlkmzpxwwwwupy.supabase.co/storage/v1/object/public/old_media/be441890.Path.101518.jpg</t>
  </si>
  <si>
    <t>81aa1267</t>
  </si>
  <si>
    <t>https://ryycrdhlkmzpxwwwwupy.supabase.co/storage/v1/object/public/old_media/81aa1267.Path.100030.png</t>
  </si>
  <si>
    <t>121f9313</t>
  </si>
  <si>
    <t>https://ryycrdhlkmzpxwwwwupy.supabase.co/storage/v1/object/public/old_media/121f9313.Path.100106.png</t>
  </si>
  <si>
    <t>b60114ce</t>
  </si>
  <si>
    <t>https://ryycrdhlkmzpxwwwwupy.supabase.co/storage/v1/object/public/old_media/b60114ce.Path.100139.png</t>
  </si>
  <si>
    <t>60ec26d5</t>
  </si>
  <si>
    <t>https://ryycrdhlkmzpxwwwwupy.supabase.co/storage/v1/object/public/old_media/60ec26d5.Path.100211.png</t>
  </si>
  <si>
    <t>a12853c5</t>
  </si>
  <si>
    <t>https://ryycrdhlkmzpxwwwwupy.supabase.co/storage/v1/object/public/old_media/a12853c5.Path.100425.png</t>
  </si>
  <si>
    <t>d6edca37</t>
  </si>
  <si>
    <t>https://ryycrdhlkmzpxwwwwupy.supabase.co/storage/v1/object/public/old_media/d6edca37.Path.104454.jpg</t>
  </si>
  <si>
    <t>c4daffa6</t>
  </si>
  <si>
    <t>https://ryycrdhlkmzpxwwwwupy.supabase.co/storage/v1/object/public/old_media/c4daffa6.Path.104534.jpg</t>
  </si>
  <si>
    <t>e1034db6</t>
  </si>
  <si>
    <t>https://ryycrdhlkmzpxwwwwupy.supabase.co/storage/v1/object/public/old_media/e1034db6.Path.104602.jpg</t>
  </si>
  <si>
    <t>9199492c</t>
  </si>
  <si>
    <t>https://ryycrdhlkmzpxwwwwupy.supabase.co/storage/v1/object/public/old_media/9199492c.Path.104720.jpg</t>
  </si>
  <si>
    <t>1cf393f2</t>
  </si>
  <si>
    <t>https://ryycrdhlkmzpxwwwwupy.supabase.co/storage/v1/object/public/old_media/1cf393f2.Path.095203.jpg</t>
  </si>
  <si>
    <t>bfb99c3b</t>
  </si>
  <si>
    <t>https://ryycrdhlkmzpxwwwwupy.supabase.co/storage/v1/object/public/old_media/bfb99c3b.Path.095324.jpg</t>
  </si>
  <si>
    <t>4b2e407e</t>
  </si>
  <si>
    <t>https://ryycrdhlkmzpxwwwwupy.supabase.co/storage/v1/object/public/old_media/4b2e407e.Path.095432.jpg</t>
  </si>
  <si>
    <t>7ed92638</t>
  </si>
  <si>
    <t>https://ryycrdhlkmzpxwwwwupy.supabase.co/storage/v1/object/public/old_media/7ed92638.Path.104856.jpg</t>
  </si>
  <si>
    <t>37497b16</t>
  </si>
  <si>
    <t>https://ryycrdhlkmzpxwwwwupy.supabase.co/storage/v1/object/public/old_media/37497b16.Path.104907.png</t>
  </si>
  <si>
    <t>b3d6eee0</t>
  </si>
  <si>
    <t>https://ryycrdhlkmzpxwwwwupy.supabase.co/storage/v1/object/public/old_media/b3d6eee0.Path.104940.jpg</t>
  </si>
  <si>
    <t>ac3163ce</t>
  </si>
  <si>
    <t>https://ryycrdhlkmzpxwwwwupy.supabase.co/storage/v1/object/public/old_media/ac3163ce.Path.104956.jpg</t>
  </si>
  <si>
    <t>75f7b940</t>
  </si>
  <si>
    <t>https://ryycrdhlkmzpxwwwwupy.supabase.co/storage/v1/object/public/old_media/75f7b940.Path.105054.jpg</t>
  </si>
  <si>
    <t>6ff1207e</t>
  </si>
  <si>
    <t>https://ryycrdhlkmzpxwwwwupy.supabase.co/storage/v1/object/public/old_media/6ff1207e.Path.070128.png</t>
  </si>
  <si>
    <t>a24f67dd</t>
  </si>
  <si>
    <t>https://ryycrdhlkmzpxwwwwupy.supabase.co/storage/v1/object/public/old_media/a24f67dd.Path.070142.png</t>
  </si>
  <si>
    <t>35080874</t>
  </si>
  <si>
    <t>https://ryycrdhlkmzpxwwwwupy.supabase.co/storage/v1/object/public/old_media/35080874.Path.070151.png</t>
  </si>
  <si>
    <t>790b999a</t>
  </si>
  <si>
    <t>https://ryycrdhlkmzpxwwwwupy.supabase.co/storage/v1/object/public/old_media/790b999a.Path.070834.png</t>
  </si>
  <si>
    <t>29daf50a</t>
  </si>
  <si>
    <t>https://ryycrdhlkmzpxwwwwupy.supabase.co/storage/v1/object/public/old_media/29daf50a.Path.070902.png</t>
  </si>
  <si>
    <t>91cb7b4e</t>
  </si>
  <si>
    <t>https://ryycrdhlkmzpxwwwwupy.supabase.co/storage/v1/object/public/old_media/91cb7b4e.Path.163047.jpg</t>
  </si>
  <si>
    <t>d7c3323b</t>
  </si>
  <si>
    <t>https://ryycrdhlkmzpxwwwwupy.supabase.co/storage/v1/object/public/old_media/d7c3323b.Path.163056.jpg</t>
  </si>
  <si>
    <t>a02386bc</t>
  </si>
  <si>
    <t>https://ryycrdhlkmzpxwwwwupy.supabase.co/storage/v1/object/public/old_media/a02386bc.Path.163110.jpg</t>
  </si>
  <si>
    <t>0b9389df</t>
  </si>
  <si>
    <t>https://ryycrdhlkmzpxwwwwupy.supabase.co/storage/v1/object/public/old_media/0b9389df.Path.163119.jpg</t>
  </si>
  <si>
    <t>c186a8e4</t>
  </si>
  <si>
    <t>https://ryycrdhlkmzpxwwwwupy.supabase.co/storage/v1/object/public/old_media/c186a8e4.Path.163205.jpg</t>
  </si>
  <si>
    <t>f69f4596</t>
  </si>
  <si>
    <t>https://ryycrdhlkmzpxwwwwupy.supabase.co/storage/v1/object/public/old_media/f69f4596.Path.163224.jpg</t>
  </si>
  <si>
    <t>3935f824</t>
  </si>
  <si>
    <t>https://ryycrdhlkmzpxwwwwupy.supabase.co/storage/v1/object/public/old_media/3935f824.Path.163231.jpg</t>
  </si>
  <si>
    <t>3537a835</t>
  </si>
  <si>
    <t>https://ryycrdhlkmzpxwwwwupy.supabase.co/storage/v1/object/public/old_media/3537a835.Path.174221.jpg</t>
  </si>
  <si>
    <t>e321ada6</t>
  </si>
  <si>
    <t>https://ryycrdhlkmzpxwwwwupy.supabase.co/storage/v1/object/public/old_media/e321ada6.Path.174352.jpg</t>
  </si>
  <si>
    <t>ca240445</t>
  </si>
  <si>
    <t>https://ryycrdhlkmzpxwwwwupy.supabase.co/storage/v1/object/public/old_media/ca240445.Path.174521.jpg</t>
  </si>
  <si>
    <t>456257b7</t>
  </si>
  <si>
    <t>https://ryycrdhlkmzpxwwwwupy.supabase.co/storage/v1/object/public/old_media/456257b7.Path.174623.jpg</t>
  </si>
  <si>
    <t>741f595e</t>
  </si>
  <si>
    <t>https://ryycrdhlkmzpxwwwwupy.supabase.co/storage/v1/object/public/old_media/741f595e.Path.174729.jpg</t>
  </si>
  <si>
    <t>18ee09b0</t>
  </si>
  <si>
    <t>https://ryycrdhlkmzpxwwwwupy.supabase.co/storage/v1/object/public/old_media/18ee09b0.Path.174852.jpg</t>
  </si>
  <si>
    <t>fcc9a6ac</t>
  </si>
  <si>
    <t>https://ryycrdhlkmzpxwwwwupy.supabase.co/storage/v1/object/public/old_media/fcc9a6ac.Path.175003.jpg</t>
  </si>
  <si>
    <t>8a4691f2</t>
  </si>
  <si>
    <t>https://ryycrdhlkmzpxwwwwupy.supabase.co/storage/v1/object/public/old_media/8a4691f2.Path.161613.jpg</t>
  </si>
  <si>
    <t>De nouvelles photos seront prises après le stravaux en décembre :) c'est pour une idée</t>
  </si>
  <si>
    <t>1b94736a</t>
  </si>
  <si>
    <t>https://ryycrdhlkmzpxwwwwupy.supabase.co/storage/v1/object/public/old_media/1b94736a.Path.161702.jpg</t>
  </si>
  <si>
    <t>4e971bf4</t>
  </si>
  <si>
    <t>https://ryycrdhlkmzpxwwwwupy.supabase.co/storage/v1/object/public/old_media/4e971bf4.Path.161744.jpg</t>
  </si>
  <si>
    <t>2ab4a15e</t>
  </si>
  <si>
    <t>https://ryycrdhlkmzpxwwwwupy.supabase.co/storage/v1/object/public/old_media/2ab4a15e.Path.161844.jpg</t>
  </si>
  <si>
    <t>17f6b362</t>
  </si>
  <si>
    <t>https://ryycrdhlkmzpxwwwwupy.supabase.co/storage/v1/object/public/old_media/17f6b362.Path.092842.jpg</t>
  </si>
  <si>
    <t>e63ba052</t>
  </si>
  <si>
    <t>https://ryycrdhlkmzpxwwwwupy.supabase.co/storage/v1/object/public/old_media/e63ba052.Path.092940.jpg</t>
  </si>
  <si>
    <t>f24c263a</t>
  </si>
  <si>
    <t>https://ryycrdhlkmzpxwwwwupy.supabase.co/storage/v1/object/public/old_media/f24c263a.Path.093007.png</t>
  </si>
  <si>
    <t>481c3fd6</t>
  </si>
  <si>
    <t>https://ryycrdhlkmzpxwwwwupy.supabase.co/storage/v1/object/public/old_media/481c3fd6.Path.093035.png</t>
  </si>
  <si>
    <t>Le petit déj !</t>
  </si>
  <si>
    <t>a86dd7ef</t>
  </si>
  <si>
    <t>https://ryycrdhlkmzpxwwwwupy.supabase.co/storage/v1/object/public/old_media/a86dd7ef.Path.093049.png</t>
  </si>
  <si>
    <t>Un des 3 chambres</t>
  </si>
  <si>
    <t>a0781cb4</t>
  </si>
  <si>
    <t>https://ryycrdhlkmzpxwwwwupy.supabase.co/storage/v1/object/public/old_media/a0781cb4.Path.093144.jpg</t>
  </si>
  <si>
    <t>On peut y manger des crêpes délicieuses à toute heure presque !</t>
  </si>
  <si>
    <t>fea097d8</t>
  </si>
  <si>
    <t>https://ryycrdhlkmzpxwwwwupy.supabase.co/storage/v1/object/public/old_media/fea097d8.Path.093153.jpg</t>
  </si>
  <si>
    <t>c8d51cda</t>
  </si>
  <si>
    <t>https://ryycrdhlkmzpxwwwwupy.supabase.co/storage/v1/object/public/old_media/c8d51cda.Path.164119.jpg</t>
  </si>
  <si>
    <t>6ea7fa58</t>
  </si>
  <si>
    <t>https://ryycrdhlkmzpxwwwwupy.supabase.co/storage/v1/object/public/old_media/6ea7fa58.Path.164139.png</t>
  </si>
  <si>
    <t>967eb491</t>
  </si>
  <si>
    <t>https://ryycrdhlkmzpxwwwwupy.supabase.co/storage/v1/object/public/old_media/967eb491.Path.170255.jpg</t>
  </si>
  <si>
    <t>0a3eefcb</t>
  </si>
  <si>
    <t>https://ryycrdhlkmzpxwwwwupy.supabase.co/storage/v1/object/public/old_media/0a3eefcb.Path.170350.jpg</t>
  </si>
  <si>
    <t>Caramel beurre salé à tomber par terre ! simple efficace !</t>
  </si>
  <si>
    <t>04859e2f</t>
  </si>
  <si>
    <t>https://ryycrdhlkmzpxwwwwupy.supabase.co/storage/v1/object/public/old_media/04859e2f.Path.170400.jpg</t>
  </si>
  <si>
    <t>Une classique mais il y en a plein d'autres, sans viande, légumes, fromages, avec ou sans salade, la carte est très variée</t>
  </si>
  <si>
    <t>0b61a4dd</t>
  </si>
  <si>
    <t>https://ryycrdhlkmzpxwwwwupy.supabase.co/storage/v1/object/public/old_media/0b61a4dd.Path.062517.jpg</t>
  </si>
  <si>
    <t>e3779ae8</t>
  </si>
  <si>
    <t>https://ryycrdhlkmzpxwwwwupy.supabase.co/storage/v1/object/public/old_media/e3779ae8.Path.062534.jpg</t>
  </si>
  <si>
    <t>8f47b85c</t>
  </si>
  <si>
    <t>https://ryycrdhlkmzpxwwwwupy.supabase.co/storage/v1/object/public/old_media/8f47b85c.Path.062542.jpg</t>
  </si>
  <si>
    <t>f070f4dc</t>
  </si>
  <si>
    <t>https://ryycrdhlkmzpxwwwwupy.supabase.co/storage/v1/object/public/old_media/f070f4dc.Path.062551.jpg</t>
  </si>
  <si>
    <t>78ff0fdf</t>
  </si>
  <si>
    <t>https://ryycrdhlkmzpxwwwwupy.supabase.co/storage/v1/object/public/old_media/78ff0fdf.Path.062559.jpg</t>
  </si>
  <si>
    <t>452ddedf</t>
  </si>
  <si>
    <t>https://ryycrdhlkmzpxwwwwupy.supabase.co/storage/v1/object/public/old_media/452ddedf.Path.110655.png</t>
  </si>
  <si>
    <t>fd5d9685</t>
  </si>
  <si>
    <t>https://ryycrdhlkmzpxwwwwupy.supabase.co/storage/v1/object/public/old_media/fd5d9685.Path.110710.png</t>
  </si>
  <si>
    <t>301a178b</t>
  </si>
  <si>
    <t>https://ryycrdhlkmzpxwwwwupy.supabase.co/storage/v1/object/public/old_media/301a178b.Path.110723.png</t>
  </si>
  <si>
    <t>b66f273b</t>
  </si>
  <si>
    <t>https://ryycrdhlkmzpxwwwwupy.supabase.co/storage/v1/object/public/old_media/b66f273b.Path.110744.png</t>
  </si>
  <si>
    <t>5bec6ef2</t>
  </si>
  <si>
    <t>https://ryycrdhlkmzpxwwwwupy.supabase.co/storage/v1/object/public/old_media/5bec6ef2.Path.110802.png</t>
  </si>
  <si>
    <t>1130b664</t>
  </si>
  <si>
    <t>https://ryycrdhlkmzpxwwwwupy.supabase.co/storage/v1/object/public/old_media/1130b664.Path.041507.jpg</t>
  </si>
  <si>
    <t>afd00edf</t>
  </si>
  <si>
    <t>https://ryycrdhlkmzpxwwwwupy.supabase.co/storage/v1/object/public/old_media/afd00edf.Path.041521.jpg</t>
  </si>
  <si>
    <t>3e09bb50</t>
  </si>
  <si>
    <t>https://ryycrdhlkmzpxwwwwupy.supabase.co/storage/v1/object/public/old_media/3e09bb50.Path.041537.jpg</t>
  </si>
  <si>
    <t>b1c0dbfc</t>
  </si>
  <si>
    <t>https://ryycrdhlkmzpxwwwwupy.supabase.co/storage/v1/object/public/old_media/b1c0dbfc.Path.041548.jpg</t>
  </si>
  <si>
    <t>8dde3fd0</t>
  </si>
  <si>
    <t>https://ryycrdhlkmzpxwwwwupy.supabase.co/storage/v1/object/public/old_media/8dde3fd0.Path.072534.jpg</t>
  </si>
  <si>
    <t>90dd26b2</t>
  </si>
  <si>
    <t>https://ryycrdhlkmzpxwwwwupy.supabase.co/storage/v1/object/public/old_media/90dd26b2.Path.072622.jpg</t>
  </si>
  <si>
    <t>c10608db</t>
  </si>
  <si>
    <t>https://ryycrdhlkmzpxwwwwupy.supabase.co/storage/v1/object/public/old_media/c10608db.Path.072716.jpg</t>
  </si>
  <si>
    <t>0f9ca053</t>
  </si>
  <si>
    <t>https://ryycrdhlkmzpxwwwwupy.supabase.co/storage/v1/object/public/old_media/0f9ca053.Path.072939.jpg</t>
  </si>
  <si>
    <t>b8f7721a</t>
  </si>
  <si>
    <t>https://ryycrdhlkmzpxwwwwupy.supabase.co/storage/v1/object/public/old_media/b8f7721a.Path.092559.jpg</t>
  </si>
  <si>
    <t>4edc0c76</t>
  </si>
  <si>
    <t>https://ryycrdhlkmzpxwwwwupy.supabase.co/storage/v1/object/public/old_media/4edc0c76.Path.092617.jpg</t>
  </si>
  <si>
    <t>a45ca32b</t>
  </si>
  <si>
    <t>https://ryycrdhlkmzpxwwwwupy.supabase.co/storage/v1/object/public/old_media/a45ca32b.Path.092623.jpg</t>
  </si>
  <si>
    <t>ff1f3535</t>
  </si>
  <si>
    <t>https://ryycrdhlkmzpxwwwwupy.supabase.co/storage/v1/object/public/old_media/ff1f3535.Path.092640.jpg</t>
  </si>
  <si>
    <t>2b7e99aa</t>
  </si>
  <si>
    <t>https://ryycrdhlkmzpxwwwwupy.supabase.co/storage/v1/object/public/old_media/2b7e99aa.Path.092701.jpg</t>
  </si>
  <si>
    <t>e93819ff</t>
  </si>
  <si>
    <t>https://ryycrdhlkmzpxwwwwupy.supabase.co/storage/v1/object/public/old_media/e93819ff.Path.092711.jpg</t>
  </si>
  <si>
    <t>e274eb1f</t>
  </si>
  <si>
    <t>https://ryycrdhlkmzpxwwwwupy.supabase.co/storage/v1/object/public/old_media/e274eb1f.Path.092718.jpg</t>
  </si>
  <si>
    <t>3db5a5b6</t>
  </si>
  <si>
    <t>https://ryycrdhlkmzpxwwwwupy.supabase.co/storage/v1/object/public/old_media/3db5a5b6.Path.092726.jpg</t>
  </si>
  <si>
    <t>194503cd</t>
  </si>
  <si>
    <t>https://ryycrdhlkmzpxwwwwupy.supabase.co/storage/v1/object/public/old_media/194503cd.Path.092745.jpg</t>
  </si>
  <si>
    <t>5a2a1ea3</t>
  </si>
  <si>
    <t>https://ryycrdhlkmzpxwwwwupy.supabase.co/storage/v1/object/public/old_media/5a2a1ea3.Path.092752.jpg</t>
  </si>
  <si>
    <t>3ef45333</t>
  </si>
  <si>
    <t>https://ryycrdhlkmzpxwwwwupy.supabase.co/storage/v1/object/public/old_media/3ef45333.Path.092759.jpg</t>
  </si>
  <si>
    <t>03bebd36</t>
  </si>
  <si>
    <t>https://ryycrdhlkmzpxwwwwupy.supabase.co/storage/v1/object/public/old_media/03bebd36.Path.092816.jpg</t>
  </si>
  <si>
    <t>6bf75db0</t>
  </si>
  <si>
    <t>https://ryycrdhlkmzpxwwwwupy.supabase.co/storage/v1/object/public/old_media/6bf75db0.Path.092822.jpg</t>
  </si>
  <si>
    <t>b97c858f</t>
  </si>
  <si>
    <t>https://ryycrdhlkmzpxwwwwupy.supabase.co/storage/v1/object/public/old_media/b97c858f.Path.105826.jpg</t>
  </si>
  <si>
    <t>b99a582b</t>
  </si>
  <si>
    <t>https://ryycrdhlkmzpxwwwwupy.supabase.co/storage/v1/object/public/old_media/b99a582b.Path.084947.jpg</t>
  </si>
  <si>
    <t>83eef16b</t>
  </si>
  <si>
    <t>https://ryycrdhlkmzpxwwwwupy.supabase.co/storage/v1/object/public/old_media/83eef16b.Path.085036.jpg</t>
  </si>
  <si>
    <t>b5a25fd3</t>
  </si>
  <si>
    <t>https://ryycrdhlkmzpxwwwwupy.supabase.co/storage/v1/object/public/old_media/b5a25fd3.Path.085108.jpg</t>
  </si>
  <si>
    <t>ac496f0d</t>
  </si>
  <si>
    <t>https://ryycrdhlkmzpxwwwwupy.supabase.co/storage/v1/object/public/old_media/ac496f0d.Path.085143.jpg</t>
  </si>
  <si>
    <t>6e9efb4d</t>
  </si>
  <si>
    <t>https://ryycrdhlkmzpxwwwwupy.supabase.co/storage/v1/object/public/old_media/6e9efb4d.Path.071837.jpg</t>
  </si>
  <si>
    <t>1162ed64</t>
  </si>
  <si>
    <t>https://ryycrdhlkmzpxwwwwupy.supabase.co/storage/v1/object/public/old_media/1162ed64.Path.071857.jpg</t>
  </si>
  <si>
    <t>e36f8565</t>
  </si>
  <si>
    <t>https://ryycrdhlkmzpxwwwwupy.supabase.co/storage/v1/object/public/old_media/e36f8565.Path.071920.jpg</t>
  </si>
  <si>
    <t>81edb851</t>
  </si>
  <si>
    <t>https://ryycrdhlkmzpxwwwwupy.supabase.co/storage/v1/object/public/old_media/81edb851.Path.072108.png</t>
  </si>
  <si>
    <t>83354f5d</t>
  </si>
  <si>
    <t>https://ryycrdhlkmzpxwwwwupy.supabase.co/storage/v1/object/public/old_media/83354f5d.Path.072115.jpg</t>
  </si>
  <si>
    <t>de2df48a</t>
  </si>
  <si>
    <t>https://ryycrdhlkmzpxwwwwupy.supabase.co/storage/v1/object/public/old_media/de2df48a.Path.072131.jpg</t>
  </si>
  <si>
    <t>7f992dba</t>
  </si>
  <si>
    <t>https://ryycrdhlkmzpxwwwwupy.supabase.co/storage/v1/object/public/old_media/7f992dba.Path.072137.jpg</t>
  </si>
  <si>
    <t>c2c9967b</t>
  </si>
  <si>
    <t>https://ryycrdhlkmzpxwwwwupy.supabase.co/storage/v1/object/public/old_media/c2c9967b.Path.072145.jpg</t>
  </si>
  <si>
    <t>6a8fd0d2</t>
  </si>
  <si>
    <t>https://ryycrdhlkmzpxwwwwupy.supabase.co/storage/v1/object/public/old_media/6a8fd0d2.Path.072152.jpg</t>
  </si>
  <si>
    <t>14d7ef4b</t>
  </si>
  <si>
    <t>https://ryycrdhlkmzpxwwwwupy.supabase.co/storage/v1/object/public/old_media/14d7ef4b.Path.072200.jpg</t>
  </si>
  <si>
    <t>682159ea</t>
  </si>
  <si>
    <t>https://ryycrdhlkmzpxwwwwupy.supabase.co/storage/v1/object/public/old_media/682159ea.Path.055918.jpg</t>
  </si>
  <si>
    <t>c0a5b0e1</t>
  </si>
  <si>
    <t>https://ryycrdhlkmzpxwwwwupy.supabase.co/storage/v1/object/public/old_media/c0a5b0e1.Path.055943.jpg</t>
  </si>
  <si>
    <t>6c42bb5c</t>
  </si>
  <si>
    <t>https://ryycrdhlkmzpxwwwwupy.supabase.co/storage/v1/object/public/old_media/6c42bb5c.Path.060004.jpg</t>
  </si>
  <si>
    <t>d8f069fe</t>
  </si>
  <si>
    <t>https://ryycrdhlkmzpxwwwwupy.supabase.co/storage/v1/object/public/old_media/d8f069fe.Path.060023.jpg</t>
  </si>
  <si>
    <t>ff3c97d3</t>
  </si>
  <si>
    <t>https://ryycrdhlkmzpxwwwwupy.supabase.co/storage/v1/object/public/old_media/ff3c97d3.Path.060107.jpg</t>
  </si>
  <si>
    <t>c896aed6</t>
  </si>
  <si>
    <t>https://ryycrdhlkmzpxwwwwupy.supabase.co/storage/v1/object/public/old_media/c896aed6.Path.060341.jpg</t>
  </si>
  <si>
    <t>ffa47adc</t>
  </si>
  <si>
    <t>https://ryycrdhlkmzpxwwwwupy.supabase.co/storage/v1/object/public/old_media/ffa47adc.Path.060604.jpg</t>
  </si>
  <si>
    <t>109aa016</t>
  </si>
  <si>
    <t>https://ryycrdhlkmzpxwwwwupy.supabase.co/storage/v1/object/public/old_media/109aa016.Path.060705.jpg</t>
  </si>
  <si>
    <t>eb61abab</t>
  </si>
  <si>
    <t>https://ryycrdhlkmzpxwwwwupy.supabase.co/storage/v1/object/public/old_media/eb61abab.Path.060714.jpg</t>
  </si>
  <si>
    <t>0a615e0f</t>
  </si>
  <si>
    <t>https://ryycrdhlkmzpxwwwwupy.supabase.co/storage/v1/object/public/old_media/0a615e0f.Path.060721.jpg</t>
  </si>
  <si>
    <t>d0490cc6</t>
  </si>
  <si>
    <t>https://ryycrdhlkmzpxwwwwupy.supabase.co/storage/v1/object/public/old_media/d0490cc6.Path.060732.jpg</t>
  </si>
  <si>
    <t>fd872027</t>
  </si>
  <si>
    <t>https://ryycrdhlkmzpxwwwwupy.supabase.co/storage/v1/object/public/old_media/fd872027.Path.064811.jpg</t>
  </si>
  <si>
    <t>36bf8d98</t>
  </si>
  <si>
    <t>https://ryycrdhlkmzpxwwwwupy.supabase.co/storage/v1/object/public/old_media/36bf8d98.Path.064835.jpg</t>
  </si>
  <si>
    <t>75efdff4</t>
  </si>
  <si>
    <t>https://ryycrdhlkmzpxwwwwupy.supabase.co/storage/v1/object/public/old_media/75efdff4.Path.064851.jpg</t>
  </si>
  <si>
    <t>3eee70ea</t>
  </si>
  <si>
    <t>https://ryycrdhlkmzpxwwwwupy.supabase.co/storage/v1/object/public/old_media/3eee70ea.Path.064904.jpg</t>
  </si>
  <si>
    <t>38554d63</t>
  </si>
  <si>
    <t>https://ryycrdhlkmzpxwwwwupy.supabase.co/storage/v1/object/public/old_media/38554d63.Path.064920.jpg</t>
  </si>
  <si>
    <t>46a42e63</t>
  </si>
  <si>
    <t>https://ryycrdhlkmzpxwwwwupy.supabase.co/storage/v1/object/public/old_media/46a42e63.Path.064934.jpg</t>
  </si>
  <si>
    <t>5412ecfe</t>
  </si>
  <si>
    <t>https://ryycrdhlkmzpxwwwwupy.supabase.co/storage/v1/object/public/old_media/5412ecfe.Path.064943.jpg</t>
  </si>
  <si>
    <t>95e8b8db</t>
  </si>
  <si>
    <t>https://ryycrdhlkmzpxwwwwupy.supabase.co/storage/v1/object/public/old_media/95e8b8db.Path.065001.jpg</t>
  </si>
  <si>
    <t>26752e8c</t>
  </si>
  <si>
    <t>https://ryycrdhlkmzpxwwwwupy.supabase.co/storage/v1/object/public/old_media/26752e8c.Path.153113.jpg</t>
  </si>
  <si>
    <t>37c32049</t>
  </si>
  <si>
    <t>https://ryycrdhlkmzpxwwwwupy.supabase.co/storage/v1/object/public/old_media/37c32049.Path.153220.jpg</t>
  </si>
  <si>
    <t>c39e3c90</t>
  </si>
  <si>
    <t>https://ryycrdhlkmzpxwwwwupy.supabase.co/storage/v1/object/public/old_media/c39e3c90.Path.153302.jpg</t>
  </si>
  <si>
    <t>54ab588e</t>
  </si>
  <si>
    <t>https://ryycrdhlkmzpxwwwwupy.supabase.co/storage/v1/object/public/old_media/54ab588e.Path.153357.jpg</t>
  </si>
  <si>
    <t>3ce16052</t>
  </si>
  <si>
    <t>https://ryycrdhlkmzpxwwwwupy.supabase.co/storage/v1/object/public/old_media/3ce16052.Path.153447.jpg</t>
  </si>
  <si>
    <t>d0430868</t>
  </si>
  <si>
    <t>https://ryycrdhlkmzpxwwwwupy.supabase.co/storage/v1/object/public/old_media/d0430868.Path.153525.jpg</t>
  </si>
  <si>
    <t>c8df39ad</t>
  </si>
  <si>
    <t>https://ryycrdhlkmzpxwwwwupy.supabase.co/storage/v1/object/public/old_media/c8df39ad.Path.153538.png</t>
  </si>
  <si>
    <t>0e699f57</t>
  </si>
  <si>
    <t>https://ryycrdhlkmzpxwwwwupy.supabase.co/storage/v1/object/public/old_media/0e699f57.Path.163615.png</t>
  </si>
  <si>
    <t>2fef0aa5</t>
  </si>
  <si>
    <t>https://ryycrdhlkmzpxwwwwupy.supabase.co/storage/v1/object/public/old_media/2fef0aa5.Path.163657.jpg</t>
  </si>
  <si>
    <t>4a7b96ca</t>
  </si>
  <si>
    <t>https://ryycrdhlkmzpxwwwwupy.supabase.co/storage/v1/object/public/old_media/4a7b96ca.Path.163745.jpg</t>
  </si>
  <si>
    <t>693cf6a0</t>
  </si>
  <si>
    <t>https://ryycrdhlkmzpxwwwwupy.supabase.co/storage/v1/object/public/old_media/693cf6a0.Path.163827.jpg</t>
  </si>
  <si>
    <t>7cc75b22</t>
  </si>
  <si>
    <t>https://ryycrdhlkmzpxwwwwupy.supabase.co/storage/v1/object/public/old_media/7cc75b22.Path.163918.jpg</t>
  </si>
  <si>
    <t>efa925a2</t>
  </si>
  <si>
    <t>https://ryycrdhlkmzpxwwwwupy.supabase.co/storage/v1/object/public/old_media/efa925a2.Path.111518.jpg</t>
  </si>
  <si>
    <t>8484ae67</t>
  </si>
  <si>
    <t>https://ryycrdhlkmzpxwwwwupy.supabase.co/storage/v1/object/public/old_media/8484ae67.Path.111525.jpg</t>
  </si>
  <si>
    <t>ecdf0d90</t>
  </si>
  <si>
    <t>https://ryycrdhlkmzpxwwwwupy.supabase.co/storage/v1/object/public/old_media/ecdf0d90.Path.111542.jpg</t>
  </si>
  <si>
    <t>afa30dd9</t>
  </si>
  <si>
    <t>https://ryycrdhlkmzpxwwwwupy.supabase.co/storage/v1/object/public/old_media/afa30dd9.Path.111549.jpg</t>
  </si>
  <si>
    <t>65f0f68b</t>
  </si>
  <si>
    <t>https://ryycrdhlkmzpxwwwwupy.supabase.co/storage/v1/object/public/old_media/65f0f68b.Path.111606.jpg</t>
  </si>
  <si>
    <t>eb53c96e</t>
  </si>
  <si>
    <t>https://ryycrdhlkmzpxwwwwupy.supabase.co/storage/v1/object/public/old_media/eb53c96e.Path.111613.jpg</t>
  </si>
  <si>
    <t>bc33840c</t>
  </si>
  <si>
    <t>https://ryycrdhlkmzpxwwwwupy.supabase.co/storage/v1/object/public/old_media/bc33840c.Path.045658.jpg</t>
  </si>
  <si>
    <t>4fd8d054</t>
  </si>
  <si>
    <t>https://ryycrdhlkmzpxwwwwupy.supabase.co/storage/v1/object/public/old_media/4fd8d054.Path.045712.jpg</t>
  </si>
  <si>
    <t>aba86ee8</t>
  </si>
  <si>
    <t>https://ryycrdhlkmzpxwwwwupy.supabase.co/storage/v1/object/public/old_media/aba86ee8.Path.045724.jpg</t>
  </si>
  <si>
    <t>9850aaf9</t>
  </si>
  <si>
    <t>https://ryycrdhlkmzpxwwwwupy.supabase.co/storage/v1/object/public/old_media/9850aaf9.Path.045735.jpg</t>
  </si>
  <si>
    <t>72593083</t>
  </si>
  <si>
    <t>https://ryycrdhlkmzpxwwwwupy.supabase.co/storage/v1/object/public/old_media/72593083.Path.045747.jpg</t>
  </si>
  <si>
    <t>800e17c4</t>
  </si>
  <si>
    <t>https://ryycrdhlkmzpxwwwwupy.supabase.co/storage/v1/object/public/old_media/800e17c4.Path.045800.jpg</t>
  </si>
  <si>
    <t>e3699285</t>
  </si>
  <si>
    <t>https://ryycrdhlkmzpxwwwwupy.supabase.co/storage/v1/object/public/old_media/e3699285.Path.063053.jpg</t>
  </si>
  <si>
    <t>77c8160a</t>
  </si>
  <si>
    <t>https://ryycrdhlkmzpxwwwwupy.supabase.co/storage/v1/object/public/old_media/77c8160a.Path.063107.jpg</t>
  </si>
  <si>
    <t>9f0c0ccf</t>
  </si>
  <si>
    <t>https://ryycrdhlkmzpxwwwwupy.supabase.co/storage/v1/object/public/old_media/9f0c0ccf.Path.063209.jpg</t>
  </si>
  <si>
    <t>dd0f2939</t>
  </si>
  <si>
    <t>https://ryycrdhlkmzpxwwwwupy.supabase.co/storage/v1/object/public/old_media/dd0f2939.Path.063224.jpg</t>
  </si>
  <si>
    <t>c22e0b0a</t>
  </si>
  <si>
    <t>https://ryycrdhlkmzpxwwwwupy.supabase.co/storage/v1/object/public/old_media/c22e0b0a.Path.063252.png</t>
  </si>
  <si>
    <t>a6c24a9e</t>
  </si>
  <si>
    <t>https://ryycrdhlkmzpxwwwwupy.supabase.co/storage/v1/object/public/old_media/a6c24a9e.Path.063307.jpg</t>
  </si>
  <si>
    <t>3adab538</t>
  </si>
  <si>
    <t>https://ryycrdhlkmzpxwwwwupy.supabase.co/storage/v1/object/public/old_media/3adab538.Path.063318.jpg</t>
  </si>
  <si>
    <t>9636c3a4</t>
  </si>
  <si>
    <t>https://ryycrdhlkmzpxwwwwupy.supabase.co/storage/v1/object/public/old_media/9636c3a4.Path.063331.jpg</t>
  </si>
  <si>
    <t>b687c859</t>
  </si>
  <si>
    <t>https://ryycrdhlkmzpxwwwwupy.supabase.co/storage/v1/object/public/old_media/b687c859.Path.103508.jpg</t>
  </si>
  <si>
    <t>bb9341a0</t>
  </si>
  <si>
    <t>https://ryycrdhlkmzpxwwwwupy.supabase.co/storage/v1/object/public/old_media/bb9341a0.Path.103536.jpg</t>
  </si>
  <si>
    <t>579b8284</t>
  </si>
  <si>
    <t>https://ryycrdhlkmzpxwwwwupy.supabase.co/storage/v1/object/public/old_media/579b8284.Path.103544.jpg</t>
  </si>
  <si>
    <t>b4199048</t>
  </si>
  <si>
    <t>https://ryycrdhlkmzpxwwwwupy.supabase.co/storage/v1/object/public/old_media/b4199048.Path.103555.jpg</t>
  </si>
  <si>
    <t>f0a1ddef</t>
  </si>
  <si>
    <t>https://ryycrdhlkmzpxwwwwupy.supabase.co/storage/v1/object/public/old_media/f0a1ddef.Path.103603.jpg</t>
  </si>
  <si>
    <t>e51c30bf</t>
  </si>
  <si>
    <t>https://ryycrdhlkmzpxwwwwupy.supabase.co/storage/v1/object/public/old_media/e51c30bf.Path.103623.jpg</t>
  </si>
  <si>
    <t>d7197c50</t>
  </si>
  <si>
    <t>https://ryycrdhlkmzpxwwwwupy.supabase.co/storage/v1/object/public/old_media/d7197c50.Path.103706.jpg</t>
  </si>
  <si>
    <t>2afe3e8c</t>
  </si>
  <si>
    <t>https://ryycrdhlkmzpxwwwwupy.supabase.co/storage/v1/object/public/old_media/2afe3e8c.Path.111137.jpg</t>
  </si>
  <si>
    <t>d82c168e</t>
  </si>
  <si>
    <t>https://ryycrdhlkmzpxwwwwupy.supabase.co/storage/v1/object/public/old_media/d82c168e.Path.111158.jpg</t>
  </si>
  <si>
    <t>c88450e5</t>
  </si>
  <si>
    <t>https://ryycrdhlkmzpxwwwwupy.supabase.co/storage/v1/object/public/old_media/c88450e5.Path.111208.jpg</t>
  </si>
  <si>
    <t>3bb4f01f</t>
  </si>
  <si>
    <t>https://ryycrdhlkmzpxwwwwupy.supabase.co/storage/v1/object/public/old_media/3bb4f01f.Path.111218.jpg</t>
  </si>
  <si>
    <t>8b703283</t>
  </si>
  <si>
    <t>https://ryycrdhlkmzpxwwwwupy.supabase.co/storage/v1/object/public/old_media/8b703283.Path.111230.jpg</t>
  </si>
  <si>
    <t>0bbb5e3a</t>
  </si>
  <si>
    <t>https://ryycrdhlkmzpxwwwwupy.supabase.co/storage/v1/object/public/old_media/0bbb5e3a.Path.111247.jpg</t>
  </si>
  <si>
    <t>d15ccefa</t>
  </si>
  <si>
    <t>https://ryycrdhlkmzpxwwwwupy.supabase.co/storage/v1/object/public/old_media/d15ccefa.Path.111256.jpg</t>
  </si>
  <si>
    <t>dd8956c7</t>
  </si>
  <si>
    <t>https://ryycrdhlkmzpxwwwwupy.supabase.co/storage/v1/object/public/old_media/dd8956c7.Path.111314.jpg</t>
  </si>
  <si>
    <t>2eb59cd9</t>
  </si>
  <si>
    <t>https://ryycrdhlkmzpxwwwwupy.supabase.co/storage/v1/object/public/old_media/2eb59cd9.Path.120315.png</t>
  </si>
  <si>
    <t>7715607e</t>
  </si>
  <si>
    <t>https://ryycrdhlkmzpxwwwwupy.supabase.co/storage/v1/object/public/old_media/7715607e.Path.120327.png</t>
  </si>
  <si>
    <t>861d52dc</t>
  </si>
  <si>
    <t>https://ryycrdhlkmzpxwwwwupy.supabase.co/storage/v1/object/public/old_media/861d52dc.Path.120339.png</t>
  </si>
  <si>
    <t>9fd01f59</t>
  </si>
  <si>
    <t>https://ryycrdhlkmzpxwwwwupy.supabase.co/storage/v1/object/public/old_media/9fd01f59.Path.054449.jpg</t>
  </si>
  <si>
    <t>410d1cb3</t>
  </si>
  <si>
    <t>https://ryycrdhlkmzpxwwwwupy.supabase.co/storage/v1/object/public/old_media/410d1cb3.Path.054502.jpg</t>
  </si>
  <si>
    <t>619c0906</t>
  </si>
  <si>
    <t>https://ryycrdhlkmzpxwwwwupy.supabase.co/storage/v1/object/public/old_media/619c0906.Path.054511.jpg</t>
  </si>
  <si>
    <t>c3df6d14</t>
  </si>
  <si>
    <t>https://ryycrdhlkmzpxwwwwupy.supabase.co/storage/v1/object/public/old_media/c3df6d14.Path.054527.jpg</t>
  </si>
  <si>
    <t>217f24b2</t>
  </si>
  <si>
    <t>https://ryycrdhlkmzpxwwwwupy.supabase.co/storage/v1/object/public/old_media/217f24b2.Path.054557.jpg</t>
  </si>
  <si>
    <t>809c4bf1</t>
  </si>
  <si>
    <t>https://ryycrdhlkmzpxwwwwupy.supabase.co/storage/v1/object/public/old_media/809c4bf1.Path.054704.jpg</t>
  </si>
  <si>
    <t>0b753dba</t>
  </si>
  <si>
    <t>https://ryycrdhlkmzpxwwwwupy.supabase.co/storage/v1/object/public/old_media/0b753dba.Path.054721.jpg</t>
  </si>
  <si>
    <t>24ca37e4</t>
  </si>
  <si>
    <t>https://ryycrdhlkmzpxwwwwupy.supabase.co/storage/v1/object/public/old_media/24ca37e4.Path.054731.jpg</t>
  </si>
  <si>
    <t>0945226b</t>
  </si>
  <si>
    <t>https://ryycrdhlkmzpxwwwwupy.supabase.co/storage/v1/object/public/old_media/0945226b.Path.054821.jpg</t>
  </si>
  <si>
    <t>e631c0af</t>
  </si>
  <si>
    <t>https://ryycrdhlkmzpxwwwwupy.supabase.co/storage/v1/object/public/old_media/e631c0af.Path.103024.jpg</t>
  </si>
  <si>
    <t>553f1faf</t>
  </si>
  <si>
    <t>https://ryycrdhlkmzpxwwwwupy.supabase.co/storage/v1/object/public/old_media/553f1faf.Path.071302.jpg</t>
  </si>
  <si>
    <t>ccf77784</t>
  </si>
  <si>
    <t>https://ryycrdhlkmzpxwwwwupy.supabase.co/storage/v1/object/public/old_media/ccf77784.Path.071401.jpg</t>
  </si>
  <si>
    <t>4d841e2a</t>
  </si>
  <si>
    <t>https://ryycrdhlkmzpxwwwwupy.supabase.co/storage/v1/object/public/old_media/4d841e2a.Path.071505.jpg</t>
  </si>
  <si>
    <t>39c08a37</t>
  </si>
  <si>
    <t>https://ryycrdhlkmzpxwwwwupy.supabase.co/storage/v1/object/public/old_media/39c08a37.Path.071557.jpg</t>
  </si>
  <si>
    <t>4b8fd202</t>
  </si>
  <si>
    <t>https://ryycrdhlkmzpxwwwwupy.supabase.co/storage/v1/object/public/old_media/4b8fd202.Path.071648.jpg</t>
  </si>
  <si>
    <t>22277279</t>
  </si>
  <si>
    <t>https://ryycrdhlkmzpxwwwwupy.supabase.co/storage/v1/object/public/old_media/22277279.Path.050343.jpg</t>
  </si>
  <si>
    <t>cba7bee3</t>
  </si>
  <si>
    <t>https://ryycrdhlkmzpxwwwwupy.supabase.co/storage/v1/object/public/old_media/cba7bee3.Path.050407.jpg</t>
  </si>
  <si>
    <t>5dbea6e5</t>
  </si>
  <si>
    <t>https://ryycrdhlkmzpxwwwwupy.supabase.co/storage/v1/object/public/old_media/5dbea6e5.Path.050414.jpg</t>
  </si>
  <si>
    <t>46649b97</t>
  </si>
  <si>
    <t>https://ryycrdhlkmzpxwwwwupy.supabase.co/storage/v1/object/public/old_media/46649b97.Path.050443.jpg</t>
  </si>
  <si>
    <t>ad0142fa</t>
  </si>
  <si>
    <t>https://ryycrdhlkmzpxwwwwupy.supabase.co/storage/v1/object/public/old_media/ad0142fa.Path.050507.jpg</t>
  </si>
  <si>
    <t>3cf562af</t>
  </si>
  <si>
    <t>https://ryycrdhlkmzpxwwwwupy.supabase.co/storage/v1/object/public/old_media/3cf562af.Path.050524.jpg</t>
  </si>
  <si>
    <t>38a36b09</t>
  </si>
  <si>
    <t>https://ryycrdhlkmzpxwwwwupy.supabase.co/storage/v1/object/public/old_media/38a36b09.Path.050543.jpg</t>
  </si>
  <si>
    <t>78e1e6e6</t>
  </si>
  <si>
    <t>https://ryycrdhlkmzpxwwwwupy.supabase.co/storage/v1/object/public/old_media/78e1e6e6.Path.031423.jpg</t>
  </si>
  <si>
    <t>5d317441</t>
  </si>
  <si>
    <t>https://ryycrdhlkmzpxwwwwupy.supabase.co/storage/v1/object/public/old_media/5d317441.Path.031432.jpg</t>
  </si>
  <si>
    <t>ca311fee</t>
  </si>
  <si>
    <t>https://ryycrdhlkmzpxwwwwupy.supabase.co/storage/v1/object/public/old_media/ca311fee.Path.031439.jpg</t>
  </si>
  <si>
    <t>432d9d2e</t>
  </si>
  <si>
    <t>https://ryycrdhlkmzpxwwwwupy.supabase.co/storage/v1/object/public/old_media/432d9d2e.Path.031449.jpg</t>
  </si>
  <si>
    <t>5c3ba6c3</t>
  </si>
  <si>
    <t>https://ryycrdhlkmzpxwwwwupy.supabase.co/storage/v1/object/public/old_media/5c3ba6c3.Path.075932.png</t>
  </si>
  <si>
    <t>d942cc0d</t>
  </si>
  <si>
    <t>https://ryycrdhlkmzpxwwwwupy.supabase.co/storage/v1/object/public/old_media/d942cc0d.Path.075939.png</t>
  </si>
  <si>
    <t>a7f282bb</t>
  </si>
  <si>
    <t>https://ryycrdhlkmzpxwwwwupy.supabase.co/storage/v1/object/public/old_media/a7f282bb.Path.075951.png</t>
  </si>
  <si>
    <t>b3a945a0</t>
  </si>
  <si>
    <t>https://ryycrdhlkmzpxwwwwupy.supabase.co/storage/v1/object/public/old_media/b3a945a0.Path.072913.jpg</t>
  </si>
  <si>
    <t>ff201ae9</t>
  </si>
  <si>
    <t>https://ryycrdhlkmzpxwwwwupy.supabase.co/storage/v1/object/public/old_media/ff201ae9.Path.072941.jpg</t>
  </si>
  <si>
    <t>4fecbd5d</t>
  </si>
  <si>
    <t>https://ryycrdhlkmzpxwwwwupy.supabase.co/storage/v1/object/public/old_media/4fecbd5d.Path.073014.jpg</t>
  </si>
  <si>
    <t>658cf0cd</t>
  </si>
  <si>
    <t>https://ryycrdhlkmzpxwwwwupy.supabase.co/storage/v1/object/public/old_media/658cf0cd.Path.073031.jpg</t>
  </si>
  <si>
    <t>a9bcf077</t>
  </si>
  <si>
    <t>https://ryycrdhlkmzpxwwwwupy.supabase.co/storage/v1/object/public/old_media/a9bcf077.Path.073056.jpg</t>
  </si>
  <si>
    <t>5114c245</t>
  </si>
  <si>
    <t>https://ryycrdhlkmzpxwwwwupy.supabase.co/storage/v1/object/public/old_media/5114c245.Path.073209.jpg</t>
  </si>
  <si>
    <t>d370dfcf</t>
  </si>
  <si>
    <t>https://ryycrdhlkmzpxwwwwupy.supabase.co/storage/v1/object/public/old_media/d370dfcf.Path.073229.jpg</t>
  </si>
  <si>
    <t>e59f0582</t>
  </si>
  <si>
    <t>https://ryycrdhlkmzpxwwwwupy.supabase.co/storage/v1/object/public/old_media/e59f0582.Path.073303.jpg</t>
  </si>
  <si>
    <t>d67878fa</t>
  </si>
  <si>
    <t>https://ryycrdhlkmzpxwwwwupy.supabase.co/storage/v1/object/public/old_media/d67878fa.Path.073331.jpg</t>
  </si>
  <si>
    <t>66d1a3be</t>
  </si>
  <si>
    <t>https://ryycrdhlkmzpxwwwwupy.supabase.co/storage/v1/object/public/old_media/66d1a3be.Path.073400.jpg</t>
  </si>
  <si>
    <t>68706ef8</t>
  </si>
  <si>
    <t>https://ryycrdhlkmzpxwwwwupy.supabase.co/storage/v1/object/public/old_media/68706ef8.Path.073410.jpg</t>
  </si>
  <si>
    <t>f401ecf9</t>
  </si>
  <si>
    <t>https://ryycrdhlkmzpxwwwwupy.supabase.co/storage/v1/object/public/old_media/f401ecf9.Path.073419.jpg</t>
  </si>
  <si>
    <t>0d159f30</t>
  </si>
  <si>
    <t>https://ryycrdhlkmzpxwwwwupy.supabase.co/storage/v1/object/public/old_media/0d159f30.Path.073441.jpg</t>
  </si>
  <si>
    <t>f8cdfc9b</t>
  </si>
  <si>
    <t>https://ryycrdhlkmzpxwwwwupy.supabase.co/storage/v1/object/public/old_media/f8cdfc9b.Path.064553.jpg</t>
  </si>
  <si>
    <t>b090cdd0</t>
  </si>
  <si>
    <t>https://ryycrdhlkmzpxwwwwupy.supabase.co/storage/v1/object/public/old_media/b090cdd0.Path.064614.jpg</t>
  </si>
  <si>
    <t>cdf4c1bf</t>
  </si>
  <si>
    <t>https://ryycrdhlkmzpxwwwwupy.supabase.co/storage/v1/object/public/old_media/cdf4c1bf.Path.064630.jpg</t>
  </si>
  <si>
    <t>32caeb5c</t>
  </si>
  <si>
    <t>https://ryycrdhlkmzpxwwwwupy.supabase.co/storage/v1/object/public/old_media/32caeb5c.Path.064645.jpg</t>
  </si>
  <si>
    <t>1a6dd972</t>
  </si>
  <si>
    <t>https://ryycrdhlkmzpxwwwwupy.supabase.co/storage/v1/object/public/old_media/1a6dd972.Path.064742.jpg</t>
  </si>
  <si>
    <t>9179ed53</t>
  </si>
  <si>
    <t>https://ryycrdhlkmzpxwwwwupy.supabase.co/storage/v1/object/public/old_media/9179ed53.Path.104056.jpg</t>
  </si>
  <si>
    <t>b9055315</t>
  </si>
  <si>
    <t>https://ryycrdhlkmzpxwwwwupy.supabase.co/storage/v1/object/public/old_media/b9055315.Path.104131.jpg</t>
  </si>
  <si>
    <t>22d31bf0</t>
  </si>
  <si>
    <t>https://ryycrdhlkmzpxwwwwupy.supabase.co/storage/v1/object/public/old_media/22d31bf0.Path.104150.jpg</t>
  </si>
  <si>
    <t>5e664ca5</t>
  </si>
  <si>
    <t>https://ryycrdhlkmzpxwwwwupy.supabase.co/storage/v1/object/public/old_media/5e664ca5.Path.104211.jpg</t>
  </si>
  <si>
    <t>0859b4ea</t>
  </si>
  <si>
    <t>https://ryycrdhlkmzpxwwwwupy.supabase.co/storage/v1/object/public/old_media/0859b4ea.Path.104227.jpg</t>
  </si>
  <si>
    <t>5d444d3f</t>
  </si>
  <si>
    <t>https://ryycrdhlkmzpxwwwwupy.supabase.co/storage/v1/object/public/old_media/5d444d3f.Path.104251.jpg</t>
  </si>
  <si>
    <t>12f61f27</t>
  </si>
  <si>
    <t>https://ryycrdhlkmzpxwwwwupy.supabase.co/storage/v1/object/public/old_media/12f61f27.Path.104304.jpg</t>
  </si>
  <si>
    <t>d4d97f96</t>
  </si>
  <si>
    <t>https://ryycrdhlkmzpxwwwwupy.supabase.co/storage/v1/object/public/old_media/d4d97f96.Path.104319.jpg</t>
  </si>
  <si>
    <t>ec448d8a</t>
  </si>
  <si>
    <t>https://ryycrdhlkmzpxwwwwupy.supabase.co/storage/v1/object/public/old_media/ec448d8a.Path.052524.jpg</t>
  </si>
  <si>
    <t>a8602831</t>
  </si>
  <si>
    <t>https://ryycrdhlkmzpxwwwwupy.supabase.co/storage/v1/object/public/old_media/a8602831.Path.052541.jpg</t>
  </si>
  <si>
    <t>3e346b8f</t>
  </si>
  <si>
    <t>https://ryycrdhlkmzpxwwwwupy.supabase.co/storage/v1/object/public/old_media/3e346b8f.Path.052548.jpg</t>
  </si>
  <si>
    <t>989dd4aa</t>
  </si>
  <si>
    <t>https://ryycrdhlkmzpxwwwwupy.supabase.co/storage/v1/object/public/old_media/989dd4aa.Path.052627.jpg</t>
  </si>
  <si>
    <t>8535406f</t>
  </si>
  <si>
    <t>https://ryycrdhlkmzpxwwwwupy.supabase.co/storage/v1/object/public/old_media/8535406f.Path.102004.jpg</t>
  </si>
  <si>
    <t>5eaf08cf</t>
  </si>
  <si>
    <t>https://ryycrdhlkmzpxwwwwupy.supabase.co/storage/v1/object/public/old_media/5eaf08cf.Path.102019.jpg</t>
  </si>
  <si>
    <t>65c76f9b</t>
  </si>
  <si>
    <t>https://ryycrdhlkmzpxwwwwupy.supabase.co/storage/v1/object/public/old_media/65c76f9b.Path.102131.jpg</t>
  </si>
  <si>
    <t>5da66ba9</t>
  </si>
  <si>
    <t>https://ryycrdhlkmzpxwwwwupy.supabase.co/storage/v1/object/public/old_media/5da66ba9.Path.102147.jpg</t>
  </si>
  <si>
    <t>fb9c7d88</t>
  </si>
  <si>
    <t>https://ryycrdhlkmzpxwwwwupy.supabase.co/storage/v1/object/public/old_media/fb9c7d88.Path.043415.jpg</t>
  </si>
  <si>
    <t>db2a9709</t>
  </si>
  <si>
    <t>https://ryycrdhlkmzpxwwwwupy.supabase.co/storage/v1/object/public/old_media/db2a9709.Path.043425.jpg</t>
  </si>
  <si>
    <t>e860c9cc</t>
  </si>
  <si>
    <t>https://ryycrdhlkmzpxwwwwupy.supabase.co/storage/v1/object/public/old_media/e860c9cc.Path.043435.jpg</t>
  </si>
  <si>
    <t>837a7ca9</t>
  </si>
  <si>
    <t>https://ryycrdhlkmzpxwwwwupy.supabase.co/storage/v1/object/public/old_media/837a7ca9.Path.043448.jpg</t>
  </si>
  <si>
    <t>29eae1b9</t>
  </si>
  <si>
    <t>https://ryycrdhlkmzpxwwwwupy.supabase.co/storage/v1/object/public/old_media/29eae1b9.Path.043501.jpg</t>
  </si>
  <si>
    <t>6d8f205e</t>
  </si>
  <si>
    <t>https://ryycrdhlkmzpxwwwwupy.supabase.co/storage/v1/object/public/old_media/6d8f205e.Path.043515.jpg</t>
  </si>
  <si>
    <t>b1bd85b4</t>
  </si>
  <si>
    <t>https://ryycrdhlkmzpxwwwwupy.supabase.co/storage/v1/object/public/old_media/b1bd85b4.Path.043524.jpg</t>
  </si>
  <si>
    <t>a6a69536</t>
  </si>
  <si>
    <t>https://ryycrdhlkmzpxwwwwupy.supabase.co/storage/v1/object/public/old_media/a6a69536.Path.043533.jpg</t>
  </si>
  <si>
    <t>4bf6e62e</t>
  </si>
  <si>
    <t>https://ryycrdhlkmzpxwwwwupy.supabase.co/storage/v1/object/public/old_media/4bf6e62e.Path.044744.jpg</t>
  </si>
  <si>
    <t>2ddaa710</t>
  </si>
  <si>
    <t>https://ryycrdhlkmzpxwwwwupy.supabase.co/storage/v1/object/public/old_media/2ddaa710.Path.044808.jpg</t>
  </si>
  <si>
    <t>ab898394</t>
  </si>
  <si>
    <t>https://ryycrdhlkmzpxwwwwupy.supabase.co/storage/v1/object/public/old_media/ab898394.Path.044826.jpg</t>
  </si>
  <si>
    <t>80a099c8</t>
  </si>
  <si>
    <t>https://ryycrdhlkmzpxwwwwupy.supabase.co/storage/v1/object/public/old_media/80a099c8.Path.044844.jpg</t>
  </si>
  <si>
    <t>fce16b32</t>
  </si>
  <si>
    <t>https://ryycrdhlkmzpxwwwwupy.supabase.co/storage/v1/object/public/old_media/fce16b32.Path.044902.jpg</t>
  </si>
  <si>
    <t>01e56ce0</t>
  </si>
  <si>
    <t>https://ryycrdhlkmzpxwwwwupy.supabase.co/storage/v1/object/public/old_media/01e56ce0.Path.075029.jpg</t>
  </si>
  <si>
    <t>Chambre</t>
  </si>
  <si>
    <t>ba11412b</t>
  </si>
  <si>
    <t>https://ryycrdhlkmzpxwwwwupy.supabase.co/storage/v1/object/public/old_media/ba11412b.Path.075047.jpg</t>
  </si>
  <si>
    <t>cuisine</t>
  </si>
  <si>
    <t>3c85ea62</t>
  </si>
  <si>
    <t>https://ryycrdhlkmzpxwwwwupy.supabase.co/storage/v1/object/public/old_media/3c85ea62.Path.075105.jpg</t>
  </si>
  <si>
    <t>entrée</t>
  </si>
  <si>
    <t>eaab66ba</t>
  </si>
  <si>
    <t>https://ryycrdhlkmzpxwwwwupy.supabase.co/storage/v1/object/public/old_media/eaab66ba.Path.075123.jpg</t>
  </si>
  <si>
    <t>feu de camp</t>
  </si>
  <si>
    <t>3cf06bc1</t>
  </si>
  <si>
    <t>https://ryycrdhlkmzpxwwwwupy.supabase.co/storage/v1/object/public/old_media/3cf06bc1.Path.075142.jpg</t>
  </si>
  <si>
    <t>7c06640a</t>
  </si>
  <si>
    <t>https://ryycrdhlkmzpxwwwwupy.supabase.co/storage/v1/object/public/old_media/7c06640a.Path.075149.jpg</t>
  </si>
  <si>
    <t>salle de bains</t>
  </si>
  <si>
    <t>ec496a29</t>
  </si>
  <si>
    <t>https://ryycrdhlkmzpxwwwwupy.supabase.co/storage/v1/object/public/old_media/ec496a29.Path.075214.jpg</t>
  </si>
  <si>
    <t>salon</t>
  </si>
  <si>
    <t>d1f16fc0</t>
  </si>
  <si>
    <t>https://ryycrdhlkmzpxwwwwupy.supabase.co/storage/v1/object/public/old_media/d1f16fc0.Path.075223.jpg</t>
  </si>
  <si>
    <t>varangue</t>
  </si>
  <si>
    <t>db360576</t>
  </si>
  <si>
    <t>https://ryycrdhlkmzpxwwwwupy.supabase.co/storage/v1/object/public/old_media/db360576.Path.110518.jpg</t>
  </si>
  <si>
    <t>55361838</t>
  </si>
  <si>
    <t>https://ryycrdhlkmzpxwwwwupy.supabase.co/storage/v1/object/public/old_media/55361838.Path.110708.jpg</t>
  </si>
  <si>
    <t>e1d673be</t>
  </si>
  <si>
    <t>https://ryycrdhlkmzpxwwwwupy.supabase.co/storage/v1/object/public/old_media/e1d673be.Path.111245.jpg</t>
  </si>
  <si>
    <t>d6e8e2b1</t>
  </si>
  <si>
    <t>https://ryycrdhlkmzpxwwwwupy.supabase.co/storage/v1/object/public/old_media/d6e8e2b1.Path.111255.jpg</t>
  </si>
  <si>
    <t>97207835</t>
  </si>
  <si>
    <t>https://ryycrdhlkmzpxwwwwupy.supabase.co/storage/v1/object/public/old_media/97207835.Path.111310.jpg</t>
  </si>
  <si>
    <t>4474a891</t>
  </si>
  <si>
    <t>https://ryycrdhlkmzpxwwwwupy.supabase.co/storage/v1/object/public/old_media/4474a891.Path.111415.jpg</t>
  </si>
  <si>
    <t>b2bc3a84</t>
  </si>
  <si>
    <t>https://ryycrdhlkmzpxwwwwupy.supabase.co/storage/v1/object/public/old_media/b2bc3a84.Path.101457.jpg</t>
  </si>
  <si>
    <t>fc718649</t>
  </si>
  <si>
    <t>https://ryycrdhlkmzpxwwwwupy.supabase.co/storage/v1/object/public/old_media/fc718649.Path.101556.jpg</t>
  </si>
  <si>
    <t>ad2a0291</t>
  </si>
  <si>
    <t>https://ryycrdhlkmzpxwwwwupy.supabase.co/storage/v1/object/public/old_media/ad2a0291.Path.101606.jpg</t>
  </si>
  <si>
    <t>7ce8c0ff</t>
  </si>
  <si>
    <t>https://ryycrdhlkmzpxwwwwupy.supabase.co/storage/v1/object/public/old_media/7ce8c0ff.Path.101616.jpg</t>
  </si>
  <si>
    <t>9a1b2f9f</t>
  </si>
  <si>
    <t>https://ryycrdhlkmzpxwwwwupy.supabase.co/storage/v1/object/public/old_media/9a1b2f9f.Path.101734.jpg</t>
  </si>
  <si>
    <t>d7bca029</t>
  </si>
  <si>
    <t>https://ryycrdhlkmzpxwwwwupy.supabase.co/storage/v1/object/public/old_media/d7bca029.Path.101746.jpg</t>
  </si>
  <si>
    <t>0e24fb05</t>
  </si>
  <si>
    <t>https://ryycrdhlkmzpxwwwwupy.supabase.co/storage/v1/object/public/old_media/0e24fb05.Path.102057.jpg</t>
  </si>
  <si>
    <t>977ce96e</t>
  </si>
  <si>
    <t>https://ryycrdhlkmzpxwwwwupy.supabase.co/storage/v1/object/public/old_media/977ce96e.Path.102109.jpg</t>
  </si>
  <si>
    <t>d2171b3e</t>
  </si>
  <si>
    <t>https://ryycrdhlkmzpxwwwwupy.supabase.co/storage/v1/object/public/old_media/d2171b3e.Path.102119.jpg</t>
  </si>
  <si>
    <t>32b47a2b</t>
  </si>
  <si>
    <t>https://ryycrdhlkmzpxwwwwupy.supabase.co/storage/v1/object/public/old_media/32b47a2b.Path.102448.jpg</t>
  </si>
  <si>
    <t>56c13bcc</t>
  </si>
  <si>
    <t>https://ryycrdhlkmzpxwwwwupy.supabase.co/storage/v1/object/public/old_media/56c13bcc.Path.102645.jpg</t>
  </si>
  <si>
    <t>592aaf4b</t>
  </si>
  <si>
    <t>https://ryycrdhlkmzpxwwwwupy.supabase.co/storage/v1/object/public/old_media/592aaf4b.Path.102656.jpg</t>
  </si>
  <si>
    <t>9e7022eb</t>
  </si>
  <si>
    <t>https://ryycrdhlkmzpxwwwwupy.supabase.co/storage/v1/object/public/old_media/9e7022eb.Path.074446.jpg</t>
  </si>
  <si>
    <t>d7668b57</t>
  </si>
  <si>
    <t>https://ryycrdhlkmzpxwwwwupy.supabase.co/storage/v1/object/public/old_media/d7668b57.Path.102227.jpg</t>
  </si>
  <si>
    <t>880b2eaa</t>
  </si>
  <si>
    <t>https://ryycrdhlkmzpxwwwwupy.supabase.co/storage/v1/object/public/old_media/880b2eaa.Path.102317.jpg</t>
  </si>
  <si>
    <t>4248441e</t>
  </si>
  <si>
    <t>https://ryycrdhlkmzpxwwwwupy.supabase.co/storage/v1/object/public/old_media/4248441e.Path.102425.jpg</t>
  </si>
  <si>
    <t>aedd1eb1</t>
  </si>
  <si>
    <t>https://ryycrdhlkmzpxwwwwupy.supabase.co/storage/v1/object/public/old_media/aedd1eb1.Path.102532.jpg</t>
  </si>
  <si>
    <t>130ac7ba</t>
  </si>
  <si>
    <t>https://ryycrdhlkmzpxwwwwupy.supabase.co/storage/v1/object/public/old_media/130ac7ba.Path.102625.jpg</t>
  </si>
  <si>
    <t>822f40a1</t>
  </si>
  <si>
    <t>https://ryycrdhlkmzpxwwwwupy.supabase.co/storage/v1/object/public/old_media/822f40a1.Path.102809.jpg</t>
  </si>
  <si>
    <t>9904a54d</t>
  </si>
  <si>
    <t>https://ryycrdhlkmzpxwwwwupy.supabase.co/storage/v1/object/public/old_media/9904a54d.Path.111556.png</t>
  </si>
  <si>
    <t>145f6a72</t>
  </si>
  <si>
    <t>https://ryycrdhlkmzpxwwwwupy.supabase.co/storage/v1/object/public/old_media/145f6a72.Path.111610.jpg</t>
  </si>
  <si>
    <t>dc4f88cb</t>
  </si>
  <si>
    <t>https://ryycrdhlkmzpxwwwwupy.supabase.co/storage/v1/object/public/old_media/dc4f88cb.Path.043932.jpg</t>
  </si>
  <si>
    <t>56e7ec31</t>
  </si>
  <si>
    <t>https://ryycrdhlkmzpxwwwwupy.supabase.co/storage/v1/object/public/old_media/56e7ec31.Path.043946.jpg</t>
  </si>
  <si>
    <t>69739b7d</t>
  </si>
  <si>
    <t>https://ryycrdhlkmzpxwwwwupy.supabase.co/storage/v1/object/public/old_media/69739b7d.Path.043959.jpg</t>
  </si>
  <si>
    <t>c7cc750f</t>
  </si>
  <si>
    <t>https://ryycrdhlkmzpxwwwwupy.supabase.co/storage/v1/object/public/old_media/c7cc750f.Path.065529.jpg</t>
  </si>
  <si>
    <t>122ef640</t>
  </si>
  <si>
    <t>https://ryycrdhlkmzpxwwwwupy.supabase.co/storage/v1/object/public/old_media/122ef640.Path.065552.jpg</t>
  </si>
  <si>
    <t>Piscine</t>
  </si>
  <si>
    <t>b598775c</t>
  </si>
  <si>
    <t>https://ryycrdhlkmzpxwwwwupy.supabase.co/storage/v1/object/public/old_media/b598775c.Path.065606.jpg</t>
  </si>
  <si>
    <t>6c185876</t>
  </si>
  <si>
    <t>https://ryycrdhlkmzpxwwwwupy.supabase.co/storage/v1/object/public/old_media/6c185876.Path.065628.jpg</t>
  </si>
  <si>
    <t>baa501ab</t>
  </si>
  <si>
    <t>https://ryycrdhlkmzpxwwwwupy.supabase.co/storage/v1/object/public/old_media/baa501ab.Path.065641.jpg</t>
  </si>
  <si>
    <t>00f64e0e</t>
  </si>
  <si>
    <t>https://ryycrdhlkmzpxwwwwupy.supabase.co/storage/v1/object/public/old_media/00f64e0e.Path.065710.jpg</t>
  </si>
  <si>
    <t>e3ee28bf</t>
  </si>
  <si>
    <t>https://ryycrdhlkmzpxwwwwupy.supabase.co/storage/v1/object/public/old_media/e3ee28bf.Path.065752.jpg</t>
  </si>
  <si>
    <t>5c516300</t>
  </si>
  <si>
    <t>https://ryycrdhlkmzpxwwwwupy.supabase.co/storage/v1/object/public/old_media/5c516300.Path.065853.jpg</t>
  </si>
  <si>
    <t>78e5b283</t>
  </si>
  <si>
    <t>https://ryycrdhlkmzpxwwwwupy.supabase.co/storage/v1/object/public/old_media/78e5b283.Path.070138.jpg</t>
  </si>
  <si>
    <t>985c0b06</t>
  </si>
  <si>
    <t>https://ryycrdhlkmzpxwwwwupy.supabase.co/storage/v1/object/public/old_media/985c0b06.Path.063157.jpg</t>
  </si>
  <si>
    <t>39815e3e</t>
  </si>
  <si>
    <t>https://ryycrdhlkmzpxwwwwupy.supabase.co/storage/v1/object/public/old_media/39815e3e.Path.063231.jpg</t>
  </si>
  <si>
    <t>898fdab8</t>
  </si>
  <si>
    <t>https://ryycrdhlkmzpxwwwwupy.supabase.co/storage/v1/object/public/old_media/898fdab8.Path.063301.jpg</t>
  </si>
  <si>
    <t>89f859b6</t>
  </si>
  <si>
    <t>https://ryycrdhlkmzpxwwwwupy.supabase.co/storage/v1/object/public/old_media/89f859b6.Path.102624.jpg</t>
  </si>
  <si>
    <t>e907f0f2</t>
  </si>
  <si>
    <t>https://ryycrdhlkmzpxwwwwupy.supabase.co/storage/v1/object/public/old_media/e907f0f2.Path.102655.jpg</t>
  </si>
  <si>
    <t>1d212ac5</t>
  </si>
  <si>
    <t>https://ryycrdhlkmzpxwwwwupy.supabase.co/storage/v1/object/public/old_media/1d212ac5.Path.102707.jpg</t>
  </si>
  <si>
    <t>a9a3050c</t>
  </si>
  <si>
    <t>https://ryycrdhlkmzpxwwwwupy.supabase.co/storage/v1/object/public/old_media/a9a3050c.Path.102741.jpg</t>
  </si>
  <si>
    <t>04b71c52</t>
  </si>
  <si>
    <t>https://ryycrdhlkmzpxwwwwupy.supabase.co/storage/v1/object/public/old_media/04b71c52.Path.102803.jpg</t>
  </si>
  <si>
    <t>81665f8c</t>
  </si>
  <si>
    <t>https://ryycrdhlkmzpxwwwwupy.supabase.co/storage/v1/object/public/old_media/81665f8c.Path.102826.jpg</t>
  </si>
  <si>
    <t>1fdccb28</t>
  </si>
  <si>
    <t>https://ryycrdhlkmzpxwwwwupy.supabase.co/storage/v1/object/public/old_media/1fdccb28.Path.102841.jpg</t>
  </si>
  <si>
    <t>29518c0a</t>
  </si>
  <si>
    <t>https://ryycrdhlkmzpxwwwwupy.supabase.co/storage/v1/object/public/old_media/29518c0a.Path.102858.jpg</t>
  </si>
  <si>
    <t>6793802f</t>
  </si>
  <si>
    <t>https://ryycrdhlkmzpxwwwwupy.supabase.co/storage/v1/object/public/old_media/6793802f.Path.102912.jpg</t>
  </si>
  <si>
    <t>ed249452</t>
  </si>
  <si>
    <t>https://ryycrdhlkmzpxwwwwupy.supabase.co/storage/v1/object/public/old_media/ed249452.Path.111834.jpg</t>
  </si>
  <si>
    <t>08f96171</t>
  </si>
  <si>
    <t>https://ryycrdhlkmzpxwwwwupy.supabase.co/storage/v1/object/public/old_media/08f96171.Path.111904.jpg</t>
  </si>
  <si>
    <t>aac724e2</t>
  </si>
  <si>
    <t>https://ryycrdhlkmzpxwwwwupy.supabase.co/storage/v1/object/public/old_media/aac724e2.Path.111922.jpg</t>
  </si>
  <si>
    <t>7eded8a3</t>
  </si>
  <si>
    <t>https://ryycrdhlkmzpxwwwwupy.supabase.co/storage/v1/object/public/old_media/7eded8a3.Path.111935.jpg</t>
  </si>
  <si>
    <t>7211666e</t>
  </si>
  <si>
    <t>https://ryycrdhlkmzpxwwwwupy.supabase.co/storage/v1/object/public/old_media/7211666e.Path.111946.jpg</t>
  </si>
  <si>
    <t>a0390aac</t>
  </si>
  <si>
    <t>https://ryycrdhlkmzpxwwwwupy.supabase.co/storage/v1/object/public/old_media/a0390aac.Path.111958.jpg</t>
  </si>
  <si>
    <t>e797b5d7</t>
  </si>
  <si>
    <t>https://ryycrdhlkmzpxwwwwupy.supabase.co/storage/v1/object/public/old_media/e797b5d7.Path.112009.jpg</t>
  </si>
  <si>
    <t>425ad8ca</t>
  </si>
  <si>
    <t>https://ryycrdhlkmzpxwwwwupy.supabase.co/storage/v1/object/public/old_media/425ad8ca.Path.112023.jpg</t>
  </si>
  <si>
    <t>1ead142b</t>
  </si>
  <si>
    <t>https://ryycrdhlkmzpxwwwwupy.supabase.co/storage/v1/object/public/old_media/1ead142b.Path.062446.jpg</t>
  </si>
  <si>
    <t>8daac296</t>
  </si>
  <si>
    <t>https://ryycrdhlkmzpxwwwwupy.supabase.co/storage/v1/object/public/old_media/8daac296.Path.062720.jpg</t>
  </si>
  <si>
    <t>ba3958e6</t>
  </si>
  <si>
    <t>https://ryycrdhlkmzpxwwwwupy.supabase.co/storage/v1/object/public/old_media/ba3958e6.Path.091343.jpg</t>
  </si>
  <si>
    <t>c4574712</t>
  </si>
  <si>
    <t>https://ryycrdhlkmzpxwwwwupy.supabase.co/storage/v1/object/public/old_media/c4574712.Path.150942.jpg</t>
  </si>
  <si>
    <t>bf0f0925</t>
  </si>
  <si>
    <t>https://ryycrdhlkmzpxwwwwupy.supabase.co/storage/v1/object/public/old_media/bf0f0925.Path.151004.jpg</t>
  </si>
  <si>
    <t>5098de99</t>
  </si>
  <si>
    <t>https://ryycrdhlkmzpxwwwwupy.supabase.co/storage/v1/object/public/old_media/5098de99.Path.151029.jpg</t>
  </si>
  <si>
    <t>0374617e</t>
  </si>
  <si>
    <t>https://ryycrdhlkmzpxwwwwupy.supabase.co/storage/v1/object/public/old_media/0374617e.Path.151133.jpg</t>
  </si>
  <si>
    <t>b960be92</t>
  </si>
  <si>
    <t>https://ryycrdhlkmzpxwwwwupy.supabase.co/storage/v1/object/public/old_media/b960be92.Path.151217.jpg</t>
  </si>
  <si>
    <t>412230d5</t>
  </si>
  <si>
    <t>https://ryycrdhlkmzpxwwwwupy.supabase.co/storage/v1/object/public/old_media/412230d5.Path.151302.jpg</t>
  </si>
  <si>
    <t>02f9ab42</t>
  </si>
  <si>
    <t>https://ryycrdhlkmzpxwwwwupy.supabase.co/storage/v1/object/public/old_media/02f9ab42.Path.151336.jpg</t>
  </si>
  <si>
    <t>041f70fe</t>
  </si>
  <si>
    <t>https://ryycrdhlkmzpxwwwwupy.supabase.co/storage/v1/object/public/old_media/041f70fe.Path.151409.jpg</t>
  </si>
  <si>
    <t>a6f326b0</t>
  </si>
  <si>
    <t>https://ryycrdhlkmzpxwwwwupy.supabase.co/storage/v1/object/public/old_media/a6f326b0.Path.151441.jpg</t>
  </si>
  <si>
    <t>4bdf444c</t>
  </si>
  <si>
    <t>https://ryycrdhlkmzpxwwwwupy.supabase.co/storage/v1/object/public/old_media/4bdf444c.Path.151514.jpg</t>
  </si>
  <si>
    <t>e207cec8</t>
  </si>
  <si>
    <t>https://ryycrdhlkmzpxwwwwupy.supabase.co/storage/v1/object/public/old_media/e207cec8.Path.151544.jpg</t>
  </si>
  <si>
    <t>5db8e893</t>
  </si>
  <si>
    <t>https://ryycrdhlkmzpxwwwwupy.supabase.co/storage/v1/object/public/old_media/5db8e893.Path.151614.jpg</t>
  </si>
  <si>
    <t>aade3aae</t>
  </si>
  <si>
    <t>https://ryycrdhlkmzpxwwwwupy.supabase.co/storage/v1/object/public/old_media/aade3aae.Path.151643.jpg</t>
  </si>
  <si>
    <t>6d4e5d14</t>
  </si>
  <si>
    <t>https://ryycrdhlkmzpxwwwwupy.supabase.co/storage/v1/object/public/old_media/6d4e5d14.Path.102532.jpg</t>
  </si>
  <si>
    <t>abd684a2</t>
  </si>
  <si>
    <t>https://ryycrdhlkmzpxwwwwupy.supabase.co/storage/v1/object/public/old_media/abd684a2.Path.102614.jpg</t>
  </si>
  <si>
    <t>bec1e84d</t>
  </si>
  <si>
    <t>https://ryycrdhlkmzpxwwwwupy.supabase.co/storage/v1/object/public/old_media/bec1e84d.Path.113729.jpg</t>
  </si>
  <si>
    <t>f4e351f5</t>
  </si>
  <si>
    <t>https://ryycrdhlkmzpxwwwwupy.supabase.co/storage/v1/object/public/old_media/f4e351f5.Path.113755.jpg</t>
  </si>
  <si>
    <t>49b1d437</t>
  </si>
  <si>
    <t>https://ryycrdhlkmzpxwwwwupy.supabase.co/storage/v1/object/public/old_media/49b1d437.Path.095251.jpg</t>
  </si>
  <si>
    <t>bcc5627f</t>
  </si>
  <si>
    <t>https://ryycrdhlkmzpxwwwwupy.supabase.co/storage/v1/object/public/old_media/bcc5627f.Path.035800.jpg</t>
  </si>
  <si>
    <t>4e7c290b</t>
  </si>
  <si>
    <t>https://ryycrdhlkmzpxwwwwupy.supabase.co/storage/v1/object/public/old_media/4e7c290b.Path.051106.jpg</t>
  </si>
  <si>
    <t>5300875c</t>
  </si>
  <si>
    <t>https://ryycrdhlkmzpxwwwwupy.supabase.co/storage/v1/object/public/old_media/5300875c.Path.051114.jpg</t>
  </si>
  <si>
    <t>ec1fc46f</t>
  </si>
  <si>
    <t>https://ryycrdhlkmzpxwwwwupy.supabase.co/storage/v1/object/public/old_media/ec1fc46f.Path.051124.jpg</t>
  </si>
  <si>
    <t>29b69c1a</t>
  </si>
  <si>
    <t>https://ryycrdhlkmzpxwwwwupy.supabase.co/storage/v1/object/public/old_media/29b69c1a.Path.051137.jpg</t>
  </si>
  <si>
    <t>ba4edc9a</t>
  </si>
  <si>
    <t>https://ryycrdhlkmzpxwwwwupy.supabase.co/storage/v1/object/public/old_media/ba4edc9a.Path.051149.jpg</t>
  </si>
  <si>
    <t>b20d8d35</t>
  </si>
  <si>
    <t>https://ryycrdhlkmzpxwwwwupy.supabase.co/storage/v1/object/public/old_media/b20d8d35.Path.041017.webp</t>
  </si>
  <si>
    <t>2c5f7777</t>
  </si>
  <si>
    <t>https://ryycrdhlkmzpxwwwwupy.supabase.co/storage/v1/object/public/old_media/2c5f7777.Path.041025.webp</t>
  </si>
  <si>
    <t>7a2f68a5</t>
  </si>
  <si>
    <t>https://ryycrdhlkmzpxwwwwupy.supabase.co/storage/v1/object/public/old_media/7a2f68a5.Path.041032.webp</t>
  </si>
  <si>
    <t>ab5ab07c</t>
  </si>
  <si>
    <t>https://ryycrdhlkmzpxwwwwupy.supabase.co/storage/v1/object/public/old_media/ab5ab07c.Path.085726.jpg</t>
  </si>
  <si>
    <t>428f0831</t>
  </si>
  <si>
    <t>https://ryycrdhlkmzpxwwwwupy.supabase.co/storage/v1/object/public/old_media/428f0831.Path.085801.jpg</t>
  </si>
  <si>
    <t>ab0ac7a1</t>
  </si>
  <si>
    <t>https://ryycrdhlkmzpxwwwwupy.supabase.co/storage/v1/object/public/old_media/ab0ac7a1.Path.110138.webp</t>
  </si>
  <si>
    <t>ffbc4f96</t>
  </si>
  <si>
    <t>https://ryycrdhlkmzpxwwwwupy.supabase.co/storage/v1/object/public/old_media/ffbc4f96.Path.044245.jpg</t>
  </si>
  <si>
    <t>50a2b296</t>
  </si>
  <si>
    <t>https://ryycrdhlkmzpxwwwwupy.supabase.co/storage/v1/object/public/old_media/50a2b296.Path.054523.jpg</t>
  </si>
  <si>
    <t>bea3f0b3</t>
  </si>
  <si>
    <t>https://ryycrdhlkmzpxwwwwupy.supabase.co/storage/v1/object/public/old_media/bea3f0b3.Path.054556.jpg</t>
  </si>
  <si>
    <t>069153de</t>
  </si>
  <si>
    <t>https://ryycrdhlkmzpxwwwwupy.supabase.co/storage/v1/object/public/old_media/069153de.Path.054614.jpg</t>
  </si>
  <si>
    <t>c310b285</t>
  </si>
  <si>
    <t>https://ryycrdhlkmzpxwwwwupy.supabase.co/storage/v1/object/public/old_media/c310b285.Path.054632.jpg</t>
  </si>
  <si>
    <t>1ef01fe5</t>
  </si>
  <si>
    <t>https://ryycrdhlkmzpxwwwwupy.supabase.co/storage/v1/object/public/old_media/1ef01fe5.Path.054647.jpg</t>
  </si>
  <si>
    <t>55b404fe</t>
  </si>
  <si>
    <t>https://ryycrdhlkmzpxwwwwupy.supabase.co/storage/v1/object/public/old_media/55b404fe.Path.054705.jpg</t>
  </si>
  <si>
    <t>d070a925</t>
  </si>
  <si>
    <t>https://ryycrdhlkmzpxwwwwupy.supabase.co/storage/v1/object/public/old_media/d070a925.Path.054729.webp</t>
  </si>
  <si>
    <t>0047a8f0</t>
  </si>
  <si>
    <t>https://ryycrdhlkmzpxwwwwupy.supabase.co/storage/v1/object/public/old_media/0047a8f0.Path.062617.jpg</t>
  </si>
  <si>
    <t>4a2f681b</t>
  </si>
  <si>
    <t>https://ryycrdhlkmzpxwwwwupy.supabase.co/storage/v1/object/public/old_media/4a2f681b.Path.062644.jpg</t>
  </si>
  <si>
    <t>a75c7404</t>
  </si>
  <si>
    <t>https://ryycrdhlkmzpxwwwwupy.supabase.co/storage/v1/object/public/old_media/a75c7404.Path.062706.jpg</t>
  </si>
  <si>
    <t>e7137b6f</t>
  </si>
  <si>
    <t>https://ryycrdhlkmzpxwwwwupy.supabase.co/storage/v1/object/public/old_media/e7137b6f.Path.062712.jpg</t>
  </si>
  <si>
    <t>bbd05efa</t>
  </si>
  <si>
    <t>https://ryycrdhlkmzpxwwwwupy.supabase.co/storage/v1/object/public/old_media/bbd05efa.Path.062730.jpg</t>
  </si>
  <si>
    <t>ef928559</t>
  </si>
  <si>
    <t>https://ryycrdhlkmzpxwwwwupy.supabase.co/storage/v1/object/public/old_media/ef928559.Path.062737.jpg</t>
  </si>
  <si>
    <t>af88694c</t>
  </si>
  <si>
    <t>https://ryycrdhlkmzpxwwwwupy.supabase.co/storage/v1/object/public/old_media/af88694c.Path.064033.jpg</t>
  </si>
  <si>
    <t>56b72014</t>
  </si>
  <si>
    <t>https://ryycrdhlkmzpxwwwwupy.supabase.co/storage/v1/object/public/old_media/56b72014.Path.064109.jpg</t>
  </si>
  <si>
    <t>e6859946</t>
  </si>
  <si>
    <t>https://ryycrdhlkmzpxwwwwupy.supabase.co/storage/v1/object/public/old_media/e6859946.Path.071947.jpg</t>
  </si>
  <si>
    <t>8bab462c</t>
  </si>
  <si>
    <t>https://ryycrdhlkmzpxwwwwupy.supabase.co/storage/v1/object/public/old_media/8bab462c.Path.072044.jpg</t>
  </si>
  <si>
    <t>42fcdfb0</t>
  </si>
  <si>
    <t>https://ryycrdhlkmzpxwwwwupy.supabase.co/storage/v1/object/public/old_media/42fcdfb0.Path.072109.jpg</t>
  </si>
  <si>
    <t>9d55489c</t>
  </si>
  <si>
    <t>https://ryycrdhlkmzpxwwwwupy.supabase.co/storage/v1/object/public/old_media/9d55489c.Path.072143.jpg</t>
  </si>
  <si>
    <t>593ea3bf</t>
  </si>
  <si>
    <t>https://ryycrdhlkmzpxwwwwupy.supabase.co/storage/v1/object/public/old_media/593ea3bf.Path.072249.jpg</t>
  </si>
  <si>
    <t>74b07b47</t>
  </si>
  <si>
    <t>https://ryycrdhlkmzpxwwwwupy.supabase.co/storage/v1/object/public/old_media/74b07b47.Path.072315.jpg</t>
  </si>
  <si>
    <t>4649bad2</t>
  </si>
  <si>
    <t>https://ryycrdhlkmzpxwwwwupy.supabase.co/storage/v1/object/public/old_media/4649bad2.Path.072332.jpg</t>
  </si>
  <si>
    <t>bdbd9da3</t>
  </si>
  <si>
    <t>https://ryycrdhlkmzpxwwwwupy.supabase.co/storage/v1/object/public/old_media/bdbd9da3.Path.072351.jpg</t>
  </si>
  <si>
    <t>abc7ebd2</t>
  </si>
  <si>
    <t>https://ryycrdhlkmzpxwwwwupy.supabase.co/storage/v1/object/public/old_media/abc7ebd2.Path.091648.jpg</t>
  </si>
  <si>
    <t>7f2ab567</t>
  </si>
  <si>
    <t>https://ryycrdhlkmzpxwwwwupy.supabase.co/storage/v1/object/public/old_media/7f2ab567.Path.091712.jpg</t>
  </si>
  <si>
    <t>39b1fc44</t>
  </si>
  <si>
    <t>https://ryycrdhlkmzpxwwwwupy.supabase.co/storage/v1/object/public/old_media/39b1fc44.Path.091731.jpg</t>
  </si>
  <si>
    <t>6f489675</t>
  </si>
  <si>
    <t>https://ryycrdhlkmzpxwwwwupy.supabase.co/storage/v1/object/public/old_media/6f489675.Path.091758.jpg</t>
  </si>
  <si>
    <t>2a30f11f</t>
  </si>
  <si>
    <t>https://ryycrdhlkmzpxwwwwupy.supabase.co/storage/v1/object/public/old_media/2a30f11f.Path.091806.jpg</t>
  </si>
  <si>
    <t>465a10f9</t>
  </si>
  <si>
    <t>https://ryycrdhlkmzpxwwwwupy.supabase.co/storage/v1/object/public/old_media/465a10f9.Path.091813.png</t>
  </si>
  <si>
    <t>e32cb660</t>
  </si>
  <si>
    <t>https://ryycrdhlkmzpxwwwwupy.supabase.co/storage/v1/object/public/old_media/e32cb660.Path.093802.jpg</t>
  </si>
  <si>
    <t>e4b7bb27</t>
  </si>
  <si>
    <t>https://ryycrdhlkmzpxwwwwupy.supabase.co/storage/v1/object/public/old_media/e4b7bb27.Path.093820.jpg</t>
  </si>
  <si>
    <t>f5d73d13</t>
  </si>
  <si>
    <t>https://ryycrdhlkmzpxwwwwupy.supabase.co/storage/v1/object/public/old_media/f5d73d13.Path.093829.jpg</t>
  </si>
  <si>
    <t>88cd72a6</t>
  </si>
  <si>
    <t>https://ryycrdhlkmzpxwwwwupy.supabase.co/storage/v1/object/public/old_media/88cd72a6.Path.093837.jpg</t>
  </si>
  <si>
    <t>116b350e</t>
  </si>
  <si>
    <t>https://ryycrdhlkmzpxwwwwupy.supabase.co/storage/v1/object/public/old_media/116b350e.Path.093854.jpg</t>
  </si>
  <si>
    <t>b5c9f224</t>
  </si>
  <si>
    <t>https://ryycrdhlkmzpxwwwwupy.supabase.co/storage/v1/object/public/old_media/b5c9f224.Path.093902.jpg</t>
  </si>
  <si>
    <t>8854e18b</t>
  </si>
  <si>
    <t>https://ryycrdhlkmzpxwwwwupy.supabase.co/storage/v1/object/public/old_media/8854e18b.Path.093918.jpg</t>
  </si>
  <si>
    <t>9da040f9</t>
  </si>
  <si>
    <t>https://ryycrdhlkmzpxwwwwupy.supabase.co/storage/v1/object/public/old_media/9da040f9.Path.093935.jpg</t>
  </si>
  <si>
    <t>474045bd</t>
  </si>
  <si>
    <t>https://ryycrdhlkmzpxwwwwupy.supabase.co/storage/v1/object/public/old_media/474045bd.Path.095733.jpg</t>
  </si>
  <si>
    <t>3bb9c552</t>
  </si>
  <si>
    <t>https://ryycrdhlkmzpxwwwwupy.supabase.co/storage/v1/object/public/old_media/3bb9c552.Path.095758.jpg</t>
  </si>
  <si>
    <t>1d6d5188</t>
  </si>
  <si>
    <t>https://ryycrdhlkmzpxwwwwupy.supabase.co/storage/v1/object/public/old_media/1d6d5188.Path.095842.jpg</t>
  </si>
  <si>
    <t>832451ac</t>
  </si>
  <si>
    <t>https://ryycrdhlkmzpxwwwwupy.supabase.co/storage/v1/object/public/old_media/832451ac.Path.095859.jpg</t>
  </si>
  <si>
    <t>b2efb062</t>
  </si>
  <si>
    <t>https://ryycrdhlkmzpxwwwwupy.supabase.co/storage/v1/object/public/old_media/b2efb062.Path.095904.jpg</t>
  </si>
  <si>
    <t>4baa1677</t>
  </si>
  <si>
    <t>https://ryycrdhlkmzpxwwwwupy.supabase.co/storage/v1/object/public/old_media/4baa1677.Path.095921.jpg</t>
  </si>
  <si>
    <t>0b4af4f7</t>
  </si>
  <si>
    <t>https://ryycrdhlkmzpxwwwwupy.supabase.co/storage/v1/object/public/old_media/0b4af4f7.Path.095937.jpg</t>
  </si>
  <si>
    <t>e6e43dff</t>
  </si>
  <si>
    <t>https://ryycrdhlkmzpxwwwwupy.supabase.co/storage/v1/object/public/old_media/e6e43dff.Path.102732.jpg</t>
  </si>
  <si>
    <t>8022c0cf</t>
  </si>
  <si>
    <t>https://ryycrdhlkmzpxwwwwupy.supabase.co/storage/v1/object/public/old_media/8022c0cf.Path.102752.jpg</t>
  </si>
  <si>
    <t>16b0fe6b</t>
  </si>
  <si>
    <t>https://ryycrdhlkmzpxwwwwupy.supabase.co/storage/v1/object/public/old_media/16b0fe6b.Path.102808.jpg</t>
  </si>
  <si>
    <t>2d279950</t>
  </si>
  <si>
    <t>https://ryycrdhlkmzpxwwwwupy.supabase.co/storage/v1/object/public/old_media/2d279950.Path.102814.jpg</t>
  </si>
  <si>
    <t>5b214baf</t>
  </si>
  <si>
    <t>https://ryycrdhlkmzpxwwwwupy.supabase.co/storage/v1/object/public/old_media/5b214baf.Path.120358.jpg</t>
  </si>
  <si>
    <t>b1ead03e</t>
  </si>
  <si>
    <t>https://ryycrdhlkmzpxwwwwupy.supabase.co/storage/v1/object/public/old_media/b1ead03e.Path.120407.jpg</t>
  </si>
  <si>
    <t>46b486e6</t>
  </si>
  <si>
    <t>https://ryycrdhlkmzpxwwwwupy.supabase.co/storage/v1/object/public/old_media/46b486e6.Path.120414.jpg</t>
  </si>
  <si>
    <t>07af3593</t>
  </si>
  <si>
    <t>https://ryycrdhlkmzpxwwwwupy.supabase.co/storage/v1/object/public/old_media/07af3593.Path.120819.jpg</t>
  </si>
  <si>
    <t>98c40ba7</t>
  </si>
  <si>
    <t>https://ryycrdhlkmzpxwwwwupy.supabase.co/storage/v1/object/public/old_media/98c40ba7.Path.121111.jpg</t>
  </si>
  <si>
    <t>d1f300f2</t>
  </si>
  <si>
    <t>https://ryycrdhlkmzpxwwwwupy.supabase.co/storage/v1/object/public/old_media/d1f300f2.Path.121120.jpg</t>
  </si>
  <si>
    <t>f3c4b8ff</t>
  </si>
  <si>
    <t>https://ryycrdhlkmzpxwwwwupy.supabase.co/storage/v1/object/public/old_media/f3c4b8ff.Path.121137.jpg</t>
  </si>
  <si>
    <t>ca58a136</t>
  </si>
  <si>
    <t>https://ryycrdhlkmzpxwwwwupy.supabase.co/storage/v1/object/public/old_media/ca58a136.Path.053353.png</t>
  </si>
  <si>
    <t>947c08f0</t>
  </si>
  <si>
    <t>https://ryycrdhlkmzpxwwwwupy.supabase.co/storage/v1/object/public/old_media/947c08f0.Path.053413.jpg</t>
  </si>
  <si>
    <t>d866782c</t>
  </si>
  <si>
    <t>https://ryycrdhlkmzpxwwwwupy.supabase.co/storage/v1/object/public/old_media/d866782c.Path.053420.jpg</t>
  </si>
  <si>
    <t>8e48aa6b</t>
  </si>
  <si>
    <t>https://ryycrdhlkmzpxwwwwupy.supabase.co/storage/v1/object/public/old_media/8e48aa6b.Path.053437.jpg</t>
  </si>
  <si>
    <t>60efd147</t>
  </si>
  <si>
    <t>https://ryycrdhlkmzpxwwwwupy.supabase.co/storage/v1/object/public/old_media/60efd147.Path.053456.jpg</t>
  </si>
  <si>
    <t>609c3d77</t>
  </si>
  <si>
    <t>https://ryycrdhlkmzpxwwwwupy.supabase.co/storage/v1/object/public/old_media/609c3d77.Path.054946.jpg</t>
  </si>
  <si>
    <t>35a6103a</t>
  </si>
  <si>
    <t>https://ryycrdhlkmzpxwwwwupy.supabase.co/storage/v1/object/public/old_media/35a6103a.Path.055044.jpg</t>
  </si>
  <si>
    <t>64433208</t>
  </si>
  <si>
    <t>https://ryycrdhlkmzpxwwwwupy.supabase.co/storage/v1/object/public/old_media/64433208.Path.055101.jpg</t>
  </si>
  <si>
    <t>2aeb08db</t>
  </si>
  <si>
    <t>https://ryycrdhlkmzpxwwwwupy.supabase.co/storage/v1/object/public/old_media/2aeb08db.Path.105755.png</t>
  </si>
  <si>
    <t>4017c855</t>
  </si>
  <si>
    <t>https://ryycrdhlkmzpxwwwwupy.supabase.co/storage/v1/object/public/old_media/4017c855.Path.110540.png</t>
  </si>
  <si>
    <t>edf2bc9d</t>
  </si>
  <si>
    <t>https://ryycrdhlkmzpxwwwwupy.supabase.co/storage/v1/object/public/old_media/edf2bc9d.Path.110550.jpg</t>
  </si>
  <si>
    <t>3d84f25e</t>
  </si>
  <si>
    <t>https://ryycrdhlkmzpxwwwwupy.supabase.co/storage/v1/object/public/old_media/3d84f25e.Path.112124.jpg</t>
  </si>
  <si>
    <t>215e595b</t>
  </si>
  <si>
    <t>https://ryycrdhlkmzpxwwwwupy.supabase.co/storage/v1/object/public/old_media/215e595b.Path.112141.jpg</t>
  </si>
  <si>
    <t>54482612</t>
  </si>
  <si>
    <t>https://ryycrdhlkmzpxwwwwupy.supabase.co/storage/v1/object/public/old_media/54482612.Path.112200.jpg</t>
  </si>
  <si>
    <t>c8914e5f</t>
  </si>
  <si>
    <t>https://ryycrdhlkmzpxwwwwupy.supabase.co/storage/v1/object/public/old_media/c8914e5f.Path.113250.jpg</t>
  </si>
  <si>
    <t>d5fdee88</t>
  </si>
  <si>
    <t>https://ryycrdhlkmzpxwwwwupy.supabase.co/storage/v1/object/public/old_media/d5fdee88.Path.113309.jpg</t>
  </si>
  <si>
    <t>58cdeb33</t>
  </si>
  <si>
    <t>https://ryycrdhlkmzpxwwwwupy.supabase.co/storage/v1/object/public/old_media/58cdeb33.Path.113315.jpg</t>
  </si>
  <si>
    <t>8cb30a41</t>
  </si>
  <si>
    <t>https://ryycrdhlkmzpxwwwwupy.supabase.co/storage/v1/object/public/old_media/8cb30a41.Path.122225.png</t>
  </si>
  <si>
    <t>f104b81a</t>
  </si>
  <si>
    <t>https://ryycrdhlkmzpxwwwwupy.supabase.co/storage/v1/object/public/old_media/f104b81a.Path.122233.jpg</t>
  </si>
  <si>
    <t>beca0e6b</t>
  </si>
  <si>
    <t>https://ryycrdhlkmzpxwwwwupy.supabase.co/storage/v1/object/public/old_media/beca0e6b.Path.122251.jpg</t>
  </si>
  <si>
    <t>0de68fe3</t>
  </si>
  <si>
    <t>https://ryycrdhlkmzpxwwwwupy.supabase.co/storage/v1/object/public/old_media/0de68fe3.Path.072120.jpg</t>
  </si>
  <si>
    <t>9658ca00</t>
  </si>
  <si>
    <t>https://ryycrdhlkmzpxwwwwupy.supabase.co/storage/v1/object/public/old_media/9658ca00.Path.072128.jpg</t>
  </si>
  <si>
    <t>a66bb02c</t>
  </si>
  <si>
    <t>https://ryycrdhlkmzpxwwwwupy.supabase.co/storage/v1/object/public/old_media/a66bb02c.Path.072149.jpg</t>
  </si>
  <si>
    <t>b1c823eb</t>
  </si>
  <si>
    <t>https://ryycrdhlkmzpxwwwwupy.supabase.co/storage/v1/object/public/old_media/b1c823eb.Path.072212.jpg</t>
  </si>
  <si>
    <t>441c17fe</t>
  </si>
  <si>
    <t>https://ryycrdhlkmzpxwwwwupy.supabase.co/storage/v1/object/public/old_media/441c17fe.Path.072234.jpg</t>
  </si>
  <si>
    <t>3103cd6b</t>
  </si>
  <si>
    <t>https://ryycrdhlkmzpxwwwwupy.supabase.co/storage/v1/object/public/old_media/3103cd6b.Path.072257.jpg</t>
  </si>
  <si>
    <t>c81a351b</t>
  </si>
  <si>
    <t>https://ryycrdhlkmzpxwwwwupy.supabase.co/storage/v1/object/public/old_media/c81a351b.Path.072319.jpg</t>
  </si>
  <si>
    <t>08bea36c</t>
  </si>
  <si>
    <t>https://ryycrdhlkmzpxwwwwupy.supabase.co/storage/v1/object/public/old_media/08bea36c.Path.072333.jpg</t>
  </si>
  <si>
    <t>b5e6c1df</t>
  </si>
  <si>
    <t>https://ryycrdhlkmzpxwwwwupy.supabase.co/storage/v1/object/public/old_media/b5e6c1df.Path.072354.jpg</t>
  </si>
  <si>
    <t>a7d2c97f</t>
  </si>
  <si>
    <t>https://ryycrdhlkmzpxwwwwupy.supabase.co/storage/v1/object/public/old_media/a7d2c97f.Path.072405.jpg</t>
  </si>
  <si>
    <t>87e7fdd4</t>
  </si>
  <si>
    <t>https://ryycrdhlkmzpxwwwwupy.supabase.co/storage/v1/object/public/old_media/87e7fdd4.Path.072427.jpg</t>
  </si>
  <si>
    <t>4e4b571d</t>
  </si>
  <si>
    <t>https://ryycrdhlkmzpxwwwwupy.supabase.co/storage/v1/object/public/old_media/4e4b571d.Path.050447.jpg</t>
  </si>
  <si>
    <t>a7f419de</t>
  </si>
  <si>
    <t>https://ryycrdhlkmzpxwwwwupy.supabase.co/storage/v1/object/public/old_media/a7f419de.Path.050456.jpg</t>
  </si>
  <si>
    <t>88c1f74d</t>
  </si>
  <si>
    <t>https://ryycrdhlkmzpxwwwwupy.supabase.co/storage/v1/object/public/old_media/88c1f74d.Path.050503.jpg</t>
  </si>
  <si>
    <t>ba23534f</t>
  </si>
  <si>
    <t>https://ryycrdhlkmzpxwwwwupy.supabase.co/storage/v1/object/public/old_media/ba23534f.Path.050510.jpg</t>
  </si>
  <si>
    <t>61431e7a</t>
  </si>
  <si>
    <t>https://ryycrdhlkmzpxwwwwupy.supabase.co/storage/v1/object/public/old_media/61431e7a.Path.050517.jpg</t>
  </si>
  <si>
    <t>6a3c9352</t>
  </si>
  <si>
    <t>https://ryycrdhlkmzpxwwwwupy.supabase.co/storage/v1/object/public/old_media/6a3c9352.Path.050525.jpg</t>
  </si>
  <si>
    <t>733aa66c</t>
  </si>
  <si>
    <t>https://ryycrdhlkmzpxwwwwupy.supabase.co/storage/v1/object/public/old_media/733aa66c.Path.050532.jpg</t>
  </si>
  <si>
    <t>488f3d0b</t>
  </si>
  <si>
    <t>https://ryycrdhlkmzpxwwwwupy.supabase.co/storage/v1/object/public/old_media/488f3d0b.Path.104240.jpg</t>
  </si>
  <si>
    <t>2b1e31a7</t>
  </si>
  <si>
    <t>https://ryycrdhlkmzpxwwwwupy.supabase.co/storage/v1/object/public/old_media/2b1e31a7.Path.104248.jpg</t>
  </si>
  <si>
    <t>94e0e4f8</t>
  </si>
  <si>
    <t>https://ryycrdhlkmzpxwwwwupy.supabase.co/storage/v1/object/public/old_media/94e0e4f8.Path.104254.jpg</t>
  </si>
  <si>
    <t>f55bb302</t>
  </si>
  <si>
    <t>https://ryycrdhlkmzpxwwwwupy.supabase.co/storage/v1/object/public/old_media/f55bb302.Path.104311.jpg</t>
  </si>
  <si>
    <t>3f4840b5</t>
  </si>
  <si>
    <t>https://ryycrdhlkmzpxwwwwupy.supabase.co/storage/v1/object/public/old_media/3f4840b5.Path.104327.jpg</t>
  </si>
  <si>
    <t>1af39f84</t>
  </si>
  <si>
    <t>https://ryycrdhlkmzpxwwwwupy.supabase.co/storage/v1/object/public/old_media/1af39f84.Path.104353.jpg</t>
  </si>
  <si>
    <t>e90226b0</t>
  </si>
  <si>
    <t>https://ryycrdhlkmzpxwwwwupy.supabase.co/storage/v1/object/public/old_media/e90226b0.Path.104409.jpg</t>
  </si>
  <si>
    <t>30880295</t>
  </si>
  <si>
    <t>https://ryycrdhlkmzpxwwwwupy.supabase.co/storage/v1/object/public/old_media/30880295.Path.111159.jpg</t>
  </si>
  <si>
    <t>6a4dfe4f</t>
  </si>
  <si>
    <t>https://ryycrdhlkmzpxwwwwupy.supabase.co/storage/v1/object/public/old_media/6a4dfe4f.Path.111207.jpg</t>
  </si>
  <si>
    <t>efe02ac5</t>
  </si>
  <si>
    <t>https://ryycrdhlkmzpxwwwwupy.supabase.co/storage/v1/object/public/old_media/efe02ac5.Path.111214.jpg</t>
  </si>
  <si>
    <t>a54099f3</t>
  </si>
  <si>
    <t>https://ryycrdhlkmzpxwwwwupy.supabase.co/storage/v1/object/public/old_media/a54099f3.Path.113926.jpg</t>
  </si>
  <si>
    <t>b056700e</t>
  </si>
  <si>
    <t>https://ryycrdhlkmzpxwwwwupy.supabase.co/storage/v1/object/public/old_media/b056700e.Path.114403.jpg</t>
  </si>
  <si>
    <t>5c702dfb</t>
  </si>
  <si>
    <t>https://ryycrdhlkmzpxwwwwupy.supabase.co/storage/v1/object/public/old_media/5c702dfb.Path.114426.jpg</t>
  </si>
  <si>
    <t>4ba49b1f</t>
  </si>
  <si>
    <t>https://ryycrdhlkmzpxwwwwupy.supabase.co/storage/v1/object/public/old_media/4ba49b1f.Path.114433.jpg</t>
  </si>
  <si>
    <t>62ec6258</t>
  </si>
  <si>
    <t>https://ryycrdhlkmzpxwwwwupy.supabase.co/storage/v1/object/public/old_media/62ec6258.Path.114446.jpg</t>
  </si>
  <si>
    <t>4d82eef0</t>
  </si>
  <si>
    <t>https://ryycrdhlkmzpxwwwwupy.supabase.co/storage/v1/object/public/old_media/4d82eef0.Path.114455.jpg</t>
  </si>
  <si>
    <t>e02af32c</t>
  </si>
  <si>
    <t>https://ryycrdhlkmzpxwwwwupy.supabase.co/storage/v1/object/public/old_media/e02af32c.Path.053809.jpg</t>
  </si>
  <si>
    <t>97d39575</t>
  </si>
  <si>
    <t>https://ryycrdhlkmzpxwwwwupy.supabase.co/storage/v1/object/public/old_media/97d39575.Path.054942.jpg</t>
  </si>
  <si>
    <t>8a112f21</t>
  </si>
  <si>
    <t>https://ryycrdhlkmzpxwwwwupy.supabase.co/storage/v1/object/public/old_media/8a112f21.Path.054955.jpg</t>
  </si>
  <si>
    <t>2665c3e7</t>
  </si>
  <si>
    <t>https://ryycrdhlkmzpxwwwwupy.supabase.co/storage/v1/object/public/old_media/2665c3e7.Path.055002.jpg</t>
  </si>
  <si>
    <t>8c0fac28</t>
  </si>
  <si>
    <t>https://ryycrdhlkmzpxwwwwupy.supabase.co/storage/v1/object/public/old_media/8c0fac28.Path.055422.jpg</t>
  </si>
  <si>
    <t>9f20a1f2</t>
  </si>
  <si>
    <t>https://ryycrdhlkmzpxwwwwupy.supabase.co/storage/v1/object/public/old_media/9f20a1f2.Path.060421.jpg</t>
  </si>
  <si>
    <t>f4c43dbb</t>
  </si>
  <si>
    <t>https://ryycrdhlkmzpxwwwwupy.supabase.co/storage/v1/object/public/old_media/f4c43dbb.Path.060437.jpg</t>
  </si>
  <si>
    <t>9990119a</t>
  </si>
  <si>
    <t>https://ryycrdhlkmzpxwwwwupy.supabase.co/storage/v1/object/public/old_media/9990119a.Path.060454.jpg</t>
  </si>
  <si>
    <t>f71937b1</t>
  </si>
  <si>
    <t>https://ryycrdhlkmzpxwwwwupy.supabase.co/storage/v1/object/public/old_media/f71937b1.Path.060459.jpg</t>
  </si>
  <si>
    <t>1d3d2e65</t>
  </si>
  <si>
    <t>https://ryycrdhlkmzpxwwwwupy.supabase.co/storage/v1/object/public/old_media/1d3d2e65.Path.062143.png</t>
  </si>
  <si>
    <t>9e2716a1</t>
  </si>
  <si>
    <t>https://ryycrdhlkmzpxwwwwupy.supabase.co/storage/v1/object/public/old_media/9e2716a1.Path.062151.jpg</t>
  </si>
  <si>
    <t>78bae3f5</t>
  </si>
  <si>
    <t>https://ryycrdhlkmzpxwwwwupy.supabase.co/storage/v1/object/public/old_media/78bae3f5.Path.062200.jpg</t>
  </si>
  <si>
    <t>aa44fd29</t>
  </si>
  <si>
    <t>https://ryycrdhlkmzpxwwwwupy.supabase.co/storage/v1/object/public/old_media/aa44fd29.Path.062211.jpg</t>
  </si>
  <si>
    <t>4ed71f7a</t>
  </si>
  <si>
    <t>https://ryycrdhlkmzpxwwwwupy.supabase.co/storage/v1/object/public/old_media/4ed71f7a.Path.065031.jpg</t>
  </si>
  <si>
    <t>584e3d08</t>
  </si>
  <si>
    <t>https://ryycrdhlkmzpxwwwwupy.supabase.co/storage/v1/object/public/old_media/584e3d08.Path.065049.jpg</t>
  </si>
  <si>
    <t>65de1e1c</t>
  </si>
  <si>
    <t>https://ryycrdhlkmzpxwwwwupy.supabase.co/storage/v1/object/public/old_media/65de1e1c.Path.065056.jpg</t>
  </si>
  <si>
    <t>50ee5a69</t>
  </si>
  <si>
    <t>https://ryycrdhlkmzpxwwwwupy.supabase.co/storage/v1/object/public/old_media/50ee5a69.Path.065506.jpg</t>
  </si>
  <si>
    <t>b15f86e4</t>
  </si>
  <si>
    <t>https://ryycrdhlkmzpxwwwwupy.supabase.co/storage/v1/object/public/old_media/b15f86e4.Path.065523.jpg</t>
  </si>
  <si>
    <t>a8302896</t>
  </si>
  <si>
    <t>https://ryycrdhlkmzpxwwwwupy.supabase.co/storage/v1/object/public/old_media/a8302896.Path.065539.jpg</t>
  </si>
  <si>
    <t>05f1fbe8</t>
  </si>
  <si>
    <t>https://ryycrdhlkmzpxwwwwupy.supabase.co/storage/v1/object/public/old_media/05f1fbe8.Path.070950.jpg</t>
  </si>
  <si>
    <t>dcc838c1</t>
  </si>
  <si>
    <t>https://ryycrdhlkmzpxwwwwupy.supabase.co/storage/v1/object/public/old_media/dcc838c1.Path.072559.jpg</t>
  </si>
  <si>
    <t>64cfb89a</t>
  </si>
  <si>
    <t>https://ryycrdhlkmzpxwwwwupy.supabase.co/storage/v1/object/public/old_media/64cfb89a.Path.072609.jpg</t>
  </si>
  <si>
    <t>52c3355e</t>
  </si>
  <si>
    <t>https://ryycrdhlkmzpxwwwwupy.supabase.co/storage/v1/object/public/old_media/52c3355e.Path.073031.jpg</t>
  </si>
  <si>
    <t>250a5b38</t>
  </si>
  <si>
    <t>https://ryycrdhlkmzpxwwwwupy.supabase.co/storage/v1/object/public/old_media/250a5b38.Path.073058.jpg</t>
  </si>
  <si>
    <t>b32ad045</t>
  </si>
  <si>
    <t>https://ryycrdhlkmzpxwwwwupy.supabase.co/storage/v1/object/public/old_media/b32ad045.Path.074402.jpg</t>
  </si>
  <si>
    <t>ed61e970</t>
  </si>
  <si>
    <t>https://ryycrdhlkmzpxwwwwupy.supabase.co/storage/v1/object/public/old_media/ed61e970.Path.074426.jpg</t>
  </si>
  <si>
    <t>63e79dc9</t>
  </si>
  <si>
    <t>https://ryycrdhlkmzpxwwwwupy.supabase.co/storage/v1/object/public/old_media/63e79dc9.Path.074433.jpg</t>
  </si>
  <si>
    <t>f55acd04</t>
  </si>
  <si>
    <t>https://ryycrdhlkmzpxwwwwupy.supabase.co/storage/v1/object/public/old_media/f55acd04.Path.074510.jpg</t>
  </si>
  <si>
    <t>1a299329</t>
  </si>
  <si>
    <t>https://ryycrdhlkmzpxwwwwupy.supabase.co/storage/v1/object/public/old_media/1a299329.Path.074518.jpg</t>
  </si>
  <si>
    <t>da3ada07</t>
  </si>
  <si>
    <t>https://ryycrdhlkmzpxwwwwupy.supabase.co/storage/v1/object/public/old_media/da3ada07.Path.080722.jpg</t>
  </si>
  <si>
    <t>3599b7af</t>
  </si>
  <si>
    <t>https://ryycrdhlkmzpxwwwwupy.supabase.co/storage/v1/object/public/old_media/3599b7af.Path.080751.jpg</t>
  </si>
  <si>
    <t>01d084d8</t>
  </si>
  <si>
    <t>https://ryycrdhlkmzpxwwwwupy.supabase.co/storage/v1/object/public/old_media/01d084d8.Path.080820.jpg</t>
  </si>
  <si>
    <t>1a6c6483</t>
  </si>
  <si>
    <t>https://ryycrdhlkmzpxwwwwupy.supabase.co/storage/v1/object/public/old_media/1a6c6483.Path.080919.jpg</t>
  </si>
  <si>
    <t>70e9fffb</t>
  </si>
  <si>
    <t>https://ryycrdhlkmzpxwwwwupy.supabase.co/storage/v1/object/public/old_media/70e9fffb.Path.080948.jpg</t>
  </si>
  <si>
    <t>bf4a8a1a</t>
  </si>
  <si>
    <t>https://ryycrdhlkmzpxwwwwupy.supabase.co/storage/v1/object/public/old_media/bf4a8a1a.Path.090553.jpg</t>
  </si>
  <si>
    <t>8a9e2829</t>
  </si>
  <si>
    <t>https://ryycrdhlkmzpxwwwwupy.supabase.co/storage/v1/object/public/old_media/8a9e2829.Path.090600.jpg</t>
  </si>
  <si>
    <t>2437df27</t>
  </si>
  <si>
    <t>https://ryycrdhlkmzpxwwwwupy.supabase.co/storage/v1/object/public/old_media/2437df27.Path.090621.jpg</t>
  </si>
  <si>
    <t>21d63d04</t>
  </si>
  <si>
    <t>https://ryycrdhlkmzpxwwwwupy.supabase.co/storage/v1/object/public/old_media/21d63d04.Path.091303.jpg</t>
  </si>
  <si>
    <t>91fb463d</t>
  </si>
  <si>
    <t>https://ryycrdhlkmzpxwwwwupy.supabase.co/storage/v1/object/public/old_media/91fb463d.Path.091320.jpg</t>
  </si>
  <si>
    <t>e186eee2</t>
  </si>
  <si>
    <t>https://ryycrdhlkmzpxwwwwupy.supabase.co/storage/v1/object/public/old_media/e186eee2.Path.092310.jpg</t>
  </si>
  <si>
    <t>f0439c26</t>
  </si>
  <si>
    <t>https://ryycrdhlkmzpxwwwwupy.supabase.co/storage/v1/object/public/old_media/f0439c26.Path.092316.jpg</t>
  </si>
  <si>
    <t>3f4cca01</t>
  </si>
  <si>
    <t>https://ryycrdhlkmzpxwwwwupy.supabase.co/storage/v1/object/public/old_media/3f4cca01.Path.092333.jpg</t>
  </si>
  <si>
    <t>e466cf98</t>
  </si>
  <si>
    <t>https://ryycrdhlkmzpxwwwwupy.supabase.co/storage/v1/object/public/old_media/e466cf98.Path.092349.jpg</t>
  </si>
  <si>
    <t>85ea7099</t>
  </si>
  <si>
    <t>https://ryycrdhlkmzpxwwwwupy.supabase.co/storage/v1/object/public/old_media/85ea7099.Path.092355.jpg</t>
  </si>
  <si>
    <t>50cd4bc4</t>
  </si>
  <si>
    <t>https://ryycrdhlkmzpxwwwwupy.supabase.co/storage/v1/object/public/old_media/50cd4bc4.Path.094327.jpg</t>
  </si>
  <si>
    <t>40bb349d</t>
  </si>
  <si>
    <t>https://ryycrdhlkmzpxwwwwupy.supabase.co/storage/v1/object/public/old_media/40bb349d.Path.094344.jpg</t>
  </si>
  <si>
    <t>0ee959cd</t>
  </si>
  <si>
    <t>https://ryycrdhlkmzpxwwwwupy.supabase.co/storage/v1/object/public/old_media/0ee959cd.Path.094350.jpg</t>
  </si>
  <si>
    <t>197836f8</t>
  </si>
  <si>
    <t>https://ryycrdhlkmzpxwwwwupy.supabase.co/storage/v1/object/public/old_media/197836f8.Path.094406.jpg</t>
  </si>
  <si>
    <t>6a6b3e74</t>
  </si>
  <si>
    <t>https://ryycrdhlkmzpxwwwwupy.supabase.co/storage/v1/object/public/old_media/6a6b3e74.Path.094412.jpg</t>
  </si>
  <si>
    <t>d4086503</t>
  </si>
  <si>
    <t>https://ryycrdhlkmzpxwwwwupy.supabase.co/storage/v1/object/public/old_media/d4086503.Path.100848.jpg</t>
  </si>
  <si>
    <t>1338d252</t>
  </si>
  <si>
    <t>https://ryycrdhlkmzpxwwwwupy.supabase.co/storage/v1/object/public/old_media/1338d252.Path.100857.jpg</t>
  </si>
  <si>
    <t>13febd73</t>
  </si>
  <si>
    <t>https://ryycrdhlkmzpxwwwwupy.supabase.co/storage/v1/object/public/old_media/13febd73.Path.100905.jpg</t>
  </si>
  <si>
    <t>1ae9c04d</t>
  </si>
  <si>
    <t>https://ryycrdhlkmzpxwwwwupy.supabase.co/storage/v1/object/public/old_media/1ae9c04d.Path.100912.jpg</t>
  </si>
  <si>
    <t>ee99f1db</t>
  </si>
  <si>
    <t>https://ryycrdhlkmzpxwwwwupy.supabase.co/storage/v1/object/public/old_media/ee99f1db.Path.101830.png</t>
  </si>
  <si>
    <t>7127b821</t>
  </si>
  <si>
    <t>https://ryycrdhlkmzpxwwwwupy.supabase.co/storage/v1/object/public/old_media/7127b821.Path.101846.jpg</t>
  </si>
  <si>
    <t>380abd1b</t>
  </si>
  <si>
    <t>https://ryycrdhlkmzpxwwwwupy.supabase.co/storage/v1/object/public/old_media/380abd1b.Path.101852.jpg</t>
  </si>
  <si>
    <t>db1f43c5</t>
  </si>
  <si>
    <t>https://ryycrdhlkmzpxwwwwupy.supabase.co/storage/v1/object/public/old_media/db1f43c5.Path.102748.jpg</t>
  </si>
  <si>
    <t>122608fe</t>
  </si>
  <si>
    <t>https://ryycrdhlkmzpxwwwwupy.supabase.co/storage/v1/object/public/old_media/122608fe.Path.102756.jpg</t>
  </si>
  <si>
    <t>ec61cce1</t>
  </si>
  <si>
    <t>https://ryycrdhlkmzpxwwwwupy.supabase.co/storage/v1/object/public/old_media/ec61cce1.Path.102801.jpg</t>
  </si>
  <si>
    <t>9f4190c9</t>
  </si>
  <si>
    <t>https://ryycrdhlkmzpxwwwwupy.supabase.co/storage/v1/object/public/old_media/9f4190c9.Path.102818.jpg</t>
  </si>
  <si>
    <t>d3887695</t>
  </si>
  <si>
    <t>https://ryycrdhlkmzpxwwwwupy.supabase.co/storage/v1/object/public/old_media/d3887695.Path.103807.png</t>
  </si>
  <si>
    <t>fbcfb68f</t>
  </si>
  <si>
    <t>https://ryycrdhlkmzpxwwwwupy.supabase.co/storage/v1/object/public/old_media/fbcfb68f.Path.110707.jpg</t>
  </si>
  <si>
    <t>a3a5eaf5</t>
  </si>
  <si>
    <t>https://ryycrdhlkmzpxwwwwupy.supabase.co/storage/v1/object/public/old_media/a3a5eaf5.Path.110714.jpg</t>
  </si>
  <si>
    <t>72152c09</t>
  </si>
  <si>
    <t>https://ryycrdhlkmzpxwwwwupy.supabase.co/storage/v1/object/public/old_media/72152c09.Path.110721.jpg</t>
  </si>
  <si>
    <t>ac50a662</t>
  </si>
  <si>
    <t>https://ryycrdhlkmzpxwwwwupy.supabase.co/storage/v1/object/public/old_media/ac50a662.Path.110727.jpg</t>
  </si>
  <si>
    <t>f2661b0a</t>
  </si>
  <si>
    <t>https://ryycrdhlkmzpxwwwwupy.supabase.co/storage/v1/object/public/old_media/f2661b0a.Path.110733.jpg</t>
  </si>
  <si>
    <t>f923bc89</t>
  </si>
  <si>
    <t>https://ryycrdhlkmzpxwwwwupy.supabase.co/storage/v1/object/public/old_media/f923bc89.Path.111353.webp</t>
  </si>
  <si>
    <t>12af4b36</t>
  </si>
  <si>
    <t>https://ryycrdhlkmzpxwwwwupy.supabase.co/storage/v1/object/public/old_media/12af4b36.Path.111410.webp</t>
  </si>
  <si>
    <t>94fc6086</t>
  </si>
  <si>
    <t>https://ryycrdhlkmzpxwwwwupy.supabase.co/storage/v1/object/public/old_media/94fc6086.Path.111416.webp</t>
  </si>
  <si>
    <t>5c79fe4a</t>
  </si>
  <si>
    <t>https://ryycrdhlkmzpxwwwwupy.supabase.co/storage/v1/object/public/old_media/5c79fe4a.Path.111432.webp</t>
  </si>
  <si>
    <t>46ad9aca</t>
  </si>
  <si>
    <t>https://ryycrdhlkmzpxwwwwupy.supabase.co/storage/v1/object/public/old_media/46ad9aca.Path.111438.webp</t>
  </si>
  <si>
    <t>cd1588d3</t>
  </si>
  <si>
    <t>https://ryycrdhlkmzpxwwwwupy.supabase.co/storage/v1/object/public/old_media/cd1588d3.Path.111454.webp</t>
  </si>
  <si>
    <t>7702922c</t>
  </si>
  <si>
    <t>https://ryycrdhlkmzpxwwwwupy.supabase.co/storage/v1/object/public/old_media/7702922c.Path.111500.webp</t>
  </si>
  <si>
    <t>65e4a842</t>
  </si>
  <si>
    <t>https://ryycrdhlkmzpxwwwwupy.supabase.co/storage/v1/object/public/old_media/65e4a842.Path.112527.jpg</t>
  </si>
  <si>
    <t>57be798b</t>
  </si>
  <si>
    <t>https://ryycrdhlkmzpxwwwwupy.supabase.co/storage/v1/object/public/old_media/57be798b.Path.112533.jpg</t>
  </si>
  <si>
    <t>20dd68a4</t>
  </si>
  <si>
    <t>https://ryycrdhlkmzpxwwwwupy.supabase.co/storage/v1/object/public/old_media/20dd68a4.Path.112549.jpg</t>
  </si>
  <si>
    <t>4f27020a</t>
  </si>
  <si>
    <t>https://ryycrdhlkmzpxwwwwupy.supabase.co/storage/v1/object/public/old_media/4f27020a.Path.112555.jpg</t>
  </si>
  <si>
    <t>bcf8d2ae</t>
  </si>
  <si>
    <t>https://ryycrdhlkmzpxwwwwupy.supabase.co/storage/v1/object/public/old_media/bcf8d2ae.Path.115349.jpg</t>
  </si>
  <si>
    <t>f67220ee</t>
  </si>
  <si>
    <t>https://ryycrdhlkmzpxwwwwupy.supabase.co/storage/v1/object/public/old_media/f67220ee.Path.115356.jpg</t>
  </si>
  <si>
    <t>883356a7</t>
  </si>
  <si>
    <t>https://ryycrdhlkmzpxwwwwupy.supabase.co/storage/v1/object/public/old_media/883356a7.Path.115402.jpg</t>
  </si>
  <si>
    <t>a69f8ea2</t>
  </si>
  <si>
    <t>https://ryycrdhlkmzpxwwwwupy.supabase.co/storage/v1/object/public/old_media/a69f8ea2.Path.115408.jpg</t>
  </si>
  <si>
    <t>56cb69ce</t>
  </si>
  <si>
    <t>https://ryycrdhlkmzpxwwwwupy.supabase.co/storage/v1/object/public/old_media/56cb69ce.Path.120829.webp</t>
  </si>
  <si>
    <t>a562991c</t>
  </si>
  <si>
    <t>https://ryycrdhlkmzpxwwwwupy.supabase.co/storage/v1/object/public/old_media/a562991c.Path.120836.webp</t>
  </si>
  <si>
    <t>b294dae3</t>
  </si>
  <si>
    <t>https://ryycrdhlkmzpxwwwwupy.supabase.co/storage/v1/object/public/old_media/b294dae3.Path.120843.webp</t>
  </si>
  <si>
    <t>15861035</t>
  </si>
  <si>
    <t>https://ryycrdhlkmzpxwwwwupy.supabase.co/storage/v1/object/public/old_media/15861035.Path.120901.webp</t>
  </si>
  <si>
    <t>a04a0217</t>
  </si>
  <si>
    <t>https://ryycrdhlkmzpxwwwwupy.supabase.co/storage/v1/object/public/old_media/a04a0217.Path.120907.webp</t>
  </si>
  <si>
    <t>beec8c62</t>
  </si>
  <si>
    <t>https://ryycrdhlkmzpxwwwwupy.supabase.co/storage/v1/object/public/old_media/beec8c62.Path.120914.webp</t>
  </si>
  <si>
    <t>10ee6c4c</t>
  </si>
  <si>
    <t>https://ryycrdhlkmzpxwwwwupy.supabase.co/storage/v1/object/public/old_media/10ee6c4c.Path.120936.webp</t>
  </si>
  <si>
    <t>e60d1728</t>
  </si>
  <si>
    <t>https://ryycrdhlkmzpxwwwwupy.supabase.co/storage/v1/object/public/old_media/e60d1728.Path.120952.webp</t>
  </si>
  <si>
    <t>c8157f1d</t>
  </si>
  <si>
    <t>https://ryycrdhlkmzpxwwwwupy.supabase.co/storage/v1/object/public/old_media/c8157f1d.Path.052943.jpg</t>
  </si>
  <si>
    <t>6e83c3bd</t>
  </si>
  <si>
    <t>https://ryycrdhlkmzpxwwwwupy.supabase.co/storage/v1/object/public/old_media/6e83c3bd.Path.052950.jpg</t>
  </si>
  <si>
    <t>7983408b</t>
  </si>
  <si>
    <t>https://ryycrdhlkmzpxwwwwupy.supabase.co/storage/v1/object/public/old_media/7983408b.Path.053007.jpg</t>
  </si>
  <si>
    <t>399e06db</t>
  </si>
  <si>
    <t>https://ryycrdhlkmzpxwwwwupy.supabase.co/storage/v1/object/public/old_media/399e06db.Path.053023.jpg</t>
  </si>
  <si>
    <t>ea0beb40</t>
  </si>
  <si>
    <t>https://ryycrdhlkmzpxwwwwupy.supabase.co/storage/v1/object/public/old_media/ea0beb40.Path.053029.jpg</t>
  </si>
  <si>
    <t>b9d170ab</t>
  </si>
  <si>
    <t>https://ryycrdhlkmzpxwwwwupy.supabase.co/storage/v1/object/public/old_media/b9d170ab.Path.053045.jpg</t>
  </si>
  <si>
    <t>e838c9be</t>
  </si>
  <si>
    <t>https://ryycrdhlkmzpxwwwwupy.supabase.co/storage/v1/object/public/old_media/e838c9be.Path.053101.jpg</t>
  </si>
  <si>
    <t>9a36ac78</t>
  </si>
  <si>
    <t>https://ryycrdhlkmzpxwwwwupy.supabase.co/storage/v1/object/public/old_media/9a36ac78.Path.053106.jpg</t>
  </si>
  <si>
    <t>ae6ce11c</t>
  </si>
  <si>
    <t>https://ryycrdhlkmzpxwwwwupy.supabase.co/storage/v1/object/public/old_media/ae6ce11c.Path.060314.jpg</t>
  </si>
  <si>
    <t>c8e1297d</t>
  </si>
  <si>
    <t>https://ryycrdhlkmzpxwwwwupy.supabase.co/storage/v1/object/public/old_media/c8e1297d.Path.060343.jpg</t>
  </si>
  <si>
    <t>a112239b</t>
  </si>
  <si>
    <t>https://ryycrdhlkmzpxwwwwupy.supabase.co/storage/v1/object/public/old_media/a112239b.Path.060446.jpg</t>
  </si>
  <si>
    <t>b12efb2c</t>
  </si>
  <si>
    <t>https://ryycrdhlkmzpxwwwwupy.supabase.co/storage/v1/object/public/old_media/b12efb2c.Path.053828.jpg</t>
  </si>
  <si>
    <t>254060db</t>
  </si>
  <si>
    <t>https://ryycrdhlkmzpxwwwwupy.supabase.co/storage/v1/object/public/old_media/254060db.Path.054931.jpg</t>
  </si>
  <si>
    <t>b16e9fac</t>
  </si>
  <si>
    <t>https://ryycrdhlkmzpxwwwwupy.supabase.co/storage/v1/object/public/old_media/b16e9fac.Path.054938.jpg</t>
  </si>
  <si>
    <t>a2172bba</t>
  </si>
  <si>
    <t>https://ryycrdhlkmzpxwwwwupy.supabase.co/storage/v1/object/public/old_media/a2172bba.Path.054956.jpg</t>
  </si>
  <si>
    <t>d28ac2be</t>
  </si>
  <si>
    <t>https://ryycrdhlkmzpxwwwwupy.supabase.co/storage/v1/object/public/old_media/d28ac2be.Path.060357.jpg</t>
  </si>
  <si>
    <t>093a8ac7</t>
  </si>
  <si>
    <t>https://ryycrdhlkmzpxwwwwupy.supabase.co/storage/v1/object/public/old_media/093a8ac7.Path.060408.jpg</t>
  </si>
  <si>
    <t>bec56aa6</t>
  </si>
  <si>
    <t>https://ryycrdhlkmzpxwwwwupy.supabase.co/storage/v1/object/public/old_media/bec56aa6.Path.060425.jpg</t>
  </si>
  <si>
    <t>b9504d70</t>
  </si>
  <si>
    <t>https://ryycrdhlkmzpxwwwwupy.supabase.co/storage/v1/object/public/old_media/b9504d70.Path.060431.jpg</t>
  </si>
  <si>
    <t>2d36f7d2</t>
  </si>
  <si>
    <t>https://ryycrdhlkmzpxwwwwupy.supabase.co/storage/v1/object/public/old_media/2d36f7d2.Path.061357.jpg</t>
  </si>
  <si>
    <t>19f126ef</t>
  </si>
  <si>
    <t>https://ryycrdhlkmzpxwwwwupy.supabase.co/storage/v1/object/public/old_media/19f126ef.Path.061404.jpg</t>
  </si>
  <si>
    <t>213e4ff7</t>
  </si>
  <si>
    <t>https://ryycrdhlkmzpxwwwwupy.supabase.co/storage/v1/object/public/old_media/213e4ff7.Path.061410.jpg</t>
  </si>
  <si>
    <t>23a49ba9</t>
  </si>
  <si>
    <t>https://ryycrdhlkmzpxwwwwupy.supabase.co/storage/v1/object/public/old_media/23a49ba9.Path.093512.jpg</t>
  </si>
  <si>
    <t>01f114f3</t>
  </si>
  <si>
    <t>https://ryycrdhlkmzpxwwwwupy.supabase.co/storage/v1/object/public/old_media/01f114f3.Path.093518.jpg</t>
  </si>
  <si>
    <t>44d9b8c8</t>
  </si>
  <si>
    <t>https://ryycrdhlkmzpxwwwwupy.supabase.co/storage/v1/object/public/old_media/44d9b8c8.Path.093534.jpg</t>
  </si>
  <si>
    <t>4bfcdf97</t>
  </si>
  <si>
    <t>https://ryycrdhlkmzpxwwwwupy.supabase.co/storage/v1/object/public/old_media/4bfcdf97.Path.074132.jpg</t>
  </si>
  <si>
    <t>d80e278e</t>
  </si>
  <si>
    <t>https://ryycrdhlkmzpxwwwwupy.supabase.co/storage/v1/object/public/old_media/d80e278e.Path.074150.jpg</t>
  </si>
  <si>
    <t>13860fd7</t>
  </si>
  <si>
    <t>https://ryycrdhlkmzpxwwwwupy.supabase.co/storage/v1/object/public/old_media/13860fd7.Path.074221.jpg</t>
  </si>
  <si>
    <t>a9146289</t>
  </si>
  <si>
    <t>https://ryycrdhlkmzpxwwwwupy.supabase.co/storage/v1/object/public/old_media/a9146289.Path.075611.jpg</t>
  </si>
  <si>
    <t>7794f00b</t>
  </si>
  <si>
    <t>https://ryycrdhlkmzpxwwwwupy.supabase.co/storage/v1/object/public/old_media/7794f00b.Path.075629.jpg</t>
  </si>
  <si>
    <t>de182b1d</t>
  </si>
  <si>
    <t>https://ryycrdhlkmzpxwwwwupy.supabase.co/storage/v1/object/public/old_media/de182b1d.Path.075637.jpg</t>
  </si>
  <si>
    <t>3192767b</t>
  </si>
  <si>
    <t>https://ryycrdhlkmzpxwwwwupy.supabase.co/storage/v1/object/public/old_media/3192767b.Path.075645.jpg</t>
  </si>
  <si>
    <t>93978a2f</t>
  </si>
  <si>
    <t>https://ryycrdhlkmzpxwwwwupy.supabase.co/storage/v1/object/public/old_media/93978a2f.Path.055537.jpg</t>
  </si>
  <si>
    <t>6952efe0</t>
  </si>
  <si>
    <t>https://ryycrdhlkmzpxwwwwupy.supabase.co/storage/v1/object/public/old_media/6952efe0.Path.055601.jpg</t>
  </si>
  <si>
    <t>61b24241</t>
  </si>
  <si>
    <t>https://ryycrdhlkmzpxwwwwupy.supabase.co/storage/v1/object/public/old_media/61b24241.Path.055629.jpg</t>
  </si>
  <si>
    <t>54aab6fd</t>
  </si>
  <si>
    <t>https://ryycrdhlkmzpxwwwwupy.supabase.co/storage/v1/object/public/old_media/54aab6fd.Path.055634.jpg</t>
  </si>
  <si>
    <t>3fe83411</t>
  </si>
  <si>
    <t>https://ryycrdhlkmzpxwwwwupy.supabase.co/storage/v1/object/public/old_media/3fe83411.Path.055650.jpg</t>
  </si>
  <si>
    <t>58bc1ba6</t>
  </si>
  <si>
    <t>https://ryycrdhlkmzpxwwwwupy.supabase.co/storage/v1/object/public/old_media/58bc1ba6.Path.055705.jpg</t>
  </si>
  <si>
    <t>f0bb6beb</t>
  </si>
  <si>
    <t>https://ryycrdhlkmzpxwwwwupy.supabase.co/storage/v1/object/public/old_media/f0bb6beb.Path.055711.jpg</t>
  </si>
  <si>
    <t>47f85c67</t>
  </si>
  <si>
    <t>https://ryycrdhlkmzpxwwwwupy.supabase.co/storage/v1/object/public/old_media/47f85c67.Path.055727.jpg</t>
  </si>
  <si>
    <t>5f18c505</t>
  </si>
  <si>
    <t>https://ryycrdhlkmzpxwwwwupy.supabase.co/storage/v1/object/public/old_media/5f18c505.Path.055734.jpg</t>
  </si>
  <si>
    <t>76cfd634</t>
  </si>
  <si>
    <t>https://ryycrdhlkmzpxwwwwupy.supabase.co/storage/v1/object/public/old_media/76cfd634.Path.060857.jpg</t>
  </si>
  <si>
    <t>645a4fde</t>
  </si>
  <si>
    <t>https://ryycrdhlkmzpxwwwwupy.supabase.co/storage/v1/object/public/old_media/645a4fde.Path.060913.jpg</t>
  </si>
  <si>
    <t>3e92b6d6</t>
  </si>
  <si>
    <t>https://ryycrdhlkmzpxwwwwupy.supabase.co/storage/v1/object/public/old_media/3e92b6d6.Path.060930.jpg</t>
  </si>
  <si>
    <t>e04eb404</t>
  </si>
  <si>
    <t>https://ryycrdhlkmzpxwwwwupy.supabase.co/storage/v1/object/public/old_media/e04eb404.Path.060936.jpg</t>
  </si>
  <si>
    <t>0e51bf2f</t>
  </si>
  <si>
    <t>https://ryycrdhlkmzpxwwwwupy.supabase.co/storage/v1/object/public/old_media/0e51bf2f.Path.060953.jpg</t>
  </si>
  <si>
    <t>282412f2</t>
  </si>
  <si>
    <t>https://ryycrdhlkmzpxwwwwupy.supabase.co/storage/v1/object/public/old_media/282412f2.Path.061011.jpg</t>
  </si>
  <si>
    <t>66d3fec9</t>
  </si>
  <si>
    <t>https://ryycrdhlkmzpxwwwwupy.supabase.co/storage/v1/object/public/old_media/66d3fec9.Path.065849.jpg</t>
  </si>
  <si>
    <t>55c87224</t>
  </si>
  <si>
    <t>https://ryycrdhlkmzpxwwwwupy.supabase.co/storage/v1/object/public/old_media/55c87224.Path.065855.jpg</t>
  </si>
  <si>
    <t>df35ea7c</t>
  </si>
  <si>
    <t>https://ryycrdhlkmzpxwwwwupy.supabase.co/storage/v1/object/public/old_media/df35ea7c.Path.065902.jpg</t>
  </si>
  <si>
    <t>00484d58</t>
  </si>
  <si>
    <t>https://ryycrdhlkmzpxwwwwupy.supabase.co/storage/v1/object/public/old_media/00484d58.Path.065909.jpg</t>
  </si>
  <si>
    <t>88afd18c</t>
  </si>
  <si>
    <t>https://ryycrdhlkmzpxwwwwupy.supabase.co/storage/v1/object/public/old_media/88afd18c.Path.065914.jpg</t>
  </si>
  <si>
    <t>3b1d929f</t>
  </si>
  <si>
    <t>https://ryycrdhlkmzpxwwwwupy.supabase.co/storage/v1/object/public/old_media/3b1d929f.Path.065930.jpg</t>
  </si>
  <si>
    <t>24d86dee</t>
  </si>
  <si>
    <t>https://ryycrdhlkmzpxwwwwupy.supabase.co/storage/v1/object/public/old_media/24d86dee.Path.074634.jpg</t>
  </si>
  <si>
    <t>93b9388f</t>
  </si>
  <si>
    <t>https://ryycrdhlkmzpxwwwwupy.supabase.co/storage/v1/object/public/old_media/93b9388f.Path.074642.jpg</t>
  </si>
  <si>
    <t>b21b7890</t>
  </si>
  <si>
    <t>https://ryycrdhlkmzpxwwwwupy.supabase.co/storage/v1/object/public/old_media/b21b7890.Path.074650.jpg</t>
  </si>
  <si>
    <t>7e085c6c</t>
  </si>
  <si>
    <t>https://ryycrdhlkmzpxwwwwupy.supabase.co/storage/v1/object/public/old_media/7e085c6c.Path.074655.jpg</t>
  </si>
  <si>
    <t>826a873a</t>
  </si>
  <si>
    <t>https://ryycrdhlkmzpxwwwwupy.supabase.co/storage/v1/object/public/old_media/826a873a.Path.092517.jpg</t>
  </si>
  <si>
    <t>e264ec5d</t>
  </si>
  <si>
    <t>https://ryycrdhlkmzpxwwwwupy.supabase.co/storage/v1/object/public/old_media/e264ec5d.Path.092524.jpg</t>
  </si>
  <si>
    <t>8a8213ee</t>
  </si>
  <si>
    <t>https://ryycrdhlkmzpxwwwwupy.supabase.co/storage/v1/object/public/old_media/8a8213ee.Path.092530.jpg</t>
  </si>
  <si>
    <t>93e2c640</t>
  </si>
  <si>
    <t>https://ryycrdhlkmzpxwwwwupy.supabase.co/storage/v1/object/public/old_media/93e2c640.Path.053815.jpg</t>
  </si>
  <si>
    <t>1164f15a</t>
  </si>
  <si>
    <t>https://ryycrdhlkmzpxwwwwupy.supabase.co/storage/v1/object/public/old_media/1164f15a.Path.053833.jpg</t>
  </si>
  <si>
    <t>c7062b96</t>
  </si>
  <si>
    <t>https://ryycrdhlkmzpxwwwwupy.supabase.co/storage/v1/object/public/old_media/c7062b96.Path.053840.jpg</t>
  </si>
  <si>
    <t>8b219ba4</t>
  </si>
  <si>
    <t>https://ryycrdhlkmzpxwwwwupy.supabase.co/storage/v1/object/public/old_media/8b219ba4.Path.053856.jpg</t>
  </si>
  <si>
    <t>e12db2c9</t>
  </si>
  <si>
    <t>https://ryycrdhlkmzpxwwwwupy.supabase.co/storage/v1/object/public/old_media/e12db2c9.Path.053912.jpg</t>
  </si>
  <si>
    <t>7c917f7d</t>
  </si>
  <si>
    <t>https://ryycrdhlkmzpxwwwwupy.supabase.co/storage/v1/object/public/old_media/7c917f7d.Path.053928.jpg</t>
  </si>
  <si>
    <t>4f6d928f</t>
  </si>
  <si>
    <t>https://ryycrdhlkmzpxwwwwupy.supabase.co/storage/v1/object/public/old_media/4f6d928f.Path.053935.jpg</t>
  </si>
  <si>
    <t>98940ba0</t>
  </si>
  <si>
    <t>https://ryycrdhlkmzpxwwwwupy.supabase.co/storage/v1/object/public/old_media/98940ba0.Path.053953.jpg</t>
  </si>
  <si>
    <t>dcdaa5cb</t>
  </si>
  <si>
    <t>https://ryycrdhlkmzpxwwwwupy.supabase.co/storage/v1/object/public/old_media/dcdaa5cb.Path.053959.jpg</t>
  </si>
  <si>
    <t>bc454d7d</t>
  </si>
  <si>
    <t>https://ryycrdhlkmzpxwwwwupy.supabase.co/storage/v1/object/public/old_media/bc454d7d.Path.060218.jpg</t>
  </si>
  <si>
    <t>aee136e4</t>
  </si>
  <si>
    <t>https://ryycrdhlkmzpxwwwwupy.supabase.co/storage/v1/object/public/old_media/aee136e4.Path.060225.jpg</t>
  </si>
  <si>
    <t>485420da</t>
  </si>
  <si>
    <t>https://ryycrdhlkmzpxwwwwupy.supabase.co/storage/v1/object/public/old_media/485420da.Path.060241.jpg</t>
  </si>
  <si>
    <t>9ab7b6a5</t>
  </si>
  <si>
    <t>https://ryycrdhlkmzpxwwwwupy.supabase.co/storage/v1/object/public/old_media/9ab7b6a5.Path.060248.jpg</t>
  </si>
  <si>
    <t>9986b0ef</t>
  </si>
  <si>
    <t>https://ryycrdhlkmzpxwwwwupy.supabase.co/storage/v1/object/public/old_media/9986b0ef.Path.060313.jpg</t>
  </si>
  <si>
    <t>4df32f63</t>
  </si>
  <si>
    <t>https://ryycrdhlkmzpxwwwwupy.supabase.co/storage/v1/object/public/old_media/4df32f63.Path.091825.jpg</t>
  </si>
  <si>
    <t>6ca2b193</t>
  </si>
  <si>
    <t>https://ryycrdhlkmzpxwwwwupy.supabase.co/storage/v1/object/public/old_media/6ca2b193.Path.091832.jpg</t>
  </si>
  <si>
    <t>897459c4</t>
  </si>
  <si>
    <t>https://ryycrdhlkmzpxwwwwupy.supabase.co/storage/v1/object/public/old_media/897459c4.Path.093808.jpg</t>
  </si>
  <si>
    <t>d4a09f28</t>
  </si>
  <si>
    <t>https://ryycrdhlkmzpxwwwwupy.supabase.co/storage/v1/object/public/old_media/d4a09f28.Path.093815.jpg</t>
  </si>
  <si>
    <t>0ad581a1</t>
  </si>
  <si>
    <t>https://ryycrdhlkmzpxwwwwupy.supabase.co/storage/v1/object/public/old_media/0ad581a1.Path.093822.jpg</t>
  </si>
  <si>
    <t>9f282b82</t>
  </si>
  <si>
    <t>https://ryycrdhlkmzpxwwwwupy.supabase.co/storage/v1/object/public/old_media/9f282b82.Path.093829.jpg</t>
  </si>
  <si>
    <t>2c707551</t>
  </si>
  <si>
    <t>https://ryycrdhlkmzpxwwwwupy.supabase.co/storage/v1/object/public/old_media/2c707551.Path.093835.jpg</t>
  </si>
  <si>
    <t>e7969d99</t>
  </si>
  <si>
    <t>https://ryycrdhlkmzpxwwwwupy.supabase.co/storage/v1/object/public/old_media/e7969d99.Path.095449.jpg</t>
  </si>
  <si>
    <t>c7d13015</t>
  </si>
  <si>
    <t>https://ryycrdhlkmzpxwwwwupy.supabase.co/storage/v1/object/public/old_media/c7d13015.Path.095456.jpg</t>
  </si>
  <si>
    <t>3082640e</t>
  </si>
  <si>
    <t>https://ryycrdhlkmzpxwwwwupy.supabase.co/storage/v1/object/public/old_media/3082640e.Path.095502.jpg</t>
  </si>
  <si>
    <t>eff40171</t>
  </si>
  <si>
    <t>https://ryycrdhlkmzpxwwwwupy.supabase.co/storage/v1/object/public/old_media/eff40171.Path.044814.jpg</t>
  </si>
  <si>
    <t>1c0f00a4</t>
  </si>
  <si>
    <t>https://ryycrdhlkmzpxwwwwupy.supabase.co/storage/v1/object/public/old_media/1c0f00a4.Path.044832.jpg</t>
  </si>
  <si>
    <t>f7a5290f</t>
  </si>
  <si>
    <t>https://ryycrdhlkmzpxwwwwupy.supabase.co/storage/v1/object/public/old_media/f7a5290f.Path.044838.jpg</t>
  </si>
  <si>
    <t>04989d0b</t>
  </si>
  <si>
    <t>https://ryycrdhlkmzpxwwwwupy.supabase.co/storage/v1/object/public/old_media/04989d0b.Path.044855.jpg</t>
  </si>
  <si>
    <t>717bbbdd</t>
  </si>
  <si>
    <t>https://ryycrdhlkmzpxwwwwupy.supabase.co/storage/v1/object/public/old_media/717bbbdd.Path.044903.jpg</t>
  </si>
  <si>
    <t>8f1e52f5</t>
  </si>
  <si>
    <t>https://ryycrdhlkmzpxwwwwupy.supabase.co/storage/v1/object/public/old_media/8f1e52f5.Path.044920.jpg</t>
  </si>
  <si>
    <t>61549a2c</t>
  </si>
  <si>
    <t>https://ryycrdhlkmzpxwwwwupy.supabase.co/storage/v1/object/public/old_media/61549a2c.Path.080015.jpg</t>
  </si>
  <si>
    <t>16a43282</t>
  </si>
  <si>
    <t>https://ryycrdhlkmzpxwwwwupy.supabase.co/storage/v1/object/public/old_media/16a43282.Path.080120.jpg</t>
  </si>
  <si>
    <t>eb90ffad</t>
  </si>
  <si>
    <t>https://ryycrdhlkmzpxwwwwupy.supabase.co/storage/v1/object/public/old_media/eb90ffad.Path.080145.jpg</t>
  </si>
  <si>
    <t>d06501c1</t>
  </si>
  <si>
    <t>https://ryycrdhlkmzpxwwwwupy.supabase.co/storage/v1/object/public/old_media/d06501c1.Path.080159.jpg</t>
  </si>
  <si>
    <t>550011d8</t>
  </si>
  <si>
    <t>https://ryycrdhlkmzpxwwwwupy.supabase.co/storage/v1/object/public/old_media/550011d8.Path.080214.jpg</t>
  </si>
  <si>
    <t>0420d939</t>
  </si>
  <si>
    <t>https://ryycrdhlkmzpxwwwwupy.supabase.co/storage/v1/object/public/old_media/0420d939.Path.080228.jpg</t>
  </si>
  <si>
    <t>0a2f9aba</t>
  </si>
  <si>
    <t>https://ryycrdhlkmzpxwwwwupy.supabase.co/storage/v1/object/public/old_media/0a2f9aba.Path.080239.jpg</t>
  </si>
  <si>
    <t>e0ddfe0a</t>
  </si>
  <si>
    <t>https://ryycrdhlkmzpxwwwwupy.supabase.co/storage/v1/object/public/old_media/e0ddfe0a.Path.080253.jpg</t>
  </si>
  <si>
    <t>d0c4f738</t>
  </si>
  <si>
    <t>https://ryycrdhlkmzpxwwwwupy.supabase.co/storage/v1/object/public/old_media/d0c4f738.Path.080309.jpg</t>
  </si>
  <si>
    <t>9ee8e8c8</t>
  </si>
  <si>
    <t>https://ryycrdhlkmzpxwwwwupy.supabase.co/storage/v1/object/public/old_media/9ee8e8c8.Path.080326.jpg</t>
  </si>
  <si>
    <t>feacf8fc</t>
  </si>
  <si>
    <t>https://ryycrdhlkmzpxwwwwupy.supabase.co/storage/v1/object/public/old_media/feacf8fc.Path.080344.jpg</t>
  </si>
  <si>
    <t>16367fbd</t>
  </si>
  <si>
    <t>https://ryycrdhlkmzpxwwwwupy.supabase.co/storage/v1/object/public/old_media/16367fbd.Path.080356.jpg</t>
  </si>
  <si>
    <t>d8ce3df9</t>
  </si>
  <si>
    <t>https://ryycrdhlkmzpxwwwwupy.supabase.co/storage/v1/object/public/old_media/d8ce3df9.Path.080408.jpg</t>
  </si>
  <si>
    <t>e3499466</t>
  </si>
  <si>
    <t>https://ryycrdhlkmzpxwwwwupy.supabase.co/storage/v1/object/public/old_media/e3499466.Path.080421.jpg</t>
  </si>
  <si>
    <t>1d384f9d</t>
  </si>
  <si>
    <t>https://ryycrdhlkmzpxwwwwupy.supabase.co/storage/v1/object/public/old_media/1d384f9d.Path.110910.jpg</t>
  </si>
  <si>
    <t>ebbc2369</t>
  </si>
  <si>
    <t>https://ryycrdhlkmzpxwwwwupy.supabase.co/storage/v1/object/public/old_media/ebbc2369.Path.110917.jpg</t>
  </si>
  <si>
    <t>950d658d</t>
  </si>
  <si>
    <t>https://ryycrdhlkmzpxwwwwupy.supabase.co/storage/v1/object/public/</t>
  </si>
  <si>
    <t>8fb27323</t>
  </si>
  <si>
    <t>https://ryycrdhlkmzpxwwwwupy.supabase.co/storage/v1/object/public/old_media/8fb27323.Path.110952.jpg</t>
  </si>
  <si>
    <t>5a94bfd6</t>
  </si>
  <si>
    <t>https://ryycrdhlkmzpxwwwwupy.supabase.co/storage/v1/object/public/old_media/5a94bfd6.Path.110959.jpg</t>
  </si>
  <si>
    <t>525f7c2c</t>
  </si>
  <si>
    <t>https://ryycrdhlkmzpxwwwwupy.supabase.co/storage/v1/object/public/old_media/525f7c2c.Path.111016.jpg</t>
  </si>
  <si>
    <t>555e10a4</t>
  </si>
  <si>
    <t>https://ryycrdhlkmzpxwwwwupy.supabase.co/storage/v1/object/public/old_media/555e10a4.Path.052510.jpg</t>
  </si>
  <si>
    <t>b52c6b0d</t>
  </si>
  <si>
    <t>https://ryycrdhlkmzpxwwwwupy.supabase.co/storage/v1/object/public/old_media/b52c6b0d.Path.060128.jpg</t>
  </si>
  <si>
    <t>5228da98</t>
  </si>
  <si>
    <t>https://ryycrdhlkmzpxwwwwupy.supabase.co/storage/v1/object/public/old_media/5228da98.Path.061804.jpg</t>
  </si>
  <si>
    <t>9da34b71</t>
  </si>
  <si>
    <t>https://ryycrdhlkmzpxwwwwupy.supabase.co/storage/v1/object/public/old_media/9da34b71.Path.061941.jpg</t>
  </si>
  <si>
    <t>5827098e</t>
  </si>
  <si>
    <t>https://ryycrdhlkmzpxwwwwupy.supabase.co/storage/v1/object/public/old_media/5827098e.Path.062028.jpg</t>
  </si>
  <si>
    <t>d6515316</t>
  </si>
  <si>
    <t>https://ryycrdhlkmzpxwwwwupy.supabase.co/storage/v1/object/public/old_media/d6515316.Path.071942.jpg</t>
  </si>
  <si>
    <t>62e92bb6</t>
  </si>
  <si>
    <t>https://ryycrdhlkmzpxwwwwupy.supabase.co/storage/v1/object/public/old_media/62e92bb6.Path.072023.jpg</t>
  </si>
  <si>
    <t>138b619d</t>
  </si>
  <si>
    <t>https://ryycrdhlkmzpxwwwwupy.supabase.co/storage/v1/object/public/old_media/138b619d.Path.073621.jpg</t>
  </si>
  <si>
    <t>8645dcdf</t>
  </si>
  <si>
    <t>https://ryycrdhlkmzpxwwwwupy.supabase.co/storage/v1/object/public/old_media/8645dcdf.Path.073652.jpg</t>
  </si>
  <si>
    <t>634850f7</t>
  </si>
  <si>
    <t>https://ryycrdhlkmzpxwwwwupy.supabase.co/storage/v1/object/public/old_media/634850f7.Path.093651.jpg</t>
  </si>
  <si>
    <t>84c16128</t>
  </si>
  <si>
    <t>https://ryycrdhlkmzpxwwwwupy.supabase.co/storage/v1/object/public/old_media/84c16128.Path.093755.jpg</t>
  </si>
  <si>
    <t>c60fb4d3</t>
  </si>
  <si>
    <t>https://ryycrdhlkmzpxwwwwupy.supabase.co/storage/v1/object/public/old_media/c60fb4d3.Path.100158.jpg</t>
  </si>
  <si>
    <t>ce64c40a</t>
  </si>
  <si>
    <t>https://ryycrdhlkmzpxwwwwupy.supabase.co/storage/v1/object/public/old_media/ce64c40a.Path.100216.jpg</t>
  </si>
  <si>
    <t>b3e6c01e</t>
  </si>
  <si>
    <t>https://ryycrdhlkmzpxwwwwupy.supabase.co/storage/v1/object/public/old_media/b3e6c01e.Path.100802.jpg</t>
  </si>
  <si>
    <t>9dd902ad</t>
  </si>
  <si>
    <t>https://ryycrdhlkmzpxwwwwupy.supabase.co/storage/v1/object/public/old_media/9dd902ad.Path.100928.jpg</t>
  </si>
  <si>
    <t>bf87b393</t>
  </si>
  <si>
    <t>https://ryycrdhlkmzpxwwwwupy.supabase.co/storage/v1/object/public/old_media/bf87b393.Path.101008.jpg</t>
  </si>
  <si>
    <t>987bf016</t>
  </si>
  <si>
    <t>https://ryycrdhlkmzpxwwwwupy.supabase.co/storage/v1/object/public/old_media/987bf016.Path.102825.jpg</t>
  </si>
  <si>
    <t>de85ad83</t>
  </si>
  <si>
    <t>https://ryycrdhlkmzpxwwwwupy.supabase.co/storage/v1/object/public/old_media/de85ad83.Path.102912.jpg</t>
  </si>
  <si>
    <t>e5514553</t>
  </si>
  <si>
    <t>https://ryycrdhlkmzpxwwwwupy.supabase.co/storage/v1/object/public/old_media/e5514553.Path.102951.jpg</t>
  </si>
  <si>
    <t>d54a77c8</t>
  </si>
  <si>
    <t>https://ryycrdhlkmzpxwwwwupy.supabase.co/storage/v1/object/public/old_media/d54a77c8.Path.103023.jpg</t>
  </si>
  <si>
    <t>1eb78041</t>
  </si>
  <si>
    <t>https://ryycrdhlkmzpxwwwwupy.supabase.co/storage/v1/object/public/old_media/1eb78041.Path.105841.jpg</t>
  </si>
  <si>
    <t>a0493978</t>
  </si>
  <si>
    <t>https://ryycrdhlkmzpxwwwwupy.supabase.co/storage/v1/object/public/old_media/a0493978.Path.112337.jpg</t>
  </si>
  <si>
    <t>3e74035c</t>
  </si>
  <si>
    <t>https://ryycrdhlkmzpxwwwwupy.supabase.co/storage/v1/object/public/old_media/3e74035c.Path.112428.jpg</t>
  </si>
  <si>
    <t>88634cdd</t>
  </si>
  <si>
    <t>https://ryycrdhlkmzpxwwwwupy.supabase.co/storage/v1/object/public/old_media/88634cdd.Path.112525.jpg</t>
  </si>
  <si>
    <t>b30cc9f0</t>
  </si>
  <si>
    <t>https://ryycrdhlkmzpxwwwwupy.supabase.co/storage/v1/object/public/old_media/b30cc9f0.Path.112619.jpg</t>
  </si>
  <si>
    <t>11b3a1ee</t>
  </si>
  <si>
    <t>https://ryycrdhlkmzpxwwwwupy.supabase.co/storage/v1/object/public/old_media/11b3a1ee.Path.112708.jpg</t>
  </si>
  <si>
    <t>0a95d4c6</t>
  </si>
  <si>
    <t>https://ryycrdhlkmzpxwwwwupy.supabase.co/storage/v1/object/public/old_media/0a95d4c6.Path.112749.jpg</t>
  </si>
  <si>
    <t>815ca095</t>
  </si>
  <si>
    <t>https://ryycrdhlkmzpxwwwwupy.supabase.co/storage/v1/object/public/old_media/815ca095.Path.054247.jpg</t>
  </si>
  <si>
    <t>85705b2d</t>
  </si>
  <si>
    <t>https://ryycrdhlkmzpxwwwwupy.supabase.co/storage/v1/object/public/old_media/85705b2d.Path.054604.jpg</t>
  </si>
  <si>
    <t>13fa8f35</t>
  </si>
  <si>
    <t>https://ryycrdhlkmzpxwwwwupy.supabase.co/storage/v1/object/public/old_media/13fa8f35.Path.055502.jpg</t>
  </si>
  <si>
    <t>061d3423</t>
  </si>
  <si>
    <t>https://ryycrdhlkmzpxwwwwupy.supabase.co/storage/v1/object/public/old_media/061d3423.Path.055547.jpg</t>
  </si>
  <si>
    <t>549f5351</t>
  </si>
  <si>
    <t>https://ryycrdhlkmzpxwwwwupy.supabase.co/storage/v1/object/public/old_media/549f5351.Path.055626.jpg</t>
  </si>
  <si>
    <t>e13e18dc</t>
  </si>
  <si>
    <t>https://ryycrdhlkmzpxwwwwupy.supabase.co/storage/v1/object/public/old_media/e13e18dc.Path.062735.jpg</t>
  </si>
  <si>
    <t>7a165910</t>
  </si>
  <si>
    <t>https://ryycrdhlkmzpxwwwwupy.supabase.co/storage/v1/object/public/old_media/7a165910.Path.062809.jpg</t>
  </si>
  <si>
    <t>d1b85c79</t>
  </si>
  <si>
    <t>https://ryycrdhlkmzpxwwwwupy.supabase.co/storage/v1/object/public/old_media/d1b85c79.Path.062907.jpg</t>
  </si>
  <si>
    <t>f0c9a2b9</t>
  </si>
  <si>
    <t>https://ryycrdhlkmzpxwwwwupy.supabase.co/storage/v1/object/public/old_media/f0c9a2b9.Path.063001.jpg</t>
  </si>
  <si>
    <t>21122176</t>
  </si>
  <si>
    <t>https://ryycrdhlkmzpxwwwwupy.supabase.co/storage/v1/object/public/old_media/21122176.Path.063226.jpg</t>
  </si>
  <si>
    <t>0055dc2d</t>
  </si>
  <si>
    <t>https://ryycrdhlkmzpxwwwwupy.supabase.co/storage/v1/object/public/old_media/0055dc2d.Path.065940.jpg</t>
  </si>
  <si>
    <t>e907b816</t>
  </si>
  <si>
    <t>https://ryycrdhlkmzpxwwwwupy.supabase.co/storage/v1/object/public/old_media/e907b816.Path.070018.jpg</t>
  </si>
  <si>
    <t>040f4b08</t>
  </si>
  <si>
    <t>https://ryycrdhlkmzpxwwwwupy.supabase.co/storage/v1/object/public/old_media/040f4b08.Path.070136.jpg</t>
  </si>
  <si>
    <t>17870068</t>
  </si>
  <si>
    <t>https://ryycrdhlkmzpxwwwwupy.supabase.co/storage/v1/object/public/old_media/17870068.Path.070246.jpg</t>
  </si>
  <si>
    <t>8377edff</t>
  </si>
  <si>
    <t>https://ryycrdhlkmzpxwwwwupy.supabase.co/storage/v1/object/public/old_media/8377edff.Path.072548.jpg</t>
  </si>
  <si>
    <t>88e2f523</t>
  </si>
  <si>
    <t>https://ryycrdhlkmzpxwwwwupy.supabase.co/storage/v1/object/public/old_media/88e2f523.Path.072645.jpg</t>
  </si>
  <si>
    <t>4be5b708</t>
  </si>
  <si>
    <t>https://ryycrdhlkmzpxwwwwupy.supabase.co/storage/v1/object/public/old_media/4be5b708.Path.091310.jpg</t>
  </si>
  <si>
    <t>08e975f0</t>
  </si>
  <si>
    <t>https://ryycrdhlkmzpxwwwwupy.supabase.co/storage/v1/object/public/old_media/08e975f0.Path.091515.jpg</t>
  </si>
  <si>
    <t>f736f787</t>
  </si>
  <si>
    <t>https://ryycrdhlkmzpxwwwwupy.supabase.co/storage/v1/object/public/old_media/f736f787.Path.091800.jpg</t>
  </si>
  <si>
    <t>f079fd63</t>
  </si>
  <si>
    <t>https://ryycrdhlkmzpxwwwwupy.supabase.co/storage/v1/object/public/old_media/f079fd63.Path.093640.jpg</t>
  </si>
  <si>
    <t>a4af7cb7</t>
  </si>
  <si>
    <t>https://ryycrdhlkmzpxwwwwupy.supabase.co/storage/v1/object/public/old_media/a4af7cb7.Path.093701.jpg</t>
  </si>
  <si>
    <t>aa5d6659</t>
  </si>
  <si>
    <t>https://ryycrdhlkmzpxwwwwupy.supabase.co/storage/v1/object/public/old_media/aa5d6659.Path.093751.jpg</t>
  </si>
  <si>
    <t>7e2af9c6</t>
  </si>
  <si>
    <t>https://ryycrdhlkmzpxwwwwupy.supabase.co/storage/v1/object/public/old_media/7e2af9c6.Path.095238.jpg</t>
  </si>
  <si>
    <t>b5323d4f</t>
  </si>
  <si>
    <t>https://ryycrdhlkmzpxwwwwupy.supabase.co/storage/v1/object/public/old_media/b5323d4f.Path.095405.jpg</t>
  </si>
  <si>
    <t>c7e5d056</t>
  </si>
  <si>
    <t>https://ryycrdhlkmzpxwwwwupy.supabase.co/storage/v1/object/public/old_media/c7e5d056.Path.095439.jpg</t>
  </si>
  <si>
    <t>353cfdbf</t>
  </si>
  <si>
    <t>https://ryycrdhlkmzpxwwwwupy.supabase.co/storage/v1/object/public/old_media/353cfdbf.Path.095514.jpg</t>
  </si>
  <si>
    <t>4a4c3b2b</t>
  </si>
  <si>
    <t>https://ryycrdhlkmzpxwwwwupy.supabase.co/storage/v1/object/public/old_media/4a4c3b2b.Path.101152.jpg</t>
  </si>
  <si>
    <t>3d293abc</t>
  </si>
  <si>
    <t>https://ryycrdhlkmzpxwwwwupy.supabase.co/storage/v1/object/public/old_media/3d293abc.Path.101742.jpg</t>
  </si>
  <si>
    <t>f2c23408</t>
  </si>
  <si>
    <t>https://ryycrdhlkmzpxwwwwupy.supabase.co/storage/v1/object/public/old_media/f2c23408.Path.103644.avif</t>
  </si>
  <si>
    <t>210b5741</t>
  </si>
  <si>
    <t>https://ryycrdhlkmzpxwwwwupy.supabase.co/storage/v1/object/public/old_media/210b5741.Path.103740.avif</t>
  </si>
  <si>
    <t>9d3a3d34</t>
  </si>
  <si>
    <t>https://ryycrdhlkmzpxwwwwupy.supabase.co/storage/v1/object/public/old_media/9d3a3d34.Path.103827.avif</t>
  </si>
  <si>
    <t>6a112e39</t>
  </si>
  <si>
    <t>https://ryycrdhlkmzpxwwwwupy.supabase.co/storage/v1/object/public/old_media/6a112e39.Path.044106.jpg</t>
  </si>
  <si>
    <t>0bf84470</t>
  </si>
  <si>
    <t>https://ryycrdhlkmzpxwwwwupy.supabase.co/storage/v1/object/public/old_media/0bf84470.Path.044202.jpg</t>
  </si>
  <si>
    <t>5587a2a5</t>
  </si>
  <si>
    <t>https://ryycrdhlkmzpxwwwwupy.supabase.co/storage/v1/object/public/old_media/5587a2a5.Path.044225.jpg</t>
  </si>
  <si>
    <t>c5b5d681</t>
  </si>
  <si>
    <t>https://ryycrdhlkmzpxwwwwupy.supabase.co/storage/v1/object/public/old_media/c5b5d681.Path.050734.jpg</t>
  </si>
  <si>
    <t>173413d0</t>
  </si>
  <si>
    <t>https://ryycrdhlkmzpxwwwwupy.supabase.co/storage/v1/object/public/old_media/173413d0.Path.061134.jpg</t>
  </si>
  <si>
    <t>e4cb8a66</t>
  </si>
  <si>
    <t>https://ryycrdhlkmzpxwwwwupy.supabase.co/storage/v1/object/public/old_media/e4cb8a66.Path.061141.jpg</t>
  </si>
  <si>
    <t>b8b75bf4</t>
  </si>
  <si>
    <t>https://ryycrdhlkmzpxwwwwupy.supabase.co/storage/v1/object/public/old_media/b8b75bf4.Path.072813.png</t>
  </si>
  <si>
    <t>4e272b54</t>
  </si>
  <si>
    <t>https://ryycrdhlkmzpxwwwwupy.supabase.co/storage/v1/object/public/old_media/4e272b54.Path.073936.jpg</t>
  </si>
  <si>
    <t>69808acb</t>
  </si>
  <si>
    <t>https://ryycrdhlkmzpxwwwwupy.supabase.co/storage/v1/object/public/old_media/69808acb.Path.082347.jpg</t>
  </si>
  <si>
    <t>c5b27ff0</t>
  </si>
  <si>
    <t>https://ryycrdhlkmzpxwwwwupy.supabase.co/storage/v1/object/public/old_media/c5b27ff0.Path.082406.jpg</t>
  </si>
  <si>
    <t>0cec8ecf</t>
  </si>
  <si>
    <t>https://ryycrdhlkmzpxwwwwupy.supabase.co/storage/v1/object/public/old_media/0cec8ecf.Path.082423.jpg</t>
  </si>
  <si>
    <t>7891e40e</t>
  </si>
  <si>
    <t>https://ryycrdhlkmzpxwwwwupy.supabase.co/storage/v1/object/public/old_media/7891e40e.Path.082440.jpg</t>
  </si>
  <si>
    <t>f05a19af</t>
  </si>
  <si>
    <t>https://ryycrdhlkmzpxwwwwupy.supabase.co/storage/v1/object/public/old_media/f05a19af.Path.103859.jpg</t>
  </si>
  <si>
    <t>23c79f34</t>
  </si>
  <si>
    <t>https://ryycrdhlkmzpxwwwwupy.supabase.co/storage/v1/object/public/old_media/23c79f34.Path.053609.jpg</t>
  </si>
  <si>
    <t>de8dc0a2</t>
  </si>
  <si>
    <t>https://ryycrdhlkmzpxwwwwupy.supabase.co/storage/v1/object/public/old_media/de8dc0a2.Path.053718.jpg</t>
  </si>
  <si>
    <t>9e70be63</t>
  </si>
  <si>
    <t>https://ryycrdhlkmzpxwwwwupy.supabase.co/storage/v1/object/public/old_media/9e70be63.Path.053752.jpg</t>
  </si>
  <si>
    <t>def0d2b3</t>
  </si>
  <si>
    <t>https://ryycrdhlkmzpxwwwwupy.supabase.co/storage/v1/object/public/old_media/def0d2b3.Path.053903.jpg</t>
  </si>
  <si>
    <t>f8ebe9a7</t>
  </si>
  <si>
    <t>https://ryycrdhlkmzpxwwwwupy.supabase.co/storage/v1/object/public/old_media/f8ebe9a7.Path.054006.jpg</t>
  </si>
  <si>
    <t>a17fae6d</t>
  </si>
  <si>
    <t>https://ryycrdhlkmzpxwwwwupy.supabase.co/storage/v1/object/public/old_media/a17fae6d.Path.054045.jpg</t>
  </si>
  <si>
    <t>3774c628</t>
  </si>
  <si>
    <t>https://ryycrdhlkmzpxwwwwupy.supabase.co/storage/v1/object/public/old_media/3774c628.Path.054122.jpg</t>
  </si>
  <si>
    <t>ec0ec065</t>
  </si>
  <si>
    <t>https://ryycrdhlkmzpxwwwwupy.supabase.co/storage/v1/object/public/old_media/ec0ec065.Path.055946.jpg</t>
  </si>
  <si>
    <t>db6b665b</t>
  </si>
  <si>
    <t>https://ryycrdhlkmzpxwwwwupy.supabase.co/storage/v1/object/public/old_media/db6b665b.Path.045805.png</t>
  </si>
  <si>
    <t>e6f2455f</t>
  </si>
  <si>
    <t>https://ryycrdhlkmzpxwwwwupy.supabase.co/storage/v1/object/public/old_media/e6f2455f.Path.045813.png</t>
  </si>
  <si>
    <t>912b21d2</t>
  </si>
  <si>
    <t>https://ryycrdhlkmzpxwwwwupy.supabase.co/storage/v1/object/public/old_media/912b21d2.Path.045831.png</t>
  </si>
  <si>
    <t>68d4a8ec</t>
  </si>
  <si>
    <t>https://ryycrdhlkmzpxwwwwupy.supabase.co/storage/v1/object/public/old_media/68d4a8ec.Path.045839.png</t>
  </si>
  <si>
    <t>d83ecd7b</t>
  </si>
  <si>
    <t>https://ryycrdhlkmzpxwwwwupy.supabase.co/storage/v1/object/public/old_media/d83ecd7b.Path.045902.png</t>
  </si>
  <si>
    <t>9a587bb9</t>
  </si>
  <si>
    <t>https://ryycrdhlkmzpxwwwwupy.supabase.co/storage/v1/object/public/old_media/9a587bb9.Path.054929.jpg</t>
  </si>
  <si>
    <t>ae94b337</t>
  </si>
  <si>
    <t>https://ryycrdhlkmzpxwwwwupy.supabase.co/storage/v1/object/public/old_media/ae94b337.Path.054949.jpg</t>
  </si>
  <si>
    <t>07515d5c</t>
  </si>
  <si>
    <t>https://ryycrdhlkmzpxwwwwupy.supabase.co/storage/v1/object/public/old_media/07515d5c.Path.060527.jpg</t>
  </si>
  <si>
    <t>579b162c</t>
  </si>
  <si>
    <t>https://ryycrdhlkmzpxwwwwupy.supabase.co/storage/v1/object/public/old_media/579b162c.Path.060545.jpg</t>
  </si>
  <si>
    <t>85c16aa0</t>
  </si>
  <si>
    <t>https://ryycrdhlkmzpxwwwwupy.supabase.co/storage/v1/object/public/old_media/85c16aa0.Path.060554.jpg</t>
  </si>
  <si>
    <t>3e19c406</t>
  </si>
  <si>
    <t>https://ryycrdhlkmzpxwwwwupy.supabase.co/storage/v1/object/public/old_media/3e19c406.Path.160335.jpg</t>
  </si>
  <si>
    <t>b0f593ef</t>
  </si>
  <si>
    <t>https://ryycrdhlkmzpxwwwwupy.supabase.co/storage/v1/object/public/old_media/b0f593ef.Path.045632.jpg</t>
  </si>
  <si>
    <t>6e9cc7d3</t>
  </si>
  <si>
    <t>https://ryycrdhlkmzpxwwwwupy.supabase.co/storage/v1/object/public/old_media/6e9cc7d3.Path.061016.jpg</t>
  </si>
  <si>
    <t>9f0abd2b</t>
  </si>
  <si>
    <t>https://ryycrdhlkmzpxwwwwupy.supabase.co/storage/v1/object/public/old_media/9f0abd2b.Path.061022.jpg</t>
  </si>
  <si>
    <t>a4c08b28</t>
  </si>
  <si>
    <t>https://ryycrdhlkmzpxwwwwupy.supabase.co/storage/v1/object/public/old_media/a4c08b28.Path.061041.jpg</t>
  </si>
  <si>
    <t>9a6dedb7</t>
  </si>
  <si>
    <t>https://ryycrdhlkmzpxwwwwupy.supabase.co/storage/v1/object/public/old_media/9a6dedb7.Path.061549.jpg</t>
  </si>
  <si>
    <t>dd74af73</t>
  </si>
  <si>
    <t>https://ryycrdhlkmzpxwwwwupy.supabase.co/storage/v1/object/public/old_media/dd74af73.Path.061558.jpg</t>
  </si>
  <si>
    <t>fda3581a</t>
  </si>
  <si>
    <t>https://ryycrdhlkmzpxwwwwupy.supabase.co/storage/v1/object/public/old_media/fda3581a.Path.061614.jpg</t>
  </si>
  <si>
    <t>529af689</t>
  </si>
  <si>
    <t>https://ryycrdhlkmzpxwwwwupy.supabase.co/storage/v1/object/public/old_media/529af689.Path.061630.jpg</t>
  </si>
  <si>
    <t>c2f38555</t>
  </si>
  <si>
    <t>https://ryycrdhlkmzpxwwwwupy.supabase.co/storage/v1/object/public/old_media/c2f38555.Path.061647.jpg</t>
  </si>
  <si>
    <t>675c1556</t>
  </si>
  <si>
    <t>https://ryycrdhlkmzpxwwwwupy.supabase.co/storage/v1/object/public/old_media/675c1556.Path.074638.jpg</t>
  </si>
  <si>
    <t>11bc613c</t>
  </si>
  <si>
    <t>https://ryycrdhlkmzpxwwwwupy.supabase.co/storage/v1/object/public/old_media/11bc613c.Path.074647.jpg</t>
  </si>
  <si>
    <t>3044262f</t>
  </si>
  <si>
    <t>https://ryycrdhlkmzpxwwwwupy.supabase.co/storage/v1/object/public/old_media/3044262f.Path.074700.jpg</t>
  </si>
  <si>
    <t>cd8f74fb</t>
  </si>
  <si>
    <t>https://ryycrdhlkmzpxwwwwupy.supabase.co/storage/v1/object/public/old_media/cd8f74fb.Path.101037.jpg</t>
  </si>
  <si>
    <t>45c03e5b</t>
  </si>
  <si>
    <t>https://ryycrdhlkmzpxwwwwupy.supabase.co/storage/v1/object/public/old_media/45c03e5b.Path.101105.jpg</t>
  </si>
  <si>
    <t>1c1a483a</t>
  </si>
  <si>
    <t>https://ryycrdhlkmzpxwwwwupy.supabase.co/storage/v1/object/public/old_media/1c1a483a.Path.101945.png</t>
  </si>
  <si>
    <t>b44be45a</t>
  </si>
  <si>
    <t>https://ryycrdhlkmzpxwwwwupy.supabase.co/storage/v1/object/public/old_media/b44be45a.Path.105205.jpg</t>
  </si>
  <si>
    <t>3b5cbc13</t>
  </si>
  <si>
    <t>https://ryycrdhlkmzpxwwwwupy.supabase.co/storage/v1/object/public/old_media/3b5cbc13.Path.143536.jpg</t>
  </si>
  <si>
    <t>bd441555</t>
  </si>
  <si>
    <t>https://ryycrdhlkmzpxwwwwupy.supabase.co/storage/v1/object/public/old_media/bd441555.Path.143553.jpg</t>
  </si>
  <si>
    <t>dd11a645</t>
  </si>
  <si>
    <t>https://ryycrdhlkmzpxwwwwupy.supabase.co/storage/v1/object/public/old_media/dd11a645.Path.143615.jpg</t>
  </si>
  <si>
    <t>603359cd</t>
  </si>
  <si>
    <t>https://ryycrdhlkmzpxwwwwupy.supabase.co/storage/v1/object/public/old_media/603359cd.Path.143631.jpg</t>
  </si>
  <si>
    <t>4fd682e2</t>
  </si>
  <si>
    <t>https://ryycrdhlkmzpxwwwwupy.supabase.co/storage/v1/object/public/old_media/4fd682e2.Path.143650.jpg</t>
  </si>
  <si>
    <t>c07e4dcc</t>
  </si>
  <si>
    <t>https://ryycrdhlkmzpxwwwwupy.supabase.co/storage/v1/object/public/old_media/c07e4dcc.Path.143708.jpg</t>
  </si>
  <si>
    <t>a42ffdd6</t>
  </si>
  <si>
    <t>https://ryycrdhlkmzpxwwwwupy.supabase.co/storage/v1/object/public/old_media/a42ffdd6.Path.143725.jpg</t>
  </si>
  <si>
    <t>c5be4229</t>
  </si>
  <si>
    <t>https://ryycrdhlkmzpxwwwwupy.supabase.co/storage/v1/object/public/old_media/c5be4229.Path.143744.jpg</t>
  </si>
  <si>
    <t>2477dd23</t>
  </si>
  <si>
    <t>https://ryycrdhlkmzpxwwwwupy.supabase.co/storage/v1/object/public/old_media/2477dd23.Path.143811.jpg</t>
  </si>
  <si>
    <t>6331cff6</t>
  </si>
  <si>
    <t>https://ryycrdhlkmzpxwwwwupy.supabase.co/storage/v1/object/public/old_media/6331cff6.Path.143828.jpg</t>
  </si>
  <si>
    <t>55c7fd3a</t>
  </si>
  <si>
    <t>https://ryycrdhlkmzpxwwwwupy.supabase.co/storage/v1/object/public/old_media/55c7fd3a.Path.143846.jpg</t>
  </si>
  <si>
    <t>94d864f6</t>
  </si>
  <si>
    <t>https://ryycrdhlkmzpxwwwwupy.supabase.co/storage/v1/object/public/old_media/94d864f6.Path.143914.jpg</t>
  </si>
  <si>
    <t>b360d944</t>
  </si>
  <si>
    <t>https://ryycrdhlkmzpxwwwwupy.supabase.co/storage/v1/object/public/old_media/b360d944.Path.143922.jpg</t>
  </si>
  <si>
    <t>b8088dcb</t>
  </si>
  <si>
    <t>https://ryycrdhlkmzpxwwwwupy.supabase.co/storage/v1/object/public/old_media/b8088dcb.Path.143940.jpg</t>
  </si>
  <si>
    <t>e4d3630e</t>
  </si>
  <si>
    <t>https://ryycrdhlkmzpxwwwwupy.supabase.co/storage/v1/object/public/old_media/e4d3630e.Path.144009.jpg</t>
  </si>
  <si>
    <t>c105480a</t>
  </si>
  <si>
    <t>https://ryycrdhlkmzpxwwwwupy.supabase.co/storage/v1/object/public/old_media/c105480a.Path.144031.jpg</t>
  </si>
  <si>
    <t>b661cb7c</t>
  </si>
  <si>
    <t>https://ryycrdhlkmzpxwwwwupy.supabase.co/storage/v1/object/public/old_media/b661cb7c.Path.144054.jpg</t>
  </si>
  <si>
    <t>80801355</t>
  </si>
  <si>
    <t>https://ryycrdhlkmzpxwwwwupy.supabase.co/storage/v1/object/public/old_media/80801355.Path.114050.jpg</t>
  </si>
  <si>
    <t>89b75b65</t>
  </si>
  <si>
    <t>https://ryycrdhlkmzpxwwwwupy.supabase.co/storage/v1/object/public/old_media/89b75b65.Path.114058.jpg</t>
  </si>
  <si>
    <t>cdd13e86</t>
  </si>
  <si>
    <t>https://ryycrdhlkmzpxwwwwupy.supabase.co/storage/v1/object/public/old_media/cdd13e86.Path.114115.jpg</t>
  </si>
  <si>
    <t>66a5eb18</t>
  </si>
  <si>
    <t>https://ryycrdhlkmzpxwwwwupy.supabase.co/storage/v1/object/public/old_media/66a5eb18.Path.114122.jpg</t>
  </si>
  <si>
    <t>a79d85bb</t>
  </si>
  <si>
    <t>https://ryycrdhlkmzpxwwwwupy.supabase.co/storage/v1/object/public/old_media/a79d85bb.Path.114130.jpg</t>
  </si>
  <si>
    <t>b1af3ccd</t>
  </si>
  <si>
    <t>https://ryycrdhlkmzpxwwwwupy.supabase.co/storage/v1/object/public/old_media/b1af3ccd.Path.114137.jpg</t>
  </si>
  <si>
    <t>98c193d5</t>
  </si>
  <si>
    <t>https://ryycrdhlkmzpxwwwwupy.supabase.co/storage/v1/object/public/old_media/98c193d5.Path.114154.jpg</t>
  </si>
  <si>
    <t>b1e5a152</t>
  </si>
  <si>
    <t>https://ryycrdhlkmzpxwwwwupy.supabase.co/storage/v1/object/public/old_media/b1e5a152.Path.114202.jpg</t>
  </si>
  <si>
    <t>2b98a69a</t>
  </si>
  <si>
    <t>https://ryycrdhlkmzpxwwwwupy.supabase.co/storage/v1/object/public/old_media/2b98a69a.Path.114209.jpg</t>
  </si>
  <si>
    <t>8bc5d5db</t>
  </si>
  <si>
    <t>https://ryycrdhlkmzpxwwwwupy.supabase.co/storage/v1/object/public/old_media/8bc5d5db.Path.114226.jpg</t>
  </si>
  <si>
    <t>badb93f4</t>
  </si>
  <si>
    <t>https://ryycrdhlkmzpxwwwwupy.supabase.co/storage/v1/object/public/old_media/badb93f4.Path.114233.jpg</t>
  </si>
  <si>
    <t>89af3dc2</t>
  </si>
  <si>
    <t>https://ryycrdhlkmzpxwwwwupy.supabase.co/storage/v1/object/public/old_media/89af3dc2.Path.062436.jpg</t>
  </si>
  <si>
    <t>d5a1fe86</t>
  </si>
  <si>
    <t>https://ryycrdhlkmzpxwwwwupy.supabase.co/storage/v1/object/public/old_media/d5a1fe86.Path.062501.jpg</t>
  </si>
  <si>
    <t>667d0d2f</t>
  </si>
  <si>
    <t>https://ryycrdhlkmzpxwwwwupy.supabase.co/storage/v1/object/public/old_media/667d0d2f.Path.093346.jpg</t>
  </si>
  <si>
    <t>6bac1b34</t>
  </si>
  <si>
    <t>https://ryycrdhlkmzpxwwwwupy.supabase.co/storage/v1/object/public/old_media/6bac1b34.Path.044837.jpg</t>
  </si>
  <si>
    <t>79b298a2</t>
  </si>
  <si>
    <t>https://ryycrdhlkmzpxwwwwupy.supabase.co/storage/v1/object/public/old_media/79b298a2.Path.044844.jpg</t>
  </si>
  <si>
    <t>6d90bc87</t>
  </si>
  <si>
    <t>https://ryycrdhlkmzpxwwwwupy.supabase.co/storage/v1/object/public/old_media/6d90bc87.Path.044901.jpg</t>
  </si>
  <si>
    <t>bc52c782</t>
  </si>
  <si>
    <t>https://ryycrdhlkmzpxwwwwupy.supabase.co/storage/v1/object/public/old_media/bc52c782.Path.044919.jpg</t>
  </si>
  <si>
    <t>892d2c1b</t>
  </si>
  <si>
    <t>https://ryycrdhlkmzpxwwwwupy.supabase.co/storage/v1/object/public/old_media/892d2c1b.Path.055448.jpg</t>
  </si>
  <si>
    <t>fa2cae38</t>
  </si>
  <si>
    <t>https://ryycrdhlkmzpxwwwwupy.supabase.co/storage/v1/object/public/old_media/fa2cae38.Path.055511.jpg</t>
  </si>
  <si>
    <t>1c7ea712</t>
  </si>
  <si>
    <t>https://ryycrdhlkmzpxwwwwupy.supabase.co/storage/v1/object/public/old_media/1c7ea712.Path.073141.jpg</t>
  </si>
  <si>
    <t>d27eb8c9</t>
  </si>
  <si>
    <t>https://ryycrdhlkmzpxwwwwupy.supabase.co/storage/v1/object/public/old_media/d27eb8c9.Path.073148.jpg</t>
  </si>
  <si>
    <t>db9791fd</t>
  </si>
  <si>
    <t>https://ryycrdhlkmzpxwwwwupy.supabase.co/storage/v1/object/public/old_media/db9791fd.Path.073207.jpg</t>
  </si>
  <si>
    <t>c76bb1b2</t>
  </si>
  <si>
    <t>https://ryycrdhlkmzpxwwwwupy.supabase.co/storage/v1/object/public/old_media/c76bb1b2.Path.074342.jpg</t>
  </si>
  <si>
    <t>2af9b852</t>
  </si>
  <si>
    <t>https://ryycrdhlkmzpxwwwwupy.supabase.co/storage/v1/object/public/old_media/2af9b852.Path.074656.jpg</t>
  </si>
  <si>
    <t>de1551cf</t>
  </si>
  <si>
    <t>https://ryycrdhlkmzpxwwwwupy.supabase.co/storage/v1/object/public/old_media/de1551cf.Path.094143.jpg</t>
  </si>
  <si>
    <t>e4c3e46f</t>
  </si>
  <si>
    <t>https://ryycrdhlkmzpxwwwwupy.supabase.co/storage/v1/object/public/old_media/e4c3e46f.Path.094150.jpg</t>
  </si>
  <si>
    <t>66780435</t>
  </si>
  <si>
    <t>https://ryycrdhlkmzpxwwwwupy.supabase.co/storage/v1/object/public/old_media/66780435.Path.094736.jpg</t>
  </si>
  <si>
    <t>fdca8506</t>
  </si>
  <si>
    <t>https://ryycrdhlkmzpxwwwwupy.supabase.co/storage/v1/object/public/old_media/fdca8506.Path.094755.jpg</t>
  </si>
  <si>
    <t>16743f9c</t>
  </si>
  <si>
    <t>https://ryycrdhlkmzpxwwwwupy.supabase.co/storage/v1/object/public/old_media/16743f9c.Path.100221.jpg</t>
  </si>
  <si>
    <t>7ee166e4</t>
  </si>
  <si>
    <t>https://ryycrdhlkmzpxwwwwupy.supabase.co/storage/v1/object/public/old_media/7ee166e4.Path.100543.jpg</t>
  </si>
  <si>
    <t>8156f59c</t>
  </si>
  <si>
    <t>https://ryycrdhlkmzpxwwwwupy.supabase.co/storage/v1/object/public/old_media/8156f59c.Path.100551.jpg</t>
  </si>
  <si>
    <t>88911bfa</t>
  </si>
  <si>
    <t>https://ryycrdhlkmzpxwwwwupy.supabase.co/storage/v1/object/public/old_media/88911bfa.Path.100609.jpg</t>
  </si>
  <si>
    <t>947285d5</t>
  </si>
  <si>
    <t>https://ryycrdhlkmzpxwwwwupy.supabase.co/storage/v1/object/public/old_media/947285d5.Path.101435.jpg</t>
  </si>
  <si>
    <t>7c227ab2</t>
  </si>
  <si>
    <t>https://ryycrdhlkmzpxwwwwupy.supabase.co/storage/v1/object/public/old_media/7c227ab2.Path.101813.jpg</t>
  </si>
  <si>
    <t>f5028e06</t>
  </si>
  <si>
    <t>https://ryycrdhlkmzpxwwwwupy.supabase.co/storage/v1/object/public/old_media/f5028e06.Path.101832.jpg</t>
  </si>
  <si>
    <t>917a3969</t>
  </si>
  <si>
    <t>https://ryycrdhlkmzpxwwwwupy.supabase.co/storage/v1/object/public/old_media/917a3969.Path.115945.jpg</t>
  </si>
  <si>
    <t>312e93b8</t>
  </si>
  <si>
    <t>https://ryycrdhlkmzpxwwwwupy.supabase.co/storage/v1/object/public/old_media/312e93b8.Path.120003.jpg</t>
  </si>
  <si>
    <t>237580b1</t>
  </si>
  <si>
    <t>https://ryycrdhlkmzpxwwwwupy.supabase.co/storage/v1/object/public/old_media/237580b1.Path.120021.jpg</t>
  </si>
  <si>
    <t>e224c228</t>
  </si>
  <si>
    <t>https://ryycrdhlkmzpxwwwwupy.supabase.co/storage/v1/object/public/old_media/e224c228.Path.120033.jpg</t>
  </si>
  <si>
    <t>475e6f20</t>
  </si>
  <si>
    <t>https://ryycrdhlkmzpxwwwwupy.supabase.co/storage/v1/object/public/old_media/475e6f20.Path.120044.jpg</t>
  </si>
  <si>
    <t>c6b01eec</t>
  </si>
  <si>
    <t>https://ryycrdhlkmzpxwwwwupy.supabase.co/storage/v1/object/public/old_media/c6b01eec.Path.120101.jpg</t>
  </si>
  <si>
    <t>533ec1f7</t>
  </si>
  <si>
    <t>https://ryycrdhlkmzpxwwwwupy.supabase.co/storage/v1/object/public/old_media/533ec1f7.Path.120117.jpg</t>
  </si>
  <si>
    <t>44ba8791</t>
  </si>
  <si>
    <t>https://ryycrdhlkmzpxwwwwupy.supabase.co/storage/v1/object/public/old_media/44ba8791.Path.141222.jpg</t>
  </si>
  <si>
    <t>c1ff075c</t>
  </si>
  <si>
    <t>https://ryycrdhlkmzpxwwwwupy.supabase.co/storage/v1/object/public/old_media/c1ff075c.Path.141244.jpg</t>
  </si>
  <si>
    <t>d0a1fdaa</t>
  </si>
  <si>
    <t>https://ryycrdhlkmzpxwwwwupy.supabase.co/storage/v1/object/public/old_media/d0a1fdaa.Path.141310.jpg</t>
  </si>
  <si>
    <t>beae3325</t>
  </si>
  <si>
    <t>https://ryycrdhlkmzpxwwwwupy.supabase.co/storage/v1/object/public/old_media/beae3325.Path.141329.jpg</t>
  </si>
  <si>
    <t>e3634914</t>
  </si>
  <si>
    <t>https://ryycrdhlkmzpxwwwwupy.supabase.co/storage/v1/object/public/old_media/e3634914.Path.141401.jpg</t>
  </si>
  <si>
    <t>217bc0b6</t>
  </si>
  <si>
    <t>https://ryycrdhlkmzpxwwwwupy.supabase.co/storage/v1/object/public/old_media/217bc0b6.Path.141421.jpg</t>
  </si>
  <si>
    <t>ec60ce68</t>
  </si>
  <si>
    <t>https://ryycrdhlkmzpxwwwwupy.supabase.co/storage/v1/object/public/old_media/ec60ce68.Path.141452.jpg</t>
  </si>
  <si>
    <t>97102386</t>
  </si>
  <si>
    <t>https://ryycrdhlkmzpxwwwwupy.supabase.co/storage/v1/object/public/old_media/97102386.Path.141527.jpg</t>
  </si>
  <si>
    <t>99d2f92b</t>
  </si>
  <si>
    <t>https://ryycrdhlkmzpxwwwwupy.supabase.co/storage/v1/object/public/old_media/99d2f92b.Path.091207.jpg</t>
  </si>
  <si>
    <t>19599999</t>
  </si>
  <si>
    <t>https://ryycrdhlkmzpxwwwwupy.supabase.co/storage/v1/object/public/old_media/19599999.Path.091218.jpg</t>
  </si>
  <si>
    <t>3e6dfeba</t>
  </si>
  <si>
    <t>https://ryycrdhlkmzpxwwwwupy.supabase.co/storage/v1/object/public/old_media/3e6dfeba.Path.091230.jpg</t>
  </si>
  <si>
    <t>c60c38bc</t>
  </si>
  <si>
    <t>https://ryycrdhlkmzpxwwwwupy.supabase.co/storage/v1/object/public/old_media/c60c38bc.Path.091241.jpg</t>
  </si>
  <si>
    <t>75526010</t>
  </si>
  <si>
    <t>https://ryycrdhlkmzpxwwwwupy.supabase.co/storage/v1/object/public/old_media/75526010.Path.091252.jpg</t>
  </si>
  <si>
    <t>838d324d</t>
  </si>
  <si>
    <t>https://ryycrdhlkmzpxwwwwupy.supabase.co/storage/v1/object/public/old_media/838d324d.Path.075603.jpg</t>
  </si>
  <si>
    <t>912b787a</t>
  </si>
  <si>
    <t>https://ryycrdhlkmzpxwwwwupy.supabase.co/storage/v1/object/public/old_media/912b787a.Path.075620.jpg</t>
  </si>
  <si>
    <t>76a8fcdf</t>
  </si>
  <si>
    <t>https://ryycrdhlkmzpxwwwwupy.supabase.co/storage/v1/object/public/old_media/76a8fcdf.Path.075639.jpg</t>
  </si>
  <si>
    <t>690aa849</t>
  </si>
  <si>
    <t>https://ryycrdhlkmzpxwwwwupy.supabase.co/storage/v1/object/public/old_media/690aa849.Path.075646.jpg</t>
  </si>
  <si>
    <t>a4faf629</t>
  </si>
  <si>
    <t>https://ryycrdhlkmzpxwwwwupy.supabase.co/storage/v1/object/public/old_media/a4faf629.Path.100354.jpg</t>
  </si>
  <si>
    <t>villa</t>
  </si>
  <si>
    <t>e6363eb3</t>
  </si>
  <si>
    <t>https://ryycrdhlkmzpxwwwwupy.supabase.co/storage/v1/object/public/old_media/e6363eb3.Path.100404.jpg</t>
  </si>
  <si>
    <t>97bc9cf3</t>
  </si>
  <si>
    <t>https://ryycrdhlkmzpxwwwwupy.supabase.co/storage/v1/object/public/old_media/97bc9cf3.Path.100426.webp</t>
  </si>
  <si>
    <t>a5611f9c</t>
  </si>
  <si>
    <t>https://ryycrdhlkmzpxwwwwupy.supabase.co/storage/v1/object/public/old_media/a5611f9c.Path.100621.webp</t>
  </si>
  <si>
    <t>salle a manger</t>
  </si>
  <si>
    <t>6750d167</t>
  </si>
  <si>
    <t>https://ryycrdhlkmzpxwwwwupy.supabase.co/storage/v1/object/public/old_media/6750d167.Path.100640.webp</t>
  </si>
  <si>
    <t>salon + salle à manger</t>
  </si>
  <si>
    <t>5f99ffb8</t>
  </si>
  <si>
    <t>https://ryycrdhlkmzpxwwwwupy.supabase.co/storage/v1/object/public/old_media/5f99ffb8.Path.100659.webp</t>
  </si>
  <si>
    <t>chambre 1</t>
  </si>
  <si>
    <t>04d3f403</t>
  </si>
  <si>
    <t>https://ryycrdhlkmzpxwwwwupy.supabase.co/storage/v1/object/public/old_media/04d3f403.Path.100716.webp</t>
  </si>
  <si>
    <t>0c8dcde8</t>
  </si>
  <si>
    <t>https://ryycrdhlkmzpxwwwwupy.supabase.co/storage/v1/object/public/old_media/0c8dcde8.Path.100734.webp</t>
  </si>
  <si>
    <t>chambre 2</t>
  </si>
  <si>
    <t>69c73e8f</t>
  </si>
  <si>
    <t>https://ryycrdhlkmzpxwwwwupy.supabase.co/storage/v1/object/public/old_media/69c73e8f.Path.100802.webp</t>
  </si>
  <si>
    <t>07c22e8d</t>
  </si>
  <si>
    <t>https://ryycrdhlkmzpxwwwwupy.supabase.co/storage/v1/object/public/old_media/07c22e8d.Path.100821.webp</t>
  </si>
  <si>
    <t>chambre 3</t>
  </si>
  <si>
    <t>076ef374</t>
  </si>
  <si>
    <t>https://ryycrdhlkmzpxwwwwupy.supabase.co/storage/v1/object/public/old_media/076ef374.Path.100843.webp</t>
  </si>
  <si>
    <t>chambre 4</t>
  </si>
  <si>
    <t>dc449762</t>
  </si>
  <si>
    <t>https://ryycrdhlkmzpxwwwwupy.supabase.co/storage/v1/object/public/old_media/dc449762.Path.100901.webp</t>
  </si>
  <si>
    <t>chambre 5</t>
  </si>
  <si>
    <t>f06c89c0</t>
  </si>
  <si>
    <t>https://ryycrdhlkmzpxwwwwupy.supabase.co/storage/v1/object/public/old_media/f06c89c0.Path.100929.webp</t>
  </si>
  <si>
    <t>460d9a34</t>
  </si>
  <si>
    <t>https://ryycrdhlkmzpxwwwwupy.supabase.co/storage/v1/object/public/old_media/460d9a34.Path.100947.webp</t>
  </si>
  <si>
    <t>sdb</t>
  </si>
  <si>
    <t>e3dbce22</t>
  </si>
  <si>
    <t>https://ryycrdhlkmzpxwwwwupy.supabase.co/storage/v1/object/public/old_media/e3dbce22.Path.072159.jpg</t>
  </si>
  <si>
    <t>6624dfa4</t>
  </si>
  <si>
    <t>https://ryycrdhlkmzpxwwwwupy.supabase.co/storage/v1/object/public/old_media/6624dfa4.Path.072701.jpg</t>
  </si>
  <si>
    <t>7ffad81d</t>
  </si>
  <si>
    <t>https://ryycrdhlkmzpxwwwwupy.supabase.co/storage/v1/object/public/old_media/7ffad81d.Path.072850.jpg</t>
  </si>
  <si>
    <t>d411ba88</t>
  </si>
  <si>
    <t>https://ryycrdhlkmzpxwwwwupy.supabase.co/storage/v1/object/public/old_media/d411ba88.Path.072857.webp</t>
  </si>
  <si>
    <t>9b9cbee0</t>
  </si>
  <si>
    <t>https://ryycrdhlkmzpxwwwwupy.supabase.co/storage/v1/object/public/old_media/9b9cbee0.Path.072905.webp</t>
  </si>
  <si>
    <t>44c9b733</t>
  </si>
  <si>
    <t>https://ryycrdhlkmzpxwwwwupy.supabase.co/storage/v1/object/public/old_media/44c9b733.Path.072914.jpg</t>
  </si>
  <si>
    <t>4535152c</t>
  </si>
  <si>
    <t>https://ryycrdhlkmzpxwwwwupy.supabase.co/storage/v1/object/public/old_media/4535152c.Path.072921.webp</t>
  </si>
  <si>
    <t>1bcd9de7</t>
  </si>
  <si>
    <t>https://ryycrdhlkmzpxwwwwupy.supabase.co/storage/v1/object/public/old_media/1bcd9de7.Path.072931.webp</t>
  </si>
  <si>
    <t>e947ea82</t>
  </si>
  <si>
    <t>https://ryycrdhlkmzpxwwwwupy.supabase.co/storage/v1/object/public/old_media/e947ea82.Path.072940.webp</t>
  </si>
  <si>
    <t>9257b493</t>
  </si>
  <si>
    <t>https://ryycrdhlkmzpxwwwwupy.supabase.co/storage/v1/object/public/old_media/9257b493.Path.073344.jpg</t>
  </si>
  <si>
    <t>e1b46750</t>
  </si>
  <si>
    <t>https://ryycrdhlkmzpxwwwwupy.supabase.co/storage/v1/object/public/old_media/e1b46750.Path.073413.webp</t>
  </si>
  <si>
    <t>6ea34e3f</t>
  </si>
  <si>
    <t>https://ryycrdhlkmzpxwwwwupy.supabase.co/storage/v1/object/public/old_media/6ea34e3f.Path.073422.webp</t>
  </si>
  <si>
    <t>828bc4d0</t>
  </si>
  <si>
    <t>https://ryycrdhlkmzpxwwwwupy.supabase.co/storage/v1/object/public/old_media/828bc4d0.Path.073449.webp</t>
  </si>
  <si>
    <t>8f51f3dd</t>
  </si>
  <si>
    <t>https://ryycrdhlkmzpxwwwwupy.supabase.co/storage/v1/object/public/old_media/8f51f3dd.Path.073510.jpg</t>
  </si>
  <si>
    <t>81225b67</t>
  </si>
  <si>
    <t>https://ryycrdhlkmzpxwwwwupy.supabase.co/storage/v1/object/public/old_media/81225b67.Path.073529.jpg</t>
  </si>
  <si>
    <t>340ea01f</t>
  </si>
  <si>
    <t>https://ryycrdhlkmzpxwwwwupy.supabase.co/storage/v1/object/public/old_media/340ea01f.Path.073650.webp</t>
  </si>
  <si>
    <t>95d8a813</t>
  </si>
  <si>
    <t>https://ryycrdhlkmzpxwwwwupy.supabase.co/storage/v1/object/public/old_media/95d8a813.Path.073713.webp</t>
  </si>
  <si>
    <t>c07b9ec0</t>
  </si>
  <si>
    <t>https://ryycrdhlkmzpxwwwwupy.supabase.co/storage/v1/object/public/old_media/c07b9ec0.Path.115441.jpg</t>
  </si>
  <si>
    <t>e85e488e</t>
  </si>
  <si>
    <t>https://ryycrdhlkmzpxwwwwupy.supabase.co/storage/v1/object/public/old_media/e85e488e.Path.115457.jpg</t>
  </si>
  <si>
    <t>26bed498</t>
  </si>
  <si>
    <t>https://ryycrdhlkmzpxwwwwupy.supabase.co/storage/v1/object/public/old_media/26bed498.Path.115504.jpg</t>
  </si>
  <si>
    <t>84d598f5</t>
  </si>
  <si>
    <t>https://ryycrdhlkmzpxwwwwupy.supabase.co/storage/v1/object/public/old_media/84d598f5.Path.115532.jpg</t>
  </si>
  <si>
    <t>28c37995</t>
  </si>
  <si>
    <t>https://ryycrdhlkmzpxwwwwupy.supabase.co/storage/v1/object/public/old_media/28c37995.Path.115550.jpg</t>
  </si>
  <si>
    <t>998b4254</t>
  </si>
  <si>
    <t>https://ryycrdhlkmzpxwwwwupy.supabase.co/storage/v1/object/public/old_media/998b4254.Path.115608.jpg</t>
  </si>
  <si>
    <t>5755684c</t>
  </si>
  <si>
    <t>https://ryycrdhlkmzpxwwwwupy.supabase.co/storage/v1/object/public/old_media/5755684c.Path.115900.jpg</t>
  </si>
  <si>
    <t>bd73c662</t>
  </si>
  <si>
    <t>https://ryycrdhlkmzpxwwwwupy.supabase.co/storage/v1/object/public/old_media/bd73c662.Path.115908.jpg</t>
  </si>
  <si>
    <t>586ed3d1</t>
  </si>
  <si>
    <t>https://ryycrdhlkmzpxwwwwupy.supabase.co/storage/v1/object/public/old_media/586ed3d1.Path.115927.jpg</t>
  </si>
  <si>
    <t>5b20edaf</t>
  </si>
  <si>
    <t>https://ryycrdhlkmzpxwwwwupy.supabase.co/storage/v1/object/public/old_media/5b20edaf.Path.115935.jpg</t>
  </si>
  <si>
    <t>ae62fd98</t>
  </si>
  <si>
    <t>https://ryycrdhlkmzpxwwwwupy.supabase.co/storage/v1/object/public/old_media/ae62fd98.Path.115953.jpg</t>
  </si>
  <si>
    <t>529cec9a</t>
  </si>
  <si>
    <t>https://ryycrdhlkmzpxwwwwupy.supabase.co/storage/v1/object/public/old_media/529cec9a.Path.120010.jpg</t>
  </si>
  <si>
    <t>550d2b47</t>
  </si>
  <si>
    <t>https://ryycrdhlkmzpxwwwwupy.supabase.co/storage/v1/object/public/old_media/550d2b47.Path.044929.jpg</t>
  </si>
  <si>
    <t>68eb6624</t>
  </si>
  <si>
    <t>https://ryycrdhlkmzpxwwwwupy.supabase.co/storage/v1/object/public/old_media/68eb6624.Path.044947.jpg</t>
  </si>
  <si>
    <t>34f40cfc</t>
  </si>
  <si>
    <t>https://ryycrdhlkmzpxwwwwupy.supabase.co/storage/v1/object/public/old_media/34f40cfc.Path.044954.jpg</t>
  </si>
  <si>
    <t>f7c88312</t>
  </si>
  <si>
    <t>https://ryycrdhlkmzpxwwwwupy.supabase.co/storage/v1/object/public/old_media/f7c88312.Path.045013.jpg</t>
  </si>
  <si>
    <t>da32729a</t>
  </si>
  <si>
    <t>https://ryycrdhlkmzpxwwwwupy.supabase.co/storage/v1/object/public/old_media/da32729a.Path.045029.jpg</t>
  </si>
  <si>
    <t>3e638ab9</t>
  </si>
  <si>
    <t>https://ryycrdhlkmzpxwwwwupy.supabase.co/storage/v1/object/public/old_media/3e638ab9.Path.045056.jpg</t>
  </si>
  <si>
    <t>8d65b2f0</t>
  </si>
  <si>
    <t>https://ryycrdhlkmzpxwwwwupy.supabase.co/storage/v1/object/public/old_media/8d65b2f0.Path.045103.jpg</t>
  </si>
  <si>
    <t>1d826060</t>
  </si>
  <si>
    <t>https://ryycrdhlkmzpxwwwwupy.supabase.co/storage/v1/object/public/old_media/1d826060.Path.063946.jpg</t>
  </si>
  <si>
    <t>b875241c</t>
  </si>
  <si>
    <t>https://ryycrdhlkmzpxwwwwupy.supabase.co/storage/v1/object/public/old_media/b875241c.Path.053441.jpg</t>
  </si>
  <si>
    <t>551a95e1</t>
  </si>
  <si>
    <t>https://ryycrdhlkmzpxwwwwupy.supabase.co/storage/v1/object/public/old_media/551a95e1.Path.053449.jpg</t>
  </si>
  <si>
    <t>3000b9c9</t>
  </si>
  <si>
    <t>https://ryycrdhlkmzpxwwwwupy.supabase.co/storage/v1/object/public/old_media/3000b9c9.Path.054029.jpg</t>
  </si>
  <si>
    <t>225ac4fa</t>
  </si>
  <si>
    <t>https://ryycrdhlkmzpxwwwwupy.supabase.co/storage/v1/object/public/old_media/225ac4fa.Path.054037.jpg</t>
  </si>
  <si>
    <t>cfad7a3d</t>
  </si>
  <si>
    <t>https://ryycrdhlkmzpxwwwwupy.supabase.co/storage/v1/object/public/old_media/cfad7a3d.Path.054044.jpg</t>
  </si>
  <si>
    <t>033bb11c</t>
  </si>
  <si>
    <t>https://ryycrdhlkmzpxwwwwupy.supabase.co/storage/v1/object/public/old_media/033bb11c.Path.054051.jpg</t>
  </si>
  <si>
    <t>5189230c</t>
  </si>
  <si>
    <t>https://ryycrdhlkmzpxwwwwupy.supabase.co/storage/v1/object/public/old_media/5189230c.Path.054133.jpg</t>
  </si>
  <si>
    <t>45cf6fc7</t>
  </si>
  <si>
    <t>https://ryycrdhlkmzpxwwwwupy.supabase.co/storage/v1/object/public/old_media/45cf6fc7.Path.054141.jpg</t>
  </si>
  <si>
    <t>15eaa8a6</t>
  </si>
  <si>
    <t>https://ryycrdhlkmzpxwwwwupy.supabase.co/storage/v1/object/public/old_media/15eaa8a6.Path.074853.jpg</t>
  </si>
  <si>
    <t>cfb809a3</t>
  </si>
  <si>
    <t>https://ryycrdhlkmzpxwwwwupy.supabase.co/storage/v1/object/public/old_media/cfb809a3.Path.074901.jpg</t>
  </si>
  <si>
    <t>a8726c42</t>
  </si>
  <si>
    <t>https://ryycrdhlkmzpxwwwwupy.supabase.co/storage/v1/object/public/old_media/a8726c42.Path.074908.jpg</t>
  </si>
  <si>
    <t>ea0d86c6</t>
  </si>
  <si>
    <t>https://ryycrdhlkmzpxwwwwupy.supabase.co/storage/v1/object/public/old_media/ea0d86c6.Path.074936.jpg</t>
  </si>
  <si>
    <t>c38d5836</t>
  </si>
  <si>
    <t>https://ryycrdhlkmzpxwwwwupy.supabase.co/storage/v1/object/public/old_media/c38d5836.Path.074953.jpg</t>
  </si>
  <si>
    <t>94289898</t>
  </si>
  <si>
    <t>https://ryycrdhlkmzpxwwwwupy.supabase.co/storage/v1/object/public/old_media/94289898.Path.075000.jpg</t>
  </si>
  <si>
    <t>d31b8b59</t>
  </si>
  <si>
    <t>https://ryycrdhlkmzpxwwwwupy.supabase.co/storage/v1/object/public/old_media/d31b8b59.Path.075018.jpg</t>
  </si>
  <si>
    <t>6763beb3</t>
  </si>
  <si>
    <t>https://ryycrdhlkmzpxwwwwupy.supabase.co/storage/v1/object/public/old_media/6763beb3.Path.075029.jpg</t>
  </si>
  <si>
    <t>fe59da06</t>
  </si>
  <si>
    <t>https://ryycrdhlkmzpxwwwwupy.supabase.co/storage/v1/object/public/old_media/fe59da06.Path.060330.jpg</t>
  </si>
  <si>
    <t>27b0edb6</t>
  </si>
  <si>
    <t>https://ryycrdhlkmzpxwwwwupy.supabase.co/storage/v1/object/public/old_media/27b0edb6.Path.060339.jpg</t>
  </si>
  <si>
    <t>17ad7740</t>
  </si>
  <si>
    <t>https://ryycrdhlkmzpxwwwwupy.supabase.co/storage/v1/object/public/old_media/17ad7740.Path.060348.jpg</t>
  </si>
  <si>
    <t>7ff8a591</t>
  </si>
  <si>
    <t>https://ryycrdhlkmzpxwwwwupy.supabase.co/storage/v1/object/public/old_media/7ff8a591.Path.060359.jpg</t>
  </si>
  <si>
    <t>2d57e15d</t>
  </si>
  <si>
    <t>https://ryycrdhlkmzpxwwwwupy.supabase.co/storage/v1/object/public/old_media/2d57e15d.Path.060412.jpg</t>
  </si>
  <si>
    <t>0c068d68</t>
  </si>
  <si>
    <t>https://ryycrdhlkmzpxwwwwupy.supabase.co/storage/v1/object/public/old_media/0c068d68.Path.060422.jpg</t>
  </si>
  <si>
    <t>e55627a9</t>
  </si>
  <si>
    <t>https://ryycrdhlkmzpxwwwwupy.supabase.co/storage/v1/object/public/old_media/e55627a9.Path.060452.jpg</t>
  </si>
  <si>
    <t>d91c9425</t>
  </si>
  <si>
    <t>https://ryycrdhlkmzpxwwwwupy.supabase.co/storage/v1/object/public/old_media/d91c9425.Path.060502.jpg</t>
  </si>
  <si>
    <t>49c85dd5</t>
  </si>
  <si>
    <t>https://ryycrdhlkmzpxwwwwupy.supabase.co/storage/v1/object/public/old_media/49c85dd5.Path.060510.jpg</t>
  </si>
  <si>
    <t>c2267734</t>
  </si>
  <si>
    <t>https://ryycrdhlkmzpxwwwwupy.supabase.co/storage/v1/object/public/old_media/c2267734.Path.060530.jpg</t>
  </si>
  <si>
    <t>4b9eb2d7</t>
  </si>
  <si>
    <t>https://ryycrdhlkmzpxwwwwupy.supabase.co/storage/v1/object/public/old_media/4b9eb2d7.Path.060538.jpg</t>
  </si>
  <si>
    <t>da0922e1</t>
  </si>
  <si>
    <t>https://ryycrdhlkmzpxwwwwupy.supabase.co/storage/v1/object/public/old_media/da0922e1.Path.105535.f10.webp</t>
  </si>
  <si>
    <t>dd48c06e</t>
  </si>
  <si>
    <t>https://ryycrdhlkmzpxwwwwupy.supabase.co/storage/v1/object/public/old_media/dd48c06e.Path.105601.f10.webp</t>
  </si>
  <si>
    <t>0e5e9c23</t>
  </si>
  <si>
    <t>https://ryycrdhlkmzpxwwwwupy.supabase.co/storage/v1/object/public/old_media/0e5e9c23.Path.105629.f10.webp</t>
  </si>
  <si>
    <t>65b16a60</t>
  </si>
  <si>
    <t>https://ryycrdhlkmzpxwwwwupy.supabase.co/storage/v1/object/public/old_media/65b16a60.Path.105653.f10.webp</t>
  </si>
  <si>
    <t>ad66ed86</t>
  </si>
  <si>
    <t>https://ryycrdhlkmzpxwwwwupy.supabase.co/storage/v1/object/public/old_media/ad66ed86.Path.105713.f10.webp</t>
  </si>
  <si>
    <t>b1cfdc59</t>
  </si>
  <si>
    <t>https://ryycrdhlkmzpxwwwwupy.supabase.co/storage/v1/object/public/old_media/b1cfdc59.Path.105732.f10.webp</t>
  </si>
  <si>
    <t>d1b4f55d</t>
  </si>
  <si>
    <t>https://ryycrdhlkmzpxwwwwupy.supabase.co/storage/v1/object/public/old_media/d1b4f55d.Path.105751.f10.webp</t>
  </si>
  <si>
    <t>f2548009</t>
  </si>
  <si>
    <t>https://ryycrdhlkmzpxwwwwupy.supabase.co/storage/v1/object/public/old_media/f2548009.Path.105811.f10.webp</t>
  </si>
  <si>
    <t>5086b6f4</t>
  </si>
  <si>
    <t>https://ryycrdhlkmzpxwwwwupy.supabase.co/storage/v1/object/public/old_media/5086b6f4.Path.105834.f10.webp</t>
  </si>
  <si>
    <t>4152ebd1</t>
  </si>
  <si>
    <t>https://ryycrdhlkmzpxwwwwupy.supabase.co/storage/v1/object/public/old_media/4152ebd1.Path.105851.f10.webp</t>
  </si>
  <si>
    <t>72ddf124</t>
  </si>
  <si>
    <t>https://ryycrdhlkmzpxwwwwupy.supabase.co/storage/v1/object/public/old_media/72ddf124.Path.102826.jpg</t>
  </si>
  <si>
    <t>07c4a56e</t>
  </si>
  <si>
    <t>https://ryycrdhlkmzpxwwwwupy.supabase.co/storage/v1/object/public/old_media/07c4a56e.Path.102842.jpg</t>
  </si>
  <si>
    <t>dcc4f0bc</t>
  </si>
  <si>
    <t>https://ryycrdhlkmzpxwwwwupy.supabase.co/storage/v1/object/public/old_media/dcc4f0bc.Path.102905.jpg</t>
  </si>
  <si>
    <t>d6a44848</t>
  </si>
  <si>
    <t>https://ryycrdhlkmzpxwwwwupy.supabase.co/storage/v1/object/public/old_media/d6a44848.Path.102921.jpg</t>
  </si>
  <si>
    <t>1393a92e</t>
  </si>
  <si>
    <t>https://ryycrdhlkmzpxwwwwupy.supabase.co/storage/v1/object/public/old_media/1393a92e.Path.102939.jpg</t>
  </si>
  <si>
    <t>938a97d4</t>
  </si>
  <si>
    <t>https://ryycrdhlkmzpxwwwwupy.supabase.co/storage/v1/object/public/old_media/938a97d4.Path.102959.jpg</t>
  </si>
  <si>
    <t>100e74bd</t>
  </si>
  <si>
    <t>https://ryycrdhlkmzpxwwwwupy.supabase.co/storage/v1/object/public/old_media/100e74bd.Path.103017.jpg</t>
  </si>
  <si>
    <t>054a25b6</t>
  </si>
  <si>
    <t>https://ryycrdhlkmzpxwwwwupy.supabase.co/storage/v1/object/public/old_media/054a25b6.Path.103035.jpg</t>
  </si>
  <si>
    <t>bd3181aa</t>
  </si>
  <si>
    <t>https://ryycrdhlkmzpxwwwwupy.supabase.co/storage/v1/object/public/old_media/bd3181aa.Path.103112.jpg</t>
  </si>
  <si>
    <t>16a47843</t>
  </si>
  <si>
    <t>https://ryycrdhlkmzpxwwwwupy.supabase.co/storage/v1/object/public/old_media/16a47843.Path.103142.jpg</t>
  </si>
  <si>
    <t>e02a3f51</t>
  </si>
  <si>
    <t>https://ryycrdhlkmzpxwwwwupy.supabase.co/storage/v1/object/public/old_media/e02a3f51.Path.103219.jpg</t>
  </si>
  <si>
    <t>34f6ecdc</t>
  </si>
  <si>
    <t>https://ryycrdhlkmzpxwwwwupy.supabase.co/storage/v1/object/public/old_media/34f6ecdc.Path.103239.jpg</t>
  </si>
  <si>
    <t>2cf56a3a</t>
  </si>
  <si>
    <t>https://ryycrdhlkmzpxwwwwupy.supabase.co/storage/v1/object/public/old_media/2cf56a3a.Path.094606.jpg</t>
  </si>
  <si>
    <t>4c35b1c2</t>
  </si>
  <si>
    <t>https://ryycrdhlkmzpxwwwwupy.supabase.co/storage/v1/object/public/old_media/4c35b1c2.Path.094645.jpg</t>
  </si>
  <si>
    <t>f6898abb</t>
  </si>
  <si>
    <t>https://ryycrdhlkmzpxwwwwupy.supabase.co/storage/v1/object/public/old_media/f6898abb.Path.094725.jpg</t>
  </si>
  <si>
    <t>a547f72b</t>
  </si>
  <si>
    <t>https://ryycrdhlkmzpxwwwwupy.supabase.co/storage/v1/object/public/old_media/a547f72b.Path.094740.jpg</t>
  </si>
  <si>
    <t>88fb124f</t>
  </si>
  <si>
    <t>https://ryycrdhlkmzpxwwwwupy.supabase.co/storage/v1/object/public/old_media/88fb124f.Path.094801.jpg</t>
  </si>
  <si>
    <t>d2f6a17b</t>
  </si>
  <si>
    <t>https://ryycrdhlkmzpxwwwwupy.supabase.co/storage/v1/object/public/old_media/d2f6a17b.Path.094811.jpg</t>
  </si>
  <si>
    <t>5e8d965d</t>
  </si>
  <si>
    <t>https://ryycrdhlkmzpxwwwwupy.supabase.co/storage/v1/object/public/old_media/5e8d965d.Path.094819.jpg</t>
  </si>
  <si>
    <t>8d03bedd</t>
  </si>
  <si>
    <t>https://ryycrdhlkmzpxwwwwupy.supabase.co/storage/v1/object/public/old_media/8d03bedd.Path.094846.jpg</t>
  </si>
  <si>
    <t>2689143e</t>
  </si>
  <si>
    <t>https://ryycrdhlkmzpxwwwwupy.supabase.co/storage/v1/object/public/old_media/2689143e.Path.070355.jpg</t>
  </si>
  <si>
    <t>fa7d18c1</t>
  </si>
  <si>
    <t>https://ryycrdhlkmzpxwwwwupy.supabase.co/storage/v1/object/public/old_media/fa7d18c1.Path.070500.jpg</t>
  </si>
  <si>
    <t>af3f30fd</t>
  </si>
  <si>
    <t>https://ryycrdhlkmzpxwwwwupy.supabase.co/storage/v1/object/public/old_media/af3f30fd.Path.070520.jpg</t>
  </si>
  <si>
    <t>e56d635d</t>
  </si>
  <si>
    <t>https://ryycrdhlkmzpxwwwwupy.supabase.co/storage/v1/object/public/old_media/e56d635d.Path.070532.jpg</t>
  </si>
  <si>
    <t>6a1be712</t>
  </si>
  <si>
    <t>https://ryycrdhlkmzpxwwwwupy.supabase.co/storage/v1/object/public/old_media/6a1be712.Path.070543.jpg</t>
  </si>
  <si>
    <t>103b9ed7</t>
  </si>
  <si>
    <t>https://ryycrdhlkmzpxwwwwupy.supabase.co/storage/v1/object/public/old_media/103b9ed7.Path.070556.jpg</t>
  </si>
  <si>
    <t>8c1387d0</t>
  </si>
  <si>
    <t>https://ryycrdhlkmzpxwwwwupy.supabase.co/storage/v1/object/public/old_media/8c1387d0.Path.070609.jpg</t>
  </si>
  <si>
    <t>b3627566</t>
  </si>
  <si>
    <t>https://ryycrdhlkmzpxwwwwupy.supabase.co/storage/v1/object/public/old_media/b3627566.Path.070626.jpg</t>
  </si>
  <si>
    <t>8e0d26fc</t>
  </si>
  <si>
    <t>https://ryycrdhlkmzpxwwwwupy.supabase.co/storage/v1/object/public/old_media/8e0d26fc.Path.070651.jpg</t>
  </si>
  <si>
    <t>d586c442</t>
  </si>
  <si>
    <t>https://ryycrdhlkmzpxwwwwupy.supabase.co/storage/v1/object/public/old_media/d586c442.Path.070709.jpg</t>
  </si>
  <si>
    <t>d3cc200e</t>
  </si>
  <si>
    <t>https://ryycrdhlkmzpxwwwwupy.supabase.co/storage/v1/object/public/old_media/d3cc200e.Path.050819.jpg</t>
  </si>
  <si>
    <t>7f855458</t>
  </si>
  <si>
    <t>https://ryycrdhlkmzpxwwwwupy.supabase.co/storage/v1/object/public/old_media/7f855458.Path.050857.jpg</t>
  </si>
  <si>
    <t>30be6cbf</t>
  </si>
  <si>
    <t>https://ryycrdhlkmzpxwwwwupy.supabase.co/storage/v1/object/public/old_media/30be6cbf.Path.050919.jpg</t>
  </si>
  <si>
    <t>462ced7d</t>
  </si>
  <si>
    <t>https://ryycrdhlkmzpxwwwwupy.supabase.co/storage/v1/object/public/old_media/462ced7d.Path.050936.jpg</t>
  </si>
  <si>
    <t>95adbcc1</t>
  </si>
  <si>
    <t>https://ryycrdhlkmzpxwwwwupy.supabase.co/storage/v1/object/public/old_media/95adbcc1.Path.073218.jpg</t>
  </si>
  <si>
    <t>397581c6</t>
  </si>
  <si>
    <t>https://ryycrdhlkmzpxwwwwupy.supabase.co/storage/v1/object/public/old_media/397581c6.Path.073225.jpg</t>
  </si>
  <si>
    <t>7573220e</t>
  </si>
  <si>
    <t>https://ryycrdhlkmzpxwwwwupy.supabase.co/storage/v1/object/public/old_media/7573220e.Path.073243.jpg</t>
  </si>
  <si>
    <t>091d44b8</t>
  </si>
  <si>
    <t>https://ryycrdhlkmzpxwwwwupy.supabase.co/storage/v1/object/public/old_media/091d44b8.Path.073306.jpg</t>
  </si>
  <si>
    <t>7880ee4a</t>
  </si>
  <si>
    <t>https://ryycrdhlkmzpxwwwwupy.supabase.co/storage/v1/object/public/old_media/7880ee4a.Path.065655.jpg</t>
  </si>
  <si>
    <t>10e64eae</t>
  </si>
  <si>
    <t>https://ryycrdhlkmzpxwwwwupy.supabase.co/storage/v1/object/public/old_media/10e64eae.Path.065719.jpg</t>
  </si>
  <si>
    <t>1f94cf45</t>
  </si>
  <si>
    <t>https://ryycrdhlkmzpxwwwwupy.supabase.co/storage/v1/object/public/old_media/1f94cf45.Path.065739.jpg</t>
  </si>
  <si>
    <t>c0412375</t>
  </si>
  <si>
    <t>https://ryycrdhlkmzpxwwwwupy.supabase.co/storage/v1/object/public/old_media/c0412375.Path.065901.jpg</t>
  </si>
  <si>
    <t>c6c65cdf</t>
  </si>
  <si>
    <t>https://ryycrdhlkmzpxwwwwupy.supabase.co/storage/v1/object/public/old_media/c6c65cdf.Path.065927.jpg</t>
  </si>
  <si>
    <t>f7b242ce</t>
  </si>
  <si>
    <t>https://ryycrdhlkmzpxwwwwupy.supabase.co/storage/v1/object/public/old_media/f7b242ce.Path.065940.jpg</t>
  </si>
  <si>
    <t>3c74aadc</t>
  </si>
  <si>
    <t>https://ryycrdhlkmzpxwwwwupy.supabase.co/storage/v1/object/public/old_media/3c74aadc.Path.065956.jpg</t>
  </si>
  <si>
    <t>6343f61e</t>
  </si>
  <si>
    <t>https://ryycrdhlkmzpxwwwwupy.supabase.co/storage/v1/object/public/old_media/6343f61e.Path.070011.jpg</t>
  </si>
  <si>
    <t>e1e104b5</t>
  </si>
  <si>
    <t>https://ryycrdhlkmzpxwwwwupy.supabase.co/storage/v1/object/public/old_media/e1e104b5.Path.070027.jpg</t>
  </si>
  <si>
    <t>8867a26e</t>
  </si>
  <si>
    <t>https://ryycrdhlkmzpxwwwwupy.supabase.co/storage/v1/object/public/old_media/8867a26e.Path.050745.jpg</t>
  </si>
  <si>
    <t>bca504ec</t>
  </si>
  <si>
    <t>https://ryycrdhlkmzpxwwwwupy.supabase.co/storage/v1/object/public/old_media/bca504ec.Path.050836.jpg</t>
  </si>
  <si>
    <t>7d894b82</t>
  </si>
  <si>
    <t>https://ryycrdhlkmzpxwwwwupy.supabase.co/storage/v1/object/public/old_media/7d894b82.Path.050855.jpg</t>
  </si>
  <si>
    <t>c97d2222</t>
  </si>
  <si>
    <t>https://ryycrdhlkmzpxwwwwupy.supabase.co/storage/v1/object/public/old_media/c97d2222.Path.051708.jpg</t>
  </si>
  <si>
    <t>6c04b6fa</t>
  </si>
  <si>
    <t>https://ryycrdhlkmzpxwwwwupy.supabase.co/storage/v1/object/public/old_media/6c04b6fa.Path.051721.jpg</t>
  </si>
  <si>
    <t>08bf2265</t>
  </si>
  <si>
    <t>https://ryycrdhlkmzpxwwwwupy.supabase.co/storage/v1/object/public/old_media/08bf2265.Path.051754.jpg</t>
  </si>
  <si>
    <t>4aa09618</t>
  </si>
  <si>
    <t>https://ryycrdhlkmzpxwwwwupy.supabase.co/storage/v1/object/public/old_media/4aa09618.Path.111255.jpg</t>
  </si>
  <si>
    <t>7007a7a9</t>
  </si>
  <si>
    <t>https://ryycrdhlkmzpxwwwwupy.supabase.co/storage/v1/object/public/old_media/7007a7a9.Path.111328.jpg</t>
  </si>
  <si>
    <t>9de49623</t>
  </si>
  <si>
    <t>https://ryycrdhlkmzpxwwwwupy.supabase.co/storage/v1/object/public/old_media/9de49623.Path.111335.jpg</t>
  </si>
  <si>
    <t>23bb0b36</t>
  </si>
  <si>
    <t>https://ryycrdhlkmzpxwwwwupy.supabase.co/storage/v1/object/public/old_media/23bb0b36.Path.111350.jpg</t>
  </si>
  <si>
    <t>38435d0a</t>
  </si>
  <si>
    <t>https://ryycrdhlkmzpxwwwwupy.supabase.co/storage/v1/object/public/old_media/38435d0a.Path.111401.jpg</t>
  </si>
  <si>
    <t>d812f1c9</t>
  </si>
  <si>
    <t>https://ryycrdhlkmzpxwwwwupy.supabase.co/storage/v1/object/public/old_media/d812f1c9.Path.111409.jpg</t>
  </si>
  <si>
    <t>0306d0f0</t>
  </si>
  <si>
    <t>https://ryycrdhlkmzpxwwwwupy.supabase.co/storage/v1/object/public/old_media/0306d0f0.Path.111418.jpg</t>
  </si>
  <si>
    <t>b54ef65a</t>
  </si>
  <si>
    <t>https://ryycrdhlkmzpxwwwwupy.supabase.co/storage/v1/object/public/old_media/b54ef65a.Path.111501.jpg</t>
  </si>
  <si>
    <t>8d4b0506</t>
  </si>
  <si>
    <t>https://ryycrdhlkmzpxwwwwupy.supabase.co/storage/v1/object/public/old_media/8d4b0506.Path.111512.jpg</t>
  </si>
  <si>
    <t>bd14c180</t>
  </si>
  <si>
    <t>https://ryycrdhlkmzpxwwwwupy.supabase.co/storage/v1/object/public/old_media/bd14c180.Path.115256.jpg</t>
  </si>
  <si>
    <t>c6bea20e</t>
  </si>
  <si>
    <t>https://ryycrdhlkmzpxwwwwupy.supabase.co/storage/v1/object/public/old_media/c6bea20e.Path.115314.jpg</t>
  </si>
  <si>
    <t>9830216b</t>
  </si>
  <si>
    <t>https://ryycrdhlkmzpxwwwwupy.supabase.co/storage/v1/object/public/old_media/9830216b.Path.115418.jpg</t>
  </si>
  <si>
    <t>62a358ae</t>
  </si>
  <si>
    <t>https://ryycrdhlkmzpxwwwwupy.supabase.co/storage/v1/object/public/old_media/62a358ae.Path.115435.jpg</t>
  </si>
  <si>
    <t>92966125</t>
  </si>
  <si>
    <t>https://ryycrdhlkmzpxwwwwupy.supabase.co/storage/v1/object/public/old_media/92966125.Path.115456.jpg</t>
  </si>
  <si>
    <t>387cd8c9</t>
  </si>
  <si>
    <t>https://ryycrdhlkmzpxwwwwupy.supabase.co/storage/v1/object/public/old_media/387cd8c9.Path.114625.jpg</t>
  </si>
  <si>
    <t>d194e630</t>
  </si>
  <si>
    <t>https://ryycrdhlkmzpxwwwwupy.supabase.co/storage/v1/object/public/old_media/d194e630.Path.041715.jpg</t>
  </si>
  <si>
    <t>dfc332e3</t>
  </si>
  <si>
    <t>https://ryycrdhlkmzpxwwwwupy.supabase.co/storage/v1/object/public/old_media/dfc332e3.Path.041739.jpg</t>
  </si>
  <si>
    <t>67c02273</t>
  </si>
  <si>
    <t>https://ryycrdhlkmzpxwwwwupy.supabase.co/storage/v1/object/public/old_media/67c02273.Path.041758.jpg</t>
  </si>
  <si>
    <t>82b8ad20</t>
  </si>
  <si>
    <t>https://ryycrdhlkmzpxwwwwupy.supabase.co/storage/v1/object/public/old_media/82b8ad20.Path.041818.jpg</t>
  </si>
  <si>
    <t>7d8d04df</t>
  </si>
  <si>
    <t>https://ryycrdhlkmzpxwwwwupy.supabase.co/storage/v1/object/public/old_media/7d8d04df.Path.041826.jpg</t>
  </si>
  <si>
    <t>a8afecec</t>
  </si>
  <si>
    <t>https://ryycrdhlkmzpxwwwwupy.supabase.co/storage/v1/object/public/old_media/a8afecec.Path.041845.jpg</t>
  </si>
  <si>
    <t>01c7bcb7</t>
  </si>
  <si>
    <t>https://ryycrdhlkmzpxwwwwupy.supabase.co/storage/v1/object/public/old_media/01c7bcb7.Path.043402.jpg</t>
  </si>
  <si>
    <t>8338c80c</t>
  </si>
  <si>
    <t>https://ryycrdhlkmzpxwwwwupy.supabase.co/storage/v1/object/public/old_media/8338c80c.Path.043427.jpg</t>
  </si>
  <si>
    <t>ed4004c3</t>
  </si>
  <si>
    <t>https://ryycrdhlkmzpxwwwwupy.supabase.co/storage/v1/object/public/old_media/ed4004c3.Path.043444.jpg</t>
  </si>
  <si>
    <t>0cec7573</t>
  </si>
  <si>
    <t>https://ryycrdhlkmzpxwwwwupy.supabase.co/storage/v1/object/public/old_media/0cec7573.Path.043502.jpg</t>
  </si>
  <si>
    <t>01a41ef9</t>
  </si>
  <si>
    <t>https://ryycrdhlkmzpxwwwwupy.supabase.co/storage/v1/object/public/old_media/01a41ef9.Path.043543.jpg</t>
  </si>
  <si>
    <t>5b252c27</t>
  </si>
  <si>
    <t>https://ryycrdhlkmzpxwwwwupy.supabase.co/storage/v1/object/public/old_media/5b252c27.Path.054708.jpg</t>
  </si>
  <si>
    <t>52ba6fa2</t>
  </si>
  <si>
    <t>https://ryycrdhlkmzpxwwwwupy.supabase.co/storage/v1/object/public/old_media/52ba6fa2.Path.054725.jpg</t>
  </si>
  <si>
    <t>f0670634</t>
  </si>
  <si>
    <t>https://ryycrdhlkmzpxwwwwupy.supabase.co/storage/v1/object/public/old_media/f0670634.Path.054734.jpg</t>
  </si>
  <si>
    <t>4a9b045d</t>
  </si>
  <si>
    <t>https://ryycrdhlkmzpxwwwwupy.supabase.co/storage/v1/object/public/old_media/4a9b045d.Path.054751.jpg</t>
  </si>
  <si>
    <t>6c16e6f8</t>
  </si>
  <si>
    <t>https://ryycrdhlkmzpxwwwwupy.supabase.co/storage/v1/object/public/old_media/6c16e6f8.Path.054810.jpg</t>
  </si>
  <si>
    <t>78aa2e78</t>
  </si>
  <si>
    <t>https://ryycrdhlkmzpxwwwwupy.supabase.co/storage/v1/object/public/old_media/78aa2e78.Path.063005.jpg</t>
  </si>
  <si>
    <t>efc54c7f</t>
  </si>
  <si>
    <t>https://ryycrdhlkmzpxwwwwupy.supabase.co/storage/v1/object/public/old_media/efc54c7f.Path.063025.jpg</t>
  </si>
  <si>
    <t>5fa6a90d</t>
  </si>
  <si>
    <t>https://ryycrdhlkmzpxwwwwupy.supabase.co/storage/v1/object/public/old_media/5fa6a90d.Path.063047.jpg</t>
  </si>
  <si>
    <t>f0fa7d8e</t>
  </si>
  <si>
    <t>https://ryycrdhlkmzpxwwwwupy.supabase.co/storage/v1/object/public/old_media/f0fa7d8e.Path.063108.jpg</t>
  </si>
  <si>
    <t>1047fa31</t>
  </si>
  <si>
    <t>https://ryycrdhlkmzpxwwwwupy.supabase.co/storage/v1/object/public/old_media/1047fa31.Path.063117.jpg</t>
  </si>
  <si>
    <t>a19eeec6</t>
  </si>
  <si>
    <t>https://ryycrdhlkmzpxwwwwupy.supabase.co/storage/v1/object/public/old_media/a19eeec6.Path.063136.jpg</t>
  </si>
  <si>
    <t>fe27ad33</t>
  </si>
  <si>
    <t>https://ryycrdhlkmzpxwwwwupy.supabase.co/storage/v1/object/public/old_media/fe27ad33.Path.063249.jpg</t>
  </si>
  <si>
    <t>f1b879dd</t>
  </si>
  <si>
    <t>https://ryycrdhlkmzpxwwwwupy.supabase.co/storage/v1/object/public/old_media/f1b879dd.Path.063308.jpg</t>
  </si>
  <si>
    <t>7b49b5c1</t>
  </si>
  <si>
    <t>https://ryycrdhlkmzpxwwwwupy.supabase.co/storage/v1/object/public/old_media/7b49b5c1.Path.064447.jpg</t>
  </si>
  <si>
    <t>2167419f</t>
  </si>
  <si>
    <t>https://ryycrdhlkmzpxwwwwupy.supabase.co/storage/v1/object/public/old_media/2167419f.Path.064610.jpg</t>
  </si>
  <si>
    <t>d2fe7c58</t>
  </si>
  <si>
    <t>https://ryycrdhlkmzpxwwwwupy.supabase.co/storage/v1/object/public/old_media/d2fe7c58.Path.064633.jpg</t>
  </si>
  <si>
    <t>fb649ba6</t>
  </si>
  <si>
    <t>https://ryycrdhlkmzpxwwwwupy.supabase.co/storage/v1/object/public/old_media/fb649ba6.Path.064652.jpg</t>
  </si>
  <si>
    <t>21093ab7</t>
  </si>
  <si>
    <t>https://ryycrdhlkmzpxwwwwupy.supabase.co/storage/v1/object/public/old_media/21093ab7.Path.064702.jpg</t>
  </si>
  <si>
    <t>a96f3cf7</t>
  </si>
  <si>
    <t>https://ryycrdhlkmzpxwwwwupy.supabase.co/storage/v1/object/public/old_media/a96f3cf7.Path.064723.jpg</t>
  </si>
  <si>
    <t>22143703</t>
  </si>
  <si>
    <t>https://ryycrdhlkmzpxwwwwupy.supabase.co/storage/v1/object/public/old_media/22143703.Path.064752.jpg</t>
  </si>
  <si>
    <t>4410e0cd</t>
  </si>
  <si>
    <t>https://ryycrdhlkmzpxwwwwupy.supabase.co/storage/v1/object/public/old_media/4410e0cd.Path.064811.jpg</t>
  </si>
  <si>
    <t>3e8e0179</t>
  </si>
  <si>
    <t>https://ryycrdhlkmzpxwwwwupy.supabase.co/storage/v1/object/public/old_media/3e8e0179.Path.065809.jpg</t>
  </si>
  <si>
    <t>a0bab98a</t>
  </si>
  <si>
    <t>https://ryycrdhlkmzpxwwwwupy.supabase.co/storage/v1/object/public/old_media/a0bab98a.Path.065836.jpg</t>
  </si>
  <si>
    <t>49d49f8f</t>
  </si>
  <si>
    <t>https://ryycrdhlkmzpxwwwwupy.supabase.co/storage/v1/object/public/old_media/49d49f8f.Path.065901.jpg</t>
  </si>
  <si>
    <t>8031ddef</t>
  </si>
  <si>
    <t>https://ryycrdhlkmzpxwwwwupy.supabase.co/storage/v1/object/public/old_media/8031ddef.Path.065929.jpg</t>
  </si>
  <si>
    <t>8d8f7895</t>
  </si>
  <si>
    <t>https://ryycrdhlkmzpxwwwwupy.supabase.co/storage/v1/object/public/old_media/8d8f7895.Path.065944.jpg</t>
  </si>
  <si>
    <t>8b09599d</t>
  </si>
  <si>
    <t>https://ryycrdhlkmzpxwwwwupy.supabase.co/storage/v1/object/public/old_media/8b09599d.Path.070000.jpg</t>
  </si>
  <si>
    <t>5f44ee8b</t>
  </si>
  <si>
    <t>https://ryycrdhlkmzpxwwwwupy.supabase.co/storage/v1/object/public/old_media/5f44ee8b.Path.070034.jpg</t>
  </si>
  <si>
    <t>a4670637</t>
  </si>
  <si>
    <t>https://ryycrdhlkmzpxwwwwupy.supabase.co/storage/v1/object/public/old_media/a4670637.Path.070051.jpg</t>
  </si>
  <si>
    <t>167ffe4d</t>
  </si>
  <si>
    <t>https://ryycrdhlkmzpxwwwwupy.supabase.co/storage/v1/object/public/old_media/167ffe4d.Path.070115.jpg</t>
  </si>
  <si>
    <t>a00ae756</t>
  </si>
  <si>
    <t>https://ryycrdhlkmzpxwwwwupy.supabase.co/storage/v1/object/public/old_media/a00ae756.Path.092305.jpg</t>
  </si>
  <si>
    <t>b0b13aad</t>
  </si>
  <si>
    <t>https://ryycrdhlkmzpxwwwwupy.supabase.co/storage/v1/object/public/old_media/b0b13aad.Path.092322.jpg</t>
  </si>
  <si>
    <t>dd5a5789</t>
  </si>
  <si>
    <t>https://ryycrdhlkmzpxwwwwupy.supabase.co/storage/v1/object/public/old_media/dd5a5789.Path.092346.jpg</t>
  </si>
  <si>
    <t>b434a264</t>
  </si>
  <si>
    <t>https://ryycrdhlkmzpxwwwwupy.supabase.co/storage/v1/object/public/old_media/b434a264.Path.092356.jpg</t>
  </si>
  <si>
    <t>16e38d73</t>
  </si>
  <si>
    <t>https://ryycrdhlkmzpxwwwwupy.supabase.co/storage/v1/object/public/old_media/16e38d73.Path.150251.jpg</t>
  </si>
  <si>
    <t>b725cceb</t>
  </si>
  <si>
    <t>https://ryycrdhlkmzpxwwwwupy.supabase.co/storage/v1/object/public/old_media/b725cceb.Path.150339.jpg</t>
  </si>
  <si>
    <t>59733618</t>
  </si>
  <si>
    <t>https://ryycrdhlkmzpxwwwwupy.supabase.co/storage/v1/object/public/old_media/59733618.Path.150432.jpg</t>
  </si>
  <si>
    <t>efa4cd79</t>
  </si>
  <si>
    <t>https://ryycrdhlkmzpxwwwwupy.supabase.co/storage/v1/object/public/old_media/efa4cd79.Path.150445.png</t>
  </si>
  <si>
    <t>3ebd1b13</t>
  </si>
  <si>
    <t>https://ryycrdhlkmzpxwwwwupy.supabase.co/storage/v1/object/public/old_media/3ebd1b13.Path.030041.png</t>
  </si>
  <si>
    <t>236da71b</t>
  </si>
  <si>
    <t>https://ryycrdhlkmzpxwwwwupy.supabase.co/storage/v1/object/public/old_media/236da71b.Path.030053.png</t>
  </si>
  <si>
    <t>aa89efd3</t>
  </si>
  <si>
    <t>https://ryycrdhlkmzpxwwwwupy.supabase.co/storage/v1/object/public/old_media/aa89efd3.Path.030107.png</t>
  </si>
  <si>
    <t>7754d80e</t>
  </si>
  <si>
    <t>https://ryycrdhlkmzpxwwwwupy.supabase.co/storage/v1/object/public/old_media/7754d80e.Path.053522.jpg</t>
  </si>
  <si>
    <t>f88f5832</t>
  </si>
  <si>
    <t>https://ryycrdhlkmzpxwwwwupy.supabase.co/storage/v1/object/public/old_media/f88f5832.Path.053542.jpg</t>
  </si>
  <si>
    <t>e3f39ee6</t>
  </si>
  <si>
    <t>https://ryycrdhlkmzpxwwwwupy.supabase.co/storage/v1/object/public/old_media/e3f39ee6.Path.053605.jpg</t>
  </si>
  <si>
    <t>91656192</t>
  </si>
  <si>
    <t>https://ryycrdhlkmzpxwwwwupy.supabase.co/storage/v1/object/public/old_media/91656192.Path.055455.jpg</t>
  </si>
  <si>
    <t>324c6085</t>
  </si>
  <si>
    <t>https://ryycrdhlkmzpxwwwwupy.supabase.co/storage/v1/object/public/old_media/324c6085.Path.055516.jpg</t>
  </si>
  <si>
    <t>4bfe8e8e</t>
  </si>
  <si>
    <t>https://ryycrdhlkmzpxwwwwupy.supabase.co/storage/v1/object/public/old_media/4bfe8e8e.Path.055527.jpg</t>
  </si>
  <si>
    <t>d3eccf27</t>
  </si>
  <si>
    <t>https://ryycrdhlkmzpxwwwwupy.supabase.co/storage/v1/object/public/old_media/d3eccf27.Path.061038.webp</t>
  </si>
  <si>
    <t>539222a0</t>
  </si>
  <si>
    <t>https://ryycrdhlkmzpxwwwwupy.supabase.co/storage/v1/object/public/old_media/539222a0.Path.063332.png</t>
  </si>
  <si>
    <t>754a59f8</t>
  </si>
  <si>
    <t>https://ryycrdhlkmzpxwwwwupy.supabase.co/storage/v1/object/public/old_media/754a59f8.Path.063353.jpg</t>
  </si>
  <si>
    <t>91b178fa</t>
  </si>
  <si>
    <t>https://ryycrdhlkmzpxwwwwupy.supabase.co/storage/v1/object/public/old_media/91b178fa.Path.063412.jpg</t>
  </si>
  <si>
    <t>625474ac</t>
  </si>
  <si>
    <t>https://ryycrdhlkmzpxwwwwupy.supabase.co/storage/v1/object/public/old_media/625474ac.Path.063429.webp</t>
  </si>
  <si>
    <t>4b7680d8</t>
  </si>
  <si>
    <t>https://ryycrdhlkmzpxwwwwupy.supabase.co/storage/v1/object/public/old_media/4b7680d8.Path.072511.jpg</t>
  </si>
  <si>
    <t>eb5ffb51</t>
  </si>
  <si>
    <t>https://ryycrdhlkmzpxwwwwupy.supabase.co/storage/v1/object/public/old_media/eb5ffb51.Path.072649.jpg</t>
  </si>
  <si>
    <t>da5b1a8e</t>
  </si>
  <si>
    <t>https://ryycrdhlkmzpxwwwwupy.supabase.co/storage/v1/object/public/old_media/da5b1a8e.Path.072658.jpg</t>
  </si>
  <si>
    <t>f25f85c9</t>
  </si>
  <si>
    <t>https://ryycrdhlkmzpxwwwwupy.supabase.co/storage/v1/object/public/old_media/f25f85c9.Path.091432.png</t>
  </si>
  <si>
    <t>chambre Chloé</t>
  </si>
  <si>
    <t>2fc32219</t>
  </si>
  <si>
    <t>https://ryycrdhlkmzpxwwwwupy.supabase.co/storage/v1/object/public/old_media/2fc32219.Path.091457.jpg</t>
  </si>
  <si>
    <t>chambre didi</t>
  </si>
  <si>
    <t>a7389ae7</t>
  </si>
  <si>
    <t>https://ryycrdhlkmzpxwwwwupy.supabase.co/storage/v1/object/public/old_media/a7389ae7.Path.091511.jpg</t>
  </si>
  <si>
    <t>chambre Lori</t>
  </si>
  <si>
    <t>fb253c59</t>
  </si>
  <si>
    <t>https://ryycrdhlkmzpxwwwwupy.supabase.co/storage/v1/object/public/old_media/fb253c59.Path.091552.png</t>
  </si>
  <si>
    <t>chambre phoebe</t>
  </si>
  <si>
    <t>95f43714</t>
  </si>
  <si>
    <t>https://ryycrdhlkmzpxwwwwupy.supabase.co/storage/v1/object/public/old_media/95f43714.Path.091613.png</t>
  </si>
  <si>
    <t>6ef467c0</t>
  </si>
  <si>
    <t>https://ryycrdhlkmzpxwwwwupy.supabase.co/storage/v1/object/public/old_media/6ef467c0.Path.091635.png</t>
  </si>
  <si>
    <t>cheminée</t>
  </si>
  <si>
    <t>6016dd3f</t>
  </si>
  <si>
    <t>https://ryycrdhlkmzpxwwwwupy.supabase.co/storage/v1/object/public/old_media/6016dd3f.Path.091644.png</t>
  </si>
  <si>
    <t>2e83fbda</t>
  </si>
  <si>
    <t>https://ryycrdhlkmzpxwwwwupy.supabase.co/storage/v1/object/public/old_media/2e83fbda.Path.091702.jpg</t>
  </si>
  <si>
    <t>0980c6d0</t>
  </si>
  <si>
    <t>https://ryycrdhlkmzpxwwwwupy.supabase.co/storage/v1/object/public/old_media/0980c6d0.Path.091733.jpg</t>
  </si>
  <si>
    <t>façade</t>
  </si>
  <si>
    <t>86a7dc98</t>
  </si>
  <si>
    <t>https://ryycrdhlkmzpxwwwwupy.supabase.co/storage/v1/object/public/old_media/86a7dc98.Path.091754.jpg</t>
  </si>
  <si>
    <t>27065cf4</t>
  </si>
  <si>
    <t>https://ryycrdhlkmzpxwwwwupy.supabase.co/storage/v1/object/public/old_media/27065cf4.Path.091802.jpg</t>
  </si>
  <si>
    <t>08314c6a</t>
  </si>
  <si>
    <t>https://ryycrdhlkmzpxwwwwupy.supabase.co/storage/v1/object/public/old_media/08314c6a.Path.091831.png</t>
  </si>
  <si>
    <t>jardin 2</t>
  </si>
  <si>
    <t>67f2ea25</t>
  </si>
  <si>
    <t>https://ryycrdhlkmzpxwwwwupy.supabase.co/storage/v1/object/public/old_media/67f2ea25.Path.091843.png</t>
  </si>
  <si>
    <t>jardin 3</t>
  </si>
  <si>
    <t>e9b528cf</t>
  </si>
  <si>
    <t>https://ryycrdhlkmzpxwwwwupy.supabase.co/storage/v1/object/public/old_media/e9b528cf.Path.091904.png</t>
  </si>
  <si>
    <t>54f03bec</t>
  </si>
  <si>
    <t>https://ryycrdhlkmzpxwwwwupy.supabase.co/storage/v1/object/public/old_media/54f03bec.Path.091942.jpg</t>
  </si>
  <si>
    <t>01c29364</t>
  </si>
  <si>
    <t>https://ryycrdhlkmzpxwwwwupy.supabase.co/storage/v1/object/public/old_media/01c29364.Path.091951.jpg</t>
  </si>
  <si>
    <t>7adcd30f</t>
  </si>
  <si>
    <t>https://ryycrdhlkmzpxwwwwupy.supabase.co/storage/v1/object/public/old_media/7adcd30f.Path.091958.jpg</t>
  </si>
  <si>
    <t>d5586161</t>
  </si>
  <si>
    <t>https://ryycrdhlkmzpxwwwwupy.supabase.co/storage/v1/object/public/old_media/d5586161.Path.111608.png</t>
  </si>
  <si>
    <t>19edcc54</t>
  </si>
  <si>
    <t>https://ryycrdhlkmzpxwwwwupy.supabase.co/storage/v1/object/public/old_media/19edcc54.Path.111628.avif</t>
  </si>
  <si>
    <t>aab33605</t>
  </si>
  <si>
    <t>https://ryycrdhlkmzpxwwwwupy.supabase.co/storage/v1/object/public/old_media/aab33605.Path.111636.avif</t>
  </si>
  <si>
    <t>4aba2ff8</t>
  </si>
  <si>
    <t>https://ryycrdhlkmzpxwwwwupy.supabase.co/storage/v1/object/public/old_media/4aba2ff8.Path.054623.jpg</t>
  </si>
  <si>
    <t>dd079985</t>
  </si>
  <si>
    <t>https://ryycrdhlkmzpxwwwwupy.supabase.co/storage/v1/object/public/old_media/dd079985.Path.064440.jpg</t>
  </si>
  <si>
    <t>d20186df</t>
  </si>
  <si>
    <t>https://ryycrdhlkmzpxwwwwupy.supabase.co/storage/v1/object/public/old_media/d20186df.Path.092618.jpg</t>
  </si>
  <si>
    <t>d9488ef5</t>
  </si>
  <si>
    <t>https://ryycrdhlkmzpxwwwwupy.supabase.co/storage/v1/object/public/old_media/d9488ef5.Path.092628.webp</t>
  </si>
  <si>
    <t>0676b25e</t>
  </si>
  <si>
    <t>https://ryycrdhlkmzpxwwwwupy.supabase.co/storage/v1/object/public/old_media/0676b25e.Path.092655.webp</t>
  </si>
  <si>
    <t>dfb0f265</t>
  </si>
  <si>
    <t>https://ryycrdhlkmzpxwwwwupy.supabase.co/storage/v1/object/public/old_media/dfb0f265.Path.093623.jpg</t>
  </si>
  <si>
    <t>e1dc4646</t>
  </si>
  <si>
    <t>https://ryycrdhlkmzpxwwwwupy.supabase.co/storage/v1/object/public/old_media/e1dc4646.Path.093649.webp</t>
  </si>
  <si>
    <t>37391b4d</t>
  </si>
  <si>
    <t>https://ryycrdhlkmzpxwwwwupy.supabase.co/storage/v1/object/public/old_media/37391b4d.Path.093708.webp</t>
  </si>
  <si>
    <t>f599d455</t>
  </si>
  <si>
    <t>https://ryycrdhlkmzpxwwwwupy.supabase.co/storage/v1/object/public/old_media/f599d455.Path.095324.jpg</t>
  </si>
  <si>
    <t>711ea81c</t>
  </si>
  <si>
    <t>https://ryycrdhlkmzpxwwwwupy.supabase.co/storage/v1/object/public/old_media/711ea81c.Path.095339.jpg</t>
  </si>
  <si>
    <t>1af33d9f</t>
  </si>
  <si>
    <t>https://ryycrdhlkmzpxwwwwupy.supabase.co/storage/v1/object/public/old_media/1af33d9f.Path.102013.jpg</t>
  </si>
  <si>
    <t>1882dd47</t>
  </si>
  <si>
    <t>https://ryycrdhlkmzpxwwwwupy.supabase.co/storage/v1/object/public/old_media/1882dd47.Path.102031.jpg</t>
  </si>
  <si>
    <t>3ef51f8e</t>
  </si>
  <si>
    <t>https://ryycrdhlkmzpxwwwwupy.supabase.co/storage/v1/object/public/old_media/3ef51f8e.Path.102041.jpg</t>
  </si>
  <si>
    <t>67578e9d</t>
  </si>
  <si>
    <t>https://ryycrdhlkmzpxwwwwupy.supabase.co/storage/v1/object/public/old_media/67578e9d.Path.102112.jpg</t>
  </si>
  <si>
    <t>e080f429</t>
  </si>
  <si>
    <t>https://ryycrdhlkmzpxwwwwupy.supabase.co/storage/v1/object/public/old_media/e080f429.Path.102710.jpg</t>
  </si>
  <si>
    <t>7307b4a2</t>
  </si>
  <si>
    <t>https://ryycrdhlkmzpxwwwwupy.supabase.co/storage/v1/object/public/old_media/7307b4a2.Path.102718.jpg</t>
  </si>
  <si>
    <t>0be5f610</t>
  </si>
  <si>
    <t>https://ryycrdhlkmzpxwwwwupy.supabase.co/storage/v1/object/public/old_media/0be5f610.Path.092648.jpg</t>
  </si>
  <si>
    <t>226e159e</t>
  </si>
  <si>
    <t>https://ryycrdhlkmzpxwwwwupy.supabase.co/storage/v1/object/public/old_media/226e159e.Path.092701.jpg</t>
  </si>
  <si>
    <t>cddd057b</t>
  </si>
  <si>
    <t>https://ryycrdhlkmzpxwwwwupy.supabase.co/storage/v1/object/public/old_media/cddd057b.Path.092723.jpg</t>
  </si>
  <si>
    <t>24595c2c</t>
  </si>
  <si>
    <t>https://ryycrdhlkmzpxwwwwupy.supabase.co/storage/v1/object/public/old_media/24595c2c.Path.092759.jpg</t>
  </si>
  <si>
    <t>de5b1f35</t>
  </si>
  <si>
    <t>https://ryycrdhlkmzpxwwwwupy.supabase.co/storage/v1/object/public/old_media/de5b1f35.Path.092818.jpg</t>
  </si>
  <si>
    <t>d655c168</t>
  </si>
  <si>
    <t>https://ryycrdhlkmzpxwwwwupy.supabase.co/storage/v1/object/public/old_media/d655c168.Path.105740.jpg</t>
  </si>
  <si>
    <t>b5cf229e</t>
  </si>
  <si>
    <t>https://ryycrdhlkmzpxwwwwupy.supabase.co/storage/v1/object/public/old_media/b5cf229e.Path.105758.jpg</t>
  </si>
  <si>
    <t>2270943a</t>
  </si>
  <si>
    <t>https://ryycrdhlkmzpxwwwwupy.supabase.co/storage/v1/object/public/old_media/2270943a.Path.105829.jpg</t>
  </si>
  <si>
    <t>4d7518ff</t>
  </si>
  <si>
    <t>https://ryycrdhlkmzpxwwwwupy.supabase.co/storage/v1/object/public/old_media/4d7518ff.Path.105844.jpg</t>
  </si>
  <si>
    <t>4ebfc4c6</t>
  </si>
  <si>
    <t>https://ryycrdhlkmzpxwwwwupy.supabase.co/storage/v1/object/public/old_media/4ebfc4c6.Path.105859.jpg</t>
  </si>
  <si>
    <t>375758a8</t>
  </si>
  <si>
    <t>https://ryycrdhlkmzpxwwwwupy.supabase.co/storage/v1/object/public/old_media/375758a8.Path.105904.jpg</t>
  </si>
  <si>
    <t>efb99b93</t>
  </si>
  <si>
    <t>https://ryycrdhlkmzpxwwwwupy.supabase.co/storage/v1/object/public/old_media/efb99b93.Path.105913.jpg</t>
  </si>
  <si>
    <t>277be776</t>
  </si>
  <si>
    <t>https://ryycrdhlkmzpxwwwwupy.supabase.co/storage/v1/object/public/old_media/277be776.Path.105928.jpg</t>
  </si>
  <si>
    <t>45575445</t>
  </si>
  <si>
    <t>https://ryycrdhlkmzpxwwwwupy.supabase.co/storage/v1/object/public/old_media/45575445.Path.105947.jpg</t>
  </si>
  <si>
    <t>49ac2399</t>
  </si>
  <si>
    <t>https://ryycrdhlkmzpxwwwwupy.supabase.co/storage/v1/object/public/old_media/49ac2399.Path.110002.jpg</t>
  </si>
  <si>
    <t>13ca7f83</t>
  </si>
  <si>
    <t>https://ryycrdhlkmzpxwwwwupy.supabase.co/storage/v1/object/public/old_media/13ca7f83.Path.110950.jpg</t>
  </si>
  <si>
    <t>d8c34193</t>
  </si>
  <si>
    <t>https://ryycrdhlkmzpxwwwwupy.supabase.co/storage/v1/object/public/old_media/d8c34193.Path.111008.jpg</t>
  </si>
  <si>
    <t>bb36ea28</t>
  </si>
  <si>
    <t>https://ryycrdhlkmzpxwwwwupy.supabase.co/storage/v1/object/public/old_media/bb36ea28.Path.111021.jpg</t>
  </si>
  <si>
    <t>de43be34</t>
  </si>
  <si>
    <t>https://ryycrdhlkmzpxwwwwupy.supabase.co/storage/v1/object/public/old_media/de43be34.Path.111033.jpg</t>
  </si>
  <si>
    <t>2015d545</t>
  </si>
  <si>
    <t>https://ryycrdhlkmzpxwwwwupy.supabase.co/storage/v1/object/public/old_media/2015d545.Path.111047.jpg</t>
  </si>
  <si>
    <t>2557c0f9</t>
  </si>
  <si>
    <t>https://ryycrdhlkmzpxwwwwupy.supabase.co/storage/v1/object/public/old_media/2557c0f9.Path.111100.jpg</t>
  </si>
  <si>
    <t>c0e0cc9e</t>
  </si>
  <si>
    <t>https://ryycrdhlkmzpxwwwwupy.supabase.co/storage/v1/object/public/old_media/c0e0cc9e.Path.111113.jpg</t>
  </si>
  <si>
    <t>a40e5f4b</t>
  </si>
  <si>
    <t>https://ryycrdhlkmzpxwwwwupy.supabase.co/storage/v1/object/public/old_media/a40e5f4b.Path.111219.jpg</t>
  </si>
  <si>
    <t>9572044c</t>
  </si>
  <si>
    <t>https://ryycrdhlkmzpxwwwwupy.supabase.co/storage/v1/object/public/old_media/9572044c.Path.130710.jpg</t>
  </si>
  <si>
    <t>9e0de8af</t>
  </si>
  <si>
    <t>https://ryycrdhlkmzpxwwwwupy.supabase.co/storage/v1/object/public/old_media/9e0de8af.Path.131008.jpg</t>
  </si>
  <si>
    <t>308d454e</t>
  </si>
  <si>
    <t>https://ryycrdhlkmzpxwwwwupy.supabase.co/storage/v1/object/public/old_media/308d454e.Path.131204.jpg</t>
  </si>
  <si>
    <t>0a15361c</t>
  </si>
  <si>
    <t>https://ryycrdhlkmzpxwwwwupy.supabase.co/storage/v1/object/public/old_media/0a15361c.Path.131818.jpg</t>
  </si>
  <si>
    <t>3f8c7624</t>
  </si>
  <si>
    <t>https://ryycrdhlkmzpxwwwwupy.supabase.co/storage/v1/object/public/old_media/3f8c7624.Path.131905.jpg</t>
  </si>
  <si>
    <t>0870bf93</t>
  </si>
  <si>
    <t>https://ryycrdhlkmzpxwwwwupy.supabase.co/storage/v1/object/public/old_media/0870bf93.Path.132008.jpg</t>
  </si>
  <si>
    <t>3b2bc840</t>
  </si>
  <si>
    <t>https://ryycrdhlkmzpxwwwwupy.supabase.co/storage/v1/object/public/old_media/3b2bc840.Path.132148.jpg</t>
  </si>
  <si>
    <t>6d498697</t>
  </si>
  <si>
    <t>https://ryycrdhlkmzpxwwwwupy.supabase.co/storage/v1/object/public/old_media/6d498697.Path.044812.jpg</t>
  </si>
  <si>
    <t>765b7a74</t>
  </si>
  <si>
    <t>https://ryycrdhlkmzpxwwwwupy.supabase.co/storage/v1/object/public/old_media/765b7a74.Path.044902.jpg</t>
  </si>
  <si>
    <t>469cd8a3</t>
  </si>
  <si>
    <t>https://ryycrdhlkmzpxwwwwupy.supabase.co/storage/v1/object/public/old_media/469cd8a3.Path.045007.jpg</t>
  </si>
  <si>
    <t>240f5bcb</t>
  </si>
  <si>
    <t>https://ryycrdhlkmzpxwwwwupy.supabase.co/storage/v1/object/public/old_media/240f5bcb.Path.054101.jpg</t>
  </si>
  <si>
    <t>8b448468</t>
  </si>
  <si>
    <t>https://ryycrdhlkmzpxwwwwupy.supabase.co/storage/v1/object/public/old_media/8b448468.Path.054118.jpg</t>
  </si>
  <si>
    <t>5c1e6d26</t>
  </si>
  <si>
    <t>https://ryycrdhlkmzpxwwwwupy.supabase.co/storage/v1/object/public/old_media/5c1e6d26.Path.054136.jpg</t>
  </si>
  <si>
    <t>4a92cc62</t>
  </si>
  <si>
    <t>https://ryycrdhlkmzpxwwwwupy.supabase.co/storage/v1/object/public/old_media/4a92cc62.Path.054209.jpg</t>
  </si>
  <si>
    <t>8a115e54</t>
  </si>
  <si>
    <t>https://ryycrdhlkmzpxwwwwupy.supabase.co/storage/v1/object/public/old_media/8a115e54.Path.054221.jpg</t>
  </si>
  <si>
    <t>29ab6278</t>
  </si>
  <si>
    <t>https://ryycrdhlkmzpxwwwwupy.supabase.co/storage/v1/object/public/old_media/29ab6278.Path.054229.jpg</t>
  </si>
  <si>
    <t>d3823621</t>
  </si>
  <si>
    <t>https://ryycrdhlkmzpxwwwwupy.supabase.co/storage/v1/object/public/old_media/d3823621.Path.100632.jpg</t>
  </si>
  <si>
    <t>8f72f6a8</t>
  </si>
  <si>
    <t>https://ryycrdhlkmzpxwwwwupy.supabase.co/storage/v1/object/public/old_media/8f72f6a8.Path.101300.jpg</t>
  </si>
  <si>
    <t>c1c0dfb8</t>
  </si>
  <si>
    <t>https://ryycrdhlkmzpxwwwwupy.supabase.co/storage/v1/object/public/old_media/c1c0dfb8.Path.103020.jpg</t>
  </si>
  <si>
    <t>d0bfe630</t>
  </si>
  <si>
    <t>https://ryycrdhlkmzpxwwwwupy.supabase.co/storage/v1/object/public/old_media/d0bfe630.Path.103039.jpg</t>
  </si>
  <si>
    <t>081d807d</t>
  </si>
  <si>
    <t>https://ryycrdhlkmzpxwwwwupy.supabase.co/storage/v1/object/public/old_media/081d807d.Path.103048.jpg</t>
  </si>
  <si>
    <t>b791707e</t>
  </si>
  <si>
    <t>https://ryycrdhlkmzpxwwwwupy.supabase.co/storage/v1/object/public/old_media/b791707e.Path.103109.jpg</t>
  </si>
  <si>
    <t>464bacfc</t>
  </si>
  <si>
    <t>https://ryycrdhlkmzpxwwwwupy.supabase.co/storage/v1/object/public/old_media/464bacfc.Path.103127.jpg</t>
  </si>
  <si>
    <t>cd53e566</t>
  </si>
  <si>
    <t>https://ryycrdhlkmzpxwwwwupy.supabase.co/storage/v1/object/public/old_media/cd53e566.Path.103144.jpg</t>
  </si>
  <si>
    <t>786e615c</t>
  </si>
  <si>
    <t>https://ryycrdhlkmzpxwwwwupy.supabase.co/storage/v1/object/public/old_media/786e615c.Path.103202.jpg</t>
  </si>
  <si>
    <t>2caf78a9</t>
  </si>
  <si>
    <t>https://ryycrdhlkmzpxwwwwupy.supabase.co/storage/v1/object/public/old_media/2caf78a9.Path.103220.jpg</t>
  </si>
  <si>
    <t>51a32672</t>
  </si>
  <si>
    <t>https://ryycrdhlkmzpxwwwwupy.supabase.co/storage/v1/object/public/old_media/51a32672.Path.111727.jpg</t>
  </si>
  <si>
    <t>685663ee</t>
  </si>
  <si>
    <t>https://ryycrdhlkmzpxwwwwupy.supabase.co/storage/v1/object/public/old_media/685663ee.Path.111805.webp</t>
  </si>
  <si>
    <t>a87b6917</t>
  </si>
  <si>
    <t>https://ryycrdhlkmzpxwwwwupy.supabase.co/storage/v1/object/public/old_media/a87b6917.Path.111911.webp</t>
  </si>
  <si>
    <t>Mezzanine accessible avec une échelle</t>
  </si>
  <si>
    <t>5f4187f7</t>
  </si>
  <si>
    <t>https://ryycrdhlkmzpxwwwwupy.supabase.co/storage/v1/object/public/old_media/5f4187f7.Path.112312.jpg</t>
  </si>
  <si>
    <t>1c3b288e</t>
  </si>
  <si>
    <t>https://ryycrdhlkmzpxwwwwupy.supabase.co/storage/v1/object/public/old_media/1c3b288e.Path.112343.jpg</t>
  </si>
  <si>
    <t>fe96de2c</t>
  </si>
  <si>
    <t>https://ryycrdhlkmzpxwwwwupy.supabase.co/storage/v1/object/public/old_media/fe96de2c.Path.112405.jpg</t>
  </si>
  <si>
    <t>766293f4</t>
  </si>
  <si>
    <t>https://ryycrdhlkmzpxwwwwupy.supabase.co/storage/v1/object/public/old_media/766293f4.Path.112424.jpg</t>
  </si>
  <si>
    <t>a95412b5</t>
  </si>
  <si>
    <t>https://ryycrdhlkmzpxwwwwupy.supabase.co/storage/v1/object/public/old_media/a95412b5.Path.112447.jpg</t>
  </si>
  <si>
    <t>3c82c208</t>
  </si>
  <si>
    <t>https://ryycrdhlkmzpxwwwwupy.supabase.co/storage/v1/object/public/old_media/3c82c208.Path.112513.jpg</t>
  </si>
  <si>
    <t>647190ae</t>
  </si>
  <si>
    <t>https://ryycrdhlkmzpxwwwwupy.supabase.co/storage/v1/object/public/old_media/647190ae.Path.112610.jpg</t>
  </si>
  <si>
    <t>250a104b</t>
  </si>
  <si>
    <t>https://ryycrdhlkmzpxwwwwupy.supabase.co/storage/v1/object/public/old_media/250a104b.Path.112656.jpg</t>
  </si>
  <si>
    <t>5118f286</t>
  </si>
  <si>
    <t>https://ryycrdhlkmzpxwwwwupy.supabase.co/storage/v1/object/public/old_media/5118f286.Path.055401.jpg</t>
  </si>
  <si>
    <t>20e65e2a</t>
  </si>
  <si>
    <t>https://ryycrdhlkmzpxwwwwupy.supabase.co/storage/v1/object/public/old_media/20e65e2a.Path.100046.jpg</t>
  </si>
  <si>
    <t>f192a9df</t>
  </si>
  <si>
    <t>https://ryycrdhlkmzpxwwwwupy.supabase.co/storage/v1/object/public/old_media/f192a9df.Path.102101.webp</t>
  </si>
  <si>
    <t>d87d68ad</t>
  </si>
  <si>
    <t>https://ryycrdhlkmzpxwwwwupy.supabase.co/storage/v1/object/public/old_media/d87d68ad.Path.102108.jpg</t>
  </si>
  <si>
    <t>b446e087</t>
  </si>
  <si>
    <t>https://ryycrdhlkmzpxwwwwupy.supabase.co/storage/v1/object/public/old_media/b446e087.Path.102122.jpg</t>
  </si>
  <si>
    <t>e11e10ea</t>
  </si>
  <si>
    <t>https://ryycrdhlkmzpxwwwwupy.supabase.co/storage/v1/object/public/old_media/e11e10ea.Path.104802.jpg</t>
  </si>
  <si>
    <t>10896437</t>
  </si>
  <si>
    <t>https://ryycrdhlkmzpxwwwwupy.supabase.co/storage/v1/object/public/old_media/10896437.Path.104809.jpg</t>
  </si>
  <si>
    <t>22bda6a5</t>
  </si>
  <si>
    <t>https://ryycrdhlkmzpxwwwwupy.supabase.co/storage/v1/object/public/old_media/22bda6a5.Path.110941.jpg</t>
  </si>
  <si>
    <t>de9500e5</t>
  </si>
  <si>
    <t>https://ryycrdhlkmzpxwwwwupy.supabase.co/storage/v1/object/public/old_media/de9500e5.Path.072747.jpg</t>
  </si>
  <si>
    <t>d450bcd7</t>
  </si>
  <si>
    <t>https://ryycrdhlkmzpxwwwwupy.supabase.co/storage/v1/object/public/old_media/d450bcd7.Path.092542.png</t>
  </si>
  <si>
    <t>d0edd898</t>
  </si>
  <si>
    <t>https://ryycrdhlkmzpxwwwwupy.supabase.co/storage/v1/object/public/old_media/d0edd898.Path.092550.jpg</t>
  </si>
  <si>
    <t>ae71a5dc</t>
  </si>
  <si>
    <t>https://ryycrdhlkmzpxwwwwupy.supabase.co/storage/v1/object/public/old_media/ae71a5dc.Path.062256.jpg</t>
  </si>
  <si>
    <t>72f4171c</t>
  </si>
  <si>
    <t>https://ryycrdhlkmzpxwwwwupy.supabase.co/storage/v1/object/public/old_media/72f4171c.Path.114553.webp</t>
  </si>
  <si>
    <t>vue d'ensemble</t>
  </si>
  <si>
    <t>68555baf</t>
  </si>
  <si>
    <t>https://ryycrdhlkmzpxwwwwupy.supabase.co/storage/v1/object/public/old_media/68555baf.Path.114612.webp</t>
  </si>
  <si>
    <t>0e9f78c1</t>
  </si>
  <si>
    <t>https://ryycrdhlkmzpxwwwwupy.supabase.co/storage/v1/object/public/old_media/0e9f78c1.Path.114620.webp</t>
  </si>
  <si>
    <t>dfdbbcc6</t>
  </si>
  <si>
    <t>https://ryycrdhlkmzpxwwwwupy.supabase.co/storage/v1/object/public/old_media/dfdbbcc6.Path.114653.webp</t>
  </si>
  <si>
    <t>787f58c4</t>
  </si>
  <si>
    <t>https://ryycrdhlkmzpxwwwwupy.supabase.co/storage/v1/object/public/old_media/787f58c4.Path.114702.webp</t>
  </si>
  <si>
    <t>964a6f06</t>
  </si>
  <si>
    <t>https://ryycrdhlkmzpxwwwwupy.supabase.co/storage/v1/object/public/old_media/964a6f06.Path.114721.webp</t>
  </si>
  <si>
    <t>74ded7d2</t>
  </si>
  <si>
    <t>https://ryycrdhlkmzpxwwwwupy.supabase.co/storage/v1/object/public/old_media/74ded7d2.Path.114741.webp</t>
  </si>
  <si>
    <t>jacuzzi</t>
  </si>
  <si>
    <t>cd445c6c</t>
  </si>
  <si>
    <t>https://ryycrdhlkmzpxwwwwupy.supabase.co/storage/v1/object/public/old_media/cd445c6c.Path.114751.webp</t>
  </si>
  <si>
    <t>cour</t>
  </si>
  <si>
    <t>05f31d18</t>
  </si>
  <si>
    <t>https://ryycrdhlkmzpxwwwwupy.supabase.co/storage/v1/object/public/old_media/05f31d18.Path.114810.webp</t>
  </si>
  <si>
    <t>245f3958</t>
  </si>
  <si>
    <t>https://ryycrdhlkmzpxwwwwupy.supabase.co/storage/v1/object/public/old_media/245f3958.Path.114820.webp</t>
  </si>
  <si>
    <t>b30f11cc</t>
  </si>
  <si>
    <t>https://ryycrdhlkmzpxwwwwupy.supabase.co/storage/v1/object/public/old_media/b30f11cc.Path.114843.webp</t>
  </si>
  <si>
    <t>jardin commun</t>
  </si>
  <si>
    <t>795b97d5</t>
  </si>
  <si>
    <t>https://ryycrdhlkmzpxwwwwupy.supabase.co/storage/v1/object/public/old_media/795b97d5.Path.114908.webp</t>
  </si>
  <si>
    <t>jacuzzi nuit</t>
  </si>
  <si>
    <t>de715787</t>
  </si>
  <si>
    <t>https://ryycrdhlkmzpxwwwwupy.supabase.co/storage/v1/object/public/old_media/de715787.Path.104800.webp</t>
  </si>
  <si>
    <t>vue de haut</t>
  </si>
  <si>
    <t>bf85e1dc</t>
  </si>
  <si>
    <t>https://ryycrdhlkmzpxwwwwupy.supabase.co/storage/v1/object/public/old_media/bf85e1dc.Path.104826.jpg</t>
  </si>
  <si>
    <t>75f81006</t>
  </si>
  <si>
    <t>https://ryycrdhlkmzpxwwwwupy.supabase.co/storage/v1/object/public/old_media/75f81006.Path.104837.webp</t>
  </si>
  <si>
    <t>bassin</t>
  </si>
  <si>
    <t>56d9292e</t>
  </si>
  <si>
    <t>https://ryycrdhlkmzpxwwwwupy.supabase.co/storage/v1/object/public/old_media/56d9292e.Path.104952.webp</t>
  </si>
  <si>
    <t>pièce principale</t>
  </si>
  <si>
    <t>75a0143d</t>
  </si>
  <si>
    <t>https://ryycrdhlkmzpxwwwwupy.supabase.co/storage/v1/object/public/old_media/75a0143d.Path.105004.webp</t>
  </si>
  <si>
    <t>8d737e0a</t>
  </si>
  <si>
    <t>https://ryycrdhlkmzpxwwwwupy.supabase.co/storage/v1/object/public/old_media/8d737e0a.Path.105031.jpg</t>
  </si>
  <si>
    <t>a1c40f96</t>
  </si>
  <si>
    <t>https://ryycrdhlkmzpxwwwwupy.supabase.co/storage/v1/object/public/old_media/a1c40f96.Path.105040.webp</t>
  </si>
  <si>
    <t>2cdef789</t>
  </si>
  <si>
    <t>https://ryycrdhlkmzpxwwwwupy.supabase.co/storage/v1/object/public/old_media/2cdef789.Path.105108.webp</t>
  </si>
  <si>
    <t>09a52186</t>
  </si>
  <si>
    <t>https://ryycrdhlkmzpxwwwwupy.supabase.co/storage/v1/object/public/old_media/09a52186.Path.105129.webp</t>
  </si>
  <si>
    <t>318679bc</t>
  </si>
  <si>
    <t>https://ryycrdhlkmzpxwwwwupy.supabase.co/storage/v1/object/public/old_media/318679bc.Path.105150.webp</t>
  </si>
  <si>
    <t>013d13d8</t>
  </si>
  <si>
    <t>https://ryycrdhlkmzpxwwwwupy.supabase.co/storage/v1/object/public/old_media/013d13d8.Path.105210.webp</t>
  </si>
  <si>
    <t>f1ec01a8</t>
  </si>
  <si>
    <t>https://ryycrdhlkmzpxwwwwupy.supabase.co/storage/v1/object/public/old_media/f1ec01a8.Path.105257.webp</t>
  </si>
  <si>
    <t>espace commun</t>
  </si>
  <si>
    <t>e27447a1</t>
  </si>
  <si>
    <t>https://ryycrdhlkmzpxwwwwupy.supabase.co/storage/v1/object/public/old_media/e27447a1.Path.105328.webp</t>
  </si>
  <si>
    <t>f363c79d</t>
  </si>
  <si>
    <t>https://ryycrdhlkmzpxwwwwupy.supabase.co/storage/v1/object/public/old_media/f363c79d.Path.105345.webp</t>
  </si>
  <si>
    <t>7e3f873e</t>
  </si>
  <si>
    <t>https://ryycrdhlkmzpxwwwwupy.supabase.co/storage/v1/object/public/old_media/7e3f873e.Path.105442.webp</t>
  </si>
  <si>
    <t>espace tv</t>
  </si>
  <si>
    <t>c2037c19</t>
  </si>
  <si>
    <t>https://ryycrdhlkmzpxwwwwupy.supabase.co/storage/v1/object/public/old_media/c2037c19.Path.105556.webp</t>
  </si>
  <si>
    <t>46020926</t>
  </si>
  <si>
    <t>https://ryycrdhlkmzpxwwwwupy.supabase.co/storage/v1/object/public/old_media/46020926.Path.105617.webp</t>
  </si>
  <si>
    <t>67a07c2c</t>
  </si>
  <si>
    <t>https://ryycrdhlkmzpxwwwwupy.supabase.co/storage/v1/object/public/old_media/67a07c2c.Path.105641.webp</t>
  </si>
  <si>
    <t>ce841b0b</t>
  </si>
  <si>
    <t>https://ryycrdhlkmzpxwwwwupy.supabase.co/storage/v1/object/public/old_media/ce841b0b.Path.105653.webp</t>
  </si>
  <si>
    <t>toilettes</t>
  </si>
  <si>
    <t>47adb657</t>
  </si>
  <si>
    <t>https://ryycrdhlkmzpxwwwwupy.supabase.co/storage/v1/object/public/old_media/47adb657.Path.050825.jpg</t>
  </si>
  <si>
    <t>d293d515</t>
  </si>
  <si>
    <t>https://ryycrdhlkmzpxwwwwupy.supabase.co/storage/v1/object/public/old_media/d293d515.Path.050856.jpg</t>
  </si>
  <si>
    <t>89d346a8</t>
  </si>
  <si>
    <t>https://ryycrdhlkmzpxwwwwupy.supabase.co/storage/v1/object/public/old_media/89d346a8.Path.050935.jpg</t>
  </si>
  <si>
    <t>7a3de38b</t>
  </si>
  <si>
    <t>https://ryycrdhlkmzpxwwwwupy.supabase.co/storage/v1/object/public/old_media/7a3de38b.Path.050958.jpg</t>
  </si>
  <si>
    <t>afe7deb4</t>
  </si>
  <si>
    <t>https://ryycrdhlkmzpxwwwwupy.supabase.co/storage/v1/object/public/old_media/afe7deb4.Path.051009.jpg</t>
  </si>
  <si>
    <t>5e5869be</t>
  </si>
  <si>
    <t>https://ryycrdhlkmzpxwwwwupy.supabase.co/storage/v1/object/public/old_media/5e5869be.Path.051019.jpg</t>
  </si>
  <si>
    <t>3d2e5f95</t>
  </si>
  <si>
    <t>https://ryycrdhlkmzpxwwwwupy.supabase.co/storage/v1/object/public/old_media/3d2e5f95.Path.051027.jpg</t>
  </si>
  <si>
    <t>bd41038b</t>
  </si>
  <si>
    <t>https://ryycrdhlkmzpxwwwwupy.supabase.co/storage/v1/object/public/old_media/bd41038b.Path.051036.jpg</t>
  </si>
  <si>
    <t>573de25b</t>
  </si>
  <si>
    <t>https://ryycrdhlkmzpxwwwwupy.supabase.co/storage/v1/object/public/old_media/573de25b.Path.051046.jpg</t>
  </si>
  <si>
    <t>f53b5e01</t>
  </si>
  <si>
    <t>https://ryycrdhlkmzpxwwwwupy.supabase.co/storage/v1/object/public/old_media/f53b5e01.Path.051055.jpg</t>
  </si>
  <si>
    <t>ca947243</t>
  </si>
  <si>
    <t>https://ryycrdhlkmzpxwwwwupy.supabase.co/storage/v1/object/public/old_media/ca947243.Path.051104.jpg</t>
  </si>
  <si>
    <t>6b411110</t>
  </si>
  <si>
    <t>https://ryycrdhlkmzpxwwwwupy.supabase.co/storage/v1/object/public/old_media/6b411110.Path.051114.jpg</t>
  </si>
  <si>
    <t>b9bffcdc</t>
  </si>
  <si>
    <t>https://ryycrdhlkmzpxwwwwupy.supabase.co/storage/v1/object/public/old_media/b9bffcdc.Path.055125.jpg</t>
  </si>
  <si>
    <t>f9db82b4</t>
  </si>
  <si>
    <t>https://ryycrdhlkmzpxwwwwupy.supabase.co/storage/v1/object/public/old_media/f9db82b4.Path.055148.jpg</t>
  </si>
  <si>
    <t>e0ba8343</t>
  </si>
  <si>
    <t>https://ryycrdhlkmzpxwwwwupy.supabase.co/storage/v1/object/public/old_media/e0ba8343.Path.055216.jpg</t>
  </si>
  <si>
    <t>c0b858ca</t>
  </si>
  <si>
    <t>https://ryycrdhlkmzpxwwwwupy.supabase.co/storage/v1/object/public/old_media/c0b858ca.Path.055248.jpg</t>
  </si>
  <si>
    <t>4a51c05c</t>
  </si>
  <si>
    <t>https://ryycrdhlkmzpxwwwwupy.supabase.co/storage/v1/object/public/old_media/4a51c05c.Path.055314.jpg</t>
  </si>
  <si>
    <t>e021b806</t>
  </si>
  <si>
    <t>https://ryycrdhlkmzpxwwwwupy.supabase.co/storage/v1/object/public/old_media/e021b806.Path.044056.jpg</t>
  </si>
  <si>
    <t>produits</t>
  </si>
  <si>
    <t>2f7873a3</t>
  </si>
  <si>
    <t>https://ryycrdhlkmzpxwwwwupy.supabase.co/storage/v1/object/public/old_media/2f7873a3.Path.044131.jpg</t>
  </si>
  <si>
    <t>zoom 1</t>
  </si>
  <si>
    <t>d39014c3</t>
  </si>
  <si>
    <t>https://ryycrdhlkmzpxwwwwupy.supabase.co/storage/v1/object/public/old_media/d39014c3.Path.044158.jpg</t>
  </si>
  <si>
    <t>zoom 2</t>
  </si>
  <si>
    <t>e6f0de63</t>
  </si>
  <si>
    <t>https://ryycrdhlkmzpxwwwwupy.supabase.co/storage/v1/object/public/old_media/e6f0de63.Path.073137.jpg</t>
  </si>
  <si>
    <t>1a567c0e</t>
  </si>
  <si>
    <t>https://ryycrdhlkmzpxwwwwupy.supabase.co/storage/v1/object/public/old_media/1a567c0e.Path.073147.jpg</t>
  </si>
  <si>
    <t>3db4be21</t>
  </si>
  <si>
    <t>https://ryycrdhlkmzpxwwwwupy.supabase.co/storage/v1/object/public/old_media/3db4be21.Path.073157.jpg</t>
  </si>
  <si>
    <t>7222bee7</t>
  </si>
  <si>
    <t>https://ryycrdhlkmzpxwwwwupy.supabase.co/storage/v1/object/public/old_media/7222bee7.Path.073258.jpg</t>
  </si>
  <si>
    <t>bf6af7a8</t>
  </si>
  <si>
    <t>https://ryycrdhlkmzpxwwwwupy.supabase.co/storage/v1/object/public/old_media/bf6af7a8.Path.073338.jpg</t>
  </si>
  <si>
    <t>15a58b01</t>
  </si>
  <si>
    <t>https://ryycrdhlkmzpxwwwwupy.supabase.co/storage/v1/object/public/old_media/15a58b01.Path.073348.jpg</t>
  </si>
  <si>
    <t>7aee35ee</t>
  </si>
  <si>
    <t>https://ryycrdhlkmzpxwwwwupy.supabase.co/storage/v1/object/public/old_media/7aee35ee.Path.100113.jpg</t>
  </si>
  <si>
    <t>86e03d5a</t>
  </si>
  <si>
    <t>https://ryycrdhlkmzpxwwwwupy.supabase.co/storage/v1/object/public/old_media/86e03d5a.Path.100126.jpg</t>
  </si>
  <si>
    <t>4a9bb822</t>
  </si>
  <si>
    <t>https://ryycrdhlkmzpxwwwwupy.supabase.co/storage/v1/object/public/old_media/4a9bb822.Path.100136.jpg</t>
  </si>
  <si>
    <t>caca41ce</t>
  </si>
  <si>
    <t>https://ryycrdhlkmzpxwwwwupy.supabase.co/storage/v1/object/public/old_media/caca41ce.Path.100146.jpg</t>
  </si>
  <si>
    <t>f688cf2f</t>
  </si>
  <si>
    <t>https://ryycrdhlkmzpxwwwwupy.supabase.co/storage/v1/object/public/old_media/f688cf2f.Path.100157.jpg</t>
  </si>
  <si>
    <t>0ab6b9af</t>
  </si>
  <si>
    <t>https://ryycrdhlkmzpxwwwwupy.supabase.co/storage/v1/object/public/old_media/0ab6b9af.Path.100220.jpg</t>
  </si>
  <si>
    <t>ec02aaf9</t>
  </si>
  <si>
    <t>https://ryycrdhlkmzpxwwwwupy.supabase.co/storage/v1/object/public/old_media/ec02aaf9.Path.100231.jpg</t>
  </si>
  <si>
    <t>42e0955a</t>
  </si>
  <si>
    <t>https://ryycrdhlkmzpxwwwwupy.supabase.co/storage/v1/object/public/old_media/42e0955a.Path.100241.jpg</t>
  </si>
  <si>
    <t>5da7387a</t>
  </si>
  <si>
    <t>https://ryycrdhlkmzpxwwwwupy.supabase.co/storage/v1/object/public/old_media/5da7387a.Path.065039.jpg</t>
  </si>
  <si>
    <t>696e149f</t>
  </si>
  <si>
    <t>https://ryycrdhlkmzpxwwwwupy.supabase.co/storage/v1/object/public/old_media/696e149f.Path.111624.jpg</t>
  </si>
  <si>
    <t>a2f82925</t>
  </si>
  <si>
    <t>https://ryycrdhlkmzpxwwwwupy.supabase.co/storage/v1/object/public/old_media/a2f82925.Path.111636.jpg</t>
  </si>
  <si>
    <t>77313362</t>
  </si>
  <si>
    <t>https://ryycrdhlkmzpxwwwwupy.supabase.co/storage/v1/object/public/old_media/77313362.Path.111657.jpg</t>
  </si>
  <si>
    <t>a69389e9</t>
  </si>
  <si>
    <t>https://ryycrdhlkmzpxwwwwupy.supabase.co/storage/v1/object/public/old_media/a69389e9.Path.111723.jpg</t>
  </si>
  <si>
    <t>944fd816</t>
  </si>
  <si>
    <t>https://ryycrdhlkmzpxwwwwupy.supabase.co/storage/v1/object/public/old_media/944fd816.Path.111737.jpg</t>
  </si>
  <si>
    <t>7b745616</t>
  </si>
  <si>
    <t>https://ryycrdhlkmzpxwwwwupy.supabase.co/storage/v1/object/public/old_media/7b745616.Path.111811.jpg</t>
  </si>
  <si>
    <t>14b5511d</t>
  </si>
  <si>
    <t>https://ryycrdhlkmzpxwwwwupy.supabase.co/storage/v1/object/public/old_media/14b5511d.Path.111820.jpg</t>
  </si>
  <si>
    <t>9645219c</t>
  </si>
  <si>
    <t>https://ryycrdhlkmzpxwwwwupy.supabase.co/storage/v1/object/public/old_media/9645219c.Path.111844.jpg</t>
  </si>
  <si>
    <t>553ff84f</t>
  </si>
  <si>
    <t>https://ryycrdhlkmzpxwwwwupy.supabase.co/storage/v1/object/public/old_media/553ff84f.Path.111907.jpg</t>
  </si>
  <si>
    <t>6da6dabe</t>
  </si>
  <si>
    <t>https://ryycrdhlkmzpxwwwwupy.supabase.co/storage/v1/object/public/old_media/6da6dabe.Path.111956.jpg</t>
  </si>
  <si>
    <t>d4ab66f2</t>
  </si>
  <si>
    <t>https://ryycrdhlkmzpxwwwwupy.supabase.co/storage/v1/object/public/old_media/d4ab66f2.Path.112006.jpg</t>
  </si>
  <si>
    <t>dbad8fe4</t>
  </si>
  <si>
    <t>https://ryycrdhlkmzpxwwwwupy.supabase.co/storage/v1/object/public/old_media/dbad8fe4.Path.115208.jpg</t>
  </si>
  <si>
    <t>56b0c617</t>
  </si>
  <si>
    <t>https://ryycrdhlkmzpxwwwwupy.supabase.co/storage/v1/object/public/old_media/56b0c617.Path.115248.jpg</t>
  </si>
  <si>
    <t>b65e6281</t>
  </si>
  <si>
    <t>https://ryycrdhlkmzpxwwwwupy.supabase.co/storage/v1/object/public/old_media/b65e6281.Path.115258.jpg</t>
  </si>
  <si>
    <t>f92c61ab</t>
  </si>
  <si>
    <t>https://ryycrdhlkmzpxwwwwupy.supabase.co/storage/v1/object/public/old_media/f92c61ab.Path.115310.jpg</t>
  </si>
  <si>
    <t>e0aa0696</t>
  </si>
  <si>
    <t>https://ryycrdhlkmzpxwwwwupy.supabase.co/storage/v1/object/public/old_media/e0aa0696.Path.115331.jpg</t>
  </si>
  <si>
    <t>6a82a2e5</t>
  </si>
  <si>
    <t>https://ryycrdhlkmzpxwwwwupy.supabase.co/storage/v1/object/public/old_media/6a82a2e5.Path.115351.jpg</t>
  </si>
  <si>
    <t>8e04bb08</t>
  </si>
  <si>
    <t>https://ryycrdhlkmzpxwwwwupy.supabase.co/storage/v1/object/public/old_media/8e04bb08.Path.115403.jpg</t>
  </si>
  <si>
    <t>b1b6dfbc</t>
  </si>
  <si>
    <t>https://ryycrdhlkmzpxwwwwupy.supabase.co/storage/v1/object/public/old_media/b1b6dfbc.Path.115418.jpg</t>
  </si>
  <si>
    <t>522ad7e5</t>
  </si>
  <si>
    <t>https://ryycrdhlkmzpxwwwwupy.supabase.co/storage/v1/object/public/old_media/522ad7e5.Path.052302.jpg</t>
  </si>
  <si>
    <t>b5872acd</t>
  </si>
  <si>
    <t>https://ryycrdhlkmzpxwwwwupy.supabase.co/storage/v1/object/public/old_media/b5872acd.Path.052328.jpg</t>
  </si>
  <si>
    <t>f858359e</t>
  </si>
  <si>
    <t>https://ryycrdhlkmzpxwwwwupy.supabase.co/storage/v1/object/public/old_media/f858359e.Path.052353.jpg</t>
  </si>
  <si>
    <t>2776a608</t>
  </si>
  <si>
    <t>https://ryycrdhlkmzpxwwwwupy.supabase.co/storage/v1/object/public/old_media/2776a608.Path.052415.jpg</t>
  </si>
  <si>
    <t>de2d089f</t>
  </si>
  <si>
    <t>https://ryycrdhlkmzpxwwwwupy.supabase.co/storage/v1/object/public/old_media/de2d089f.Path.052439.jpg</t>
  </si>
  <si>
    <t>85b2314e</t>
  </si>
  <si>
    <t>https://ryycrdhlkmzpxwwwwupy.supabase.co/storage/v1/object/public/old_media/85b2314e.Path.052502.jpg</t>
  </si>
  <si>
    <t>92ba31e6</t>
  </si>
  <si>
    <t>https://ryycrdhlkmzpxwwwwupy.supabase.co/storage/v1/object/public/old_media/92ba31e6.Path.052528.jpg</t>
  </si>
  <si>
    <t>cf6f05e0</t>
  </si>
  <si>
    <t>https://ryycrdhlkmzpxwwwwupy.supabase.co/storage/v1/object/public/old_media/cf6f05e0.Path.052537.jpg</t>
  </si>
  <si>
    <t>517aaf11</t>
  </si>
  <si>
    <t>https://ryycrdhlkmzpxwwwwupy.supabase.co/storage/v1/object/public/old_media/517aaf11.Path.052600.jpg</t>
  </si>
  <si>
    <t>e0e74a77</t>
  </si>
  <si>
    <t>https://ryycrdhlkmzpxwwwwupy.supabase.co/storage/v1/object/public/old_media/e0e74a77.Path.052625.jpg</t>
  </si>
  <si>
    <t>97738871</t>
  </si>
  <si>
    <t>https://ryycrdhlkmzpxwwwwupy.supabase.co/storage/v1/object/public/old_media/97738871.Path.052653.jpg</t>
  </si>
  <si>
    <t>0cd8ce46</t>
  </si>
  <si>
    <t>https://ryycrdhlkmzpxwwwwupy.supabase.co/storage/v1/object/public/old_media/0cd8ce46.Path.052717.jpg</t>
  </si>
  <si>
    <t>5dbeabc9</t>
  </si>
  <si>
    <t>https://ryycrdhlkmzpxwwwwupy.supabase.co/storage/v1/object/public/old_media/5dbeabc9.Path.052743.jpg</t>
  </si>
  <si>
    <t>5d679432</t>
  </si>
  <si>
    <t>https://ryycrdhlkmzpxwwwwupy.supabase.co/storage/v1/object/public/old_media/5d679432.Path.052810.jpg</t>
  </si>
  <si>
    <t>714d27c2</t>
  </si>
  <si>
    <t>https://ryycrdhlkmzpxwwwwupy.supabase.co/storage/v1/object/public/old_media/714d27c2.Path.052838.jpg</t>
  </si>
  <si>
    <t>84d9fd87</t>
  </si>
  <si>
    <t>https://ryycrdhlkmzpxwwwwupy.supabase.co/storage/v1/object/public/old_media/84d9fd87.Path.052902.jpg</t>
  </si>
  <si>
    <t>903c5b8f</t>
  </si>
  <si>
    <t>https://ryycrdhlkmzpxwwwwupy.supabase.co/storage/v1/object/public/old_media/903c5b8f.Path.113454.jpg</t>
  </si>
  <si>
    <t>maison</t>
  </si>
  <si>
    <t>168c5bba</t>
  </si>
  <si>
    <t>https://ryycrdhlkmzpxwwwwupy.supabase.co/storage/v1/object/public/old_media/168c5bba.Path.113703.jpg</t>
  </si>
  <si>
    <t>69e77c69</t>
  </si>
  <si>
    <t>https://ryycrdhlkmzpxwwwwupy.supabase.co/storage/v1/object/public/old_media/69e77c69.Path.113856.jpg</t>
  </si>
  <si>
    <t>véranda</t>
  </si>
  <si>
    <t>d2acbb7d</t>
  </si>
  <si>
    <t>https://ryycrdhlkmzpxwwwwupy.supabase.co/storage/v1/object/public/old_media/d2acbb7d.Path.114015.jpg</t>
  </si>
  <si>
    <t>40d3fadb</t>
  </si>
  <si>
    <t>https://ryycrdhlkmzpxwwwwupy.supabase.co/storage/v1/object/public/old_media/40d3fadb.Path.114134.jpg</t>
  </si>
  <si>
    <t>salle a manger cuisine salon</t>
  </si>
  <si>
    <t>8740d857</t>
  </si>
  <si>
    <t>https://ryycrdhlkmzpxwwwwupy.supabase.co/storage/v1/object/public/old_media/8740d857.Path.114306.jpg</t>
  </si>
  <si>
    <t>b62293e1</t>
  </si>
  <si>
    <t>https://ryycrdhlkmzpxwwwwupy.supabase.co/storage/v1/object/public/old_media/b62293e1.Path.114421.jpg</t>
  </si>
  <si>
    <t>déco chambre</t>
  </si>
  <si>
    <t>f9710951</t>
  </si>
  <si>
    <t>https://ryycrdhlkmzpxwwwwupy.supabase.co/storage/v1/object/public/old_media/f9710951.Path.114520.jpg</t>
  </si>
  <si>
    <t>69b48885</t>
  </si>
  <si>
    <t>https://ryycrdhlkmzpxwwwwupy.supabase.co/storage/v1/object/public/old_media/69b48885.Path.114622.jpg</t>
  </si>
  <si>
    <t>déco chambre 2</t>
  </si>
  <si>
    <t>529bd159</t>
  </si>
  <si>
    <t>https://ryycrdhlkmzpxwwwwupy.supabase.co/storage/v1/object/public/old_media/529bd159.Path.114719.jpg</t>
  </si>
  <si>
    <t>c1c0565e</t>
  </si>
  <si>
    <t>https://ryycrdhlkmzpxwwwwupy.supabase.co/storage/v1/object/public/old_media/c1c0565e.Path.114807.jpg</t>
  </si>
  <si>
    <t>23db123f</t>
  </si>
  <si>
    <t>https://ryycrdhlkmzpxwwwwupy.supabase.co/storage/v1/object/public/old_media/23db123f.Path.120316.png</t>
  </si>
  <si>
    <t>668c9e81</t>
  </si>
  <si>
    <t>https://ryycrdhlkmzpxwwwwupy.supabase.co/storage/v1/object/public/old_media/668c9e81.Path.120401.png</t>
  </si>
  <si>
    <t>f12a82eb</t>
  </si>
  <si>
    <t>https://ryycrdhlkmzpxwwwwupy.supabase.co/storage/v1/object/public/old_media/f12a82eb.Path.120439.png</t>
  </si>
  <si>
    <t>60f5e85a</t>
  </si>
  <si>
    <t>https://ryycrdhlkmzpxwwwwupy.supabase.co/storage/v1/object/public/old_media/60f5e85a.Path.120511.png</t>
  </si>
  <si>
    <t>42c881cb</t>
  </si>
  <si>
    <t>https://ryycrdhlkmzpxwwwwupy.supabase.co/storage/v1/object/public/old_media/42c881cb.Path.120537.png</t>
  </si>
  <si>
    <t>9a94af4e</t>
  </si>
  <si>
    <t>https://ryycrdhlkmzpxwwwwupy.supabase.co/storage/v1/object/public/old_media/9a94af4e.Path.050421.jpg</t>
  </si>
  <si>
    <t>2735b1c2</t>
  </si>
  <si>
    <t>https://ryycrdhlkmzpxwwwwupy.supabase.co/storage/v1/object/public/old_media/2735b1c2.Path.050517.jpg</t>
  </si>
  <si>
    <t>c9849f9d</t>
  </si>
  <si>
    <t>https://ryycrdhlkmzpxwwwwupy.supabase.co/storage/v1/object/public/old_media/c9849f9d.Path.050538.jpg</t>
  </si>
  <si>
    <t>e29a2824</t>
  </si>
  <si>
    <t>https://ryycrdhlkmzpxwwwwupy.supabase.co/storage/v1/object/public/old_media/e29a2824.Path.050546.jpg</t>
  </si>
  <si>
    <t>a8d59be9</t>
  </si>
  <si>
    <t>https://ryycrdhlkmzpxwwwwupy.supabase.co/storage/v1/object/public/old_media/a8d59be9.Path.050555.jpg</t>
  </si>
  <si>
    <t>98e3f840</t>
  </si>
  <si>
    <t>https://ryycrdhlkmzpxwwwwupy.supabase.co/storage/v1/object/public/old_media/98e3f840.Path.050616.jpg</t>
  </si>
  <si>
    <t>91fdeeb7</t>
  </si>
  <si>
    <t>https://ryycrdhlkmzpxwwwwupy.supabase.co/storage/v1/object/public/old_media/91fdeeb7.Path.095155.jpg</t>
  </si>
  <si>
    <t>de16dc01</t>
  </si>
  <si>
    <t>https://ryycrdhlkmzpxwwwwupy.supabase.co/storage/v1/object/public/old_media/de16dc01.Path.053649.jpg</t>
  </si>
  <si>
    <t>54e96c41</t>
  </si>
  <si>
    <t>https://ryycrdhlkmzpxwwwwupy.supabase.co/storage/v1/object/public/old_media/54e96c41.Path.053715.jpg</t>
  </si>
  <si>
    <t>47784b28</t>
  </si>
  <si>
    <t>https://ryycrdhlkmzpxwwwwupy.supabase.co/storage/v1/object/public/old_media/47784b28.Path.053752.jpg</t>
  </si>
  <si>
    <t>69c2fbf5</t>
  </si>
  <si>
    <t>https://ryycrdhlkmzpxwwwwupy.supabase.co/storage/v1/object/public/old_media/69c2fbf5.Path.053824.jpg</t>
  </si>
  <si>
    <t>130e255b</t>
  </si>
  <si>
    <t>https://ryycrdhlkmzpxwwwwupy.supabase.co/storage/v1/object/public/old_media/130e255b.Path.053850.jpg</t>
  </si>
  <si>
    <t>83c7cba6</t>
  </si>
  <si>
    <t>https://ryycrdhlkmzpxwwwwupy.supabase.co/storage/v1/object/public/old_media/83c7cba6.Path.053914.jpg</t>
  </si>
  <si>
    <t>27782030</t>
  </si>
  <si>
    <t>https://ryycrdhlkmzpxwwwwupy.supabase.co/storage/v1/object/public/old_media/27782030.Path.053948.jpg</t>
  </si>
  <si>
    <t>faa74a75</t>
  </si>
  <si>
    <t>https://ryycrdhlkmzpxwwwwupy.supabase.co/storage/v1/object/public/old_media/faa74a75.Path.054003.jpg</t>
  </si>
  <si>
    <t>389bf7fd</t>
  </si>
  <si>
    <t>https://ryycrdhlkmzpxwwwwupy.supabase.co/storage/v1/object/public/old_media/389bf7fd.Path.054019.jpg</t>
  </si>
  <si>
    <t>8b10c29a</t>
  </si>
  <si>
    <t>https://ryycrdhlkmzpxwwwwupy.supabase.co/storage/v1/object/public/old_media/8b10c29a.Path.054043.jpg</t>
  </si>
  <si>
    <t>e9a26bc6</t>
  </si>
  <si>
    <t>https://ryycrdhlkmzpxwwwwupy.supabase.co/storage/v1/object/public/old_media/e9a26bc6.Path.070556.png</t>
  </si>
  <si>
    <t>61fa34bc</t>
  </si>
  <si>
    <t>https://ryycrdhlkmzpxwwwwupy.supabase.co/storage/v1/object/public/old_media/61fa34bc.Path.092956.jpg</t>
  </si>
  <si>
    <t>1aa30381</t>
  </si>
  <si>
    <t>https://ryycrdhlkmzpxwwwwupy.supabase.co/storage/v1/object/public/old_media/1aa30381.Path.093033.jpg</t>
  </si>
  <si>
    <t>5ce9fee1</t>
  </si>
  <si>
    <t>https://ryycrdhlkmzpxwwwwupy.supabase.co/storage/v1/object/public/old_media/5ce9fee1.Path.093048.jpg</t>
  </si>
  <si>
    <t>54324b1d</t>
  </si>
  <si>
    <t>https://ryycrdhlkmzpxwwwwupy.supabase.co/storage/v1/object/public/old_media/54324b1d.Path.093111.jpg</t>
  </si>
  <si>
    <t>7890f819</t>
  </si>
  <si>
    <t>https://ryycrdhlkmzpxwwwwupy.supabase.co/storage/v1/object/public/old_media/7890f819.Path.104450.jpg</t>
  </si>
  <si>
    <t>5caad4ab</t>
  </si>
  <si>
    <t>https://ryycrdhlkmzpxwwwwupy.supabase.co/storage/v1/object/public/old_media/5caad4ab.Path.111928.png</t>
  </si>
  <si>
    <t>18011b6d</t>
  </si>
  <si>
    <t>https://ryycrdhlkmzpxwwwwupy.supabase.co/storage/v1/object/public/old_media/18011b6d.Path.111943.png</t>
  </si>
  <si>
    <t>2cd0147a</t>
  </si>
  <si>
    <t>https://ryycrdhlkmzpxwwwwupy.supabase.co/storage/v1/object/public/old_media/2cd0147a.Path.112004.png</t>
  </si>
  <si>
    <t>7a94242f</t>
  </si>
  <si>
    <t>https://ryycrdhlkmzpxwwwwupy.supabase.co/storage/v1/object/public/old_media/7a94242f.Path.051931.png</t>
  </si>
  <si>
    <t>4b901436</t>
  </si>
  <si>
    <t>https://ryycrdhlkmzpxwwwwupy.supabase.co/storage/v1/object/public/old_media/4b901436.Path.052004.jpg</t>
  </si>
  <si>
    <t>b4af1a5d</t>
  </si>
  <si>
    <t>https://ryycrdhlkmzpxwwwwupy.supabase.co/storage/v1/object/public/old_media/b4af1a5d.Path.110828.jpg</t>
  </si>
  <si>
    <t>d9ff444a</t>
  </si>
  <si>
    <t>https://ryycrdhlkmzpxwwwwupy.supabase.co/storage/v1/object/public/old_media/d9ff444a.Path.110900.jpg</t>
  </si>
  <si>
    <t>e152ff47</t>
  </si>
  <si>
    <t>https://ryycrdhlkmzpxwwwwupy.supabase.co/storage/v1/object/public/old_media/e152ff47.Path.110945.jpg</t>
  </si>
  <si>
    <t>c3ac7526</t>
  </si>
  <si>
    <t>https://ryycrdhlkmzpxwwwwupy.supabase.co/storage/v1/object/public/old_media/c3ac7526.Path.111021.jpg</t>
  </si>
  <si>
    <t>5f12c61f</t>
  </si>
  <si>
    <t>https://ryycrdhlkmzpxwwwwupy.supabase.co/storage/v1/object/public/old_media/5f12c61f.Path.111055.jpg</t>
  </si>
  <si>
    <t>d5d469cf</t>
  </si>
  <si>
    <t>https://ryycrdhlkmzpxwwwwupy.supabase.co/storage/v1/object/public/old_media/d5d469cf.Path.094423.jpg</t>
  </si>
  <si>
    <t>2a7b28a8</t>
  </si>
  <si>
    <t>https://ryycrdhlkmzpxwwwwupy.supabase.co/storage/v1/object/public/old_media/2a7b28a8.Path.101615.jpg</t>
  </si>
  <si>
    <t>028ce134</t>
  </si>
  <si>
    <t>https://ryycrdhlkmzpxwwwwupy.supabase.co/storage/v1/object/public/old_media/028ce134.Path.101748.jpg</t>
  </si>
  <si>
    <t>b54c2d8b</t>
  </si>
  <si>
    <t>https://ryycrdhlkmzpxwwwwupy.supabase.co/storage/v1/object/public/old_media/b54c2d8b.Path.101800.jpg</t>
  </si>
  <si>
    <t>337aaedd</t>
  </si>
  <si>
    <t>https://ryycrdhlkmzpxwwwwupy.supabase.co/storage/v1/object/public/old_media/337aaedd.Path.101813.jpg</t>
  </si>
  <si>
    <t>d2a763f6</t>
  </si>
  <si>
    <t>https://ryycrdhlkmzpxwwwwupy.supabase.co/storage/v1/object/public/old_media/d2a763f6.Path.101833.jpg</t>
  </si>
  <si>
    <t>502d025b</t>
  </si>
  <si>
    <t>https://ryycrdhlkmzpxwwwwupy.supabase.co/storage/v1/object/public/old_media/502d025b.Path.102617.jpg</t>
  </si>
  <si>
    <t>5210a0e6</t>
  </si>
  <si>
    <t>https://ryycrdhlkmzpxwwwwupy.supabase.co/storage/v1/object/public/old_media/5210a0e6.Path.102723.jpg</t>
  </si>
  <si>
    <t>a6e0a606</t>
  </si>
  <si>
    <t>https://ryycrdhlkmzpxwwwwupy.supabase.co/storage/v1/object/public/old_media/a6e0a606.Path.102734.jpg</t>
  </si>
  <si>
    <t>f61eded2</t>
  </si>
  <si>
    <t>https://ryycrdhlkmzpxwwwwupy.supabase.co/storage/v1/object/public/old_media/f61eded2.Path.102754.jpg</t>
  </si>
  <si>
    <t>ded2b4fa</t>
  </si>
  <si>
    <t>https://ryycrdhlkmzpxwwwwupy.supabase.co/storage/v1/object/public/old_media/ded2b4fa.Path.102907.jpg</t>
  </si>
  <si>
    <t>3fea185e</t>
  </si>
  <si>
    <t>https://ryycrdhlkmzpxwwwwupy.supabase.co/storage/v1/object/public/old_media/3fea185e.Path.102929.jpg</t>
  </si>
  <si>
    <t>4c3cb466</t>
  </si>
  <si>
    <t>https://ryycrdhlkmzpxwwwwupy.supabase.co/storage/v1/object/public/old_media/4c3cb466.Path.102957.jpg</t>
  </si>
  <si>
    <t>0c9c2173</t>
  </si>
  <si>
    <t>https://ryycrdhlkmzpxwwwwupy.supabase.co/storage/v1/object/public/old_media/0c9c2173.Path.112646.jpg</t>
  </si>
  <si>
    <t>67202eea</t>
  </si>
  <si>
    <t>https://ryycrdhlkmzpxwwwwupy.supabase.co/storage/v1/object/public/old_media/67202eea.Path.112754.jpg</t>
  </si>
  <si>
    <t>07eb5622</t>
  </si>
  <si>
    <t>https://ryycrdhlkmzpxwwwwupy.supabase.co/storage/v1/object/public/old_media/07eb5622.Path.112814.jpg</t>
  </si>
  <si>
    <t>e51a59e2</t>
  </si>
  <si>
    <t>https://ryycrdhlkmzpxwwwwupy.supabase.co/storage/v1/object/public/old_media/e51a59e2.Path.112833.jpg</t>
  </si>
  <si>
    <t>8c85927a</t>
  </si>
  <si>
    <t>https://ryycrdhlkmzpxwwwwupy.supabase.co/storage/v1/object/public/old_media/8c85927a.Path.112930.jpg</t>
  </si>
  <si>
    <t>bbcaf2e1</t>
  </si>
  <si>
    <t>https://ryycrdhlkmzpxwwwwupy.supabase.co/storage/v1/object/public/old_media/bbcaf2e1.Path.112944.jpg</t>
  </si>
  <si>
    <t>020eaa86</t>
  </si>
  <si>
    <t>https://ryycrdhlkmzpxwwwwupy.supabase.co/storage/v1/object/public/old_media/020eaa86.Path.113032.jpg</t>
  </si>
  <si>
    <t>beae4a8e</t>
  </si>
  <si>
    <t>https://ryycrdhlkmzpxwwwwupy.supabase.co/storage/v1/object/public/old_media/beae4a8e.Path.113059.jpg</t>
  </si>
  <si>
    <t>830c2b1b</t>
  </si>
  <si>
    <t>https://ryycrdhlkmzpxwwwwupy.supabase.co/storage/v1/object/public/old_media/830c2b1b.Path.113132.jpg</t>
  </si>
  <si>
    <t>9f70911a</t>
  </si>
  <si>
    <t>https://ryycrdhlkmzpxwwwwupy.supabase.co/storage/v1/object/public/old_media/9f70911a.Path.113433.jpg</t>
  </si>
  <si>
    <t>7461c2d0</t>
  </si>
  <si>
    <t>https://ryycrdhlkmzpxwwwwupy.supabase.co/storage/v1/object/public/old_media/7461c2d0.Path.113451.jpg</t>
  </si>
  <si>
    <t>43565317</t>
  </si>
  <si>
    <t>https://ryycrdhlkmzpxwwwwupy.supabase.co/storage/v1/object/public/old_media/43565317.Path.113505.jpg</t>
  </si>
  <si>
    <t>e1a301df</t>
  </si>
  <si>
    <t>https://ryycrdhlkmzpxwwwwupy.supabase.co/storage/v1/object/public/old_media/e1a301df.Path.113758.jpg</t>
  </si>
  <si>
    <t>386b7715</t>
  </si>
  <si>
    <t>https://ryycrdhlkmzpxwwwwupy.supabase.co/storage/v1/object/public/old_media/386b7715.Path.051651.jpg</t>
  </si>
  <si>
    <t>e5f5931a</t>
  </si>
  <si>
    <t>https://ryycrdhlkmzpxwwwwupy.supabase.co/storage/v1/object/public/old_media/e5f5931a.Path.051726.jpg</t>
  </si>
  <si>
    <t>017987c6</t>
  </si>
  <si>
    <t>https://ryycrdhlkmzpxwwwwupy.supabase.co/storage/v1/object/public/old_media/017987c6.Path.051810.jpg</t>
  </si>
  <si>
    <t>369b458b</t>
  </si>
  <si>
    <t>https://ryycrdhlkmzpxwwwwupy.supabase.co/storage/v1/object/public/old_media/369b458b.Path.095437.jpg</t>
  </si>
  <si>
    <t>31f8e04c</t>
  </si>
  <si>
    <t>https://ryycrdhlkmzpxwwwwupy.supabase.co/storage/v1/object/public/old_media/31f8e04c.Path.095448.jpg</t>
  </si>
  <si>
    <t>06cbe133</t>
  </si>
  <si>
    <t>https://ryycrdhlkmzpxwwwwupy.supabase.co/storage/v1/object/public/old_media/06cbe133.Path.095508.jpg</t>
  </si>
  <si>
    <t>841022b9</t>
  </si>
  <si>
    <t>https://ryycrdhlkmzpxwwwwupy.supabase.co/storage/v1/object/public/old_media/841022b9.Path.095520.jpg</t>
  </si>
  <si>
    <t>4c79c7ee</t>
  </si>
  <si>
    <t>https://ryycrdhlkmzpxwwwwupy.supabase.co/storage/v1/object/public/old_media/4c79c7ee.Path.095530.jpg</t>
  </si>
  <si>
    <t>d575a340</t>
  </si>
  <si>
    <t>https://ryycrdhlkmzpxwwwwupy.supabase.co/storage/v1/object/public/old_media/d575a340.Path.104945.jpg</t>
  </si>
  <si>
    <t>76c306d0</t>
  </si>
  <si>
    <t>https://ryycrdhlkmzpxwwwwupy.supabase.co/storage/v1/object/public/old_media/76c306d0.Path.104955.jpg</t>
  </si>
  <si>
    <t>5243fb99</t>
  </si>
  <si>
    <t>https://ryycrdhlkmzpxwwwwupy.supabase.co/storage/v1/object/public/old_media/5243fb99.Path.105004.jpg</t>
  </si>
  <si>
    <t>9864d09f</t>
  </si>
  <si>
    <t>https://ryycrdhlkmzpxwwwwupy.supabase.co/storage/v1/object/public/old_media/9864d09f.Path.105012.jpg</t>
  </si>
  <si>
    <t>a8bb307a</t>
  </si>
  <si>
    <t>https://ryycrdhlkmzpxwwwwupy.supabase.co/storage/v1/object/public/old_media/a8bb307a.Path.105020.jpg</t>
  </si>
  <si>
    <t>9fb21dc2</t>
  </si>
  <si>
    <t>https://ryycrdhlkmzpxwwwwupy.supabase.co/storage/v1/object/public/old_media/9fb21dc2.Path.105029.jpg</t>
  </si>
  <si>
    <t>7730a5da</t>
  </si>
  <si>
    <t>https://ryycrdhlkmzpxwwwwupy.supabase.co/storage/v1/object/public/old_media/7730a5da.Path.105038.jpg</t>
  </si>
  <si>
    <t>78c8a0ec</t>
  </si>
  <si>
    <t>https://ryycrdhlkmzpxwwwwupy.supabase.co/storage/v1/object/public/old_media/78c8a0ec.Path.105053.jpg</t>
  </si>
  <si>
    <t>711d7bd8</t>
  </si>
  <si>
    <t>https://ryycrdhlkmzpxwwwwupy.supabase.co/storage/v1/object/public/old_media/711d7bd8.Path.105102.jpg</t>
  </si>
  <si>
    <t>e848fef4</t>
  </si>
  <si>
    <t>https://ryycrdhlkmzpxwwwwupy.supabase.co/storage/v1/object/public/old_media/e848fef4.Path.105111.jpg</t>
  </si>
  <si>
    <t>fbfb0c53</t>
  </si>
  <si>
    <t>https://ryycrdhlkmzpxwwwwupy.supabase.co/storage/v1/object/public/old_media/fbfb0c53.Path.105119.jpg</t>
  </si>
  <si>
    <t>d36a50be</t>
  </si>
  <si>
    <t>https://ryycrdhlkmzpxwwwwupy.supabase.co/storage/v1/object/public/old_media/d36a50be.Path.105128.jpg</t>
  </si>
  <si>
    <t>3dba8e8f</t>
  </si>
  <si>
    <t>https://ryycrdhlkmzpxwwwwupy.supabase.co/storage/v1/object/public/old_media/3dba8e8f.Path.105135.jpg</t>
  </si>
  <si>
    <t>e14921de</t>
  </si>
  <si>
    <t>https://ryycrdhlkmzpxwwwwupy.supabase.co/storage/v1/object/public/old_media/e14921de.Path.105143.jpg</t>
  </si>
  <si>
    <t>ddd03d3e</t>
  </si>
  <si>
    <t>https://ryycrdhlkmzpxwwwwupy.supabase.co/storage/v1/object/public/old_media/ddd03d3e.Path.105204.jpg</t>
  </si>
  <si>
    <t>db425f5b</t>
  </si>
  <si>
    <t>https://ryycrdhlkmzpxwwwwupy.supabase.co/storage/v1/object/public/old_media/db425f5b.Path.073455.png</t>
  </si>
  <si>
    <t>13e6c000</t>
  </si>
  <si>
    <t>https://ryycrdhlkmzpxwwwwupy.supabase.co/storage/v1/object/public/old_media/13e6c000.Path.073510.png</t>
  </si>
  <si>
    <t>81d14beb</t>
  </si>
  <si>
    <t>https://ryycrdhlkmzpxwwwwupy.supabase.co/storage/v1/object/public/old_media/81d14beb.Path.052055.jpg</t>
  </si>
  <si>
    <t>56bc23d5</t>
  </si>
  <si>
    <t>https://ryycrdhlkmzpxwwwwupy.supabase.co/storage/v1/object/public/old_media/56bc23d5.Path.052106.webp</t>
  </si>
  <si>
    <t>609b004f</t>
  </si>
  <si>
    <t>https://ryycrdhlkmzpxwwwwupy.supabase.co/storage/v1/object/public/old_media/609b004f.Path.052128.jpg</t>
  </si>
  <si>
    <t>3d5eedcd</t>
  </si>
  <si>
    <t>https://ryycrdhlkmzpxwwwwupy.supabase.co/storage/v1/object/public/old_media/3d5eedcd.Path.052138.jpg</t>
  </si>
  <si>
    <t>476ff750</t>
  </si>
  <si>
    <t>https://ryycrdhlkmzpxwwwwupy.supabase.co/storage/v1/object/public/old_media/476ff750.Path.052147.webp</t>
  </si>
  <si>
    <t>6f6f1b60</t>
  </si>
  <si>
    <t>https://ryycrdhlkmzpxwwwwupy.supabase.co/storage/v1/object/public/old_media/6f6f1b60.Path.074005.jpg</t>
  </si>
  <si>
    <t>4d9dd7b0</t>
  </si>
  <si>
    <t>https://ryycrdhlkmzpxwwwwupy.supabase.co/storage/v1/object/public/old_media/4d9dd7b0.Path.074025.jpg</t>
  </si>
  <si>
    <t>6b3ce68b</t>
  </si>
  <si>
    <t>https://ryycrdhlkmzpxwwwwupy.supabase.co/storage/v1/object/public/old_media/6b3ce68b.Path.074037.jpg</t>
  </si>
  <si>
    <t>f79466f4</t>
  </si>
  <si>
    <t>https://ryycrdhlkmzpxwwwwupy.supabase.co/storage/v1/object/public/old_media/f79466f4.Path.074051.jpg</t>
  </si>
  <si>
    <t>e729dd59</t>
  </si>
  <si>
    <t>https://ryycrdhlkmzpxwwwwupy.supabase.co/storage/v1/object/public/old_media/e729dd59.Path.074102.jpg</t>
  </si>
  <si>
    <t>a69f65c2</t>
  </si>
  <si>
    <t>https://ryycrdhlkmzpxwwwwupy.supabase.co/storage/v1/object/public/old_media/a69f65c2.Path.074118.jpg</t>
  </si>
  <si>
    <t>b3b92d31</t>
  </si>
  <si>
    <t>https://ryycrdhlkmzpxwwwwupy.supabase.co/storage/v1/object/public/old_media/b3b92d31.Path.074133.jpg</t>
  </si>
  <si>
    <t>2df06263</t>
  </si>
  <si>
    <t>https://ryycrdhlkmzpxwwwwupy.supabase.co/storage/v1/object/public/old_media/2df06263.Path.114044.jpg</t>
  </si>
  <si>
    <t>ccd9eec9</t>
  </si>
  <si>
    <t>https://ryycrdhlkmzpxwwwwupy.supabase.co/storage/v1/object/public/old_media/ccd9eec9.Path.055854.jpg</t>
  </si>
  <si>
    <t>8955c03c</t>
  </si>
  <si>
    <t>https://ryycrdhlkmzpxwwwwupy.supabase.co/storage/v1/object/public/old_media/8955c03c.Path.055905.jpg</t>
  </si>
  <si>
    <t>bdfa7b2c</t>
  </si>
  <si>
    <t>https://ryycrdhlkmzpxwwwwupy.supabase.co/storage/v1/object/public/old_media/bdfa7b2c.Path.055914.jpg</t>
  </si>
  <si>
    <t>3f4299f5</t>
  </si>
  <si>
    <t>https://ryycrdhlkmzpxwwwwupy.supabase.co/storage/v1/object/public/old_media/3f4299f5.Path.055931.jpg</t>
  </si>
  <si>
    <t>67935dc9</t>
  </si>
  <si>
    <t>https://ryycrdhlkmzpxwwwwupy.supabase.co/storage/v1/object/public/old_media/67935dc9.Path.055943.jpg</t>
  </si>
  <si>
    <t>01df3b7c</t>
  </si>
  <si>
    <t>https://ryycrdhlkmzpxwwwwupy.supabase.co/storage/v1/object/public/old_media/01df3b7c.Path.055957.jpg</t>
  </si>
  <si>
    <t>5c7d78e4</t>
  </si>
  <si>
    <t>https://ryycrdhlkmzpxwwwwupy.supabase.co/storage/v1/object/public/old_media/5c7d78e4.Path.060013.jpg</t>
  </si>
  <si>
    <t>88b4d980</t>
  </si>
  <si>
    <t>https://ryycrdhlkmzpxwwwwupy.supabase.co/storage/v1/object/public/old_media/88b4d980.Path.044754.jpg</t>
  </si>
  <si>
    <t>0926ae9c</t>
  </si>
  <si>
    <t>https://ryycrdhlkmzpxwwwwupy.supabase.co/storage/v1/object/public/old_media/0926ae9c.Path.044815.jpg</t>
  </si>
  <si>
    <t>56b49393</t>
  </si>
  <si>
    <t>https://ryycrdhlkmzpxwwwwupy.supabase.co/storage/v1/object/public/old_media/56b49393.Path.044830.jpg</t>
  </si>
  <si>
    <t>875d92cb</t>
  </si>
  <si>
    <t>https://ryycrdhlkmzpxwwwwupy.supabase.co/storage/v1/object/public/old_media/875d92cb.Path.044849.jpg</t>
  </si>
  <si>
    <t>95b1d69d</t>
  </si>
  <si>
    <t>https://ryycrdhlkmzpxwwwwupy.supabase.co/storage/v1/object/public/old_media/95b1d69d.Path.044910.jpg</t>
  </si>
  <si>
    <t>salle à manger</t>
  </si>
  <si>
    <t>56204efc</t>
  </si>
  <si>
    <t>https://ryycrdhlkmzpxwwwwupy.supabase.co/storage/v1/object/public/old_media/56204efc.Path.044938.jpg</t>
  </si>
  <si>
    <t>669ad42b</t>
  </si>
  <si>
    <t>https://ryycrdhlkmzpxwwwwupy.supabase.co/storage/v1/object/public/old_media/669ad42b.Path.062007.jpg</t>
  </si>
  <si>
    <t>ff0c7162</t>
  </si>
  <si>
    <t>https://ryycrdhlkmzpxwwwwupy.supabase.co/storage/v1/object/public/old_media/ff0c7162.Path.062017.jpg</t>
  </si>
  <si>
    <t>33d6d28f</t>
  </si>
  <si>
    <t>https://ryycrdhlkmzpxwwwwupy.supabase.co/storage/v1/object/public/old_media/33d6d28f.Path.062032.jpg</t>
  </si>
  <si>
    <t>c1f7eb5f</t>
  </si>
  <si>
    <t>https://ryycrdhlkmzpxwwwwupy.supabase.co/storage/v1/object/public/old_media/c1f7eb5f.Path.070051.jpg</t>
  </si>
  <si>
    <t>ab40c599</t>
  </si>
  <si>
    <t>https://ryycrdhlkmzpxwwwwupy.supabase.co/storage/v1/object/public/old_media/ab40c599.Path.072441.jpg</t>
  </si>
  <si>
    <t>d0d78e60</t>
  </si>
  <si>
    <t>https://ryycrdhlkmzpxwwwwupy.supabase.co/storage/v1/object/public/old_media/d0d78e60.Path.072455.jpg</t>
  </si>
  <si>
    <t>a26069c0</t>
  </si>
  <si>
    <t>https://ryycrdhlkmzpxwwwwupy.supabase.co/storage/v1/object/public/old_media/a26069c0.Path.072507.jpg</t>
  </si>
  <si>
    <t>f4d3656e</t>
  </si>
  <si>
    <t>https://ryycrdhlkmzpxwwwwupy.supabase.co/storage/v1/object/public/old_media/f4d3656e.Path.072518.jpg</t>
  </si>
  <si>
    <t>62be0ef6</t>
  </si>
  <si>
    <t>https://ryycrdhlkmzpxwwwwupy.supabase.co/storage/v1/object/public/old_media/62be0ef6.Path.091139.jpg</t>
  </si>
  <si>
    <t>8e9f19f6</t>
  </si>
  <si>
    <t>https://ryycrdhlkmzpxwwwwupy.supabase.co/storage/v1/object/public/old_media/8e9f19f6.Path.091324.jpg</t>
  </si>
  <si>
    <t>a74835eb</t>
  </si>
  <si>
    <t>https://ryycrdhlkmzpxwwwwupy.supabase.co/storage/v1/object/public/old_media/a74835eb.Path.091427.jpg</t>
  </si>
  <si>
    <t>24b71993</t>
  </si>
  <si>
    <t>https://ryycrdhlkmzpxwwwwupy.supabase.co/storage/v1/object/public/old_media/24b71993.Path.091639.jpg</t>
  </si>
  <si>
    <t>ed2346c5</t>
  </si>
  <si>
    <t>https://ryycrdhlkmzpxwwwwupy.supabase.co/storage/v1/object/public/old_media/ed2346c5.Path.091843.jpg</t>
  </si>
  <si>
    <t>ace65cb7</t>
  </si>
  <si>
    <t>https://ryycrdhlkmzpxwwwwupy.supabase.co/storage/v1/object/public/old_media/ace65cb7.Path.092105.jpg</t>
  </si>
  <si>
    <t>4e8db5de</t>
  </si>
  <si>
    <t>https://ryycrdhlkmzpxwwwwupy.supabase.co/storage/v1/object/public/old_media/4e8db5de.Path.092251.jpg</t>
  </si>
  <si>
    <t>95ced675</t>
  </si>
  <si>
    <t>https://ryycrdhlkmzpxwwwwupy.supabase.co/storage/v1/object/public/old_media/95ced675.Path.092513.jpg</t>
  </si>
  <si>
    <t>6aa57645</t>
  </si>
  <si>
    <t>https://ryycrdhlkmzpxwwwwupy.supabase.co/storage/v1/object/public/old_media/6aa57645.Path.092714.jpg</t>
  </si>
  <si>
    <t>809d5b40</t>
  </si>
  <si>
    <t>https://ryycrdhlkmzpxwwwwupy.supabase.co/storage/v1/object/public/old_media/809d5b40.Path.092831.jpg</t>
  </si>
  <si>
    <t>0515f049</t>
  </si>
  <si>
    <t>https://ryycrdhlkmzpxwwwwupy.supabase.co/storage/v1/object/public/old_media/0515f049.Path.093012.jpg</t>
  </si>
  <si>
    <t>21cea67a</t>
  </si>
  <si>
    <t>https://ryycrdhlkmzpxwwwwupy.supabase.co/storage/v1/object/public/old_media/21cea67a.Path.093515.jpg</t>
  </si>
  <si>
    <t>4c42cc61</t>
  </si>
  <si>
    <t>https://ryycrdhlkmzpxwwwwupy.supabase.co/storage/v1/object/public/old_media/4c42cc61.Path.093645.jpg</t>
  </si>
  <si>
    <t>ce94ba87</t>
  </si>
  <si>
    <t>https://ryycrdhlkmzpxwwwwupy.supabase.co/storage/v1/object/public/old_media/ce94ba87.Path.093828.jpg</t>
  </si>
  <si>
    <t>a86fbcab</t>
  </si>
  <si>
    <t>https://ryycrdhlkmzpxwwwwupy.supabase.co/storage/v1/object/public/old_media/a86fbcab.Path.055948.jpg</t>
  </si>
  <si>
    <t>cefa2e55</t>
  </si>
  <si>
    <t>https://ryycrdhlkmzpxwwwwupy.supabase.co/storage/v1/object/public/old_media/cefa2e55.Path.060000.jpg</t>
  </si>
  <si>
    <t>e259246e</t>
  </si>
  <si>
    <t>https://ryycrdhlkmzpxwwwwupy.supabase.co/storage/v1/object/public/old_media/e259246e.Path.060200.jpg</t>
  </si>
  <si>
    <t>51cf7cff</t>
  </si>
  <si>
    <t>https://ryycrdhlkmzpxwwwwupy.supabase.co/storage/v1/object/public/old_media/51cf7cff.Path.060249.jpg</t>
  </si>
  <si>
    <t>Découverte de produits locaux à l'arrivée</t>
  </si>
  <si>
    <t>1fffd1ce</t>
  </si>
  <si>
    <t>https://ryycrdhlkmzpxwwwwupy.supabase.co/storage/v1/object/public/old_media/1fffd1ce.Path.060313.jpg</t>
  </si>
  <si>
    <t>7017f59f</t>
  </si>
  <si>
    <t>https://ryycrdhlkmzpxwwwwupy.supabase.co/storage/v1/object/public/old_media/7017f59f.Path.060328.jpg</t>
  </si>
  <si>
    <t>fa5bdc39</t>
  </si>
  <si>
    <t>https://ryycrdhlkmzpxwwwwupy.supabase.co/storage/v1/object/public/old_media/fa5bdc39.Path.060344.jpg</t>
  </si>
  <si>
    <t>51dbe89a</t>
  </si>
  <si>
    <t>https://ryycrdhlkmzpxwwwwupy.supabase.co/storage/v1/object/public/old_media/51dbe89a.Path.060356.jpg</t>
  </si>
  <si>
    <t>073002f9</t>
  </si>
  <si>
    <t>https://ryycrdhlkmzpxwwwwupy.supabase.co/storage/v1/object/public/old_media/073002f9.Path.060413.jpg</t>
  </si>
  <si>
    <t>8ce0e601</t>
  </si>
  <si>
    <t>https://ryycrdhlkmzpxwwwwupy.supabase.co/storage/v1/object/public/old_media/8ce0e601.Path.060426.jpg</t>
  </si>
  <si>
    <t>e8ea533c</t>
  </si>
  <si>
    <t>https://ryycrdhlkmzpxwwwwupy.supabase.co/storage/v1/object/public/old_media/e8ea533c.Path.060440.jpg</t>
  </si>
  <si>
    <t>b930028a</t>
  </si>
  <si>
    <t>https://ryycrdhlkmzpxwwwwupy.supabase.co/storage/v1/object/public/old_media/b930028a.Path.060458.jpg</t>
  </si>
  <si>
    <t>8fae3da4</t>
  </si>
  <si>
    <t>https://ryycrdhlkmzpxwwwwupy.supabase.co/storage/v1/object/public/old_media/8fae3da4.Path.060511.jpg</t>
  </si>
  <si>
    <t>46f9ca20</t>
  </si>
  <si>
    <t>https://ryycrdhlkmzpxwwwwupy.supabase.co/storage/v1/object/public/old_media/46f9ca20.Path.060524.jpg</t>
  </si>
  <si>
    <t>979a66ee</t>
  </si>
  <si>
    <t>https://ryycrdhlkmzpxwwwwupy.supabase.co/storage/v1/object/public/old_media/979a66ee.Path.060540.jpg</t>
  </si>
  <si>
    <t>4e22afba</t>
  </si>
  <si>
    <t>https://ryycrdhlkmzpxwwwwupy.supabase.co/storage/v1/object/public/old_media/4e22afba.Path.060623.jpg</t>
  </si>
  <si>
    <t>1fb8170a</t>
  </si>
  <si>
    <t>https://ryycrdhlkmzpxwwwwupy.supabase.co/storage/v1/object/public/old_media/1fb8170a.Path.060636.jpg</t>
  </si>
  <si>
    <t>7473b01e</t>
  </si>
  <si>
    <t>https://ryycrdhlkmzpxwwwwupy.supabase.co/storage/v1/object/public/old_media/7473b01e.Path.112142.jpg</t>
  </si>
  <si>
    <t>ade4fca7</t>
  </si>
  <si>
    <t>https://ryycrdhlkmzpxwwwwupy.supabase.co/storage/v1/object/public/old_media/ade4fca7.Path.112216.jpg</t>
  </si>
  <si>
    <t>e5551faf</t>
  </si>
  <si>
    <t>https://ryycrdhlkmzpxwwwwupy.supabase.co/storage/v1/object/public/old_media/e5551faf.Path.112231.jpg</t>
  </si>
  <si>
    <t>3452ba40</t>
  </si>
  <si>
    <t>https://ryycrdhlkmzpxwwwwupy.supabase.co/storage/v1/object/public/old_media/3452ba40.Path.112242.jpg</t>
  </si>
  <si>
    <t>7e738a94</t>
  </si>
  <si>
    <t>https://ryycrdhlkmzpxwwwwupy.supabase.co/storage/v1/object/public/old_media/7e738a94.Path.112253.jpg</t>
  </si>
  <si>
    <t>1122f0c8</t>
  </si>
  <si>
    <t>https://ryycrdhlkmzpxwwwwupy.supabase.co/storage/v1/object/public/old_media/1122f0c8.Path.112303.jpg</t>
  </si>
  <si>
    <t>49a3b36f</t>
  </si>
  <si>
    <t>https://ryycrdhlkmzpxwwwwupy.supabase.co/storage/v1/object/public/old_media/49a3b36f.Path.112310.jpg</t>
  </si>
  <si>
    <t>bb73ce45</t>
  </si>
  <si>
    <t>https://ryycrdhlkmzpxwwwwupy.supabase.co/storage/v1/object/public/old_media/bb73ce45.Path.112319.jpg</t>
  </si>
  <si>
    <t>f898f8c1</t>
  </si>
  <si>
    <t>https://ryycrdhlkmzpxwwwwupy.supabase.co/storage/v1/object/public/old_media/f898f8c1.Path.041804.jpg</t>
  </si>
  <si>
    <t>f2a31736</t>
  </si>
  <si>
    <t>https://ryycrdhlkmzpxwwwwupy.supabase.co/storage/v1/object/public/old_media/f2a31736.Path.041815.jpg</t>
  </si>
  <si>
    <t>e979ebec</t>
  </si>
  <si>
    <t>https://ryycrdhlkmzpxwwwwupy.supabase.co/storage/v1/object/public/old_media/e979ebec.Path.041924.jpg</t>
  </si>
  <si>
    <t>f62312ad</t>
  </si>
  <si>
    <t>https://ryycrdhlkmzpxwwwwupy.supabase.co/storage/v1/object/public/old_media/f62312ad.Path.041932.jpg</t>
  </si>
  <si>
    <t>d7184dfa</t>
  </si>
  <si>
    <t>https://ryycrdhlkmzpxwwwwupy.supabase.co/storage/v1/object/public/old_media/d7184dfa.Path.041940.jpg</t>
  </si>
  <si>
    <t>e8eb9c6c</t>
  </si>
  <si>
    <t>https://ryycrdhlkmzpxwwwwupy.supabase.co/storage/v1/object/public/old_media/e8eb9c6c.Path.041952.jpg</t>
  </si>
  <si>
    <t>77fb5865</t>
  </si>
  <si>
    <t>https://ryycrdhlkmzpxwwwwupy.supabase.co/storage/v1/object/public/old_media/77fb5865.Path.042005.jpg</t>
  </si>
  <si>
    <t>a205f3bc</t>
  </si>
  <si>
    <t>https://ryycrdhlkmzpxwwwwupy.supabase.co/storage/v1/object/public/old_media/a205f3bc.Path.042015.jpg</t>
  </si>
  <si>
    <t>4ef65cdb</t>
  </si>
  <si>
    <t>https://ryycrdhlkmzpxwwwwupy.supabase.co/storage/v1/object/public/old_media/4ef65cdb.Path.042026.jpg</t>
  </si>
  <si>
    <t>3a29e6d0</t>
  </si>
  <si>
    <t>https://ryycrdhlkmzpxwwwwupy.supabase.co/storage/v1/object/public/old_media/3a29e6d0.Path.051805.jpg</t>
  </si>
  <si>
    <t>55e7f580</t>
  </si>
  <si>
    <t>https://ryycrdhlkmzpxwwwwupy.supabase.co/storage/v1/object/public/old_media/55e7f580.Path.051820.jpg</t>
  </si>
  <si>
    <t>4b66c15a</t>
  </si>
  <si>
    <t>https://ryycrdhlkmzpxwwwwupy.supabase.co/storage/v1/object/public/old_media/4b66c15a.Path.051832.jpg</t>
  </si>
  <si>
    <t>387213a4</t>
  </si>
  <si>
    <t>https://ryycrdhlkmzpxwwwwupy.supabase.co/storage/v1/object/public/old_media/387213a4.Path.051842.jpg</t>
  </si>
  <si>
    <t>cb042d93</t>
  </si>
  <si>
    <t>https://ryycrdhlkmzpxwwwwupy.supabase.co/storage/v1/object/public/old_media/cb042d93.Path.051859.jpg</t>
  </si>
  <si>
    <t>a7911def</t>
  </si>
  <si>
    <t>https://ryycrdhlkmzpxwwwwupy.supabase.co/storage/v1/object/public/old_media/a7911def.Path.051909.jpg</t>
  </si>
  <si>
    <t>a9014383</t>
  </si>
  <si>
    <t>https://ryycrdhlkmzpxwwwwupy.supabase.co/storage/v1/object/public/old_media/a9014383.Path.051921.jpg</t>
  </si>
  <si>
    <t>b344bb97</t>
  </si>
  <si>
    <t>https://ryycrdhlkmzpxwwwwupy.supabase.co/storage/v1/object/public/old_media/b344bb97.Path.051933.jpg</t>
  </si>
  <si>
    <t>d07e9ab3</t>
  </si>
  <si>
    <t>https://ryycrdhlkmzpxwwwwupy.supabase.co/storage/v1/object/public/old_media/d07e9ab3.Path.051947.jpg</t>
  </si>
  <si>
    <t>36db6a62</t>
  </si>
  <si>
    <t>https://ryycrdhlkmzpxwwwwupy.supabase.co/storage/v1/object/public/old_media/36db6a62.Path.052004.jpg</t>
  </si>
  <si>
    <t>e3321859</t>
  </si>
  <si>
    <t>https://ryycrdhlkmzpxwwwwupy.supabase.co/storage/v1/object/public/old_media/e3321859.Path.052019.jpg</t>
  </si>
  <si>
    <t>4b87c495</t>
  </si>
  <si>
    <t>https://ryycrdhlkmzpxwwwwupy.supabase.co/storage/v1/object/public/old_media/4b87c495.Path.052032.jpg</t>
  </si>
  <si>
    <t>a0304536</t>
  </si>
  <si>
    <t>https://ryycrdhlkmzpxwwwwupy.supabase.co/storage/v1/object/public/old_media/a0304536.Path.052042.jpg</t>
  </si>
  <si>
    <t>514fa305</t>
  </si>
  <si>
    <t>https://ryycrdhlkmzpxwwwwupy.supabase.co/storage/v1/object/public/old_media/514fa305.Path.053721.jpg</t>
  </si>
  <si>
    <t>0fe5077f</t>
  </si>
  <si>
    <t>https://ryycrdhlkmzpxwwwwupy.supabase.co/storage/v1/object/public/old_media/0fe5077f.Path.053736.jpg</t>
  </si>
  <si>
    <t>c3a9a0f8</t>
  </si>
  <si>
    <t>https://ryycrdhlkmzpxwwwwupy.supabase.co/storage/v1/object/public/old_media/c3a9a0f8.Path.053745.jpg</t>
  </si>
  <si>
    <t>d3cba220</t>
  </si>
  <si>
    <t>https://ryycrdhlkmzpxwwwwupy.supabase.co/storage/v1/object/public/old_media/d3cba220.Path.053756.jpg</t>
  </si>
  <si>
    <t>1354080a</t>
  </si>
  <si>
    <t>https://ryycrdhlkmzpxwwwwupy.supabase.co/storage/v1/object/public/old_media/1354080a.Path.053809.jpg</t>
  </si>
  <si>
    <t>ff06a488</t>
  </si>
  <si>
    <t>https://ryycrdhlkmzpxwwwwupy.supabase.co/storage/v1/object/public/old_media/ff06a488.Path.053817.jpg</t>
  </si>
  <si>
    <t>29ce3121</t>
  </si>
  <si>
    <t>https://ryycrdhlkmzpxwwwwupy.supabase.co/storage/v1/object/public/old_media/29ce3121.Path.054019.jpg</t>
  </si>
  <si>
    <t>e3cf4b8c</t>
  </si>
  <si>
    <t>https://ryycrdhlkmzpxwwwwupy.supabase.co/storage/v1/object/public/old_media/e3cf4b8c.Path.055741.jpg</t>
  </si>
  <si>
    <t>5691334c</t>
  </si>
  <si>
    <t>https://ryycrdhlkmzpxwwwwupy.supabase.co/storage/v1/object/public/old_media/5691334c.Path.055753.jpg</t>
  </si>
  <si>
    <t>5f6c121f</t>
  </si>
  <si>
    <t>https://ryycrdhlkmzpxwwwwupy.supabase.co/storage/v1/object/public/old_media/5f6c121f.Path.055811.jpg</t>
  </si>
  <si>
    <t>42ccd0a5</t>
  </si>
  <si>
    <t>https://ryycrdhlkmzpxwwwwupy.supabase.co/storage/v1/object/public/old_media/42ccd0a5.Path.060712.jpg</t>
  </si>
  <si>
    <t>4eb3af33</t>
  </si>
  <si>
    <t>https://ryycrdhlkmzpxwwwwupy.supabase.co/storage/v1/object/public/old_media/4eb3af33.Path.060726.jpg</t>
  </si>
  <si>
    <t>74b98750</t>
  </si>
  <si>
    <t>https://ryycrdhlkmzpxwwwwupy.supabase.co/storage/v1/object/public/old_media/74b98750.Path.060736.jpg</t>
  </si>
  <si>
    <t>72c378c2</t>
  </si>
  <si>
    <t>https://ryycrdhlkmzpxwwwwupy.supabase.co/storage/v1/object/public/old_media/72c378c2.Path.093055.jpg</t>
  </si>
  <si>
    <t>78b7df4d</t>
  </si>
  <si>
    <t>https://ryycrdhlkmzpxwwwwupy.supabase.co/storage/v1/object/public/old_media/78b7df4d.Path.093106.jpg</t>
  </si>
  <si>
    <t>07e2ae07</t>
  </si>
  <si>
    <t>https://ryycrdhlkmzpxwwwwupy.supabase.co/storage/v1/object/public/old_media/07e2ae07.Path.093119.jpg</t>
  </si>
  <si>
    <t>5b7626df</t>
  </si>
  <si>
    <t>https://ryycrdhlkmzpxwwwwupy.supabase.co/storage/v1/object/public/old_media/5b7626df.Path.093130.jpg</t>
  </si>
  <si>
    <t>b4842be9</t>
  </si>
  <si>
    <t>https://ryycrdhlkmzpxwwwwupy.supabase.co/storage/v1/object/public/old_media/b4842be9.Path.093212.jpg</t>
  </si>
  <si>
    <t>23516ca6</t>
  </si>
  <si>
    <t>https://ryycrdhlkmzpxwwwwupy.supabase.co/storage/v1/object/public/old_media/23516ca6.Path.093236.jpg</t>
  </si>
  <si>
    <t>75d6291b</t>
  </si>
  <si>
    <t>https://ryycrdhlkmzpxwwwwupy.supabase.co/storage/v1/object/public/old_media/75d6291b.Path.093253.jpg</t>
  </si>
  <si>
    <t>55f18737</t>
  </si>
  <si>
    <t>https://ryycrdhlkmzpxwwwwupy.supabase.co/storage/v1/object/public/old_media/55f18737.Path.110640.jpg</t>
  </si>
  <si>
    <t>c426bfa4</t>
  </si>
  <si>
    <t>https://ryycrdhlkmzpxwwwwupy.supabase.co/storage/v1/object/public/old_media/c426bfa4.Path.110651.jpg</t>
  </si>
  <si>
    <t>67202004</t>
  </si>
  <si>
    <t>https://ryycrdhlkmzpxwwwwupy.supabase.co/storage/v1/object/public/old_media/67202004.Path.110701.jpg</t>
  </si>
  <si>
    <t>a1042ad9</t>
  </si>
  <si>
    <t>https://ryycrdhlkmzpxwwwwupy.supabase.co/storage/v1/object/public/old_media/a1042ad9.Path.110712.jpg</t>
  </si>
  <si>
    <t>b5b2e6d5</t>
  </si>
  <si>
    <t>https://ryycrdhlkmzpxwwwwupy.supabase.co/storage/v1/object/public/old_media/b5b2e6d5.Path.110722.jpg</t>
  </si>
  <si>
    <t>b12a0fdc</t>
  </si>
  <si>
    <t>https://ryycrdhlkmzpxwwwwupy.supabase.co/storage/v1/object/public/old_media/b12a0fdc.Path.100714.png</t>
  </si>
  <si>
    <t>931ac895</t>
  </si>
  <si>
    <t>https://ryycrdhlkmzpxwwwwupy.supabase.co/storage/v1/object/public/old_media/931ac895.Path.100759.png</t>
  </si>
  <si>
    <t>f37eb159</t>
  </si>
  <si>
    <t>https://ryycrdhlkmzpxwwwwupy.supabase.co/storage/v1/object/public/old_media/f37eb159.Path.100916.jpg</t>
  </si>
  <si>
    <t>e0b11270</t>
  </si>
  <si>
    <t>https://ryycrdhlkmzpxwwwwupy.supabase.co/storage/v1/object/public/old_media/e0b11270.Path.052210.jpg</t>
  </si>
  <si>
    <t>51132c33</t>
  </si>
  <si>
    <t>https://ryycrdhlkmzpxwwwwupy.supabase.co/storage/v1/object/public/old_media/51132c33.Path.052225.jpg</t>
  </si>
  <si>
    <t>Menu</t>
  </si>
  <si>
    <t>b712845f</t>
  </si>
  <si>
    <t>https://ryycrdhlkmzpxwwwwupy.supabase.co/storage/v1/object/public/old_media/b712845f.Path.052232.jpg</t>
  </si>
  <si>
    <t>4eecea7b</t>
  </si>
  <si>
    <t>https://ryycrdhlkmzpxwwwwupy.supabase.co/storage/v1/object/public/old_media/4eecea7b.Path.071106.jpg</t>
  </si>
  <si>
    <t>bec9f295</t>
  </si>
  <si>
    <t>https://ryycrdhlkmzpxwwwwupy.supabase.co/storage/v1/object/public/old_media/bec9f295.Path.071138.jpg</t>
  </si>
  <si>
    <t>c5a5b3ff</t>
  </si>
  <si>
    <t>https://ryycrdhlkmzpxwwwwupy.supabase.co/storage/v1/object/public/old_media/c5a5b3ff.Path.071207.jpg</t>
  </si>
  <si>
    <t>1c35fba7</t>
  </si>
  <si>
    <t>https://ryycrdhlkmzpxwwwwupy.supabase.co/storage/v1/object/public/old_media/1c35fba7.Path.071236.jpg</t>
  </si>
  <si>
    <t>e83a9a97</t>
  </si>
  <si>
    <t>https://ryycrdhlkmzpxwwwwupy.supabase.co/storage/v1/object/public/old_media/e83a9a97.Path.071305.jpg</t>
  </si>
  <si>
    <t>be831807</t>
  </si>
  <si>
    <t>https://ryycrdhlkmzpxwwwwupy.supabase.co/storage/v1/object/public/old_media/be831807.Path.071336.jpg</t>
  </si>
  <si>
    <t>a3fc5030</t>
  </si>
  <si>
    <t>https://ryycrdhlkmzpxwwwwupy.supabase.co/storage/v1/object/public/old_media/a3fc5030.Path.071412.jpg</t>
  </si>
  <si>
    <t>831d6443</t>
  </si>
  <si>
    <t>https://ryycrdhlkmzpxwwwwupy.supabase.co/storage/v1/object/public/old_media/831d6443.Path.071456.jpg</t>
  </si>
  <si>
    <t>edc1cecb</t>
  </si>
  <si>
    <t>https://ryycrdhlkmzpxwwwwupy.supabase.co/storage/v1/object/public/old_media/edc1cecb.Path.071528.jpg</t>
  </si>
  <si>
    <t>dc3c1a79</t>
  </si>
  <si>
    <t>https://ryycrdhlkmzpxwwwwupy.supabase.co/storage/v1/object/public/old_media/dc3c1a79.Path.071605.jpg</t>
  </si>
  <si>
    <t>4402c8f2</t>
  </si>
  <si>
    <t>https://ryycrdhlkmzpxwwwwupy.supabase.co/storage/v1/object/public/old_media/4402c8f2.Path.071642.jpg</t>
  </si>
  <si>
    <t>261f7a03</t>
  </si>
  <si>
    <t>https://ryycrdhlkmzpxwwwwupy.supabase.co/storage/v1/object/public/old_media/261f7a03.Path.073307.jpg</t>
  </si>
  <si>
    <t>2808bfa9</t>
  </si>
  <si>
    <t>https://ryycrdhlkmzpxwwwwupy.supabase.co/storage/v1/object/public/old_media/2808bfa9.Path.073343.jpg</t>
  </si>
  <si>
    <t>93cfdb2b</t>
  </si>
  <si>
    <t>https://ryycrdhlkmzpxwwwwupy.supabase.co/storage/v1/object/public/old_media/93cfdb2b.Path.073427.jpg</t>
  </si>
  <si>
    <t>317372b6</t>
  </si>
  <si>
    <t>https://ryycrdhlkmzpxwwwwupy.supabase.co/storage/v1/object/public/old_media/317372b6.Path.073459.jpg</t>
  </si>
  <si>
    <t>b82e4855</t>
  </si>
  <si>
    <t>https://ryycrdhlkmzpxwwwwupy.supabase.co/storage/v1/object/public/old_media/b82e4855.Path.073520.jpg</t>
  </si>
  <si>
    <t>vue</t>
  </si>
  <si>
    <t>b8c13aee</t>
  </si>
  <si>
    <t>https://ryycrdhlkmzpxwwwwupy.supabase.co/storage/v1/object/public/old_media/b8c13aee.Path.073556.jpg</t>
  </si>
  <si>
    <t>05632faa</t>
  </si>
  <si>
    <t>https://ryycrdhlkmzpxwwwwupy.supabase.co/storage/v1/object/public/old_media/05632faa.Path.073619.jpg</t>
  </si>
  <si>
    <t>cba84a48</t>
  </si>
  <si>
    <t>https://ryycrdhlkmzpxwwwwupy.supabase.co/storage/v1/object/public/old_media/cba84a48.Path.090850.jpg</t>
  </si>
  <si>
    <t>5cc7391d</t>
  </si>
  <si>
    <t>https://ryycrdhlkmzpxwwwwupy.supabase.co/storage/v1/object/public/old_media/5cc7391d.Path.091010.jpg</t>
  </si>
  <si>
    <t>Chambre avec salle de bain privée</t>
  </si>
  <si>
    <t>8388fda9</t>
  </si>
  <si>
    <t>https://ryycrdhlkmzpxwwwwupy.supabase.co/storage/v1/object/public/old_media/8388fda9.Path.091039.jpg</t>
  </si>
  <si>
    <t>a589db58</t>
  </si>
  <si>
    <t>https://ryycrdhlkmzpxwwwwupy.supabase.co/storage/v1/object/public/old_media/a589db58.Path.091116.jpg</t>
  </si>
  <si>
    <t>212f0c1c</t>
  </si>
  <si>
    <t>https://ryycrdhlkmzpxwwwwupy.supabase.co/storage/v1/object/public/old_media/212f0c1c.Path.091144.jpg</t>
  </si>
  <si>
    <t>f391845b</t>
  </si>
  <si>
    <t>https://ryycrdhlkmzpxwwwwupy.supabase.co/storage/v1/object/public/old_media/f391845b.Path.091220.jpg</t>
  </si>
  <si>
    <t>787b273e</t>
  </si>
  <si>
    <t>https://ryycrdhlkmzpxwwwwupy.supabase.co/storage/v1/object/public/old_media/787b273e.Path.091309.jpg</t>
  </si>
  <si>
    <t>2f436e3d</t>
  </si>
  <si>
    <t>https://ryycrdhlkmzpxwwwwupy.supabase.co/storage/v1/object/public/old_media/2f436e3d.Path.091344.jpg</t>
  </si>
  <si>
    <t>7cb5e0c2</t>
  </si>
  <si>
    <t>https://ryycrdhlkmzpxwwwwupy.supabase.co/storage/v1/object/public/old_media/7cb5e0c2.Path.091416.jpg</t>
  </si>
  <si>
    <t>b70e3b68</t>
  </si>
  <si>
    <t>https://ryycrdhlkmzpxwwwwupy.supabase.co/storage/v1/object/public/old_media/b70e3b68.Path.091437.jpg</t>
  </si>
  <si>
    <t>0197e9a6</t>
  </si>
  <si>
    <t>https://ryycrdhlkmzpxwwwwupy.supabase.co/storage/v1/object/public/old_media/0197e9a6.Path.091509.jpg</t>
  </si>
  <si>
    <t>fefe9cdf</t>
  </si>
  <si>
    <t>https://ryycrdhlkmzpxwwwwupy.supabase.co/storage/v1/object/public/old_media/fefe9cdf.Path.104122.jpg</t>
  </si>
  <si>
    <t>f1f07ee0</t>
  </si>
  <si>
    <t>https://ryycrdhlkmzpxwwwwupy.supabase.co/storage/v1/object/public/old_media/f1f07ee0.Path.104132.jpg</t>
  </si>
  <si>
    <t>fec41e6e</t>
  </si>
  <si>
    <t>https://ryycrdhlkmzpxwwwwupy.supabase.co/storage/v1/object/public/old_media/fec41e6e.Path.104302.jpg</t>
  </si>
  <si>
    <t>6d399e48</t>
  </si>
  <si>
    <t>https://ryycrdhlkmzpxwwwwupy.supabase.co/storage/v1/object/public/old_media/6d399e48.Path.105153.png</t>
  </si>
  <si>
    <t>95c0cadd</t>
  </si>
  <si>
    <t>https://ryycrdhlkmzpxwwwwupy.supabase.co/storage/v1/object/public/old_media/95c0cadd.Path.105228.png</t>
  </si>
  <si>
    <t>salle a manger cuisine</t>
  </si>
  <si>
    <t>f65e7aec</t>
  </si>
  <si>
    <t>https://ryycrdhlkmzpxwwwwupy.supabase.co/storage/v1/object/public/old_media/f65e7aec.Path.105259.png</t>
  </si>
  <si>
    <t>48be46fb</t>
  </si>
  <si>
    <t>https://ryycrdhlkmzpxwwwwupy.supabase.co/storage/v1/object/public/old_media/48be46fb.Path.105337.png</t>
  </si>
  <si>
    <t>e5635756</t>
  </si>
  <si>
    <t>https://ryycrdhlkmzpxwwwwupy.supabase.co/storage/v1/object/public/old_media/e5635756.Path.105410.png</t>
  </si>
  <si>
    <t>salon + ext.</t>
  </si>
  <si>
    <t>e21fba1f</t>
  </si>
  <si>
    <t>https://ryycrdhlkmzpxwwwwupy.supabase.co/storage/v1/object/public/old_media/e21fba1f.Path.105447.png</t>
  </si>
  <si>
    <t>façade + piscine</t>
  </si>
  <si>
    <t>e4e14a97</t>
  </si>
  <si>
    <t>https://ryycrdhlkmzpxwwwwupy.supabase.co/storage/v1/object/public/old_media/e4e14a97.Path.105513.png</t>
  </si>
  <si>
    <t>sdb 1</t>
  </si>
  <si>
    <t>df3fbdea</t>
  </si>
  <si>
    <t>https://ryycrdhlkmzpxwwwwupy.supabase.co/storage/v1/object/public/old_media/df3fbdea.Path.105552.png</t>
  </si>
  <si>
    <t>sdb 2</t>
  </si>
  <si>
    <t>92dc69db</t>
  </si>
  <si>
    <t>https://ryycrdhlkmzpxwwwwupy.supabase.co/storage/v1/object/public/old_media/92dc69db.Path.105632.png</t>
  </si>
  <si>
    <t>4c878b8f</t>
  </si>
  <si>
    <t>https://ryycrdhlkmzpxwwwwupy.supabase.co/storage/v1/object/public/old_media/4c878b8f.Path.105715.png</t>
  </si>
  <si>
    <t>9a294a0a</t>
  </si>
  <si>
    <t>https://ryycrdhlkmzpxwwwwupy.supabase.co/storage/v1/object/public/old_media/9a294a0a.Path.105754.png</t>
  </si>
  <si>
    <t>chambre 1 bis</t>
  </si>
  <si>
    <t>d56f3b68</t>
  </si>
  <si>
    <t>https://ryycrdhlkmzpxwwwwupy.supabase.co/storage/v1/object/public/old_media/d56f3b68.Path.105833.png</t>
  </si>
  <si>
    <t>e310be9b</t>
  </si>
  <si>
    <t>https://ryycrdhlkmzpxwwwwupy.supabase.co/storage/v1/object/public/old_media/e310be9b.Path.105911.png</t>
  </si>
  <si>
    <t>chambre 2 bis</t>
  </si>
  <si>
    <t>c1195e33</t>
  </si>
  <si>
    <t>https://ryycrdhlkmzpxwwwwupy.supabase.co/storage/v1/object/public/old_media/c1195e33.Path.105948.png</t>
  </si>
  <si>
    <t>cc3484a1</t>
  </si>
  <si>
    <t>https://ryycrdhlkmzpxwwwwupy.supabase.co/storage/v1/object/public/old_media/cc3484a1.Path.110027.png</t>
  </si>
  <si>
    <t>6833a924</t>
  </si>
  <si>
    <t>https://ryycrdhlkmzpxwwwwupy.supabase.co/storage/v1/object/public/old_media/6833a924.Path.110100.png</t>
  </si>
  <si>
    <t>f1141807</t>
  </si>
  <si>
    <t>https://ryycrdhlkmzpxwwwwupy.supabase.co/storage/v1/object/public/old_media/f1141807.Path.110131.png</t>
  </si>
  <si>
    <t>salon tv</t>
  </si>
  <si>
    <t>aecf6c20</t>
  </si>
  <si>
    <t>https://ryycrdhlkmzpxwwwwupy.supabase.co/storage/v1/object/public/old_media/aecf6c20.Path.110159.png</t>
  </si>
  <si>
    <t>salon tv2</t>
  </si>
  <si>
    <t>49fd8319</t>
  </si>
  <si>
    <t>https://ryycrdhlkmzpxwwwwupy.supabase.co/storage/v1/object/public/old_media/49fd8319.Path.110248.png</t>
  </si>
  <si>
    <t>84944e2f</t>
  </si>
  <si>
    <t>https://ryycrdhlkmzpxwwwwupy.supabase.co/storage/v1/object/public/old_media/84944e2f.Path.110323.png</t>
  </si>
  <si>
    <t>chambre dortoir</t>
  </si>
  <si>
    <t>7785bafe</t>
  </si>
  <si>
    <t>https://ryycrdhlkmzpxwwwwupy.supabase.co/storage/v1/object/public/old_media/7785bafe.Path.111337.jpg</t>
  </si>
  <si>
    <t>4f225c86</t>
  </si>
  <si>
    <t>https://ryycrdhlkmzpxwwwwupy.supabase.co/storage/v1/object/public/old_media/4f225c86.Path.053253.png</t>
  </si>
  <si>
    <t>e36afe3d</t>
  </si>
  <si>
    <t>https://ryycrdhlkmzpxwwwwupy.supabase.co/storage/v1/object/public/old_media/e36afe3d.Path.074327.webp</t>
  </si>
  <si>
    <t>531cdf61</t>
  </si>
  <si>
    <t>https://ryycrdhlkmzpxwwwwupy.supabase.co/storage/v1/object/public/old_media/531cdf61.Path.074342.webp</t>
  </si>
  <si>
    <t>687a536d</t>
  </si>
  <si>
    <t>https://ryycrdhlkmzpxwwwwupy.supabase.co/storage/v1/object/public/old_media/687a536d.Path.074420.webp</t>
  </si>
  <si>
    <t>1b4a9325</t>
  </si>
  <si>
    <t>https://ryycrdhlkmzpxwwwwupy.supabase.co/storage/v1/object/public/old_media/1b4a9325.Path.074431.webp</t>
  </si>
  <si>
    <t>22a2f5d2</t>
  </si>
  <si>
    <t>https://ryycrdhlkmzpxwwwwupy.supabase.co/storage/v1/object/public/old_media/22a2f5d2.Path.074444.webp</t>
  </si>
  <si>
    <t>2f4b3a09</t>
  </si>
  <si>
    <t>https://ryycrdhlkmzpxwwwwupy.supabase.co/storage/v1/object/public/old_media/2f4b3a09.Path.074458.webp</t>
  </si>
  <si>
    <t>4c80ac2d</t>
  </si>
  <si>
    <t>https://ryycrdhlkmzpxwwwwupy.supabase.co/storage/v1/object/public/old_media/4c80ac2d.Path.074509.webp</t>
  </si>
  <si>
    <t>dfa4075a</t>
  </si>
  <si>
    <t>https://ryycrdhlkmzpxwwwwupy.supabase.co/storage/v1/object/public/old_media/dfa4075a.Path.055030.webp</t>
  </si>
  <si>
    <t>d7c9b644</t>
  </si>
  <si>
    <t>https://ryycrdhlkmzpxwwwwupy.supabase.co/storage/v1/object/public/old_media/d7c9b644.Path.055041.webp</t>
  </si>
  <si>
    <t>6e33ec46</t>
  </si>
  <si>
    <t>https://ryycrdhlkmzpxwwwwupy.supabase.co/storage/v1/object/public/old_media/6e33ec46.Path.043714.jpg</t>
  </si>
  <si>
    <t>e7432b22</t>
  </si>
  <si>
    <t>https://ryycrdhlkmzpxwwwwupy.supabase.co/storage/v1/object/public/old_media/e7432b22.Path.043747.jpg</t>
  </si>
  <si>
    <t>d80e15e0</t>
  </si>
  <si>
    <t>https://ryycrdhlkmzpxwwwwupy.supabase.co/storage/v1/object/public/old_media/d80e15e0.Path.043811.jpg</t>
  </si>
  <si>
    <t>d12d955a</t>
  </si>
  <si>
    <t>https://ryycrdhlkmzpxwwwwupy.supabase.co/storage/v1/object/public/old_media/d12d955a.Path.043840.jpg</t>
  </si>
  <si>
    <t>bf67bb8e</t>
  </si>
  <si>
    <t>https://ryycrdhlkmzpxwwwwupy.supabase.co/storage/v1/object/public/old_media/bf67bb8e.Path.043901.jpg</t>
  </si>
  <si>
    <t>2000ca13</t>
  </si>
  <si>
    <t>https://ryycrdhlkmzpxwwwwupy.supabase.co/storage/v1/object/public/old_media/2000ca13.Path.043923.jpg</t>
  </si>
  <si>
    <t>ff27151e</t>
  </si>
  <si>
    <t>https://ryycrdhlkmzpxwwwwupy.supabase.co/storage/v1/object/public/old_media/ff27151e.Path.043952.jpg</t>
  </si>
  <si>
    <t>46d7a7c2</t>
  </si>
  <si>
    <t>https://ryycrdhlkmzpxwwwwupy.supabase.co/storage/v1/object/public/old_media/46d7a7c2.Path.044052.jpg</t>
  </si>
  <si>
    <t>23c8183d</t>
  </si>
  <si>
    <t>https://ryycrdhlkmzpxwwwwupy.supabase.co/storage/v1/object/public/old_media/23c8183d.Path.044120.jpg</t>
  </si>
  <si>
    <t>f1b6bcb9</t>
  </si>
  <si>
    <t>https://ryycrdhlkmzpxwwwwupy.supabase.co/storage/v1/object/public/old_media/f1b6bcb9.Path.073954.jpg</t>
  </si>
  <si>
    <t>16fa6c51</t>
  </si>
  <si>
    <t>https://ryycrdhlkmzpxwwwwupy.supabase.co/storage/v1/object/public/old_media/16fa6c51.Path.074017.jpg</t>
  </si>
  <si>
    <t>Déco de Noël</t>
  </si>
  <si>
    <t>8b23c837</t>
  </si>
  <si>
    <t>https://ryycrdhlkmzpxwwwwupy.supabase.co/storage/v1/object/public/old_media/8b23c837.Path.074032.jpg</t>
  </si>
  <si>
    <t>6e215d36</t>
  </si>
  <si>
    <t>https://ryycrdhlkmzpxwwwwupy.supabase.co/storage/v1/object/public/old_media/6e215d36.Path.071315.webp</t>
  </si>
  <si>
    <t>304afc85</t>
  </si>
  <si>
    <t>https://ryycrdhlkmzpxwwwwupy.supabase.co/storage/v1/object/public/old_media/304afc85.Path.071331.webp</t>
  </si>
  <si>
    <t>dcc3aa66</t>
  </si>
  <si>
    <t>https://ryycrdhlkmzpxwwwwupy.supabase.co/storage/v1/object/public/old_media/dcc3aa66.Path.071342.webp</t>
  </si>
  <si>
    <t>72569edc</t>
  </si>
  <si>
    <t>https://ryycrdhlkmzpxwwwwupy.supabase.co/storage/v1/object/public/old_media/72569edc.Path.071352.jpg</t>
  </si>
  <si>
    <t>80058c3f</t>
  </si>
  <si>
    <t>https://ryycrdhlkmzpxwwwwupy.supabase.co/storage/v1/object/public/old_media/80058c3f.Path.071404.jpg</t>
  </si>
  <si>
    <t>2ea7bb50</t>
  </si>
  <si>
    <t>https://ryycrdhlkmzpxwwwwupy.supabase.co/storage/v1/object/public/old_media/2ea7bb50.Path.071416.jpg</t>
  </si>
  <si>
    <t>cf883439</t>
  </si>
  <si>
    <t>https://ryycrdhlkmzpxwwwwupy.supabase.co/storage/v1/object/public/old_media/cf883439.Path.071426.jpg</t>
  </si>
  <si>
    <t>fb8ab76e</t>
  </si>
  <si>
    <t>https://ryycrdhlkmzpxwwwwupy.supabase.co/storage/v1/object/public/old_media/fb8ab76e.Path.071436.webp</t>
  </si>
  <si>
    <t>eabf0a87</t>
  </si>
  <si>
    <t>https://ryycrdhlkmzpxwwwwupy.supabase.co/storage/v1/object/public/old_media/eabf0a87.Path.093559.webp</t>
  </si>
  <si>
    <t>8d2dd6ce</t>
  </si>
  <si>
    <t>https://ryycrdhlkmzpxwwwwupy.supabase.co/storage/v1/object/public/old_media/8d2dd6ce.Path.093616.webp</t>
  </si>
  <si>
    <t>40ac826d</t>
  </si>
  <si>
    <t>https://ryycrdhlkmzpxwwwwupy.supabase.co/storage/v1/object/public/old_media/40ac826d.Path.093631.webp</t>
  </si>
  <si>
    <t>8a62d897</t>
  </si>
  <si>
    <t>https://ryycrdhlkmzpxwwwwupy.supabase.co/storage/v1/object/public/old_media/8a62d897.Path.093647.webp</t>
  </si>
  <si>
    <t>2696b36d</t>
  </si>
  <si>
    <t>https://ryycrdhlkmzpxwwwwupy.supabase.co/storage/v1/object/public/old_media/2696b36d.Path.093713.webp</t>
  </si>
  <si>
    <t>b95af159</t>
  </si>
  <si>
    <t>https://ryycrdhlkmzpxwwwwupy.supabase.co/storage/v1/object/public/old_media/b95af159.Path.093735.webp</t>
  </si>
  <si>
    <t>60560fed</t>
  </si>
  <si>
    <t>https://ryycrdhlkmzpxwwwwupy.supabase.co/storage/v1/object/public/old_media/60560fed.Path.093751.webp</t>
  </si>
  <si>
    <t>36675de6</t>
  </si>
  <si>
    <t>https://ryycrdhlkmzpxwwwwupy.supabase.co/storage/v1/object/public/old_media/36675de6.Path.095521.jpg</t>
  </si>
  <si>
    <t>9d87792c</t>
  </si>
  <si>
    <t>https://ryycrdhlkmzpxwwwwupy.supabase.co/storage/v1/object/public/old_media/9d87792c.Path.095543.jpg</t>
  </si>
  <si>
    <t>8a71e5bf</t>
  </si>
  <si>
    <t>https://ryycrdhlkmzpxwwwwupy.supabase.co/storage/v1/object/public/old_media/8a71e5bf.Path.095723.jpg</t>
  </si>
  <si>
    <t>61b9c6bb</t>
  </si>
  <si>
    <t>https://ryycrdhlkmzpxwwwwupy.supabase.co/storage/v1/object/public/old_media/61b9c6bb.Path.095854.jpg</t>
  </si>
  <si>
    <t>72d2a3eb</t>
  </si>
  <si>
    <t>https://ryycrdhlkmzpxwwwwupy.supabase.co/storage/v1/object/public/old_media/72d2a3eb.Path.104215.jpg</t>
  </si>
  <si>
    <t>c4456120</t>
  </si>
  <si>
    <t>https://ryycrdhlkmzpxwwwwupy.supabase.co/storage/v1/object/public/old_media/c4456120.Path.104336.jpg</t>
  </si>
  <si>
    <t>7aeef016</t>
  </si>
  <si>
    <t>https://ryycrdhlkmzpxwwwwupy.supabase.co/storage/v1/object/public/old_media/7aeef016.Path.104424.jpg</t>
  </si>
  <si>
    <t>54b60d2d</t>
  </si>
  <si>
    <t>https://ryycrdhlkmzpxwwwwupy.supabase.co/storage/v1/object/public/old_media/54b60d2d.Path.104449.jpg</t>
  </si>
  <si>
    <t>60391c35</t>
  </si>
  <si>
    <t>https://ryycrdhlkmzpxwwwwupy.supabase.co/storage/v1/object/public/old_media/60391c35.Path.104511.jpg</t>
  </si>
  <si>
    <t>f5fe30ad</t>
  </si>
  <si>
    <t>https://ryycrdhlkmzpxwwwwupy.supabase.co/storage/v1/object/public/old_media/f5fe30ad.Path.104541.jpg</t>
  </si>
  <si>
    <t>65cda70a</t>
  </si>
  <si>
    <t>https://ryycrdhlkmzpxwwwwupy.supabase.co/storage/v1/object/public/old_media/65cda70a.Path.104608.jpg</t>
  </si>
  <si>
    <t>767da78e</t>
  </si>
  <si>
    <t>https://ryycrdhlkmzpxwwwwupy.supabase.co/storage/v1/object/public/old_media/767da78e.Path.112640.jpg</t>
  </si>
  <si>
    <t>ee8d706b</t>
  </si>
  <si>
    <t>https://ryycrdhlkmzpxwwwwupy.supabase.co/storage/v1/object/public/old_media/ee8d706b.Path.112717.jpg</t>
  </si>
  <si>
    <t>59f63218</t>
  </si>
  <si>
    <t>https://ryycrdhlkmzpxwwwwupy.supabase.co/storage/v1/object/public/old_media/59f63218.Path.112748.jpg</t>
  </si>
  <si>
    <t>4f6bcf6f</t>
  </si>
  <si>
    <t>https://ryycrdhlkmzpxwwwwupy.supabase.co/storage/v1/object/public/old_media/4f6bcf6f.Path.112819.jpg</t>
  </si>
  <si>
    <t>ee269161</t>
  </si>
  <si>
    <t>https://ryycrdhlkmzpxwwwwupy.supabase.co/storage/v1/object/public/old_media/ee269161.Path.113150.jpg</t>
  </si>
  <si>
    <t>085f143d</t>
  </si>
  <si>
    <t>https://ryycrdhlkmzpxwwwwupy.supabase.co/storage/v1/object/public/old_media/085f143d.Path.113240.jpg</t>
  </si>
  <si>
    <t>b3bccfbc</t>
  </si>
  <si>
    <t>https://ryycrdhlkmzpxwwwwupy.supabase.co/storage/v1/object/public/old_media/b3bccfbc.Path.113313.jpg</t>
  </si>
  <si>
    <t>de2ce3f4</t>
  </si>
  <si>
    <t>https://ryycrdhlkmzpxwwwwupy.supabase.co/storage/v1/object/public/old_media/de2ce3f4.Path.113358.jpg</t>
  </si>
  <si>
    <t>b64aae32</t>
  </si>
  <si>
    <t>https://ryycrdhlkmzpxwwwwupy.supabase.co/storage/v1/object/public/old_media/b64aae32.Path.113449.jpg</t>
  </si>
  <si>
    <t>d62f6ae3</t>
  </si>
  <si>
    <t>https://ryycrdhlkmzpxwwwwupy.supabase.co/storage/v1/object/public/old_media/d62f6ae3.Path.113526.jpg</t>
  </si>
  <si>
    <t>52bab743</t>
  </si>
  <si>
    <t>https://ryycrdhlkmzpxwwwwupy.supabase.co/storage/v1/object/public/old_media/52bab743.Path.065654.jpg</t>
  </si>
  <si>
    <t>17db6043</t>
  </si>
  <si>
    <t>https://ryycrdhlkmzpxwwwwupy.supabase.co/storage/v1/object/public/old_media/17db6043.Path.100946.jpg</t>
  </si>
  <si>
    <t>cc59e0cc</t>
  </si>
  <si>
    <t>https://ryycrdhlkmzpxwwwwupy.supabase.co/storage/v1/object/public/old_media/cc59e0cc.Path.101016.jpg</t>
  </si>
  <si>
    <t>9dc905e8</t>
  </si>
  <si>
    <t>https://ryycrdhlkmzpxwwwwupy.supabase.co/storage/v1/object/public/old_media/9dc905e8.Path.101043.jpg</t>
  </si>
  <si>
    <t>2f6e0aad</t>
  </si>
  <si>
    <t>https://ryycrdhlkmzpxwwwwupy.supabase.co/storage/v1/object/public/old_media/2f6e0aad.Path.101124.jpg</t>
  </si>
  <si>
    <t>157bd840</t>
  </si>
  <si>
    <t>https://ryycrdhlkmzpxwwwwupy.supabase.co/storage/v1/object/public/old_media/157bd840.Path.101142.jpg</t>
  </si>
  <si>
    <t>30a2384f</t>
  </si>
  <si>
    <t>https://ryycrdhlkmzpxwwwwupy.supabase.co/storage/v1/object/public/old_media/30a2384f.Path.101201.jpg</t>
  </si>
  <si>
    <t>deed9b08</t>
  </si>
  <si>
    <t>https://ryycrdhlkmzpxwwwwupy.supabase.co/storage/v1/object/public/old_media/deed9b08.Path.101211.jpg</t>
  </si>
  <si>
    <t>07494f0f</t>
  </si>
  <si>
    <t>https://ryycrdhlkmzpxwwwwupy.supabase.co/storage/v1/object/public/old_media/07494f0f.Path.101222.jpg</t>
  </si>
  <si>
    <t>e63f20d8</t>
  </si>
  <si>
    <t>https://ryycrdhlkmzpxwwwwupy.supabase.co/storage/v1/object/public/old_media/e63f20d8.Path.114122.avif</t>
  </si>
  <si>
    <t>20c14dfa</t>
  </si>
  <si>
    <t>https://ryycrdhlkmzpxwwwwupy.supabase.co/storage/v1/object/public/old_media/20c14dfa.Path.114136.avif</t>
  </si>
  <si>
    <t>1d97c9db</t>
  </si>
  <si>
    <t>https://ryycrdhlkmzpxwwwwupy.supabase.co/storage/v1/object/public/old_media/1d97c9db.Path.114148.avif</t>
  </si>
  <si>
    <t>9597960c</t>
  </si>
  <si>
    <t>https://ryycrdhlkmzpxwwwwupy.supabase.co/storage/v1/object/public/old_media/9597960c.Path.114200.avif</t>
  </si>
  <si>
    <t>81797d52</t>
  </si>
  <si>
    <t>https://ryycrdhlkmzpxwwwwupy.supabase.co/storage/v1/object/public/old_media/81797d52.Path.114209.avif</t>
  </si>
  <si>
    <t>00740b6c</t>
  </si>
  <si>
    <t>https://ryycrdhlkmzpxwwwwupy.supabase.co/storage/v1/object/public/old_media/00740b6c.Path.103523.jpg</t>
  </si>
  <si>
    <t>b454d9b5</t>
  </si>
  <si>
    <t>https://ryycrdhlkmzpxwwwwupy.supabase.co/storage/v1/object/public/old_media/b454d9b5.Path.103545.jpg</t>
  </si>
  <si>
    <t>9f932563</t>
  </si>
  <si>
    <t>https://ryycrdhlkmzpxwwwwupy.supabase.co/storage/v1/object/public/old_media/9f932563.Path.103555.jpg</t>
  </si>
  <si>
    <t>dc0c2e30</t>
  </si>
  <si>
    <t>https://ryycrdhlkmzpxwwwwupy.supabase.co/storage/v1/object/public/old_media/dc0c2e30.Path.103605.jpg</t>
  </si>
  <si>
    <t>193dbcbd</t>
  </si>
  <si>
    <t>https://ryycrdhlkmzpxwwwwupy.supabase.co/storage/v1/object/public/old_media/193dbcbd.Path.103615.jpg</t>
  </si>
  <si>
    <t>44e7edde</t>
  </si>
  <si>
    <t>https://ryycrdhlkmzpxwwwwupy.supabase.co/storage/v1/object/public/old_media/44e7edde.Path.103624.jpg</t>
  </si>
  <si>
    <t>aa0048d4</t>
  </si>
  <si>
    <t>https://ryycrdhlkmzpxwwwwupy.supabase.co/storage/v1/object/public/old_media/aa0048d4.Path.175205.png</t>
  </si>
  <si>
    <t>631b45e2</t>
  </si>
  <si>
    <t>https://ryycrdhlkmzpxwwwwupy.supabase.co/storage/v1/object/public/old_media/631b45e2.Path.175215.png</t>
  </si>
  <si>
    <t>a3e55e4b</t>
  </si>
  <si>
    <t>https://ryycrdhlkmzpxwwwwupy.supabase.co/storage/v1/object/public/old_media/a3e55e4b.Path.065321.jpg</t>
  </si>
  <si>
    <t>1d8a1090</t>
  </si>
  <si>
    <t>https://ryycrdhlkmzpxwwwwupy.supabase.co/storage/v1/object/public/old_media/1d8a1090.Path.065330.jpg</t>
  </si>
  <si>
    <t>5b533492</t>
  </si>
  <si>
    <t>https://ryycrdhlkmzpxwwwwupy.supabase.co/storage/v1/object/public/old_media/5b533492.Path.065341.jpg</t>
  </si>
  <si>
    <t>a37cb543</t>
  </si>
  <si>
    <t>https://ryycrdhlkmzpxwwwwupy.supabase.co/storage/v1/object/public/old_media/a37cb543.Path.065351.jpg</t>
  </si>
  <si>
    <t>c46f341c</t>
  </si>
  <si>
    <t>https://ryycrdhlkmzpxwwwwupy.supabase.co/storage/v1/object/public/old_media/c46f341c.Path.065402.jpg</t>
  </si>
  <si>
    <t>25f427ad</t>
  </si>
  <si>
    <t>https://ryycrdhlkmzpxwwwwupy.supabase.co/storage/v1/object/public/old_media/25f427ad.Path.065412.jpg</t>
  </si>
  <si>
    <t>55119295</t>
  </si>
  <si>
    <t>https://ryycrdhlkmzpxwwwwupy.supabase.co/storage/v1/object/public/old_media/55119295.Path.065421.jpg</t>
  </si>
  <si>
    <t>9d214b62</t>
  </si>
  <si>
    <t>https://ryycrdhlkmzpxwwwwupy.supabase.co/storage/v1/object/public/old_media/9d214b62.Path.065434.jpg</t>
  </si>
  <si>
    <t>bc6412ce</t>
  </si>
  <si>
    <t>https://ryycrdhlkmzpxwwwwupy.supabase.co/storage/v1/object/public/old_media/bc6412ce.Path.065443.jpg</t>
  </si>
  <si>
    <t>23f682fe</t>
  </si>
  <si>
    <t>https://ryycrdhlkmzpxwwwwupy.supabase.co/storage/v1/object/public/old_media/23f682fe.Path.065453.jpg</t>
  </si>
  <si>
    <t>05d1c846</t>
  </si>
  <si>
    <t>https://ryycrdhlkmzpxwwwwupy.supabase.co/storage/v1/object/public/old_media/05d1c846.Path.065507.jpg</t>
  </si>
  <si>
    <t>8ee9372a</t>
  </si>
  <si>
    <t>https://ryycrdhlkmzpxwwwwupy.supabase.co/storage/v1/object/public/old_media/8ee9372a.Path.064103.jpg</t>
  </si>
  <si>
    <t>ed6e2dd5</t>
  </si>
  <si>
    <t>https://ryycrdhlkmzpxwwwwupy.supabase.co/storage/v1/object/public/old_media/ed6e2dd5.Path.064115.jpg</t>
  </si>
  <si>
    <t>eea34692</t>
  </si>
  <si>
    <t>https://ryycrdhlkmzpxwwwwupy.supabase.co/storage/v1/object/public/old_media/eea34692.Path.064126.jpg</t>
  </si>
  <si>
    <t>7ef637c0</t>
  </si>
  <si>
    <t>https://ryycrdhlkmzpxwwwwupy.supabase.co/storage/v1/object/public/old_media/7ef637c0.Path.064139.jpg</t>
  </si>
  <si>
    <t>06a8cfb9</t>
  </si>
  <si>
    <t>https://ryycrdhlkmzpxwwwwupy.supabase.co/storage/v1/object/public/old_media/06a8cfb9.Path.064153.jpg</t>
  </si>
  <si>
    <t>bbd76508</t>
  </si>
  <si>
    <t>https://ryycrdhlkmzpxwwwwupy.supabase.co/storage/v1/object/public/old_media/bbd76508.Path.064246.jpg</t>
  </si>
  <si>
    <t>57a247ac</t>
  </si>
  <si>
    <t>https://ryycrdhlkmzpxwwwwupy.supabase.co/storage/v1/object/public/old_media/57a247ac.Path.064259.jpg</t>
  </si>
  <si>
    <t>b9a45fc9</t>
  </si>
  <si>
    <t>https://ryycrdhlkmzpxwwwwupy.supabase.co/storage/v1/object/public/old_media/b9a45fc9.Path.052647.jpg</t>
  </si>
  <si>
    <t>c7d9aed2</t>
  </si>
  <si>
    <t>https://ryycrdhlkmzpxwwwwupy.supabase.co/storage/v1/object/public/old_media/c7d9aed2.Path.052705.jpg</t>
  </si>
  <si>
    <t>cf566fc5</t>
  </si>
  <si>
    <t>https://ryycrdhlkmzpxwwwwupy.supabase.co/storage/v1/object/public/old_media/cf566fc5.Path.052717.jpg</t>
  </si>
  <si>
    <t>5a8d5401</t>
  </si>
  <si>
    <t>https://ryycrdhlkmzpxwwwwupy.supabase.co/storage/v1/object/public/old_media/5a8d5401.Path.052736.jpg</t>
  </si>
  <si>
    <t>73cff547</t>
  </si>
  <si>
    <t>https://ryycrdhlkmzpxwwwwupy.supabase.co/storage/v1/object/public/old_media/73cff547.Path.052756.jpg</t>
  </si>
  <si>
    <t>2c4468ff</t>
  </si>
  <si>
    <t>https://ryycrdhlkmzpxwwwwupy.supabase.co/storage/v1/object/public/old_media/2c4468ff.Path.052810.jpg</t>
  </si>
  <si>
    <t>0cc52eca</t>
  </si>
  <si>
    <t>https://ryycrdhlkmzpxwwwwupy.supabase.co/storage/v1/object/public/old_media/0cc52eca.Path.052826.jpg</t>
  </si>
  <si>
    <t>1c3927f7</t>
  </si>
  <si>
    <t>https://ryycrdhlkmzpxwwwwupy.supabase.co/storage/v1/object/public/old_media/1c3927f7.Path.052841.jpg</t>
  </si>
  <si>
    <t>9c7f6d28</t>
  </si>
  <si>
    <t>https://ryycrdhlkmzpxwwwwupy.supabase.co/storage/v1/object/public/old_media/9c7f6d28.Path.055154.jpg</t>
  </si>
  <si>
    <t>c8cb112a</t>
  </si>
  <si>
    <t>https://ryycrdhlkmzpxwwwwupy.supabase.co/storage/v1/object/public/old_media/c8cb112a.Path.100429.webp</t>
  </si>
  <si>
    <t>5d745e65</t>
  </si>
  <si>
    <t>https://ryycrdhlkmzpxwwwwupy.supabase.co/storage/v1/object/public/old_media/5d745e65.Path.100442.webp</t>
  </si>
  <si>
    <t>5e9436b3</t>
  </si>
  <si>
    <t>https://ryycrdhlkmzpxwwwwupy.supabase.co/storage/v1/object/public/old_media/5e9436b3.Path.100454.webp</t>
  </si>
  <si>
    <t>d19f270e</t>
  </si>
  <si>
    <t>https://ryycrdhlkmzpxwwwwupy.supabase.co/storage/v1/object/public/old_media/d19f270e.Path.100509.webp</t>
  </si>
  <si>
    <t>5c695553</t>
  </si>
  <si>
    <t>https://ryycrdhlkmzpxwwwwupy.supabase.co/storage/v1/object/public/old_media/5c695553.Path.100524.webp</t>
  </si>
  <si>
    <t>60ad0f99</t>
  </si>
  <si>
    <t>https://ryycrdhlkmzpxwwwwupy.supabase.co/storage/v1/object/public/old_media/60ad0f99.Path.100552.webp</t>
  </si>
  <si>
    <t>0898f850</t>
  </si>
  <si>
    <t>https://ryycrdhlkmzpxwwwwupy.supabase.co/storage/v1/object/public/old_media/0898f850.Path.100605.webp</t>
  </si>
  <si>
    <t>62bf6518</t>
  </si>
  <si>
    <t>https://ryycrdhlkmzpxwwwwupy.supabase.co/storage/v1/object/public/old_media/62bf6518.Path.100617.webp</t>
  </si>
  <si>
    <t>ebf4bdb2</t>
  </si>
  <si>
    <t>https://ryycrdhlkmzpxwwwwupy.supabase.co/storage/v1/object/public/old_media/ebf4bdb2.Path.100629.webp</t>
  </si>
  <si>
    <t>d5a3945b</t>
  </si>
  <si>
    <t>https://ryycrdhlkmzpxwwwwupy.supabase.co/storage/v1/object/public/old_media/d5a3945b.Path.100645.webp</t>
  </si>
  <si>
    <t>8bbd93ba</t>
  </si>
  <si>
    <t>https://ryycrdhlkmzpxwwwwupy.supabase.co/storage/v1/object/public/old_media/8bbd93ba.Path.100654.webp</t>
  </si>
  <si>
    <t>e3553813</t>
  </si>
  <si>
    <t>https://ryycrdhlkmzpxwwwwupy.supabase.co/storage/v1/object/public/old_media/e3553813.Path.100706.webp</t>
  </si>
  <si>
    <t>10b8ed9f</t>
  </si>
  <si>
    <t>https://ryycrdhlkmzpxwwwwupy.supabase.co/storage/v1/object/public/old_media/10b8ed9f.Path.100742.webp</t>
  </si>
  <si>
    <t>litchi</t>
  </si>
  <si>
    <t>00c8a23d</t>
  </si>
  <si>
    <t>https://ryycrdhlkmzpxwwwwupy.supabase.co/storage/v1/object/public/old_media/00c8a23d.Path.100753.webp</t>
  </si>
  <si>
    <t>7bf1633f</t>
  </si>
  <si>
    <t>https://ryycrdhlkmzpxwwwwupy.supabase.co/storage/v1/object/public/old_media/7bf1633f.Path.100807.webp</t>
  </si>
  <si>
    <t>0be570f0</t>
  </si>
  <si>
    <t>https://ryycrdhlkmzpxwwwwupy.supabase.co/storage/v1/object/public/old_media/0be570f0.Path.100827.webp</t>
  </si>
  <si>
    <t>papaye</t>
  </si>
  <si>
    <t>04e2b165</t>
  </si>
  <si>
    <t>https://ryycrdhlkmzpxwwwwupy.supabase.co/storage/v1/object/public/old_media/04e2b165.Path.100908.webp</t>
  </si>
  <si>
    <t>sdb sous le même modèle dans toutes les chambres : douche + lavabo + WC</t>
  </si>
  <si>
    <t>19d5f175</t>
  </si>
  <si>
    <t>https://ryycrdhlkmzpxwwwwupy.supabase.co/storage/v1/object/public/old_media/19d5f175.Path.100924.webp</t>
  </si>
  <si>
    <t>53415a6a</t>
  </si>
  <si>
    <t>https://ryycrdhlkmzpxwwwwupy.supabase.co/storage/v1/object/public/old_media/53415a6a.Path.100944.webp</t>
  </si>
  <si>
    <t>sapotille</t>
  </si>
  <si>
    <t>a81808c4</t>
  </si>
  <si>
    <t>https://ryycrdhlkmzpxwwwwupy.supabase.co/storage/v1/object/public/old_media/a81808c4.Path.101002.webp</t>
  </si>
  <si>
    <t>69922db2</t>
  </si>
  <si>
    <t>https://ryycrdhlkmzpxwwwwupy.supabase.co/storage/v1/object/public/old_media/69922db2.Path.101020.webp</t>
  </si>
  <si>
    <t>zévi</t>
  </si>
  <si>
    <t>e77a232b</t>
  </si>
  <si>
    <t>https://ryycrdhlkmzpxwwwwupy.supabase.co/storage/v1/object/public/old_media/e77a232b.Path.110055.jpg</t>
  </si>
  <si>
    <t>jardin du bas</t>
  </si>
  <si>
    <t>261d632b</t>
  </si>
  <si>
    <t>https://ryycrdhlkmzpxwwwwupy.supabase.co/storage/v1/object/public/old_media/261d632b.Path.110124.jpg</t>
  </si>
  <si>
    <t>piscine et chambres d'hôtes en arrière plan</t>
  </si>
  <si>
    <t>f08bd2ce</t>
  </si>
  <si>
    <t>https://ryycrdhlkmzpxwwwwupy.supabase.co/storage/v1/object/public/old_media/f08bd2ce.Path.110146.jpg</t>
  </si>
  <si>
    <t>chambre sapotille et sa mezzanine</t>
  </si>
  <si>
    <t>2d237767</t>
  </si>
  <si>
    <t>https://ryycrdhlkmzpxwwwwupy.supabase.co/storage/v1/object/public/old_media/2d237767.Path.110208.jpg</t>
  </si>
  <si>
    <t>chambre litchi</t>
  </si>
  <si>
    <t>2006a0f0</t>
  </si>
  <si>
    <t>https://ryycrdhlkmzpxwwwwupy.supabase.co/storage/v1/object/public/old_media/2006a0f0.Path.110232.jpg</t>
  </si>
  <si>
    <t>chambre zévi</t>
  </si>
  <si>
    <t>c2e42200</t>
  </si>
  <si>
    <t>https://ryycrdhlkmzpxwwwwupy.supabase.co/storage/v1/object/public/old_media/c2e42200.Path.110319.jpg</t>
  </si>
  <si>
    <t>la grande terrasse devant les chambres avec vue piscine</t>
  </si>
  <si>
    <t>a6fcd751</t>
  </si>
  <si>
    <t>https://ryycrdhlkmzpxwwwwupy.supabase.co/storage/v1/object/public/old_media/a6fcd751.Path.110344.jpg</t>
  </si>
  <si>
    <t>chambre papaye</t>
  </si>
  <si>
    <t>0b477b1c</t>
  </si>
  <si>
    <t>https://ryycrdhlkmzpxwwwwupy.supabase.co/storage/v1/object/public/old_media/0b477b1c.Path.110458.jpg</t>
  </si>
  <si>
    <t>la pièce commune (espace cuisine, repas, douche TV)</t>
  </si>
  <si>
    <t>ee74142d</t>
  </si>
  <si>
    <t>https://ryycrdhlkmzpxwwwwupy.supabase.co/storage/v1/object/public/old_media/ee74142d.Path.110522.jpg</t>
  </si>
  <si>
    <t>pièce commune</t>
  </si>
  <si>
    <t>ef8ee5b4</t>
  </si>
  <si>
    <t>https://ryycrdhlkmzpxwwwwupy.supabase.co/storage/v1/object/public/old_media/ef8ee5b4.Path.110547.jpg</t>
  </si>
  <si>
    <t>e043a261</t>
  </si>
  <si>
    <t>https://ryycrdhlkmzpxwwwwupy.supabase.co/storage/v1/object/public/old_media/e043a261.Path.110612.jpg</t>
  </si>
  <si>
    <t>5d8bbcb5</t>
  </si>
  <si>
    <t>https://ryycrdhlkmzpxwwwwupy.supabase.co/storage/v1/object/public/old_media/5d8bbcb5.Path.110639.jpg</t>
  </si>
  <si>
    <t>la piscine (vue de la terrasse de la pièce commune)</t>
  </si>
  <si>
    <t>3c2aebec</t>
  </si>
  <si>
    <t>https://ryycrdhlkmzpxwwwwupy.supabase.co/storage/v1/object/public/old_media/3c2aebec.Path.110716.jpg</t>
  </si>
  <si>
    <t>jardin arrière</t>
  </si>
  <si>
    <t>259fe2df</t>
  </si>
  <si>
    <t>https://ryycrdhlkmzpxwwwwupy.supabase.co/storage/v1/object/public/old_media/259fe2df.Path.110751.jpg</t>
  </si>
  <si>
    <t>jardin arrière avec terrasse du jacuzzi</t>
  </si>
  <si>
    <t>b4d2763e</t>
  </si>
  <si>
    <t>https://ryycrdhlkmzpxwwwwupy.supabase.co/storage/v1/object/public/old_media/b4d2763e.Path.110825.jpg</t>
  </si>
  <si>
    <t>jacuzzi 6 places</t>
  </si>
  <si>
    <t>f725414d</t>
  </si>
  <si>
    <t>https://ryycrdhlkmzpxwwwwupy.supabase.co/storage/v1/object/public/old_media/f725414d.Path.110851.jpg</t>
  </si>
  <si>
    <t>jacuzzi et sa vue sur le bras de Cilaos</t>
  </si>
  <si>
    <t>23e2eead</t>
  </si>
  <si>
    <t>https://ryycrdhlkmzpxwwwwupy.supabase.co/storage/v1/object/public/old_media/23e2eead.Path.110917.jpg</t>
  </si>
  <si>
    <t>242cbef2</t>
  </si>
  <si>
    <t>https://ryycrdhlkmzpxwwwwupy.supabase.co/storage/v1/object/public/old_media/242cbef2.Path.110940.jpg</t>
  </si>
  <si>
    <t>c9275c1e</t>
  </si>
  <si>
    <t>https://ryycrdhlkmzpxwwwwupy.supabase.co/storage/v1/object/public/old_media/c9275c1e.Path.111005.jpg</t>
  </si>
  <si>
    <t>8d050f8b</t>
  </si>
  <si>
    <t>https://ryycrdhlkmzpxwwwwupy.supabase.co/storage/v1/object/public/old_media/8d050f8b.Path.111054.jpg</t>
  </si>
  <si>
    <t>photo panoramique chambre</t>
  </si>
  <si>
    <t>daa59eaa</t>
  </si>
  <si>
    <t>https://ryycrdhlkmzpxwwwwupy.supabase.co/storage/v1/object/public/old_media/daa59eaa.Path.111137.jpg</t>
  </si>
  <si>
    <t>jardin avant</t>
  </si>
  <si>
    <t>b5f85f2f</t>
  </si>
  <si>
    <t>https://ryycrdhlkmzpxwwwwupy.supabase.co/storage/v1/object/public/old_media/b5f85f2f.Path.111215.jpg</t>
  </si>
  <si>
    <t>0d749cfc</t>
  </si>
  <si>
    <t>https://ryycrdhlkmzpxwwwwupy.supabase.co/storage/v1/object/public/old_media/0d749cfc.Path.111249.jpg</t>
  </si>
  <si>
    <t>c258f293</t>
  </si>
  <si>
    <t>https://ryycrdhlkmzpxwwwwupy.supabase.co/storage/v1/object/public/old_media/c258f293.Path.111317.jpg</t>
  </si>
  <si>
    <t>jacuzzi vue bras de cilaos</t>
  </si>
  <si>
    <t>0540556f</t>
  </si>
  <si>
    <t>https://ryycrdhlkmzpxwwwwupy.supabase.co/storage/v1/object/public/old_media/0540556f.Path.111343.jpg</t>
  </si>
  <si>
    <t>88e95f9f</t>
  </si>
  <si>
    <t>https://ryycrdhlkmzpxwwwwupy.supabase.co/storage/v1/object/public/old_media/88e95f9f.Path.111408.jpg</t>
  </si>
  <si>
    <t>96bc5506</t>
  </si>
  <si>
    <t>https://ryycrdhlkmzpxwwwwupy.supabase.co/storage/v1/object/public/old_media/96bc5506.Path.111458.jpg</t>
  </si>
  <si>
    <t>cb4f724c</t>
  </si>
  <si>
    <t>https://ryycrdhlkmzpxwwwwupy.supabase.co/storage/v1/object/public/old_media/cb4f724c.Path.111519.jpg</t>
  </si>
  <si>
    <t>8170391f</t>
  </si>
  <si>
    <t>https://ryycrdhlkmzpxwwwwupy.supabase.co/storage/v1/object/public/old_media/8170391f.Path.111543.jpg</t>
  </si>
  <si>
    <t>e41f07f8</t>
  </si>
  <si>
    <t>https://ryycrdhlkmzpxwwwwupy.supabase.co/storage/v1/object/public/old_media/e41f07f8.Path.111608.jpg</t>
  </si>
  <si>
    <t>sdb nouvelle déco</t>
  </si>
  <si>
    <t>efe2eac4</t>
  </si>
  <si>
    <t>https://ryycrdhlkmzpxwwwwupy.supabase.co/storage/v1/object/public/old_media/efe2eac4.Path.111712.jpg</t>
  </si>
  <si>
    <t>jardin à côté de l'appartement</t>
  </si>
  <si>
    <t>31fbfebd</t>
  </si>
  <si>
    <t>https://ryycrdhlkmzpxwwwwupy.supabase.co/storage/v1/object/public/old_media/31fbfebd.Path.111800.jpg</t>
  </si>
  <si>
    <t>bf2d5085</t>
  </si>
  <si>
    <t>https://ryycrdhlkmzpxwwwwupy.supabase.co/storage/v1/object/public/old_media/bf2d5085.Path.111857.jpg</t>
  </si>
  <si>
    <t>ee43e698</t>
  </si>
  <si>
    <t>https://ryycrdhlkmzpxwwwwupy.supabase.co/storage/v1/object/public/old_media/ee43e698.Path.111931.jpg</t>
  </si>
  <si>
    <t>b0557b46</t>
  </si>
  <si>
    <t>https://ryycrdhlkmzpxwwwwupy.supabase.co/storage/v1/object/public/old_media/b0557b46.Path.112000.jpg</t>
  </si>
  <si>
    <t>f7455732</t>
  </si>
  <si>
    <t>https://ryycrdhlkmzpxwwwwupy.supabase.co/storage/v1/object/public/old_media/f7455732.Path.062913.jpg</t>
  </si>
  <si>
    <t>f40b1ec4</t>
  </si>
  <si>
    <t>https://ryycrdhlkmzpxwwwwupy.supabase.co/storage/v1/object/public/old_media/f40b1ec4.Path.062921.jpg</t>
  </si>
  <si>
    <t>42ed4672</t>
  </si>
  <si>
    <t>https://ryycrdhlkmzpxwwwwupy.supabase.co/storage/v1/object/public/old_media/42ed4672.Path.062929.jpg</t>
  </si>
  <si>
    <t>d71a95ef</t>
  </si>
  <si>
    <t>https://ryycrdhlkmzpxwwwwupy.supabase.co/storage/v1/object/public/old_media/d71a95ef.Path.062935.jpg</t>
  </si>
  <si>
    <t>2bedcca1</t>
  </si>
  <si>
    <t>https://ryycrdhlkmzpxwwwwupy.supabase.co/storage/v1/object/public/old_media/2bedcca1.Path.062943.jpg</t>
  </si>
  <si>
    <t>15f76633</t>
  </si>
  <si>
    <t>https://ryycrdhlkmzpxwwwwupy.supabase.co/storage/v1/object/public/old_media/15f76633.Path.062952.jpg</t>
  </si>
  <si>
    <t>429da9d7</t>
  </si>
  <si>
    <t>https://ryycrdhlkmzpxwwwwupy.supabase.co/storage/v1/object/public/old_media/429da9d7.Path.063011.jpg</t>
  </si>
  <si>
    <t>e24c5fea</t>
  </si>
  <si>
    <t>https://ryycrdhlkmzpxwwwwupy.supabase.co/storage/v1/object/public/old_media/e24c5fea.Path.063021.jpg</t>
  </si>
  <si>
    <t>38858823</t>
  </si>
  <si>
    <t>https://ryycrdhlkmzpxwwwwupy.supabase.co/storage/v1/object/public/old_media/38858823.Path.063029.jpg</t>
  </si>
  <si>
    <t>7d25a2b5</t>
  </si>
  <si>
    <t>https://ryycrdhlkmzpxwwwwupy.supabase.co/storage/v1/object/public/old_media/7d25a2b5.Path.063037.jpg</t>
  </si>
  <si>
    <t>7e6ef1e6</t>
  </si>
  <si>
    <t>https://ryycrdhlkmzpxwwwwupy.supabase.co/storage/v1/object/public/old_media/7e6ef1e6.Path.063044.jpg</t>
  </si>
  <si>
    <t>0d611cd1</t>
  </si>
  <si>
    <t>https://ryycrdhlkmzpxwwwwupy.supabase.co/storage/v1/object/public/old_media/0d611cd1.Path.063054.jpg</t>
  </si>
  <si>
    <t>e2bb4d67</t>
  </si>
  <si>
    <t>https://ryycrdhlkmzpxwwwwupy.supabase.co/storage/v1/object/public/old_media/e2bb4d67.Path.063107.jpg</t>
  </si>
  <si>
    <t>a68a15be</t>
  </si>
  <si>
    <t>https://ryycrdhlkmzpxwwwwupy.supabase.co/storage/v1/object/public/old_media/a68a15be.Path.063116.jpg</t>
  </si>
  <si>
    <t>850e0a3e</t>
  </si>
  <si>
    <t>https://ryycrdhlkmzpxwwwwupy.supabase.co/storage/v1/object/public/old_media/850e0a3e.Path.063131.jpg</t>
  </si>
  <si>
    <t>7fb5adf3</t>
  </si>
  <si>
    <t>https://ryycrdhlkmzpxwwwwupy.supabase.co/storage/v1/object/public/old_media/7fb5adf3.Path.063146.jpg</t>
  </si>
  <si>
    <t>de84045d</t>
  </si>
  <si>
    <t>https://ryycrdhlkmzpxwwwwupy.supabase.co/storage/v1/object/public/old_media/de84045d.Path.112346.jpg</t>
  </si>
  <si>
    <t>d36e3f4b</t>
  </si>
  <si>
    <t>https://ryycrdhlkmzpxwwwwupy.supabase.co/storage/v1/object/public/old_media/d36e3f4b.Path.112403.jpg</t>
  </si>
  <si>
    <t>3abacdce</t>
  </si>
  <si>
    <t>https://ryycrdhlkmzpxwwwwupy.supabase.co/storage/v1/object/public/old_media/3abacdce.Path.112417.jpg</t>
  </si>
  <si>
    <t>9be6e111</t>
  </si>
  <si>
    <t>https://ryycrdhlkmzpxwwwwupy.supabase.co/storage/v1/object/public/old_media/9be6e111.Path.112438.jpg</t>
  </si>
  <si>
    <t>9528abf0</t>
  </si>
  <si>
    <t>https://ryycrdhlkmzpxwwwwupy.supabase.co/storage/v1/object/public/old_media/9528abf0.Path.071336.jpg</t>
  </si>
  <si>
    <t>8b0c5078</t>
  </si>
  <si>
    <t>https://ryycrdhlkmzpxwwwwupy.supabase.co/storage/v1/object/public/old_media/8b0c5078.Path.071405.jpg</t>
  </si>
  <si>
    <t>96befe06</t>
  </si>
  <si>
    <t>https://ryycrdhlkmzpxwwwwupy.supabase.co/storage/v1/object/public/old_media/96befe06.Path.071436.jpg</t>
  </si>
  <si>
    <t>petit espace de restauration</t>
  </si>
  <si>
    <t>dfa55be3</t>
  </si>
  <si>
    <t>https://ryycrdhlkmzpxwwwwupy.supabase.co/storage/v1/object/public/old_media/dfa55be3.Path.071516.jpg</t>
  </si>
  <si>
    <t>extérieur</t>
  </si>
  <si>
    <t>045a6624</t>
  </si>
  <si>
    <t>https://ryycrdhlkmzpxwwwwupy.supabase.co/storage/v1/object/public/old_media/045a6624.Path.071552.jpg</t>
  </si>
  <si>
    <t>db29af97</t>
  </si>
  <si>
    <t>https://ryycrdhlkmzpxwwwwupy.supabase.co/storage/v1/object/public/old_media/db29af97.Path.071623.jpg</t>
  </si>
  <si>
    <t>chambre triple</t>
  </si>
  <si>
    <t>2b13695c</t>
  </si>
  <si>
    <t>https://ryycrdhlkmzpxwwwwupy.supabase.co/storage/v1/object/public/old_media/2b13695c.Path.071652.jpg</t>
  </si>
  <si>
    <t>a54d928f</t>
  </si>
  <si>
    <t>https://ryycrdhlkmzpxwwwwupy.supabase.co/storage/v1/object/public/old_media/a54d928f.Path.071724.jpg</t>
  </si>
  <si>
    <t>chambre triple 2</t>
  </si>
  <si>
    <t>1c3e94f0</t>
  </si>
  <si>
    <t>https://ryycrdhlkmzpxwwwwupy.supabase.co/storage/v1/object/public/old_media/1c3e94f0.Path.071754.jpg</t>
  </si>
  <si>
    <t>59d5efc2</t>
  </si>
  <si>
    <t>https://ryycrdhlkmzpxwwwwupy.supabase.co/storage/v1/object/public/old_media/59d5efc2.Path.071824.jpg</t>
  </si>
  <si>
    <t>9ab863e7</t>
  </si>
  <si>
    <t>https://ryycrdhlkmzpxwwwwupy.supabase.co/storage/v1/object/public/old_media/9ab863e7.Path.071851.jpg</t>
  </si>
  <si>
    <t>3e3e3c1f</t>
  </si>
  <si>
    <t>https://ryycrdhlkmzpxwwwwupy.supabase.co/storage/v1/object/public/old_media/3e3e3c1f.Path.044512.jpg</t>
  </si>
  <si>
    <t>b498d095</t>
  </si>
  <si>
    <t>https://ryycrdhlkmzpxwwwwupy.supabase.co/storage/v1/object/public/old_media/b498d095.Path.044524.jpg</t>
  </si>
  <si>
    <t>6040d272</t>
  </si>
  <si>
    <t>https://ryycrdhlkmzpxwwwwupy.supabase.co/storage/v1/object/public/old_media/6040d272.Path.044549.jpg</t>
  </si>
  <si>
    <t>290c0bf6</t>
  </si>
  <si>
    <t>https://ryycrdhlkmzpxwwwwupy.supabase.co/storage/v1/object/public/old_media/290c0bf6.Path.062648.png</t>
  </si>
  <si>
    <t>4d16f41b</t>
  </si>
  <si>
    <t>https://ryycrdhlkmzpxwwwwupy.supabase.co/storage/v1/object/public/old_media/4d16f41b.Path.070559.jpg</t>
  </si>
  <si>
    <t>0542e3d0</t>
  </si>
  <si>
    <t>https://ryycrdhlkmzpxwwwwupy.supabase.co/storage/v1/object/public/old_media/0542e3d0.Path.070608.jpg</t>
  </si>
  <si>
    <t>e6e2850f</t>
  </si>
  <si>
    <t>https://ryycrdhlkmzpxwwwwupy.supabase.co/storage/v1/object/public/old_media/e6e2850f.Path.072759.jpg</t>
  </si>
  <si>
    <t>538d1e86</t>
  </si>
  <si>
    <t>https://ryycrdhlkmzpxwwwwupy.supabase.co/storage/v1/object/public/old_media/538d1e86.Path.073115.jpg</t>
  </si>
  <si>
    <t>Studio RDC</t>
  </si>
  <si>
    <t>bb736057</t>
  </si>
  <si>
    <t>https://ryycrdhlkmzpxwwwwupy.supabase.co/storage/v1/object/public/old_media/bb736057.Path.073124.jpg</t>
  </si>
  <si>
    <t>ec236773</t>
  </si>
  <si>
    <t>https://ryycrdhlkmzpxwwwwupy.supabase.co/storage/v1/object/public/old_media/ec236773.Path.073135.jpg</t>
  </si>
  <si>
    <t>171d484b</t>
  </si>
  <si>
    <t>https://ryycrdhlkmzpxwwwwupy.supabase.co/storage/v1/object/public/old_media/171d484b.Path.073147.jpg</t>
  </si>
  <si>
    <t>46b2fe8d</t>
  </si>
  <si>
    <t>https://ryycrdhlkmzpxwwwwupy.supabase.co/storage/v1/object/public/old_media/46b2fe8d.Path.064920.jpg</t>
  </si>
  <si>
    <t>919fe07b</t>
  </si>
  <si>
    <t>https://ryycrdhlkmzpxwwwwupy.supabase.co/storage/v1/object/public/old_media/919fe07b.Path.064936.jpg</t>
  </si>
  <si>
    <t>8c80734c</t>
  </si>
  <si>
    <t>https://ryycrdhlkmzpxwwwwupy.supabase.co/storage/v1/object/public/old_media/8c80734c.Path.065003.jpg</t>
  </si>
  <si>
    <t>76bf3ac7</t>
  </si>
  <si>
    <t>https://ryycrdhlkmzpxwwwwupy.supabase.co/storage/v1/object/public/old_media/76bf3ac7.Path.065019.jpg</t>
  </si>
  <si>
    <t>a5ce4e2c</t>
  </si>
  <si>
    <t>https://ryycrdhlkmzpxwwwwupy.supabase.co/storage/v1/object/public/old_media/a5ce4e2c.Path.072847.jpg</t>
  </si>
  <si>
    <t>b6a8e280</t>
  </si>
  <si>
    <t>https://ryycrdhlkmzpxwwwwupy.supabase.co/storage/v1/object/public/old_media/b6a8e280.Path.072857.jpg</t>
  </si>
  <si>
    <t>17098fd3</t>
  </si>
  <si>
    <t>https://ryycrdhlkmzpxwwwwupy.supabase.co/storage/v1/object/public/old_media/17098fd3.Path.072905.jpg</t>
  </si>
  <si>
    <t>93cca66d</t>
  </si>
  <si>
    <t>https://ryycrdhlkmzpxwwwwupy.supabase.co/storage/v1/object/public/old_media/93cca66d.Path.072916.jpg</t>
  </si>
  <si>
    <t>890851c3</t>
  </si>
  <si>
    <t>https://ryycrdhlkmzpxwwwwupy.supabase.co/storage/v1/object/public/old_media/890851c3.Path.043734.webp</t>
  </si>
  <si>
    <t>44c88a15</t>
  </si>
  <si>
    <t>https://ryycrdhlkmzpxwwwwupy.supabase.co/storage/v1/object/public/old_media/44c88a15.Path.043747.webp</t>
  </si>
  <si>
    <t>32144b8f</t>
  </si>
  <si>
    <t>https://ryycrdhlkmzpxwwwwupy.supabase.co/storage/v1/object/public/old_media/32144b8f.Path.043801.webp</t>
  </si>
  <si>
    <t>b8fb0923</t>
  </si>
  <si>
    <t>https://ryycrdhlkmzpxwwwwupy.supabase.co/storage/v1/object/public/old_media/b8fb0923.Path.043812.webp</t>
  </si>
  <si>
    <t>ce46dede</t>
  </si>
  <si>
    <t>https://ryycrdhlkmzpxwwwwupy.supabase.co/storage/v1/object/public/old_media/ce46dede.Path.043845.webp</t>
  </si>
  <si>
    <t>3fc2aea2</t>
  </si>
  <si>
    <t>https://ryycrdhlkmzpxwwwwupy.supabase.co/storage/v1/object/public/old_media/3fc2aea2.Path.043858.webp</t>
  </si>
  <si>
    <t>2ca27319</t>
  </si>
  <si>
    <t>https://ryycrdhlkmzpxwwwwupy.supabase.co/storage/v1/object/public/old_media/2ca27319.Path.074146.jpg</t>
  </si>
  <si>
    <t>22e3d20b</t>
  </si>
  <si>
    <t>https://ryycrdhlkmzpxwwwwupy.supabase.co/storage/v1/object/public/old_media/22e3d20b.Path.074229.jpg</t>
  </si>
  <si>
    <t>72f692a6</t>
  </si>
  <si>
    <t>https://ryycrdhlkmzpxwwwwupy.supabase.co/storage/v1/object/public/old_media/72f692a6.Path.075609.jpg</t>
  </si>
  <si>
    <t>cee42f20</t>
  </si>
  <si>
    <t>https://ryycrdhlkmzpxwwwwupy.supabase.co/storage/v1/object/public/old_media/cee42f20.Path.075626.jpg</t>
  </si>
  <si>
    <t>cuisine au feu de bois</t>
  </si>
  <si>
    <t>c3a7d94f</t>
  </si>
  <si>
    <t>https://ryycrdhlkmzpxwwwwupy.supabase.co/storage/v1/object/public/old_media/c3a7d94f.Path.075639.jpg</t>
  </si>
  <si>
    <t>c087adac</t>
  </si>
  <si>
    <t>https://ryycrdhlkmzpxwwwwupy.supabase.co/storage/v1/object/public/old_media/c087adac.Path.075720.jpg</t>
  </si>
  <si>
    <t>ba5950f4</t>
  </si>
  <si>
    <t>https://ryycrdhlkmzpxwwwwupy.supabase.co/storage/v1/object/public/old_media/ba5950f4.Path.075738.jpg</t>
  </si>
  <si>
    <t>18eb522e</t>
  </si>
  <si>
    <t>https://ryycrdhlkmzpxwwwwupy.supabase.co/storage/v1/object/public/old_media/18eb522e.Path.050612.jpg</t>
  </si>
  <si>
    <t>3ec9164f</t>
  </si>
  <si>
    <t>https://ryycrdhlkmzpxwwwwupy.supabase.co/storage/v1/object/public/old_media/3ec9164f.Path.101720.png</t>
  </si>
  <si>
    <t>Flyer page 2/2</t>
  </si>
  <si>
    <t>dd6bc879</t>
  </si>
  <si>
    <t>https://ryycrdhlkmzpxwwwwupy.supabase.co/storage/v1/object/public/old_media/dd6bc879.Path.101753.png</t>
  </si>
  <si>
    <t>Flyer page 1/2</t>
  </si>
  <si>
    <t>b2ae8aae</t>
  </si>
  <si>
    <t>https://ryycrdhlkmzpxwwwwupy.supabase.co/storage/v1/object/public/old_media/b2ae8aae.Path.070552.jpg</t>
  </si>
  <si>
    <t>77dd2503</t>
  </si>
  <si>
    <t>https://ryycrdhlkmzpxwwwwupy.supabase.co/storage/v1/object/public/old_media/77dd2503.Path.070605.jpg</t>
  </si>
  <si>
    <t>ad65a070</t>
  </si>
  <si>
    <t>https://ryycrdhlkmzpxwwwwupy.supabase.co/storage/v1/object/public/old_media/ad65a070.Path.070619.jpg</t>
  </si>
  <si>
    <t>31e96c94</t>
  </si>
  <si>
    <t>https://ryycrdhlkmzpxwwwwupy.supabase.co/storage/v1/object/public/old_media/31e96c94.Path.070631.jpg</t>
  </si>
  <si>
    <t>d2fbb1e4</t>
  </si>
  <si>
    <t>https://ryycrdhlkmzpxwwwwupy.supabase.co/storage/v1/object/public/old_media/d2fbb1e4.Path.070743.jpg</t>
  </si>
  <si>
    <t>1bf107fc</t>
  </si>
  <si>
    <t>https://ryycrdhlkmzpxwwwwupy.supabase.co/storage/v1/object/public/old_media/1bf107fc.Path.064802.jpg</t>
  </si>
  <si>
    <t>13c7c6c0</t>
  </si>
  <si>
    <t>https://ryycrdhlkmzpxwwwwupy.supabase.co/storage/v1/object/public/old_media/13c7c6c0.Path.064829.jpg</t>
  </si>
  <si>
    <t>dc5015ed</t>
  </si>
  <si>
    <t>https://ryycrdhlkmzpxwwwwupy.supabase.co/storage/v1/object/public/old_media/dc5015ed.Path.064900.jpg</t>
  </si>
  <si>
    <t>f9426963</t>
  </si>
  <si>
    <t>https://ryycrdhlkmzpxwwwwupy.supabase.co/storage/v1/object/public/old_media/f9426963.Path.064929.jpg</t>
  </si>
  <si>
    <t>b0611d9c</t>
  </si>
  <si>
    <t>https://ryycrdhlkmzpxwwwwupy.supabase.co/storage/v1/object/public/old_media/b0611d9c.Path.065016.jpg</t>
  </si>
  <si>
    <t>6b96ab51</t>
  </si>
  <si>
    <t>https://ryycrdhlkmzpxwwwwupy.supabase.co/storage/v1/object/public/old_media/6b96ab51.Path.065056.jpg</t>
  </si>
  <si>
    <t>dff9859c</t>
  </si>
  <si>
    <t>https://ryycrdhlkmzpxwwwwupy.supabase.co/storage/v1/object/public/old_media/dff9859c.Path.065115.jpg</t>
  </si>
  <si>
    <t>42fe242c</t>
  </si>
  <si>
    <t>https://ryycrdhlkmzpxwwwwupy.supabase.co/storage/v1/object/public/old_media/42fe242c.Path.065140.jpg</t>
  </si>
  <si>
    <t>7d4537da</t>
  </si>
  <si>
    <t>https://ryycrdhlkmzpxwwwwupy.supabase.co/storage/v1/object/public/old_media/7d4537da.Path.065810.jpg</t>
  </si>
  <si>
    <t>9025d474</t>
  </si>
  <si>
    <t>https://ryycrdhlkmzpxwwwwupy.supabase.co/storage/v1/object/public/old_media/9025d474.Path.075239.jpg</t>
  </si>
  <si>
    <t>e1bb216f</t>
  </si>
  <si>
    <t>https://ryycrdhlkmzpxwwwwupy.supabase.co/storage/v1/object/public/old_media/e1bb216f.Path.075256.jpg</t>
  </si>
  <si>
    <t>6eb7d51c</t>
  </si>
  <si>
    <t>https://ryycrdhlkmzpxwwwwupy.supabase.co/storage/v1/object/public/old_media/6eb7d51c.Path.075313.jpg</t>
  </si>
  <si>
    <t>6f553d0d</t>
  </si>
  <si>
    <t>https://ryycrdhlkmzpxwwwwupy.supabase.co/storage/v1/object/public/old_media/6f553d0d.Path.075331.jpg</t>
  </si>
  <si>
    <t>c79addf6</t>
  </si>
  <si>
    <t>https://ryycrdhlkmzpxwwwwupy.supabase.co/storage/v1/object/public/old_media/c79addf6.Path.075402.jpg</t>
  </si>
  <si>
    <t>196a8b05</t>
  </si>
  <si>
    <t>https://ryycrdhlkmzpxwwwwupy.supabase.co/storage/v1/object/public/old_media/196a8b05.Path.075427.jpg</t>
  </si>
  <si>
    <t>f1e82666</t>
  </si>
  <si>
    <t>https://ryycrdhlkmzpxwwwwupy.supabase.co/storage/v1/object/public/old_media/f1e82666.Path.075446.jpg</t>
  </si>
  <si>
    <t>3b17393e</t>
  </si>
  <si>
    <t>https://ryycrdhlkmzpxwwwwupy.supabase.co/storage/v1/object/public/old_media/3b17393e.Path.052042.jpg</t>
  </si>
  <si>
    <t>eee507d9</t>
  </si>
  <si>
    <t>https://ryycrdhlkmzpxwwwwupy.supabase.co/storage/v1/object/public/old_media/eee507d9.Path.052226.jpg</t>
  </si>
  <si>
    <t>91bee5c6</t>
  </si>
  <si>
    <t>https://ryycrdhlkmzpxwwwwupy.supabase.co/storage/v1/object/public/old_media/91bee5c6.Path.062033.jpg</t>
  </si>
  <si>
    <t>3b806a91</t>
  </si>
  <si>
    <t>https://ryycrdhlkmzpxwwwwupy.supabase.co/storage/v1/object/public/old_media/3b806a91.Path.062103.jpg</t>
  </si>
  <si>
    <t>21be0be3</t>
  </si>
  <si>
    <t>https://ryycrdhlkmzpxwwwwupy.supabase.co/storage/v1/object/public/old_media/21be0be3.Path.103235.png</t>
  </si>
  <si>
    <t>3c36c28e</t>
  </si>
  <si>
    <t>https://ryycrdhlkmzpxwwwwupy.supabase.co/storage/v1/object/public/old_media/3c36c28e.Path.103405.png</t>
  </si>
  <si>
    <t>dfbe787b</t>
  </si>
  <si>
    <t>https://ryycrdhlkmzpxwwwwupy.supabase.co/storage/v1/object/public/old_media/dfbe787b.Path.103430.png</t>
  </si>
  <si>
    <t>ece6e308</t>
  </si>
  <si>
    <t>https://ryycrdhlkmzpxwwwwupy.supabase.co/storage/v1/object/public/old_media/ece6e308.Path.103510.png</t>
  </si>
  <si>
    <t>04beb23e</t>
  </si>
  <si>
    <t>https://ryycrdhlkmzpxwwwwupy.supabase.co/storage/v1/object/public/old_media/04beb23e.Path.103632.png</t>
  </si>
  <si>
    <t>a8d4db17</t>
  </si>
  <si>
    <t>https://ryycrdhlkmzpxwwwwupy.supabase.co/storage/v1/object/public/old_media/a8d4db17.Path.103644.jpg</t>
  </si>
  <si>
    <t>c5cdef42</t>
  </si>
  <si>
    <t>https://ryycrdhlkmzpxwwwwupy.supabase.co/storage/v1/object/public/old_media/c5cdef42.Path.052520.jpg</t>
  </si>
  <si>
    <t>8e6c73b0</t>
  </si>
  <si>
    <t>https://ryycrdhlkmzpxwwwwupy.supabase.co/storage/v1/object/public/old_media/8e6c73b0.Path.052531.jpg</t>
  </si>
  <si>
    <t>93ea3310</t>
  </si>
  <si>
    <t>https://ryycrdhlkmzpxwwwwupy.supabase.co/storage/v1/object/public/old_media/93ea3310.Path.052639.jpg</t>
  </si>
  <si>
    <t>889b532c</t>
  </si>
  <si>
    <t>https://ryycrdhlkmzpxwwwwupy.supabase.co/storage/v1/object/public/old_media/889b532c.Path.052648.jpg</t>
  </si>
  <si>
    <t>aa0320ad</t>
  </si>
  <si>
    <t>https://ryycrdhlkmzpxwwwwupy.supabase.co/storage/v1/object/public/old_media/aa0320ad.Path.052656.jpg</t>
  </si>
  <si>
    <t>3c4851a2</t>
  </si>
  <si>
    <t>https://ryycrdhlkmzpxwwwwupy.supabase.co/storage/v1/object/public/old_media/3c4851a2.Path.052706.jpg</t>
  </si>
  <si>
    <t>1d58d312</t>
  </si>
  <si>
    <t>https://ryycrdhlkmzpxwwwwupy.supabase.co/storage/v1/object/public/old_media/1d58d312.Path.052718.jpg</t>
  </si>
  <si>
    <t>37de1cad</t>
  </si>
  <si>
    <t>https://ryycrdhlkmzpxwwwwupy.supabase.co/storage/v1/object/public/old_media/37de1cad.Path.052728.jpg</t>
  </si>
  <si>
    <t>ddb8dc91</t>
  </si>
  <si>
    <t>https://ryycrdhlkmzpxwwwwupy.supabase.co/storage/v1/object/public/old_media/ddb8dc91.Path.052738.jpg</t>
  </si>
  <si>
    <t>b6acce51</t>
  </si>
  <si>
    <t>https://ryycrdhlkmzpxwwwwupy.supabase.co/storage/v1/object/public/old_media/b6acce51.Path.061944.jpg</t>
  </si>
  <si>
    <t>e6ae25a3</t>
  </si>
  <si>
    <t>https://ryycrdhlkmzpxwwwwupy.supabase.co/storage/v1/object/public/old_media/e6ae25a3.Path.071414.jpg</t>
  </si>
  <si>
    <t>bbc3694e</t>
  </si>
  <si>
    <t>https://ryycrdhlkmzpxwwwwupy.supabase.co/storage/v1/object/public/old_media/bbc3694e.Path.071443.jpg</t>
  </si>
  <si>
    <t>fc958c99</t>
  </si>
  <si>
    <t>https://ryycrdhlkmzpxwwwwupy.supabase.co/storage/v1/object/public/old_media/fc958c99.Path.053702.jpg</t>
  </si>
  <si>
    <t>6a5c831f</t>
  </si>
  <si>
    <t>https://ryycrdhlkmzpxwwwwupy.supabase.co/storage/v1/object/public/old_media/6a5c831f.Path.053714.jpg</t>
  </si>
  <si>
    <t>c5f52cb7</t>
  </si>
  <si>
    <t>https://ryycrdhlkmzpxwwwwupy.supabase.co/storage/v1/object/public/old_media/c5f52cb7.Path.053724.jpg</t>
  </si>
  <si>
    <t>8d007aa1</t>
  </si>
  <si>
    <t>https://ryycrdhlkmzpxwwwwupy.supabase.co/storage/v1/object/public/old_media/8d007aa1.Path.053751.jpg</t>
  </si>
  <si>
    <t>c792f15c</t>
  </si>
  <si>
    <t>https://ryycrdhlkmzpxwwwwupy.supabase.co/storage/v1/object/public/old_media/c792f15c.Path.053759.jpg</t>
  </si>
  <si>
    <t>28ab5a9d</t>
  </si>
  <si>
    <t>https://ryycrdhlkmzpxwwwwupy.supabase.co/storage/v1/object/public/old_media/28ab5a9d.Path.053918.jpg</t>
  </si>
  <si>
    <t>93def9d8</t>
  </si>
  <si>
    <t>https://ryycrdhlkmzpxwwwwupy.supabase.co/storage/v1/object/public/old_media/93def9d8.Path.054017.jpg</t>
  </si>
  <si>
    <t>f300bcbf</t>
  </si>
  <si>
    <t>https://ryycrdhlkmzpxwwwwupy.supabase.co/storage/v1/object/public/old_media/f300bcbf.Path.054046.jpg</t>
  </si>
  <si>
    <t>a87dde36</t>
  </si>
  <si>
    <t>https://ryycrdhlkmzpxwwwwupy.supabase.co/storage/v1/object/public/old_media/a87dde36.Path.054142.jpg</t>
  </si>
  <si>
    <t>a5f30b85</t>
  </si>
  <si>
    <t>https://ryycrdhlkmzpxwwwwupy.supabase.co/storage/v1/object/public/old_media/a5f30b85.Path.054236.jpg</t>
  </si>
  <si>
    <t>46be2aa3</t>
  </si>
  <si>
    <t>https://ryycrdhlkmzpxwwwwupy.supabase.co/storage/v1/object/public/old_media/46be2aa3.Path.104333.jpg</t>
  </si>
  <si>
    <t>182c2501</t>
  </si>
  <si>
    <t>https://ryycrdhlkmzpxwwwwupy.supabase.co/storage/v1/object/public/old_media/182c2501.Path.111212.jpg</t>
  </si>
  <si>
    <t>f78deb6a</t>
  </si>
  <si>
    <t>https://ryycrdhlkmzpxwwwwupy.supabase.co/storage/v1/object/public/old_media/f78deb6a.Path.111649.jpg</t>
  </si>
  <si>
    <t>b5ff4344</t>
  </si>
  <si>
    <t>https://ryycrdhlkmzpxwwwwupy.supabase.co/storage/v1/object/public/old_media/b5ff4344.Path.111811.jpg</t>
  </si>
  <si>
    <t>8202b1fb</t>
  </si>
  <si>
    <t>https://ryycrdhlkmzpxwwwwupy.supabase.co/storage/v1/object/public/old_media/8202b1fb.Path.072504.jpg</t>
  </si>
  <si>
    <t>fe6138a2</t>
  </si>
  <si>
    <t>https://ryycrdhlkmzpxwwwwupy.supabase.co/storage/v1/object/public/old_media/fe6138a2.Path.072511.jpg</t>
  </si>
  <si>
    <t>6f5f8178</t>
  </si>
  <si>
    <t>https://ryycrdhlkmzpxwwwwupy.supabase.co/storage/v1/object/public/old_media/6f5f8178.Path.072859.jpg</t>
  </si>
  <si>
    <t>3ba6def3</t>
  </si>
  <si>
    <t>https://ryycrdhlkmzpxwwwwupy.supabase.co/storage/v1/object/public/old_media/3ba6def3.Path.073913.jpg</t>
  </si>
  <si>
    <t>03acd2f3</t>
  </si>
  <si>
    <t>https://ryycrdhlkmzpxwwwwupy.supabase.co/storage/v1/object/public/old_media/03acd2f3.Path.073925.jpg</t>
  </si>
  <si>
    <t>7947df3f</t>
  </si>
  <si>
    <t>https://ryycrdhlkmzpxwwwwupy.supabase.co/storage/v1/object/public/old_media/7947df3f.Path.073937.jpg</t>
  </si>
  <si>
    <t>79282826</t>
  </si>
  <si>
    <t>https://ryycrdhlkmzpxwwwwupy.supabase.co/storage/v1/object/public/old_media/79282826.Path.113257.jpg</t>
  </si>
  <si>
    <t>salle</t>
  </si>
  <si>
    <t>0a416e4c</t>
  </si>
  <si>
    <t>https://ryycrdhlkmzpxwwwwupy.supabase.co/storage/v1/object/public/old_media/0a416e4c.Path.113313.jpg</t>
  </si>
  <si>
    <t>exemple de carte</t>
  </si>
  <si>
    <t>5a935853</t>
  </si>
  <si>
    <t>https://ryycrdhlkmzpxwwwwupy.supabase.co/storage/v1/object/public/old_media/5a935853.Path.113334.jpg</t>
  </si>
  <si>
    <t>dégustation</t>
  </si>
  <si>
    <t>3f99297f</t>
  </si>
  <si>
    <t>https://ryycrdhlkmzpxwwwwupy.supabase.co/storage/v1/object/public/old_media/3f99297f.Path.113357.jpg</t>
  </si>
  <si>
    <t>apéritifs</t>
  </si>
  <si>
    <t>c86c3fd5</t>
  </si>
  <si>
    <t>https://ryycrdhlkmzpxwwwwupy.supabase.co/storage/v1/object/public/old_media/c86c3fd5.Path.114148.jpg</t>
  </si>
  <si>
    <t>8e8443e7</t>
  </si>
  <si>
    <t>https://ryycrdhlkmzpxwwwwupy.supabase.co/storage/v1/object/public/old_media/8e8443e7.Path.105414.jpg</t>
  </si>
  <si>
    <t>29cb497e</t>
  </si>
  <si>
    <t>https://ryycrdhlkmzpxwwwwupy.supabase.co/storage/v1/object/public/old_media/29cb497e.Path.105440.jpg</t>
  </si>
  <si>
    <t>7102861e</t>
  </si>
  <si>
    <t>https://ryycrdhlkmzpxwwwwupy.supabase.co/storage/v1/object/public/old_media/7102861e.Path.105453.jpg</t>
  </si>
  <si>
    <t>e847b5e5</t>
  </si>
  <si>
    <t>https://ryycrdhlkmzpxwwwwupy.supabase.co/storage/v1/object/public/old_media/e847b5e5.Path.105537.jpg</t>
  </si>
  <si>
    <t>d3121121</t>
  </si>
  <si>
    <t>https://ryycrdhlkmzpxwwwwupy.supabase.co/storage/v1/object/public/old_media/d3121121.Path.105639.jpg</t>
  </si>
  <si>
    <t>bc6babe5</t>
  </si>
  <si>
    <t>https://ryycrdhlkmzpxwwwwupy.supabase.co/storage/v1/object/public/old_media/bc6babe5.Path.092554.jpg</t>
  </si>
  <si>
    <t>b8936b9f</t>
  </si>
  <si>
    <t>https://ryycrdhlkmzpxwwwwupy.supabase.co/storage/v1/object/public/old_media/b8936b9f.Path.044702.jpg</t>
  </si>
  <si>
    <t>29c455d7</t>
  </si>
  <si>
    <t>https://ryycrdhlkmzpxwwwwupy.supabase.co/storage/v1/object/public/old_media/29c455d7.Path.044731.jpg</t>
  </si>
  <si>
    <t>7d9bae1d</t>
  </si>
  <si>
    <t>https://ryycrdhlkmzpxwwwwupy.supabase.co/storage/v1/object/public/old_media/7d9bae1d.Path.053045.jpg</t>
  </si>
  <si>
    <t>menu</t>
  </si>
  <si>
    <t>650a89d8</t>
  </si>
  <si>
    <t>https://ryycrdhlkmzpxwwwwupy.supabase.co/storage/v1/object/public/old_media/650a89d8.Path.053340.jpg</t>
  </si>
  <si>
    <t>74845d8a</t>
  </si>
  <si>
    <t>https://ryycrdhlkmzpxwwwwupy.supabase.co/storage/v1/object/public/old_media/74845d8a.Path.063947.jpg</t>
  </si>
  <si>
    <t>3ee0b84c</t>
  </si>
  <si>
    <t>https://ryycrdhlkmzpxwwwwupy.supabase.co/storage/v1/object/public/old_media/3ee0b84c.Path.064006.jpg</t>
  </si>
  <si>
    <t>53db09b5</t>
  </si>
  <si>
    <t>https://ryycrdhlkmzpxwwwwupy.supabase.co/storage/v1/object/public/old_media/53db09b5.Path.064015.jpg</t>
  </si>
  <si>
    <t>a29a2d1b</t>
  </si>
  <si>
    <t>https://ryycrdhlkmzpxwwwwupy.supabase.co/storage/v1/object/public/old_media/a29a2d1b.Path.070745.jpg</t>
  </si>
  <si>
    <t>5e65590f</t>
  </si>
  <si>
    <t>https://ryycrdhlkmzpxwwwwupy.supabase.co/storage/v1/object/public/old_media/5e65590f.Path.070801.jpg</t>
  </si>
  <si>
    <t>ab033ea8</t>
  </si>
  <si>
    <t>https://ryycrdhlkmzpxwwwwupy.supabase.co/storage/v1/object/public/old_media/ab033ea8.Path.071003.jpg</t>
  </si>
  <si>
    <t>plat</t>
  </si>
  <si>
    <t>8ccb3077</t>
  </si>
  <si>
    <t>https://ryycrdhlkmzpxwwwwupy.supabase.co/storage/v1/object/public/old_media/8ccb3077.Path.071026.jpg</t>
  </si>
  <si>
    <t>c8174807</t>
  </si>
  <si>
    <t>https://ryycrdhlkmzpxwwwwupy.supabase.co/storage/v1/object/public/old_media/c8174807.Path.091240.webp</t>
  </si>
  <si>
    <t>080c1983</t>
  </si>
  <si>
    <t>https://ryycrdhlkmzpxwwwwupy.supabase.co/storage/v1/object/public/old_media/080c1983.Path.091255.webp</t>
  </si>
  <si>
    <t>1b1ffad5</t>
  </si>
  <si>
    <t>https://ryycrdhlkmzpxwwwwupy.supabase.co/storage/v1/object/public/old_media/1b1ffad5.Path.091310.webp</t>
  </si>
  <si>
    <t>9fa0223a</t>
  </si>
  <si>
    <t>https://ryycrdhlkmzpxwwwwupy.supabase.co/storage/v1/object/public/old_media/9fa0223a.Path.091328.webp</t>
  </si>
  <si>
    <t>366c2668</t>
  </si>
  <si>
    <t>https://ryycrdhlkmzpxwwwwupy.supabase.co/storage/v1/object/public/old_media/366c2668.Path.091350.webp</t>
  </si>
  <si>
    <t>b82161b0</t>
  </si>
  <si>
    <t>https://ryycrdhlkmzpxwwwwupy.supabase.co/storage/v1/object/public/old_media/b82161b0.Path.091730.webp</t>
  </si>
  <si>
    <t>eb0f2605</t>
  </si>
  <si>
    <t>https://ryycrdhlkmzpxwwwwupy.supabase.co/storage/v1/object/public/old_media/eb0f2605.Path.091955.webp</t>
  </si>
  <si>
    <t>2dc98e38</t>
  </si>
  <si>
    <t>https://ryycrdhlkmzpxwwwwupy.supabase.co/storage/v1/object/public/old_media/2dc98e38.Path.092026.webp</t>
  </si>
  <si>
    <t>3678fb2c</t>
  </si>
  <si>
    <t>https://ryycrdhlkmzpxwwwwupy.supabase.co/storage/v1/object/public/old_media/3678fb2c.Path.044953.jpg</t>
  </si>
  <si>
    <t>1e52b71b</t>
  </si>
  <si>
    <t>https://ryycrdhlkmzpxwwwwupy.supabase.co/storage/v1/object/public/old_media/1e52b71b.Path.045015.jpg</t>
  </si>
  <si>
    <t>1fecff37</t>
  </si>
  <si>
    <t>https://ryycrdhlkmzpxwwwwupy.supabase.co/storage/v1/object/public/old_media/1fecff37.Path.045039.jpg</t>
  </si>
  <si>
    <t>77afd193</t>
  </si>
  <si>
    <t>https://ryycrdhlkmzpxwwwwupy.supabase.co/storage/v1/object/public/old_media/77afd193.Path.045051.jpg</t>
  </si>
  <si>
    <t>298ef032</t>
  </si>
  <si>
    <t>https://ryycrdhlkmzpxwwwwupy.supabase.co/storage/v1/object/public/old_media/298ef032.Path.045103.jpg</t>
  </si>
  <si>
    <t>9126519c</t>
  </si>
  <si>
    <t>https://ryycrdhlkmzpxwwwwupy.supabase.co/storage/v1/object/public/old_media/9126519c.Path.051144.jpg</t>
  </si>
  <si>
    <t>0ead2276</t>
  </si>
  <si>
    <t>https://ryycrdhlkmzpxwwwwupy.supabase.co/storage/v1/object/public/old_media/0ead2276.Path.051157.jpg</t>
  </si>
  <si>
    <t>0c9d1621</t>
  </si>
  <si>
    <t>https://ryycrdhlkmzpxwwwwupy.supabase.co/storage/v1/object/public/old_media/0c9d1621.Path.051209.jpg</t>
  </si>
  <si>
    <t>64b4efec</t>
  </si>
  <si>
    <t>https://ryycrdhlkmzpxwwwwupy.supabase.co/storage/v1/object/public/old_media/64b4efec.Path.051314.jpg</t>
  </si>
  <si>
    <t>dd251883</t>
  </si>
  <si>
    <t>https://ryycrdhlkmzpxwwwwupy.supabase.co/storage/v1/object/public/old_media/dd251883.Path.061303.jpg</t>
  </si>
  <si>
    <t>e6136426</t>
  </si>
  <si>
    <t>https://ryycrdhlkmzpxwwwwupy.supabase.co/storage/v1/object/public/old_media/e6136426.Path.061320.jpg</t>
  </si>
  <si>
    <t>9fa9900f</t>
  </si>
  <si>
    <t>https://ryycrdhlkmzpxwwwwupy.supabase.co/storage/v1/object/public/old_media/9fa9900f.Path.061330.jpg</t>
  </si>
  <si>
    <t>23606e0b</t>
  </si>
  <si>
    <t>https://ryycrdhlkmzpxwwwwupy.supabase.co/storage/v1/object/public/old_media/23606e0b.Path.065839.jpg</t>
  </si>
  <si>
    <t>8e28d201</t>
  </si>
  <si>
    <t>https://ryycrdhlkmzpxwwwwupy.supabase.co/storage/v1/object/public/old_media/8e28d201.Path.065919.jpg</t>
  </si>
  <si>
    <t>d53d2733</t>
  </si>
  <si>
    <t>https://ryycrdhlkmzpxwwwwupy.supabase.co/storage/v1/object/public/old_media/d53d2733.Path.070008.jpg</t>
  </si>
  <si>
    <t>68a3f4b2</t>
  </si>
  <si>
    <t>https://ryycrdhlkmzpxwwwwupy.supabase.co/storage/v1/object/public/old_media/68a3f4b2.Path.070056.jpg</t>
  </si>
  <si>
    <t>3e0a0def</t>
  </si>
  <si>
    <t>https://ryycrdhlkmzpxwwwwupy.supabase.co/storage/v1/object/public/old_media/3e0a0def.Path.100005.jpg</t>
  </si>
  <si>
    <t>78624906</t>
  </si>
  <si>
    <t>https://ryycrdhlkmzpxwwwwupy.supabase.co/storage/v1/object/public/old_media/78624906.Path.100016.jpg</t>
  </si>
  <si>
    <t>0661ef0f</t>
  </si>
  <si>
    <t>https://ryycrdhlkmzpxwwwwupy.supabase.co/storage/v1/object/public/old_media/0661ef0f.Path.100025.jpg</t>
  </si>
  <si>
    <t>87c6033b</t>
  </si>
  <si>
    <t>https://ryycrdhlkmzpxwwwwupy.supabase.co/storage/v1/object/public/old_media/87c6033b.Path.055224.jpg</t>
  </si>
  <si>
    <t>9b3cafe3</t>
  </si>
  <si>
    <t>https://ryycrdhlkmzpxwwwwupy.supabase.co/storage/v1/object/public/old_media/9b3cafe3.Path.055237.jpg</t>
  </si>
  <si>
    <t>55bbe599</t>
  </si>
  <si>
    <t>https://ryycrdhlkmzpxwwwwupy.supabase.co/storage/v1/object/public/old_media/55bbe599.Path.055306.jpg</t>
  </si>
  <si>
    <t>e4b74455</t>
  </si>
  <si>
    <t>https://ryycrdhlkmzpxwwwwupy.supabase.co/storage/v1/object/public/old_media/e4b74455.Path.055438.jpg</t>
  </si>
  <si>
    <t>1eed3c4d</t>
  </si>
  <si>
    <t>https://ryycrdhlkmzpxwwwwupy.supabase.co/storage/v1/object/public/old_media/1eed3c4d.Path.055452.jpg</t>
  </si>
  <si>
    <t>39d6ed88</t>
  </si>
  <si>
    <t>https://ryycrdhlkmzpxwwwwupy.supabase.co/storage/v1/object/public/old_media/39d6ed88.Path.055515.jpg</t>
  </si>
  <si>
    <t>7b754468</t>
  </si>
  <si>
    <t>https://ryycrdhlkmzpxwwwwupy.supabase.co/storage/v1/object/public/old_media/7b754468.Path.055525.jpg</t>
  </si>
  <si>
    <t>56e48c1e</t>
  </si>
  <si>
    <t>https://ryycrdhlkmzpxwwwwupy.supabase.co/storage/v1/object/public/old_media/56e48c1e.Path.111446.jpg</t>
  </si>
  <si>
    <t>1f104fab</t>
  </si>
  <si>
    <t>https://ryycrdhlkmzpxwwwwupy.supabase.co/storage/v1/object/public/old_media/1f104fab.Path.111511.jpg</t>
  </si>
  <si>
    <t>72d44a99</t>
  </si>
  <si>
    <t>https://ryycrdhlkmzpxwwwwupy.supabase.co/storage/v1/object/public/old_media/72d44a99.Path.111546.jpg</t>
  </si>
  <si>
    <t>2719ab97</t>
  </si>
  <si>
    <t>https://ryycrdhlkmzpxwwwwupy.supabase.co/storage/v1/object/public/old_media/2719ab97.Path.111623.jpg</t>
  </si>
  <si>
    <t>95c729e4</t>
  </si>
  <si>
    <t>https://ryycrdhlkmzpxwwwwupy.supabase.co/storage/v1/object/public/old_media/95c729e4.Path.111701.jpg</t>
  </si>
  <si>
    <t>8f75d18b</t>
  </si>
  <si>
    <t>https://ryycrdhlkmzpxwwwwupy.supabase.co/storage/v1/object/public/old_media/8f75d18b.Path.111751.jpg</t>
  </si>
  <si>
    <t>e699fb6b</t>
  </si>
  <si>
    <t>https://ryycrdhlkmzpxwwwwupy.supabase.co/storage/v1/object/public/old_media/e699fb6b.Path.111804.jpg</t>
  </si>
  <si>
    <t>1851d0cf</t>
  </si>
  <si>
    <t>https://ryycrdhlkmzpxwwwwupy.supabase.co/storage/v1/object/public/old_media/1851d0cf.Path.111900.jpg</t>
  </si>
  <si>
    <t>d9e79fcd</t>
  </si>
  <si>
    <t>https://ryycrdhlkmzpxwwwwupy.supabase.co/storage/v1/object/public/old_media/d9e79fcd.Path.111929.jpg</t>
  </si>
  <si>
    <t>1ada5b8c</t>
  </si>
  <si>
    <t>https://ryycrdhlkmzpxwwwwupy.supabase.co/storage/v1/object/public/old_media/1ada5b8c.Path.061813.jpg</t>
  </si>
  <si>
    <t>6fb44bb2</t>
  </si>
  <si>
    <t>https://ryycrdhlkmzpxwwwwupy.supabase.co/storage/v1/object/public/old_media/6fb44bb2.Path.061825.jpg</t>
  </si>
  <si>
    <t>af419a1e</t>
  </si>
  <si>
    <t>https://ryycrdhlkmzpxwwwwupy.supabase.co/storage/v1/object/public/old_media/af419a1e.Path.062139.jpg</t>
  </si>
  <si>
    <t>24dd2503</t>
  </si>
  <si>
    <t>https://ryycrdhlkmzpxwwwwupy.supabase.co/storage/v1/object/public/old_media/24dd2503.Path.062151.jpg</t>
  </si>
  <si>
    <t>317b2f53</t>
  </si>
  <si>
    <t>https://ryycrdhlkmzpxwwwwupy.supabase.co/storage/v1/object/public/old_media/317b2f53.Path.062206.jpg</t>
  </si>
  <si>
    <t>202eb3b7</t>
  </si>
  <si>
    <t>https://ryycrdhlkmzpxwwwwupy.supabase.co/storage/v1/object/public/old_media/202eb3b7.Path.062713.jpg</t>
  </si>
  <si>
    <t>5d3422d3</t>
  </si>
  <si>
    <t>https://ryycrdhlkmzpxwwwwupy.supabase.co/storage/v1/object/public/old_media/5d3422d3.Path.062734.jpg</t>
  </si>
  <si>
    <t>ef5e3a3f</t>
  </si>
  <si>
    <t>https://ryycrdhlkmzpxwwwwupy.supabase.co/storage/v1/object/public/old_media/ef5e3a3f.Path.053103.jpg</t>
  </si>
  <si>
    <t>b62a78ef</t>
  </si>
  <si>
    <t>https://ryycrdhlkmzpxwwwwupy.supabase.co/storage/v1/object/public/old_media/b62a78ef.Path.053118.jpg</t>
  </si>
  <si>
    <t>d7398827</t>
  </si>
  <si>
    <t>https://ryycrdhlkmzpxwwwwupy.supabase.co/storage/v1/object/public/old_media/d7398827.Path.092416.jpg</t>
  </si>
  <si>
    <t>76e688b5</t>
  </si>
  <si>
    <t>https://ryycrdhlkmzpxwwwwupy.supabase.co/storage/v1/object/public/old_media/76e688b5.Path.092441.jpg</t>
  </si>
  <si>
    <t>53012c40</t>
  </si>
  <si>
    <t>https://ryycrdhlkmzpxwwwwupy.supabase.co/storage/v1/object/public/old_media/53012c40.Path.092530.jpg</t>
  </si>
  <si>
    <t>2f8a973c</t>
  </si>
  <si>
    <t>https://ryycrdhlkmzpxwwwwupy.supabase.co/storage/v1/object/public/old_media/2f8a973c.Path.092703.jpg</t>
  </si>
  <si>
    <t>4272a24a</t>
  </si>
  <si>
    <t>https://ryycrdhlkmzpxwwwwupy.supabase.co/storage/v1/object/public/old_media/4272a24a.Path.093753.jpg</t>
  </si>
  <si>
    <t>f6a30445</t>
  </si>
  <si>
    <t>https://ryycrdhlkmzpxwwwwupy.supabase.co/storage/v1/object/public/old_media/f6a30445.Path.093815.jpg</t>
  </si>
  <si>
    <t>793d488b</t>
  </si>
  <si>
    <t>https://ryycrdhlkmzpxwwwwupy.supabase.co/storage/v1/object/public/old_media/793d488b.Path.093857.jpg</t>
  </si>
  <si>
    <t>271fce73</t>
  </si>
  <si>
    <t>https://ryycrdhlkmzpxwwwwupy.supabase.co/storage/v1/object/public/old_media/271fce73.Path.080359.jpg</t>
  </si>
  <si>
    <t>f89a51cb</t>
  </si>
  <si>
    <t>https://ryycrdhlkmzpxwwwwupy.supabase.co/storage/v1/object/public/old_media/f89a51cb.Path.080421.jpg</t>
  </si>
  <si>
    <t>efc1a70e</t>
  </si>
  <si>
    <t>https://ryycrdhlkmzpxwwwwupy.supabase.co/storage/v1/object/public/old_media/efc1a70e.Path.080435.jpg</t>
  </si>
  <si>
    <t>95953c2f</t>
  </si>
  <si>
    <t>https://ryycrdhlkmzpxwwwwupy.supabase.co/storage/v1/object/public/old_media/95953c2f.Path.080454.jpg</t>
  </si>
  <si>
    <t>f592d5f7</t>
  </si>
  <si>
    <t>https://ryycrdhlkmzpxwwwwupy.supabase.co/storage/v1/object/public/old_media/f592d5f7.Path.092851.jpg</t>
  </si>
  <si>
    <t>13593dcc</t>
  </si>
  <si>
    <t>https://ryycrdhlkmzpxwwwwupy.supabase.co/storage/v1/object/public/old_media/13593dcc.Path.071942.jpg</t>
  </si>
  <si>
    <t>74ff4d7f</t>
  </si>
  <si>
    <t>https://ryycrdhlkmzpxwwwwupy.supabase.co/storage/v1/object/public/old_media/74ff4d7f.Path.072115.jpg</t>
  </si>
  <si>
    <t>aa6964b3</t>
  </si>
  <si>
    <t>https://ryycrdhlkmzpxwwwwupy.supabase.co/storage/v1/object/public/old_media/aa6964b3.Path.072228.jpg</t>
  </si>
  <si>
    <t>3985979a</t>
  </si>
  <si>
    <t>https://ryycrdhlkmzpxwwwwupy.supabase.co/storage/v1/object/public/old_media/3985979a.Path.072304.jpg</t>
  </si>
  <si>
    <t>4aa71428</t>
  </si>
  <si>
    <t>https://ryycrdhlkmzpxwwwwupy.supabase.co/storage/v1/object/public/old_media/4aa71428.Path.072344.jpg</t>
  </si>
  <si>
    <t>chb 1</t>
  </si>
  <si>
    <t>047aa0a7</t>
  </si>
  <si>
    <t>https://ryycrdhlkmzpxwwwwupy.supabase.co/storage/v1/object/public/old_media/047aa0a7.Path.072408.jpg</t>
  </si>
  <si>
    <t>chb 2</t>
  </si>
  <si>
    <t>3a8ccd36</t>
  </si>
  <si>
    <t>https://ryycrdhlkmzpxwwwwupy.supabase.co/storage/v1/object/public/old_media/3a8ccd36.Path.072446.jpg</t>
  </si>
  <si>
    <t>28d72b61</t>
  </si>
  <si>
    <t>https://ryycrdhlkmzpxwwwwupy.supabase.co/storage/v1/object/public/old_media/28d72b61.Path.072510.jpg</t>
  </si>
  <si>
    <t>3fca9c83</t>
  </si>
  <si>
    <t>https://ryycrdhlkmzpxwwwwupy.supabase.co/storage/v1/object/public/old_media/3fca9c83.Path.072540.jpg</t>
  </si>
  <si>
    <t>logo</t>
  </si>
  <si>
    <t>3f74c9ce</t>
  </si>
  <si>
    <t>https://ryycrdhlkmzpxwwwwupy.supabase.co/storage/v1/object/public/old_media/3f74c9ce.Path.113637.jpg</t>
  </si>
  <si>
    <t>46222360</t>
  </si>
  <si>
    <t>https://ryycrdhlkmzpxwwwwupy.supabase.co/storage/v1/object/public/old_media/46222360.Path.112848.png</t>
  </si>
  <si>
    <t>618d7d13</t>
  </si>
  <si>
    <t>https://ryycrdhlkmzpxwwwwupy.supabase.co/storage/v1/object/public/old_media/618d7d13.Path.112937.jpg</t>
  </si>
  <si>
    <t>6076368a</t>
  </si>
  <si>
    <t>https://ryycrdhlkmzpxwwwwupy.supabase.co/storage/v1/object/public/old_media/6076368a.Path.113021.jpg</t>
  </si>
  <si>
    <t>08533b4d</t>
  </si>
  <si>
    <t>https://ryycrdhlkmzpxwwwwupy.supabase.co/storage/v1/object/public/old_media/08533b4d.Path.114019.jpg</t>
  </si>
  <si>
    <t>1fef26be</t>
  </si>
  <si>
    <t>https://ryycrdhlkmzpxwwwwupy.supabase.co/storage/v1/object/public/old_media/1fef26be.Path.114047.jpg</t>
  </si>
  <si>
    <t>b8a395da</t>
  </si>
  <si>
    <t>https://ryycrdhlkmzpxwwwwupy.supabase.co/storage/v1/object/public/old_media/b8a395da.Path.114112.jpg</t>
  </si>
  <si>
    <t>92b46b7c</t>
  </si>
  <si>
    <t>https://ryycrdhlkmzpxwwwwupy.supabase.co/storage/v1/object/public/old_media/92b46b7c.Path.092525.jpg</t>
  </si>
  <si>
    <t>0d9c87be</t>
  </si>
  <si>
    <t>https://ryycrdhlkmzpxwwwwupy.supabase.co/storage/v1/object/public/old_media/0d9c87be.Path.092535.jpg</t>
  </si>
  <si>
    <t>4d53967e</t>
  </si>
  <si>
    <t>https://ryycrdhlkmzpxwwwwupy.supabase.co/storage/v1/object/public/old_media/4d53967e.Path.092547.jpg</t>
  </si>
  <si>
    <t>bea3f7d7</t>
  </si>
  <si>
    <t>https://ryycrdhlkmzpxwwwwupy.supabase.co/storage/v1/object/public/old_media/bea3f7d7.Path.092558.jpg</t>
  </si>
  <si>
    <t>8686ee42</t>
  </si>
  <si>
    <t>https://ryycrdhlkmzpxwwwwupy.supabase.co/storage/v1/object/public/old_media/8686ee42.Path.092609.jpg</t>
  </si>
  <si>
    <t>229c28f6</t>
  </si>
  <si>
    <t>https://ryycrdhlkmzpxwwwwupy.supabase.co/storage/v1/object/public/old_media/229c28f6.Path.092619.jpg</t>
  </si>
  <si>
    <t>72baff45</t>
  </si>
  <si>
    <t>https://ryycrdhlkmzpxwwwwupy.supabase.co/storage/v1/object/public/old_media/72baff45.Path.072222.jpg</t>
  </si>
  <si>
    <t>de77e928</t>
  </si>
  <si>
    <t>https://ryycrdhlkmzpxwwwwupy.supabase.co/storage/v1/object/public/old_media/de77e928.Path.072250.jpg</t>
  </si>
  <si>
    <t>Chambre double</t>
  </si>
  <si>
    <t>667009f4</t>
  </si>
  <si>
    <t>https://ryycrdhlkmzpxwwwwupy.supabase.co/storage/v1/object/public/old_media/667009f4.Path.072322.jpg</t>
  </si>
  <si>
    <t>Chambre triple</t>
  </si>
  <si>
    <t>5da1bd04</t>
  </si>
  <si>
    <t>https://ryycrdhlkmzpxwwwwupy.supabase.co/storage/v1/object/public/old_media/5da1bd04.Path.072436.jpg</t>
  </si>
  <si>
    <t>Salle de bain privé dans chacune des chambres (identique)</t>
  </si>
  <si>
    <t>f887c044</t>
  </si>
  <si>
    <t>https://ryycrdhlkmzpxwwwwupy.supabase.co/storage/v1/object/public/old_media/f887c044.Path.072508.jpg</t>
  </si>
  <si>
    <t>58115dc0</t>
  </si>
  <si>
    <t>https://ryycrdhlkmzpxwwwwupy.supabase.co/storage/v1/object/public/old_media/58115dc0.Path.072638.jpg</t>
  </si>
  <si>
    <t>Espace fumeur</t>
  </si>
  <si>
    <t>81f266ba</t>
  </si>
  <si>
    <t>https://ryycrdhlkmzpxwwwwupy.supabase.co/storage/v1/object/public/old_media/81f266ba.Path.072711.jpg</t>
  </si>
  <si>
    <t>c97311d2</t>
  </si>
  <si>
    <t>https://ryycrdhlkmzpxwwwwupy.supabase.co/storage/v1/object/public/old_media/c97311d2.Path.072753.jpg</t>
  </si>
  <si>
    <t>Cours avec espace de jeux pour enfants</t>
  </si>
  <si>
    <t>68f73104</t>
  </si>
  <si>
    <t>https://ryycrdhlkmzpxwwwwupy.supabase.co/storage/v1/object/public/old_media/68f73104.Path.072834.jpg</t>
  </si>
  <si>
    <t>Espace petit-déjeuner</t>
  </si>
  <si>
    <t>a9db375b</t>
  </si>
  <si>
    <t>https://ryycrdhlkmzpxwwwwupy.supabase.co/storage/v1/object/public/old_media/a9db375b.Path.061018.jpg</t>
  </si>
  <si>
    <t>4d7bd6b0</t>
  </si>
  <si>
    <t>https://ryycrdhlkmzpxwwwwupy.supabase.co/storage/v1/object/public/old_media/4d7bd6b0.Path.061036.jpg</t>
  </si>
  <si>
    <t>cdd8336c</t>
  </si>
  <si>
    <t>https://ryycrdhlkmzpxwwwwupy.supabase.co/storage/v1/object/public/old_media/cdd8336c.Path.061057.jpg</t>
  </si>
  <si>
    <t>c2c9dc11</t>
  </si>
  <si>
    <t>https://ryycrdhlkmzpxwwwwupy.supabase.co/storage/v1/object/public/old_media/c2c9dc11.Path.061113.jpg</t>
  </si>
  <si>
    <t>c1bc5132</t>
  </si>
  <si>
    <t>https://ryycrdhlkmzpxwwwwupy.supabase.co/storage/v1/object/public/old_media/c1bc5132.Path.061130.jpg</t>
  </si>
  <si>
    <t>d649e9c6</t>
  </si>
  <si>
    <t>https://ryycrdhlkmzpxwwwwupy.supabase.co/storage/v1/object/public/old_media/d649e9c6.Path.061215.jpg</t>
  </si>
  <si>
    <t>0df76d0b</t>
  </si>
  <si>
    <t>https://ryycrdhlkmzpxwwwwupy.supabase.co/storage/v1/object/public/old_media/0df76d0b.Path.062336.jpg</t>
  </si>
  <si>
    <t>58bcaa40</t>
  </si>
  <si>
    <t>https://ryycrdhlkmzpxwwwwupy.supabase.co/storage/v1/object/public/old_media/58bcaa40.Path.062353.jpg</t>
  </si>
  <si>
    <t>b6f5a3f7</t>
  </si>
  <si>
    <t>https://ryycrdhlkmzpxwwwwupy.supabase.co/storage/v1/object/public/old_media/b6f5a3f7.Path.062413.jpg</t>
  </si>
  <si>
    <t>3c84e26e</t>
  </si>
  <si>
    <t>https://ryycrdhlkmzpxwwwwupy.supabase.co/storage/v1/object/public/old_media/3c84e26e.Path.062434.jpg</t>
  </si>
  <si>
    <t>6806ef84</t>
  </si>
  <si>
    <t>https://ryycrdhlkmzpxwwwwupy.supabase.co/storage/v1/object/public/old_media/6806ef84.Path.062449.jpg</t>
  </si>
  <si>
    <t>372804ad</t>
  </si>
  <si>
    <t>https://ryycrdhlkmzpxwwwwupy.supabase.co/storage/v1/object/public/old_media/372804ad.Path.062501.jpg</t>
  </si>
  <si>
    <t>3bc79310</t>
  </si>
  <si>
    <t>https://ryycrdhlkmzpxwwwwupy.supabase.co/storage/v1/object/public/old_media/3bc79310.Path.062556.jpg</t>
  </si>
  <si>
    <t>c4842e11</t>
  </si>
  <si>
    <t>https://ryycrdhlkmzpxwwwwupy.supabase.co/storage/v1/object/public/old_media/c4842e11.Path.062644.jpg</t>
  </si>
  <si>
    <t>96f5e40b</t>
  </si>
  <si>
    <t>https://ryycrdhlkmzpxwwwwupy.supabase.co/storage/v1/object/public/old_media/96f5e40b.Path.062705.jpg</t>
  </si>
  <si>
    <t>98d3b8d3</t>
  </si>
  <si>
    <t>https://ryycrdhlkmzpxwwwwupy.supabase.co/storage/v1/object/public/old_media/98d3b8d3.Path.062849.jpg</t>
  </si>
  <si>
    <t>b2843b0d</t>
  </si>
  <si>
    <t>https://ryycrdhlkmzpxwwwwupy.supabase.co/storage/v1/object/public/old_media/b2843b0d.Path.064714.jpg</t>
  </si>
  <si>
    <t>8cf067d5</t>
  </si>
  <si>
    <t>https://ryycrdhlkmzpxwwwwupy.supabase.co/storage/v1/object/public/old_media/8cf067d5.Path.064740.jpg</t>
  </si>
  <si>
    <t>1db17300</t>
  </si>
  <si>
    <t>https://ryycrdhlkmzpxwwwwupy.supabase.co/storage/v1/object/public/old_media/1db17300.Path.064752.jpg</t>
  </si>
  <si>
    <t>5fc46b0c</t>
  </si>
  <si>
    <t>https://ryycrdhlkmzpxwwwwupy.supabase.co/storage/v1/object/public/old_media/5fc46b0c.Path.064900.jpg</t>
  </si>
  <si>
    <t>2a030be9</t>
  </si>
  <si>
    <t>https://ryycrdhlkmzpxwwwwupy.supabase.co/storage/v1/object/public/old_media/2a030be9.Path.064916.jpg</t>
  </si>
  <si>
    <t>79f7aa91</t>
  </si>
  <si>
    <t>https://ryycrdhlkmzpxwwwwupy.supabase.co/storage/v1/object/public/old_media/79f7aa91.Path.035802.jpg</t>
  </si>
  <si>
    <t>7143301a</t>
  </si>
  <si>
    <t>https://ryycrdhlkmzpxwwwwupy.supabase.co/storage/v1/object/public/old_media/7143301a.Path.074416.jpg</t>
  </si>
  <si>
    <t>f748b923</t>
  </si>
  <si>
    <t>https://ryycrdhlkmzpxwwwwupy.supabase.co/storage/v1/object/public/old_media/f748b923.Path.074446.webp</t>
  </si>
  <si>
    <t>c016d154</t>
  </si>
  <si>
    <t>https://ryycrdhlkmzpxwwwwupy.supabase.co/storage/v1/object/public/old_media/c016d154.Path.074457.webp</t>
  </si>
  <si>
    <t>781fae43</t>
  </si>
  <si>
    <t>https://ryycrdhlkmzpxwwwwupy.supabase.co/storage/v1/object/public/old_media/781fae43.Path.074513.webp</t>
  </si>
  <si>
    <t>764a0e8a</t>
  </si>
  <si>
    <t>https://ryycrdhlkmzpxwwwwupy.supabase.co/storage/v1/object/public/old_media/764a0e8a.Path.092234.jpg</t>
  </si>
  <si>
    <t>cccc558e</t>
  </si>
  <si>
    <t>https://ryycrdhlkmzpxwwwwupy.supabase.co/storage/v1/object/public/old_media/cccc558e.Path.092248.webp</t>
  </si>
  <si>
    <t>836fed45</t>
  </si>
  <si>
    <t>https://ryycrdhlkmzpxwwwwupy.supabase.co/storage/v1/object/public/old_media/836fed45.Path.092307.webp</t>
  </si>
  <si>
    <t>6c9701ec</t>
  </si>
  <si>
    <t>https://ryycrdhlkmzpxwwwwupy.supabase.co/storage/v1/object/public/old_media/6c9701ec.Path.092323.webp</t>
  </si>
  <si>
    <t>633d04dd</t>
  </si>
  <si>
    <t>https://ryycrdhlkmzpxwwwwupy.supabase.co/storage/v1/object/public/old_media/633d04dd.Path.092343.jpg</t>
  </si>
  <si>
    <t>bd7f0359</t>
  </si>
  <si>
    <t>https://ryycrdhlkmzpxwwwwupy.supabase.co/storage/v1/object/public/old_media/bd7f0359.Path.092356.webp</t>
  </si>
  <si>
    <t>552e533a</t>
  </si>
  <si>
    <t>https://ryycrdhlkmzpxwwwwupy.supabase.co/storage/v1/object/public/old_media/552e533a.Path.092410.webp</t>
  </si>
  <si>
    <t>2f94ea16</t>
  </si>
  <si>
    <t>https://ryycrdhlkmzpxwwwwupy.supabase.co/storage/v1/object/public/old_media/2f94ea16.Path.092429.webp</t>
  </si>
  <si>
    <t>8981cabb</t>
  </si>
  <si>
    <t>https://ryycrdhlkmzpxwwwwupy.supabase.co/storage/v1/object/public/old_media/8981cabb.Path.092518.jpg</t>
  </si>
  <si>
    <t>dd1c807d</t>
  </si>
  <si>
    <t>https://ryycrdhlkmzpxwwwwupy.supabase.co/storage/v1/object/public/old_media/dd1c807d.Path.092532.jpg</t>
  </si>
  <si>
    <t>1aae3cd7</t>
  </si>
  <si>
    <t>https://ryycrdhlkmzpxwwwwupy.supabase.co/storage/v1/object/public/old_media/1aae3cd7.Path.054036.jpg</t>
  </si>
  <si>
    <t>3451f56c</t>
  </si>
  <si>
    <t>https://ryycrdhlkmzpxwwwwupy.supabase.co/storage/v1/object/public/old_media/3451f56c.Path.054052.jpg</t>
  </si>
  <si>
    <t>433147d4</t>
  </si>
  <si>
    <t>https://ryycrdhlkmzpxwwwwupy.supabase.co/storage/v1/object/public/old_media/433147d4.Path.054110.jpg</t>
  </si>
  <si>
    <t>8e54dbf8</t>
  </si>
  <si>
    <t>https://ryycrdhlkmzpxwwwwupy.supabase.co/storage/v1/object/public/old_media/8e54dbf8.Path.054136.jpg</t>
  </si>
  <si>
    <t>b13531db</t>
  </si>
  <si>
    <t>https://ryycrdhlkmzpxwwwwupy.supabase.co/storage/v1/object/public/old_media/b13531db.Path.054151.jpg</t>
  </si>
  <si>
    <t>d50326f6</t>
  </si>
  <si>
    <t>https://ryycrdhlkmzpxwwwwupy.supabase.co/storage/v1/object/public/old_media/d50326f6.Path.054747.png</t>
  </si>
  <si>
    <t>cc5e1ef0</t>
  </si>
  <si>
    <t>https://ryycrdhlkmzpxwwwwupy.supabase.co/storage/v1/object/public/old_media/cc5e1ef0.Path.055342.png</t>
  </si>
  <si>
    <t>77ca70b3</t>
  </si>
  <si>
    <t>https://ryycrdhlkmzpxwwwwupy.supabase.co/storage/v1/object/public/old_media/77ca70b3.Path.055650.jpg</t>
  </si>
  <si>
    <t>83bba18b</t>
  </si>
  <si>
    <t>https://ryycrdhlkmzpxwwwwupy.supabase.co/storage/v1/object/public/old_media/83bba18b.Path.055741.jpg</t>
  </si>
  <si>
    <t>50fb9989</t>
  </si>
  <si>
    <t>https://ryycrdhlkmzpxwwwwupy.supabase.co/storage/v1/object/public/old_media/50fb9989.Path.055758.jpg</t>
  </si>
  <si>
    <t>a29ca768</t>
  </si>
  <si>
    <t>https://ryycrdhlkmzpxwwwwupy.supabase.co/storage/v1/object/public/old_media/a29ca768.Path.055812.jpg</t>
  </si>
  <si>
    <t>3c1964ce</t>
  </si>
  <si>
    <t>https://ryycrdhlkmzpxwwwwupy.supabase.co/storage/v1/object/public/old_media/3c1964ce.Path.062307.jpg</t>
  </si>
  <si>
    <t>1f44646c</t>
  </si>
  <si>
    <t>https://ryycrdhlkmzpxwwwwupy.supabase.co/storage/v1/object/public/old_media/1f44646c.Path.062514.jpg</t>
  </si>
  <si>
    <t>a8499561</t>
  </si>
  <si>
    <t>https://ryycrdhlkmzpxwwwwupy.supabase.co/storage/v1/object/public/old_media/a8499561.Path.062528.jpg</t>
  </si>
  <si>
    <t>04f8f4cf</t>
  </si>
  <si>
    <t>https://ryycrdhlkmzpxwwwwupy.supabase.co/storage/v1/object/public/old_media/04f8f4cf.Path.062545.jpg</t>
  </si>
  <si>
    <t>cbefc3b2</t>
  </si>
  <si>
    <t>https://ryycrdhlkmzpxwwwwupy.supabase.co/storage/v1/object/public/old_media/cbefc3b2.Path.062557.jpg</t>
  </si>
  <si>
    <t>02bfd502</t>
  </si>
  <si>
    <t>https://ryycrdhlkmzpxwwwwupy.supabase.co/storage/v1/object/public/old_media/02bfd502.Path.073448.webp</t>
  </si>
  <si>
    <t>876d0c8a</t>
  </si>
  <si>
    <t>https://ryycrdhlkmzpxwwwwupy.supabase.co/storage/v1/object/public/old_media/876d0c8a.Path.073457.webp</t>
  </si>
  <si>
    <t>b799c4af</t>
  </si>
  <si>
    <t>https://ryycrdhlkmzpxwwwwupy.supabase.co/storage/v1/object/public/old_media/b799c4af.Path.073507.webp</t>
  </si>
  <si>
    <t>b9f25313</t>
  </si>
  <si>
    <t>https://ryycrdhlkmzpxwwwwupy.supabase.co/storage/v1/object/public/old_media/b9f25313.Path.073521.webp</t>
  </si>
  <si>
    <t>69e53c85</t>
  </si>
  <si>
    <t>https://ryycrdhlkmzpxwwwwupy.supabase.co/storage/v1/object/public/old_media/69e53c85.Path.073535.jpg</t>
  </si>
  <si>
    <t>4c4aac04</t>
  </si>
  <si>
    <t>https://ryycrdhlkmzpxwwwwupy.supabase.co/storage/v1/object/public/old_media/4c4aac04.Path.073550.webp</t>
  </si>
  <si>
    <t>4bbd6f49</t>
  </si>
  <si>
    <t>https://ryycrdhlkmzpxwwwwupy.supabase.co/storage/v1/object/public/old_media/4bbd6f49.Path.092419.jpg</t>
  </si>
  <si>
    <t>d316db80</t>
  </si>
  <si>
    <t>https://ryycrdhlkmzpxwwwwupy.supabase.co/storage/v1/object/public/old_media/d316db80.Path.092438.jpg</t>
  </si>
  <si>
    <t>e9bd1035</t>
  </si>
  <si>
    <t>https://ryycrdhlkmzpxwwwwupy.supabase.co/storage/v1/object/public/old_media/e9bd1035.Path.092509.jpg</t>
  </si>
  <si>
    <t>chb 3</t>
  </si>
  <si>
    <t>75c60e83</t>
  </si>
  <si>
    <t>https://ryycrdhlkmzpxwwwwupy.supabase.co/storage/v1/object/public/old_media/75c60e83.Path.092548.jpg</t>
  </si>
  <si>
    <t>f25392b4</t>
  </si>
  <si>
    <t>https://ryycrdhlkmzpxwwwwupy.supabase.co/storage/v1/object/public/old_media/f25392b4.Path.100415.jpg</t>
  </si>
  <si>
    <t>af3f644a</t>
  </si>
  <si>
    <t>https://ryycrdhlkmzpxwwwwupy.supabase.co/storage/v1/object/public/old_media/af3f644a.Path.062345.jpg</t>
  </si>
  <si>
    <t>2e58e8c4</t>
  </si>
  <si>
    <t>https://ryycrdhlkmzpxwwwwupy.supabase.co/storage/v1/object/public/old_media/2e58e8c4.Path.062403.jpg</t>
  </si>
  <si>
    <t>32e3a2a8</t>
  </si>
  <si>
    <t>https://ryycrdhlkmzpxwwwwupy.supabase.co/storage/v1/object/public/old_media/32e3a2a8.Path.062416.jpg</t>
  </si>
  <si>
    <t>3abf8025</t>
  </si>
  <si>
    <t>https://ryycrdhlkmzpxwwwwupy.supabase.co/storage/v1/object/public/old_media/3abf8025.Path.062432.jpg</t>
  </si>
  <si>
    <t>57dd8c9c</t>
  </si>
  <si>
    <t>https://ryycrdhlkmzpxwwwwupy.supabase.co/storage/v1/object/public/old_media/57dd8c9c.Path.062443.jpg</t>
  </si>
  <si>
    <t>88d0e487</t>
  </si>
  <si>
    <t>https://ryycrdhlkmzpxwwwwupy.supabase.co/storage/v1/object/public/old_media/88d0e487.Path.062454.jpg</t>
  </si>
  <si>
    <t>4fc08875</t>
  </si>
  <si>
    <t>https://ryycrdhlkmzpxwwwwupy.supabase.co/storage/v1/object/public/old_media/4fc08875.Path.062514.jpg</t>
  </si>
  <si>
    <t>b8c2af3b</t>
  </si>
  <si>
    <t>https://ryycrdhlkmzpxwwwwupy.supabase.co/storage/v1/object/public/old_media/b8c2af3b.Path.094234.jpg</t>
  </si>
  <si>
    <t>240ad3d9</t>
  </si>
  <si>
    <t>https://ryycrdhlkmzpxwwwwupy.supabase.co/storage/v1/object/public/old_media/240ad3d9.Path.094255.jpg</t>
  </si>
  <si>
    <t>8f438928</t>
  </si>
  <si>
    <t>https://ryycrdhlkmzpxwwwwupy.supabase.co/storage/v1/object/public/old_media/8f438928.Path.094331.jpg</t>
  </si>
  <si>
    <t>9964f239</t>
  </si>
  <si>
    <t>https://ryycrdhlkmzpxwwwwupy.supabase.co/storage/v1/object/public/old_media/9964f239.Path.094401.jpg</t>
  </si>
  <si>
    <t>3518aa47</t>
  </si>
  <si>
    <t>https://ryycrdhlkmzpxwwwwupy.supabase.co/storage/v1/object/public/old_media/3518aa47.Path.095810.jpg</t>
  </si>
  <si>
    <t>f8b7fdfb</t>
  </si>
  <si>
    <t>https://ryycrdhlkmzpxwwwwupy.supabase.co/storage/v1/object/public/old_media/f8b7fdfb.Path.095830.jpg</t>
  </si>
  <si>
    <t>d12d18a2</t>
  </si>
  <si>
    <t>https://ryycrdhlkmzpxwwwwupy.supabase.co/storage/v1/object/public/old_media/d12d18a2.Path.102631.jpg</t>
  </si>
  <si>
    <t>d4d9e517</t>
  </si>
  <si>
    <t>https://ryycrdhlkmzpxwwwwupy.supabase.co/storage/v1/object/public/old_media/d4d9e517.Path.102657.jpg</t>
  </si>
  <si>
    <t>4696ac0e</t>
  </si>
  <si>
    <t>https://ryycrdhlkmzpxwwwwupy.supabase.co/storage/v1/object/public/old_media/4696ac0e.Path.065206.jpg</t>
  </si>
  <si>
    <t>680ab0ee</t>
  </si>
  <si>
    <t>https://ryycrdhlkmzpxwwwwupy.supabase.co/storage/v1/object/public/old_media/680ab0ee.Path.065222.jpg</t>
  </si>
  <si>
    <t>0fa401a1</t>
  </si>
  <si>
    <t>https://ryycrdhlkmzpxwwwwupy.supabase.co/storage/v1/object/public/old_media/0fa401a1.Path.065243.jpg</t>
  </si>
  <si>
    <t>b1befda0</t>
  </si>
  <si>
    <t>https://ryycrdhlkmzpxwwwwupy.supabase.co/storage/v1/object/public/old_media/b1befda0.Path.065255.jpg</t>
  </si>
  <si>
    <t>42e52ee3</t>
  </si>
  <si>
    <t>https://ryycrdhlkmzpxwwwwupy.supabase.co/storage/v1/object/public/old_media/42e52ee3.Path.065501.jpg</t>
  </si>
  <si>
    <t>7b811426</t>
  </si>
  <si>
    <t>https://ryycrdhlkmzpxwwwwupy.supabase.co/storage/v1/object/public/old_media/7b811426.Path.070328.jpg</t>
  </si>
  <si>
    <t>f022036e</t>
  </si>
  <si>
    <t>https://ryycrdhlkmzpxwwwwupy.supabase.co/storage/v1/object/public/old_media/f022036e.Path.070534.jpg</t>
  </si>
  <si>
    <t>c17bc100</t>
  </si>
  <si>
    <t>https://ryycrdhlkmzpxwwwwupy.supabase.co/storage/v1/object/public/old_media/c17bc100.Path.035517.png</t>
  </si>
  <si>
    <t>6da76d52</t>
  </si>
  <si>
    <t>https://ryycrdhlkmzpxwwwwupy.supabase.co/storage/v1/object/public/old_media/6da76d52.Path.035530.png</t>
  </si>
  <si>
    <t>5506b2bd</t>
  </si>
  <si>
    <t>https://ryycrdhlkmzpxwwwwupy.supabase.co/storage/v1/object/public/old_media/5506b2bd.Path.035546.png</t>
  </si>
  <si>
    <t>757aca21</t>
  </si>
  <si>
    <t>https://ryycrdhlkmzpxwwwwupy.supabase.co/storage/v1/object/public/old_media/757aca21.Path.035604.png</t>
  </si>
  <si>
    <t>6f3aa374</t>
  </si>
  <si>
    <t>https://ryycrdhlkmzpxwwwwupy.supabase.co/storage/v1/object/public/old_media/6f3aa374.Path.035623.png</t>
  </si>
  <si>
    <t>2bbbd4fa</t>
  </si>
  <si>
    <t>https://ryycrdhlkmzpxwwwwupy.supabase.co/storage/v1/object/public/old_media/2bbbd4fa.Path.035637.png</t>
  </si>
  <si>
    <t>934eb140</t>
  </si>
  <si>
    <t>https://ryycrdhlkmzpxwwwwupy.supabase.co/storage/v1/object/public/old_media/934eb140.Path.035650.png</t>
  </si>
  <si>
    <t>0a01b6d4</t>
  </si>
  <si>
    <t>https://ryycrdhlkmzpxwwwwupy.supabase.co/storage/v1/object/public/old_media/0a01b6d4.Path.035707.png</t>
  </si>
  <si>
    <t>aca63b2f</t>
  </si>
  <si>
    <t>https://ryycrdhlkmzpxwwwwupy.supabase.co/storage/v1/object/public/old_media/aca63b2f.Path.035738.png</t>
  </si>
  <si>
    <t>12d7a309</t>
  </si>
  <si>
    <t>https://ryycrdhlkmzpxwwwwupy.supabase.co/storage/v1/object/public/old_media/12d7a309.Path.035753.png</t>
  </si>
  <si>
    <t>e5523af4</t>
  </si>
  <si>
    <t>https://ryycrdhlkmzpxwwwwupy.supabase.co/storage/v1/object/public/old_media/e5523af4.Path.035811.png</t>
  </si>
  <si>
    <t>4918b716</t>
  </si>
  <si>
    <t>https://ryycrdhlkmzpxwwwwupy.supabase.co/storage/v1/object/public/old_media/4918b716.Path.035834.png</t>
  </si>
  <si>
    <t>bf69ce79</t>
  </si>
  <si>
    <t>https://ryycrdhlkmzpxwwwwupy.supabase.co/storage/v1/object/public/old_media/bf69ce79.Path.035848.png</t>
  </si>
  <si>
    <t>fb6bc2de</t>
  </si>
  <si>
    <t>https://ryycrdhlkmzpxwwwwupy.supabase.co/storage/v1/object/public/old_media/fb6bc2de.Path.035902.png</t>
  </si>
  <si>
    <t>655fa756</t>
  </si>
  <si>
    <t>https://ryycrdhlkmzpxwwwwupy.supabase.co/storage/v1/object/public/old_media/655fa756.Path.035916.png</t>
  </si>
  <si>
    <t>785e90f9</t>
  </si>
  <si>
    <t>https://ryycrdhlkmzpxwwwwupy.supabase.co/storage/v1/object/public/old_media/785e90f9.Path.040030.png</t>
  </si>
  <si>
    <t>27a1cc19</t>
  </si>
  <si>
    <t>https://ryycrdhlkmzpxwwwwupy.supabase.co/storage/v1/object/public/old_media/27a1cc19.Path.040117.png</t>
  </si>
  <si>
    <t>9db1c977</t>
  </si>
  <si>
    <t>https://ryycrdhlkmzpxwwwwupy.supabase.co/storage/v1/object/public/old_media/9db1c977.Path.050158.jpg</t>
  </si>
  <si>
    <t>a3da4132</t>
  </si>
  <si>
    <t>https://ryycrdhlkmzpxwwwwupy.supabase.co/storage/v1/object/public/old_media/a3da4132.Path.050207.jpg</t>
  </si>
  <si>
    <t>14bd61ca</t>
  </si>
  <si>
    <t>https://ryycrdhlkmzpxwwwwupy.supabase.co/storage/v1/object/public/old_media/14bd61ca.Path.050216.jpg</t>
  </si>
  <si>
    <t>3342afb2</t>
  </si>
  <si>
    <t>https://ryycrdhlkmzpxwwwwupy.supabase.co/storage/v1/object/public/old_media/3342afb2.Path.050227.jpg</t>
  </si>
  <si>
    <t>c20ed781</t>
  </si>
  <si>
    <t>https://ryycrdhlkmzpxwwwwupy.supabase.co/storage/v1/object/public/old_media/c20ed781.Path.062919.jpg</t>
  </si>
  <si>
    <t>f73228d0</t>
  </si>
  <si>
    <t>https://ryycrdhlkmzpxwwwwupy.supabase.co/storage/v1/object/public/old_media/f73228d0.Path.062928.jpg</t>
  </si>
  <si>
    <t>2d4d9f27</t>
  </si>
  <si>
    <t>https://ryycrdhlkmzpxwwwwupy.supabase.co/storage/v1/object/public/old_media/2d4d9f27.Path.062937.jpg</t>
  </si>
  <si>
    <t>98f19cb5</t>
  </si>
  <si>
    <t>https://ryycrdhlkmzpxwwwwupy.supabase.co/storage/v1/object/public/old_media/98f19cb5.Path.062946.jpg</t>
  </si>
  <si>
    <t>b503223c</t>
  </si>
  <si>
    <t>https://ryycrdhlkmzpxwwwwupy.supabase.co/storage/v1/object/public/old_media/b503223c.Path.062956.jpg</t>
  </si>
  <si>
    <t>bdb755f8</t>
  </si>
  <si>
    <t>https://ryycrdhlkmzpxwwwwupy.supabase.co/storage/v1/object/public/old_media/bdb755f8.Path.063007.jpg</t>
  </si>
  <si>
    <t>f0f98a9f</t>
  </si>
  <si>
    <t>https://ryycrdhlkmzpxwwwwupy.supabase.co/storage/v1/object/public/old_media/f0f98a9f.Path.075242.jpg</t>
  </si>
  <si>
    <t>eb5392dc</t>
  </si>
  <si>
    <t>https://ryycrdhlkmzpxwwwwupy.supabase.co/storage/v1/object/public/old_media/eb5392dc.Path.101737.jpg</t>
  </si>
  <si>
    <t>3fca645d</t>
  </si>
  <si>
    <t>https://ryycrdhlkmzpxwwwwupy.supabase.co/storage/v1/object/public/old_media/3fca645d.Path.101746.jpg</t>
  </si>
  <si>
    <t>392e311d</t>
  </si>
  <si>
    <t>https://ryycrdhlkmzpxwwwwupy.supabase.co/storage/v1/object/public/old_media/392e311d.Path.101753.jpg</t>
  </si>
  <si>
    <t>f2ef6bf7</t>
  </si>
  <si>
    <t>https://ryycrdhlkmzpxwwwwupy.supabase.co/storage/v1/object/public/old_media/f2ef6bf7.Path.101805.jpg</t>
  </si>
  <si>
    <t>f7daab5e</t>
  </si>
  <si>
    <t>https://ryycrdhlkmzpxwwwwupy.supabase.co/storage/v1/object/public/old_media/f7daab5e.Path.104229.jpg</t>
  </si>
  <si>
    <t>802eeabf</t>
  </si>
  <si>
    <t>https://ryycrdhlkmzpxwwwwupy.supabase.co/storage/v1/object/public/old_media/802eeabf.Path.104251.jpg</t>
  </si>
  <si>
    <t>e499eda7</t>
  </si>
  <si>
    <t>https://ryycrdhlkmzpxwwwwupy.supabase.co/storage/v1/object/public/old_media/e499eda7.Path.104310.jpg</t>
  </si>
  <si>
    <t>976b0536</t>
  </si>
  <si>
    <t>https://ryycrdhlkmzpxwwwwupy.supabase.co/storage/v1/object/public/old_media/976b0536.Path.104333.jpg</t>
  </si>
  <si>
    <t>c61de742</t>
  </si>
  <si>
    <t>https://ryycrdhlkmzpxwwwwupy.supabase.co/storage/v1/object/public/old_media/c61de742.Path.104431.jpg</t>
  </si>
  <si>
    <t>3403dbbb</t>
  </si>
  <si>
    <t>https://ryycrdhlkmzpxwwwwupy.supabase.co/storage/v1/object/public/old_media/3403dbbb.Path.104450.jpg</t>
  </si>
  <si>
    <t>6b0110e9</t>
  </si>
  <si>
    <t>https://ryycrdhlkmzpxwwwwupy.supabase.co/storage/v1/object/public/old_media/6b0110e9.Path.104505.jpg</t>
  </si>
  <si>
    <t>07f70343</t>
  </si>
  <si>
    <t>https://ryycrdhlkmzpxwwwwupy.supabase.co/storage/v1/object/public/old_media/07f70343.Path.104520.jpg</t>
  </si>
  <si>
    <t>6b792bb7</t>
  </si>
  <si>
    <t>https://ryycrdhlkmzpxwwwwupy.supabase.co/storage/v1/object/public/old_media/6b792bb7.Path.105702.jpg</t>
  </si>
  <si>
    <t>6779749a</t>
  </si>
  <si>
    <t>https://ryycrdhlkmzpxwwwwupy.supabase.co/storage/v1/object/public/old_media/6779749a.Path.043539.jpg</t>
  </si>
  <si>
    <t>64a25a94</t>
  </si>
  <si>
    <t>https://ryycrdhlkmzpxwwwwupy.supabase.co/storage/v1/object/public/old_media/64a25a94.Path.043549.jpg</t>
  </si>
  <si>
    <t>3d5ed0a4</t>
  </si>
  <si>
    <t>https://ryycrdhlkmzpxwwwwupy.supabase.co/storage/v1/object/public/old_media/3d5ed0a4.Path.043559.jpg</t>
  </si>
  <si>
    <t>9e2a1799</t>
  </si>
  <si>
    <t>https://ryycrdhlkmzpxwwwwupy.supabase.co/storage/v1/object/public/old_media/9e2a1799.Path.043611.jpg</t>
  </si>
  <si>
    <t>6259770e</t>
  </si>
  <si>
    <t>https://ryycrdhlkmzpxwwwwupy.supabase.co/storage/v1/object/public/old_media/6259770e.Path.043624.jpg</t>
  </si>
  <si>
    <t>efeaddff</t>
  </si>
  <si>
    <t>https://ryycrdhlkmzpxwwwwupy.supabase.co/storage/v1/object/public/old_media/efeaddff.Path.043638.jpg</t>
  </si>
  <si>
    <t>09c59066</t>
  </si>
  <si>
    <t>https://ryycrdhlkmzpxwwwwupy.supabase.co/storage/v1/object/public/old_media/09c59066.Path.043659.jpg</t>
  </si>
  <si>
    <t>4902ee34</t>
  </si>
  <si>
    <t>https://ryycrdhlkmzpxwwwwupy.supabase.co/storage/v1/object/public/old_media/4902ee34.Path.043708.jpg</t>
  </si>
  <si>
    <t>26d25c4f</t>
  </si>
  <si>
    <t>https://ryycrdhlkmzpxwwwwupy.supabase.co/storage/v1/object/public/old_media/26d25c4f.Path.043719.jpg</t>
  </si>
  <si>
    <t>941f71d2</t>
  </si>
  <si>
    <t>https://ryycrdhlkmzpxwwwwupy.supabase.co/storage/v1/object/public/old_media/941f71d2.Path.052854.jpg</t>
  </si>
  <si>
    <t>f9600335</t>
  </si>
  <si>
    <t>https://ryycrdhlkmzpxwwwwupy.supabase.co/storage/v1/object/public/old_media/f9600335.Path.100754.jpg</t>
  </si>
  <si>
    <t>c5afef5c</t>
  </si>
  <si>
    <t>https://ryycrdhlkmzpxwwwwupy.supabase.co/storage/v1/object/public/old_media/c5afef5c.Path.100806.jpg</t>
  </si>
  <si>
    <t>10f36837</t>
  </si>
  <si>
    <t>https://ryycrdhlkmzpxwwwwupy.supabase.co/storage/v1/object/public/old_media/10f36837.Path.100821.jpg</t>
  </si>
  <si>
    <t>dea19160</t>
  </si>
  <si>
    <t>https://ryycrdhlkmzpxwwwwupy.supabase.co/storage/v1/object/public/old_media/dea19160.Path.102820.webp</t>
  </si>
  <si>
    <t>f49db064</t>
  </si>
  <si>
    <t>https://ryycrdhlkmzpxwwwwupy.supabase.co/storage/v1/object/public/old_media/f49db064.Path.102830.webp</t>
  </si>
  <si>
    <t>8be4b6e0</t>
  </si>
  <si>
    <t>https://ryycrdhlkmzpxwwwwupy.supabase.co/storage/v1/object/public/old_media/8be4b6e0.Path.102839.webp</t>
  </si>
  <si>
    <t>fcaa46a8</t>
  </si>
  <si>
    <t>https://ryycrdhlkmzpxwwwwupy.supabase.co/storage/v1/object/public/old_media/fcaa46a8.Path.102847.webp</t>
  </si>
  <si>
    <t>2726ff08</t>
  </si>
  <si>
    <t>https://ryycrdhlkmzpxwwwwupy.supabase.co/storage/v1/object/public/old_media/2726ff08.Path.102858.webp</t>
  </si>
  <si>
    <t>bfa508d9</t>
  </si>
  <si>
    <t>https://ryycrdhlkmzpxwwwwupy.supabase.co/storage/v1/object/public/old_media/bfa508d9.Path.104825.webp</t>
  </si>
  <si>
    <t>e2b21201</t>
  </si>
  <si>
    <t>https://ryycrdhlkmzpxwwwwupy.supabase.co/storage/v1/object/public/old_media/e2b21201.Path.104836.jpg</t>
  </si>
  <si>
    <t>3625fc39</t>
  </si>
  <si>
    <t>https://ryycrdhlkmzpxwwwwupy.supabase.co/storage/v1/object/public/old_media/3625fc39.Path.105043.jpg</t>
  </si>
  <si>
    <t>bda64f33</t>
  </si>
  <si>
    <t>https://ryycrdhlkmzpxwwwwupy.supabase.co/storage/v1/object/public/old_media/bda64f33.Path.105100.jpg</t>
  </si>
  <si>
    <t>b6d0ee79</t>
  </si>
  <si>
    <t>https://ryycrdhlkmzpxwwwwupy.supabase.co/storage/v1/object/public/old_media/b6d0ee79.Path.105110.jpg</t>
  </si>
  <si>
    <t>4b3287fc</t>
  </si>
  <si>
    <t>https://ryycrdhlkmzpxwwwwupy.supabase.co/storage/v1/object/public/old_media/4b3287fc.Path.105124.jpg</t>
  </si>
  <si>
    <t>9a89a458</t>
  </si>
  <si>
    <t>https://ryycrdhlkmzpxwwwwupy.supabase.co/storage/v1/object/public/old_media/9a89a458.Path.105134.jpg</t>
  </si>
  <si>
    <t>0c9f922c</t>
  </si>
  <si>
    <t>https://ryycrdhlkmzpxwwwwupy.supabase.co/storage/v1/object/public/old_media/0c9f922c.Path.105144.jpg</t>
  </si>
  <si>
    <t>fc88a621</t>
  </si>
  <si>
    <t>https://ryycrdhlkmzpxwwwwupy.supabase.co/storage/v1/object/public/old_media/fc88a621.Path.105158.jpg</t>
  </si>
  <si>
    <t>bbcdbc17</t>
  </si>
  <si>
    <t>https://ryycrdhlkmzpxwwwwupy.supabase.co/storage/v1/object/public/old_media/bbcdbc17.Path.105703.jpg</t>
  </si>
  <si>
    <t>7a2305ac</t>
  </si>
  <si>
    <t>https://ryycrdhlkmzpxwwwwupy.supabase.co/storage/v1/object/public/old_media/7a2305ac.Path.105728.jpg</t>
  </si>
  <si>
    <t>1e70d898</t>
  </si>
  <si>
    <t>https://ryycrdhlkmzpxwwwwupy.supabase.co/storage/v1/object/public/old_media/1e70d898.Path.105749.jpg</t>
  </si>
  <si>
    <t>66d7396b</t>
  </si>
  <si>
    <t>https://ryycrdhlkmzpxwwwwupy.supabase.co/storage/v1/object/public/old_media/66d7396b.Path.105759.jpg</t>
  </si>
  <si>
    <t>e012c482</t>
  </si>
  <si>
    <t>https://ryycrdhlkmzpxwwwwupy.supabase.co/storage/v1/object/public/old_media/e012c482.Path.105814.jpg</t>
  </si>
  <si>
    <t>c8876b54</t>
  </si>
  <si>
    <t>https://ryycrdhlkmzpxwwwwupy.supabase.co/storage/v1/object/public/old_media/c8876b54.Path.044828.jpg</t>
  </si>
  <si>
    <t>7df0a432</t>
  </si>
  <si>
    <t>https://ryycrdhlkmzpxwwwwupy.supabase.co/storage/v1/object/public/old_media/7df0a432.Path.044915.jpg</t>
  </si>
  <si>
    <t>6fb33910</t>
  </si>
  <si>
    <t>https://ryycrdhlkmzpxwwwwupy.supabase.co/storage/v1/object/public/old_media/6fb33910.Path.045017.jpg</t>
  </si>
  <si>
    <t>eafc84ce</t>
  </si>
  <si>
    <t>https://ryycrdhlkmzpxwwwwupy.supabase.co/storage/v1/object/public/old_media/eafc84ce.Path.045050.jpg</t>
  </si>
  <si>
    <t>ba3787fd</t>
  </si>
  <si>
    <t>https://ryycrdhlkmzpxwwwwupy.supabase.co/storage/v1/object/public/old_media/ba3787fd.Path.045203.jpg</t>
  </si>
  <si>
    <t>e4dd6116</t>
  </si>
  <si>
    <t>https://ryycrdhlkmzpxwwwwupy.supabase.co/storage/v1/object/public/old_media/e4dd6116.Path.045222.jpg</t>
  </si>
  <si>
    <t>5cf948b8</t>
  </si>
  <si>
    <t>https://ryycrdhlkmzpxwwwwupy.supabase.co/storage/v1/object/public/old_media/5cf948b8.Path.045235.jpg</t>
  </si>
  <si>
    <t>c49a05a8</t>
  </si>
  <si>
    <t>https://ryycrdhlkmzpxwwwwupy.supabase.co/storage/v1/object/public/old_media/c49a05a8.Path.045251.jpg</t>
  </si>
  <si>
    <t>e5016a2e</t>
  </si>
  <si>
    <t>https://ryycrdhlkmzpxwwwwupy.supabase.co/storage/v1/object/public/old_media/e5016a2e.Path.045308.jpg</t>
  </si>
  <si>
    <t>434bdc61</t>
  </si>
  <si>
    <t>https://ryycrdhlkmzpxwwwwupy.supabase.co/storage/v1/object/public/old_media/434bdc61.Path.045358.jpg</t>
  </si>
  <si>
    <t>245068c3</t>
  </si>
  <si>
    <t>https://ryycrdhlkmzpxwwwwupy.supabase.co/storage/v1/object/public/old_media/245068c3.Path.045833.jpg</t>
  </si>
  <si>
    <t>63fa4079</t>
  </si>
  <si>
    <t>https://ryycrdhlkmzpxwwwwupy.supabase.co/storage/v1/object/public/old_media/63fa4079.Path.045906.jpg</t>
  </si>
  <si>
    <t>e4ef8331</t>
  </si>
  <si>
    <t>https://ryycrdhlkmzpxwwwwupy.supabase.co/storage/v1/object/public/old_media/e4ef8331.Path.072112.webp</t>
  </si>
  <si>
    <t>988f6f5f</t>
  </si>
  <si>
    <t>https://ryycrdhlkmzpxwwwwupy.supabase.co/storage/v1/object/public/old_media/988f6f5f.Path.072354.webp</t>
  </si>
  <si>
    <t>12c2a18a</t>
  </si>
  <si>
    <t>https://ryycrdhlkmzpxwwwwupy.supabase.co/storage/v1/object/public/old_media/12c2a18a.Path.072406.webp</t>
  </si>
  <si>
    <t>26586dbe</t>
  </si>
  <si>
    <t>https://ryycrdhlkmzpxwwwwupy.supabase.co/storage/v1/object/public/old_media/26586dbe.Path.072418.webp</t>
  </si>
  <si>
    <t>bab317f4</t>
  </si>
  <si>
    <t>https://ryycrdhlkmzpxwwwwupy.supabase.co/storage/v1/object/public/old_media/bab317f4.Path.072431.webp</t>
  </si>
  <si>
    <t>6b487de8</t>
  </si>
  <si>
    <t>https://ryycrdhlkmzpxwwwwupy.supabase.co/storage/v1/object/public/old_media/6b487de8.Path.072441.webp</t>
  </si>
  <si>
    <t>115c67e9</t>
  </si>
  <si>
    <t>https://ryycrdhlkmzpxwwwwupy.supabase.co/storage/v1/object/public/old_media/115c67e9.Path.075334.jpg</t>
  </si>
  <si>
    <t>f2225bdc</t>
  </si>
  <si>
    <t>https://ryycrdhlkmzpxwwwwupy.supabase.co/storage/v1/object/public/old_media/f2225bdc.Path.075347.webp</t>
  </si>
  <si>
    <t>f5834016</t>
  </si>
  <si>
    <t>https://ryycrdhlkmzpxwwwwupy.supabase.co/storage/v1/object/public/old_media/f5834016.Path.075400.webp</t>
  </si>
  <si>
    <t>abd8ae1c</t>
  </si>
  <si>
    <t>https://ryycrdhlkmzpxwwwwupy.supabase.co/storage/v1/object/public/old_media/abd8ae1c.Path.075412.webp</t>
  </si>
  <si>
    <t>1fbf0446</t>
  </si>
  <si>
    <t>https://ryycrdhlkmzpxwwwwupy.supabase.co/storage/v1/object/public/old_media/1fbf0446.Path.050850.jpg</t>
  </si>
  <si>
    <t>932665c7</t>
  </si>
  <si>
    <t>https://ryycrdhlkmzpxwwwwupy.supabase.co/storage/v1/object/public/old_media/932665c7.Path.050906.jpg</t>
  </si>
  <si>
    <t>4dfa9306</t>
  </si>
  <si>
    <t>https://ryycrdhlkmzpxwwwwupy.supabase.co/storage/v1/object/public/old_media/4dfa9306.Path.050928.jpg</t>
  </si>
  <si>
    <t>ac0e50b0</t>
  </si>
  <si>
    <t>https://ryycrdhlkmzpxwwwwupy.supabase.co/storage/v1/object/public/old_media/ac0e50b0.Path.050945.jpg</t>
  </si>
  <si>
    <t>d5b3aae8</t>
  </si>
  <si>
    <t>https://ryycrdhlkmzpxwwwwupy.supabase.co/storage/v1/object/public/old_media/d5b3aae8.Path.051005.jpg</t>
  </si>
  <si>
    <t>f39f390d</t>
  </si>
  <si>
    <t>https://ryycrdhlkmzpxwwwwupy.supabase.co/storage/v1/object/public/old_media/f39f390d.Path.051040.jpg</t>
  </si>
  <si>
    <t>faa92b08</t>
  </si>
  <si>
    <t>https://ryycrdhlkmzpxwwwwupy.supabase.co/storage/v1/object/public/old_media/faa92b08.Path.060428.jpg</t>
  </si>
  <si>
    <t>50dd2ffa</t>
  </si>
  <si>
    <t>https://ryycrdhlkmzpxwwwwupy.supabase.co/storage/v1/object/public/old_media/50dd2ffa.Path.060443.jpg</t>
  </si>
  <si>
    <t>89bad840</t>
  </si>
  <si>
    <t>https://ryycrdhlkmzpxwwwwupy.supabase.co/storage/v1/object/public/old_media/89bad840.Path.060453.jpg</t>
  </si>
  <si>
    <t>fb0afd0e</t>
  </si>
  <si>
    <t>https://ryycrdhlkmzpxwwwwupy.supabase.co/storage/v1/object/public/old_media/fb0afd0e.Path.060504.jpg</t>
  </si>
  <si>
    <t>2eea9dce</t>
  </si>
  <si>
    <t>https://ryycrdhlkmzpxwwwwupy.supabase.co/storage/v1/object/public/old_media/2eea9dce.Path.060520.jpg</t>
  </si>
  <si>
    <t>dc778a20</t>
  </si>
  <si>
    <t>https://ryycrdhlkmzpxwwwwupy.supabase.co/storage/v1/object/public/old_media/dc778a20.Path.060530.jpg</t>
  </si>
  <si>
    <t>264c65bf</t>
  </si>
  <si>
    <t>https://ryycrdhlkmzpxwwwwupy.supabase.co/storage/v1/object/public/old_media/264c65bf.Path.060544.jpg</t>
  </si>
  <si>
    <t>e1a19359</t>
  </si>
  <si>
    <t>https://ryycrdhlkmzpxwwwwupy.supabase.co/storage/v1/object/public/old_media/e1a19359.Path.060556.jpg</t>
  </si>
  <si>
    <t>c80ed749</t>
  </si>
  <si>
    <t>https://ryycrdhlkmzpxwwwwupy.supabase.co/storage/v1/object/public/old_media/c80ed749.Path.063332.jpg</t>
  </si>
  <si>
    <t>8e46bb07</t>
  </si>
  <si>
    <t>https://ryycrdhlkmzpxwwwwupy.supabase.co/storage/v1/object/public/old_media/8e46bb07.Path.044725.jpg</t>
  </si>
  <si>
    <t>964c1dce</t>
  </si>
  <si>
    <t>https://ryycrdhlkmzpxwwwwupy.supabase.co/storage/v1/object/public/old_media/964c1dce.Path.044738.jpg</t>
  </si>
  <si>
    <t>e405e7a7</t>
  </si>
  <si>
    <t>https://ryycrdhlkmzpxwwwwupy.supabase.co/storage/v1/object/public/old_media/e405e7a7.Path.044751.jpg</t>
  </si>
  <si>
    <t>da5ef297</t>
  </si>
  <si>
    <t>https://ryycrdhlkmzpxwwwwupy.supabase.co/storage/v1/object/public/old_media/da5ef297.Path.044802.jpg</t>
  </si>
  <si>
    <t>69de2076</t>
  </si>
  <si>
    <t>https://ryycrdhlkmzpxwwwwupy.supabase.co/storage/v1/object/public/old_media/69de2076.Path.044813.jpg</t>
  </si>
  <si>
    <t>b6eb657d</t>
  </si>
  <si>
    <t>https://ryycrdhlkmzpxwwwwupy.supabase.co/storage/v1/object/public/old_media/b6eb657d.Path.045814.jpg</t>
  </si>
  <si>
    <t>05f6e07e</t>
  </si>
  <si>
    <t>https://ryycrdhlkmzpxwwwwupy.supabase.co/storage/v1/object/public/old_media/05f6e07e.Path.045940.jpg</t>
  </si>
  <si>
    <t>Chambre 1</t>
  </si>
  <si>
    <t>9d4dae06</t>
  </si>
  <si>
    <t>https://ryycrdhlkmzpxwwwwupy.supabase.co/storage/v1/object/public/old_media/9d4dae06.Path.050028.jpg</t>
  </si>
  <si>
    <t>Chambre 2</t>
  </si>
  <si>
    <t>37a922a1</t>
  </si>
  <si>
    <t>https://ryycrdhlkmzpxwwwwupy.supabase.co/storage/v1/object/public/old_media/37a922a1.Path.050116.jpg</t>
  </si>
  <si>
    <t>Chambre 3</t>
  </si>
  <si>
    <t>4ed6b948</t>
  </si>
  <si>
    <t>https://ryycrdhlkmzpxwwwwupy.supabase.co/storage/v1/object/public/old_media/4ed6b948.Path.050129.jpg</t>
  </si>
  <si>
    <t>9c21cfa4</t>
  </si>
  <si>
    <t>https://ryycrdhlkmzpxwwwwupy.supabase.co/storage/v1/object/public/old_media/9c21cfa4.Path.050140.webp</t>
  </si>
  <si>
    <t>9c01e270</t>
  </si>
  <si>
    <t>https://ryycrdhlkmzpxwwwwupy.supabase.co/storage/v1/object/public/old_media/9c01e270.Path.050924.jpg</t>
  </si>
  <si>
    <t>821ac8e2</t>
  </si>
  <si>
    <t>https://ryycrdhlkmzpxwwwwupy.supabase.co/storage/v1/object/public/old_media/821ac8e2.Path.050945.jpg</t>
  </si>
  <si>
    <t>4a37e958</t>
  </si>
  <si>
    <t>https://ryycrdhlkmzpxwwwwupy.supabase.co/storage/v1/object/public/old_media/4a37e958.Path.051008.jpg</t>
  </si>
  <si>
    <t>4a686702</t>
  </si>
  <si>
    <t>https://ryycrdhlkmzpxwwwwupy.supabase.co/storage/v1/object/public/old_media/4a686702.Path.104422.jpg</t>
  </si>
  <si>
    <t>e230c0ac</t>
  </si>
  <si>
    <t>https://ryycrdhlkmzpxwwwwupy.supabase.co/storage/v1/object/public/old_media/e230c0ac.Path.104452.jpg</t>
  </si>
  <si>
    <t>f3929925</t>
  </si>
  <si>
    <t>https://ryycrdhlkmzpxwwwwupy.supabase.co/storage/v1/object/public/old_media/f3929925.Path.104506.jpg</t>
  </si>
  <si>
    <t>1ab70eb5</t>
  </si>
  <si>
    <t>https://ryycrdhlkmzpxwwwwupy.supabase.co/storage/v1/object/public/old_media/1ab70eb5.Path.053342.jpg</t>
  </si>
  <si>
    <t>a288a003</t>
  </si>
  <si>
    <t>https://ryycrdhlkmzpxwwwwupy.supabase.co/storage/v1/object/public/old_media/a288a003.Path.053541.jpg</t>
  </si>
  <si>
    <t>Espace de détente avec vue imprenable sur le littoral</t>
  </si>
  <si>
    <t>3f763e5f</t>
  </si>
  <si>
    <t>https://ryycrdhlkmzpxwwwwupy.supabase.co/storage/v1/object/public/old_media/3f763e5f.Path.053601.jpg</t>
  </si>
  <si>
    <t>b3695b49</t>
  </si>
  <si>
    <t>https://ryycrdhlkmzpxwwwwupy.supabase.co/storage/v1/object/public/old_media/b3695b49.Path.053613.jpg</t>
  </si>
  <si>
    <t>bc6afa2f</t>
  </si>
  <si>
    <t>https://ryycrdhlkmzpxwwwwupy.supabase.co/storage/v1/object/public/old_media/bc6afa2f.Path.053624.jpg</t>
  </si>
  <si>
    <t>d862a519</t>
  </si>
  <si>
    <t>https://ryycrdhlkmzpxwwwwupy.supabase.co/storage/v1/object/public/old_media/d862a519.Path.053636.jpg</t>
  </si>
  <si>
    <t>bfa2748f</t>
  </si>
  <si>
    <t>https://ryycrdhlkmzpxwwwwupy.supabase.co/storage/v1/object/public/old_media/bfa2748f.Path.053733.jpg</t>
  </si>
  <si>
    <t>aeb090ad</t>
  </si>
  <si>
    <t>https://ryycrdhlkmzpxwwwwupy.supabase.co/storage/v1/object/public/old_media/aeb090ad.Path.053812.jpg</t>
  </si>
  <si>
    <t>Grille tarifaire</t>
  </si>
  <si>
    <t>336a09a6</t>
  </si>
  <si>
    <t>https://ryycrdhlkmzpxwwwwupy.supabase.co/storage/v1/object/public/old_media/336a09a6.Path.062123.jpg</t>
  </si>
  <si>
    <t>2877c4cb</t>
  </si>
  <si>
    <t>https://ryycrdhlkmzpxwwwwupy.supabase.co/storage/v1/object/public/old_media/2877c4cb.Path.062134.jpg</t>
  </si>
  <si>
    <t>c06026b3</t>
  </si>
  <si>
    <t>https://ryycrdhlkmzpxwwwwupy.supabase.co/storage/v1/object/public/old_media/c06026b3.Path.062147.jpg</t>
  </si>
  <si>
    <t>f1f19063</t>
  </si>
  <si>
    <t>https://ryycrdhlkmzpxwwwwupy.supabase.co/storage/v1/object/public/old_media/f1f19063.Path.062200.jpg</t>
  </si>
  <si>
    <t>2adea6d5</t>
  </si>
  <si>
    <t>https://ryycrdhlkmzpxwwwwupy.supabase.co/storage/v1/object/public/old_media/2adea6d5.Path.062211.jpg</t>
  </si>
  <si>
    <t>4dd16d6c</t>
  </si>
  <si>
    <t>https://ryycrdhlkmzpxwwwwupy.supabase.co/storage/v1/object/public/old_media/4dd16d6c.Path.062223.jpg</t>
  </si>
  <si>
    <t>1b9f8859</t>
  </si>
  <si>
    <t>https://ryycrdhlkmzpxwwwwupy.supabase.co/storage/v1/object/public/old_media/1b9f8859.Path.094313.jpg</t>
  </si>
  <si>
    <t>bdd4a3a3</t>
  </si>
  <si>
    <t>https://ryycrdhlkmzpxwwwwupy.supabase.co/storage/v1/object/public/old_media/bdd4a3a3.Path.072510.jpg</t>
  </si>
  <si>
    <t>95cc97fe</t>
  </si>
  <si>
    <t>https://ryycrdhlkmzpxwwwwupy.supabase.co/storage/v1/object/public/old_media/95cc97fe.Path.072601.jpg</t>
  </si>
  <si>
    <t>0d06aae4</t>
  </si>
  <si>
    <t>https://ryycrdhlkmzpxwwwwupy.supabase.co/storage/v1/object/public/old_media/0d06aae4.Path.072701.jpg</t>
  </si>
  <si>
    <t>37221f6b</t>
  </si>
  <si>
    <t>https://ryycrdhlkmzpxwwwwupy.supabase.co/storage/v1/object/public/old_media/37221f6b.Path.072723.jpg</t>
  </si>
  <si>
    <t>e2974977</t>
  </si>
  <si>
    <t>https://ryycrdhlkmzpxwwwwupy.supabase.co/storage/v1/object/public/old_media/e2974977.Path.072802.jpg</t>
  </si>
  <si>
    <t>24f25c73</t>
  </si>
  <si>
    <t>https://ryycrdhlkmzpxwwwwupy.supabase.co/storage/v1/object/public/old_media/24f25c73.Path.072827.jpg</t>
  </si>
  <si>
    <t>cf962d52</t>
  </si>
  <si>
    <t>https://ryycrdhlkmzpxwwwwupy.supabase.co/storage/v1/object/public/old_media/cf962d52.Path.072920.jpg</t>
  </si>
  <si>
    <t>0329a29b</t>
  </si>
  <si>
    <t>https://ryycrdhlkmzpxwwwwupy.supabase.co/storage/v1/object/public/old_media/0329a29b.Path.073034.jpg</t>
  </si>
  <si>
    <t>61e7caad</t>
  </si>
  <si>
    <t>https://ryycrdhlkmzpxwwwwupy.supabase.co/storage/v1/object/public/old_media/61e7caad.Path.073108.jpg</t>
  </si>
  <si>
    <t>62a6b081</t>
  </si>
  <si>
    <t>https://ryycrdhlkmzpxwwwwupy.supabase.co/storage/v1/object/public/old_media/62a6b081.Path.073130.jpg</t>
  </si>
  <si>
    <t>3a235d9d</t>
  </si>
  <si>
    <t>https://ryycrdhlkmzpxwwwwupy.supabase.co/storage/v1/object/public/old_media/3a235d9d.Path.073200.jpg</t>
  </si>
  <si>
    <t>8677bfa5</t>
  </si>
  <si>
    <t>https://ryycrdhlkmzpxwwwwupy.supabase.co/storage/v1/object/public/old_media/8677bfa5.Path.073229.jpg</t>
  </si>
  <si>
    <t>3b3d6ddc</t>
  </si>
  <si>
    <t>https://ryycrdhlkmzpxwwwwupy.supabase.co/storage/v1/object/public/old_media/3b3d6ddc.Path.073251.jpg</t>
  </si>
  <si>
    <t>73ba88e8</t>
  </si>
  <si>
    <t>https://ryycrdhlkmzpxwwwwupy.supabase.co/storage/v1/object/public/old_media/73ba88e8.Path.073314.jpg</t>
  </si>
  <si>
    <t>8d0b95a5</t>
  </si>
  <si>
    <t>https://ryycrdhlkmzpxwwwwupy.supabase.co/storage/v1/object/public/old_media/8d0b95a5.Path.073344.jpg</t>
  </si>
  <si>
    <t>4563508a</t>
  </si>
  <si>
    <t>https://ryycrdhlkmzpxwwwwupy.supabase.co/storage/v1/object/public/old_media/4563508a.Path.061737.jpg</t>
  </si>
  <si>
    <t>88a77fe2</t>
  </si>
  <si>
    <t>https://ryycrdhlkmzpxwwwwupy.supabase.co/storage/v1/object/public/old_media/88a77fe2.Path.061747.jpg</t>
  </si>
  <si>
    <t>2d33403a</t>
  </si>
  <si>
    <t>https://ryycrdhlkmzpxwwwwupy.supabase.co/storage/v1/object/public/old_media/2d33403a.Path.061759.jpg</t>
  </si>
  <si>
    <t>Horaires</t>
  </si>
  <si>
    <t>9a8253bf</t>
  </si>
  <si>
    <t>https://ryycrdhlkmzpxwwwwupy.supabase.co/storage/v1/object/public/old_media/9a8253bf.Path.064630.jpg</t>
  </si>
  <si>
    <t>25aade70</t>
  </si>
  <si>
    <t>https://ryycrdhlkmzpxwwwwupy.supabase.co/storage/v1/object/public/old_media/25aade70.Path.064646.jpg</t>
  </si>
  <si>
    <t>70be03e1</t>
  </si>
  <si>
    <t>https://ryycrdhlkmzpxwwwwupy.supabase.co/storage/v1/object/public/old_media/70be03e1.Path.064700.jpg</t>
  </si>
  <si>
    <t>1242a53a</t>
  </si>
  <si>
    <t>https://ryycrdhlkmzpxwwwwupy.supabase.co/storage/v1/object/public/old_media/1242a53a.Path.064714.jpg</t>
  </si>
  <si>
    <t>d240b34d</t>
  </si>
  <si>
    <t>https://ryycrdhlkmzpxwwwwupy.supabase.co/storage/v1/object/public/old_media/d240b34d.Path.064729.jpg</t>
  </si>
  <si>
    <t>848d764b</t>
  </si>
  <si>
    <t>https://ryycrdhlkmzpxwwwwupy.supabase.co/storage/v1/object/public/old_media/848d764b.Path.064739.jpg</t>
  </si>
  <si>
    <t>489a648f</t>
  </si>
  <si>
    <t>https://ryycrdhlkmzpxwwwwupy.supabase.co/storage/v1/object/public/old_media/489a648f.Path.074136.jpg</t>
  </si>
  <si>
    <t>9ec66981</t>
  </si>
  <si>
    <t>https://ryycrdhlkmzpxwwwwupy.supabase.co/storage/v1/object/public/old_media/9ec66981.Path.074145.jpg</t>
  </si>
  <si>
    <t>a60c95d3</t>
  </si>
  <si>
    <t>https://ryycrdhlkmzpxwwwwupy.supabase.co/storage/v1/object/public/old_media/a60c95d3.Path.074156.jpg</t>
  </si>
  <si>
    <t>07554ebb</t>
  </si>
  <si>
    <t>https://ryycrdhlkmzpxwwwwupy.supabase.co/storage/v1/object/public/old_media/07554ebb.Path.074207.jpg</t>
  </si>
  <si>
    <t>44c23d50</t>
  </si>
  <si>
    <t>https://ryycrdhlkmzpxwwwwupy.supabase.co/storage/v1/object/public/old_media/44c23d50.Path.074214.jpg</t>
  </si>
  <si>
    <t>be69efa6</t>
  </si>
  <si>
    <t>https://ryycrdhlkmzpxwwwwupy.supabase.co/storage/v1/object/public/old_media/be69efa6.Path.074224.jpg</t>
  </si>
  <si>
    <t>bda29e09</t>
  </si>
  <si>
    <t>https://ryycrdhlkmzpxwwwwupy.supabase.co/storage/v1/object/public/old_media/bda29e09.Path.074236.jpg</t>
  </si>
  <si>
    <t>cccc7766</t>
  </si>
  <si>
    <t>https://ryycrdhlkmzpxwwwwupy.supabase.co/storage/v1/object/public/old_media/cccc7766.Path.094436.webp</t>
  </si>
  <si>
    <t>ab25c33e</t>
  </si>
  <si>
    <t>https://ryycrdhlkmzpxwwwwupy.supabase.co/storage/v1/object/public/old_media/ab25c33e.Path.094445.webp</t>
  </si>
  <si>
    <t>98323204</t>
  </si>
  <si>
    <t>https://ryycrdhlkmzpxwwwwupy.supabase.co/storage/v1/object/public/old_media/98323204.Path.094456.webp</t>
  </si>
  <si>
    <t>9d63b699</t>
  </si>
  <si>
    <t>https://ryycrdhlkmzpxwwwwupy.supabase.co/storage/v1/object/public/old_media/9d63b699.Path.094507.webp</t>
  </si>
  <si>
    <t>73231fea</t>
  </si>
  <si>
    <t>https://ryycrdhlkmzpxwwwwupy.supabase.co/storage/v1/object/public/old_media/73231fea.Path.094519.webp</t>
  </si>
  <si>
    <t>190cb71d</t>
  </si>
  <si>
    <t>https://ryycrdhlkmzpxwwwwupy.supabase.co/storage/v1/object/public/old_media/190cb71d.Path.094529.webp</t>
  </si>
  <si>
    <t>679188c3</t>
  </si>
  <si>
    <t>https://ryycrdhlkmzpxwwwwupy.supabase.co/storage/v1/object/public/old_media/679188c3.Path.094540.webp</t>
  </si>
  <si>
    <t>12ea70fc</t>
  </si>
  <si>
    <t>https://ryycrdhlkmzpxwwwwupy.supabase.co/storage/v1/object/public/old_media/12ea70fc.Path.095211.png</t>
  </si>
  <si>
    <t>Tarifs</t>
  </si>
  <si>
    <t>dad0cb29</t>
  </si>
  <si>
    <t>https://ryycrdhlkmzpxwwwwupy.supabase.co/storage/v1/object/public/old_media/dad0cb29.Path.051510.jpg</t>
  </si>
  <si>
    <t>35d11ac3</t>
  </si>
  <si>
    <t>https://ryycrdhlkmzpxwwwwupy.supabase.co/storage/v1/object/public/old_media/35d11ac3.Path.051527.jpg</t>
  </si>
  <si>
    <t>90a935c9</t>
  </si>
  <si>
    <t>https://ryycrdhlkmzpxwwwwupy.supabase.co/storage/v1/object/public/old_media/90a935c9.Path.051541.jpg</t>
  </si>
  <si>
    <t>4a6e470b</t>
  </si>
  <si>
    <t>https://ryycrdhlkmzpxwwwwupy.supabase.co/storage/v1/object/public/old_media/4a6e470b.Path.051556.jpg</t>
  </si>
  <si>
    <t>c3424002</t>
  </si>
  <si>
    <t>https://ryycrdhlkmzpxwwwwupy.supabase.co/storage/v1/object/public/old_media/c3424002.Path.051609.jpg</t>
  </si>
  <si>
    <t>dfdd7259</t>
  </si>
  <si>
    <t>https://ryycrdhlkmzpxwwwwupy.supabase.co/storage/v1/object/public/old_media/dfdd7259.Path.070824.jpg</t>
  </si>
  <si>
    <t>e793b3c2</t>
  </si>
  <si>
    <t>https://ryycrdhlkmzpxwwwwupy.supabase.co/storage/v1/object/public/old_media/e793b3c2.Path.070907.jpg</t>
  </si>
  <si>
    <t>75b7ccc1</t>
  </si>
  <si>
    <t>https://ryycrdhlkmzpxwwwwupy.supabase.co/storage/v1/object/public/old_media/75b7ccc1.Path.070922.jpg</t>
  </si>
  <si>
    <t>3d57c3a9</t>
  </si>
  <si>
    <t>https://ryycrdhlkmzpxwwwwupy.supabase.co/storage/v1/object/public/old_media/3d57c3a9.Path.071810.jpg</t>
  </si>
  <si>
    <t>d0e54002</t>
  </si>
  <si>
    <t>https://ryycrdhlkmzpxwwwwupy.supabase.co/storage/v1/object/public/old_media/d0e54002.Path.072708.webp</t>
  </si>
  <si>
    <t>c8e6ffad</t>
  </si>
  <si>
    <t>https://ryycrdhlkmzpxwwwwupy.supabase.co/storage/v1/object/public/old_media/c8e6ffad.Path.072721.webp</t>
  </si>
  <si>
    <t>1fac8b08</t>
  </si>
  <si>
    <t>https://ryycrdhlkmzpxwwwwupy.supabase.co/storage/v1/object/public/old_media/1fac8b08.Path.072734.jpg</t>
  </si>
  <si>
    <t>bbe9b833</t>
  </si>
  <si>
    <t>https://ryycrdhlkmzpxwwwwupy.supabase.co/storage/v1/object/public/old_media/bbe9b833.Path.072745.jpg</t>
  </si>
  <si>
    <t>89bbebf5</t>
  </si>
  <si>
    <t>https://ryycrdhlkmzpxwwwwupy.supabase.co/storage/v1/object/public/old_media/89bbebf5.Path.072800.jpg</t>
  </si>
  <si>
    <t>4d69c14e</t>
  </si>
  <si>
    <t>https://ryycrdhlkmzpxwwwwupy.supabase.co/storage/v1/object/public/old_media/4d69c14e.Path.072810.webp</t>
  </si>
  <si>
    <t>f8965a14</t>
  </si>
  <si>
    <t>https://ryycrdhlkmzpxwwwwupy.supabase.co/storage/v1/object/public/old_media/f8965a14.Path.102545.jpg</t>
  </si>
  <si>
    <t>30808780</t>
  </si>
  <si>
    <t>https://ryycrdhlkmzpxwwwwupy.supabase.co/storage/v1/object/public/old_media/30808780.Path.102555.jpg</t>
  </si>
  <si>
    <t>8e3c2a81</t>
  </si>
  <si>
    <t>https://ryycrdhlkmzpxwwwwupy.supabase.co/storage/v1/object/public/old_media/8e3c2a81.Path.072354.jpg</t>
  </si>
  <si>
    <t>e01ebd23</t>
  </si>
  <si>
    <t>https://ryycrdhlkmzpxwwwwupy.supabase.co/storage/v1/object/public/old_media/e01ebd23.Path.072408.jpg</t>
  </si>
  <si>
    <t>dfc007a1</t>
  </si>
  <si>
    <t>https://ryycrdhlkmzpxwwwwupy.supabase.co/storage/v1/object/public/old_media/dfc007a1.Path.072443.jpg</t>
  </si>
  <si>
    <t>254a792e</t>
  </si>
  <si>
    <t>https://ryycrdhlkmzpxwwwwupy.supabase.co/storage/v1/object/public/old_media/254a792e.Path.092652.jpg</t>
  </si>
  <si>
    <t>df1bd08c</t>
  </si>
  <si>
    <t>https://ryycrdhlkmzpxwwwwupy.supabase.co/storage/v1/object/public/old_media/df1bd08c.Path.092720.jpg</t>
  </si>
  <si>
    <t>5a57707d</t>
  </si>
  <si>
    <t>https://ryycrdhlkmzpxwwwwupy.supabase.co/storage/v1/object/public/old_media/5a57707d.Path.092748.jpg</t>
  </si>
  <si>
    <t>eba40d9c</t>
  </si>
  <si>
    <t>https://ryycrdhlkmzpxwwwwupy.supabase.co/storage/v1/object/public/old_media/eba40d9c.Path.092823.jpg</t>
  </si>
  <si>
    <t>0aad9624</t>
  </si>
  <si>
    <t>https://ryycrdhlkmzpxwwwwupy.supabase.co/storage/v1/object/public/old_media/0aad9624.Path.092844.jpg</t>
  </si>
  <si>
    <t>9ac8e93c</t>
  </si>
  <si>
    <t>https://ryycrdhlkmzpxwwwwupy.supabase.co/storage/v1/object/public/old_media/9ac8e93c.Path.092918.jpg</t>
  </si>
  <si>
    <t>7362ce2b</t>
  </si>
  <si>
    <t>https://ryycrdhlkmzpxwwwwupy.supabase.co/storage/v1/object/public/old_media/7362ce2b.Path.092950.jpg</t>
  </si>
  <si>
    <t>ee974417</t>
  </si>
  <si>
    <t>https://ryycrdhlkmzpxwwwwupy.supabase.co/storage/v1/object/public/old_media/ee974417.Path.093024.jpg</t>
  </si>
  <si>
    <t>e8d3c289</t>
  </si>
  <si>
    <t>https://ryycrdhlkmzpxwwwwupy.supabase.co/storage/v1/object/public/old_media/e8d3c289.Path.093052.jpg</t>
  </si>
  <si>
    <t>a81116e0</t>
  </si>
  <si>
    <t>https://ryycrdhlkmzpxwwwwupy.supabase.co/storage/v1/object/public/old_media/a81116e0.Path.111744.jpg</t>
  </si>
  <si>
    <t>flyer</t>
  </si>
  <si>
    <t>1e28100f</t>
  </si>
  <si>
    <t>https://ryycrdhlkmzpxwwwwupy.supabase.co/storage/v1/object/public/old_media/1e28100f.Path.111816.jpg</t>
  </si>
  <si>
    <t>flyers tarifs</t>
  </si>
  <si>
    <t>415ebb73</t>
  </si>
  <si>
    <t>https://ryycrdhlkmzpxwwwwupy.supabase.co/storage/v1/object/public/old_media/415ebb73.Path.045437.jpg</t>
  </si>
  <si>
    <t>0d56b43a</t>
  </si>
  <si>
    <t>https://ryycrdhlkmzpxwwwwupy.supabase.co/storage/v1/object/public/old_media/0d56b43a.Path.100555.jpg</t>
  </si>
  <si>
    <t>Ô PALMISTE ROUGE - Photo 1</t>
  </si>
  <si>
    <t>66bacf3e</t>
  </si>
  <si>
    <t>https://ryycrdhlkmzpxwwwwupy.supabase.co/storage/v1/object/public/old_media/66bacf3e.Path.100618.jpg</t>
  </si>
  <si>
    <t>Ô PALMISTE ROUGE - Photo 2</t>
  </si>
  <si>
    <t>b6380295</t>
  </si>
  <si>
    <t>https://ryycrdhlkmzpxwwwwupy.supabase.co/storage/v1/object/public/old_media/b6380295.Path.100638.jpg</t>
  </si>
  <si>
    <t>Ô PALMISTE ROUGE - Photo 3</t>
  </si>
  <si>
    <t>795794d4</t>
  </si>
  <si>
    <t>https://ryycrdhlkmzpxwwwwupy.supabase.co/storage/v1/object/public/old_media/795794d4.Path.101247.jpg</t>
  </si>
  <si>
    <t>Ô VERT-TIGE - Photo 1</t>
  </si>
  <si>
    <t>bf37717c</t>
  </si>
  <si>
    <t>https://ryycrdhlkmzpxwwwwupy.supabase.co/storage/v1/object/public/old_media/bf37717c.Path.101300.jpg</t>
  </si>
  <si>
    <t>Ô VERT-TIGE - Photo 2</t>
  </si>
  <si>
    <t>33418ed4</t>
  </si>
  <si>
    <t>https://ryycrdhlkmzpxwwwwupy.supabase.co/storage/v1/object/public/old_media/33418ed4.Path.101320.jpg</t>
  </si>
  <si>
    <t>Ô VERT-TIGE - Photo 3</t>
  </si>
  <si>
    <t>f890ae9f</t>
  </si>
  <si>
    <t>https://ryycrdhlkmzpxwwwwupy.supabase.co/storage/v1/object/public/old_media/f890ae9f.Path.101402.jpg</t>
  </si>
  <si>
    <t>Ô VERT-TIGE - Photo 4</t>
  </si>
  <si>
    <t>6b37e16f</t>
  </si>
  <si>
    <t>https://ryycrdhlkmzpxwwwwupy.supabase.co/storage/v1/object/public/old_media/6b37e16f.Path.052912.jpg</t>
  </si>
  <si>
    <t>Ô VERT-TIGE - Photo 5</t>
  </si>
  <si>
    <t>66257e7f</t>
  </si>
  <si>
    <t>https://ryycrdhlkmzpxwwwwupy.supabase.co/storage/v1/object/public/old_media/66257e7f.Path.052944.jpg</t>
  </si>
  <si>
    <t>Ô VERT-TIGE - Photo 6</t>
  </si>
  <si>
    <t>21ffe47b</t>
  </si>
  <si>
    <t>https://ryycrdhlkmzpxwwwwupy.supabase.co/storage/v1/object/public/old_media/21ffe47b.Path.053010.jpg</t>
  </si>
  <si>
    <t>Ô VERT-TIGE - Photo 7</t>
  </si>
  <si>
    <t>b6102ebc</t>
  </si>
  <si>
    <t>https://ryycrdhlkmzpxwwwwupy.supabase.co/storage/v1/object/public/old_media/b6102ebc.Path.053116.jpg</t>
  </si>
  <si>
    <t>Ô VERT-TIGE - Photo 8</t>
  </si>
  <si>
    <t>5e5998d5</t>
  </si>
  <si>
    <t>https://ryycrdhlkmzpxwwwwupy.supabase.co/storage/v1/object/public/old_media/5e5998d5.Path.101029.jpg</t>
  </si>
  <si>
    <t>7d9e4fa4</t>
  </si>
  <si>
    <t>https://ryycrdhlkmzpxwwwwupy.supabase.co/storage/v1/object/public/old_media/7d9e4fa4.Path.101040.jpg</t>
  </si>
  <si>
    <t>cc643ee9</t>
  </si>
  <si>
    <t>https://ryycrdhlkmzpxwwwwupy.supabase.co/storage/v1/object/public/old_media/cc643ee9.Path.101050.jpg</t>
  </si>
  <si>
    <t>f46bee37</t>
  </si>
  <si>
    <t>https://ryycrdhlkmzpxwwwwupy.supabase.co/storage/v1/object/public/old_media/f46bee37.Path.101105.jpg</t>
  </si>
  <si>
    <t>644ceb67</t>
  </si>
  <si>
    <t>https://ryycrdhlkmzpxwwwwupy.supabase.co/storage/v1/object/public/old_media/644ceb67.Path.101115.jpg</t>
  </si>
  <si>
    <t>3d36b258</t>
  </si>
  <si>
    <t>https://ryycrdhlkmzpxwwwwupy.supabase.co/storage/v1/object/public/old_media/3d36b258.Path.101127.jpg</t>
  </si>
  <si>
    <t>bf7f0a7b</t>
  </si>
  <si>
    <t>https://ryycrdhlkmzpxwwwwupy.supabase.co/storage/v1/object/public/old_media/bf7f0a7b.Path.121530.jpg</t>
  </si>
  <si>
    <t>8d29e7ec</t>
  </si>
  <si>
    <t>https://ryycrdhlkmzpxwwwwupy.supabase.co/storage/v1/object/public/old_media/8d29e7ec.Path.045626.jpg</t>
  </si>
  <si>
    <t>28a526d3</t>
  </si>
  <si>
    <t>https://ryycrdhlkmzpxwwwwupy.supabase.co/storage/v1/object/public/old_media/28a526d3.Path.061030.png</t>
  </si>
  <si>
    <t>8af44e5e</t>
  </si>
  <si>
    <t>https://ryycrdhlkmzpxwwwwupy.supabase.co/storage/v1/object/public/old_media/8af44e5e.Path.091318.jpg</t>
  </si>
  <si>
    <t>0dfd5f76</t>
  </si>
  <si>
    <t>https://ryycrdhlkmzpxwwwwupy.supabase.co/storage/v1/object/public/old_media/0dfd5f76.Path.091329.jpg</t>
  </si>
  <si>
    <t>58327ac2</t>
  </si>
  <si>
    <t>https://ryycrdhlkmzpxwwwwupy.supabase.co/storage/v1/object/public/old_media/58327ac2.Path.091344.jpg</t>
  </si>
  <si>
    <t>0510d1a3</t>
  </si>
  <si>
    <t>https://ryycrdhlkmzpxwwwwupy.supabase.co/storage/v1/object/public/old_media/0510d1a3.Path.091358.jpg</t>
  </si>
  <si>
    <t>d867b6fa</t>
  </si>
  <si>
    <t>https://ryycrdhlkmzpxwwwwupy.supabase.co/storage/v1/object/public/old_media/d867b6fa.Path.091409.jpg</t>
  </si>
  <si>
    <t>17570f72</t>
  </si>
  <si>
    <t>https://ryycrdhlkmzpxwwwwupy.supabase.co/storage/v1/object/public/old_media/17570f72.Path.092358.jpg</t>
  </si>
  <si>
    <t>0a54eae0</t>
  </si>
  <si>
    <t>https://ryycrdhlkmzpxwwwwupy.supabase.co/storage/v1/object/public/old_media/0a54eae0.Path.092408.jpg</t>
  </si>
  <si>
    <t>0b401634</t>
  </si>
  <si>
    <t>https://ryycrdhlkmzpxwwwwupy.supabase.co/storage/v1/object/public/old_media/0b401634.Path.092418.jpg</t>
  </si>
  <si>
    <t>1ee0c946</t>
  </si>
  <si>
    <t>https://ryycrdhlkmzpxwwwwupy.supabase.co/storage/v1/object/public/old_media/1ee0c946.Path.092430.jpg</t>
  </si>
  <si>
    <t>da8c235f</t>
  </si>
  <si>
    <t>https://ryycrdhlkmzpxwwwwupy.supabase.co/storage/v1/object/public/old_media/da8c235f.Path.055542.jpg</t>
  </si>
  <si>
    <t>ad910c5a</t>
  </si>
  <si>
    <t>https://ryycrdhlkmzpxwwwwupy.supabase.co/storage/v1/object/public/old_media/ad910c5a.Path.043800.jpg</t>
  </si>
  <si>
    <t>7b84f47a</t>
  </si>
  <si>
    <t>https://ryycrdhlkmzpxwwwwupy.supabase.co/storage/v1/object/public/old_media/7b84f47a.Path.043813.jpg</t>
  </si>
  <si>
    <t>9def8d6c</t>
  </si>
  <si>
    <t>https://ryycrdhlkmzpxwwwwupy.supabase.co/storage/v1/object/public/old_media/9def8d6c.Path.043822.jpg</t>
  </si>
  <si>
    <t>08b0bcc3</t>
  </si>
  <si>
    <t>https://ryycrdhlkmzpxwwwwupy.supabase.co/storage/v1/object/public/old_media/08b0bcc3.Path.043832.jpg</t>
  </si>
  <si>
    <t>6d6fd3bd</t>
  </si>
  <si>
    <t>https://ryycrdhlkmzpxwwwwupy.supabase.co/storage/v1/object/public/old_media/6d6fd3bd.Path.043841.jpg</t>
  </si>
  <si>
    <t>fdc48b79</t>
  </si>
  <si>
    <t>https://ryycrdhlkmzpxwwwwupy.supabase.co/storage/v1/object/public/old_media/fdc48b79.Path.043852.jpg</t>
  </si>
  <si>
    <t>1adea592</t>
  </si>
  <si>
    <t>https://ryycrdhlkmzpxwwwwupy.supabase.co/storage/v1/object/public/old_media/1adea592.Path.043901.jpg</t>
  </si>
  <si>
    <t>d42022cd</t>
  </si>
  <si>
    <t>https://ryycrdhlkmzpxwwwwupy.supabase.co/storage/v1/object/public/old_media/d42022cd.Path.043909.jpg</t>
  </si>
  <si>
    <t>405841fa</t>
  </si>
  <si>
    <t>https://ryycrdhlkmzpxwwwwupy.supabase.co/storage/v1/object/public/old_media/405841fa.Path.065800.jpg</t>
  </si>
  <si>
    <t>144a5ea8</t>
  </si>
  <si>
    <t>https://ryycrdhlkmzpxwwwwupy.supabase.co/storage/v1/object/public/old_media/144a5ea8.Path.065815.jpg</t>
  </si>
  <si>
    <t>4b2f8061</t>
  </si>
  <si>
    <t>https://ryycrdhlkmzpxwwwwupy.supabase.co/storage/v1/object/public/old_media/4b2f8061.Path.065832.jpg</t>
  </si>
  <si>
    <t>aa3379f8</t>
  </si>
  <si>
    <t>https://ryycrdhlkmzpxwwwwupy.supabase.co/storage/v1/object/public/old_media/aa3379f8.Path.070028.jpg</t>
  </si>
  <si>
    <t>be8ba158</t>
  </si>
  <si>
    <t>https://ryycrdhlkmzpxwwwwupy.supabase.co/storage/v1/object/public/old_media/be8ba158.Path.070036.jpg</t>
  </si>
  <si>
    <t>4b56dd9e</t>
  </si>
  <si>
    <t>https://ryycrdhlkmzpxwwwwupy.supabase.co/storage/v1/object/public/old_media/4b56dd9e.Path.112825.jpg</t>
  </si>
  <si>
    <t>fe62b683</t>
  </si>
  <si>
    <t>https://ryycrdhlkmzpxwwwwupy.supabase.co/storage/v1/object/public/old_media/fe62b683.Path.112842.jpg</t>
  </si>
  <si>
    <t>fcd89fb6</t>
  </si>
  <si>
    <t>https://ryycrdhlkmzpxwwwwupy.supabase.co/storage/v1/object/public/old_media/fcd89fb6.Path.103706.jpg</t>
  </si>
  <si>
    <t>528da108</t>
  </si>
  <si>
    <t>https://ryycrdhlkmzpxwwwwupy.supabase.co/storage/v1/object/public/old_media/528da108.Path.103718.jpg</t>
  </si>
  <si>
    <t>455acbe8</t>
  </si>
  <si>
    <t>https://ryycrdhlkmzpxwwwwupy.supabase.co/storage/v1/object/public/old_media/455acbe8.Path.103727.jpg</t>
  </si>
  <si>
    <t>eb8bb9f7</t>
  </si>
  <si>
    <t>https://ryycrdhlkmzpxwwwwupy.supabase.co/storage/v1/object/public/old_media/eb8bb9f7.Path.103736.jpg</t>
  </si>
  <si>
    <t>554e7bf5</t>
  </si>
  <si>
    <t>https://ryycrdhlkmzpxwwwwupy.supabase.co/storage/v1/object/public/old_media/554e7bf5.Path.103800.jpg</t>
  </si>
  <si>
    <t>50de2d4d</t>
  </si>
  <si>
    <t>https://ryycrdhlkmzpxwwwwupy.supabase.co/storage/v1/object/public/old_media/50de2d4d.Path.103822.png</t>
  </si>
  <si>
    <t>c51bf3b1</t>
  </si>
  <si>
    <t>https://ryycrdhlkmzpxwwwwupy.supabase.co/storage/v1/object/public/old_media/c51bf3b1.Path.103839.png</t>
  </si>
  <si>
    <t>1fba57ca</t>
  </si>
  <si>
    <t>https://ryycrdhlkmzpxwwwwupy.supabase.co/storage/v1/object/public/old_media/1fba57ca.Path.105536.jpg</t>
  </si>
  <si>
    <t>43dcfe9b</t>
  </si>
  <si>
    <t>https://ryycrdhlkmzpxwwwwupy.supabase.co/storage/v1/object/public/old_media/43dcfe9b.Path.105549.jpg</t>
  </si>
  <si>
    <t>b133f427</t>
  </si>
  <si>
    <t>https://ryycrdhlkmzpxwwwwupy.supabase.co/storage/v1/object/public/old_media/b133f427.Path.105558.jpg</t>
  </si>
  <si>
    <t>46052c1d</t>
  </si>
  <si>
    <t>https://ryycrdhlkmzpxwwwwupy.supabase.co/storage/v1/object/public/old_media/46052c1d.Path.105608.jpg</t>
  </si>
  <si>
    <t>076c0d17</t>
  </si>
  <si>
    <t>https://ryycrdhlkmzpxwwwwupy.supabase.co/storage/v1/object/public/old_media/076c0d17.Path.050423.jpg</t>
  </si>
  <si>
    <t>8689fb78</t>
  </si>
  <si>
    <t>https://ryycrdhlkmzpxwwwwupy.supabase.co/storage/v1/object/public/old_media/8689fb78.Path.050458.jpg</t>
  </si>
  <si>
    <t>f37e5002</t>
  </si>
  <si>
    <t>https://ryycrdhlkmzpxwwwwupy.supabase.co/storage/v1/object/public/old_media/f37e5002.Path.050550.jpg</t>
  </si>
  <si>
    <t>71c8de76</t>
  </si>
  <si>
    <t>https://ryycrdhlkmzpxwwwwupy.supabase.co/storage/v1/object/public/old_media/71c8de76.Path.050640.jpg</t>
  </si>
  <si>
    <t>8b2af7a5</t>
  </si>
  <si>
    <t>https://ryycrdhlkmzpxwwwwupy.supabase.co/storage/v1/object/public/old_media/8b2af7a5.Path.050815.jpg</t>
  </si>
  <si>
    <t>abd89cb1</t>
  </si>
  <si>
    <t>https://ryycrdhlkmzpxwwwwupy.supabase.co/storage/v1/object/public/old_media/abd89cb1.Path.050919.jpg</t>
  </si>
  <si>
    <t>a7ccad43</t>
  </si>
  <si>
    <t>https://ryycrdhlkmzpxwwwwupy.supabase.co/storage/v1/object/public/old_media/a7ccad43.Path.051019.jpg</t>
  </si>
  <si>
    <t>7876f2cc</t>
  </si>
  <si>
    <t>https://ryycrdhlkmzpxwwwwupy.supabase.co/storage/v1/object/public/old_media/7876f2cc.Path.051113.jpg</t>
  </si>
  <si>
    <t>fc5c9374</t>
  </si>
  <si>
    <t>https://ryycrdhlkmzpxwwwwupy.supabase.co/storage/v1/object/public/old_media/fc5c9374.Path.051148.jpg</t>
  </si>
  <si>
    <t>dfd787f6</t>
  </si>
  <si>
    <t>https://ryycrdhlkmzpxwwwwupy.supabase.co/storage/v1/object/public/old_media/dfd787f6.Path.070435.jpg</t>
  </si>
  <si>
    <t>dee85229</t>
  </si>
  <si>
    <t>https://ryycrdhlkmzpxwwwwupy.supabase.co/storage/v1/object/public/old_media/dee85229.Path.070444.jpg</t>
  </si>
  <si>
    <t>f6d85304</t>
  </si>
  <si>
    <t>https://ryycrdhlkmzpxwwwwupy.supabase.co/storage/v1/object/public/old_media/f6d85304.Path.070454.jpg</t>
  </si>
  <si>
    <t>e6e9b017</t>
  </si>
  <si>
    <t>https://ryycrdhlkmzpxwwwwupy.supabase.co/storage/v1/object/public/old_media/e6e9b017.Path.070504.jpg</t>
  </si>
  <si>
    <t>0d042e29</t>
  </si>
  <si>
    <t>https://ryycrdhlkmzpxwwwwupy.supabase.co/storage/v1/object/public/old_media/0d042e29.Path.070514.jpg</t>
  </si>
  <si>
    <t>7e6a14e2</t>
  </si>
  <si>
    <t>https://ryycrdhlkmzpxwwwwupy.supabase.co/storage/v1/object/public/old_media/7e6a14e2.Path.070527.jpg</t>
  </si>
  <si>
    <t>6f0ee5b0</t>
  </si>
  <si>
    <t>https://ryycrdhlkmzpxwwwwupy.supabase.co/storage/v1/object/public/old_media/6f0ee5b0.Path.070615.jpg</t>
  </si>
  <si>
    <t>bfb7419e</t>
  </si>
  <si>
    <t>https://ryycrdhlkmzpxwwwwupy.supabase.co/storage/v1/object/public/old_media/bfb7419e.Path.073807.jpg</t>
  </si>
  <si>
    <t>386c7e92</t>
  </si>
  <si>
    <t>https://ryycrdhlkmzpxwwwwupy.supabase.co/storage/v1/object/public/old_media/386c7e92.Path.073816.jpg</t>
  </si>
  <si>
    <t>8130d75c</t>
  </si>
  <si>
    <t>https://ryycrdhlkmzpxwwwwupy.supabase.co/storage/v1/object/public/old_media/8130d75c.Path.073826.jpg</t>
  </si>
  <si>
    <t>271ca4f7</t>
  </si>
  <si>
    <t>https://ryycrdhlkmzpxwwwwupy.supabase.co/storage/v1/object/public/old_media/271ca4f7.Path.073835.jpg</t>
  </si>
  <si>
    <t>d66a5961</t>
  </si>
  <si>
    <t>https://ryycrdhlkmzpxwwwwupy.supabase.co/storage/v1/object/public/old_media/d66a5961.Path.073844.jpg</t>
  </si>
  <si>
    <t>1bb0ad0c</t>
  </si>
  <si>
    <t>https://ryycrdhlkmzpxwwwwupy.supabase.co/storage/v1/object/public/old_media/1bb0ad0c.Path.073853.jpg</t>
  </si>
  <si>
    <t>6adc89a4</t>
  </si>
  <si>
    <t>https://ryycrdhlkmzpxwwwwupy.supabase.co/storage/v1/object/public/old_media/6adc89a4.Path.073900.jpg</t>
  </si>
  <si>
    <t>f56175d0</t>
  </si>
  <si>
    <t>https://ryycrdhlkmzpxwwwwupy.supabase.co/storage/v1/object/public/old_media/f56175d0.Path.073112.jpg</t>
  </si>
  <si>
    <t>dfc2df2d</t>
  </si>
  <si>
    <t>https://ryycrdhlkmzpxwwwwupy.supabase.co/storage/v1/object/public/old_media/dfc2df2d.Path.073122.jpg</t>
  </si>
  <si>
    <t>d372d5f9</t>
  </si>
  <si>
    <t>https://ryycrdhlkmzpxwwwwupy.supabase.co/storage/v1/object/public/old_media/d372d5f9.Path.073130.jpg</t>
  </si>
  <si>
    <t>c1479748</t>
  </si>
  <si>
    <t>https://ryycrdhlkmzpxwwwwupy.supabase.co/storage/v1/object/public/old_media/c1479748.Path.073139.jpg</t>
  </si>
  <si>
    <t>3738a926</t>
  </si>
  <si>
    <t>https://ryycrdhlkmzpxwwwwupy.supabase.co/storage/v1/object/public/old_media/3738a926.Path.073149.jpg</t>
  </si>
  <si>
    <t>0b4c0f07</t>
  </si>
  <si>
    <t>https://ryycrdhlkmzpxwwwwupy.supabase.co/storage/v1/object/public/old_media/0b4c0f07.Path.073201.jpg</t>
  </si>
  <si>
    <t>630f7fb1</t>
  </si>
  <si>
    <t>https://ryycrdhlkmzpxwwwwupy.supabase.co/storage/v1/object/public/old_media/630f7fb1.Path.073216.jpg</t>
  </si>
  <si>
    <t>91e1837b</t>
  </si>
  <si>
    <t>https://ryycrdhlkmzpxwwwwupy.supabase.co/storage/v1/object/public/old_media/91e1837b.Path.073225.jpg</t>
  </si>
  <si>
    <t>9282ef79</t>
  </si>
  <si>
    <t>https://ryycrdhlkmzpxwwwwupy.supabase.co/storage/v1/object/public/old_media/9282ef79.Path.073236.jpg</t>
  </si>
  <si>
    <t>43d600c9</t>
  </si>
  <si>
    <t>https://ryycrdhlkmzpxwwwwupy.supabase.co/storage/v1/object/public/old_media/43d600c9.Path.073254.jpg</t>
  </si>
  <si>
    <t>028b28a3</t>
  </si>
  <si>
    <t>https://ryycrdhlkmzpxwwwwupy.supabase.co/storage/v1/object/public/old_media/028b28a3.Path.073309.jpg</t>
  </si>
  <si>
    <t>5d6f4ee1</t>
  </si>
  <si>
    <t>https://ryycrdhlkmzpxwwwwupy.supabase.co/storage/v1/object/public/old_media/5d6f4ee1.Path.102817.jpg</t>
  </si>
  <si>
    <t>b1dd7674</t>
  </si>
  <si>
    <t>https://ryycrdhlkmzpxwwwwupy.supabase.co/storage/v1/object/public/old_media/b1dd7674.Path.102829.jpg</t>
  </si>
  <si>
    <t>7bb9cf6e</t>
  </si>
  <si>
    <t>https://ryycrdhlkmzpxwwwwupy.supabase.co/storage/v1/object/public/old_media/7bb9cf6e.Path.102838.jpg</t>
  </si>
  <si>
    <t>e9f6bae5</t>
  </si>
  <si>
    <t>https://ryycrdhlkmzpxwwwwupy.supabase.co/storage/v1/object/public/old_media/e9f6bae5.Path.102848.jpg</t>
  </si>
  <si>
    <t>8471a0e4</t>
  </si>
  <si>
    <t>https://ryycrdhlkmzpxwwwwupy.supabase.co/storage/v1/object/public/old_media/8471a0e4.Path.102858.jpg</t>
  </si>
  <si>
    <t>5c443243</t>
  </si>
  <si>
    <t>https://ryycrdhlkmzpxwwwwupy.supabase.co/storage/v1/object/public/old_media/5c443243.Path.102916.jpg</t>
  </si>
  <si>
    <t>a2dbd8d6</t>
  </si>
  <si>
    <t>https://ryycrdhlkmzpxwwwwupy.supabase.co/storage/v1/object/public/old_media/a2dbd8d6.Path.102931.jpg</t>
  </si>
  <si>
    <t>08c72364</t>
  </si>
  <si>
    <t>https://ryycrdhlkmzpxwwwwupy.supabase.co/storage/v1/object/public/old_media/08c72364.Path.103006.jpg</t>
  </si>
  <si>
    <t>ed062be8</t>
  </si>
  <si>
    <t>https://ryycrdhlkmzpxwwwwupy.supabase.co/storage/v1/object/public/old_media/ed062be8.Path.103033.jpg</t>
  </si>
  <si>
    <t>4160bbb1</t>
  </si>
  <si>
    <t>https://ryycrdhlkmzpxwwwwupy.supabase.co/storage/v1/object/public/old_media/4160bbb1.Path.103053.jpg</t>
  </si>
  <si>
    <t>a23ce686</t>
  </si>
  <si>
    <t>https://ryycrdhlkmzpxwwwwupy.supabase.co/storage/v1/object/public/old_media/a23ce686.Path.103119.jpg</t>
  </si>
  <si>
    <t>9e0f8bbc</t>
  </si>
  <si>
    <t>https://ryycrdhlkmzpxwwwwupy.supabase.co/storage/v1/object/public/old_media/9e0f8bbc.Path.110636.jpg</t>
  </si>
  <si>
    <t>45a559be</t>
  </si>
  <si>
    <t>https://ryycrdhlkmzpxwwwwupy.supabase.co/storage/v1/object/public/old_media/45a559be.Path.110646.jpg</t>
  </si>
  <si>
    <t>4cccdd7c</t>
  </si>
  <si>
    <t>https://ryycrdhlkmzpxwwwwupy.supabase.co/storage/v1/object/public/old_media/4cccdd7c.Path.110655.jpg</t>
  </si>
  <si>
    <t>78156b9e</t>
  </si>
  <si>
    <t>https://ryycrdhlkmzpxwwwwupy.supabase.co/storage/v1/object/public/old_media/78156b9e.Path.110703.jpg</t>
  </si>
  <si>
    <t>74772bad</t>
  </si>
  <si>
    <t>https://ryycrdhlkmzpxwwwwupy.supabase.co/storage/v1/object/public/old_media/74772bad.Path.110713.jpg</t>
  </si>
  <si>
    <t>66628248</t>
  </si>
  <si>
    <t>https://ryycrdhlkmzpxwwwwupy.supabase.co/storage/v1/object/public/old_media/66628248.Path.110723.jpg</t>
  </si>
  <si>
    <t>93b55738</t>
  </si>
  <si>
    <t>https://ryycrdhlkmzpxwwwwupy.supabase.co/storage/v1/object/public/old_media/93b55738.Path.110734.jpg</t>
  </si>
  <si>
    <t>4359d16d</t>
  </si>
  <si>
    <t>https://ryycrdhlkmzpxwwwwupy.supabase.co/storage/v1/object/public/old_media/4359d16d.Path.110745.jpg</t>
  </si>
  <si>
    <t>2f68cae7</t>
  </si>
  <si>
    <t>https://ryycrdhlkmzpxwwwwupy.supabase.co/storage/v1/object/public/old_media/2f68cae7.Path.110800.jpg</t>
  </si>
  <si>
    <t>70f547db</t>
  </si>
  <si>
    <t>https://ryycrdhlkmzpxwwwwupy.supabase.co/storage/v1/object/public/old_media/70f547db.Path.110811.jpg</t>
  </si>
  <si>
    <t>d5122c84</t>
  </si>
  <si>
    <t>https://ryycrdhlkmzpxwwwwupy.supabase.co/storage/v1/object/public/old_media/d5122c84.Path.110837.jpg</t>
  </si>
  <si>
    <t>2adbcb15</t>
  </si>
  <si>
    <t>https://ryycrdhlkmzpxwwwwupy.supabase.co/storage/v1/object/public/old_media/2adbcb15.Path.095636.jpg</t>
  </si>
  <si>
    <t>ba77c173</t>
  </si>
  <si>
    <t>https://ryycrdhlkmzpxwwwwupy.supabase.co/storage/v1/object/public/old_media/ba77c173.Path.104356.jpg</t>
  </si>
  <si>
    <t>2a0c02be</t>
  </si>
  <si>
    <t>https://ryycrdhlkmzpxwwwwupy.supabase.co/storage/v1/object/public/old_media/2a0c02be.Path.104406.jpg</t>
  </si>
  <si>
    <t>315d0162</t>
  </si>
  <si>
    <t>https://ryycrdhlkmzpxwwwwupy.supabase.co/storage/v1/object/public/old_media/315d0162.Path.104415.jpg</t>
  </si>
  <si>
    <t>1961167e</t>
  </si>
  <si>
    <t>https://ryycrdhlkmzpxwwwwupy.supabase.co/storage/v1/object/public/old_media/1961167e.Path.104426.jpg</t>
  </si>
  <si>
    <t>d2bfbc31</t>
  </si>
  <si>
    <t>https://ryycrdhlkmzpxwwwwupy.supabase.co/storage/v1/object/public/old_media/d2bfbc31.Path.104434.jpg</t>
  </si>
  <si>
    <t>c1357121</t>
  </si>
  <si>
    <t>https://ryycrdhlkmzpxwwwwupy.supabase.co/storage/v1/object/public/old_media/c1357121.Path.104449.jpg</t>
  </si>
  <si>
    <t>79845c6a</t>
  </si>
  <si>
    <t>https://ryycrdhlkmzpxwwwwupy.supabase.co/storage/v1/object/public/old_media/79845c6a.Path.104500.jpg</t>
  </si>
  <si>
    <t>4ca9d0fc</t>
  </si>
  <si>
    <t>https://ryycrdhlkmzpxwwwwupy.supabase.co/storage/v1/object/public/old_media/4ca9d0fc.Path.104510.jpg</t>
  </si>
  <si>
    <t>1c5019f0</t>
  </si>
  <si>
    <t>https://ryycrdhlkmzpxwwwwupy.supabase.co/storage/v1/object/public/old_media/1c5019f0.Path.104521.jpg</t>
  </si>
  <si>
    <t>a5ad0add</t>
  </si>
  <si>
    <t>https://ryycrdhlkmzpxwwwwupy.supabase.co/storage/v1/object/public/old_media/a5ad0add.Path.104532.jpg</t>
  </si>
  <si>
    <t>3505aa40</t>
  </si>
  <si>
    <t>https://ryycrdhlkmzpxwwwwupy.supabase.co/storage/v1/object/public/old_media/3505aa40.Path.104544.jpg</t>
  </si>
  <si>
    <t>47562598</t>
  </si>
  <si>
    <t>https://ryycrdhlkmzpxwwwwupy.supabase.co/storage/v1/object/public/old_media/47562598.Path.104812.jpg</t>
  </si>
  <si>
    <t>e042cdcb</t>
  </si>
  <si>
    <t>https://ryycrdhlkmzpxwwwwupy.supabase.co/storage/v1/object/public/old_media/e042cdcb.Path.113045.jpg</t>
  </si>
  <si>
    <t>69a72146</t>
  </si>
  <si>
    <t>https://ryycrdhlkmzpxwwwwupy.supabase.co/storage/v1/object/public/old_media/69a72146.Path.045229.jpg</t>
  </si>
  <si>
    <t>c17ca092</t>
  </si>
  <si>
    <t>https://ryycrdhlkmzpxwwwwupy.supabase.co/storage/v1/object/public/old_media/c17ca092.Path.061934.png</t>
  </si>
  <si>
    <t>b3201bdf</t>
  </si>
  <si>
    <t>https://ryycrdhlkmzpxwwwwupy.supabase.co/storage/v1/object/public/old_media/b3201bdf.Path.070908.png</t>
  </si>
  <si>
    <t>a8896a3f</t>
  </si>
  <si>
    <t>https://ryycrdhlkmzpxwwwwupy.supabase.co/storage/v1/object/public/old_media/a8896a3f.Path.092723.jpg</t>
  </si>
  <si>
    <t>ca692769</t>
  </si>
  <si>
    <t>https://ryycrdhlkmzpxwwwwupy.supabase.co/storage/v1/object/public/old_media/ca692769.Path.092746.jpg</t>
  </si>
  <si>
    <t>bd36552f</t>
  </si>
  <si>
    <t>https://ryycrdhlkmzpxwwwwupy.supabase.co/storage/v1/object/public/old_media/bd36552f.Path.092803.jpg</t>
  </si>
  <si>
    <t>eae3ea57</t>
  </si>
  <si>
    <t>https://ryycrdhlkmzpxwwwwupy.supabase.co/storage/v1/object/public/old_media/eae3ea57.Path.092817.jpg</t>
  </si>
  <si>
    <t>2700c6fa</t>
  </si>
  <si>
    <t>https://ryycrdhlkmzpxwwwwupy.supabase.co/storage/v1/object/public/old_media/2700c6fa.Path.092830.jpg</t>
  </si>
  <si>
    <t>901b7844</t>
  </si>
  <si>
    <t>https://ryycrdhlkmzpxwwwwupy.supabase.co/storage/v1/object/public/old_media/901b7844.Path.092845.jpg</t>
  </si>
  <si>
    <t>6364682b</t>
  </si>
  <si>
    <t>https://ryycrdhlkmzpxwwwwupy.supabase.co/storage/v1/object/public/old_media/6364682b.Path.092857.jpg</t>
  </si>
  <si>
    <t>548f8682</t>
  </si>
  <si>
    <t>https://ryycrdhlkmzpxwwwwupy.supabase.co/storage/v1/object/public/old_media/548f8682.Path.092923.jpg</t>
  </si>
  <si>
    <t>fdab1f41</t>
  </si>
  <si>
    <t>https://ryycrdhlkmzpxwwwwupy.supabase.co/storage/v1/object/public/old_media/fdab1f41.Path.093053.jpg</t>
  </si>
  <si>
    <t>b4b4f714</t>
  </si>
  <si>
    <t>https://ryycrdhlkmzpxwwwwupy.supabase.co/storage/v1/object/public/old_media/b4b4f714.Path.093108.jpg</t>
  </si>
  <si>
    <t>e18cc19b</t>
  </si>
  <si>
    <t>https://ryycrdhlkmzpxwwwwupy.supabase.co/storage/v1/object/public/old_media/e18cc19b.Path.093122.jpg</t>
  </si>
  <si>
    <t>ef83cc5c</t>
  </si>
  <si>
    <t>https://ryycrdhlkmzpxwwwwupy.supabase.co/storage/v1/object/public/old_media/ef83cc5c.Path.093449.jpg</t>
  </si>
  <si>
    <t>9aba003a</t>
  </si>
  <si>
    <t>https://ryycrdhlkmzpxwwwwupy.supabase.co/storage/v1/object/public/old_media/9aba003a.Path.093505.jpg</t>
  </si>
  <si>
    <t>e6e40cfe</t>
  </si>
  <si>
    <t>https://ryycrdhlkmzpxwwwwupy.supabase.co/storage/v1/object/public/old_media/e6e40cfe.Path.093517.jpg</t>
  </si>
  <si>
    <t>4910277a</t>
  </si>
  <si>
    <t>https://ryycrdhlkmzpxwwwwupy.supabase.co/storage/v1/object/public/old_media/4910277a.Path.093528.jpg</t>
  </si>
  <si>
    <t>398f24da</t>
  </si>
  <si>
    <t xml:space="preserve">https://ryycrdhlkmzpxwwwwupy.supabase.co/storage/v1/object/public/old_media/398f24da.Path.093540.jpg
</t>
  </si>
  <si>
    <t>a5551b81</t>
  </si>
  <si>
    <t>https://ryycrdhlkmzpxwwwwupy.supabase.co/storage/v1/object/public/old_media/a5551b81.Path.114032.jpg</t>
  </si>
  <si>
    <t>39f071d0</t>
  </si>
  <si>
    <t>https://ryycrdhlkmzpxwwwwupy.supabase.co/storage/v1/object/public/old_media/39f071d0.Path.114105.jpg</t>
  </si>
  <si>
    <t>af4f6c32</t>
  </si>
  <si>
    <t>https://ryycrdhlkmzpxwwwwupy.supabase.co/storage/v1/object/public/old_media/af4f6c32.Path.080228.jpg</t>
  </si>
  <si>
    <t>964f4485</t>
  </si>
  <si>
    <t>https://ryycrdhlkmzpxwwwwupy.supabase.co/storage/v1/object/public/old_media/964f4485.Path.044519.jpg</t>
  </si>
  <si>
    <t>25259896</t>
  </si>
  <si>
    <t>https://ryycrdhlkmzpxwwwwupy.supabase.co/storage/v1/object/public/old_media/25259896.Path.044530.jpg</t>
  </si>
  <si>
    <t>e85663a4</t>
  </si>
  <si>
    <t>https://ryycrdhlkmzpxwwwwupy.supabase.co/storage/v1/object/public/old_media/e85663a4.Path.044559.jpg</t>
  </si>
  <si>
    <t>05dfaacc</t>
  </si>
  <si>
    <t>https://ryycrdhlkmzpxwwwwupy.supabase.co/storage/v1/object/public/old_media/05dfaacc.Path.044628.jpg</t>
  </si>
  <si>
    <t>9b2528e3</t>
  </si>
  <si>
    <t>https://ryycrdhlkmzpxwwwwupy.supabase.co/storage/v1/object/public/old_media/9b2528e3.Path.044637.jpg</t>
  </si>
  <si>
    <t>0e390fc9</t>
  </si>
  <si>
    <t>https://ryycrdhlkmzpxwwwwupy.supabase.co/storage/v1/object/public/old_media/0e390fc9.Path.044647.jpg</t>
  </si>
  <si>
    <t>bc01ea49</t>
  </si>
  <si>
    <t>https://ryycrdhlkmzpxwwwwupy.supabase.co/storage/v1/object/public/old_media/bc01ea49.Path.050308.jpg</t>
  </si>
  <si>
    <t>019408b4</t>
  </si>
  <si>
    <t>https://ryycrdhlkmzpxwwwwupy.supabase.co/storage/v1/object/public/old_media/019408b4.Path.050323.jpg</t>
  </si>
  <si>
    <t>54f12974</t>
  </si>
  <si>
    <t>527c5b8f</t>
  </si>
  <si>
    <t>https://ryycrdhlkmzpxwwwwupy.supabase.co/storage/v1/object/public/old_media/527c5b8f.Path.051104.jpg</t>
  </si>
  <si>
    <t>f5d32e87</t>
  </si>
  <si>
    <t>https://ryycrdhlkmzpxwwwwupy.supabase.co/storage/v1/object/public/old_media/f5d32e87.Path.051128.jpg</t>
  </si>
  <si>
    <t>391de00b</t>
  </si>
  <si>
    <t>https://ryycrdhlkmzpxwwwwupy.supabase.co/storage/v1/object/public/old_media/391de00b.Path.051139.jpg</t>
  </si>
  <si>
    <t>52d4622d</t>
  </si>
  <si>
    <t>https://ryycrdhlkmzpxwwwwupy.supabase.co/storage/v1/object/public/old_media/52d4622d.Path.051152.jpg</t>
  </si>
  <si>
    <t>88126430</t>
  </si>
  <si>
    <t>https://ryycrdhlkmzpxwwwwupy.supabase.co/storage/v1/object/public/old_media/88126430.Path.051205.jpg</t>
  </si>
  <si>
    <t>f458189b</t>
  </si>
  <si>
    <t>https://ryycrdhlkmzpxwwwwupy.supabase.co/storage/v1/object/public/old_media/f458189b.Path.051220.jpg</t>
  </si>
  <si>
    <t>acacbd83</t>
  </si>
  <si>
    <t>https://ryycrdhlkmzpxwwwwupy.supabase.co/storage/v1/object/public/old_media/acacbd83.Path.052240.jpg</t>
  </si>
  <si>
    <t>440007c0</t>
  </si>
  <si>
    <t>https://ryycrdhlkmzpxwwwwupy.supabase.co/storage/v1/object/public/old_media/440007c0.Path.052259.jpg</t>
  </si>
  <si>
    <t>afa99a3f</t>
  </si>
  <si>
    <t>https://ryycrdhlkmzpxwwwwupy.supabase.co/storage/v1/object/public/old_media/afa99a3f.Path.052311.jpg</t>
  </si>
  <si>
    <t>434db39a</t>
  </si>
  <si>
    <t>https://ryycrdhlkmzpxwwwwupy.supabase.co/storage/v1/object/public/old_media/434db39a.Path.052324.jpg</t>
  </si>
  <si>
    <t>861e76b6</t>
  </si>
  <si>
    <t>https://ryycrdhlkmzpxwwwwupy.supabase.co/storage/v1/object/public/old_media/861e76b6.Path.052339.jpg</t>
  </si>
  <si>
    <t>9846ce0b</t>
  </si>
  <si>
    <t>https://ryycrdhlkmzpxwwwwupy.supabase.co/storage/v1/object/public/old_media/9846ce0b.Path.052352.jpg</t>
  </si>
  <si>
    <t>1eb8ad40</t>
  </si>
  <si>
    <t>https://ryycrdhlkmzpxwwwwupy.supabase.co/storage/v1/object/public/old_media/1eb8ad40.Path.052416.jpg</t>
  </si>
  <si>
    <t>d622b855</t>
  </si>
  <si>
    <t>https://ryycrdhlkmzpxwwwwupy.supabase.co/storage/v1/object/public/old_media/d622b855.Path.052429.jpg</t>
  </si>
  <si>
    <t>4552343d</t>
  </si>
  <si>
    <t>https://ryycrdhlkmzpxwwwwupy.supabase.co/storage/v1/object/public/old_media/4552343d.Path.052445.jpg</t>
  </si>
  <si>
    <t>9531d2fc</t>
  </si>
  <si>
    <t>https://ryycrdhlkmzpxwwwwupy.supabase.co/storage/v1/object/public/old_media/9531d2fc.Path.052504.jpg</t>
  </si>
  <si>
    <t>98fa1f5d</t>
  </si>
  <si>
    <t>https://ryycrdhlkmzpxwwwwupy.supabase.co/storage/v1/object/public/old_media/98fa1f5d.Path.052517.jpg</t>
  </si>
  <si>
    <t>ab88dbb2</t>
  </si>
  <si>
    <t>https://ryycrdhlkmzpxwwwwupy.supabase.co/storage/v1/object/public/old_media/ab88dbb2.Path.052531.jpg</t>
  </si>
  <si>
    <t>676ee5e5</t>
  </si>
  <si>
    <t>https://ryycrdhlkmzpxwwwwupy.supabase.co/storage/v1/object/public/old_media/676ee5e5.Path.052545.jpg</t>
  </si>
  <si>
    <t>421cee1d</t>
  </si>
  <si>
    <t>https://ryycrdhlkmzpxwwwwupy.supabase.co/storage/v1/object/public/old_media/421cee1d.Path.052558.jpg</t>
  </si>
  <si>
    <t>9efb3b88</t>
  </si>
  <si>
    <t>https://ryycrdhlkmzpxwwwwupy.supabase.co/storage/v1/object/public/old_media/9efb3b88.Path.052612.jpg</t>
  </si>
  <si>
    <t>ext</t>
  </si>
  <si>
    <t>22461eef</t>
  </si>
  <si>
    <t>https://ryycrdhlkmzpxwwwwupy.supabase.co/storage/v1/object/public/old_media/22461eef.Path.052628.jpg</t>
  </si>
  <si>
    <t>salon ext</t>
  </si>
  <si>
    <t>5a189e44</t>
  </si>
  <si>
    <t>https://ryycrdhlkmzpxwwwwupy.supabase.co/storage/v1/object/public/old_media/5a189e44.Path.052645.jpg</t>
  </si>
  <si>
    <t>c61f7859</t>
  </si>
  <si>
    <t>https://ryycrdhlkmzpxwwwwupy.supabase.co/storage/v1/object/public/old_media/c61f7859.Path.052706.jpg</t>
  </si>
  <si>
    <t>0237219e</t>
  </si>
  <si>
    <t>https://ryycrdhlkmzpxwwwwupy.supabase.co/storage/v1/object/public/old_media/0237219e.Path.052717.jpg</t>
  </si>
  <si>
    <t>hamac</t>
  </si>
  <si>
    <t>ebb831ae</t>
  </si>
  <si>
    <t>https://ryycrdhlkmzpxwwwwupy.supabase.co/storage/v1/object/public/old_media/ebb831ae.Path.052738.jpg</t>
  </si>
  <si>
    <t>salon / salle a manger</t>
  </si>
  <si>
    <t>0896e4e8</t>
  </si>
  <si>
    <t>https://ryycrdhlkmzpxwwwwupy.supabase.co/storage/v1/object/public/old_media/0896e4e8.Path.093040.jpg</t>
  </si>
  <si>
    <t>c7e8a711</t>
  </si>
  <si>
    <t>https://ryycrdhlkmzpxwwwwupy.supabase.co/storage/v1/object/public/old_media/c7e8a711.Path.093050.jpg</t>
  </si>
  <si>
    <t>9c210f87</t>
  </si>
  <si>
    <t>https://ryycrdhlkmzpxwwwwupy.supabase.co/storage/v1/object/public/old_media/9c210f87.Path.093057.jpg</t>
  </si>
  <si>
    <t>5ea080d7</t>
  </si>
  <si>
    <t>https://ryycrdhlkmzpxwwwwupy.supabase.co/storage/v1/object/public/old_media/5ea080d7.Path.093107.jpg</t>
  </si>
  <si>
    <t>4ed4d187</t>
  </si>
  <si>
    <t>https://ryycrdhlkmzpxwwwwupy.supabase.co/storage/v1/object/public/old_media/4ed4d187.Path.093117.jpg</t>
  </si>
  <si>
    <t>a731385c</t>
  </si>
  <si>
    <t>https://ryycrdhlkmzpxwwwwupy.supabase.co/storage/v1/object/public/old_media/a731385c.Path.093125.jpg</t>
  </si>
  <si>
    <t>83735996</t>
  </si>
  <si>
    <t>https://ryycrdhlkmzpxwwwwupy.supabase.co/storage/v1/object/public/old_media/83735996.Path.093134.jpg</t>
  </si>
  <si>
    <t>10d9f617</t>
  </si>
  <si>
    <t>https://ryycrdhlkmzpxwwwwupy.supabase.co/storage/v1/object/public/old_media/10d9f617.Path.093152.jpg</t>
  </si>
  <si>
    <t>03f9753d</t>
  </si>
  <si>
    <t>https://ryycrdhlkmzpxwwwwupy.supabase.co/storage/v1/object/public/old_media/03f9753d.Path.093205.jpg</t>
  </si>
  <si>
    <t>041d4102</t>
  </si>
  <si>
    <t>https://ryycrdhlkmzpxwwwwupy.supabase.co/storage/v1/object/public/old_media/041d4102.Path.093218.jpg</t>
  </si>
  <si>
    <t>bd2ae4e7</t>
  </si>
  <si>
    <t>https://ryycrdhlkmzpxwwwwupy.supabase.co/storage/v1/object/public/old_media/bd2ae4e7.Path.093411.jpg</t>
  </si>
  <si>
    <t>b5702dba</t>
  </si>
  <si>
    <t>https://ryycrdhlkmzpxwwwwupy.supabase.co/storage/v1/object/public/old_media/b5702dba.Path.094645.jpg</t>
  </si>
  <si>
    <t>bfde5cdc</t>
  </si>
  <si>
    <t>https://ryycrdhlkmzpxwwwwupy.supabase.co/storage/v1/object/public/old_media/bfde5cdc.Path.094654.jpg</t>
  </si>
  <si>
    <t>29a25436</t>
  </si>
  <si>
    <t>https://ryycrdhlkmzpxwwwwupy.supabase.co/storage/v1/object/public/old_media/29a25436.Path.094702.jpg</t>
  </si>
  <si>
    <t>b769dbd7</t>
  </si>
  <si>
    <t>https://ryycrdhlkmzpxwwwwupy.supabase.co/storage/v1/object/public/old_media/b769dbd7.Path.123614.jpg</t>
  </si>
  <si>
    <t>fe98af9e</t>
  </si>
  <si>
    <t>https://ryycrdhlkmzpxwwwwupy.supabase.co/storage/v1/object/public/old_media/fe98af9e.Path.123622.jpg</t>
  </si>
  <si>
    <t>17eeabc4</t>
  </si>
  <si>
    <t>https://ryycrdhlkmzpxwwwwupy.supabase.co/storage/v1/object/public/old_media/17eeabc4.Path.123629.jpg</t>
  </si>
  <si>
    <t>ab6eb949</t>
  </si>
  <si>
    <t>https://ryycrdhlkmzpxwwwwupy.supabase.co/storage/v1/object/public/old_media/ab6eb949.Path.123636.jpg</t>
  </si>
  <si>
    <t>e58f0636</t>
  </si>
  <si>
    <t>https://ryycrdhlkmzpxwwwwupy.supabase.co/storage/v1/object/public/old_media/e58f0636.Path.123650.jpg</t>
  </si>
  <si>
    <t>b49f5b01</t>
  </si>
  <si>
    <t>https://ryycrdhlkmzpxwwwwupy.supabase.co/storage/v1/object/public/old_media/b49f5b01.Path.123701.jpg</t>
  </si>
  <si>
    <t>25b84ce3</t>
  </si>
  <si>
    <t>https://ryycrdhlkmzpxwwwwupy.supabase.co/storage/v1/object/public/old_media/25b84ce3.Path.054055.jpg</t>
  </si>
  <si>
    <t>48588ea0</t>
  </si>
  <si>
    <t>https://ryycrdhlkmzpxwwwwupy.supabase.co/storage/v1/object/public/old_media/48588ea0.Path.070917.jpg</t>
  </si>
  <si>
    <t>3411d0df</t>
  </si>
  <si>
    <t>https://ryycrdhlkmzpxwwwwupy.supabase.co/storage/v1/object/public/old_media/3411d0df.Path.070928.jpg</t>
  </si>
  <si>
    <t>ea42037c</t>
  </si>
  <si>
    <t>https://ryycrdhlkmzpxwwwwupy.supabase.co/storage/v1/object/public/old_media/ea42037c.Path.070937.jpg</t>
  </si>
  <si>
    <t>8ddd8282</t>
  </si>
  <si>
    <t>https://ryycrdhlkmzpxwwwwupy.supabase.co/storage/v1/object/public/old_media/8ddd8282.Path.070945.jpg</t>
  </si>
  <si>
    <t>a6c8bdc9</t>
  </si>
  <si>
    <t>https://ryycrdhlkmzpxwwwwupy.supabase.co/storage/v1/object/public/old_media/a6c8bdc9.Path.113643.jpg</t>
  </si>
  <si>
    <t>6bd2962c</t>
  </si>
  <si>
    <t>https://ryycrdhlkmzpxwwwwupy.supabase.co/storage/v1/object/public/old_media/6bd2962c.Path.113652.jpg</t>
  </si>
  <si>
    <t>36b0de47</t>
  </si>
  <si>
    <t>https://ryycrdhlkmzpxwwwwupy.supabase.co/storage/v1/object/public/old_media/36b0de47.Path.113708.jpg</t>
  </si>
  <si>
    <t>7bf93311</t>
  </si>
  <si>
    <t>https://ryycrdhlkmzpxwwwwupy.supabase.co/storage/v1/object/public/old_media/7bf93311.Path.113730.jpg</t>
  </si>
  <si>
    <t>88af260e</t>
  </si>
  <si>
    <t>https://ryycrdhlkmzpxwwwwupy.supabase.co/storage/v1/object/public/old_media/88af260e.Path.113738.jpg</t>
  </si>
  <si>
    <t>43e99a39</t>
  </si>
  <si>
    <t>https://ryycrdhlkmzpxwwwwupy.supabase.co/storage/v1/object/public/old_media/43e99a39.Path.113745.jpg</t>
  </si>
  <si>
    <t>13e01faf</t>
  </si>
  <si>
    <t>https://ryycrdhlkmzpxwwwwupy.supabase.co/storage/v1/object/public/old_media/13e01faf.Path.113758.jpg</t>
  </si>
  <si>
    <t>a8af97fc</t>
  </si>
  <si>
    <t>https://ryycrdhlkmzpxwwwwupy.supabase.co/storage/v1/object/public/old_media/a8af97fc.Path.114510.jpg</t>
  </si>
  <si>
    <t>66b9337a</t>
  </si>
  <si>
    <t>https://ryycrdhlkmzpxwwwwupy.supabase.co/storage/v1/object/public/old_media/66b9337a.Path.114533.jpg</t>
  </si>
  <si>
    <t>9362cd48</t>
  </si>
  <si>
    <t>https://ryycrdhlkmzpxwwwwupy.supabase.co/storage/v1/object/public/old_media/9362cd48.Path.101031.jpg</t>
  </si>
  <si>
    <t>7eed6032</t>
  </si>
  <si>
    <t>https://ryycrdhlkmzpxwwwwupy.supabase.co/storage/v1/object/public/old_media/7eed6032.Path.101042.jpg</t>
  </si>
  <si>
    <t>c2c95f4e</t>
  </si>
  <si>
    <t>https://ryycrdhlkmzpxwwwwupy.supabase.co/storage/v1/object/public/old_media/c2c95f4e.Path.101348.jpg</t>
  </si>
  <si>
    <t>157fdd59</t>
  </si>
  <si>
    <t>https://ryycrdhlkmzpxwwwwupy.supabase.co/storage/v1/object/public/old_media/157fdd59.Path.101403.jpg</t>
  </si>
  <si>
    <t>204078fa</t>
  </si>
  <si>
    <t>https://ryycrdhlkmzpxwwwwupy.supabase.co/storage/v1/object/public/old_media/204078fa.Path.072412.jpg</t>
  </si>
  <si>
    <t>b2a9578d</t>
  </si>
  <si>
    <t>https://ryycrdhlkmzpxwwwwupy.supabase.co/storage/v1/object/public/old_media/b2a9578d.Path.072422.jpg</t>
  </si>
  <si>
    <t>ef9e3a53</t>
  </si>
  <si>
    <t>https://ryycrdhlkmzpxwwwwupy.supabase.co/storage/v1/object/public/old_media/ef9e3a53.Path.072431.jpg</t>
  </si>
  <si>
    <t>4267e74c</t>
  </si>
  <si>
    <t>https://ryycrdhlkmzpxwwwwupy.supabase.co/storage/v1/object/public/old_media/4267e74c.Path.072439.jpg</t>
  </si>
  <si>
    <t>e9ce9ef3</t>
  </si>
  <si>
    <t>https://ryycrdhlkmzpxwwwwupy.supabase.co/storage/v1/object/public/old_media/e9ce9ef3.Path.072448.jpg</t>
  </si>
  <si>
    <t>d9d9722d</t>
  </si>
  <si>
    <t>https://ryycrdhlkmzpxwwwwupy.supabase.co/storage/v1/object/public/old_media/d9d9722d.Path.072512.jpg</t>
  </si>
  <si>
    <t>3ad376ae</t>
  </si>
  <si>
    <t>https://ryycrdhlkmzpxwwwwupy.supabase.co/storage/v1/object/public/old_media/3ad376ae.Path.072530.jpg</t>
  </si>
  <si>
    <t>b680677e</t>
  </si>
  <si>
    <t>https://ryycrdhlkmzpxwwwwupy.supabase.co/storage/v1/object/public/old_media/b680677e.Path.072541.jpg</t>
  </si>
  <si>
    <t>8968e2c1</t>
  </si>
  <si>
    <t>https://ryycrdhlkmzpxwwwwupy.supabase.co/storage/v1/object/public/old_media/8968e2c1.Path.072608.jpg</t>
  </si>
  <si>
    <t>1cacdba5</t>
  </si>
  <si>
    <t>https://ryycrdhlkmzpxwwwwupy.supabase.co/storage/v1/object/public/old_media/1cacdba5.Path.072631.jpg</t>
  </si>
  <si>
    <t>1dc52e52</t>
  </si>
  <si>
    <t>https://ryycrdhlkmzpxwwwwupy.supabase.co/storage/v1/object/public/old_media/1dc52e52.Path.072653.jpg</t>
  </si>
  <si>
    <t>42f41676</t>
  </si>
  <si>
    <t>https://ryycrdhlkmzpxwwwwupy.supabase.co/storage/v1/object/public/old_media/42f41676.Path.072704.jpg</t>
  </si>
  <si>
    <t>fbfc7918</t>
  </si>
  <si>
    <t>https://ryycrdhlkmzpxwwwwupy.supabase.co/storage/v1/object/public/old_media/fbfc7918.Path.101916.jpg</t>
  </si>
  <si>
    <t>chb enfants</t>
  </si>
  <si>
    <t>4e5f2f0a</t>
  </si>
  <si>
    <t>https://ryycrdhlkmzpxwwwwupy.supabase.co/storage/v1/object/public/old_media/4e5f2f0a.Path.101949.jpg</t>
  </si>
  <si>
    <t>6fa3951b</t>
  </si>
  <si>
    <t>https://ryycrdhlkmzpxwwwwupy.supabase.co/storage/v1/object/public/old_media/6fa3951b.Path.101959.jpg</t>
  </si>
  <si>
    <t>9f7f52f6</t>
  </si>
  <si>
    <t>https://ryycrdhlkmzpxwwwwupy.supabase.co/storage/v1/object/public/old_media/9f7f52f6.Path.102015.jpg</t>
  </si>
  <si>
    <t>ffe4c9b9</t>
  </si>
  <si>
    <t>https://ryycrdhlkmzpxwwwwupy.supabase.co/storage/v1/object/public/old_media/ffe4c9b9.Path.102030.jpg</t>
  </si>
  <si>
    <t>88c5ad72</t>
  </si>
  <si>
    <t>https://ryycrdhlkmzpxwwwwupy.supabase.co/storage/v1/object/public/old_media/88c5ad72.Path.102044.webp</t>
  </si>
  <si>
    <t>b624fa1a</t>
  </si>
  <si>
    <t>https://ryycrdhlkmzpxwwwwupy.supabase.co/storage/v1/object/public/old_media/b624fa1a.Path.102058.webp</t>
  </si>
  <si>
    <t>0e672e27</t>
  </si>
  <si>
    <t>https://ryycrdhlkmzpxwwwwupy.supabase.co/storage/v1/object/public/old_media/0e672e27.Path.102112.jpg</t>
  </si>
  <si>
    <t>chb</t>
  </si>
  <si>
    <t>922943c5</t>
  </si>
  <si>
    <t>https://ryycrdhlkmzpxwwwwupy.supabase.co/storage/v1/object/public/old_media/922943c5.Path.102124.jpg</t>
  </si>
  <si>
    <t>c5fb2038</t>
  </si>
  <si>
    <t>https://ryycrdhlkmzpxwwwwupy.supabase.co/storage/v1/object/public/old_media/c5fb2038.Path.102137.webp</t>
  </si>
  <si>
    <t>e5a92bf3</t>
  </si>
  <si>
    <t>https://ryycrdhlkmzpxwwwwupy.supabase.co/storage/v1/object/public/old_media/e5a92bf3.Path.102156.webp</t>
  </si>
  <si>
    <t>77c6378e</t>
  </si>
  <si>
    <t>https://ryycrdhlkmzpxwwwwupy.supabase.co/storage/v1/object/public/old_media/77c6378e.Path.102205.webp</t>
  </si>
  <si>
    <t>wc</t>
  </si>
  <si>
    <t>76d7697f</t>
  </si>
  <si>
    <t>https://ryycrdhlkmzpxwwwwupy.supabase.co/storage/v1/object/public/old_media/76d7697f.Path.095126.jpg</t>
  </si>
  <si>
    <t>fd0075c2</t>
  </si>
  <si>
    <t>https://ryycrdhlkmzpxwwwwupy.supabase.co/storage/v1/object/public/old_media/fd0075c2.Path.095137.jpg</t>
  </si>
  <si>
    <t>b14b16ff</t>
  </si>
  <si>
    <t>https://ryycrdhlkmzpxwwwwupy.supabase.co/storage/v1/object/public/old_media/b14b16ff.Path.095145.jpg</t>
  </si>
  <si>
    <t>22d165d6</t>
  </si>
  <si>
    <t>https://ryycrdhlkmzpxwwwwupy.supabase.co/storage/v1/object/public/old_media/22d165d6.Path.095154.jpg</t>
  </si>
  <si>
    <t>fbf988cc</t>
  </si>
  <si>
    <t>https://ryycrdhlkmzpxwwwwupy.supabase.co/storage/v1/object/public/old_media/fbf988cc.Path.095203.jpg</t>
  </si>
  <si>
    <t>7b0c8f0c</t>
  </si>
  <si>
    <t>https://ryycrdhlkmzpxwwwwupy.supabase.co/storage/v1/object/public/old_media/7b0c8f0c.Path.095211.jpg</t>
  </si>
  <si>
    <t>7cb1a86c</t>
  </si>
  <si>
    <t>https://ryycrdhlkmzpxwwwwupy.supabase.co/storage/v1/object/public/old_media/7cb1a86c.Path.053736.jpg</t>
  </si>
  <si>
    <t>c2748ecc</t>
  </si>
  <si>
    <t>https://ryycrdhlkmzpxwwwwupy.supabase.co/storage/v1/object/public/old_media/c2748ecc.Path.053746.jpg</t>
  </si>
  <si>
    <t>3f762eaa</t>
  </si>
  <si>
    <t>https://ryycrdhlkmzpxwwwwupy.supabase.co/storage/v1/object/public/old_media/3f762eaa.Path.053756.jpg</t>
  </si>
  <si>
    <t>92a1eae8</t>
  </si>
  <si>
    <t>https://ryycrdhlkmzpxwwwwupy.supabase.co/storage/v1/object/public/old_media/92a1eae8.Path.053807.jpg</t>
  </si>
  <si>
    <t>4cf5f667</t>
  </si>
  <si>
    <t>https://ryycrdhlkmzpxwwwwupy.supabase.co/storage/v1/object/public/old_media/4cf5f667.Path.053817.jpg</t>
  </si>
  <si>
    <t>6aca5c5a</t>
  </si>
  <si>
    <t>https://ryycrdhlkmzpxwwwwupy.supabase.co/storage/v1/object/public/old_media/6aca5c5a.Path.053826.jpg</t>
  </si>
  <si>
    <t>f3d0d893</t>
  </si>
  <si>
    <t>https://ryycrdhlkmzpxwwwwupy.supabase.co/storage/v1/object/public/old_media/f3d0d893.Path.053837.jpg</t>
  </si>
  <si>
    <t>b87af400</t>
  </si>
  <si>
    <t>https://ryycrdhlkmzpxwwwwupy.supabase.co/storage/v1/object/public/old_media/b87af400.Path.053848.jpg</t>
  </si>
  <si>
    <t>0a99ac61</t>
  </si>
  <si>
    <t>https://ryycrdhlkmzpxwwwwupy.supabase.co/storage/v1/object/public/old_media/0a99ac61.Path.053900.jpg</t>
  </si>
  <si>
    <t>bccf9bd5</t>
  </si>
  <si>
    <t>https://ryycrdhlkmzpxwwwwupy.supabase.co/storage/v1/object/public/old_media/bccf9bd5.Path.053928.jpg</t>
  </si>
  <si>
    <t>3ce929b9</t>
  </si>
  <si>
    <t>https://ryycrdhlkmzpxwwwwupy.supabase.co/storage/v1/object/public/old_media/3ce929b9.Path.053941.jpg</t>
  </si>
  <si>
    <t>2397898c</t>
  </si>
  <si>
    <t>https://ryycrdhlkmzpxwwwwupy.supabase.co/storage/v1/object/public/old_media/2397898c.Path.053950.jpg</t>
  </si>
  <si>
    <t>625a39f6</t>
  </si>
  <si>
    <t>https://ryycrdhlkmzpxwwwwupy.supabase.co/storage/v1/object/public/old_media/625a39f6.Path.062014.jpg</t>
  </si>
  <si>
    <t>d9964d18</t>
  </si>
  <si>
    <t>https://ryycrdhlkmzpxwwwwupy.supabase.co/storage/v1/object/public/old_media/d9964d18.Path.062025.jpg</t>
  </si>
  <si>
    <t>bfea8054</t>
  </si>
  <si>
    <t>https://ryycrdhlkmzpxwwwwupy.supabase.co/storage/v1/object/public/old_media/bfea8054.Path.062109.jpg</t>
  </si>
  <si>
    <t>ce1c4f6f</t>
  </si>
  <si>
    <t>https://ryycrdhlkmzpxwwwwupy.supabase.co/storage/v1/object/public/old_media/ce1c4f6f.Path.062127.jpg</t>
  </si>
  <si>
    <t>fa9b1e66</t>
  </si>
  <si>
    <t>https://ryycrdhlkmzpxwwwwupy.supabase.co/storage/v1/object/public/old_media/fa9b1e66.Path.062137.jpg</t>
  </si>
  <si>
    <t>7738888b</t>
  </si>
  <si>
    <t>https://ryycrdhlkmzpxwwwwupy.supabase.co/storage/v1/object/public/old_media/7738888b.Path.062145.jpg</t>
  </si>
  <si>
    <t>5475f52d</t>
  </si>
  <si>
    <t>https://ryycrdhlkmzpxwwwwupy.supabase.co/storage/v1/object/public/old_media/5475f52d.Path.063200.jpg</t>
  </si>
  <si>
    <t>1d36cdb8</t>
  </si>
  <si>
    <t>https://ryycrdhlkmzpxwwwwupy.supabase.co/storage/v1/object/public/old_media/1d36cdb8.Path.063227.jpg</t>
  </si>
  <si>
    <t>12296373</t>
  </si>
  <si>
    <t>https://ryycrdhlkmzpxwwwwupy.supabase.co/storage/v1/object/public/old_media/12296373.Path.063238.jpg</t>
  </si>
  <si>
    <t>4d4f245e</t>
  </si>
  <si>
    <t>https://ryycrdhlkmzpxwwwwupy.supabase.co/storage/v1/object/public/old_media/4d4f245e.Path.063249.jpg</t>
  </si>
  <si>
    <t>b289f4c3</t>
  </si>
  <si>
    <t>https://ryycrdhlkmzpxwwwwupy.supabase.co/storage/v1/object/public/old_media/b289f4c3.Path.063312.jpg</t>
  </si>
  <si>
    <t>4899cd7b</t>
  </si>
  <si>
    <t>https://ryycrdhlkmzpxwwwwupy.supabase.co/storage/v1/object/public/old_media/4899cd7b.Path.063321.jpg</t>
  </si>
  <si>
    <t>eaf0e3f4</t>
  </si>
  <si>
    <t>https://ryycrdhlkmzpxwwwwupy.supabase.co/storage/v1/object/public/old_media/eaf0e3f4.Path.114149.jpg</t>
  </si>
  <si>
    <t>c2050af5</t>
  </si>
  <si>
    <t>https://ryycrdhlkmzpxwwwwupy.supabase.co/storage/v1/object/public/old_media/c2050af5.Path.114214.jpg</t>
  </si>
  <si>
    <t>81bad68c</t>
  </si>
  <si>
    <t>https://ryycrdhlkmzpxwwwwupy.supabase.co/storage/v1/object/public/old_media/81bad68c.Path.114236.jpg</t>
  </si>
  <si>
    <t>ca2cc440</t>
  </si>
  <si>
    <t>https://ryycrdhlkmzpxwwwwupy.supabase.co/storage/v1/object/public/old_media/ca2cc440.Path.114251.jpg</t>
  </si>
  <si>
    <t>ec492675</t>
  </si>
  <si>
    <t>https://ryycrdhlkmzpxwwwwupy.supabase.co/storage/v1/object/public/old_media/ec492675.Path.114322.jpg</t>
  </si>
  <si>
    <t>0d3f065d</t>
  </si>
  <si>
    <t>https://ryycrdhlkmzpxwwwwupy.supabase.co/storage/v1/object/public/old_media/0d3f065d.Path.114353.jpg</t>
  </si>
  <si>
    <t>91d56446</t>
  </si>
  <si>
    <t>https://ryycrdhlkmzpxwwwwupy.supabase.co/storage/v1/object/public/old_media/91d56446.Path.114418.jpg</t>
  </si>
  <si>
    <t>f4f6541d</t>
  </si>
  <si>
    <t>https://ryycrdhlkmzpxwwwwupy.supabase.co/storage/v1/object/public/old_media/f4f6541d.Path.114444.jpg</t>
  </si>
  <si>
    <t>7d2ebd77</t>
  </si>
  <si>
    <t>https://ryycrdhlkmzpxwwwwupy.supabase.co/storage/v1/object/public/old_media/7d2ebd77.Path.114515.jpg</t>
  </si>
  <si>
    <t>45693839</t>
  </si>
  <si>
    <t>https://ryycrdhlkmzpxwwwwupy.supabase.co/storage/v1/object/public/old_media/45693839.Path.114544.jpg</t>
  </si>
  <si>
    <t>65c11f88</t>
  </si>
  <si>
    <t>https://ryycrdhlkmzpxwwwwupy.supabase.co/storage/v1/object/public/old_media/65c11f88.Path.114620.jpg</t>
  </si>
  <si>
    <t>4bbe2282</t>
  </si>
  <si>
    <t>https://ryycrdhlkmzpxwwwwupy.supabase.co/storage/v1/object/public/old_media/4bbe2282.Path.043044.jpg</t>
  </si>
  <si>
    <t>665fe61a</t>
  </si>
  <si>
    <t>https://ryycrdhlkmzpxwwwwupy.supabase.co/storage/v1/object/public/old_media/665fe61a.Path.043110.jpg</t>
  </si>
  <si>
    <t>6b2ce76b</t>
  </si>
  <si>
    <t>https://ryycrdhlkmzpxwwwwupy.supabase.co/storage/v1/object/public/old_media/6b2ce76b.Path.064213.jpg</t>
  </si>
  <si>
    <t>6f85827d</t>
  </si>
  <si>
    <t>https://ryycrdhlkmzpxwwwwupy.supabase.co/storage/v1/object/public/old_media/6f85827d.Path.064241.jpg</t>
  </si>
  <si>
    <t>25b4777b</t>
  </si>
  <si>
    <t>https://ryycrdhlkmzpxwwwwupy.supabase.co/storage/v1/object/public/old_media/25b4777b.Path.064258.jpg</t>
  </si>
  <si>
    <t>bd34d9b8</t>
  </si>
  <si>
    <t>https://ryycrdhlkmzpxwwwwupy.supabase.co/storage/v1/object/public/old_media/bd34d9b8.Path.064357.jpg</t>
  </si>
  <si>
    <t>6bd363bc</t>
  </si>
  <si>
    <t>https://ryycrdhlkmzpxwwwwupy.supabase.co/storage/v1/object/public/old_media/6bd363bc.Path.064655.jpg</t>
  </si>
  <si>
    <t>01368ffa</t>
  </si>
  <si>
    <t>https://ryycrdhlkmzpxwwwwupy.supabase.co/storage/v1/object/public/old_media/01368ffa.Path.064708.jpg</t>
  </si>
  <si>
    <t>406ae58a</t>
  </si>
  <si>
    <t>https://ryycrdhlkmzpxwwwwupy.supabase.co/storage/v1/object/public/old_media/406ae58a.Path.064734.jpg</t>
  </si>
  <si>
    <t>fdd7cd82</t>
  </si>
  <si>
    <t>https://ryycrdhlkmzpxwwwwupy.supabase.co/storage/v1/object/public/old_media/fdd7cd82.Path.065519.jpg</t>
  </si>
  <si>
    <t>62fd9313</t>
  </si>
  <si>
    <t>https://ryycrdhlkmzpxwwwwupy.supabase.co/storage/v1/object/public/old_media/62fd9313.Path.065608.jpg</t>
  </si>
  <si>
    <t>75570e0e</t>
  </si>
  <si>
    <t>https://ryycrdhlkmzpxwwwwupy.supabase.co/storage/v1/object/public/old_media/75570e0e.Path.112305.jpg</t>
  </si>
  <si>
    <t>e7d4d7df</t>
  </si>
  <si>
    <t>https://ryycrdhlkmzpxwwwwupy.supabase.co/storage/v1/object/public/old_media/e7d4d7df.Path.112315.jpg</t>
  </si>
  <si>
    <t>ee398d97</t>
  </si>
  <si>
    <t>https://ryycrdhlkmzpxwwwwupy.supabase.co/storage/v1/object/public/old_media/ee398d97.Path.112325.jpg</t>
  </si>
  <si>
    <t>9334582b</t>
  </si>
  <si>
    <t>https://ryycrdhlkmzpxwwwwupy.supabase.co/storage/v1/object/public/old_media/9334582b.Path.112336.jpg</t>
  </si>
  <si>
    <t>80c22ff3</t>
  </si>
  <si>
    <t>https://ryycrdhlkmzpxwwwwupy.supabase.co/storage/v1/object/public/old_media/80c22ff3.Path.093943.jpg</t>
  </si>
  <si>
    <t>5ce274af</t>
  </si>
  <si>
    <t>https://ryycrdhlkmzpxwwwwupy.supabase.co/storage/v1/object/public/old_media/5ce274af.Path.093957.jpg</t>
  </si>
  <si>
    <t>b5f90db2</t>
  </si>
  <si>
    <t>https://ryycrdhlkmzpxwwwwupy.supabase.co/storage/v1/object/public/old_media/b5f90db2.Path.094009.jpg</t>
  </si>
  <si>
    <t>f3f99f9d</t>
  </si>
  <si>
    <t>https://ryycrdhlkmzpxwwwwupy.supabase.co/storage/v1/object/public/old_media/f3f99f9d.Path.094021.jpg</t>
  </si>
  <si>
    <t>229ff411</t>
  </si>
  <si>
    <t>https://ryycrdhlkmzpxwwwwupy.supabase.co/storage/v1/object/public/old_media/229ff411.Path.094034.jpg</t>
  </si>
  <si>
    <t>bb71a36f</t>
  </si>
  <si>
    <t>https://ryycrdhlkmzpxwwwwupy.supabase.co/storage/v1/object/public/old_media/bb71a36f.Path.114833.jpg</t>
  </si>
  <si>
    <t>67f6186b</t>
  </si>
  <si>
    <t>https://ryycrdhlkmzpxwwwwupy.supabase.co/storage/v1/object/public/old_media/67f6186b.Path.114842.jpg</t>
  </si>
  <si>
    <t>3aca498d</t>
  </si>
  <si>
    <t>https://ryycrdhlkmzpxwwwwupy.supabase.co/storage/v1/object/public/old_media/3aca498d.Path.114850.jpg</t>
  </si>
  <si>
    <t>5c3b211e</t>
  </si>
  <si>
    <t>https://ryycrdhlkmzpxwwwwupy.supabase.co/storage/v1/object/public/old_media/5c3b211e.Path.114858.jpg</t>
  </si>
  <si>
    <t>d39de519</t>
  </si>
  <si>
    <t>https://ryycrdhlkmzpxwwwwupy.supabase.co/storage/v1/object/public/old_media/d39de519.Path.114905.jpg</t>
  </si>
  <si>
    <t>b172a59b</t>
  </si>
  <si>
    <t>https://ryycrdhlkmzpxwwwwupy.supabase.co/storage/v1/object/public/old_media/b172a59b.Path.114914.jpg</t>
  </si>
  <si>
    <t>7120b793</t>
  </si>
  <si>
    <t>https://ryycrdhlkmzpxwwwwupy.supabase.co/storage/v1/object/public/old_media/7120b793.Path.114930.jpg</t>
  </si>
  <si>
    <t>de3d561f</t>
  </si>
  <si>
    <t>https://ryycrdhlkmzpxwwwwupy.supabase.co/storage/v1/object/public/old_media/de3d561f.Path.114938.jpg</t>
  </si>
  <si>
    <t>204700d4</t>
  </si>
  <si>
    <t>https://ryycrdhlkmzpxwwwwupy.supabase.co/storage/v1/object/public/old_media/204700d4.Path.095527.jpg</t>
  </si>
  <si>
    <t>b446cd61</t>
  </si>
  <si>
    <t>https://ryycrdhlkmzpxwwwwupy.supabase.co/storage/v1/object/public/old_media/b446cd61.Path.095556.jpg</t>
  </si>
  <si>
    <t>c179823c</t>
  </si>
  <si>
    <t>https://ryycrdhlkmzpxwwwwupy.supabase.co/storage/v1/object/public/old_media/c179823c.Path.095626.jpg</t>
  </si>
  <si>
    <t>baa5161d</t>
  </si>
  <si>
    <t>https://ryycrdhlkmzpxwwwwupy.supabase.co/storage/v1/object/public/old_media/baa5161d.Path.095700.jpg</t>
  </si>
  <si>
    <t>0a72dc9c</t>
  </si>
  <si>
    <t>https://ryycrdhlkmzpxwwwwupy.supabase.co/storage/v1/object/public/old_media/0a72dc9c.Path.095723.jpg</t>
  </si>
  <si>
    <t>71480047</t>
  </si>
  <si>
    <t>https://ryycrdhlkmzpxwwwwupy.supabase.co/storage/v1/object/public/old_media/71480047.Path.095738.jpg</t>
  </si>
  <si>
    <t>65093dd5</t>
  </si>
  <si>
    <t>https://ryycrdhlkmzpxwwwwupy.supabase.co/storage/v1/object/public/old_media/65093dd5.Path.095809.jpg</t>
  </si>
  <si>
    <t>f0a968e4</t>
  </si>
  <si>
    <t>https://ryycrdhlkmzpxwwwwupy.supabase.co/storage/v1/object/public/old_media/f0a968e4.Path.100543.jpg</t>
  </si>
  <si>
    <t>24cfbad5</t>
  </si>
  <si>
    <t>https://ryycrdhlkmzpxwwwwupy.supabase.co/storage/v1/object/public/old_media/24cfbad5.Path.100611.jpg</t>
  </si>
  <si>
    <t>460d96d3</t>
  </si>
  <si>
    <t>https://ryycrdhlkmzpxwwwwupy.supabase.co/storage/v1/object/public/old_media/460d96d3.Path.100629.jpg</t>
  </si>
  <si>
    <t>2cedf85c</t>
  </si>
  <si>
    <t>https://ryycrdhlkmzpxwwwwupy.supabase.co/storage/v1/object/public/old_media/2cedf85c.Path.091921.jpg</t>
  </si>
  <si>
    <t>72373394</t>
  </si>
  <si>
    <t>https://ryycrdhlkmzpxwwwwupy.supabase.co/storage/v1/object/public/old_media/72373394.Path.074530.jpg</t>
  </si>
  <si>
    <t>4f6d3b9a</t>
  </si>
  <si>
    <t>https://ryycrdhlkmzpxwwwwupy.supabase.co/storage/v1/object/public/old_media/4f6d3b9a.Path.074555.jpg</t>
  </si>
  <si>
    <t>8255b6c1</t>
  </si>
  <si>
    <t>https://ryycrdhlkmzpxwwwwupy.supabase.co/storage/v1/object/public/old_media/8255b6c1.Path.074615.jpg</t>
  </si>
  <si>
    <t>c1a752c2</t>
  </si>
  <si>
    <t>https://ryycrdhlkmzpxwwwwupy.supabase.co/storage/v1/object/public/old_media/c1a752c2.Path.074626.jpg</t>
  </si>
  <si>
    <t>8cc0461b</t>
  </si>
  <si>
    <t>https://ryycrdhlkmzpxwwwwupy.supabase.co/storage/v1/object/public/old_media/8cc0461b.Path.074649.jpg</t>
  </si>
  <si>
    <t>7cb6e7da</t>
  </si>
  <si>
    <t>https://ryycrdhlkmzpxwwwwupy.supabase.co/storage/v1/object/public/old_media/7cb6e7da.Path.074710.jpg</t>
  </si>
  <si>
    <t>26727902</t>
  </si>
  <si>
    <t>https://ryycrdhlkmzpxwwwwupy.supabase.co/storage/v1/object/public/old_media/26727902.Path.074751.jpg</t>
  </si>
  <si>
    <t>Flyer - pique-nique familial</t>
  </si>
  <si>
    <t>95f95e5f</t>
  </si>
  <si>
    <t>https://ryycrdhlkmzpxwwwwupy.supabase.co/storage/v1/object/public/old_media/95f95e5f.Path.092817.jpg</t>
  </si>
  <si>
    <t>Flyer (visite guidée) - Le Tunnel des nombres</t>
  </si>
  <si>
    <t>f641331d</t>
  </si>
  <si>
    <t>https://ryycrdhlkmzpxwwwwupy.supabase.co/storage/v1/object/public/old_media/f641331d.Path.094527.jpg</t>
  </si>
  <si>
    <t>Flyer - L'École Marron</t>
  </si>
  <si>
    <t>4db5963b</t>
  </si>
  <si>
    <t>https://ryycrdhlkmzpxwwwwupy.supabase.co/storage/v1/object/public/old_media/4db5963b.Path.095331.jpg</t>
  </si>
  <si>
    <t>Flyer (visite guidée) - Petit' Ferme &amp; Alphabet Nature</t>
  </si>
  <si>
    <t>006a3bec</t>
  </si>
  <si>
    <t>https://ryycrdhlkmzpxwwwwupy.supabase.co/storage/v1/object/public/old_media/006a3bec.Path.104625.jpg</t>
  </si>
  <si>
    <t>Flyer - Camping Nuit Australe</t>
  </si>
  <si>
    <t>86ff18b6</t>
  </si>
  <si>
    <t>https://ryycrdhlkmzpxwwwwupy.supabase.co/storage/v1/object/public/old_media/86ff18b6.Path.120933.jpg</t>
  </si>
  <si>
    <t>Présentation des séjours</t>
  </si>
  <si>
    <t>1a178ad6</t>
  </si>
  <si>
    <t>https://ryycrdhlkmzpxwwwwupy.supabase.co/storage/v1/object/public/old_media/1a178ad6.Path.122405.jpg</t>
  </si>
  <si>
    <t>a1ad78a5</t>
  </si>
  <si>
    <t>https://ryycrdhlkmzpxwwwwupy.supabase.co/storage/v1/object/public/old_media/a1ad78a5.Path.044357.jpg</t>
  </si>
  <si>
    <t>17d5e443</t>
  </si>
  <si>
    <t>https://ryycrdhlkmzpxwwwwupy.supabase.co/storage/v1/object/public/old_media/17d5e443.Path.053031.jpg</t>
  </si>
  <si>
    <t>5f9a8646</t>
  </si>
  <si>
    <t>https://ryycrdhlkmzpxwwwwupy.supabase.co/storage/v1/object/public/old_media/5f9a8646.Path.053047.jpg</t>
  </si>
  <si>
    <t>45241d81</t>
  </si>
  <si>
    <t>https://ryycrdhlkmzpxwwwwupy.supabase.co/storage/v1/object/public/old_media/45241d81.Path.053145.jpg</t>
  </si>
  <si>
    <t>bab68c66</t>
  </si>
  <si>
    <t>https://ryycrdhlkmzpxwwwwupy.supabase.co/storage/v1/object/public/old_media/bab68c66.Path.053204.jpg</t>
  </si>
  <si>
    <t>841fcb37</t>
  </si>
  <si>
    <t>https://ryycrdhlkmzpxwwwwupy.supabase.co/storage/v1/object/public/old_media/841fcb37.Path.071059.jpg</t>
  </si>
  <si>
    <t>41ad5fcd</t>
  </si>
  <si>
    <t>https://ryycrdhlkmzpxwwwwupy.supabase.co/storage/v1/object/public/old_media/41ad5fcd.Path.061018.jpg</t>
  </si>
  <si>
    <t>bbba67fa</t>
  </si>
  <si>
    <t>https://ryycrdhlkmzpxwwwwupy.supabase.co/storage/v1/object/public/old_media/bbba67fa.Path.094643.jpg</t>
  </si>
  <si>
    <t>fbf631dd</t>
  </si>
  <si>
    <t>https://ryycrdhlkmzpxwwwwupy.supabase.co/storage/v1/object/public/old_media/fbf631dd.Path.094702.jpg</t>
  </si>
  <si>
    <t>08d84eeb</t>
  </si>
  <si>
    <t>https://ryycrdhlkmzpxwwwwupy.supabase.co/storage/v1/object/public/old_media/08d84eeb.Path.094741.jpg</t>
  </si>
  <si>
    <t>d11272e6</t>
  </si>
  <si>
    <t>https://ryycrdhlkmzpxwwwwupy.supabase.co/storage/v1/object/public/old_media/d11272e6.Path.094804.jpg</t>
  </si>
  <si>
    <t>5bae6712</t>
  </si>
  <si>
    <t>https://ryycrdhlkmzpxwwwwupy.supabase.co/storage/v1/object/public/old_media/5bae6712.Path.094838.jpg</t>
  </si>
  <si>
    <t>168a7714</t>
  </si>
  <si>
    <t>https://ryycrdhlkmzpxwwwwupy.supabase.co/storage/v1/object/public/old_media/168a7714.Path.094925.jpg</t>
  </si>
  <si>
    <t>0ee84a74</t>
  </si>
  <si>
    <t>https://ryycrdhlkmzpxwwwwupy.supabase.co/storage/v1/object/public/old_media/0ee84a74.Path.094953.jpg</t>
  </si>
  <si>
    <t>457ca055</t>
  </si>
  <si>
    <t>https://ryycrdhlkmzpxwwwwupy.supabase.co/storage/v1/object/public/old_media/457ca055.Path.095131.jpg</t>
  </si>
  <si>
    <t>e8318b7b</t>
  </si>
  <si>
    <t>https://ryycrdhlkmzpxwwwwupy.supabase.co/storage/v1/object/public/old_media/e8318b7b.Path.095246.jpg</t>
  </si>
  <si>
    <t>3f8fd203</t>
  </si>
  <si>
    <t>https://ryycrdhlkmzpxwwwwupy.supabase.co/storage/v1/object/public/old_media/3f8fd203.Path.095325.jpg</t>
  </si>
  <si>
    <t>e695a323</t>
  </si>
  <si>
    <t>https://ryycrdhlkmzpxwwwwupy.supabase.co/storage/v1/object/public/old_media/e695a323.Path.104534.webp</t>
  </si>
  <si>
    <t>64415886</t>
  </si>
  <si>
    <t>https://ryycrdhlkmzpxwwwwupy.supabase.co/storage/v1/object/public/old_media/64415886.Path.104551.jpg</t>
  </si>
  <si>
    <t>886ad596</t>
  </si>
  <si>
    <t>https://ryycrdhlkmzpxwwwwupy.supabase.co/storage/v1/object/public/old_media/886ad596.Path.104605.jpg</t>
  </si>
  <si>
    <t>2e8e4c54</t>
  </si>
  <si>
    <t>https://ryycrdhlkmzpxwwwwupy.supabase.co/storage/v1/object/public/old_media/2e8e4c54.Path.104613.webp</t>
  </si>
  <si>
    <t>99bcfa4d</t>
  </si>
  <si>
    <t>https://ryycrdhlkmzpxwwwwupy.supabase.co/storage/v1/object/public/old_media/99bcfa4d.Path.104621.webp</t>
  </si>
  <si>
    <t>d4bfeb03</t>
  </si>
  <si>
    <t>https://ryycrdhlkmzpxwwwwupy.supabase.co/storage/v1/object/public/old_media/d4bfeb03.Path.052822.jpg</t>
  </si>
  <si>
    <t>6365b688</t>
  </si>
  <si>
    <t>https://ryycrdhlkmzpxwwwwupy.supabase.co/storage/v1/object/public/old_media/6365b688.Path.052945.jpg</t>
  </si>
  <si>
    <t>15410aa1</t>
  </si>
  <si>
    <t>https://ryycrdhlkmzpxwwwwupy.supabase.co/storage/v1/object/public/old_media/15410aa1.Path.053030.jpg</t>
  </si>
  <si>
    <t>b594e5af</t>
  </si>
  <si>
    <t>https://ryycrdhlkmzpxwwwwupy.supabase.co/storage/v1/object/public/old_media/b594e5af.Path.053109.jpg</t>
  </si>
  <si>
    <t>177cff8e</t>
  </si>
  <si>
    <t>https://ryycrdhlkmzpxwwwwupy.supabase.co/storage/v1/object/public/old_media/177cff8e.Path.053150.jpg</t>
  </si>
  <si>
    <t>6d2e99f0</t>
  </si>
  <si>
    <t>https://ryycrdhlkmzpxwwwwupy.supabase.co/storage/v1/object/public/old_media/6d2e99f0.Path.053327.jpg</t>
  </si>
  <si>
    <t>47599047</t>
  </si>
  <si>
    <t>https://ryycrdhlkmzpxwwwwupy.supabase.co/storage/v1/object/public/old_media/47599047.Path.053451.jpg</t>
  </si>
  <si>
    <t>d6ef6dc6</t>
  </si>
  <si>
    <t>https://ryycrdhlkmzpxwwwwupy.supabase.co/storage/v1/object/public/old_media/d6ef6dc6.Path.061458.jpg</t>
  </si>
  <si>
    <t>4a8193c6</t>
  </si>
  <si>
    <t>https://ryycrdhlkmzpxwwwwupy.supabase.co/storage/v1/object/public/old_media/4a8193c6.Path.061511.jpg</t>
  </si>
  <si>
    <t>11249518</t>
  </si>
  <si>
    <t>https://ryycrdhlkmzpxwwwwupy.supabase.co/storage/v1/object/public/old_media/11249518.Path.061523.jpg</t>
  </si>
  <si>
    <t>b74637c0</t>
  </si>
  <si>
    <t>https://ryycrdhlkmzpxwwwwupy.supabase.co/storage/v1/object/public/old_media/b74637c0.Path.061610.jpg</t>
  </si>
  <si>
    <t>4e3c7d76</t>
  </si>
  <si>
    <t>https://ryycrdhlkmzpxwwwwupy.supabase.co/storage/v1/object/public/old_media/4e3c7d76.Path.061631.jpg</t>
  </si>
  <si>
    <t>56e9372a</t>
  </si>
  <si>
    <t>https://ryycrdhlkmzpxwwwwupy.supabase.co/storage/v1/object/public/old_media/56e9372a.Path.071353.jpg</t>
  </si>
  <si>
    <t>c817e0e9</t>
  </si>
  <si>
    <t>https://ryycrdhlkmzpxwwwwupy.supabase.co/storage/v1/object/public/old_media/c817e0e9.Path.071404.jpg</t>
  </si>
  <si>
    <t>5f7ace70</t>
  </si>
  <si>
    <t>https://ryycrdhlkmzpxwwwwupy.supabase.co/storage/v1/object/public/old_media/5f7ace70.Path.071452.jpg</t>
  </si>
  <si>
    <t>6cbaae9c</t>
  </si>
  <si>
    <t>https://ryycrdhlkmzpxwwwwupy.supabase.co/storage/v1/object/public/old_media/6cbaae9c.Path.071508.jpg</t>
  </si>
  <si>
    <t>8b45cfe2</t>
  </si>
  <si>
    <t>https://ryycrdhlkmzpxwwwwupy.supabase.co/storage/v1/object/public/old_media/8b45cfe2.Path.071532.jpg</t>
  </si>
  <si>
    <t>bce1bf86</t>
  </si>
  <si>
    <t>https://ryycrdhlkmzpxwwwwupy.supabase.co/storage/v1/object/public/old_media/bce1bf86.Path.101438.jpg</t>
  </si>
  <si>
    <t>384fec35</t>
  </si>
  <si>
    <t>https://ryycrdhlkmzpxwwwwupy.supabase.co/storage/v1/object/public/old_media/384fec35.Path.101458.jpg</t>
  </si>
  <si>
    <t>c701fb95</t>
  </si>
  <si>
    <t>https://ryycrdhlkmzpxwwwwupy.supabase.co/storage/v1/object/public/old_media/c701fb95.Path.101509.jpg</t>
  </si>
  <si>
    <t>efc73510</t>
  </si>
  <si>
    <t>https://ryycrdhlkmzpxwwwwupy.supabase.co/storage/v1/object/public/old_media/efc73510.Path.101519.jpg</t>
  </si>
  <si>
    <t>89a051fe</t>
  </si>
  <si>
    <t>https://ryycrdhlkmzpxwwwwupy.supabase.co/storage/v1/object/public/old_media/89a051fe.Path.101531.jpg</t>
  </si>
  <si>
    <t>e0a411dc</t>
  </si>
  <si>
    <t>https://ryycrdhlkmzpxwwwwupy.supabase.co/storage/v1/object/public/old_media/e0a411dc.Path.101545.jpg</t>
  </si>
  <si>
    <t>0af9cd69</t>
  </si>
  <si>
    <t>https://ryycrdhlkmzpxwwwwupy.supabase.co/storage/v1/object/public/old_media/0af9cd69.Path.101559.jpg</t>
  </si>
  <si>
    <t>f0b94afa</t>
  </si>
  <si>
    <t>https://ryycrdhlkmzpxwwwwupy.supabase.co/storage/v1/object/public/old_media/f0b94afa.Path.101611.jpg</t>
  </si>
  <si>
    <t>78c19d78</t>
  </si>
  <si>
    <t>https://ryycrdhlkmzpxwwwwupy.supabase.co/storage/v1/object/public/old_media/78c19d78.Path.101843.jpg</t>
  </si>
  <si>
    <t>b665dd94</t>
  </si>
  <si>
    <t>https://ryycrdhlkmzpxwwwwupy.supabase.co/storage/v1/object/public/old_media/b665dd94.Path.101854.jpg</t>
  </si>
  <si>
    <t>9b687d50</t>
  </si>
  <si>
    <t>https://ryycrdhlkmzpxwwwwupy.supabase.co/storage/v1/object/public/old_media/9b687d50.Path.101904.jpg</t>
  </si>
  <si>
    <t>58373bf1</t>
  </si>
  <si>
    <t>https://ryycrdhlkmzpxwwwwupy.supabase.co/storage/v1/object/public/old_media/58373bf1.Path.101914.jpg</t>
  </si>
  <si>
    <t>ba207579</t>
  </si>
  <si>
    <t>https://ryycrdhlkmzpxwwwwupy.supabase.co/storage/v1/object/public/old_media/ba207579.Path.101925.jpg</t>
  </si>
  <si>
    <t>93df15d1</t>
  </si>
  <si>
    <t>https://ryycrdhlkmzpxwwwwupy.supabase.co/storage/v1/object/public/old_media/93df15d1.Path.101948.jpg</t>
  </si>
  <si>
    <t>22597080</t>
  </si>
  <si>
    <t>https://ryycrdhlkmzpxwwwwupy.supabase.co/storage/v1/object/public/old_media/22597080.Path.101958.jpg</t>
  </si>
  <si>
    <t>0103248d</t>
  </si>
  <si>
    <t>https://ryycrdhlkmzpxwwwwupy.supabase.co/storage/v1/object/public/old_media/0103248d.Path.102022.jpg</t>
  </si>
  <si>
    <t>3aad3a9d</t>
  </si>
  <si>
    <t>https://ryycrdhlkmzpxwwwwupy.supabase.co/storage/v1/object/public/old_media/3aad3a9d.Path.102037.jpg</t>
  </si>
  <si>
    <t>63026410</t>
  </si>
  <si>
    <t>https://ryycrdhlkmzpxwwwwupy.supabase.co/storage/v1/object/public/old_media/63026410.Path.102047.jpg</t>
  </si>
  <si>
    <t>ef7b1dfd</t>
  </si>
  <si>
    <t>https://ryycrdhlkmzpxwwwwupy.supabase.co/storage/v1/object/public/old_media/ef7b1dfd.Path.102114.jpg</t>
  </si>
  <si>
    <t>23347611</t>
  </si>
  <si>
    <t>https://ryycrdhlkmzpxwwwwupy.supabase.co/storage/v1/object/public/old_media/23347611.Path.102129.jpg</t>
  </si>
  <si>
    <t>90662030</t>
  </si>
  <si>
    <t>https://ryycrdhlkmzpxwwwwupy.supabase.co/storage/v1/object/public/old_media/90662030.Path.102140.jpg</t>
  </si>
  <si>
    <t>0f6be718</t>
  </si>
  <si>
    <t>https://ryycrdhlkmzpxwwwwupy.supabase.co/storage/v1/object/public/old_media/0f6be718.Path.102154.jpg</t>
  </si>
  <si>
    <t>56089795</t>
  </si>
  <si>
    <t>https://ryycrdhlkmzpxwwwwupy.supabase.co/storage/v1/object/public/old_media/56089795.Path.102208.jpg</t>
  </si>
  <si>
    <t>50c010bc</t>
  </si>
  <si>
    <t>https://ryycrdhlkmzpxwwwwupy.supabase.co/storage/v1/object/public/old_media/50c010bc.Path.102222.jpg</t>
  </si>
  <si>
    <t>08a843ea</t>
  </si>
  <si>
    <t>https://ryycrdhlkmzpxwwwwupy.supabase.co/storage/v1/object/public/old_media/08a843ea.Path.102234.jpg</t>
  </si>
  <si>
    <t>31dc07c7</t>
  </si>
  <si>
    <t>https://ryycrdhlkmzpxwwwwupy.supabase.co/storage/v1/object/public/old_media/31dc07c7.Path.102249.jpg</t>
  </si>
  <si>
    <t>3289db28</t>
  </si>
  <si>
    <t>https://ryycrdhlkmzpxwwwwupy.supabase.co/storage/v1/object/public/old_media/3289db28.Path.102312.jpg</t>
  </si>
  <si>
    <t>40c26561</t>
  </si>
  <si>
    <t>https://ryycrdhlkmzpxwwwwupy.supabase.co/storage/v1/object/public/old_media/40c26561.Path.102325.jpg</t>
  </si>
  <si>
    <t>fffaf6c8</t>
  </si>
  <si>
    <t>https://ryycrdhlkmzpxwwwwupy.supabase.co/storage/v1/object/public/old_media/fffaf6c8.Path.102339.jpg</t>
  </si>
  <si>
    <t>d8f94f6f</t>
  </si>
  <si>
    <t>https://ryycrdhlkmzpxwwwwupy.supabase.co/storage/v1/object/public/old_media/d8f94f6f.Path.102351.jpg</t>
  </si>
  <si>
    <t>4a0bffec</t>
  </si>
  <si>
    <t>https://ryycrdhlkmzpxwwwwupy.supabase.co/storage/v1/object/public/old_media/4a0bffec.Path.102404.jpg</t>
  </si>
  <si>
    <t>1a1b90f5</t>
  </si>
  <si>
    <t>https://ryycrdhlkmzpxwwwwupy.supabase.co/storage/v1/object/public/old_media/1a1b90f5.Path.102419.jpg</t>
  </si>
  <si>
    <t>5197646d</t>
  </si>
  <si>
    <t>https://ryycrdhlkmzpxwwwwupy.supabase.co/storage/v1/object/public/old_media/5197646d.Path.102435.jpg</t>
  </si>
  <si>
    <t>da7a0942</t>
  </si>
  <si>
    <t>https://ryycrdhlkmzpxwwwwupy.supabase.co/storage/v1/object/public/old_media/da7a0942.Path.062423.webp</t>
  </si>
  <si>
    <t>15926c89</t>
  </si>
  <si>
    <t>https://ryycrdhlkmzpxwwwwupy.supabase.co/storage/v1/object/public/old_media/15926c89.Path.062432.webp</t>
  </si>
  <si>
    <t>022df6a1</t>
  </si>
  <si>
    <t>https://ryycrdhlkmzpxwwwwupy.supabase.co/storage/v1/object/public/old_media/022df6a1.Path.062541.jpg</t>
  </si>
  <si>
    <t>2d5ba466</t>
  </si>
  <si>
    <t>https://ryycrdhlkmzpxwwwwupy.supabase.co/storage/v1/object/public/old_media/2d5ba466.Path.062554.jpg</t>
  </si>
  <si>
    <t>e2fbfe1d</t>
  </si>
  <si>
    <t>https://ryycrdhlkmzpxwwwwupy.supabase.co/storage/v1/object/public/old_media/e2fbfe1d.Path.062601.jpg</t>
  </si>
  <si>
    <t>e36adb33</t>
  </si>
  <si>
    <t>https://ryycrdhlkmzpxwwwwupy.supabase.co/storage/v1/object/public/old_media/e36adb33.Path.073639.jpg</t>
  </si>
  <si>
    <t>14ab5c00</t>
  </si>
  <si>
    <t>https://ryycrdhlkmzpxwwwwupy.supabase.co/storage/v1/object/public/old_media/14ab5c00.Path.103720.jpg</t>
  </si>
  <si>
    <t>e5d96490</t>
  </si>
  <si>
    <t>https://ryycrdhlkmzpxwwwwupy.supabase.co/storage/v1/object/public/old_media/e5d96490.Path.103855.jpg</t>
  </si>
  <si>
    <t>76fca7c4</t>
  </si>
  <si>
    <t>https://ryycrdhlkmzpxwwwwupy.supabase.co/storage/v1/object/public/old_media/76fca7c4.Path.103911.jpg</t>
  </si>
  <si>
    <t>86576fbc</t>
  </si>
  <si>
    <t>https://ryycrdhlkmzpxwwwwupy.supabase.co/storage/v1/object/public/old_media/86576fbc.Path.113440.jpg</t>
  </si>
  <si>
    <t>Son atelier / boutique</t>
  </si>
  <si>
    <t>a20af7fc</t>
  </si>
  <si>
    <t>https://ryycrdhlkmzpxwwwwupy.supabase.co/storage/v1/object/public/old_media/a20af7fc.Path.051710.jpg</t>
  </si>
  <si>
    <t>5d6e5d99</t>
  </si>
  <si>
    <t>https://ryycrdhlkmzpxwwwwupy.supabase.co/storage/v1/object/public/old_media/5d6e5d99.Path.051719.jpg</t>
  </si>
  <si>
    <t>664d3815</t>
  </si>
  <si>
    <t>https://ryycrdhlkmzpxwwwwupy.supabase.co/storage/v1/object/public/old_media/664d3815.Path.051732.jpg</t>
  </si>
  <si>
    <t>a8897609</t>
  </si>
  <si>
    <t>https://ryycrdhlkmzpxwwwwupy.supabase.co/storage/v1/object/public/old_media/a8897609.Path.051804.jpg</t>
  </si>
  <si>
    <t>a8819582</t>
  </si>
  <si>
    <t>https://ryycrdhlkmzpxwwwwupy.supabase.co/storage/v1/object/public/old_media/a8819582.Path.051816.jpg</t>
  </si>
  <si>
    <t>63ce4535</t>
  </si>
  <si>
    <t>https://ryycrdhlkmzpxwwwwupy.supabase.co/storage/v1/object/public/old_media/63ce4535.Path.070354.jpg</t>
  </si>
  <si>
    <t>3305f966</t>
  </si>
  <si>
    <t>https://ryycrdhlkmzpxwwwwupy.supabase.co/storage/v1/object/public/old_media/3305f966.Path.070408.jpg</t>
  </si>
  <si>
    <t>4c3a69d9</t>
  </si>
  <si>
    <t>https://ryycrdhlkmzpxwwwwupy.supabase.co/storage/v1/object/public/old_media/4c3a69d9.Path.071157.jpg</t>
  </si>
  <si>
    <t>0032f66f</t>
  </si>
  <si>
    <t>https://ryycrdhlkmzpxwwwwupy.supabase.co/storage/v1/object/public/old_media/0032f66f.Path.071207.jpg</t>
  </si>
  <si>
    <t>57924301</t>
  </si>
  <si>
    <t>https://ryycrdhlkmzpxwwwwupy.supabase.co/storage/v1/object/public/old_media/57924301.Path.071216.jpg</t>
  </si>
  <si>
    <t>95337b17</t>
  </si>
  <si>
    <t>https://ryycrdhlkmzpxwwwwupy.supabase.co/storage/v1/object/public/old_media/95337b17.Path.051043.jpg</t>
  </si>
  <si>
    <t>256124cf</t>
  </si>
  <si>
    <t>https://ryycrdhlkmzpxwwwwupy.supabase.co/storage/v1/object/public/old_media/256124cf.Path.051110.jpg</t>
  </si>
  <si>
    <t>d433730c</t>
  </si>
  <si>
    <t>https://ryycrdhlkmzpxwwwwupy.supabase.co/storage/v1/object/public/old_media/d433730c.Path.051152.jpg</t>
  </si>
  <si>
    <t>7ee9843a</t>
  </si>
  <si>
    <t>https://ryycrdhlkmzpxwwwwupy.supabase.co/storage/v1/object/public/old_media/7ee9843a.Path.051200.jpg</t>
  </si>
  <si>
    <t>fc038910</t>
  </si>
  <si>
    <t>https://ryycrdhlkmzpxwwwwupy.supabase.co/storage/v1/object/public/old_media/fc038910.Path.041253.jpg</t>
  </si>
  <si>
    <t>37941a7d</t>
  </si>
  <si>
    <t>https://ryycrdhlkmzpxwwwwupy.supabase.co/storage/v1/object/public/old_media/37941a7d.Path.041306.jpg</t>
  </si>
  <si>
    <t>22cd9a51</t>
  </si>
  <si>
    <t>https://ryycrdhlkmzpxwwwwupy.supabase.co/storage/v1/object/public/old_media/22cd9a51.Path.041317.jpg</t>
  </si>
  <si>
    <t>c07b189f</t>
  </si>
  <si>
    <t>https://ryycrdhlkmzpxwwwwupy.supabase.co/storage/v1/object/public/old_media/c07b189f.Path.091923.jpg</t>
  </si>
  <si>
    <t>c3d985af</t>
  </si>
  <si>
    <t>https://ryycrdhlkmzpxwwwwupy.supabase.co/storage/v1/object/public/old_media/c3d985af.Path.093250.jpg</t>
  </si>
  <si>
    <t>Séjour</t>
  </si>
  <si>
    <t>5f835759</t>
  </si>
  <si>
    <t>https://ryycrdhlkmzpxwwwwupy.supabase.co/storage/v1/object/public/old_media/5f835759.Path.093259.jpg</t>
  </si>
  <si>
    <t>a9f5964c</t>
  </si>
  <si>
    <t>https://ryycrdhlkmzpxwwwwupy.supabase.co/storage/v1/object/public/old_media/a9f5964c.Path.093313.jpg</t>
  </si>
  <si>
    <t>4ffa09ce</t>
  </si>
  <si>
    <t>https://ryycrdhlkmzpxwwwwupy.supabase.co/storage/v1/object/public/old_media/4ffa09ce.Path.093326.jpg</t>
  </si>
  <si>
    <t>a20eaf2b</t>
  </si>
  <si>
    <t>https://ryycrdhlkmzpxwwwwupy.supabase.co/storage/v1/object/public/old_media/a20eaf2b.Path.093338.jpg</t>
  </si>
  <si>
    <t>dd38a240</t>
  </si>
  <si>
    <t>https://ryycrdhlkmzpxwwwwupy.supabase.co/storage/v1/object/public/old_media/dd38a240.Path.063451.jpg</t>
  </si>
  <si>
    <t>c50acdf9</t>
  </si>
  <si>
    <t>https://ryycrdhlkmzpxwwwwupy.supabase.co/storage/v1/object/public/old_media/c50acdf9.Path.073316.jpg</t>
  </si>
  <si>
    <t>11716fe0</t>
  </si>
  <si>
    <t>https://ryycrdhlkmzpxwwwwupy.supabase.co/storage/v1/object/public/old_media/11716fe0.Path.073537.jpg</t>
  </si>
  <si>
    <t>399855fd</t>
  </si>
  <si>
    <t>https://ryycrdhlkmzpxwwwwupy.supabase.co/storage/v1/object/public/old_media/399855fd.Path.073550.jpg</t>
  </si>
  <si>
    <t>8a166579</t>
  </si>
  <si>
    <t>https://ryycrdhlkmzpxwwwwupy.supabase.co/storage/v1/object/public/old_media/8a166579.Path.073603.jpg</t>
  </si>
  <si>
    <t>eea353b7</t>
  </si>
  <si>
    <t>https://ryycrdhlkmzpxwwwwupy.supabase.co/storage/v1/object/public/old_media/eea353b7.Path.095036.jpg</t>
  </si>
  <si>
    <t>fa8b438d</t>
  </si>
  <si>
    <t>https://ryycrdhlkmzpxwwwwupy.supabase.co/storage/v1/object/public/old_media/fa8b438d.Path.095053.jpg</t>
  </si>
  <si>
    <t>0498d1b3</t>
  </si>
  <si>
    <t>https://ryycrdhlkmzpxwwwwupy.supabase.co/storage/v1/object/public/old_media/0498d1b3.Path.095112.jpg</t>
  </si>
  <si>
    <t>171113d4</t>
  </si>
  <si>
    <t>https://ryycrdhlkmzpxwwwwupy.supabase.co/storage/v1/object/public/old_media/171113d4.Path.095133.jpg</t>
  </si>
  <si>
    <t>da1b73e1</t>
  </si>
  <si>
    <t>https://ryycrdhlkmzpxwwwwupy.supabase.co/storage/v1/object/public/old_media/da1b73e1.Path.095205.jpg</t>
  </si>
  <si>
    <t>b4c41e56</t>
  </si>
  <si>
    <t>https://ryycrdhlkmzpxwwwwupy.supabase.co/storage/v1/object/public/old_media/b4c41e56.Path.095240.jpg</t>
  </si>
  <si>
    <t>5fed739b</t>
  </si>
  <si>
    <t>https://ryycrdhlkmzpxwwwwupy.supabase.co/storage/v1/object/public/old_media/5fed739b.Path.095404.jpg</t>
  </si>
  <si>
    <t>bc6ab571</t>
  </si>
  <si>
    <t>https://ryycrdhlkmzpxwwwwupy.supabase.co/storage/v1/object/public/old_media/bc6ab571.Path.095418.jpg</t>
  </si>
  <si>
    <t>07fd523d</t>
  </si>
  <si>
    <t>https://ryycrdhlkmzpxwwwwupy.supabase.co/storage/v1/object/public/old_media/07fd523d.Path.095454.jpg</t>
  </si>
  <si>
    <t>3ac4e981</t>
  </si>
  <si>
    <t>https://ryycrdhlkmzpxwwwwupy.supabase.co/storage/v1/object/public/old_media/3ac4e981.Path.095519.jpg</t>
  </si>
  <si>
    <t>ee5b382c</t>
  </si>
  <si>
    <t>https://ryycrdhlkmzpxwwwwupy.supabase.co/storage/v1/object/public/old_media/ee5b382c.Path.095547.jpg</t>
  </si>
  <si>
    <t>c88cd9df</t>
  </si>
  <si>
    <t>https://ryycrdhlkmzpxwwwwupy.supabase.co/storage/v1/object/public/old_media/c88cd9df.Path.075323.jpg</t>
  </si>
  <si>
    <t>e5581ca2</t>
  </si>
  <si>
    <t>https://ryycrdhlkmzpxwwwwupy.supabase.co/storage/v1/object/public/old_media/e5581ca2.Path.075335.jpg</t>
  </si>
  <si>
    <t>37bf3e66</t>
  </si>
  <si>
    <t>https://ryycrdhlkmzpxwwwwupy.supabase.co/storage/v1/object/public/old_media/37bf3e66.Path.075347.jpg</t>
  </si>
  <si>
    <t>f9766a9f</t>
  </si>
  <si>
    <t>https://ryycrdhlkmzpxwwwwupy.supabase.co/storage/v1/object/public/old_media/f9766a9f.Path.075423.jpg</t>
  </si>
  <si>
    <t>8aa0a7a0</t>
  </si>
  <si>
    <t>https://ryycrdhlkmzpxwwwwupy.supabase.co/storage/v1/object/public/old_media/8aa0a7a0.Path.075450.jpg</t>
  </si>
  <si>
    <t>f472336e</t>
  </si>
  <si>
    <t>https://ryycrdhlkmzpxwwwwupy.supabase.co/storage/v1/object/public/old_media/f472336e.Path.042341.jpg</t>
  </si>
  <si>
    <t>18ab1f0b</t>
  </si>
  <si>
    <t>https://ryycrdhlkmzpxwwwwupy.supabase.co/storage/v1/object/public/old_media/18ab1f0b.Path.111914.webp</t>
  </si>
  <si>
    <t>179d696d</t>
  </si>
  <si>
    <t>https://ryycrdhlkmzpxwwwwupy.supabase.co/storage/v1/object/public/old_media/179d696d.Path.111923.webp</t>
  </si>
  <si>
    <t>49903440</t>
  </si>
  <si>
    <t>https://ryycrdhlkmzpxwwwwupy.supabase.co/storage/v1/object/public/old_media/49903440.Path.111932.webp</t>
  </si>
  <si>
    <t>8e94ed06</t>
  </si>
  <si>
    <t>https://ryycrdhlkmzpxwwwwupy.supabase.co/storage/v1/object/public/old_media/8e94ed06.Path.111941.webp</t>
  </si>
  <si>
    <t>e8707083</t>
  </si>
  <si>
    <t>https://ryycrdhlkmzpxwwwwupy.supabase.co/storage/v1/object/public/old_media/e8707083.Path.111955.webp</t>
  </si>
  <si>
    <t>cca17327</t>
  </si>
  <si>
    <t>https://ryycrdhlkmzpxwwwwupy.supabase.co/storage/v1/object/public/old_media/cca17327.Path.112006.webp</t>
  </si>
  <si>
    <t>6d1f2d77</t>
  </si>
  <si>
    <t>https://ryycrdhlkmzpxwwwwupy.supabase.co/storage/v1/object/public/old_media/6d1f2d77.Path.112016.webp</t>
  </si>
  <si>
    <t>9e0b1d26</t>
  </si>
  <si>
    <t>https://ryycrdhlkmzpxwwwwupy.supabase.co/storage/v1/object/public/old_media/9e0b1d26.Path.055404.webp</t>
  </si>
  <si>
    <t>df8336f6</t>
  </si>
  <si>
    <t>https://ryycrdhlkmzpxwwwwupy.supabase.co/storage/v1/object/public/old_media/df8336f6.Path.055418.webp</t>
  </si>
  <si>
    <t>cfdb9404</t>
  </si>
  <si>
    <t>https://ryycrdhlkmzpxwwwwupy.supabase.co/storage/v1/object/public/old_media/cfdb9404.Path.055427.webp</t>
  </si>
  <si>
    <t>f089fd25</t>
  </si>
  <si>
    <t>https://ryycrdhlkmzpxwwwwupy.supabase.co/storage/v1/object/public/old_media/f089fd25.Path.055436.webp</t>
  </si>
  <si>
    <t>9590bb87</t>
  </si>
  <si>
    <t>https://ryycrdhlkmzpxwwwwupy.supabase.co/storage/v1/object/public/old_media/9590bb87.Path.055444.jpg</t>
  </si>
  <si>
    <t>efdfa19e</t>
  </si>
  <si>
    <t>https://ryycrdhlkmzpxwwwwupy.supabase.co/storage/v1/object/public/old_media/efdfa19e.Path.073736.jpg</t>
  </si>
  <si>
    <t>76eb8cf5</t>
  </si>
  <si>
    <t>https://ryycrdhlkmzpxwwwwupy.supabase.co/storage/v1/object/public/old_media/76eb8cf5.Path.073746.jpg</t>
  </si>
  <si>
    <t>ffe59f55</t>
  </si>
  <si>
    <t>https://ryycrdhlkmzpxwwwwupy.supabase.co/storage/v1/object/public/old_media/ffe59f55.Path.073754.jpg</t>
  </si>
  <si>
    <t>4b0ad9bc</t>
  </si>
  <si>
    <t>https://ryycrdhlkmzpxwwwwupy.supabase.co/storage/v1/object/public/old_media/4b0ad9bc.Path.073805.jpg</t>
  </si>
  <si>
    <t>bd830461</t>
  </si>
  <si>
    <t>https://ryycrdhlkmzpxwwwwupy.supabase.co/storage/v1/object/public/old_media/bd830461.Path.105328.jpg</t>
  </si>
  <si>
    <t>e1f1ed21</t>
  </si>
  <si>
    <t>https://ryycrdhlkmzpxwwwwupy.supabase.co/storage/v1/object/public/old_media/e1f1ed21.Path.105402.jpg</t>
  </si>
  <si>
    <t>f77d89ec</t>
  </si>
  <si>
    <t>https://ryycrdhlkmzpxwwwwupy.supabase.co/storage/v1/object/public/old_media/f77d89ec.Path.105413.jpg</t>
  </si>
  <si>
    <t>f686e402</t>
  </si>
  <si>
    <t>https://ryycrdhlkmzpxwwwwupy.supabase.co/storage/v1/object/public/old_media/f686e402.Path.113817.jpg</t>
  </si>
  <si>
    <t>f93eef71</t>
  </si>
  <si>
    <t>https://ryycrdhlkmzpxwwwwupy.supabase.co/storage/v1/object/public/old_media/f93eef71.Path.113829.jpg</t>
  </si>
  <si>
    <t>fca9466a</t>
  </si>
  <si>
    <t>https://ryycrdhlkmzpxwwwwupy.supabase.co/storage/v1/object/public/old_media/fca9466a.Path.074800.jpg</t>
  </si>
  <si>
    <t>82312283</t>
  </si>
  <si>
    <t>https://ryycrdhlkmzpxwwwwupy.supabase.co/storage/v1/object/public/old_media/82312283.Path.074812.jpg</t>
  </si>
  <si>
    <t>4d2f2ece</t>
  </si>
  <si>
    <t>https://ryycrdhlkmzpxwwwwupy.supabase.co/storage/v1/object/public/old_media/4d2f2ece.Path.074822.jpg</t>
  </si>
  <si>
    <t>4bc0ea42</t>
  </si>
  <si>
    <t>https://ryycrdhlkmzpxwwwwupy.supabase.co/storage/v1/object/public/old_media/4bc0ea42.Path.074833.jpg</t>
  </si>
  <si>
    <t>7b3a321d</t>
  </si>
  <si>
    <t>https://ryycrdhlkmzpxwwwwupy.supabase.co/storage/v1/object/public/old_media/7b3a321d.Path.103019.jpg</t>
  </si>
  <si>
    <t>5082365a</t>
  </si>
  <si>
    <t>https://ryycrdhlkmzpxwwwwupy.supabase.co/storage/v1/object/public/old_media/5082365a.Path.103035.jpg</t>
  </si>
  <si>
    <t>7f42be44</t>
  </si>
  <si>
    <t>https://ryycrdhlkmzpxwwwwupy.supabase.co/storage/v1/object/public/old_media/7f42be44.Path.103049.jpg</t>
  </si>
  <si>
    <t>42e0aaa9</t>
  </si>
  <si>
    <t>https://ryycrdhlkmzpxwwwwupy.supabase.co/storage/v1/object/public/old_media/42e0aaa9.Path.061105.webp</t>
  </si>
  <si>
    <t>5b45d563</t>
  </si>
  <si>
    <t>https://ryycrdhlkmzpxwwwwupy.supabase.co/storage/v1/object/public/old_media/5b45d563.Path.061116.webp</t>
  </si>
  <si>
    <t>e7291b53</t>
  </si>
  <si>
    <t>https://ryycrdhlkmzpxwwwwupy.supabase.co/storage/v1/object/public/old_media/e7291b53.Path.061140.webp</t>
  </si>
  <si>
    <t>0a481031</t>
  </si>
  <si>
    <t>https://ryycrdhlkmzpxwwwwupy.supabase.co/storage/v1/object/public/old_media/0a481031.Path.061153.webp</t>
  </si>
  <si>
    <t>9639bdcf</t>
  </si>
  <si>
    <t>https://ryycrdhlkmzpxwwwwupy.supabase.co/storage/v1/object/public/old_media/9639bdcf.Path.061251.webp</t>
  </si>
  <si>
    <t>e2aacc3f</t>
  </si>
  <si>
    <t>https://ryycrdhlkmzpxwwwwupy.supabase.co/storage/v1/object/public/old_media/e2aacc3f.Path.073048.webp</t>
  </si>
  <si>
    <t>456c93df</t>
  </si>
  <si>
    <t>https://ryycrdhlkmzpxwwwwupy.supabase.co/storage/v1/object/public/old_media/456c93df.Path.073100.webp</t>
  </si>
  <si>
    <t>6841c209</t>
  </si>
  <si>
    <t>https://ryycrdhlkmzpxwwwwupy.supabase.co/storage/v1/object/public/old_media/6841c209.Path.073111.webp</t>
  </si>
  <si>
    <t>7070c2e4</t>
  </si>
  <si>
    <t>https://ryycrdhlkmzpxwwwwupy.supabase.co/storage/v1/object/public/old_media/7070c2e4.Path.073122.webp</t>
  </si>
  <si>
    <t>74319bf8</t>
  </si>
  <si>
    <t>https://ryycrdhlkmzpxwwwwupy.supabase.co/storage/v1/object/public/old_media/74319bf8.Path.073138.webp</t>
  </si>
  <si>
    <t>a47c2015</t>
  </si>
  <si>
    <t>https://ryycrdhlkmzpxwwwwupy.supabase.co/storage/v1/object/public/old_media/a47c2015.Path.073157.webp</t>
  </si>
  <si>
    <t>ca213674</t>
  </si>
  <si>
    <t>https://ryycrdhlkmzpxwwwwupy.supabase.co/storage/v1/object/public/old_media/ca213674.Path.054613.jpg</t>
  </si>
  <si>
    <t>7dffd719</t>
  </si>
  <si>
    <t>https://ryycrdhlkmzpxwwwwupy.supabase.co/storage/v1/object/public/old_media/7dffd719.Path.054622.jpg</t>
  </si>
  <si>
    <t>2d798f71</t>
  </si>
  <si>
    <t>https://ryycrdhlkmzpxwwwwupy.supabase.co/storage/v1/object/public/old_media/2d798f71.Path.054642.jpg</t>
  </si>
  <si>
    <t>3173ba44</t>
  </si>
  <si>
    <t>https://ryycrdhlkmzpxwwwwupy.supabase.co/storage/v1/object/public/old_media/3173ba44.Path.054706.jpg</t>
  </si>
  <si>
    <t>357b9b47</t>
  </si>
  <si>
    <t>https://ryycrdhlkmzpxwwwwupy.supabase.co/storage/v1/object/public/old_media/357b9b47.Path.071643.jpg</t>
  </si>
  <si>
    <t>3efee823</t>
  </si>
  <si>
    <t>https://ryycrdhlkmzpxwwwwupy.supabase.co/storage/v1/object/public/old_media/3efee823.Path.071656.jpg</t>
  </si>
  <si>
    <t>1510342d</t>
  </si>
  <si>
    <t>https://ryycrdhlkmzpxwwwwupy.supabase.co/storage/v1/object/public/old_media/1510342d.Path.071708.jpg</t>
  </si>
  <si>
    <t>49608d77</t>
  </si>
  <si>
    <t>https://ryycrdhlkmzpxwwwwupy.supabase.co/storage/v1/object/public/old_media/49608d77.Path.071717.jpg</t>
  </si>
  <si>
    <t>683193c0</t>
  </si>
  <si>
    <t>https://ryycrdhlkmzpxwwwwupy.supabase.co/storage/v1/object/public/old_media/683193c0.Path.110131.jpg</t>
  </si>
  <si>
    <t>557db9e7</t>
  </si>
  <si>
    <t>https://ryycrdhlkmzpxwwwwupy.supabase.co/storage/v1/object/public/old_media/557db9e7.Path.074148.jpg</t>
  </si>
  <si>
    <t>3ddef42a</t>
  </si>
  <si>
    <t>https://ryycrdhlkmzpxwwwwupy.supabase.co/storage/v1/object/public/old_media/3ddef42a.Path.074329.jpg</t>
  </si>
  <si>
    <t>21420b2c</t>
  </si>
  <si>
    <t>https://ryycrdhlkmzpxwwwwupy.supabase.co/storage/v1/object/public/old_media/21420b2c.Path.074347.jpg</t>
  </si>
  <si>
    <t>bc711cbf</t>
  </si>
  <si>
    <t>https://ryycrdhlkmzpxwwwwupy.supabase.co/storage/v1/object/public/old_media/bc711cbf.Path.074407.jpg</t>
  </si>
  <si>
    <t>8b82e070</t>
  </si>
  <si>
    <t>https://ryycrdhlkmzpxwwwwupy.supabase.co/storage/v1/object/public/old_media/8b82e070.Path.074435.jpg</t>
  </si>
  <si>
    <t>3f7e222d</t>
  </si>
  <si>
    <t>https://ryycrdhlkmzpxwwwwupy.supabase.co/storage/v1/object/public/old_media/3f7e222d.Path.074530.jpg</t>
  </si>
  <si>
    <t>7273d064</t>
  </si>
  <si>
    <t>https://ryycrdhlkmzpxwwwwupy.supabase.co/storage/v1/object/public/old_media/7273d064.Path.075645.jpg</t>
  </si>
  <si>
    <t>2066b6cc</t>
  </si>
  <si>
    <t>https://ryycrdhlkmzpxwwwwupy.supabase.co/storage/v1/object/public/old_media/2066b6cc.Path.050719.jpg</t>
  </si>
  <si>
    <t>eebc9dc4</t>
  </si>
  <si>
    <t>https://ryycrdhlkmzpxwwwwupy.supabase.co/storage/v1/object/public/old_media/eebc9dc4.Path.050731.jpg</t>
  </si>
  <si>
    <t>47d52aee</t>
  </si>
  <si>
    <t>https://ryycrdhlkmzpxwwwwupy.supabase.co/storage/v1/object/public/old_media/47d52aee.Path.103515.jpg</t>
  </si>
  <si>
    <t>71bc96d5</t>
  </si>
  <si>
    <t>https://ryycrdhlkmzpxwwwwupy.supabase.co/storage/v1/object/public/old_media/71bc96d5.Path.103524.jpg</t>
  </si>
  <si>
    <t>dcbba063</t>
  </si>
  <si>
    <t>https://ryycrdhlkmzpxwwwwupy.supabase.co/storage/v1/object/public/old_media/dcbba063.Path.103539.jpg</t>
  </si>
  <si>
    <t>57282c06</t>
  </si>
  <si>
    <t>https://ryycrdhlkmzpxwwwwupy.supabase.co/storage/v1/object/public/old_media/57282c06.Path.103548.jpg</t>
  </si>
  <si>
    <t>be0c4966</t>
  </si>
  <si>
    <t>https://ryycrdhlkmzpxwwwwupy.supabase.co/storage/v1/object/public/old_media/be0c4966.Path.103557.jpg</t>
  </si>
  <si>
    <t>aae1b9c5</t>
  </si>
  <si>
    <t>https://ryycrdhlkmzpxwwwwupy.supabase.co/storage/v1/object/public/old_media/aae1b9c5.Path.103606.jpg</t>
  </si>
  <si>
    <t>d92321fb</t>
  </si>
  <si>
    <t>https://ryycrdhlkmzpxwwwwupy.supabase.co/storage/v1/object/public/old_media/d92321fb.Path.103619.jpg</t>
  </si>
  <si>
    <t>a89b04aa</t>
  </si>
  <si>
    <t>https://ryycrdhlkmzpxwwwwupy.supabase.co/storage/v1/object/public/old_media/a89b04aa.Path.101819.webp</t>
  </si>
  <si>
    <t>e0dfd0d1</t>
  </si>
  <si>
    <t>https://ryycrdhlkmzpxwwwwupy.supabase.co/storage/v1/object/public/old_media/e0dfd0d1.Path.105418.jpg</t>
  </si>
  <si>
    <t>24884c88</t>
  </si>
  <si>
    <t>https://ryycrdhlkmzpxwwwwupy.supabase.co/storage/v1/object/public/old_media/24884c88.Path.105433.jpg</t>
  </si>
  <si>
    <t>914bc267</t>
  </si>
  <si>
    <t>https://ryycrdhlkmzpxwwwwupy.supabase.co/storage/v1/object/public/old_media/914bc267.Path.105506.jpg</t>
  </si>
  <si>
    <t>443102d9</t>
  </si>
  <si>
    <t>https://ryycrdhlkmzpxwwwwupy.supabase.co/storage/v1/object/public/old_media/443102d9.Path.105546.jpg</t>
  </si>
  <si>
    <t>d18b3ee3</t>
  </si>
  <si>
    <t>https://ryycrdhlkmzpxwwwwupy.supabase.co/storage/v1/object/public/old_media/d18b3ee3.Path.105615.jpg</t>
  </si>
  <si>
    <t>85724c5c</t>
  </si>
  <si>
    <t>https://ryycrdhlkmzpxwwwwupy.supabase.co/storage/v1/object/public/old_media/85724c5c.Path.105637.jpg</t>
  </si>
  <si>
    <t>79f21660</t>
  </si>
  <si>
    <t>https://ryycrdhlkmzpxwwwwupy.supabase.co/storage/v1/object/public/old_media/79f21660.Path.103534.jpg</t>
  </si>
  <si>
    <t>e6387e5a</t>
  </si>
  <si>
    <t>https://ryycrdhlkmzpxwwwwupy.supabase.co/storage/v1/object/public/old_media/e6387e5a.Path.114500.webp</t>
  </si>
  <si>
    <t>74a3c8ba</t>
  </si>
  <si>
    <t>https://ryycrdhlkmzpxwwwwupy.supabase.co/storage/v1/object/public/old_media/74a3c8ba.Path.115244.jpg</t>
  </si>
  <si>
    <t>cc382729</t>
  </si>
  <si>
    <t>https://ryycrdhlkmzpxwwwwupy.supabase.co/storage/v1/object/public/old_media/cc382729.Path.100556.jpg</t>
  </si>
  <si>
    <t>9a98a9a0</t>
  </si>
  <si>
    <t>https://ryycrdhlkmzpxwwwwupy.supabase.co/storage/v1/object/public/old_media/9a98a9a0.Path.100619.jpg</t>
  </si>
  <si>
    <t>ec5d7e0e</t>
  </si>
  <si>
    <t>https://ryycrdhlkmzpxwwwwupy.supabase.co/storage/v1/object/public/old_media/ec5d7e0e.Path.100638.jpg</t>
  </si>
  <si>
    <t>0e88d61a</t>
  </si>
  <si>
    <t>https://ryycrdhlkmzpxwwwwupy.supabase.co/storage/v1/object/public/old_media/0e88d61a.Path.100654.jpg</t>
  </si>
  <si>
    <t>efc0d758</t>
  </si>
  <si>
    <t>https://ryycrdhlkmzpxwwwwupy.supabase.co/storage/v1/object/public/old_media/efc0d758.Path.100709.jpg</t>
  </si>
  <si>
    <t>9e7dca25</t>
  </si>
  <si>
    <t>https://ryycrdhlkmzpxwwwwupy.supabase.co/storage/v1/object/public/old_media/9e7dca25.Path.100724.jpg</t>
  </si>
  <si>
    <t>6e1a6e22</t>
  </si>
  <si>
    <t>https://ryycrdhlkmzpxwwwwupy.supabase.co/storage/v1/object/public/old_media/6e1a6e22.Path.100742.jpg</t>
  </si>
  <si>
    <t>c29f328b</t>
  </si>
  <si>
    <t>https://ryycrdhlkmzpxwwwwupy.supabase.co/storage/v1/object/public/old_media/c29f328b.Path.100754.jpg</t>
  </si>
  <si>
    <t>a8681525</t>
  </si>
  <si>
    <t>https://ryycrdhlkmzpxwwwwupy.supabase.co/storage/v1/object/public/old_media/a8681525.Path.102823.png</t>
  </si>
  <si>
    <t>b3c64ea4</t>
  </si>
  <si>
    <t>https://ryycrdhlkmzpxwwwwupy.supabase.co/storage/v1/object/public/old_media/b3c64ea4.Path.110708.jpg</t>
  </si>
  <si>
    <t>788ef89d</t>
  </si>
  <si>
    <t>https://ryycrdhlkmzpxwwwwupy.supabase.co/storage/v1/object/public/old_media/788ef89d.Path.112347.jpg</t>
  </si>
  <si>
    <t>9e7ddb2c</t>
  </si>
  <si>
    <t>https://ryycrdhlkmzpxwwwwupy.supabase.co/storage/v1/object/public/old_media/9e7ddb2c.Path.045910.webp</t>
  </si>
  <si>
    <t>Voiture à disposition des locataires</t>
  </si>
  <si>
    <t>fc49d833</t>
  </si>
  <si>
    <t>https://ryycrdhlkmzpxwwwwupy.supabase.co/storage/v1/object/public/old_media/fc49d833.Path.045929.webp</t>
  </si>
  <si>
    <t>54240409</t>
  </si>
  <si>
    <t>https://ryycrdhlkmzpxwwwwupy.supabase.co/storage/v1/object/public/old_media/54240409.Path.045942.webp</t>
  </si>
  <si>
    <t>81dcce6c</t>
  </si>
  <si>
    <t>https://ryycrdhlkmzpxwwwwupy.supabase.co/storage/v1/object/public/old_media/81dcce6c.Path.045951.webp</t>
  </si>
  <si>
    <t>5f0b19ac</t>
  </si>
  <si>
    <t>https://ryycrdhlkmzpxwwwwupy.supabase.co/storage/v1/object/public/old_media/5f0b19ac.Path.050000.webp</t>
  </si>
  <si>
    <t>0101f4f5</t>
  </si>
  <si>
    <t>https://ryycrdhlkmzpxwwwwupy.supabase.co/storage/v1/object/public/old_media/0101f4f5.Path.050010.webp</t>
  </si>
  <si>
    <t>820b8c6e</t>
  </si>
  <si>
    <t>https://ryycrdhlkmzpxwwwwupy.supabase.co/storage/v1/object/public/old_media/820b8c6e.Path.050019.webp</t>
  </si>
  <si>
    <t>bf029d98</t>
  </si>
  <si>
    <t>https://ryycrdhlkmzpxwwwwupy.supabase.co/storage/v1/object/public/old_media/bf029d98.Path.050033.webp</t>
  </si>
  <si>
    <t>4cc8a9b9</t>
  </si>
  <si>
    <t>https://ryycrdhlkmzpxwwwwupy.supabase.co/storage/v1/object/public/old_media/4cc8a9b9.Path.072744.jpg</t>
  </si>
  <si>
    <t>1f625fab</t>
  </si>
  <si>
    <t>https://ryycrdhlkmzpxwwwwupy.supabase.co/storage/v1/object/public/old_media/1f625fab.Path.072852.jpg</t>
  </si>
  <si>
    <t>5c7d48f7</t>
  </si>
  <si>
    <t>https://ryycrdhlkmzpxwwwwupy.supabase.co/storage/v1/object/public/old_media/5c7d48f7.Path.072924.jpg</t>
  </si>
  <si>
    <t>df3ca07b</t>
  </si>
  <si>
    <t>https://ryycrdhlkmzpxwwwwupy.supabase.co/storage/v1/object/public/old_media/df3ca07b.Path.073007.jpg</t>
  </si>
  <si>
    <t>60807ed6</t>
  </si>
  <si>
    <t>https://ryycrdhlkmzpxwwwwupy.supabase.co/storage/v1/object/public/old_media/60807ed6.Path.073031.jpg</t>
  </si>
  <si>
    <t>105eff05</t>
  </si>
  <si>
    <t>https://ryycrdhlkmzpxwwwwupy.supabase.co/storage/v1/object/public/old_media/105eff05.Path.104533.jpg</t>
  </si>
  <si>
    <t>28879a14</t>
  </si>
  <si>
    <t>https://ryycrdhlkmzpxwwwwupy.supabase.co/storage/v1/object/public/old_media/28879a14.Path.104548.jpg</t>
  </si>
  <si>
    <t>835e54df</t>
  </si>
  <si>
    <t>https://ryycrdhlkmzpxwwwwupy.supabase.co/storage/v1/object/public/old_media/835e54df.Path.052629.jpg</t>
  </si>
  <si>
    <t>b273bbe0</t>
  </si>
  <si>
    <t>https://ryycrdhlkmzpxwwwwupy.supabase.co/storage/v1/object/public/old_media/b273bbe0.Path.052651.jpg</t>
  </si>
  <si>
    <t>8d396598</t>
  </si>
  <si>
    <t>https://ryycrdhlkmzpxwwwwupy.supabase.co/storage/v1/object/public/old_media/8d396598.Path.052757.jpg</t>
  </si>
  <si>
    <t>95f2b31e</t>
  </si>
  <si>
    <t>https://ryycrdhlkmzpxwwwwupy.supabase.co/storage/v1/object/public/old_media/95f2b31e.Path.052815.jpg</t>
  </si>
  <si>
    <t>fe32e16f</t>
  </si>
  <si>
    <t>https://ryycrdhlkmzpxwwwwupy.supabase.co/storage/v1/object/public/old_media/fe32e16f.Path.052825.jpg</t>
  </si>
  <si>
    <t>fb210343</t>
  </si>
  <si>
    <t>https://ryycrdhlkmzpxwwwwupy.supabase.co/storage/v1/object/public/old_media/fb210343.Path.052836.jpg</t>
  </si>
  <si>
    <t>f32c0102</t>
  </si>
  <si>
    <t>https://ryycrdhlkmzpxwwwwupy.supabase.co/storage/v1/object/public/old_media/f32c0102.Path.052847.jpg</t>
  </si>
  <si>
    <t>39a3d962</t>
  </si>
  <si>
    <t>https://ryycrdhlkmzpxwwwwupy.supabase.co/storage/v1/object/public/old_media/39a3d962.Path.052856.jpg</t>
  </si>
  <si>
    <t>1be210b2</t>
  </si>
  <si>
    <t>https://ryycrdhlkmzpxwwwwupy.supabase.co/storage/v1/object/public/old_media/1be210b2.Path.052903.jpg</t>
  </si>
  <si>
    <t>e8632153</t>
  </si>
  <si>
    <t>https://ryycrdhlkmzpxwwwwupy.supabase.co/storage/v1/object/public/old_media/e8632153.Path.052925.jpg</t>
  </si>
  <si>
    <t>cc6d26b7</t>
  </si>
  <si>
    <t>https://ryycrdhlkmzpxwwwwupy.supabase.co/storage/v1/object/public/old_media/cc6d26b7.Path.052946.jpg</t>
  </si>
  <si>
    <t>a6891994</t>
  </si>
  <si>
    <t>https://ryycrdhlkmzpxwwwwupy.supabase.co/storage/v1/object/public/old_media/a6891994.Path.053004.jpg</t>
  </si>
  <si>
    <t>0567e9e0</t>
  </si>
  <si>
    <t>https://ryycrdhlkmzpxwwwwupy.supabase.co/storage/v1/object/public/old_media/0567e9e0.Path.053015.jpg</t>
  </si>
  <si>
    <t>d0a6e96e</t>
  </si>
  <si>
    <t>https://ryycrdhlkmzpxwwwwupy.supabase.co/storage/v1/object/public/old_media/d0a6e96e.Path.053034.jpg</t>
  </si>
  <si>
    <t>9b609812</t>
  </si>
  <si>
    <t>https://ryycrdhlkmzpxwwwwupy.supabase.co/storage/v1/object/public/old_media/9b609812.Path.053058.jpg</t>
  </si>
  <si>
    <t>e28ad141</t>
  </si>
  <si>
    <t>https://ryycrdhlkmzpxwwwwupy.supabase.co/storage/v1/object/public/old_media/e28ad141.Path.053119.jpg</t>
  </si>
  <si>
    <t>883b71b8</t>
  </si>
  <si>
    <t>https://ryycrdhlkmzpxwwwwupy.supabase.co/storage/v1/object/public/old_media/883b71b8.Path.053135.jpg</t>
  </si>
  <si>
    <t>ff0e7395</t>
  </si>
  <si>
    <t>https://ryycrdhlkmzpxwwwwupy.supabase.co/storage/v1/object/public/old_media/ff0e7395.Path.053151.jpg</t>
  </si>
  <si>
    <t>fd094328</t>
  </si>
  <si>
    <t>https://ryycrdhlkmzpxwwwwupy.supabase.co/storage/v1/object/public/old_media/fd094328.Path.053204.jpg</t>
  </si>
  <si>
    <t>4e8ea6cf</t>
  </si>
  <si>
    <t>https://ryycrdhlkmzpxwwwwupy.supabase.co/storage/v1/object/public/old_media/4e8ea6cf.Path.053218.jpg</t>
  </si>
  <si>
    <t>b45b24bb</t>
  </si>
  <si>
    <t>https://ryycrdhlkmzpxwwwwupy.supabase.co/storage/v1/object/public/old_media/b45b24bb.Path.053235.jpg</t>
  </si>
  <si>
    <t>b924cec6</t>
  </si>
  <si>
    <t>https://ryycrdhlkmzpxwwwwupy.supabase.co/storage/v1/object/public/old_media/b924cec6.Path.053633.jpg</t>
  </si>
  <si>
    <t>3b5f8af9</t>
  </si>
  <si>
    <t>https://ryycrdhlkmzpxwwwwupy.supabase.co/storage/v1/object/public/old_media/3b5f8af9.Path.053645.jpg</t>
  </si>
  <si>
    <t>84b9527f</t>
  </si>
  <si>
    <t>https://ryycrdhlkmzpxwwwwupy.supabase.co/storage/v1/object/public/old_media/84b9527f.Path.053705.jpg</t>
  </si>
  <si>
    <t>0ccda859</t>
  </si>
  <si>
    <t>https://ryycrdhlkmzpxwwwwupy.supabase.co/storage/v1/object/public/old_media/0ccda859.Path.053721.jpg</t>
  </si>
  <si>
    <t>8c49e9e8</t>
  </si>
  <si>
    <t>https://ryycrdhlkmzpxwwwwupy.supabase.co/storage/v1/object/public/old_media/8c49e9e8.Path.053945.jpg</t>
  </si>
  <si>
    <t>f7e0131f</t>
  </si>
  <si>
    <t>https://ryycrdhlkmzpxwwwwupy.supabase.co/storage/v1/object/public/old_media/f7e0131f.Path.054008.jpg</t>
  </si>
  <si>
    <t>ad7a895d</t>
  </si>
  <si>
    <t>https://ryycrdhlkmzpxwwwwupy.supabase.co/storage/v1/object/public/old_media/ad7a895d.Path.044644.jpg</t>
  </si>
  <si>
    <t>2e86540b</t>
  </si>
  <si>
    <t>https://ryycrdhlkmzpxwwwwupy.supabase.co/storage/v1/object/public/old_media/2e86540b.Path.044655.jpg</t>
  </si>
  <si>
    <t>2ef46db0</t>
  </si>
  <si>
    <t>https://ryycrdhlkmzpxwwwwupy.supabase.co/storage/v1/object/public/old_media/2ef46db0.Path.050335.jpg</t>
  </si>
  <si>
    <t>d5c5d0f5</t>
  </si>
  <si>
    <t>https://ryycrdhlkmzpxwwwwupy.supabase.co/storage/v1/object/public/old_media/d5c5d0f5.Path.050345.jpg</t>
  </si>
  <si>
    <t>ed6ae626</t>
  </si>
  <si>
    <t>https://ryycrdhlkmzpxwwwwupy.supabase.co/storage/v1/object/public/old_media/ed6ae626.Path.050357.jpg</t>
  </si>
  <si>
    <t>99f12439</t>
  </si>
  <si>
    <t>https://ryycrdhlkmzpxwwwwupy.supabase.co/storage/v1/object/public/old_media/99f12439.Path.050408.jpg</t>
  </si>
  <si>
    <t>87e6403c</t>
  </si>
  <si>
    <t>https://ryycrdhlkmzpxwwwwupy.supabase.co/storage/v1/object/public/old_media/87e6403c.Path.050427.jpg</t>
  </si>
  <si>
    <t>0a1cd890</t>
  </si>
  <si>
    <t>https://ryycrdhlkmzpxwwwwupy.supabase.co/storage/v1/object/public/old_media/0a1cd890.Path.050439.jpg</t>
  </si>
  <si>
    <t>2ba7f105</t>
  </si>
  <si>
    <t>https://ryycrdhlkmzpxwwwwupy.supabase.co/storage/v1/object/public/old_media/2ba7f105.Path.101527.jpg</t>
  </si>
  <si>
    <t>67211c9e</t>
  </si>
  <si>
    <t>https://ryycrdhlkmzpxwwwwupy.supabase.co/storage/v1/object/public/old_media/67211c9e.Path.101625.jpg</t>
  </si>
  <si>
    <t>5c10a58c</t>
  </si>
  <si>
    <t>https://ryycrdhlkmzpxwwwwupy.supabase.co/storage/v1/object/public/old_media/5c10a58c.Path.101647.jpg</t>
  </si>
  <si>
    <t>3647d3e5</t>
  </si>
  <si>
    <t>https://ryycrdhlkmzpxwwwwupy.supabase.co/storage/v1/object/public/old_media/3647d3e5.Path.101704.jpg</t>
  </si>
  <si>
    <t>33c96110</t>
  </si>
  <si>
    <t>https://ryycrdhlkmzpxwwwwupy.supabase.co/storage/v1/object/public/old_media/33c96110.Path.104948.jpg</t>
  </si>
  <si>
    <t>2788efd1</t>
  </si>
  <si>
    <t>https://ryycrdhlkmzpxwwwwupy.supabase.co/storage/v1/object/public/old_media/2788efd1.Path.105002.jpg</t>
  </si>
  <si>
    <t>0fef3a11</t>
  </si>
  <si>
    <t>https://ryycrdhlkmzpxwwwwupy.supabase.co/storage/v1/object/public/old_media/0fef3a11.Path.105012.jpg</t>
  </si>
  <si>
    <t>8400f82e</t>
  </si>
  <si>
    <t>https://ryycrdhlkmzpxwwwwupy.supabase.co/storage/v1/object/public/old_media/8400f82e.Path.105032.jpg</t>
  </si>
  <si>
    <t>6c97c5ca</t>
  </si>
  <si>
    <t>https://ryycrdhlkmzpxwwwwupy.supabase.co/storage/v1/object/public/old_media/6c97c5ca.Path.105051.jpg</t>
  </si>
  <si>
    <t>3ef7b824</t>
  </si>
  <si>
    <t>https://ryycrdhlkmzpxwwwwupy.supabase.co/storage/v1/object/public/old_media/3ef7b824.Path.105101.jpg</t>
  </si>
  <si>
    <t>79b5db4c</t>
  </si>
  <si>
    <t>https://ryycrdhlkmzpxwwwwupy.supabase.co/storage/v1/object/public/old_media/79b5db4c.Path.105117.jpg</t>
  </si>
  <si>
    <t>438fd088</t>
  </si>
  <si>
    <t>https://ryycrdhlkmzpxwwwwupy.supabase.co/storage/v1/object/public/old_media/438fd088.Path.115001.jpg</t>
  </si>
  <si>
    <t>d3b03299</t>
  </si>
  <si>
    <t>https://ryycrdhlkmzpxwwwwupy.supabase.co/storage/v1/object/public/old_media/d3b03299.Path.111754.jpg</t>
  </si>
  <si>
    <t>531b0f51</t>
  </si>
  <si>
    <t>https://ryycrdhlkmzpxwwwwupy.supabase.co/storage/v1/object/public/old_media/531b0f51.Path.111811.jpg</t>
  </si>
  <si>
    <t>9b5c7c91</t>
  </si>
  <si>
    <t>https://ryycrdhlkmzpxwwwwupy.supabase.co/storage/v1/object/public/old_media/9b5c7c91.Path.111840.jpg</t>
  </si>
  <si>
    <t>f157af58</t>
  </si>
  <si>
    <t>https://ryycrdhlkmzpxwwwwupy.supabase.co/storage/v1/object/public/old_media/f157af58.Path.111902.jpg</t>
  </si>
  <si>
    <t>e2d97f05</t>
  </si>
  <si>
    <t>https://ryycrdhlkmzpxwwwwupy.supabase.co/storage/v1/object/public/old_media/e2d97f05.Path.111918.jpg</t>
  </si>
  <si>
    <t>e6a7628c</t>
  </si>
  <si>
    <t>https://ryycrdhlkmzpxwwwwupy.supabase.co/storage/v1/object/public/old_media/e6a7628c.Path.051733.jpg</t>
  </si>
  <si>
    <t>24a6008a</t>
  </si>
  <si>
    <t>https://ryycrdhlkmzpxwwwwupy.supabase.co/storage/v1/object/public/old_media/24a6008a.Path.051758.jpg</t>
  </si>
  <si>
    <t>c5283edf</t>
  </si>
  <si>
    <t>https://ryycrdhlkmzpxwwwwupy.supabase.co/storage/v1/object/public/old_media/c5283edf.Path.051807.jpg</t>
  </si>
  <si>
    <t>3fec0c45</t>
  </si>
  <si>
    <t>https://ryycrdhlkmzpxwwwwupy.supabase.co/storage/v1/object/public/old_media/3fec0c45.Path.053756.jpg</t>
  </si>
  <si>
    <t>5d8e6e2f</t>
  </si>
  <si>
    <t>https://ryycrdhlkmzpxwwwwupy.supabase.co/storage/v1/object/public/old_media/5d8e6e2f.Path.055737.jpg</t>
  </si>
  <si>
    <t>f677bb20</t>
  </si>
  <si>
    <t>https://ryycrdhlkmzpxwwwwupy.supabase.co/storage/v1/object/public/old_media/f677bb20.Path.055807.jpg</t>
  </si>
  <si>
    <t>ace2ee53</t>
  </si>
  <si>
    <t>https://ryycrdhlkmzpxwwwwupy.supabase.co/storage/v1/object/public/old_media/ace2ee53.Path.055822.jpg</t>
  </si>
  <si>
    <t>8acca6c0</t>
  </si>
  <si>
    <t>https://ryycrdhlkmzpxwwwwupy.supabase.co/storage/v1/object/public/old_media/8acca6c0.Path.055832.jpg</t>
  </si>
  <si>
    <t>4f7670ef</t>
  </si>
  <si>
    <t>https://ryycrdhlkmzpxwwwwupy.supabase.co/storage/v1/object/public/old_media/4f7670ef.Path.055842.jpg</t>
  </si>
  <si>
    <t>86415700</t>
  </si>
  <si>
    <t>https://ryycrdhlkmzpxwwwwupy.supabase.co/storage/v1/object/public/old_media/86415700.Path.055926.jpg</t>
  </si>
  <si>
    <t>668e9d1f</t>
  </si>
  <si>
    <t>https://ryycrdhlkmzpxwwwwupy.supabase.co/storage/v1/object/public/old_media/668e9d1f.Path.055943.jpg</t>
  </si>
  <si>
    <t>6886faaa</t>
  </si>
  <si>
    <t>https://ryycrdhlkmzpxwwwwupy.supabase.co/storage/v1/object/public/old_media/6886faaa.Path.055956.jpg</t>
  </si>
  <si>
    <t>92b83d51</t>
  </si>
  <si>
    <t>https://ryycrdhlkmzpxwwwwupy.supabase.co/storage/v1/object/public/old_media/92b83d51.Path.061823.jpg</t>
  </si>
  <si>
    <t>db39cc2d</t>
  </si>
  <si>
    <t>https://ryycrdhlkmzpxwwwwupy.supabase.co/storage/v1/object/public/old_media/db39cc2d.Path.061848.jpg</t>
  </si>
  <si>
    <t>e0339c23</t>
  </si>
  <si>
    <t>https://ryycrdhlkmzpxwwwwupy.supabase.co/storage/v1/object/public/old_media/e0339c23.Path.062037.jpg</t>
  </si>
  <si>
    <t>8fc6c158</t>
  </si>
  <si>
    <t>https://ryycrdhlkmzpxwwwwupy.supabase.co/storage/v1/object/public/old_media/8fc6c158.Path.062058.jpg</t>
  </si>
  <si>
    <t>7a6267d5</t>
  </si>
  <si>
    <t>https://ryycrdhlkmzpxwwwwupy.supabase.co/storage/v1/object/public/old_media/7a6267d5.Path.062135.jpg</t>
  </si>
  <si>
    <t>0875f213</t>
  </si>
  <si>
    <t>https://ryycrdhlkmzpxwwwwupy.supabase.co/storage/v1/object/public/old_media/0875f213.Path.062156.jpg</t>
  </si>
  <si>
    <t>8321481d</t>
  </si>
  <si>
    <t>https://ryycrdhlkmzpxwwwwupy.supabase.co/storage/v1/object/public/old_media/8321481d.Path.062405.jpg</t>
  </si>
  <si>
    <t>312a9399</t>
  </si>
  <si>
    <t>https://ryycrdhlkmzpxwwwwupy.supabase.co/storage/v1/object/public/old_media/312a9399.Path.062414.jpg</t>
  </si>
  <si>
    <t>bea17c8f</t>
  </si>
  <si>
    <t>https://ryycrdhlkmzpxwwwwupy.supabase.co/storage/v1/object/public/old_media/bea17c8f.Path.062424.jpg</t>
  </si>
  <si>
    <t>1bb36f17</t>
  </si>
  <si>
    <t>https://ryycrdhlkmzpxwwwwupy.supabase.co/storage/v1/object/public/old_media/1bb36f17.Path.062437.jpg</t>
  </si>
  <si>
    <t>e115bf17</t>
  </si>
  <si>
    <t>https://ryycrdhlkmzpxwwwwupy.supabase.co/storage/v1/object/public/old_media/e115bf17.Path.064706.webp</t>
  </si>
  <si>
    <t>4bca2205</t>
  </si>
  <si>
    <t>https://ryycrdhlkmzpxwwwwupy.supabase.co/storage/v1/object/public/old_media/4bca2205.Path.064714.webp</t>
  </si>
  <si>
    <t>fe05bd4f</t>
  </si>
  <si>
    <t>https://ryycrdhlkmzpxwwwwupy.supabase.co/storage/v1/object/public/old_media/fe05bd4f.Path.072332.jpg</t>
  </si>
  <si>
    <t>0b551abd</t>
  </si>
  <si>
    <t>https://ryycrdhlkmzpxwwwwupy.supabase.co/storage/v1/object/public/old_media/0b551abd.Path.072342.jpg</t>
  </si>
  <si>
    <t>d384ca0a</t>
  </si>
  <si>
    <t>https://ryycrdhlkmzpxwwwwupy.supabase.co/storage/v1/object/public/old_media/d384ca0a.Path.072354.jpg</t>
  </si>
  <si>
    <t>d0d83ab0</t>
  </si>
  <si>
    <t>https://ryycrdhlkmzpxwwwwupy.supabase.co/storage/v1/object/public/old_media/d0d83ab0.Path.072411.png</t>
  </si>
  <si>
    <t>1ab00139</t>
  </si>
  <si>
    <t>https://ryycrdhlkmzpxwwwwupy.supabase.co/storage/v1/object/public/old_media/1ab00139.Path.075921.jpg</t>
  </si>
  <si>
    <t>26d5c411</t>
  </si>
  <si>
    <t>https://ryycrdhlkmzpxwwwwupy.supabase.co/storage/v1/object/public/old_media/26d5c411.Path.075930.jpg</t>
  </si>
  <si>
    <t>2b705475</t>
  </si>
  <si>
    <t>https://ryycrdhlkmzpxwwwwupy.supabase.co/storage/v1/object/public/old_media/2b705475.Path.075939.jpg</t>
  </si>
  <si>
    <t>0a98aeca</t>
  </si>
  <si>
    <t>https://ryycrdhlkmzpxwwwwupy.supabase.co/storage/v1/object/public/old_media/0a98aeca.Path.075950.jpg</t>
  </si>
  <si>
    <t>650251d9</t>
  </si>
  <si>
    <t>https://ryycrdhlkmzpxwwwwupy.supabase.co/storage/v1/object/public/old_media/650251d9.Path.061615.webp</t>
  </si>
  <si>
    <t>b7f452ac</t>
  </si>
  <si>
    <t>https://ryycrdhlkmzpxwwwwupy.supabase.co/storage/v1/object/public/old_media/b7f452ac.Path.061625.webp</t>
  </si>
  <si>
    <t>e7c6bd68</t>
  </si>
  <si>
    <t>https://ryycrdhlkmzpxwwwwupy.supabase.co/storage/v1/object/public/old_media/e7c6bd68.Path.061637.webp</t>
  </si>
  <si>
    <t>f6f8bfb5</t>
  </si>
  <si>
    <t>https://ryycrdhlkmzpxwwwwupy.supabase.co/storage/v1/object/public/old_media/f6f8bfb5.Path.061650.webp</t>
  </si>
  <si>
    <t>14ae796c</t>
  </si>
  <si>
    <t>https://ryycrdhlkmzpxwwwwupy.supabase.co/storage/v1/object/public/old_media/14ae796c.Path.061714.webp</t>
  </si>
  <si>
    <t>dce4dee2</t>
  </si>
  <si>
    <t>https://ryycrdhlkmzpxwwwwupy.supabase.co/storage/v1/object/public/old_media/dce4dee2.Path.061735.webp</t>
  </si>
  <si>
    <t>311d155d</t>
  </si>
  <si>
    <t>https://ryycrdhlkmzpxwwwwupy.supabase.co/storage/v1/object/public/old_media/311d155d.Path.061952.jpg</t>
  </si>
  <si>
    <t>3abc2b8e</t>
  </si>
  <si>
    <t>https://ryycrdhlkmzpxwwwwupy.supabase.co/storage/v1/object/public/old_media/3abc2b8e.Path.064207.jpg</t>
  </si>
  <si>
    <t>db62833e</t>
  </si>
  <si>
    <t>https://ryycrdhlkmzpxwwwwupy.supabase.co/storage/v1/object/public/old_media/db62833e.Path.064218.jpg</t>
  </si>
  <si>
    <t>1f8c81b9</t>
  </si>
  <si>
    <t>https://ryycrdhlkmzpxwwwwupy.supabase.co/storage/v1/object/public/old_media/1f8c81b9.Path.064230.jpg</t>
  </si>
  <si>
    <t>44f0e2dd</t>
  </si>
  <si>
    <t>https://ryycrdhlkmzpxwwwwupy.supabase.co/storage/v1/object/public/old_media/44f0e2dd.Path.064240.jpg</t>
  </si>
  <si>
    <t>1933ab60</t>
  </si>
  <si>
    <t>https://ryycrdhlkmzpxwwwwupy.supabase.co/storage/v1/object/public/old_media/1933ab60.Path.064249.jpg</t>
  </si>
  <si>
    <t>73c732dd</t>
  </si>
  <si>
    <t>https://ryycrdhlkmzpxwwwwupy.supabase.co/storage/v1/object/public/old_media/73c732dd.Path.064320.jpg</t>
  </si>
  <si>
    <t>c01571d3</t>
  </si>
  <si>
    <t>https://ryycrdhlkmzpxwwwwupy.supabase.co/storage/v1/object/public/old_media/c01571d3.Path.065941.webp</t>
  </si>
  <si>
    <t>95ca70c8</t>
  </si>
  <si>
    <t>https://ryycrdhlkmzpxwwwwupy.supabase.co/storage/v1/object/public/old_media/95ca70c8.Path.065951.webp</t>
  </si>
  <si>
    <t>b7f3be4a</t>
  </si>
  <si>
    <t>https://ryycrdhlkmzpxwwwwupy.supabase.co/storage/v1/object/public/old_media/b7f3be4a.Path.065959.webp</t>
  </si>
  <si>
    <t>681608eb</t>
  </si>
  <si>
    <t>https://ryycrdhlkmzpxwwwwupy.supabase.co/storage/v1/object/public/old_media/681608eb.Path.070047.webp</t>
  </si>
  <si>
    <t>ed181215</t>
  </si>
  <si>
    <t>https://ryycrdhlkmzpxwwwwupy.supabase.co/storage/v1/object/public/old_media/ed181215.Path.074418.jpg</t>
  </si>
  <si>
    <t>c8ffa572</t>
  </si>
  <si>
    <t>https://ryycrdhlkmzpxwwwwupy.supabase.co/storage/v1/object/public/old_media/c8ffa572.Path.074436.jpg</t>
  </si>
  <si>
    <t>d318e291</t>
  </si>
  <si>
    <t>https://ryycrdhlkmzpxwwwwupy.supabase.co/storage/v1/object/public/old_media/d318e291.Path.074444.jpg</t>
  </si>
  <si>
    <t>119a8ad4</t>
  </si>
  <si>
    <t>https://ryycrdhlkmzpxwwwwupy.supabase.co/storage/v1/object/public/old_media/119a8ad4.Path.074453.jpg</t>
  </si>
  <si>
    <t>d12c1f37</t>
  </si>
  <si>
    <t>https://ryycrdhlkmzpxwwwwupy.supabase.co/storage/v1/object/public/old_media/d12c1f37.Path.074503.jpg</t>
  </si>
  <si>
    <t>6acc4986</t>
  </si>
  <si>
    <t>https://ryycrdhlkmzpxwwwwupy.supabase.co/storage/v1/object/public/old_media/6acc4986.Path.074837.jpg</t>
  </si>
  <si>
    <t>7640d6d9</t>
  </si>
  <si>
    <t>https://ryycrdhlkmzpxwwwwupy.supabase.co/storage/v1/object/public/old_media/7640d6d9.Path.074846.jpg</t>
  </si>
  <si>
    <t>aad07944</t>
  </si>
  <si>
    <t>https://ryycrdhlkmzpxwwwwupy.supabase.co/storage/v1/object/public/old_media/aad07944.Path.074855.jpg</t>
  </si>
  <si>
    <t>306535c6</t>
  </si>
  <si>
    <t>https://ryycrdhlkmzpxwwwwupy.supabase.co/storage/v1/object/public/old_media/306535c6.Path.074904.jpg</t>
  </si>
  <si>
    <t>96431c5b</t>
  </si>
  <si>
    <t>https://ryycrdhlkmzpxwwwwupy.supabase.co/storage/v1/object/public/old_media/96431c5b.Path.074912.jpg</t>
  </si>
  <si>
    <t>1f34e97b</t>
  </si>
  <si>
    <t>https://ryycrdhlkmzpxwwwwupy.supabase.co/storage/v1/object/public/old_media/1f34e97b.Path.095114.jpg</t>
  </si>
  <si>
    <t>afd5d5c9</t>
  </si>
  <si>
    <t>https://ryycrdhlkmzpxwwwwupy.supabase.co/storage/v1/object/public/old_media/afd5d5c9.Path.095122.jpg</t>
  </si>
  <si>
    <t>8316951c</t>
  </si>
  <si>
    <t>https://ryycrdhlkmzpxwwwwupy.supabase.co/storage/v1/object/public/old_media/8316951c.Path.095131.jpg</t>
  </si>
  <si>
    <t>885d5ae2</t>
  </si>
  <si>
    <t>https://ryycrdhlkmzpxwwwwupy.supabase.co/storage/v1/object/public/old_media/885d5ae2.Path.095144.jpg</t>
  </si>
  <si>
    <t>79334d7a</t>
  </si>
  <si>
    <t>https://ryycrdhlkmzpxwwwwupy.supabase.co/storage/v1/object/public/old_media/79334d7a.Path.095152.jpg</t>
  </si>
  <si>
    <t>5afd00ff</t>
  </si>
  <si>
    <t>https://ryycrdhlkmzpxwwwwupy.supabase.co/storage/v1/object/public/old_media/5afd00ff.Path.105225.jpg</t>
  </si>
  <si>
    <t>dbfcb703</t>
  </si>
  <si>
    <t>https://ryycrdhlkmzpxwwwwupy.supabase.co/storage/v1/object/public/old_media/dbfcb703.Path.105237.jpg</t>
  </si>
  <si>
    <t>42bb78e3</t>
  </si>
  <si>
    <t>https://ryycrdhlkmzpxwwwwupy.supabase.co/storage/v1/object/public/old_media/42bb78e3.Path.105249.jpg</t>
  </si>
  <si>
    <t>a6542ae9</t>
  </si>
  <si>
    <t>https://ryycrdhlkmzpxwwwwupy.supabase.co/storage/v1/object/public/old_media/a6542ae9.Path.105259.jpg</t>
  </si>
  <si>
    <t>c66c653a</t>
  </si>
  <si>
    <t>https://ryycrdhlkmzpxwwwwupy.supabase.co/storage/v1/object/public/old_media/c66c653a.Path.064853.jpg</t>
  </si>
  <si>
    <t>547446cd</t>
  </si>
  <si>
    <t>https://ryycrdhlkmzpxwwwwupy.supabase.co/storage/v1/object/public/old_media/547446cd.Path.064935.jpg</t>
  </si>
  <si>
    <t>54a39996</t>
  </si>
  <si>
    <t>https://ryycrdhlkmzpxwwwwupy.supabase.co/storage/v1/object/public/old_media/54a39996.Path.075259.jpg</t>
  </si>
  <si>
    <t>4c98b5c8</t>
  </si>
  <si>
    <t>https://ryycrdhlkmzpxwwwwupy.supabase.co/storage/v1/object/public/old_media/4c98b5c8.Path.075313.jpg</t>
  </si>
  <si>
    <t>81ca9dbc</t>
  </si>
  <si>
    <t>https://ryycrdhlkmzpxwwwwupy.supabase.co/storage/v1/object/public/old_media/81ca9dbc.Path.075328.jpg</t>
  </si>
  <si>
    <t>b4f26b76</t>
  </si>
  <si>
    <t>https://ryycrdhlkmzpxwwwwupy.supabase.co/storage/v1/object/public/old_media/b4f26b76.Path.075340.jpg</t>
  </si>
  <si>
    <t>0aa47688</t>
  </si>
  <si>
    <t>https://ryycrdhlkmzpxwwwwupy.supabase.co/storage/v1/object/public/old_media/0aa47688.Path.075351.jpg</t>
  </si>
  <si>
    <t>38b6b32b</t>
  </si>
  <si>
    <t>https://ryycrdhlkmzpxwwwwupy.supabase.co/storage/v1/object/public/old_media/38b6b32b.Path.075402.jpg</t>
  </si>
  <si>
    <t>fe270c65</t>
  </si>
  <si>
    <t>https://ryycrdhlkmzpxwwwwupy.supabase.co/storage/v1/object/public/old_media/fe270c65.Path.075425.jpg</t>
  </si>
  <si>
    <t>aa8c0b78</t>
  </si>
  <si>
    <t>https://ryycrdhlkmzpxwwwwupy.supabase.co/storage/v1/object/public/old_media/aa8c0b78.Path.095013.jpg</t>
  </si>
  <si>
    <t>bcca7711</t>
  </si>
  <si>
    <t>https://ryycrdhlkmzpxwwwwupy.supabase.co/storage/v1/object/public/old_media/bcca7711.Path.095030.jpg</t>
  </si>
  <si>
    <t>c6e8da24</t>
  </si>
  <si>
    <t>https://ryycrdhlkmzpxwwwwupy.supabase.co/storage/v1/object/public/old_media/c6e8da24.Path.095047.jpg</t>
  </si>
  <si>
    <t>29737bb7</t>
  </si>
  <si>
    <t>https://ryycrdhlkmzpxwwwwupy.supabase.co/storage/v1/object/public/old_media/29737bb7.Path.095101.jpg</t>
  </si>
  <si>
    <t>8d60cb57</t>
  </si>
  <si>
    <t>https://ryycrdhlkmzpxwwwwupy.supabase.co/storage/v1/object/public/old_media/8d60cb57.Path.095116.jpg</t>
  </si>
  <si>
    <t>e9258cb6</t>
  </si>
  <si>
    <t>https://ryycrdhlkmzpxwwwwupy.supabase.co/storage/v1/object/public/old_media/e9258cb6.Path.095133.jpg</t>
  </si>
  <si>
    <t>fc812e95</t>
  </si>
  <si>
    <t>https://ryycrdhlkmzpxwwwwupy.supabase.co/storage/v1/object/public/old_media/fc812e95.Path.101811.jpg</t>
  </si>
  <si>
    <t>c2b88ef0</t>
  </si>
  <si>
    <t>https://ryycrdhlkmzpxwwwwupy.supabase.co/storage/v1/object/public/old_media/c2b88ef0.Path.101821.jpg</t>
  </si>
  <si>
    <t>dd07ccc4</t>
  </si>
  <si>
    <t>https://ryycrdhlkmzpxwwwwupy.supabase.co/storage/v1/object/public/old_media/dd07ccc4.Path.101837.jpg</t>
  </si>
  <si>
    <t>b9b80d0d</t>
  </si>
  <si>
    <t>https://ryycrdhlkmzpxwwwwupy.supabase.co/storage/v1/object/public/old_media/b9b80d0d.Path.104922.jpg</t>
  </si>
  <si>
    <t>d43a8177</t>
  </si>
  <si>
    <t>https://ryycrdhlkmzpxwwwwupy.supabase.co/storage/v1/object/public/old_media/d43a8177.Path.104941.jpg</t>
  </si>
  <si>
    <t>08a1615c</t>
  </si>
  <si>
    <t>https://ryycrdhlkmzpxwwwwupy.supabase.co/storage/v1/object/public/old_media/08a1615c.Path.104954.jpg</t>
  </si>
  <si>
    <t>1f380988</t>
  </si>
  <si>
    <t>https://ryycrdhlkmzpxwwwwupy.supabase.co/storage/v1/object/public/old_media/1f380988.Path.105157.jpg</t>
  </si>
  <si>
    <t>8afe3840</t>
  </si>
  <si>
    <t>https://ryycrdhlkmzpxwwwwupy.supabase.co/storage/v1/object/public/old_media/8afe3840.Path.105209.jpg</t>
  </si>
  <si>
    <t>abe52be1</t>
  </si>
  <si>
    <t>https://ryycrdhlkmzpxwwwwupy.supabase.co/storage/v1/object/public/old_media/abe52be1.Path.105224.jpg</t>
  </si>
  <si>
    <t>ee223332</t>
  </si>
  <si>
    <t>https://ryycrdhlkmzpxwwwwupy.supabase.co/storage/v1/object/public/old_media/ee223332.Path.105241.jpg</t>
  </si>
  <si>
    <t>179e256f</t>
  </si>
  <si>
    <t>https://ryycrdhlkmzpxwwwwupy.supabase.co/storage/v1/object/public/old_media/179e256f.Path.105254.jpg</t>
  </si>
  <si>
    <t>f2e831ff</t>
  </si>
  <si>
    <t>https://ryycrdhlkmzpxwwwwupy.supabase.co/storage/v1/object/public/old_media/f2e831ff.Path.105305.jpg</t>
  </si>
  <si>
    <t>5c5d3183</t>
  </si>
  <si>
    <t>https://ryycrdhlkmzpxwwwwupy.supabase.co/storage/v1/object/public/old_media/5c5d3183.Path.050405.jpg</t>
  </si>
  <si>
    <t>79c14d47</t>
  </si>
  <si>
    <t>https://ryycrdhlkmzpxwwwwupy.supabase.co/storage/v1/object/public/old_media/79c14d47.Path.091117.jpg</t>
  </si>
  <si>
    <t>0df3ee20</t>
  </si>
  <si>
    <t>https://ryycrdhlkmzpxwwwwupy.supabase.co/storage/v1/object/public/old_media/0df3ee20.Path.091127.jpg</t>
  </si>
  <si>
    <t>a8e22319</t>
  </si>
  <si>
    <t>https://ryycrdhlkmzpxwwwwupy.supabase.co/storage/v1/object/public/old_media/a8e22319.Path.091137.webp</t>
  </si>
  <si>
    <t>f3ca59c2</t>
  </si>
  <si>
    <t>https://ryycrdhlkmzpxwwwwupy.supabase.co/storage/v1/object/public/old_media/f3ca59c2.Path.091152.webp</t>
  </si>
  <si>
    <t>46a09a87</t>
  </si>
  <si>
    <t>https://ryycrdhlkmzpxwwwwupy.supabase.co/storage/v1/object/public/old_media/46a09a87.Path.091507.jpg</t>
  </si>
  <si>
    <t>ddf81e5f</t>
  </si>
  <si>
    <t>https://ryycrdhlkmzpxwwwwupy.supabase.co/storage/v1/object/public/old_media/ddf81e5f.Path.091516.jpg</t>
  </si>
  <si>
    <t>e4acc937</t>
  </si>
  <si>
    <t>https://ryycrdhlkmzpxwwwwupy.supabase.co/storage/v1/object/public/old_media/e4acc937.Path.091526.jpg</t>
  </si>
  <si>
    <t>e6bcd431</t>
  </si>
  <si>
    <t>https://ryycrdhlkmzpxwwwwupy.supabase.co/storage/v1/object/public/old_media/e6bcd431.Path.091535.jpg</t>
  </si>
  <si>
    <t>a9d9ddbb</t>
  </si>
  <si>
    <t>https://ryycrdhlkmzpxwwwwupy.supabase.co/storage/v1/object/public/old_media/a9d9ddbb.Path.091633.jpg</t>
  </si>
  <si>
    <t>358f919c</t>
  </si>
  <si>
    <t>https://ryycrdhlkmzpxwwwwupy.supabase.co/storage/v1/object/public/old_media/358f919c.Path.102245.jpg</t>
  </si>
  <si>
    <t>5584af17</t>
  </si>
  <si>
    <t>https://ryycrdhlkmzpxwwwwupy.supabase.co/storage/v1/object/public/old_media/5584af17.Path.102256.jpg</t>
  </si>
  <si>
    <t>3aa2c8a1</t>
  </si>
  <si>
    <t>https://ryycrdhlkmzpxwwwwupy.supabase.co/storage/v1/object/public/old_media/3aa2c8a1.Path.055039.jpg</t>
  </si>
  <si>
    <t>e264e8a0</t>
  </si>
  <si>
    <t>https://ryycrdhlkmzpxwwwwupy.supabase.co/storage/v1/object/public/old_media/e264e8a0.Path.055057.jpg</t>
  </si>
  <si>
    <t>7d07a101</t>
  </si>
  <si>
    <t>https://ryycrdhlkmzpxwwwwupy.supabase.co/storage/v1/object/public/old_media/7d07a101.Path.055114.jpg</t>
  </si>
  <si>
    <t>b17c94ee</t>
  </si>
  <si>
    <t>https://ryycrdhlkmzpxwwwwupy.supabase.co/storage/v1/object/public/old_media/b17c94ee.Path.055131.jpg</t>
  </si>
  <si>
    <t>c040f413</t>
  </si>
  <si>
    <t>https://ryycrdhlkmzpxwwwwupy.supabase.co/storage/v1/object/public/old_media/c040f413.Path.055154.jpg</t>
  </si>
  <si>
    <t>e629ff0f</t>
  </si>
  <si>
    <t>https://ryycrdhlkmzpxwwwwupy.supabase.co/storage/v1/object/public/old_media/e629ff0f.Path.055214.jpg</t>
  </si>
  <si>
    <t>07a40fea</t>
  </si>
  <si>
    <t>https://ryycrdhlkmzpxwwwwupy.supabase.co/storage/v1/object/public/old_media/07a40fea.Path.055249.jpg</t>
  </si>
  <si>
    <t>5e22e79d</t>
  </si>
  <si>
    <t>https://ryycrdhlkmzpxwwwwupy.supabase.co/storage/v1/object/public/old_media/5e22e79d.Path.055325.jpg</t>
  </si>
  <si>
    <t>1c068ae7</t>
  </si>
  <si>
    <t>https://ryycrdhlkmzpxwwwwupy.supabase.co/storage/v1/object/public/old_media/1c068ae7.Path.055405.jpg</t>
  </si>
  <si>
    <t>8ed9699c</t>
  </si>
  <si>
    <t>https://ryycrdhlkmzpxwwwwupy.supabase.co/storage/v1/object/public/old_media/8ed9699c.Path.055444.jpg</t>
  </si>
  <si>
    <t>203d81d4</t>
  </si>
  <si>
    <t>https://ryycrdhlkmzpxwwwwupy.supabase.co/storage/v1/object/public/old_media/203d81d4.Path.055514.jpg</t>
  </si>
  <si>
    <t>74560ce9</t>
  </si>
  <si>
    <t>https://ryycrdhlkmzpxwwwwupy.supabase.co/storage/v1/object/public/old_media/74560ce9.Path.055526.jpg</t>
  </si>
  <si>
    <t>c63865da</t>
  </si>
  <si>
    <t>https://ryycrdhlkmzpxwwwwupy.supabase.co/storage/v1/object/public/old_media/c63865da.Path.052952.jpg</t>
  </si>
  <si>
    <t>7398dca3</t>
  </si>
  <si>
    <t>https://ryycrdhlkmzpxwwwwupy.supabase.co/storage/v1/object/public/old_media/7398dca3.Path.053003.jpg</t>
  </si>
  <si>
    <t>1c916b57</t>
  </si>
  <si>
    <t>https://ryycrdhlkmzpxwwwwupy.supabase.co/storage/v1/object/public/old_media/1c916b57.Path.053019.jpg</t>
  </si>
  <si>
    <t>a86dc257</t>
  </si>
  <si>
    <t>https://ryycrdhlkmzpxwwwwupy.supabase.co/storage/v1/object/public/old_media/a86dc257.Path.053029.jpg</t>
  </si>
  <si>
    <t>2dc49537</t>
  </si>
  <si>
    <t>https://ryycrdhlkmzpxwwwwupy.supabase.co/storage/v1/object/public/old_media/2dc49537.Path.053042.jpg</t>
  </si>
  <si>
    <t>f9ec66b1</t>
  </si>
  <si>
    <t>https://ryycrdhlkmzpxwwwwupy.supabase.co/storage/v1/object/public/old_media/f9ec66b1.Path.053100.jpg</t>
  </si>
  <si>
    <t>e43008b0</t>
  </si>
  <si>
    <t>https://ryycrdhlkmzpxwwwwupy.supabase.co/storage/v1/object/public/old_media/e43008b0.Path.053120.jpg</t>
  </si>
  <si>
    <t>d96fda89</t>
  </si>
  <si>
    <t>https://ryycrdhlkmzpxwwwwupy.supabase.co/storage/v1/object/public/old_media/d96fda89.Path.053141.jpg</t>
  </si>
  <si>
    <t>b40013e9</t>
  </si>
  <si>
    <t>https://ryycrdhlkmzpxwwwwupy.supabase.co/storage/v1/object/public/old_media/b40013e9.Path.053202.jpg</t>
  </si>
  <si>
    <t>56742d1f</t>
  </si>
  <si>
    <t>https://ryycrdhlkmzpxwwwwupy.supabase.co/storage/v1/object/public/old_media/56742d1f.Path.053219.jpg</t>
  </si>
  <si>
    <t>be712002</t>
  </si>
  <si>
    <t>https://ryycrdhlkmzpxwwwwupy.supabase.co/storage/v1/object/public/old_media/be712002.Path.074523.jpg</t>
  </si>
  <si>
    <t>4dccbdb1</t>
  </si>
  <si>
    <t>https://ryycrdhlkmzpxwwwwupy.supabase.co/storage/v1/object/public/old_media/4dccbdb1.Path.074531.jpg</t>
  </si>
  <si>
    <t>32aea10d</t>
  </si>
  <si>
    <t>https://ryycrdhlkmzpxwwwwupy.supabase.co/storage/v1/object/public/old_media/32aea10d.Path.074539.jpg</t>
  </si>
  <si>
    <t>f600a2cb</t>
  </si>
  <si>
    <t>https://ryycrdhlkmzpxwwwwupy.supabase.co/storage/v1/object/public/old_media/f600a2cb.Path.074552.jpg</t>
  </si>
  <si>
    <t>ddbcbc82</t>
  </si>
  <si>
    <t>https://ryycrdhlkmzpxwwwwupy.supabase.co/storage/v1/object/public/old_media/ddbcbc82.Path.074605.jpg</t>
  </si>
  <si>
    <t>889ea2a1</t>
  </si>
  <si>
    <t>https://ryycrdhlkmzpxwwwwupy.supabase.co/storage/v1/object/public/old_media/889ea2a1.Path.100913.jpg</t>
  </si>
  <si>
    <t>437c6681</t>
  </si>
  <si>
    <t>https://ryycrdhlkmzpxwwwwupy.supabase.co/storage/v1/object/public/old_media/437c6681.Path.100929.jpg</t>
  </si>
  <si>
    <t>5c7c9ce8</t>
  </si>
  <si>
    <t>https://ryycrdhlkmzpxwwwwupy.supabase.co/storage/v1/object/public/old_media/5c7c9ce8.Path.100946.jpg</t>
  </si>
  <si>
    <t>83708150</t>
  </si>
  <si>
    <t>https://ryycrdhlkmzpxwwwwupy.supabase.co/storage/v1/object/public/old_media/83708150.Path.050201.jpg</t>
  </si>
  <si>
    <t>4c0a6a23</t>
  </si>
  <si>
    <t>https://ryycrdhlkmzpxwwwwupy.supabase.co/storage/v1/object/public/old_media/4c0a6a23.Path.050212.jpg</t>
  </si>
  <si>
    <t>81c0ca92</t>
  </si>
  <si>
    <t>https://ryycrdhlkmzpxwwwwupy.supabase.co/storage/v1/object/public/old_media/81c0ca92.Path.050221.jpg</t>
  </si>
  <si>
    <t>5c5a280a</t>
  </si>
  <si>
    <t>https://ryycrdhlkmzpxwwwwupy.supabase.co/storage/v1/object/public/old_media/5c5a280a.Path.050230.jpg</t>
  </si>
  <si>
    <t>b83b69be</t>
  </si>
  <si>
    <t>https://ryycrdhlkmzpxwwwwupy.supabase.co/storage/v1/object/public/old_media/b83b69be.Path.050243.jpg</t>
  </si>
  <si>
    <t>4ba974d2</t>
  </si>
  <si>
    <t>https://ryycrdhlkmzpxwwwwupy.supabase.co/storage/v1/object/public/old_media/4ba974d2.Path.050254.jpg</t>
  </si>
  <si>
    <t>bd88942b</t>
  </si>
  <si>
    <t>https://ryycrdhlkmzpxwwwwupy.supabase.co/storage/v1/object/public/old_media/bd88942b.Path.050304.jpg</t>
  </si>
  <si>
    <t>657dfaa4</t>
  </si>
  <si>
    <t>https://ryycrdhlkmzpxwwwwupy.supabase.co/storage/v1/object/public/old_media/657dfaa4.Path.055249.jpg</t>
  </si>
  <si>
    <t>53b6605b</t>
  </si>
  <si>
    <t>https://ryycrdhlkmzpxwwwwupy.supabase.co/storage/v1/object/public/old_media/53b6605b.Path.055335.jpg</t>
  </si>
  <si>
    <t>401d8aca</t>
  </si>
  <si>
    <t>https://ryycrdhlkmzpxwwwwupy.supabase.co/storage/v1/object/public/old_media/401d8aca.Path.055402.jpg</t>
  </si>
  <si>
    <t>8c97e5ea</t>
  </si>
  <si>
    <t>https://ryycrdhlkmzpxwwwwupy.supabase.co/storage/v1/object/public/old_media/8c97e5ea.Path.055423.jpg</t>
  </si>
  <si>
    <t>dd5433d2</t>
  </si>
  <si>
    <t>https://ryycrdhlkmzpxwwwwupy.supabase.co/storage/v1/object/public/old_media/dd5433d2.Path.050019.webp</t>
  </si>
  <si>
    <t>10f67d59</t>
  </si>
  <si>
    <t>https://ryycrdhlkmzpxwwwwupy.supabase.co/storage/v1/object/public/old_media/10f67d59.Path.050032.webp</t>
  </si>
  <si>
    <t>0c5df6e7</t>
  </si>
  <si>
    <t>https://ryycrdhlkmzpxwwwwupy.supabase.co/storage/v1/object/public/old_media/0c5df6e7.Path.050043.webp</t>
  </si>
  <si>
    <t>71a746b6</t>
  </si>
  <si>
    <t>https://ryycrdhlkmzpxwwwwupy.supabase.co/storage/v1/object/public/old_media/71a746b6.Path.050054.webp</t>
  </si>
  <si>
    <t>2bab541e</t>
  </si>
  <si>
    <t>https://ryycrdhlkmzpxwwwwupy.supabase.co/storage/v1/object/public/old_media/2bab541e.Path.050105.webp</t>
  </si>
  <si>
    <t>8a8866a6</t>
  </si>
  <si>
    <t>https://ryycrdhlkmzpxwwwwupy.supabase.co/storage/v1/object/public/old_media/8a8866a6.Path.050114.webp</t>
  </si>
  <si>
    <t>a33549ba</t>
  </si>
  <si>
    <t>https://ryycrdhlkmzpxwwwwupy.supabase.co/storage/v1/object/public/old_media/a33549ba.Path.050122.webp</t>
  </si>
  <si>
    <t>d0f24703</t>
  </si>
  <si>
    <t>https://ryycrdhlkmzpxwwwwupy.supabase.co/storage/v1/object/public/old_media/d0f24703.Path.050131.webp</t>
  </si>
  <si>
    <t>e9d7926d</t>
  </si>
  <si>
    <t>https://ryycrdhlkmzpxwwwwupy.supabase.co/storage/v1/object/public/old_media/e9d7926d.Path.062654.jpg</t>
  </si>
  <si>
    <t>9ae8fc96</t>
  </si>
  <si>
    <t>https://ryycrdhlkmzpxwwwwupy.supabase.co/storage/v1/object/public/old_media/9ae8fc96.Path.062710.jpg</t>
  </si>
  <si>
    <t>9a72435b</t>
  </si>
  <si>
    <t>https://ryycrdhlkmzpxwwwwupy.supabase.co/storage/v1/object/public/old_media/9a72435b.Path.062718.jpg</t>
  </si>
  <si>
    <t>c41c5498</t>
  </si>
  <si>
    <t>https://ryycrdhlkmzpxwwwwupy.supabase.co/storage/v1/object/public/old_media/c41c5498.Path.062748.jpg</t>
  </si>
  <si>
    <t>c13c8d73</t>
  </si>
  <si>
    <t>https://ryycrdhlkmzpxwwwwupy.supabase.co/storage/v1/object/public/old_media/c13c8d73.Path.110933.webp</t>
  </si>
  <si>
    <t>1e0659bb</t>
  </si>
  <si>
    <t>https://ryycrdhlkmzpxwwwwupy.supabase.co/storage/v1/object/public/old_media/1e0659bb.Path.110944.webp</t>
  </si>
  <si>
    <t>9defff9b</t>
  </si>
  <si>
    <t>https://ryycrdhlkmzpxwwwwupy.supabase.co/storage/v1/object/public/old_media/9defff9b.Path.111006.webp</t>
  </si>
  <si>
    <t>7a8d415f</t>
  </si>
  <si>
    <t>https://ryycrdhlkmzpxwwwwupy.supabase.co/storage/v1/object/public/old_media/7a8d415f.Path.111057.webp</t>
  </si>
  <si>
    <t>bf706060</t>
  </si>
  <si>
    <t>https://ryycrdhlkmzpxwwwwupy.supabase.co/storage/v1/object/public/old_media/bf706060.Path.111106.webp</t>
  </si>
  <si>
    <t>95bad7a8</t>
  </si>
  <si>
    <t>https://ryycrdhlkmzpxwwwwupy.supabase.co/storage/v1/object/public/old_media/95bad7a8.Path.111214.webp</t>
  </si>
  <si>
    <t>b2ee52f0</t>
  </si>
  <si>
    <t>https://ryycrdhlkmzpxwwwwupy.supabase.co/storage/v1/object/public/old_media/b2ee52f0.Path.111313.jpg</t>
  </si>
  <si>
    <t>31976884</t>
  </si>
  <si>
    <t>https://ryycrdhlkmzpxwwwwupy.supabase.co/storage/v1/object/public/old_media/31976884.Path.053147.jpg</t>
  </si>
  <si>
    <t>1578fac4</t>
  </si>
  <si>
    <t>https://ryycrdhlkmzpxwwwwupy.supabase.co/storage/v1/object/public/old_media/1578fac4.Path.053200.jpg</t>
  </si>
  <si>
    <t>377bf07d</t>
  </si>
  <si>
    <t>https://ryycrdhlkmzpxwwwwupy.supabase.co/storage/v1/object/public/old_media/377bf07d.Path.053212.jpg</t>
  </si>
  <si>
    <t>970514b9</t>
  </si>
  <si>
    <t>https://ryycrdhlkmzpxwwwwupy.supabase.co/storage/v1/object/public/old_media/970514b9.Path.053230.jpg</t>
  </si>
  <si>
    <t>f3e5607d</t>
  </si>
  <si>
    <t>https://ryycrdhlkmzpxwwwwupy.supabase.co/storage/v1/object/public/old_media/f3e5607d.Path.061715.jpg</t>
  </si>
  <si>
    <t>968f2298</t>
  </si>
  <si>
    <t>https://ryycrdhlkmzpxwwwwupy.supabase.co/storage/v1/object/public/old_media/968f2298.Path.061726.jpg</t>
  </si>
  <si>
    <t>bdc9fe36</t>
  </si>
  <si>
    <t>https://ryycrdhlkmzpxwwwwupy.supabase.co/storage/v1/object/public/old_media/bdc9fe36.Path.061736.jpg</t>
  </si>
  <si>
    <t>4dbcbbcd</t>
  </si>
  <si>
    <t>https://ryycrdhlkmzpxwwwwupy.supabase.co/storage/v1/object/public/old_media/4dbcbbcd.Path.062151.jpg</t>
  </si>
  <si>
    <t>6b195a1f</t>
  </si>
  <si>
    <t>https://ryycrdhlkmzpxwwwwupy.supabase.co/storage/v1/object/public/old_media/6b195a1f.Path.062317.jpg</t>
  </si>
  <si>
    <t>6ebccfb0</t>
  </si>
  <si>
    <t>https://ryycrdhlkmzpxwwwwupy.supabase.co/storage/v1/object/public/old_media/6ebccfb0.Path.062326.jpg</t>
  </si>
  <si>
    <t>f25bc29c</t>
  </si>
  <si>
    <t>https://ryycrdhlkmzpxwwwwupy.supabase.co/storage/v1/object/public/old_media/f25bc29c.Path.055353.png</t>
  </si>
  <si>
    <t>aea4d2bd</t>
  </si>
  <si>
    <t>https://ryycrdhlkmzpxwwwwupy.supabase.co/storage/v1/object/public/old_media/aea4d2bd.Path.055842.png</t>
  </si>
  <si>
    <t>026627bc</t>
  </si>
  <si>
    <t>https://ryycrdhlkmzpxwwwwupy.supabase.co/storage/v1/object/public/old_media/026627bc.Path.060146.jpg</t>
  </si>
  <si>
    <t>f3611d9c</t>
  </si>
  <si>
    <t>https://ryycrdhlkmzpxwwwwupy.supabase.co/storage/v1/object/public/old_media/f3611d9c.Path.061150.jpg</t>
  </si>
  <si>
    <t>034f8a0d</t>
  </si>
  <si>
    <t>https://ryycrdhlkmzpxwwwwupy.supabase.co/storage/v1/object/public/old_media/034f8a0d.Path.061533.png</t>
  </si>
  <si>
    <t>039de009</t>
  </si>
  <si>
    <t>https://ryycrdhlkmzpxwwwwupy.supabase.co/storage/v1/object/public/old_media/039de009.Path.061731.jpg</t>
  </si>
  <si>
    <t>0e118e50</t>
  </si>
  <si>
    <t>https://ryycrdhlkmzpxwwwwupy.supabase.co/storage/v1/object/public/old_media/0e118e50.Path.062018.png</t>
  </si>
  <si>
    <t>1659d06d</t>
  </si>
  <si>
    <t>https://ryycrdhlkmzpxwwwwupy.supabase.co/storage/v1/object/public/old_media/1659d06d.Path.062433.webp</t>
  </si>
  <si>
    <t>3f25d9da</t>
  </si>
  <si>
    <t>https://ryycrdhlkmzpxwwwwupy.supabase.co/storage/v1/object/public/old_media/3f25d9da.Path.062633.jpg</t>
  </si>
  <si>
    <t>1240d0f0</t>
  </si>
  <si>
    <t>https://ryycrdhlkmzpxwwwwupy.supabase.co/storage/v1/object/public/old_media/1240d0f0.Path.093418.jpg</t>
  </si>
  <si>
    <t>af0a7c9c</t>
  </si>
  <si>
    <t>https://ryycrdhlkmzpxwwwwupy.supabase.co/storage/v1/object/public/old_media/af0a7c9c.Path.093504.jpg</t>
  </si>
  <si>
    <t>3e82d2b0</t>
  </si>
  <si>
    <t>https://ryycrdhlkmzpxwwwwupy.supabase.co/storage/v1/object/public/old_media/3e82d2b0.Path.093514.jpg</t>
  </si>
  <si>
    <t>514914d7</t>
  </si>
  <si>
    <t>https://ryycrdhlkmzpxwwwwupy.supabase.co/storage/v1/object/public/old_media/514914d7.Path.093525.jpg</t>
  </si>
  <si>
    <t>4775721e</t>
  </si>
  <si>
    <t>https://ryycrdhlkmzpxwwwwupy.supabase.co/storage/v1/object/public/old_media/4775721e.Path.093559.jpg</t>
  </si>
  <si>
    <t>f823ec48</t>
  </si>
  <si>
    <t>https://ryycrdhlkmzpxwwwwupy.supabase.co/storage/v1/object/public/old_media/f823ec48.Path.070810.webp</t>
  </si>
  <si>
    <t>acf600f1</t>
  </si>
  <si>
    <t>https://ryycrdhlkmzpxwwwwupy.supabase.co/storage/v1/object/public/old_media/acf600f1.Path.042054.jpg</t>
  </si>
  <si>
    <t>41b0ce6b</t>
  </si>
  <si>
    <t>https://ryycrdhlkmzpxwwwwupy.supabase.co/storage/v1/object/public/old_media/41b0ce6b.Path.042210.jpg</t>
  </si>
  <si>
    <t>0a7128da</t>
  </si>
  <si>
    <t>https://ryycrdhlkmzpxwwwwupy.supabase.co/storage/v1/object/public/old_media/0a7128da.Path.042232.jpg</t>
  </si>
  <si>
    <t>a76d3189</t>
  </si>
  <si>
    <t>https://ryycrdhlkmzpxwwwwupy.supabase.co/storage/v1/object/public/old_media/a76d3189.Path.042930.jpg</t>
  </si>
  <si>
    <t>4f13116e</t>
  </si>
  <si>
    <t>https://ryycrdhlkmzpxwwwwupy.supabase.co/storage/v1/object/public/old_media/4f13116e.Path.050144.jpg</t>
  </si>
  <si>
    <t>abd1c074</t>
  </si>
  <si>
    <t>https://ryycrdhlkmzpxwwwwupy.supabase.co/storage/v1/object/public/old_media/abd1c074.Path.052844.webp</t>
  </si>
  <si>
    <t>d12b3558</t>
  </si>
  <si>
    <t>https://ryycrdhlkmzpxwwwwupy.supabase.co/storage/v1/object/public/old_media/d12b3558.Path.055055.png</t>
  </si>
  <si>
    <t>7d6d4ce0</t>
  </si>
  <si>
    <t>https://ryycrdhlkmzpxwwwwupy.supabase.co/storage/v1/object/public/old_media/7d6d4ce0.Path.060207.jpg</t>
  </si>
  <si>
    <t>e038e029</t>
  </si>
  <si>
    <t>https://ryycrdhlkmzpxwwwwupy.supabase.co/storage/v1/object/public/old_media/e038e029.Path.093015.jpg</t>
  </si>
  <si>
    <t>4892e7fe</t>
  </si>
  <si>
    <t>https://ryycrdhlkmzpxwwwwupy.supabase.co/storage/v1/object/public/old_media/4892e7fe.Path.095520.jpg</t>
  </si>
  <si>
    <t>70b803f9</t>
  </si>
  <si>
    <t>https://ryycrdhlkmzpxwwwwupy.supabase.co/storage/v1/object/public/old_media/70b803f9.Path.104458.jpg</t>
  </si>
  <si>
    <t>fa7c0bd5</t>
  </si>
  <si>
    <t>https://ryycrdhlkmzpxwwwwupy.supabase.co/storage/v1/object/public/old_media/fa7c0bd5.Path.104509.jpg</t>
  </si>
  <si>
    <t>bc7088b6</t>
  </si>
  <si>
    <t>https://ryycrdhlkmzpxwwwwupy.supabase.co/storage/v1/object/public/old_media/bc7088b6.Path.063849.webp</t>
  </si>
  <si>
    <t>76637638</t>
  </si>
  <si>
    <t>https://ryycrdhlkmzpxwwwwupy.supabase.co/storage/v1/object/public/old_media/76637638.Path.063900.webp</t>
  </si>
  <si>
    <t>be6a4a05</t>
  </si>
  <si>
    <t>https://ryycrdhlkmzpxwwwwupy.supabase.co/storage/v1/object/public/old_media/be6a4a05.Path.063933.webp</t>
  </si>
  <si>
    <t>de3052cd</t>
  </si>
  <si>
    <t>https://ryycrdhlkmzpxwwwwupy.supabase.co/storage/v1/object/public/old_media/de3052cd.Path.064008.webp</t>
  </si>
  <si>
    <t>2ec4d302</t>
  </si>
  <si>
    <t>https://ryycrdhlkmzpxwwwwupy.supabase.co/storage/v1/object/public/old_media/2ec4d302.Path.064021.webp</t>
  </si>
  <si>
    <t>91a98b96</t>
  </si>
  <si>
    <t>https://ryycrdhlkmzpxwwwwupy.supabase.co/storage/v1/object/public/old_media/91a98b96.Path.064035.webp</t>
  </si>
  <si>
    <t>cbd89e10</t>
  </si>
  <si>
    <t>https://ryycrdhlkmzpxwwwwupy.supabase.co/storage/v1/object/public/old_media/cbd89e10.Path.064043.webp</t>
  </si>
  <si>
    <t>5b181125</t>
  </si>
  <si>
    <t>https://ryycrdhlkmzpxwwwwupy.supabase.co/storage/v1/object/public/old_media/5b181125.Path.111751.webp</t>
  </si>
  <si>
    <t>d8a40e68</t>
  </si>
  <si>
    <t>https://ryycrdhlkmzpxwwwwupy.supabase.co/storage/v1/object/public/old_media/d8a40e68.Path.111800.jpg</t>
  </si>
  <si>
    <t>40c6f7f1</t>
  </si>
  <si>
    <t>https://ryycrdhlkmzpxwwwwupy.supabase.co/storage/v1/object/public/old_media/40c6f7f1.Path.111809.webp</t>
  </si>
  <si>
    <t>cc8dd24b</t>
  </si>
  <si>
    <t>https://ryycrdhlkmzpxwwwwupy.supabase.co/storage/v1/object/public/old_media/cc8dd24b.Path.111817.webp</t>
  </si>
  <si>
    <t>44acb582</t>
  </si>
  <si>
    <t>https://ryycrdhlkmzpxwwwwupy.supabase.co/storage/v1/object/public/old_media/44acb582.Path.111827.webp</t>
  </si>
  <si>
    <t>bc39d7e3</t>
  </si>
  <si>
    <t>https://ryycrdhlkmzpxwwwwupy.supabase.co/storage/v1/object/public/old_media/bc39d7e3.Path.111837.webp</t>
  </si>
  <si>
    <t>35686186</t>
  </si>
  <si>
    <t>https://ryycrdhlkmzpxwwwwupy.supabase.co/storage/v1/object/public/old_media/35686186.Path.111847.webp</t>
  </si>
  <si>
    <t>c62833d8</t>
  </si>
  <si>
    <t>https://ryycrdhlkmzpxwwwwupy.supabase.co/storage/v1/object/public/old_media/c62833d8.Path.115519.jpg</t>
  </si>
  <si>
    <t>621f723a</t>
  </si>
  <si>
    <t>https://ryycrdhlkmzpxwwwwupy.supabase.co/storage/v1/object/public/old_media/621f723a.Path.115535.jpg</t>
  </si>
  <si>
    <t>44dada08</t>
  </si>
  <si>
    <t>https://ryycrdhlkmzpxwwwwupy.supabase.co/storage/v1/object/public/old_media/44dada08.Path.115544.jpg</t>
  </si>
  <si>
    <t>bf855f02</t>
  </si>
  <si>
    <t>https://ryycrdhlkmzpxwwwwupy.supabase.co/storage/v1/object/public/old_media/bf855f02.Path.115553.jpg</t>
  </si>
  <si>
    <t>a67e3def</t>
  </si>
  <si>
    <t>https://ryycrdhlkmzpxwwwwupy.supabase.co/storage/v1/object/public/old_media/a67e3def.Path.115602.jpg</t>
  </si>
  <si>
    <t>66385a57</t>
  </si>
  <si>
    <t>https://ryycrdhlkmzpxwwwwupy.supabase.co/storage/v1/object/public/old_media/66385a57.Path.115613.jpg</t>
  </si>
  <si>
    <t>c5c69bd1</t>
  </si>
  <si>
    <t>https://ryycrdhlkmzpxwwwwupy.supabase.co/storage/v1/object/public/old_media/c5c69bd1.Path.115624.jpg</t>
  </si>
  <si>
    <t>4f214a93</t>
  </si>
  <si>
    <t>https://ryycrdhlkmzpxwwwwupy.supabase.co/storage/v1/object/public/old_media/4f214a93.Path.115638.jpg</t>
  </si>
  <si>
    <t>d47df915</t>
  </si>
  <si>
    <t>https://ryycrdhlkmzpxwwwwupy.supabase.co/storage/v1/object/public/old_media/d47df915.Path.095939.jpg</t>
  </si>
  <si>
    <t>2876108d</t>
  </si>
  <si>
    <t>https://ryycrdhlkmzpxwwwwupy.supabase.co/storage/v1/object/public/old_media/2876108d.Path.095948.jpg</t>
  </si>
  <si>
    <t>cac9e34f</t>
  </si>
  <si>
    <t>https://ryycrdhlkmzpxwwwwupy.supabase.co/storage/v1/object/public/old_media/cac9e34f.Path.095956.jpg</t>
  </si>
  <si>
    <t>fb4ae179</t>
  </si>
  <si>
    <t>https://ryycrdhlkmzpxwwwwupy.supabase.co/storage/v1/object/public/old_media/fb4ae179.Path.100006.jpg</t>
  </si>
  <si>
    <t>c753b67e</t>
  </si>
  <si>
    <t>https://ryycrdhlkmzpxwwwwupy.supabase.co/storage/v1/object/public/old_media/c753b67e.Path.102027.jpg</t>
  </si>
  <si>
    <t>5c13721d</t>
  </si>
  <si>
    <t>https://ryycrdhlkmzpxwwwwupy.supabase.co/storage/v1/object/public/old_media/5c13721d.Path.102039.jpg</t>
  </si>
  <si>
    <t>f778f2f5</t>
  </si>
  <si>
    <t>https://ryycrdhlkmzpxwwwwupy.supabase.co/storage/v1/object/public/old_media/f778f2f5.Path.102047.jpg</t>
  </si>
  <si>
    <t>aa7c80c3</t>
  </si>
  <si>
    <t>https://ryycrdhlkmzpxwwwwupy.supabase.co/storage/v1/object/public/old_media/aa7c80c3.Path.102056.jpg</t>
  </si>
  <si>
    <t>25a7345c</t>
  </si>
  <si>
    <t>https://ryycrdhlkmzpxwwwwupy.supabase.co/storage/v1/object/public/old_media/25a7345c.Path.102110.jpg</t>
  </si>
  <si>
    <t>8221a8b2</t>
  </si>
  <si>
    <t>https://ryycrdhlkmzpxwwwwupy.supabase.co/storage/v1/object/public/old_media/8221a8b2.Path.104232.jpg</t>
  </si>
  <si>
    <t>851eeb96</t>
  </si>
  <si>
    <t>https://ryycrdhlkmzpxwwwwupy.supabase.co/storage/v1/object/public/old_media/851eeb96.Path.120151.jpg</t>
  </si>
  <si>
    <t>1693f6a4</t>
  </si>
  <si>
    <t>https://ryycrdhlkmzpxwwwwupy.supabase.co/storage/v1/object/public/old_media/1693f6a4.Path.120203.jpg</t>
  </si>
  <si>
    <t>8dc27a13</t>
  </si>
  <si>
    <t>https://ryycrdhlkmzpxwwwwupy.supabase.co/storage/v1/object/public/old_media/8dc27a13.Path.120211.jpg</t>
  </si>
  <si>
    <t>3cf5bba6</t>
  </si>
  <si>
    <t>https://ryycrdhlkmzpxwwwwupy.supabase.co/storage/v1/object/public/old_media/3cf5bba6.Path.120223.jpg</t>
  </si>
  <si>
    <t>b9a39ba3</t>
  </si>
  <si>
    <t>https://ryycrdhlkmzpxwwwwupy.supabase.co/storage/v1/object/public/old_media/b9a39ba3.Path.050708.jpg</t>
  </si>
  <si>
    <t>f054fed6</t>
  </si>
  <si>
    <t>https://ryycrdhlkmzpxwwwwupy.supabase.co/storage/v1/object/public/old_media/f054fed6.Path.051023.jpg</t>
  </si>
  <si>
    <t>3652010c</t>
  </si>
  <si>
    <t>https://ryycrdhlkmzpxwwwwupy.supabase.co/storage/v1/object/public/old_media/3652010c.Path.051032.jpg</t>
  </si>
  <si>
    <t>77e3fafd</t>
  </si>
  <si>
    <t>https://ryycrdhlkmzpxwwwwupy.supabase.co/storage/v1/object/public/old_media/77e3fafd.Path.051040.jpg</t>
  </si>
  <si>
    <t>495a410b</t>
  </si>
  <si>
    <t>https://ryycrdhlkmzpxwwwwupy.supabase.co/storage/v1/object/public/old_media/495a410b.Path.111011.jpg</t>
  </si>
  <si>
    <t>1e7b14fb</t>
  </si>
  <si>
    <t>https://ryycrdhlkmzpxwwwwupy.supabase.co/storage/v1/object/public/old_media/1e7b14fb.Path.094327.jpg</t>
  </si>
  <si>
    <t>596d621f</t>
  </si>
  <si>
    <t>https://ryycrdhlkmzpxwwwwupy.supabase.co/storage/v1/object/public/old_media/596d621f.Path.094338.jpg</t>
  </si>
  <si>
    <t>e3042a2f</t>
  </si>
  <si>
    <t>https://ryycrdhlkmzpxwwwwupy.supabase.co/storage/v1/object/public/old_media/e3042a2f.Path.094354.jpg</t>
  </si>
  <si>
    <t>2912a160</t>
  </si>
  <si>
    <t>https://ryycrdhlkmzpxwwwwupy.supabase.co/storage/v1/object/public/old_media/2912a160.Path.094415.jpg</t>
  </si>
  <si>
    <t>b6a04829</t>
  </si>
  <si>
    <t>https://ryycrdhlkmzpxwwwwupy.supabase.co/storage/v1/object/public/old_media/b6a04829.Path.055608.jpg</t>
  </si>
  <si>
    <t>d17532fb</t>
  </si>
  <si>
    <t>https://ryycrdhlkmzpxwwwwupy.supabase.co/storage/v1/object/public/old_media/d17532fb.Path.055725.jpg</t>
  </si>
  <si>
    <t>5e29d817</t>
  </si>
  <si>
    <t>https://ryycrdhlkmzpxwwwwupy.supabase.co/storage/v1/object/public/old_media/5e29d817.Path.055751.jpg</t>
  </si>
  <si>
    <t>c70ee7c8</t>
  </si>
  <si>
    <t>https://ryycrdhlkmzpxwwwwupy.supabase.co/storage/v1/object/public/old_media/c70ee7c8.Path.110136.jpg</t>
  </si>
  <si>
    <t>80cafc94</t>
  </si>
  <si>
    <t>https://ryycrdhlkmzpxwwwwupy.supabase.co/storage/v1/object/public/old_media/80cafc94.Path.043905.jpg</t>
  </si>
  <si>
    <t>4c1caa87</t>
  </si>
  <si>
    <t>249762ee</t>
  </si>
  <si>
    <t>https://ryycrdhlkmzpxwwwwupy.supabase.co/storage/v1/object/public/old_media/249762ee.Path.043925.jpg</t>
  </si>
  <si>
    <t>b1dafa83</t>
  </si>
  <si>
    <t>https://ryycrdhlkmzpxwwwwupy.supabase.co/storage/v1/object/public/old_media/b1dafa83.Path.043934.jpg</t>
  </si>
  <si>
    <t>163c9cab</t>
  </si>
  <si>
    <t>https://ryycrdhlkmzpxwwwwupy.supabase.co/storage/v1/object/public/old_media/163c9cab.Path.043943.jpg</t>
  </si>
  <si>
    <t>6ff228c5</t>
  </si>
  <si>
    <t>https://ryycrdhlkmzpxwwwwupy.supabase.co/storage/v1/object/public/old_media/6ff228c5.Path.043953.jpg</t>
  </si>
  <si>
    <t>851fc62c</t>
  </si>
  <si>
    <t>https://ryycrdhlkmzpxwwwwupy.supabase.co/storage/v1/object/public/old_media/851fc62c.Path.044002.jpg</t>
  </si>
  <si>
    <t>ca68d0cc</t>
  </si>
  <si>
    <t>https://ryycrdhlkmzpxwwwwupy.supabase.co/storage/v1/object/public/old_media/ca68d0cc.Path.044022.jpg</t>
  </si>
  <si>
    <t>9a88c416</t>
  </si>
  <si>
    <t>https://ryycrdhlkmzpxwwwwupy.supabase.co/storage/v1/object/public/old_media/9a88c416.Path.070628.jpg</t>
  </si>
  <si>
    <t>23fc4ef4</t>
  </si>
  <si>
    <t>https://ryycrdhlkmzpxwwwwupy.supabase.co/storage/v1/object/public/old_media/23fc4ef4.Path.070640.jpg</t>
  </si>
  <si>
    <t>c3ead5b3</t>
  </si>
  <si>
    <t>https://ryycrdhlkmzpxwwwwupy.supabase.co/storage/v1/object/public/old_media/c3ead5b3.Path.070649.jpg</t>
  </si>
  <si>
    <t>cc6b7fb1</t>
  </si>
  <si>
    <t>https://ryycrdhlkmzpxwwwwupy.supabase.co/storage/v1/object/public/old_media/cc6b7fb1.Path.070659.jpg</t>
  </si>
  <si>
    <t>9b3a8123</t>
  </si>
  <si>
    <t>https://ryycrdhlkmzpxwwwwupy.supabase.co/storage/v1/object/public/old_media/9b3a8123.Path.070709.webp</t>
  </si>
  <si>
    <t>dd2ed38a</t>
  </si>
  <si>
    <t>https://ryycrdhlkmzpxwwwwupy.supabase.co/storage/v1/object/public/old_media/dd2ed38a.Path.070719.jpg</t>
  </si>
  <si>
    <t>d8638e13</t>
  </si>
  <si>
    <t>https://ryycrdhlkmzpxwwwwupy.supabase.co/storage/v1/object/public/old_media/d8638e13.Path.070728.jpg</t>
  </si>
  <si>
    <t>b226c241</t>
  </si>
  <si>
    <t>https://ryycrdhlkmzpxwwwwupy.supabase.co/storage/v1/object/public/old_media/b226c241.Path.070738.jpg</t>
  </si>
  <si>
    <t>1212463a</t>
  </si>
  <si>
    <t>https://ryycrdhlkmzpxwwwwupy.supabase.co/storage/v1/object/public/old_media/1212463a.Path.070749.jpg</t>
  </si>
  <si>
    <t>25406fa2</t>
  </si>
  <si>
    <t>https://ryycrdhlkmzpxwwwwupy.supabase.co/storage/v1/object/public/old_media/25406fa2.Path.070801.jpg</t>
  </si>
  <si>
    <t>a5335e5c</t>
  </si>
  <si>
    <t>https://ryycrdhlkmzpxwwwwupy.supabase.co/storage/v1/object/public/old_media/a5335e5c.Path.070810.jpg</t>
  </si>
  <si>
    <t>1ab25351</t>
  </si>
  <si>
    <t>https://ryycrdhlkmzpxwwwwupy.supabase.co/storage/v1/object/public/old_media/1ab25351.Path.070819.jpg</t>
  </si>
  <si>
    <t>90774792</t>
  </si>
  <si>
    <t>https://ryycrdhlkmzpxwwwwupy.supabase.co/storage/v1/object/public/old_media/90774792.Path.070834.jpg</t>
  </si>
  <si>
    <t>62593f07</t>
  </si>
  <si>
    <t>https://ryycrdhlkmzpxwwwwupy.supabase.co/storage/v1/object/public/old_media/62593f07.Path.070846.jpg</t>
  </si>
  <si>
    <t>c1c2f129</t>
  </si>
  <si>
    <t>https://ryycrdhlkmzpxwwwwupy.supabase.co/storage/v1/object/public/old_media/c1c2f129.Path.065013.jpg</t>
  </si>
  <si>
    <t>bf201323</t>
  </si>
  <si>
    <t>https://ryycrdhlkmzpxwwwwupy.supabase.co/storage/v1/object/public/old_media/bf201323.Path.065722.jpg</t>
  </si>
  <si>
    <t>7e08eda2</t>
  </si>
  <si>
    <t>https://ryycrdhlkmzpxwwwwupy.supabase.co/storage/v1/object/public/old_media/7e08eda2.Path.110112.jpg</t>
  </si>
  <si>
    <t>c25c2479</t>
  </si>
  <si>
    <t>https://ryycrdhlkmzpxwwwwupy.supabase.co/storage/v1/object/public/old_media/c25c2479.Path.110232.jpg</t>
  </si>
  <si>
    <t>0edcf40f</t>
  </si>
  <si>
    <t>https://ryycrdhlkmzpxwwwwupy.supabase.co/storage/v1/object/public/old_media/0edcf40f.Path.053001.jpg</t>
  </si>
  <si>
    <t>80c52a46</t>
  </si>
  <si>
    <t>https://ryycrdhlkmzpxwwwwupy.supabase.co/storage/v1/object/public/old_media/80c52a46.Path.110358.jpg</t>
  </si>
  <si>
    <t>afd45d17</t>
  </si>
  <si>
    <t>https://ryycrdhlkmzpxwwwwupy.supabase.co/storage/v1/object/public/old_media/afd45d17.Path.110521.jpg</t>
  </si>
  <si>
    <t>9ca2a54b</t>
  </si>
  <si>
    <t>https://ryycrdhlkmzpxwwwwupy.supabase.co/storage/v1/object/public/old_media/9ca2a54b.Path.110702.jpg</t>
  </si>
  <si>
    <t>245b4e99</t>
  </si>
  <si>
    <t>https://ryycrdhlkmzpxwwwwupy.supabase.co/storage/v1/object/public/old_media/245b4e99.Path.110900.jpg</t>
  </si>
  <si>
    <t>30b0eaa1</t>
  </si>
  <si>
    <t>https://ryycrdhlkmzpxwwwwupy.supabase.co/storage/v1/object/public/old_media/30b0eaa1.Path.111048.jpg</t>
  </si>
  <si>
    <t>334bb4d9</t>
  </si>
  <si>
    <t>https://ryycrdhlkmzpxwwwwupy.supabase.co/storage/v1/object/public/old_media/334bb4d9.Path.111243.jpg</t>
  </si>
  <si>
    <t>7edc8b87</t>
  </si>
  <si>
    <t>https://ryycrdhlkmzpxwwwwupy.supabase.co/storage/v1/object/public/old_media/7edc8b87.Path.111400.jpg</t>
  </si>
  <si>
    <t>fd84eccd</t>
  </si>
  <si>
    <t>https://ryycrdhlkmzpxwwwwupy.supabase.co/storage/v1/object/public/old_media/fd84eccd.Path.111512.jpg</t>
  </si>
  <si>
    <t>f63a008a</t>
  </si>
  <si>
    <t>https://ryycrdhlkmzpxwwwwupy.supabase.co/storage/v1/object/public/old_media/f63a008a.Path.111617.jpg</t>
  </si>
  <si>
    <t>18b70bac</t>
  </si>
  <si>
    <t>https://ryycrdhlkmzpxwwwwupy.supabase.co/storage/v1/object/public/old_media/18b70bac.Path.111929.jpg</t>
  </si>
  <si>
    <t>9f6b6ab7</t>
  </si>
  <si>
    <t>https://ryycrdhlkmzpxwwwwupy.supabase.co/storage/v1/object/public/old_media/9f6b6ab7.Path.112204.jpg</t>
  </si>
  <si>
    <t>fbe5dcd0</t>
  </si>
  <si>
    <t>https://ryycrdhlkmzpxwwwwupy.supabase.co/storage/v1/object/public/old_media/fbe5dcd0.Path.113316.jpg</t>
  </si>
  <si>
    <t>322e4b03</t>
  </si>
  <si>
    <t>https://ryycrdhlkmzpxwwwwupy.supabase.co/storage/v1/object/public/old_media/322e4b03.Path.113440.jpg</t>
  </si>
  <si>
    <t>88529760</t>
  </si>
  <si>
    <t>https://ryycrdhlkmzpxwwwwupy.supabase.co/storage/v1/object/public/old_media/88529760.Path.113530.jpg</t>
  </si>
  <si>
    <t>e5a0b9b3</t>
  </si>
  <si>
    <t>https://ryycrdhlkmzpxwwwwupy.supabase.co/storage/v1/object/public/old_media/e5a0b9b3.Path.113612.jpg</t>
  </si>
  <si>
    <t>6fc79953</t>
  </si>
  <si>
    <t>https://ryycrdhlkmzpxwwwwupy.supabase.co/storage/v1/object/public/old_media/6fc79953.Path.113719.jpg</t>
  </si>
  <si>
    <t>442ac392</t>
  </si>
  <si>
    <t>https://ryycrdhlkmzpxwwwwupy.supabase.co/storage/v1/object/public/old_media/442ac392.Path.113834.jpg</t>
  </si>
  <si>
    <t>03307a69</t>
  </si>
  <si>
    <t>https://ryycrdhlkmzpxwwwwupy.supabase.co/storage/v1/object/public/old_media/03307a69.Path.113932.jpg</t>
  </si>
  <si>
    <t>3c8e0623</t>
  </si>
  <si>
    <t>https://ryycrdhlkmzpxwwwwupy.supabase.co/storage/v1/object/public/old_media/3c8e0623.Path.114015.jpg</t>
  </si>
  <si>
    <t>af76e58c</t>
  </si>
  <si>
    <t>https://ryycrdhlkmzpxwwwwupy.supabase.co/storage/v1/object/public/old_media/af76e58c.Path.114105.jpg</t>
  </si>
  <si>
    <t>3a447be4</t>
  </si>
  <si>
    <t>https://ryycrdhlkmzpxwwwwupy.supabase.co/storage/v1/object/public/old_media/3a447be4.Path.114147.jpg</t>
  </si>
  <si>
    <t>2cf1a984</t>
  </si>
  <si>
    <t>https://ryycrdhlkmzpxwwwwupy.supabase.co/storage/v1/object/public/old_media/2cf1a984.Path.053148.jpg</t>
  </si>
  <si>
    <t>cc4d74ed</t>
  </si>
  <si>
    <t>https://ryycrdhlkmzpxwwwwupy.supabase.co/storage/v1/object/public/old_media/cc4d74ed.Path.053159.jpg</t>
  </si>
  <si>
    <t>ea379ae6</t>
  </si>
  <si>
    <t>https://ryycrdhlkmzpxwwwwupy.supabase.co/storage/v1/object/public/old_media/ea379ae6.Path.053300.jpg</t>
  </si>
  <si>
    <t>2dd5cf60</t>
  </si>
  <si>
    <t>https://ryycrdhlkmzpxwwwwupy.supabase.co/storage/v1/object/public/old_media/2dd5cf60.Path.093126.jpg</t>
  </si>
  <si>
    <t>06cf9ee6</t>
  </si>
  <si>
    <t>https://ryycrdhlkmzpxwwwwupy.supabase.co/storage/v1/object/public/old_media/06cf9ee6.Path.093146.jpg</t>
  </si>
  <si>
    <t>b72982d7</t>
  </si>
  <si>
    <t>https://ryycrdhlkmzpxwwwwupy.supabase.co/storage/v1/object/public/old_media/b72982d7.Path.093159.jpg</t>
  </si>
  <si>
    <t>f5688e0a</t>
  </si>
  <si>
    <t>https://ryycrdhlkmzpxwwwwupy.supabase.co/storage/v1/object/public/old_media/f5688e0a.Path.093214.jpg</t>
  </si>
  <si>
    <t>78c4a1f2</t>
  </si>
  <si>
    <t>https://ryycrdhlkmzpxwwwwupy.supabase.co/storage/v1/object/public/old_media/78c4a1f2.Path.060138.jpg</t>
  </si>
  <si>
    <t>d7fcbc8f</t>
  </si>
  <si>
    <t>https://ryycrdhlkmzpxwwwwupy.supabase.co/storage/v1/object/public/old_media/d7fcbc8f.Path.060150.jpg</t>
  </si>
  <si>
    <t>b1d4c87c</t>
  </si>
  <si>
    <t>https://ryycrdhlkmzpxwwwwupy.supabase.co/storage/v1/object/public/old_media/b1d4c87c.Path.060203.jpg</t>
  </si>
  <si>
    <t>8666f550</t>
  </si>
  <si>
    <t>https://ryycrdhlkmzpxwwwwupy.supabase.co/storage/v1/object/public/old_media/8666f550.Path.060226.jpg</t>
  </si>
  <si>
    <t>4c226fb2</t>
  </si>
  <si>
    <t>https://ryycrdhlkmzpxwwwwupy.supabase.co/storage/v1/object/public/old_media/4c226fb2.Path.102423.jpg</t>
  </si>
  <si>
    <t>36792b6f</t>
  </si>
  <si>
    <t>https://ryycrdhlkmzpxwwwwupy.supabase.co/storage/v1/object/public/old_media/36792b6f.Path.102525.jpg</t>
  </si>
  <si>
    <t>5533cce7</t>
  </si>
  <si>
    <t>https://ryycrdhlkmzpxwwwwupy.supabase.co/storage/v1/object/public/old_media/5533cce7.Path.102538.jpg</t>
  </si>
  <si>
    <t>24a316fe</t>
  </si>
  <si>
    <t>https://ryycrdhlkmzpxwwwwupy.supabase.co/storage/v1/object/public/old_media/24a316fe.Path.105536.jpg</t>
  </si>
  <si>
    <t>ae0c8509</t>
  </si>
  <si>
    <t>https://ryycrdhlkmzpxwwwwupy.supabase.co/storage/v1/object/public/old_media/ae0c8509.Path.061104.jpg</t>
  </si>
  <si>
    <t>5bfef7c9</t>
  </si>
  <si>
    <t>https://ryycrdhlkmzpxwwwwupy.supabase.co/storage/v1/object/public/old_media/5bfef7c9.Path.061116.jpg</t>
  </si>
  <si>
    <t>4de3e76e</t>
  </si>
  <si>
    <t>https://ryycrdhlkmzpxwwwwupy.supabase.co/storage/v1/object/public/old_media/4de3e76e.Path.061123.jpg</t>
  </si>
  <si>
    <t>801d975c</t>
  </si>
  <si>
    <t>https://ryycrdhlkmzpxwwwwupy.supabase.co/storage/v1/object/public/old_media/801d975c.Path.061131.jpg</t>
  </si>
  <si>
    <t>0ed6cb72</t>
  </si>
  <si>
    <t>https://ryycrdhlkmzpxwwwwupy.supabase.co/storage/v1/object/public/old_media/0ed6cb72.Path.061143.jpg</t>
  </si>
  <si>
    <t>de8f7428</t>
  </si>
  <si>
    <t>https://ryycrdhlkmzpxwwwwupy.supabase.co/storage/v1/object/public/old_media/de8f7428.Path.061156.jpg</t>
  </si>
  <si>
    <t>6e8ad272</t>
  </si>
  <si>
    <t>https://ryycrdhlkmzpxwwwwupy.supabase.co/storage/v1/object/public/old_media/6e8ad272.Path.061229.jpg</t>
  </si>
  <si>
    <t>47ac4ecf</t>
  </si>
  <si>
    <t>https://ryycrdhlkmzpxwwwwupy.supabase.co/storage/v1/object/public/old_media/47ac4ecf.Path.061237.jpg</t>
  </si>
  <si>
    <t>78c6c090</t>
  </si>
  <si>
    <t>https://ryycrdhlkmzpxwwwwupy.supabase.co/storage/v1/object/public/old_media/78c6c090.Path.061154.jpg</t>
  </si>
  <si>
    <t>9484d1bb</t>
  </si>
  <si>
    <t>https://ryycrdhlkmzpxwwwwupy.supabase.co/storage/v1/object/public/old_media/9484d1bb.Path.061238.jpg</t>
  </si>
  <si>
    <t>62573c14</t>
  </si>
  <si>
    <t>https://ryycrdhlkmzpxwwwwupy.supabase.co/storage/v1/object/public/old_media/62573c14.Path.061316.jpg</t>
  </si>
  <si>
    <t>fcf6f441</t>
  </si>
  <si>
    <t>https://ryycrdhlkmzpxwwwwupy.supabase.co/storage/v1/object/public/old_media/fcf6f441.Path.061334.jpg</t>
  </si>
  <si>
    <t>367a3528</t>
  </si>
  <si>
    <t>https://ryycrdhlkmzpxwwwwupy.supabase.co/storage/v1/object/public/old_media/367a3528.Path.061353.jpg</t>
  </si>
  <si>
    <t>ff999a9c</t>
  </si>
  <si>
    <t>https://ryycrdhlkmzpxwwwwupy.supabase.co/storage/v1/object/public/old_media/ff999a9c.Path.073412.jpg</t>
  </si>
  <si>
    <t>c27c08ef</t>
  </si>
  <si>
    <t>https://ryycrdhlkmzpxwwwwupy.supabase.co/storage/v1/object/public/old_media/c27c08ef.Path.073420.jpg</t>
  </si>
  <si>
    <t>b249489f</t>
  </si>
  <si>
    <t>https://ryycrdhlkmzpxwwwwupy.supabase.co/storage/v1/object/public/old_media/b249489f.Path.073527.jpg</t>
  </si>
  <si>
    <t>e36703cb</t>
  </si>
  <si>
    <t>https://ryycrdhlkmzpxwwwwupy.supabase.co/storage/v1/object/public/old_media/e36703cb.Path.073541.jpg</t>
  </si>
  <si>
    <t>384dc5d5</t>
  </si>
  <si>
    <t>https://ryycrdhlkmzpxwwwwupy.supabase.co/storage/v1/object/public/old_media/384dc5d5.Path.073551.jpg</t>
  </si>
  <si>
    <t>4e60b864</t>
  </si>
  <si>
    <t>https://ryycrdhlkmzpxwwwwupy.supabase.co/storage/v1/object/public/old_media/4e60b864.Path.073559.jpg</t>
  </si>
  <si>
    <t>4423b0f9</t>
  </si>
  <si>
    <t>https://ryycrdhlkmzpxwwwwupy.supabase.co/storage/v1/object/public/old_media/4423b0f9.Path.073627.jpg</t>
  </si>
  <si>
    <t>7fb7fc3c</t>
  </si>
  <si>
    <t>https://ryycrdhlkmzpxwwwwupy.supabase.co/storage/v1/object/public/old_media/7fb7fc3c.Path.074124.jpg</t>
  </si>
  <si>
    <t>8c27a603</t>
  </si>
  <si>
    <t>https://ryycrdhlkmzpxwwwwupy.supabase.co/storage/v1/object/public/old_media/8c27a603.Path.062055.jpg</t>
  </si>
  <si>
    <t>dde67b5d</t>
  </si>
  <si>
    <t>https://ryycrdhlkmzpxwwwwupy.supabase.co/storage/v1/object/public/old_media/dde67b5d.Path.062112.jpg</t>
  </si>
  <si>
    <t>ffa2d6f3</t>
  </si>
  <si>
    <t>https://ryycrdhlkmzpxwwwwupy.supabase.co/storage/v1/object/public/old_media/ffa2d6f3.Path.062121.jpg</t>
  </si>
  <si>
    <t>e852c2c3</t>
  </si>
  <si>
    <t>https://ryycrdhlkmzpxwwwwupy.supabase.co/storage/v1/object/public/old_media/e852c2c3.Path.095620.jpg</t>
  </si>
  <si>
    <t>0fc02aae</t>
  </si>
  <si>
    <t>https://ryycrdhlkmzpxwwwwupy.supabase.co/storage/v1/object/public/old_media/0fc02aae.Path.092124.jpg</t>
  </si>
  <si>
    <t>9d9ae8cd</t>
  </si>
  <si>
    <t>https://ryycrdhlkmzpxwwwwupy.supabase.co/storage/v1/object/public/old_media/9d9ae8cd.Path.072132.jpg</t>
  </si>
  <si>
    <t>27819f3a</t>
  </si>
  <si>
    <t>https://ryycrdhlkmzpxwwwwupy.supabase.co/storage/v1/object/public/old_media/27819f3a.Path.072518.jpg</t>
  </si>
  <si>
    <t>e3320f90</t>
  </si>
  <si>
    <t>https://ryycrdhlkmzpxwwwwupy.supabase.co/storage/v1/object/public/old_media/e3320f90.Path.134200.jpg</t>
  </si>
  <si>
    <t>30816445</t>
  </si>
  <si>
    <t>https://ryycrdhlkmzpxwwwwupy.supabase.co/storage/v1/object/public/old_media/30816445.Path.073257.jpg</t>
  </si>
  <si>
    <t>8f03c5ea</t>
  </si>
  <si>
    <t>https://ryycrdhlkmzpxwwwwupy.supabase.co/storage/v1/object/public/old_media/8f03c5ea.Path.100027.png</t>
  </si>
  <si>
    <t>ab4faa6c</t>
  </si>
  <si>
    <t>https://ryycrdhlkmzpxwwwwupy.supabase.co/storage/v1/object/public/old_media/ab4faa6c.Path.100102.png</t>
  </si>
  <si>
    <t>e63a1311</t>
  </si>
  <si>
    <t>https://ryycrdhlkmzpxwwwwupy.supabase.co/storage/v1/object/public/old_media/e63a1311.Path.100138.png</t>
  </si>
  <si>
    <t>fb4ab2fb</t>
  </si>
  <si>
    <t>https://ryycrdhlkmzpxwwwwupy.supabase.co/storage/v1/object/public/old_media/fb4ab2fb.Path.100213.png</t>
  </si>
  <si>
    <t>5f6e2244</t>
  </si>
  <si>
    <t>https://ryycrdhlkmzpxwwwwupy.supabase.co/storage/v1/object/public/old_media/5f6e2244.Path.062850.jpg</t>
  </si>
  <si>
    <t>30147b96</t>
  </si>
  <si>
    <t>https://ryycrdhlkmzpxwwwwupy.supabase.co/storage/v1/object/public/old_media/30147b96.Path.062925.jpg</t>
  </si>
  <si>
    <t>ca138482</t>
  </si>
  <si>
    <t>https://ryycrdhlkmzpxwwwwupy.supabase.co/storage/v1/object/public/old_media/ca138482.Path.062958.jpg</t>
  </si>
  <si>
    <t>710bd264</t>
  </si>
  <si>
    <t>https://ryycrdhlkmzpxwwwwupy.supabase.co/storage/v1/object/public/old_media/710bd264.Path.063029.jpg</t>
  </si>
  <si>
    <t>78b2c0fc</t>
  </si>
  <si>
    <t>https://ryycrdhlkmzpxwwwwupy.supabase.co/storage/v1/object/public/old_media/78b2c0fc.Path.063154.jpg</t>
  </si>
  <si>
    <t>Deuxième chambre</t>
  </si>
  <si>
    <t>bde8f336</t>
  </si>
  <si>
    <t>https://ryycrdhlkmzpxwwwwupy.supabase.co/storage/v1/object/public/old_media/bde8f336.Path.063323.jpg</t>
  </si>
  <si>
    <t>Première chambre</t>
  </si>
  <si>
    <t>313b7843</t>
  </si>
  <si>
    <t>https://ryycrdhlkmzpxwwwwupy.supabase.co/storage/v1/object/public/old_media/313b7843.Path.063358.jpg</t>
  </si>
  <si>
    <t>18b59c2e</t>
  </si>
  <si>
    <t>https://ryycrdhlkmzpxwwwwupy.supabase.co/storage/v1/object/public/old_media/18b59c2e.Path.063441.jpg</t>
  </si>
  <si>
    <t>126e81eb</t>
  </si>
  <si>
    <t>https://ryycrdhlkmzpxwwwwupy.supabase.co/storage/v1/object/public/old_media/126e81eb.Path.063536.jpg</t>
  </si>
  <si>
    <t>8ce20759</t>
  </si>
  <si>
    <t>https://ryycrdhlkmzpxwwwwupy.supabase.co/storage/v1/object/public/old_media/8ce20759.Path.063607.jpg</t>
  </si>
  <si>
    <t>b6ea94b4</t>
  </si>
  <si>
    <t>https://ryycrdhlkmzpxwwwwupy.supabase.co/storage/v1/object/public/old_media/b6ea94b4.Path.063650.png</t>
  </si>
  <si>
    <t>4c4a79de</t>
  </si>
  <si>
    <t>https://ryycrdhlkmzpxwwwwupy.supabase.co/storage/v1/object/public/old_media/4c4a79de.Path.073346.jpg</t>
  </si>
  <si>
    <t>1cb87086</t>
  </si>
  <si>
    <t>https://ryycrdhlkmzpxwwwwupy.supabase.co/storage/v1/object/public/old_media/1cb87086.Path.073419.jpg</t>
  </si>
  <si>
    <t>52cacbe7</t>
  </si>
  <si>
    <t>https://ryycrdhlkmzpxwwwwupy.supabase.co/storage/v1/object/public/old_media/52cacbe7.Path.073451.jpg</t>
  </si>
  <si>
    <t>17b180ce</t>
  </si>
  <si>
    <t>https://ryycrdhlkmzpxwwwwupy.supabase.co/storage/v1/object/public/old_media/17b180ce.Path.073524.jpg</t>
  </si>
  <si>
    <t>d7897b2d</t>
  </si>
  <si>
    <t>https://ryycrdhlkmzpxwwwwupy.supabase.co/storage/v1/object/public/old_media/d7897b2d.Path.073553.jpg</t>
  </si>
  <si>
    <t>b7f0f7be</t>
  </si>
  <si>
    <t>https://ryycrdhlkmzpxwwwwupy.supabase.co/storage/v1/object/public/old_media/b7f0f7be.Path.073625.jpg</t>
  </si>
  <si>
    <t>1e48319d</t>
  </si>
  <si>
    <t>https://ryycrdhlkmzpxwwwwupy.supabase.co/storage/v1/object/public/old_media/1e48319d.Path.073656.jpg</t>
  </si>
  <si>
    <t>3bb2b945</t>
  </si>
  <si>
    <t>https://ryycrdhlkmzpxwwwwupy.supabase.co/storage/v1/object/public/old_media/3bb2b945.Path.073732.jpg</t>
  </si>
  <si>
    <t>0b5b019d</t>
  </si>
  <si>
    <t>https://ryycrdhlkmzpxwwwwupy.supabase.co/storage/v1/object/public/old_media/0b5b019d.Path.073808.jpg</t>
  </si>
  <si>
    <t>111f0846</t>
  </si>
  <si>
    <t>https://ryycrdhlkmzpxwwwwupy.supabase.co/storage/v1/object/public/old_media/111f0846.Path.073847.jpg</t>
  </si>
  <si>
    <t>3f7d4fec</t>
  </si>
  <si>
    <t>https://ryycrdhlkmzpxwwwwupy.supabase.co/storage/v1/object/public/old_media/3f7d4fec.Path.074017.jpg</t>
  </si>
  <si>
    <t>f706849d</t>
  </si>
  <si>
    <t>https://ryycrdhlkmzpxwwwwupy.supabase.co/storage/v1/object/public/old_media/f706849d.Path.074054.jpg</t>
  </si>
  <si>
    <t>f42f1924</t>
  </si>
  <si>
    <t>https://ryycrdhlkmzpxwwwwupy.supabase.co/storage/v1/object/public/old_media/f42f1924.Path.074137.jpg</t>
  </si>
  <si>
    <t>50f4eb11</t>
  </si>
  <si>
    <t>https://ryycrdhlkmzpxwwwwupy.supabase.co/storage/v1/object/public/old_media/50f4eb11.Path.074209.jpg</t>
  </si>
  <si>
    <t>1510981e</t>
  </si>
  <si>
    <t>https://ryycrdhlkmzpxwwwwupy.supabase.co/storage/v1/object/public/old_media/1510981e.Path.074243.jpg</t>
  </si>
  <si>
    <t>da5539c8</t>
  </si>
  <si>
    <t>https://ryycrdhlkmzpxwwwwupy.supabase.co/storage/v1/object/public/old_media/da5539c8.Path.075113.jpg</t>
  </si>
  <si>
    <t>42143017</t>
  </si>
  <si>
    <t>https://ryycrdhlkmzpxwwwwupy.supabase.co/storage/v1/object/public/old_media/42143017.Path.075148.jpg</t>
  </si>
  <si>
    <t>75c1ed64</t>
  </si>
  <si>
    <t>https://ryycrdhlkmzpxwwwwupy.supabase.co/storage/v1/object/public/old_media/75c1ed64.Path.075219.jpg</t>
  </si>
  <si>
    <t>babee1e2</t>
  </si>
  <si>
    <t>https://ryycrdhlkmzpxwwwwupy.supabase.co/storage/v1/object/public/old_media/babee1e2.Path.075250.jpg</t>
  </si>
  <si>
    <t>17a4dd7d</t>
  </si>
  <si>
    <t>https://ryycrdhlkmzpxwwwwupy.supabase.co/storage/v1/object/public/old_media/17a4dd7d.Path.075319.jpg</t>
  </si>
  <si>
    <t>b42434b7</t>
  </si>
  <si>
    <t>https://ryycrdhlkmzpxwwwwupy.supabase.co/storage/v1/object/public/old_media/b42434b7.Path.075355.jpg</t>
  </si>
  <si>
    <t>a99697ae</t>
  </si>
  <si>
    <t>https://ryycrdhlkmzpxwwwwupy.supabase.co/storage/v1/object/public/old_media/a99697ae.Path.075436.jpg</t>
  </si>
  <si>
    <t>f0f44b7c</t>
  </si>
  <si>
    <t>https://ryycrdhlkmzpxwwwwupy.supabase.co/storage/v1/object/public/old_media/f0f44b7c.Path.075510.jpg</t>
  </si>
  <si>
    <t>7fdccd93</t>
  </si>
  <si>
    <t>https://ryycrdhlkmzpxwwwwupy.supabase.co/storage/v1/object/public/old_media/7fdccd93.Path.084145.jpg</t>
  </si>
  <si>
    <t>ae7f3377</t>
  </si>
  <si>
    <t>https://ryycrdhlkmzpxwwwwupy.supabase.co/storage/v1/object/public/old_media/ae7f3377.Path.084546.jpg</t>
  </si>
  <si>
    <t>411fd4da</t>
  </si>
  <si>
    <t>https://ryycrdhlkmzpxwwwwupy.supabase.co/storage/v1/object/public/old_media/411fd4da.Path.110205.webp</t>
  </si>
  <si>
    <t>768a1400</t>
  </si>
  <si>
    <t>https://ryycrdhlkmzpxwwwwupy.supabase.co/storage/v1/object/public/old_media/768a1400.Path.110240.webp</t>
  </si>
  <si>
    <t>feu de bois</t>
  </si>
  <si>
    <t>2ecbe9a6</t>
  </si>
  <si>
    <t>https://ryycrdhlkmzpxwwwwupy.supabase.co/storage/v1/object/public/old_media/2ecbe9a6.Path.110313.jpg</t>
  </si>
  <si>
    <t>d6730fd4</t>
  </si>
  <si>
    <t>https://ryycrdhlkmzpxwwwwupy.supabase.co/storage/v1/object/public/old_media/d6730fd4.Path.110345.webp</t>
  </si>
  <si>
    <t>8997c6df</t>
  </si>
  <si>
    <t>https://ryycrdhlkmzpxwwwwupy.supabase.co/storage/v1/object/public/old_media/8997c6df.Path.110416.webp</t>
  </si>
  <si>
    <t>cabane</t>
  </si>
  <si>
    <t>11af8ed7</t>
  </si>
  <si>
    <t>https://ryycrdhlkmzpxwwwwupy.supabase.co/storage/v1/object/public/old_media/11af8ed7.Path.110446.webp</t>
  </si>
  <si>
    <t>3afabf96</t>
  </si>
  <si>
    <t>https://ryycrdhlkmzpxwwwwupy.supabase.co/storage/v1/object/public/old_media/3afabf96.Path.110519.webp</t>
  </si>
  <si>
    <t>jacuzzi vue</t>
  </si>
  <si>
    <t>a679bab6</t>
  </si>
  <si>
    <t>https://ryycrdhlkmzpxwwwwupy.supabase.co/storage/v1/object/public/old_media/a679bab6.Path.110551.webp</t>
  </si>
  <si>
    <t>9fe3f6f8</t>
  </si>
  <si>
    <t>https://ryycrdhlkmzpxwwwwupy.supabase.co/storage/v1/object/public/old_media/9fe3f6f8.Path.110622.webp</t>
  </si>
  <si>
    <t>428351d0</t>
  </si>
  <si>
    <t>https://ryycrdhlkmzpxwwwwupy.supabase.co/storage/v1/object/public/old_media/428351d0.Path.110654.webp</t>
  </si>
  <si>
    <t>9f3296f7</t>
  </si>
  <si>
    <t>https://ryycrdhlkmzpxwwwwupy.supabase.co/storage/v1/object/public/old_media/9f3296f7.Path.110725.webp</t>
  </si>
  <si>
    <t>73c96d39</t>
  </si>
  <si>
    <t>https://ryycrdhlkmzpxwwwwupy.supabase.co/storage/v1/object/public/old_media/73c96d39.Path.110752.webp</t>
  </si>
  <si>
    <t>34f1c1ac</t>
  </si>
  <si>
    <t>https://ryycrdhlkmzpxwwwwupy.supabase.co/storage/v1/object/public/old_media/34f1c1ac.Path.110824.webp</t>
  </si>
  <si>
    <t>salon salle à manger</t>
  </si>
  <si>
    <t>fa82436b</t>
  </si>
  <si>
    <t>https://ryycrdhlkmzpxwwwwupy.supabase.co/storage/v1/object/public/old_media/fa82436b.Path.110855.webp</t>
  </si>
  <si>
    <t>intérieur</t>
  </si>
  <si>
    <t>7fe3c69c</t>
  </si>
  <si>
    <t>https://ryycrdhlkmzpxwwwwupy.supabase.co/storage/v1/object/public/old_media/7fe3c69c.Path.110925.webp</t>
  </si>
  <si>
    <t>a1abe7e7</t>
  </si>
  <si>
    <t>https://ryycrdhlkmzpxwwwwupy.supabase.co/storage/v1/object/public/old_media/a1abe7e7.Path.110954.webp</t>
  </si>
  <si>
    <t>d8660e51</t>
  </si>
  <si>
    <t>https://ryycrdhlkmzpxwwwwupy.supabase.co/storage/v1/object/public/old_media/d8660e51.Path.111024.webp</t>
  </si>
  <si>
    <t>1ecddc28</t>
  </si>
  <si>
    <t>https://ryycrdhlkmzpxwwwwupy.supabase.co/storage/v1/object/public/old_media/1ecddc28.Path.111058.webp</t>
  </si>
  <si>
    <t>a9313387</t>
  </si>
  <si>
    <t>https://ryycrdhlkmzpxwwwwupy.supabase.co/storage/v1/object/public/old_media/a9313387.Path.111302.webp</t>
  </si>
  <si>
    <t>19595b9b</t>
  </si>
  <si>
    <t>https://ryycrdhlkmzpxwwwwupy.supabase.co/storage/v1/object/public/old_media/19595b9b.Path.065836.jpg</t>
  </si>
  <si>
    <t>0cacaea1</t>
  </si>
  <si>
    <t>https://ryycrdhlkmzpxwwwwupy.supabase.co/storage/v1/object/public/old_media/0cacaea1.Path.065910.jpg</t>
  </si>
  <si>
    <t>2a82ee75</t>
  </si>
  <si>
    <t>https://ryycrdhlkmzpxwwwwupy.supabase.co/storage/v1/object/public/old_media/2a82ee75.Path.065944.jpg</t>
  </si>
  <si>
    <t>55908eee</t>
  </si>
  <si>
    <t>https://ryycrdhlkmzpxwwwwupy.supabase.co/storage/v1/object/public/old_media/55908eee.Path.070022.jpg</t>
  </si>
  <si>
    <t>f3e8823e</t>
  </si>
  <si>
    <t>https://ryycrdhlkmzpxwwwwupy.supabase.co/storage/v1/object/public/old_media/f3e8823e.Path.070051.jpg</t>
  </si>
  <si>
    <t>51436b3f</t>
  </si>
  <si>
    <t>https://ryycrdhlkmzpxwwwwupy.supabase.co/storage/v1/object/public/old_media/51436b3f.Path.070119.jpg</t>
  </si>
  <si>
    <t>f3f8497a</t>
  </si>
  <si>
    <t>https://ryycrdhlkmzpxwwwwupy.supabase.co/storage/v1/object/public/old_media/f3f8497a.Path.070150.jpg</t>
  </si>
  <si>
    <t>9f51539e</t>
  </si>
  <si>
    <t>https://ryycrdhlkmzpxwwwwupy.supabase.co/storage/v1/object/public/old_media/9f51539e.Path.070218.jpg</t>
  </si>
  <si>
    <t>43ef2b40</t>
  </si>
  <si>
    <t>https://ryycrdhlkmzpxwwwwupy.supabase.co/storage/v1/object/public/old_media/43ef2b40.Path.070249.jpg</t>
  </si>
  <si>
    <t>6b5127d1</t>
  </si>
  <si>
    <t>https://ryycrdhlkmzpxwwwwupy.supabase.co/storage/v1/object/public/old_media/6b5127d1.Path.070322.jpg</t>
  </si>
  <si>
    <t>5a17590f</t>
  </si>
  <si>
    <t>https://ryycrdhlkmzpxwwwwupy.supabase.co/storage/v1/object/public/old_media/5a17590f.Path.070356.jpg</t>
  </si>
  <si>
    <t>8dc97b4f</t>
  </si>
  <si>
    <t>https://ryycrdhlkmzpxwwwwupy.supabase.co/storage/v1/object/public/old_media/8dc97b4f.Path.070426.jpg</t>
  </si>
  <si>
    <t>7c368190</t>
  </si>
  <si>
    <t>https://ryycrdhlkmzpxwwwwupy.supabase.co/storage/v1/object/public/old_media/7c368190.Path.070458.jpg</t>
  </si>
  <si>
    <t>0abaa5a4</t>
  </si>
  <si>
    <t>https://ryycrdhlkmzpxwwwwupy.supabase.co/storage/v1/object/public/old_media/0abaa5a4.Path.070840.jpg</t>
  </si>
  <si>
    <t>63d4cefa</t>
  </si>
  <si>
    <t>https://ryycrdhlkmzpxwwwwupy.supabase.co/storage/v1/object/public/old_media/63d4cefa.Path.070004.jpg</t>
  </si>
  <si>
    <t>f9f1f237</t>
  </si>
  <si>
    <t>https://ryycrdhlkmzpxwwwwupy.supabase.co/storage/v1/object/public/old_media/f9f1f237.Path.095724.jpg</t>
  </si>
  <si>
    <t>25cc7cce</t>
  </si>
  <si>
    <t>https://ryycrdhlkmzpxwwwwupy.supabase.co/storage/v1/object/public/old_media/25cc7cce.Path.064827.jpg</t>
  </si>
  <si>
    <t>8b2c75e2</t>
  </si>
  <si>
    <t>https://ryycrdhlkmzpxwwwwupy.supabase.co/storage/v1/object/public/old_media/8b2c75e2.Path.065122.jpg</t>
  </si>
  <si>
    <t>c57f1ea9</t>
  </si>
  <si>
    <t>https://ryycrdhlkmzpxwwwwupy.supabase.co/storage/v1/object/public/old_media/c57f1ea9.Path.065153.jpg</t>
  </si>
  <si>
    <t>4eb58a8d</t>
  </si>
  <si>
    <t>https://ryycrdhlkmzpxwwwwupy.supabase.co/storage/v1/object/public/old_media/4eb58a8d.Path.065224.jpg</t>
  </si>
  <si>
    <t>64d438b0</t>
  </si>
  <si>
    <t>https://ryycrdhlkmzpxwwwwupy.supabase.co/storage/v1/object/public/old_media/64d438b0.Path.065258.jpg</t>
  </si>
  <si>
    <t>e82a45d9</t>
  </si>
  <si>
    <t>https://ryycrdhlkmzpxwwwwupy.supabase.co/storage/v1/object/public/old_media/e82a45d9.Path.092857.jpg</t>
  </si>
  <si>
    <t>8257a4d5</t>
  </si>
  <si>
    <t>https://ryycrdhlkmzpxwwwwupy.supabase.co/storage/v1/object/public/old_media/8257a4d5.Path.093109.png</t>
  </si>
  <si>
    <t>devanture</t>
  </si>
  <si>
    <t>fe964d2c</t>
  </si>
  <si>
    <t>https://ryycrdhlkmzpxwwwwupy.supabase.co/storage/v1/object/public/old_media/fe964d2c.Path.054529.jpg</t>
  </si>
  <si>
    <t>c6868595</t>
  </si>
  <si>
    <t>https://ryycrdhlkmzpxwwwwupy.supabase.co/storage/v1/object/public/old_media/c6868595.Path.055900.jpg</t>
  </si>
  <si>
    <t>831b8dff</t>
  </si>
  <si>
    <t>https://ryycrdhlkmzpxwwwwupy.supabase.co/storage/v1/object/public/old_media/831b8dff.Path.064023.jpg</t>
  </si>
  <si>
    <t>16bfc8fa</t>
  </si>
  <si>
    <t>https://ryycrdhlkmzpxwwwwupy.supabase.co/storage/v1/object/public/old_media/16bfc8fa.Path.094206.webp</t>
  </si>
  <si>
    <t>e1affb64</t>
  </si>
  <si>
    <t>https://ryycrdhlkmzpxwwwwupy.supabase.co/storage/v1/object/public/old_media/e1affb64.Path.094240.webp</t>
  </si>
  <si>
    <t>0f48e503</t>
  </si>
  <si>
    <t>https://ryycrdhlkmzpxwwwwupy.supabase.co/storage/v1/object/public/old_media/0f48e503.Path.094313.webp</t>
  </si>
  <si>
    <t>b11acd0d</t>
  </si>
  <si>
    <t>https://ryycrdhlkmzpxwwwwupy.supabase.co/storage/v1/object/public/old_media/b11acd0d.Path.094345.webp</t>
  </si>
  <si>
    <t>ebaa260e</t>
  </si>
  <si>
    <t>https://ryycrdhlkmzpxwwwwupy.supabase.co/storage/v1/object/public/old_media/ebaa260e.Path.094414.webp</t>
  </si>
  <si>
    <t>9e70e90f</t>
  </si>
  <si>
    <t>https://ryycrdhlkmzpxwwwwupy.supabase.co/storage/v1/object/public/old_media/9e70e90f.Path.094440.jpg</t>
  </si>
  <si>
    <t>e4d387ca</t>
  </si>
  <si>
    <t>https://ryycrdhlkmzpxwwwwupy.supabase.co/storage/v1/object/public/old_media/e4d387ca.Path.094516.jpg</t>
  </si>
  <si>
    <t>10fa7f43</t>
  </si>
  <si>
    <t>https://ryycrdhlkmzpxwwwwupy.supabase.co/storage/v1/object/public/old_media/10fa7f43.Path.105339.webp</t>
  </si>
  <si>
    <t>1e724abc</t>
  </si>
  <si>
    <t>https://ryycrdhlkmzpxwwwwupy.supabase.co/storage/v1/object/public/old_media/1e724abc.Path.105418.jpg</t>
  </si>
  <si>
    <t>f45fbfbe</t>
  </si>
  <si>
    <t>https://ryycrdhlkmzpxwwwwupy.supabase.co/storage/v1/object/public/old_media/f45fbfbe.Path.105453.jpg</t>
  </si>
  <si>
    <t>aa679fd1</t>
  </si>
  <si>
    <t>https://ryycrdhlkmzpxwwwwupy.supabase.co/storage/v1/object/public/old_media/aa679fd1.Path.105526.jpg</t>
  </si>
  <si>
    <t>b1d6b863</t>
  </si>
  <si>
    <t>https://ryycrdhlkmzpxwwwwupy.supabase.co/storage/v1/object/public/old_media/b1d6b863.Path.105600.jpg</t>
  </si>
  <si>
    <t>7288dd41</t>
  </si>
  <si>
    <t>https://ryycrdhlkmzpxwwwwupy.supabase.co/storage/v1/object/public/old_media/7288dd41.Path.105631.webp</t>
  </si>
  <si>
    <t>b912b92d</t>
  </si>
  <si>
    <t>https://ryycrdhlkmzpxwwwwupy.supabase.co/storage/v1/object/public/old_media/b912b92d.Path.105702.webp</t>
  </si>
  <si>
    <t>578d07a4</t>
  </si>
  <si>
    <t>https://ryycrdhlkmzpxwwwwupy.supabase.co/storage/v1/object/public/old_media/578d07a4.Path.105828.jpg</t>
  </si>
  <si>
    <t>8f761b7f</t>
  </si>
  <si>
    <t>https://ryycrdhlkmzpxwwwwupy.supabase.co/storage/v1/object/public/old_media/8f761b7f.Path.105904.webp</t>
  </si>
  <si>
    <t>3e1a6830</t>
  </si>
  <si>
    <t>https://ryycrdhlkmzpxwwwwupy.supabase.co/storage/v1/object/public/old_media/3e1a6830.Path.105935.jpg</t>
  </si>
  <si>
    <t>afa447c3</t>
  </si>
  <si>
    <t>https://ryycrdhlkmzpxwwwwupy.supabase.co/storage/v1/object/public/old_media/afa447c3.Path.110015.jpg</t>
  </si>
  <si>
    <t>f36107c8</t>
  </si>
  <si>
    <t>https://ryycrdhlkmzpxwwwwupy.supabase.co/storage/v1/object/public/old_media/f36107c8.Path.110052.webp</t>
  </si>
  <si>
    <t>738b7196</t>
  </si>
  <si>
    <t>https://ryycrdhlkmzpxwwwwupy.supabase.co/storage/v1/object/public/old_media/738b7196.Path.110126.jpg</t>
  </si>
  <si>
    <t>153d57d2</t>
  </si>
  <si>
    <t>https://ryycrdhlkmzpxwwwwupy.supabase.co/storage/v1/object/public/old_media/153d57d2.Path.110156.webp</t>
  </si>
  <si>
    <t>6dff3aa3</t>
  </si>
  <si>
    <t>https://ryycrdhlkmzpxwwwwupy.supabase.co/storage/v1/object/public/old_media/6dff3aa3.Path.114922.jpg</t>
  </si>
  <si>
    <t>91db1f40</t>
  </si>
  <si>
    <t>https://ryycrdhlkmzpxwwwwupy.supabase.co/storage/v1/object/public/old_media/91db1f40.Path.092643.png</t>
  </si>
  <si>
    <t>Apparemment restaurant fermé</t>
  </si>
  <si>
    <t>5ac21300</t>
  </si>
  <si>
    <t>https://ryycrdhlkmzpxwwwwupy.supabase.co/storage/v1/object/public/old_media/5ac21300.Path.071814.jpg</t>
  </si>
  <si>
    <t>ced36251</t>
  </si>
  <si>
    <t>https://ryycrdhlkmzpxwwwwupy.supabase.co/storage/v1/object/public/old_media/ced36251.Path.071842.jpg</t>
  </si>
  <si>
    <t>90f14d66</t>
  </si>
  <si>
    <t>https://ryycrdhlkmzpxwwwwupy.supabase.co/storage/v1/object/public/old_media/90f14d66.Path.071911.jpg</t>
  </si>
  <si>
    <t>253d223d</t>
  </si>
  <si>
    <t>https://ryycrdhlkmzpxwwwwupy.supabase.co/storage/v1/object/public/old_media/253d223d.Path.071944.jpg</t>
  </si>
  <si>
    <t>8969f353</t>
  </si>
  <si>
    <t>https://ryycrdhlkmzpxwwwwupy.supabase.co/storage/v1/object/public/old_media/8969f353.Path.072009.jpg</t>
  </si>
  <si>
    <t>f56cbf7d</t>
  </si>
  <si>
    <t>https://ryycrdhlkmzpxwwwwupy.supabase.co/storage/v1/object/public/old_media/f56cbf7d.Path.072038.jpg</t>
  </si>
  <si>
    <t>c1882cfb</t>
  </si>
  <si>
    <t>https://ryycrdhlkmzpxwwwwupy.supabase.co/storage/v1/object/public/old_media/c1882cfb.Path.072109.jpg</t>
  </si>
  <si>
    <t>1f8c4313</t>
  </si>
  <si>
    <t>https://ryycrdhlkmzpxwwwwupy.supabase.co/storage/v1/object/public/old_media/1f8c4313.Path.072137.jpg</t>
  </si>
  <si>
    <t>27b83bee</t>
  </si>
  <si>
    <t>https://ryycrdhlkmzpxwwwwupy.supabase.co/storage/v1/object/public/old_media/27b83bee.Path.072203.jpg</t>
  </si>
  <si>
    <t>21158ba2</t>
  </si>
  <si>
    <t>https://ryycrdhlkmzpxwwwwupy.supabase.co/storage/v1/object/public/old_media/21158ba2.Path.072228.jpg</t>
  </si>
  <si>
    <t>36dc722f</t>
  </si>
  <si>
    <t>https://ryycrdhlkmzpxwwwwupy.supabase.co/storage/v1/object/public/old_media/36dc722f.Path.072258.jpg</t>
  </si>
  <si>
    <t>18f9401b</t>
  </si>
  <si>
    <t>https://ryycrdhlkmzpxwwwwupy.supabase.co/storage/v1/object/public/old_media/18f9401b.Path.072327.jpg</t>
  </si>
  <si>
    <t>54b7c41b</t>
  </si>
  <si>
    <t>https://ryycrdhlkmzpxwwwwupy.supabase.co/storage/v1/object/public/old_media/54b7c41b.Path.072354.jpg</t>
  </si>
  <si>
    <t>4f6f060a</t>
  </si>
  <si>
    <t>https://ryycrdhlkmzpxwwwwupy.supabase.co/storage/v1/object/public/old_media/4f6f060a.Path.072422.jpg</t>
  </si>
  <si>
    <t>8c4211f6</t>
  </si>
  <si>
    <t>https://ryycrdhlkmzpxwwwwupy.supabase.co/storage/v1/object/public/old_media/8c4211f6.Path.072453.jpg</t>
  </si>
  <si>
    <t>40d2a79e</t>
  </si>
  <si>
    <t>https://ryycrdhlkmzpxwwwwupy.supabase.co/storage/v1/object/public/old_media/40d2a79e.Path.072530.jpg</t>
  </si>
  <si>
    <t>73080416</t>
  </si>
  <si>
    <t>https://ryycrdhlkmzpxwwwwupy.supabase.co/storage/v1/object/public/old_media/73080416.Path.072601.jpg</t>
  </si>
  <si>
    <t>712fc640</t>
  </si>
  <si>
    <t>https://ryycrdhlkmzpxwwwwupy.supabase.co/storage/v1/object/public/old_media/712fc640.Path.072723.jpg</t>
  </si>
  <si>
    <t>d514b4e4</t>
  </si>
  <si>
    <t>https://ryycrdhlkmzpxwwwwupy.supabase.co/storage/v1/object/public/old_media/d514b4e4.Path.072759.jpg</t>
  </si>
  <si>
    <t>3b87e596</t>
  </si>
  <si>
    <t>https://ryycrdhlkmzpxwwwwupy.supabase.co/storage/v1/object/public/old_media/3b87e596.Path.073229.jpg</t>
  </si>
  <si>
    <t>ea11e5d0</t>
  </si>
  <si>
    <t>https://ryycrdhlkmzpxwwwwupy.supabase.co/storage/v1/object/public/old_media/ea11e5d0.Path.044312.jpg</t>
  </si>
  <si>
    <t>Situé sur les hauteurs de Saint-Joseph, dans un cadre agréable et chaleureux, la ferme auberge Le Bel Air propose une cuisine traditionnelle réunionnaise, élevage “la cour” et légumes de l’exploitation. Vue imprenable sur le littoral.</t>
  </si>
  <si>
    <t>4527d86e</t>
  </si>
  <si>
    <t>https://ryycrdhlkmzpxwwwwupy.supabase.co/storage/v1/object/public/old_media/4527d86e.Path.102224.jpg</t>
  </si>
  <si>
    <t>36c1ffcd</t>
  </si>
  <si>
    <t>https://ryycrdhlkmzpxwwwwupy.supabase.co/storage/v1/object/public/old_media/36c1ffcd.Path.064616.jpg</t>
  </si>
  <si>
    <t>La Récré Idéale By Ludo à Saint-Joseph, est un restaurant rapide,  situé à proximité de la zone récréative Terrasses</t>
  </si>
  <si>
    <t>95099a73</t>
  </si>
  <si>
    <t>https://ryycrdhlkmzpxwwwwupy.supabase.co/storage/v1/object/public/old_media/95099a73.Path.075218.png</t>
  </si>
  <si>
    <t>9d8913a7</t>
  </si>
  <si>
    <t>https://ryycrdhlkmzpxwwwwupy.supabase.co/storage/v1/object/public/old_media/9d8913a7.Path.104900.jpg</t>
  </si>
  <si>
    <t>3cd48932</t>
  </si>
  <si>
    <t>https://ryycrdhlkmzpxwwwwupy.supabase.co/storage/v1/object/public/old_media/3cd48932.Path.044454.jpg</t>
  </si>
  <si>
    <t>3b6366be</t>
  </si>
  <si>
    <t>https://ryycrdhlkmzpxwwwwupy.supabase.co/storage/v1/object/public/old_media/3b6366be.Path.065148.webp</t>
  </si>
  <si>
    <t>60cebc37</t>
  </si>
  <si>
    <t>https://ryycrdhlkmzpxwwwwupy.supabase.co/storage/v1/object/public/old_media/60cebc37.Path.065215.webp</t>
  </si>
  <si>
    <t>11276fd7</t>
  </si>
  <si>
    <t>https://ryycrdhlkmzpxwwwwupy.supabase.co/storage/v1/object/public/old_media/11276fd7.Path.065242.jpg</t>
  </si>
  <si>
    <t>7c029b96</t>
  </si>
  <si>
    <t>https://ryycrdhlkmzpxwwwwupy.supabase.co/storage/v1/object/public/old_media/7c029b96.Path.065311.webp</t>
  </si>
  <si>
    <t>792cac61</t>
  </si>
  <si>
    <t>https://ryycrdhlkmzpxwwwwupy.supabase.co/storage/v1/object/public/old_media/792cac61.Path.065340.webp</t>
  </si>
  <si>
    <t>5f3cda21</t>
  </si>
  <si>
    <t>https://ryycrdhlkmzpxwwwwupy.supabase.co/storage/v1/object/public/old_media/5f3cda21.Path.065415.webp</t>
  </si>
  <si>
    <t>a651c3b9</t>
  </si>
  <si>
    <t>https://ryycrdhlkmzpxwwwwupy.supabase.co/storage/v1/object/public/old_media/a651c3b9.Path.065504.webp</t>
  </si>
  <si>
    <t>eb30c7c2</t>
  </si>
  <si>
    <t>https://ryycrdhlkmzpxwwwwupy.supabase.co/storage/v1/object/public/old_media/eb30c7c2.Path.075106.jpg</t>
  </si>
  <si>
    <t>bb006cb6</t>
  </si>
  <si>
    <t>https://ryycrdhlkmzpxwwwwupy.supabase.co/storage/v1/object/public/old_media/bb006cb6.Path.075140.jpg</t>
  </si>
  <si>
    <t>7db3235b</t>
  </si>
  <si>
    <t>https://ryycrdhlkmzpxwwwwupy.supabase.co/storage/v1/object/public/old_media/7db3235b.Path.075211.jpg</t>
  </si>
  <si>
    <t>9c33062b</t>
  </si>
  <si>
    <t>https://ryycrdhlkmzpxwwwwupy.supabase.co/storage/v1/object/public/old_media/9c33062b.Path.112400.jpg</t>
  </si>
  <si>
    <t>3529a56b</t>
  </si>
  <si>
    <t>https://ryycrdhlkmzpxwwwwupy.supabase.co/storage/v1/object/public/old_media/3529a56b.Path.112740.png</t>
  </si>
  <si>
    <t>6d7fa594</t>
  </si>
  <si>
    <t>https://ryycrdhlkmzpxwwwwupy.supabase.co/storage/v1/object/public/old_media/6d7fa594.Path.090832.jpg</t>
  </si>
  <si>
    <t>480c6d0d</t>
  </si>
  <si>
    <t>https://ryycrdhlkmzpxwwwwupy.supabase.co/storage/v1/object/public/old_media/480c6d0d.Path.090902.jpg</t>
  </si>
  <si>
    <t>6beb23b9</t>
  </si>
  <si>
    <t>https://ryycrdhlkmzpxwwwwupy.supabase.co/storage/v1/object/public/old_media/6beb23b9.Path.090934.jpg</t>
  </si>
  <si>
    <t>db09fd0c</t>
  </si>
  <si>
    <t>https://ryycrdhlkmzpxwwwwupy.supabase.co/storage/v1/object/public/old_media/db09fd0c.Path.091006.jpg</t>
  </si>
  <si>
    <t>6684ca56</t>
  </si>
  <si>
    <t>https://ryycrdhlkmzpxwwwwupy.supabase.co/storage/v1/object/public/old_media/6684ca56.Path.045044.jpg</t>
  </si>
  <si>
    <t>d7733211</t>
  </si>
  <si>
    <t>https://ryycrdhlkmzpxwwwwupy.supabase.co/storage/v1/object/public/old_media/d7733211.Path.045117.jpg</t>
  </si>
  <si>
    <t>d9657fd6</t>
  </si>
  <si>
    <t>https://ryycrdhlkmzpxwwwwupy.supabase.co/storage/v1/object/public/old_media/d9657fd6.Path.045148.jpg</t>
  </si>
  <si>
    <t>13f45e3b</t>
  </si>
  <si>
    <t>https://ryycrdhlkmzpxwwwwupy.supabase.co/storage/v1/object/public/old_media/13f45e3b.Path.045213.jpg</t>
  </si>
  <si>
    <t>e936ee75</t>
  </si>
  <si>
    <t>https://ryycrdhlkmzpxwwwwupy.supabase.co/storage/v1/object/public/old_media/e936ee75.Path.045239.jpg</t>
  </si>
  <si>
    <t>d37d486e</t>
  </si>
  <si>
    <t>https://ryycrdhlkmzpxwwwwupy.supabase.co/storage/v1/object/public/old_media/d37d486e.Path.050443.jpg</t>
  </si>
  <si>
    <t>ca6a2ae9</t>
  </si>
  <si>
    <t>https://ryycrdhlkmzpxwwwwupy.supabase.co/storage/v1/object/public/old_media/ca6a2ae9.Path.050510.jpg</t>
  </si>
  <si>
    <t>cc00a61a</t>
  </si>
  <si>
    <t>https://ryycrdhlkmzpxwwwwupy.supabase.co/storage/v1/object/public/old_media/cc00a61a.Path.050536.jpg</t>
  </si>
  <si>
    <t>c2afa7c0</t>
  </si>
  <si>
    <t>https://ryycrdhlkmzpxwwwwupy.supabase.co/storage/v1/object/public/old_media/c2afa7c0.Path.051115.jpg</t>
  </si>
  <si>
    <t>bbe4e572</t>
  </si>
  <si>
    <t>https://ryycrdhlkmzpxwwwwupy.supabase.co/storage/v1/object/public/old_media/bbe4e572.Path.053655.jpg</t>
  </si>
  <si>
    <t>c8527231</t>
  </si>
  <si>
    <t>https://ryycrdhlkmzpxwwwwupy.supabase.co/storage/v1/object/public/old_media/c8527231.Path.053727.jpg</t>
  </si>
  <si>
    <t>19868a6a</t>
  </si>
  <si>
    <t>https://ryycrdhlkmzpxwwwwupy.supabase.co/storage/v1/object/public/old_media/19868a6a.Path.053753.jpg</t>
  </si>
  <si>
    <t>7a86db65</t>
  </si>
  <si>
    <t>https://ryycrdhlkmzpxwwwwupy.supabase.co/storage/v1/object/public/old_media/7a86db65.Path.053821.jpg</t>
  </si>
  <si>
    <t>85dc1a67</t>
  </si>
  <si>
    <t>https://ryycrdhlkmzpxwwwwupy.supabase.co/storage/v1/object/public/old_media/85dc1a67.Path.053850.jpg</t>
  </si>
  <si>
    <t>f3ac3db7</t>
  </si>
  <si>
    <t>https://ryycrdhlkmzpxwwwwupy.supabase.co/storage/v1/object/public/old_media/f3ac3db7.Path.064635.jpg</t>
  </si>
  <si>
    <t>65016e2a</t>
  </si>
  <si>
    <t>https://ryycrdhlkmzpxwwwwupy.supabase.co/storage/v1/object/public/old_media/65016e2a.Path.064701.jpg</t>
  </si>
  <si>
    <t>506108a4</t>
  </si>
  <si>
    <t>https://ryycrdhlkmzpxwwwwupy.supabase.co/storage/v1/object/public/old_media/506108a4.Path.064732.jpg</t>
  </si>
  <si>
    <t>b7ac0370</t>
  </si>
  <si>
    <t>https://ryycrdhlkmzpxwwwwupy.supabase.co/storage/v1/object/public/old_media/b7ac0370.Path.070642.jpg</t>
  </si>
  <si>
    <t>a8ea8689</t>
  </si>
  <si>
    <t>https://ryycrdhlkmzpxwwwwupy.supabase.co/storage/v1/object/public/old_media/a8ea8689.Path.070709.jpg</t>
  </si>
  <si>
    <t>a2d822c2</t>
  </si>
  <si>
    <t>https://ryycrdhlkmzpxwwwwupy.supabase.co/storage/v1/object/public/old_media/a2d822c2.Path.070738.jpg</t>
  </si>
  <si>
    <t>b0bcf16d</t>
  </si>
  <si>
    <t>https://ryycrdhlkmzpxwwwwupy.supabase.co/storage/v1/object/public/old_media/b0bcf16d.Path.072817.jpg</t>
  </si>
  <si>
    <t>0d6a8b93</t>
  </si>
  <si>
    <t>https://ryycrdhlkmzpxwwwwupy.supabase.co/storage/v1/object/public/old_media/0d6a8b93.Path.072849.jpg</t>
  </si>
  <si>
    <t>7dc18947</t>
  </si>
  <si>
    <t>https://ryycrdhlkmzpxwwwwupy.supabase.co/storage/v1/object/public/old_media/7dc18947.Path.072918.jpg</t>
  </si>
  <si>
    <t>5c4d3085</t>
  </si>
  <si>
    <t>https://ryycrdhlkmzpxwwwwupy.supabase.co/storage/v1/object/public/old_media/5c4d3085.Path.072952.jpg</t>
  </si>
  <si>
    <t>2927524f</t>
  </si>
  <si>
    <t>https://ryycrdhlkmzpxwwwwupy.supabase.co/storage/v1/object/public/old_media/2927524f.Path.073027.jpg</t>
  </si>
  <si>
    <t>27d8323e</t>
  </si>
  <si>
    <t>https://ryycrdhlkmzpxwwwwupy.supabase.co/storage/v1/object/public/old_media/27d8323e.Path.074832.jpg</t>
  </si>
  <si>
    <t>b6dea38b</t>
  </si>
  <si>
    <t>https://ryycrdhlkmzpxwwwwupy.supabase.co/storage/v1/object/public/old_media/b6dea38b.Path.074901.jpg</t>
  </si>
  <si>
    <t>ef1c9159</t>
  </si>
  <si>
    <t>https://ryycrdhlkmzpxwwwwupy.supabase.co/storage/v1/object/public/old_media/ef1c9159.Path.074925.jpg</t>
  </si>
  <si>
    <t>d8628c14</t>
  </si>
  <si>
    <t>https://ryycrdhlkmzpxwwwwupy.supabase.co/storage/v1/object/public/old_media/d8628c14.Path.074953.jpg</t>
  </si>
  <si>
    <t>432759f7</t>
  </si>
  <si>
    <t>https://ryycrdhlkmzpxwwwwupy.supabase.co/storage/v1/object/public/old_media/432759f7.Path.075019.webp</t>
  </si>
  <si>
    <t>dddac529</t>
  </si>
  <si>
    <t>https://ryycrdhlkmzpxwwwwupy.supabase.co/storage/v1/object/public/old_media/dddac529.Path.091449.jpg</t>
  </si>
  <si>
    <t>32b07df6</t>
  </si>
  <si>
    <t>https://ryycrdhlkmzpxwwwwupy.supabase.co/storage/v1/object/public/old_media/32b07df6.Path.091527.jpg</t>
  </si>
  <si>
    <t>b4663357</t>
  </si>
  <si>
    <t>https://ryycrdhlkmzpxwwwwupy.supabase.co/storage/v1/object/public/old_media/b4663357.Path.091557.jpg</t>
  </si>
  <si>
    <t>87d03b72</t>
  </si>
  <si>
    <t>https://ryycrdhlkmzpxwwwwupy.supabase.co/storage/v1/object/public/old_media/87d03b72.Path.091625.jpg</t>
  </si>
  <si>
    <t>9e60d3f3</t>
  </si>
  <si>
    <t>https://ryycrdhlkmzpxwwwwupy.supabase.co/storage/v1/object/public/old_media/9e60d3f3.Path.091653.jpg</t>
  </si>
  <si>
    <t>6f330b6d</t>
  </si>
  <si>
    <t>https://ryycrdhlkmzpxwwwwupy.supabase.co/storage/v1/object/public/old_media/6f330b6d.Path.091731.jpg</t>
  </si>
  <si>
    <t>83b2fccc</t>
  </si>
  <si>
    <t>https://ryycrdhlkmzpxwwwwupy.supabase.co/storage/v1/object/public/old_media/83b2fccc.Path.091801.jpg</t>
  </si>
  <si>
    <t>3376675f</t>
  </si>
  <si>
    <t>https://ryycrdhlkmzpxwwwwupy.supabase.co/storage/v1/object/public/old_media/3376675f.Path.091830.jpg</t>
  </si>
  <si>
    <t>36f17428</t>
  </si>
  <si>
    <t>https://ryycrdhlkmzpxwwwwupy.supabase.co/storage/v1/object/public/old_media/36f17428.Path.091859.jpg</t>
  </si>
  <si>
    <t>292c14a9</t>
  </si>
  <si>
    <t>https://ryycrdhlkmzpxwwwwupy.supabase.co/storage/v1/object/public/old_media/292c14a9.Path.094111.jpg</t>
  </si>
  <si>
    <t>892143cd</t>
  </si>
  <si>
    <t>https://ryycrdhlkmzpxwwwwupy.supabase.co/storage/v1/object/public/old_media/892143cd.Path.094138.jpg</t>
  </si>
  <si>
    <t>4c32d0ba</t>
  </si>
  <si>
    <t>https://ryycrdhlkmzpxwwwwupy.supabase.co/storage/v1/object/public/old_media/4c32d0ba.Path.094212.jpg</t>
  </si>
  <si>
    <t>a3d50088</t>
  </si>
  <si>
    <t>https://ryycrdhlkmzpxwwwwupy.supabase.co/storage/v1/object/public/old_media/a3d50088.Path.094238.jpg</t>
  </si>
  <si>
    <t>7baa87d2</t>
  </si>
  <si>
    <t>https://ryycrdhlkmzpxwwwwupy.supabase.co/storage/v1/object/public/old_media/7baa87d2.Path.094305.jpg</t>
  </si>
  <si>
    <t>a83ef209</t>
  </si>
  <si>
    <t>https://ryycrdhlkmzpxwwwwupy.supabase.co/storage/v1/object/public/old_media/a83ef209.Path.094440.jpg</t>
  </si>
  <si>
    <t>66ba17de</t>
  </si>
  <si>
    <t>https://ryycrdhlkmzpxwwwwupy.supabase.co/storage/v1/object/public/old_media/66ba17de.Path.094904.jpg</t>
  </si>
  <si>
    <t>53a9070d</t>
  </si>
  <si>
    <t>https://ryycrdhlkmzpxwwwwupy.supabase.co/storage/v1/object/public/old_media/53a9070d.Path.094936.jpg</t>
  </si>
  <si>
    <t>97c5c7b5</t>
  </si>
  <si>
    <t>https://ryycrdhlkmzpxwwwwupy.supabase.co/storage/v1/object/public/old_media/97c5c7b5.Path.095019.jpg</t>
  </si>
  <si>
    <t>8f389563</t>
  </si>
  <si>
    <t>https://ryycrdhlkmzpxwwwwupy.supabase.co/storage/v1/object/public/old_media/8f389563.Path.095050.jpg</t>
  </si>
  <si>
    <t>790e672b</t>
  </si>
  <si>
    <t>https://ryycrdhlkmzpxwwwwupy.supabase.co/storage/v1/object/public/old_media/790e672b.Path.095118.jpg</t>
  </si>
  <si>
    <t>97078703</t>
  </si>
  <si>
    <t>https://ryycrdhlkmzpxwwwwupy.supabase.co/storage/v1/object/public/old_media/97078703.Path.095214.jpg</t>
  </si>
  <si>
    <t>a7ae5c49</t>
  </si>
  <si>
    <t>https://ryycrdhlkmzpxwwwwupy.supabase.co/storage/v1/object/public/old_media/a7ae5c49.Path.095245.jpg</t>
  </si>
  <si>
    <t>b17c8812</t>
  </si>
  <si>
    <t>https://ryycrdhlkmzpxwwwwupy.supabase.co/storage/v1/object/public/old_media/b17c8812.Path.070801.jpg</t>
  </si>
  <si>
    <t>86548abf</t>
  </si>
  <si>
    <t>https://ryycrdhlkmzpxwwwwupy.supabase.co/storage/v1/object/public/old_media/86548abf.Path.070831.jpg</t>
  </si>
  <si>
    <t>d8cb09e0</t>
  </si>
  <si>
    <t>https://ryycrdhlkmzpxwwwwupy.supabase.co/storage/v1/object/public/old_media/d8cb09e0.Path.114611.jpg</t>
  </si>
  <si>
    <t>28da760d</t>
  </si>
  <si>
    <t>https://ryycrdhlkmzpxwwwwupy.supabase.co/storage/v1/object/public/old_media/28da760d.Path.114657.jpg</t>
  </si>
  <si>
    <t>7ab00104</t>
  </si>
  <si>
    <t>https://ryycrdhlkmzpxwwwwupy.supabase.co/storage/v1/object/public/old_media/7ab00104.Path.114728.jpg</t>
  </si>
  <si>
    <t>53240dc7</t>
  </si>
  <si>
    <t>https://ryycrdhlkmzpxwwwwupy.supabase.co/storage/v1/object/public/old_media/53240dc7.Path.114756.jpg</t>
  </si>
  <si>
    <t>5c977466</t>
  </si>
  <si>
    <t>https://ryycrdhlkmzpxwwwwupy.supabase.co/storage/v1/object/public/old_media/5c977466.Path.114825.jpg</t>
  </si>
  <si>
    <t>39fade5f</t>
  </si>
  <si>
    <t>https://ryycrdhlkmzpxwwwwupy.supabase.co/storage/v1/object/public/old_media/39fade5f.Path.115856.jpg</t>
  </si>
  <si>
    <t>11a5f497</t>
  </si>
  <si>
    <t>https://ryycrdhlkmzpxwwwwupy.supabase.co/storage/v1/object/public/old_media/11a5f497.Path.115929.jpg</t>
  </si>
  <si>
    <t>99fd4a36</t>
  </si>
  <si>
    <t>https://ryycrdhlkmzpxwwwwupy.supabase.co/storage/v1/object/public/old_media/99fd4a36.Path.120003.jpg</t>
  </si>
  <si>
    <t>54204053</t>
  </si>
  <si>
    <t>https://ryycrdhlkmzpxwwwwupy.supabase.co/storage/v1/object/public/old_media/54204053.Path.120035.jpg</t>
  </si>
  <si>
    <t>003ef0a3</t>
  </si>
  <si>
    <t>https://ryycrdhlkmzpxwwwwupy.supabase.co/storage/v1/object/public/old_media/003ef0a3.Path.120107.jpg</t>
  </si>
  <si>
    <t>3e9e38e8</t>
  </si>
  <si>
    <t>https://ryycrdhlkmzpxwwwwupy.supabase.co/storage/v1/object/public/old_media/3e9e38e8.Path.070346.webp</t>
  </si>
  <si>
    <t>4283e8e2</t>
  </si>
  <si>
    <t>https://ryycrdhlkmzpxwwwwupy.supabase.co/storage/v1/object/public/old_media/4283e8e2.Path.070418.webp</t>
  </si>
  <si>
    <t>96658d51</t>
  </si>
  <si>
    <t>https://ryycrdhlkmzpxwwwwupy.supabase.co/storage/v1/object/public/old_media/96658d51.Path.070451.webp</t>
  </si>
  <si>
    <t>292ba859</t>
  </si>
  <si>
    <t>https://ryycrdhlkmzpxwwwwupy.supabase.co/storage/v1/object/public/old_media/292ba859.Path.070608.webp</t>
  </si>
  <si>
    <t>c900774a</t>
  </si>
  <si>
    <t>https://ryycrdhlkmzpxwwwwupy.supabase.co/storage/v1/object/public/old_media/c900774a.Path.070641.webp</t>
  </si>
  <si>
    <t>b0c45626</t>
  </si>
  <si>
    <t>https://ryycrdhlkmzpxwwwwupy.supabase.co/storage/v1/object/public/old_media/b0c45626.Path.071016.webp</t>
  </si>
  <si>
    <t>9e7ef852</t>
  </si>
  <si>
    <t>https://ryycrdhlkmzpxwwwwupy.supabase.co/storage/v1/object/public/old_media/9e7ef852.Path.071149.jpg</t>
  </si>
  <si>
    <t>58b3e6eb</t>
  </si>
  <si>
    <t>https://ryycrdhlkmzpxwwwwupy.supabase.co/storage/v1/object/public/old_media/58b3e6eb.Path.075606.jpg</t>
  </si>
  <si>
    <t>8404ec31</t>
  </si>
  <si>
    <t>https://ryycrdhlkmzpxwwwwupy.supabase.co/storage/v1/object/public/old_media/8404ec31.Path.061236.jpg</t>
  </si>
  <si>
    <t>48478641</t>
  </si>
  <si>
    <t>https://ryycrdhlkmzpxwwwwupy.supabase.co/storage/v1/object/public/old_media/48478641.Path.054448.jpg</t>
  </si>
  <si>
    <t>e18f2feb</t>
  </si>
  <si>
    <t>https://ryycrdhlkmzpxwwwwupy.supabase.co/storage/v1/object/public/old_media/e18f2feb.Path.054530.webp</t>
  </si>
  <si>
    <t>9a458868</t>
  </si>
  <si>
    <t>https://ryycrdhlkmzpxwwwwupy.supabase.co/storage/v1/object/public/old_media/9a458868.Path.054638.jpg</t>
  </si>
  <si>
    <t>9f479eb1</t>
  </si>
  <si>
    <t>https://ryycrdhlkmzpxwwwwupy.supabase.co/storage/v1/object/public/old_media/9f479eb1.Path.054836.jpg</t>
  </si>
  <si>
    <t>ff085b38</t>
  </si>
  <si>
    <t>https://ryycrdhlkmzpxwwwwupy.supabase.co/storage/v1/object/public/old_media/ff085b38.Path.054911.jpg</t>
  </si>
  <si>
    <t>397ff627</t>
  </si>
  <si>
    <t>https://ryycrdhlkmzpxwwwwupy.supabase.co/storage/v1/object/public/old_media/397ff627.Path.073103.webp</t>
  </si>
  <si>
    <t>e1506863</t>
  </si>
  <si>
    <t>https://ryycrdhlkmzpxwwwwupy.supabase.co/storage/v1/object/public/old_media/e1506863.Path.073138.jpg</t>
  </si>
  <si>
    <t>9a9a0973</t>
  </si>
  <si>
    <t>https://ryycrdhlkmzpxwwwwupy.supabase.co/storage/v1/object/public/old_media/9a9a0973.Path.073211.jpg</t>
  </si>
  <si>
    <t>6c9942b2</t>
  </si>
  <si>
    <t>https://ryycrdhlkmzpxwwwwupy.supabase.co/storage/v1/object/public/old_media/6c9942b2.Path.073240.jpg</t>
  </si>
  <si>
    <t>e541e318</t>
  </si>
  <si>
    <t>https://ryycrdhlkmzpxwwwwupy.supabase.co/storage/v1/object/public/old_media/e541e318.Path.073307.jpg</t>
  </si>
  <si>
    <t>07e2c745</t>
  </si>
  <si>
    <t>https://ryycrdhlkmzpxwwwwupy.supabase.co/storage/v1/object/public/old_media/07e2c745.Path.073334.webp</t>
  </si>
  <si>
    <t>07231bb0</t>
  </si>
  <si>
    <t>https://ryycrdhlkmzpxwwwwupy.supabase.co/storage/v1/object/public/old_media/07231bb0.Path.101335.jpg</t>
  </si>
  <si>
    <t>0433e6aa</t>
  </si>
  <si>
    <t>https://ryycrdhlkmzpxwwwwupy.supabase.co/storage/v1/object/public/old_media/0433e6aa.Path.104228.webp</t>
  </si>
  <si>
    <t>9b0343fe</t>
  </si>
  <si>
    <t>https://ryycrdhlkmzpxwwwwupy.supabase.co/storage/v1/object/public/old_media/9b0343fe.Path.104255.webp</t>
  </si>
  <si>
    <t>582ab5ac</t>
  </si>
  <si>
    <t>https://ryycrdhlkmzpxwwwwupy.supabase.co/storage/v1/object/public/old_media/582ab5ac.Path.104319.webp</t>
  </si>
  <si>
    <t>093b6723</t>
  </si>
  <si>
    <t>https://ryycrdhlkmzpxwwwwupy.supabase.co/storage/v1/object/public/old_media/093b6723.Path.053825.jpg</t>
  </si>
  <si>
    <t>b9f25fec</t>
  </si>
  <si>
    <t>https://ryycrdhlkmzpxwwwwupy.supabase.co/storage/v1/object/public/old_media/b9f25fec.Path.053859.jpg</t>
  </si>
  <si>
    <t>dd6f127d</t>
  </si>
  <si>
    <t>https://ryycrdhlkmzpxwwwwupy.supabase.co/storage/v1/object/public/old_media/dd6f127d.Path.053933.jpg</t>
  </si>
  <si>
    <t>f697ce76</t>
  </si>
  <si>
    <t>https://ryycrdhlkmzpxwwwwupy.supabase.co/storage/v1/object/public/old_media/f697ce76.Path.054005.jpg</t>
  </si>
  <si>
    <t>c7e9c4a0</t>
  </si>
  <si>
    <t>https://ryycrdhlkmzpxwwwwupy.supabase.co/storage/v1/object/public/old_media/c7e9c4a0.Path.054038.jpg</t>
  </si>
  <si>
    <t>bbdee1c3</t>
  </si>
  <si>
    <t>https://ryycrdhlkmzpxwwwwupy.supabase.co/storage/v1/object/public/old_media/bbdee1c3.Path.054110.jpg</t>
  </si>
  <si>
    <t>d653133f</t>
  </si>
  <si>
    <t>https://ryycrdhlkmzpxwwwwupy.supabase.co/storage/v1/object/public/old_media/d653133f.Path.054139.png</t>
  </si>
  <si>
    <t>5f722673</t>
  </si>
  <si>
    <t>https://ryycrdhlkmzpxwwwwupy.supabase.co/storage/v1/object/public/old_media/5f722673.Path.062623.webp</t>
  </si>
  <si>
    <t>1cead37a</t>
  </si>
  <si>
    <t>https://ryycrdhlkmzpxwwwwupy.supabase.co/storage/v1/object/public/old_media/1cead37a.Path.062652.jpg</t>
  </si>
  <si>
    <t>1baf7875</t>
  </si>
  <si>
    <t>https://ryycrdhlkmzpxwwwwupy.supabase.co/storage/v1/object/public/old_media/1baf7875.Path.062722.webp</t>
  </si>
  <si>
    <t>3a724ab2</t>
  </si>
  <si>
    <t>https://ryycrdhlkmzpxwwwwupy.supabase.co/storage/v1/object/public/old_media/3a724ab2.Path.062747.webp</t>
  </si>
  <si>
    <t>4cfd3a73</t>
  </si>
  <si>
    <t>https://ryycrdhlkmzpxwwwwupy.supabase.co/storage/v1/object/public/old_media/4cfd3a73.Path.062813.jpg</t>
  </si>
  <si>
    <t>72faab2f</t>
  </si>
  <si>
    <t>https://ryycrdhlkmzpxwwwwupy.supabase.co/storage/v1/object/public/old_media/72faab2f.Path.062838.webp</t>
  </si>
  <si>
    <t>27ce33a4</t>
  </si>
  <si>
    <t>https://ryycrdhlkmzpxwwwwupy.supabase.co/storage/v1/object/public/old_media/27ce33a4.Path.113416.jpg</t>
  </si>
  <si>
    <t>d3593e0d</t>
  </si>
  <si>
    <t>https://ryycrdhlkmzpxwwwwupy.supabase.co/storage/v1/object/public/old_media/d3593e0d.Path.062440.jpg</t>
  </si>
  <si>
    <t>f11f2ccf</t>
  </si>
  <si>
    <t>https://ryycrdhlkmzpxwwwwupy.supabase.co/storage/v1/object/public/old_media/f11f2ccf.Path.073919.jpg</t>
  </si>
  <si>
    <t>5a8829a0</t>
  </si>
  <si>
    <t>https://ryycrdhlkmzpxwwwwupy.supabase.co/storage/v1/object/public/old_media/5a8829a0.Path.100129.jpg</t>
  </si>
  <si>
    <t>7122f2f2</t>
  </si>
  <si>
    <t>https://ryycrdhlkmzpxwwwwupy.supabase.co/storage/v1/object/public/old_media/7122f2f2.Path.101431.jpg</t>
  </si>
  <si>
    <t>e21bd2ac</t>
  </si>
  <si>
    <t>https://ryycrdhlkmzpxwwwwupy.supabase.co/storage/v1/object/public/old_media/e21bd2ac.Path.043812.jpg</t>
  </si>
  <si>
    <t>0699fa5f</t>
  </si>
  <si>
    <t>https://ryycrdhlkmzpxwwwwupy.supabase.co/storage/v1/object/public/old_media/0699fa5f.Path.064003.jpg</t>
  </si>
  <si>
    <t>50bd7a65</t>
  </si>
  <si>
    <t>https://ryycrdhlkmzpxwwwwupy.supabase.co/storage/v1/object/public/old_media/50bd7a65.Path.064044.jpg</t>
  </si>
  <si>
    <t>9539ad33</t>
  </si>
  <si>
    <t>https://ryycrdhlkmzpxwwwwupy.supabase.co/storage/v1/object/public/old_media/9539ad33.Path.064249.jpg</t>
  </si>
  <si>
    <t>59de10c7</t>
  </si>
  <si>
    <t>https://ryycrdhlkmzpxwwwwupy.supabase.co/storage/v1/object/public/old_media/59de10c7.Path.064330.jpg</t>
  </si>
  <si>
    <t>ed85203d</t>
  </si>
  <si>
    <t>https://ryycrdhlkmzpxwwwwupy.supabase.co/storage/v1/object/public/old_media/ed85203d.Path.064405.jpg</t>
  </si>
  <si>
    <t>ebd5a5e0</t>
  </si>
  <si>
    <t>https://ryycrdhlkmzpxwwwwupy.supabase.co/storage/v1/object/public/old_media/ebd5a5e0.Path.064445.jpg</t>
  </si>
  <si>
    <t>912c9413</t>
  </si>
  <si>
    <t>https://ryycrdhlkmzpxwwwwupy.supabase.co/storage/v1/object/public/old_media/912c9413.Path.064519.jpg</t>
  </si>
  <si>
    <t>6d600be5</t>
  </si>
  <si>
    <t>https://ryycrdhlkmzpxwwwwupy.supabase.co/storage/v1/object/public/old_media/6d600be5.Path.064548.jpg</t>
  </si>
  <si>
    <t>21f82457</t>
  </si>
  <si>
    <t>https://ryycrdhlkmzpxwwwwupy.supabase.co/storage/v1/object/public/old_media/21f82457.Path.064626.jpg</t>
  </si>
  <si>
    <t>c8023437</t>
  </si>
  <si>
    <t>https://ryycrdhlkmzpxwwwwupy.supabase.co/storage/v1/object/public/old_media/c8023437.Path.043617.jpg</t>
  </si>
  <si>
    <t>a2d87be6</t>
  </si>
  <si>
    <t>https://ryycrdhlkmzpxwwwwupy.supabase.co/storage/v1/object/public/old_media/a2d87be6.Path.043648.jpg</t>
  </si>
  <si>
    <t>af5d4544</t>
  </si>
  <si>
    <t>https://ryycrdhlkmzpxwwwwupy.supabase.co/storage/v1/object/public/old_media/af5d4544.Path.043720.jpg</t>
  </si>
  <si>
    <t>be7b4e44</t>
  </si>
  <si>
    <t>https://ryycrdhlkmzpxwwwwupy.supabase.co/storage/v1/object/public/old_media/be7b4e44.Path.043752.jpg</t>
  </si>
  <si>
    <t>e4d72be9</t>
  </si>
  <si>
    <t>https://ryycrdhlkmzpxwwwwupy.supabase.co/storage/v1/object/public/old_media/e4d72be9.Path.043823.jpg</t>
  </si>
  <si>
    <t>a3d5362d</t>
  </si>
  <si>
    <t>https://ryycrdhlkmzpxwwwwupy.supabase.co/storage/v1/object/public/old_media/a3d5362d.Path.043852.jpg</t>
  </si>
  <si>
    <t>9a11d7af</t>
  </si>
  <si>
    <t>https://ryycrdhlkmzpxwwwwupy.supabase.co/storage/v1/object/public/old_media/9a11d7af.Path.043923.jpg</t>
  </si>
  <si>
    <t>d4e2f98d</t>
  </si>
  <si>
    <t>https://ryycrdhlkmzpxwwwwupy.supabase.co/storage/v1/object/public/old_media/d4e2f98d.Path.055006.jpg</t>
  </si>
  <si>
    <t>73198491</t>
  </si>
  <si>
    <t>https://ryycrdhlkmzpxwwwwupy.supabase.co/storage/v1/object/public/old_media/73198491.Path.072841.png</t>
  </si>
  <si>
    <t>beefbffa</t>
  </si>
  <si>
    <t>https://ryycrdhlkmzpxwwwwupy.supabase.co/storage/v1/object/public/old_media/beefbffa.Path.095653.webp</t>
  </si>
  <si>
    <t>ab45b354</t>
  </si>
  <si>
    <t>https://ryycrdhlkmzpxwwwwupy.supabase.co/storage/v1/object/public/old_media/ab45b354.Path.100052.jpg</t>
  </si>
  <si>
    <t>6248bab7</t>
  </si>
  <si>
    <t>https://ryycrdhlkmzpxwwwwupy.supabase.co/storage/v1/object/public/old_media/6248bab7.Path.100452.webp</t>
  </si>
  <si>
    <t>fab1ec3e</t>
  </si>
  <si>
    <t>https://ryycrdhlkmzpxwwwwupy.supabase.co/storage/v1/object/public/old_media/fab1ec3e.Path.100852.webp</t>
  </si>
  <si>
    <t>2d4fe4a4</t>
  </si>
  <si>
    <t>https://ryycrdhlkmzpxwwwwupy.supabase.co/storage/v1/object/public/old_media/2d4fe4a4.Path.101253.webp</t>
  </si>
  <si>
    <t>d411b5b5</t>
  </si>
  <si>
    <t>https://ryycrdhlkmzpxwwwwupy.supabase.co/storage/v1/object/public/old_media/d411b5b5.Path.101653.jpg</t>
  </si>
  <si>
    <t>831f492b</t>
  </si>
  <si>
    <t>https://ryycrdhlkmzpxwwwwupy.supabase.co/storage/v1/object/public/old_media/831f492b.Path.064542.jpg</t>
  </si>
  <si>
    <t>addb2dd7</t>
  </si>
  <si>
    <t>https://ryycrdhlkmzpxwwwwupy.supabase.co/storage/v1/object/public/old_media/addb2dd7.Path.064613.jpg</t>
  </si>
  <si>
    <t>44eb523c</t>
  </si>
  <si>
    <t>https://ryycrdhlkmzpxwwwwupy.supabase.co/storage/v1/object/public/old_media/44eb523c.Path.064641.jpg</t>
  </si>
  <si>
    <t>646a4553</t>
  </si>
  <si>
    <t>https://ryycrdhlkmzpxwwwwupy.supabase.co/storage/v1/object/public/old_media/646a4553.Path.064709.jpg</t>
  </si>
  <si>
    <t>eb6f00be</t>
  </si>
  <si>
    <t>https://ryycrdhlkmzpxwwwwupy.supabase.co/storage/v1/object/public/old_media/eb6f00be.Path.064905.jpg</t>
  </si>
  <si>
    <t>cca320d0</t>
  </si>
  <si>
    <t>https://ryycrdhlkmzpxwwwwupy.supabase.co/storage/v1/object/public/old_media/cca320d0.Path.062858.png</t>
  </si>
  <si>
    <t>82e6acdc</t>
  </si>
  <si>
    <t>https://ryycrdhlkmzpxwwwwupy.supabase.co/storage/v1/object/public/old_media/82e6acdc.Path.063108.png</t>
  </si>
  <si>
    <t>177d01fa</t>
  </si>
  <si>
    <t>https://ryycrdhlkmzpxwwwwupy.supabase.co/storage/v1/object/public/old_media/177d01fa.Path.063328.png</t>
  </si>
  <si>
    <t>8257bbe6</t>
  </si>
  <si>
    <t>https://ryycrdhlkmzpxwwwwupy.supabase.co/storage/v1/object/public/old_media/8257bbe6.Path.064259.png</t>
  </si>
  <si>
    <t>f5dacccf</t>
  </si>
  <si>
    <t>https://ryycrdhlkmzpxwwwwupy.supabase.co/storage/v1/object/public/old_media/f5dacccf.Path.064605.png</t>
  </si>
  <si>
    <t>e19cfcbe</t>
  </si>
  <si>
    <t>https://ryycrdhlkmzpxwwwwupy.supabase.co/storage/v1/object/public/old_media/e19cfcbe.Path.064847.png</t>
  </si>
  <si>
    <t>82d5b97c</t>
  </si>
  <si>
    <t>https://ryycrdhlkmzpxwwwwupy.supabase.co/storage/v1/object/public/old_media/82d5b97c.Path.065126.jpg</t>
  </si>
  <si>
    <t>d0dcaef8</t>
  </si>
  <si>
    <t>https://ryycrdhlkmzpxwwwwupy.supabase.co/storage/v1/object/public/old_media/d0dcaef8.Path.065631.png</t>
  </si>
  <si>
    <t>70ef1489</t>
  </si>
  <si>
    <t>https://ryycrdhlkmzpxwwwwupy.supabase.co/storage/v1/object/public/old_media/70ef1489.Path.065918.jpg</t>
  </si>
  <si>
    <t>bd32c483</t>
  </si>
  <si>
    <t>https://ryycrdhlkmzpxwwwwupy.supabase.co/storage/v1/object/public/old_media/bd32c483.Path.083031.jpg</t>
  </si>
  <si>
    <t>35951795</t>
  </si>
  <si>
    <t>https://ryycrdhlkmzpxwwwwupy.supabase.co/storage/v1/object/public/old_media/35951795.Path.083117.jpg</t>
  </si>
  <si>
    <t>14d23831</t>
  </si>
  <si>
    <t>https://ryycrdhlkmzpxwwwwupy.supabase.co/storage/v1/object/public/old_media/14d23831.Path.083202.jpg</t>
  </si>
  <si>
    <t>435f490f</t>
  </si>
  <si>
    <t>https://ryycrdhlkmzpxwwwwupy.supabase.co/storage/v1/object/public/old_media/435f490f.Path.083354.webp</t>
  </si>
  <si>
    <t>fb9be858</t>
  </si>
  <si>
    <t>https://ryycrdhlkmzpxwwwwupy.supabase.co/storage/v1/object/public/old_media/fb9be858.Path.083427.jpg</t>
  </si>
  <si>
    <t>bb671958</t>
  </si>
  <si>
    <t>https://ryycrdhlkmzpxwwwwupy.supabase.co/storage/v1/object/public/old_media/bb671958.Path.083508.jpg</t>
  </si>
  <si>
    <t>b3a5dd9d</t>
  </si>
  <si>
    <t>https://ryycrdhlkmzpxwwwwupy.supabase.co/storage/v1/object/public/old_media/b3a5dd9d.Path.083543.jpg</t>
  </si>
  <si>
    <t>e9a7b2d9</t>
  </si>
  <si>
    <t>https://ryycrdhlkmzpxwwwwupy.supabase.co/storage/v1/object/public/old_media/e9a7b2d9.Path.083628.jpg</t>
  </si>
  <si>
    <t>d231a73f</t>
  </si>
  <si>
    <t>https://ryycrdhlkmzpxwwwwupy.supabase.co/storage/v1/object/public/old_media/d231a73f.Path.083749.jpg</t>
  </si>
  <si>
    <t>44bdd5b4</t>
  </si>
  <si>
    <t>https://ryycrdhlkmzpxwwwwupy.supabase.co/storage/v1/object/public/old_media/44bdd5b4.Path.083838.jpg</t>
  </si>
  <si>
    <t>ec35bb68</t>
  </si>
  <si>
    <t>https://ryycrdhlkmzpxwwwwupy.supabase.co/storage/v1/object/public/old_media/ec35bb68.Path.084108.jpg</t>
  </si>
  <si>
    <t>68ac422d</t>
  </si>
  <si>
    <t>https://ryycrdhlkmzpxwwwwupy.supabase.co/storage/v1/object/public/old_media/68ac422d.Path.101257.png</t>
  </si>
  <si>
    <t>ac665e2c</t>
  </si>
  <si>
    <t>https://ryycrdhlkmzpxwwwwupy.supabase.co/storage/v1/object/public/old_media/ac665e2c.Path.101619.jpg</t>
  </si>
  <si>
    <t>a72dae98</t>
  </si>
  <si>
    <t>https://ryycrdhlkmzpxwwwwupy.supabase.co/storage/v1/object/public/old_media/a72dae98.Path.101836.jpg</t>
  </si>
  <si>
    <t>6e0a3726</t>
  </si>
  <si>
    <t>https://ryycrdhlkmzpxwwwwupy.supabase.co/storage/v1/object/public/old_media/6e0a3726.Path.100119.jpg</t>
  </si>
  <si>
    <t>e451dcd3</t>
  </si>
  <si>
    <t>https://ryycrdhlkmzpxwwwwupy.supabase.co/storage/v1/object/public/old_media/e451dcd3.Path.100201.jpg</t>
  </si>
  <si>
    <t>159c1f78</t>
  </si>
  <si>
    <t>https://ryycrdhlkmzpxwwwwupy.supabase.co/storage/v1/object/public/old_media/159c1f78.Path.100234.jpg</t>
  </si>
  <si>
    <t>1b792b9c</t>
  </si>
  <si>
    <t>https://ryycrdhlkmzpxwwwwupy.supabase.co/storage/v1/object/public/old_media/1b792b9c.Path.100650.jpg</t>
  </si>
  <si>
    <t>a1ab33db</t>
  </si>
  <si>
    <t>https://ryycrdhlkmzpxwwwwupy.supabase.co/storage/v1/object/public/old_media/a1ab33db.Path.100722.jpg</t>
  </si>
  <si>
    <t>ded07e5f</t>
  </si>
  <si>
    <t>https://ryycrdhlkmzpxwwwwupy.supabase.co/storage/v1/object/public/old_media/ded07e5f.Path.105134.jpg</t>
  </si>
  <si>
    <t>65a23b7b</t>
  </si>
  <si>
    <t>https://ryycrdhlkmzpxwwwwupy.supabase.co/storage/v1/object/public/old_media/65a23b7b.Path.105211.jpg</t>
  </si>
  <si>
    <t>bb81ec6a</t>
  </si>
  <si>
    <t>https://ryycrdhlkmzpxwwwwupy.supabase.co/storage/v1/object/public/old_media/bb81ec6a.Path.105239.jpg</t>
  </si>
  <si>
    <t>f8c8756b</t>
  </si>
  <si>
    <t>https://ryycrdhlkmzpxwwwwupy.supabase.co/storage/v1/object/public/old_media/f8c8756b.Path.105309.webp</t>
  </si>
  <si>
    <t>390e70b9</t>
  </si>
  <si>
    <t>https://ryycrdhlkmzpxwwwwupy.supabase.co/storage/v1/object/public/old_media/390e70b9.Path.105718.webp</t>
  </si>
  <si>
    <t>dc30e97d</t>
  </si>
  <si>
    <t>https://ryycrdhlkmzpxwwwwupy.supabase.co/storage/v1/object/public/old_media/dc30e97d.Path.114824.webp</t>
  </si>
  <si>
    <t>ea4a7d43</t>
  </si>
  <si>
    <t>https://ryycrdhlkmzpxwwwwupy.supabase.co/storage/v1/object/public/old_media/ea4a7d43.Path.114854.webp</t>
  </si>
  <si>
    <t>38e397df</t>
  </si>
  <si>
    <t>https://ryycrdhlkmzpxwwwwupy.supabase.co/storage/v1/object/public/old_media/38e397df.Path.114922.webp</t>
  </si>
  <si>
    <t>e30fcfc5</t>
  </si>
  <si>
    <t>https://ryycrdhlkmzpxwwwwupy.supabase.co/storage/v1/object/public/old_media/e30fcfc5.Path.114949.webp</t>
  </si>
  <si>
    <t>31392b52</t>
  </si>
  <si>
    <t>https://ryycrdhlkmzpxwwwwupy.supabase.co/storage/v1/object/public/old_media/31392b52.Path.115549.jpg</t>
  </si>
  <si>
    <t>9393dff3</t>
  </si>
  <si>
    <t>https://ryycrdhlkmzpxwwwwupy.supabase.co/storage/v1/object/public/old_media/9393dff3.Path.115617.jpg</t>
  </si>
  <si>
    <t>589d91f2</t>
  </si>
  <si>
    <t>https://ryycrdhlkmzpxwwwwupy.supabase.co/storage/v1/object/public/old_media/589d91f2.Path.115645.jpg</t>
  </si>
  <si>
    <t>b396481f</t>
  </si>
  <si>
    <t>https://ryycrdhlkmzpxwwwwupy.supabase.co/storage/v1/object/public/old_media/b396481f.Path.115714.jpg</t>
  </si>
  <si>
    <t>e9a46357</t>
  </si>
  <si>
    <t>https://ryycrdhlkmzpxwwwwupy.supabase.co/storage/v1/object/public/old_media/e9a46357.Path.112612.jpg</t>
  </si>
  <si>
    <t>db1d9859</t>
  </si>
  <si>
    <t>https://ryycrdhlkmzpxwwwwupy.supabase.co/storage/v1/object/public/old_media/db1d9859.Path.112651.jpg</t>
  </si>
  <si>
    <t>2876aa63</t>
  </si>
  <si>
    <t>https://ryycrdhlkmzpxwwwwupy.supabase.co/storage/v1/object/public/old_media/2876aa63.Path.112732.jpg</t>
  </si>
  <si>
    <t>0679db56</t>
  </si>
  <si>
    <t>https://ryycrdhlkmzpxwwwwupy.supabase.co/storage/v1/object/public/old_media/0679db56.Path.112811.jpg</t>
  </si>
  <si>
    <t>66b02744</t>
  </si>
  <si>
    <t>https://ryycrdhlkmzpxwwwwupy.supabase.co/storage/v1/object/public/old_media/66b02744.Path.112856.jpg</t>
  </si>
  <si>
    <t>d0fc5922</t>
  </si>
  <si>
    <t>https://ryycrdhlkmzpxwwwwupy.supabase.co/storage/v1/object/public/old_media/d0fc5922.Path.112945.jpg</t>
  </si>
  <si>
    <t>cbcce664</t>
  </si>
  <si>
    <t>https://ryycrdhlkmzpxwwwwupy.supabase.co/storage/v1/object/public/old_media/cbcce664.Path.113029.jpg</t>
  </si>
  <si>
    <t>9883af41</t>
  </si>
  <si>
    <t>https://ryycrdhlkmzpxwwwwupy.supabase.co/storage/v1/object/public/old_media/9883af41.Path.113112.jpg</t>
  </si>
  <si>
    <t>3dd31ff4</t>
  </si>
  <si>
    <t>https://ryycrdhlkmzpxwwwwupy.supabase.co/storage/v1/object/public/old_media/3dd31ff4.Path.113459.jpg</t>
  </si>
  <si>
    <t>451f4660</t>
  </si>
  <si>
    <t>https://ryycrdhlkmzpxwwwwupy.supabase.co/storage/v1/object/public/old_media/451f4660.Path.113859.jpg</t>
  </si>
  <si>
    <t>05f60c6a</t>
  </si>
  <si>
    <t>https://ryycrdhlkmzpxwwwwupy.supabase.co/storage/v1/object/public/old_media/05f60c6a.Path.124922.jpg</t>
  </si>
  <si>
    <t>5513bf92</t>
  </si>
  <si>
    <t>https://ryycrdhlkmzpxwwwwupy.supabase.co/storage/v1/object/public/old_media/5513bf92.Path.050226.jpg</t>
  </si>
  <si>
    <t>b90598a1</t>
  </si>
  <si>
    <t>https://ryycrdhlkmzpxwwwwupy.supabase.co/storage/v1/object/public/old_media/b90598a1.Path.050445.jpg</t>
  </si>
  <si>
    <t>fdb113f0</t>
  </si>
  <si>
    <t>https://ryycrdhlkmzpxwwwwupy.supabase.co/storage/v1/object/public/old_media/fdb113f0.Path.055605.jpg</t>
  </si>
  <si>
    <t>5dee3835</t>
  </si>
  <si>
    <t>https://ryycrdhlkmzpxwwwwupy.supabase.co/storage/v1/object/public/old_media/5dee3835.Path.060045.jpg</t>
  </si>
  <si>
    <t>ccebf7c3</t>
  </si>
  <si>
    <t>https://ryycrdhlkmzpxwwwwupy.supabase.co/storage/v1/object/public/old_media/ccebf7c3.Path.060308.jpg</t>
  </si>
  <si>
    <t>5994d22c</t>
  </si>
  <si>
    <t>https://ryycrdhlkmzpxwwwwupy.supabase.co/storage/v1/object/public/old_media/5994d22c.Path.060502.jpg</t>
  </si>
  <si>
    <t>179dbb15</t>
  </si>
  <si>
    <t>https://ryycrdhlkmzpxwwwwupy.supabase.co/storage/v1/object/public/old_media/179dbb15.Path.060704.jpg</t>
  </si>
  <si>
    <t>d430b0b0</t>
  </si>
  <si>
    <t>https://ryycrdhlkmzpxwwwwupy.supabase.co/storage/v1/object/public/old_media/d430b0b0.Path.061015.jpg</t>
  </si>
  <si>
    <t>5d815ae4</t>
  </si>
  <si>
    <t>https://ryycrdhlkmzpxwwwwupy.supabase.co/storage/v1/object/public/old_media/5d815ae4.Path.061135.jpg</t>
  </si>
  <si>
    <t>5f5292cb</t>
  </si>
  <si>
    <t>https://ryycrdhlkmzpxwwwwupy.supabase.co/storage/v1/object/public/old_media/5f5292cb.Path.062024.jpg</t>
  </si>
  <si>
    <t>6105cd14</t>
  </si>
  <si>
    <t>https://ryycrdhlkmzpxwwwwupy.supabase.co/storage/v1/object/public/old_media/6105cd14.Path.062410.jpg</t>
  </si>
  <si>
    <t>be5ea960</t>
  </si>
  <si>
    <t>https://ryycrdhlkmzpxwwwwupy.supabase.co/storage/v1/object/public/old_media/be5ea960.Path.062524.jpg</t>
  </si>
  <si>
    <t>b71bd4a1</t>
  </si>
  <si>
    <t>https://ryycrdhlkmzpxwwwwupy.supabase.co/storage/v1/object/public/old_media/b71bd4a1.Path.062634.jpg</t>
  </si>
  <si>
    <t>67aa4cdb</t>
  </si>
  <si>
    <t>https://ryycrdhlkmzpxwwwwupy.supabase.co/storage/v1/object/public/old_media/67aa4cdb.Path.062842.jpg</t>
  </si>
  <si>
    <t>3f09b4d4</t>
  </si>
  <si>
    <t>https://ryycrdhlkmzpxwwwwupy.supabase.co/storage/v1/object/public/old_media/3f09b4d4.Path.063033.jpg</t>
  </si>
  <si>
    <t>07891b96</t>
  </si>
  <si>
    <t>https://ryycrdhlkmzpxwwwwupy.supabase.co/storage/v1/object/public/old_media/07891b96.Path.063149.jpg</t>
  </si>
  <si>
    <t>6b323bc2</t>
  </si>
  <si>
    <t>https://ryycrdhlkmzpxwwwwupy.supabase.co/storage/v1/object/public/old_media/6b323bc2.Path.063313.jpg</t>
  </si>
  <si>
    <t>3bfb3586</t>
  </si>
  <si>
    <t>https://ryycrdhlkmzpxwwwwupy.supabase.co/storage/v1/object/public/old_media/3bfb3586.Path.063550.png</t>
  </si>
  <si>
    <t>f1ef0f9b</t>
  </si>
  <si>
    <t>https://ryycrdhlkmzpxwwwwupy.supabase.co/storage/v1/object/public/old_media/f1ef0f9b.Path.064139.com.webp</t>
  </si>
  <si>
    <t>e76bec3a</t>
  </si>
  <si>
    <t>https://ryycrdhlkmzpxwwwwupy.supabase.co/storage/v1/object/public/old_media/e76bec3a.Path.064256.jpg</t>
  </si>
  <si>
    <t>e35a0683</t>
  </si>
  <si>
    <t>https://ryycrdhlkmzpxwwwwupy.supabase.co/storage/v1/object/public/old_media/e35a0683.Path.064632.jpg</t>
  </si>
  <si>
    <t>3ac78c54</t>
  </si>
  <si>
    <t>https://ryycrdhlkmzpxwwwwupy.supabase.co/storage/v1/object/public/old_media/3ac78c54.Path.070443.jpg</t>
  </si>
  <si>
    <t>ecc94911</t>
  </si>
  <si>
    <t>https://ryycrdhlkmzpxwwwwupy.supabase.co/storage/v1/object/public/old_media/ecc94911.Path.070712.jpg</t>
  </si>
  <si>
    <t>d1ebb537</t>
  </si>
  <si>
    <t>https://ryycrdhlkmzpxwwwwupy.supabase.co/storage/v1/object/public/old_media/d1ebb537.Path.071038.jpg</t>
  </si>
  <si>
    <t>076cd571</t>
  </si>
  <si>
    <t>https://ryycrdhlkmzpxwwwwupy.supabase.co/storage/v1/object/public/old_media/076cd571.Path.071129.jpg</t>
  </si>
  <si>
    <t>107b81d1</t>
  </si>
  <si>
    <t>https://ryycrdhlkmzpxwwwwupy.supabase.co/storage/v1/object/public/old_media/107b81d1.Path.071411.webp</t>
  </si>
  <si>
    <t>6aede0f8</t>
  </si>
  <si>
    <t>https://ryycrdhlkmzpxwwwwupy.supabase.co/storage/v1/object/public/old_media/6aede0f8.Path.071519.webp</t>
  </si>
  <si>
    <t>46d8f136</t>
  </si>
  <si>
    <t>https://ryycrdhlkmzpxwwwwupy.supabase.co/storage/v1/object/public/old_media/46d8f136.Path.071803.jpg</t>
  </si>
  <si>
    <t>061ddebc</t>
  </si>
  <si>
    <t>https://ryycrdhlkmzpxwwwwupy.supabase.co/storage/v1/object/public/old_media/061ddebc.Path.071919.jpg</t>
  </si>
  <si>
    <t>dbe3af9c</t>
  </si>
  <si>
    <t>https://ryycrdhlkmzpxwwwwupy.supabase.co/storage/v1/object/public/old_media/dbe3af9c.Path.072043.jpg</t>
  </si>
  <si>
    <t>d3bd16fa</t>
  </si>
  <si>
    <t>https://ryycrdhlkmzpxwwwwupy.supabase.co/storage/v1/object/public/old_media/d3bd16fa.Path.072154.jpg</t>
  </si>
  <si>
    <t>cdc1384a</t>
  </si>
  <si>
    <t>https://ryycrdhlkmzpxwwwwupy.supabase.co/storage/v1/object/public/old_media/cdc1384a.Path.072308.jpg</t>
  </si>
  <si>
    <t>d92b6c64</t>
  </si>
  <si>
    <t>https://ryycrdhlkmzpxwwwwupy.supabase.co/storage/v1/object/public/old_media/d92b6c64.Path.072439.jpg</t>
  </si>
  <si>
    <t>485d0c42</t>
  </si>
  <si>
    <t>https://ryycrdhlkmzpxwwwwupy.supabase.co/storage/v1/object/public/old_media/485d0c42.Path.072604.jpg</t>
  </si>
  <si>
    <t>c8fffcb4</t>
  </si>
  <si>
    <t>https://ryycrdhlkmzpxwwwwupy.supabase.co/storage/v1/object/public/old_media/c8fffcb4.Path.072811.png</t>
  </si>
  <si>
    <t>f064805b</t>
  </si>
  <si>
    <t>https://ryycrdhlkmzpxwwwwupy.supabase.co/storage/v1/object/public/old_media/f064805b.Path.072823.webp</t>
  </si>
  <si>
    <t>618a9735</t>
  </si>
  <si>
    <t>https://ryycrdhlkmzpxwwwwupy.supabase.co/storage/v1/object/public/old_media/618a9735.Path.072851.webp</t>
  </si>
  <si>
    <t>4c87ef84</t>
  </si>
  <si>
    <t>https://ryycrdhlkmzpxwwwwupy.supabase.co/storage/v1/object/public/old_media/4c87ef84.Path.072918.webp</t>
  </si>
  <si>
    <t>69b8e436</t>
  </si>
  <si>
    <t>https://ryycrdhlkmzpxwwwwupy.supabase.co/storage/v1/object/public/old_media/69b8e436.Path.072947.webp</t>
  </si>
  <si>
    <t>2ab412d0</t>
  </si>
  <si>
    <t>https://ryycrdhlkmzpxwwwwupy.supabase.co/storage/v1/object/public/old_media/2ab412d0.Path.073015.webp</t>
  </si>
  <si>
    <t>d79a215c</t>
  </si>
  <si>
    <t>https://ryycrdhlkmzpxwwwwupy.supabase.co/storage/v1/object/public/old_media/d79a215c.Path.073044.webp</t>
  </si>
  <si>
    <t>2d26ad90</t>
  </si>
  <si>
    <t>https://ryycrdhlkmzpxwwwwupy.supabase.co/storage/v1/object/public/old_media/2d26ad90.Path.073046.jpg</t>
  </si>
  <si>
    <t>f7908148</t>
  </si>
  <si>
    <t>https://ryycrdhlkmzpxwwwwupy.supabase.co/storage/v1/object/public/old_media/f7908148.Path.073111.webp</t>
  </si>
  <si>
    <t>dd3a3caf</t>
  </si>
  <si>
    <t>https://ryycrdhlkmzpxwwwwupy.supabase.co/storage/v1/object/public/old_media/dd3a3caf.Path.073143.webp</t>
  </si>
  <si>
    <t>2f4c5073</t>
  </si>
  <si>
    <t>https://ryycrdhlkmzpxwwwwupy.supabase.co/storage/v1/object/public/old_media/2f4c5073.Path.073214.webp</t>
  </si>
  <si>
    <t>18f8e7e0</t>
  </si>
  <si>
    <t>https://ryycrdhlkmzpxwwwwupy.supabase.co/storage/v1/object/public/old_media/18f8e7e0.Path.073245.webp</t>
  </si>
  <si>
    <t>292d9e74</t>
  </si>
  <si>
    <t>https://ryycrdhlkmzpxwwwwupy.supabase.co/storage/v1/object/public/old_media/292d9e74.Path.073250.jpg</t>
  </si>
  <si>
    <t>92a8f7b9</t>
  </si>
  <si>
    <t>https://ryycrdhlkmzpxwwwwupy.supabase.co/storage/v1/object/public/old_media/92a8f7b9.Path.073326.webp</t>
  </si>
  <si>
    <t>0204ef36</t>
  </si>
  <si>
    <t>https://ryycrdhlkmzpxwwwwupy.supabase.co/storage/v1/object/public/old_media/0204ef36.Path.073359.webp</t>
  </si>
  <si>
    <t>7892a828</t>
  </si>
  <si>
    <t>https://ryycrdhlkmzpxwwwwupy.supabase.co/storage/v1/object/public/old_media/7892a828.Path.073424.jpg</t>
  </si>
  <si>
    <t>977936db</t>
  </si>
  <si>
    <t>https://ryycrdhlkmzpxwwwwupy.supabase.co/storage/v1/object/public/old_media/977936db.Path.073429.webp</t>
  </si>
  <si>
    <t>264074a1</t>
  </si>
  <si>
    <t>https://ryycrdhlkmzpxwwwwupy.supabase.co/storage/v1/object/public/old_media/264074a1.Path.073500.webp</t>
  </si>
  <si>
    <t>eb9c09ef</t>
  </si>
  <si>
    <t>https://ryycrdhlkmzpxwwwwupy.supabase.co/storage/v1/object/public/old_media/eb9c09ef.Path.073547.jpg</t>
  </si>
  <si>
    <t>3aaf2a6d</t>
  </si>
  <si>
    <t>https://ryycrdhlkmzpxwwwwupy.supabase.co/storage/v1/object/public/old_media/3aaf2a6d.Path.073857.jpg</t>
  </si>
  <si>
    <t>1c8072a3</t>
  </si>
  <si>
    <t>https://ryycrdhlkmzpxwwwwupy.supabase.co/storage/v1/object/public/old_media/1c8072a3.Path.074053.jpg</t>
  </si>
  <si>
    <t>e6eccffa</t>
  </si>
  <si>
    <t>https://ryycrdhlkmzpxwwwwupy.supabase.co/storage/v1/object/public/old_media/e6eccffa.Path.074213.jpg</t>
  </si>
  <si>
    <t>142f120c</t>
  </si>
  <si>
    <t>https://ryycrdhlkmzpxwwwwupy.supabase.co/storage/v1/object/public/old_media/142f120c.Path.074651.jpg</t>
  </si>
  <si>
    <t>c67a6ad6</t>
  </si>
  <si>
    <t>https://ryycrdhlkmzpxwwwwupy.supabase.co/storage/v1/object/public/old_media/c67a6ad6.Path.074900.jpg</t>
  </si>
  <si>
    <t>170e72f1</t>
  </si>
  <si>
    <t>https://ryycrdhlkmzpxwwwwupy.supabase.co/storage/v1/object/public/old_media/170e72f1.Path.075501.jpg</t>
  </si>
  <si>
    <t>ca237fe4</t>
  </si>
  <si>
    <t>https://ryycrdhlkmzpxwwwwupy.supabase.co/storage/v1/object/public/old_media/ca237fe4.Path.075531.jpg</t>
  </si>
  <si>
    <t>9b4ab4b3</t>
  </si>
  <si>
    <t>https://ryycrdhlkmzpxwwwwupy.supabase.co/storage/v1/object/public/old_media/9b4ab4b3.Path.075559.jpg</t>
  </si>
  <si>
    <t>5c456a96</t>
  </si>
  <si>
    <t>https://ryycrdhlkmzpxwwwwupy.supabase.co/storage/v1/object/public/old_media/5c456a96.Path.075629.jpg</t>
  </si>
  <si>
    <t>64a32594</t>
  </si>
  <si>
    <t>https://ryycrdhlkmzpxwwwwupy.supabase.co/storage/v1/object/public/old_media/64a32594.Path.075659.jpg</t>
  </si>
  <si>
    <t>65426289</t>
  </si>
  <si>
    <t>https://ryycrdhlkmzpxwwwwupy.supabase.co/storage/v1/object/public/old_media/65426289.Path.075730.jpg</t>
  </si>
  <si>
    <t>5fca62fe</t>
  </si>
  <si>
    <t>https://ryycrdhlkmzpxwwwwupy.supabase.co/storage/v1/object/public/old_media/5fca62fe.Path.075759.jpg</t>
  </si>
  <si>
    <t>71224cdb</t>
  </si>
  <si>
    <t>https://ryycrdhlkmzpxwwwwupy.supabase.co/storage/v1/object/public/old_media/71224cdb.Path.075829.jpg</t>
  </si>
  <si>
    <t>990bf555</t>
  </si>
  <si>
    <t>https://ryycrdhlkmzpxwwwwupy.supabase.co/storage/v1/object/public/old_media/990bf555.Path.075859.jpg</t>
  </si>
  <si>
    <t>1ce05a30</t>
  </si>
  <si>
    <t>https://ryycrdhlkmzpxwwwwupy.supabase.co/storage/v1/object/public/old_media/1ce05a30.Path.075952.jpg</t>
  </si>
  <si>
    <t>713d4e38</t>
  </si>
  <si>
    <t>https://ryycrdhlkmzpxwwwwupy.supabase.co/storage/v1/object/public/old_media/713d4e38.Path.080028.jpg</t>
  </si>
  <si>
    <t>f6c46686</t>
  </si>
  <si>
    <t>https://ryycrdhlkmzpxwwwwupy.supabase.co/storage/v1/object/public/old_media/f6c46686.Path.080129.jpg</t>
  </si>
  <si>
    <t>36dd388e</t>
  </si>
  <si>
    <t>https://ryycrdhlkmzpxwwwwupy.supabase.co/storage/v1/object/public/old_media/36dd388e.Path.080248.jpg</t>
  </si>
  <si>
    <t>abd68442</t>
  </si>
  <si>
    <t>https://ryycrdhlkmzpxwwwwupy.supabase.co/storage/v1/object/public/old_media/abd68442.Path.080414.jpg</t>
  </si>
  <si>
    <t>93a7fb6b</t>
  </si>
  <si>
    <t>https://ryycrdhlkmzpxwwwwupy.supabase.co/storage/v1/object/public/old_media/93a7fb6b.Path.080537.jpg</t>
  </si>
  <si>
    <t>439eb814</t>
  </si>
  <si>
    <t>https://ryycrdhlkmzpxwwwwupy.supabase.co/storage/v1/object/public/old_media/439eb814.Path.080701.png</t>
  </si>
  <si>
    <t>a871c5bd</t>
  </si>
  <si>
    <t>https://ryycrdhlkmzpxwwwwupy.supabase.co/storage/v1/object/public/old_media/a871c5bd.Path.080813.jpg</t>
  </si>
  <si>
    <t>a81c1cec</t>
  </si>
  <si>
    <t>https://ryycrdhlkmzpxwwwwupy.supabase.co/storage/v1/object/public/old_media/a81c1cec.Path.080928.jpg</t>
  </si>
  <si>
    <t>77ac8a50</t>
  </si>
  <si>
    <t>https://ryycrdhlkmzpxwwwwupy.supabase.co/storage/v1/object/public/old_media/77ac8a50.Path.081046.jpg</t>
  </si>
  <si>
    <t>46c84ffb</t>
  </si>
  <si>
    <t>https://ryycrdhlkmzpxwwwwupy.supabase.co/storage/v1/object/public/old_media/46c84ffb.Path.081610.png</t>
  </si>
  <si>
    <t>19fff51c</t>
  </si>
  <si>
    <t>https://ryycrdhlkmzpxwwwwupy.supabase.co/storage/v1/object/public/old_media/19fff51c.Path.081728.jpg</t>
  </si>
  <si>
    <t>f1a4464e</t>
  </si>
  <si>
    <t>https://ryycrdhlkmzpxwwwwupy.supabase.co/storage/v1/object/public/old_media/f1a4464e.Path.081939.png</t>
  </si>
  <si>
    <t>e6ca94b7</t>
  </si>
  <si>
    <t>https://ryycrdhlkmzpxwwwwupy.supabase.co/storage/v1/object/public/old_media/e6ca94b7.Path.082051.png</t>
  </si>
  <si>
    <t>c0eb2655</t>
  </si>
  <si>
    <t>https://ryycrdhlkmzpxwwwwupy.supabase.co/storage/v1/object/public/old_media/c0eb2655.Path.082315.jpg</t>
  </si>
  <si>
    <t>890dfc9e</t>
  </si>
  <si>
    <t>https://ryycrdhlkmzpxwwwwupy.supabase.co/storage/v1/object/public/old_media/890dfc9e.Path.082748.jpg</t>
  </si>
  <si>
    <t>c0753e85</t>
  </si>
  <si>
    <t>https://ryycrdhlkmzpxwwwwupy.supabase.co/storage/v1/object/public/old_media/c0753e85.Path.083159.jpg</t>
  </si>
  <si>
    <t>0fc22c0d</t>
  </si>
  <si>
    <t>https://ryycrdhlkmzpxwwwwupy.supabase.co/storage/v1/object/public/old_media/0fc22c0d.Path.083416.avif</t>
  </si>
  <si>
    <t>74fb5df9</t>
  </si>
  <si>
    <t>https://ryycrdhlkmzpxwwwwupy.supabase.co/storage/v1/object/public/old_media/74fb5df9.Path.083848.webp</t>
  </si>
  <si>
    <t>09b407a2</t>
  </si>
  <si>
    <t>https://ryycrdhlkmzpxwwwwupy.supabase.co/storage/v1/object/public/old_media/09b407a2.Path.084050.jpg</t>
  </si>
  <si>
    <t>4a2f6a65</t>
  </si>
  <si>
    <t>https://ryycrdhlkmzpxwwwwupy.supabase.co/storage/v1/object/public/old_media/4a2f6a65.Path.084240.jpg</t>
  </si>
  <si>
    <t>ec22ed74</t>
  </si>
  <si>
    <t>https://ryycrdhlkmzpxwwwwupy.supabase.co/storage/v1/object/public/old_media/ec22ed74.Path.084404.jpg</t>
  </si>
  <si>
    <t>e00a2584</t>
  </si>
  <si>
    <t>https://ryycrdhlkmzpxwwwwupy.supabase.co/storage/v1/object/public/old_media/e00a2584.Path.084527.jpg</t>
  </si>
  <si>
    <t>b22a5d45</t>
  </si>
  <si>
    <t>https://ryycrdhlkmzpxwwwwupy.supabase.co/storage/v1/object/public/old_media/b22a5d45.Path.084719.jpg</t>
  </si>
  <si>
    <t>c9c06c01</t>
  </si>
  <si>
    <t>https://ryycrdhlkmzpxwwwwupy.supabase.co/storage/v1/object/public/old_media/c9c06c01.Path.084835.png</t>
  </si>
  <si>
    <t>0d49ccf3</t>
  </si>
  <si>
    <t>https://ryycrdhlkmzpxwwwwupy.supabase.co/storage/v1/object/public/old_media/0d49ccf3.Path.085410.jpg</t>
  </si>
  <si>
    <t>0fff5361</t>
  </si>
  <si>
    <t>https://ryycrdhlkmzpxwwwwupy.supabase.co/storage/v1/object/public/old_media/0fff5361.Path.085610.jpg</t>
  </si>
  <si>
    <t>19d36812</t>
  </si>
  <si>
    <t>https://ryycrdhlkmzpxwwwwupy.supabase.co/storage/v1/object/public/old_media/19d36812.Path.085834.webp</t>
  </si>
  <si>
    <t>101a26ac</t>
  </si>
  <si>
    <t>https://ryycrdhlkmzpxwwwwupy.supabase.co/storage/v1/object/public/old_media/101a26ac.Path.085955.jpg</t>
  </si>
  <si>
    <t>f0878eaf</t>
  </si>
  <si>
    <t>https://ryycrdhlkmzpxwwwwupy.supabase.co/storage/v1/object/public/old_media/f0878eaf.Path.090501.jpg</t>
  </si>
  <si>
    <t>d1574c62</t>
  </si>
  <si>
    <t>https://ryycrdhlkmzpxwwwwupy.supabase.co/storage/v1/object/public/old_media/d1574c62.Path.090528.jpg</t>
  </si>
  <si>
    <t>afa9ab7d</t>
  </si>
  <si>
    <t>https://ryycrdhlkmzpxwwwwupy.supabase.co/storage/v1/object/public/old_media/afa9ab7d.Path.090702.jpg</t>
  </si>
  <si>
    <t>c518948d</t>
  </si>
  <si>
    <t>https://ryycrdhlkmzpxwwwwupy.supabase.co/storage/v1/object/public/old_media/c518948d.Path.090940.avif</t>
  </si>
  <si>
    <t>07c36fea</t>
  </si>
  <si>
    <t>https://ryycrdhlkmzpxwwwwupy.supabase.co/storage/v1/object/public/old_media/07c36fea.Path.092743.jpg</t>
  </si>
  <si>
    <t>014d2174</t>
  </si>
  <si>
    <t>https://ryycrdhlkmzpxwwwwupy.supabase.co/storage/v1/object/public/old_media/014d2174.Path.093127.jpg</t>
  </si>
  <si>
    <t>0d855964</t>
  </si>
  <si>
    <t>https://ryycrdhlkmzpxwwwwupy.supabase.co/storage/v1/object/public/old_media/0d855964.Path.093246.jpg</t>
  </si>
  <si>
    <t>a70f69cb</t>
  </si>
  <si>
    <t>https://ryycrdhlkmzpxwwwwupy.supabase.co/storage/v1/object/public/old_media/a70f69cb.Path.093650.png</t>
  </si>
  <si>
    <t>418dae0a</t>
  </si>
  <si>
    <t>https://ryycrdhlkmzpxwwwwupy.supabase.co/storage/v1/object/public/old_media/418dae0a.Path.094452.jpg</t>
  </si>
  <si>
    <t>7971be9b</t>
  </si>
  <si>
    <t>https://ryycrdhlkmzpxwwwwupy.supabase.co/storage/v1/object/public/old_media/7971be9b.Path.094611.jpg</t>
  </si>
  <si>
    <t>d06764b8</t>
  </si>
  <si>
    <t>https://ryycrdhlkmzpxwwwwupy.supabase.co/storage/v1/object/public/old_media/d06764b8.Path.094736.jpg</t>
  </si>
  <si>
    <t>8e346a5f</t>
  </si>
  <si>
    <t>https://ryycrdhlkmzpxwwwwupy.supabase.co/storage/v1/object/public/old_media/8e346a5f.Path.095013.jpg</t>
  </si>
  <si>
    <t>8120b819</t>
  </si>
  <si>
    <t>https://ryycrdhlkmzpxwwwwupy.supabase.co/storage/v1/object/public/old_media/8120b819.Path.095515.jpg</t>
  </si>
  <si>
    <t>38b95b60</t>
  </si>
  <si>
    <t>https://ryycrdhlkmzpxwwwwupy.supabase.co/storage/v1/object/public/old_media/38b95b60.Path.095720.webp</t>
  </si>
  <si>
    <t>c67f8cd1</t>
  </si>
  <si>
    <t>https://ryycrdhlkmzpxwwwwupy.supabase.co/storage/v1/object/public/old_media/c67f8cd1.Path.100034.jpg</t>
  </si>
  <si>
    <t>93cacd3a</t>
  </si>
  <si>
    <t>https://ryycrdhlkmzpxwwwwupy.supabase.co/storage/v1/object/public/old_media/93cacd3a.Path.100339.jpg</t>
  </si>
  <si>
    <t>cd29476d</t>
  </si>
  <si>
    <t>https://ryycrdhlkmzpxwwwwupy.supabase.co/storage/v1/object/public/old_media/cd29476d.Path.100810.jpg</t>
  </si>
  <si>
    <t>f3639900</t>
  </si>
  <si>
    <t>https://ryycrdhlkmzpxwwwwupy.supabase.co/storage/v1/object/public/old_media/f3639900.Path.101004.jpg</t>
  </si>
  <si>
    <t>4016afbe</t>
  </si>
  <si>
    <t>https://ryycrdhlkmzpxwwwwupy.supabase.co/storage/v1/object/public/old_media/4016afbe.Path.101445.png</t>
  </si>
  <si>
    <t>c1cc5de7</t>
  </si>
  <si>
    <t>https://ryycrdhlkmzpxwwwwupy.supabase.co/storage/v1/object/public/old_media/c1cc5de7.Path.101635.jpg</t>
  </si>
  <si>
    <t>a9d59de2</t>
  </si>
  <si>
    <t>https://ryycrdhlkmzpxwwwwupy.supabase.co/storage/v1/object/public/old_media/a9d59de2.Path.102011.jpg</t>
  </si>
  <si>
    <t>3e4c53e1</t>
  </si>
  <si>
    <t>https://ryycrdhlkmzpxwwwwupy.supabase.co/storage/v1/object/public/old_media/3e4c53e1.Path.113308.jpg</t>
  </si>
  <si>
    <t>68bd71cf</t>
  </si>
  <si>
    <t>https://ryycrdhlkmzpxwwwwupy.supabase.co/storage/v1/object/public/old_media/68bd71cf.Path.113534.jpg</t>
  </si>
  <si>
    <t>e353c8c3</t>
  </si>
  <si>
    <t>https://ryycrdhlkmzpxwwwwupy.supabase.co/storage/v1/object/public/old_media/e353c8c3.Path.113607.jpg</t>
  </si>
  <si>
    <t>428424dd</t>
  </si>
  <si>
    <t>https://ryycrdhlkmzpxwwwwupy.supabase.co/storage/v1/object/public/old_media/428424dd.Path.113756.jpg</t>
  </si>
  <si>
    <t>6794c794</t>
  </si>
  <si>
    <t>https://ryycrdhlkmzpxwwwwupy.supabase.co/storage/v1/object/public/old_media/6794c794.Path.113843.jpg</t>
  </si>
  <si>
    <t>a6b2a290</t>
  </si>
  <si>
    <t>https://ryycrdhlkmzpxwwwwupy.supabase.co/storage/v1/object/public/old_media/a6b2a290.Path.114014.jpg</t>
  </si>
  <si>
    <t>09ccce0a</t>
  </si>
  <si>
    <t>https://ryycrdhlkmzpxwwwwupy.supabase.co/storage/v1/object/public/old_media/09ccce0a.Path.114051.jpg</t>
  </si>
  <si>
    <t>3b46d995</t>
  </si>
  <si>
    <t>https://ryycrdhlkmzpxwwwwupy.supabase.co/storage/v1/object/public/old_media/3b46d995.Path.114124.jpg</t>
  </si>
  <si>
    <t>be08eb15</t>
  </si>
  <si>
    <t>https://ryycrdhlkmzpxwwwwupy.supabase.co/storage/v1/object/public/old_media/be08eb15.Path.114202.jpg</t>
  </si>
  <si>
    <t>e9920819</t>
  </si>
  <si>
    <t>https://ryycrdhlkmzpxwwwwupy.supabase.co/storage/v1/object/public/old_media/e9920819.Path.114322.jpg</t>
  </si>
  <si>
    <t>3f627746</t>
  </si>
  <si>
    <t>https://ryycrdhlkmzpxwwwwupy.supabase.co/storage/v1/object/public/old_media/3f627746.Path.114326.jpg</t>
  </si>
  <si>
    <t>447d395c</t>
  </si>
  <si>
    <t>https://ryycrdhlkmzpxwwwwupy.supabase.co/storage/v1/object/public/old_media/447d395c.Path.114407.webp</t>
  </si>
  <si>
    <t>0c02c817</t>
  </si>
  <si>
    <t>https://ryycrdhlkmzpxwwwwupy.supabase.co/storage/v1/object/public/old_media/0c02c817.Path.114410.jpg</t>
  </si>
  <si>
    <t>06b34b93</t>
  </si>
  <si>
    <t>https://ryycrdhlkmzpxwwwwupy.supabase.co/storage/v1/object/public/old_media/06b34b93.Path.114447.jpg</t>
  </si>
  <si>
    <t>c3d45eb2</t>
  </si>
  <si>
    <t>https://ryycrdhlkmzpxwwwwupy.supabase.co/storage/v1/object/public/old_media/c3d45eb2.Path.114516.jpg</t>
  </si>
  <si>
    <t>6d771c7e</t>
  </si>
  <si>
    <t>https://ryycrdhlkmzpxwwwwupy.supabase.co/storage/v1/object/public/old_media/6d771c7e.Path.114523.jpg</t>
  </si>
  <si>
    <t>d796a60c</t>
  </si>
  <si>
    <t>https://ryycrdhlkmzpxwwwwupy.supabase.co/storage/v1/object/public/old_media/d796a60c.Path.114552.jpg</t>
  </si>
  <si>
    <t>ce0a5536</t>
  </si>
  <si>
    <t>https://ryycrdhlkmzpxwwwwupy.supabase.co/storage/v1/object/public/old_media/ce0a5536.Path.114555.jpg</t>
  </si>
  <si>
    <t>f001e1f1</t>
  </si>
  <si>
    <t>https://ryycrdhlkmzpxwwwwupy.supabase.co/storage/v1/object/public/old_media/f001e1f1.Path.114623.jpg</t>
  </si>
  <si>
    <t>3d31f950</t>
  </si>
  <si>
    <t>https://ryycrdhlkmzpxwwwwupy.supabase.co/storage/v1/object/public/old_media/3d31f950.Path.114653.jpg</t>
  </si>
  <si>
    <t>77504525</t>
  </si>
  <si>
    <t>https://ryycrdhlkmzpxwwwwupy.supabase.co/storage/v1/object/public/old_media/77504525.Path.114720.webp</t>
  </si>
  <si>
    <t>30f6aa9e</t>
  </si>
  <si>
    <t>https://ryycrdhlkmzpxwwwwupy.supabase.co/storage/v1/object/public/old_media/30f6aa9e.Path.114722.jpg</t>
  </si>
  <si>
    <t>67fa2dff</t>
  </si>
  <si>
    <t>https://ryycrdhlkmzpxwwwwupy.supabase.co/storage/v1/object/public/old_media/67fa2dff.Path.114751.jpg</t>
  </si>
  <si>
    <t>1ba98d3c</t>
  </si>
  <si>
    <t>https://ryycrdhlkmzpxwwwwupy.supabase.co/storage/v1/object/public/old_media/1ba98d3c.Path.114753.jpg</t>
  </si>
  <si>
    <t>d053abf2</t>
  </si>
  <si>
    <t>https://ryycrdhlkmzpxwwwwupy.supabase.co/storage/v1/object/public/old_media/d053abf2.Path.114821.jpg</t>
  </si>
  <si>
    <t>a55a1450</t>
  </si>
  <si>
    <t>https://ryycrdhlkmzpxwwwwupy.supabase.co/storage/v1/object/public/old_media/a55a1450.Path.114851.jpg</t>
  </si>
  <si>
    <t>54595235</t>
  </si>
  <si>
    <t>https://ryycrdhlkmzpxwwwwupy.supabase.co/storage/v1/object/public/old_media/54595235.Path.114851.jpg</t>
  </si>
  <si>
    <t>d64a15a6</t>
  </si>
  <si>
    <t>https://ryycrdhlkmzpxwwwwupy.supabase.co/storage/v1/object/public/old_media/d64a15a6.Path.114924.jpg</t>
  </si>
  <si>
    <t>3754426c</t>
  </si>
  <si>
    <t>https://ryycrdhlkmzpxwwwwupy.supabase.co/storage/v1/object/public/old_media/3754426c.Path.114953.jpg</t>
  </si>
  <si>
    <t>5d70bde9</t>
  </si>
  <si>
    <t>https://ryycrdhlkmzpxwwwwupy.supabase.co/storage/v1/object/public/old_media/5d70bde9.Path.115022.jpg</t>
  </si>
  <si>
    <t>6a505650</t>
  </si>
  <si>
    <t>https://ryycrdhlkmzpxwwwwupy.supabase.co/storage/v1/object/public/old_media/6a505650.Path.115040.jpg</t>
  </si>
  <si>
    <t>1d23572c</t>
  </si>
  <si>
    <t>https://ryycrdhlkmzpxwwwwupy.supabase.co/storage/v1/object/public/old_media/1d23572c.Path.115054.jpg</t>
  </si>
  <si>
    <t>16fc5fe1</t>
  </si>
  <si>
    <t>https://ryycrdhlkmzpxwwwwupy.supabase.co/storage/v1/object/public/old_media/16fc5fe1.Path.115113.webp</t>
  </si>
  <si>
    <t>d98bf22a</t>
  </si>
  <si>
    <t>https://ryycrdhlkmzpxwwwwupy.supabase.co/storage/v1/object/public/old_media/d98bf22a.Path.115124.jpg</t>
  </si>
  <si>
    <t>2773ea6c</t>
  </si>
  <si>
    <t>https://ryycrdhlkmzpxwwwwupy.supabase.co/storage/v1/object/public/old_media/2773ea6c.Path.115145.jpg</t>
  </si>
  <si>
    <t>81c874af</t>
  </si>
  <si>
    <t>https://ryycrdhlkmzpxwwwwupy.supabase.co/storage/v1/object/public/old_media/81c874af.Path.115153.jpg</t>
  </si>
  <si>
    <t>635d88be</t>
  </si>
  <si>
    <t>https://ryycrdhlkmzpxwwwwupy.supabase.co/storage/v1/object/public/old_media/635d88be.Path.115755.jpg</t>
  </si>
  <si>
    <t>5322dba2</t>
  </si>
  <si>
    <t>https://ryycrdhlkmzpxwwwwupy.supabase.co/storage/v1/object/public/old_media/5322dba2.Path.115833.jpg</t>
  </si>
  <si>
    <t>dd76fa93</t>
  </si>
  <si>
    <t>https://ryycrdhlkmzpxwwwwupy.supabase.co/storage/v1/object/public/old_media/dd76fa93.Path.115921.jpg</t>
  </si>
  <si>
    <t>4b30f488</t>
  </si>
  <si>
    <t>efdb3d37</t>
  </si>
  <si>
    <t>https://ryycrdhlkmzpxwwwwupy.supabase.co/storage/v1/object/public/old_media/efdb3d37.Path.120401.jpg</t>
  </si>
  <si>
    <t>06bd6c4b</t>
  </si>
  <si>
    <t>https://ryycrdhlkmzpxwwwwupy.supabase.co/storage/v1/object/public/old_media/06bd6c4b.Path.120550.webp</t>
  </si>
  <si>
    <t>23786c12</t>
  </si>
  <si>
    <t>https://ryycrdhlkmzpxwwwwupy.supabase.co/storage/v1/object/public/old_media/23786c12.Path.120649.png</t>
  </si>
  <si>
    <t>68dea347</t>
  </si>
  <si>
    <t>https://ryycrdhlkmzpxwwwwupy.supabase.co/storage/v1/object/public/old_media/68dea347.Path.120727.jpg</t>
  </si>
  <si>
    <t>96f40686</t>
  </si>
  <si>
    <t>https://ryycrdhlkmzpxwwwwupy.supabase.co/storage/v1/object/public/old_media/96f40686.Path.121122.png</t>
  </si>
  <si>
    <t>1120a60c</t>
  </si>
  <si>
    <t>https://ryycrdhlkmzpxwwwwupy.supabase.co/storage/v1/object/public/old_media/1120a60c.Path.121156.webp</t>
  </si>
  <si>
    <t>9fce57be</t>
  </si>
  <si>
    <t>https://ryycrdhlkmzpxwwwwupy.supabase.co/storage/v1/object/public/old_media/9fce57be.Path.121232.jpg</t>
  </si>
  <si>
    <t>1f457597</t>
  </si>
  <si>
    <t>https://ryycrdhlkmzpxwwwwupy.supabase.co/storage/v1/object/public/old_media/1f457597.Path.121307.jpg</t>
  </si>
  <si>
    <t>68fa6b99</t>
  </si>
  <si>
    <t>https://ryycrdhlkmzpxwwwwupy.supabase.co/storage/v1/object/public/old_media/68fa6b99.Path.121445.webp</t>
  </si>
  <si>
    <t>c7075f54</t>
  </si>
  <si>
    <t>https://ryycrdhlkmzpxwwwwupy.supabase.co/storage/v1/object/public/old_media/c7075f54.Path.121520.avif</t>
  </si>
  <si>
    <t>1b0ec80e</t>
  </si>
  <si>
    <t>https://ryycrdhlkmzpxwwwwupy.supabase.co/storage/v1/object/public/old_media/1b0ec80e.Path.121619.jpg</t>
  </si>
  <si>
    <t>fb52acbe</t>
  </si>
  <si>
    <t>https://ryycrdhlkmzpxwwwwupy.supabase.co/storage/v1/object/public/old_media/fb52acbe.Path.121808.jpg</t>
  </si>
  <si>
    <t>61846130</t>
  </si>
  <si>
    <t>https://ryycrdhlkmzpxwwwwupy.supabase.co/storage/v1/object/public/old_media/61846130.Path.121910.png</t>
  </si>
  <si>
    <t>889a717a</t>
  </si>
  <si>
    <t>https://ryycrdhlkmzpxwwwwupy.supabase.co/storage/v1/object/public/old_media/889a717a.Path.121952.jpg</t>
  </si>
  <si>
    <t>fdf26bd4</t>
  </si>
  <si>
    <t>https://ryycrdhlkmzpxwwwwupy.supabase.co/storage/v1/object/public/old_media/fdf26bd4.Path.122415.jpg</t>
  </si>
  <si>
    <t>0640c7f3</t>
  </si>
  <si>
    <t>https://ryycrdhlkmzpxwwwwupy.supabase.co/storage/v1/object/public/old_media/0640c7f3.Path.122517.jpg</t>
  </si>
  <si>
    <t>36b343a1</t>
  </si>
  <si>
    <t>https://ryycrdhlkmzpxwwwwupy.supabase.co/storage/v1/object/public/old_media/36b343a1.Path.122557.jpg</t>
  </si>
  <si>
    <t>2dc1b9aa</t>
  </si>
  <si>
    <t>https://ryycrdhlkmzpxwwwwupy.supabase.co/storage/v1/object/public/old_media/2dc1b9aa.Path.122635.webp</t>
  </si>
  <si>
    <t>d0b49386</t>
  </si>
  <si>
    <t>https://ryycrdhlkmzpxwwwwupy.supabase.co/storage/v1/object/public/old_media/d0b49386.Path.123523.png</t>
  </si>
  <si>
    <t>b7482b85</t>
  </si>
  <si>
    <t>https://ryycrdhlkmzpxwwwwupy.supabase.co/storage/v1/object/public/old_media/b7482b85.Path.123653.jpg</t>
  </si>
  <si>
    <t>670c0f48</t>
  </si>
  <si>
    <t>https://ryycrdhlkmzpxwwwwupy.supabase.co/storage/v1/object/public/old_media/670c0f48.Path.123904.jpg</t>
  </si>
  <si>
    <t>ef1eae91</t>
  </si>
  <si>
    <t>https://ryycrdhlkmzpxwwwwupy.supabase.co/storage/v1/object/public/old_media/ef1eae91.Path.124019.jpg</t>
  </si>
  <si>
    <t>4fcef4b3</t>
  </si>
  <si>
    <t>https://ryycrdhlkmzpxwwwwupy.supabase.co/storage/v1/object/public/old_media/4fcef4b3.Path.124221.png</t>
  </si>
  <si>
    <t>9100c423</t>
  </si>
  <si>
    <t>https://ryycrdhlkmzpxwwwwupy.supabase.co/storage/v1/object/public/old_media/9100c423.Path.124423.png</t>
  </si>
  <si>
    <t>11ed52b0</t>
  </si>
  <si>
    <t>https://ryycrdhlkmzpxwwwwupy.supabase.co/storage/v1/object/public/old_media/11ed52b0.Path.124535.jpg</t>
  </si>
  <si>
    <t>f4241e5d</t>
  </si>
  <si>
    <t>https://ryycrdhlkmzpxwwwwupy.supabase.co/storage/v1/object/public/old_media/f4241e5d.Path.124620.jpg</t>
  </si>
  <si>
    <t>fcd45539</t>
  </si>
  <si>
    <t>https://ryycrdhlkmzpxwwwwupy.supabase.co/storage/v1/object/public/old_media/fcd45539.Path.124656.com.webp</t>
  </si>
  <si>
    <t>210b1006</t>
  </si>
  <si>
    <t>https://ryycrdhlkmzpxwwwwupy.supabase.co/storage/v1/object/public/old_media/210b1006.Path.124813.png</t>
  </si>
  <si>
    <t>cb280815</t>
  </si>
  <si>
    <t>https://ryycrdhlkmzpxwwwwupy.supabase.co/storage/v1/object/public/old_media/cb280815.Path.124911.jpg</t>
  </si>
  <si>
    <t>c6013464</t>
  </si>
  <si>
    <t>https://ryycrdhlkmzpxwwwwupy.supabase.co/storage/v1/object/public/old_media/c6013464.Path.125054.jpg</t>
  </si>
  <si>
    <t>0b8e6d7b</t>
  </si>
  <si>
    <t>https://ryycrdhlkmzpxwwwwupy.supabase.co/storage/v1/object/public/old_media/0b8e6d7b.Path.125129.jpg</t>
  </si>
  <si>
    <t>101a1117</t>
  </si>
  <si>
    <t>https://ryycrdhlkmzpxwwwwupy.supabase.co/storage/v1/object/public/old_media/101a1117.Path.125206.jpg</t>
  </si>
  <si>
    <t>0b7ac300</t>
  </si>
  <si>
    <t>https://ryycrdhlkmzpxwwwwupy.supabase.co/storage/v1/object/public/old_media/0b7ac300.Path.125514.jpg</t>
  </si>
  <si>
    <t>38c95319</t>
  </si>
  <si>
    <t>https://ryycrdhlkmzpxwwwwupy.supabase.co/storage/v1/object/public/old_media/38c95319.Path.142207.jpg</t>
  </si>
  <si>
    <t>566142fb</t>
  </si>
  <si>
    <t>https://ryycrdhlkmzpxwwwwupy.supabase.co/storage/v1/object/public/old_media/566142fb.Path.142305.jpg</t>
  </si>
  <si>
    <t>9a8fd291</t>
  </si>
  <si>
    <t>https://ryycrdhlkmzpxwwwwupy.supabase.co/storage/v1/object/public/old_media/9a8fd291.Path.144503.jpg</t>
  </si>
  <si>
    <t>2cc72e8a</t>
  </si>
  <si>
    <t>https://ryycrdhlkmzpxwwwwupy.supabase.co/storage/v1/object/public/old_media/2cc72e8a.Path.125754.jpg</t>
  </si>
  <si>
    <t>f006f03f</t>
  </si>
  <si>
    <t>https://ryycrdhlkmzpxwwwwupy.supabase.co/storage/v1/object/public/old_media/f006f03f.Path.054652.jpg</t>
  </si>
  <si>
    <t>87856912</t>
  </si>
  <si>
    <t>https://ryycrdhlkmzpxwwwwupy.supabase.co/storage/v1/object/public/old_media/87856912.Path.054726.jpg</t>
  </si>
  <si>
    <t>Nouveau logo</t>
  </si>
  <si>
    <t>cbafee3a</t>
  </si>
  <si>
    <t>https://ryycrdhlkmzpxwwwwupy.supabase.co/storage/v1/object/public/old_media/cbafee3a.Path.064046.jpg</t>
  </si>
  <si>
    <t>9bb79dff</t>
  </si>
  <si>
    <t>https://ryycrdhlkmzpxwwwwupy.supabase.co/storage/v1/object/public/old_media/9bb79dff.Path.073310.jpg</t>
  </si>
  <si>
    <t>5bd336c4</t>
  </si>
  <si>
    <t>https://ryycrdhlkmzpxwwwwupy.supabase.co/storage/v1/object/public/old_media/5bd336c4.Path.073451.jpg</t>
  </si>
  <si>
    <t>dc5791f0</t>
  </si>
  <si>
    <t>https://ryycrdhlkmzpxwwwwupy.supabase.co/storage/v1/object/public/old_media/dc5791f0.Path.110114.webp</t>
  </si>
  <si>
    <t>e5312600</t>
  </si>
  <si>
    <t>https://ryycrdhlkmzpxwwwwupy.supabase.co/storage/v1/object/public/old_media/e5312600.Path.110400.webp</t>
  </si>
  <si>
    <t>b74d4cb5</t>
  </si>
  <si>
    <t>https://ryycrdhlkmzpxwwwwupy.supabase.co/storage/v1/object/public/old_media/b74d4cb5.Path.110948.webp</t>
  </si>
  <si>
    <t>2025a6e3</t>
  </si>
  <si>
    <t>https://ryycrdhlkmzpxwwwwupy.supabase.co/storage/v1/object/public/old_media/2025a6e3.Path.111100.webp</t>
  </si>
  <si>
    <t>af1e3e89</t>
  </si>
  <si>
    <t>https://ryycrdhlkmzpxwwwwupy.supabase.co/storage/v1/object/public/old_media/af1e3e89.Path.111317.webp</t>
  </si>
  <si>
    <t>5b97c92a</t>
  </si>
  <si>
    <t>https://ryycrdhlkmzpxwwwwupy.supabase.co/storage/v1/object/public/old_media/5b97c92a.Path.113327.jpg</t>
  </si>
  <si>
    <t>3a38722a</t>
  </si>
  <si>
    <t>https://ryycrdhlkmzpxwwwwupy.supabase.co/storage/v1/object/public/old_media/3a38722a.Path.113459.jpg</t>
  </si>
  <si>
    <t>18969a63</t>
  </si>
  <si>
    <t>https://ryycrdhlkmzpxwwwwupy.supabase.co/storage/v1/object/public/old_media/18969a63.Path.092333.jpg</t>
  </si>
  <si>
    <t>8751dfb8</t>
  </si>
  <si>
    <t>https://ryycrdhlkmzpxwwwwupy.supabase.co/storage/v1/object/public/old_media/8751dfb8.Path.092403.jpg</t>
  </si>
  <si>
    <t>27b00c3c</t>
  </si>
  <si>
    <t>https://ryycrdhlkmzpxwwwwupy.supabase.co/storage/v1/object/public/old_media/27b00c3c.Path.092434.jpg</t>
  </si>
  <si>
    <t>b5027552</t>
  </si>
  <si>
    <t>https://ryycrdhlkmzpxwwwwupy.supabase.co/storage/v1/object/public/old_media/b5027552.Path.092504.jpg</t>
  </si>
  <si>
    <t>6822dbaa</t>
  </si>
  <si>
    <t>https://ryycrdhlkmzpxwwwwupy.supabase.co/storage/v1/object/public/old_media/6822dbaa.Path.092536.jpg</t>
  </si>
  <si>
    <t>4b8ef78c</t>
  </si>
  <si>
    <t>https://ryycrdhlkmzpxwwwwupy.supabase.co/storage/v1/object/public/old_media/4b8ef78c.Path.092611.jpg</t>
  </si>
  <si>
    <t>0718d883</t>
  </si>
  <si>
    <t>https://ryycrdhlkmzpxwwwwupy.supabase.co/storage/v1/object/public/old_media/0718d883.Path.095143.jpg</t>
  </si>
  <si>
    <t>793e744b</t>
  </si>
  <si>
    <t>https://ryycrdhlkmzpxwwwwupy.supabase.co/storage/v1/object/public/old_media/793e744b.Path.070930.jpg</t>
  </si>
  <si>
    <t>6b1374f7</t>
  </si>
  <si>
    <t>https://ryycrdhlkmzpxwwwwupy.supabase.co/storage/v1/object/public/old_media/6b1374f7.Path.071031.jpg</t>
  </si>
  <si>
    <t>b2260e00</t>
  </si>
  <si>
    <t>https://ryycrdhlkmzpxwwwwupy.supabase.co/storage/v1/object/public/old_media/b2260e00.Path.071127.jpg</t>
  </si>
  <si>
    <t>5fa60d74</t>
  </si>
  <si>
    <t>https://ryycrdhlkmzpxwwwwupy.supabase.co/storage/v1/object/public/old_media/5fa60d74.Path.071552.jpg</t>
  </si>
  <si>
    <t>b1e8cea6</t>
  </si>
  <si>
    <t>https://ryycrdhlkmzpxwwwwupy.supabase.co/storage/v1/object/public/old_media/b1e8cea6.Path.072443.jpg</t>
  </si>
  <si>
    <t>e5a89529</t>
  </si>
  <si>
    <t>https://ryycrdhlkmzpxwwwwupy.supabase.co/storage/v1/object/public/old_media/e5a89529.Path.072525.jpg</t>
  </si>
  <si>
    <t>e56db70e</t>
  </si>
  <si>
    <t>https://ryycrdhlkmzpxwwwwupy.supabase.co/storage/v1/object/public/old_media/e56db70e.Path.075300.jpg</t>
  </si>
  <si>
    <t>0a5e6303</t>
  </si>
  <si>
    <t>https://ryycrdhlkmzpxwwwwupy.supabase.co/storage/v1/object/public/old_media/0a5e6303.Path.075330.jpg</t>
  </si>
  <si>
    <t>67d62ec2</t>
  </si>
  <si>
    <t>https://ryycrdhlkmzpxwwwwupy.supabase.co/storage/v1/object/public/old_media/67d62ec2.Path.103054.jpg</t>
  </si>
  <si>
    <t>d384c617</t>
  </si>
  <si>
    <t>https://ryycrdhlkmzpxwwwwupy.supabase.co/storage/v1/object/public/old_media/d384c617.Path.103129.jpg</t>
  </si>
  <si>
    <t>a1ce130b</t>
  </si>
  <si>
    <t>https://ryycrdhlkmzpxwwwwupy.supabase.co/storage/v1/object/public/old_media/a1ce130b.Path.103201.jpg</t>
  </si>
  <si>
    <t>2607b777</t>
  </si>
  <si>
    <t>https://ryycrdhlkmzpxwwwwupy.supabase.co/storage/v1/object/public/old_media/2607b777.Path.103234.jpg</t>
  </si>
  <si>
    <t>c219903e</t>
  </si>
  <si>
    <t>https://ryycrdhlkmzpxwwwwupy.supabase.co/storage/v1/object/public/old_media/c219903e.Path.051042.jpg</t>
  </si>
  <si>
    <t>92fd492d</t>
  </si>
  <si>
    <t>https://ryycrdhlkmzpxwwwwupy.supabase.co/storage/v1/object/public/old_media/92fd492d.Path.051116.jpg</t>
  </si>
  <si>
    <t>c69ebd8d</t>
  </si>
  <si>
    <t>https://ryycrdhlkmzpxwwwwupy.supabase.co/storage/v1/object/public/old_media/c69ebd8d.Path.051149.jpg</t>
  </si>
  <si>
    <t>7f3da7fd</t>
  </si>
  <si>
    <t>https://ryycrdhlkmzpxwwwwupy.supabase.co/storage/v1/object/public/old_media/7f3da7fd.Path.051228.jpg</t>
  </si>
  <si>
    <t>b683880e</t>
  </si>
  <si>
    <t>https://ryycrdhlkmzpxwwwwupy.supabase.co/storage/v1/object/public/old_media/b683880e.Path.071538.jpg</t>
  </si>
  <si>
    <t>cf468d83</t>
  </si>
  <si>
    <t>https://ryycrdhlkmzpxwwwwupy.supabase.co/storage/v1/object/public/old_media/cf468d83.Path.071614.jpg</t>
  </si>
  <si>
    <t>fc7582df</t>
  </si>
  <si>
    <t>https://ryycrdhlkmzpxwwwwupy.supabase.co/storage/v1/object/public/old_media/fc7582df.Path.071644.jpg</t>
  </si>
  <si>
    <t>293f28bd</t>
  </si>
  <si>
    <t>https://ryycrdhlkmzpxwwwwupy.supabase.co/storage/v1/object/public/old_media/293f28bd.Path.071715.jpg</t>
  </si>
  <si>
    <t>e9411880</t>
  </si>
  <si>
    <t>https://ryycrdhlkmzpxwwwwupy.supabase.co/storage/v1/object/public/old_media/e9411880.Path.072953.jpg</t>
  </si>
  <si>
    <t>7d941e32</t>
  </si>
  <si>
    <t>https://ryycrdhlkmzpxwwwwupy.supabase.co/storage/v1/object/public/old_media/7d941e32.Path.073024.jpg</t>
  </si>
  <si>
    <t>825bfc82</t>
  </si>
  <si>
    <t>https://ryycrdhlkmzpxwwwwupy.supabase.co/storage/v1/object/public/old_media/825bfc82.Path.073102.jpg</t>
  </si>
  <si>
    <t>8c27747e</t>
  </si>
  <si>
    <t>https://ryycrdhlkmzpxwwwwupy.supabase.co/storage/v1/object/public/old_media/8c27747e.Path.073130.jpg</t>
  </si>
  <si>
    <t>69f10fbb</t>
  </si>
  <si>
    <t>https://ryycrdhlkmzpxwwwwupy.supabase.co/storage/v1/object/public/old_media/69f10fbb.Path.113058.jpg</t>
  </si>
  <si>
    <t>22f0c29e</t>
  </si>
  <si>
    <t>https://ryycrdhlkmzpxwwwwupy.supabase.co/storage/v1/object/public/old_media/22f0c29e.Path.113151.jpg</t>
  </si>
  <si>
    <t>e977fbdb</t>
  </si>
  <si>
    <t>https://ryycrdhlkmzpxwwwwupy.supabase.co/storage/v1/object/public/old_media/e977fbdb.Path.113217.jpg</t>
  </si>
  <si>
    <t>ac31c456</t>
  </si>
  <si>
    <t>https://ryycrdhlkmzpxwwwwupy.supabase.co/storage/v1/object/public/old_media/ac31c456.Path.113242.jpg</t>
  </si>
  <si>
    <t>4b4aaf07</t>
  </si>
  <si>
    <t>https://ryycrdhlkmzpxwwwwupy.supabase.co/storage/v1/object/public/old_media/4b4aaf07.Path.113310.jpg</t>
  </si>
  <si>
    <t>768fea62</t>
  </si>
  <si>
    <t>https://ryycrdhlkmzpxwwwwupy.supabase.co/storage/v1/object/public/old_media/768fea62.Path.113337.jpg</t>
  </si>
  <si>
    <t>50f6afc8</t>
  </si>
  <si>
    <t>https://ryycrdhlkmzpxwwwwupy.supabase.co/storage/v1/object/public/old_media/50f6afc8.Path.113409.jpg</t>
  </si>
  <si>
    <t>c48a24fd</t>
  </si>
  <si>
    <t>https://ryycrdhlkmzpxwwwwupy.supabase.co/storage/v1/object/public/old_media/c48a24fd.Path.113440.jpg</t>
  </si>
  <si>
    <t>aa071aea</t>
  </si>
  <si>
    <t>https://ryycrdhlkmzpxwwwwupy.supabase.co/storage/v1/object/public/old_media/aa071aea.Path.113509.jpg</t>
  </si>
  <si>
    <t>3d179f3c</t>
  </si>
  <si>
    <t>https://ryycrdhlkmzpxwwwwupy.supabase.co/storage/v1/object/public/old_media/3d179f3c.Path.113542.jpg</t>
  </si>
  <si>
    <t>f30c8b4c</t>
  </si>
  <si>
    <t>https://ryycrdhlkmzpxwwwwupy.supabase.co/storage/v1/object/public/old_media/f30c8b4c.Path.113708.jpg</t>
  </si>
  <si>
    <t>8c278568</t>
  </si>
  <si>
    <t>https://ryycrdhlkmzpxwwwwupy.supabase.co/storage/v1/object/public/old_media/8c278568.Path.113737.jpg</t>
  </si>
  <si>
    <t>89afff00</t>
  </si>
  <si>
    <t>https://ryycrdhlkmzpxwwwwupy.supabase.co/storage/v1/object/public/old_media/89afff00.Path.113807.jpg</t>
  </si>
  <si>
    <t>f74753d3</t>
  </si>
  <si>
    <t>https://ryycrdhlkmzpxwwwwupy.supabase.co/storage/v1/object/public/old_media/f74753d3.Path.113833.jpg</t>
  </si>
  <si>
    <t>9c68cfb2</t>
  </si>
  <si>
    <t>https://ryycrdhlkmzpxwwwwupy.supabase.co/storage/v1/object/public/old_media/9c68cfb2.Path.113907.jpg</t>
  </si>
  <si>
    <t>e0ef3507</t>
  </si>
  <si>
    <t>https://ryycrdhlkmzpxwwwwupy.supabase.co/storage/v1/object/public/old_media/e0ef3507.Path.114328.jpg</t>
  </si>
  <si>
    <t>78d91c91</t>
  </si>
  <si>
    <t>https://ryycrdhlkmzpxwwwwupy.supabase.co/storage/v1/object/public/old_media/78d91c91.Path.114713.jpg</t>
  </si>
  <si>
    <t>b680ba19</t>
  </si>
  <si>
    <t>https://ryycrdhlkmzpxwwwwupy.supabase.co/storage/v1/object/public/old_media/b680ba19.Path.055324.jpg</t>
  </si>
  <si>
    <t>78b8d487</t>
  </si>
  <si>
    <t>https://ryycrdhlkmzpxwwwwupy.supabase.co/storage/v1/object/public/old_media/78b8d487.Path.055354.jpg</t>
  </si>
  <si>
    <t>c49bc9a5</t>
  </si>
  <si>
    <t>https://ryycrdhlkmzpxwwwwupy.supabase.co/storage/v1/object/public/old_media/c49bc9a5.Path.103139.jpg</t>
  </si>
  <si>
    <t>99a61baa</t>
  </si>
  <si>
    <t>https://ryycrdhlkmzpxwwwwupy.supabase.co/storage/v1/object/public/old_media/99a61baa.Path.103210.jpg</t>
  </si>
  <si>
    <t>cd08cce7</t>
  </si>
  <si>
    <t>https://ryycrdhlkmzpxwwwwupy.supabase.co/storage/v1/object/public/old_media/cd08cce7.Path.103242.jpg</t>
  </si>
  <si>
    <t>55614445</t>
  </si>
  <si>
    <t>https://ryycrdhlkmzpxwwwwupy.supabase.co/storage/v1/object/public/old_media/55614445.Path.041139.jpg</t>
  </si>
  <si>
    <t>a22ae347</t>
  </si>
  <si>
    <t>https://ryycrdhlkmzpxwwwwupy.supabase.co/storage/v1/object/public/old_media/a22ae347.Path.041213.jpg</t>
  </si>
  <si>
    <t>134440ce</t>
  </si>
  <si>
    <t>https://ryycrdhlkmzpxwwwwupy.supabase.co/storage/v1/object/public/old_media/134440ce.Path.043218.jpg</t>
  </si>
  <si>
    <t>fecd7070</t>
  </si>
  <si>
    <t>https://ryycrdhlkmzpxwwwwupy.supabase.co/storage/v1/object/public/old_media/fecd7070.Path.043250.jpg</t>
  </si>
  <si>
    <t>a90835c4</t>
  </si>
  <si>
    <t>https://ryycrdhlkmzpxwwwwupy.supabase.co/storage/v1/object/public/old_media/a90835c4.Path.043324.jpg</t>
  </si>
  <si>
    <t>7ed2c846</t>
  </si>
  <si>
    <t>https://ryycrdhlkmzpxwwwwupy.supabase.co/storage/v1/object/public/old_media/7ed2c846.Path.053836.jpg</t>
  </si>
  <si>
    <t>4a6effc9</t>
  </si>
  <si>
    <t>https://ryycrdhlkmzpxwwwwupy.supabase.co/storage/v1/object/public/old_media/4a6effc9.Path.053905.jpg</t>
  </si>
  <si>
    <t>08654d36</t>
  </si>
  <si>
    <t>https://ryycrdhlkmzpxwwwwupy.supabase.co/storage/v1/object/public/old_media/08654d36.Path.053932.jpg</t>
  </si>
  <si>
    <t>759dcec0</t>
  </si>
  <si>
    <t>https://ryycrdhlkmzpxwwwwupy.supabase.co/storage/v1/object/public/old_media/759dcec0.Path.054004.jpg</t>
  </si>
  <si>
    <t>e90cbad8</t>
  </si>
  <si>
    <t>https://ryycrdhlkmzpxwwwwupy.supabase.co/storage/v1/object/public/old_media/e90cbad8.Path.054035.webp</t>
  </si>
  <si>
    <t>e1a0314b</t>
  </si>
  <si>
    <t>https://ryycrdhlkmzpxwwwwupy.supabase.co/storage/v1/object/public/old_media/e1a0314b.Path.054107.jpg</t>
  </si>
  <si>
    <t>1ecd5e82</t>
  </si>
  <si>
    <t>https://ryycrdhlkmzpxwwwwupy.supabase.co/storage/v1/object/public/old_media/1ecd5e82.Path.064322.tiff</t>
  </si>
  <si>
    <t>b66c4423</t>
  </si>
  <si>
    <t>https://ryycrdhlkmzpxwwwwupy.supabase.co/storage/v1/object/public/old_media/b66c4423.Path.105455.jpg</t>
  </si>
  <si>
    <t>ccb0d9ae</t>
  </si>
  <si>
    <t>https://ryycrdhlkmzpxwwwwupy.supabase.co/storage/v1/object/public/old_media/ccb0d9ae.Path.105526.jpg</t>
  </si>
  <si>
    <t>3891f546</t>
  </si>
  <si>
    <t>https://ryycrdhlkmzpxwwwwupy.supabase.co/storage/v1/object/public/old_media/3891f546.Path.065257.webp</t>
  </si>
  <si>
    <t>d35adab4</t>
  </si>
  <si>
    <t>https://ryycrdhlkmzpxwwwwupy.supabase.co/storage/v1/object/public/old_media/d35adab4.Path.065335.webp</t>
  </si>
  <si>
    <t>a12f91fc</t>
  </si>
  <si>
    <t>https://ryycrdhlkmzpxwwwwupy.supabase.co/storage/v1/object/public/old_media/a12f91fc.Path.065404.webp</t>
  </si>
  <si>
    <t>0c614e2d</t>
  </si>
  <si>
    <t>https://ryycrdhlkmzpxwwwwupy.supabase.co/storage/v1/object/public/old_media/0c614e2d.Path.065439.webp</t>
  </si>
  <si>
    <t>0bf0a8e9</t>
  </si>
  <si>
    <t>https://ryycrdhlkmzpxwwwwupy.supabase.co/storage/v1/object/public/old_media/0bf0a8e9.Path.065644.webp</t>
  </si>
  <si>
    <t>2fbec344</t>
  </si>
  <si>
    <t>https://ryycrdhlkmzpxwwwwupy.supabase.co/storage/v1/object/public/old_media/2fbec344.Path.065717.webp</t>
  </si>
  <si>
    <t>f428e249</t>
  </si>
  <si>
    <t>https://ryycrdhlkmzpxwwwwupy.supabase.co/storage/v1/object/public/old_media/f428e249.Path.065748.webp</t>
  </si>
  <si>
    <t>2e66b325</t>
  </si>
  <si>
    <t>https://ryycrdhlkmzpxwwwwupy.supabase.co/storage/v1/object/public/old_media/2e66b325.Path.065814.webp</t>
  </si>
  <si>
    <t>663339d4</t>
  </si>
  <si>
    <t>https://ryycrdhlkmzpxwwwwupy.supabase.co/storage/v1/object/public/old_media/663339d4.Path.070615.webp</t>
  </si>
  <si>
    <t>ae3cac86</t>
  </si>
  <si>
    <t>https://ryycrdhlkmzpxwwwwupy.supabase.co/storage/v1/object/public/old_media/ae3cac86.Path.070644.webp</t>
  </si>
  <si>
    <t>eb50b37b</t>
  </si>
  <si>
    <t>https://ryycrdhlkmzpxwwwwupy.supabase.co/storage/v1/object/public/old_media/eb50b37b.Path.104856.jpg</t>
  </si>
  <si>
    <t>0efcb8ee</t>
  </si>
  <si>
    <t>https://ryycrdhlkmzpxwwwwupy.supabase.co/storage/v1/object/public/old_media/0efcb8ee.Path.104924.jpg</t>
  </si>
  <si>
    <t>9e2dbd13</t>
  </si>
  <si>
    <t>https://ryycrdhlkmzpxwwwwupy.supabase.co/storage/v1/object/public/old_media/9e2dbd13.Path.105000.jpg</t>
  </si>
  <si>
    <t>75b785f8</t>
  </si>
  <si>
    <t>https://ryycrdhlkmzpxwwwwupy.supabase.co/storage/v1/object/public/old_media/75b785f8.Path.105035.jpg</t>
  </si>
  <si>
    <t>f810dd85</t>
  </si>
  <si>
    <t>https://ryycrdhlkmzpxwwwwupy.supabase.co/storage/v1/object/public/old_media/f810dd85.Path.105214.jpg</t>
  </si>
  <si>
    <t>216551f0</t>
  </si>
  <si>
    <t>https://ryycrdhlkmzpxwwwwupy.supabase.co/storage/v1/object/public/old_media/216551f0.Path.105243.jpg</t>
  </si>
  <si>
    <t>9969e5d9</t>
  </si>
  <si>
    <t>https://ryycrdhlkmzpxwwwwupy.supabase.co/storage/v1/object/public/old_media/9969e5d9.Path.105311.jpg</t>
  </si>
  <si>
    <t>50768951</t>
  </si>
  <si>
    <t>https://ryycrdhlkmzpxwwwwupy.supabase.co/storage/v1/object/public/old_media/50768951.Path.105342.jpg</t>
  </si>
  <si>
    <t>13ebade0</t>
  </si>
  <si>
    <t>https://ryycrdhlkmzpxwwwwupy.supabase.co/storage/v1/object/public/old_media/13ebade0.Path.105410.jpg</t>
  </si>
  <si>
    <t>bfdc92b3</t>
  </si>
  <si>
    <t>https://ryycrdhlkmzpxwwwwupy.supabase.co/storage/v1/object/public/old_media/bfdc92b3.Path.105439.jpg</t>
  </si>
  <si>
    <t>1912ff13</t>
  </si>
  <si>
    <t>https://ryycrdhlkmzpxwwwwupy.supabase.co/storage/v1/object/public/old_media/1912ff13.Path.105508.jpg</t>
  </si>
  <si>
    <t>d67e01d4</t>
  </si>
  <si>
    <t>https://ryycrdhlkmzpxwwwwupy.supabase.co/storage/v1/object/public/old_media/d67e01d4.Path.105536.jpg</t>
  </si>
  <si>
    <t>023f8189</t>
  </si>
  <si>
    <t>https://ryycrdhlkmzpxwwwwupy.supabase.co/storage/v1/object/public/old_media/023f8189.Path.105605.jpg</t>
  </si>
  <si>
    <t>38d2fa57</t>
  </si>
  <si>
    <t>https://ryycrdhlkmzpxwwwwupy.supabase.co/storage/v1/object/public/old_media/38d2fa57.Path.105632.jpg</t>
  </si>
  <si>
    <t>ef7800d4</t>
  </si>
  <si>
    <t>https://ryycrdhlkmzpxwwwwupy.supabase.co/storage/v1/object/public/old_media/ef7800d4.Path.105701.jpg</t>
  </si>
  <si>
    <t>4340644d</t>
  </si>
  <si>
    <t>https://ryycrdhlkmzpxwwwwupy.supabase.co/storage/v1/object/public/old_media/4340644d.Path.105731.jpg</t>
  </si>
  <si>
    <t>47dd0769</t>
  </si>
  <si>
    <t>https://ryycrdhlkmzpxwwwwupy.supabase.co/storage/v1/object/public/old_media/47dd0769.Path.105800.jpg</t>
  </si>
  <si>
    <t>7cdd56b1</t>
  </si>
  <si>
    <t>https://ryycrdhlkmzpxwwwwupy.supabase.co/storage/v1/object/public/old_media/7cdd56b1.Path.105831.jpg</t>
  </si>
  <si>
    <t>e6f3d482</t>
  </si>
  <si>
    <t>https://ryycrdhlkmzpxwwwwupy.supabase.co/storage/v1/object/public/old_media/e6f3d482.Path.105905.jpg</t>
  </si>
  <si>
    <t>6541995c</t>
  </si>
  <si>
    <t>https://ryycrdhlkmzpxwwwwupy.supabase.co/storage/v1/object/public/old_media/6541995c.Path.105936.jpg</t>
  </si>
  <si>
    <t>142a93d6</t>
  </si>
  <si>
    <t>https://ryycrdhlkmzpxwwwwupy.supabase.co/storage/v1/object/public/old_media/142a93d6.Path.110027.jpg</t>
  </si>
  <si>
    <t>76a77261</t>
  </si>
  <si>
    <t>https://ryycrdhlkmzpxwwwwupy.supabase.co/storage/v1/object/public/old_media/76a77261.Path.110058.jpg</t>
  </si>
  <si>
    <t>58112d58</t>
  </si>
  <si>
    <t>https://ryycrdhlkmzpxwwwwupy.supabase.co/storage/v1/object/public/old_media/58112d58.Path.110129.jpg</t>
  </si>
  <si>
    <t>631efd66</t>
  </si>
  <si>
    <t>https://ryycrdhlkmzpxwwwwupy.supabase.co/storage/v1/object/public/old_media/631efd66.Path.110519.jpg</t>
  </si>
  <si>
    <t>35a1821f</t>
  </si>
  <si>
    <t>https://ryycrdhlkmzpxwwwwupy.supabase.co/storage/v1/object/public/old_media/35a1821f.Path.110918.webp</t>
  </si>
  <si>
    <t>8ed52b8f</t>
  </si>
  <si>
    <t>https://ryycrdhlkmzpxwwwwupy.supabase.co/storage/v1/object/public/old_media/8ed52b8f.Path.040955.jpg</t>
  </si>
  <si>
    <t>5e42928e</t>
  </si>
  <si>
    <t>https://ryycrdhlkmzpxwwwwupy.supabase.co/storage/v1/object/public/old_media/5e42928e.Path.041916.jpg</t>
  </si>
  <si>
    <t>87a2f09c</t>
  </si>
  <si>
    <t>https://ryycrdhlkmzpxwwwwupy.supabase.co/storage/v1/object/public/old_media/87a2f09c.Path.041946.jpg</t>
  </si>
  <si>
    <t>3ed0cf53</t>
  </si>
  <si>
    <t>https://ryycrdhlkmzpxwwwwupy.supabase.co/storage/v1/object/public/old_media/3ed0cf53.Path.073048.jpg</t>
  </si>
  <si>
    <t>18d744a9</t>
  </si>
  <si>
    <t>https://ryycrdhlkmzpxwwwwupy.supabase.co/storage/v1/object/public/old_media/18d744a9.Path.073119.jpg</t>
  </si>
  <si>
    <t>b70fb3a0</t>
  </si>
  <si>
    <t>https://ryycrdhlkmzpxwwwwupy.supabase.co/storage/v1/object/public/old_media/b70fb3a0.Path.073200.jpg</t>
  </si>
  <si>
    <t>f6f4ba4c</t>
  </si>
  <si>
    <t>https://ryycrdhlkmzpxwwwwupy.supabase.co/storage/v1/object/public/old_media/f6f4ba4c.Path.073254.jpg</t>
  </si>
  <si>
    <t>bd8ed9b8</t>
  </si>
  <si>
    <t>https://ryycrdhlkmzpxwwwwupy.supabase.co/storage/v1/object/public/old_media/bd8ed9b8.Path.073327.jpg</t>
  </si>
  <si>
    <t>a43e0ba5</t>
  </si>
  <si>
    <t>https://ryycrdhlkmzpxwwwwupy.supabase.co/storage/v1/object/public/old_media/a43e0ba5.Path.073355.jpg</t>
  </si>
  <si>
    <t>3ab858a0</t>
  </si>
  <si>
    <t>https://ryycrdhlkmzpxwwwwupy.supabase.co/storage/v1/object/public/old_media/3ab858a0.Path.043956.jpg</t>
  </si>
  <si>
    <t>0aa91d44</t>
  </si>
  <si>
    <t>https://ryycrdhlkmzpxwwwwupy.supabase.co/storage/v1/object/public/old_media/0aa91d44.Path.044117.jpg</t>
  </si>
  <si>
    <t>6bfab3c7</t>
  </si>
  <si>
    <t>https://ryycrdhlkmzpxwwwwupy.supabase.co/storage/v1/object/public/old_media/6bfab3c7.Path.044238.jpg</t>
  </si>
  <si>
    <t>4d9dce2a</t>
  </si>
  <si>
    <t>https://ryycrdhlkmzpxwwwwupy.supabase.co/storage/v1/object/public/old_media/4d9dce2a.Path.051904.webp</t>
  </si>
  <si>
    <t>02e5051c</t>
  </si>
  <si>
    <t>https://ryycrdhlkmzpxwwwwupy.supabase.co/storage/v1/object/public/old_media/02e5051c.Path.052207.webp</t>
  </si>
  <si>
    <t>74377d2e</t>
  </si>
  <si>
    <t>https://ryycrdhlkmzpxwwwwupy.supabase.co/storage/v1/object/public/old_media/74377d2e.Path.052237.webp</t>
  </si>
  <si>
    <t>7ee17230</t>
  </si>
  <si>
    <t>https://ryycrdhlkmzpxwwwwupy.supabase.co/storage/v1/object/public/old_media/7ee17230.Path.052313.webp</t>
  </si>
  <si>
    <t>77171c3f</t>
  </si>
  <si>
    <t>https://ryycrdhlkmzpxwwwwupy.supabase.co/storage/v1/object/public/old_media/77171c3f.Path.052345.webp</t>
  </si>
  <si>
    <t>30b97705</t>
  </si>
  <si>
    <t>https://ryycrdhlkmzpxwwwwupy.supabase.co/storage/v1/object/public/old_media/30b97705.Path.063625.webp</t>
  </si>
  <si>
    <t>d0dfd39e</t>
  </si>
  <si>
    <t>https://ryycrdhlkmzpxwwwwupy.supabase.co/storage/v1/object/public/old_media/d0dfd39e.Path.063658.webp</t>
  </si>
  <si>
    <t>fe32ed17</t>
  </si>
  <si>
    <t>https://ryycrdhlkmzpxwwwwupy.supabase.co/storage/v1/object/public/old_media/fe32ed17.Path.063735.webp</t>
  </si>
  <si>
    <t>f63f42a3</t>
  </si>
  <si>
    <t>https://ryycrdhlkmzpxwwwwupy.supabase.co/storage/v1/object/public/old_media/f63f42a3.Path.063804.webp</t>
  </si>
  <si>
    <t>c3ea6503</t>
  </si>
  <si>
    <t>https://ryycrdhlkmzpxwwwwupy.supabase.co/storage/v1/object/public/old_media/c3ea6503.Path.101108.webp</t>
  </si>
  <si>
    <t>1a8299d8</t>
  </si>
  <si>
    <t>https://ryycrdhlkmzpxwwwwupy.supabase.co/storage/v1/object/public/old_media/1a8299d8.Path.101146.webp</t>
  </si>
  <si>
    <t>f50b0232</t>
  </si>
  <si>
    <t>https://ryycrdhlkmzpxwwwwupy.supabase.co/storage/v1/object/public/old_media/f50b0232.Path.101214.webp</t>
  </si>
  <si>
    <t>bedcbced</t>
  </si>
  <si>
    <t>https://ryycrdhlkmzpxwwwwupy.supabase.co/storage/v1/object/public/old_media/bedcbced.Path.101242.webp</t>
  </si>
  <si>
    <t>4dde659a</t>
  </si>
  <si>
    <t>https://ryycrdhlkmzpxwwwwupy.supabase.co/storage/v1/object/public/old_media/4dde659a.Path.111829.jpg</t>
  </si>
  <si>
    <t>a9af9ed5</t>
  </si>
  <si>
    <t>https://ryycrdhlkmzpxwwwwupy.supabase.co/storage/v1/object/public/old_media/a9af9ed5.Path.111910.jpg</t>
  </si>
  <si>
    <t>fe13e78e</t>
  </si>
  <si>
    <t>https://ryycrdhlkmzpxwwwwupy.supabase.co/storage/v1/object/public/old_media/fe13e78e.Path.112059.jpg</t>
  </si>
  <si>
    <t>649f9842</t>
  </si>
  <si>
    <t>https://ryycrdhlkmzpxwwwwupy.supabase.co/storage/v1/object/public/old_media/649f9842.Path.113131.jpg</t>
  </si>
  <si>
    <t>b25b2db2</t>
  </si>
  <si>
    <t>https://ryycrdhlkmzpxwwwwupy.supabase.co/storage/v1/object/public/old_media/b25b2db2.Path.060241.jpg</t>
  </si>
  <si>
    <t>9b9c38bb</t>
  </si>
  <si>
    <t>https://ryycrdhlkmzpxwwwwupy.supabase.co/storage/v1/object/public/old_media/9b9c38bb.Path.060315.jpg</t>
  </si>
  <si>
    <t>11d69a4b</t>
  </si>
  <si>
    <t>https://ryycrdhlkmzpxwwwwupy.supabase.co/storage/v1/object/public/old_media/11d69a4b.Path.060350.jpg</t>
  </si>
  <si>
    <t>1b45d4ed</t>
  </si>
  <si>
    <t>https://ryycrdhlkmzpxwwwwupy.supabase.co/storage/v1/object/public/old_media/1b45d4ed.Path.061544.jpg</t>
  </si>
  <si>
    <t>7c01ff81</t>
  </si>
  <si>
    <t>https://ryycrdhlkmzpxwwwwupy.supabase.co/storage/v1/object/public/old_media/7c01ff81.Path.061618.jpg</t>
  </si>
  <si>
    <t>589c5406</t>
  </si>
  <si>
    <t>https://ryycrdhlkmzpxwwwwupy.supabase.co/storage/v1/object/public/old_media/589c5406.Path.061825.jpg</t>
  </si>
  <si>
    <t>b9340279</t>
  </si>
  <si>
    <t>https://ryycrdhlkmzpxwwwwupy.supabase.co/storage/v1/object/public/old_media/b9340279.Path.063545.jpg</t>
  </si>
  <si>
    <t>Salon avec clic clac et Tv connectée</t>
  </si>
  <si>
    <t>8a788402</t>
  </si>
  <si>
    <t>https://ryycrdhlkmzpxwwwwupy.supabase.co/storage/v1/object/public/old_media/8a788402.Path.063613.jpg</t>
  </si>
  <si>
    <t>Jacuzzi pour 2</t>
  </si>
  <si>
    <t>c1b69e28</t>
  </si>
  <si>
    <t>https://ryycrdhlkmzpxwwwwupy.supabase.co/storage/v1/object/public/old_media/c1b69e28.Path.074919.jpg</t>
  </si>
  <si>
    <t>8013a7ed</t>
  </si>
  <si>
    <t>https://ryycrdhlkmzpxwwwwupy.supabase.co/storage/v1/object/public/old_media/8013a7ed.Path.075318.jpg</t>
  </si>
  <si>
    <t>0943c01f</t>
  </si>
  <si>
    <t>https://ryycrdhlkmzpxwwwwupy.supabase.co/storage/v1/object/public/old_media/0943c01f.Path.110704.jpg</t>
  </si>
  <si>
    <t>77fb3ba6</t>
  </si>
  <si>
    <t>https://ryycrdhlkmzpxwwwwupy.supabase.co/storage/v1/object/public/old_media/77fb3ba6.Path.110733.jpg</t>
  </si>
  <si>
    <t>98dcde72</t>
  </si>
  <si>
    <t>https://ryycrdhlkmzpxwwwwupy.supabase.co/storage/v1/object/public/old_media/98dcde72.Path.110800.jpg</t>
  </si>
  <si>
    <t>9c2bab15</t>
  </si>
  <si>
    <t>https://ryycrdhlkmzpxwwwwupy.supabase.co/storage/v1/object/public/old_media/9c2bab15.Path.110829.jpg</t>
  </si>
  <si>
    <t>4fff2cf5</t>
  </si>
  <si>
    <t>https://ryycrdhlkmzpxwwwwupy.supabase.co/storage/v1/object/public/old_media/4fff2cf5.Path.093403.jpg</t>
  </si>
  <si>
    <t>d7c09fab</t>
  </si>
  <si>
    <t>https://ryycrdhlkmzpxwwwwupy.supabase.co/storage/v1/object/public/old_media/d7c09fab.Path.093432.jpg</t>
  </si>
  <si>
    <t>0c853a50</t>
  </si>
  <si>
    <t>https://ryycrdhlkmzpxwwwwupy.supabase.co/storage/v1/object/public/old_media/0c853a50.Path.093459.jpg</t>
  </si>
  <si>
    <t>f48a3d35</t>
  </si>
  <si>
    <t>https://ryycrdhlkmzpxwwwwupy.supabase.co/storage/v1/object/public/old_media/f48a3d35.Path.093526.jpg</t>
  </si>
  <si>
    <t>fde8a768</t>
  </si>
  <si>
    <t>https://ryycrdhlkmzpxwwwwupy.supabase.co/storage/v1/object/public/old_media/fde8a768.Path.093552.jpg</t>
  </si>
  <si>
    <t>3f9bac47</t>
  </si>
  <si>
    <t>https://ryycrdhlkmzpxwwwwupy.supabase.co/storage/v1/object/public/old_media/3f9bac47.Path.094509.webp</t>
  </si>
  <si>
    <t>67d15be2</t>
  </si>
  <si>
    <t>https://ryycrdhlkmzpxwwwwupy.supabase.co/storage/v1/object/public/old_media/67d15be2.Path.094536.webp</t>
  </si>
  <si>
    <t>cf34c0cf</t>
  </si>
  <si>
    <t>https://ryycrdhlkmzpxwwwwupy.supabase.co/storage/v1/object/public/old_media/cf34c0cf.Path.094603.webp</t>
  </si>
  <si>
    <t>5549465f</t>
  </si>
  <si>
    <t>https://ryycrdhlkmzpxwwwwupy.supabase.co/storage/v1/object/public/old_media/5549465f.Path.094630.webp</t>
  </si>
  <si>
    <t>ae5d089f</t>
  </si>
  <si>
    <t>https://ryycrdhlkmzpxwwwwupy.supabase.co/storage/v1/object/public/old_media/ae5d089f.Path.094657.webp</t>
  </si>
  <si>
    <t>3781f147</t>
  </si>
  <si>
    <t>https://ryycrdhlkmzpxwwwwupy.supabase.co/storage/v1/object/public/old_media/3781f147.Path.094722.webp</t>
  </si>
  <si>
    <t>48320421</t>
  </si>
  <si>
    <t>https://ryycrdhlkmzpxwwwwupy.supabase.co/storage/v1/object/public/old_media/48320421.Path.100954.jpg</t>
  </si>
  <si>
    <t>1f72a9d8</t>
  </si>
  <si>
    <t>https://ryycrdhlkmzpxwwwwupy.supabase.co/storage/v1/object/public/old_media/1f72a9d8.Path.101028.jpg</t>
  </si>
  <si>
    <t>349d5364</t>
  </si>
  <si>
    <t>https://ryycrdhlkmzpxwwwwupy.supabase.co/storage/v1/object/public/old_media/349d5364.Path.101739.jpg</t>
  </si>
  <si>
    <t>c0b2717f</t>
  </si>
  <si>
    <t>https://ryycrdhlkmzpxwwwwupy.supabase.co/storage/v1/object/public/old_media/c0b2717f.Path.065342.webp</t>
  </si>
  <si>
    <t>c39e8819</t>
  </si>
  <si>
    <t>https://ryycrdhlkmzpxwwwwupy.supabase.co/storage/v1/object/public/old_media/c39e8819.Path.091032.jpg</t>
  </si>
  <si>
    <t>a0e406a8</t>
  </si>
  <si>
    <t>https://ryycrdhlkmzpxwwwwupy.supabase.co/storage/v1/object/public/old_media/a0e406a8.Path.091102.jpg</t>
  </si>
  <si>
    <t>317bfb4f</t>
  </si>
  <si>
    <t>https://ryycrdhlkmzpxwwwwupy.supabase.co/storage/v1/object/public/old_media/317bfb4f.Path.091135.jpg</t>
  </si>
  <si>
    <t>fcc68132</t>
  </si>
  <si>
    <t>https://ryycrdhlkmzpxwwwwupy.supabase.co/storage/v1/object/public/old_media/fcc68132.Path.091201.jpg</t>
  </si>
  <si>
    <t>8c4c1e7d</t>
  </si>
  <si>
    <t>https://ryycrdhlkmzpxwwwwupy.supabase.co/storage/v1/object/public/old_media/8c4c1e7d.Path.091232.jpg</t>
  </si>
  <si>
    <t>da0892b6</t>
  </si>
  <si>
    <t>https://ryycrdhlkmzpxwwwwupy.supabase.co/storage/v1/object/public/old_media/da0892b6.Path.091302.png</t>
  </si>
  <si>
    <t>6bf1754f</t>
  </si>
  <si>
    <t>https://ryycrdhlkmzpxwwwwupy.supabase.co/storage/v1/object/public/old_media/6bf1754f.Path.075509.jpg</t>
  </si>
  <si>
    <t>cf812e73</t>
  </si>
  <si>
    <t>https://ryycrdhlkmzpxwwwwupy.supabase.co/storage/v1/object/public/old_media/cf812e73.Path.075538.jpg</t>
  </si>
  <si>
    <t>b11cceb0</t>
  </si>
  <si>
    <t>https://ryycrdhlkmzpxwwwwupy.supabase.co/storage/v1/object/public/old_media/b11cceb0.Path.075607.jpg</t>
  </si>
  <si>
    <t>31450a9f</t>
  </si>
  <si>
    <t>https://ryycrdhlkmzpxwwwwupy.supabase.co/storage/v1/object/public/old_media/31450a9f.Path.075639.jpg</t>
  </si>
  <si>
    <t>c661b820</t>
  </si>
  <si>
    <t>https://ryycrdhlkmzpxwwwwupy.supabase.co/storage/v1/object/public/old_media/c661b820.Path.093446.jpg</t>
  </si>
  <si>
    <t>dff708cb</t>
  </si>
  <si>
    <t>https://ryycrdhlkmzpxwwwwupy.supabase.co/storage/v1/object/public/old_media/dff708cb.Path.110155.jpg</t>
  </si>
  <si>
    <t>a3c5a71c</t>
  </si>
  <si>
    <t>https://ryycrdhlkmzpxwwwwupy.supabase.co/storage/v1/object/public/old_media/a3c5a71c.Path.062211.webp</t>
  </si>
  <si>
    <t>5cf671a5</t>
  </si>
  <si>
    <t>https://ryycrdhlkmzpxwwwwupy.supabase.co/storage/v1/object/public/old_media/5cf671a5.Path.062316.webp</t>
  </si>
  <si>
    <t>27057925</t>
  </si>
  <si>
    <t>https://ryycrdhlkmzpxwwwwupy.supabase.co/storage/v1/object/public/old_media/27057925.Path.062352.webp</t>
  </si>
  <si>
    <t>f80ea4d0</t>
  </si>
  <si>
    <t>https://ryycrdhlkmzpxwwwwupy.supabase.co/storage/v1/object/public/old_media/f80ea4d0.Path.062425.jpg</t>
  </si>
  <si>
    <t>843c2b4f</t>
  </si>
  <si>
    <t>https://ryycrdhlkmzpxwwwwupy.supabase.co/storage/v1/object/public/old_media/843c2b4f.Path.062452.webp</t>
  </si>
  <si>
    <t>2c54b2b7</t>
  </si>
  <si>
    <t>https://ryycrdhlkmzpxwwwwupy.supabase.co/storage/v1/object/public/old_media/2c54b2b7.Path.062518.webp</t>
  </si>
  <si>
    <t>f1e82c8a</t>
  </si>
  <si>
    <t>https://ryycrdhlkmzpxwwwwupy.supabase.co/storage/v1/object/public/old_media/f1e82c8a.Path.062544.webp</t>
  </si>
  <si>
    <t>45d7472f</t>
  </si>
  <si>
    <t>https://ryycrdhlkmzpxwwwwupy.supabase.co/storage/v1/object/public/old_media/45d7472f.Path.062609.webp</t>
  </si>
  <si>
    <t>be96a5be</t>
  </si>
  <si>
    <t>https://ryycrdhlkmzpxwwwwupy.supabase.co/storage/v1/object/public/old_media/be96a5be.Path.062636.webp</t>
  </si>
  <si>
    <t>14f9ba95</t>
  </si>
  <si>
    <t>https://ryycrdhlkmzpxwwwwupy.supabase.co/storage/v1/object/public/old_media/14f9ba95.Path.103341.jpg</t>
  </si>
  <si>
    <t>95762eee</t>
  </si>
  <si>
    <t>https://ryycrdhlkmzpxwwwwupy.supabase.co/storage/v1/object/public/old_media/95762eee.Path.103414.jpg</t>
  </si>
  <si>
    <t>8741af43</t>
  </si>
  <si>
    <t>https://ryycrdhlkmzpxwwwwupy.supabase.co/storage/v1/object/public/old_media/8741af43.Path.103452.jpg</t>
  </si>
  <si>
    <t>e96adffe</t>
  </si>
  <si>
    <t>https://ryycrdhlkmzpxwwwwupy.supabase.co/storage/v1/object/public/old_media/e96adffe.Path.103524.jpg</t>
  </si>
  <si>
    <t>fa81302b</t>
  </si>
  <si>
    <t>https://ryycrdhlkmzpxwwwwupy.supabase.co/storage/v1/object/public/old_media/fa81302b.Path.103618.jpg</t>
  </si>
  <si>
    <t>49561298</t>
  </si>
  <si>
    <t>https://ryycrdhlkmzpxwwwwupy.supabase.co/storage/v1/object/public/old_media/49561298.Path.104021.jpg</t>
  </si>
  <si>
    <t>681a7120</t>
  </si>
  <si>
    <t>https://ryycrdhlkmzpxwwwwupy.supabase.co/storage/v1/object/public/old_media/681a7120.Path.104422.jpg</t>
  </si>
  <si>
    <t>bb4d5d82</t>
  </si>
  <si>
    <t>https://ryycrdhlkmzpxwwwwupy.supabase.co/storage/v1/object/public/old_media/bb4d5d82.Path.104828.jpg</t>
  </si>
  <si>
    <t>6d4bbfab</t>
  </si>
  <si>
    <t>https://ryycrdhlkmzpxwwwwupy.supabase.co/storage/v1/object/public/old_media/6d4bbfab.Path.105321.jpg</t>
  </si>
  <si>
    <t>d96a0ed5</t>
  </si>
  <si>
    <t>https://ryycrdhlkmzpxwwwwupy.supabase.co/storage/v1/object/public/old_media/d96a0ed5.Path.105617.jpg</t>
  </si>
  <si>
    <t>fac51b44</t>
  </si>
  <si>
    <t>https://ryycrdhlkmzpxwwwwupy.supabase.co/storage/v1/object/public/old_media/fac51b44.Path.110201.jpg</t>
  </si>
  <si>
    <t>5639febd</t>
  </si>
  <si>
    <t>https://ryycrdhlkmzpxwwwwupy.supabase.co/storage/v1/object/public/old_media/5639febd.Path.110229.jpg</t>
  </si>
  <si>
    <t>37224825</t>
  </si>
  <si>
    <t>https://ryycrdhlkmzpxwwwwupy.supabase.co/storage/v1/object/public/old_media/37224825.Path.110259.jpg</t>
  </si>
  <si>
    <t>c512d8dd</t>
  </si>
  <si>
    <t>https://ryycrdhlkmzpxwwwwupy.supabase.co/storage/v1/object/public/old_media/c512d8dd.Path.110326.jpg</t>
  </si>
  <si>
    <t>fdb064e9</t>
  </si>
  <si>
    <t>https://ryycrdhlkmzpxwwwwupy.supabase.co/storage/v1/object/public/old_media/fdb064e9.Path.110413.jpg</t>
  </si>
  <si>
    <t>61a9a8bf</t>
  </si>
  <si>
    <t>https://ryycrdhlkmzpxwwwwupy.supabase.co/storage/v1/object/public/old_media/61a9a8bf.Path.110444.jpg</t>
  </si>
  <si>
    <t>9d33cdf4</t>
  </si>
  <si>
    <t>https://ryycrdhlkmzpxwwwwupy.supabase.co/storage/v1/object/public/old_media/9d33cdf4.Path.111614.webp</t>
  </si>
  <si>
    <t>Gîte Ty kaz kryst'L</t>
  </si>
  <si>
    <t>669049c2</t>
  </si>
  <si>
    <t>https://ryycrdhlkmzpxwwwwupy.supabase.co/storage/v1/object/public/old_media/669049c2.Path.111748.webp</t>
  </si>
  <si>
    <t>8128247b</t>
  </si>
  <si>
    <t>https://ryycrdhlkmzpxwwwwupy.supabase.co/storage/v1/object/public/old_media/8128247b.Path.111814.webp</t>
  </si>
  <si>
    <t>2fea406c</t>
  </si>
  <si>
    <t>https://ryycrdhlkmzpxwwwwupy.supabase.co/storage/v1/object/public/old_media/2fea406c.Path.111847.webp</t>
  </si>
  <si>
    <t>be2a9d5c</t>
  </si>
  <si>
    <t>https://ryycrdhlkmzpxwwwwupy.supabase.co/storage/v1/object/public/old_media/be2a9d5c.Path.111914.webp</t>
  </si>
  <si>
    <t>La roulotte</t>
  </si>
  <si>
    <t>690ee42e</t>
  </si>
  <si>
    <t>https://ryycrdhlkmzpxwwwwupy.supabase.co/storage/v1/object/public/old_media/690ee42e.Path.111941.webp</t>
  </si>
  <si>
    <t>c5e9ae78</t>
  </si>
  <si>
    <t>https://ryycrdhlkmzpxwwwwupy.supabase.co/storage/v1/object/public/old_media/c5e9ae78.Path.112008.jpg</t>
  </si>
  <si>
    <t>Le chalet kayamb</t>
  </si>
  <si>
    <t>d173336f</t>
  </si>
  <si>
    <t>https://ryycrdhlkmzpxwwwwupy.supabase.co/storage/v1/object/public/old_media/d173336f.Path.112034.webp</t>
  </si>
  <si>
    <t>18a7ee17</t>
  </si>
  <si>
    <t>https://ryycrdhlkmzpxwwwwupy.supabase.co/storage/v1/object/public/old_media/18a7ee17.Path.112114.jpg</t>
  </si>
  <si>
    <t>Petit-Déjeuner</t>
  </si>
  <si>
    <t>ab362207</t>
  </si>
  <si>
    <t>https://ryycrdhlkmzpxwwwwupy.supabase.co/storage/v1/object/public/old_media/ab362207.Path.112625.webp</t>
  </si>
  <si>
    <t>b28d31c6</t>
  </si>
  <si>
    <t>https://ryycrdhlkmzpxwwwwupy.supabase.co/storage/v1/object/public/old_media/b28d31c6.Path.112657.webp</t>
  </si>
  <si>
    <t>daa43f48</t>
  </si>
  <si>
    <t>https://ryycrdhlkmzpxwwwwupy.supabase.co/storage/v1/object/public/old_media/daa43f48.Path.112724.webp</t>
  </si>
  <si>
    <t>6ac16ec2</t>
  </si>
  <si>
    <t>https://ryycrdhlkmzpxwwwwupy.supabase.co/storage/v1/object/public/old_media/6ac16ec2.Path.082147.jpg</t>
  </si>
  <si>
    <t>c892f619</t>
  </si>
  <si>
    <t>https://ryycrdhlkmzpxwwwwupy.supabase.co/storage/v1/object/public/old_media/c892f619.Path.091737.jpg</t>
  </si>
  <si>
    <t>255cb412</t>
  </si>
  <si>
    <t>https://ryycrdhlkmzpxwwwwupy.supabase.co/storage/v1/object/public/old_media/255cb412.Path.091806.jpg</t>
  </si>
  <si>
    <t>725f9cd0</t>
  </si>
  <si>
    <t>https://ryycrdhlkmzpxwwwwupy.supabase.co/storage/v1/object/public/old_media/725f9cd0.Path.091832.jpg</t>
  </si>
  <si>
    <t>374c7239</t>
  </si>
  <si>
    <t>https://ryycrdhlkmzpxwwwwupy.supabase.co/storage/v1/object/public/old_media/374c7239.Path.091900.jpg</t>
  </si>
  <si>
    <t>9411c7f0</t>
  </si>
  <si>
    <t>https://ryycrdhlkmzpxwwwwupy.supabase.co/storage/v1/object/public/old_media/9411c7f0.Path.091928.jpg</t>
  </si>
  <si>
    <t>9759a7a1</t>
  </si>
  <si>
    <t>https://ryycrdhlkmzpxwwwwupy.supabase.co/storage/v1/object/public/old_media/9759a7a1.Path.111018.jpg</t>
  </si>
  <si>
    <t>6fb3baff</t>
  </si>
  <si>
    <t>https://ryycrdhlkmzpxwwwwupy.supabase.co/storage/v1/object/public/old_media/6fb3baff.Path.111048.jpg</t>
  </si>
  <si>
    <t>2f2b4f69</t>
  </si>
  <si>
    <t>https://ryycrdhlkmzpxwwwwupy.supabase.co/storage/v1/object/public/old_media/2f2b4f69.Path.111116.jpg</t>
  </si>
  <si>
    <t>b6af6d60</t>
  </si>
  <si>
    <t>https://ryycrdhlkmzpxwwwwupy.supabase.co/storage/v1/object/public/old_media/b6af6d60.Path.111143.jpg</t>
  </si>
  <si>
    <t>c7ddb6f3</t>
  </si>
  <si>
    <t>https://ryycrdhlkmzpxwwwwupy.supabase.co/storage/v1/object/public/old_media/c7ddb6f3.Path.111209.jpg</t>
  </si>
  <si>
    <t>82cc790e</t>
  </si>
  <si>
    <t>https://ryycrdhlkmzpxwwwwupy.supabase.co/storage/v1/object/public/old_media/82cc790e.Path.111236.jpg</t>
  </si>
  <si>
    <t>d1e41ce9</t>
  </si>
  <si>
    <t>https://ryycrdhlkmzpxwwwwupy.supabase.co/storage/v1/object/public/old_media/d1e41ce9.Path.111302.jpg</t>
  </si>
  <si>
    <t>5d9d9087</t>
  </si>
  <si>
    <t>https://ryycrdhlkmzpxwwwwupy.supabase.co/storage/v1/object/public/old_media/5d9d9087.Path.111327.jpg</t>
  </si>
  <si>
    <t>bb5c3180</t>
  </si>
  <si>
    <t>https://ryycrdhlkmzpxwwwwupy.supabase.co/storage/v1/object/public/old_media/bb5c3180.Path.111354.jpg</t>
  </si>
  <si>
    <t>a862797a</t>
  </si>
  <si>
    <t>https://ryycrdhlkmzpxwwwwupy.supabase.co/storage/v1/object/public/old_media/a862797a.Path.111424.jpg</t>
  </si>
  <si>
    <t>c8e111b6</t>
  </si>
  <si>
    <t>https://ryycrdhlkmzpxwwwwupy.supabase.co/storage/v1/object/public/old_media/c8e111b6.Path.111454.jpg</t>
  </si>
  <si>
    <t>188601ee</t>
  </si>
  <si>
    <t>https://ryycrdhlkmzpxwwwwupy.supabase.co/storage/v1/object/public/old_media/188601ee.Path.111612.jpg</t>
  </si>
  <si>
    <t>da51cfdb</t>
  </si>
  <si>
    <t>https://ryycrdhlkmzpxwwwwupy.supabase.co/storage/v1/object/public/old_media/da51cfdb.Path.111639.jpg</t>
  </si>
  <si>
    <t>01ac4274</t>
  </si>
  <si>
    <t>https://ryycrdhlkmzpxwwwwupy.supabase.co/storage/v1/object/public/old_media/01ac4274.Path.111706.jpg</t>
  </si>
  <si>
    <t>fcc04371</t>
  </si>
  <si>
    <t>https://ryycrdhlkmzpxwwwwupy.supabase.co/storage/v1/object/public/old_media/fcc04371.Path.044619.jpg</t>
  </si>
  <si>
    <t>0cc3051d</t>
  </si>
  <si>
    <t>https://ryycrdhlkmzpxwwwwupy.supabase.co/storage/v1/object/public/old_media/0cc3051d.Path.044827.jpg</t>
  </si>
  <si>
    <t>761125a1</t>
  </si>
  <si>
    <t>https://ryycrdhlkmzpxwwwwupy.supabase.co/storage/v1/object/public/old_media/761125a1.Path.044856.jpg</t>
  </si>
  <si>
    <t>f7e41b58</t>
  </si>
  <si>
    <t>https://ryycrdhlkmzpxwwwwupy.supabase.co/storage/v1/object/public/old_media/f7e41b58.Path.044924.jpg</t>
  </si>
  <si>
    <t>6dc651ee</t>
  </si>
  <si>
    <t>https://ryycrdhlkmzpxwwwwupy.supabase.co/storage/v1/object/public/old_media/6dc651ee.Path.044952.jpg</t>
  </si>
  <si>
    <t>57a3e70e</t>
  </si>
  <si>
    <t>https://ryycrdhlkmzpxwwwwupy.supabase.co/storage/v1/object/public/old_media/57a3e70e.Path.054614.jpg</t>
  </si>
  <si>
    <t>811eeb2b</t>
  </si>
  <si>
    <t>https://ryycrdhlkmzpxwwwwupy.supabase.co/storage/v1/object/public/old_media/811eeb2b.Path.054644.jpg</t>
  </si>
  <si>
    <t>337bdbf6</t>
  </si>
  <si>
    <t>https://ryycrdhlkmzpxwwwwupy.supabase.co/storage/v1/object/public/old_media/337bdbf6.Path.054722.png</t>
  </si>
  <si>
    <t>0048294e</t>
  </si>
  <si>
    <t>https://ryycrdhlkmzpxwwwwupy.supabase.co/storage/v1/object/public/old_media/0048294e.Path.054750.jpg</t>
  </si>
  <si>
    <t>021be3f7</t>
  </si>
  <si>
    <t>https://ryycrdhlkmzpxwwwwupy.supabase.co/storage/v1/object/public/old_media/021be3f7.Path.054826.png</t>
  </si>
  <si>
    <t>9be81ede</t>
  </si>
  <si>
    <t>https://ryycrdhlkmzpxwwwwupy.supabase.co/storage/v1/object/public/old_media/9be81ede.Path.065200.webp</t>
  </si>
  <si>
    <t>7bd60d38</t>
  </si>
  <si>
    <t>https://ryycrdhlkmzpxwwwwupy.supabase.co/storage/v1/object/public/old_media/7bd60d38.Path.065656.webp</t>
  </si>
  <si>
    <t>84faeb15</t>
  </si>
  <si>
    <t>https://ryycrdhlkmzpxwwwwupy.supabase.co/storage/v1/object/public/old_media/84faeb15.Path.065726.webp</t>
  </si>
  <si>
    <t>1fda7822</t>
  </si>
  <si>
    <t>https://ryycrdhlkmzpxwwwwupy.supabase.co/storage/v1/object/public/old_media/1fda7822.Path.055528.jpg</t>
  </si>
  <si>
    <t>e5950d7a</t>
  </si>
  <si>
    <t>https://ryycrdhlkmzpxwwwwupy.supabase.co/storage/v1/object/public/old_media/e5950d7a.Path.055603.jpg</t>
  </si>
  <si>
    <t>3f51823d</t>
  </si>
  <si>
    <t>https://ryycrdhlkmzpxwwwwupy.supabase.co/storage/v1/object/public/old_media/3f51823d.Path.061824.jpg</t>
  </si>
  <si>
    <t>ea6724ac</t>
  </si>
  <si>
    <t>https://ryycrdhlkmzpxwwwwupy.supabase.co/storage/v1/object/public/old_media/ea6724ac.Path.061855.jpg</t>
  </si>
  <si>
    <t>ba1795e7</t>
  </si>
  <si>
    <t>https://ryycrdhlkmzpxwwwwupy.supabase.co/storage/v1/object/public/old_media/ba1795e7.Path.061924.jpg</t>
  </si>
  <si>
    <t>33b02f34</t>
  </si>
  <si>
    <t>https://ryycrdhlkmzpxwwwwupy.supabase.co/storage/v1/object/public/old_media/33b02f34.Path.061955.jpg</t>
  </si>
  <si>
    <t>593f702c</t>
  </si>
  <si>
    <t>https://ryycrdhlkmzpxwwwwupy.supabase.co/storage/v1/object/public/old_media/593f702c.Path.110913.jpg</t>
  </si>
  <si>
    <t>f4f74bc0</t>
  </si>
  <si>
    <t>https://ryycrdhlkmzpxwwwwupy.supabase.co/storage/v1/object/public/old_media/f4f74bc0.Path.111022.jpg</t>
  </si>
  <si>
    <t>b0f790b3</t>
  </si>
  <si>
    <t>https://ryycrdhlkmzpxwwwwupy.supabase.co/storage/v1/object/public/old_media/b0f790b3.Path.111129.jpg</t>
  </si>
  <si>
    <t>2750cf45</t>
  </si>
  <si>
    <t>https://ryycrdhlkmzpxwwwwupy.supabase.co/storage/v1/object/public/old_media/2750cf45.Path.041122.jpg</t>
  </si>
  <si>
    <t>f1832458</t>
  </si>
  <si>
    <t>https://ryycrdhlkmzpxwwwwupy.supabase.co/storage/v1/object/public/old_media/f1832458.Path.041258.jpg</t>
  </si>
  <si>
    <t>ba6d4f5a</t>
  </si>
  <si>
    <t>https://ryycrdhlkmzpxwwwwupy.supabase.co/storage/v1/object/public/old_media/ba6d4f5a.Path.041736.jpg</t>
  </si>
  <si>
    <t>2ac50ede</t>
  </si>
  <si>
    <t>https://ryycrdhlkmzpxwwwwupy.supabase.co/storage/v1/object/public/old_media/2ac50ede.Path.041853.jpg</t>
  </si>
  <si>
    <t>c9c06bc7</t>
  </si>
  <si>
    <t>https://ryycrdhlkmzpxwwwwupy.supabase.co/storage/v1/object/public/old_media/c9c06bc7.Path.041958.jpg</t>
  </si>
  <si>
    <t>44876ec6</t>
  </si>
  <si>
    <t>https://ryycrdhlkmzpxwwwwupy.supabase.co/storage/v1/object/public/old_media/44876ec6.Path.042104.jpg</t>
  </si>
  <si>
    <t>100eec6b</t>
  </si>
  <si>
    <t>https://ryycrdhlkmzpxwwwwupy.supabase.co/storage/v1/object/public/old_media/100eec6b.Path.042204.jpg</t>
  </si>
  <si>
    <t>aa6e1946</t>
  </si>
  <si>
    <t>https://ryycrdhlkmzpxwwwwupy.supabase.co/storage/v1/object/public/old_media/aa6e1946.Path.042307.jpg</t>
  </si>
  <si>
    <t>14cfd496</t>
  </si>
  <si>
    <t>https://ryycrdhlkmzpxwwwwupy.supabase.co/storage/v1/object/public/old_media/14cfd496.Path.042420.jpg</t>
  </si>
  <si>
    <t>f5d08ef9</t>
  </si>
  <si>
    <t>https://ryycrdhlkmzpxwwwwupy.supabase.co/storage/v1/object/public/old_media/f5d08ef9.Path.054942.jpg</t>
  </si>
  <si>
    <t>8f5b3847</t>
  </si>
  <si>
    <t>https://ryycrdhlkmzpxwwwwupy.supabase.co/storage/v1/object/public/old_media/8f5b3847.Path.055029.jpg</t>
  </si>
  <si>
    <t>7a3536cb</t>
  </si>
  <si>
    <t>https://ryycrdhlkmzpxwwwwupy.supabase.co/storage/v1/object/public/old_media/7a3536cb.Path.055113.jpg</t>
  </si>
  <si>
    <t>875d27e5</t>
  </si>
  <si>
    <t>https://ryycrdhlkmzpxwwwwupy.supabase.co/storage/v1/object/public/old_media/875d27e5.Path.055158.jpg</t>
  </si>
  <si>
    <t>3c799911</t>
  </si>
  <si>
    <t>https://ryycrdhlkmzpxwwwwupy.supabase.co/storage/v1/object/public/old_media/3c799911.Path.055238.jpg</t>
  </si>
  <si>
    <t>6f6de685</t>
  </si>
  <si>
    <t>https://ryycrdhlkmzpxwwwwupy.supabase.co/storage/v1/object/public/old_media/6f6de685.Path.055319.jpg</t>
  </si>
  <si>
    <t>5bbd93f1</t>
  </si>
  <si>
    <t>https://ryycrdhlkmzpxwwwwupy.supabase.co/storage/v1/object/public/old_media/5bbd93f1.Path.055714.jpg</t>
  </si>
  <si>
    <t>93dd92b6</t>
  </si>
  <si>
    <t>https://ryycrdhlkmzpxwwwwupy.supabase.co/storage/v1/object/public/old_media/93dd92b6.Path.060058.jpg</t>
  </si>
  <si>
    <t>c63b8d30</t>
  </si>
  <si>
    <t>https://ryycrdhlkmzpxwwwwupy.supabase.co/storage/v1/object/public/old_media/c63b8d30.Path.060155.jpg</t>
  </si>
  <si>
    <t>3cf5e717</t>
  </si>
  <si>
    <t>https://ryycrdhlkmzpxwwwwupy.supabase.co/storage/v1/object/public/old_media/3cf5e717.Path.060254.jpg</t>
  </si>
  <si>
    <t>0167bf75</t>
  </si>
  <si>
    <t>https://ryycrdhlkmzpxwwwwupy.supabase.co/storage/v1/object/public/old_media/0167bf75.Path.064528.jpg</t>
  </si>
  <si>
    <t>d5e6fee2</t>
  </si>
  <si>
    <t>https://ryycrdhlkmzpxwwwwupy.supabase.co/storage/v1/object/public/old_media/d5e6fee2.Path.064557.jpg</t>
  </si>
  <si>
    <t>ddbb4dee</t>
  </si>
  <si>
    <t>https://ryycrdhlkmzpxwwwwupy.supabase.co/storage/v1/object/public/old_media/ddbb4dee.Path.064625.jpg</t>
  </si>
  <si>
    <t>400402b2</t>
  </si>
  <si>
    <t>https://ryycrdhlkmzpxwwwwupy.supabase.co/storage/v1/object/public/old_media/400402b2.Path.064653.jpg</t>
  </si>
  <si>
    <t>ed2e2985</t>
  </si>
  <si>
    <t>https://ryycrdhlkmzpxwwwwupy.supabase.co/storage/v1/object/public/old_media/ed2e2985.Path.064726.jpg</t>
  </si>
  <si>
    <t>90195583</t>
  </si>
  <si>
    <t>https://ryycrdhlkmzpxwwwwupy.supabase.co/storage/v1/object/public/old_media/90195583.Path.064756.jpg</t>
  </si>
  <si>
    <t>18960a3c</t>
  </si>
  <si>
    <t>https://ryycrdhlkmzpxwwwwupy.supabase.co/storage/v1/object/public/old_media/18960a3c.Path.064826.jpg</t>
  </si>
  <si>
    <t>ada56cb7</t>
  </si>
  <si>
    <t>https://ryycrdhlkmzpxwwwwupy.supabase.co/storage/v1/object/public/old_media/ada56cb7.Path.064900.jpg</t>
  </si>
  <si>
    <t>9cc318ff</t>
  </si>
  <si>
    <t>https://ryycrdhlkmzpxwwwwupy.supabase.co/storage/v1/object/public/old_media/9cc318ff.Path.064931.jpg</t>
  </si>
  <si>
    <t>75d5e22d</t>
  </si>
  <si>
    <t>https://ryycrdhlkmzpxwwwwupy.supabase.co/storage/v1/object/public/old_media/75d5e22d.Path.063430.jpg</t>
  </si>
  <si>
    <t>6be04152</t>
  </si>
  <si>
    <t>https://ryycrdhlkmzpxwwwwupy.supabase.co/storage/v1/object/public/old_media/6be04152.Path.063500.jpg</t>
  </si>
  <si>
    <t>f3f601ac</t>
  </si>
  <si>
    <t>https://ryycrdhlkmzpxwwwwupy.supabase.co/storage/v1/object/public/old_media/f3f601ac.Path.063532.jpg</t>
  </si>
  <si>
    <t>f5561045</t>
  </si>
  <si>
    <t>https://ryycrdhlkmzpxwwwwupy.supabase.co/storage/v1/object/public/old_media/f5561045.Path.063608.jpg</t>
  </si>
  <si>
    <t>c08816a0</t>
  </si>
  <si>
    <t>https://ryycrdhlkmzpxwwwwupy.supabase.co/storage/v1/object/public/old_media/c08816a0.Path.063958.jpg</t>
  </si>
  <si>
    <t>c86f9ef8</t>
  </si>
  <si>
    <t>https://ryycrdhlkmzpxwwwwupy.supabase.co/storage/v1/object/public/old_media/c86f9ef8.Path.064110.jpg</t>
  </si>
  <si>
    <t>13a07905</t>
  </si>
  <si>
    <t>https://ryycrdhlkmzpxwwwwupy.supabase.co/storage/v1/object/public/old_media/13a07905.Path.095626.jpg</t>
  </si>
  <si>
    <t>a10e2663</t>
  </si>
  <si>
    <t>https://ryycrdhlkmzpxwwwwupy.supabase.co/storage/v1/object/public/old_media/a10e2663.Path.095740.jpg</t>
  </si>
  <si>
    <t>6d307fef</t>
  </si>
  <si>
    <t>https://ryycrdhlkmzpxwwwwupy.supabase.co/storage/v1/object/public/old_media/6d307fef.Path.111154.jpg</t>
  </si>
  <si>
    <t>1580799a</t>
  </si>
  <si>
    <t>https://ryycrdhlkmzpxwwwwupy.supabase.co/storage/v1/object/public/old_media/1580799a.Path.111225.jpg</t>
  </si>
  <si>
    <t>78fee0f2</t>
  </si>
  <si>
    <t>https://ryycrdhlkmzpxwwwwupy.supabase.co/storage/v1/object/public/old_media/78fee0f2.Path.111255.jpg</t>
  </si>
  <si>
    <t>cba76b0e</t>
  </si>
  <si>
    <t>https://ryycrdhlkmzpxwwwwupy.supabase.co/storage/v1/object/public/old_media/cba76b0e.Path.111325.jpg</t>
  </si>
  <si>
    <t>8c0bafe3</t>
  </si>
  <si>
    <t>https://ryycrdhlkmzpxwwwwupy.supabase.co/storage/v1/object/public/old_media/8c0bafe3.Path.111355.jpg</t>
  </si>
  <si>
    <t>c0b081d3</t>
  </si>
  <si>
    <t>https://ryycrdhlkmzpxwwwwupy.supabase.co/storage/v1/object/public/old_media/c0b081d3.Path.111426.jpg</t>
  </si>
  <si>
    <t>061f81cc</t>
  </si>
  <si>
    <t>https://ryycrdhlkmzpxwwwwupy.supabase.co/storage/v1/object/public/old_media/061f81cc.Path.111500.jpg</t>
  </si>
  <si>
    <t>e9b2c2c8</t>
  </si>
  <si>
    <t>https://ryycrdhlkmzpxwwwwupy.supabase.co/storage/v1/object/public/old_media/e9b2c2c8.Path.111908.jpg</t>
  </si>
  <si>
    <t>5837bda7</t>
  </si>
  <si>
    <t>https://ryycrdhlkmzpxwwwwupy.supabase.co/storage/v1/object/public/old_media/5837bda7.Path.112308.jpg</t>
  </si>
  <si>
    <t>594a6940</t>
  </si>
  <si>
    <t>https://ryycrdhlkmzpxwwwwupy.supabase.co/storage/v1/object/public/old_media/594a6940.Path.112340.jpg</t>
  </si>
  <si>
    <t>f997b7ac</t>
  </si>
  <si>
    <t>https://ryycrdhlkmzpxwwwwupy.supabase.co/storage/v1/object/public/old_media/f997b7ac.Path.112800.jpg</t>
  </si>
  <si>
    <t>2efea768</t>
  </si>
  <si>
    <t>https://ryycrdhlkmzpxwwwwupy.supabase.co/storage/v1/object/public/old_media/2efea768.Path.112835.jpg</t>
  </si>
  <si>
    <t>db52c1d8</t>
  </si>
  <si>
    <t>https://ryycrdhlkmzpxwwwwupy.supabase.co/storage/v1/object/public/old_media/db52c1d8.Path.112908.jpg</t>
  </si>
  <si>
    <t>d9c0755c</t>
  </si>
  <si>
    <t>https://ryycrdhlkmzpxwwwwupy.supabase.co/storage/v1/object/public/old_media/d9c0755c.Path.112936.jpg</t>
  </si>
  <si>
    <t>f62ed3a9</t>
  </si>
  <si>
    <t>https://ryycrdhlkmzpxwwwwupy.supabase.co/storage/v1/object/public/old_media/f62ed3a9.Path.113012.jpg</t>
  </si>
  <si>
    <t>c19aafbd</t>
  </si>
  <si>
    <t>https://ryycrdhlkmzpxwwwwupy.supabase.co/storage/v1/object/public/old_media/c19aafbd.Path.113046.jpg</t>
  </si>
  <si>
    <t>beca1fbd</t>
  </si>
  <si>
    <t>https://ryycrdhlkmzpxwwwwupy.supabase.co/storage/v1/object/public/old_media/beca1fbd.Path.113115.jpg</t>
  </si>
  <si>
    <t>0b81b74b</t>
  </si>
  <si>
    <t>https://ryycrdhlkmzpxwwwwupy.supabase.co/storage/v1/object/public/old_media/0b81b74b.Path.102603.jpg</t>
  </si>
  <si>
    <t>548d485c</t>
  </si>
  <si>
    <t>https://ryycrdhlkmzpxwwwwupy.supabase.co/storage/v1/object/public/old_media/548d485c.Path.102632.jpg</t>
  </si>
  <si>
    <t>b770abff</t>
  </si>
  <si>
    <t>https://ryycrdhlkmzpxwwwwupy.supabase.co/storage/v1/object/public/old_media/b770abff.Path.102700.jpg</t>
  </si>
  <si>
    <t>04c9bedd</t>
  </si>
  <si>
    <t>https://ryycrdhlkmzpxwwwwupy.supabase.co/storage/v1/object/public/old_media/04c9bedd.Path.102729.jpg</t>
  </si>
  <si>
    <t>61658e6e</t>
  </si>
  <si>
    <t>https://ryycrdhlkmzpxwwwwupy.supabase.co/storage/v1/object/public/old_media/61658e6e.Path.102756.jpg</t>
  </si>
  <si>
    <t>fd4094de</t>
  </si>
  <si>
    <t>https://ryycrdhlkmzpxwwwwupy.supabase.co/storage/v1/object/public/old_media/fd4094de.Path.102825.jpg</t>
  </si>
  <si>
    <t>849014d1</t>
  </si>
  <si>
    <t>https://ryycrdhlkmzpxwwwwupy.supabase.co/storage/v1/object/public/old_media/849014d1.Path.102855.jpg</t>
  </si>
  <si>
    <t>747ec6e2</t>
  </si>
  <si>
    <t>https://ryycrdhlkmzpxwwwwupy.supabase.co/storage/v1/object/public/old_media/747ec6e2.Path.102928.jpg</t>
  </si>
  <si>
    <t>5b4a552d</t>
  </si>
  <si>
    <t>https://ryycrdhlkmzpxwwwwupy.supabase.co/storage/v1/object/public/old_media/5b4a552d.Path.102958.jpg</t>
  </si>
  <si>
    <t>b6be1a06</t>
  </si>
  <si>
    <t>https://ryycrdhlkmzpxwwwwupy.supabase.co/storage/v1/object/public/old_media/b6be1a06.Path.103358.jpg</t>
  </si>
  <si>
    <t>cc68e6ce</t>
  </si>
  <si>
    <t>https://ryycrdhlkmzpxwwwwupy.supabase.co/storage/v1/object/public/old_media/cc68e6ce.Path.103703.jpg</t>
  </si>
  <si>
    <t>095d45d5</t>
  </si>
  <si>
    <t>https://ryycrdhlkmzpxwwwwupy.supabase.co/storage/v1/object/public/old_media/095d45d5.Path.103738.jpg</t>
  </si>
  <si>
    <t>45458d54</t>
  </si>
  <si>
    <t>https://ryycrdhlkmzpxwwwwupy.supabase.co/storage/v1/object/public/old_media/45458d54.Path.104117.jpg</t>
  </si>
  <si>
    <t>1617e43a</t>
  </si>
  <si>
    <t>https://ryycrdhlkmzpxwwwwupy.supabase.co/storage/v1/object/public/old_media/1617e43a.Path.073422.jpg</t>
  </si>
  <si>
    <t>91729b78</t>
  </si>
  <si>
    <t>https://ryycrdhlkmzpxwwwwupy.supabase.co/storage/v1/object/public/old_media/91729b78.Path.074012.jpg</t>
  </si>
  <si>
    <t>60686e8d</t>
  </si>
  <si>
    <t>https://ryycrdhlkmzpxwwwwupy.supabase.co/storage/v1/object/public/old_media/60686e8d.Path.074152.jpg</t>
  </si>
  <si>
    <t>dbf0da9f</t>
  </si>
  <si>
    <t>https://ryycrdhlkmzpxwwwwupy.supabase.co/storage/v1/object/public/old_media/dbf0da9f.Path.074243.jpg</t>
  </si>
  <si>
    <t>c19a5883</t>
  </si>
  <si>
    <t>https://ryycrdhlkmzpxwwwwupy.supabase.co/storage/v1/object/public/old_media/c19a5883.Path.074642.jpg</t>
  </si>
  <si>
    <t>6a260676</t>
  </si>
  <si>
    <t>https://ryycrdhlkmzpxwwwwupy.supabase.co/storage/v1/object/public/old_media/6a260676.Path.075044.jpg</t>
  </si>
  <si>
    <t>a6f8c6e8</t>
  </si>
  <si>
    <t>https://ryycrdhlkmzpxwwwwupy.supabase.co/storage/v1/object/public/old_media/a6f8c6e8.Path.075444.jpg</t>
  </si>
  <si>
    <t>5638f194</t>
  </si>
  <si>
    <t>https://ryycrdhlkmzpxwwwwupy.supabase.co/storage/v1/object/public/old_media/5638f194.Path.080344.jpg</t>
  </si>
  <si>
    <t>268996c9</t>
  </si>
  <si>
    <t>https://ryycrdhlkmzpxwwwwupy.supabase.co/storage/v1/object/public/old_media/268996c9.Path.110354.jpg</t>
  </si>
  <si>
    <t>4ffbd0f1</t>
  </si>
  <si>
    <t>https://ryycrdhlkmzpxwwwwupy.supabase.co/storage/v1/object/public/old_media/4ffbd0f1.Path.110553.jpg</t>
  </si>
  <si>
    <t>da577fae</t>
  </si>
  <si>
    <t>https://ryycrdhlkmzpxwwwwupy.supabase.co/storage/v1/object/public/old_media/da577fae.Path.114444.jpg</t>
  </si>
  <si>
    <t>c69538e9</t>
  </si>
  <si>
    <t>https://ryycrdhlkmzpxwwwwupy.supabase.co/storage/v1/object/public/old_media/c69538e9.Path.114536.jpg</t>
  </si>
  <si>
    <t>95818a15</t>
  </si>
  <si>
    <t>https://ryycrdhlkmzpxwwwwupy.supabase.co/storage/v1/object/public/old_media/95818a15.Path.114619.jpg</t>
  </si>
  <si>
    <t>3494aec8</t>
  </si>
  <si>
    <t>https://ryycrdhlkmzpxwwwwupy.supabase.co/storage/v1/object/public/old_media/3494aec8.Path.114709.jpg</t>
  </si>
  <si>
    <t>2b19a4e5</t>
  </si>
  <si>
    <t>https://ryycrdhlkmzpxwwwwupy.supabase.co/storage/v1/object/public/old_media/2b19a4e5.Path.115055.jpg</t>
  </si>
  <si>
    <t>a16a06a3</t>
  </si>
  <si>
    <t>https://ryycrdhlkmzpxwwwwupy.supabase.co/storage/v1/object/public/old_media/a16a06a3.Path.115312.jpg</t>
  </si>
  <si>
    <t>f6cac65e</t>
  </si>
  <si>
    <t>https://ryycrdhlkmzpxwwwwupy.supabase.co/storage/v1/object/public/old_media/f6cac65e.Path.071834.png</t>
  </si>
  <si>
    <t>d8156dc1</t>
  </si>
  <si>
    <t>https://ryycrdhlkmzpxwwwwupy.supabase.co/storage/v1/object/public/old_media/d8156dc1.Path.071927.png</t>
  </si>
  <si>
    <t>27ed7efc</t>
  </si>
  <si>
    <t>https://ryycrdhlkmzpxwwwwupy.supabase.co/storage/v1/object/public/old_media/27ed7efc.Path.072004.png</t>
  </si>
  <si>
    <t>d2d5d2b4</t>
  </si>
  <si>
    <t>https://ryycrdhlkmzpxwwwwupy.supabase.co/storage/v1/object/public/old_media/d2d5d2b4.Path.072038.jpg</t>
  </si>
  <si>
    <t>2b58a42b</t>
  </si>
  <si>
    <t>https://ryycrdhlkmzpxwwwwupy.supabase.co/storage/v1/object/public/old_media/2b58a42b.Path.072116.jpg</t>
  </si>
  <si>
    <t>aa64a734</t>
  </si>
  <si>
    <t>https://ryycrdhlkmzpxwwwwupy.supabase.co/storage/v1/object/public/old_media/aa64a734.Path.110841.jpg</t>
  </si>
  <si>
    <t>da5d30ec</t>
  </si>
  <si>
    <t>https://ryycrdhlkmzpxwwwwupy.supabase.co/storage/v1/object/public/old_media/da5d30ec.Path.110912.jpg</t>
  </si>
  <si>
    <t>951d34ec</t>
  </si>
  <si>
    <t>https://ryycrdhlkmzpxwwwwupy.supabase.co/storage/v1/object/public/old_media/951d34ec.Path.110943.jpg</t>
  </si>
  <si>
    <t>d597c35c</t>
  </si>
  <si>
    <t>https://ryycrdhlkmzpxwwwwupy.supabase.co/storage/v1/object/public/old_media/d597c35c.Path.111012.jpg</t>
  </si>
  <si>
    <t>63e9e060</t>
  </si>
  <si>
    <t>https://ryycrdhlkmzpxwwwwupy.supabase.co/storage/v1/object/public/old_media/63e9e060.Path.111047.jpg</t>
  </si>
  <si>
    <t>b3e0e8a9</t>
  </si>
  <si>
    <t>https://ryycrdhlkmzpxwwwwupy.supabase.co/storage/v1/object/public/old_media/b3e0e8a9.Path.102541.jpg</t>
  </si>
  <si>
    <t>cf9b4df0</t>
  </si>
  <si>
    <t>https://ryycrdhlkmzpxwwwwupy.supabase.co/storage/v1/object/public/old_media/cf9b4df0.Path.102617.jpg</t>
  </si>
  <si>
    <t>508d1137</t>
  </si>
  <si>
    <t>https://ryycrdhlkmzpxwwwwupy.supabase.co/storage/v1/object/public/old_media/508d1137.Path.102701.jpg</t>
  </si>
  <si>
    <t>99f4b12e</t>
  </si>
  <si>
    <t>https://ryycrdhlkmzpxwwwwupy.supabase.co/storage/v1/object/public/old_media/99f4b12e.Path.063555.png</t>
  </si>
  <si>
    <t>Salazie</t>
  </si>
  <si>
    <t>c9979413</t>
  </si>
  <si>
    <t>https://ryycrdhlkmzpxwwwwupy.supabase.co/storage/v1/object/public/old_media/c9979413.Path.063634.png</t>
  </si>
  <si>
    <t>Entre-Deux / Dimitile</t>
  </si>
  <si>
    <t>bdf114fc</t>
  </si>
  <si>
    <t>https://ryycrdhlkmzpxwwwwupy.supabase.co/storage/v1/object/public/old_media/bdf114fc.Path.063712.png</t>
  </si>
  <si>
    <t>Mafate</t>
  </si>
  <si>
    <t>fe15939c</t>
  </si>
  <si>
    <t>https://ryycrdhlkmzpxwwwwupy.supabase.co/storage/v1/object/public/old_media/fe15939c.Path.063750.png</t>
  </si>
  <si>
    <t>Maïdo</t>
  </si>
  <si>
    <t>2a156ae0</t>
  </si>
  <si>
    <t>https://ryycrdhlkmzpxwwwwupy.supabase.co/storage/v1/object/public/old_media/2a156ae0.Path.063830.png</t>
  </si>
  <si>
    <t>Cilaos</t>
  </si>
  <si>
    <t>c1be3d05</t>
  </si>
  <si>
    <t>https://ryycrdhlkmzpxwwwwupy.supabase.co/storage/v1/object/public/old_media/c1be3d05.Path.063907.png</t>
  </si>
  <si>
    <t>de9bcf22</t>
  </si>
  <si>
    <t>https://ryycrdhlkmzpxwwwwupy.supabase.co/storage/v1/object/public/old_media/de9bcf22.Path.063947.png</t>
  </si>
  <si>
    <t>Sud Sauvage / route des laves</t>
  </si>
  <si>
    <t>2ccaf734</t>
  </si>
  <si>
    <t>https://ryycrdhlkmzpxwwwwupy.supabase.co/storage/v1/object/public/old_media/2ccaf734.Path.064115.png</t>
  </si>
  <si>
    <t>tarifs</t>
  </si>
  <si>
    <t>12b64d5f</t>
  </si>
  <si>
    <t>https://ryycrdhlkmzpxwwwwupy.supabase.co/storage/v1/object/public/old_media/12b64d5f.Path.064158.jpg</t>
  </si>
  <si>
    <t>192a44a8</t>
  </si>
  <si>
    <t>https://ryycrdhlkmzpxwwwwupy.supabase.co/storage/v1/object/public/old_media/192a44a8.Path.045744.jpg</t>
  </si>
  <si>
    <t>37fce719</t>
  </si>
  <si>
    <t>https://ryycrdhlkmzpxwwwwupy.supabase.co/storage/v1/object/public/old_media/37fce719.Path.045816.jpg</t>
  </si>
  <si>
    <t>f9ae32f8</t>
  </si>
  <si>
    <t>https://ryycrdhlkmzpxwwwwupy.supabase.co/storage/v1/object/public/old_media/f9ae32f8.Path.045847.jpg</t>
  </si>
  <si>
    <t>74190c69</t>
  </si>
  <si>
    <t>https://ryycrdhlkmzpxwwwwupy.supabase.co/storage/v1/object/public/old_media/74190c69.Path.050350.jpg</t>
  </si>
  <si>
    <t>233be0a5</t>
  </si>
  <si>
    <t>https://ryycrdhlkmzpxwwwwupy.supabase.co/storage/v1/object/public/old_media/233be0a5.Path.091634.jpg</t>
  </si>
  <si>
    <t>5989f05b</t>
  </si>
  <si>
    <t>https://ryycrdhlkmzpxwwwwupy.supabase.co/storage/v1/object/public/old_media/5989f05b.Path.093458.jpg</t>
  </si>
  <si>
    <t>73abb5f2</t>
  </si>
  <si>
    <t>https://ryycrdhlkmzpxwwwwupy.supabase.co/storage/v1/object/public/old_media/73abb5f2.Path.093528.jpg</t>
  </si>
  <si>
    <t>52a917c8</t>
  </si>
  <si>
    <t>https://ryycrdhlkmzpxwwwwupy.supabase.co/storage/v1/object/public/old_media/52a917c8.Path.113811.jpg</t>
  </si>
  <si>
    <t>11319109</t>
  </si>
  <si>
    <t>https://ryycrdhlkmzpxwwwwupy.supabase.co/storage/v1/object/public/old_media/11319109.Path.113840.jpg</t>
  </si>
  <si>
    <t>46f64c1d</t>
  </si>
  <si>
    <t>https://ryycrdhlkmzpxwwwwupy.supabase.co/storage/v1/object/public/old_media/46f64c1d.Path.113908.jpg</t>
  </si>
  <si>
    <t>50355400</t>
  </si>
  <si>
    <t>https://ryycrdhlkmzpxwwwwupy.supabase.co/storage/v1/object/public/old_media/50355400.Path.113934.jpg</t>
  </si>
  <si>
    <t>45dc1ca9</t>
  </si>
  <si>
    <t>https://ryycrdhlkmzpxwwwwupy.supabase.co/storage/v1/object/public/old_media/45dc1ca9.Path.114000.jpg</t>
  </si>
  <si>
    <t>271a7aab</t>
  </si>
  <si>
    <t>https://ryycrdhlkmzpxwwwwupy.supabase.co/storage/v1/object/public/old_media/271a7aab.Path.114028.jpg</t>
  </si>
  <si>
    <t>321c9d47</t>
  </si>
  <si>
    <t>https://ryycrdhlkmzpxwwwwupy.supabase.co/storage/v1/object/public/old_media/321c9d47.Path.114055.jpg</t>
  </si>
  <si>
    <t>973f1603</t>
  </si>
  <si>
    <t>https://ryycrdhlkmzpxwwwwupy.supabase.co/storage/v1/object/public/old_media/973f1603.Path.114124.jpg</t>
  </si>
  <si>
    <t>70f39864</t>
  </si>
  <si>
    <t>https://ryycrdhlkmzpxwwwwupy.supabase.co/storage/v1/object/public/old_media/70f39864.Path.114151.jpg</t>
  </si>
  <si>
    <t>bff9f9c9</t>
  </si>
  <si>
    <t>https://ryycrdhlkmzpxwwwwupy.supabase.co/storage/v1/object/public/old_media/bff9f9c9.Path.114216.jpg</t>
  </si>
  <si>
    <t>b3b679b4</t>
  </si>
  <si>
    <t>https://ryycrdhlkmzpxwwwwupy.supabase.co/storage/v1/object/public/old_media/b3b679b4.Path.114243.jpg</t>
  </si>
  <si>
    <t>31dd04a7</t>
  </si>
  <si>
    <t>https://ryycrdhlkmzpxwwwwupy.supabase.co/storage/v1/object/public/old_media/31dd04a7.Path.114312.jpg</t>
  </si>
  <si>
    <t>70a880e6</t>
  </si>
  <si>
    <t>https://ryycrdhlkmzpxwwwwupy.supabase.co/storage/v1/object/public/old_media/70a880e6.Path.114342.jpg</t>
  </si>
  <si>
    <t>4689c1d5</t>
  </si>
  <si>
    <t>https://ryycrdhlkmzpxwwwwupy.supabase.co/storage/v1/object/public/old_media/4689c1d5.Path.114548.jpg</t>
  </si>
  <si>
    <t>94433b37</t>
  </si>
  <si>
    <t>https://ryycrdhlkmzpxwwwwupy.supabase.co/storage/v1/object/public/old_media/94433b37.Path.114613.jpg</t>
  </si>
  <si>
    <t>4d2643d4</t>
  </si>
  <si>
    <t>https://ryycrdhlkmzpxwwwwupy.supabase.co/storage/v1/object/public/old_media/4d2643d4.Path.114639.jpg</t>
  </si>
  <si>
    <t>048e57f9</t>
  </si>
  <si>
    <t>https://ryycrdhlkmzpxwwwwupy.supabase.co/storage/v1/object/public/old_media/048e57f9.Path.114705.jpg</t>
  </si>
  <si>
    <t>06503cf8</t>
  </si>
  <si>
    <t>https://ryycrdhlkmzpxwwwwupy.supabase.co/storage/v1/object/public/old_media/06503cf8.Path.114729.jpg</t>
  </si>
  <si>
    <t>451f2b92</t>
  </si>
  <si>
    <t>https://ryycrdhlkmzpxwwwwupy.supabase.co/storage/v1/object/public/old_media/451f2b92.Path.114755.jpg</t>
  </si>
  <si>
    <t>3d920dbb</t>
  </si>
  <si>
    <t>https://ryycrdhlkmzpxwwwwupy.supabase.co/storage/v1/object/public/old_media/3d920dbb.Path.114820.jpg</t>
  </si>
  <si>
    <t>a500ddf8</t>
  </si>
  <si>
    <t>https://ryycrdhlkmzpxwwwwupy.supabase.co/storage/v1/object/public/old_media/a500ddf8.Path.114845.jpg</t>
  </si>
  <si>
    <t>dd1b80ec</t>
  </si>
  <si>
    <t>https://ryycrdhlkmzpxwwwwupy.supabase.co/storage/v1/object/public/old_media/dd1b80ec.Path.114909.jpg</t>
  </si>
  <si>
    <t>2299dc2e</t>
  </si>
  <si>
    <t>https://ryycrdhlkmzpxwwwwupy.supabase.co/storage/v1/object/public/old_media/2299dc2e.Path.114935.jpg</t>
  </si>
  <si>
    <t>68ad8093</t>
  </si>
  <si>
    <t>https://ryycrdhlkmzpxwwwwupy.supabase.co/storage/v1/object/public/old_media/68ad8093.Path.114959.jpg</t>
  </si>
  <si>
    <t>7d18308c</t>
  </si>
  <si>
    <t>https://ryycrdhlkmzpxwwwwupy.supabase.co/storage/v1/object/public/old_media/7d18308c.Path.080027.jpg</t>
  </si>
  <si>
    <t>da8a8ba5</t>
  </si>
  <si>
    <t>https://ryycrdhlkmzpxwwwwupy.supabase.co/storage/v1/object/public/old_media/da8a8ba5.Path.080054.jpg</t>
  </si>
  <si>
    <t>a688c7a9</t>
  </si>
  <si>
    <t>https://ryycrdhlkmzpxwwwwupy.supabase.co/storage/v1/object/public/old_media/a688c7a9.Path.080123.jpg</t>
  </si>
  <si>
    <t>24cd6355</t>
  </si>
  <si>
    <t>https://ryycrdhlkmzpxwwwwupy.supabase.co/storage/v1/object/public/old_media/24cd6355.Path.080155.jpg</t>
  </si>
  <si>
    <t>48aeac18</t>
  </si>
  <si>
    <t>https://ryycrdhlkmzpxwwwwupy.supabase.co/storage/v1/object/public/old_media/48aeac18.Path.080227.jpg</t>
  </si>
  <si>
    <t>20461f6c</t>
  </si>
  <si>
    <t>https://ryycrdhlkmzpxwwwwupy.supabase.co/storage/v1/object/public/old_media/20461f6c.Path.080255.jpg</t>
  </si>
  <si>
    <t>796953dc</t>
  </si>
  <si>
    <t>https://ryycrdhlkmzpxwwwwupy.supabase.co/storage/v1/object/public/old_media/796953dc.Path.103549.jpg</t>
  </si>
  <si>
    <t>1af34688</t>
  </si>
  <si>
    <t>https://ryycrdhlkmzpxwwwwupy.supabase.co/storage/v1/object/public/old_media/1af34688.Path.103616.jpg</t>
  </si>
  <si>
    <t>134a1e4a</t>
  </si>
  <si>
    <t>https://ryycrdhlkmzpxwwwwupy.supabase.co/storage/v1/object/public/old_media/134a1e4a.Path.103643.jpg</t>
  </si>
  <si>
    <t>c2adf11b</t>
  </si>
  <si>
    <t>https://ryycrdhlkmzpxwwwwupy.supabase.co/storage/v1/object/public/old_media/c2adf11b.Path.103709.jpg</t>
  </si>
  <si>
    <t>bada4d1f</t>
  </si>
  <si>
    <t>https://ryycrdhlkmzpxwwwwupy.supabase.co/storage/v1/object/public/old_media/bada4d1f.Path.103735.jpg</t>
  </si>
  <si>
    <t>c893f511</t>
  </si>
  <si>
    <t>https://ryycrdhlkmzpxwwwwupy.supabase.co/storage/v1/object/public/old_media/c893f511.Path.103801.jpg</t>
  </si>
  <si>
    <t>abd7349a</t>
  </si>
  <si>
    <t>https://ryycrdhlkmzpxwwwwupy.supabase.co/storage/v1/object/public/old_media/abd7349a.Path.103830.jpg</t>
  </si>
  <si>
    <t>8330a3f9</t>
  </si>
  <si>
    <t>https://ryycrdhlkmzpxwwwwupy.supabase.co/storage/v1/object/public/old_media/8330a3f9.Path.103902.jpg</t>
  </si>
  <si>
    <t>31a2eb96</t>
  </si>
  <si>
    <t>https://ryycrdhlkmzpxwwwwupy.supabase.co/storage/v1/object/public/old_media/31a2eb96.Path.103946.jpg</t>
  </si>
  <si>
    <t>2c679b60</t>
  </si>
  <si>
    <t>https://ryycrdhlkmzpxwwwwupy.supabase.co/storage/v1/object/public/old_media/2c679b60.Path.104017.jpg</t>
  </si>
  <si>
    <t>5626ca70</t>
  </si>
  <si>
    <t>https://ryycrdhlkmzpxwwwwupy.supabase.co/storage/v1/object/public/old_media/5626ca70.Path.104533.jpg</t>
  </si>
  <si>
    <t>634754b5</t>
  </si>
  <si>
    <t>https://ryycrdhlkmzpxwwwwupy.supabase.co/storage/v1/object/public/old_media/634754b5.Path.104902.jpg</t>
  </si>
  <si>
    <t>b6ce0ef3</t>
  </si>
  <si>
    <t>https://ryycrdhlkmzpxwwwwupy.supabase.co/storage/v1/object/public/old_media/b6ce0ef3.Path.104928.jpg</t>
  </si>
  <si>
    <t>68aa7674</t>
  </si>
  <si>
    <t>https://ryycrdhlkmzpxwwwwupy.supabase.co/storage/v1/object/public/old_media/68aa7674.Path.104954.jpg</t>
  </si>
  <si>
    <t>c7c60468</t>
  </si>
  <si>
    <t>https://ryycrdhlkmzpxwwwwupy.supabase.co/storage/v1/object/public/old_media/c7c60468.Path.105022.jpg</t>
  </si>
  <si>
    <t>6ca56597</t>
  </si>
  <si>
    <t>https://ryycrdhlkmzpxwwwwupy.supabase.co/storage/v1/object/public/old_media/6ca56597.Path.105048.jpg</t>
  </si>
  <si>
    <t>9f811b5a</t>
  </si>
  <si>
    <t>https://ryycrdhlkmzpxwwwwupy.supabase.co/storage/v1/object/public/old_media/9f811b5a.Path.105114.jpg</t>
  </si>
  <si>
    <t>25ff456e</t>
  </si>
  <si>
    <t>https://ryycrdhlkmzpxwwwwupy.supabase.co/storage/v1/object/public/old_media/25ff456e.Path.105139.jpg</t>
  </si>
  <si>
    <t>0cf00f2f</t>
  </si>
  <si>
    <t>https://ryycrdhlkmzpxwwwwupy.supabase.co/storage/v1/object/public/old_media/0cf00f2f.Path.105208.jpg</t>
  </si>
  <si>
    <t>4ec67a3c</t>
  </si>
  <si>
    <t>https://ryycrdhlkmzpxwwwwupy.supabase.co/storage/v1/object/public/old_media/4ec67a3c.Path.105235.jpg</t>
  </si>
  <si>
    <t>3190955f</t>
  </si>
  <si>
    <t>https://ryycrdhlkmzpxwwwwupy.supabase.co/storage/v1/object/public/old_media/3190955f.Path.105302.jpg</t>
  </si>
  <si>
    <t>d592a6c9</t>
  </si>
  <si>
    <t>https://ryycrdhlkmzpxwwwwupy.supabase.co/storage/v1/object/public/old_media/d592a6c9.Path.105329.jpg</t>
  </si>
  <si>
    <t>a46d6b1f</t>
  </si>
  <si>
    <t>https://ryycrdhlkmzpxwwwwupy.supabase.co/storage/v1/object/public/old_media/a46d6b1f.Path.105356.jpg</t>
  </si>
  <si>
    <t>3bcbad7b</t>
  </si>
  <si>
    <t>https://ryycrdhlkmzpxwwwwupy.supabase.co/storage/v1/object/public/old_media/3bcbad7b.Path.105422.jpg</t>
  </si>
  <si>
    <t>70a6e8f2</t>
  </si>
  <si>
    <t>https://ryycrdhlkmzpxwwwwupy.supabase.co/storage/v1/object/public/old_media/70a6e8f2.Path.105451.jpg</t>
  </si>
  <si>
    <t>caa359e3</t>
  </si>
  <si>
    <t>https://ryycrdhlkmzpxwwwwupy.supabase.co/storage/v1/object/public/old_media/caa359e3.Path.105519.jpg</t>
  </si>
  <si>
    <t>e298d4ed</t>
  </si>
  <si>
    <t>https://ryycrdhlkmzpxwwwwupy.supabase.co/storage/v1/object/public/old_media/e298d4ed.Path.105546.jpg</t>
  </si>
  <si>
    <t>9e064ad0</t>
  </si>
  <si>
    <t>https://ryycrdhlkmzpxwwwwupy.supabase.co/storage/v1/object/public/old_media/9e064ad0.Path.105615.jpg</t>
  </si>
  <si>
    <t>81aea789</t>
  </si>
  <si>
    <t>https://ryycrdhlkmzpxwwwwupy.supabase.co/storage/v1/object/public/old_media/81aea789.Path.105644.jpg</t>
  </si>
  <si>
    <t>63789e3a</t>
  </si>
  <si>
    <t>https://ryycrdhlkmzpxwwwwupy.supabase.co/storage/v1/object/public/old_media/63789e3a.Path.105722.jpg</t>
  </si>
  <si>
    <t>96985953</t>
  </si>
  <si>
    <t>https://ryycrdhlkmzpxwwwwupy.supabase.co/storage/v1/object/public/old_media/96985953.Path.053152.jpg</t>
  </si>
  <si>
    <t>52dcbe5b</t>
  </si>
  <si>
    <t>https://ryycrdhlkmzpxwwwwupy.supabase.co/storage/v1/object/public/old_media/52dcbe5b.Path.053231.jpg</t>
  </si>
  <si>
    <t>7d7f14c7</t>
  </si>
  <si>
    <t>https://ryycrdhlkmzpxwwwwupy.supabase.co/storage/v1/object/public/old_media/7d7f14c7.Path.053310.jpg</t>
  </si>
  <si>
    <t>2655dcc8</t>
  </si>
  <si>
    <t>https://ryycrdhlkmzpxwwwwupy.supabase.co/storage/v1/object/public/old_media/2655dcc8.Path.053351.jpg</t>
  </si>
  <si>
    <t>cf94cb5b</t>
  </si>
  <si>
    <t>https://ryycrdhlkmzpxwwwwupy.supabase.co/storage/v1/object/public/old_media/cf94cb5b.Path.053429.jpg</t>
  </si>
  <si>
    <t>aedf5bf6</t>
  </si>
  <si>
    <t>https://ryycrdhlkmzpxwwwwupy.supabase.co/storage/v1/object/public/old_media/aedf5bf6.Path.053516.jpg</t>
  </si>
  <si>
    <t>6283c98f</t>
  </si>
  <si>
    <t>https://ryycrdhlkmzpxwwwwupy.supabase.co/storage/v1/object/public/old_media/6283c98f.Path.043507.jpg</t>
  </si>
  <si>
    <t>7d83f0c6</t>
  </si>
  <si>
    <t>https://ryycrdhlkmzpxwwwwupy.supabase.co/storage/v1/object/public/old_media/7d83f0c6.Path.043536.jpg</t>
  </si>
  <si>
    <t>8cb86a2d</t>
  </si>
  <si>
    <t>https://ryycrdhlkmzpxwwwwupy.supabase.co/storage/v1/object/public/old_media/8cb86a2d.Path.043607.jpg</t>
  </si>
  <si>
    <t>1213c7e5</t>
  </si>
  <si>
    <t>https://ryycrdhlkmzpxwwwwupy.supabase.co/storage/v1/object/public/old_media/1213c7e5.Path.043640.jpg</t>
  </si>
  <si>
    <t>6effaa1e</t>
  </si>
  <si>
    <t>https://ryycrdhlkmzpxwwwwupy.supabase.co/storage/v1/object/public/old_media/6effaa1e.Path.043710.jpg</t>
  </si>
  <si>
    <t>ef851690</t>
  </si>
  <si>
    <t>https://ryycrdhlkmzpxwwwwupy.supabase.co/storage/v1/object/public/old_media/ef851690.Path.043738.jpg</t>
  </si>
  <si>
    <t>4e1d37eb</t>
  </si>
  <si>
    <t>https://ryycrdhlkmzpxwwwwupy.supabase.co/storage/v1/object/public/old_media/4e1d37eb.Path.043817.jpg</t>
  </si>
  <si>
    <t>edeff2a9</t>
  </si>
  <si>
    <t>https://ryycrdhlkmzpxwwwwupy.supabase.co/storage/v1/object/public/old_media/edeff2a9.Path.043851.jpg</t>
  </si>
  <si>
    <t>add278c2</t>
  </si>
  <si>
    <t>https://ryycrdhlkmzpxwwwwupy.supabase.co/storage/v1/object/public/old_media/add278c2.Path.053011.jpg</t>
  </si>
  <si>
    <t>01be9f4b</t>
  </si>
  <si>
    <t>https://ryycrdhlkmzpxwwwwupy.supabase.co/storage/v1/object/public/old_media/01be9f4b.Path.075643.jpg</t>
  </si>
  <si>
    <t>ab1c9a90</t>
  </si>
  <si>
    <t>https://ryycrdhlkmzpxwwwwupy.supabase.co/storage/v1/object/public/old_media/ab1c9a90.Path.103459.jpg</t>
  </si>
  <si>
    <t>409c8baf</t>
  </si>
  <si>
    <t>https://ryycrdhlkmzpxwwwwupy.supabase.co/storage/v1/object/public/old_media/409c8baf.Path.103705.jpg</t>
  </si>
  <si>
    <t>fd6b38b0</t>
  </si>
  <si>
    <t>https://ryycrdhlkmzpxwwwwupy.supabase.co/storage/v1/object/public/old_media/fd6b38b0.Path.103740.jpg</t>
  </si>
  <si>
    <t>b6df26c2</t>
  </si>
  <si>
    <t>https://ryycrdhlkmzpxwwwwupy.supabase.co/storage/v1/object/public/old_media/b6df26c2.Path.103805.jpg</t>
  </si>
  <si>
    <t>e32a0733</t>
  </si>
  <si>
    <t>https://ryycrdhlkmzpxwwwwupy.supabase.co/storage/v1/object/public/old_media/e32a0733.Path.103834.jpg</t>
  </si>
  <si>
    <t>339b2cf7</t>
  </si>
  <si>
    <t>https://ryycrdhlkmzpxwwwwupy.supabase.co/storage/v1/object/public/old_media/339b2cf7.Path.111826.jpg</t>
  </si>
  <si>
    <t>71a7f61f</t>
  </si>
  <si>
    <t>https://ryycrdhlkmzpxwwwwupy.supabase.co/storage/v1/object/public/old_media/71a7f61f.Path.111858.jpg</t>
  </si>
  <si>
    <t>8e46a3c1</t>
  </si>
  <si>
    <t>https://ryycrdhlkmzpxwwwwupy.supabase.co/storage/v1/object/public/old_media/8e46a3c1.Path.111937.jpg</t>
  </si>
  <si>
    <t>c30accbf</t>
  </si>
  <si>
    <t>https://ryycrdhlkmzpxwwwwupy.supabase.co/storage/v1/object/public/old_media/c30accbf.Path.112019.jpg</t>
  </si>
  <si>
    <t>72a248be</t>
  </si>
  <si>
    <t>https://ryycrdhlkmzpxwwwwupy.supabase.co/storage/v1/object/public/old_media/72a248be.Path.112110.jpg</t>
  </si>
  <si>
    <t>b9727c38</t>
  </si>
  <si>
    <t>https://ryycrdhlkmzpxwwwwupy.supabase.co/storage/v1/object/public/old_media/b9727c38.Path.112254.jpg</t>
  </si>
  <si>
    <t>78f43e08</t>
  </si>
  <si>
    <t>https://ryycrdhlkmzpxwwwwupy.supabase.co/storage/v1/object/public/old_media/78f43e08.Path.112333.jpg</t>
  </si>
  <si>
    <t>3ffdb8bf</t>
  </si>
  <si>
    <t>https://ryycrdhlkmzpxwwwwupy.supabase.co/storage/v1/object/public/old_media/3ffdb8bf.Path.112411.jpg</t>
  </si>
  <si>
    <t>d2df7544</t>
  </si>
  <si>
    <t>https://ryycrdhlkmzpxwwwwupy.supabase.co/storage/v1/object/public/old_media/d2df7544.Path.101507.avif</t>
  </si>
  <si>
    <t>2c143caf</t>
  </si>
  <si>
    <t>https://ryycrdhlkmzpxwwwwupy.supabase.co/storage/v1/object/public/old_media/2c143caf.Path.101907.avif</t>
  </si>
  <si>
    <t>21b0c620</t>
  </si>
  <si>
    <t>https://ryycrdhlkmzpxwwwwupy.supabase.co/storage/v1/object/public/old_media/21b0c620.Path.102050.avif</t>
  </si>
  <si>
    <t>e2d4890b</t>
  </si>
  <si>
    <t>https://ryycrdhlkmzpxwwwwupy.supabase.co/storage/v1/object/public/old_media/e2d4890b.Path.102114.avif</t>
  </si>
  <si>
    <t>e8b90ce7</t>
  </si>
  <si>
    <t>https://ryycrdhlkmzpxwwwwupy.supabase.co/storage/v1/object/public/old_media/e8b90ce7.Path.102151.avif</t>
  </si>
  <si>
    <t>d9a849b5</t>
  </si>
  <si>
    <t>https://ryycrdhlkmzpxwwwwupy.supabase.co/storage/v1/object/public/old_media/d9a849b5.Path.102216.avif</t>
  </si>
  <si>
    <t>5c40eb53</t>
  </si>
  <si>
    <t>https://ryycrdhlkmzpxwwwwupy.supabase.co/storage/v1/object/public/old_media/5c40eb53.Path.050554.webp</t>
  </si>
  <si>
    <t>d61f1e74</t>
  </si>
  <si>
    <t>https://ryycrdhlkmzpxwwwwupy.supabase.co/storage/v1/object/public/old_media/d61f1e74.Path.050621.jpg</t>
  </si>
  <si>
    <t>954f6098</t>
  </si>
  <si>
    <t>https://ryycrdhlkmzpxwwwwupy.supabase.co/storage/v1/object/public/old_media/954f6098.Path.052546.avif</t>
  </si>
  <si>
    <t>a5f142dc</t>
  </si>
  <si>
    <t>https://ryycrdhlkmzpxwwwwupy.supabase.co/storage/v1/object/public/old_media/a5f142dc.Path.052612.avif</t>
  </si>
  <si>
    <t>d29443dc</t>
  </si>
  <si>
    <t>https://ryycrdhlkmzpxwwwwupy.supabase.co/storage/v1/object/public/old_media/d29443dc.Path.052637.avif</t>
  </si>
  <si>
    <t>349ef548</t>
  </si>
  <si>
    <t>https://ryycrdhlkmzpxwwwwupy.supabase.co/storage/v1/object/public/old_media/349ef548.Path.052700.avif</t>
  </si>
  <si>
    <t>b676a29a</t>
  </si>
  <si>
    <t>https://ryycrdhlkmzpxwwwwupy.supabase.co/storage/v1/object/public/old_media/b676a29a.Path.052728.avif</t>
  </si>
  <si>
    <t>5029f123</t>
  </si>
  <si>
    <t>https://ryycrdhlkmzpxwwwwupy.supabase.co/storage/v1/object/public/old_media/5029f123.Path.055547.webp</t>
  </si>
  <si>
    <t>6ce9e7e7</t>
  </si>
  <si>
    <t>https://ryycrdhlkmzpxwwwwupy.supabase.co/storage/v1/object/public/old_media/6ce9e7e7.Path.055612.avif</t>
  </si>
  <si>
    <t>66cb5685</t>
  </si>
  <si>
    <t>https://ryycrdhlkmzpxwwwwupy.supabase.co/storage/v1/object/public/old_media/66cb5685.Path.055636.avif</t>
  </si>
  <si>
    <t>ed9b2f0b</t>
  </si>
  <si>
    <t>https://ryycrdhlkmzpxwwwwupy.supabase.co/storage/v1/object/public/old_media/ed9b2f0b.Path.055701.avif</t>
  </si>
  <si>
    <t>d04523ff</t>
  </si>
  <si>
    <t>https://ryycrdhlkmzpxwwwwupy.supabase.co/storage/v1/object/public/old_media/d04523ff.Path.055727.jpg</t>
  </si>
  <si>
    <t>1eaad9cf</t>
  </si>
  <si>
    <t>https://ryycrdhlkmzpxwwwwupy.supabase.co/storage/v1/object/public/old_media/1eaad9cf.Path.072341.jpg</t>
  </si>
  <si>
    <t>ae05c9ad</t>
  </si>
  <si>
    <t>https://ryycrdhlkmzpxwwwwupy.supabase.co/storage/v1/object/public/old_media/ae05c9ad.Path.072408.jpg</t>
  </si>
  <si>
    <t>8fc8d316</t>
  </si>
  <si>
    <t>https://ryycrdhlkmzpxwwwwupy.supabase.co/storage/v1/object/public/old_media/8fc8d316.Path.072436.jpg</t>
  </si>
  <si>
    <t>683be400</t>
  </si>
  <si>
    <t>https://ryycrdhlkmzpxwwwwupy.supabase.co/storage/v1/object/public/old_media/683be400.Path.073504.jpg</t>
  </si>
  <si>
    <t>08ade3d9</t>
  </si>
  <si>
    <t>https://ryycrdhlkmzpxwwwwupy.supabase.co/storage/v1/object/public/old_media/08ade3d9.Path.073530.jpg</t>
  </si>
  <si>
    <t>c769fbe1</t>
  </si>
  <si>
    <t>https://ryycrdhlkmzpxwwwwupy.supabase.co/storage/v1/object/public/old_media/c769fbe1.Path.044225.jpg</t>
  </si>
  <si>
    <t>77b26fa8</t>
  </si>
  <si>
    <t>https://ryycrdhlkmzpxwwwwupy.supabase.co/storage/v1/object/public/old_media/77b26fa8.Path.044253.jpg</t>
  </si>
  <si>
    <t>86c007c2</t>
  </si>
  <si>
    <t>https://ryycrdhlkmzpxwwwwupy.supabase.co/storage/v1/object/public/old_media/86c007c2.Path.045725.jpg</t>
  </si>
  <si>
    <t>fa798146</t>
  </si>
  <si>
    <t>https://ryycrdhlkmzpxwwwwupy.supabase.co/storage/v1/object/public/old_media/fa798146.Path.065816.jpg</t>
  </si>
  <si>
    <t>d34534d7</t>
  </si>
  <si>
    <t>https://ryycrdhlkmzpxwwwwupy.supabase.co/storage/v1/object/public/old_media/d34534d7.Path.065918.jpg</t>
  </si>
  <si>
    <t>cc810b28</t>
  </si>
  <si>
    <t>https://ryycrdhlkmzpxwwwwupy.supabase.co/storage/v1/object/public/old_media/cc810b28.Path.070024.jpg</t>
  </si>
  <si>
    <t>d901879a</t>
  </si>
  <si>
    <t>https://ryycrdhlkmzpxwwwwupy.supabase.co/storage/v1/object/public/old_media/d901879a.Path.070130.jpg</t>
  </si>
  <si>
    <t>ce6f19ae</t>
  </si>
  <si>
    <t>https://ryycrdhlkmzpxwwwwupy.supabase.co/storage/v1/object/public/old_media/ce6f19ae.Path.070239.jpg</t>
  </si>
  <si>
    <t>697ce58e</t>
  </si>
  <si>
    <t>https://ryycrdhlkmzpxwwwwupy.supabase.co/storage/v1/object/public/old_media/697ce58e.Path.070337.jpg</t>
  </si>
  <si>
    <t>fa8cc064</t>
  </si>
  <si>
    <t>https://ryycrdhlkmzpxwwwwupy.supabase.co/storage/v1/object/public/old_media/fa8cc064.Path.070755.jpg</t>
  </si>
  <si>
    <t>2151b27f</t>
  </si>
  <si>
    <t>https://ryycrdhlkmzpxwwwwupy.supabase.co/storage/v1/object/public/old_media/2151b27f.Path.071249.jpg</t>
  </si>
  <si>
    <t>85f1f50b</t>
  </si>
  <si>
    <t>https://ryycrdhlkmzpxwwwwupy.supabase.co/storage/v1/object/public/old_media/85f1f50b.Path.092320.jpg</t>
  </si>
  <si>
    <t>d19c7d9d</t>
  </si>
  <si>
    <t>https://ryycrdhlkmzpxwwwwupy.supabase.co/storage/v1/object/public/old_media/d19c7d9d.Path.092347.jpg</t>
  </si>
  <si>
    <t>cc8c5af2</t>
  </si>
  <si>
    <t>https://ryycrdhlkmzpxwwwwupy.supabase.co/storage/v1/object/public/old_media/cc8c5af2.Path.092414.jpg</t>
  </si>
  <si>
    <t>cdb05e1d</t>
  </si>
  <si>
    <t>https://ryycrdhlkmzpxwwwwupy.supabase.co/storage/v1/object/public/old_media/cdb05e1d.Path.092708.webp</t>
  </si>
  <si>
    <t>68ae4492</t>
  </si>
  <si>
    <t>https://ryycrdhlkmzpxwwwwupy.supabase.co/storage/v1/object/public/old_media/68ae4492.Path.092734.webp</t>
  </si>
  <si>
    <t>b570293f</t>
  </si>
  <si>
    <t>https://ryycrdhlkmzpxwwwwupy.supabase.co/storage/v1/object/public/old_media/b570293f.Path.092758.webp</t>
  </si>
  <si>
    <t>6cbcd5a1</t>
  </si>
  <si>
    <t>https://ryycrdhlkmzpxwwwwupy.supabase.co/storage/v1/object/public/old_media/6cbcd5a1.Path.101036.jpg</t>
  </si>
  <si>
    <t>3089c6de</t>
  </si>
  <si>
    <t>https://ryycrdhlkmzpxwwwwupy.supabase.co/storage/v1/object/public/old_media/3089c6de.Path.101117.jpg</t>
  </si>
  <si>
    <t>b9111de7</t>
  </si>
  <si>
    <t>https://ryycrdhlkmzpxwwwwupy.supabase.co/storage/v1/object/public/old_media/b9111de7.Path.101211.jpg</t>
  </si>
  <si>
    <t>782e38da</t>
  </si>
  <si>
    <t>https://ryycrdhlkmzpxwwwwupy.supabase.co/storage/v1/object/public/old_media/782e38da.Path.101253.jpg</t>
  </si>
  <si>
    <t>62ead3ed</t>
  </si>
  <si>
    <t>https://ryycrdhlkmzpxwwwwupy.supabase.co/storage/v1/object/public/old_media/62ead3ed.Path.101330.jpg</t>
  </si>
  <si>
    <t>78bf1e2e</t>
  </si>
  <si>
    <t>https://ryycrdhlkmzpxwwwwupy.supabase.co/storage/v1/object/public/old_media/78bf1e2e.Path.101405.jpg</t>
  </si>
  <si>
    <t>5177ea17</t>
  </si>
  <si>
    <t>https://ryycrdhlkmzpxwwwwupy.supabase.co/storage/v1/object/public/old_media/5177ea17.Path.101438.jpg</t>
  </si>
  <si>
    <t>192ccf60</t>
  </si>
  <si>
    <t>https://ryycrdhlkmzpxwwwwupy.supabase.co/storage/v1/object/public/old_media/192ccf60.Path.101543.jpg</t>
  </si>
  <si>
    <t>365b57a0</t>
  </si>
  <si>
    <t>https://ryycrdhlkmzpxwwwwupy.supabase.co/storage/v1/object/public/old_media/365b57a0.Path.061629.jpg</t>
  </si>
  <si>
    <t>3658d894</t>
  </si>
  <si>
    <t>https://ryycrdhlkmzpxwwwwupy.supabase.co/storage/v1/object/public/old_media/3658d894.Path.095059.png</t>
  </si>
  <si>
    <t>Flyer</t>
  </si>
  <si>
    <t>cd97e869</t>
  </si>
  <si>
    <t>https://ryycrdhlkmzpxwwwwupy.supabase.co/storage/v1/object/public/old_media/cd97e869.Path.095142.png</t>
  </si>
  <si>
    <t>Corbeille cadeau</t>
  </si>
  <si>
    <t>d558038e</t>
  </si>
  <si>
    <t>https://ryycrdhlkmzpxwwwwupy.supabase.co/storage/v1/object/public/old_media/d558038e.Path.095209.png</t>
  </si>
  <si>
    <t>d1d1c7fd</t>
  </si>
  <si>
    <t>https://ryycrdhlkmzpxwwwwupy.supabase.co/storage/v1/object/public/old_media/d1d1c7fd.Path.095236.png</t>
  </si>
  <si>
    <t>4d196c87</t>
  </si>
  <si>
    <t>https://ryycrdhlkmzpxwwwwupy.supabase.co/storage/v1/object/public/old_media/4d196c87.Path.105057.png</t>
  </si>
  <si>
    <t>b8c15a7e</t>
  </si>
  <si>
    <t>https://ryycrdhlkmzpxwwwwupy.supabase.co/storage/v1/object/public/old_media/b8c15a7e.Path.105132.jpg</t>
  </si>
  <si>
    <t>19214541</t>
  </si>
  <si>
    <t>https://ryycrdhlkmzpxwwwwupy.supabase.co/storage/v1/object/public/old_media/19214541.Path.105222.png</t>
  </si>
  <si>
    <t>cd085b33</t>
  </si>
  <si>
    <t>https://ryycrdhlkmzpxwwwwupy.supabase.co/storage/v1/object/public/old_media/cd085b33.Path.105320.jpg</t>
  </si>
  <si>
    <t>9c661754</t>
  </si>
  <si>
    <t>https://ryycrdhlkmzpxwwwwupy.supabase.co/storage/v1/object/public/old_media/9c661754.Path.105844.jpg</t>
  </si>
  <si>
    <t>54f024f5</t>
  </si>
  <si>
    <t>https://ryycrdhlkmzpxwwwwupy.supabase.co/storage/v1/object/public/old_media/54f024f5.Path.053017.jpg</t>
  </si>
  <si>
    <t>81dbad94</t>
  </si>
  <si>
    <t>https://ryycrdhlkmzpxwwwwupy.supabase.co/storage/v1/object/public/old_media/81dbad94.Path.053052.jpg</t>
  </si>
  <si>
    <t>f30fd7ed</t>
  </si>
  <si>
    <t>https://ryycrdhlkmzpxwwwwupy.supabase.co/storage/v1/object/public/old_media/f30fd7ed.Path.053120.jpg</t>
  </si>
  <si>
    <t>8b81eade</t>
  </si>
  <si>
    <t>https://ryycrdhlkmzpxwwwwupy.supabase.co/storage/v1/object/public/old_media/8b81eade.Path.053149.jpg</t>
  </si>
  <si>
    <t>58ff1d4d</t>
  </si>
  <si>
    <t>https://ryycrdhlkmzpxwwwwupy.supabase.co/storage/v1/object/public/old_media/58ff1d4d.Path.053216.jpg</t>
  </si>
  <si>
    <t>Logo</t>
  </si>
  <si>
    <t>c4b5ac30</t>
  </si>
  <si>
    <t>https://ryycrdhlkmzpxwwwwupy.supabase.co/storage/v1/object/public/old_media/c4b5ac30.Path.073447.jpg</t>
  </si>
  <si>
    <t>e07544df</t>
  </si>
  <si>
    <t>https://ryycrdhlkmzpxwwwwupy.supabase.co/storage/v1/object/public/old_media/e07544df.Path.073519.jpg</t>
  </si>
  <si>
    <t>233d69fa</t>
  </si>
  <si>
    <t>https://ryycrdhlkmzpxwwwwupy.supabase.co/storage/v1/object/public/old_media/233d69fa.Path.073551.jpg</t>
  </si>
  <si>
    <t>2a27f4b4</t>
  </si>
  <si>
    <t>https://ryycrdhlkmzpxwwwwupy.supabase.co/storage/v1/object/public/old_media/2a27f4b4.Path.073620.jpg</t>
  </si>
  <si>
    <t>ca9a4086</t>
  </si>
  <si>
    <t>https://ryycrdhlkmzpxwwwwupy.supabase.co/storage/v1/object/public/old_media/ca9a4086.Path.073651.jpg</t>
  </si>
  <si>
    <t>da7a44c8</t>
  </si>
  <si>
    <t>https://ryycrdhlkmzpxwwwwupy.supabase.co/storage/v1/object/public/old_media/da7a44c8.Path.073724.jpg</t>
  </si>
  <si>
    <t>86723b5b</t>
  </si>
  <si>
    <t>https://ryycrdhlkmzpxwwwwupy.supabase.co/storage/v1/object/public/old_media/86723b5b.Path.101023.jpg</t>
  </si>
  <si>
    <t>0c894bd1</t>
  </si>
  <si>
    <t>https://ryycrdhlkmzpxwwwwupy.supabase.co/storage/v1/object/public/old_media/0c894bd1.Path.101052.avif</t>
  </si>
  <si>
    <t>66e0b82c</t>
  </si>
  <si>
    <t>https://ryycrdhlkmzpxwwwwupy.supabase.co/storage/v1/object/public/old_media/66e0b82c.Path.101121.avif</t>
  </si>
  <si>
    <t>5db9f7ea</t>
  </si>
  <si>
    <t>https://ryycrdhlkmzpxwwwwupy.supabase.co/storage/v1/object/public/old_media/5db9f7ea.Path.101153.avif</t>
  </si>
  <si>
    <t>c840c58e</t>
  </si>
  <si>
    <t>https://ryycrdhlkmzpxwwwwupy.supabase.co/storage/v1/object/public/old_media/c840c58e.Path.101221.avif</t>
  </si>
  <si>
    <t>60be8bc0</t>
  </si>
  <si>
    <t>https://ryycrdhlkmzpxwwwwupy.supabase.co/storage/v1/object/public/old_media/60be8bc0.Path.100503.jpg</t>
  </si>
  <si>
    <t>0bafb328</t>
  </si>
  <si>
    <t>https://ryycrdhlkmzpxwwwwupy.supabase.co/storage/v1/object/public/old_media/0bafb328.Path.100628.jpg</t>
  </si>
  <si>
    <t>cc1a6608</t>
  </si>
  <si>
    <t>https://ryycrdhlkmzpxwwwwupy.supabase.co/storage/v1/object/public/old_media/cc1a6608.Path.100702.jpg</t>
  </si>
  <si>
    <t>0db69cd5</t>
  </si>
  <si>
    <t>https://ryycrdhlkmzpxwwwwupy.supabase.co/storage/v1/object/public/old_media/0db69cd5.Path.112814.jpg</t>
  </si>
  <si>
    <t>b8fd0574</t>
  </si>
  <si>
    <t>https://ryycrdhlkmzpxwwwwupy.supabase.co/storage/v1/object/public/old_media/b8fd0574.Path.112843.jpg</t>
  </si>
  <si>
    <t>d119d601</t>
  </si>
  <si>
    <t>https://ryycrdhlkmzpxwwwwupy.supabase.co/storage/v1/object/public/old_media/d119d601.Path.112918.jpg</t>
  </si>
  <si>
    <t>40102a4b</t>
  </si>
  <si>
    <t>https://ryycrdhlkmzpxwwwwupy.supabase.co/storage/v1/object/public/old_media/40102a4b.Path.112948.jpg</t>
  </si>
  <si>
    <t>ef34e9c2</t>
  </si>
  <si>
    <t>https://ryycrdhlkmzpxwwwwupy.supabase.co/storage/v1/object/public/old_media/ef34e9c2.Path.113115.jpg</t>
  </si>
  <si>
    <t>33c5655b</t>
  </si>
  <si>
    <t>https://ryycrdhlkmzpxwwwwupy.supabase.co/storage/v1/object/public/old_media/33c5655b.Path.113146.jpg</t>
  </si>
  <si>
    <t>ab43af8f</t>
  </si>
  <si>
    <t>https://ryycrdhlkmzpxwwwwupy.supabase.co/storage/v1/object/public/old_media/ab43af8f.Path.113218.jpg</t>
  </si>
  <si>
    <t>c690ded0</t>
  </si>
  <si>
    <t>https://ryycrdhlkmzpxwwwwupy.supabase.co/storage/v1/object/public/old_media/c690ded0.Path.043344.jpg</t>
  </si>
  <si>
    <t>ff39a6a0</t>
  </si>
  <si>
    <t>https://ryycrdhlkmzpxwwwwupy.supabase.co/storage/v1/object/public/old_media/ff39a6a0.Path.043427.jpg</t>
  </si>
  <si>
    <t>cb1c8b0b</t>
  </si>
  <si>
    <t>https://ryycrdhlkmzpxwwwwupy.supabase.co/storage/v1/object/public/old_media/cb1c8b0b.Path.072355.jpg</t>
  </si>
  <si>
    <t>0b6eea76</t>
  </si>
  <si>
    <t>https://ryycrdhlkmzpxwwwwupy.supabase.co/storage/v1/object/public/old_media/0b6eea76.Path.100848.jpg</t>
  </si>
  <si>
    <t>fce8fd33</t>
  </si>
  <si>
    <t>https://ryycrdhlkmzpxwwwwupy.supabase.co/storage/v1/object/public/old_media/fce8fd33.Path.064530.jpg</t>
  </si>
  <si>
    <t>49908ca7</t>
  </si>
  <si>
    <t>https://ryycrdhlkmzpxwwwwupy.supabase.co/storage/v1/object/public/old_media/49908ca7.Path.064641.jpg</t>
  </si>
  <si>
    <t>815cc6ce</t>
  </si>
  <si>
    <t>https://ryycrdhlkmzpxwwwwupy.supabase.co/storage/v1/object/public/old_media/815cc6ce.Path.064816.jpg</t>
  </si>
  <si>
    <t>f6502cf0</t>
  </si>
  <si>
    <t>https://ryycrdhlkmzpxwwwwupy.supabase.co/storage/v1/object/public/old_media/f6502cf0.Path.071204.jpg</t>
  </si>
  <si>
    <t>61ca7b02</t>
  </si>
  <si>
    <t>https://ryycrdhlkmzpxwwwwupy.supabase.co/storage/v1/object/public/old_media/61ca7b02.Path.071233.jpg</t>
  </si>
  <si>
    <t>66cb1cad</t>
  </si>
  <si>
    <t>https://ryycrdhlkmzpxwwwwupy.supabase.co/storage/v1/object/public/old_media/66cb1cad.Path.071300.jpg</t>
  </si>
  <si>
    <t>dcafc09f</t>
  </si>
  <si>
    <t>https://ryycrdhlkmzpxwwwwupy.supabase.co/storage/v1/object/public/old_media/dcafc09f.Path.104813.jpg</t>
  </si>
  <si>
    <t>8c55f779</t>
  </si>
  <si>
    <t>https://ryycrdhlkmzpxwwwwupy.supabase.co/storage/v1/object/public/old_media/8c55f779.Path.104841.jpg</t>
  </si>
  <si>
    <t>96687824</t>
  </si>
  <si>
    <t>https://ryycrdhlkmzpxwwwwupy.supabase.co/storage/v1/object/public/old_media/96687824.Path.070203.jpg</t>
  </si>
  <si>
    <t>5405194a</t>
  </si>
  <si>
    <t>https://ryycrdhlkmzpxwwwwupy.supabase.co/storage/v1/object/public/old_media/5405194a.Path.070334.webp</t>
  </si>
  <si>
    <t>1f5f760d</t>
  </si>
  <si>
    <t>https://ryycrdhlkmzpxwwwwupy.supabase.co/storage/v1/object/public/old_media/1f5f760d.Path.070351.jpg</t>
  </si>
  <si>
    <t>d0df5a3b</t>
  </si>
  <si>
    <t>https://ryycrdhlkmzpxwwwwupy.supabase.co/storage/v1/object/public/old_media/d0df5a3b.Path.070404.webp</t>
  </si>
  <si>
    <t>1cb12f1f</t>
  </si>
  <si>
    <t>https://ryycrdhlkmzpxwwwwupy.supabase.co/storage/v1/object/public/old_media/1cb12f1f.Path.070422.jpg</t>
  </si>
  <si>
    <t>f17f92eb</t>
  </si>
  <si>
    <t>https://ryycrdhlkmzpxwwwwupy.supabase.co/storage/v1/object/public/old_media/f17f92eb.Path.061003.avif</t>
  </si>
  <si>
    <t>2a119d1d</t>
  </si>
  <si>
    <t>https://ryycrdhlkmzpxwwwwupy.supabase.co/storage/v1/object/public/old_media/2a119d1d.Path.061032.avif</t>
  </si>
  <si>
    <t>ba2b9d26</t>
  </si>
  <si>
    <t>https://ryycrdhlkmzpxwwwwupy.supabase.co/storage/v1/object/public/old_media/ba2b9d26.Path.061103.jpg</t>
  </si>
  <si>
    <t>a188f45d</t>
  </si>
  <si>
    <t>https://ryycrdhlkmzpxwwwwupy.supabase.co/storage/v1/object/public/old_media/a188f45d.Path.103131.avif</t>
  </si>
  <si>
    <t>3697f6d8</t>
  </si>
  <si>
    <t>https://ryycrdhlkmzpxwwwwupy.supabase.co/storage/v1/object/public/old_media/3697f6d8.Path.103229.avif</t>
  </si>
  <si>
    <t>c4418f16</t>
  </si>
  <si>
    <t>https://ryycrdhlkmzpxwwwwupy.supabase.co/storage/v1/object/public/old_media/c4418f16.Path.103410.avif</t>
  </si>
  <si>
    <t>6c4597f5</t>
  </si>
  <si>
    <t>https://ryycrdhlkmzpxwwwwupy.supabase.co/storage/v1/object/public/old_media/6c4597f5.Path.105003.jpg</t>
  </si>
  <si>
    <t>a78f49d1</t>
  </si>
  <si>
    <t>https://ryycrdhlkmzpxwwwwupy.supabase.co/storage/v1/object/public/old_media/a78f49d1.Path.105032.jpg</t>
  </si>
  <si>
    <t>8f3fa180</t>
  </si>
  <si>
    <t>https://ryycrdhlkmzpxwwwwupy.supabase.co/storage/v1/object/public/old_media/8f3fa180.Path.105102.jpg</t>
  </si>
  <si>
    <t>33193047</t>
  </si>
  <si>
    <t>https://ryycrdhlkmzpxwwwwupy.supabase.co/storage/v1/object/public/old_media/33193047.Path.053050.jpg</t>
  </si>
  <si>
    <t>8e0f7a8e</t>
  </si>
  <si>
    <t>https://ryycrdhlkmzpxwwwwupy.supabase.co/storage/v1/object/public/old_media/8e0f7a8e.Path.053119.jpg</t>
  </si>
  <si>
    <t>be81672a</t>
  </si>
  <si>
    <t>https://ryycrdhlkmzpxwwwwupy.supabase.co/storage/v1/object/public/old_media/be81672a.Path.053146.jpg</t>
  </si>
  <si>
    <t>c211ee8e</t>
  </si>
  <si>
    <t>https://ryycrdhlkmzpxwwwwupy.supabase.co/storage/v1/object/public/old_media/c211ee8e.Path.053218.jpg</t>
  </si>
  <si>
    <t>68d36431</t>
  </si>
  <si>
    <t>https://ryycrdhlkmzpxwwwwupy.supabase.co/storage/v1/object/public/old_media/68d36431.Path.053252.jpg</t>
  </si>
  <si>
    <t>b56adc22</t>
  </si>
  <si>
    <t>https://ryycrdhlkmzpxwwwwupy.supabase.co/storage/v1/object/public/old_media/b56adc22.Path.053323.jpg</t>
  </si>
  <si>
    <t>69dcba79</t>
  </si>
  <si>
    <t>https://ryycrdhlkmzpxwwwwupy.supabase.co/storage/v1/object/public/old_media/69dcba79.Path.053354.jpg</t>
  </si>
  <si>
    <t>6495d63b</t>
  </si>
  <si>
    <t>https://ryycrdhlkmzpxwwwwupy.supabase.co/storage/v1/object/public/old_media/6495d63b.Path.053423.jpg</t>
  </si>
  <si>
    <t>0a667c7b</t>
  </si>
  <si>
    <t>https://ryycrdhlkmzpxwwwwupy.supabase.co/storage/v1/object/public/old_media/0a667c7b.Path.073813.jpg</t>
  </si>
  <si>
    <t>05399d9a</t>
  </si>
  <si>
    <t>https://ryycrdhlkmzpxwwwwupy.supabase.co/storage/v1/object/public/old_media/05399d9a.Path.074315.jpg</t>
  </si>
  <si>
    <t>ca381d4c</t>
  </si>
  <si>
    <t>https://ryycrdhlkmzpxwwwwupy.supabase.co/storage/v1/object/public/old_media/ca381d4c.Path.074348.jpg</t>
  </si>
  <si>
    <t>3cab883e</t>
  </si>
  <si>
    <t>https://ryycrdhlkmzpxwwwwupy.supabase.co/storage/v1/object/public/old_media/3cab883e.Path.074416.jpg</t>
  </si>
  <si>
    <t>f826f17e</t>
  </si>
  <si>
    <t>https://ryycrdhlkmzpxwwwwupy.supabase.co/storage/v1/object/public/old_media/f826f17e.Path.074447.jpg</t>
  </si>
  <si>
    <t>474f02c5</t>
  </si>
  <si>
    <t>https://ryycrdhlkmzpxwwwwupy.supabase.co/storage/v1/object/public/old_media/474f02c5.Path.074517.jpg</t>
  </si>
  <si>
    <t>0166da33</t>
  </si>
  <si>
    <t>https://ryycrdhlkmzpxwwwwupy.supabase.co/storage/v1/object/public/old_media/0166da33.Path.074545.jpg</t>
  </si>
  <si>
    <t>375a1a8d</t>
  </si>
  <si>
    <t>https://ryycrdhlkmzpxwwwwupy.supabase.co/storage/v1/object/public/old_media/375a1a8d.Path.074614.jpg</t>
  </si>
  <si>
    <t>38013b4a</t>
  </si>
  <si>
    <t>https://ryycrdhlkmzpxwwwwupy.supabase.co/storage/v1/object/public/old_media/38013b4a.Path.053949.jpg</t>
  </si>
  <si>
    <t>091eee33</t>
  </si>
  <si>
    <t>https://ryycrdhlkmzpxwwwwupy.supabase.co/storage/v1/object/public/old_media/091eee33.Path.044934.jpg</t>
  </si>
  <si>
    <t>4e6a2213</t>
  </si>
  <si>
    <t>https://ryycrdhlkmzpxwwwwupy.supabase.co/storage/v1/object/public/old_media/4e6a2213.Path.045005.jpg</t>
  </si>
  <si>
    <t>a387ffbe</t>
  </si>
  <si>
    <t>https://ryycrdhlkmzpxwwwwupy.supabase.co/storage/v1/object/public/old_media/a387ffbe.Path.045039.jpg</t>
  </si>
  <si>
    <t>39d1f643</t>
  </si>
  <si>
    <t>https://ryycrdhlkmzpxwwwwupy.supabase.co/storage/v1/object/public/old_media/39d1f643.Path.045616.jpg</t>
  </si>
  <si>
    <t>d10dcfcb</t>
  </si>
  <si>
    <t>https://ryycrdhlkmzpxwwwwupy.supabase.co/storage/v1/object/public/old_media/d10dcfcb.Path.054638.jpg</t>
  </si>
  <si>
    <t>2a798fbe</t>
  </si>
  <si>
    <t>https://ryycrdhlkmzpxwwwwupy.supabase.co/storage/v1/object/public/old_media/2a798fbe.Path.054709.jpg</t>
  </si>
  <si>
    <t>1700ccfd</t>
  </si>
  <si>
    <t>https://ryycrdhlkmzpxwwwwupy.supabase.co/storage/v1/object/public/old_media/1700ccfd.Path.054736.jpg</t>
  </si>
  <si>
    <t>c0fc890e</t>
  </si>
  <si>
    <t>https://ryycrdhlkmzpxwwwwupy.supabase.co/storage/v1/object/public/old_media/c0fc890e.Path.054803.jpg</t>
  </si>
  <si>
    <t>c7cf3e36</t>
  </si>
  <si>
    <t>https://ryycrdhlkmzpxwwwwupy.supabase.co/storage/v1/object/public/old_media/c7cf3e36.Path.070952.jpg</t>
  </si>
  <si>
    <t>f11b12ae</t>
  </si>
  <si>
    <t>https://ryycrdhlkmzpxwwwwupy.supabase.co/storage/v1/object/public/old_media/f11b12ae.Path.071021.jpg</t>
  </si>
  <si>
    <t>fcedc42e</t>
  </si>
  <si>
    <t>https://ryycrdhlkmzpxwwwwupy.supabase.co/storage/v1/object/public/old_media/fcedc42e.Path.071352.png</t>
  </si>
  <si>
    <t>286a0cea</t>
  </si>
  <si>
    <t>https://ryycrdhlkmzpxwwwwupy.supabase.co/storage/v1/object/public/old_media/286a0cea.Path.071422.png</t>
  </si>
  <si>
    <t>a3dbd5a4</t>
  </si>
  <si>
    <t>https://ryycrdhlkmzpxwwwwupy.supabase.co/storage/v1/object/public/old_media/a3dbd5a4.Path.071458.png</t>
  </si>
  <si>
    <t>b84eb8f8</t>
  </si>
  <si>
    <t>https://ryycrdhlkmzpxwwwwupy.supabase.co/storage/v1/object/public/old_media/b84eb8f8.Path.071526.png</t>
  </si>
  <si>
    <t>d219852a</t>
  </si>
  <si>
    <t>https://ryycrdhlkmzpxwwwwupy.supabase.co/storage/v1/object/public/old_media/d219852a.Path.071601.png</t>
  </si>
  <si>
    <t>f36fd8c7</t>
  </si>
  <si>
    <t>https://ryycrdhlkmzpxwwwwupy.supabase.co/storage/v1/object/public/old_media/f36fd8c7.Path.071634.png</t>
  </si>
  <si>
    <t>e4d6104f</t>
  </si>
  <si>
    <t>https://ryycrdhlkmzpxwwwwupy.supabase.co/storage/v1/object/public/old_media/e4d6104f.Path.041814.png</t>
  </si>
  <si>
    <t>53d8f4e9</t>
  </si>
  <si>
    <t>https://ryycrdhlkmzpxwwwwupy.supabase.co/storage/v1/object/public/old_media/53d8f4e9.Path.041847.png</t>
  </si>
  <si>
    <t>9a0937d7</t>
  </si>
  <si>
    <t>https://ryycrdhlkmzpxwwwwupy.supabase.co/storage/v1/object/public/old_media/9a0937d7.Path.041916.png</t>
  </si>
  <si>
    <t>56f2da83</t>
  </si>
  <si>
    <t>https://ryycrdhlkmzpxwwwwupy.supabase.co/storage/v1/object/public/old_media/56f2da83.Path.041944.png</t>
  </si>
  <si>
    <t>9ebbc310</t>
  </si>
  <si>
    <t>https://ryycrdhlkmzpxwwwwupy.supabase.co/storage/v1/object/public/old_media/9ebbc310.Path.062843.jpg</t>
  </si>
  <si>
    <t>3852e1b9</t>
  </si>
  <si>
    <t>https://ryycrdhlkmzpxwwwwupy.supabase.co/storage/v1/object/public/old_media/3852e1b9.Path.062915.jpg</t>
  </si>
  <si>
    <t>09b336ac</t>
  </si>
  <si>
    <t>https://ryycrdhlkmzpxwwwwupy.supabase.co/storage/v1/object/public/old_media/09b336ac.Path.062952.jpg</t>
  </si>
  <si>
    <t>d16a455a</t>
  </si>
  <si>
    <t>https://ryycrdhlkmzpxwwwwupy.supabase.co/storage/v1/object/public/old_media/d16a455a.Path.061229.jpg</t>
  </si>
  <si>
    <t>7e27c73e</t>
  </si>
  <si>
    <t>https://ryycrdhlkmzpxwwwwupy.supabase.co/storage/v1/object/public/old_media/7e27c73e.Path.061257.jpg</t>
  </si>
  <si>
    <t>f47196b5</t>
  </si>
  <si>
    <t>https://ryycrdhlkmzpxwwwwupy.supabase.co/storage/v1/object/public/old_media/f47196b5.Path.061323.jpg</t>
  </si>
  <si>
    <t>3be685f5</t>
  </si>
  <si>
    <t>https://ryycrdhlkmzpxwwwwupy.supabase.co/storage/v1/object/public/old_media/3be685f5.Path.061349.jpg</t>
  </si>
  <si>
    <t>1c419fdd</t>
  </si>
  <si>
    <t>https://ryycrdhlkmzpxwwwwupy.supabase.co/storage/v1/object/public/old_media/1c419fdd.Path.061415.jpg</t>
  </si>
  <si>
    <t>28f76ef2</t>
  </si>
  <si>
    <t>https://ryycrdhlkmzpxwwwwupy.supabase.co/storage/v1/object/public/old_media/28f76ef2.Path.061445.jpg</t>
  </si>
  <si>
    <t>f4be1029</t>
  </si>
  <si>
    <t>https://ryycrdhlkmzpxwwwwupy.supabase.co/storage/v1/object/public/old_media/f4be1029.Path.061730.jpg</t>
  </si>
  <si>
    <t>e0783eec</t>
  </si>
  <si>
    <t>https://ryycrdhlkmzpxwwwwupy.supabase.co/storage/v1/object/public/old_media/e0783eec.Path.092334.jpg</t>
  </si>
  <si>
    <t>a8759e97</t>
  </si>
  <si>
    <t>https://ryycrdhlkmzpxwwwwupy.supabase.co/storage/v1/object/public/old_media/a8759e97.Path.092402.jpg</t>
  </si>
  <si>
    <t>0b75c1ba</t>
  </si>
  <si>
    <t>https://ryycrdhlkmzpxwwwwupy.supabase.co/storage/v1/object/public/old_media/0b75c1ba.Path.044354.avif</t>
  </si>
  <si>
    <t>641f1161</t>
  </si>
  <si>
    <t>https://ryycrdhlkmzpxwwwwupy.supabase.co/storage/v1/object/public/old_media/641f1161.Path.044424.avif</t>
  </si>
  <si>
    <t>0e1c07ff</t>
  </si>
  <si>
    <t>https://ryycrdhlkmzpxwwwwupy.supabase.co/storage/v1/object/public/old_media/0e1c07ff.Path.044451.avif</t>
  </si>
  <si>
    <t>b4565c3f</t>
  </si>
  <si>
    <t>https://ryycrdhlkmzpxwwwwupy.supabase.co/storage/v1/object/public/old_media/b4565c3f.Path.044520.avif</t>
  </si>
  <si>
    <t>d0550d8b</t>
  </si>
  <si>
    <t>https://ryycrdhlkmzpxwwwwupy.supabase.co/storage/v1/object/public/old_media/d0550d8b.Path.044548.avif</t>
  </si>
  <si>
    <t>f4c4200a</t>
  </si>
  <si>
    <t>https://ryycrdhlkmzpxwwwwupy.supabase.co/storage/v1/object/public/old_media/f4c4200a.Path.044617.avif</t>
  </si>
  <si>
    <t>15c62759</t>
  </si>
  <si>
    <t>https://ryycrdhlkmzpxwwwwupy.supabase.co/storage/v1/object/public/old_media/15c62759.Path.044644.avif</t>
  </si>
  <si>
    <t>4d917d66</t>
  </si>
  <si>
    <t>https://ryycrdhlkmzpxwwwwupy.supabase.co/storage/v1/object/public/old_media/4d917d66.Path.044712.avif</t>
  </si>
  <si>
    <t>22f98b64</t>
  </si>
  <si>
    <t>https://ryycrdhlkmzpxwwwwupy.supabase.co/storage/v1/object/public/old_media/22f98b64.Path.050349.png</t>
  </si>
  <si>
    <t>052573a7</t>
  </si>
  <si>
    <t>https://ryycrdhlkmzpxwwwwupy.supabase.co/storage/v1/object/public/old_media/052573a7.Path.050545.png</t>
  </si>
  <si>
    <t>fffaba07</t>
  </si>
  <si>
    <t>https://ryycrdhlkmzpxwwwwupy.supabase.co/storage/v1/object/public/old_media/fffaba07.Path.050628.png</t>
  </si>
  <si>
    <t>d02389b5</t>
  </si>
  <si>
    <t>https://ryycrdhlkmzpxwwwwupy.supabase.co/storage/v1/object/public/old_media/d02389b5.Path.050731.png</t>
  </si>
  <si>
    <t>aaedc6c2</t>
  </si>
  <si>
    <t>https://ryycrdhlkmzpxwwwwupy.supabase.co/storage/v1/object/public/old_media/aaedc6c2.Path.050812.png</t>
  </si>
  <si>
    <t>576ff7c6</t>
  </si>
  <si>
    <t>https://ryycrdhlkmzpxwwwwupy.supabase.co/storage/v1/object/public/old_media/576ff7c6.Path.070701.jpg</t>
  </si>
  <si>
    <t>18b40466</t>
  </si>
  <si>
    <t>https://ryycrdhlkmzpxwwwwupy.supabase.co/storage/v1/object/public/old_media/18b40466.Path.070738.jpg</t>
  </si>
  <si>
    <t>faefa29c</t>
  </si>
  <si>
    <t>https://ryycrdhlkmzpxwwwwupy.supabase.co/storage/v1/object/public/old_media/faefa29c.Path.070809.jpg</t>
  </si>
  <si>
    <t>4a40906a</t>
  </si>
  <si>
    <t>https://ryycrdhlkmzpxwwwwupy.supabase.co/storage/v1/object/public/old_media/4a40906a.Path.070842.jpg</t>
  </si>
  <si>
    <t>84af58ed</t>
  </si>
  <si>
    <t>https://ryycrdhlkmzpxwwwwupy.supabase.co/storage/v1/object/public/old_media/84af58ed.Path.070914.jpg</t>
  </si>
  <si>
    <t>782a1991</t>
  </si>
  <si>
    <t>https://ryycrdhlkmzpxwwwwupy.supabase.co/storage/v1/object/public/old_media/782a1991.Path.070948.jpg</t>
  </si>
  <si>
    <t>c154c6f4</t>
  </si>
  <si>
    <t>https://ryycrdhlkmzpxwwwwupy.supabase.co/storage/v1/object/public/old_media/c154c6f4.Path.111658.jpg</t>
  </si>
  <si>
    <t>1f12ef41</t>
  </si>
  <si>
    <t>https://ryycrdhlkmzpxwwwwupy.supabase.co/storage/v1/object/public/old_media/1f12ef41.Path.111729.jpg</t>
  </si>
  <si>
    <t>6e2d6795</t>
  </si>
  <si>
    <t>https://ryycrdhlkmzpxwwwwupy.supabase.co/storage/v1/object/public/old_media/6e2d6795.Path.111801.jpg</t>
  </si>
  <si>
    <t>ba304648</t>
  </si>
  <si>
    <t>https://ryycrdhlkmzpxwwwwupy.supabase.co/storage/v1/object/public/old_media/ba304648.Path.111834.jpg</t>
  </si>
  <si>
    <t>92e7c290</t>
  </si>
  <si>
    <t>https://ryycrdhlkmzpxwwwwupy.supabase.co/storage/v1/object/public/old_media/92e7c290.Path.111905.jpg</t>
  </si>
  <si>
    <t>01f0cbc6</t>
  </si>
  <si>
    <t>https://ryycrdhlkmzpxwwwwupy.supabase.co/storage/v1/object/public/old_media/01f0cbc6.Path.112309.jpg</t>
  </si>
  <si>
    <t>b2f438ff</t>
  </si>
  <si>
    <t>https://ryycrdhlkmzpxwwwwupy.supabase.co/storage/v1/object/public/old_media/b2f438ff.Path.112641.jpg</t>
  </si>
  <si>
    <t>3697a239</t>
  </si>
  <si>
    <t>https://ryycrdhlkmzpxwwwwupy.supabase.co/storage/v1/object/public/old_media/3697a239.Path.050425.avif</t>
  </si>
  <si>
    <t>d434aa60</t>
  </si>
  <si>
    <t>https://ryycrdhlkmzpxwwwwupy.supabase.co/storage/v1/object/public/old_media/d434aa60.Path.050456.avif</t>
  </si>
  <si>
    <t>6d95cb2b</t>
  </si>
  <si>
    <t>https://ryycrdhlkmzpxwwwwupy.supabase.co/storage/v1/object/public/old_media/6d95cb2b.Path.050530.avif</t>
  </si>
  <si>
    <t>464f1eed</t>
  </si>
  <si>
    <t>https://ryycrdhlkmzpxwwwwupy.supabase.co/storage/v1/object/public/old_media/464f1eed.Path.050607.avif</t>
  </si>
  <si>
    <t>e9cf1b04</t>
  </si>
  <si>
    <t>https://ryycrdhlkmzpxwwwwupy.supabase.co/storage/v1/object/public/old_media/e9cf1b04.Path.050643.jpg</t>
  </si>
  <si>
    <t>35c7cb53</t>
  </si>
  <si>
    <t>https://ryycrdhlkmzpxwwwwupy.supabase.co/storage/v1/object/public/old_media/35c7cb53.Path.075338.avif</t>
  </si>
  <si>
    <t>f9627c19</t>
  </si>
  <si>
    <t>https://ryycrdhlkmzpxwwwwupy.supabase.co/storage/v1/object/public/old_media/f9627c19.Path.075407.avif</t>
  </si>
  <si>
    <t>e65009cc</t>
  </si>
  <si>
    <t>https://ryycrdhlkmzpxwwwwupy.supabase.co/storage/v1/object/public/old_media/e65009cc.Path.075434.avif</t>
  </si>
  <si>
    <t>b1c26c85</t>
  </si>
  <si>
    <t>https://ryycrdhlkmzpxwwwwupy.supabase.co/storage/v1/object/public/old_media/b1c26c85.Path.075503.avif</t>
  </si>
  <si>
    <t>45b361f1</t>
  </si>
  <si>
    <t>https://ryycrdhlkmzpxwwwwupy.supabase.co/storage/v1/object/public/old_media/45b361f1.Path.075532.avif</t>
  </si>
  <si>
    <t>00069eb6</t>
  </si>
  <si>
    <t>https://ryycrdhlkmzpxwwwwupy.supabase.co/storage/v1/object/public/old_media/00069eb6.Path.075603.avif</t>
  </si>
  <si>
    <t>4c8e90dc</t>
  </si>
  <si>
    <t>https://ryycrdhlkmzpxwwwwupy.supabase.co/storage/v1/object/public/old_media/4c8e90dc.Path.075637.avif</t>
  </si>
  <si>
    <t>a9713cfb</t>
  </si>
  <si>
    <t>https://ryycrdhlkmzpxwwwwupy.supabase.co/storage/v1/object/public/old_media/a9713cfb.Path.051427.jpg</t>
  </si>
  <si>
    <t>d8f6301b</t>
  </si>
  <si>
    <t>https://ryycrdhlkmzpxwwwwupy.supabase.co/storage/v1/object/public/old_media/d8f6301b.Path.051456.jpg</t>
  </si>
  <si>
    <t>ef7b323d</t>
  </si>
  <si>
    <t>https://ryycrdhlkmzpxwwwwupy.supabase.co/storage/v1/object/public/old_media/ef7b323d.Path.051528.jpg</t>
  </si>
  <si>
    <t>101d79d9</t>
  </si>
  <si>
    <t>https://ryycrdhlkmzpxwwwwupy.supabase.co/storage/v1/object/public/old_media/101d79d9.Path.051916.jpg</t>
  </si>
  <si>
    <t>8b7d5ccc</t>
  </si>
  <si>
    <t>https://ryycrdhlkmzpxwwwwupy.supabase.co/storage/v1/object/public/old_media/8b7d5ccc.Path.053038.avif</t>
  </si>
  <si>
    <t>663cd01f</t>
  </si>
  <si>
    <t>https://ryycrdhlkmzpxwwwwupy.supabase.co/storage/v1/object/public/old_media/663cd01f.Path.053142.avif</t>
  </si>
  <si>
    <t>08d42d80</t>
  </si>
  <si>
    <t>https://ryycrdhlkmzpxwwwwupy.supabase.co/storage/v1/object/public/old_media/08d42d80.Path.053220.avif</t>
  </si>
  <si>
    <t>11b19e05</t>
  </si>
  <si>
    <t>https://ryycrdhlkmzpxwwwwupy.supabase.co/storage/v1/object/public/old_media/11b19e05.Path.053252.avif</t>
  </si>
  <si>
    <t>d47cae81</t>
  </si>
  <si>
    <t>https://ryycrdhlkmzpxwwwwupy.supabase.co/storage/v1/object/public/old_media/d47cae81.Path.053323.avif</t>
  </si>
  <si>
    <t>9052e94d</t>
  </si>
  <si>
    <t>https://ryycrdhlkmzpxwwwwupy.supabase.co/storage/v1/object/public/old_media/9052e94d.Path.053354.avif</t>
  </si>
  <si>
    <t>c26eae62</t>
  </si>
  <si>
    <t>https://ryycrdhlkmzpxwwwwupy.supabase.co/storage/v1/object/public/old_media/c26eae62.Path.053804.avif</t>
  </si>
  <si>
    <t>cc04c969</t>
  </si>
  <si>
    <t>https://ryycrdhlkmzpxwwwwupy.supabase.co/storage/v1/object/public/old_media/cc04c969.Path.053839.avif</t>
  </si>
  <si>
    <t>bc204577</t>
  </si>
  <si>
    <t>https://ryycrdhlkmzpxwwwwupy.supabase.co/storage/v1/object/public/old_media/bc204577.Path.105658.jpg</t>
  </si>
  <si>
    <t>bb28ad9d</t>
  </si>
  <si>
    <t>https://ryycrdhlkmzpxwwwwupy.supabase.co/storage/v1/object/public/old_media/bb28ad9d.Path.105734.jpg</t>
  </si>
  <si>
    <t>121ff0e7</t>
  </si>
  <si>
    <t>https://ryycrdhlkmzpxwwwwupy.supabase.co/storage/v1/object/public/old_media/121ff0e7.Path.105805.jpg</t>
  </si>
  <si>
    <t>1fab22a3</t>
  </si>
  <si>
    <t>https://ryycrdhlkmzpxwwwwupy.supabase.co/storage/v1/object/public/old_media/1fab22a3.Path.105838.jpg</t>
  </si>
  <si>
    <t>c8ed7a39</t>
  </si>
  <si>
    <t>https://ryycrdhlkmzpxwwwwupy.supabase.co/storage/v1/object/public/old_media/c8ed7a39.Path.110012.jpg</t>
  </si>
  <si>
    <t>1e18d90a</t>
  </si>
  <si>
    <t>https://ryycrdhlkmzpxwwwwupy.supabase.co/storage/v1/object/public/old_media/1e18d90a.Path.110625.jpg</t>
  </si>
  <si>
    <t>3c8f2cc5</t>
  </si>
  <si>
    <t>https://ryycrdhlkmzpxwwwwupy.supabase.co/storage/v1/object/public/old_media/3c8f2cc5.Path.063022.jpg</t>
  </si>
  <si>
    <t>5057099b</t>
  </si>
  <si>
    <t>https://ryycrdhlkmzpxwwwwupy.supabase.co/storage/v1/object/public/old_media/5057099b.Path.071826.png</t>
  </si>
  <si>
    <t>df5bd467</t>
  </si>
  <si>
    <t>https://ryycrdhlkmzpxwwwwupy.supabase.co/storage/v1/object/public/old_media/df5bd467.Path.071856.png</t>
  </si>
  <si>
    <t>9cc89ae5</t>
  </si>
  <si>
    <t>https://ryycrdhlkmzpxwwwwupy.supabase.co/storage/v1/object/public/old_media/9cc89ae5.Path.071928.png</t>
  </si>
  <si>
    <t>c52efa71</t>
  </si>
  <si>
    <t>https://ryycrdhlkmzpxwwwwupy.supabase.co/storage/v1/object/public/old_media/c52efa71.Path.110504.jpg</t>
  </si>
  <si>
    <t>2ada49ec</t>
  </si>
  <si>
    <t>https://ryycrdhlkmzpxwwwwupy.supabase.co/storage/v1/object/public/old_media/2ada49ec.Path.110537.jpg</t>
  </si>
  <si>
    <t>796c73b3</t>
  </si>
  <si>
    <t>https://ryycrdhlkmzpxwwwwupy.supabase.co/storage/v1/object/public/old_media/796c73b3.Path.111055.jpg</t>
  </si>
  <si>
    <t>7956c880</t>
  </si>
  <si>
    <t>https://ryycrdhlkmzpxwwwwupy.supabase.co/storage/v1/object/public/old_media/7956c880.Path.111124.jpg</t>
  </si>
  <si>
    <t>f2947d69</t>
  </si>
  <si>
    <t>https://ryycrdhlkmzpxwwwwupy.supabase.co/storage/v1/object/public/old_media/f2947d69.Path.111155.jpg</t>
  </si>
  <si>
    <t>0a5f9e61</t>
  </si>
  <si>
    <t>https://ryycrdhlkmzpxwwwwupy.supabase.co/storage/v1/object/public/old_media/0a5f9e61.Path.111225.jpg</t>
  </si>
  <si>
    <t>36ee7a75</t>
  </si>
  <si>
    <t>https://ryycrdhlkmzpxwwwwupy.supabase.co/storage/v1/object/public/old_media/36ee7a75.Path.111255.jpg</t>
  </si>
  <si>
    <t>255f52c3</t>
  </si>
  <si>
    <t>https://ryycrdhlkmzpxwwwwupy.supabase.co/storage/v1/object/public/old_media/255f52c3.Path.111326.jpg</t>
  </si>
  <si>
    <t>7569b90c</t>
  </si>
  <si>
    <t>https://ryycrdhlkmzpxwwwwupy.supabase.co/storage/v1/object/public/old_media/7569b90c.Path.111358.jpg</t>
  </si>
  <si>
    <t>c945bf8f</t>
  </si>
  <si>
    <t>https://ryycrdhlkmzpxwwwwupy.supabase.co/storage/v1/object/public/old_media/c945bf8f.Path.044200.jpg</t>
  </si>
  <si>
    <t>840669dc</t>
  </si>
  <si>
    <t>https://ryycrdhlkmzpxwwwwupy.supabase.co/storage/v1/object/public/old_media/840669dc.Path.044249.jpg</t>
  </si>
  <si>
    <t>107c52f4</t>
  </si>
  <si>
    <t>https://ryycrdhlkmzpxwwwwupy.supabase.co/storage/v1/object/public/old_media/107c52f4.Path.044344.jpg</t>
  </si>
  <si>
    <t>66ad796f</t>
  </si>
  <si>
    <t>https://ryycrdhlkmzpxwwwwupy.supabase.co/storage/v1/object/public/old_media/66ad796f.Path.044437.jpg</t>
  </si>
  <si>
    <t>967ddccf</t>
  </si>
  <si>
    <t>https://ryycrdhlkmzpxwwwwupy.supabase.co/storage/v1/object/public/old_media/967ddccf.Path.044848.jpg</t>
  </si>
  <si>
    <t>123f2d6b</t>
  </si>
  <si>
    <t>https://ryycrdhlkmzpxwwwwupy.supabase.co/storage/v1/object/public/old_media/123f2d6b.Path.044940.jpg</t>
  </si>
  <si>
    <t>735356ce</t>
  </si>
  <si>
    <t>https://ryycrdhlkmzpxwwwwupy.supabase.co/storage/v1/object/public/old_media/735356ce.Path.110522.jpg</t>
  </si>
  <si>
    <t>89f53307</t>
  </si>
  <si>
    <t>https://ryycrdhlkmzpxwwwwupy.supabase.co/storage/v1/object/public/old_media/89f53307.Path.110555.jpg</t>
  </si>
  <si>
    <t>29f73f0a</t>
  </si>
  <si>
    <t>https://ryycrdhlkmzpxwwwwupy.supabase.co/storage/v1/object/public/old_media/29f73f0a.Path.110630.jpg</t>
  </si>
  <si>
    <t>751c3092</t>
  </si>
  <si>
    <t>https://ryycrdhlkmzpxwwwwupy.supabase.co/storage/v1/object/public/old_media/751c3092.Path.110701.jpg</t>
  </si>
  <si>
    <t>bb87dc33</t>
  </si>
  <si>
    <t>https://ryycrdhlkmzpxwwwwupy.supabase.co/storage/v1/object/public/old_media/bb87dc33.Path.111129.jpg</t>
  </si>
  <si>
    <t>6378cc16</t>
  </si>
  <si>
    <t>https://ryycrdhlkmzpxwwwwupy.supabase.co/storage/v1/object/public/old_media/6378cc16.Path.111528.jpg</t>
  </si>
  <si>
    <t>0aa452dd</t>
  </si>
  <si>
    <t>https://ryycrdhlkmzpxwwwwupy.supabase.co/storage/v1/object/public/old_media/0aa452dd.Path.115843.jpg</t>
  </si>
  <si>
    <t>2af6ac51</t>
  </si>
  <si>
    <t>https://ryycrdhlkmzpxwwwwupy.supabase.co/storage/v1/object/public/old_media/2af6ac51.Path.115921.jpg</t>
  </si>
  <si>
    <t>f86c99e8</t>
  </si>
  <si>
    <t>https://ryycrdhlkmzpxwwwwupy.supabase.co/storage/v1/object/public/old_media/f86c99e8.Path.120219.jpg</t>
  </si>
  <si>
    <t>7db23a8a</t>
  </si>
  <si>
    <t>https://ryycrdhlkmzpxwwwwupy.supabase.co/storage/v1/object/public/old_media/7db23a8a.Path.120619.jpg</t>
  </si>
  <si>
    <t>75e84e17</t>
  </si>
  <si>
    <t>https://ryycrdhlkmzpxwwwwupy.supabase.co/storage/v1/object/public/old_media/75e84e17.Path.121020.jpg</t>
  </si>
  <si>
    <t>c2b28d9a</t>
  </si>
  <si>
    <t>https://ryycrdhlkmzpxwwwwupy.supabase.co/storage/v1/object/public/old_media/c2b28d9a.Path.121423.jpg</t>
  </si>
  <si>
    <t>eb1d6a9e</t>
  </si>
  <si>
    <t>https://ryycrdhlkmzpxwwwwupy.supabase.co/storage/v1/object/public/old_media/eb1d6a9e.Path.121820.jpg</t>
  </si>
  <si>
    <t>39525170</t>
  </si>
  <si>
    <t>https://ryycrdhlkmzpxwwwwupy.supabase.co/storage/v1/object/public/old_media/39525170.Path.050346.jpg</t>
  </si>
  <si>
    <t>d79ac0a6</t>
  </si>
  <si>
    <t>https://ryycrdhlkmzpxwwwwupy.supabase.co/storage/v1/object/public/old_media/d79ac0a6.Path.050501.jpg</t>
  </si>
  <si>
    <t>a56030fd</t>
  </si>
  <si>
    <t>https://ryycrdhlkmzpxwwwwupy.supabase.co/storage/v1/object/public/old_media/a56030fd.Path.050558.jpg</t>
  </si>
  <si>
    <t>59ed013f</t>
  </si>
  <si>
    <t>https://ryycrdhlkmzpxwwwwupy.supabase.co/storage/v1/object/public/old_media/59ed013f.Path.050707.png</t>
  </si>
  <si>
    <t>b64e2573</t>
  </si>
  <si>
    <t>https://ryycrdhlkmzpxwwwwupy.supabase.co/storage/v1/object/public/old_media/b64e2573.Path.051129.png</t>
  </si>
  <si>
    <t>fb3c1883</t>
  </si>
  <si>
    <t>https://ryycrdhlkmzpxwwwwupy.supabase.co/storage/v1/object/public/old_media/fb3c1883.Path.051533.jpg</t>
  </si>
  <si>
    <t>15c82254</t>
  </si>
  <si>
    <t>https://ryycrdhlkmzpxwwwwupy.supabase.co/storage/v1/object/public/old_media/15c82254.Path.051610.png</t>
  </si>
  <si>
    <t>38dc130c</t>
  </si>
  <si>
    <t>https://ryycrdhlkmzpxwwwwupy.supabase.co/storage/v1/object/public/old_media/38dc130c.Path.051650.png</t>
  </si>
  <si>
    <t>0bd7e8ef</t>
  </si>
  <si>
    <t>https://ryycrdhlkmzpxwwwwupy.supabase.co/storage/v1/object/public/old_media/0bd7e8ef.Path.062134.jpg</t>
  </si>
  <si>
    <t>186c05b6</t>
  </si>
  <si>
    <t>https://ryycrdhlkmzpxwwwwupy.supabase.co/storage/v1/object/public/old_media/186c05b6.Path.062205.jpg</t>
  </si>
  <si>
    <t>9e1679d5</t>
  </si>
  <si>
    <t>https://ryycrdhlkmzpxwwwwupy.supabase.co/storage/v1/object/public/old_media/9e1679d5.Path.062234.jpg</t>
  </si>
  <si>
    <t>ba84a0ed</t>
  </si>
  <si>
    <t>https://ryycrdhlkmzpxwwwwupy.supabase.co/storage/v1/object/public/old_media/ba84a0ed.Path.062307.jpg</t>
  </si>
  <si>
    <t>9d06fb51</t>
  </si>
  <si>
    <t>https://ryycrdhlkmzpxwwwwupy.supabase.co/storage/v1/object/public/old_media/9d06fb51.Path.062333.jpg</t>
  </si>
  <si>
    <t>c3b1ed10</t>
  </si>
  <si>
    <t>https://ryycrdhlkmzpxwwwwupy.supabase.co/storage/v1/object/public/old_media/c3b1ed10.Path.062358.png</t>
  </si>
  <si>
    <t>553a6372</t>
  </si>
  <si>
    <t>https://ryycrdhlkmzpxwwwwupy.supabase.co/storage/v1/object/public/old_media/553a6372.Path.073648.jpg</t>
  </si>
  <si>
    <t>c62ba392</t>
  </si>
  <si>
    <t>https://ryycrdhlkmzpxwwwwupy.supabase.co/storage/v1/object/public/old_media/c62ba392.Path.073721.jpg</t>
  </si>
  <si>
    <t>55e0367f</t>
  </si>
  <si>
    <t>https://ryycrdhlkmzpxwwwwupy.supabase.co/storage/v1/object/public/old_media/55e0367f.Path.073753.jpg</t>
  </si>
  <si>
    <t>8e4a359f</t>
  </si>
  <si>
    <t>https://ryycrdhlkmzpxwwwwupy.supabase.co/storage/v1/object/public/old_media/8e4a359f.Path.073850.png</t>
  </si>
  <si>
    <t>4cc8bce6</t>
  </si>
  <si>
    <t>https://ryycrdhlkmzpxwwwwupy.supabase.co/storage/v1/object/public/old_media/4cc8bce6.Path.073939.jpg</t>
  </si>
  <si>
    <t>e76d5991</t>
  </si>
  <si>
    <t>https://ryycrdhlkmzpxwwwwupy.supabase.co/storage/v1/object/public/old_media/e76d5991.Path.100309.avif</t>
  </si>
  <si>
    <t>ade09625</t>
  </si>
  <si>
    <t>https://ryycrdhlkmzpxwwwwupy.supabase.co/storage/v1/object/public/old_media/ade09625.Path.100338.avif</t>
  </si>
  <si>
    <t>b6165756</t>
  </si>
  <si>
    <t>https://ryycrdhlkmzpxwwwwupy.supabase.co/storage/v1/object/public/old_media/b6165756.Path.100406.avif</t>
  </si>
  <si>
    <t>13f42d94</t>
  </si>
  <si>
    <t>https://ryycrdhlkmzpxwwwwupy.supabase.co/storage/v1/object/public/old_media/13f42d94.Path.100432.jpg</t>
  </si>
  <si>
    <t>337df16b</t>
  </si>
  <si>
    <t>https://ryycrdhlkmzpxwwwwupy.supabase.co/storage/v1/object/public/old_media/337df16b.Path.100503.jpg</t>
  </si>
  <si>
    <t>036b2b61</t>
  </si>
  <si>
    <t>https://ryycrdhlkmzpxwwwwupy.supabase.co/storage/v1/object/public/old_media/036b2b61.Path.045712.jpg</t>
  </si>
  <si>
    <t>dba50b73</t>
  </si>
  <si>
    <t>https://ryycrdhlkmzpxwwwwupy.supabase.co/storage/v1/object/public/old_media/dba50b73.Path.045743.jpg</t>
  </si>
  <si>
    <t>913ca711</t>
  </si>
  <si>
    <t>https://ryycrdhlkmzpxwwwwupy.supabase.co/storage/v1/object/public/old_media/913ca711.Path.045812.jpg</t>
  </si>
  <si>
    <t>5f41041d</t>
  </si>
  <si>
    <t>https://ryycrdhlkmzpxwwwwupy.supabase.co/storage/v1/object/public/old_media/5f41041d.Path.045841.jpg</t>
  </si>
  <si>
    <t>35bf128f</t>
  </si>
  <si>
    <t>https://ryycrdhlkmzpxwwwwupy.supabase.co/storage/v1/object/public/old_media/35bf128f.Path.045911.jpg</t>
  </si>
  <si>
    <t>f4f2cf5e</t>
  </si>
  <si>
    <t>https://ryycrdhlkmzpxwwwwupy.supabase.co/storage/v1/object/public/old_media/f4f2cf5e.Path.050913.jpg</t>
  </si>
  <si>
    <t>Menu du jour</t>
  </si>
  <si>
    <t>dc7238a0</t>
  </si>
  <si>
    <t>https://ryycrdhlkmzpxwwwwupy.supabase.co/storage/v1/object/public/old_media/dc7238a0.Path.051544.jpg</t>
  </si>
  <si>
    <t>ce5571f5</t>
  </si>
  <si>
    <t>https://ryycrdhlkmzpxwwwwupy.supabase.co/storage/v1/object/public/old_media/ce5571f5.Path.051610.jpg</t>
  </si>
  <si>
    <t>ac9b3614</t>
  </si>
  <si>
    <t>https://ryycrdhlkmzpxwwwwupy.supabase.co/storage/v1/object/public/old_media/ac9b3614.Path.051636.jpg</t>
  </si>
  <si>
    <t>6aa5a43d</t>
  </si>
  <si>
    <t>https://ryycrdhlkmzpxwwwwupy.supabase.co/storage/v1/object/public/old_media/6aa5a43d.Path.051705.jpg</t>
  </si>
  <si>
    <t>3b43bb81</t>
  </si>
  <si>
    <t>https://ryycrdhlkmzpxwwwwupy.supabase.co/storage/v1/object/public/old_media/3b43bb81.Path.051734.jpg</t>
  </si>
  <si>
    <t>dd63c45f</t>
  </si>
  <si>
    <t>https://ryycrdhlkmzpxwwwwupy.supabase.co/storage/v1/object/public/old_media/dd63c45f.Path.051804.jpg</t>
  </si>
  <si>
    <t>49977abc</t>
  </si>
  <si>
    <t>https://ryycrdhlkmzpxwwwwupy.supabase.co/storage/v1/object/public/old_media/49977abc.Path.110010.jpg</t>
  </si>
  <si>
    <t>e4c1c96a</t>
  </si>
  <si>
    <t>https://ryycrdhlkmzpxwwwwupy.supabase.co/storage/v1/object/public/old_media/e4c1c96a.Path.110039.jpg</t>
  </si>
  <si>
    <t>cc38526d</t>
  </si>
  <si>
    <t>https://ryycrdhlkmzpxwwwwupy.supabase.co/storage/v1/object/public/old_media/cc38526d.Path.110111.jpg</t>
  </si>
  <si>
    <t>bcb3d4e2</t>
  </si>
  <si>
    <t>https://ryycrdhlkmzpxwwwwupy.supabase.co/storage/v1/object/public/old_media/bcb3d4e2.Path.110136.jpg</t>
  </si>
  <si>
    <t>9ae24826</t>
  </si>
  <si>
    <t>https://ryycrdhlkmzpxwwwwupy.supabase.co/storage/v1/object/public/old_media/9ae24826.Path.110206.jpg</t>
  </si>
  <si>
    <t>50977598</t>
  </si>
  <si>
    <t>https://ryycrdhlkmzpxwwwwupy.supabase.co/storage/v1/object/public/old_media/50977598.Path.050155.jpg</t>
  </si>
  <si>
    <t>d30ce708</t>
  </si>
  <si>
    <t>https://ryycrdhlkmzpxwwwwupy.supabase.co/storage/v1/object/public/old_media/d30ce708.Path.050225.jpg</t>
  </si>
  <si>
    <t>b39173e7</t>
  </si>
  <si>
    <t>https://ryycrdhlkmzpxwwwwupy.supabase.co/storage/v1/object/public/old_media/b39173e7.Path.050253.jpg</t>
  </si>
  <si>
    <t>f5d22daf</t>
  </si>
  <si>
    <t>https://ryycrdhlkmzpxwwwwupy.supabase.co/storage/v1/object/public/old_media/f5d22daf.Path.050318.jpg</t>
  </si>
  <si>
    <t>a4bd89a9</t>
  </si>
  <si>
    <t>https://ryycrdhlkmzpxwwwwupy.supabase.co/storage/v1/object/public/old_media/a4bd89a9.Path.050346.jpg</t>
  </si>
  <si>
    <t>6edf476a</t>
  </si>
  <si>
    <t>https://ryycrdhlkmzpxwwwwupy.supabase.co/storage/v1/object/public/old_media/6edf476a.Path.050418.jpg</t>
  </si>
  <si>
    <t>088cb05a</t>
  </si>
  <si>
    <t>https://ryycrdhlkmzpxwwwwupy.supabase.co/storage/v1/object/public/old_media/088cb05a.Path.111937.jpg</t>
  </si>
  <si>
    <t>84707c5d</t>
  </si>
  <si>
    <t>https://ryycrdhlkmzpxwwwwupy.supabase.co/storage/v1/object/public/old_media/84707c5d.Path.112102.jpg</t>
  </si>
  <si>
    <t>893da8a4</t>
  </si>
  <si>
    <t>https://ryycrdhlkmzpxwwwwupy.supabase.co/storage/v1/object/public/old_media/893da8a4.Path.112431.jpg</t>
  </si>
  <si>
    <t>cf500385</t>
  </si>
  <si>
    <t>https://ryycrdhlkmzpxwwwwupy.supabase.co/storage/v1/object/public/old_media/cf500385.Path.112512.jpg</t>
  </si>
  <si>
    <t>86d4c87e</t>
  </si>
  <si>
    <t>https://ryycrdhlkmzpxwwwwupy.supabase.co/storage/v1/object/public/old_media/86d4c87e.Path.112623.jpg</t>
  </si>
  <si>
    <t>e99c2ee0</t>
  </si>
  <si>
    <t>https://ryycrdhlkmzpxwwwwupy.supabase.co/storage/v1/object/public/old_media/e99c2ee0.Path.060455.jpg</t>
  </si>
  <si>
    <t>1c5c39e2</t>
  </si>
  <si>
    <t>https://ryycrdhlkmzpxwwwwupy.supabase.co/storage/v1/object/public/old_media/1c5c39e2.Path.060524.jpg</t>
  </si>
  <si>
    <t>e412e5cd</t>
  </si>
  <si>
    <t>https://ryycrdhlkmzpxwwwwupy.supabase.co/storage/v1/object/public/old_media/e412e5cd.Path.060552.jpg</t>
  </si>
  <si>
    <t>e19d7f4e</t>
  </si>
  <si>
    <t>https://ryycrdhlkmzpxwwwwupy.supabase.co/storage/v1/object/public/old_media/e19d7f4e.Path.060619.jpg</t>
  </si>
  <si>
    <t>ed9632c8</t>
  </si>
  <si>
    <t>https://ryycrdhlkmzpxwwwwupy.supabase.co/storage/v1/object/public/old_media/ed9632c8.Path.060652.jpg</t>
  </si>
  <si>
    <t>55b24600</t>
  </si>
  <si>
    <t>https://ryycrdhlkmzpxwwwwupy.supabase.co/storage/v1/object/public/old_media/55b24600.Path.060723.jpg</t>
  </si>
  <si>
    <t>c014db17</t>
  </si>
  <si>
    <t>https://ryycrdhlkmzpxwwwwupy.supabase.co/storage/v1/object/public/old_media/c014db17.Path.110431.jpg</t>
  </si>
  <si>
    <t>4ccfc439</t>
  </si>
  <si>
    <t>https://ryycrdhlkmzpxwwwwupy.supabase.co/storage/v1/object/public/old_media/4ccfc439.Path.110507.jpg</t>
  </si>
  <si>
    <t>77f7968a</t>
  </si>
  <si>
    <t>https://ryycrdhlkmzpxwwwwupy.supabase.co/storage/v1/object/public/old_media/77f7968a.Path.110541.jpg</t>
  </si>
  <si>
    <t>265ec147</t>
  </si>
  <si>
    <t>https://ryycrdhlkmzpxwwwwupy.supabase.co/storage/v1/object/public/old_media/265ec147.Path.110614.jpg</t>
  </si>
  <si>
    <t>f4ed09c8</t>
  </si>
  <si>
    <t>https://ryycrdhlkmzpxwwwwupy.supabase.co/storage/v1/object/public/old_media/f4ed09c8.Path.110650.jpg</t>
  </si>
  <si>
    <t>b221a56f</t>
  </si>
  <si>
    <t>https://ryycrdhlkmzpxwwwwupy.supabase.co/storage/v1/object/public/old_media/b221a56f.Path.110724.jpg</t>
  </si>
  <si>
    <t>de7cf09a</t>
  </si>
  <si>
    <t>https://ryycrdhlkmzpxwwwwupy.supabase.co/storage/v1/object/public/old_media/de7cf09a.Path.111105.jpg</t>
  </si>
  <si>
    <t>6ae1d70c</t>
  </si>
  <si>
    <t>https://ryycrdhlkmzpxwwwwupy.supabase.co/storage/v1/object/public/old_media/6ae1d70c.Path.111507.jpg</t>
  </si>
  <si>
    <t>5fe00042</t>
  </si>
  <si>
    <t>https://ryycrdhlkmzpxwwwwupy.supabase.co/storage/v1/object/public/old_media/5fe00042.Path.111905.jpg</t>
  </si>
  <si>
    <t>e01580b6</t>
  </si>
  <si>
    <t>https://ryycrdhlkmzpxwwwwupy.supabase.co/storage/v1/object/public/old_media/e01580b6.Path.042133.jpg</t>
  </si>
  <si>
    <t>c628a369</t>
  </si>
  <si>
    <t>https://ryycrdhlkmzpxwwwwupy.supabase.co/storage/v1/object/public/old_media/c628a369.Path.042200.jpg</t>
  </si>
  <si>
    <t>d72dc305</t>
  </si>
  <si>
    <t>https://ryycrdhlkmzpxwwwwupy.supabase.co/storage/v1/object/public/old_media/d72dc305.Path.042228.jpg</t>
  </si>
  <si>
    <t>94b54f5d</t>
  </si>
  <si>
    <t>https://ryycrdhlkmzpxwwwwupy.supabase.co/storage/v1/object/public/old_media/94b54f5d.Path.042254.jpg</t>
  </si>
  <si>
    <t>e0b95da8</t>
  </si>
  <si>
    <t>https://ryycrdhlkmzpxwwwwupy.supabase.co/storage/v1/object/public/old_media/e0b95da8.Path.042322.jpg</t>
  </si>
  <si>
    <t>c40f5ba9</t>
  </si>
  <si>
    <t>https://ryycrdhlkmzpxwwwwupy.supabase.co/storage/v1/object/public/old_media/c40f5ba9.Path.042351.jpg</t>
  </si>
  <si>
    <t>c3c2ce3a</t>
  </si>
  <si>
    <t>https://ryycrdhlkmzpxwwwwupy.supabase.co/storage/v1/object/public/old_media/c3c2ce3a.Path.042418.jpg</t>
  </si>
  <si>
    <t>9956fa8a</t>
  </si>
  <si>
    <t>https://ryycrdhlkmzpxwwwwupy.supabase.co/storage/v1/object/public/old_media/9956fa8a.Path.042448.jpg</t>
  </si>
  <si>
    <t>2df1ac25</t>
  </si>
  <si>
    <t>https://ryycrdhlkmzpxwwwwupy.supabase.co/storage/v1/object/public/old_media/2df1ac25.Path.042531.png</t>
  </si>
  <si>
    <t>1f9de88e</t>
  </si>
  <si>
    <t>https://ryycrdhlkmzpxwwwwupy.supabase.co/storage/v1/object/public/old_media/1f9de88e.Path.053720.jpg</t>
  </si>
  <si>
    <t>fb35de33</t>
  </si>
  <si>
    <t>https://ryycrdhlkmzpxwwwwupy.supabase.co/storage/v1/object/public/old_media/fb35de33.Path.053745.jpg</t>
  </si>
  <si>
    <t>e4575799</t>
  </si>
  <si>
    <t>https://ryycrdhlkmzpxwwwwupy.supabase.co/storage/v1/object/public/old_media/e4575799.Path.053811.jpg</t>
  </si>
  <si>
    <t>c5163a84</t>
  </si>
  <si>
    <t>https://ryycrdhlkmzpxwwwwupy.supabase.co/storage/v1/object/public/old_media/c5163a84.Path.053837.jpg</t>
  </si>
  <si>
    <t>fd924823</t>
  </si>
  <si>
    <t>https://ryycrdhlkmzpxwwwwupy.supabase.co/storage/v1/object/public/old_media/fd924823.Path.053901.jpg</t>
  </si>
  <si>
    <t>3c55de9b</t>
  </si>
  <si>
    <t>https://ryycrdhlkmzpxwwwwupy.supabase.co/storage/v1/object/public/old_media/3c55de9b.Path.053925.jpg</t>
  </si>
  <si>
    <t>3c60253e</t>
  </si>
  <si>
    <t>https://ryycrdhlkmzpxwwwwupy.supabase.co/storage/v1/object/public/old_media/3c60253e.Path.053951.jpg</t>
  </si>
  <si>
    <t>a8a2193a</t>
  </si>
  <si>
    <t>https://ryycrdhlkmzpxwwwwupy.supabase.co/storage/v1/object/public/old_media/a8a2193a.Path.054015.jpg</t>
  </si>
  <si>
    <t>6d4f56b7</t>
  </si>
  <si>
    <t>https://ryycrdhlkmzpxwwwwupy.supabase.co/storage/v1/object/public/old_media/6d4f56b7.Path.054042.jpg</t>
  </si>
  <si>
    <t>597bb7b5</t>
  </si>
  <si>
    <t>https://ryycrdhlkmzpxwwwwupy.supabase.co/storage/v1/object/public/old_media/597bb7b5.Path.054106.jpg</t>
  </si>
  <si>
    <t>9cc755cc</t>
  </si>
  <si>
    <t>https://ryycrdhlkmzpxwwwwupy.supabase.co/storage/v1/object/public/old_media/9cc755cc.Path.102507.jpg</t>
  </si>
  <si>
    <t>a1be02f1</t>
  </si>
  <si>
    <t>https://ryycrdhlkmzpxwwwwupy.supabase.co/storage/v1/object/public/old_media/a1be02f1.Path.102558.jpg</t>
  </si>
  <si>
    <t>b1f6b11f</t>
  </si>
  <si>
    <t>https://ryycrdhlkmzpxwwwwupy.supabase.co/storage/v1/object/public/old_media/b1f6b11f.Path.102950.jpg</t>
  </si>
  <si>
    <t>bf0ef2c7</t>
  </si>
  <si>
    <t>https://ryycrdhlkmzpxwwwwupy.supabase.co/storage/v1/object/public/old_media/bf0ef2c7.Path.095053.jpg</t>
  </si>
  <si>
    <t>fcf98f3a</t>
  </si>
  <si>
    <t>https://ryycrdhlkmzpxwwwwupy.supabase.co/storage/v1/object/public/old_media/fcf98f3a.Path.095124.jpg</t>
  </si>
  <si>
    <t>50c9561b</t>
  </si>
  <si>
    <t>https://ryycrdhlkmzpxwwwwupy.supabase.co/storage/v1/object/public/old_media/50c9561b.Path.095153.png</t>
  </si>
  <si>
    <t>5a33f9ac</t>
  </si>
  <si>
    <t>https://ryycrdhlkmzpxwwwwupy.supabase.co/storage/v1/object/public/old_media/5a33f9ac.Path.113620.jpg</t>
  </si>
  <si>
    <t>33a26454</t>
  </si>
  <si>
    <t>https://ryycrdhlkmzpxwwwwupy.supabase.co/storage/v1/object/public/old_media/33a26454.Path.113707.jpg</t>
  </si>
  <si>
    <t>81e8b83c</t>
  </si>
  <si>
    <t>https://ryycrdhlkmzpxwwwwupy.supabase.co/storage/v1/object/public/old_media/81e8b83c.Path.113736.jpg</t>
  </si>
  <si>
    <t>b9bb0564</t>
  </si>
  <si>
    <t>https://ryycrdhlkmzpxwwwwupy.supabase.co/storage/v1/object/public/old_media/b9bb0564.Path.113812.jpg</t>
  </si>
  <si>
    <t>8dbe19ea</t>
  </si>
  <si>
    <t>https://ryycrdhlkmzpxwwwwupy.supabase.co/storage/v1/object/public/old_media/8dbe19ea.Path.113841.jpg</t>
  </si>
  <si>
    <t>384c4929</t>
  </si>
  <si>
    <t>https://ryycrdhlkmzpxwwwwupy.supabase.co/storage/v1/object/public/old_media/384c4929.Path.113918.jpg</t>
  </si>
  <si>
    <t>029f0bf1</t>
  </si>
  <si>
    <t>https://ryycrdhlkmzpxwwwwupy.supabase.co/storage/v1/object/public/old_media/029f0bf1.Path.053411.jpg</t>
  </si>
  <si>
    <t>e195c784</t>
  </si>
  <si>
    <t>https://ryycrdhlkmzpxwwwwupy.supabase.co/storage/v1/object/public/old_media/e195c784.Path.045348.avif</t>
  </si>
  <si>
    <t>81d667cf</t>
  </si>
  <si>
    <t>https://ryycrdhlkmzpxwwwwupy.supabase.co/storage/v1/object/public/old_media/81d667cf.Path.045416.avif</t>
  </si>
  <si>
    <t>6c2c653e</t>
  </si>
  <si>
    <t>https://ryycrdhlkmzpxwwwwupy.supabase.co/storage/v1/object/public/old_media/6c2c653e.Path.045441.avif</t>
  </si>
  <si>
    <t>208fdcd6</t>
  </si>
  <si>
    <t>https://ryycrdhlkmzpxwwwwupy.supabase.co/storage/v1/object/public/old_media/208fdcd6.Path.045509.avif</t>
  </si>
  <si>
    <t>e396c09c</t>
  </si>
  <si>
    <t>https://ryycrdhlkmzpxwwwwupy.supabase.co/storage/v1/object/public/old_media/e396c09c.Path.091300.jpg</t>
  </si>
  <si>
    <t>b3bda706</t>
  </si>
  <si>
    <t>https://ryycrdhlkmzpxwwwwupy.supabase.co/storage/v1/object/public/old_media/b3bda706.Path.091333.jpg</t>
  </si>
  <si>
    <t>9782a503</t>
  </si>
  <si>
    <t>https://ryycrdhlkmzpxwwwwupy.supabase.co/storage/v1/object/public/old_media/9782a503.Path.052633.jpg</t>
  </si>
  <si>
    <t>6057f4fa</t>
  </si>
  <si>
    <t>https://ryycrdhlkmzpxwwwwupy.supabase.co/storage/v1/object/public/old_media/6057f4fa.Path.052705.jpg</t>
  </si>
  <si>
    <t>d72ea843</t>
  </si>
  <si>
    <t>https://ryycrdhlkmzpxwwwwupy.supabase.co/storage/v1/object/public/old_media/d72ea843.Path.052734.jpg</t>
  </si>
  <si>
    <t>f7453931</t>
  </si>
  <si>
    <t>https://ryycrdhlkmzpxwwwwupy.supabase.co/storage/v1/object/public/old_media/f7453931.Path.052805.jpg</t>
  </si>
  <si>
    <t>8979630e</t>
  </si>
  <si>
    <t>https://ryycrdhlkmzpxwwwwupy.supabase.co/storage/v1/object/public/old_media/8979630e.Path.052836.jpg</t>
  </si>
  <si>
    <t>2b606456</t>
  </si>
  <si>
    <t>https://ryycrdhlkmzpxwwwwupy.supabase.co/storage/v1/object/public/old_media/2b606456.Path.052907.jpg</t>
  </si>
  <si>
    <t>b53f7fb5</t>
  </si>
  <si>
    <t>https://ryycrdhlkmzpxwwwwupy.supabase.co/storage/v1/object/public/old_media/b53f7fb5.Path.074604.jpg</t>
  </si>
  <si>
    <t>93462cbd</t>
  </si>
  <si>
    <t>https://ryycrdhlkmzpxwwwwupy.supabase.co/storage/v1/object/public/old_media/93462cbd.Path.074634.jpg</t>
  </si>
  <si>
    <t>29d815ec</t>
  </si>
  <si>
    <t>https://ryycrdhlkmzpxwwwwupy.supabase.co/storage/v1/object/public/old_media/29d815ec.Path.074706.jpg</t>
  </si>
  <si>
    <t>4314527d</t>
  </si>
  <si>
    <t>https://ryycrdhlkmzpxwwwwupy.supabase.co/storage/v1/object/public/old_media/4314527d.Path.074734.jpg</t>
  </si>
  <si>
    <t>5143473a</t>
  </si>
  <si>
    <t>https://ryycrdhlkmzpxwwwwupy.supabase.co/storage/v1/object/public/old_media/5143473a.Path.074806.jpg</t>
  </si>
  <si>
    <t>322d0b9a</t>
  </si>
  <si>
    <t>https://ryycrdhlkmzpxwwwwupy.supabase.co/storage/v1/object/public/old_media/322d0b9a.Path.074840.jpg</t>
  </si>
  <si>
    <t>9ad8843d</t>
  </si>
  <si>
    <t>https://ryycrdhlkmzpxwwwwupy.supabase.co/storage/v1/object/public/old_media/9ad8843d.Path.042729.png</t>
  </si>
  <si>
    <t>ba0a437c</t>
  </si>
  <si>
    <t>https://ryycrdhlkmzpxwwwwupy.supabase.co/storage/v1/object/public/old_media/ba0a437c.Path.042804.png</t>
  </si>
  <si>
    <t>aa83de8e</t>
  </si>
  <si>
    <t>https://ryycrdhlkmzpxwwwwupy.supabase.co/storage/v1/object/public/old_media/aa83de8e.Path.052942.jpg</t>
  </si>
  <si>
    <t>bcbcfd1a</t>
  </si>
  <si>
    <t>https://ryycrdhlkmzpxwwwwupy.supabase.co/storage/v1/object/public/old_media/bcbcfd1a.Path.053014.jpg</t>
  </si>
  <si>
    <t>5f69bfaa</t>
  </si>
  <si>
    <t>https://ryycrdhlkmzpxwwwwupy.supabase.co/storage/v1/object/public/old_media/5f69bfaa.Path.053300.jpg</t>
  </si>
  <si>
    <t>0123bfd5</t>
  </si>
  <si>
    <t>https://ryycrdhlkmzpxwwwwupy.supabase.co/storage/v1/object/public/old_media/0123bfd5.Path.053533.png</t>
  </si>
  <si>
    <t>7fafba34</t>
  </si>
  <si>
    <t>https://ryycrdhlkmzpxwwwwupy.supabase.co/storage/v1/object/public/old_media/7fafba34.Path.053605.png</t>
  </si>
  <si>
    <t>fbe91327</t>
  </si>
  <si>
    <t>https://ryycrdhlkmzpxwwwwupy.supabase.co/storage/v1/object/public/old_media/fbe91327.Path.053736.jpg</t>
  </si>
  <si>
    <t>fdfe509c</t>
  </si>
  <si>
    <t>https://ryycrdhlkmzpxwwwwupy.supabase.co/storage/v1/object/public/old_media/fdfe509c.Path.073757.jpg</t>
  </si>
  <si>
    <t>98d86daf</t>
  </si>
  <si>
    <t>https://ryycrdhlkmzpxwwwwupy.supabase.co/storage/v1/object/public/old_media/98d86daf.Path.073835.jpg</t>
  </si>
  <si>
    <t>0c65c544</t>
  </si>
  <si>
    <t>https://ryycrdhlkmzpxwwwwupy.supabase.co/storage/v1/object/public/old_media/0c65c544.Path.073911.jpg</t>
  </si>
  <si>
    <t>486e555f</t>
  </si>
  <si>
    <t>https://ryycrdhlkmzpxwwwwupy.supabase.co/storage/v1/object/public/old_media/486e555f.Path.073945.jpg</t>
  </si>
  <si>
    <t>6c2a4a54</t>
  </si>
  <si>
    <t>https://ryycrdhlkmzpxwwwwupy.supabase.co/storage/v1/object/public/old_media/6c2a4a54.Path.074022.jpg</t>
  </si>
  <si>
    <t>86cfa824</t>
  </si>
  <si>
    <t>https://ryycrdhlkmzpxwwwwupy.supabase.co/storage/v1/object/public/old_media/86cfa824.Path.074055.jpg</t>
  </si>
  <si>
    <t>0ce1c311</t>
  </si>
  <si>
    <t>https://ryycrdhlkmzpxwwwwupy.supabase.co/storage/v1/object/public/old_media/0ce1c311.Path.074125.jpg</t>
  </si>
  <si>
    <t>939c194b</t>
  </si>
  <si>
    <t>https://ryycrdhlkmzpxwwwwupy.supabase.co/storage/v1/object/public/old_media/939c194b.Path.045703.png</t>
  </si>
  <si>
    <t>36d7e61d</t>
  </si>
  <si>
    <t>https://ryycrdhlkmzpxwwwwupy.supabase.co/storage/v1/object/public/old_media/36d7e61d.Path.045747.jpg</t>
  </si>
  <si>
    <t>0bc3f5a0</t>
  </si>
  <si>
    <t>https://ryycrdhlkmzpxwwwwupy.supabase.co/storage/v1/object/public/old_media/0bc3f5a0.Path.045818.jpg</t>
  </si>
  <si>
    <t>7049c431</t>
  </si>
  <si>
    <t>https://ryycrdhlkmzpxwwwwupy.supabase.co/storage/v1/object/public/old_media/7049c431.Path.045854.jpg</t>
  </si>
  <si>
    <t>d22ffac8</t>
  </si>
  <si>
    <t>https://ryycrdhlkmzpxwwwwupy.supabase.co/storage/v1/object/public/old_media/d22ffac8.Path.050032.png</t>
  </si>
  <si>
    <t>9e4a4fab</t>
  </si>
  <si>
    <t>https://ryycrdhlkmzpxwwwwupy.supabase.co/storage/v1/object/public/old_media/9e4a4fab.Path.050109.jpg</t>
  </si>
  <si>
    <t>d5168a0c</t>
  </si>
  <si>
    <t>https://ryycrdhlkmzpxwwwwupy.supabase.co/storage/v1/object/public/old_media/d5168a0c.Path.074643.jpg</t>
  </si>
  <si>
    <t>73d6f486</t>
  </si>
  <si>
    <t>https://ryycrdhlkmzpxwwwwupy.supabase.co/storage/v1/object/public/old_media/73d6f486.Path.075151.jpg</t>
  </si>
  <si>
    <t>b22edb7e</t>
  </si>
  <si>
    <t>https://ryycrdhlkmzpxwwwwupy.supabase.co/storage/v1/object/public/old_media/b22edb7e.Path.075228.jpg</t>
  </si>
  <si>
    <t>eea19ba3</t>
  </si>
  <si>
    <t>https://ryycrdhlkmzpxwwwwupy.supabase.co/storage/v1/object/public/old_media/eea19ba3.Path.075304.jpg</t>
  </si>
  <si>
    <t>d60ba327</t>
  </si>
  <si>
    <t>https://ryycrdhlkmzpxwwwwupy.supabase.co/storage/v1/object/public/old_media/d60ba327.Path.075718.jpg</t>
  </si>
  <si>
    <t>08afca07</t>
  </si>
  <si>
    <t>https://ryycrdhlkmzpxwwwwupy.supabase.co/storage/v1/object/public/old_media/08afca07.Path.093718.jpg</t>
  </si>
  <si>
    <t>7fae8384</t>
  </si>
  <si>
    <t>https://ryycrdhlkmzpxwwwwupy.supabase.co/storage/v1/object/public/old_media/7fae8384.Path.042252.jpg</t>
  </si>
  <si>
    <t>Produits à retrouver dans nos boutiques</t>
  </si>
  <si>
    <t>d6b1fc07</t>
  </si>
  <si>
    <t>https://ryycrdhlkmzpxwwwwupy.supabase.co/storage/v1/object/public/old_media/d6b1fc07.Path.044517.jpg</t>
  </si>
  <si>
    <t>4f522179</t>
  </si>
  <si>
    <t>https://ryycrdhlkmzpxwwwwupy.supabase.co/storage/v1/object/public/old_media/4f522179.Path.044552.jpg</t>
  </si>
  <si>
    <t>0bc04c3e</t>
  </si>
  <si>
    <t>https://ryycrdhlkmzpxwwwwupy.supabase.co/storage/v1/object/public/old_media/0bc04c3e.Path.044623.jpg</t>
  </si>
  <si>
    <t>b0a2af54</t>
  </si>
  <si>
    <t>https://ryycrdhlkmzpxwwwwupy.supabase.co/storage/v1/object/public/old_media/b0a2af54.Path.044837.jpg</t>
  </si>
  <si>
    <t>fc33b110</t>
  </si>
  <si>
    <t>https://ryycrdhlkmzpxwwwwupy.supabase.co/storage/v1/object/public/old_media/fc33b110.Path.045117.jpg</t>
  </si>
  <si>
    <t>8c6e2100</t>
  </si>
  <si>
    <t>https://ryycrdhlkmzpxwwwwupy.supabase.co/storage/v1/object/public/old_media/8c6e2100.Path.045150.jpg</t>
  </si>
  <si>
    <t>4a706680</t>
  </si>
  <si>
    <t>https://ryycrdhlkmzpxwwwwupy.supabase.co/storage/v1/object/public/old_media/4a706680.Path.045223.jpg</t>
  </si>
  <si>
    <t>0f5ca79d</t>
  </si>
  <si>
    <t>https://ryycrdhlkmzpxwwwwupy.supabase.co/storage/v1/object/public/old_media/0f5ca79d.Path.112732.jpg</t>
  </si>
  <si>
    <t>17aefdc4</t>
  </si>
  <si>
    <t>https://ryycrdhlkmzpxwwwwupy.supabase.co/storage/v1/object/public/old_media/17aefdc4.Path.112808.jpg</t>
  </si>
  <si>
    <t>9b3f3b37</t>
  </si>
  <si>
    <t>https://ryycrdhlkmzpxwwwwupy.supabase.co/storage/v1/object/public/old_media/9b3f3b37.Path.112855.jpg</t>
  </si>
  <si>
    <t>e8e57740</t>
  </si>
  <si>
    <t>https://ryycrdhlkmzpxwwwwupy.supabase.co/storage/v1/object/public/old_media/e8e57740.Path.112930.jpg</t>
  </si>
  <si>
    <t>dd7adbd4</t>
  </si>
  <si>
    <t>https://ryycrdhlkmzpxwwwwupy.supabase.co/storage/v1/object/public/old_media/dd7adbd4.Path.113003.jpg</t>
  </si>
  <si>
    <t>65b6fc86</t>
  </si>
  <si>
    <t>https://ryycrdhlkmzpxwwwwupy.supabase.co/storage/v1/object/public/old_media/65b6fc86.Path.113633.jpg</t>
  </si>
  <si>
    <t>051836eb</t>
  </si>
  <si>
    <t>https://ryycrdhlkmzpxwwwwupy.supabase.co/storage/v1/object/public/old_media/051836eb.Path.113709.jpg</t>
  </si>
  <si>
    <t>eac2ec06</t>
  </si>
  <si>
    <t>https://ryycrdhlkmzpxwwwwupy.supabase.co/storage/v1/object/public/old_media/eac2ec06.Path.113744.jpg</t>
  </si>
  <si>
    <t>e929fbe5</t>
  </si>
  <si>
    <t>https://ryycrdhlkmzpxwwwwupy.supabase.co/storage/v1/object/public/old_media/e929fbe5.Path.113827.jpg</t>
  </si>
  <si>
    <t>e62a500d</t>
  </si>
  <si>
    <t>https://ryycrdhlkmzpxwwwwupy.supabase.co/storage/v1/object/public/old_media/e62a500d.Path.113902.jpg</t>
  </si>
  <si>
    <t>32ec46cf</t>
  </si>
  <si>
    <t>https://ryycrdhlkmzpxwwwwupy.supabase.co/storage/v1/object/public/old_media/32ec46cf.Path.102328.jpg</t>
  </si>
  <si>
    <t>02ff84d4</t>
  </si>
  <si>
    <t>https://ryycrdhlkmzpxwwwwupy.supabase.co/storage/v1/object/public/old_media/02ff84d4.Path.102409.jpg</t>
  </si>
  <si>
    <t>70a0de50</t>
  </si>
  <si>
    <t>https://ryycrdhlkmzpxwwwwupy.supabase.co/storage/v1/object/public/old_media/70a0de50.Path.102449.jpg</t>
  </si>
  <si>
    <t>c3cb8e31</t>
  </si>
  <si>
    <t>https://ryycrdhlkmzpxwwwwupy.supabase.co/storage/v1/object/public/old_media/c3cb8e31.Path.102523.jpg</t>
  </si>
  <si>
    <t>c5a9f126</t>
  </si>
  <si>
    <t>https://ryycrdhlkmzpxwwwwupy.supabase.co/storage/v1/object/public/old_media/c5a9f126.Path.102614.jpg</t>
  </si>
  <si>
    <t>60e35fea</t>
  </si>
  <si>
    <t>https://ryycrdhlkmzpxwwwwupy.supabase.co/storage/v1/object/public/old_media/60e35fea.Path.102701.jpg</t>
  </si>
  <si>
    <t>6420e1b1</t>
  </si>
  <si>
    <t>https://ryycrdhlkmzpxwwwwupy.supabase.co/storage/v1/object/public/old_media/6420e1b1.Path.054431.jpg</t>
  </si>
  <si>
    <t>ebbe0362</t>
  </si>
  <si>
    <t>https://ryycrdhlkmzpxwwwwupy.supabase.co/storage/v1/object/public/old_media/ebbe0362.Path.054508.jpg</t>
  </si>
  <si>
    <t>6d5b98d7</t>
  </si>
  <si>
    <t>https://ryycrdhlkmzpxwwwwupy.supabase.co/storage/v1/object/public/old_media/6d5b98d7.Path.054542.jpg</t>
  </si>
  <si>
    <t>19a6d4b2</t>
  </si>
  <si>
    <t>https://ryycrdhlkmzpxwwwwupy.supabase.co/storage/v1/object/public/old_media/19a6d4b2.Path.054616.jpg</t>
  </si>
  <si>
    <t>bae41a4a</t>
  </si>
  <si>
    <t>https://ryycrdhlkmzpxwwwwupy.supabase.co/storage/v1/object/public/old_media/bae41a4a.Path.054655.jpg</t>
  </si>
  <si>
    <t>8a443310</t>
  </si>
  <si>
    <t>https://ryycrdhlkmzpxwwwwupy.supabase.co/storage/v1/object/public/old_media/8a443310.Path.060533.jpg</t>
  </si>
  <si>
    <t>71bd30b0</t>
  </si>
  <si>
    <t>https://ryycrdhlkmzpxwwwwupy.supabase.co/storage/v1/object/public/old_media/71bd30b0.Path.060606.jpg</t>
  </si>
  <si>
    <t>abe727f5</t>
  </si>
  <si>
    <t>https://ryycrdhlkmzpxwwwwupy.supabase.co/storage/v1/object/public/old_media/abe727f5.Path.060638.jpg</t>
  </si>
  <si>
    <t>0d8d7ec6</t>
  </si>
  <si>
    <t>https://ryycrdhlkmzpxwwwwupy.supabase.co/storage/v1/object/public/old_media/0d8d7ec6.Path.060715.jpg</t>
  </si>
  <si>
    <t>8cf532af</t>
  </si>
  <si>
    <t>https://ryycrdhlkmzpxwwwwupy.supabase.co/storage/v1/object/public/old_media/8cf532af.Path.060752.jpg</t>
  </si>
  <si>
    <t>6bdf5b71</t>
  </si>
  <si>
    <t>https://ryycrdhlkmzpxwwwwupy.supabase.co/storage/v1/object/public/old_media/6bdf5b71.Path.061124.jpg</t>
  </si>
  <si>
    <t>4ef77ec9</t>
  </si>
  <si>
    <t>https://ryycrdhlkmzpxwwwwupy.supabase.co/storage/v1/object/public/old_media/4ef77ec9.Path.061729.jpg</t>
  </si>
  <si>
    <t>feef6545</t>
  </si>
  <si>
    <t>https://ryycrdhlkmzpxwwwwupy.supabase.co/storage/v1/object/public/old_media/feef6545.Path.065606.jpg</t>
  </si>
  <si>
    <t>3a6e9ae2</t>
  </si>
  <si>
    <t>https://ryycrdhlkmzpxwwwwupy.supabase.co/storage/v1/object/public/old_media/3a6e9ae2.Path.065643.jpg</t>
  </si>
  <si>
    <t>306a8d95</t>
  </si>
  <si>
    <t>https://ryycrdhlkmzpxwwwwupy.supabase.co/storage/v1/object/public/old_media/306a8d95.Path.065721.jpg</t>
  </si>
  <si>
    <t>d39559c4</t>
  </si>
  <si>
    <t>https://ryycrdhlkmzpxwwwwupy.supabase.co/storage/v1/object/public/old_media/d39559c4.Path.111503.avif</t>
  </si>
  <si>
    <t>fceb0469</t>
  </si>
  <si>
    <t>https://ryycrdhlkmzpxwwwwupy.supabase.co/storage/v1/object/public/old_media/fceb0469.Path.111537.jpg</t>
  </si>
  <si>
    <t>e5ea873b</t>
  </si>
  <si>
    <t>https://ryycrdhlkmzpxwwwwupy.supabase.co/storage/v1/object/public/old_media/e5ea873b.Path.111611.jpg</t>
  </si>
  <si>
    <t>033f8eba</t>
  </si>
  <si>
    <t>https://ryycrdhlkmzpxwwwwupy.supabase.co/storage/v1/object/public/old_media/033f8eba.Path.111650.jpg</t>
  </si>
  <si>
    <t>123323f2</t>
  </si>
  <si>
    <t>https://ryycrdhlkmzpxwwwwupy.supabase.co/storage/v1/object/public/old_media/123323f2.Path.111721.avif</t>
  </si>
  <si>
    <t>39e668b9</t>
  </si>
  <si>
    <t>https://ryycrdhlkmzpxwwwwupy.supabase.co/storage/v1/object/public/old_media/39e668b9.Path.044710.jpg</t>
  </si>
  <si>
    <t>9a1ec9f7</t>
  </si>
  <si>
    <t>https://ryycrdhlkmzpxwwwwupy.supabase.co/storage/v1/object/public/old_media/9a1ec9f7.Path.044741.png</t>
  </si>
  <si>
    <t>442c0a6d</t>
  </si>
  <si>
    <t>https://ryycrdhlkmzpxwwwwupy.supabase.co/storage/v1/object/public/old_media/442c0a6d.Path.044811.png</t>
  </si>
  <si>
    <t>a0412a5d</t>
  </si>
  <si>
    <t>https://ryycrdhlkmzpxwwwwupy.supabase.co/storage/v1/object/public/old_media/a0412a5d.Path.060027.jpg</t>
  </si>
  <si>
    <t>3584ff37</t>
  </si>
  <si>
    <t>https://ryycrdhlkmzpxwwwwupy.supabase.co/storage/v1/object/public/old_media/3584ff37.Path.060121.jpg</t>
  </si>
  <si>
    <t>0291a094</t>
  </si>
  <si>
    <t>https://ryycrdhlkmzpxwwwwupy.supabase.co/storage/v1/object/public/old_media/0291a094.Path.060208.jpg</t>
  </si>
  <si>
    <t>22c2a437</t>
  </si>
  <si>
    <t>https://ryycrdhlkmzpxwwwwupy.supabase.co/storage/v1/object/public/old_media/22c2a437.Path.071315.jpg</t>
  </si>
  <si>
    <t>e8564eb0</t>
  </si>
  <si>
    <t>https://ryycrdhlkmzpxwwwwupy.supabase.co/storage/v1/object/public/old_media/e8564eb0.Path.071535.avif</t>
  </si>
  <si>
    <t>109bd66a</t>
  </si>
  <si>
    <t>https://ryycrdhlkmzpxwwwwupy.supabase.co/storage/v1/object/public/old_media/109bd66a.Path.071603.jpg</t>
  </si>
  <si>
    <t>85e0b6fb</t>
  </si>
  <si>
    <t>https://ryycrdhlkmzpxwwwwupy.supabase.co/storage/v1/object/public/old_media/85e0b6fb.Path.071632.jpg</t>
  </si>
  <si>
    <t>a583b294</t>
  </si>
  <si>
    <t>https://ryycrdhlkmzpxwwwwupy.supabase.co/storage/v1/object/public/old_media/a583b294.Path.071704.webp</t>
  </si>
  <si>
    <t>8445c80b</t>
  </si>
  <si>
    <t>https://ryycrdhlkmzpxwwwwupy.supabase.co/storage/v1/object/public/old_media/8445c80b.Path.071737.avif</t>
  </si>
  <si>
    <t>2c2f74b9</t>
  </si>
  <si>
    <t>https://ryycrdhlkmzpxwwwwupy.supabase.co/storage/v1/object/public/old_media/2c2f74b9.Path.071811.jpg</t>
  </si>
  <si>
    <t>b2aed771</t>
  </si>
  <si>
    <t>https://ryycrdhlkmzpxwwwwupy.supabase.co/storage/v1/object/public/old_media/b2aed771.Path.115843.jpg</t>
  </si>
  <si>
    <t>23075ae5</t>
  </si>
  <si>
    <t>https://ryycrdhlkmzpxwwwwupy.supabase.co/storage/v1/object/public/old_media/23075ae5.Path.115944.jpg</t>
  </si>
  <si>
    <t>4e44074d</t>
  </si>
  <si>
    <t>https://ryycrdhlkmzpxwwwwupy.supabase.co/storage/v1/object/public/old_media/4e44074d.Path.051525.png</t>
  </si>
  <si>
    <t>3b1f383b</t>
  </si>
  <si>
    <t>https://ryycrdhlkmzpxwwwwupy.supabase.co/storage/v1/object/public/old_media/3b1f383b.Path.051602.jpg</t>
  </si>
  <si>
    <t>a9e3644c</t>
  </si>
  <si>
    <t>https://ryycrdhlkmzpxwwwwupy.supabase.co/storage/v1/object/public/old_media/a9e3644c.Path.075208.jpg</t>
  </si>
  <si>
    <t>23b39e68</t>
  </si>
  <si>
    <t>https://ryycrdhlkmzpxwwwwupy.supabase.co/storage/v1/object/public/old_media/23b39e68.Path.115108.jpg</t>
  </si>
  <si>
    <t>798ef072</t>
  </si>
  <si>
    <t>https://ryycrdhlkmzpxwwwwupy.supabase.co/storage/v1/object/public/old_media/798ef072.Path.063511.jpg</t>
  </si>
  <si>
    <t>d63b634e</t>
  </si>
  <si>
    <t>https://ryycrdhlkmzpxwwwwupy.supabase.co/storage/v1/object/public/old_media/d63b634e.Path.063541.jpg</t>
  </si>
  <si>
    <t>1320e3b0</t>
  </si>
  <si>
    <t>https://ryycrdhlkmzpxwwwwupy.supabase.co/storage/v1/object/public/old_media/1320e3b0.Path.063611.jpg</t>
  </si>
  <si>
    <t>48221168</t>
  </si>
  <si>
    <t>https://ryycrdhlkmzpxwwwwupy.supabase.co/storage/v1/object/public/old_media/48221168.Path.063640.jpg</t>
  </si>
  <si>
    <t>01d64206</t>
  </si>
  <si>
    <t>https://ryycrdhlkmzpxwwwwupy.supabase.co/storage/v1/object/public/old_media/01d64206.Path.063713.jpg</t>
  </si>
  <si>
    <t>931b3001</t>
  </si>
  <si>
    <t>https://ryycrdhlkmzpxwwwwupy.supabase.co/storage/v1/object/public/old_media/931b3001.Path.063745.jpg</t>
  </si>
  <si>
    <t>93688734</t>
  </si>
  <si>
    <t>https://ryycrdhlkmzpxwwwwupy.supabase.co/storage/v1/object/public/old_media/93688734.Path.063813.jpg</t>
  </si>
  <si>
    <t>1c517822</t>
  </si>
  <si>
    <t>https://ryycrdhlkmzpxwwwwupy.supabase.co/storage/v1/object/public/old_media/1c517822.Path.110854.jpg</t>
  </si>
  <si>
    <t>e096268e</t>
  </si>
  <si>
    <t>https://ryycrdhlkmzpxwwwwupy.supabase.co/storage/v1/object/public/old_media/e096268e.Path.110927.jpg</t>
  </si>
  <si>
    <t>84ed2753</t>
  </si>
  <si>
    <t>https://ryycrdhlkmzpxwwwwupy.supabase.co/storage/v1/object/public/old_media/84ed2753.Path.110957.jpg</t>
  </si>
  <si>
    <t>95091b6b</t>
  </si>
  <si>
    <t>https://ryycrdhlkmzpxwwwwupy.supabase.co/storage/v1/object/public/old_media/95091b6b.Path.111027.jpg</t>
  </si>
  <si>
    <t>4fee07c0</t>
  </si>
  <si>
    <t>https://ryycrdhlkmzpxwwwwupy.supabase.co/storage/v1/object/public/old_media/4fee07c0.Path.111058.jpg</t>
  </si>
  <si>
    <t>b43d83d4</t>
  </si>
  <si>
    <t>https://ryycrdhlkmzpxwwwwupy.supabase.co/storage/v1/object/public/old_media/b43d83d4.Path.111127.jpg</t>
  </si>
  <si>
    <t>d1c097ed</t>
  </si>
  <si>
    <t>https://ryycrdhlkmzpxwwwwupy.supabase.co/storage/v1/object/public/old_media/d1c097ed.Path.055713.jpg</t>
  </si>
  <si>
    <t>53d1598e</t>
  </si>
  <si>
    <t>https://ryycrdhlkmzpxwwwwupy.supabase.co/storage/v1/object/public/old_media/53d1598e.Path.055752.jpg</t>
  </si>
  <si>
    <t>a80fd625</t>
  </si>
  <si>
    <t>https://ryycrdhlkmzpxwwwwupy.supabase.co/storage/v1/object/public/old_media/a80fd625.Path.055823.jpg</t>
  </si>
  <si>
    <t>8248f891</t>
  </si>
  <si>
    <t>https://ryycrdhlkmzpxwwwwupy.supabase.co/storage/v1/object/public/old_media/8248f891.Path.042328.jpg</t>
  </si>
  <si>
    <t>120b3f3b</t>
  </si>
  <si>
    <t>https://ryycrdhlkmzpxwwwwupy.supabase.co/storage/v1/object/public/old_media/120b3f3b.Path.042400.jpg</t>
  </si>
  <si>
    <t>2e3136ea</t>
  </si>
  <si>
    <t>https://ryycrdhlkmzpxwwwwupy.supabase.co/storage/v1/object/public/old_media/2e3136ea.Path.042433.jpg</t>
  </si>
  <si>
    <t>bb6f1299</t>
  </si>
  <si>
    <t>https://ryycrdhlkmzpxwwwwupy.supabase.co/storage/v1/object/public/old_media/bb6f1299.Path.042512.jpg</t>
  </si>
  <si>
    <t>bbb0164e</t>
  </si>
  <si>
    <t>https://ryycrdhlkmzpxwwwwupy.supabase.co/storage/v1/object/public/old_media/bbb0164e.Path.042939.jpg</t>
  </si>
  <si>
    <t>81e3cb09</t>
  </si>
  <si>
    <t>https://ryycrdhlkmzpxwwwwupy.supabase.co/storage/v1/object/public/old_media/81e3cb09.Path.043110.jpg</t>
  </si>
  <si>
    <t>14d0afbe</t>
  </si>
  <si>
    <t>https://ryycrdhlkmzpxwwwwupy.supabase.co/storage/v1/object/public/old_media/14d0afbe.Path.043143.jpg</t>
  </si>
  <si>
    <t>b0a31543</t>
  </si>
  <si>
    <t>https://ryycrdhlkmzpxwwwwupy.supabase.co/storage/v1/object/public/old_media/b0a31543.Path.065747.jpg</t>
  </si>
  <si>
    <t>90903ced</t>
  </si>
  <si>
    <t>https://ryycrdhlkmzpxwwwwupy.supabase.co/storage/v1/object/public/old_media/90903ced.Path.065818.jpg</t>
  </si>
  <si>
    <t>7f356a2a</t>
  </si>
  <si>
    <t>https://ryycrdhlkmzpxwwwwupy.supabase.co/storage/v1/object/public/old_media/7f356a2a.Path.065848.jpg</t>
  </si>
  <si>
    <t>782dc0bf</t>
  </si>
  <si>
    <t>https://ryycrdhlkmzpxwwwwupy.supabase.co/storage/v1/object/public/old_media/782dc0bf.Path.065921.jpg</t>
  </si>
  <si>
    <t>7eefd02d</t>
  </si>
  <si>
    <t>https://ryycrdhlkmzpxwwwwupy.supabase.co/storage/v1/object/public/old_media/7eefd02d.Path.065952.jpg</t>
  </si>
  <si>
    <t>cf7313e7</t>
  </si>
  <si>
    <t>https://ryycrdhlkmzpxwwwwupy.supabase.co/storage/v1/object/public/old_media/cf7313e7.Path.071540.jpg</t>
  </si>
  <si>
    <t>346a57bd</t>
  </si>
  <si>
    <t>https://ryycrdhlkmzpxwwwwupy.supabase.co/storage/v1/object/public/old_media/346a57bd.Path.071615.jpg</t>
  </si>
  <si>
    <t>a59aa7ce</t>
  </si>
  <si>
    <t>https://ryycrdhlkmzpxwwwwupy.supabase.co/storage/v1/object/public/old_media/a59aa7ce.Path.071648.jpg</t>
  </si>
  <si>
    <t>f8014a6c</t>
  </si>
  <si>
    <t>https://ryycrdhlkmzpxwwwwupy.supabase.co/storage/v1/object/public/old_media/f8014a6c.Path.071722.jpg</t>
  </si>
  <si>
    <t>005ee6c7</t>
  </si>
  <si>
    <t>https://ryycrdhlkmzpxwwwwupy.supabase.co/storage/v1/object/public/old_media/005ee6c7.Path.071751.jpg</t>
  </si>
  <si>
    <t>c76527fd</t>
  </si>
  <si>
    <t>https://ryycrdhlkmzpxwwwwupy.supabase.co/storage/v1/object/public/old_media/c76527fd.Path.063148.jpg</t>
  </si>
  <si>
    <t>3ec78f3a</t>
  </si>
  <si>
    <t>https://ryycrdhlkmzpxwwwwupy.supabase.co/storage/v1/object/public/old_media/3ec78f3a.Path.063219.jpg</t>
  </si>
  <si>
    <t>8ad8ad04</t>
  </si>
  <si>
    <t>https://ryycrdhlkmzpxwwwwupy.supabase.co/storage/v1/object/public/old_media/8ad8ad04.Path.063249.jpg</t>
  </si>
  <si>
    <t>c01c3d06</t>
  </si>
  <si>
    <t>https://ryycrdhlkmzpxwwwwupy.supabase.co/storage/v1/object/public/old_media/c01c3d06.Path.063318.jpg</t>
  </si>
  <si>
    <t>837d5c39</t>
  </si>
  <si>
    <t>https://ryycrdhlkmzpxwwwwupy.supabase.co/storage/v1/object/public/old_media/837d5c39.Path.063457.jpg</t>
  </si>
  <si>
    <t>42638a29</t>
  </si>
  <si>
    <t>https://ryycrdhlkmzpxwwwwupy.supabase.co/storage/v1/object/public/old_media/42638a29.Path.064643.jpg</t>
  </si>
  <si>
    <t>1183cc77</t>
  </si>
  <si>
    <t>https://ryycrdhlkmzpxwwwwupy.supabase.co/storage/v1/object/public/old_media/1183cc77.Path.064715.jpg</t>
  </si>
  <si>
    <t>5c2cf95b</t>
  </si>
  <si>
    <t>https://ryycrdhlkmzpxwwwwupy.supabase.co/storage/v1/object/public/old_media/5c2cf95b.Path.064744.jpg</t>
  </si>
  <si>
    <t>ec4b465a</t>
  </si>
  <si>
    <t>https://ryycrdhlkmzpxwwwwupy.supabase.co/storage/v1/object/public/old_media/ec4b465a.Path.064814.jpg</t>
  </si>
  <si>
    <t>57bb080f</t>
  </si>
  <si>
    <t>fa7b2db5</t>
  </si>
  <si>
    <t>https://ryycrdhlkmzpxwwwwupy.supabase.co/storage/v1/object/public/old_media/fa7b2db5.Path.074129.jpg</t>
  </si>
  <si>
    <t>644c17fb</t>
  </si>
  <si>
    <t>https://ryycrdhlkmzpxwwwwupy.supabase.co/storage/v1/object/public/old_media/644c17fb.Path.074158.jpg</t>
  </si>
  <si>
    <t>8ab97c37</t>
  </si>
  <si>
    <t>https://ryycrdhlkmzpxwwwwupy.supabase.co/storage/v1/object/public/old_media/8ab97c37.Path.074228.jpg</t>
  </si>
  <si>
    <t>9eed2eca</t>
  </si>
  <si>
    <t>https://ryycrdhlkmzpxwwwwupy.supabase.co/storage/v1/object/public/old_media/9eed2eca.Path.074256.jpg</t>
  </si>
  <si>
    <t>5c7d2f8d</t>
  </si>
  <si>
    <t>https://ryycrdhlkmzpxwwwwupy.supabase.co/storage/v1/object/public/old_media/5c7d2f8d.Path.071212.jpg</t>
  </si>
  <si>
    <t>a994d433</t>
  </si>
  <si>
    <t>https://ryycrdhlkmzpxwwwwupy.supabase.co/storage/v1/object/public/old_media/a994d433.Path.071248.jpg</t>
  </si>
  <si>
    <t>6ecfd025</t>
  </si>
  <si>
    <t>https://ryycrdhlkmzpxwwwwupy.supabase.co/storage/v1/object/public/old_media/6ecfd025.Path.073412.jpg</t>
  </si>
  <si>
    <t>0e7e8cbd</t>
  </si>
  <si>
    <t>https://ryycrdhlkmzpxwwwwupy.supabase.co/storage/v1/object/public/old_media/0e7e8cbd.Path.073447.jpg</t>
  </si>
  <si>
    <t>de424b84</t>
  </si>
  <si>
    <t>https://ryycrdhlkmzpxwwwwupy.supabase.co/storage/v1/object/public/old_media/de424b84.Path.073519.jpg</t>
  </si>
  <si>
    <t>bad0107b</t>
  </si>
  <si>
    <t>https://ryycrdhlkmzpxwwwwupy.supabase.co/storage/v1/object/public/old_media/bad0107b.Path.044711.HEIC</t>
  </si>
  <si>
    <t>8b2edfb7</t>
  </si>
  <si>
    <t>https://ryycrdhlkmzpxwwwwupy.supabase.co/storage/v1/object/public/old_media/8b2edfb7.Path.060432.jpg</t>
  </si>
  <si>
    <t>ab2bb729</t>
  </si>
  <si>
    <t>https://ryycrdhlkmzpxwwwwupy.supabase.co/storage/v1/object/public/old_media/ab2bb729.Path.074947.jpg</t>
  </si>
  <si>
    <t>e7479bfa</t>
  </si>
  <si>
    <t>https://ryycrdhlkmzpxwwwwupy.supabase.co/storage/v1/object/public/old_media/e7479bfa.Path.045637.jpg</t>
  </si>
  <si>
    <t>57a78655</t>
  </si>
  <si>
    <t>https://ryycrdhlkmzpxwwwwupy.supabase.co/storage/v1/object/public/old_media/57a78655.Path.045708.jpg</t>
  </si>
  <si>
    <t>13edcc22</t>
  </si>
  <si>
    <t>https://ryycrdhlkmzpxwwwwupy.supabase.co/storage/v1/object/public/old_media/13edcc22.Path.054028.jpg</t>
  </si>
  <si>
    <t>17c81be4</t>
  </si>
  <si>
    <t>https://ryycrdhlkmzpxwwwwupy.supabase.co/storage/v1/object/public/old_media/17c81be4.Path.054100.jpg</t>
  </si>
  <si>
    <t>ed3ae00d</t>
  </si>
  <si>
    <t>https://ryycrdhlkmzpxwwwwupy.supabase.co/storage/v1/object/public/old_media/ed3ae00d.Path.054131.jpg</t>
  </si>
  <si>
    <t>e2918d39</t>
  </si>
  <si>
    <t>https://ryycrdhlkmzpxwwwwupy.supabase.co/storage/v1/object/public/old_media/e2918d39.Path.054202.jpg</t>
  </si>
  <si>
    <t>03d6bb1b</t>
  </si>
  <si>
    <t>https://ryycrdhlkmzpxwwwwupy.supabase.co/storage/v1/object/public/old_media/03d6bb1b.Path.054234.jpg</t>
  </si>
  <si>
    <t>08eeea00</t>
  </si>
  <si>
    <t>https://ryycrdhlkmzpxwwwwupy.supabase.co/storage/v1/object/public/old_media/08eeea00.Path.054306.jpg</t>
  </si>
  <si>
    <t>ec87d41f</t>
  </si>
  <si>
    <t>https://ryycrdhlkmzpxwwwwupy.supabase.co/storage/v1/object/public/old_media/ec87d41f.Path.065337.jpg</t>
  </si>
  <si>
    <t>b720203b</t>
  </si>
  <si>
    <t>https://ryycrdhlkmzpxwwwwupy.supabase.co/storage/v1/object/public/old_media/b720203b.Path.065410.jpg</t>
  </si>
  <si>
    <t>c71e77eb</t>
  </si>
  <si>
    <t>https://ryycrdhlkmzpxwwwwupy.supabase.co/storage/v1/object/public/old_media/c71e77eb.Path.044157.jpg</t>
  </si>
  <si>
    <t>3ed6a1d8</t>
  </si>
  <si>
    <t>https://ryycrdhlkmzpxwwwwupy.supabase.co/storage/v1/object/public/old_media/3ed6a1d8.Path.044228.jpg</t>
  </si>
  <si>
    <t>d48d679c</t>
  </si>
  <si>
    <t>https://ryycrdhlkmzpxwwwwupy.supabase.co/storage/v1/object/public/old_media/d48d679c.Path.044301.jpg</t>
  </si>
  <si>
    <t>bb4d5bef</t>
  </si>
  <si>
    <t>https://ryycrdhlkmzpxwwwwupy.supabase.co/storage/v1/object/public/old_media/bb4d5bef.Path.044329.jpg</t>
  </si>
  <si>
    <t>2e1c8153</t>
  </si>
  <si>
    <t>https://ryycrdhlkmzpxwwwwupy.supabase.co/storage/v1/object/public/old_media/2e1c8153.Path.070414.avif</t>
  </si>
  <si>
    <t>7769f265</t>
  </si>
  <si>
    <t>https://ryycrdhlkmzpxwwwwupy.supabase.co/storage/v1/object/public/old_media/7769f265.Path.070445.avif</t>
  </si>
  <si>
    <t>e15c6bd6</t>
  </si>
  <si>
    <t>https://ryycrdhlkmzpxwwwwupy.supabase.co/storage/v1/object/public/old_media/e15c6bd6.Path.070517.jpg</t>
  </si>
  <si>
    <t>3cf0b56a</t>
  </si>
  <si>
    <t>https://ryycrdhlkmzpxwwwwupy.supabase.co/storage/v1/object/public/old_media/3cf0b56a.Path.070549.avif</t>
  </si>
  <si>
    <t>a17a7ea1</t>
  </si>
  <si>
    <t>https://ryycrdhlkmzpxwwwwupy.supabase.co/storage/v1/object/public/old_media/a17a7ea1.Path.070619.avif</t>
  </si>
  <si>
    <t>1f271870</t>
  </si>
  <si>
    <t>https://ryycrdhlkmzpxwwwwupy.supabase.co/storage/v1/object/public/old_media/1f271870.Path.102817.jpg</t>
  </si>
  <si>
    <t>b1c69cc8</t>
  </si>
  <si>
    <t>https://ryycrdhlkmzpxwwwwupy.supabase.co/storage/v1/object/public/old_media/b1c69cc8.Path.102848.jpg</t>
  </si>
  <si>
    <t>d1d874bf</t>
  </si>
  <si>
    <t>https://ryycrdhlkmzpxwwwwupy.supabase.co/storage/v1/object/public/old_media/d1d874bf.Path.102922.jpg</t>
  </si>
  <si>
    <t>3b7a84c8</t>
  </si>
  <si>
    <t>https://ryycrdhlkmzpxwwwwupy.supabase.co/storage/v1/object/public/old_media/3b7a84c8.Path.102957.jpg</t>
  </si>
  <si>
    <t>2be20ecf</t>
  </si>
  <si>
    <t>https://ryycrdhlkmzpxwwwwupy.supabase.co/storage/v1/object/public/old_media/2be20ecf.Path.103031.jpg</t>
  </si>
  <si>
    <t>2251705b</t>
  </si>
  <si>
    <t>https://ryycrdhlkmzpxwwwwupy.supabase.co/storage/v1/object/public/old_media/2251705b.Path.103104.jpg</t>
  </si>
  <si>
    <t>6efbf940</t>
  </si>
  <si>
    <t>https://ryycrdhlkmzpxwwwwupy.supabase.co/storage/v1/object/public/old_media/6efbf940.Path.054532.jpg</t>
  </si>
  <si>
    <t>6fb47301</t>
  </si>
  <si>
    <t>https://ryycrdhlkmzpxwwwwupy.supabase.co/storage/v1/object/public/old_media/6fb47301.Path.054608.jpg</t>
  </si>
  <si>
    <t>3adf174b</t>
  </si>
  <si>
    <t>https://ryycrdhlkmzpxwwwwupy.supabase.co/storage/v1/object/public/old_media/3adf174b.Path.054644.jpg</t>
  </si>
  <si>
    <t>6a1906e9</t>
  </si>
  <si>
    <t>https://ryycrdhlkmzpxwwwwupy.supabase.co/storage/v1/object/public/old_media/6a1906e9.Path.054720.jpg</t>
  </si>
  <si>
    <t>79f7aa28</t>
  </si>
  <si>
    <t>https://ryycrdhlkmzpxwwwwupy.supabase.co/storage/v1/object/public/old_media/79f7aa28.Path.055119.jpg</t>
  </si>
  <si>
    <t>521e56e7</t>
  </si>
  <si>
    <t>https://ryycrdhlkmzpxwwwwupy.supabase.co/storage/v1/object/public/old_media/521e56e7.Path.055253.jpg</t>
  </si>
  <si>
    <t>ac544fe2</t>
  </si>
  <si>
    <t>https://ryycrdhlkmzpxwwwwupy.supabase.co/storage/v1/object/public/old_media/ac544fe2.Path.050924.avif</t>
  </si>
  <si>
    <t>d4fe3373</t>
  </si>
  <si>
    <t>https://ryycrdhlkmzpxwwwwupy.supabase.co/storage/v1/object/public/old_media/d4fe3373.Path.050956.avif</t>
  </si>
  <si>
    <t>c062022c</t>
  </si>
  <si>
    <t>https://ryycrdhlkmzpxwwwwupy.supabase.co/storage/v1/object/public/old_media/c062022c.Path.051028.avif</t>
  </si>
  <si>
    <t>1f7db384</t>
  </si>
  <si>
    <t>https://ryycrdhlkmzpxwwwwupy.supabase.co/storage/v1/object/public/old_media/1f7db384.Path.051059.avif</t>
  </si>
  <si>
    <t>139b947d</t>
  </si>
  <si>
    <t>https://ryycrdhlkmzpxwwwwupy.supabase.co/storage/v1/object/public/old_media/139b947d.Path.051133.avif</t>
  </si>
  <si>
    <t>ecdd95e9</t>
  </si>
  <si>
    <t>https://ryycrdhlkmzpxwwwwupy.supabase.co/storage/v1/object/public/old_media/ecdd95e9.Path.051202.avif</t>
  </si>
  <si>
    <t>80407d86</t>
  </si>
  <si>
    <t>https://ryycrdhlkmzpxwwwwupy.supabase.co/storage/v1/object/public/old_media/80407d86.Path.051231.avif</t>
  </si>
  <si>
    <t>72d202a8</t>
  </si>
  <si>
    <t>https://ryycrdhlkmzpxwwwwupy.supabase.co/storage/v1/object/public/old_media/72d202a8.Path.051301.avif</t>
  </si>
  <si>
    <t>8cb7c365</t>
  </si>
  <si>
    <t>https://ryycrdhlkmzpxwwwwupy.supabase.co/storage/v1/object/public/old_media/8cb7c365.Path.051332.avif</t>
  </si>
  <si>
    <t>926c80b6</t>
  </si>
  <si>
    <t>https://ryycrdhlkmzpxwwwwupy.supabase.co/storage/v1/object/public/old_media/926c80b6.Path.051402.avif</t>
  </si>
  <si>
    <t>bf7ced36</t>
  </si>
  <si>
    <t>https://ryycrdhlkmzpxwwwwupy.supabase.co/storage/v1/object/public/old_media/bf7ced36.Path.045351.jpg</t>
  </si>
  <si>
    <t>445f74c4</t>
  </si>
  <si>
    <t>https://ryycrdhlkmzpxwwwwupy.supabase.co/storage/v1/object/public/old_media/445f74c4.Path.045423.jpg</t>
  </si>
  <si>
    <t>9db9a3b5</t>
  </si>
  <si>
    <t>https://ryycrdhlkmzpxwwwwupy.supabase.co/storage/v1/object/public/old_media/9db9a3b5.Path.045453.jpg</t>
  </si>
  <si>
    <t>a406b8cd</t>
  </si>
  <si>
    <t>https://ryycrdhlkmzpxwwwwupy.supabase.co/storage/v1/object/public/old_media/a406b8cd.Path.045525.jpg</t>
  </si>
  <si>
    <t>a14a4e0d</t>
  </si>
  <si>
    <t>https://ryycrdhlkmzpxwwwwupy.supabase.co/storage/v1/object/public/old_media/a14a4e0d.Path.045555.jpg</t>
  </si>
  <si>
    <t>6cd5c240</t>
  </si>
  <si>
    <t>https://ryycrdhlkmzpxwwwwupy.supabase.co/storage/v1/object/public/old_media/6cd5c240.Path.045633.jpg</t>
  </si>
  <si>
    <t>f329143c</t>
  </si>
  <si>
    <t>https://ryycrdhlkmzpxwwwwupy.supabase.co/storage/v1/object/public/old_media/f329143c.Path.063251.jpg</t>
  </si>
  <si>
    <t>1befea7c</t>
  </si>
  <si>
    <t>https://ryycrdhlkmzpxwwwwupy.supabase.co/storage/v1/object/public/old_media/1befea7c.Path.070453.jpg</t>
  </si>
  <si>
    <t>b58c4cba</t>
  </si>
  <si>
    <t>https://ryycrdhlkmzpxwwwwupy.supabase.co/storage/v1/object/public/old_media/b58c4cba.Path.074222.jpg</t>
  </si>
  <si>
    <t>1345f0f8</t>
  </si>
  <si>
    <t>https://ryycrdhlkmzpxwwwwupy.supabase.co/storage/v1/object/public/old_media/1345f0f8.Path.075104.jpg</t>
  </si>
  <si>
    <t>e4e00ce1</t>
  </si>
  <si>
    <t>https://ryycrdhlkmzpxwwwwupy.supabase.co/storage/v1/object/public/old_media/e4e00ce1.Path.075138.jpg</t>
  </si>
  <si>
    <t>c24d1541</t>
  </si>
  <si>
    <t>https://ryycrdhlkmzpxwwwwupy.supabase.co/storage/v1/object/public/old_media/c24d1541.Path.104836.jpg</t>
  </si>
  <si>
    <t>da763e63</t>
  </si>
  <si>
    <t>https://ryycrdhlkmzpxwwwwupy.supabase.co/storage/v1/object/public/old_media/da763e63.Path.104910.jpg</t>
  </si>
  <si>
    <t>0d5f7bb0</t>
  </si>
  <si>
    <t>https://ryycrdhlkmzpxwwwwupy.supabase.co/storage/v1/object/public/old_media/0d5f7bb0.Path.104944.jpg</t>
  </si>
  <si>
    <t>1d5f5c1d</t>
  </si>
  <si>
    <t>https://ryycrdhlkmzpxwwwwupy.supabase.co/storage/v1/object/public/old_media/1d5f5c1d.Path.052927.jpg</t>
  </si>
  <si>
    <t>68cb4cc0</t>
  </si>
  <si>
    <t>https://ryycrdhlkmzpxwwwwupy.supabase.co/storage/v1/object/public/old_media/68cb4cc0.Path.052957.jpg</t>
  </si>
  <si>
    <t>c162c278</t>
  </si>
  <si>
    <t>https://ryycrdhlkmzpxwwwwupy.supabase.co/storage/v1/object/public/old_media/c162c278.Path.053033.png</t>
  </si>
  <si>
    <t>80fd1964</t>
  </si>
  <si>
    <t>https://ryycrdhlkmzpxwwwwupy.supabase.co/storage/v1/object/public/old_media/80fd1964.Path.053117.jpg</t>
  </si>
  <si>
    <t>5423adff</t>
  </si>
  <si>
    <t>https://ryycrdhlkmzpxwwwwupy.supabase.co/storage/v1/object/public/old_media/5423adff.Path.052200.avif</t>
  </si>
  <si>
    <t>a06aaee6</t>
  </si>
  <si>
    <t>https://ryycrdhlkmzpxwwwwupy.supabase.co/storage/v1/object/public/old_media/a06aaee6.Path.052228.avif</t>
  </si>
  <si>
    <t>601e76a0</t>
  </si>
  <si>
    <t>https://ryycrdhlkmzpxwwwwupy.supabase.co/storage/v1/object/public/old_media/601e76a0.Path.052258.avif</t>
  </si>
  <si>
    <t>c583c7ed</t>
  </si>
  <si>
    <t>https://ryycrdhlkmzpxwwwwupy.supabase.co/storage/v1/object/public/old_media/c583c7ed.Path.052346.avif</t>
  </si>
  <si>
    <t>71b93bf6</t>
  </si>
  <si>
    <t>https://ryycrdhlkmzpxwwwwupy.supabase.co/storage/v1/object/public/old_media/71b93bf6.Path.052413.avif</t>
  </si>
  <si>
    <t>6553af24</t>
  </si>
  <si>
    <t>https://ryycrdhlkmzpxwwwwupy.supabase.co/storage/v1/object/public/old_media/6553af24.Path.070003.jpg</t>
  </si>
  <si>
    <t>093ad12d</t>
  </si>
  <si>
    <t>https://ryycrdhlkmzpxwwwwupy.supabase.co/storage/v1/object/public/old_media/093ad12d.Path.070041.jpg</t>
  </si>
  <si>
    <t>2832fdc3</t>
  </si>
  <si>
    <t>https://ryycrdhlkmzpxwwwwupy.supabase.co/storage/v1/object/public/old_media/2832fdc3.Path.070116.jpg</t>
  </si>
  <si>
    <t>c8b5363d</t>
  </si>
  <si>
    <t>https://ryycrdhlkmzpxwwwwupy.supabase.co/storage/v1/object/public/old_media/c8b5363d.Path.070155.jpg</t>
  </si>
  <si>
    <t>87c8b323</t>
  </si>
  <si>
    <t>https://ryycrdhlkmzpxwwwwupy.supabase.co/storage/v1/object/public/old_media/87c8b323.Path.070231.jpg</t>
  </si>
  <si>
    <t>eedb9e89</t>
  </si>
  <si>
    <t>https://ryycrdhlkmzpxwwwwupy.supabase.co/storage/v1/object/public/old_media/eedb9e89.Path.070416.jpg</t>
  </si>
  <si>
    <t>65dda266</t>
  </si>
  <si>
    <t>https://ryycrdhlkmzpxwwwwupy.supabase.co/storage/v1/object/public/old_media/65dda266.Path.044029.jpg</t>
  </si>
  <si>
    <t>c00161a4</t>
  </si>
  <si>
    <t>https://ryycrdhlkmzpxwwwwupy.supabase.co/storage/v1/object/public/old_media/c00161a4.Path.044422.jpg</t>
  </si>
  <si>
    <t>06154d32</t>
  </si>
  <si>
    <t>https://ryycrdhlkmzpxwwwwupy.supabase.co/storage/v1/object/public/old_media/06154d32.Path.044451.jpg</t>
  </si>
  <si>
    <t>d8352643</t>
  </si>
  <si>
    <t>https://ryycrdhlkmzpxwwwwupy.supabase.co/storage/v1/object/public/old_media/d8352643.Path.044520.jpg</t>
  </si>
  <si>
    <t>5c9da89e</t>
  </si>
  <si>
    <t>https://ryycrdhlkmzpxwwwwupy.supabase.co/storage/v1/object/public/old_media/5c9da89e.Path.042402.jpg</t>
  </si>
  <si>
    <t>54dbbd53</t>
  </si>
  <si>
    <t>https://ryycrdhlkmzpxwwwwupy.supabase.co/storage/v1/object/public/old_media/54dbbd53.Path.042434.jpg</t>
  </si>
  <si>
    <t>02fe0711</t>
  </si>
  <si>
    <t>https://ryycrdhlkmzpxwwwwupy.supabase.co/storage/v1/object/public/old_media/02fe0711.Path.042506.jpg</t>
  </si>
  <si>
    <t>39786704</t>
  </si>
  <si>
    <t>https://ryycrdhlkmzpxwwwwupy.supabase.co/storage/v1/object/public/old_media/39786704.Path.042536.jpg</t>
  </si>
  <si>
    <t>9c0b1f32</t>
  </si>
  <si>
    <t>https://ryycrdhlkmzpxwwwwupy.supabase.co/storage/v1/object/public/old_media/9c0b1f32.Path.035623.jpg</t>
  </si>
  <si>
    <t>57af3d37</t>
  </si>
  <si>
    <t>https://ryycrdhlkmzpxwwwwupy.supabase.co/storage/v1/object/public/old_media/57af3d37.Path.035703.jpg</t>
  </si>
  <si>
    <t>917eb8bd</t>
  </si>
  <si>
    <t>https://ryycrdhlkmzpxwwwwupy.supabase.co/storage/v1/object/public/old_media/917eb8bd.Path.035735.jpg</t>
  </si>
  <si>
    <t>4b2916b0</t>
  </si>
  <si>
    <t>https://ryycrdhlkmzpxwwwwupy.supabase.co/storage/v1/object/public/old_media/4b2916b0.Path.035805.jpg</t>
  </si>
  <si>
    <t>88f49eca</t>
  </si>
  <si>
    <t>https://ryycrdhlkmzpxwwwwupy.supabase.co/storage/v1/object/public/old_media/88f49eca.Path.035834.jpg</t>
  </si>
  <si>
    <t>0166db0c</t>
  </si>
  <si>
    <t>https://ryycrdhlkmzpxwwwwupy.supabase.co/storage/v1/object/public/old_media/0166db0c.Path.042536.png</t>
  </si>
  <si>
    <t>32ec99f5</t>
  </si>
  <si>
    <t>https://ryycrdhlkmzpxwwwwupy.supabase.co/storage/v1/object/public/old_media/32ec99f5.Path.102954.jpg</t>
  </si>
  <si>
    <t>1fc69cb3</t>
  </si>
  <si>
    <t>https://ryycrdhlkmzpxwwwwupy.supabase.co/storage/v1/object/public/old_media/1fc69cb3.Path.103031.jpg</t>
  </si>
  <si>
    <t>a61f74be</t>
  </si>
  <si>
    <t>https://ryycrdhlkmzpxwwwwupy.supabase.co/storage/v1/object/public/old_media/a61f74be.Path.103104.jpg</t>
  </si>
  <si>
    <t>62d6ac83</t>
  </si>
  <si>
    <t>https://ryycrdhlkmzpxwwwwupy.supabase.co/storage/v1/object/public/old_media/62d6ac83.Path.103313.jpg</t>
  </si>
  <si>
    <t>dcabdcec</t>
  </si>
  <si>
    <t>https://ryycrdhlkmzpxwwwwupy.supabase.co/storage/v1/object/public/old_media/dcabdcec.Path.103348.jpg</t>
  </si>
  <si>
    <t>53715c08</t>
  </si>
  <si>
    <t>https://ryycrdhlkmzpxwwwwupy.supabase.co/storage/v1/object/public/old_media/53715c08.Path.103428.jpg</t>
  </si>
  <si>
    <t>d855d55b</t>
  </si>
  <si>
    <t>https://ryycrdhlkmzpxwwwwupy.supabase.co/storage/v1/object/public/old_media/d855d55b.Path.064314.jpg</t>
  </si>
  <si>
    <t>2aaf163c</t>
  </si>
  <si>
    <t>https://ryycrdhlkmzpxwwwwupy.supabase.co/storage/v1/object/public/old_media/2aaf163c.Path.064342.jpg</t>
  </si>
  <si>
    <t>509951b5</t>
  </si>
  <si>
    <t>https://ryycrdhlkmzpxwwwwupy.supabase.co/storage/v1/object/public/old_media/509951b5.Path.072936.jpg</t>
  </si>
  <si>
    <t>2ceafaad</t>
  </si>
  <si>
    <t>https://ryycrdhlkmzpxwwwwupy.supabase.co/storage/v1/object/public/old_media/2ceafaad.Path.050616.jpg</t>
  </si>
  <si>
    <t>b66a6f41</t>
  </si>
  <si>
    <t>https://ryycrdhlkmzpxwwwwupy.supabase.co/storage/v1/object/public/old_media/b66a6f41.Path.050727.jpg</t>
  </si>
  <si>
    <t>0a7417f4</t>
  </si>
  <si>
    <t>https://ryycrdhlkmzpxwwwwupy.supabase.co/storage/v1/object/public/old_media/0a7417f4.Path.050757.jpg</t>
  </si>
  <si>
    <t>4906db76</t>
  </si>
  <si>
    <t>https://ryycrdhlkmzpxwwwwupy.supabase.co/storage/v1/object/public/old_media/4906db76.Path.050825.jpg</t>
  </si>
  <si>
    <t>d920d724</t>
  </si>
  <si>
    <t>https://ryycrdhlkmzpxwwwwupy.supabase.co/storage/v1/object/public/old_media/d920d724.Path.050900.jpg</t>
  </si>
  <si>
    <t>51edc8ad</t>
  </si>
  <si>
    <t>https://ryycrdhlkmzpxwwwwupy.supabase.co/storage/v1/object/public/old_media/51edc8ad.Path.075236.avif</t>
  </si>
  <si>
    <t>2bd4ad56</t>
  </si>
  <si>
    <t>https://ryycrdhlkmzpxwwwwupy.supabase.co/storage/v1/object/public/old_media/2bd4ad56.Path.075309.avif</t>
  </si>
  <si>
    <t>e7007e1d</t>
  </si>
  <si>
    <t>https://ryycrdhlkmzpxwwwwupy.supabase.co/storage/v1/object/public/old_media/e7007e1d.Path.075340.avif</t>
  </si>
  <si>
    <t>82cc2dc2</t>
  </si>
  <si>
    <t>https://ryycrdhlkmzpxwwwwupy.supabase.co/storage/v1/object/public/old_media/82cc2dc2.Path.075414.avif</t>
  </si>
  <si>
    <t>847eb980</t>
  </si>
  <si>
    <t>https://ryycrdhlkmzpxwwwwupy.supabase.co/storage/v1/object/public/old_media/847eb980.Path.063227.jpg</t>
  </si>
  <si>
    <t>f0f61905</t>
  </si>
  <si>
    <t>https://ryycrdhlkmzpxwwwwupy.supabase.co/storage/v1/object/public/old_media/f0f61905.Path.063256.jpg</t>
  </si>
  <si>
    <t>143a62f6</t>
  </si>
  <si>
    <t>https://ryycrdhlkmzpxwwwwupy.supabase.co/storage/v1/object/public/old_media/143a62f6.Path.063324.jpg</t>
  </si>
  <si>
    <t>1e20134a</t>
  </si>
  <si>
    <t>https://ryycrdhlkmzpxwwwwupy.supabase.co/storage/v1/object/public/old_media/1e20134a.Path.063354.jpg</t>
  </si>
  <si>
    <t>f0f679dc</t>
  </si>
  <si>
    <t>https://ryycrdhlkmzpxwwwwupy.supabase.co/storage/v1/object/public/old_media/f0f679dc.Path.063426.jpg</t>
  </si>
  <si>
    <t>23469252</t>
  </si>
  <si>
    <t>https://ryycrdhlkmzpxwwwwupy.supabase.co/storage/v1/object/public/old_media/23469252.Path.063457.jpg</t>
  </si>
  <si>
    <t>cb468889</t>
  </si>
  <si>
    <t>https://ryycrdhlkmzpxwwwwupy.supabase.co/storage/v1/object/public/old_media/cb468889.Path.063617.jpg</t>
  </si>
  <si>
    <t>81131589</t>
  </si>
  <si>
    <t>https://ryycrdhlkmzpxwwwwupy.supabase.co/storage/v1/object/public/old_media/81131589.Path.063645.jpg</t>
  </si>
  <si>
    <t>26c64ad6</t>
  </si>
  <si>
    <t>https://ryycrdhlkmzpxwwwwupy.supabase.co/storage/v1/object/public/old_media/26c64ad6.Path.070548.jpg</t>
  </si>
  <si>
    <t>c38e90e9</t>
  </si>
  <si>
    <t>https://ryycrdhlkmzpxwwwwupy.supabase.co/storage/v1/object/public/old_media/c38e90e9.Path.070629.jpg</t>
  </si>
  <si>
    <t>8c916c65</t>
  </si>
  <si>
    <t>https://ryycrdhlkmzpxwwwwupy.supabase.co/storage/v1/object/public/old_media/8c916c65.Path.070659.avif</t>
  </si>
  <si>
    <t>f4f87271</t>
  </si>
  <si>
    <t>https://ryycrdhlkmzpxwwwwupy.supabase.co/storage/v1/object/public/old_media/f4f87271.Path.070728.avif</t>
  </si>
  <si>
    <t>02cd9f18</t>
  </si>
  <si>
    <t>https://ryycrdhlkmzpxwwwwupy.supabase.co/storage/v1/object/public/old_media/02cd9f18.Path.070801.avif</t>
  </si>
  <si>
    <t>0b2b7ff4</t>
  </si>
  <si>
    <t>https://ryycrdhlkmzpxwwwwupy.supabase.co/storage/v1/object/public/old_media/0b2b7ff4.Path.083425.png</t>
  </si>
  <si>
    <t>f3288921</t>
  </si>
  <si>
    <t>https://ryycrdhlkmzpxwwwwupy.supabase.co/storage/v1/object/public/old_media/f3288921.Path.083458.jpg</t>
  </si>
  <si>
    <t>d5138d98</t>
  </si>
  <si>
    <t>https://ryycrdhlkmzpxwwwwupy.supabase.co/storage/v1/object/public/old_media/d5138d98.Path.061140.jpg</t>
  </si>
  <si>
    <t>a4f28406</t>
  </si>
  <si>
    <t>https://ryycrdhlkmzpxwwwwupy.supabase.co/storage/v1/object/public/old_media/a4f28406.Path.061259.jpg</t>
  </si>
  <si>
    <t>e8f6f5f9</t>
  </si>
  <si>
    <t>https://ryycrdhlkmzpxwwwwupy.supabase.co/storage/v1/object/public/old_media/e8f6f5f9.Path.061327.jpg</t>
  </si>
  <si>
    <t>40a5584e</t>
  </si>
  <si>
    <t>https://ryycrdhlkmzpxwwwwupy.supabase.co/storage/v1/object/public/old_media/40a5584e.Path.061355.jpg</t>
  </si>
  <si>
    <t>c0d1e5f2</t>
  </si>
  <si>
    <t>https://ryycrdhlkmzpxwwwwupy.supabase.co/storage/v1/object/public/old_media/c0d1e5f2.Path.061428.jpg</t>
  </si>
  <si>
    <t>83397783</t>
  </si>
  <si>
    <t>https://ryycrdhlkmzpxwwwwupy.supabase.co/storage/v1/object/public/old_media/83397783.Path.061519.jpg</t>
  </si>
  <si>
    <t>827065ab</t>
  </si>
  <si>
    <t>https://ryycrdhlkmzpxwwwwupy.supabase.co/storage/v1/object/public/old_media/827065ab.Path.044443.avif</t>
  </si>
  <si>
    <t>78f8c9ad</t>
  </si>
  <si>
    <t>https://ryycrdhlkmzpxwwwwupy.supabase.co/storage/v1/object/public/old_media/78f8c9ad.Path.044510.avif</t>
  </si>
  <si>
    <t>698889b1</t>
  </si>
  <si>
    <t>https://ryycrdhlkmzpxwwwwupy.supabase.co/storage/v1/object/public/old_media/698889b1.Path.044536.avif</t>
  </si>
  <si>
    <t>c3b8cdfc</t>
  </si>
  <si>
    <t>https://ryycrdhlkmzpxwwwwupy.supabase.co/storage/v1/object/public/old_media/c3b8cdfc.Path.044608.avif</t>
  </si>
  <si>
    <t>89b2641f</t>
  </si>
  <si>
    <t>https://ryycrdhlkmzpxwwwwupy.supabase.co/storage/v1/object/public/old_media/89b2641f.Path.044638.avif</t>
  </si>
  <si>
    <t>ef5ea7ae</t>
  </si>
  <si>
    <t>https://ryycrdhlkmzpxwwwwupy.supabase.co/storage/v1/object/public/old_media/ef5ea7ae.Path.094449.jpg</t>
  </si>
  <si>
    <t>a9c95036</t>
  </si>
  <si>
    <t>https://ryycrdhlkmzpxwwwwupy.supabase.co/storage/v1/object/public/old_media/a9c95036.Path.054454.avif</t>
  </si>
  <si>
    <t>230e0e99</t>
  </si>
  <si>
    <t>https://ryycrdhlkmzpxwwwwupy.supabase.co/storage/v1/object/public/old_media/230e0e99.Path.054522.avif</t>
  </si>
  <si>
    <t>4cf3922c</t>
  </si>
  <si>
    <t>https://ryycrdhlkmzpxwwwwupy.supabase.co/storage/v1/object/public/old_media/4cf3922c.Path.054548.avif</t>
  </si>
  <si>
    <t>c20fba55</t>
  </si>
  <si>
    <t>https://ryycrdhlkmzpxwwwwupy.supabase.co/storage/v1/object/public/old_media/c20fba55.Path.054616.avif</t>
  </si>
  <si>
    <t>f780ba7c</t>
  </si>
  <si>
    <t>https://ryycrdhlkmzpxwwwwupy.supabase.co/storage/v1/object/public/old_media/f780ba7c.Path.054642.avif</t>
  </si>
  <si>
    <t>6d08fde5</t>
  </si>
  <si>
    <t>https://ryycrdhlkmzpxwwwwupy.supabase.co/storage/v1/object/public/old_media/6d08fde5.Path.054713.avif</t>
  </si>
  <si>
    <t>b8909f15</t>
  </si>
  <si>
    <t>https://ryycrdhlkmzpxwwwwupy.supabase.co/storage/v1/object/public/old_media/b8909f15.Path.054742.jpg</t>
  </si>
  <si>
    <t>7e6cb6d8</t>
  </si>
  <si>
    <t>c29cf4df</t>
  </si>
  <si>
    <t>https://ryycrdhlkmzpxwwwwupy.supabase.co/storage/v1/object/public/old_media/c29cf4df.Path.064025.jpg</t>
  </si>
  <si>
    <t>43acedeb</t>
  </si>
  <si>
    <t>https://ryycrdhlkmzpxwwwwupy.supabase.co/storage/v1/object/public/old_media/43acedeb.Path.064056.jpg</t>
  </si>
  <si>
    <t>89755e5b</t>
  </si>
  <si>
    <t>https://ryycrdhlkmzpxwwwwupy.supabase.co/storage/v1/object/public/old_media/89755e5b.Path.092250.jpg</t>
  </si>
  <si>
    <t>6d0365c8</t>
  </si>
  <si>
    <t>https://ryycrdhlkmzpxwwwwupy.supabase.co/storage/v1/object/public/old_media/6d0365c8.Path.092317.jpg</t>
  </si>
  <si>
    <t>a67f206a</t>
  </si>
  <si>
    <t>https://ryycrdhlkmzpxwwwwupy.supabase.co/storage/v1/object/public/old_media/a67f206a.Path.092347.jpg</t>
  </si>
  <si>
    <t>bc2af460</t>
  </si>
  <si>
    <t>https://ryycrdhlkmzpxwwwwupy.supabase.co/storage/v1/object/public/old_media/bc2af460.Path.092414.jpg</t>
  </si>
  <si>
    <t>9bdd832c</t>
  </si>
  <si>
    <t>https://ryycrdhlkmzpxwwwwupy.supabase.co/storage/v1/object/public/old_media/9bdd832c.Path.092441.jpg</t>
  </si>
  <si>
    <t>f0091aa9</t>
  </si>
  <si>
    <t>https://ryycrdhlkmzpxwwwwupy.supabase.co/storage/v1/object/public/old_media/f0091aa9.Path.092513.jpg</t>
  </si>
  <si>
    <t>eac27b87</t>
  </si>
  <si>
    <t>https://ryycrdhlkmzpxwwwwupy.supabase.co/storage/v1/object/public/old_media/eac27b87.Path.092543.jpg</t>
  </si>
  <si>
    <t>fcdf8797</t>
  </si>
  <si>
    <t>https://ryycrdhlkmzpxwwwwupy.supabase.co/storage/v1/object/public/old_media/fcdf8797.Path.092626.jpg</t>
  </si>
  <si>
    <t>39e0b1d7</t>
  </si>
  <si>
    <t>https://ryycrdhlkmzpxwwwwupy.supabase.co/storage/v1/object/public/old_media/39e0b1d7.Path.051846.jpg</t>
  </si>
  <si>
    <t>42081ff7</t>
  </si>
  <si>
    <t>https://ryycrdhlkmzpxwwwwupy.supabase.co/storage/v1/object/public/old_media/42081ff7.Path.051918.jpg</t>
  </si>
  <si>
    <t>724ce553</t>
  </si>
  <si>
    <t>https://ryycrdhlkmzpxwwwwupy.supabase.co/storage/v1/object/public/old_media/724ce553.Path.051949.jpg</t>
  </si>
  <si>
    <t>f349da49</t>
  </si>
  <si>
    <t>https://ryycrdhlkmzpxwwwwupy.supabase.co/storage/v1/object/public/old_media/f349da49.Path.052018.jpg</t>
  </si>
  <si>
    <t>a90aedd5</t>
  </si>
  <si>
    <t>https://ryycrdhlkmzpxwwwwupy.supabase.co/storage/v1/object/public/old_media/a90aedd5.Path.052049.jpg</t>
  </si>
  <si>
    <t>7c31d6a6</t>
  </si>
  <si>
    <t>https://ryycrdhlkmzpxwwwwupy.supabase.co/storage/v1/object/public/old_media/7c31d6a6.Path.052120.jpg</t>
  </si>
  <si>
    <t>b792e151</t>
  </si>
  <si>
    <t>https://ryycrdhlkmzpxwwwwupy.supabase.co/storage/v1/object/public/old_media/b792e151.Path.052151.jpg</t>
  </si>
  <si>
    <t>b767678f</t>
  </si>
  <si>
    <t>https://ryycrdhlkmzpxwwwwupy.supabase.co/storage/v1/object/public/old_media/b767678f.Path.061732.jpg</t>
  </si>
  <si>
    <t>b64ac174</t>
  </si>
  <si>
    <t>https://ryycrdhlkmzpxwwwwupy.supabase.co/storage/v1/object/public/old_media/b64ac174.Path.070806.jpg</t>
  </si>
  <si>
    <t>d25094b1</t>
  </si>
  <si>
    <t>https://ryycrdhlkmzpxwwwwupy.supabase.co/storage/v1/object/public/old_media/d25094b1.Path.070839.jpg</t>
  </si>
  <si>
    <t>ee1f015a</t>
  </si>
  <si>
    <t>https://ryycrdhlkmzpxwwwwupy.supabase.co/storage/v1/object/public/old_media/ee1f015a.Path.070911.jpg</t>
  </si>
  <si>
    <t>fe496049</t>
  </si>
  <si>
    <t>https://ryycrdhlkmzpxwwwwupy.supabase.co/storage/v1/object/public/old_media/fe496049.Path.070943.jpg</t>
  </si>
  <si>
    <t>ebaaae40</t>
  </si>
  <si>
    <t>https://ryycrdhlkmzpxwwwwupy.supabase.co/storage/v1/object/public/old_media/ebaaae40.Path.071015.jpg</t>
  </si>
  <si>
    <t>6e537b28</t>
  </si>
  <si>
    <t>https://ryycrdhlkmzpxwwwwupy.supabase.co/storage/v1/object/public/old_media/6e537b28.Path.071049.jpg</t>
  </si>
  <si>
    <t>c164c96f</t>
  </si>
  <si>
    <t>https://ryycrdhlkmzpxwwwwupy.supabase.co/storage/v1/object/public/old_media/c164c96f.Path.071119.jpg</t>
  </si>
  <si>
    <t>9e7c5442</t>
  </si>
  <si>
    <t>https://ryycrdhlkmzpxwwwwupy.supabase.co/storage/v1/object/public/old_media/9e7c5442.Path.071157.jpg</t>
  </si>
  <si>
    <t>71e1e275</t>
  </si>
  <si>
    <t>https://ryycrdhlkmzpxwwwwupy.supabase.co/storage/v1/object/public/old_media/71e1e275.Path.095214.avif</t>
  </si>
  <si>
    <t>4a865fdd</t>
  </si>
  <si>
    <t>https://ryycrdhlkmzpxwwwwupy.supabase.co/storage/v1/object/public/old_media/4a865fdd.Path.095242.avif</t>
  </si>
  <si>
    <t>9f7a4fcd</t>
  </si>
  <si>
    <t>https://ryycrdhlkmzpxwwwwupy.supabase.co/storage/v1/object/public/old_media/9f7a4fcd.Path.095310.avif</t>
  </si>
  <si>
    <t>c3b2f481</t>
  </si>
  <si>
    <t>https://ryycrdhlkmzpxwwwwupy.supabase.co/storage/v1/object/public/old_media/c3b2f481.Path.095339.avif</t>
  </si>
  <si>
    <t>82aa2ce2</t>
  </si>
  <si>
    <t>https://ryycrdhlkmzpxwwwwupy.supabase.co/storage/v1/object/public/old_media/82aa2ce2.Path.095410.avif</t>
  </si>
  <si>
    <t>a39d452d</t>
  </si>
  <si>
    <t>https://ryycrdhlkmzpxwwwwupy.supabase.co/storage/v1/object/public/old_media/a39d452d.Path.095441.avif</t>
  </si>
  <si>
    <t>8e329c2f</t>
  </si>
  <si>
    <t>https://ryycrdhlkmzpxwwwwupy.supabase.co/storage/v1/object/public/old_media/8e329c2f.Path.095511.avif</t>
  </si>
  <si>
    <t>960cde90</t>
  </si>
  <si>
    <t>https://ryycrdhlkmzpxwwwwupy.supabase.co/storage/v1/object/public/old_media/960cde90.Path.055155.avif</t>
  </si>
  <si>
    <t>162ee54c</t>
  </si>
  <si>
    <t>https://ryycrdhlkmzpxwwwwupy.supabase.co/storage/v1/object/public/old_media/162ee54c.Path.055227.avif</t>
  </si>
  <si>
    <t>02a3cbbc</t>
  </si>
  <si>
    <t>https://ryycrdhlkmzpxwwwwupy.supabase.co/storage/v1/object/public/old_media/02a3cbbc.Path.055256.avif</t>
  </si>
  <si>
    <t>bca69a58</t>
  </si>
  <si>
    <t>https://ryycrdhlkmzpxwwwwupy.supabase.co/storage/v1/object/public/old_media/bca69a58.Path.055328.jpg</t>
  </si>
  <si>
    <t>c50e6e79</t>
  </si>
  <si>
    <t>https://ryycrdhlkmzpxwwwwupy.supabase.co/storage/v1/object/public/old_media/c50e6e79.Path.055356.jpg</t>
  </si>
  <si>
    <t>2d90ae10</t>
  </si>
  <si>
    <t>https://ryycrdhlkmzpxwwwwupy.supabase.co/storage/v1/object/public/old_media/2d90ae10.Path.055423.jpg</t>
  </si>
  <si>
    <t>58b91740</t>
  </si>
  <si>
    <t>https://ryycrdhlkmzpxwwwwupy.supabase.co/storage/v1/object/public/old_media/58b91740.Path.053217.jpg</t>
  </si>
  <si>
    <t>a4048ada</t>
  </si>
  <si>
    <t>https://ryycrdhlkmzpxwwwwupy.supabase.co/storage/v1/object/public/old_media/a4048ada.Path.053245.webp</t>
  </si>
  <si>
    <t>c5217d83</t>
  </si>
  <si>
    <t>https://ryycrdhlkmzpxwwwwupy.supabase.co/storage/v1/object/public/old_media/c5217d83.Path.053314.webp</t>
  </si>
  <si>
    <t>5d16d424</t>
  </si>
  <si>
    <t>https://ryycrdhlkmzpxwwwwupy.supabase.co/storage/v1/object/public/old_media/5d16d424.Path.053347.webp</t>
  </si>
  <si>
    <t>c6da5a4c</t>
  </si>
  <si>
    <t>https://ryycrdhlkmzpxwwwwupy.supabase.co/storage/v1/object/public/old_media/c6da5a4c.Path.053418.webp</t>
  </si>
  <si>
    <t>70d385c2</t>
  </si>
  <si>
    <t>https://ryycrdhlkmzpxwwwwupy.supabase.co/storage/v1/object/public/old_media/70d385c2.Path.053455.webp</t>
  </si>
  <si>
    <t>40e39eaf</t>
  </si>
  <si>
    <t>https://ryycrdhlkmzpxwwwwupy.supabase.co/storage/v1/object/public/old_media/40e39eaf.Path.053732.webp</t>
  </si>
  <si>
    <t>429a2f91</t>
  </si>
  <si>
    <t>https://ryycrdhlkmzpxwwwwupy.supabase.co/storage/v1/object/public/old_media/429a2f91.Path.050500.jpg</t>
  </si>
  <si>
    <t>e5422a8d</t>
  </si>
  <si>
    <t>https://ryycrdhlkmzpxwwwwupy.supabase.co/storage/v1/object/public/old_media/e5422a8d.Path.050535.jpg</t>
  </si>
  <si>
    <t>b1beb95e</t>
  </si>
  <si>
    <t>https://ryycrdhlkmzpxwwwwupy.supabase.co/storage/v1/object/public/old_media/b1beb95e.Path.050611.jpg</t>
  </si>
  <si>
    <t>10f90afe</t>
  </si>
  <si>
    <t>https://ryycrdhlkmzpxwwwwupy.supabase.co/storage/v1/object/public/old_media/10f90afe.Path.050646.jpg</t>
  </si>
  <si>
    <t>b5586c7e</t>
  </si>
  <si>
    <t>https://ryycrdhlkmzpxwwwwupy.supabase.co/storage/v1/object/public/old_media/b5586c7e.Path.054958.jpg</t>
  </si>
  <si>
    <t>1c324088</t>
  </si>
  <si>
    <t>https://ryycrdhlkmzpxwwwwupy.supabase.co/storage/v1/object/public/old_media/1c324088.Path.061118.jpg</t>
  </si>
  <si>
    <t>4426aebb</t>
  </si>
  <si>
    <t>https://ryycrdhlkmzpxwwwwupy.supabase.co/storage/v1/object/public/old_media/4426aebb.Path.061146.jpg</t>
  </si>
  <si>
    <t>fa865b5c</t>
  </si>
  <si>
    <t>https://ryycrdhlkmzpxwwwwupy.supabase.co/storage/v1/object/public/old_media/fa865b5c.Path.061216.jpg</t>
  </si>
  <si>
    <t>4d8f95f8</t>
  </si>
  <si>
    <t>https://ryycrdhlkmzpxwwwwupy.supabase.co/storage/v1/object/public/old_media/4d8f95f8.Path.095003.jpg</t>
  </si>
  <si>
    <t>2f5785b8</t>
  </si>
  <si>
    <t>https://ryycrdhlkmzpxwwwwupy.supabase.co/storage/v1/object/public/old_media/2f5785b8.Path.095112.jpg</t>
  </si>
  <si>
    <t>d4ee0968</t>
  </si>
  <si>
    <t>https://ryycrdhlkmzpxwwwwupy.supabase.co/storage/v1/object/public/old_media/d4ee0968.Path.095213.jpg</t>
  </si>
  <si>
    <t>554c427c</t>
  </si>
  <si>
    <t>https://ryycrdhlkmzpxwwwwupy.supabase.co/storage/v1/object/public/old_media/554c427c.Path.060055.avif</t>
  </si>
  <si>
    <t>27b4330e</t>
  </si>
  <si>
    <t>https://ryycrdhlkmzpxwwwwupy.supabase.co/storage/v1/object/public/old_media/27b4330e.Path.060124.avif</t>
  </si>
  <si>
    <t>d6dd400a</t>
  </si>
  <si>
    <t>https://ryycrdhlkmzpxwwwwupy.supabase.co/storage/v1/object/public/old_media/d6dd400a.Path.060151.avif</t>
  </si>
  <si>
    <t>349f7ed1</t>
  </si>
  <si>
    <t>https://ryycrdhlkmzpxwwwwupy.supabase.co/storage/v1/object/public/old_media/349f7ed1.Path.060218.avif</t>
  </si>
  <si>
    <t>1ff55ef6</t>
  </si>
  <si>
    <t>https://ryycrdhlkmzpxwwwwupy.supabase.co/storage/v1/object/public/old_media/1ff55ef6.Path.060408.avif</t>
  </si>
  <si>
    <t>310bb451</t>
  </si>
  <si>
    <t>https://ryycrdhlkmzpxwwwwupy.supabase.co/storage/v1/object/public/old_media/310bb451.Path.060437.avif</t>
  </si>
  <si>
    <t>57089904</t>
  </si>
  <si>
    <t>https://ryycrdhlkmzpxwwwwupy.supabase.co/storage/v1/object/public/old_media/57089904.Path.060507.avif</t>
  </si>
  <si>
    <t>6b8ae43b</t>
  </si>
  <si>
    <t>https://ryycrdhlkmzpxwwwwupy.supabase.co/storage/v1/object/public/old_media/6b8ae43b.Path.060606.avif</t>
  </si>
  <si>
    <t>96183229</t>
  </si>
  <si>
    <t>https://ryycrdhlkmzpxwwwwupy.supabase.co/storage/v1/object/public/old_media/96183229.Path.060637.avif</t>
  </si>
  <si>
    <t>274024c7</t>
  </si>
  <si>
    <t>https://ryycrdhlkmzpxwwwwupy.supabase.co/storage/v1/object/public/old_media/274024c7.Path.050247.png</t>
  </si>
  <si>
    <t>2b53b3c2</t>
  </si>
  <si>
    <t>https://ryycrdhlkmzpxwwwwupy.supabase.co/storage/v1/object/public/old_media/2b53b3c2.Path.055005.avif</t>
  </si>
  <si>
    <t>805d512d</t>
  </si>
  <si>
    <t>https://ryycrdhlkmzpxwwwwupy.supabase.co/storage/v1/object/public/old_media/805d512d.Path.055040.avif</t>
  </si>
  <si>
    <t>7b6eede7</t>
  </si>
  <si>
    <t>https://ryycrdhlkmzpxwwwwupy.supabase.co/storage/v1/object/public/old_media/7b6eede7.Path.055112.avif</t>
  </si>
  <si>
    <t>899b4157</t>
  </si>
  <si>
    <t>https://ryycrdhlkmzpxwwwwupy.supabase.co/storage/v1/object/public/old_media/899b4157.Path.055144.avif</t>
  </si>
  <si>
    <t>07f61a9f</t>
  </si>
  <si>
    <t>https://ryycrdhlkmzpxwwwwupy.supabase.co/storage/v1/object/public/old_media/07f61a9f.Path.055214.avif</t>
  </si>
  <si>
    <t>6b592bfa</t>
  </si>
  <si>
    <t>https://ryycrdhlkmzpxwwwwupy.supabase.co/storage/v1/object/public/old_media/6b592bfa.Path.055247.avif</t>
  </si>
  <si>
    <t>ee1a0e09</t>
  </si>
  <si>
    <t>https://ryycrdhlkmzpxwwwwupy.supabase.co/storage/v1/object/public/old_media/ee1a0e09.Path.055327.jpg</t>
  </si>
  <si>
    <t>51cb7a34</t>
  </si>
  <si>
    <t>https://ryycrdhlkmzpxwwwwupy.supabase.co/storage/v1/object/public/old_media/51cb7a34.Path.055447.avif</t>
  </si>
  <si>
    <t>b5c8e8df</t>
  </si>
  <si>
    <t>https://ryycrdhlkmzpxwwwwupy.supabase.co/storage/v1/object/public/old_media/b5c8e8df.Path.055523.jpg</t>
  </si>
  <si>
    <t>81b1a7c8</t>
  </si>
  <si>
    <t>https://ryycrdhlkmzpxwwwwupy.supabase.co/storage/v1/object/public/old_media/81b1a7c8.Path.041930.webp</t>
  </si>
  <si>
    <t>507fe056</t>
  </si>
  <si>
    <t>https://ryycrdhlkmzpxwwwwupy.supabase.co/storage/v1/object/public/old_media/507fe056.Path.065434.avif</t>
  </si>
  <si>
    <t>2433077d</t>
  </si>
  <si>
    <t>https://ryycrdhlkmzpxwwwwupy.supabase.co/storage/v1/object/public/old_media/2433077d.Path.065505.avif</t>
  </si>
  <si>
    <t>e4182872</t>
  </si>
  <si>
    <t>https://ryycrdhlkmzpxwwwwupy.supabase.co/storage/v1/object/public/old_media/e4182872.Path.065533.avif</t>
  </si>
  <si>
    <t>13b0ffbf</t>
  </si>
  <si>
    <t>https://ryycrdhlkmzpxwwwwupy.supabase.co/storage/v1/object/public/old_media/13b0ffbf.Path.070107.avif</t>
  </si>
  <si>
    <t>fb6dc5e5</t>
  </si>
  <si>
    <t>https://ryycrdhlkmzpxwwwwupy.supabase.co/storage/v1/object/public/old_media/fb6dc5e5.Path.070207.avif</t>
  </si>
  <si>
    <t>9565e3d4</t>
  </si>
  <si>
    <t>https://ryycrdhlkmzpxwwwwupy.supabase.co/storage/v1/object/public/old_media/9565e3d4.Path.070237.avif</t>
  </si>
  <si>
    <t>2b82cbd8</t>
  </si>
  <si>
    <t>https://ryycrdhlkmzpxwwwwupy.supabase.co/storage/v1/object/public/old_media/2b82cbd8.Path.072321.avif</t>
  </si>
  <si>
    <t>b3dfae59</t>
  </si>
  <si>
    <t>https://ryycrdhlkmzpxwwwwupy.supabase.co/storage/v1/object/public/old_media/b3dfae59.Path.072351.avif</t>
  </si>
  <si>
    <t>906ccbc8</t>
  </si>
  <si>
    <t>https://ryycrdhlkmzpxwwwwupy.supabase.co/storage/v1/object/public/old_media/906ccbc8.Path.072424.avif</t>
  </si>
  <si>
    <t>72fc72ec</t>
  </si>
  <si>
    <t>https://ryycrdhlkmzpxwwwwupy.supabase.co/storage/v1/object/public/old_media/72fc72ec.Path.072456.avif</t>
  </si>
  <si>
    <t>41a7f080</t>
  </si>
  <si>
    <t>https://ryycrdhlkmzpxwwwwupy.supabase.co/storage/v1/object/public/old_media/41a7f080.Path.072525.avif</t>
  </si>
  <si>
    <t>c4ba0cf6</t>
  </si>
  <si>
    <t>https://ryycrdhlkmzpxwwwwupy.supabase.co/storage/v1/object/public/old_media/c4ba0cf6.Path.043214.jpg</t>
  </si>
  <si>
    <t>6ac8dce2</t>
  </si>
  <si>
    <t>https://ryycrdhlkmzpxwwwwupy.supabase.co/storage/v1/object/public/old_media/6ac8dce2.Path.043243.jpg</t>
  </si>
  <si>
    <t>9343f5d1</t>
  </si>
  <si>
    <t>https://ryycrdhlkmzpxwwwwupy.supabase.co/storage/v1/object/public/old_media/9343f5d1.Path.043313.jpg</t>
  </si>
  <si>
    <t>60e3cf7b</t>
  </si>
  <si>
    <t>https://ryycrdhlkmzpxwwwwupy.supabase.co/storage/v1/object/public/old_media/60e3cf7b.Path.043342.jpg</t>
  </si>
  <si>
    <t>2ecda983</t>
  </si>
  <si>
    <t>https://ryycrdhlkmzpxwwwwupy.supabase.co/storage/v1/object/public/old_media/2ecda983.Path.043410.jpg</t>
  </si>
  <si>
    <t>3cfcc4bf</t>
  </si>
  <si>
    <t>https://ryycrdhlkmzpxwwwwupy.supabase.co/storage/v1/object/public/old_media/3cfcc4bf.Path.043439.png</t>
  </si>
  <si>
    <t>a4fe6589</t>
  </si>
  <si>
    <t>https://ryycrdhlkmzpxwwwwupy.supabase.co/storage/v1/object/public/old_media/a4fe6589.Path.043508.png</t>
  </si>
  <si>
    <t>8ad945d3</t>
  </si>
  <si>
    <t>https://ryycrdhlkmzpxwwwwupy.supabase.co/storage/v1/object/public/old_media/8ad945d3.Path.043537.jpg</t>
  </si>
  <si>
    <t>80788245</t>
  </si>
  <si>
    <t>https://ryycrdhlkmzpxwwwwupy.supabase.co/storage/v1/object/public/old_media/80788245.Path.043605.jpg</t>
  </si>
  <si>
    <t>6a69e11d</t>
  </si>
  <si>
    <t>https://ryycrdhlkmzpxwwwwupy.supabase.co/storage/v1/object/public/old_media/6a69e11d.Path.043633.jpg</t>
  </si>
  <si>
    <t>c365fad2</t>
  </si>
  <si>
    <t>https://ryycrdhlkmzpxwwwwupy.supabase.co/storage/v1/object/public/old_media/c365fad2.Path.043704.jpg</t>
  </si>
  <si>
    <t>59638e7b</t>
  </si>
  <si>
    <t>https://ryycrdhlkmzpxwwwwupy.supabase.co/storage/v1/object/public/old_media/59638e7b.Path.043806.jpg</t>
  </si>
  <si>
    <t>d877a13d</t>
  </si>
  <si>
    <t>https://ryycrdhlkmzpxwwwwupy.supabase.co/storage/v1/object/public/old_media/d877a13d.Path.053045.jpg</t>
  </si>
  <si>
    <t>ed63ec5e</t>
  </si>
  <si>
    <t>https://ryycrdhlkmzpxwwwwupy.supabase.co/storage/v1/object/public/old_media/ed63ec5e.Path.053116.jpg</t>
  </si>
  <si>
    <t>c9f26da6</t>
  </si>
  <si>
    <t>https://ryycrdhlkmzpxwwwwupy.supabase.co/storage/v1/object/public/old_media/c9f26da6.Path.053217.jpg</t>
  </si>
  <si>
    <t>90995784</t>
  </si>
  <si>
    <t>https://ryycrdhlkmzpxwwwwupy.supabase.co/storage/v1/object/public/old_media/90995784.Path.054529.avif</t>
  </si>
  <si>
    <t>0c782c9f</t>
  </si>
  <si>
    <t>https://ryycrdhlkmzpxwwwwupy.supabase.co/storage/v1/object/public/old_media/0c782c9f.Path.054557.avif</t>
  </si>
  <si>
    <t>5fae5ece</t>
  </si>
  <si>
    <t>https://ryycrdhlkmzpxwwwwupy.supabase.co/storage/v1/object/public/old_media/5fae5ece.Path.054625.avif</t>
  </si>
  <si>
    <t>607599b5</t>
  </si>
  <si>
    <t>https://ryycrdhlkmzpxwwwwupy.supabase.co/storage/v1/object/public/old_media/607599b5.Path.054657.avif</t>
  </si>
  <si>
    <t>a8d7c0df</t>
  </si>
  <si>
    <t>https://ryycrdhlkmzpxwwwwupy.supabase.co/storage/v1/object/public/old_media/a8d7c0df.Path.054729.avif</t>
  </si>
  <si>
    <t>9bb10fbb</t>
  </si>
  <si>
    <t>https://ryycrdhlkmzpxwwwwupy.supabase.co/storage/v1/object/public/old_media/9bb10fbb.Path.054810.jpg</t>
  </si>
  <si>
    <t>9b59e6fd</t>
  </si>
  <si>
    <t>https://ryycrdhlkmzpxwwwwupy.supabase.co/storage/v1/object/public/old_media/9b59e6fd.Path.055034.jpg</t>
  </si>
  <si>
    <t>f7c1b481</t>
  </si>
  <si>
    <t>e9c2f113</t>
  </si>
  <si>
    <t>https://ryycrdhlkmzpxwwwwupy.supabase.co/storage/v1/object/public/old_media/e9c2f113.Path.044330.jpg</t>
  </si>
  <si>
    <t>eb1e05c4</t>
  </si>
  <si>
    <t>https://ryycrdhlkmzpxwwwwupy.supabase.co/storage/v1/object/public/old_media/eb1e05c4.Path.044403.jpg</t>
  </si>
  <si>
    <t>f97798fc</t>
  </si>
  <si>
    <t>https://ryycrdhlkmzpxwwwwupy.supabase.co/storage/v1/object/public/old_media/f97798fc.Path.044438.jpg</t>
  </si>
  <si>
    <t>fed3b2a8</t>
  </si>
  <si>
    <t>https://ryycrdhlkmzpxwwwwupy.supabase.co/storage/v1/object/public/old_media/fed3b2a8.Path.044808.jpg</t>
  </si>
  <si>
    <t>1473f06e</t>
  </si>
  <si>
    <t>https://ryycrdhlkmzpxwwwwupy.supabase.co/storage/v1/object/public/old_media/1473f06e.Path.045208.jpg</t>
  </si>
  <si>
    <t>070cfaee</t>
  </si>
  <si>
    <t>https://ryycrdhlkmzpxwwwwupy.supabase.co/storage/v1/object/public/old_media/070cfaee.Path.045609.jpg</t>
  </si>
  <si>
    <t>4429cead</t>
  </si>
  <si>
    <t>https://ryycrdhlkmzpxwwwwupy.supabase.co/storage/v1/object/public/old_media/4429cead.Path.091406.avif</t>
  </si>
  <si>
    <t>433a0717</t>
  </si>
  <si>
    <t>https://ryycrdhlkmzpxwwwwupy.supabase.co/storage/v1/object/public/old_media/433a0717.Path.091437.avif</t>
  </si>
  <si>
    <t>3b77adb3</t>
  </si>
  <si>
    <t>https://ryycrdhlkmzpxwwwwupy.supabase.co/storage/v1/object/public/old_media/3b77adb3.Path.091509.avif</t>
  </si>
  <si>
    <t>bb75f6cf</t>
  </si>
  <si>
    <t>https://ryycrdhlkmzpxwwwwupy.supabase.co/storage/v1/object/public/old_media/bb75f6cf.Path.091540.avif</t>
  </si>
  <si>
    <t>f9493429</t>
  </si>
  <si>
    <t>https://ryycrdhlkmzpxwwwwupy.supabase.co/storage/v1/object/public/old_media/f9493429.Path.091610.avif</t>
  </si>
  <si>
    <t>fa01afd8</t>
  </si>
  <si>
    <t>https://ryycrdhlkmzpxwwwwupy.supabase.co/storage/v1/object/public/old_media/fa01afd8.Path.091639.avif</t>
  </si>
  <si>
    <t>37fe2e71</t>
  </si>
  <si>
    <t>https://ryycrdhlkmzpxwwwwupy.supabase.co/storage/v1/object/public/old_media/37fe2e71.Path.091709.avif</t>
  </si>
  <si>
    <t>b7d9d8f4</t>
  </si>
  <si>
    <t>galerie_Images/b7d9d8f4.Path.042434.jpg</t>
  </si>
  <si>
    <t>4c2aa25f</t>
  </si>
  <si>
    <t>galerie_Images/4c2aa25f.Path.042500.jpg</t>
  </si>
  <si>
    <t>e845e62a</t>
  </si>
  <si>
    <t>galerie_Images/e845e62a.Path.042529.jpg</t>
  </si>
  <si>
    <t>efca7019</t>
  </si>
  <si>
    <t>galerie_Images/efca7019.Path.042600.jpg</t>
  </si>
  <si>
    <t>ID</t>
  </si>
  <si>
    <t>Nom_Presta</t>
  </si>
  <si>
    <t>Objet_du_Contact</t>
  </si>
  <si>
    <t>Sous-catégorie</t>
  </si>
  <si>
    <t>Message</t>
  </si>
  <si>
    <t>Humeur</t>
  </si>
  <si>
    <t>Date</t>
  </si>
  <si>
    <t>Interlocuteur</t>
  </si>
  <si>
    <t>Taiter_Date</t>
  </si>
  <si>
    <t>Humeur_apres</t>
  </si>
  <si>
    <t>Etablissement</t>
  </si>
  <si>
    <t>Traitable</t>
  </si>
  <si>
    <t>d0775898</t>
  </si>
  <si>
    <t>demande de pose de panneau</t>
  </si>
  <si>
    <t>😡</t>
  </si>
  <si>
    <t>Traitée</t>
  </si>
  <si>
    <t>59d49e12</t>
  </si>
  <si>
    <t>Nouveaux panneaux</t>
  </si>
  <si>
    <t>pose de panneau</t>
  </si>
  <si>
    <t>A traiter</t>
  </si>
  <si>
    <t>7e18801e</t>
  </si>
  <si>
    <t>panneaux a changer</t>
  </si>
  <si>
    <t>🤔</t>
  </si>
  <si>
    <t>00322f93</t>
  </si>
  <si>
    <t>A FAIRE 2 FG</t>
  </si>
  <si>
    <t>ab0890b3</t>
  </si>
  <si>
    <t>panneau</t>
  </si>
  <si>
    <t>e45d3833</t>
  </si>
  <si>
    <t>panneau ?</t>
  </si>
  <si>
    <t>e8311d4b</t>
  </si>
  <si>
    <t>pose de panneau ?</t>
  </si>
  <si>
    <t>820b5424</t>
  </si>
  <si>
    <t>74fc9b51</t>
  </si>
  <si>
    <t>ELIGIBLE !!</t>
  </si>
  <si>
    <t>74259c92</t>
  </si>
  <si>
    <t>87766f6d</t>
  </si>
  <si>
    <t>Dans l'attente de panneaux depuis Mars 2019</t>
  </si>
  <si>
    <t>6687af43</t>
  </si>
  <si>
    <t>RENFORT ENSEMBLE SIL</t>
  </si>
  <si>
    <t>a0e9a9be</t>
  </si>
  <si>
    <t>A récuperer son panneau + le paille en queue ( à refaire une FD)</t>
  </si>
  <si>
    <t>105b91a4</t>
  </si>
  <si>
    <t>90cfcf3b</t>
  </si>
  <si>
    <t>devait récupérer ces panneaux !!! en 2019</t>
  </si>
  <si>
    <t>a26b80de</t>
  </si>
  <si>
    <t>Nouveaux panneaux , Dégradation d'un panneau signalétique</t>
  </si>
  <si>
    <t>présence de 2 panneaux fortement dégradés sur la route principale + demande d'ajout d'un panneau à l'entrée de l'impasse -&gt; ATTENTION changement de nature : chambre d'hôtes + table d'hôtes!</t>
  </si>
  <si>
    <t>c605ef9a</t>
  </si>
  <si>
    <t>panneau au niveau de la route en haut et départ du sentier sur le gros pied de vacoa</t>
  </si>
  <si>
    <t>6025f1f2</t>
  </si>
  <si>
    <t>b0a4c10e</t>
  </si>
  <si>
    <t>7a460103</t>
  </si>
  <si>
    <t>e93b9112</t>
  </si>
  <si>
    <t>258bdd35</t>
  </si>
  <si>
    <t>panneau / relance</t>
  </si>
  <si>
    <t>dc29dbc9</t>
  </si>
  <si>
    <t>a972ccff</t>
  </si>
  <si>
    <t>cb9b2999</t>
  </si>
  <si>
    <t>😨</t>
  </si>
  <si>
    <t>f872a8d2</t>
  </si>
  <si>
    <t>Mauvais jalonnement</t>
  </si>
  <si>
    <t>souhaite un nouveau jalonnement</t>
  </si>
  <si>
    <t>faa1b2fb</t>
  </si>
  <si>
    <t>2a5ae0b5</t>
  </si>
  <si>
    <t>A REPONDU QU IL VENDAIT SA STRUCTURE !</t>
  </si>
  <si>
    <t>868ecd4d</t>
  </si>
  <si>
    <t>c091fefb</t>
  </si>
  <si>
    <t>a88f954e</t>
  </si>
  <si>
    <t>b8b953ba</t>
  </si>
  <si>
    <t>177d9baf</t>
  </si>
  <si>
    <t>ccac7732</t>
  </si>
  <si>
    <t>b3b47cb2</t>
  </si>
  <si>
    <t>a3cb98f2</t>
  </si>
  <si>
    <t>0535ce4c</t>
  </si>
  <si>
    <t>1976f364</t>
  </si>
  <si>
    <t>a984cfc9</t>
  </si>
  <si>
    <t>32c44d31</t>
  </si>
  <si>
    <t>1F Pré SIL à l'entrée (chez dan's)</t>
  </si>
  <si>
    <t>56fd440a</t>
  </si>
  <si>
    <t>villa lea</t>
  </si>
  <si>
    <t>242662c8</t>
  </si>
  <si>
    <t>bf2f6f53</t>
  </si>
  <si>
    <t>COURRIER ENVOYE A LA DIRECTION</t>
  </si>
  <si>
    <t>d03720fe</t>
  </si>
  <si>
    <t>2ec164c7</t>
  </si>
  <si>
    <t>c8af97b6</t>
  </si>
  <si>
    <t>eeded7a6</t>
  </si>
  <si>
    <t>b69f974c</t>
  </si>
  <si>
    <t>RAJOUT DE PANNEAU A L ENTREE DE LA DEPARTEMENTALE 37 OK JALONNEMENT</t>
  </si>
  <si>
    <t>9ee850a3</t>
  </si>
  <si>
    <t>22280075</t>
  </si>
  <si>
    <t>panneua</t>
  </si>
  <si>
    <t>3cdf46ec</t>
  </si>
  <si>
    <t>d72d72c8</t>
  </si>
  <si>
    <t>2 LATTES rn2 INTERSECTION RUE Lacaussade et 1 latte imp.3 caes A VERIFIER !</t>
  </si>
  <si>
    <t>01d669a6</t>
  </si>
  <si>
    <t>af922f9e</t>
  </si>
  <si>
    <t>38d9ef7d</t>
  </si>
  <si>
    <t>Réfection de panneaux</t>
  </si>
  <si>
    <t>Panneaux à refaire avec les 3 étoiles</t>
  </si>
  <si>
    <t>eaa4afbb</t>
  </si>
  <si>
    <t>16584eb5</t>
  </si>
  <si>
    <t>RELANCE 07/20</t>
  </si>
  <si>
    <t>d3064e05</t>
  </si>
  <si>
    <t>56132ead</t>
  </si>
  <si>
    <t>56c7e628</t>
  </si>
  <si>
    <t>00b59ea6</t>
  </si>
  <si>
    <t>56750bfd</t>
  </si>
  <si>
    <t>cf44fc0f</t>
  </si>
  <si>
    <t>d488aff3</t>
  </si>
  <si>
    <t>cb44e209</t>
  </si>
  <si>
    <t>f91bee50</t>
  </si>
  <si>
    <t>551a1022</t>
  </si>
  <si>
    <t>c78f665c</t>
  </si>
  <si>
    <t>9266588c</t>
  </si>
  <si>
    <t>cbc26315</t>
  </si>
  <si>
    <t>1de27681</t>
  </si>
  <si>
    <t>f7e1baa2</t>
  </si>
  <si>
    <t>67d6cf54</t>
  </si>
  <si>
    <t>884ebd8e</t>
  </si>
  <si>
    <t>1c670339</t>
  </si>
  <si>
    <t>07d92c6b</t>
  </si>
  <si>
    <t>c02fb07f</t>
  </si>
  <si>
    <t>317c8ffd</t>
  </si>
  <si>
    <t>2a6bea44</t>
  </si>
  <si>
    <t>b9386ca2</t>
  </si>
  <si>
    <t>555a33dd</t>
  </si>
  <si>
    <t>fdb36054</t>
  </si>
  <si>
    <t>39437c07</t>
  </si>
  <si>
    <t>d6105844</t>
  </si>
  <si>
    <t>nancy</t>
  </si>
  <si>
    <t>78f2329b</t>
  </si>
  <si>
    <t>panneau rougail rando</t>
  </si>
  <si>
    <t>6f099163</t>
  </si>
  <si>
    <t>e882f877</t>
  </si>
  <si>
    <t>fc2f00f4</t>
  </si>
  <si>
    <t>e0d50996</t>
  </si>
  <si>
    <t>005bbbc1</t>
  </si>
  <si>
    <t>2e17f8e0</t>
  </si>
  <si>
    <t>7f0ef14b</t>
  </si>
  <si>
    <t>27c0608a</t>
  </si>
  <si>
    <t>312cddc0</t>
  </si>
  <si>
    <t>5464a843</t>
  </si>
  <si>
    <t>38d6255b</t>
  </si>
  <si>
    <t>0b1874ba</t>
  </si>
  <si>
    <t>45f669f0</t>
  </si>
  <si>
    <t>f20e6fb7</t>
  </si>
  <si>
    <t>83e531e3</t>
  </si>
  <si>
    <t>34168eed</t>
  </si>
  <si>
    <t>df25718a</t>
  </si>
  <si>
    <t>panneau les vanilliers</t>
  </si>
  <si>
    <t>7abe3a94</t>
  </si>
  <si>
    <t>1bafb367</t>
  </si>
  <si>
    <t>83462889</t>
  </si>
  <si>
    <t>0692 60 73 94 - SIGNALETIQUE : Madame a fait une demande y'a 2 ans lors de son inscription, elle n'a pas de panneau elle est obligée d'aller chercher les clients dans la rue. A eu PAK au téléphone qui lui a confirmé que c'était ok, a déjà donné le nombre de panneaux et le jallonnement.</t>
  </si>
  <si>
    <t>729b487b</t>
  </si>
  <si>
    <t>Nouvelle demande de panneau</t>
  </si>
  <si>
    <t>00021f65</t>
  </si>
  <si>
    <t>ScPh2000FB</t>
  </si>
  <si>
    <t>N'est plus propritéraire. A supprimer !</t>
  </si>
  <si>
    <t>😃</t>
  </si>
  <si>
    <t>e44c4f57</t>
  </si>
  <si>
    <t>Nouvelle demande</t>
  </si>
  <si>
    <t>8583a4f2</t>
  </si>
  <si>
    <t>Nouveau panneau</t>
  </si>
  <si>
    <t>49d0c7e9</t>
  </si>
  <si>
    <t>Fermeture de la structure en raison de travaux</t>
  </si>
  <si>
    <t>602eb3b6</t>
  </si>
  <si>
    <t>Rudy nous informe de la fermeture de son activité le temps du des mesures du confinement.</t>
  </si>
  <si>
    <t>3c1de691</t>
  </si>
  <si>
    <t>Structure fermée depuis plus d'un an</t>
  </si>
  <si>
    <t>7e1ab224</t>
  </si>
  <si>
    <t>L'adresse mail entrée pour ce prestataire est invalide : jeannick.sery@orange.fr
-&gt; Message d'erreur quand on essaie de le contacter par mail</t>
  </si>
  <si>
    <t>c7cc59e2</t>
  </si>
  <si>
    <t>Ce prestataire n'est pas domicilié à Entre-Deux mais au Tampon</t>
  </si>
  <si>
    <t>25a7b8f4</t>
  </si>
  <si>
    <t>Souhaite faire changer ses panneaux : abîmés</t>
  </si>
  <si>
    <t>c3e44878</t>
  </si>
  <si>
    <t>Demande d'installation d'un panneau à l'entrée de sa ruelle</t>
  </si>
  <si>
    <t>8c503d68</t>
  </si>
  <si>
    <t>Cet établissement n'est pas un camping, il s'agit d'un hébergement insolite, accueillant 2 adultes et 1 enfant. Merci de modifier en location saisonnière.</t>
  </si>
  <si>
    <t>43bfb5f2</t>
  </si>
  <si>
    <t>Demande d'accompagnement SIT reçue sur le mail prestataires@otisud.com</t>
  </si>
  <si>
    <t>a0473281</t>
  </si>
  <si>
    <t>Mail reçu sur prestataires@otisud.com : " Bonjour, le constat de ce jour est le retour de nombreux visiteurs qui déplorent un manque de visibilité (référencements) de mon atelier à Entre-Deux. N'étant moi même pas experte en communication, je me permets de ce fait vous faire une demande de lumière sur mon activité avec éventuellement un article sur le magazine explore, un lien vers mon site internet http://ceramiques.re/   ou d'autres idées si vous en avez.
Je vous remercie par ailleurs pour le travail d'investigation que vous menez sur le beau territoire réunionné. 
Cordialement, Claire Falconnet "</t>
  </si>
  <si>
    <t>3083d56b</t>
  </si>
  <si>
    <t>FALCONNET Claire</t>
  </si>
  <si>
    <t>Madame Falconnet, nous a contacté par téléphone au BIT de l'Entre-Deux, car elle souhaiterai que nous fassions la promotion de sa structure. Nous l'avons redirigé vers le service prestataire en lui transmettant l'adresse mail et nous lui avons proposé d'effectué une publication sur notre page Fb</t>
  </si>
  <si>
    <t>f6502414</t>
  </si>
  <si>
    <t>Accompagnement taxe de séjour</t>
  </si>
  <si>
    <t>Demande de RDV (bureau) : accompagnement à la télédéclaration</t>
  </si>
  <si>
    <t>196213fb</t>
  </si>
  <si>
    <t>Est passée par GDF &gt; ET &gt; AM (via prestataires)</t>
  </si>
  <si>
    <t>fcb54cf2</t>
  </si>
  <si>
    <t>Accompagnement à la télédéclaration</t>
  </si>
  <si>
    <t>5c020fa8</t>
  </si>
  <si>
    <t>Monsieur Fontaine, nous a contacté afin que l'OTI Sud lui délivre une attestation d'adhésion à notre société et qu'il est bien présent de ce fait dans notre BDD. Ce document lui permettra de justifier sa demande d'aide FSN.</t>
  </si>
  <si>
    <t>e223443f</t>
  </si>
  <si>
    <t>Infos sur l'activation de compte + télédéclaration + indique qu'elle n'a pas encore ouvert son hébergement car toujours en travaux jusqu'à la fin du mois (sept.) normalement.
J'ai dû lui renvoyer ses docs TDS et son courrier d'ouverture par mail car elle ne l'avait plus.</t>
  </si>
  <si>
    <t>f8a1f34a</t>
  </si>
  <si>
    <t>Accompagnement à la télédéclaration + infos reversements</t>
  </si>
  <si>
    <t>470ac1ac</t>
  </si>
  <si>
    <t>Renvoi de ses documents TDS (courrier code + docs tarifaires) voir pour fixer un RDV de formation au bureau si besoin (après le 27/09)</t>
  </si>
  <si>
    <t>f8db9eb8</t>
  </si>
  <si>
    <t>Demande d'infos au sujet des labels et classement : projet de classement étoiles en cours, a déjà contacté GDF mais aimerait rencontrer les autres organismes</t>
  </si>
  <si>
    <t>ecb52003</t>
  </si>
  <si>
    <t>mail envoyé à prestataires suite à son appel : demande promo Explore + FB</t>
  </si>
  <si>
    <t>😭</t>
  </si>
  <si>
    <t>e5342c5e</t>
  </si>
  <si>
    <t>Mail envoyé à @prestataires suite à son appel : demande à ce que ses photos soient mises à jour sur reunion.fr / Elle doit nous les renvoyer par mail</t>
  </si>
  <si>
    <t>ec441d4e</t>
  </si>
  <si>
    <t>DEMANDE DE PROMOTION FB &gt; Solène GEORGES</t>
  </si>
  <si>
    <t>6043faaa</t>
  </si>
  <si>
    <t>Madame FORMAN nous a envoyé son cerfa par mail et souhaite être accompagnée sur toutes les prestations possibles. AMIR a envoyé demande de siganlétique et demande SIT et compléments d'infos pour bdd bertel</t>
  </si>
  <si>
    <t>082912f2</t>
  </si>
  <si>
    <t>Mr Baret souhaite réaliser des visites guidées dans le territoire du sud, en voiture (maximum 4 personnes) et demande quelles sont les démarches administratives et légales, que doivent-ils mettre en place pour faire cette activité dans les normes (visite culturelles, historique).</t>
  </si>
  <si>
    <t>c54f44a2</t>
  </si>
  <si>
    <t>Suite à un post fb de Marie sur le gr fb privé pro, Claire souhaite faire partie du dispositif Pass Kado. AMIR a répondu sur le fb dans son commentaire qu'on passait par mail. Amir a donc emailé en cc Mme Falconnet et Chrislène pour savoir si encore possible, et quelle est la procédure. Nous attendons la réponse de l'IRT</t>
  </si>
  <si>
    <t>c4842276</t>
  </si>
  <si>
    <t>Courrier de fermeture définitive enregistré - taxe de séjour clôturée</t>
  </si>
  <si>
    <t>90a26895</t>
  </si>
  <si>
    <t>demande de voir comment changer ses photos sur le site Internet du Sud Réunion Tourisme car elles sont trop vieilles(Mail transféré à Annabelle)</t>
  </si>
  <si>
    <t>36fd9c0d</t>
  </si>
  <si>
    <t>AMIR a renvoyé les documents à soubik le 28 sept, on attend et on clôturera cette demande qd sa fiche sera mise en ligne sur reunion.fr</t>
  </si>
  <si>
    <t>9401640e</t>
  </si>
  <si>
    <t>Orientation par téléphone : cherchait l'adresse et le numéro du pôle de proximité de Saint-Joseph</t>
  </si>
  <si>
    <t>b6254df5</t>
  </si>
  <si>
    <t>AMIR a informé Madame FORMAN que Mlle LALLEMENT la contactera pour création de comptes tds</t>
  </si>
  <si>
    <t>5c4bba07</t>
  </si>
  <si>
    <t>Problème de reversement en ligne</t>
  </si>
  <si>
    <t>0b68ed25</t>
  </si>
  <si>
    <t>En fait, c'est Mr Franck MOREL qui demande l'attestation à son nom MOREL Benoît c'est le papa. Du coup je sais pas ce qui est possible de faire : son numéro de tél : 0693 04 10 20 (franck) n° SIRET  84018657100013 "BITASYON BIO" avec un "Y"</t>
  </si>
  <si>
    <t>a25221e3</t>
  </si>
  <si>
    <t>M est venu comme tous les mois déposé son papier de déclaration mercredi 29 sept matin. Annabelle a déposé sur le bureau de ML pour saisie</t>
  </si>
  <si>
    <t>ed919e38</t>
  </si>
  <si>
    <t>A obtenu un classement 1 étoile : mise à jour BDD + TDS</t>
  </si>
  <si>
    <t>c84c171d</t>
  </si>
  <si>
    <t>La dame est fermée provisoire jusque décembre elle pense, elle reviendra vers nous (numéro de la hotline donnée) pour nous informer.</t>
  </si>
  <si>
    <t>13f5f40f</t>
  </si>
  <si>
    <t>Aimerait faire classé sont logement.</t>
  </si>
  <si>
    <t>d4f33043</t>
  </si>
  <si>
    <t>Le filtre annonce animaux accepter pour cet établissement, alors que non. A modifier, merci</t>
  </si>
  <si>
    <t>17577790</t>
  </si>
  <si>
    <t>Infos concernant la télédéclaration / les opérateurs numériques</t>
  </si>
  <si>
    <t>f39200a2</t>
  </si>
  <si>
    <t>Demande entrée en SIT</t>
  </si>
  <si>
    <t>6f5f8de9</t>
  </si>
  <si>
    <t>Demande de panneau</t>
  </si>
  <si>
    <t>b8b84fec</t>
  </si>
  <si>
    <t>entrée en SIT</t>
  </si>
  <si>
    <t>fba7aed1</t>
  </si>
  <si>
    <t>nouveau presta Tampon : entrée en BDD</t>
  </si>
  <si>
    <t>6e95a7d3</t>
  </si>
  <si>
    <t>entrée en plateforme</t>
  </si>
  <si>
    <t>5200b2cb</t>
  </si>
  <si>
    <t>demande panneau</t>
  </si>
  <si>
    <t>633a0ba6</t>
  </si>
  <si>
    <t>Fermeture de l'hébergement sur la plateforme TDS en date du 06/10/2021 suite à la régularisation des sommes dues</t>
  </si>
  <si>
    <t>ec975a29</t>
  </si>
  <si>
    <t>Mail reçu sur la plateforme TDS : attente de son courrier de fermeture officiel</t>
  </si>
  <si>
    <t>dd6c0d28</t>
  </si>
  <si>
    <t>Bonjour, Mme Payet Francoise change de numéro de tel . Son nouveau numéro: 0692 52 64 03</t>
  </si>
  <si>
    <t>02f2c696</t>
  </si>
  <si>
    <t>Aide à la télédéclaration</t>
  </si>
  <si>
    <t>102e8f3e</t>
  </si>
  <si>
    <t>Informations sur les opérateurs numériques et les reversements en attente</t>
  </si>
  <si>
    <t>2fad9111</t>
  </si>
  <si>
    <t>Modification du nom de son hébergement : DATTIER au lieu de LES PAMPLEMOUSSES car changement de capacité (passe d'une capacité de 15 à 2 personnes)</t>
  </si>
  <si>
    <t>05b25e5b</t>
  </si>
  <si>
    <t>Demande de modification de ses infos sur reunion.fr</t>
  </si>
  <si>
    <t>48628a42</t>
  </si>
  <si>
    <t>Inscription SIT</t>
  </si>
  <si>
    <t>945a8781</t>
  </si>
  <si>
    <t>Besoin d'infos sur classement étoiles et label</t>
  </si>
  <si>
    <t>8fbedac7</t>
  </si>
  <si>
    <t>mise à jour de ses infos sur reunion.fr et sudreuniontourisme</t>
  </si>
  <si>
    <t>64e0ca42</t>
  </si>
  <si>
    <t>mise à jour : tarifs, description, capacité</t>
  </si>
  <si>
    <t>93b2d323</t>
  </si>
  <si>
    <t>Accompagnement activation de compte, télédéclaration</t>
  </si>
  <si>
    <t>ceff1d73</t>
  </si>
  <si>
    <t>Modification adresse mail + BDD complétée</t>
  </si>
  <si>
    <t>81a67eb5</t>
  </si>
  <si>
    <t>Accompagnement télédéclaration</t>
  </si>
  <si>
    <t>fdd46064</t>
  </si>
  <si>
    <t>Hébergement fermé définitivement</t>
  </si>
  <si>
    <t>b00ad569</t>
  </si>
  <si>
    <t>Fermeture provisoire jusqu'à décembre 2021 (chambre d'hôtes et meublé)</t>
  </si>
  <si>
    <t>38a95aa0</t>
  </si>
  <si>
    <t>Accompagnement connexion et télédéclaration</t>
  </si>
  <si>
    <t>2d7eee07</t>
  </si>
  <si>
    <t>c7ece30c</t>
  </si>
  <si>
    <t>M. LABENNE propriétaire de "Chez Jo" // donc "Chez Narvam" à supprimer de sa fiche</t>
  </si>
  <si>
    <t>66848c72</t>
  </si>
  <si>
    <t>Mme PATCHANE est la propriétaire de "Chez Narvam" // Donc "Chez Jo" à enlever de sa fiche</t>
  </si>
  <si>
    <t>994e4d25</t>
  </si>
  <si>
    <t>Demande un RDV TDS pour le mois de novembre : à suivre. 
Mme LINDECKER doit me rappeler après le 03/11 pour fixer une date de RDV</t>
  </si>
  <si>
    <t>8066c37c</t>
  </si>
  <si>
    <t>Questions sur les opérateurs numériques</t>
  </si>
  <si>
    <t>ba12c745</t>
  </si>
  <si>
    <t>changement de nom sur sa fiche reunion.fr</t>
  </si>
  <si>
    <t>92e1c16b</t>
  </si>
  <si>
    <t>Changement de nom d'hébergement : "Tikazhoareau" s'appelle désormais "La Résidence des Caféiers" // M. Hoareau est venu au bureau pour nous l'annoncer</t>
  </si>
  <si>
    <t>e9cfd03a</t>
  </si>
  <si>
    <t>Questions sur les opérateurs numériques // changement de nom de son hébergement</t>
  </si>
  <si>
    <t>f26253dd</t>
  </si>
  <si>
    <t>Changement des noms sur les panneaux + ajout d'un nouveau panneau devant le pont de Pont d'Yves (en bas de l'église, il n'y a pas encore de massif)</t>
  </si>
  <si>
    <t>04ab2feb</t>
  </si>
  <si>
    <t>Madame a fait sa demande le 15 octobre, il s'agira de la recontacter pour récupérer son sirene d'ici la fin novembre</t>
  </si>
  <si>
    <t>92a1268b</t>
  </si>
  <si>
    <t>Mme ROBERT a une structure qui est certainement éligible au classement en étoiles. Ca l'interesse pour que sa tds passe en fixe. 
Elle est aussi interessée par un label pour les PMR car la Villa Bambou est toute équipée, c'est rare et pro !</t>
  </si>
  <si>
    <t>c79378f8</t>
  </si>
  <si>
    <t>Tarification à revoir pour le gîte sur le site reunion.fr</t>
  </si>
  <si>
    <t>65b20aa2</t>
  </si>
  <si>
    <t>Nouveau presta : à faire entrer en plateforme + envoi des documents par mail + courrier</t>
  </si>
  <si>
    <t>f454b886</t>
  </si>
  <si>
    <t>Mr est passé au BIT de BM il a vu Duprey et demande une attestaiton</t>
  </si>
  <si>
    <t>f6c33347</t>
  </si>
  <si>
    <t>nouveau prestataire (oct 2021)</t>
  </si>
  <si>
    <t>ad4c5f9c</t>
  </si>
  <si>
    <t>Souhaite avoir les infos pour le classement étoiles</t>
  </si>
  <si>
    <t>fc8d74b2</t>
  </si>
  <si>
    <t>Le prestataire souhaitait parler à Madame LALLEMENT</t>
  </si>
  <si>
    <t>04e9603d</t>
  </si>
  <si>
    <t>Prise d'info au sujet de la procédure à suivre en cas de fermeture définitive (pour un de ses meublés qui passera peut être en location non touristique)</t>
  </si>
  <si>
    <t>bf450296</t>
  </si>
  <si>
    <t>Pas de numéro de Siren pour l'instant.</t>
  </si>
  <si>
    <t>a0c28d4e</t>
  </si>
  <si>
    <t>Aimerait de l'information</t>
  </si>
  <si>
    <t>1396125c</t>
  </si>
  <si>
    <t>Accompagnement à la télédéclaration : demande de RDV physique</t>
  </si>
  <si>
    <t>343a6b07</t>
  </si>
  <si>
    <t>ed5b6aea</t>
  </si>
  <si>
    <t>Inscription en cours, le prestataire a été recontacté (téléphone &amp; mail) pour compléter de nouveau le formulaire (page 1 &amp; 3 à revoir)</t>
  </si>
  <si>
    <t>c615e19e</t>
  </si>
  <si>
    <t>Post fb/ sit/ nl</t>
  </si>
  <si>
    <t>c77ce9e1</t>
  </si>
  <si>
    <t>Suivi du dossier SIT - Le prestataire a mis le dossier en attente</t>
  </si>
  <si>
    <t>4ff97124</t>
  </si>
  <si>
    <t>Le formulaire n'est pas entièrement complété. Il manque des pièces à joindre au dossier avant l'envoi. Mme GERMAIN me recontactera si besoin.</t>
  </si>
  <si>
    <t>56bdc5cf</t>
  </si>
  <si>
    <t>Fermeture temporaire de l'établissement jusqu'au 31/12/2021. Le prestataire rappellera pour sa fiche toujours visible sur reunion.fr</t>
  </si>
  <si>
    <t>fb80b2d9</t>
  </si>
  <si>
    <t>Bertel indique que l'établissement est inscrit en SIT cependant, il n'apparaît pas sur reunion.fr</t>
  </si>
  <si>
    <t>6189e54f</t>
  </si>
  <si>
    <t>Modification à apporter au sujet du nombre de nuitées + aide pour le paiement de la TDS</t>
  </si>
  <si>
    <t>6a6725ad</t>
  </si>
  <si>
    <t>Fermeture en cours pour Mme RATANE / La structure Les Grands Monts est reprise par une autre personne + changement de nature d'hébergement qui passera en chambre d'hôtes / Démarches mairie pour la réouverture en cours, prendra contact avec nous si besoin</t>
  </si>
  <si>
    <t>3a551387</t>
  </si>
  <si>
    <t>Envoi du formulaire d'inscription le 08/11/2021</t>
  </si>
  <si>
    <t>28f9890f</t>
  </si>
  <si>
    <t>9a3e65ce</t>
  </si>
  <si>
    <t>Fiche établissement à mettre à jour. Mail (coordonnées de l'OTI) envoyé le 08/11/2021 à la demande du prestataire</t>
  </si>
  <si>
    <t>bc02267e</t>
  </si>
  <si>
    <t>Formulaire d'inscription envoyé par mail le 08/11/2021</t>
  </si>
  <si>
    <t>59af3f09</t>
  </si>
  <si>
    <t>Une demande de mise en avant via Messenger</t>
  </si>
  <si>
    <t>26fd484c</t>
  </si>
  <si>
    <t>Fiche établissement incomplète sur reunion.fr (tarification...)</t>
  </si>
  <si>
    <t>6b286e2d</t>
  </si>
  <si>
    <t>Formulaire d'inscription SIT envoyé par mail le 09/11/2021</t>
  </si>
  <si>
    <t>39325fca</t>
  </si>
  <si>
    <t>Demande de contacts organismes pour renouvellement de classement étoiles</t>
  </si>
  <si>
    <t>551a63c7</t>
  </si>
  <si>
    <t>Suivi de fermeture de sa structure "Les Pamplemousses" : Mme est allée en mairie de Saint-Joseph pour déclarer sa fermeture, la mairie lui a dit que les attestations de fermeture se font à la CASUD. Je pense qu'il faudrait envisager un point avec eux, c'est la mairie qui prend les ouvertures, ils doivent également traiter les fermetures si un presta se présente à eux. Nous avons mis en place les courriers de fermeture pour faciliter les démarches du presta quand nous sommes les premiers informés d'une fermeture mais ce n'est en aucun cas notre responsabilité de réceptionner ce genre de déclarations, la mairie devrait pouvoir traiter les fermetures puis nous les transmettre (comme c'était le cas avant)</t>
  </si>
  <si>
    <t>3bf94c88</t>
  </si>
  <si>
    <t>La fiche établissement est à revoir sur le site reunion.fr (tarification, numéro de portable...)</t>
  </si>
  <si>
    <t>000d7aac</t>
  </si>
  <si>
    <t>Envoi du formulaire d'inscription SIT par mail le 10/11/2021</t>
  </si>
  <si>
    <t>7447f656</t>
  </si>
  <si>
    <t>Numéro SIRENE en attente</t>
  </si>
  <si>
    <t>52368b0b</t>
  </si>
  <si>
    <t>Le prestataire a précisé de bien indiquer le numéro de son appartement (n°85). En effet, les courriers sont retournés lorsque le numéro d'appartement n'apparaît pas.</t>
  </si>
  <si>
    <t>3dfb3bf2</t>
  </si>
  <si>
    <t>Le numéro de portable a changé (anciennement : 0.692.00.98.36). Le nouveau numéro est le suivant : 0.693.84.01.62.</t>
  </si>
  <si>
    <t>38f27296</t>
  </si>
  <si>
    <t>Ne reçoit pas la newsletter</t>
  </si>
  <si>
    <t>ddd63acd</t>
  </si>
  <si>
    <t>Meublé de tourisme à intégrer. Message laissé sur son répondeur pour lui demander de rappeler. Pas assez d'infos dans le tableau mairie (Entre-Deux) pour pouvoir ajouter l'hébergement directement en BDD - à relancer semaine du 15 si pas de retour</t>
  </si>
  <si>
    <t>824fa43e</t>
  </si>
  <si>
    <t>Envoi du formulaire d'inscription SIT par mail le 12/11/2021</t>
  </si>
  <si>
    <t>3781d5a7</t>
  </si>
  <si>
    <t>La fiche établissement est à revoir sur le site reunion.fr</t>
  </si>
  <si>
    <t>f3c8a372</t>
  </si>
  <si>
    <t>Formulaire d'inscription SIT envoyé par mail le 12/11/2021</t>
  </si>
  <si>
    <t>9c2aa0bf</t>
  </si>
  <si>
    <t>N'arrive pas à modifier sa déclaration de septembre.</t>
  </si>
  <si>
    <t>1346c2d1</t>
  </si>
  <si>
    <t>Établissement fermé définitivement depuis le début de la pandémie (Covid 19) cependant le prestataire n'a pas eu l'occasion d'envoyer son courrier de fermeture.</t>
  </si>
  <si>
    <t>594b8a4a</t>
  </si>
  <si>
    <t>Fiche établissement complète à revoir sur reunion.fr. (0 photo, horaires manquants...)</t>
  </si>
  <si>
    <t>b6751925</t>
  </si>
  <si>
    <t>Envoi du formulaire d'inscription par mail le 16/11/2021</t>
  </si>
  <si>
    <t>47eedf30</t>
  </si>
  <si>
    <t>Fiche établissement complète à revoir (tarification...)</t>
  </si>
  <si>
    <t>79ce7cab</t>
  </si>
  <si>
    <t>Madame souhaite qu'on la contacte pour lui donner des infos sur les labels développement durable. J'ai dit à Mélodie.
Madame souhaite qu'on intervienne pour sa demande de label tourisme et handicap aussi. J'ai mis un message sur slack à Joëlle, elle veut aussi des infos pour le classement atout france ;)</t>
  </si>
  <si>
    <t>86851b40</t>
  </si>
  <si>
    <t>Madame souhaite un post sur la page fb de l'oti et un post dans la NL. Je programme pour janvier un post pour elle dans la nl et j'ai prévenu Solène et Christophe pour faire un post sur la page fb de l'oti</t>
  </si>
  <si>
    <t>e55cb986</t>
  </si>
  <si>
    <t>Madame souhaite qu'on lui envoie le formulaire SIT</t>
  </si>
  <si>
    <t>ffb2ff2a</t>
  </si>
  <si>
    <t>Entrée en plateforme : nouveau presta</t>
  </si>
  <si>
    <t>37b9367b</t>
  </si>
  <si>
    <t>Ne souhaite pas être dans la BDD de l'office! Nous a contacté uniquement pour la taxe de séjour. Comment peut-on retranscrire cette info dans Bertel?</t>
  </si>
  <si>
    <t>54df13c1</t>
  </si>
  <si>
    <t>2ème fiche-établissement (hôtel-restaurant) à retirer de reunion.fr</t>
  </si>
  <si>
    <t>b0f135c0</t>
  </si>
  <si>
    <t>Prestataire toujours ouvert sur Entre-Deux</t>
  </si>
  <si>
    <t>a16e82f8</t>
  </si>
  <si>
    <t>Le prestataire souhaite avoir un accompagnement pour la TDS</t>
  </si>
  <si>
    <t>2cb98be5</t>
  </si>
  <si>
    <t>message envoyé sur la plateforme TDS : fermeture définitive</t>
  </si>
  <si>
    <t>86faef33</t>
  </si>
  <si>
    <t>Formulaire d'inscription SIT envoyé le 19/11/2021</t>
  </si>
  <si>
    <t>0267ffd8</t>
  </si>
  <si>
    <t>Demande une pub FB : avait déjà demandé à l'ouverture de sa structure mais pas eu de nouvelles depuis</t>
  </si>
  <si>
    <t>7a792fac</t>
  </si>
  <si>
    <t>à tel pour compléter Bertel + accès TDS à faire + décision de classement à voir avec le presta + SIT? + panneau?</t>
  </si>
  <si>
    <t>374d6261</t>
  </si>
  <si>
    <t>Modifications de déclarations + nous signale qu'elle travaille avec booking depuis août</t>
  </si>
  <si>
    <t>399403a7</t>
  </si>
  <si>
    <t>Suivi d'inscription SIT =&gt; Dossier à finaliser</t>
  </si>
  <si>
    <t>ef807ed2</t>
  </si>
  <si>
    <t>Fiche établissement à revoir - Mail envoyé le 22/11/2021</t>
  </si>
  <si>
    <t>88092cdd</t>
  </si>
  <si>
    <t>France May souhaite avoir des panneaux pour signaler son exploitation dans la forêt du rond dans les hauts de la plaine des grègues. Elle souhaite avoir un nom évocateur "Bienvenue à la Ferme de France May" mais ce sera trop long, elle veut valider son nom (je lui ai dit que c'est elle qui nous en proposera un), valider l'infographie, je lui ai dit que nous verrons ce qu'il est possible de faire mais normalement non, c'est charté. Et elle souhaite valider le jallonement...</t>
  </si>
  <si>
    <t>b1495ebd</t>
  </si>
  <si>
    <t>Mail envoyé le 23/11/2021 pour les modifications à apporter à la fiche établissement de Gandalf Safari Camp</t>
  </si>
  <si>
    <t>b9679dee</t>
  </si>
  <si>
    <t>Envoi du formulaire d'inscription le 23/11/2021</t>
  </si>
  <si>
    <t>b0fac93b</t>
  </si>
  <si>
    <t>Formulaire d'inscription envoyé le 23/11/2021</t>
  </si>
  <si>
    <t>ae597a28</t>
  </si>
  <si>
    <t>Raoul Vian a essayé mi nov de se connecter. Mais il dit que ses codes sont mauvais. Alors il fait "codes oubliés" mais il ne reçoit jamais de nouveaux codes. Merci de le recontacter, et de revoir avec lui. Pas de rétroactivité, il remplira à zéro les mois précédent et on redémarre sa taxe au 1er décembre</t>
  </si>
  <si>
    <t>c9983a2a</t>
  </si>
  <si>
    <t>M. Raoul VIAN souhaite qu'on lui envoie par mail le formulaire pour SIT. Merci</t>
  </si>
  <si>
    <t>67ce6cfc</t>
  </si>
  <si>
    <t>Peut être 2 panneaux? le Mr est prêt à attendre 2 ans s'il faut ....</t>
  </si>
  <si>
    <t>84cb697d</t>
  </si>
  <si>
    <t>Fiche établissement à revoir sont sur reunion.fr. Le prestataire a reçu un lien par mail ce jour pour avoir un accès direct sur reunion.fr.</t>
  </si>
  <si>
    <t>2913b468</t>
  </si>
  <si>
    <t>Mail envoyé le 24/11/2021 - Le prestataire souhaite revoir sa fiche établissement sur reunion.fr</t>
  </si>
  <si>
    <t>7a8f338f</t>
  </si>
  <si>
    <t>Demande entrée en SIT, dossier d'inscription déjà envoyé. A suivre</t>
  </si>
  <si>
    <t>b5c497fc</t>
  </si>
  <si>
    <t>Tarification à revoir sur reunion.fr =&gt; La nuit est à présent à 20€/personne/nuit</t>
  </si>
  <si>
    <t>f3054645</t>
  </si>
  <si>
    <t>entré en TDS, courrier ok</t>
  </si>
  <si>
    <t>c4e4e72e</t>
  </si>
  <si>
    <t>Le prestataire souhaite savoir où en est sa demande de panneau. En parallèle de l'appel de ce jour, le prestataire enverra un mail à l'OTI.</t>
  </si>
  <si>
    <t>ccb7fbe1</t>
  </si>
  <si>
    <t>Demande installation de panneau</t>
  </si>
  <si>
    <t>f6e95459</t>
  </si>
  <si>
    <t>Le prestataire a déménagé sur Saint-Paul</t>
  </si>
  <si>
    <t>a7c0f4e1</t>
  </si>
  <si>
    <t>Fiche établissement à revoir sur reunion.fr. Au total, deux mails ont été envoyés à M. FONTAINE en lien avec le SIT</t>
  </si>
  <si>
    <t>b3bca20b</t>
  </si>
  <si>
    <t>Madame très zen souhaite qu'on lui rende visite, j'y vais donc le 3 décembre à 9h, je clôturerai la requête à mon retour :)</t>
  </si>
  <si>
    <t>049ba5d5</t>
  </si>
  <si>
    <t>Le formulaire d'inscription SIT a été envoyé par mail au prestataire le 12 mai 2021</t>
  </si>
  <si>
    <t>5e809d8c</t>
  </si>
  <si>
    <t>Hébergement sous mandat de gestion exclusive (KEYLODGE) : à mettre en "invisible" dans notre BDD</t>
  </si>
  <si>
    <t>6e036ac8</t>
  </si>
  <si>
    <t>Le prestataire souhaite recevoir le formulaire d'inscription SIT</t>
  </si>
  <si>
    <t>7fe08210</t>
  </si>
  <si>
    <t>Fiche établissement à revoir sur reunion.fr. J'ai appelé le prestataire le 29/11/2021 pour faire le point concernant les informations en ligne de son établissement. Le prestataire informe que la tarification a changé.</t>
  </si>
  <si>
    <t>921de820</t>
  </si>
  <si>
    <t>Aimerait s'inscrire.</t>
  </si>
  <si>
    <t>28af4031</t>
  </si>
  <si>
    <t>J'ai envoyé le formulaire d'inscription SIT par mail le 29/11/2021</t>
  </si>
  <si>
    <t>e36bf722</t>
  </si>
  <si>
    <t>ec804c47</t>
  </si>
  <si>
    <t>questions sur la télédéclaration (précisions sur les opérateurs numériques)</t>
  </si>
  <si>
    <t>607fc124</t>
  </si>
  <si>
    <t>Fiche établissement à revoir sur reunion.fr. Le 29/11/2021, le prestataire a indiqué par téléphone que la tarification n'est pas à jour sur le site de l'IRT.</t>
  </si>
  <si>
    <t>fe6eefb2</t>
  </si>
  <si>
    <t>Problème de reversement TDS en ligne</t>
  </si>
  <si>
    <t>4a4c94fc</t>
  </si>
  <si>
    <t>Dégradation d'un panneau signalétique</t>
  </si>
  <si>
    <t>M. PERETTI a informé par mail (à l'adresse @prestataires), le 27/11/2021 que : " Les panneaux indicatifs du carrefour rue Zazo commencent à être sérieusement dégradés."</t>
  </si>
  <si>
    <t>f58031fd</t>
  </si>
  <si>
    <t>La fiche établissement est à revoir sur reunion.fr. Cette fiche est incomplète. J'ai appelé le prestataire le 30/11/2021. De plus, j'ai envoyé un mail à M. Anouvaraly le 30/11/2021. Ce mail contient un lien direct pour accéder à la fiche établissement : "L'Olivier".</t>
  </si>
  <si>
    <t>436a0af3</t>
  </si>
  <si>
    <t>La fiche établissement est à revoir sur reunion.fr (0 photo actuellement en ligne...). J'ai appelé le prestataire le 30/11/2021. De plus, j'ai envoyé un mail à Mme JACQUOT le 30/11/2021. Ce mail contient un lien direct pour accéder à la fiche établissement : "Entre Deux Rêves".</t>
  </si>
  <si>
    <t>fa325529</t>
  </si>
  <si>
    <t>La fiche établissement est à revoir sur reunion.fr. J'ai appelé le prestataire le 30/11/2021. De plus, j'ai envoyé un mail le 30/11/2021, à M. Calçada. Ce mail contient un lien direct pour accéder à la fiche établissement : "ENTRE NOUS".</t>
  </si>
  <si>
    <t>07f04cad</t>
  </si>
  <si>
    <t>Dossier remis au prestataire, attente retour de pièces</t>
  </si>
  <si>
    <t>8e077c7c</t>
  </si>
  <si>
    <t>La fiche établissement est à revoir sur reunion.fr (3 photos actuellement en ligne...). J'ai appelé le prestataire le 30/11/2021. De plus, j'ai envoyé un mail à M. MARTIN le 30/11/2021. Ce mail contient un lien direct pour accéder à la fiche établissement : "Ferme équestre du Sud Sauvage".</t>
  </si>
  <si>
    <t>efb06389</t>
  </si>
  <si>
    <t>Demande une publication de promotion sur FB pour sa structure + coup de pouce pour un événement atelier kokedama prévu pour le 15 décembre 2021 (Mme RATANE nous fera un mail)</t>
  </si>
  <si>
    <t>387af039</t>
  </si>
  <si>
    <t>La fiche établissement est à revoir sur reunion.fr (0 photo actuellement en ligne...). J'ai appelé le prestataire le 01/12/2021. De plus, j'ai envoyé un mail à  M. AMBIEHL le 01/12/2021. Ce mail contient un lien direct pour accéder à la fiche établissement : "L'ORCHIDÉA" sur reunion.fr.</t>
  </si>
  <si>
    <t>f4aa899a</t>
  </si>
  <si>
    <t>La fiche établissement est à revoir sur reunion.fr (5 photos actuellement en ligne...). Le prestataire a été appelé le 01/12/2021. De plus, j'ai envoyé un mail à M. DALLY le 01/12/2021. Ce mail contient un lien direct pour accéder à la fiche établissement : "TERRE ROUGE".</t>
  </si>
  <si>
    <t>41e2e712</t>
  </si>
  <si>
    <t>Le prestataire souhaite avoir une aide pour compléter le dossier d'inscription SIT</t>
  </si>
  <si>
    <t>f5f53712</t>
  </si>
  <si>
    <t>Aide à la télédéclaration + tarification</t>
  </si>
  <si>
    <t>58c6f8ee</t>
  </si>
  <si>
    <t>activation de compte + formation prise en main TDS</t>
  </si>
  <si>
    <t>e2e6baee</t>
  </si>
  <si>
    <t>J'ai contacté le prestataire le 26/11/2021 pour le courrier de déclaration de fermeture de structure. J'ai appelé de nouveau le prestataire le 02/12/2021 car ce courrier est en attente de réception.</t>
  </si>
  <si>
    <t>41fe0086</t>
  </si>
  <si>
    <t>Le prestataire ne souhaite pas que son établissement fasse partie de la base de données de l'OTI.</t>
  </si>
  <si>
    <t>5d7f2153</t>
  </si>
  <si>
    <t>Il manque une pièce à joindre au dossier d'inscription SIT. Il s'agit de la déclaration en mairie. Le prestataire enverra un mail à l'adresse @prestataires.</t>
  </si>
  <si>
    <t>40015862</t>
  </si>
  <si>
    <t>M. Pierrot GRONDIN est passé au bureau le 02/12/2021 pour remettre sa déclaration de la taxe de séjour sous format papier pour le mois de novembre 2021.</t>
  </si>
  <si>
    <t>4073fd7e</t>
  </si>
  <si>
    <t>Le prestataire souhaite qu'on prenne en compte sa demande de panneau signalétique qui date du mois de septembre 2020.</t>
  </si>
  <si>
    <t>86832932</t>
  </si>
  <si>
    <t>Le prestataire a été contacté le 03/12/2021 pour le suivi de son inscription SIT. Pour le moment, le dossier est en attente.</t>
  </si>
  <si>
    <t>1039fc3e</t>
  </si>
  <si>
    <t>Le prestataire souhaiterait avoir un rendez-vous pour la visite de son établissement. Cette demande a été envoyée par mail le 03/12/2021.</t>
  </si>
  <si>
    <t>6447b0d1</t>
  </si>
  <si>
    <t>numéro indiqué n'est pas celui du presta!</t>
  </si>
  <si>
    <t>8450334c</t>
  </si>
  <si>
    <t>inscription en plateforme</t>
  </si>
  <si>
    <t>58b8d575</t>
  </si>
  <si>
    <t>Dossier d'inscription SIT à envoyer au prestataire. Le prestataire n'a pas pu répondre à mon appel de ce jour.</t>
  </si>
  <si>
    <t>41fbadef</t>
  </si>
  <si>
    <t>L' établissement "LE BOUGAINVILLIER" n'est pas enregistré dans la plateforme TDS</t>
  </si>
  <si>
    <t>ad9d52b4</t>
  </si>
  <si>
    <t>Le 06/12/2022, j'ai apporté les modifications suivantes à la fiche établissement : 
- L' adresse mail a été remplacée ; 
- le prénom Antoine a été ajouté ; 
- le numéro de l'adresse a été changé.</t>
  </si>
  <si>
    <t>67672c0d</t>
  </si>
  <si>
    <t>La fiche établissement est à revoir sur reunion.fr. J'ai appelé le prestataire le 06/12/2021. De plus, j'ai envoyé un SMS ainsi qu'un mail à M. LAURET. Ce mail contient un lien direct pour accéder à la fiche établissement : "ÉCURIE NOTRE DAME DE LA PAIX".</t>
  </si>
  <si>
    <t>4a990c08</t>
  </si>
  <si>
    <t>L' adresse mail a été modifiée</t>
  </si>
  <si>
    <t>1461cad7</t>
  </si>
  <si>
    <t>dossier à compléter, formulaire mairie indique : oui OT // non SIT // non panneau</t>
  </si>
  <si>
    <t>e7ba2c88</t>
  </si>
  <si>
    <t>à faire entrer en plateforme</t>
  </si>
  <si>
    <t>cb487071</t>
  </si>
  <si>
    <t>Demande des infos pour entrer en SIT mais souhaite la formule payante avec l'option de réservation directe sur le site reunion.fr ou bien un lien vers sa page Airbnb car il ne souhaite pas gérer les locations en direct</t>
  </si>
  <si>
    <t>7ab61f36</t>
  </si>
  <si>
    <t>souhaite des infos sur les classements et les labels dispo</t>
  </si>
  <si>
    <t>70c4d675</t>
  </si>
  <si>
    <t>La fiche établissement est à revoir sur reunion.fr (0 photo actuellement en ligne...). J'ai appelé le prestataire le 07/12/2021. De plus, j'ai envoyé un mail à M. DUPONT le 07/12/2021. Ce mail contient un lien direct pour accéder à la fiche établissement : "CAVERNE DES HIRONDELLES".</t>
  </si>
  <si>
    <t>7c4bf88f</t>
  </si>
  <si>
    <t>à mettre en presta masqué : en gestion exclusive chez Keylodge</t>
  </si>
  <si>
    <t>36b8c73d</t>
  </si>
  <si>
    <t>Monsieur Lebon rouvrira aux touristes qd il aura terminé les travaux, ils habitent dans la Varangue pour le moment</t>
  </si>
  <si>
    <t>0894cb47</t>
  </si>
  <si>
    <t>M. PAYET m'a appelée le 07/12/2021 pour faire le point concernant son dossier SIT.</t>
  </si>
  <si>
    <t>d1216992</t>
  </si>
  <si>
    <t>aide à la télédéclaration</t>
  </si>
  <si>
    <t>1b305366</t>
  </si>
  <si>
    <t>Mail reçu via plateforme TDS &gt; Demande de renvoi du courrier TDS</t>
  </si>
  <si>
    <t>33a52faf</t>
  </si>
  <si>
    <t>aide à la télédéclaration &gt; mail plateforme</t>
  </si>
  <si>
    <t>b3ebb1f7</t>
  </si>
  <si>
    <t>Accompagnement utilisation de la plateforme &gt; mail envoyé sur la plateforme TDS</t>
  </si>
  <si>
    <t>fd099aa3</t>
  </si>
  <si>
    <t>Le 08/12/2021, j'ai appelé Mme GRONDIN. Le prestataire sera rappelé avant l'envoi du formulaire d'inscription SIT.</t>
  </si>
  <si>
    <t>6fafa14b</t>
  </si>
  <si>
    <t>Mme LEBON avait déjà reçu le formulaire, elle veut reessayer</t>
  </si>
  <si>
    <t>574ee158</t>
  </si>
  <si>
    <t>Aimerait une forme de signalisation depuis Saint-Joseph peut-être de type RIS ou totem</t>
  </si>
  <si>
    <t>1d97e396</t>
  </si>
  <si>
    <t>f12e32b4</t>
  </si>
  <si>
    <t>Demande faite par un clic de la Newsletter 7 &gt; AMIR a slacké Métro</t>
  </si>
  <si>
    <t>10f43bb1</t>
  </si>
  <si>
    <t>Madame n'arrive pas à modifier sa déclaration de nov. son compte est bloqué, il faudrait l'aider. Puis c'est elle qui demandait pour le reversement de la TDS d'Abritel, et que les 2 opérateurs numériques Abritel et Amivac utilise le pourcentage encore pour la Tomie alors qu'elle est classée 3 étoiles. Au cas où elle t'en parle aussi...</t>
  </si>
  <si>
    <t>f23e6b56</t>
  </si>
  <si>
    <t>Le 09/12/2021, j'ai appelé M. VELIA. De plus, j'ai envoyé un mail à ce prestataire pour obtenir l'attestation de classement de son hébergement : "LE FIGUIER".</t>
  </si>
  <si>
    <t>fc7aaa33</t>
  </si>
  <si>
    <t>Le 09/12/2021, j'ai appelé M. VELIA. De plus, j'ai envoyé un mail à ce prestataire pour obtenir l'attestation de classement de son hébergement : "LE JARDIN SECRET".</t>
  </si>
  <si>
    <t>e72eb718</t>
  </si>
  <si>
    <t>Le 09/12/2021, une demande de rappel téléphonique a été envoyée à Mme ICHAYE.</t>
  </si>
  <si>
    <t>324f530a</t>
  </si>
  <si>
    <t>La fiche établissement est à revoir sur reunion.fr. Le 09/12/2021, j'ai appelé le prestataire pour faire le point. De plus, le 10/12/2021, j'ai envoyé un mail à Mme MARAPA. Ce mail contient un lien direct pour accéder à la fiche établissement : "LOCATIONS VERT EDEN".</t>
  </si>
  <si>
    <t>3425ec7d</t>
  </si>
  <si>
    <t>Faire un "post promo" après les congés de M. LAURET. 
Cf. : Le mail de Solène en date du 07/12/2021.</t>
  </si>
  <si>
    <t>8ac86daa</t>
  </si>
  <si>
    <t>Conversation téléphonique du 10/12/2021 : Mme ICHAYE indique ne pas être en activité touristique pour le moment mais ne souhaite pas fermer définitivement. Elle est en pause d'activité jusqu'au 28/02/2022 &gt; date après laquelle il faudra refaire le point avec elle</t>
  </si>
  <si>
    <t>70b636b1</t>
  </si>
  <si>
    <t>Relance pour son post fb/ Am voit avec CM qui se met en relation avec AS pour le post du 22 déc. AS contactera Mme MARAPA à ce moment qd publié merci</t>
  </si>
  <si>
    <t>7bc47007</t>
  </si>
  <si>
    <t>Lors de mon appel du 09/12/2021, le prestataire m'a informée recevoir des relances par mail pour déclarer la taxe de séjour. Merci de faire le point au sujet de la situation de l'établissement : "LE MARGOUILLAT".</t>
  </si>
  <si>
    <t>67cd1bc2</t>
  </si>
  <si>
    <t>Denis souhaiterait une promotion sur la page Fb de l'OTI pour la Maison des Hôtes à partir de mi janvier ce serait bien</t>
  </si>
  <si>
    <t>35512b72</t>
  </si>
  <si>
    <t>Mme ROBERT a appelé ce jour pour avoir une aide car la déclaration du mois d'octobre 2021 est à modifier.</t>
  </si>
  <si>
    <t>c6e9f63b</t>
  </si>
  <si>
    <t>Le 13/12/2021, j'ai appelé le prestataire pour le référencement de son hébergement. De plus, ce jour, j'ai envoyé le formulaire d'inscription SIT par mail à M. BRIZARD.</t>
  </si>
  <si>
    <t>1265ace6</t>
  </si>
  <si>
    <t>Le formulaire d'inscription SIT a été envoyé par mail à M. TONRU le 13/12/2021.</t>
  </si>
  <si>
    <t>7f973847</t>
  </si>
  <si>
    <t>La fiche établissement est à revoir sur reunion.fr (3 photos sont en ligne...). Ce jour, j'ai appelé le prestataire. De plus, j'ai envoyé un mail à Mme DUCHEMANE en date du 13/12/2021. Ce mail contient un lien direct pour accéder à la fiche établissement : "LE MAHAVEL".</t>
  </si>
  <si>
    <t>a4009953</t>
  </si>
  <si>
    <t>Les frères LEICHNIG souhaitent une promotion sur la page fb de l'OTISud, notamment sur les activités enfants, car ils ont investi dans du matériel spécifique enfant :) leur page fb est àç jour et leur site @ aussi. Et demande de SIT en cours. Merci</t>
  </si>
  <si>
    <t>7fd12fcd</t>
  </si>
  <si>
    <t>Patrick et son frère Jean Yves LEICHNIG souhaitent recevoir par mail le formulaire SIT activité pour être sur reunion.fr. Merci !</t>
  </si>
  <si>
    <t>91f50250</t>
  </si>
  <si>
    <t>L' établissement "Kom'une évidence" n'est pas enregistré dans la plateforme TDS</t>
  </si>
  <si>
    <t>4fa86c69</t>
  </si>
  <si>
    <t>Les frères LEICHNIG souhaitent bénéficier des panneaux de la SIL, je leur ai dit que çà allait prendre bpc de temps néanmoins, merci</t>
  </si>
  <si>
    <t>e87bc6cb</t>
  </si>
  <si>
    <t>Demande d'information au sujet des cas d'éxonération : contrat saisonnier qui est concerné</t>
  </si>
  <si>
    <t>41ec984e</t>
  </si>
  <si>
    <t>accompagnement télédéclaration</t>
  </si>
  <si>
    <t>141b2487</t>
  </si>
  <si>
    <t>Mail de demande d'attestation de classement envoyé le 15/12/2021</t>
  </si>
  <si>
    <t>02dd725c</t>
  </si>
  <si>
    <t>Propriétaires passés au bureau le 15/12/2021 pour inscription OTI + infos concernant l'ouverture de leur meublé. M. et Mme LAUDE habitent pour le moment dans la maison qui sera disponible à partir d'avril 2022 mais sera gérée par une agence immo car ils vivent en métropole. Pour le moment je ne fais pas d'enregistrement dans la plateforme TDS puisqu'ils ne sont pas ouverts : TDS à faire pour AVRIL 2022</t>
  </si>
  <si>
    <t>c8d8bf76</t>
  </si>
  <si>
    <t>passera en gestion avec agence immobilière prochainement - prestataire nous tiendra au courant</t>
  </si>
  <si>
    <t>0fbf13b4</t>
  </si>
  <si>
    <t>Demande de la part du prestataire lors de la visite de son établissement</t>
  </si>
  <si>
    <t>257c8c73</t>
  </si>
  <si>
    <t>Ce jour, Mme BAZIN a appelé car cette dernière reçoit des relances de la TDS (par mail) alors que son établissement est fermé définitivement.</t>
  </si>
  <si>
    <t>789128fa</t>
  </si>
  <si>
    <t>M. DEBURE a appelé ce jour pour la collecte des déchets verts. En effet, il y a des déchets verts devant son restaurant. De plus, le prestataire a informé par mail que quatre réclamations ont déjà été effectuées auprès de la CASUD (DECV).</t>
  </si>
  <si>
    <t>feb513b1</t>
  </si>
  <si>
    <t>Labels à mettre à jour, numéro tel fixe à enlever. Le descriptif sera renvoyé par M. Guichard.</t>
  </si>
  <si>
    <t>2c1118b7</t>
  </si>
  <si>
    <t>Le prestataire souhaite être recontacté pour avoir des informations au sujet des classements</t>
  </si>
  <si>
    <t>185edac3</t>
  </si>
  <si>
    <t>M. LEBON souhaiterait un "post promo" de "L'AN DORMI VACANCES" sur la page Facebook de l'OTI</t>
  </si>
  <si>
    <t>6481007a</t>
  </si>
  <si>
    <t>L'établissement "L'AN DORMI VACANCES" n'est pas enregistré sur la plateforme de la TDS</t>
  </si>
  <si>
    <t>f8c6ab7c</t>
  </si>
  <si>
    <t>Fabien, nouveau, souhaite qu'on lui envoie le formulaire SIT loisirs, merci :)</t>
  </si>
  <si>
    <t>f7d8e728</t>
  </si>
  <si>
    <t>Presta qui a du mal à différencier OTI / Mairie / CASUD</t>
  </si>
  <si>
    <t>06b574f2</t>
  </si>
  <si>
    <t>Les VILLAS MANDARINE sont au nombre de trois : VILLA CARAMBOLE ; VILLA PASSION et VILLA GOYAVIER. Il y a deux numéros de TDS déjà affiliés aux deux fiches dans BERTEL.
​1ère fiche : LES VILLAS MANDARINE 
=&gt; CSC182HT@ 
2ème fiche : VILLA MANDARINE​ 
=&gt; CSC173HR@</t>
  </si>
  <si>
    <t>2adceb98</t>
  </si>
  <si>
    <t>mail reçu sur plateforme TDS : fermé depuis juin 2021 // j'ai envoyé le courrier de fermeture au presta - attente retour pour désactivation</t>
  </si>
  <si>
    <t>7df3e2a5</t>
  </si>
  <si>
    <t>Mise à jour de sa fiche sur reunion.fr &gt; mail envoyé (AS+presta@oti) avec les infos</t>
  </si>
  <si>
    <t>95e29f2f</t>
  </si>
  <si>
    <t>Nouveau presta</t>
  </si>
  <si>
    <t>9a623ada</t>
  </si>
  <si>
    <t>Une cliente a demandé une attestation affirmant que la ferme du Kilimandjaro était bien référencée dans notre base de donnée</t>
  </si>
  <si>
    <t>ef3d32d0</t>
  </si>
  <si>
    <t>Première demande de panneau signalétique</t>
  </si>
  <si>
    <t>f283edf4</t>
  </si>
  <si>
    <t>Le 22/12/2021, le formulaire d'inscription SIT a été envoyé par mail au prestataire</t>
  </si>
  <si>
    <t>dbc74e16</t>
  </si>
  <si>
    <t>Elle demande une attestation de l'OTI qui prouve son inscription chez nous,  concernant son projet agro tourisme.</t>
  </si>
  <si>
    <t>b7238883</t>
  </si>
  <si>
    <t>L'établissement "TI KAZ FONTAINE LETCHIS" n'est pas enregistré sur la plateforme de la TDS</t>
  </si>
  <si>
    <t>f567d2d3</t>
  </si>
  <si>
    <t>L'établissement "TI KAZ FONTAINE ANANAS" n'est pas enregistré sur la plateforme de la TDS</t>
  </si>
  <si>
    <t>211772de</t>
  </si>
  <si>
    <t>Plainte client reçue (mail prestataires) : double paiement de la TDS, une fois sur Booking et une autre fois avec Mme Marapa</t>
  </si>
  <si>
    <t>8a866ba3</t>
  </si>
  <si>
    <t>Fermé tout 2022</t>
  </si>
  <si>
    <t>5e4c9c97</t>
  </si>
  <si>
    <t>Courriel reçu de Mme CHONSEN en date du 28/12/2021 indiquant que son établissement sera fermé provisoirement jusqu'au 31/12/2023</t>
  </si>
  <si>
    <t>33ba0c90</t>
  </si>
  <si>
    <t>Demande d'attestation de classement de son hébergement par téléphone le 28 décembre 2021. 
Le prestataire a reçu un mail en lien avec cette demande.</t>
  </si>
  <si>
    <t>c7a9ce90</t>
  </si>
  <si>
    <t>Cet établissement n'est pas enregistré sur la plateforme de la taxe de séjour</t>
  </si>
  <si>
    <t>21e3de5a</t>
  </si>
  <si>
    <t>Le 29 décembre 2021, le formulaire d'inscription SIT a été envoyé par mail au prestataire</t>
  </si>
  <si>
    <t>4dc0de64</t>
  </si>
  <si>
    <t>3f9fbb14</t>
  </si>
  <si>
    <t>Le prestataire souhaite avoir une aide pour modifier la déclaration du mois de novembre 2021</t>
  </si>
  <si>
    <t>3d389845</t>
  </si>
  <si>
    <t>Le prestataire a appelé le 30/12/2021 pour la collecte non effectuée des déchets de son bac jaune</t>
  </si>
  <si>
    <t>6df776b7</t>
  </si>
  <si>
    <t>Cet établissement n'est pas enregistré sur la plateforme de la TDS</t>
  </si>
  <si>
    <t>e7401249</t>
  </si>
  <si>
    <t>Mme ROBERT a besoin d'une aide pour finaliser le paiement de la taxe de séjour</t>
  </si>
  <si>
    <t>58dcc51a</t>
  </si>
  <si>
    <t>Formulaire d'inscription SIT à envoyer</t>
  </si>
  <si>
    <t>8b3b5153</t>
  </si>
  <si>
    <t>La fiche établissement est à revoir sur reunion.fr</t>
  </si>
  <si>
    <t>63e49e30</t>
  </si>
  <si>
    <t>13f40441</t>
  </si>
  <si>
    <t>Cette demande provient du prestataire qui a envoyé un mail à l'adresse prestataires@otisud.com en date du 06/01/2022.
Cf. Le mail de réponse envoyé à M. KINDLER.</t>
  </si>
  <si>
    <t>c435c6cc</t>
  </si>
  <si>
    <t>Cette demande provient du prestataire qui a envoyé un mail à l'adresse prestataires@otisud.com en date du 07/01/2022. Cf. mail de réponse envoyé à Madame PLUMARD.</t>
  </si>
  <si>
    <t>a0c2ef61</t>
  </si>
  <si>
    <t>Il s'agit d'un nouveau prestataire. 
Il est à noter qu'il y a deux déclarations en mairie pour les cinq bungalows. 
Cf. La fiche établissement, en effet, les deux déclarations en mairie reçues par mail sont enregistrées.</t>
  </si>
  <si>
    <t>ffe62eff</t>
  </si>
  <si>
    <t>Ouverture de la structure début janvier 2022 : demande accompagnement TDS</t>
  </si>
  <si>
    <t>31ffba5a</t>
  </si>
  <si>
    <t>Accompagnement à la télédéclaration - manque toute l'année 2021</t>
  </si>
  <si>
    <t>8699c852</t>
  </si>
  <si>
    <t>Classement arrivé à échéance depuis le 31/12/2021 : à renouveler // j'ai envoyé les coordonnées des organismes de classement par mail // à surveiller si classement renouvelé car sinon changement de tarif TDS à 5%</t>
  </si>
  <si>
    <t>fcc502d3</t>
  </si>
  <si>
    <t>La fiche établissement de cet hébergement est à revoir sur reunion.fr</t>
  </si>
  <si>
    <t>d10badd3</t>
  </si>
  <si>
    <t>41015ee7</t>
  </si>
  <si>
    <t>J'ai appelé M. BEAUQUIS le 10/01/2022 pour que l'OTI ait l'attestation de classement de son hébergement. En parallèle, j'ai envoyé un mail au prestataire en lien avec cette demande.</t>
  </si>
  <si>
    <t>58685df3</t>
  </si>
  <si>
    <t>M. Pierrot GRONDIN est passé au bureau le 10/01/2022 pour remettre sa déclaration de la taxe de séjour sous format papier pour le mois de décembre 2021.</t>
  </si>
  <si>
    <t>dc77db7e</t>
  </si>
  <si>
    <t>nouveau presta Entre-Deux entrée BDD</t>
  </si>
  <si>
    <t>ebcfaccc</t>
  </si>
  <si>
    <t>cbe58c1d</t>
  </si>
  <si>
    <t>Le formulaire SIT a été envoyé au prestataire en date du 11/01/2022</t>
  </si>
  <si>
    <t>1b9ed9c4</t>
  </si>
  <si>
    <t>Difficultés au niveau de la télédéclaration</t>
  </si>
  <si>
    <t>53a8f425</t>
  </si>
  <si>
    <t>La fiche établissement est à revoir</t>
  </si>
  <si>
    <t>6b0677a0</t>
  </si>
  <si>
    <t>Cette demande envoyée par mail en date du 10/01/2022 provient de Mme Claire Afchain (=&gt; Service Communication Sud Hôtel)</t>
  </si>
  <si>
    <t>4c757407</t>
  </si>
  <si>
    <t>M. PALMAS est venu au bureau le 12/01/2022 pour reverser la taxe de séjour. Cependant, en premier lieu, ce prestataire a besoin d'une aide pour faire les déclarations.</t>
  </si>
  <si>
    <t>94a70e8a</t>
  </si>
  <si>
    <t>Demande d'envoi du CERFA vierge de déclaration meublé de tourisme &gt; va transformer une location bail en location saisonnière / Mme Chassenieux aura donc 3 meublés de tourisme &gt; à suivre</t>
  </si>
  <si>
    <t>461fc5c9</t>
  </si>
  <si>
    <t>Question au sujet de la plateforme : "Je ne comprends pas pourquoi "Les Pamplemousses" est encore enregistré alors que cette hébergement ne recoit plus personne( j'y habite ) et que j'ai déjà signalé sa fermeture définitive. Je vous demande également de radier "Dattier" que j'avais ouvert que pour les 3 derniers mois 2021 Jusqu'au 23/12/21 avec uniquement par Airbnb.MERCI"</t>
  </si>
  <si>
    <t>1a0624cc</t>
  </si>
  <si>
    <t>Demande d'inscription SIT</t>
  </si>
  <si>
    <t>d83b679a</t>
  </si>
  <si>
    <t>Demande d'inscription</t>
  </si>
  <si>
    <t>f0511575</t>
  </si>
  <si>
    <t>43aeabad</t>
  </si>
  <si>
    <t>Fermeture provisoire jusqu'au 23 janvier 2022. Cf. mail envoyé par Madame MARAPA le 13/01/2022.</t>
  </si>
  <si>
    <t>c2ea329a</t>
  </si>
  <si>
    <t>Question au sujet de la tarification TDS</t>
  </si>
  <si>
    <t>8564290d</t>
  </si>
  <si>
    <t>3 panneaux - Cf. mail envoyé par Mme MOUREAUX le 28 décembre 2021</t>
  </si>
  <si>
    <t>38b7248f</t>
  </si>
  <si>
    <t>fermeture définitive en cours pour le meublé de tourisme, M. KERBIDI y habite désormais - courrier de fermeture à compléter envoyé au prestataire le 17/01/2022 - en attente de son retour</t>
  </si>
  <si>
    <t>e3134b03</t>
  </si>
  <si>
    <t>demande mail d'infos classement étoiles</t>
  </si>
  <si>
    <t>22f82872</t>
  </si>
  <si>
    <t>Nouveau presta TDS : entrée plateforme ok // attente validation courrier pour pouvoir l'envoyer!</t>
  </si>
  <si>
    <t>af3d10f3</t>
  </si>
  <si>
    <t>inscription en plateforme ok (visite de M. au bureau le 17/01/2022) // courrier à envoyer qd sera validé</t>
  </si>
  <si>
    <t>64afcf67</t>
  </si>
  <si>
    <t>nouveau prestataire entré le 17/01/2022 : j'ai demandé au presta qu'elle nous envoie son récépissé de déclaration mairie par mail</t>
  </si>
  <si>
    <t>f578ab9b</t>
  </si>
  <si>
    <t>M. COVINDIN avait déjà des panneaux pour sa structure. Ces panneaux ont été enlevés parce qu'il n'était pas dans notre BDD, en travaux et déclaration mairie à faire. M. est passé au bureau ce jour avec ses documents déclaratifs à jour et demande si on peut remettre ses panneaux</t>
  </si>
  <si>
    <t>6a57f617</t>
  </si>
  <si>
    <t>demande info pour avoir une poubelle sup pour son hébergement</t>
  </si>
  <si>
    <t>69e7064d</t>
  </si>
  <si>
    <t>La fiche établissement est à mettre à jour sur reunion.fr</t>
  </si>
  <si>
    <t>6ee58167</t>
  </si>
  <si>
    <t>Souhaite que Mélodie la rappelle pour parler de la TDS</t>
  </si>
  <si>
    <t>957a6175</t>
  </si>
  <si>
    <t>Demande d'infos reversements</t>
  </si>
  <si>
    <t>90770473</t>
  </si>
  <si>
    <t>renouvellement de classement en cours pour "La Kaz à Mélina 2"</t>
  </si>
  <si>
    <t>60bc04ef</t>
  </si>
  <si>
    <t>mise en location bail longue durée de Kaz à Mélina 1</t>
  </si>
  <si>
    <t>0fce0cf8</t>
  </si>
  <si>
    <t>Cette demande d'inscription SIT a été envoyée par mail par Clément en date du 18 décembre 2020</t>
  </si>
  <si>
    <t>84169222</t>
  </si>
  <si>
    <t>Le 20/01/2022, le formulaire d'inscription SIT a été envoyé par mail à Mme Bègue</t>
  </si>
  <si>
    <t>36550f0f</t>
  </si>
  <si>
    <t>nous a contacté par téléphone pour ajout // je lui ai demandé de nous envoyer son récepissé mairie par mail</t>
  </si>
  <si>
    <t>57c9a917</t>
  </si>
  <si>
    <t>ajout TDS - nouveau prestataire</t>
  </si>
  <si>
    <t>390d9512</t>
  </si>
  <si>
    <t>changement de nom : mail reçu sur TDS anciennement "Chez Patrick et Maryline", nouveau nom "Villa des Calistémons"</t>
  </si>
  <si>
    <t>828efae6</t>
  </si>
  <si>
    <t>Fermeture définitive du meublé</t>
  </si>
  <si>
    <t>247bba4b</t>
  </si>
  <si>
    <t>Fabien souhaite être mis en relation avec les autres hébergements de son quartier pour proposer des prestations de massages.</t>
  </si>
  <si>
    <t>507cf739</t>
  </si>
  <si>
    <t>modification du nom de l'hébergement sur la plateforme + demande si elle doit informer la mairie</t>
  </si>
  <si>
    <t>9efd142d</t>
  </si>
  <si>
    <t>Nouvelle demande d'inscription SIT</t>
  </si>
  <si>
    <t>2ce4a52d</t>
  </si>
  <si>
    <t>Le 25/01/2022, M. LEBON a informé par téléphone qu'il souhaitait avoir un accompagnement TDS</t>
  </si>
  <si>
    <t>12e43fa9</t>
  </si>
  <si>
    <t>Mr Maréchal est passé ce matin en office à BM et il aimerait une attestation de référencement.</t>
  </si>
  <si>
    <t>278be7af</t>
  </si>
  <si>
    <t>Son numéro de sirene correspond à de la location permanente, il faut qu'il le fasse modifier en hébergement touristique</t>
  </si>
  <si>
    <t>8e1f4b0c</t>
  </si>
  <si>
    <t>nouveau presta : a indiqué lors de sa déclaration en mairie qu'elle souhaitait entrer en SIT</t>
  </si>
  <si>
    <t>d88589c3</t>
  </si>
  <si>
    <t>nouveau presta (matrice mairie St-Jo)</t>
  </si>
  <si>
    <t>bfc0fae5</t>
  </si>
  <si>
    <t>nouveau presta</t>
  </si>
  <si>
    <t>75327b17</t>
  </si>
  <si>
    <t>nouveau presta, panneau demandé lors de sa déclaration d'ouverture en mairie</t>
  </si>
  <si>
    <t>16bba5ca</t>
  </si>
  <si>
    <t>ajout en plateforme</t>
  </si>
  <si>
    <t>85670018</t>
  </si>
  <si>
    <t>b2fff76d</t>
  </si>
  <si>
    <t>Nouveau prestataire dont l'établissement n'est pas encore enregistré sur la plateforme TDS</t>
  </si>
  <si>
    <t>ab9f50d0</t>
  </si>
  <si>
    <t>9f7ae0e4</t>
  </si>
  <si>
    <t>Nouveau prestataire dont l'établissement n'est pas référencé sur la plateforme TDS</t>
  </si>
  <si>
    <t>5770794d</t>
  </si>
  <si>
    <t>M. est passé déposer sa déclaration à 0</t>
  </si>
  <si>
    <t>6d78dd31</t>
  </si>
  <si>
    <t>f2b5ef04</t>
  </si>
  <si>
    <t>Nouveau prestataire dont l'établissement n'est pas enregistré sur la plateforme TDS</t>
  </si>
  <si>
    <t>e3943b23</t>
  </si>
  <si>
    <t>Le 08/02/2022, Madame VALROMEX est passée au bureau pour le règlement de la taxe de séjour.</t>
  </si>
  <si>
    <t>7a271840</t>
  </si>
  <si>
    <t>063c52fc</t>
  </si>
  <si>
    <t>Première demande</t>
  </si>
  <si>
    <t>95b07e6e</t>
  </si>
  <si>
    <t>aa9ba90d</t>
  </si>
  <si>
    <t>2bb689b9</t>
  </si>
  <si>
    <t>MadameJolivet a contacté le BIT de l'E pr dire qu'elle n'avait pas reçu les infos pour Entre Ker, j'ai recontacté, répondeur, message laissé pour vérifié le mail.</t>
  </si>
  <si>
    <t>a5014bbb</t>
  </si>
  <si>
    <t>Demande de vérification de son adresse mail</t>
  </si>
  <si>
    <t>2dd1d4ea</t>
  </si>
  <si>
    <t>8c806b96</t>
  </si>
  <si>
    <t>58c07443</t>
  </si>
  <si>
    <t>58934d4c</t>
  </si>
  <si>
    <t>e96d6f53</t>
  </si>
  <si>
    <t>Nouvelle demande indiquée lors de mon appel téléphonique du 11/02/2022</t>
  </si>
  <si>
    <t>fb46f76d</t>
  </si>
  <si>
    <t>02fabdb1</t>
  </si>
  <si>
    <t>Contacter la conciergerie Billikers pour s'assurer qu'elle fournisse les documents de CERFA/ SIRENE et Classement à Madame ABLANCOURT</t>
  </si>
  <si>
    <t>a7f222d5</t>
  </si>
  <si>
    <t>Mélodie merci de voir avec l'agence Billikers pour le reversement de la TDS</t>
  </si>
  <si>
    <t>2a4607a0</t>
  </si>
  <si>
    <t>Souhaite des infos sur l'intergénérationnel</t>
  </si>
  <si>
    <t>eac32469</t>
  </si>
  <si>
    <t>Madame a besoin de visibilité, nouvel établissement, voir avec Billikers pour les droits. 
CERFA a récupérer / SIRENE en cours/ TDS requête pour ML créee/ page fb en cours de création we du 12 février</t>
  </si>
  <si>
    <t>2e94b96a</t>
  </si>
  <si>
    <t>Visite à caler pour tout caler</t>
  </si>
  <si>
    <t>936f7d62</t>
  </si>
  <si>
    <t>85ed27a7</t>
  </si>
  <si>
    <t>N'avait pas reçu le formulaire pnr (m'a écrit pas messenger)</t>
  </si>
  <si>
    <t>7751a5ce</t>
  </si>
  <si>
    <t>Fabien souhaite partager les liens de son activité sur le groupe fb privé pro pour se faire du réseau</t>
  </si>
  <si>
    <t>a6cb9261</t>
  </si>
  <si>
    <t>demande de visite</t>
  </si>
  <si>
    <t>4ab3c31c</t>
  </si>
  <si>
    <t>68a10ab4</t>
  </si>
  <si>
    <t>Nouveau prestataire sur grande ferme qui demande ses panneaux</t>
  </si>
  <si>
    <t>76c1daf6</t>
  </si>
  <si>
    <t>Le 14/02/2022, Madame LENORMAND a appelé pour informer que la plateforme TDS indique que son hébergement était fermé au mois de novembre 2021. Cependant, son hébergement était ouvert pendant cette période.</t>
  </si>
  <si>
    <t>0b5367d8</t>
  </si>
  <si>
    <t>81801dfa</t>
  </si>
  <si>
    <t>Mail du 16 : ne fait plus de loc sais, mail de courrier de fermeture déf envoyé, il faudra cloturer dès récetion merci</t>
  </si>
  <si>
    <t>ac49eddf</t>
  </si>
  <si>
    <t>Ne fait plus de loc sais. Courrier type emailé le 16/02 avant désactivation dans la plateforme tds</t>
  </si>
  <si>
    <t>89c1c9e9</t>
  </si>
  <si>
    <t>Le 16/02/2022, M. BORGA a informé par téléphone qu'il ne faisait plus de la location saisonnière depuis un moment. Il a indiqué qu'il avait déjà appelé plusieurs fois à ce sujet.</t>
  </si>
  <si>
    <t>a5cc8cb8</t>
  </si>
  <si>
    <t>Fermeture jusque fin mars environ, à recontacter par la suite</t>
  </si>
  <si>
    <t>b7ee7655</t>
  </si>
  <si>
    <t>Cet établissement n'est pas référencé sur la plateforme TDS</t>
  </si>
  <si>
    <t>950a22cd</t>
  </si>
  <si>
    <t>La fiche de cet établissement est à revoir.</t>
  </si>
  <si>
    <t>9baf58e2</t>
  </si>
  <si>
    <t>Madame SMITH souhaite avoir une aide pour se connecter à la plateforme TDS. Ce prestataire sera en voyage du 1er mars 2022 au 2 avril 2022. De ce fait, Madame SMITH demande à être contactée de préférence avant le 1er mars 2022 ou après le 02 avril 2022.</t>
  </si>
  <si>
    <t>f73f4987</t>
  </si>
  <si>
    <t>ea3db26a</t>
  </si>
  <si>
    <t>Mme Jolivet souhaiterai un prospectus qui lui donnerai plus de visibilité pour les vacanciers notamment sur l'emplacement de son atelier qui est un peu caché.
Remarque : mécontentement car elle n'a pas été invité au derniers artisanal sur l'Entre Deux</t>
  </si>
  <si>
    <t>6fcca7fb</t>
  </si>
  <si>
    <t>Mme Severin souhaiterai ajouter des photos afin que les touristes visualise mieux ce qu'elle propose comme activité</t>
  </si>
  <si>
    <t>eaa386b3</t>
  </si>
  <si>
    <t>adresse : 11 A Route du Bras Long
enlever  le lieu dit la Mare,
modif horaire : Jeudi 9h-12h / 13h30-16h</t>
  </si>
  <si>
    <t>0cf4359f</t>
  </si>
  <si>
    <t>Le prestataire souhaite être recontacté pour fixer un rendez-vous afin de l'aider à compléter sa dernière déclaration.</t>
  </si>
  <si>
    <t>540018cb</t>
  </si>
  <si>
    <t>Madame CADET a appelé pour savoir comment faire pour avoir un panneau. Le prestataire a indiqué que sa demande date de 2018.</t>
  </si>
  <si>
    <t>e7c07ac9</t>
  </si>
  <si>
    <t>Relance signalétique. Madame LEBRETON attend son panneau depuis le mois de janvier 2022. Madame LEBRETON m'a envoyée un SMS le 02/03/2022. Ce message a été relayé sur le canal BtoB de SLACK.</t>
  </si>
  <si>
    <t>d62d7043</t>
  </si>
  <si>
    <t>de268746</t>
  </si>
  <si>
    <t>51ef6d2d</t>
  </si>
  <si>
    <t>2c40f724</t>
  </si>
  <si>
    <t>d6fbbd4f</t>
  </si>
  <si>
    <t>Le 14/03/2022, j'ai appelé Madame PAYET pour faire le point au sujet la fiche de son établissement.</t>
  </si>
  <si>
    <t>0c6e4808</t>
  </si>
  <si>
    <t>adeba154</t>
  </si>
  <si>
    <t>Mise en relation avec le/la référent(e) pour la marque esprit Parc</t>
  </si>
  <si>
    <t>471c1a5b</t>
  </si>
  <si>
    <t>f8ef1b22</t>
  </si>
  <si>
    <t>e82bc84b</t>
  </si>
  <si>
    <t>Nouvel hébergeur sur Bois Court, il faut créer ses codes et les envoyer</t>
  </si>
  <si>
    <t>eba7ab7c</t>
  </si>
  <si>
    <t>La fiche de cet établissement est à revoir</t>
  </si>
  <si>
    <t>2c585c08</t>
  </si>
  <si>
    <t>Madame FONTAINE a souhaité avoir des informations concernant la déclaration en mairie et le numéro SIRET</t>
  </si>
  <si>
    <t>82a45a0c</t>
  </si>
  <si>
    <t>d33ce9b7</t>
  </si>
  <si>
    <t>La fiche de cet établissement est à revoir : - le numéro de portable est à modifier ;
- 0 photo en ligne ; 
- Les horaires sont à changer.</t>
  </si>
  <si>
    <t>b741790c</t>
  </si>
  <si>
    <t>Mail de demande de rappel téléphonique envoyée par Émilie le 23 mars 2022.</t>
  </si>
  <si>
    <t>830c88d6</t>
  </si>
  <si>
    <t>Larissa a envoyé mail de Belmas demandant ce qui va se passer avec son panneau arraché</t>
  </si>
  <si>
    <t>83cfa187</t>
  </si>
  <si>
    <t>Souhaite une promotion</t>
  </si>
  <si>
    <t>1e6d8a93</t>
  </si>
  <si>
    <t>Souhaite être visible sur reunion.fr</t>
  </si>
  <si>
    <t>506a3a2e</t>
  </si>
  <si>
    <t>Souhaite avoir des infos</t>
  </si>
  <si>
    <t>476c9fc8</t>
  </si>
  <si>
    <t>Demande de référencement</t>
  </si>
  <si>
    <t>bd324a7a</t>
  </si>
  <si>
    <t>Nouvelle demande de référencement</t>
  </si>
  <si>
    <t>8daac08b</t>
  </si>
  <si>
    <t>Monsieur Pierrot GRONDIN est passé au bureau le 07 avril 2022 pour remettre sa déclaration de la taxe de séjour sous format papier pour le mois de mars 2022.</t>
  </si>
  <si>
    <t>22e7600e</t>
  </si>
  <si>
    <t>77985a3f</t>
  </si>
  <si>
    <t>Demande d'envoi du courrier type pour informer de la fermeture de son établissement.</t>
  </si>
  <si>
    <t>497696de</t>
  </si>
  <si>
    <t>Nouveau prestataire dont l'établissement n'est pas référencé sur la plateforme TDS.</t>
  </si>
  <si>
    <t>46fb6aab</t>
  </si>
  <si>
    <t>34ce4d51</t>
  </si>
  <si>
    <t>Nouveau prestataire à enregistrer sur la plateforme TDS</t>
  </si>
  <si>
    <t>038bf0c3</t>
  </si>
  <si>
    <t>9ec07728</t>
  </si>
  <si>
    <t>La fiche de cet établissement est à revoir sur www.reunion.fr. Le 14 avril 2022, j'ai appelé le prestataire pour faire le point au sujet de la fiche de son établissement. Ensuite, j'ai envoyé un courriel à Monsieur FONTANAUD.</t>
  </si>
  <si>
    <t>18513445</t>
  </si>
  <si>
    <t>A créé sa page fb à ce nom, tout ok merci</t>
  </si>
  <si>
    <t>288ca126</t>
  </si>
  <si>
    <t>La fiche de cet établissement est à mettre à jour sur le site de l'IRT.</t>
  </si>
  <si>
    <t>663530da</t>
  </si>
  <si>
    <t>3fa7d76c</t>
  </si>
  <si>
    <t>d993c0bb</t>
  </si>
  <si>
    <t>44d2b999</t>
  </si>
  <si>
    <t>Monsieur KINDLER souhaite avoir une attestation OTI. Cette demande a été envoyée par mail en date du 23 avril 2022.</t>
  </si>
  <si>
    <t>61e6daff</t>
  </si>
  <si>
    <t>d27da226</t>
  </si>
  <si>
    <t>590fe633</t>
  </si>
  <si>
    <t>0a835d92</t>
  </si>
  <si>
    <t>Monsieur Pierrot GRONDIN est passé au bureau le 02 mai 2022 pour remettre sa déclaration de la taxe de séjour sous format papier pour le mois dernier (avril 2022).</t>
  </si>
  <si>
    <t>686fef46</t>
  </si>
  <si>
    <t>La fiche de cet établissement n'est pas à jour sur SOUBIK (l'adresse et le numéro de téléphone sont à modifier). De plus, actuellement, il y a seulement deux photos en ligne sur le site de l'IRT.</t>
  </si>
  <si>
    <t>e80d37f6</t>
  </si>
  <si>
    <t>A signalé par téléphone qu'elle est intéressée par le SIT, doit nous envoyer ses documents une fois qu'elle aura obtenu son SIRET (en cours)</t>
  </si>
  <si>
    <t>1eae919b</t>
  </si>
  <si>
    <t>Doit aller changer le nom de propriétaire en mairie, nous tiendra informés du changement. Passera au nom de même Payet (son épouse)</t>
  </si>
  <si>
    <t>d760aaec</t>
  </si>
  <si>
    <t>b12e4826</t>
  </si>
  <si>
    <t>Ajout plateforme ok effectué par Annabelle, mais n'a pas encore activé son compte et n'a pas reçu son courrier d'activation : envoi par mail effectué le 06/05/22 + courrier postal</t>
  </si>
  <si>
    <t>371ee68f</t>
  </si>
  <si>
    <t>envoi du courrier de fermeture définitive au prestataire le 10/05/2022</t>
  </si>
  <si>
    <t>96cd8d04</t>
  </si>
  <si>
    <t>Presta issu des courriers CASUD / Déclaration mairie à faire + impôts // location uniquement via Airbnb
Message passé à AM pour mail de bienvenue (10/05/2022)</t>
  </si>
  <si>
    <t>58a0c363</t>
  </si>
  <si>
    <t>Entrée TDS à faire</t>
  </si>
  <si>
    <t>115a0913</t>
  </si>
  <si>
    <t>mail reçu plateforme TDS : période de fermeture temporaire à renseigner</t>
  </si>
  <si>
    <t>3c8c453f</t>
  </si>
  <si>
    <t>à faire entrer en plateforme, attente doc mairie</t>
  </si>
  <si>
    <t>5779ab80</t>
  </si>
  <si>
    <t>déclaration d'avril pas validée jusqu'au bout</t>
  </si>
  <si>
    <t>f624f391</t>
  </si>
  <si>
    <t>Question sur les exonérations (mail TDS)</t>
  </si>
  <si>
    <t>9f7bbcd8</t>
  </si>
  <si>
    <t>Aide à la télédéclaration (mail pro)</t>
  </si>
  <si>
    <t>3b045717</t>
  </si>
  <si>
    <t>5c5805f1</t>
  </si>
  <si>
    <t>Le prestataire a appelé le 16 mai 2022 pour bénéficier d'une aide pour la modification de la déclaration du mois dernier.</t>
  </si>
  <si>
    <t>675b1b43</t>
  </si>
  <si>
    <t>c3c31159</t>
  </si>
  <si>
    <t>4e8ab288</t>
  </si>
  <si>
    <t>Le 17 mai 2022, Madame APOSTIN a appelé car elle n'arrive pas à effectuer le paiement de la TDS (par carte bancaire). Le prestataire a également envoyé un mail (à l'adresse : prestataires@otisud.com) pour informer qu'elle n'arrive toujours pas à finaliser le paiement de la TDS en ligne.</t>
  </si>
  <si>
    <t>b516dd8e</t>
  </si>
  <si>
    <t>déclarations manquantes</t>
  </si>
  <si>
    <t>1fbc34ba</t>
  </si>
  <si>
    <t>mise à jour de certains éléments</t>
  </si>
  <si>
    <t>fddb718c</t>
  </si>
  <si>
    <t>souhaite une promo FB mais démarches en cours (SIRET) - à recontacter pour faire le point d'ici le mois de juin</t>
  </si>
  <si>
    <t>e42de4bf</t>
  </si>
  <si>
    <t>souhaite une promo mais démarches en cours (SIRET) - à recontacter pour faire le point d'ici le mois de juin</t>
  </si>
  <si>
    <t>abed8efd</t>
  </si>
  <si>
    <t>Demande des infos (quelles démarches administratives??) pour l'ouverture de son jardin atypique au public (visites guidées, éco jardin avec récupération de matériaux, récupération de l'eau de pluie...) + projet d'activités autour du jardinage (ateliers)</t>
  </si>
  <si>
    <t>13fb5819</t>
  </si>
  <si>
    <t>voir si M. Leveneur serait intéressé, mais ses démarches sont en cours pour obtenir un SIRET, donc à voir par la suite : faire le point avec lui d'ici mi-juin</t>
  </si>
  <si>
    <t>f7cbee24</t>
  </si>
  <si>
    <t>modification de déclaration</t>
  </si>
  <si>
    <t>d01d582c</t>
  </si>
  <si>
    <t>fermeture indiquée par mail (plateforme TDS) alors que l'hébergement avait été noté comme étant ouvert lors du phoning en août 2021. 
"Bonjour
après plusieurs appels, je vois que des mails me rappelant la taxe de séjours apparaissent. 
J'ai déjà prévenu de la fermeture de la structure CASE D'AMELIE depuis presque 2 ans
vous remerciant d'en tenir compte"</t>
  </si>
  <si>
    <t>07d2eaa5</t>
  </si>
  <si>
    <t>signalement de sa fermeture</t>
  </si>
  <si>
    <t>c51a3bd7</t>
  </si>
  <si>
    <t>La fiche de cet établissement est à mettre à jour sur SOUBIK. Tout d'abord, j'ai appelé le prestataire pour faire le point au sujet de la fiche de son établissement. Ensuite, j'ai envoyé un courriel à Monsieur PREVEL.</t>
  </si>
  <si>
    <t>9904366c</t>
  </si>
  <si>
    <t>Nouvelle demande de référencement.</t>
  </si>
  <si>
    <t>21e68eb5</t>
  </si>
  <si>
    <t>Demande d'attestation prestataire OTI envoyée par mail</t>
  </si>
  <si>
    <t>4ed5da22</t>
  </si>
  <si>
    <t>Cet établissement n'est pas référencé sur la plateforme de la taxe de séjour. Il est à noter que la date de début d'activité est le 1er juillet 2022.
cf. la déclaration de début d'activité envoyée par mail le 20 mai 2022.</t>
  </si>
  <si>
    <t>0113e6c2</t>
  </si>
  <si>
    <t>Courrier de fermeture définitive envoyé par mail au prestataire en date du 01/06/2022.</t>
  </si>
  <si>
    <t>add67f18</t>
  </si>
  <si>
    <t>La fiche de cet établissement est à modifier sur SOUBIK. Aussi, les photos de cet hébergement ne sont pas visibles sur le site de l'IRT.</t>
  </si>
  <si>
    <t>af3a317f</t>
  </si>
  <si>
    <t>Le prestataire a besoin d'une aide pour la déclaration du mois de mai 2022. Madame LERICHE souhaite être rappelée la semaine prochaine.</t>
  </si>
  <si>
    <t>a31e188c</t>
  </si>
  <si>
    <t>entrée en BDD</t>
  </si>
  <si>
    <t>6fd98d47</t>
  </si>
  <si>
    <t>08d0cf64</t>
  </si>
  <si>
    <t>A créer : en gestion sous "séjour de rêve"</t>
  </si>
  <si>
    <t>af8215ed</t>
  </si>
  <si>
    <t>4170a270</t>
  </si>
  <si>
    <t>A créer sous gestion "séjour de rêve"</t>
  </si>
  <si>
    <t>f0953ee0</t>
  </si>
  <si>
    <t>demande de référencement SIT</t>
  </si>
  <si>
    <t>fe814e2f</t>
  </si>
  <si>
    <t>hébergement labellisé GDF : n'apparait pas sur le site sudreuniontourisme</t>
  </si>
  <si>
    <t>387ae3db</t>
  </si>
  <si>
    <t>souhaite une promo FB</t>
  </si>
  <si>
    <t>f5ef7fc5</t>
  </si>
  <si>
    <t>ce prestataire a été fermé dans la BDD alors qu'il est ouvert!</t>
  </si>
  <si>
    <t>f218742a</t>
  </si>
  <si>
    <t>demande d'infos classement étoile (coordonnées organismes à envoyer)</t>
  </si>
  <si>
    <t>f633a31e</t>
  </si>
  <si>
    <t>Le 08/06/22 M. LAO YEC déclare que ses panneaux ont été enlevés</t>
  </si>
  <si>
    <t>9a663bfb</t>
  </si>
  <si>
    <t>ouverture de compte</t>
  </si>
  <si>
    <t>860bca1e</t>
  </si>
  <si>
    <t>Demande d'aide à l'activation de compte</t>
  </si>
  <si>
    <t>4a7e33cf</t>
  </si>
  <si>
    <t>Hébergeur connu - Nouvel établissement 5 étoiles à rentrer en plateforme tds (j'ai demandé l'attestation de classement, je rajouterai)</t>
  </si>
  <si>
    <t>1f0ce227</t>
  </si>
  <si>
    <t>A créer : sous gestion "séjour de rêve"</t>
  </si>
  <si>
    <t>896f0dfe</t>
  </si>
  <si>
    <t>cbc17c24</t>
  </si>
  <si>
    <t>Le prestataire a appelé le lundi 13 juin 2022 pour avoir un accompagnement TDS.</t>
  </si>
  <si>
    <t>ff3c8f51</t>
  </si>
  <si>
    <t>0f41994f</t>
  </si>
  <si>
    <t>nouvelle structure sous gestion "SEV Location Pro" - contact Mme Jenaha</t>
  </si>
  <si>
    <t>c384d5ce</t>
  </si>
  <si>
    <t>a faire entrer en plateforme sous gestion agence immo SEV Location Pro</t>
  </si>
  <si>
    <t>fd17136a</t>
  </si>
  <si>
    <t>5ccbd453</t>
  </si>
  <si>
    <t>Aide pour le paiement de la taxe de séjour</t>
  </si>
  <si>
    <t>d9ff7f88</t>
  </si>
  <si>
    <t>Nouveau presta à enregistrer dans la plateforme et accompagner pour le démarrage merci</t>
  </si>
  <si>
    <t>8fb26580</t>
  </si>
  <si>
    <t>Madame BOYER a appelé le 14 juin 2022 pour avoir une aide afin de déclarer la taxe de séjour.</t>
  </si>
  <si>
    <t>c67e9e7e</t>
  </si>
  <si>
    <t>Mme JENAHA : demande d'aide à la télédéclaration</t>
  </si>
  <si>
    <t>9a3944c3</t>
  </si>
  <si>
    <t>eef25fb0</t>
  </si>
  <si>
    <t>681ed530</t>
  </si>
  <si>
    <t>Monsieur Roger MUSSARD a appelé le 16 juin 2022 à 11h55 car il a besoin d'une aide pour faire les deux dernières déclarations.</t>
  </si>
  <si>
    <t>3c3ad4ed</t>
  </si>
  <si>
    <t>classement en 3 étoiles</t>
  </si>
  <si>
    <t>4fc3db2a</t>
  </si>
  <si>
    <t>classement en 3 étoiles  : tarification a modifier</t>
  </si>
  <si>
    <t>d272dc09</t>
  </si>
  <si>
    <t>classement arrivé à échéance</t>
  </si>
  <si>
    <t>e5debce3</t>
  </si>
  <si>
    <t>M. PAYET "Séjour de rêve" : aide à la télédéclaration</t>
  </si>
  <si>
    <t>1a5fc846</t>
  </si>
  <si>
    <t>e7997a19</t>
  </si>
  <si>
    <t>projet de réouvrir la kaz a melina 1 au 1er juillet, reviendra vers nous une fois que l'ouverture mairie sera faite</t>
  </si>
  <si>
    <t>7339b78c</t>
  </si>
  <si>
    <t>Mme JENAHA : accompagnement télédéclaration / suppression de ses déclarations à sa demande car elle a oublié d'y joindre les justificatifs</t>
  </si>
  <si>
    <t>edb0c18e</t>
  </si>
  <si>
    <t>fermeture pour travaux : mai 2022 à mai 2023</t>
  </si>
  <si>
    <t>91c2f520</t>
  </si>
  <si>
    <t>déclaration papier du mois d'avril à enregistrer en plateforme</t>
  </si>
  <si>
    <t>decefa3c</t>
  </si>
  <si>
    <t>fermeture provisoire : mai 2022 à mai 2023</t>
  </si>
  <si>
    <t>6099b3ee</t>
  </si>
  <si>
    <t>modification des adresses postales</t>
  </si>
  <si>
    <t>f6ab430e</t>
  </si>
  <si>
    <t>mail reçu sur plateforme TDS pour modification des adresses postales</t>
  </si>
  <si>
    <t>a037792c</t>
  </si>
  <si>
    <t>(mail TDS) annonce que la chambre d'hôtes les zakacias est toujours en fermeture temporaire et va peut être réouvrir pour les prochaines vacances + demande de modification de mail</t>
  </si>
  <si>
    <t>64583bce</t>
  </si>
  <si>
    <t>modification de mail</t>
  </si>
  <si>
    <t>30af2e8d</t>
  </si>
  <si>
    <t>488cff05</t>
  </si>
  <si>
    <t>déclarations papier déposées au bureau : mai et juin 2022 - à enregistrer</t>
  </si>
  <si>
    <t>76cb5957</t>
  </si>
  <si>
    <t>nouvelle demande</t>
  </si>
  <si>
    <t>7af865d6</t>
  </si>
  <si>
    <t>fermeture d'hébergement</t>
  </si>
  <si>
    <t>dce0a39d</t>
  </si>
  <si>
    <t>fermeture définitive</t>
  </si>
  <si>
    <t>eae45e10</t>
  </si>
  <si>
    <t>fermeture définitive : récetion courrier le 27/06/2022</t>
  </si>
  <si>
    <t>8e8183c4</t>
  </si>
  <si>
    <t>signalement (mail plateforme) fermeture définitive à venir (juillet 2022)</t>
  </si>
  <si>
    <t>0afad168</t>
  </si>
  <si>
    <t>fermeture définitive signalée pour juillet 2022 (mail plateforme)</t>
  </si>
  <si>
    <t>5c9b17a7</t>
  </si>
  <si>
    <t>ed6c17b3</t>
  </si>
  <si>
    <t>0e3887eb</t>
  </si>
  <si>
    <t>obtention d'un classement 4 étoiles juin 2022</t>
  </si>
  <si>
    <t>e9e21185</t>
  </si>
  <si>
    <t>changement tarification : classement 4 étoiles</t>
  </si>
  <si>
    <t>7b7493b4</t>
  </si>
  <si>
    <t>fermeture temporaire signalée par mail du 23 mai au 6 juillet 2022</t>
  </si>
  <si>
    <t>9e5a2782</t>
  </si>
  <si>
    <t>Annonce les dates suivantes : fermeture juin 2022 // puis fermeture du 28 août 2022 au 31 août 2023</t>
  </si>
  <si>
    <t>d493b898</t>
  </si>
  <si>
    <t>Demande d'accompagnement pour déclarer la taxe de séjour. Il s'agit de la déclaration du mois de juin 2022.</t>
  </si>
  <si>
    <t>6819ed47</t>
  </si>
  <si>
    <t>59be7073</t>
  </si>
  <si>
    <t>Accompagnement à la télédéclaration suite à un mail reçu sur la plateforme</t>
  </si>
  <si>
    <t>aa145b87</t>
  </si>
  <si>
    <t>Question au sujet du renouvellement de classement étoile et de la tarification TDS / Classement 3 étoiles prend fin en juillet 2022 / renouvellement en cours</t>
  </si>
  <si>
    <t>13ad6a11</t>
  </si>
  <si>
    <t>5aeb9f7c</t>
  </si>
  <si>
    <t>fermeture de l'hébergement à faire</t>
  </si>
  <si>
    <t>f2b98005</t>
  </si>
  <si>
    <t>pb technique plateforme TDS</t>
  </si>
  <si>
    <t>d15d313e</t>
  </si>
  <si>
    <t>PB technique plateforme déclaration de juin : registre ouvert alors que le presta doit avoir accès à la déclaration globale (tarif fixe)</t>
  </si>
  <si>
    <t>fd06d404</t>
  </si>
  <si>
    <t>enregistrement de fermeture temporaire jusqu'à décembre 2022</t>
  </si>
  <si>
    <t>74740472</t>
  </si>
  <si>
    <t>Besoin d'aide pour sa déclaration de juin</t>
  </si>
  <si>
    <t>de83dc15</t>
  </si>
  <si>
    <t>signalement fermeture temporaire juin 2022</t>
  </si>
  <si>
    <t>1c7c36d5</t>
  </si>
  <si>
    <t>mail du lundi 18/07/2022</t>
  </si>
  <si>
    <t>07f02232</t>
  </si>
  <si>
    <t>Problème de connexion plateforme</t>
  </si>
  <si>
    <t>8593c4b4</t>
  </si>
  <si>
    <t>fermeture définitive à partir du 31/08/2022 : déclarations à faire avant fermeture sur plateforme</t>
  </si>
  <si>
    <t>d6ec22db</t>
  </si>
  <si>
    <t>fermeture définitive à partir du 31/08/2022</t>
  </si>
  <si>
    <t>3c05f4be</t>
  </si>
  <si>
    <t>mail reçu plateforme TDS pour fermeture définitive</t>
  </si>
  <si>
    <t>6c843cd9</t>
  </si>
  <si>
    <t>fermeture définitive annoncée par mail</t>
  </si>
  <si>
    <t>9c64f718</t>
  </si>
  <si>
    <t>bff38944</t>
  </si>
  <si>
    <t>attribution d'un classement 3 étoiles</t>
  </si>
  <si>
    <t>1e704f28</t>
  </si>
  <si>
    <t>attribution classement 3 étoiles</t>
  </si>
  <si>
    <t>fc068c0c</t>
  </si>
  <si>
    <t>Madame PERETTI souhaite être rappelée au 0.692.60.48.46 par Mélodie.</t>
  </si>
  <si>
    <t>3ff604b5</t>
  </si>
  <si>
    <t>Questions à propos des opérateurs numériques.</t>
  </si>
  <si>
    <t>577388a1</t>
  </si>
  <si>
    <t>nouveau presta TDS</t>
  </si>
  <si>
    <t>0f0bec66</t>
  </si>
  <si>
    <t>ajout dans bertel</t>
  </si>
  <si>
    <t>29f10167</t>
  </si>
  <si>
    <t>indique que son établissement est en travaux et ne reçoit donc pas de clients</t>
  </si>
  <si>
    <t>051d1be9</t>
  </si>
  <si>
    <t>Aide pour la déclaration. Au total, trois déclarations sont en attente. Le prestataire souhaite être rappelé au plus vite.</t>
  </si>
  <si>
    <t>5ad42e61</t>
  </si>
  <si>
    <t>Il manque les documents administratifs pour les hébergements en gestion chez Billikers. ML : mail de demande envoyé le 22 juin 2022</t>
  </si>
  <si>
    <t>f2919d7a</t>
  </si>
  <si>
    <t>0a3edacf</t>
  </si>
  <si>
    <t>f4fb37dc</t>
  </si>
  <si>
    <t>ajout BDD</t>
  </si>
  <si>
    <t>4efed522</t>
  </si>
  <si>
    <t>b6ad9c92</t>
  </si>
  <si>
    <t>Mail reçu sur plateforme : Bonjour, votre plateforme a changé et je ne comprends pas ce que je dois remplir! les séjours chez nous dépassent rarement 1 nuitée, dois-je remplir pour chaque date? c'est beaucoup trop fastidieux quand avant je pouvais remplir par mois. déjà que je le faisais tous les 6 mois c'était plus facile pour moi, mais alors là je ne vois pas comment m'en sortir?</t>
  </si>
  <si>
    <t>0eb7be12</t>
  </si>
  <si>
    <t>Mail reçu sur plateforme : Bonjour, Je souhaite modifier ma déclaration du mois de juillet 2022. Merci de me redonner la main. Cordialement.</t>
  </si>
  <si>
    <t>c69ac252</t>
  </si>
  <si>
    <t>accompagnement à la télédéclaration</t>
  </si>
  <si>
    <t>da71e800</t>
  </si>
  <si>
    <t>mécontente suite au changement sur la plateforme : déclaration sur registre</t>
  </si>
  <si>
    <t>31c45079</t>
  </si>
  <si>
    <t>Modification du classement</t>
  </si>
  <si>
    <t>6290d61d</t>
  </si>
  <si>
    <t>n'a pas de retour de 2B&amp;G qualité malgré des relances pour son attestation de classement</t>
  </si>
  <si>
    <t>f1fb0a30</t>
  </si>
  <si>
    <t>441f430f</t>
  </si>
  <si>
    <t>Fermeture en ligne</t>
  </si>
  <si>
    <t>b3653e39</t>
  </si>
  <si>
    <t>En attente de réception du courrier de fermeture avant désactivation</t>
  </si>
  <si>
    <t>21419d45</t>
  </si>
  <si>
    <t>questions sur la télédéclaration</t>
  </si>
  <si>
    <t>f23a51d3</t>
  </si>
  <si>
    <t>aide a la télédéclaration</t>
  </si>
  <si>
    <t>fb4b3416</t>
  </si>
  <si>
    <t>mail reçu sur plateforme : bonjour pouvez vous me contacter au 06 51 74 01 20 pour déclarer un hébergement .c'est la première fois . (a contacter via la hotline aussi)</t>
  </si>
  <si>
    <t>0b33de57</t>
  </si>
  <si>
    <t>mail reçu sur plateforme : Bonjour j'ai déjà fait la déclaration de juillet 2022 depuis le 5 aout et vous me la redemander. une seule location la taxe est de 6.54 euro. est ce un problème de validation?</t>
  </si>
  <si>
    <t>9eb40aa5</t>
  </si>
  <si>
    <t>La fiche de cet établissement est à revoir sur le site de l'IRT.</t>
  </si>
  <si>
    <t>bbcf62b5</t>
  </si>
  <si>
    <t>Ouverture de compte à faire</t>
  </si>
  <si>
    <t>3f660d4b</t>
  </si>
  <si>
    <t>ouverture de compte à faire</t>
  </si>
  <si>
    <t>3991bc9c</t>
  </si>
  <si>
    <t>mail reçu sur plateforme : 
Pour votre information et actualisation de la plateforme, nous vous prions de bien vouloir prendre
connaissance et tenir compte des récentes décisions de classement 2022 de nos structures à Notre Dame de la Paix ;</t>
  </si>
  <si>
    <t>5e224f0d</t>
  </si>
  <si>
    <t>19b58d82</t>
  </si>
  <si>
    <t>1783f13c</t>
  </si>
  <si>
    <t>6322aaf9</t>
  </si>
  <si>
    <t>n'a plus accès à son compte TDS / ne souhaite pas de formation &gt; souhaite faire des déclarations papier</t>
  </si>
  <si>
    <t>5bcfeb2b</t>
  </si>
  <si>
    <t>RDV téléphonique pour inscription bertel fixé au 26/08 à 10h avec ML</t>
  </si>
  <si>
    <t>b6297c46</t>
  </si>
  <si>
    <t>ajout nouveau presta</t>
  </si>
  <si>
    <t>f980bc93</t>
  </si>
  <si>
    <t>mail reçu sur plateforme : 
"bonjour , impossible de saisir les nuitees . le calcul ne se fait pas .. 24 nuitees non exonerees par 0,80 € le montant affiche 528€"</t>
  </si>
  <si>
    <t>e460b825</t>
  </si>
  <si>
    <t>objet de l'appel : Ne veut pas déclarer ses séjours un par un comme il est classé</t>
  </si>
  <si>
    <t>5311f789</t>
  </si>
  <si>
    <t>nouveau</t>
  </si>
  <si>
    <t>2cfb68a2</t>
  </si>
  <si>
    <t>souhaite un post FB, doit nous envoyer des photos</t>
  </si>
  <si>
    <t>a9dc9c2a</t>
  </si>
  <si>
    <t>faire un post FB sur son activité et son partenariat avec l'OTI</t>
  </si>
  <si>
    <t>df6ef926</t>
  </si>
  <si>
    <t>mail reçu sur plateforme :
"Nous fermons définitivement notre location saisonnière à compter du 1er septembre 2022. Quelles démarches dois-je effectuer? "</t>
  </si>
  <si>
    <t>6b399867</t>
  </si>
  <si>
    <t>mail reçu sur plateforme : 
" J'ai démarré la mise en location de mon logement le 27 juillet. Les réservations passent par le plateforme Airbnb qui collecte automatiquement la taxe de séjour. Via ce mail je souhaiterais savoir si ma déclaration pour le mois de juillet est correcte?"</t>
  </si>
  <si>
    <t>92d3eb34</t>
  </si>
  <si>
    <t>demande d'infos sur les labels</t>
  </si>
  <si>
    <t>f7ca021f</t>
  </si>
  <si>
    <t>demande d'infos contacts organismes de classement</t>
  </si>
  <si>
    <t>27712ef6</t>
  </si>
  <si>
    <t>fermeture définitive en attente du reversement dernière période : mai - août 2022</t>
  </si>
  <si>
    <t>f9abefff</t>
  </si>
  <si>
    <t>Appel à faire pour compléter sa fiche</t>
  </si>
  <si>
    <t>74b05216</t>
  </si>
  <si>
    <t>e3b269a8</t>
  </si>
  <si>
    <t>c9cb0b64</t>
  </si>
  <si>
    <t>7afa8dc3</t>
  </si>
  <si>
    <t>déclaration papier du mois de juin à enregistrer en plateforme</t>
  </si>
  <si>
    <t>192fe289</t>
  </si>
  <si>
    <t>déclarations papier déposées au bureau : juillet et aout 2022 - à enregistrer</t>
  </si>
  <si>
    <t>71a3a1c1</t>
  </si>
  <si>
    <t>mail reçu sur plateforme :
Des problèmes  de santé  en ce moment  m'oblige  à reporter  l'ouverture  de la structure  "Les zakacias"
Je resterai fermée  jusqu'au 31 décembre 2022
Si c'est  possible  avant je vous tiens informé.</t>
  </si>
  <si>
    <t>afd1337c</t>
  </si>
  <si>
    <t>fermeture provisoire prolongée au 31 décembre 2022</t>
  </si>
  <si>
    <t>1aed7db4</t>
  </si>
  <si>
    <t>fermeture temporaire en septembre 2022 + infos télédéclaration (étant en voyage elle enregistrera sa déclaration du mois d'août en octobre)</t>
  </si>
  <si>
    <t>8472d28e</t>
  </si>
  <si>
    <t>appel reçu sur la hotline :
Demande documents d'ouverture de compte plateforme TDS</t>
  </si>
  <si>
    <t>6c610a62</t>
  </si>
  <si>
    <t>Cet établissement n'est pas référencé sur la plateforme de la taxe de séjour.</t>
  </si>
  <si>
    <t>f13db4dc</t>
  </si>
  <si>
    <t>Renouvellement classement étoiles</t>
  </si>
  <si>
    <t>470886af</t>
  </si>
  <si>
    <t>e085e788</t>
  </si>
  <si>
    <t>Renouvellement classement 3 étoiles</t>
  </si>
  <si>
    <t>ad5c8605</t>
  </si>
  <si>
    <t>Mail reçu le 04/09 :
Après avoir été tagués peu de temps après leur installation, les panneaux indiquant mon établissement on été tordus puis l’un d’eux vient d’être complètement plié ! Pourriez-vous alerter le service concerné afin qu’ils soient remplacés ? Ceux ci sont situés au croisement de la RN3 et de la rue du général Bonnier.</t>
  </si>
  <si>
    <t>9b64557a</t>
  </si>
  <si>
    <t>Déclaration papier Décembre 2021 à Août 2022</t>
  </si>
  <si>
    <t>b50434f0</t>
  </si>
  <si>
    <t>03a10d1f</t>
  </si>
  <si>
    <t>promo FB à faire une fois qu'elle aura renouvelé ses photos sur sa page (nous tient informés et je referai le point avec elle avant la semaine du 19/09 à ce sujet)</t>
  </si>
  <si>
    <t>585d680c</t>
  </si>
  <si>
    <t>pas de SIREN pour le moment, presta informé du formulaire P0i à remplir</t>
  </si>
  <si>
    <t>0316c03c</t>
  </si>
  <si>
    <t>à faire une fois que sa page FB sera alimentée (nouvelles photos)</t>
  </si>
  <si>
    <t>b73e38a7</t>
  </si>
  <si>
    <t>presta intéressé par un éventuel atelier sur l'utilisation de Facebook</t>
  </si>
  <si>
    <t>19df78bd</t>
  </si>
  <si>
    <t>enlever le numéro de fixe (conserver uniquement le numéro de portable) // site internet à modifier : http://www.lakazamelina.re/</t>
  </si>
  <si>
    <t>23317906</t>
  </si>
  <si>
    <t>Kaz A Melina 1 : réouverture à faire</t>
  </si>
  <si>
    <t>26db9f79</t>
  </si>
  <si>
    <t>réouverture de kaz a melina 1 : document mairie ok + assurance ok // attention pas classé pour le moment mais en projet! à suivre....</t>
  </si>
  <si>
    <t>5ad5916c</t>
  </si>
  <si>
    <t>Mail reçu le 12/09 :
Je vous envoie ce mail afin de vous informer que je ferme définitivement le gîte que j'avais ouvert au 1 Rue de général de Gaulle et qui se dénommait "Studio Volcan".
Pouvez-vous me confirmer que vous avez bien enregistré la fermeture de ce dernier?</t>
  </si>
  <si>
    <t>3f6c8f36</t>
  </si>
  <si>
    <t>Demande de promotion sur Facebook</t>
  </si>
  <si>
    <t>781f3e41</t>
  </si>
  <si>
    <t>Envoie des informations classements</t>
  </si>
  <si>
    <t>108979df</t>
  </si>
  <si>
    <t>Nouveau prestas</t>
  </si>
  <si>
    <t>7ec06a55</t>
  </si>
  <si>
    <t>demande de promo pour les 2 chalets</t>
  </si>
  <si>
    <t>74c0eac4</t>
  </si>
  <si>
    <t>programmation post facebook pour la semaine du 15 octobre 2022 - recontacter le presta avant de publier</t>
  </si>
  <si>
    <t>214e74ed</t>
  </si>
  <si>
    <t>programmation post explore fb : après la semaine du 15 octobre 2022 - voir avec le presta si sa page fb est à jour avant</t>
  </si>
  <si>
    <t>b79547fe</t>
  </si>
  <si>
    <t>siren en cours de modification : erreur au niveau de l'adressage + noms des chalets</t>
  </si>
  <si>
    <t>0d8f651f</t>
  </si>
  <si>
    <t>promo fb à faire</t>
  </si>
  <si>
    <t>f4ce1d26</t>
  </si>
  <si>
    <t>Ouverture de compte</t>
  </si>
  <si>
    <t>69e0c9ec</t>
  </si>
  <si>
    <t>accompagnement à la télédéclaration + activation du registre des séjours</t>
  </si>
  <si>
    <t>a1736c1c</t>
  </si>
  <si>
    <t>Le 15 septembre 2022, Monsieur LEGROS a envoyé un mail à l'adresse prestataires@otisud.com pour avoir une aide afin de faire sa première déclaration de la taxe de séjour. Il est à noter que le prestataire a appelé ce jour-là (cf. le tableau de bord 2022).</t>
  </si>
  <si>
    <t>9917da2f</t>
  </si>
  <si>
    <t>Le prestataire souhaite recevoir les photos prises lors de la visite de son hébergement.</t>
  </si>
  <si>
    <t>be3dc0ec</t>
  </si>
  <si>
    <t>Demande d'attestation prestataire OTI</t>
  </si>
  <si>
    <t>ccbc8537</t>
  </si>
  <si>
    <t>presta intéressé par le classement étoiles</t>
  </si>
  <si>
    <t>8a3b3d3b</t>
  </si>
  <si>
    <t>Hébergement référencé en tant que chambre d'hôtes mais il s'agit d'un hôtel (voir KBIS)
Adresse à modifier</t>
  </si>
  <si>
    <t>8c167c86</t>
  </si>
  <si>
    <t>Demande de promo Facebook</t>
  </si>
  <si>
    <t>e9b6a0e4</t>
  </si>
  <si>
    <t>Ouverture compte à faire</t>
  </si>
  <si>
    <t>cba9139c</t>
  </si>
  <si>
    <t>Information sur la télédéclaration</t>
  </si>
  <si>
    <t>ffde849c</t>
  </si>
  <si>
    <t>Courrier reçu le 20/09</t>
  </si>
  <si>
    <t>da8892bc</t>
  </si>
  <si>
    <t>Courrier fermeture reçu le 20/09</t>
  </si>
  <si>
    <t>aeeca3ad</t>
  </si>
  <si>
    <t>b514c341</t>
  </si>
  <si>
    <t>Fermeture de compte à faire + vérif si déclarations et reversements ok</t>
  </si>
  <si>
    <t>9eb1db64</t>
  </si>
  <si>
    <t>document SIREN en cours</t>
  </si>
  <si>
    <t>dc23e304</t>
  </si>
  <si>
    <t>ouverture TDS</t>
  </si>
  <si>
    <t>76dcb1b9</t>
  </si>
  <si>
    <t>Demande d'aide pour les reversements</t>
  </si>
  <si>
    <t>c5790816</t>
  </si>
  <si>
    <t>ajout plateforme</t>
  </si>
  <si>
    <t>5d6a3dd7</t>
  </si>
  <si>
    <t>fermeture définitive juin 2022</t>
  </si>
  <si>
    <t>47c50c98</t>
  </si>
  <si>
    <t>gestion par néovarim / fermeture définitive à reporter (juin 2022)</t>
  </si>
  <si>
    <t>f0f9500f</t>
  </si>
  <si>
    <t>proposition de référencement SIT</t>
  </si>
  <si>
    <t>72964030</t>
  </si>
  <si>
    <t>2254e4e2</t>
  </si>
  <si>
    <t>9b2f5140</t>
  </si>
  <si>
    <t>demande d'infos</t>
  </si>
  <si>
    <t>425eac42</t>
  </si>
  <si>
    <t>à faire entrer en plateforme : voir si classement étoiles ou pas</t>
  </si>
  <si>
    <t>5cc14260</t>
  </si>
  <si>
    <t>souhaite un post sur la page OTISUD pour les 2 hébergements</t>
  </si>
  <si>
    <t>2a3549e8</t>
  </si>
  <si>
    <t>classement renouvelé</t>
  </si>
  <si>
    <t>75daa69c</t>
  </si>
  <si>
    <t>Fiche établissement à modifier sur SOUBIK (cf. la décision de classement).</t>
  </si>
  <si>
    <t>98c5298c</t>
  </si>
  <si>
    <t>nouvelle structure à référencer</t>
  </si>
  <si>
    <t>d56ad891</t>
  </si>
  <si>
    <t>post à faire</t>
  </si>
  <si>
    <t>99534d59</t>
  </si>
  <si>
    <t>création de fiche</t>
  </si>
  <si>
    <t>e95c0736</t>
  </si>
  <si>
    <t>Madame MAILLOT est venue au bureau le 04 octobre 2022 lors de la réunion d'équipe. Cette dernière souhaite avoir un accompagnement personnalisé.</t>
  </si>
  <si>
    <t>b5c00c7f</t>
  </si>
  <si>
    <t>Le 05 octobre 2022, Monsieur GRONDIN est passé au bureau pour déposer le registre du logeur du mois de septembre 2022.</t>
  </si>
  <si>
    <t>258a31a2</t>
  </si>
  <si>
    <t>La fiche de cet établissement est à modifier sur SOUBIK car le prestataire vient de changer la tarification.</t>
  </si>
  <si>
    <t>c59d152a</t>
  </si>
  <si>
    <t>2cf8770f</t>
  </si>
  <si>
    <t>signale qu'il n'a pas reçu le courrier TDS (mail prestataires)</t>
  </si>
  <si>
    <t>4f70f973</t>
  </si>
  <si>
    <t>accompagnement télédéclaration : suppression de séjour (mail)</t>
  </si>
  <si>
    <t>7d093df4</t>
  </si>
  <si>
    <t>818c850f</t>
  </si>
  <si>
    <t>classé en 3 étoiles</t>
  </si>
  <si>
    <t>94067cc3</t>
  </si>
  <si>
    <t>50c356d7</t>
  </si>
  <si>
    <t>accompagnement Ecolabel Européen</t>
  </si>
  <si>
    <t>b8523317</t>
  </si>
  <si>
    <t>mail reçu le 12/10 : 
Nous vous informons que nous avons cessé notre activité de chambres d'hôtes et l'espace bien être à l'enseigne des Frangipaniers à l'Entre-Deux à compter du 30 septembre 2022. Vous voudrez bien en conséquence nous effacer de la liste des prestataires sur votre site d’information afin de mettre fin à toute demande de réservation.</t>
  </si>
  <si>
    <t>1fdc8d63</t>
  </si>
  <si>
    <t>mail reçu le 12/10 : Nous vous informons que nous avons cessé notre activité de chambres d'hôtes et l'espace bien être à l'enseigne des Frangipaniers à l'Entre-Deux à compter du 30 septembre 2022. Vous voudrez bien en conséquence nous effacer de la liste des prestataires sur votre site d’information afin de mettre fin à toute demande de réservation.</t>
  </si>
  <si>
    <t>43f37b62</t>
  </si>
  <si>
    <t>Fermeture TDS à faire</t>
  </si>
  <si>
    <t>ac949bca</t>
  </si>
  <si>
    <t>2d2148ab</t>
  </si>
  <si>
    <t>La fiche de cet établissement est à modifier sur SOUBIK (cf. la décision de classement envoyée par mail par Madame FORMAN).</t>
  </si>
  <si>
    <t>db2697ad</t>
  </si>
  <si>
    <t>Demande d'attestation prestataire OTI envoyée par mail par Madame GERMAIN le 19 octobre 2022.</t>
  </si>
  <si>
    <t>987edc56</t>
  </si>
  <si>
    <t>Post fb à faire</t>
  </si>
  <si>
    <t>6314c75a</t>
  </si>
  <si>
    <t>Souhaite etre référencée</t>
  </si>
  <si>
    <t>12f30e55</t>
  </si>
  <si>
    <t>fermeture tds</t>
  </si>
  <si>
    <t>0a520c2b</t>
  </si>
  <si>
    <t>Souhaite être référencé</t>
  </si>
  <si>
    <t>14d9f4c2</t>
  </si>
  <si>
    <t>La fiche de cet établissement est à revoir sur SOUBIK.</t>
  </si>
  <si>
    <t>defd3f54</t>
  </si>
  <si>
    <t>9f64aa9b</t>
  </si>
  <si>
    <t>fermeture depuis juin 2021</t>
  </si>
  <si>
    <t>e7f5eff2</t>
  </si>
  <si>
    <t>pb de reversement par CB</t>
  </si>
  <si>
    <t>893daea8</t>
  </si>
  <si>
    <t>Ne connais pas la plateforme, lui envoyer le formulaire pour voir si il souhaite y être référencé</t>
  </si>
  <si>
    <t>541d7abc</t>
  </si>
  <si>
    <t>ouverture à faire</t>
  </si>
  <si>
    <t>bd4fe7b5</t>
  </si>
  <si>
    <t>Souhaite un nouveau panneau</t>
  </si>
  <si>
    <t>2edbfa33</t>
  </si>
  <si>
    <t>Le 31 octobre 2022, Monsieur DALLY a appelé la hotline car il a besoin d'une aide pour enregistrer le nombre de nuitées.</t>
  </si>
  <si>
    <t>d13f66a3</t>
  </si>
  <si>
    <t>classement 1 étoile pour "Méchant!" / report TDS à faire</t>
  </si>
  <si>
    <t>6d68b49f</t>
  </si>
  <si>
    <t>fermeture au 1/11/2022 pour "oiseau de paradis"</t>
  </si>
  <si>
    <t>d4fb0d38</t>
  </si>
  <si>
    <t>fermeture définitive pour "oiseau de paradis" &gt; attendre que la déclaration du mois d'octobre soit faite + reversement période pour pouvoir fermer sur la plateforme</t>
  </si>
  <si>
    <t>04eb82b3</t>
  </si>
  <si>
    <t>problème d'activation de compte</t>
  </si>
  <si>
    <t>4a640539</t>
  </si>
  <si>
    <t>pb de reversement</t>
  </si>
  <si>
    <t>64b53f6d</t>
  </si>
  <si>
    <t>classement étoiles de son hébergement</t>
  </si>
  <si>
    <t>0d5da848</t>
  </si>
  <si>
    <t>classement 2 étoiles à reporter</t>
  </si>
  <si>
    <t>e87209b4</t>
  </si>
  <si>
    <t>pb de déclaration / indique une fermeture</t>
  </si>
  <si>
    <t>a037879f</t>
  </si>
  <si>
    <t>déclaration d'octobre 2022 a enregistrer</t>
  </si>
  <si>
    <t>4ab2b433</t>
  </si>
  <si>
    <t>21f6e31c</t>
  </si>
  <si>
    <t>modification d'une déclaration : juin 2021 logement fermé au lieu de déclaré à 0</t>
  </si>
  <si>
    <t>70fcebd7</t>
  </si>
  <si>
    <t>Demande d'aide à la déclaration et a perdu ses codes d'accès</t>
  </si>
  <si>
    <t>e5fbb5ab</t>
  </si>
  <si>
    <t>demande de dossier inscription</t>
  </si>
  <si>
    <t>f476f8e3</t>
  </si>
  <si>
    <t>ce491c09</t>
  </si>
  <si>
    <t>Message reçu le mardi 08 novembre 2022 suite à l'appel téléphonique de Monsieur DALLY réceptionné par Corentin le lundi 07 novembre 2022 : "aide pour la déclaration de la taxe de séjour".</t>
  </si>
  <si>
    <t>35d01ba6</t>
  </si>
  <si>
    <t>Souhaite avoir une promotion Facebook</t>
  </si>
  <si>
    <t>b75fe5c9</t>
  </si>
  <si>
    <t>envoyer contacts classement</t>
  </si>
  <si>
    <t>c6606519</t>
  </si>
  <si>
    <t>Demande d'attestation OTI envoyée par mail le mardi 08 novembre 2022.</t>
  </si>
  <si>
    <t>3c6d03c6</t>
  </si>
  <si>
    <t>Le 09 novembre 2022, tout d'abord, j'ai appelé le prestataire. Ensuite, j'ai envoyé le formulaire d'adhésion à la plateforme SOUBIK par mail à Monsieur LETOURMY.</t>
  </si>
  <si>
    <t>679c5b09</t>
  </si>
  <si>
    <t>mail reçu le 10/11 : J aurait aimer savoir comment sa ca passer pour avoir les panneaux signalétiques pour ma location svp.</t>
  </si>
  <si>
    <t>169badba</t>
  </si>
  <si>
    <t>a4ed9628</t>
  </si>
  <si>
    <t>a ajouter</t>
  </si>
  <si>
    <t>b5e2c710</t>
  </si>
  <si>
    <t>9f77cda7</t>
  </si>
  <si>
    <t>courrier fermeture à envoyer par mail + fermeture tds à faire</t>
  </si>
  <si>
    <t>94562917</t>
  </si>
  <si>
    <t>demande de post</t>
  </si>
  <si>
    <t>6110dfb2</t>
  </si>
  <si>
    <t>A besoin d'être sur reunion.fr pour etre visivle sur sureuniontourisme</t>
  </si>
  <si>
    <t>92984467</t>
  </si>
  <si>
    <t>Numéro de téléphone à changer : 0692 88 85 70</t>
  </si>
  <si>
    <t>d4fb2405</t>
  </si>
  <si>
    <t>048397a5</t>
  </si>
  <si>
    <t>219df0e2</t>
  </si>
  <si>
    <t>demande post facebook</t>
  </si>
  <si>
    <t>3805e16e</t>
  </si>
  <si>
    <t>Madame PINGUIN a rempli lors de sa déclaration en mairie en 2021 un document stipulant qu'elle souhaitait avoir un panneau, malgré plusieurs relances elle n'a jamais eu de nouvelles.
L'info concernant la nouvelle réglementation lui a été donné (elle a été très compréhensive)</t>
  </si>
  <si>
    <t>5495d8dc</t>
  </si>
  <si>
    <t>envoyer documentation fond tourisme durable + NF environnement</t>
  </si>
  <si>
    <t>daa9a021</t>
  </si>
  <si>
    <t>Interessée par un label</t>
  </si>
  <si>
    <t>2b26dd8f</t>
  </si>
  <si>
    <t>Souhaite un label mais lequel? esprit parc?</t>
  </si>
  <si>
    <t>52412b77</t>
  </si>
  <si>
    <t>souhaite avoir une promotion facebook</t>
  </si>
  <si>
    <t>715298a2</t>
  </si>
  <si>
    <t>souhaite avoir une promotion</t>
  </si>
  <si>
    <t>970dcc5e</t>
  </si>
  <si>
    <t>Sandro nous informe qu'il faudrait modifier sa fiche sur reunion.fr, notamment une histoire de photos.</t>
  </si>
  <si>
    <t>18b6c434</t>
  </si>
  <si>
    <t>Charles a le projet de transformer sa ch d'hôte en mt. Il souhaite qu'on lui rende visite avant la fin d'année.</t>
  </si>
  <si>
    <t>51f81fbc</t>
  </si>
  <si>
    <t>problème de connexion à la plateforme</t>
  </si>
  <si>
    <t>f544eb17</t>
  </si>
  <si>
    <t>demande de RDV au bureau pour aide télédéclaration</t>
  </si>
  <si>
    <t>b5c122ec</t>
  </si>
  <si>
    <t>fauxsse requete</t>
  </si>
  <si>
    <t>2bb1e50a</t>
  </si>
  <si>
    <t>Demande effectuée par téléphone.</t>
  </si>
  <si>
    <t>73738bcc</t>
  </si>
  <si>
    <t>Prestataire ne dispose pas d'attestation SIRENE</t>
  </si>
  <si>
    <t>6750d76f</t>
  </si>
  <si>
    <t>accompagnement activation de compte et télédéclaration</t>
  </si>
  <si>
    <t>2e48b4a2</t>
  </si>
  <si>
    <t>Ouverture à faire</t>
  </si>
  <si>
    <t>d3b2208f</t>
  </si>
  <si>
    <t>Dossier à transmettre pour référencer l'hébergement</t>
  </si>
  <si>
    <t>ed58ee2b</t>
  </si>
  <si>
    <t>pas de document pour le moment, démarches en cours, doit revenir vers nous pour l'attestation</t>
  </si>
  <si>
    <t>a92eea2f</t>
  </si>
  <si>
    <t>Le 25 novembre 2022, tout d'abord, j'ai appelé le prestataire. Ensuite, j'ai envoyé le formulaire d'adhésion à la plateforme SOUBIK par mail à Madame BRIZARD.</t>
  </si>
  <si>
    <t>62ec125a</t>
  </si>
  <si>
    <t>demande de RDV pour des indications sur les opérateurs numériques (travaille avec Altaï)</t>
  </si>
  <si>
    <t>d8ea115f</t>
  </si>
  <si>
    <t>demande par mail de renvoi courrier d'activation</t>
  </si>
  <si>
    <t>25847b93</t>
  </si>
  <si>
    <t>signale par mail que son établissement est fermé définitivement depuis 2019</t>
  </si>
  <si>
    <t>981da3d4</t>
  </si>
  <si>
    <t>aide à l'activation de compte, n'arrivait pas à ouvrir la page de connexion (sous Safari)</t>
  </si>
  <si>
    <t>65dacc48</t>
  </si>
  <si>
    <t>fermeture définitive prévue pour janvier 2023, courrier type transmi par mail // pour le moment fermeture temporaire enregistrée dans la plateforme TDS</t>
  </si>
  <si>
    <t>20b90556</t>
  </si>
  <si>
    <t>M Pitou souhaite avoir plus de visibilité sur internet, merci de lui envoyer le formulaire et de suivre son dossier.</t>
  </si>
  <si>
    <t>30f4a928</t>
  </si>
  <si>
    <t>Mr et Mme souhaite un post sur le fb de l'OTI : ils sont de vrais hôtes, présents, à l'écoute de leur clients, ils recoivent bcp d'étrangers et donc allient tradition et modernité, car ils sont sur le flux de visiteurs qui va au volcan. Ils sont à l'écoute et peuvent cuisiner sur des régimes spéciaux à la demande : végétariens, sans gluten...
Ils sont auss table d'hôte</t>
  </si>
  <si>
    <t>cddcc3e4</t>
  </si>
  <si>
    <t>Ils ont le projet de : 
- construire un bungalow
- bétonner ou bitumer une allée
Ils vont essayer d'attendre le feder et/ou voir pour des fonds tourisme et handicap .. à suivre</t>
  </si>
  <si>
    <t>b921331b</t>
  </si>
  <si>
    <t>enregistrement de déclarations papier (depuis mai 2022 - donc 1 déclaration par mois et par hébergement) car les taxes ont été encaissées dès réception du courrier CASUD</t>
  </si>
  <si>
    <t>e92fa45c</t>
  </si>
  <si>
    <t>entrée plateforme TDS</t>
  </si>
  <si>
    <t>bf943779</t>
  </si>
  <si>
    <t>Partenaire de l'action Lambians Kréol du 03/12/22 au Domaine Archambeaud</t>
  </si>
  <si>
    <t>2ce1ea65</t>
  </si>
  <si>
    <t>Partenaire de l'action Lambians Kréol du Samedi 03/12/22 au Domaine Archambeaud : atelier de création de bijoux</t>
  </si>
  <si>
    <t>6bcc2720</t>
  </si>
  <si>
    <t>Partenaire de l'action Lambians Kréol du Samedi 03/12/22 au Domaine Archambeaud : Création en Zampone de Palmier</t>
  </si>
  <si>
    <t>4a39ff56</t>
  </si>
  <si>
    <t>Le presta a demandé par mail depuis le 10 septembre (avec des pj) à faire modifier des infos en bdd et sur le sit</t>
  </si>
  <si>
    <t>f6bf881b</t>
  </si>
  <si>
    <t>Ses impots fonciers ont augmenté de 3000 euros. Les impots lui ont dit que des lors qu'elle vend 70 euros une nuitée c'est du commercial, et c'est imposable. Annabelle</t>
  </si>
  <si>
    <t>631c2ad3</t>
  </si>
  <si>
    <t>souhaite être référencé en SIT</t>
  </si>
  <si>
    <t>ac4f3dd4</t>
  </si>
  <si>
    <t>ouverture tds à faire</t>
  </si>
  <si>
    <t>33ea186d</t>
  </si>
  <si>
    <t>promo à faire lorsque l'inscription en SIT est ok</t>
  </si>
  <si>
    <t>59bf6b93</t>
  </si>
  <si>
    <t>souhaite avoir une promotion Facebook</t>
  </si>
  <si>
    <t>0b6ab265</t>
  </si>
  <si>
    <t>envoyer le formulaire de référencement</t>
  </si>
  <si>
    <t>8a8a6429</t>
  </si>
  <si>
    <t>problème de reversement</t>
  </si>
  <si>
    <t>00b5b383</t>
  </si>
  <si>
    <t>ouverture compte à faire</t>
  </si>
  <si>
    <t>45e5a2a2</t>
  </si>
  <si>
    <t>Partenaire de l'action Lambians Kréol du Samedi 03/12/222 au Domaine Archambeaud</t>
  </si>
  <si>
    <t>5819a33d</t>
  </si>
  <si>
    <t>60babe48</t>
  </si>
  <si>
    <t>prise de contact avec Mme Muriel Lacroix de l'Afnor pour le label NF Environnement</t>
  </si>
  <si>
    <t>d91e011e</t>
  </si>
  <si>
    <t>demande d'accompagnement télédéclaration : mail via plateforme TDS</t>
  </si>
  <si>
    <t>e62837c4</t>
  </si>
  <si>
    <t>enregistrement de fermeture temporaire : envoyé par mail du 14/12/22 au 16/01/23</t>
  </si>
  <si>
    <t>77c6977c</t>
  </si>
  <si>
    <t>classement à enregistrer pour Kaz a Melina 1 : 3 étoiles</t>
  </si>
  <si>
    <t>21222c02</t>
  </si>
  <si>
    <t>projet d'ouverture de meublés de tourisme sur la plaine des cafres</t>
  </si>
  <si>
    <t>2b0bc2f8</t>
  </si>
  <si>
    <t>accompagnement télédéclation par mail</t>
  </si>
  <si>
    <t>733289da</t>
  </si>
  <si>
    <t>Accompagnement TDS par mail : modification déclaration + ouverture registre</t>
  </si>
  <si>
    <t>e941b77e</t>
  </si>
  <si>
    <t>dépot de sa déclaration papier au bureau (novembre) le 14/12/22</t>
  </si>
  <si>
    <t>34d1d186</t>
  </si>
  <si>
    <t>Demande de cartes en allemand + guides run à mettre à disposition au BIT de Manapany, dans la semaine du 19 au 24 décembre.</t>
  </si>
  <si>
    <t>6dc49a53</t>
  </si>
  <si>
    <t>problème d'activation de compte, la page ne se charge pas</t>
  </si>
  <si>
    <t>1ef5c892</t>
  </si>
  <si>
    <t>ouverture du registre de séjours</t>
  </si>
  <si>
    <t>5b49ef53</t>
  </si>
  <si>
    <t>enregistrement du classement 1 étoile pour ses 3 bungalows</t>
  </si>
  <si>
    <t>0cc12127</t>
  </si>
  <si>
    <t>7354f6ab</t>
  </si>
  <si>
    <t>offre 4 bon repas pour action Miel Vert</t>
  </si>
  <si>
    <t>944f546f</t>
  </si>
  <si>
    <t>remise de 20 entrées pour Miel Vert</t>
  </si>
  <si>
    <t>30f6a419</t>
  </si>
  <si>
    <t>Remise de 6 bons cadeaux pour Miel Vert</t>
  </si>
  <si>
    <t>094bace0</t>
  </si>
  <si>
    <t>Offre 1 nuit pour 2 + PDJ+ Accès spa pour Miel Vert 2023</t>
  </si>
  <si>
    <t>0e8411ab</t>
  </si>
  <si>
    <t>offre 1 nuit pour 2 + PDJ miel vert</t>
  </si>
  <si>
    <t>b071e6fc</t>
  </si>
  <si>
    <t>offre des bijoux pour Miel vert</t>
  </si>
  <si>
    <t>289af694</t>
  </si>
  <si>
    <t>Offre un matinée détente jacuzzi</t>
  </si>
  <si>
    <t>5c609dfc</t>
  </si>
  <si>
    <t>projet de fermer la chambre d'hôtes pour la faire passer en meublé de tourisme // prendre contact avec eux en début d'année 2023 pour voir l'avancée du projet</t>
  </si>
  <si>
    <t>0a0a99e4</t>
  </si>
  <si>
    <t>d4b8808b</t>
  </si>
  <si>
    <t>envoyer les contacts</t>
  </si>
  <si>
    <t>3b54b9dc</t>
  </si>
  <si>
    <t>formulaire à envoyer 
(il ne connait pas la plateforme mais il est intéressé)</t>
  </si>
  <si>
    <t>bc4b83a8</t>
  </si>
  <si>
    <t>Plainte transmise le 21. Logement sale et non conformes aux conditions de location ni aux photos. PRESENCE DE PUCES DANS LE LOGEMENT !</t>
  </si>
  <si>
    <t>a487a897</t>
  </si>
  <si>
    <t>hébergements classés : à faire remonter dans la plateforme</t>
  </si>
  <si>
    <t>7c52f158</t>
  </si>
  <si>
    <t>modification de déclaration + enregistrement fermeture temporaire</t>
  </si>
  <si>
    <t>e0054582</t>
  </si>
  <si>
    <t>souhaiterez avoir un panneau (M. CERVEAUX a été mis au courant qu'on ne faisait plus de panneau pour le moment)</t>
  </si>
  <si>
    <t>3237b143</t>
  </si>
  <si>
    <t>A prévoir un post fb pour chaque hébergement : Le Figiuer, Le Tibouchina, Le Jardin Secret</t>
  </si>
  <si>
    <t>8f26c081</t>
  </si>
  <si>
    <t>mail reçu le 30/12 :
Bonjour, J'arrête mon activité de location saisonnière le 6 janvier prochain pour passer à de la location longue durée. Pouvez-vous m'indiquer les démarches à faire de votre côté ? Merci d'avance. Cordialement, Thomas Severin</t>
  </si>
  <si>
    <t>60a01a2f</t>
  </si>
  <si>
    <t>Bonjour , une requête pour le service presta, Mme Yeza El-Massoudi a fait une résa chez "l'ilôt paradisiaque" en Mai 2022, réservation qui a été annulé pour laquelle elle avait déjà fait un acompte, elle attend depuis le remboursement de ce dernier.. le prestataire ne répond plus par téléphone ; mail et les recommandés par voie postale lui sont retourné car l'adresse n'existe pas .. l'hébergement lui avait été recommandé par l'office et elle ne sait plus vers qui se tourner pour avoir son remboursement. Dois-je lui donner vos coordonnées ? je vous donne son numéro ?</t>
  </si>
  <si>
    <t>720585df</t>
  </si>
  <si>
    <t>Nouveau prestataire dont l'établissement n'est pas référencé sur la plateforme de la taxe de séjour. 
Madame AUBERVAL souhaite avoir des informations précises au sujet de la taxe de séjour (cf. courriel du 02 janvier 2023 envoyé à l'adresse : prestataires@otisud.com).</t>
  </si>
  <si>
    <t>8315a695</t>
  </si>
  <si>
    <t>Demande de rectification à faire en ligne. Le prestataire a appelé pour informer que son hébergement était ouvert au mois de décembre 2022.</t>
  </si>
  <si>
    <t>b677e82c</t>
  </si>
  <si>
    <t>changement de propriétaire 
courrier de fermeture envoyé le 05/01 &gt; en attente d'un retour du prestataire</t>
  </si>
  <si>
    <t>80858cfc</t>
  </si>
  <si>
    <t>courrier fermeture envoyé le 05/01
=&gt; changement de propriétaire</t>
  </si>
  <si>
    <t>aa87b289</t>
  </si>
  <si>
    <t>Le formulaire d'adhésion à la plateforme SOUBIK a été transmis par mail à Monsieur JACOUTOT.</t>
  </si>
  <si>
    <t>68e6de52</t>
  </si>
  <si>
    <t>Souhaite installer ses ateliers poterie sur BIT de BM.  Dispose d'une liste de plus de 100 pax intéressées pour participer à ses ateliers.</t>
  </si>
  <si>
    <t>327d4c41</t>
  </si>
  <si>
    <t>Demande de promotion sur Facebook à faire après le 31 janvier 2023 car cet hébergement est fermé provisoirement du 1er décembre 2022 au 31 janvier 2023.</t>
  </si>
  <si>
    <t>d05efea9</t>
  </si>
  <si>
    <t>mise à jour de son classement 4 étoiles</t>
  </si>
  <si>
    <t>78e42dc7</t>
  </si>
  <si>
    <t>07bab2d1</t>
  </si>
  <si>
    <t>ajout TDS à faire</t>
  </si>
  <si>
    <t>9d4d0630</t>
  </si>
  <si>
    <t>Le 10 janvier 2023, Monsieur CASSIER est passé au bureau pour déposer le registre du logeur du mois de décembre 2022.</t>
  </si>
  <si>
    <t>fcd28e94</t>
  </si>
  <si>
    <t>Le 10 janvier 2023, Monsieur CASSIER est passé au bureau pour remettre le registre du logeur du mois de décembre 2022.</t>
  </si>
  <si>
    <t>206f837f</t>
  </si>
  <si>
    <t>Le 10 janvier 2023, Monsieur GRONDIN est passé au bureau pour remettre le registre du logeur du mois de décembre 2022.</t>
  </si>
  <si>
    <t>ae19d911</t>
  </si>
  <si>
    <t>a obtenu un classement 4 étoiles</t>
  </si>
  <si>
    <t>175178ba</t>
  </si>
  <si>
    <t>Monsieur PAYET a appelé le 10 janvier 2023 pour avoir les coordonnées des organismes de contrôle pour le classement des meublés de tourisme.</t>
  </si>
  <si>
    <t>c9e33a63</t>
  </si>
  <si>
    <t>4895ef6b</t>
  </si>
  <si>
    <t>44c22b72</t>
  </si>
  <si>
    <t>Nouvelle adresse mail à prendre en compte (cf. courriel du 12 janvier 2023 envoyé par Monsieur APOSTIN).</t>
  </si>
  <si>
    <t>beb1e292</t>
  </si>
  <si>
    <t>9b74af7c</t>
  </si>
  <si>
    <t>0892f664</t>
  </si>
  <si>
    <t>Message SMS de Mme Jacquot : "Pourriez-vous créer un calendrier des événements ou mettre sur votre site toutes les fêtes avant qu'elles arrivent pour que les gens à La Réunion puissent découvrir et faire la promotion de ces fêtes pour les agriculteurs, vendeurs, artisans, artistes qui exposent en bénéficient pleinement car la plupart du temps on apprend le jour même ou quand c'est trop tard... De plus serait-il possible de mettre sur votre site les drapeaux rouge orange vert de toutes les plages St Pierre etc pour que les gens des hauts ne se déplacent pas pour rien à la plage si on ne peut pas se baigner... Merci d'en parler au sein des offices de tourisme"</t>
  </si>
  <si>
    <t>2e69f5e6</t>
  </si>
  <si>
    <t>Mme Maillot souhaite être recontactée pour son inscription sur reunion.fr, elle aimerait avoir l'option de réservation en ligne (pour Chalet Akias et Chalet Nature)</t>
  </si>
  <si>
    <t>dfc36814</t>
  </si>
  <si>
    <t>acda243f</t>
  </si>
  <si>
    <t>Le prestataire souhaite avoir un panneau signalétique. Cette demande a été faite par téléphone le 16 janvier 2023.</t>
  </si>
  <si>
    <t>62e2b8f4</t>
  </si>
  <si>
    <t>La fiche de cet établissement est à mettre à jour.</t>
  </si>
  <si>
    <t>ad459104</t>
  </si>
  <si>
    <t>Le tarif de la nuitée est à modifier.</t>
  </si>
  <si>
    <t>04c11e02</t>
  </si>
  <si>
    <t>Projet d'ouvrir un meublé de tourisme dans une partie de sa maison + bungalow dans sa cour &gt; à inscrire en atelier créateur + atelier facebook + besoin d'aide pr la création d'un site internet (pour son resto cette fois-ci)</t>
  </si>
  <si>
    <t>63099819</t>
  </si>
  <si>
    <t>Le 19 janvier 2023, j'ai envoyé le formulaire d'adhésion à la plateforme SOUBIK à jour par mail à Madame MAILLOT.</t>
  </si>
  <si>
    <t>c37d1e49</t>
  </si>
  <si>
    <t>intéressée par atelier facebook</t>
  </si>
  <si>
    <t>06251a1c</t>
  </si>
  <si>
    <t>besoin d'aide pour reparamétrer son compte airbnb : 3 pages pour sa structure
https://www.airbnb.fr/s/le-colibri--la-r%C3%A9union/homes?adults=1&amp;refinement_paths%5B%5D=%2Fhomes&amp;tab_id=home_tab&amp;flexible_trip_lengths%5B%5D=one_week&amp;price_filter_input_type=0&amp;price_filter_num_nights=6&amp;date_picker_type=calendar&amp;checkin=2023-02-20&amp;checkout=2023-02-26&amp;source=structured_search_input_header&amp;search_type=user_map_move&amp;query=le%20colibri%2C%20la%20r%C3%A9union&amp;ne_lat=-21.23528050146063&amp;ne_lng=55.541794595161974&amp;sw_lat=-21.242830578636998&amp;sw_lng=55.53433805410057&amp;zoom=17&amp;search_by_map=true&amp;place_id=ChIJAdEdx_90eCERw1-bRcNB3Eo</t>
  </si>
  <si>
    <t>5947f58d</t>
  </si>
  <si>
    <t>n'a pas de document SIRENE / SIRET, le presta va se renseigner de la chambre de commerces pour voir les formalités pour les chambres d'hôtes</t>
  </si>
  <si>
    <t>9fcf039f</t>
  </si>
  <si>
    <t>des changements sont a effectuer sur la fiche, le prestataire est informé qu'il faut envoyer un mail pour sa demande</t>
  </si>
  <si>
    <t>5110ecae</t>
  </si>
  <si>
    <t>1acc0c35</t>
  </si>
  <si>
    <t>Le prestataire n'arrive pas à effectuer le règlement de la taxe de séjour.</t>
  </si>
  <si>
    <t>e7400dfa</t>
  </si>
  <si>
    <t>accompagnement ouverture de compte</t>
  </si>
  <si>
    <t>9705ff49</t>
  </si>
  <si>
    <t>b6dbc378</t>
  </si>
  <si>
    <t>promotion à faire</t>
  </si>
  <si>
    <t>65a83dcf</t>
  </si>
  <si>
    <t>Promotion à faire vers fin fev./debut mars</t>
  </si>
  <si>
    <t>af59c6e2</t>
  </si>
  <si>
    <t>promotion à faire après mars</t>
  </si>
  <si>
    <t>cbc6cc2f</t>
  </si>
  <si>
    <t>f18656cc</t>
  </si>
  <si>
    <t>formulaire à envoyer</t>
  </si>
  <si>
    <t>4d131d28</t>
  </si>
  <si>
    <t>fcea8267</t>
  </si>
  <si>
    <t>contacts à envoyer</t>
  </si>
  <si>
    <t>d62a5107</t>
  </si>
  <si>
    <t>Souhaite être référencé en sit &gt; formulaire à envoyer</t>
  </si>
  <si>
    <t>ad5d1543</t>
  </si>
  <si>
    <t>a envoyé un mail sur la plateforme TDS pour déclarer qu'elle est fermée depuis septembre 2022</t>
  </si>
  <si>
    <t>88b35fae</t>
  </si>
  <si>
    <t>souhaite avoir une promotion (message en commentaire post fb &gt; prg prestataires)</t>
  </si>
  <si>
    <t>8ee38ac8</t>
  </si>
  <si>
    <t>ad39d206</t>
  </si>
  <si>
    <t>souhaiterai être accompagné pour facebook</t>
  </si>
  <si>
    <t>3b9ea54a</t>
  </si>
  <si>
    <t>Le gite est repris par le Fils. Des modifications seront apportés (adresse mail, numéro de téléphone, etc.) Il souhaite un accompagnement, merci de la contacter au 0662 44 46 47</t>
  </si>
  <si>
    <t>5d2bf17b</t>
  </si>
  <si>
    <t>fermer depuis 01/2022</t>
  </si>
  <si>
    <t>4be44171</t>
  </si>
  <si>
    <t>Demande de mise à jour de la fiche de cet établissement transmise par mail par Madame DUGAY le 28 janvier 2023.</t>
  </si>
  <si>
    <t>4ec2cb8a</t>
  </si>
  <si>
    <t>Demande de mise à jour de la fiche de cet établissement transmise par mail par Madame MÉZINO le 30 janvier 2023.</t>
  </si>
  <si>
    <t>226ca6f7</t>
  </si>
  <si>
    <t>A été contacté à propos de l'action Saint - Valentin.</t>
  </si>
  <si>
    <t>b91467b8</t>
  </si>
  <si>
    <t>A été contacté a propos de l'action St Valentin.</t>
  </si>
  <si>
    <t>cc1adf6f</t>
  </si>
  <si>
    <t>A été contacté à propos de l'action Saint Valentin.</t>
  </si>
  <si>
    <t>9bf487a4</t>
  </si>
  <si>
    <t>c3586f92</t>
  </si>
  <si>
    <t>c6e4a2de</t>
  </si>
  <si>
    <t>7ee00bb6</t>
  </si>
  <si>
    <t>9994ca1e</t>
  </si>
  <si>
    <t>A été contacté à propos de l'action Saint -Valentin.</t>
  </si>
  <si>
    <t>ea10e675</t>
  </si>
  <si>
    <t>db37f719</t>
  </si>
  <si>
    <t>79d4b2a6</t>
  </si>
  <si>
    <t>3cc87b84</t>
  </si>
  <si>
    <t>8306871f</t>
  </si>
  <si>
    <t>bb21e670</t>
  </si>
  <si>
    <t>c63e2d56</t>
  </si>
  <si>
    <t>696d9b7b</t>
  </si>
  <si>
    <t>8fbdb4b7</t>
  </si>
  <si>
    <t>1282d5dd</t>
  </si>
  <si>
    <t>ae668bda</t>
  </si>
  <si>
    <t>42407abb</t>
  </si>
  <si>
    <t>f4085783</t>
  </si>
  <si>
    <t>cebea377</t>
  </si>
  <si>
    <t>Le numéro de téléphone fixe est incorrecte.</t>
  </si>
  <si>
    <t>e573aabc</t>
  </si>
  <si>
    <t>Autre adresse email : gerryrapeau410@yahoo.fr</t>
  </si>
  <si>
    <t>2b849965</t>
  </si>
  <si>
    <t>Numéro de téléphone fixe incorrecte.</t>
  </si>
  <si>
    <t>0005b320</t>
  </si>
  <si>
    <t>ad24e4fa</t>
  </si>
  <si>
    <t>Le 06 février 2023, j'ai envoyé le formulaire d'adhésion à la plateforme SOUBIK par mail à Madame VITRY.</t>
  </si>
  <si>
    <t>a1812d10</t>
  </si>
  <si>
    <t>modifications à faire : capacité d'hébergement</t>
  </si>
  <si>
    <t>2e59561c</t>
  </si>
  <si>
    <t>fermeture suite au mail reçu en date du 01/02/23 &gt; reçu sur l'accueil et retransmi sur l'adresse prestataires</t>
  </si>
  <si>
    <t>ce83761d</t>
  </si>
  <si>
    <t>81f81d44</t>
  </si>
  <si>
    <t>1402538c</t>
  </si>
  <si>
    <t>54c08ac8</t>
  </si>
  <si>
    <t>0a00d6b5</t>
  </si>
  <si>
    <t>Claire a besoin de visibilité &gt; presta DD? message envoyé sur canal slack le 8 février</t>
  </si>
  <si>
    <t>74d2c679</t>
  </si>
  <si>
    <t>Pour contacter le restaurant de Saint Philippe par email &gt; saintphilippe@capmechant.re</t>
  </si>
  <si>
    <t>d620b94f</t>
  </si>
  <si>
    <t>Claire souhaite avoir un article dans un magazine Explore, en invitant les restaurateurs ou hébergeurs à créer leur propres gammes de vaisselles, coupelles....</t>
  </si>
  <si>
    <t>cca0f5c5</t>
  </si>
  <si>
    <t>Demande de mise à jour de la fiche de cet établissement transmise par mail par Monsieur PERDRIAUD.</t>
  </si>
  <si>
    <t>3654d066</t>
  </si>
  <si>
    <t>Claire souhaite être visible sur reunion.fr. Message envoyé à Angélica le 8 février</t>
  </si>
  <si>
    <t>962bbfef</t>
  </si>
  <si>
    <t>Demande de promotion</t>
  </si>
  <si>
    <t>7107b521</t>
  </si>
  <si>
    <t>difficultés pour la télédéclaration</t>
  </si>
  <si>
    <t>9b42aa12</t>
  </si>
  <si>
    <t>7466a1f0</t>
  </si>
  <si>
    <t>d36f3866</t>
  </si>
  <si>
    <t>Demande de transmission du formulaire de référencement.</t>
  </si>
  <si>
    <t>d4b6c191</t>
  </si>
  <si>
    <t>Madame GONTHIER (fille de Madame FONTAINE) souhaite être rappelée au 0 692 37 04 18. En effet, cette dernière a plusieurs questions au sujet de la taxe de séjour.</t>
  </si>
  <si>
    <t>5283019d</t>
  </si>
  <si>
    <t>Le 14 février 2023, Monsieur CASSIER est passé au bureau pour déposer le registre du logeur du mois de janvier 2023.</t>
  </si>
  <si>
    <t>7ffd21a7</t>
  </si>
  <si>
    <t>915250f0</t>
  </si>
  <si>
    <t>Incident à l'Office de Tourisme de Saint Philippe (voir avec Service RH et Presta informé de l'incident).</t>
  </si>
  <si>
    <t>4665b434</t>
  </si>
  <si>
    <t>Monsieur GIACOMINO a besoin d'un accompagnement afin de faire la déclaration de la taxe de séjour. Ce dernier souhaite être rappelé lundi 20 février 2023.</t>
  </si>
  <si>
    <t>edda896e</t>
  </si>
  <si>
    <t>Fermeture provisoire de cet hébergement du 22 janvier 2023 au 31 janvier 2023.</t>
  </si>
  <si>
    <t>81ccaac8</t>
  </si>
  <si>
    <t>Cet hébergement est fermé provisoirement durant toute l'année 2023.</t>
  </si>
  <si>
    <t>d2570937</t>
  </si>
  <si>
    <t>fermeture temporaire signalée par mail (courrier) pour la période allant de janvier à février 2023</t>
  </si>
  <si>
    <t>1efe24c3</t>
  </si>
  <si>
    <t>Tarification à changer.</t>
  </si>
  <si>
    <t>50f2b725</t>
  </si>
  <si>
    <t>mail plateforme : indique qu'il ne pourra effectuer ses déclarations de TDS (janvier et février) qu'à partir de mars</t>
  </si>
  <si>
    <t>b99f3a81</t>
  </si>
  <si>
    <t>souhaite les coordonnées des organismes de classement</t>
  </si>
  <si>
    <t>f9b97399</t>
  </si>
  <si>
    <t>fermeture définitive signalée par mail (plateforme TDS)</t>
  </si>
  <si>
    <t>d97b7280</t>
  </si>
  <si>
    <t>fermeture provisoire prolongée jusqu'au 31/12/2023 // mail reçu sur la plateforme TDS le vendredi 17/02/2023</t>
  </si>
  <si>
    <t>fcbe7120</t>
  </si>
  <si>
    <t>Demande reçue par Anne : le presta souhaite une promo fb pour son hébergement</t>
  </si>
  <si>
    <t>2cc2971f</t>
  </si>
  <si>
    <t>Demande pour avoir un accompagnement personnalisé.</t>
  </si>
  <si>
    <t>0a4eb09e</t>
  </si>
  <si>
    <t>d3a7470e</t>
  </si>
  <si>
    <t>Souhaite avoir une promotion FB 
mail reçu le 23/02 : Je souhaiterai avoir des renseignements auprès de vous afin de connaître les modalités pour promouvoir notre location.</t>
  </si>
  <si>
    <t>d07414dd</t>
  </si>
  <si>
    <t>a308ce96</t>
  </si>
  <si>
    <t>inscription à faire</t>
  </si>
  <si>
    <t>4f3c64d9</t>
  </si>
  <si>
    <t>envoyer les infos classement / labels 
contacts
référentiel</t>
  </si>
  <si>
    <t>cad88301</t>
  </si>
  <si>
    <t>a t 'elle le bon code ape</t>
  </si>
  <si>
    <t>d184d5b1</t>
  </si>
  <si>
    <t>visite a programmer pour fin juillet ou fin aout (appel du 01/03/23) voir avec le presta</t>
  </si>
  <si>
    <t>1a46a30e</t>
  </si>
  <si>
    <t>4797a78f</t>
  </si>
  <si>
    <t>demande infos classement étoiles par mail TDS</t>
  </si>
  <si>
    <t>20fc75d4</t>
  </si>
  <si>
    <t>demande par mail de renvoyer le mail automatique pour se connecter</t>
  </si>
  <si>
    <t>f9045188</t>
  </si>
  <si>
    <t>Madame souhaite être visible sur reunion.fr. Elle pense avoir reçu un mail déjà avec un formulaire mais ne sait plus le quel et de qui. Angélica merci de reprendre la demande, lui envoyer le formulaire, elle est interessée aussi par être revendue sur Citybreak, merci de faire le lien avec l'IRT/ Vérifier avec elle si c'est pour les 2 mt</t>
  </si>
  <si>
    <t>a9840c27</t>
  </si>
  <si>
    <t>Madame Maryse GRONDIN souhaite être rappelée par Noémie le 03 mars 2023 (entre 13h30 et 15h00) au sujet des relances reçues.</t>
  </si>
  <si>
    <t>eca371a5</t>
  </si>
  <si>
    <t>487a59b5</t>
  </si>
  <si>
    <t>Souhaite avoir une promotion facebook</t>
  </si>
  <si>
    <t>86e0c0d7</t>
  </si>
  <si>
    <t>Intéressée par un atelier juridique</t>
  </si>
  <si>
    <t>c72b94c2</t>
  </si>
  <si>
    <t>souhaite être référencé</t>
  </si>
  <si>
    <t>e4cbd0d7</t>
  </si>
  <si>
    <t>Demande de promotion.</t>
  </si>
  <si>
    <t>2defb2eb</t>
  </si>
  <si>
    <t>annonce la fermeture de l'hébergement par mail</t>
  </si>
  <si>
    <t>128513d7</t>
  </si>
  <si>
    <t>Madame ABLANCOURT a repris la gestion de cet hébergement à compter du 01 mars 2023.</t>
  </si>
  <si>
    <t>8c1f637a</t>
  </si>
  <si>
    <t>demande a être retiré de la liste des prestas (mail du vendredi 3 mars 2023) et indique que l'hébergement a été vendu</t>
  </si>
  <si>
    <t>a1495202</t>
  </si>
  <si>
    <t>questions sur la télédéclaration par mail (opérateurs numériques)</t>
  </si>
  <si>
    <t>e87e3f16</t>
  </si>
  <si>
    <t>envoi du courrier type de fermeture</t>
  </si>
  <si>
    <t>3c45e3bb</t>
  </si>
  <si>
    <t>7885b5bf</t>
  </si>
  <si>
    <t>Mellie et Léa ont fait remonté un mail de l'IRT prévenant de la fermeture de l'hébergement &gt; courrier de fermeture a envoyer au presta</t>
  </si>
  <si>
    <t>946847c8</t>
  </si>
  <si>
    <t>demande de RDV au bureau</t>
  </si>
  <si>
    <t>7dfda0d9</t>
  </si>
  <si>
    <t>656af6ed</t>
  </si>
  <si>
    <t>fc9e972b</t>
  </si>
  <si>
    <t>mail reçu sur la plateforme TDS indiquant une fermeture définitive prévue pour avril mai</t>
  </si>
  <si>
    <t>f24e94b4</t>
  </si>
  <si>
    <t>classé 3 étoiles : attestation de classement demandée au presta</t>
  </si>
  <si>
    <t>0dee702f</t>
  </si>
  <si>
    <t>3207542e</t>
  </si>
  <si>
    <t>8cc4bc8f</t>
  </si>
  <si>
    <t>175438a0</t>
  </si>
  <si>
    <t>courrier fermeture reçu le 15/03
1 reversement de 75,02€ en attente sur la TDS 
le prestataire a été mis au courant par mail le 15/03</t>
  </si>
  <si>
    <t>5fe0bdf8</t>
  </si>
  <si>
    <t>souhaite avoir une promotion facebook (suite au zescales à Entre-Deux)
&gt; demande de photos effectués par mail le 15/03</t>
  </si>
  <si>
    <t>c4abdf26</t>
  </si>
  <si>
    <t>numéro fixe non attribué ; numéro mobile : 06 93 11 30 04</t>
  </si>
  <si>
    <t>c1bd60c6</t>
  </si>
  <si>
    <t>promo FB à programmer pour fin avril début mai (à confirmer avec le presta car il y aura des changements au niveau du menu et il souhaite qu'on fasse la promo après ces changements)</t>
  </si>
  <si>
    <t>bc0e67c0</t>
  </si>
  <si>
    <t>demande de promo FB</t>
  </si>
  <si>
    <t>ea4a65b5</t>
  </si>
  <si>
    <t>nouvelle demande de référencement</t>
  </si>
  <si>
    <t>bfd0b4db</t>
  </si>
  <si>
    <t>4d61e098</t>
  </si>
  <si>
    <t>3a50b884</t>
  </si>
  <si>
    <t>souhaite avoir une promotion (demande lors des zescales)
ATTENTION ! &gt; voir avec la presta pour laquelle de ses structures elle souhaite avoir la promo</t>
  </si>
  <si>
    <t>408cf2bb</t>
  </si>
  <si>
    <t>demande d'info par mail sur les opérateurs numériques</t>
  </si>
  <si>
    <t>089faeb0</t>
  </si>
  <si>
    <t>pb de déclaration TDS : mauvais remplissage des formulaires</t>
  </si>
  <si>
    <t>45e92cb7</t>
  </si>
  <si>
    <t>La fiche de cet établissement est à modifier. Cette demande a été faite le 21 mars 2023 par Madame BOYER.</t>
  </si>
  <si>
    <t>8e0ce457</t>
  </si>
  <si>
    <t>demande de promotion lors des zescales à Entre-Deux 
&gt; structure identique (voir laquelle mettre en avant)</t>
  </si>
  <si>
    <t>48f0004f</t>
  </si>
  <si>
    <t>0d77ff2f</t>
  </si>
  <si>
    <t>demande acc télédéclaration</t>
  </si>
  <si>
    <t>5b9d4a2a</t>
  </si>
  <si>
    <t>demande acc déclaration pour les 2 structures</t>
  </si>
  <si>
    <t>38537aae</t>
  </si>
  <si>
    <t>promo à faire</t>
  </si>
  <si>
    <t>10b04481</t>
  </si>
  <si>
    <t>souhaite être présente sur notre stand pour le prochain Miel Vert // c'est un presta boutique!</t>
  </si>
  <si>
    <t>0715d257</t>
  </si>
  <si>
    <t>promo FB à faire</t>
  </si>
  <si>
    <t>71fae2f1</t>
  </si>
  <si>
    <t>promotion prévue pour le mercredi 26 avril
&gt; photos dans drive (ou demander au presta il a aussi de bonnes photos comme aménagement encore en cours )</t>
  </si>
  <si>
    <t>869ba81c</t>
  </si>
  <si>
    <t>Atelier initiation au tressage vacoa et expo vente des produits en vacoa</t>
  </si>
  <si>
    <t>2bf49dda</t>
  </si>
  <si>
    <t>202ec57a</t>
  </si>
  <si>
    <t>demande reçue de la part d'Elodie (mail) pour un accompagnement TDS</t>
  </si>
  <si>
    <t>712b469e</t>
  </si>
  <si>
    <t>souhaite avoir un panneau</t>
  </si>
  <si>
    <t>51504433</t>
  </si>
  <si>
    <t>mettre à jour la fiche</t>
  </si>
  <si>
    <t>10e7a63f</t>
  </si>
  <si>
    <t>9cc6d92f</t>
  </si>
  <si>
    <t>d65cc205</t>
  </si>
  <si>
    <t>projet d'ouvrir un hébergement à la Plaine des Cafres</t>
  </si>
  <si>
    <t>3539e9fb</t>
  </si>
  <si>
    <t>souhaite modifier l'emplacement et remplacer un de leur panneau</t>
  </si>
  <si>
    <t>fdc6967e</t>
  </si>
  <si>
    <t>mail TDS : nous informe qu'elle ne loue que via les opérateurs numériques</t>
  </si>
  <si>
    <t>fc41fdd7</t>
  </si>
  <si>
    <t>Le prestataire souhaite avoir un accompagnement personnalisé pour mieux comprendre la taxe de séjour. Aussi, la fiche de cet établissement n'indique pas le numéro de la taxe de séjour.</t>
  </si>
  <si>
    <t>282962f8</t>
  </si>
  <si>
    <t>Le 23 mars 2023, Madame ABLANCOURT a transmis les photos de son établissement pour finaliser le dossier de référencement.</t>
  </si>
  <si>
    <t>0f8b1f77</t>
  </si>
  <si>
    <t>changement capacité 8 personnes : mail envoyé sur la plateforme TDS</t>
  </si>
  <si>
    <t>7fdd2cc0</t>
  </si>
  <si>
    <t>souhaite avoir une promotion (attendre le retour de leur page à eux)</t>
  </si>
  <si>
    <t>8f40706f</t>
  </si>
  <si>
    <t>73745fcb</t>
  </si>
  <si>
    <t>signalé par mail : du 17 avril au 14 mai 2023</t>
  </si>
  <si>
    <t>b7889ff7</t>
  </si>
  <si>
    <t>demande de promo envoyée par mail le 30/03</t>
  </si>
  <si>
    <t>59ecf9ed</t>
  </si>
  <si>
    <t>4eec69d2</t>
  </si>
  <si>
    <t>4a1d4574</t>
  </si>
  <si>
    <t>envoi d'un mail pour informer que sa déclaration est bien enregistrée suite au mail automatique de la plateforme d'invitation à déclarer</t>
  </si>
  <si>
    <t>4af2896c</t>
  </si>
  <si>
    <t>classement 4 étoiles pour l'instant d'évasion 2</t>
  </si>
  <si>
    <t>a4b10a02</t>
  </si>
  <si>
    <t>classement 4 étoiles à reporter dans la plateforme TDS pour l'instant d'évasion 2</t>
  </si>
  <si>
    <t>d4770b71</t>
  </si>
  <si>
    <t>dépot déclaration papier pour le mois de février 2023</t>
  </si>
  <si>
    <t>0cc90b56</t>
  </si>
  <si>
    <t>envoi par mail de ses déclarations papier : sept 2022 à février 2023</t>
  </si>
  <si>
    <t>7f377cec</t>
  </si>
  <si>
    <t>à ajouter en plateforme</t>
  </si>
  <si>
    <t>acd50699</t>
  </si>
  <si>
    <t>obtention du label clé vacances 3 clés pour les 2 hb</t>
  </si>
  <si>
    <t>c4316556</t>
  </si>
  <si>
    <t>ajout de l'attestation d'assurance pour 2023</t>
  </si>
  <si>
    <t>523a664c</t>
  </si>
  <si>
    <t>souhaite avoir une promo</t>
  </si>
  <si>
    <t>12611d77</t>
  </si>
  <si>
    <t>11986659</t>
  </si>
  <si>
    <t>f5c87b11</t>
  </si>
  <si>
    <t>à faire passer en vip pour les prochaines zescales (presta remontée..)</t>
  </si>
  <si>
    <t>b27eb645</t>
  </si>
  <si>
    <t>Souhaite avoir un nouveau panneau</t>
  </si>
  <si>
    <t>40cd582b</t>
  </si>
  <si>
    <t>M Payet a utilisé la newsletter de mars pour demander une promotion fb et explore. Explore prévue en juillet 2023. Demande de promo fb partagée sur le canal promotion fb par AMIR le 20 avril.</t>
  </si>
  <si>
    <t>d1579aa5</t>
  </si>
  <si>
    <t>post à faire pour l'hébergement et les vélos : voir si 2 posts ou un seul car le presta a une page FB pour ses 2 activités</t>
  </si>
  <si>
    <t>a1ee158e</t>
  </si>
  <si>
    <t>promo à faire pour les 2 activités : HB + vélo</t>
  </si>
  <si>
    <t>c4a2c561</t>
  </si>
  <si>
    <t>Meublé de tourisme classé 4 étoiles (cf. courriel transmis par Monsieur GRONDIN le 19 avril 2023).</t>
  </si>
  <si>
    <t>147bdfa0</t>
  </si>
  <si>
    <t>nouvelle demande pour l'hébergement / et location de vélo</t>
  </si>
  <si>
    <t>0d9c4bfa</t>
  </si>
  <si>
    <t>8cb74bd7</t>
  </si>
  <si>
    <t>M. souhaite</t>
  </si>
  <si>
    <t>5691f2bf</t>
  </si>
  <si>
    <t>enregistrement des déclarations papier : fin 2022 début 2023</t>
  </si>
  <si>
    <t>a7c9618f</t>
  </si>
  <si>
    <t>a faire entrer en plateforme</t>
  </si>
  <si>
    <t>8f314960</t>
  </si>
  <si>
    <t>déclaration papier de mars 2023 envoyée par mail</t>
  </si>
  <si>
    <t>f4d8bb8e</t>
  </si>
  <si>
    <t>d7aabd20</t>
  </si>
  <si>
    <t>fermeture définitive : mail reçu sur la plateforme TDS où le presta indique avoir déjà fait la déclaration de sa fermeture en mairie</t>
  </si>
  <si>
    <t>a7adbf7f</t>
  </si>
  <si>
    <t>ouverture à faire (Billikers)</t>
  </si>
  <si>
    <t>4660dcd8</t>
  </si>
  <si>
    <t>obtention de 2 étoiles pour ti kaz martin</t>
  </si>
  <si>
    <t>b679eca5</t>
  </si>
  <si>
    <t>d6a7eb94</t>
  </si>
  <si>
    <t>d6404ca8</t>
  </si>
  <si>
    <t>mail automatique d'invitation à déclaré reçu tardivement</t>
  </si>
  <si>
    <t>da1bc131</t>
  </si>
  <si>
    <t>question sur les déclarations des opérateurs numériques</t>
  </si>
  <si>
    <t>0702fdaf</t>
  </si>
  <si>
    <t>Les horaires d'accueil sont à modifier.</t>
  </si>
  <si>
    <t>f2c66b72</t>
  </si>
  <si>
    <t>envoi doc QTIR</t>
  </si>
  <si>
    <t>51aab9d2</t>
  </si>
  <si>
    <t>projet en cours de construction : produit visite exploitation agricole + déjeuner + pti dej + activités / expérientiel "dans les bottes d'un agriculteur"</t>
  </si>
  <si>
    <t>975e8a96</t>
  </si>
  <si>
    <t>presta souhaite une visite pour fin juin</t>
  </si>
  <si>
    <t>f3a546d0</t>
  </si>
  <si>
    <t>996c11d6</t>
  </si>
  <si>
    <t>84342f05</t>
  </si>
  <si>
    <t>9a4b3138</t>
  </si>
  <si>
    <t>suite a la relance globale TDS &gt; presta nous dit qu'il n'a eu aucun clients (mail)</t>
  </si>
  <si>
    <t>a7fb668f</t>
  </si>
  <si>
    <t>rdv presta au bureau le 28/04/23 pour point déclarations</t>
  </si>
  <si>
    <t>785f3e9b</t>
  </si>
  <si>
    <t>bd084910</t>
  </si>
  <si>
    <t>infos classement étoile</t>
  </si>
  <si>
    <t>28adbed1</t>
  </si>
  <si>
    <t>09e4e26c</t>
  </si>
  <si>
    <t>6eebceca</t>
  </si>
  <si>
    <t>Monsieur DUPONT nécessite d'une aide pour déclarer la taxe de séjour en ligne. Le prestataire souhaite être rappelé.</t>
  </si>
  <si>
    <t>6a0f3ee3</t>
  </si>
  <si>
    <t>39419ca4</t>
  </si>
  <si>
    <t>envoi de sa décision de classement</t>
  </si>
  <si>
    <t>d8db3fad</t>
  </si>
  <si>
    <t>Demande d'aide pour déclarer la taxe de séjour en ligne pour ses bungalows non classés. Le prestataire souhaite être rappelé.</t>
  </si>
  <si>
    <t>49669101</t>
  </si>
  <si>
    <t>a besoin d'aide pour sa télédéclaration + infos reversements</t>
  </si>
  <si>
    <t>7148bdab</t>
  </si>
  <si>
    <t>le 26/04/2023 a envoyé un mail sur la plateforme TDS pour signaler sa fermeture</t>
  </si>
  <si>
    <t>53bd4958</t>
  </si>
  <si>
    <t>classement en 2 étoiles pour Ti Kaz Martin Dé O La Réunion</t>
  </si>
  <si>
    <t>bc250971</t>
  </si>
  <si>
    <t>transmission des états récaps (P3 2022 + P1 2023) + enregistrement déclaration du mois d'avril 2023 pour les deux structures</t>
  </si>
  <si>
    <t>aaf8c1fe</t>
  </si>
  <si>
    <t>période de fermeture de mars à mai 2023 (info transmise par mail)</t>
  </si>
  <si>
    <t>d0773a63</t>
  </si>
  <si>
    <t>classement 2 étoiles pour ti kaz martin</t>
  </si>
  <si>
    <t>3b08ec27</t>
  </si>
  <si>
    <t>b41e6965</t>
  </si>
  <si>
    <t>a9d262fc</t>
  </si>
  <si>
    <t>Mr viens de créer son compte instagram et souhaiterais savoir ce qu'uil était possible de faire pour promouvoir son hébergement</t>
  </si>
  <si>
    <t>ee4bc54d</t>
  </si>
  <si>
    <t>Meublé de tourisme classé 4 étoiles. La décision de classement a été transmise par courriel le 11 mai 2023.</t>
  </si>
  <si>
    <t>dcc7f9d5</t>
  </si>
  <si>
    <t>Demande de transmission de photos.</t>
  </si>
  <si>
    <t>5c597fc0</t>
  </si>
  <si>
    <t>demande</t>
  </si>
  <si>
    <t>a9936324</t>
  </si>
  <si>
    <t>07e2b539</t>
  </si>
  <si>
    <t>79c1c32c</t>
  </si>
  <si>
    <t>Veut modifier ses photos et tarifs sur le site sudreuniontourisme. AMIR a demandé à ce qu'il nous envoie ses photos (on les a reçues) mais AM ademandé à DP si on avait la main sur le site internet</t>
  </si>
  <si>
    <t>259adf6f</t>
  </si>
  <si>
    <t>52c2b422</t>
  </si>
  <si>
    <t>783cb95b</t>
  </si>
  <si>
    <t>Demande d'aide pour compléter le formulaire de référencement.</t>
  </si>
  <si>
    <t>82bc0def</t>
  </si>
  <si>
    <t>Participe au sponsoring fête du vacoa. 
Très contente également de sa participation à la journée de la biodiversité</t>
  </si>
  <si>
    <t>7dbd9155</t>
  </si>
  <si>
    <t>Le courrier de déclaration de fermeture définitive a été remis en main propre le 22 mai 2023.</t>
  </si>
  <si>
    <t>39c0d1e8</t>
  </si>
  <si>
    <t>559486d2</t>
  </si>
  <si>
    <t>001e3d18</t>
  </si>
  <si>
    <t>683bae84</t>
  </si>
  <si>
    <t>Partenaire sur la fête du vacoa. Offre une nuitée et des réductions.</t>
  </si>
  <si>
    <t>a4bbef92</t>
  </si>
  <si>
    <t>Offre un lot pour la fete du vacoa</t>
  </si>
  <si>
    <t>089b6ae7</t>
  </si>
  <si>
    <t>Offre un massage de de60e pour la fête du vacoa</t>
  </si>
  <si>
    <t>677a0abc</t>
  </si>
  <si>
    <t>participe à Entre 2 Z'Arts Dimanche 28 Mai 2023</t>
  </si>
  <si>
    <t>a5c788db</t>
  </si>
  <si>
    <t>mise à jour du dossier suite au classement de ses deux bungalows qui étaient non classés &gt; passage en 1 étoile
+ correction des adresses postales</t>
  </si>
  <si>
    <t>548c681b</t>
  </si>
  <si>
    <t>A offert un bon cadeau pour la fête du vacoa</t>
  </si>
  <si>
    <t>ef967e82</t>
  </si>
  <si>
    <t>Offre des entrées et des orchidées pour la fête du vacoa. 
L'oti se charge du bon cadeau et aussi du logo pour le côté visuel</t>
  </si>
  <si>
    <t>f303c198</t>
  </si>
  <si>
    <t>Offre des entrées pour la fête du vacoa</t>
  </si>
  <si>
    <t>7c9a38a1</t>
  </si>
  <si>
    <t>Offre un week-end pour la fête du vacoa</t>
  </si>
  <si>
    <t>37d15407</t>
  </si>
  <si>
    <t>A hésiter mais propose quand même un week-end à offrir pour la fête du vacoa</t>
  </si>
  <si>
    <t>b4075270</t>
  </si>
  <si>
    <t>demande d'accompagnement TDS</t>
  </si>
  <si>
    <t>ff444a92</t>
  </si>
  <si>
    <t>Ajout au dossier KEYLODGE</t>
  </si>
  <si>
    <t>6cd21534</t>
  </si>
  <si>
    <t>déclarations papier pour avril et mai 2023 transmises par mail</t>
  </si>
  <si>
    <t>17b7fb96</t>
  </si>
  <si>
    <t>aide a la télédéclaration + fermeture définitive bientôt</t>
  </si>
  <si>
    <t>142f546d</t>
  </si>
  <si>
    <t>courrier type a envoyer &gt; structure en vente</t>
  </si>
  <si>
    <t>fcb4fbdd</t>
  </si>
  <si>
    <t>difficultés pour la télédéclaration (mail plateforme)</t>
  </si>
  <si>
    <t>bd5b56fe</t>
  </si>
  <si>
    <t>correction sur une fermeture</t>
  </si>
  <si>
    <t>3e3a84c5</t>
  </si>
  <si>
    <t>Demande de devis pour potentiel atelier fête du vacoa</t>
  </si>
  <si>
    <t>5a8bc494</t>
  </si>
  <si>
    <t>Devis pour potentiel atelier fête vacoa</t>
  </si>
  <si>
    <t>c8fac54f</t>
  </si>
  <si>
    <t>A participé à Entre 2 Z'Arts</t>
  </si>
  <si>
    <t>eb9b2acf</t>
  </si>
  <si>
    <t>A participé à ENTRE 2 Z'ARTS</t>
  </si>
  <si>
    <t>32cbe56f</t>
  </si>
  <si>
    <t>A participé à ENTRE 2 le dimanche 28 Mai 2023</t>
  </si>
  <si>
    <t>d66a531d</t>
  </si>
  <si>
    <t>Content de la journée</t>
  </si>
  <si>
    <t>d0822f39</t>
  </si>
  <si>
    <t>7001ac5d</t>
  </si>
  <si>
    <t>A participé à ENTRE 2 Z'ARTS ENTRE-DEUX</t>
  </si>
  <si>
    <t>ff881acb</t>
  </si>
  <si>
    <t>A participé à ENTRE 2 Z'ARTS à l'ENTRE-DEUX</t>
  </si>
  <si>
    <t>62d123fb</t>
  </si>
  <si>
    <t>A participé à ENTRE 2 Z'ARTS à l'ENTRE-Deux le dimanche 28 Mai 2023</t>
  </si>
  <si>
    <t>3fc72b6c</t>
  </si>
  <si>
    <t>A participé à ENTRE-DEUX Z'ARTS à l'Entre-Deux le dimanche 28 Mai</t>
  </si>
  <si>
    <t>5657eea6</t>
  </si>
  <si>
    <t>A participé à ENTRE 2 Z'Arts le dimanche 28 Mai à l'Entre-Deux</t>
  </si>
  <si>
    <t>c4ef3955</t>
  </si>
  <si>
    <t>A participé à ENTRE 2 Z'ARTS le dimanche 28 Mai à l'Entre-Deux</t>
  </si>
  <si>
    <t>52dda5a7</t>
  </si>
  <si>
    <t>A participé à ENTRE 2 Z'ARTS dimanche 28 Mai 2023 à l'Entre-Deux</t>
  </si>
  <si>
    <t>ce605104</t>
  </si>
  <si>
    <t>A participé ENTRE 2 Z'ARTS</t>
  </si>
  <si>
    <t>21a20b2c</t>
  </si>
  <si>
    <t>N'a toujours pas de fiche, que se passe-til?</t>
  </si>
  <si>
    <t>352f0d8c</t>
  </si>
  <si>
    <t>Souhaiterait plus de visibilité, formulaire à lui envoyer</t>
  </si>
  <si>
    <t>64db0341</t>
  </si>
  <si>
    <t>Première demande transmise par mail le 1er juin 2023.</t>
  </si>
  <si>
    <t>b2f35568</t>
  </si>
  <si>
    <t>Souhaite avoir une promotion</t>
  </si>
  <si>
    <t>943f1868</t>
  </si>
  <si>
    <t>prévu pour juillet 2023</t>
  </si>
  <si>
    <t>f409c206</t>
  </si>
  <si>
    <t>A demandé va facebook une promo explore</t>
  </si>
  <si>
    <t>18514392</t>
  </si>
  <si>
    <t>Besoin d'un post explore</t>
  </si>
  <si>
    <t>2b81757a</t>
  </si>
  <si>
    <t>9f070fcd</t>
  </si>
  <si>
    <t>Fermeture de fiche</t>
  </si>
  <si>
    <t>bfafbdf5</t>
  </si>
  <si>
    <t>Sponsoring fête vacoa : offre une nuit. Voulait + d'infos</t>
  </si>
  <si>
    <t>c5450d60</t>
  </si>
  <si>
    <t>question sur les opérateurs numériques et la télédéclaration</t>
  </si>
  <si>
    <t>184dd60d</t>
  </si>
  <si>
    <t>MAJ à faire</t>
  </si>
  <si>
    <t>f7a1f606</t>
  </si>
  <si>
    <t>demande infos labels, notamment labels DD</t>
  </si>
  <si>
    <t>24137dbd</t>
  </si>
  <si>
    <t>accompagnement a la télédéclaration</t>
  </si>
  <si>
    <t>224e6b83</t>
  </si>
  <si>
    <t>demande de devis ateliers fete vacoa</t>
  </si>
  <si>
    <t>681d52d5</t>
  </si>
  <si>
    <t>prestataire intéressé par la mise en place de ses produits en boutique et les ateliers (création de bijoux et atelier initiation à la création de pilons traditionnels)</t>
  </si>
  <si>
    <t>ae3be2d9</t>
  </si>
  <si>
    <t>Visite de ma part pour une demande liée à la frt pour des paniers</t>
  </si>
  <si>
    <t>6e37c6c1</t>
  </si>
  <si>
    <t>f270b5e0</t>
  </si>
  <si>
    <t>accompagnement ecolabel + clef verte + fond TD</t>
  </si>
  <si>
    <t>ffc1067f</t>
  </si>
  <si>
    <t>Cet établissement est fermé définitivement.</t>
  </si>
  <si>
    <t>5b806835</t>
  </si>
  <si>
    <t>La fiche de cet établissement est à désactiver.</t>
  </si>
  <si>
    <t>cdc00668</t>
  </si>
  <si>
    <t>Appel concernant la fête du vacoa.  Sur stand un jour</t>
  </si>
  <si>
    <t>f1bd18fb</t>
  </si>
  <si>
    <t>0179d025</t>
  </si>
  <si>
    <t>e617fb53</t>
  </si>
  <si>
    <t>787b79aa</t>
  </si>
  <si>
    <t>Appel concernant la fête du vacoa.  Sur stand un jour: indécise  sur particpation (dispo des dames pour venir)</t>
  </si>
  <si>
    <t>af080ae5</t>
  </si>
  <si>
    <t>Appel concernant la fête du vacoa.  Sur stand un jour. Contente d'avoir eu une place de dernière minute</t>
  </si>
  <si>
    <t>427be5cc</t>
  </si>
  <si>
    <t>Le dossier est en cours de traitement. Le 09 juin 2023, le prestataire a été invité à revoir la page 3 du formulaire de référencement.</t>
  </si>
  <si>
    <t>a0ad65ea</t>
  </si>
  <si>
    <t>Ce meublé de tourisme est classé 1 étoile.</t>
  </si>
  <si>
    <t>7596c0cc</t>
  </si>
  <si>
    <t>1b541d4b</t>
  </si>
  <si>
    <t>Fete du vacoa: demande de devis / atelier pilon prévu</t>
  </si>
  <si>
    <t>eb6f7755</t>
  </si>
  <si>
    <t>Fete vacoa : a déjà son stand ne viendra pas avec nous</t>
  </si>
  <si>
    <t>503bb909</t>
  </si>
  <si>
    <t>5fd49f74</t>
  </si>
  <si>
    <t>ouverture TDS à faire sous Keylodge</t>
  </si>
  <si>
    <t>25022ddb</t>
  </si>
  <si>
    <t>enregistrement déclaration papier mai 2023</t>
  </si>
  <si>
    <t>860b49f5</t>
  </si>
  <si>
    <t>enregistrement déclaration papier : avril et mai 2023</t>
  </si>
  <si>
    <t>53d10dd8</t>
  </si>
  <si>
    <t>a5cf4ac3</t>
  </si>
  <si>
    <t>Entrée en bdd et devis pour animation fête vacoa</t>
  </si>
  <si>
    <t>281562a0</t>
  </si>
  <si>
    <t>Prestataire contacté par email et par téléphone à propos du Groupe What's App/restaurateurs de Saint Philippe. 
Information laissée sur messagerie.
En attente de réponse.</t>
  </si>
  <si>
    <t>ba797ddf</t>
  </si>
  <si>
    <t>c00fa248</t>
  </si>
  <si>
    <t>ae40fe1a</t>
  </si>
  <si>
    <t>Prestataire contacté par email et par téléphone à propos du Groupe What's App/restaurateurs de Saint Philippe. 
Information donnée.
En attente de réponse.</t>
  </si>
  <si>
    <t>cdb737a7</t>
  </si>
  <si>
    <t>04163c26</t>
  </si>
  <si>
    <t>9ef963ba</t>
  </si>
  <si>
    <t>Prestaire contacter par email et tel concernant le groupe Whatsapp. Info laissé sur boite vocale. En attente retour client</t>
  </si>
  <si>
    <t>01a1d850</t>
  </si>
  <si>
    <t>df733df4</t>
  </si>
  <si>
    <t>de9552ba</t>
  </si>
  <si>
    <t>Madame TECHER a informé qu’elle passera bientôt au bureau pour faire sa déclaration de la taxe de séjour à l’aide du registre du logeur.</t>
  </si>
  <si>
    <t>3cea7e60</t>
  </si>
  <si>
    <t>20d97fe4</t>
  </si>
  <si>
    <t>fermeture provisoire signalée par mail du 16 au 30 juin 2023</t>
  </si>
  <si>
    <t>c0e3c1f8</t>
  </si>
  <si>
    <t>ouverture de compte a faire</t>
  </si>
  <si>
    <t>8df26da8</t>
  </si>
  <si>
    <t>intéressé par le classement</t>
  </si>
  <si>
    <t>1518ee1a</t>
  </si>
  <si>
    <t>enregistrement des déclarations papier : mai et juin 2023</t>
  </si>
  <si>
    <t>3f5b1b2a</t>
  </si>
  <si>
    <t>a5609170</t>
  </si>
  <si>
    <t>c4788a97</t>
  </si>
  <si>
    <t>demande d'infos sur le classement en étoiles (mail reçu sur l'adresse TDS)</t>
  </si>
  <si>
    <t>ddeb5bd3</t>
  </si>
  <si>
    <t>saisie de 2 périodes de fermeture dans la plateforme TDS pour février 2023 et mai 2023 (mail reçu sur TDS)</t>
  </si>
  <si>
    <t>d5e8f68e</t>
  </si>
  <si>
    <t>questions sur la tarification (mail)</t>
  </si>
  <si>
    <t>6811ecdc</t>
  </si>
  <si>
    <t>Bonjour, coordonnées du Choca 0693 96 61 29. Il faut supprimer l'autre . Bonne journée.</t>
  </si>
  <si>
    <t>fe50004f</t>
  </si>
  <si>
    <t>ouverture à faire pour le nouveau meublé</t>
  </si>
  <si>
    <t>737f8141</t>
  </si>
  <si>
    <t>Demande d'aide pour faire sa télédéclaration de la taxe de séjour</t>
  </si>
  <si>
    <t>1001d856</t>
  </si>
  <si>
    <t>515c60e9</t>
  </si>
  <si>
    <t>infos labels</t>
  </si>
  <si>
    <t>8acff917</t>
  </si>
  <si>
    <t>demande d'infos sur les aides rénovation énergétiques et panneaux photovoltaïques</t>
  </si>
  <si>
    <t>19b774de</t>
  </si>
  <si>
    <t>4c8bf23d</t>
  </si>
  <si>
    <t>intéressé par un accompagnement/atelier numérique</t>
  </si>
  <si>
    <t>84af045e</t>
  </si>
  <si>
    <t>nouveaux produits boutique</t>
  </si>
  <si>
    <t>3fef06c8</t>
  </si>
  <si>
    <t>Le 6 juillet 2023, Monsieur GRONDIN est passé au bureau pour remettre le registre du logeur du mois de juin 2023.</t>
  </si>
  <si>
    <t>a73b3dae</t>
  </si>
  <si>
    <t>va passer en location longue durée</t>
  </si>
  <si>
    <t>d1383ce0</t>
  </si>
  <si>
    <t>def6dfe5</t>
  </si>
  <si>
    <t>e1739a67</t>
  </si>
  <si>
    <t>La Villa Letchi a été classée le 19 mai 2023. Madame PAYET a envoyé la décision de classement par le biais de la plateforme de la taxe de séjour.</t>
  </si>
  <si>
    <t>f8aff529</t>
  </si>
  <si>
    <t>envoie du magazine</t>
  </si>
  <si>
    <t>24006465</t>
  </si>
  <si>
    <t>souhaite avoir des panneaux</t>
  </si>
  <si>
    <t>3441ef9c</t>
  </si>
  <si>
    <t>Demande de transmission de la décision de classement de TI KAZENBOI.</t>
  </si>
  <si>
    <t>9515f2a7</t>
  </si>
  <si>
    <t>fermeture définitive au 1er août 2023</t>
  </si>
  <si>
    <t>0d62ca38</t>
  </si>
  <si>
    <t>fermeture définitive au 1er aout 2023</t>
  </si>
  <si>
    <t>5f732f41</t>
  </si>
  <si>
    <t>Le 12 juillet 2023, Madame MOUNOUSSAMY-DARCEL a envoyé la déclaration en mairie à jour de : CASA LOËVA suite à notre échange téléphonique du 11 juillet 2023.</t>
  </si>
  <si>
    <t>48e5b7df</t>
  </si>
  <si>
    <t>l'hébergement a obtenu un classement 3 étoiles</t>
  </si>
  <si>
    <t>c24e58d5</t>
  </si>
  <si>
    <t>cdb51f13</t>
  </si>
  <si>
    <t>Promo à faire</t>
  </si>
  <si>
    <t>e7e5489d</t>
  </si>
  <si>
    <t>demande de mise à jour de la fiche faite par mail par le prestataire le 11/07 : 
"Je reviens vers vous suite à notre discussion pour changer les tarifs sur le site de l'IRT. 
Donc nous avons 5 chambres doubles à 80 € la nuitée avec petit déjeuner compris pour 2 personnes. 
Et 1 bungalow familiale ( 2 adultes, 2 enfants et 1 bébé)  à 140 € la nuitée avec petit déjeuner compris.
Nous avons 3 chambres doubles et le bungalow qui sont équipés de climatisation et d'un mini bar. 
Toutes nos chambres ont leur sanitaires privés et sont  équipées d'une télévision. 
Capacité : 14 personnes et 2 bébé. 
Le paiement se fait par chèques ou espèces. "</t>
  </si>
  <si>
    <t>79ec4767</t>
  </si>
  <si>
    <t>acc télédéclaration</t>
  </si>
  <si>
    <t>94fb4deb</t>
  </si>
  <si>
    <t>Voir si cet établissement est concerné par la collecte de la taxe de séjour.</t>
  </si>
  <si>
    <t>3ff1d36d</t>
  </si>
  <si>
    <t>Monsieur TECHER est venu déposé le courrier de fermeture définitive le 19/07</t>
  </si>
  <si>
    <t>25a310d2</t>
  </si>
  <si>
    <t>Revoir les fiches des établissements merci</t>
  </si>
  <si>
    <t>b1b3c906</t>
  </si>
  <si>
    <t>En septembre si possible. Puisque dossier SIT à corriger, je vois avec Angélica pour gestion dossier complet Pour les 2 établissements</t>
  </si>
  <si>
    <t>4311a9ae</t>
  </si>
  <si>
    <t>f2bde974</t>
  </si>
  <si>
    <t>15cc272c</t>
  </si>
  <si>
    <t>Le presta a besoin d'un accompagnement pour la création de sa page FB &gt; si atelier FB à inviter
Elle a indiqué qu'elle essaiera de s'y mettre d'ici début 2024</t>
  </si>
  <si>
    <t>cbdfd603</t>
  </si>
  <si>
    <t>souhaite des infos sur le classement</t>
  </si>
  <si>
    <t>6af5501e</t>
  </si>
  <si>
    <t>d13c7627</t>
  </si>
  <si>
    <t>Demande de référencement.</t>
  </si>
  <si>
    <t>4a088402</t>
  </si>
  <si>
    <t>Les trois meublés de tourisme sont classés 1 étoile.</t>
  </si>
  <si>
    <t>a271eed3</t>
  </si>
  <si>
    <t>demande d'infos sur qualité tourisme (mail de Claudia)</t>
  </si>
  <si>
    <t>022dca5a</t>
  </si>
  <si>
    <t>Demande de panneau faite le 03/08 par sms</t>
  </si>
  <si>
    <t>98e9ae0c</t>
  </si>
  <si>
    <t>souhaite avoir une promotion fb (vu avec Christophe sur la fête vacoa)</t>
  </si>
  <si>
    <t>6f28df60</t>
  </si>
  <si>
    <t>fermeture définitive signalée sur la plateforme TDS pour le 3ter</t>
  </si>
  <si>
    <t>f1215fe0</t>
  </si>
  <si>
    <t>souhaite participer a un atelier suite au post fait lors du petit déjeuner numérique
demande faites le 12/08 en commentaire</t>
  </si>
  <si>
    <t>6d550756</t>
  </si>
  <si>
    <t>ouverture grand natte à faire</t>
  </si>
  <si>
    <t>c3cc52b8</t>
  </si>
  <si>
    <t>Souhaite une publication sur Facebook</t>
  </si>
  <si>
    <t>27bd8dd3</t>
  </si>
  <si>
    <t>Visite du presta sur le BIT pour une demande de documentations à mettre dans sa location</t>
  </si>
  <si>
    <t>cc77d5f1</t>
  </si>
  <si>
    <t>Le presta aimerait une visite de son etablissement</t>
  </si>
  <si>
    <t>713c6d27</t>
  </si>
  <si>
    <t>4e1ae43a</t>
  </si>
  <si>
    <t>fermé définitivement - à désactiver</t>
  </si>
  <si>
    <t>e4af7567</t>
  </si>
  <si>
    <t>Cet établissement est fermé définitivement. Le courrier de déclaration de fermeture a été transmis par mail le 18/08/2023.</t>
  </si>
  <si>
    <t>587d5326</t>
  </si>
  <si>
    <t>763b5f7e</t>
  </si>
  <si>
    <t>souhaite être référencé sur le site de l'IRT (demande faites par téléphone le 18/08)</t>
  </si>
  <si>
    <t>7bc000a9</t>
  </si>
  <si>
    <t>48532140</t>
  </si>
  <si>
    <t>91e4395e</t>
  </si>
  <si>
    <t>nouveau a faire</t>
  </si>
  <si>
    <t>e7eaf619</t>
  </si>
  <si>
    <t>classement 2 étoiles : le presta a ramené ses papiers au bureau</t>
  </si>
  <si>
    <t>7b418d4b</t>
  </si>
  <si>
    <t>enregistrement du classement 2 étoiles</t>
  </si>
  <si>
    <t>44754904</t>
  </si>
  <si>
    <t>Fermeture temporaire jusqu'au 30 novembre</t>
  </si>
  <si>
    <t>eea90ea2</t>
  </si>
  <si>
    <t>RDV a prendre pour MAJ BDD + visite en décembre 2023!</t>
  </si>
  <si>
    <t>b0a433ab</t>
  </si>
  <si>
    <t>3538049d</t>
  </si>
  <si>
    <t>4bc80afa</t>
  </si>
  <si>
    <t>ouverture à faire &gt; 2 hébergements CH + MT</t>
  </si>
  <si>
    <t>02a8bad7</t>
  </si>
  <si>
    <t>fermeture temporaire signalée par mail TDS de mars 2023 à décembre 2023</t>
  </si>
  <si>
    <t>378726c5</t>
  </si>
  <si>
    <t>be65c49d</t>
  </si>
  <si>
    <t>Sera présent sur le stand artisans dans le cadre de Florilèges le 13/09/2023</t>
  </si>
  <si>
    <t>e0e09b92</t>
  </si>
  <si>
    <t>Sera présent sur notre stand artisans dans le cadre de Florilèges le 14/09/2023</t>
  </si>
  <si>
    <t>6db1754f</t>
  </si>
  <si>
    <t>Sera présent sur notre stand artisans dans le cadre de Florilèges le 15/09/2023</t>
  </si>
  <si>
    <t>761143b5</t>
  </si>
  <si>
    <t>Sera présent sur notre stand artisans dans le cadre de Florilèges le 16/09/2023</t>
  </si>
  <si>
    <t>559d76a6</t>
  </si>
  <si>
    <t>Sera présent sur notre stand artisans dans le cadre de Florilèges le 17/09/2023</t>
  </si>
  <si>
    <t>5e3d2912</t>
  </si>
  <si>
    <t>Sera présent sur notre stand artisans dans le cadre de Florilèges le 18/09/2023</t>
  </si>
  <si>
    <t>eea73e55</t>
  </si>
  <si>
    <t>Sera présent sur notre stand artisans dans le cadre de Florilèges le 19/09/2023</t>
  </si>
  <si>
    <t>83606369</t>
  </si>
  <si>
    <t>Sera présent sur notre stand artisans dans le cadre de Florilèges le 20/09/2023</t>
  </si>
  <si>
    <t>f920d5e8</t>
  </si>
  <si>
    <t>Sera présent sur notre stand artisans dans le cadre de Florilèges le 22/09/2023</t>
  </si>
  <si>
    <t>57f3a500</t>
  </si>
  <si>
    <t>Effectuera un atelier terrarium sur notre stand d'accueil à Florilèges le 14/09/2023</t>
  </si>
  <si>
    <t>87e87eb8</t>
  </si>
  <si>
    <t>Effectuera un atelier de tressage vacoa sur notre stand d'accueil à Florilèges le 17/09/2023</t>
  </si>
  <si>
    <t>d929aef7</t>
  </si>
  <si>
    <t>Effectuera un atelier d'initiation à l'art du payaz sur notre stand d'accueil à Florilèges le 19/09/2023
Il nous a également proposer de réaliser un tabouret paillé par lui qu'on pourra offrir à l'un des participants de l'atelier par le biais d'un tirage au sors.</t>
  </si>
  <si>
    <t>718d101b</t>
  </si>
  <si>
    <t>Effectuera un atelier d'initiation au taillage pilon sur notre stand d'accueil à Florilèges le 20/09/2023</t>
  </si>
  <si>
    <t>82cf97bf</t>
  </si>
  <si>
    <t>Effectuera un atelier kayamb sur notre stand d'accueil à Florilèges le 21/09/2023</t>
  </si>
  <si>
    <t>af4c5c78</t>
  </si>
  <si>
    <t>05f32b00</t>
  </si>
  <si>
    <t>numérique ou classement ?</t>
  </si>
  <si>
    <t>dda7b168</t>
  </si>
  <si>
    <t>acdb93a4</t>
  </si>
  <si>
    <t>36c99c4a</t>
  </si>
  <si>
    <t>structure à fermer : chambre d'hôtes / table d'hôtes</t>
  </si>
  <si>
    <t>cc6f040b</t>
  </si>
  <si>
    <t>Lé Yabar participe à la demande de lot de la FRT pour le Jeu concours Explore, et offre un bon cadeau de 100€ à gagner pour 2 personne sur la prestation dans les bottes d'un agriculteur</t>
  </si>
  <si>
    <t>7011149e</t>
  </si>
  <si>
    <t>envoie de sa décision de classement le 07/09</t>
  </si>
  <si>
    <t>e0bc44af</t>
  </si>
  <si>
    <t>demande d'infos classement</t>
  </si>
  <si>
    <t>83790aad</t>
  </si>
  <si>
    <t>Souhaite 2 fiches pour ses 2 établissements</t>
  </si>
  <si>
    <t>a6482104</t>
  </si>
  <si>
    <t>142a4b04</t>
  </si>
  <si>
    <t>7939fc57</t>
  </si>
  <si>
    <t>Souhaite une promotion explore</t>
  </si>
  <si>
    <t>14c7ff71</t>
  </si>
  <si>
    <t>Souhaite qu'on vienne voir ses chalets</t>
  </si>
  <si>
    <t>f6661ab8</t>
  </si>
  <si>
    <t>souhaite récupérer les bijoux mis en boutique chez nous pour les écouler de son côté &gt; peu de vente à l'OTI</t>
  </si>
  <si>
    <t>796fb0be</t>
  </si>
  <si>
    <t>souhaite être référencé sur reunion.fr</t>
  </si>
  <si>
    <t>3469c6ae</t>
  </si>
  <si>
    <t>270071ea</t>
  </si>
  <si>
    <t>classement à ajouter dans la TDS</t>
  </si>
  <si>
    <t>1840cc34</t>
  </si>
  <si>
    <t>classement 3 étoiles renouvelé</t>
  </si>
  <si>
    <t>48aac189</t>
  </si>
  <si>
    <t>suppression fermeture août 2023 (erreur du presta, signalé sur la plateforme)</t>
  </si>
  <si>
    <t>be53fc8d</t>
  </si>
  <si>
    <t>souhaite avoir des modèles d'état des lieux, contrat de location, règlement intérieur...</t>
  </si>
  <si>
    <t>e788d795</t>
  </si>
  <si>
    <t>8640c6fb</t>
  </si>
  <si>
    <t>très remonté!!! a appelé la hotline le 14/09 (redirigé vers Mélodie par la mairie) le presta se plaint de ne pas avoir de clients à cause des hébergements non déclarés à proximité. il a soulevé le fait que personne ne contrôle les marrons et ça lui fait de la concurrence déloyale &gt; presta très très virulent au téléphone!!!!</t>
  </si>
  <si>
    <t>8d1a19c0</t>
  </si>
  <si>
    <t>f3ae8762</t>
  </si>
  <si>
    <t>promo à faire qd ils auront créé une page fb</t>
  </si>
  <si>
    <t>ce40761a</t>
  </si>
  <si>
    <t>a demandé un RDV pour la boutique + rencontre avec serv presta</t>
  </si>
  <si>
    <t>3c67a4f9</t>
  </si>
  <si>
    <t>fermeture définitive (appel du 19/09/23) sur le tel pro d'Emilie</t>
  </si>
  <si>
    <t>8bb4f2b5</t>
  </si>
  <si>
    <t>8e48b8da</t>
  </si>
  <si>
    <t>souhaite avoir une promo (quand sera référencé sur reunion.fr)</t>
  </si>
  <si>
    <t>f0c9d375</t>
  </si>
  <si>
    <t>formulaire meublé à transmettre</t>
  </si>
  <si>
    <t>bc8e7975</t>
  </si>
  <si>
    <t>83b6d011</t>
  </si>
  <si>
    <t>infos classement à envoyer</t>
  </si>
  <si>
    <t>eead562b</t>
  </si>
  <si>
    <t>0057cf2e</t>
  </si>
  <si>
    <t>courrier de fermeture transmis par la mairie le 04/10</t>
  </si>
  <si>
    <t>cd16e58d</t>
  </si>
  <si>
    <t>Demande faites le 04/10 via le pole élu de la mairie (voir PJ)</t>
  </si>
  <si>
    <t>fdacc4a8</t>
  </si>
  <si>
    <t>bb6d8251</t>
  </si>
  <si>
    <t>nouveau référencement</t>
  </si>
  <si>
    <t>7a12478e</t>
  </si>
  <si>
    <t>mail plateforme TDS &gt; "Bonjour, à quelle adresse mail puis-je envoyer ma décision de classement pour mes meublés. Cordialement, Mr Bertron"</t>
  </si>
  <si>
    <t>39cf209a</t>
  </si>
  <si>
    <t>dbce2e2e</t>
  </si>
  <si>
    <t>403c9ac1</t>
  </si>
  <si>
    <t>b3ec8f20</t>
  </si>
  <si>
    <t>a appelé le 13/10 pour signaler sa fermeture définitive</t>
  </si>
  <si>
    <t>654d076c</t>
  </si>
  <si>
    <t>demande d'attestation</t>
  </si>
  <si>
    <t>ca5ab637</t>
  </si>
  <si>
    <t>b846dbc8</t>
  </si>
  <si>
    <t>enregistrement déclarations papier pour août et septembre 2023</t>
  </si>
  <si>
    <t>3d4ce671</t>
  </si>
  <si>
    <t>bac99aef</t>
  </si>
  <si>
    <t>mail envoyé sur la plateforme : n'arrive plus à utiliser le simulateur</t>
  </si>
  <si>
    <t>bad1920c</t>
  </si>
  <si>
    <t>souhaite avoir une promo (attendre sa page fb)</t>
  </si>
  <si>
    <t>7105a475</t>
  </si>
  <si>
    <t>souhaite avoir une promo (ATTENTION!! pas encore référencé sur reunion.fr + pas encore classé)</t>
  </si>
  <si>
    <t>5358a2c2</t>
  </si>
  <si>
    <t>f4d8c9d6</t>
  </si>
  <si>
    <t>ouverture a faire</t>
  </si>
  <si>
    <t>d1770047</t>
  </si>
  <si>
    <t>demande faites via la plateforme TDS</t>
  </si>
  <si>
    <t>6d0ad972</t>
  </si>
  <si>
    <t>Souhaite une promo FB ( via messenger )</t>
  </si>
  <si>
    <t>503372cd</t>
  </si>
  <si>
    <t>Ré-ouverture du 4B sur la plateforme TDS</t>
  </si>
  <si>
    <t>6599ae30</t>
  </si>
  <si>
    <t>n'arrive pas a déclarer</t>
  </si>
  <si>
    <t>269f5aed</t>
  </si>
  <si>
    <t>besoin d'aide pr la télédéclaration</t>
  </si>
  <si>
    <t>1cde4eab</t>
  </si>
  <si>
    <t>ouverture pour ses 3 structures à faire</t>
  </si>
  <si>
    <t>52f9a500</t>
  </si>
  <si>
    <t>ouverture TDS à faire</t>
  </si>
  <si>
    <t>3db67914</t>
  </si>
  <si>
    <t>Mis en relation avec le CRUB pour expertise du prestataire pour un accompagnement pour l'obtention du label Accueil Vélo pour le BIT de Saint-Philippe + Présentation des c'est nouveaux produitx ciblé btob</t>
  </si>
  <si>
    <t>6611eb49</t>
  </si>
  <si>
    <t>questions si exonération PMR?</t>
  </si>
  <si>
    <t>6a9490a6</t>
  </si>
  <si>
    <t>a7d7ae25</t>
  </si>
  <si>
    <t>f0247756</t>
  </si>
  <si>
    <t>souhaite avoir une promo (attendre classement ou référencement sit)</t>
  </si>
  <si>
    <t>a1b70c63</t>
  </si>
  <si>
    <t>b25647a7</t>
  </si>
  <si>
    <t>envoyer formulaire</t>
  </si>
  <si>
    <t>3455f2f4</t>
  </si>
  <si>
    <t>3f0bd92b</t>
  </si>
  <si>
    <t>07c0046a</t>
  </si>
  <si>
    <t>f400d211</t>
  </si>
  <si>
    <t>fermeture du 3ter dans la plateforme</t>
  </si>
  <si>
    <t>6e97090c</t>
  </si>
  <si>
    <t>Formulaire à transmettre</t>
  </si>
  <si>
    <t>9acf482f</t>
  </si>
  <si>
    <t>40ef1076</t>
  </si>
  <si>
    <t>fermeture temporaire signalée par mail (courrier) du 01/11 au 15/12</t>
  </si>
  <si>
    <t>c698432f</t>
  </si>
  <si>
    <t>besoin d'aide pour la télédéclaration</t>
  </si>
  <si>
    <t>50afc555</t>
  </si>
  <si>
    <t>demande accompagnement télédéclaration</t>
  </si>
  <si>
    <t>a21696c5</t>
  </si>
  <si>
    <t>6abfe52f</t>
  </si>
  <si>
    <t>Demande de panneaux signalétiques (cf. courriel transmis par Émilie MOREL, le 08 février 2023).</t>
  </si>
  <si>
    <t>20350710</t>
  </si>
  <si>
    <t>souhaite avoir une promo fb (attendre que la page soit créée + alimentée)</t>
  </si>
  <si>
    <t>a6347197</t>
  </si>
  <si>
    <t>envoie du formulaire</t>
  </si>
  <si>
    <t>3a09dd32</t>
  </si>
  <si>
    <t>souhaite avoir une promo explore</t>
  </si>
  <si>
    <t>3c7f4329</t>
  </si>
  <si>
    <t>Fermeture signalé par un CES</t>
  </si>
  <si>
    <t>ab2a427a</t>
  </si>
  <si>
    <t>19571aef</t>
  </si>
  <si>
    <t>Cet établissement est fermé provisoirement depuis le 1er novembre 2023 jusqu'au 30 avril 2024.</t>
  </si>
  <si>
    <t>bdda9293</t>
  </si>
  <si>
    <t>710c2906</t>
  </si>
  <si>
    <t>Le fils de Monsieur GIACOMINO souhaite être rappelé par Noémie pour faire le point au sujet du courriel envoyé le 15/11/2023 à l'adresse : g.giacomino@gmail.com</t>
  </si>
  <si>
    <t>e421433d</t>
  </si>
  <si>
    <t>c30c711b</t>
  </si>
  <si>
    <t>6c2cd43e</t>
  </si>
  <si>
    <t>Demande de panneau signalétique.</t>
  </si>
  <si>
    <t>5bbe850c</t>
  </si>
  <si>
    <t>c95ce730</t>
  </si>
  <si>
    <t>9ef92165</t>
  </si>
  <si>
    <t>est classé 2 étoiles sur la tds (on a pas sa décision) 
est passé au bit de st jo &gt; souhaite renouveler son classement</t>
  </si>
  <si>
    <t>7897f6b7</t>
  </si>
  <si>
    <t>ne souhaite pas être référencé chez nous &gt; mais structure tjr ouverte donc TDS &gt; ouvert et à jour</t>
  </si>
  <si>
    <t>0eff9b06</t>
  </si>
  <si>
    <t>La demande d'attestation OTI a été faite par mail et par téléphone.</t>
  </si>
  <si>
    <t>867cbc00</t>
  </si>
  <si>
    <t>A besoin de visibilité</t>
  </si>
  <si>
    <t>5ac8603c</t>
  </si>
  <si>
    <t>55c75f47</t>
  </si>
  <si>
    <t>Le 28/11/2023, Madame RABHI a appelé la hotline pour faire une demande de panneau signalétique.</t>
  </si>
  <si>
    <t>00d33390</t>
  </si>
  <si>
    <t>93f3d4be</t>
  </si>
  <si>
    <t>Le courrier de déclaration de fermeture définitive a été transmis par mail le 01/12/2023.</t>
  </si>
  <si>
    <t>2492ba32</t>
  </si>
  <si>
    <t>souhaite avoir des infos pr l'ecolabel EU</t>
  </si>
  <si>
    <t>2a5146a9</t>
  </si>
  <si>
    <t>Madame MEDOC a réservé via booking mais rien ne s'est passé comme prévu &gt; a appelé la hotline le 04/12 &gt; souhaite faire remonter une plainte</t>
  </si>
  <si>
    <t>e7dd3c3e</t>
  </si>
  <si>
    <t>Demande de transmission de la liste des organismes de contrôle agréés pour le classement des meublés de tourisme.</t>
  </si>
  <si>
    <t>9b822134</t>
  </si>
  <si>
    <t>installation de panneaux pour son hébergement</t>
  </si>
  <si>
    <t>575dbc59</t>
  </si>
  <si>
    <t>52f8c1d6</t>
  </si>
  <si>
    <t>48afb9f9</t>
  </si>
  <si>
    <t>fermeture signalé par tel le 08/12</t>
  </si>
  <si>
    <t>7a823bf7</t>
  </si>
  <si>
    <t>fermeture définitive de l'hébergement (requête envoyée sur la plateforme TDS)</t>
  </si>
  <si>
    <t>89da2847</t>
  </si>
  <si>
    <t>1e0194c3</t>
  </si>
  <si>
    <t>souhaite avoir une promo 
1 pour les 3 hbergements?</t>
  </si>
  <si>
    <t>ee6edc0c</t>
  </si>
  <si>
    <t>Cet établissement sera fermé provisoirement du 28 décembre 2023 au 29 février 2024.</t>
  </si>
  <si>
    <t>9ec6cc99</t>
  </si>
  <si>
    <t>fermeture temporaire signalé par mail le 05/12 via la plateforme TDS</t>
  </si>
  <si>
    <t>06a8932e</t>
  </si>
  <si>
    <t>souhaite avoir une promo 
Une pour tous les hebergements si c'est possible ?</t>
  </si>
  <si>
    <t>48c0d5a9</t>
  </si>
  <si>
    <t>3b7f3393</t>
  </si>
  <si>
    <t>Demande de transmission du courrier de déclaration de fermeture définitive.</t>
  </si>
  <si>
    <t>1b2331d9</t>
  </si>
  <si>
    <t>Souhaite avoir une promo &gt; sur leur offre excursion et transfert aéroport (à prog le presta doit m'envoyer le descriptif encore)</t>
  </si>
  <si>
    <t>42b7a939</t>
  </si>
  <si>
    <t>26fa6f89</t>
  </si>
  <si>
    <t>64ca0e13</t>
  </si>
  <si>
    <t>422be6d6</t>
  </si>
  <si>
    <t>00f58cea</t>
  </si>
  <si>
    <t>d8d79dac</t>
  </si>
  <si>
    <t>Fin 2023 plainte, la procédure sera lancée après les fêtes de fin d'année</t>
  </si>
  <si>
    <t>a68f8092</t>
  </si>
  <si>
    <t>obtention d'un classement 3 étoiles pour ses deux meublés</t>
  </si>
  <si>
    <t>d5a79bf7</t>
  </si>
  <si>
    <t>enregistrement du classement dans la plateforme et envoi des docs tarifaires</t>
  </si>
  <si>
    <t>b10610dd</t>
  </si>
  <si>
    <t>1be5233f</t>
  </si>
  <si>
    <t>réouverture de l'hébergement en cours</t>
  </si>
  <si>
    <t>763efae9</t>
  </si>
  <si>
    <t>Le 27 décembre 2023, Madame PAYET a fait une demande d'accompagnement par le biais de la hotline.</t>
  </si>
  <si>
    <t>535680a3</t>
  </si>
  <si>
    <t>Le 02 janvier 2024, Monsieur CHAN CHIT SANG a fait une demande d'accompagnement par le biais de la hotline. De plus, le prestataire a transmis un courriel.</t>
  </si>
  <si>
    <t>dec1c7d8</t>
  </si>
  <si>
    <t>1b15da9e</t>
  </si>
  <si>
    <t>envoyer les documents classement / GDF</t>
  </si>
  <si>
    <t>886ac640</t>
  </si>
  <si>
    <t>prestataire demande à avoir son hébergement sur reunion.fr</t>
  </si>
  <si>
    <t>26ce54a2</t>
  </si>
  <si>
    <t>Monsieur a téléphoné pour savoir le montant a reverser, mais l'hébergement est déclaré "fermé" sur plusieurs mois</t>
  </si>
  <si>
    <t>cf816164</t>
  </si>
  <si>
    <t>Le 08 janvier 2024, Madame DIJOUX et Monsieur CLAIN ont fait une demande d'accompagnement par le biais de la hotline.</t>
  </si>
  <si>
    <t>e7d31bc0</t>
  </si>
  <si>
    <t>le 08/01/24 demande de visite suite à la NL</t>
  </si>
  <si>
    <t>88a615a5</t>
  </si>
  <si>
    <t>appel reçu le 09/01/24 : M. PAYET souhaite voir si son registre comptable est exportable dans la plateforme TDS pour pouvoir fermer le registre et faire des déclarations globales mensuelles</t>
  </si>
  <si>
    <t>24f93c58</t>
  </si>
  <si>
    <t>intéressé par les labels</t>
  </si>
  <si>
    <t>2cc07d40</t>
  </si>
  <si>
    <t>souhaite qu'on visite sa structure</t>
  </si>
  <si>
    <t>4234396c</t>
  </si>
  <si>
    <t>Madame MÉZINO n'arrive pas à obtenir la confirmation de paiement de la taxe de séjour. Cette dernière souhaite avoir un accompagnement.</t>
  </si>
  <si>
    <t>69b9a980</t>
  </si>
  <si>
    <t>entrée en plateforme TDS</t>
  </si>
  <si>
    <t>09270ca3</t>
  </si>
  <si>
    <t>pb de reversement TDS</t>
  </si>
  <si>
    <t>ae40b6d8</t>
  </si>
  <si>
    <t>envoie du courrier de fermeture défiinitive</t>
  </si>
  <si>
    <t>b4755975</t>
  </si>
  <si>
    <t>1387324b</t>
  </si>
  <si>
    <t>nous invite à un vernissage dans sa structure (voir post fb)</t>
  </si>
  <si>
    <t>a2c2ebaf</t>
  </si>
  <si>
    <t>J'ai appelé le presta pour faire sa mise en avant pour la Saint-Valentin (il n'a plus de place jusqu'au 16 février mais les gens pourront profiter après la Saint-Valentin)</t>
  </si>
  <si>
    <t>413613b7</t>
  </si>
  <si>
    <t>demande de panneaux</t>
  </si>
  <si>
    <t>c3dd1e89</t>
  </si>
  <si>
    <t>5cef598a</t>
  </si>
  <si>
    <t>promo à programmer après celle de l'oti :)</t>
  </si>
  <si>
    <t>e7ed4ba1</t>
  </si>
  <si>
    <t>a0e3581a</t>
  </si>
  <si>
    <t>1c4b3233</t>
  </si>
  <si>
    <t>8715d884</t>
  </si>
  <si>
    <t>Le 25/01/2024, Madame JENAHA a fait une demande d'accompagnement par le biais de la hotline. De plus, le prestataire a transmis un courriel.</t>
  </si>
  <si>
    <t>6fd657d5</t>
  </si>
  <si>
    <t>intéressé par les labels et l'écolabel européen</t>
  </si>
  <si>
    <t>eecc7a4d</t>
  </si>
  <si>
    <t>Madame Jocelyne LEBON souhaite être contactée par Noémie au sujet des modalités de fermeture d'un hébergement. Le prestataire a bien reçu le courrier de déclaration de fermeture transmis par mail le 08 janvier 2024.</t>
  </si>
  <si>
    <t>8f6f89d3</t>
  </si>
  <si>
    <t>envoie du courrier fermeture</t>
  </si>
  <si>
    <t>0250de36</t>
  </si>
  <si>
    <t>courrier à envoyer</t>
  </si>
  <si>
    <t>7f938b69</t>
  </si>
  <si>
    <t>message reçu le 01/02 :
"Bonjour je souhaiterais savoir comment faire pour ne plus recevoir de demande de taxe de séjour puisque mon établissement est fermé définitivement. Merci"</t>
  </si>
  <si>
    <t>b2521b84</t>
  </si>
  <si>
    <t>pb internet chez lui, probablement la déclaration de janvier sera faite en retard</t>
  </si>
  <si>
    <t>c15fb87e</t>
  </si>
  <si>
    <t>souhaite avoir une promo (attendre christophe fera fb avant, note qlq part)</t>
  </si>
  <si>
    <t>eac720ca</t>
  </si>
  <si>
    <t>f60a5454</t>
  </si>
  <si>
    <t>5d84b73d</t>
  </si>
  <si>
    <t>Monique a appelé pour m'informer qu'elle avait changer de ville  et donc ses informations doivent être mises à jour.  Je lui ai dis que je transmet le message pour qu'elle soit rappelé</t>
  </si>
  <si>
    <t>ce00ad1d</t>
  </si>
  <si>
    <t>b8209d4e</t>
  </si>
  <si>
    <t>Ont besoin de visibilité car ne sont remplis qu'à 60%. Ils sont très chouettes !</t>
  </si>
  <si>
    <t>1d7d03e8</t>
  </si>
  <si>
    <t>Souhaite qu'on visite leur établissement et ne sont remplis qu'à 60%, donc ont besoin de promotion</t>
  </si>
  <si>
    <t>951d46ee</t>
  </si>
  <si>
    <t>Ont besoin de visibilité</t>
  </si>
  <si>
    <t>1253f91b</t>
  </si>
  <si>
    <t>souhaite renouvelé son classement en étoiles</t>
  </si>
  <si>
    <t>fce8c1cc</t>
  </si>
  <si>
    <t>Il faut leur envoyer par mail le contenu de leur fiche reunion.fr.
Et leur demander de renvoyer les éléments à modifier et à rajouter
Et leur demander de nous envoyer les superbes photos qu'ils ont</t>
  </si>
  <si>
    <t>d88f7a5a</t>
  </si>
  <si>
    <t>envoi du courrier de fermeture définitive (suite à une requête du presta dans la plateforme TDS)</t>
  </si>
  <si>
    <t>aa6434c6</t>
  </si>
  <si>
    <t>a5ac8153</t>
  </si>
  <si>
    <t>2e240ac4</t>
  </si>
  <si>
    <t>079471ed</t>
  </si>
  <si>
    <t>829f3354</t>
  </si>
  <si>
    <t>envoi du courrier type suite à requête dans la plateforme TDS pr fermeture définitive</t>
  </si>
  <si>
    <t>76a90d5c</t>
  </si>
  <si>
    <t>fermeture signalée par requête sur la plateforme TDS</t>
  </si>
  <si>
    <t>deb3accb</t>
  </si>
  <si>
    <t>Vérification deconnexion plateforme irt à comprendre</t>
  </si>
  <si>
    <t>c848460d</t>
  </si>
  <si>
    <t>a transmis sa décision de classement en étoile</t>
  </si>
  <si>
    <t>6743cc61</t>
  </si>
  <si>
    <t>ouverture tds</t>
  </si>
  <si>
    <t>6e43910d</t>
  </si>
  <si>
    <t>a18f4080</t>
  </si>
  <si>
    <t>Reçu le 28/02 :
"Bonjour  ,  je vous informe que à partir du 1 mars l appartement la reunnionaise est fermé ne sera plus en location saisonnière. 
Cordialement. "</t>
  </si>
  <si>
    <t>1cc07760</t>
  </si>
  <si>
    <t>fermeture de la kaz a melina 2 au 1er avril</t>
  </si>
  <si>
    <t>5487daee</t>
  </si>
  <si>
    <t>Madame voulait nous faire part du changement de classement de son hébergement. Elle accueillera à partir de maintenant pour minimum 3 nuits et non 2.</t>
  </si>
  <si>
    <t>904a354e</t>
  </si>
  <si>
    <t>Zescales: transmettre formulaire Sit</t>
  </si>
  <si>
    <t>d1d8b4df</t>
  </si>
  <si>
    <t>7990d14b</t>
  </si>
  <si>
    <t>1e4a1163</t>
  </si>
  <si>
    <t>b0f2d2e1</t>
  </si>
  <si>
    <t>Souhaite avoir une promo</t>
  </si>
  <si>
    <t>691b5c20</t>
  </si>
  <si>
    <t>est passé au bureau le 11/03/24 pour demander une visite pour ses 2 hébergements</t>
  </si>
  <si>
    <t>abc13482</t>
  </si>
  <si>
    <t>nous signale une fermeture pour le mois de juin + en projet de vente d'ici 6 mois</t>
  </si>
  <si>
    <t>e49d94fb</t>
  </si>
  <si>
    <t>fermé jusqu'au 31 décembre 2024</t>
  </si>
  <si>
    <t>3cee014a</t>
  </si>
  <si>
    <t>fermeture provisoire jusqu'en décembre 2024</t>
  </si>
  <si>
    <t>a3431bb0</t>
  </si>
  <si>
    <t>0b4b8374</t>
  </si>
  <si>
    <t>7f633482</t>
  </si>
  <si>
    <t>968e32c1</t>
  </si>
  <si>
    <t>13397a7b</t>
  </si>
  <si>
    <t>8be30505</t>
  </si>
  <si>
    <t>fermeture déf</t>
  </si>
  <si>
    <t>4b923885</t>
  </si>
  <si>
    <t>signale fermeture déf</t>
  </si>
  <si>
    <t>3fdd518c</t>
  </si>
  <si>
    <t>6fed8a7e</t>
  </si>
  <si>
    <t>bdeded05</t>
  </si>
  <si>
    <t>souhaite une publicité pour son hébergement</t>
  </si>
  <si>
    <t>63d28eea</t>
  </si>
  <si>
    <t>Souhaite de la publicité (attention post sur fb explore prévu pour mois de mai 2024)</t>
  </si>
  <si>
    <t>b05ad9e4</t>
  </si>
  <si>
    <t>522a0292</t>
  </si>
  <si>
    <t>à signaler sa fermeture sur la tds</t>
  </si>
  <si>
    <t>05bdcd60</t>
  </si>
  <si>
    <t>mail reçu le 20/03/2024 sur la TDS
"Madame, Monsieur,
L'appartement est loué à l'année. C'est pourquoi, je ne souhaite plus devoir à déclarer mensuellement les nuitées.
Je vous remercie par avance, de faire le nécessaire pour ne plus m'envoyer de rappels.
Bien cordialement,"</t>
  </si>
  <si>
    <t>d5ecf009</t>
  </si>
  <si>
    <t>ouverture de son espace pour décembre</t>
  </si>
  <si>
    <t>262fe9ac</t>
  </si>
  <si>
    <t>A besoin d'aide pour louer sa salle de séminaire et sa cuisine pro</t>
  </si>
  <si>
    <t>35945c8f</t>
  </si>
  <si>
    <t>159de6ee</t>
  </si>
  <si>
    <t>mail reçu le 23/03 sur la plateforme TDS :
"Bonjour, le bien sur lequel je faisais mes locations de meublé a été vendu. L'établissement a été transféré à une nouvelle adresse ou j'effectue désormais mon activité de meublé de tourisme. Je voudrais savoir comment modifier l'adresse de l'établissement sur la plateforme de la taxe de séjour et également comment modifier le nom de l'établissement. le numéro de siret restant le m^me car il s'agit d'un transfert du lieu d'exercice et non d'une fermeture."</t>
  </si>
  <si>
    <t>61cdbf24</t>
  </si>
  <si>
    <t>fermeture signalé sur la plateforme tds</t>
  </si>
  <si>
    <t>d0b2accd</t>
  </si>
  <si>
    <t>cb26b98c</t>
  </si>
  <si>
    <t>souhaite ê référencé</t>
  </si>
  <si>
    <t>fb4340a7</t>
  </si>
  <si>
    <t>595a2636</t>
  </si>
  <si>
    <t>35eba314</t>
  </si>
  <si>
    <t>mail reçu sur la plateforme TDS le 04/04/2024
"Le bungalow est définitivement fermé depuis fin 2022. Je n'arrive pas à trouvé l'accès pour indiquer sa fermeture en qualité de logement touristique. Je suis joignable pour toute information."</t>
  </si>
  <si>
    <t>649dfea4</t>
  </si>
  <si>
    <t>300beb5e</t>
  </si>
  <si>
    <t>besoin</t>
  </si>
  <si>
    <t>294be930</t>
  </si>
  <si>
    <t>6a683634</t>
  </si>
  <si>
    <t>fermeture signalée du 15 avril au 15 juin</t>
  </si>
  <si>
    <t>8f2f82ff</t>
  </si>
  <si>
    <t>Souhaite nous faire visiter</t>
  </si>
  <si>
    <t>db2a6d89</t>
  </si>
  <si>
    <t>demande attestation</t>
  </si>
  <si>
    <t>b85e30ec</t>
  </si>
  <si>
    <t>proposition de promo</t>
  </si>
  <si>
    <t>97471a14</t>
  </si>
  <si>
    <t>Demande de GAry Maillot via fb</t>
  </si>
  <si>
    <t>3cce1565</t>
  </si>
  <si>
    <t>Pb à l'activation du compte (cf mail de Julie qui vient de accueil casud)</t>
  </si>
  <si>
    <t>88849fb0</t>
  </si>
  <si>
    <t>30668a63</t>
  </si>
  <si>
    <t>fermeture définitive a enregistrer</t>
  </si>
  <si>
    <t>20054a77</t>
  </si>
  <si>
    <t>Achat de 22 repas dans le cadre d'un Eductour ce jour, en partenariat avec le lycée Evariste De Parny (BTS Tourisme)</t>
  </si>
  <si>
    <t>313c7f7f</t>
  </si>
  <si>
    <t>passage en conciergerie KEYLODGE</t>
  </si>
  <si>
    <t>6bdabc0d</t>
  </si>
  <si>
    <t>passage en gestion KEYLODGE</t>
  </si>
  <si>
    <t>f6e051b7</t>
  </si>
  <si>
    <t>passée au bureau le 17/04/24 pour faire ses déclarations papier : oct + dec 2023 // janv + mars 2024</t>
  </si>
  <si>
    <t>64e516a0</t>
  </si>
  <si>
    <t>312b3f90</t>
  </si>
  <si>
    <t>a appelé pour savoir si sa déclaration a bien été enregistrée</t>
  </si>
  <si>
    <t>6dd61244</t>
  </si>
  <si>
    <t>suppression de fermeture temporaire sur la plateforme TDS (signalement effectué par le presta via formulaire plateforme)</t>
  </si>
  <si>
    <t>49702abc</t>
  </si>
  <si>
    <t>2490c89e</t>
  </si>
  <si>
    <t>c27b67ff</t>
  </si>
  <si>
    <t>projet d'ouverture restaurant</t>
  </si>
  <si>
    <t>019b77c2</t>
  </si>
  <si>
    <t>déclare que le peace &amp; lodge 1 n'est plus en activité</t>
  </si>
  <si>
    <t>32b5f7e2</t>
  </si>
  <si>
    <t>b9dfdce7</t>
  </si>
  <si>
    <t>Le mari de Mme Sery est décédé récemment, elle a appelé pour se renseigner sur la TDS et faire changer l'adresse mail</t>
  </si>
  <si>
    <t>43c51e26</t>
  </si>
  <si>
    <t>dossier à envoyer</t>
  </si>
  <si>
    <t>6e9a72e3</t>
  </si>
  <si>
    <t>a envoyé plusieurs mails (adresse TDS + CASUD + mairie) pour signaler des problèmes de panneaux et d'entretien au niveau du sentier du Dimitile</t>
  </si>
  <si>
    <t>b7258a89</t>
  </si>
  <si>
    <t>problème de connexion à la plateforme (mail TDS)</t>
  </si>
  <si>
    <t>ad315c34</t>
  </si>
  <si>
    <t>questions sur le reversement (période 1 de 2024)</t>
  </si>
  <si>
    <t>83ad853f</t>
  </si>
  <si>
    <t>demande de fermeture envoyée via requête TDS</t>
  </si>
  <si>
    <t>8c02d858</t>
  </si>
  <si>
    <t>souhaite une visite</t>
  </si>
  <si>
    <t>cbcf2832</t>
  </si>
  <si>
    <t>ec84a67d</t>
  </si>
  <si>
    <t>15915d0a</t>
  </si>
  <si>
    <t>ouverture tds à faire + courrier</t>
  </si>
  <si>
    <t>1fc56e77</t>
  </si>
  <si>
    <t>fb182e54</t>
  </si>
  <si>
    <t>promo resto pour entre2zart</t>
  </si>
  <si>
    <t>04dec002</t>
  </si>
  <si>
    <t>Atelier créattion de bijoux à Entre 2 Z'Arts 2024</t>
  </si>
  <si>
    <t>5a288f64</t>
  </si>
  <si>
    <t>Pas de dispo jusqu'à Octobre (contact téléphonique ce jour)</t>
  </si>
  <si>
    <t>bb11fe3c</t>
  </si>
  <si>
    <t>Entre 2 Z'Arts 2024</t>
  </si>
  <si>
    <t>df4f040f</t>
  </si>
  <si>
    <t>Participe à Entre 2 Z'Arts 2024 en tant qu'artisans</t>
  </si>
  <si>
    <t>8d37fa17</t>
  </si>
  <si>
    <t>322a7d81</t>
  </si>
  <si>
    <t>f3206bf5</t>
  </si>
  <si>
    <t>1899a353</t>
  </si>
  <si>
    <t>bbf9fb48</t>
  </si>
  <si>
    <t>7c41d2d0</t>
  </si>
  <si>
    <t>e1e59cf1</t>
  </si>
  <si>
    <t>ace0ba03</t>
  </si>
  <si>
    <t>27f2e7f7</t>
  </si>
  <si>
    <t>58f029ef</t>
  </si>
  <si>
    <t>9360a373</t>
  </si>
  <si>
    <t>a14f11fa</t>
  </si>
  <si>
    <t>Participe à Entre 2 Z'Arts 2024</t>
  </si>
  <si>
    <t>59d6f714</t>
  </si>
  <si>
    <t>8dfe8b4d</t>
  </si>
  <si>
    <t>03c19393</t>
  </si>
  <si>
    <t>69f9cd66</t>
  </si>
  <si>
    <t>d4bf2afc</t>
  </si>
  <si>
    <t>52b2bde7</t>
  </si>
  <si>
    <t>22b0a135</t>
  </si>
  <si>
    <t>da5a367c</t>
  </si>
  <si>
    <t>10c2ce39</t>
  </si>
  <si>
    <t>b1176a93</t>
  </si>
  <si>
    <t>fermeture temporaire prolongée pour 1 an sup (presta a appelé le 21/05/24) &gt; jusqu'au 31 juillet 2025</t>
  </si>
  <si>
    <t>c9d00548</t>
  </si>
  <si>
    <t>fermeture temporaire a enregistrer en plateforme : 31/07/2024 au 31/07/2025 (appel du presta le 21/05/24)</t>
  </si>
  <si>
    <t>d9ba1d5f</t>
  </si>
  <si>
    <t>attestation de fermeture en attente (envoyé par mail le 26 oct 2023)</t>
  </si>
  <si>
    <t>4c14cdbb</t>
  </si>
  <si>
    <t>fermeture signalée et doc envoyé au presta en février 2024</t>
  </si>
  <si>
    <t>7262c9dd</t>
  </si>
  <si>
    <t>fermeture définitive signalée</t>
  </si>
  <si>
    <t>674e4cb3</t>
  </si>
  <si>
    <t>fermeture déf : changement du nom de la fiche sur la plateforme et de la capacité // précedement il n'y avait qu'une fiche pr les 2 hb</t>
  </si>
  <si>
    <t>51ad5ec6</t>
  </si>
  <si>
    <t>fermeture déf signalée sur sa page fb : post du 9 janvier 2024</t>
  </si>
  <si>
    <t>26b6ae1f</t>
  </si>
  <si>
    <t>fermeture signalée par mail</t>
  </si>
  <si>
    <t>95357708</t>
  </si>
  <si>
    <t>fermeture définitive : reversement et déclarations en attente + doc fermeture</t>
  </si>
  <si>
    <t>ca1078d6</t>
  </si>
  <si>
    <t>signalement fermeture définitive envoyé sur la plateforme</t>
  </si>
  <si>
    <t>0a4e863f</t>
  </si>
  <si>
    <t>e422ce9f</t>
  </si>
  <si>
    <t>Mail reçu le 21/05 :
"Nous avons rencontré l'IRT et allons intégrer leur plateforme de commercialisation pour la partie transport.
Comme nous ne sommes pas encore  labellisé Qualité tourisme, serait -il possible d'avoir une attestation de votre part ?"</t>
  </si>
  <si>
    <t>224950c8</t>
  </si>
  <si>
    <t>souhaite maj</t>
  </si>
  <si>
    <t>c7cfeeeb</t>
  </si>
  <si>
    <t>3ac158c7</t>
  </si>
  <si>
    <t>souhaite avoir une promo, mail reçu le 23/05/2024 :
"Je souhaiterai aussi par la suite être visible sur votre magazine."</t>
  </si>
  <si>
    <t>0fa35394</t>
  </si>
  <si>
    <t>test test</t>
  </si>
  <si>
    <t>6430c4e2</t>
  </si>
  <si>
    <t>Suite à son courrier voulait parler à un responsable</t>
  </si>
  <si>
    <t>c5de4b76</t>
  </si>
  <si>
    <t>audit blanc à progrmmer</t>
  </si>
  <si>
    <t>6fe633cf</t>
  </si>
  <si>
    <t>A participé à l'atelier numérique 1</t>
  </si>
  <si>
    <t>6ecab096</t>
  </si>
  <si>
    <t>60d421c7</t>
  </si>
  <si>
    <t>ca1f269c</t>
  </si>
  <si>
    <t>c496b50f</t>
  </si>
  <si>
    <t>cc8911cb</t>
  </si>
  <si>
    <t>08a18d3d</t>
  </si>
  <si>
    <t>53ee2974</t>
  </si>
  <si>
    <t>2d1380c3</t>
  </si>
  <si>
    <t>b0933fed</t>
  </si>
  <si>
    <t>89f64f2f</t>
  </si>
  <si>
    <t>36ab8885</t>
  </si>
  <si>
    <t>f169d3ef</t>
  </si>
  <si>
    <t>A participé à l'atelier numérique 1 (Maëlle)</t>
  </si>
  <si>
    <t>7b0b109c</t>
  </si>
  <si>
    <t>A demander à participer à l'atelier numérique 1, mais n'est pas venu</t>
  </si>
  <si>
    <t>5b54b680</t>
  </si>
  <si>
    <t>A demandé à participer à l'atelier numérique 1, maisn n'est pas venu</t>
  </si>
  <si>
    <t>4c7f5b33</t>
  </si>
  <si>
    <t>A payé en doublon, veut etre rembourser. A fait courrier au Président</t>
  </si>
  <si>
    <t>d6c3e134</t>
  </si>
  <si>
    <t>Même question, AM l'a eu au tel, il semble avoir compris. Une chose sûre : NE PREND PAS DE TOURISTE ORIENTE PAR LES CES, ne reçoit pas de grand public. Ses actions sont sous convention rectorat ou autre...</t>
  </si>
  <si>
    <t>e4de9f7c</t>
  </si>
  <si>
    <t>Demande un panneau, via Léa</t>
  </si>
  <si>
    <t>2343caef</t>
  </si>
  <si>
    <t>demande de màj de sa fiche</t>
  </si>
  <si>
    <t>3b3334e7</t>
  </si>
  <si>
    <t>Parution dans explore :
n°2, 3, 7, 10, 12, 13 + edition eco responsable</t>
  </si>
  <si>
    <t>b9ff629c</t>
  </si>
  <si>
    <t>Parution dans explore : 
n°14</t>
  </si>
  <si>
    <t>148faad2</t>
  </si>
  <si>
    <t>72b0b8d0</t>
  </si>
  <si>
    <t>2056f1d0</t>
  </si>
  <si>
    <t>81c4695b</t>
  </si>
  <si>
    <t>Parution dans explore :
n°13</t>
  </si>
  <si>
    <t>7a253967</t>
  </si>
  <si>
    <t>Parution dans explore :
n°11, 13</t>
  </si>
  <si>
    <t>18629de5</t>
  </si>
  <si>
    <t>12996bd2</t>
  </si>
  <si>
    <t>522202f9</t>
  </si>
  <si>
    <t>c63de501</t>
  </si>
  <si>
    <t>cd5a921f</t>
  </si>
  <si>
    <t>87fc1c0a</t>
  </si>
  <si>
    <t>Parution dans explore :
n°10</t>
  </si>
  <si>
    <t>fb9a1fcc</t>
  </si>
  <si>
    <t>787359d3</t>
  </si>
  <si>
    <t>f8db8107</t>
  </si>
  <si>
    <t>formulaire à transmettre</t>
  </si>
  <si>
    <t>19436a60</t>
  </si>
  <si>
    <t>faire courrier d'ouverture pour la conciergerie</t>
  </si>
  <si>
    <t>7a290c43</t>
  </si>
  <si>
    <t>pb avec booking et le reversement de la taxe</t>
  </si>
  <si>
    <t>0eb6d4db</t>
  </si>
  <si>
    <t>n'arrive pas à activer son compte : code d'activation non valide</t>
  </si>
  <si>
    <t>a7368eac</t>
  </si>
  <si>
    <t>mail reçu sur l'adresse de l'accueil  de la part de richard.dumont@jpocean.fr : Bonjour,
Nous intervenons pour un financement SNC pour le gite Le Palmier à Saint Philippe et nous avons besoin de recueillir l'attestation de classement touristique afin de justifier de la demande.
Je vous remercie d'avance de votre envoi.
Cordialement.</t>
  </si>
  <si>
    <t>34636f32</t>
  </si>
  <si>
    <t>8f9c96bc</t>
  </si>
  <si>
    <t>a reçu le mail d'invitation a déclarer et ne comprend pas pourquoi puisqu'il a déjà déclaré....</t>
  </si>
  <si>
    <t>bfc41a8a</t>
  </si>
  <si>
    <t>Courrier fermeture provisoire transmis par mail le 05/06</t>
  </si>
  <si>
    <t>152eeecf</t>
  </si>
  <si>
    <t>Souhaiterait apparaitre dans le mag explore. Echange de mail dans le cadre du sponsoring pour la fete vacoa ou elle offre un lot</t>
  </si>
  <si>
    <t>52c74d9c</t>
  </si>
  <si>
    <t>devis ateliers fête vacoa</t>
  </si>
  <si>
    <t>fb6d98ac</t>
  </si>
  <si>
    <t>663ad3b3</t>
  </si>
  <si>
    <t>00d8e553</t>
  </si>
  <si>
    <t>1d5c61cf</t>
  </si>
  <si>
    <t>7f761f8e</t>
  </si>
  <si>
    <t>a321b748</t>
  </si>
  <si>
    <t>497322c0</t>
  </si>
  <si>
    <t>1833944a</t>
  </si>
  <si>
    <t>fa48e57b</t>
  </si>
  <si>
    <t>369a2d54</t>
  </si>
  <si>
    <t>offre un lot</t>
  </si>
  <si>
    <t>9a1294b6</t>
  </si>
  <si>
    <t>de7f4891</t>
  </si>
  <si>
    <t>b8198c97</t>
  </si>
  <si>
    <t>offre un lot fête vacoa</t>
  </si>
  <si>
    <t>c713f017</t>
  </si>
  <si>
    <t>430ad2c4</t>
  </si>
  <si>
    <t>Souhaite offrir des lots pour la fete vacoa. ne sait pas comment procéder</t>
  </si>
  <si>
    <t>8884cc20</t>
  </si>
  <si>
    <t>formulaire a envoyer</t>
  </si>
  <si>
    <t>ec1e60ea</t>
  </si>
  <si>
    <t>souhaite une promo sur la page FB</t>
  </si>
  <si>
    <t>d7575f60</t>
  </si>
  <si>
    <t>changement de SIRENE : envoi de son KBIS</t>
  </si>
  <si>
    <t>e3210246</t>
  </si>
  <si>
    <t>vends sa structure</t>
  </si>
  <si>
    <t>8d9d5aec</t>
  </si>
  <si>
    <t>besoin d'aide pour déclarer</t>
  </si>
  <si>
    <t>29b1116a</t>
  </si>
  <si>
    <t>b54d2720</t>
  </si>
  <si>
    <t>Parution mag explore :
n°8, 10, 15</t>
  </si>
  <si>
    <t>6096f6db</t>
  </si>
  <si>
    <t>Parution mag explore :
n°10</t>
  </si>
  <si>
    <t>f1c93b78</t>
  </si>
  <si>
    <t>Parution mag explore :
n°15</t>
  </si>
  <si>
    <t>5f90f39d</t>
  </si>
  <si>
    <t>060fd3d6</t>
  </si>
  <si>
    <t>Parution mag explore :
n°1 et 15</t>
  </si>
  <si>
    <t>dae904ca</t>
  </si>
  <si>
    <t>7bad4114</t>
  </si>
  <si>
    <t>96beaff0</t>
  </si>
  <si>
    <t>b0d02c04</t>
  </si>
  <si>
    <t>Parution mag explore :
n°8</t>
  </si>
  <si>
    <t>5a26d7ea</t>
  </si>
  <si>
    <t>Parution mag explore :
n°2, 8 et 11</t>
  </si>
  <si>
    <t>2c6df689</t>
  </si>
  <si>
    <t>55aa2090</t>
  </si>
  <si>
    <t>Parution mag explore :
n°1 et 8</t>
  </si>
  <si>
    <t>055f6c07</t>
  </si>
  <si>
    <t>3c2ea688</t>
  </si>
  <si>
    <t>Parution mag explore :
n°8 et 11</t>
  </si>
  <si>
    <t>66cd6b40</t>
  </si>
  <si>
    <t>Parution mag explore :
n°11 et 5</t>
  </si>
  <si>
    <t>018f790c</t>
  </si>
  <si>
    <t>Parution mag explore :
n°11</t>
  </si>
  <si>
    <t>6b277fd0</t>
  </si>
  <si>
    <t>713c56c0</t>
  </si>
  <si>
    <t>transmettre formulaire</t>
  </si>
  <si>
    <t>8d06ed33</t>
  </si>
  <si>
    <t>a1d2f339</t>
  </si>
  <si>
    <t>envoi d'infos sur l'hébergement par mail</t>
  </si>
  <si>
    <t>9583a8e6</t>
  </si>
  <si>
    <t>ajout TDS sous Billikers</t>
  </si>
  <si>
    <t>c02ce5d2</t>
  </si>
  <si>
    <t>f4f0a534</t>
  </si>
  <si>
    <t>ouverture hbgt à faire</t>
  </si>
  <si>
    <t>ff20310b</t>
  </si>
  <si>
    <t>ouverture d'un nouvel hébergement</t>
  </si>
  <si>
    <t>26953644</t>
  </si>
  <si>
    <t>demande conseils au niveau de GDF : a pour projet de se labelliser</t>
  </si>
  <si>
    <t>07a06710</t>
  </si>
  <si>
    <t>mail plateforme TDS : souhaite modifier sa déclaration de novembre 2023 (des séjours sont manquants)</t>
  </si>
  <si>
    <t>34730560</t>
  </si>
  <si>
    <t>renouvellement de classement à faire &gt; en attente de la décision de classement</t>
  </si>
  <si>
    <t>1c50c569</t>
  </si>
  <si>
    <t>Fabien souhaite mettre à jour sa fiche</t>
  </si>
  <si>
    <t>4189850d</t>
  </si>
  <si>
    <t>s'est rendu compte que la maison des hôtes n'est pas dans la bonne catégorie : ce n'est pas un MT mais une chambre d'hôtes!</t>
  </si>
  <si>
    <t>7b52a110</t>
  </si>
  <si>
    <t>le classement a été renouvelé, mais 2 étoiles</t>
  </si>
  <si>
    <t>6ca18a91</t>
  </si>
  <si>
    <t>mise à jour du dossier : augmentation de la capacité + enregistrement classement 4 étoiles</t>
  </si>
  <si>
    <t>1c3d11c2</t>
  </si>
  <si>
    <t>MAJ BDD à faire pour l'hôtel, le SPA et le resto</t>
  </si>
  <si>
    <t>1f8fa5a9</t>
  </si>
  <si>
    <t>Sponsoring fête Vacoa</t>
  </si>
  <si>
    <t>6c9255c5</t>
  </si>
  <si>
    <t>Sponsoring fête Vacoa + appel presta sans réponse donc traité par Mellie</t>
  </si>
  <si>
    <t>c36d2504</t>
  </si>
  <si>
    <t>Demande renseignements nuitée pour séminaire OTISUD</t>
  </si>
  <si>
    <t>e2e972a6</t>
  </si>
  <si>
    <t>mail sur la plateforme TDS pr savoir si airbnb et booking collectent bien la TDS pr elle</t>
  </si>
  <si>
    <t>2ef545f6</t>
  </si>
  <si>
    <t>M. MOGALIA informe que l'hôtel n'est plus sous sa gestion</t>
  </si>
  <si>
    <t>dbfd0db6</t>
  </si>
  <si>
    <t>déclarations manquantes (appel d'Alice)</t>
  </si>
  <si>
    <t>fc75aaac</t>
  </si>
  <si>
    <t>Monsieur est passé à l'office de st phi pour modif les coordonnées de sa fiche</t>
  </si>
  <si>
    <t>ce5c38ab</t>
  </si>
  <si>
    <t>e3b7f8fa</t>
  </si>
  <si>
    <t>Souhaite une promotion sur explore</t>
  </si>
  <si>
    <t>18f70b61</t>
  </si>
  <si>
    <t>b3210f65</t>
  </si>
  <si>
    <t>Va etre dans Régalez vous 5</t>
  </si>
  <si>
    <t>81822955</t>
  </si>
  <si>
    <t>Va être dans Régalez vous n5</t>
  </si>
  <si>
    <t>8f49079e</t>
  </si>
  <si>
    <t>Va être dans Régalez - vous n5</t>
  </si>
  <si>
    <t>bda78045</t>
  </si>
  <si>
    <t>ouverture de compte pour Mme BARRET Stéphanie - société SORAYA</t>
  </si>
  <si>
    <t>ae966fa3</t>
  </si>
  <si>
    <t>classement étoiles arrivé à échéance en 2024 (signalement plateforme TDS)</t>
  </si>
  <si>
    <t>8c69629a</t>
  </si>
  <si>
    <t>souhaite référencer l'hébergement</t>
  </si>
  <si>
    <t>e0d1c038</t>
  </si>
  <si>
    <t>3af27c02</t>
  </si>
  <si>
    <t>9f278dc2</t>
  </si>
  <si>
    <t>ça pourrait être bien à voir quand celles de fb sortent avec Christophe</t>
  </si>
  <si>
    <t>2fa2d6d6</t>
  </si>
  <si>
    <t>Pour le lot de la fête vaca, avec son accord : création du bon cadeau et aussi d'un logo qui pourra réutiliser par la suite</t>
  </si>
  <si>
    <t>a39f8463</t>
  </si>
  <si>
    <t>demande a avoir la liste des artisans choca de l'Entre-Deux pour sa boutique</t>
  </si>
  <si>
    <t>68e4c172</t>
  </si>
  <si>
    <t>Labelisation ECOLABEL EUROPEEN en cours</t>
  </si>
  <si>
    <t>686c4207</t>
  </si>
  <si>
    <t>boutique éphémère les Samedis 14 &amp; 22 Juin 2024 BIT de l'ENTRE- Deux</t>
  </si>
  <si>
    <t>b0800039</t>
  </si>
  <si>
    <t>Boutique éphémère le 01 &amp; 08 Juin 2024 au BIT de Manapany</t>
  </si>
  <si>
    <t>a044ae80</t>
  </si>
  <si>
    <t>Parution dans explore :
n°11</t>
  </si>
  <si>
    <t>48eaecc7</t>
  </si>
  <si>
    <t>26fab76f</t>
  </si>
  <si>
    <t>Parution dans explore :
n°6</t>
  </si>
  <si>
    <t>e1c16c5d</t>
  </si>
  <si>
    <t>Parution dans explore :
n°6 et spéciale OTI du Sud</t>
  </si>
  <si>
    <t>daec1f3c</t>
  </si>
  <si>
    <t>4284fa1e</t>
  </si>
  <si>
    <t>Parution dans explore :
n°7 et spéciale OTI du Sud</t>
  </si>
  <si>
    <t>a7719c7c</t>
  </si>
  <si>
    <t>Parution dans explore :
n°7</t>
  </si>
  <si>
    <t>42a7db6f</t>
  </si>
  <si>
    <t>889e51c0</t>
  </si>
  <si>
    <t>Parution dans explore :
n° éco responsable et spéciale OTI du Sud</t>
  </si>
  <si>
    <t>744a3180</t>
  </si>
  <si>
    <t>Parution dans explore :
n°7 et 1</t>
  </si>
  <si>
    <t>0b1202ab</t>
  </si>
  <si>
    <t>Parution dans explore :
n°12</t>
  </si>
  <si>
    <t>85cdc3e7</t>
  </si>
  <si>
    <t>39af4d6d</t>
  </si>
  <si>
    <t>c3a3d6b5</t>
  </si>
  <si>
    <t>de27f24a</t>
  </si>
  <si>
    <t>3b50bdc0</t>
  </si>
  <si>
    <t>Parution dans explore :
n°5</t>
  </si>
  <si>
    <t>97366a95</t>
  </si>
  <si>
    <t>ouverture</t>
  </si>
  <si>
    <t>9cff1c88</t>
  </si>
  <si>
    <t>2bda68a1</t>
  </si>
  <si>
    <t>à faire</t>
  </si>
  <si>
    <t>bc98315d</t>
  </si>
  <si>
    <t>pb de déclaration à cause de booking</t>
  </si>
  <si>
    <t>2515d023</t>
  </si>
  <si>
    <t>demande de visite suite travaux</t>
  </si>
  <si>
    <t>c9f63b56</t>
  </si>
  <si>
    <t>est passé au BIT le 11/06 pour demander une visite et accompagnement INPI</t>
  </si>
  <si>
    <t>4ab95814</t>
  </si>
  <si>
    <t>n'arrive pas a modifier sa nature d'hébergement &gt; passe de MT à chambre d'hôtes</t>
  </si>
  <si>
    <t>2094c7ae</t>
  </si>
  <si>
    <t>A appeler et demande a être rappelé au sujet de la TDS</t>
  </si>
  <si>
    <t>85008b08</t>
  </si>
  <si>
    <t>fin  de contrat avec Keylodge le 12/07/2024</t>
  </si>
  <si>
    <t>0f295df3</t>
  </si>
  <si>
    <t>ouvrir tds car n'est plus en conciergerie</t>
  </si>
  <si>
    <t>7b74eb22</t>
  </si>
  <si>
    <t>cf3a521b</t>
  </si>
  <si>
    <t>072084c3</t>
  </si>
  <si>
    <t>est passé pour prolonger sa fermeture</t>
  </si>
  <si>
    <t>24fcdc87</t>
  </si>
  <si>
    <t>fe17b20c</t>
  </si>
  <si>
    <t>7008afea</t>
  </si>
  <si>
    <t>souhaite avoir un panneau pour sa boutique</t>
  </si>
  <si>
    <t>a6ed1e5f</t>
  </si>
  <si>
    <t>Atelier de tressage au KIT de Manapany</t>
  </si>
  <si>
    <t>359d2db7</t>
  </si>
  <si>
    <t>envoyer courrier</t>
  </si>
  <si>
    <t>80d026d3</t>
  </si>
  <si>
    <t>Propose un covoit pour les z</t>
  </si>
  <si>
    <t>97c5d47d</t>
  </si>
  <si>
    <t>modification du nom de l'hébergement &gt; Mme a envoyé un mail</t>
  </si>
  <si>
    <t>9b587478</t>
  </si>
  <si>
    <t>Souhaite les infos sur le classement</t>
  </si>
  <si>
    <t>44dd23a3</t>
  </si>
  <si>
    <t>Classement 3 étoiles transmis</t>
  </si>
  <si>
    <t>d1e2dfe2</t>
  </si>
  <si>
    <t>ajout d'un nouvel hébergement sur St Jo</t>
  </si>
  <si>
    <t>41937573</t>
  </si>
  <si>
    <t>erreur de déclaration sur juillet signalé par mail</t>
  </si>
  <si>
    <t>5c819a88</t>
  </si>
  <si>
    <t>relance pr la fin de contrat de Ti Jean au 31 mai</t>
  </si>
  <si>
    <t>18a6d325</t>
  </si>
  <si>
    <t>classement de 2 meublés : info envoyée par mail</t>
  </si>
  <si>
    <t>df3c8e4d</t>
  </si>
  <si>
    <t>fermeture définitive pour location longue durée (mail TDS)</t>
  </si>
  <si>
    <t>e2cf49eb</t>
  </si>
  <si>
    <t>signale qu'elle passera en location longue durée</t>
  </si>
  <si>
    <t>86e5361f</t>
  </si>
  <si>
    <t>fermeture définitive annoncée par mail (TDS)</t>
  </si>
  <si>
    <t>abd55d60</t>
  </si>
  <si>
    <t>114be940</t>
  </si>
  <si>
    <t>0f5f929e</t>
  </si>
  <si>
    <t>souhaite savoir les modalités et dates de reversement + comment faire pour ajouter un séjour a une déclaration</t>
  </si>
  <si>
    <t>ca4c55c3</t>
  </si>
  <si>
    <t>classement du meublé de tourisme Jardin Secret 2 étoiles</t>
  </si>
  <si>
    <t>c478d281</t>
  </si>
  <si>
    <t>Classement du meublé de tourisme LE FIGUIER : 2 étoiles</t>
  </si>
  <si>
    <t>a8724d30</t>
  </si>
  <si>
    <t>renouvellement classement la tomie 3 étoiles (presta a envoyé un mail sur la TDS)</t>
  </si>
  <si>
    <t>b6444de1</t>
  </si>
  <si>
    <t>6de90f25</t>
  </si>
  <si>
    <t>Parution dans explore :
n°4</t>
  </si>
  <si>
    <t>3298abcd</t>
  </si>
  <si>
    <t>25524261</t>
  </si>
  <si>
    <t>d46afa3b</t>
  </si>
  <si>
    <t>71aad19c</t>
  </si>
  <si>
    <t>4120209c</t>
  </si>
  <si>
    <t>Parution mag Explore n°4</t>
  </si>
  <si>
    <t>8ab9df02</t>
  </si>
  <si>
    <t>Parution dans explore :
n°3</t>
  </si>
  <si>
    <t>b2d7620b</t>
  </si>
  <si>
    <t>f62f31bb</t>
  </si>
  <si>
    <t>Parution dans explore :
n°2</t>
  </si>
  <si>
    <t>05647aec</t>
  </si>
  <si>
    <t>154eb12c</t>
  </si>
  <si>
    <t>c3070892</t>
  </si>
  <si>
    <t>Parution dans explore :
n°1</t>
  </si>
  <si>
    <t>c909873d</t>
  </si>
  <si>
    <t>6738ece9</t>
  </si>
  <si>
    <t>4210bac0</t>
  </si>
  <si>
    <t>fermeture temporaire annoncée par téléphone le 12/08/24 &gt; du 1er août au 15 octobre 2024</t>
  </si>
  <si>
    <t>52c1e161</t>
  </si>
  <si>
    <t>99ede664</t>
  </si>
  <si>
    <t>mail TDS &gt; presta informe que la décla de juillet n'est pas accessible à la validation</t>
  </si>
  <si>
    <t>e28a7f37</t>
  </si>
  <si>
    <t>b8341722</t>
  </si>
  <si>
    <t>Veut</t>
  </si>
  <si>
    <t>534b06f5</t>
  </si>
  <si>
    <t>3b76ead2</t>
  </si>
  <si>
    <t>083173d3</t>
  </si>
  <si>
    <t>58eddfac</t>
  </si>
  <si>
    <t>Enervé car les touristes se perdent arrivés devant le chemin Mathyas. Ca fait 3 ans qu'on lui dit la même chose. Il demande si sur l'ensemble des 8 structures toutes sont encore ouvertes pour voir s'il peut enlever une et remettre la sienne à la place de la même forme. Il dit qu'un mr est passé il y a 3 ans. Je lui propose de lui envoyer notre adresse mail pour qu'il nous renvoie la photo de l'ensemble pour qu'on voit s'il y a des fermés pour lui dire qui seraient les fermés.</t>
  </si>
  <si>
    <t>0f5118ec</t>
  </si>
  <si>
    <t>"Bonjour, Nous souhaiterions demander la désactivation de l'hébergement. Merci de bien vouloir prendre en considération notre demande. Cordialement"</t>
  </si>
  <si>
    <t>72cf997a</t>
  </si>
  <si>
    <t>742ff919</t>
  </si>
  <si>
    <t>était géré par la conciergerie CARO &amp; CO et a mis fin au contrat</t>
  </si>
  <si>
    <t>8976495c</t>
  </si>
  <si>
    <t>0aa6b163</t>
  </si>
  <si>
    <t>souhaite mettre à jour sa fiche</t>
  </si>
  <si>
    <t>377956fa</t>
  </si>
  <si>
    <t>souhaite avoir les contacts</t>
  </si>
  <si>
    <t>5ed424e2</t>
  </si>
  <si>
    <t>008ec276</t>
  </si>
  <si>
    <t>Souhaite être dans un mag</t>
  </si>
  <si>
    <t>71862da0</t>
  </si>
  <si>
    <t>n'arrivait pas a faire ses déclarations à zéro malgré les mails explicatifs</t>
  </si>
  <si>
    <t>21c25e61</t>
  </si>
  <si>
    <t>souhaite fermer son hébergement</t>
  </si>
  <si>
    <t>d81b50c4</t>
  </si>
  <si>
    <t>Courrier fermeture transmis</t>
  </si>
  <si>
    <t>e3ae2816</t>
  </si>
  <si>
    <t>souhaite entrer en boutique</t>
  </si>
  <si>
    <t>bb5b0be7</t>
  </si>
  <si>
    <t>f70c655a</t>
  </si>
  <si>
    <t>00a6776f</t>
  </si>
  <si>
    <t>demande pourquoi sa TDS n'est pas au bon tarif alors qu'il n'a pas transmis ses décisions de classement malgré les demandes par mail</t>
  </si>
  <si>
    <t>8a165d93</t>
  </si>
  <si>
    <t>ce presta a pour projet de recycler du papier : propal faite à Julie qui est ok pour qu'on lui donne notre papier de bureau déjà broyé &gt; conv à établir lorsque le presta sera pret</t>
  </si>
  <si>
    <t>419bf6e4</t>
  </si>
  <si>
    <t>renouvellement du classement étoile signalé par requete TDS</t>
  </si>
  <si>
    <t>e40b15d0</t>
  </si>
  <si>
    <t>message sur plateforme TDS : fermeture définitive des 2 villas qui passent en location longue durée</t>
  </si>
  <si>
    <t>61ad381d</t>
  </si>
  <si>
    <t>en fermeture temporaire du 01/09/2024 au 31/10/2025</t>
  </si>
  <si>
    <t>179da119</t>
  </si>
  <si>
    <t>95077f94</t>
  </si>
  <si>
    <t>souhaite des panneaux signalétiques</t>
  </si>
  <si>
    <t>d83c24a5</t>
  </si>
  <si>
    <t>70a0271f</t>
  </si>
  <si>
    <t>fermé définitivement, courrier à transmettre</t>
  </si>
  <si>
    <t>e0f5295f</t>
  </si>
  <si>
    <t>6e31361c</t>
  </si>
  <si>
    <t>Participation à Koulér Z'épices le 07/09/2024 à Grand Coude (Atelier payant de sensibilisation)</t>
  </si>
  <si>
    <t>2e102bd5</t>
  </si>
  <si>
    <t>Koulèr Z'épices à Grand Coude</t>
  </si>
  <si>
    <t>db8ad60a</t>
  </si>
  <si>
    <t>Participation Koulèr Z'épices le 07/09/2024 : Accueil petit déjeuner et atelier de décoration sur biscuit (payants)</t>
  </si>
  <si>
    <t>1df2a02b</t>
  </si>
  <si>
    <t>Participation Koulèr Z'épices (privatisation des lieux)</t>
  </si>
  <si>
    <t>1bbba6bb</t>
  </si>
  <si>
    <t>Participation Koulèr Z'épices : Food trip et concours culinaire</t>
  </si>
  <si>
    <t>48109c68</t>
  </si>
  <si>
    <t>fermeture définitive annoncée par mail sur TDS</t>
  </si>
  <si>
    <t>e567d360</t>
  </si>
  <si>
    <t>113acba3</t>
  </si>
  <si>
    <t>demande d'infos au sujet des ERP</t>
  </si>
  <si>
    <t>6e6e308e</t>
  </si>
  <si>
    <t>Parution dans le mag OTI du Sud by explore</t>
  </si>
  <si>
    <t>7ec859ab</t>
  </si>
  <si>
    <t>61957214</t>
  </si>
  <si>
    <t>63c416c4</t>
  </si>
  <si>
    <t>e70db6e4</t>
  </si>
  <si>
    <t>131d6719</t>
  </si>
  <si>
    <t>5ed76e40</t>
  </si>
  <si>
    <t>5ab06ffd</t>
  </si>
  <si>
    <t>14ee6185</t>
  </si>
  <si>
    <t>Parution dans Zest n°4</t>
  </si>
  <si>
    <t>16b380e6</t>
  </si>
  <si>
    <t>page SIT a créer</t>
  </si>
  <si>
    <t>845f9ed2</t>
  </si>
  <si>
    <t>68bd564d</t>
  </si>
  <si>
    <t>Réel insta prog 6 oct</t>
  </si>
  <si>
    <t>e482cbce</t>
  </si>
  <si>
    <t>reçu le 28/09/2024 
"Bonjour, nous allons réaliser des travaux dans notre chambre d'hôtes du 1 octobre au 31 décembre 2024, je vous demande donc d'en tenir compte pour les documents de déclaration de la taxe de séjour et des état récapitulatifs, si les travaux se terminent plus tôt que prévu, je vous tiendrais informé par un message.
Vous remerciant d'en prendre note, et restant à votre service pour toutes informations dont vous auriez besoin."</t>
  </si>
  <si>
    <t>ba4693c9</t>
  </si>
  <si>
    <t>demande a être sur le site</t>
  </si>
  <si>
    <t>ab54e15d</t>
  </si>
  <si>
    <t>classées 3 étoiles</t>
  </si>
  <si>
    <t>ba6590b5</t>
  </si>
  <si>
    <t>fermeture provisoire prolongée jusqu'en juin 2025 à la demande de M. Corré passé au bureau le 08/10/2024</t>
  </si>
  <si>
    <t>a895e021</t>
  </si>
  <si>
    <t>ferme fin octobre</t>
  </si>
  <si>
    <t>ad9a0f17</t>
  </si>
  <si>
    <t>veut transmettre infos + docs</t>
  </si>
  <si>
    <t>357ff3ca</t>
  </si>
  <si>
    <t>Participation à l'inauguration du nouveau centre culturel de Leclerc Les Terrass à Saint-Joseph</t>
  </si>
  <si>
    <t>9e528ad6</t>
  </si>
  <si>
    <t>d12a01dc</t>
  </si>
  <si>
    <t>Participation à l'inauguration du nouveau centre culturel de Leclerc Les Terrass le 14/10/204</t>
  </si>
  <si>
    <t>a80500d3</t>
  </si>
  <si>
    <t>fbbd24db</t>
  </si>
  <si>
    <t>ouverture de compte + a appelé pr demande d'infos le 23/10</t>
  </si>
  <si>
    <t>e1094417</t>
  </si>
  <si>
    <t>classement des 2 meublés en 3 étoiles</t>
  </si>
  <si>
    <t>8c42f0c3</t>
  </si>
  <si>
    <t>39053405</t>
  </si>
  <si>
    <t>Appel pour une demande d'info client. Projet de vente toujours en cours. Donc pas de clients en chambre d'hôte. Uniquement en loc saisonnière</t>
  </si>
  <si>
    <t>732be3f7</t>
  </si>
  <si>
    <t>classement 3 étoiles reçu</t>
  </si>
  <si>
    <t>880c8728</t>
  </si>
  <si>
    <t>renouvellement classement</t>
  </si>
  <si>
    <t>21d07d84</t>
  </si>
  <si>
    <t>demande faite par tél</t>
  </si>
  <si>
    <t>baa9ac89</t>
  </si>
  <si>
    <t>fb3803f6</t>
  </si>
  <si>
    <t>message reçu sur la plateforme le 25/10 :
"Je ne fais plus de la location saisonnière depuis plusieurs mois HEEKENG 0692 58 84 45"</t>
  </si>
  <si>
    <t>2ac6f9cd</t>
  </si>
  <si>
    <t>ajout plateforme a faire</t>
  </si>
  <si>
    <t>624d68db</t>
  </si>
  <si>
    <t>Mail reçu le 04/11 :
"Bonjour,
Je voudrais stopper provisoirement mon activité chambre d'hôtes toute l'année 2025.
Quelles sont les démarches à suivre svp ?
Cordialement."</t>
  </si>
  <si>
    <t>8c1ff8fb</t>
  </si>
  <si>
    <t>555d19ba</t>
  </si>
  <si>
    <t>demande de mise à jour info tarifs</t>
  </si>
  <si>
    <t>bd629fd9</t>
  </si>
  <si>
    <t>9948909c</t>
  </si>
  <si>
    <t>dossiers envoyés par mail le 18/11/24 pour le resto et la chambre d'hôtes</t>
  </si>
  <si>
    <t>98a565eb</t>
  </si>
  <si>
    <t>demande promo pour le resto en prio car nouveau</t>
  </si>
  <si>
    <t>f358104a</t>
  </si>
  <si>
    <t>promo à faire pour la chambre d'hôtes</t>
  </si>
  <si>
    <t>6d964ae8</t>
  </si>
  <si>
    <t>promo à faire pour le resto et la chambre d'hôtes (mais prio resto car nouveau et besoin de se faire connaître!)</t>
  </si>
  <si>
    <t>b2e34866</t>
  </si>
  <si>
    <t>ajouter hbgt sur son espace</t>
  </si>
  <si>
    <t>096bfc23</t>
  </si>
  <si>
    <t>1f29a6ec</t>
  </si>
  <si>
    <t>ouverture du dossier pour l'empreinte</t>
  </si>
  <si>
    <t>c2df449c</t>
  </si>
  <si>
    <t>fermeture pour kazanoo et déclarations à effacer janv 2022 à avril 2024</t>
  </si>
  <si>
    <t>6a62a29f</t>
  </si>
  <si>
    <t>modifs infos résa</t>
  </si>
  <si>
    <t>3076f086</t>
  </si>
  <si>
    <t>a285a73d</t>
  </si>
  <si>
    <t>classement transmis</t>
  </si>
  <si>
    <t>b2782ca9</t>
  </si>
  <si>
    <t>e60f72a8</t>
  </si>
  <si>
    <t>dc2ed4e4</t>
  </si>
  <si>
    <t>n'arrivait pas à retrouver le mail d'activation</t>
  </si>
  <si>
    <t>0f16f724</t>
  </si>
  <si>
    <t>va vendre</t>
  </si>
  <si>
    <t>db8f4aa5</t>
  </si>
  <si>
    <t>Va fermer</t>
  </si>
  <si>
    <t>d76c6173</t>
  </si>
  <si>
    <t>6975cdd1</t>
  </si>
  <si>
    <t>n'arrive pas à se connecter</t>
  </si>
  <si>
    <t>ea7de810</t>
  </si>
  <si>
    <t>passe de MT à Chambre d'hôtes</t>
  </si>
  <si>
    <t>4cb7ba5b</t>
  </si>
  <si>
    <t>changement de MT à chambre d'hôtes</t>
  </si>
  <si>
    <t>7c06d7f4</t>
  </si>
  <si>
    <t>à voir</t>
  </si>
  <si>
    <t>9a56fde0</t>
  </si>
  <si>
    <t>ajout hbgt</t>
  </si>
  <si>
    <t>7c365273</t>
  </si>
  <si>
    <t>courrier transmis</t>
  </si>
  <si>
    <t>d70b259a</t>
  </si>
  <si>
    <t>demande contacts classement</t>
  </si>
  <si>
    <t>1a9f6184</t>
  </si>
  <si>
    <t>demande visite lors des zescales de décembre 2024</t>
  </si>
  <si>
    <t>ff8d7329</t>
  </si>
  <si>
    <t>mail reçu le 28 novembre : "Bonjour, j'ai lu dans la newsletter que je pouvais faire une demande de promotion pour mon établissement : Diables Ô Thym.
Le chef de cuisine qui est aussi le gérant de l'établissement est depuis peu Maître Restaurateur
Merci de me recontacter"</t>
  </si>
  <si>
    <t>6239cd24</t>
  </si>
  <si>
    <t>Mail reçu le 28 novembre : "Bonjour, j'ai lu dans la newsletter que je pouvais faire une demande de promotion pour mon établissement : Diables Ô Thym.
Le chef de cuisine qui est aussi le gérant de l'établissement est depuis peu Maître Restaurateur
Merci de me recontacter"</t>
  </si>
  <si>
    <t>86cadd09</t>
  </si>
  <si>
    <t>a appelé le 09/12
Monsieur est décédé, les projets sont en stand by pour décembre</t>
  </si>
  <si>
    <t>65911172</t>
  </si>
  <si>
    <t>fe5aa565</t>
  </si>
  <si>
    <t>5e01373f</t>
  </si>
  <si>
    <t>mail reçu 12/12/2024
"Merci de bien vouloir retirer mes deux hébergements de la location saisonnière les ayant mis en location longue durée."</t>
  </si>
  <si>
    <t>9acd3c73</t>
  </si>
  <si>
    <t>5267cea9</t>
  </si>
  <si>
    <t>va fermer</t>
  </si>
  <si>
    <t>b46587e7</t>
  </si>
  <si>
    <t>classement 3 étoiles</t>
  </si>
  <si>
    <t>d7ae5517</t>
  </si>
  <si>
    <t>classement 3 étoiles à enregistrer en plateforme</t>
  </si>
  <si>
    <t>25259d1f</t>
  </si>
  <si>
    <t>demande de promo pr ses 2 meublés</t>
  </si>
  <si>
    <t>8f9a0973</t>
  </si>
  <si>
    <t>e6a339b4</t>
  </si>
  <si>
    <t>souhaite des infos sur les labels et QTIR</t>
  </si>
  <si>
    <t>a4c9552f</t>
  </si>
  <si>
    <t>souhaite que l'on vienne en visite car c'est Angélica qui était venue en visite en 2023</t>
  </si>
  <si>
    <t>e0f7f761</t>
  </si>
  <si>
    <t>création d'un compte au nom de la SAS Palmier Royal et migration de l'hébergement dans ce nouveau compte</t>
  </si>
  <si>
    <t>5bc4daef</t>
  </si>
  <si>
    <t>souhaite modifier sa capacité d'accueil</t>
  </si>
  <si>
    <t>9000a2c2</t>
  </si>
  <si>
    <t>signale maison en vente (message plateforme TDS)</t>
  </si>
  <si>
    <t>e460e29b</t>
  </si>
  <si>
    <t>fermeture définitive signalée sur la plateforme</t>
  </si>
  <si>
    <t>6bcbb76f</t>
  </si>
  <si>
    <t>nous signale sa fermeture définitive (plateforme TDS)</t>
  </si>
  <si>
    <t>e05157ae</t>
  </si>
  <si>
    <t>dossier transmis</t>
  </si>
  <si>
    <t>d91b1409</t>
  </si>
  <si>
    <t>08d1e0bc</t>
  </si>
  <si>
    <t>classés 3 étoiles</t>
  </si>
  <si>
    <t>2f12ea65</t>
  </si>
  <si>
    <t>91fc59d9</t>
  </si>
  <si>
    <t>à prog</t>
  </si>
  <si>
    <t>a76f5cd5</t>
  </si>
  <si>
    <t>Mail reçu le 02/01/2025 :
"Bonjour, Je cessé mon activité de location saisonnière le 31/12/2024. Pouvez-vous m'indiquer si des démarches doivent être effectuées auprès de la CASUD pour déclarer cette situation ? Par avance, je vous remercie. Eric RIVIERE"</t>
  </si>
  <si>
    <t>4e9e1770</t>
  </si>
  <si>
    <t>installation panneau demandé</t>
  </si>
  <si>
    <t>2358ffb2</t>
  </si>
  <si>
    <t>souhaite une promo fb mais page à voir!</t>
  </si>
  <si>
    <t>a4b15060</t>
  </si>
  <si>
    <t>demande visite</t>
  </si>
  <si>
    <t>7dee814f</t>
  </si>
  <si>
    <t>demande à ce qu'on lui envoie des modèles de facture, état des lieux, contrat de location, règlement intérieur</t>
  </si>
  <si>
    <t>1566a32e</t>
  </si>
  <si>
    <t>enregistrement des déclarations sur l'année 2024</t>
  </si>
  <si>
    <t>990fdc66</t>
  </si>
  <si>
    <t>souhaite activer son espace de télédéclaration et déclarer en ligne</t>
  </si>
  <si>
    <t>b44cf73f</t>
  </si>
  <si>
    <t>souhaite proposer ses produits</t>
  </si>
  <si>
    <t>4fb55387</t>
  </si>
  <si>
    <t>réouverture de l'hébergement au 01/02/2025</t>
  </si>
  <si>
    <t>6c65cb9b</t>
  </si>
  <si>
    <t>fermeture de l'hébergement signalée par mail, attente courrier</t>
  </si>
  <si>
    <t>86168ec4</t>
  </si>
  <si>
    <t>prestataire se plaint par rapport aux panneaux! à contacter pr ousailé please!</t>
  </si>
  <si>
    <t>2fa7dcba</t>
  </si>
  <si>
    <t>b4339b77</t>
  </si>
  <si>
    <t>A participé à la première visio</t>
  </si>
  <si>
    <t>3abf841d</t>
  </si>
  <si>
    <t>20285a74</t>
  </si>
  <si>
    <t>473d6b00</t>
  </si>
  <si>
    <t>32e01e04</t>
  </si>
  <si>
    <t>6937369b</t>
  </si>
  <si>
    <t>ced1d581</t>
  </si>
  <si>
    <t>fermeture temporaire de l'hébergement : 01/05/2025 - 01/09/2026</t>
  </si>
  <si>
    <t>4ecba779</t>
  </si>
  <si>
    <t>fermeture temporaire de l'hébergement : 01/05/2025 - 01/09/2026 (mail reçu sur TDS)</t>
  </si>
  <si>
    <t>217b8660</t>
  </si>
  <si>
    <t>Parution explore n°17</t>
  </si>
  <si>
    <t>d74b3798</t>
  </si>
  <si>
    <t>Parution Explore N°17</t>
  </si>
  <si>
    <t>9082ddce</t>
  </si>
  <si>
    <t>018885d3</t>
  </si>
  <si>
    <t>ac814341</t>
  </si>
  <si>
    <t>promotion à programmer</t>
  </si>
  <si>
    <t>5b050e84</t>
  </si>
  <si>
    <t>panneaux à renouveler</t>
  </si>
  <si>
    <t>d308d4fe</t>
  </si>
  <si>
    <t>envoyer les infos classement</t>
  </si>
  <si>
    <t>fb5ceb39</t>
  </si>
  <si>
    <t>voulait des infos sur le classement</t>
  </si>
  <si>
    <t>4ffee069</t>
  </si>
  <si>
    <t>est passée au bureau a plusieurs reprises pour des pb avec les impots, l'inpi, la cfe</t>
  </si>
  <si>
    <t>7752a1c6</t>
  </si>
  <si>
    <t>ousailé envoyé lors de notre visite le 15/01/25 mais certainement itinéraire à revoir</t>
  </si>
  <si>
    <t>5b17128a</t>
  </si>
  <si>
    <t>réouverture de la structure en 2025!</t>
  </si>
  <si>
    <t>e9037a7f</t>
  </si>
  <si>
    <t>ne va pas fermer pr l'instant
veut faire une fermeture temporaire</t>
  </si>
  <si>
    <t>73de728c</t>
  </si>
  <si>
    <t>Chrislène retire la fiche car atelier sur la PDC ne reçoit pas de client et vend ses produits directement à Kélonia</t>
  </si>
  <si>
    <t>e070e265</t>
  </si>
  <si>
    <t>a88b6357</t>
  </si>
  <si>
    <t>Promo à caller</t>
  </si>
  <si>
    <t>5fd7c65b</t>
  </si>
  <si>
    <t>fermeture de l'hébergement</t>
  </si>
  <si>
    <t>bed7111c</t>
  </si>
  <si>
    <t>e3a5ec91</t>
  </si>
  <si>
    <t>Parution EXPLORE N°17</t>
  </si>
  <si>
    <t>2865fd91</t>
  </si>
  <si>
    <t>06422caf</t>
  </si>
  <si>
    <t>Parution EXPLORE N°16</t>
  </si>
  <si>
    <t>350d54b9</t>
  </si>
  <si>
    <t>2b9f0f64</t>
  </si>
  <si>
    <t>7b37b98d</t>
  </si>
  <si>
    <t>demande à être en SIT</t>
  </si>
  <si>
    <t>8eb468b5</t>
  </si>
  <si>
    <t>souhaite une visite de son hébergement</t>
  </si>
  <si>
    <t>a668296a</t>
  </si>
  <si>
    <t>fermeture de l'hébergement : presta passé au bureau le 24/01/25</t>
  </si>
  <si>
    <t>a63eac96</t>
  </si>
  <si>
    <t>fermeture de l'hb</t>
  </si>
  <si>
    <t>520c2c8e</t>
  </si>
  <si>
    <t>à fermer &gt; repris par le fils</t>
  </si>
  <si>
    <t>7c4e16f7</t>
  </si>
  <si>
    <t>nous invite a visiter le centre équestre</t>
  </si>
  <si>
    <t>0360ebd7</t>
  </si>
  <si>
    <t>mise à jour de la fiche et des pièces administratives suite au changement de gérance</t>
  </si>
  <si>
    <t>e436944c</t>
  </si>
  <si>
    <t>0826f648</t>
  </si>
  <si>
    <t>souhaite avoir une promo sur NOTRE page</t>
  </si>
  <si>
    <t>ca72344d</t>
  </si>
  <si>
    <t>intéressée en fonction de l'évolution du SIT</t>
  </si>
  <si>
    <t>86dd5c2a</t>
  </si>
  <si>
    <t>f9f23455</t>
  </si>
  <si>
    <t>courrier fermeture transmis</t>
  </si>
  <si>
    <t>17c00df2</t>
  </si>
  <si>
    <t>8a9b9260</t>
  </si>
  <si>
    <t>2081f247</t>
  </si>
  <si>
    <t>qr code transmis</t>
  </si>
  <si>
    <t>4f72a14d</t>
  </si>
  <si>
    <t>Mme BOUCHET (co-gérante) a participé à la 2e visio</t>
  </si>
  <si>
    <t>e4d3b18b</t>
  </si>
  <si>
    <t>a participé à la 2e visio</t>
  </si>
  <si>
    <t>cee56f90</t>
  </si>
  <si>
    <t>89d72be2</t>
  </si>
  <si>
    <t>c690e5ed</t>
  </si>
  <si>
    <t>1e362ff8</t>
  </si>
  <si>
    <t>34d1b5e9</t>
  </si>
  <si>
    <t>M. CONDÉ a participé à la 2e visio</t>
  </si>
  <si>
    <t>b48f2e92</t>
  </si>
  <si>
    <t>7d964780</t>
  </si>
  <si>
    <t>82dd59cd</t>
  </si>
  <si>
    <t>d8b1c33b</t>
  </si>
  <si>
    <t>7f41880d</t>
  </si>
  <si>
    <t>ouverture à faire pour la taxe de séjour
ATTENTION 
trois hébergements mais deux fiches + problème adresse faire point avec Nono</t>
  </si>
  <si>
    <t>ba4657ce</t>
  </si>
  <si>
    <t>signale sa fermeture définitive par mail</t>
  </si>
  <si>
    <t>c185ad57</t>
  </si>
  <si>
    <t>promo à caler</t>
  </si>
  <si>
    <t>087a5a9b</t>
  </si>
  <si>
    <t>souhaite avoir une promo sur la page</t>
  </si>
  <si>
    <t>e8a001d5</t>
  </si>
  <si>
    <t>b5771fa6</t>
  </si>
  <si>
    <t>a8d476da</t>
  </si>
  <si>
    <t>promo à caler en fonction de notre page fb et sa promo</t>
  </si>
  <si>
    <t>9da048f6</t>
  </si>
  <si>
    <t>signale sa fermeture par mail (adresse TDS)</t>
  </si>
  <si>
    <t>ad9508f9</t>
  </si>
  <si>
    <t>renouvellement de classement étoiles &gt; nous a contacté via la plateforme TDS</t>
  </si>
  <si>
    <t>2efdea36</t>
  </si>
  <si>
    <t>renouvellement du classement 3 étoiles</t>
  </si>
  <si>
    <t>84feb565</t>
  </si>
  <si>
    <t>2bc82610</t>
  </si>
  <si>
    <t>intéressé par une promo</t>
  </si>
  <si>
    <t>0476f992</t>
  </si>
  <si>
    <t>8cc8bbc4</t>
  </si>
  <si>
    <t>est intéressé pour une promo</t>
  </si>
  <si>
    <t>dfeb7008</t>
  </si>
  <si>
    <t>signale sa fermeture définitive</t>
  </si>
  <si>
    <t>48bd5888</t>
  </si>
  <si>
    <t>fermeture TDS a faire</t>
  </si>
  <si>
    <t>5d8841f5</t>
  </si>
  <si>
    <t>2632b459</t>
  </si>
  <si>
    <t>Souhaite avoir de la promotion</t>
  </si>
  <si>
    <t>fa3913a0</t>
  </si>
  <si>
    <t>signale que l'hibiscus n'est plus sous sa gestion depuis mi nov 2024</t>
  </si>
  <si>
    <t>d4540327</t>
  </si>
  <si>
    <t>e6ec174e</t>
  </si>
  <si>
    <t>8dbbc2c5</t>
  </si>
  <si>
    <t>intéressée pour être référencé</t>
  </si>
  <si>
    <t>59149c4c</t>
  </si>
  <si>
    <t>fermeture taxe de séjour à faire - reversement en attente pour janvier 2025 &gt; état récap transmi</t>
  </si>
  <si>
    <t>7a131945</t>
  </si>
  <si>
    <t>souhaite mettre à jour sa fiche &gt; nvx tarifs</t>
  </si>
  <si>
    <t>dedd5d19</t>
  </si>
  <si>
    <t>b108f109</t>
  </si>
  <si>
    <t>81c3a2d6</t>
  </si>
  <si>
    <t>fermeture de l'hébergement signalée</t>
  </si>
  <si>
    <t>3a8718c1</t>
  </si>
  <si>
    <t>point sur sa situation demandé par mail le 18/02/25 suite au mail de Caro &amp; co</t>
  </si>
  <si>
    <t>dd00b188</t>
  </si>
  <si>
    <t>d2cca2c3</t>
  </si>
  <si>
    <t>144ffa19</t>
  </si>
  <si>
    <t>1858fde1</t>
  </si>
  <si>
    <t>fin de classement</t>
  </si>
  <si>
    <t>7a8894bf</t>
  </si>
  <si>
    <t>sud bungalows (2 étoiles) :
classement étoiles arrivé à échéance en 2024 (signalement plateforme TDS)</t>
  </si>
  <si>
    <t>07be756f</t>
  </si>
  <si>
    <t>91fa8bf1</t>
  </si>
  <si>
    <t>88d311c2</t>
  </si>
  <si>
    <t>classement fini</t>
  </si>
  <si>
    <t>8d65d237</t>
  </si>
  <si>
    <t>question sur l'éxonération pour les personnes habitant le sud</t>
  </si>
  <si>
    <t>fa45b226</t>
  </si>
  <si>
    <t>n'a pas reçu le mail pour les Zescales (session du 4 mars 2025 Zescales Zen Grand Coude)</t>
  </si>
  <si>
    <t>b5941ae5</t>
  </si>
  <si>
    <t>déclaration de fermeture jamais reçue, fermeture annoncée depuis le mois de mai 2023 - la requête de base avait été fermée le presta n'a donc pas été relancé depuis...</t>
  </si>
  <si>
    <t>ac4501cb</t>
  </si>
  <si>
    <t>promo prevu pour mai</t>
  </si>
  <si>
    <t>9a65f5cd</t>
  </si>
  <si>
    <t>promo prog pr avril</t>
  </si>
  <si>
    <t>2baa417b</t>
  </si>
  <si>
    <t>promo prog pour avril</t>
  </si>
  <si>
    <t>f2593152</t>
  </si>
  <si>
    <t>fermeture de la conciergerie</t>
  </si>
  <si>
    <t>a613adbe</t>
  </si>
  <si>
    <t>Test Marie No</t>
  </si>
  <si>
    <t>a7682901</t>
  </si>
  <si>
    <t>fermeture temporaire prolongée jusqu'au 31/07/20267
signalée par téléphone le 18/03</t>
  </si>
  <si>
    <t>d8cd3011</t>
  </si>
  <si>
    <t>29f63b22</t>
  </si>
  <si>
    <t>5cda10d8</t>
  </si>
  <si>
    <t>efb6ccd8</t>
  </si>
  <si>
    <t>923a4420</t>
  </si>
  <si>
    <t>Le 19/03 : "Bonjour, J'arrête à compter de ce jour ma location saisonnière pour basculer en location longue durée non meublée. Pourriez-vous m'indiquer les démarches à réaliser pour cesser d'adhérer à la casud svp ? Merci d'avance. Cordialement, Pascal et Béatrice LAURET"</t>
  </si>
  <si>
    <t>3592e80f</t>
  </si>
  <si>
    <t>a appelé la hotline le 01/04/2025 pour demander à ce qu'on enlève ses panneaux puisqu'elle est fermée depuis un moment! n'était pas contente!</t>
  </si>
  <si>
    <t>d308bf5d</t>
  </si>
  <si>
    <t>signale sa fermeture par mail (TDS)</t>
  </si>
  <si>
    <t>08623f1b</t>
  </si>
  <si>
    <t>fermeture définitive signalée par mail</t>
  </si>
  <si>
    <t>0240fc4b</t>
  </si>
  <si>
    <t>fermeture déf de l'hébergement</t>
  </si>
  <si>
    <t>5d3015cd</t>
  </si>
  <si>
    <t>50810a1b</t>
  </si>
  <si>
    <t>demande infos classement</t>
  </si>
  <si>
    <t>dc2dcbb9</t>
  </si>
  <si>
    <t>c185fb73</t>
  </si>
  <si>
    <t>7b11b345</t>
  </si>
  <si>
    <t>est passé en location longue durée</t>
  </si>
  <si>
    <t>cbde0153</t>
  </si>
  <si>
    <t>a signaler qu'elle serait en longue duree au 1er avril</t>
  </si>
  <si>
    <t>9310957b</t>
  </si>
  <si>
    <t>0d8c6f01</t>
  </si>
  <si>
    <t>promo à prog</t>
  </si>
  <si>
    <t>3a5512e8</t>
  </si>
  <si>
    <t>promo à prog pr la mer.14/05/2025
contenu et txt transmis par les prestas</t>
  </si>
  <si>
    <t>a0b74b38</t>
  </si>
  <si>
    <t>dd5b0303</t>
  </si>
  <si>
    <t>ouverture à faire (classés 2 étoiles!)</t>
  </si>
  <si>
    <t>05cc89b3</t>
  </si>
  <si>
    <t>8545f3fa</t>
  </si>
  <si>
    <t>2964c67b</t>
  </si>
  <si>
    <t>30a7b822</t>
  </si>
  <si>
    <t>souhaite vraiment beaucoup des panneaux !!</t>
  </si>
  <si>
    <t>0fa60832</t>
  </si>
  <si>
    <t>je ne sais pas comment cet hébergement a été fermé dans bertel alors qu'on a jamais reçu : ni de mail de fermeture de sa part, ni de déclaration de fermeture?! ... il a encore une page SIT, un FB et un site internet...!!!!
BREF : mail reçu le 01/05/2025 sur la TDS pour indiquer que la structure a été vendue &gt; ML envoi du courrier de décla à remplir le 13/05/2025</t>
  </si>
  <si>
    <t>1e11f596</t>
  </si>
  <si>
    <t>signale sa fermeture définitive le 14/05/25 (appel hotline)</t>
  </si>
  <si>
    <t>a2bd4a29</t>
  </si>
  <si>
    <t>3b4fb160</t>
  </si>
  <si>
    <t>promo à caler &gt; vidéo !</t>
  </si>
  <si>
    <t>f44ff773</t>
  </si>
  <si>
    <t>fermeture de sa structure au 24/12/2024</t>
  </si>
  <si>
    <t>b654586b</t>
  </si>
  <si>
    <t>signale sa fermeture definitive par mail le 19/05/2025 (TDS)</t>
  </si>
  <si>
    <t>2889d4f0</t>
  </si>
  <si>
    <t>fermeture signalé par mail le 19/05</t>
  </si>
  <si>
    <t>a6250c4c</t>
  </si>
  <si>
    <t>ouverture TDS sous gestion Caro&amp;Co</t>
  </si>
  <si>
    <t>b1b8eca3</t>
  </si>
  <si>
    <t>ba0ad385</t>
  </si>
  <si>
    <t>aaa6659d</t>
  </si>
  <si>
    <t>nouvellement classé 4 étoiles!</t>
  </si>
  <si>
    <t>ca2e63b2</t>
  </si>
  <si>
    <t>le 06/06/25 : appel pour prévenir qu'il est actuellement fermé mais espère réouvrir en octobre + changement de numéro de tel (effectué sur bertel)</t>
  </si>
  <si>
    <t>56f719c2</t>
  </si>
  <si>
    <t>056209be</t>
  </si>
  <si>
    <t>Parution mag 17</t>
  </si>
  <si>
    <t>ca64f6a5</t>
  </si>
  <si>
    <t>enregistrement de son classement &gt; 3 étoiles pour les 2 hb</t>
  </si>
  <si>
    <t>549820a4</t>
  </si>
  <si>
    <t>classement 5 étoiles</t>
  </si>
  <si>
    <t>460c6baa</t>
  </si>
  <si>
    <t>tarification a changer car classement 5 étoiles à partir d'avril 2025</t>
  </si>
  <si>
    <t>96ba06c6</t>
  </si>
  <si>
    <t>14f99a0f</t>
  </si>
  <si>
    <t>signale sa fermeture sur la plateforme le 07/07/25 envoi du courrier type à compléter</t>
  </si>
  <si>
    <t>32ae7993</t>
  </si>
  <si>
    <t>annonce qu'il est fermé par mail, envoi du courrier le 07/07/2025 MAIS ATTENTION : 38 déclarations manquantes TDS et reversements non soldés!</t>
  </si>
  <si>
    <t>2114f1cc</t>
  </si>
  <si>
    <t>dossier à surveiller! presta prévenu par mail qu'il a 38 déclarations manquantes et des reversements à solder</t>
  </si>
  <si>
    <t>b98d23c7</t>
  </si>
  <si>
    <t>ouverture TDS a faire</t>
  </si>
  <si>
    <t>b7942f0f</t>
  </si>
  <si>
    <t>activité hébergement n'apparaît pas dans le SIRENE</t>
  </si>
  <si>
    <t>90cc22fa</t>
  </si>
  <si>
    <t>new panneaux</t>
  </si>
  <si>
    <t>c5e71308</t>
  </si>
  <si>
    <t>décision de classement demandée par mail le 06/06/2025 car classement 2 étoiles obtenu en avril 2025</t>
  </si>
  <si>
    <t>1e82cafc</t>
  </si>
  <si>
    <t>souhaite une promo mais il est tout nouveau donc la page est encore faille, faut qu'on visite aussi pour prendre des jolies photos</t>
  </si>
  <si>
    <t>e8b1b6ef</t>
  </si>
  <si>
    <t>souhaite des infos sur le classement étoiles</t>
  </si>
  <si>
    <t>957cb243</t>
  </si>
  <si>
    <t>6521ede7</t>
  </si>
  <si>
    <t>signalé par mail + confirmation au tél</t>
  </si>
  <si>
    <t>0be8c0ee</t>
  </si>
  <si>
    <t>n'est plus en activité (confirmé par téléphone NC)</t>
  </si>
  <si>
    <t>480e580b</t>
  </si>
  <si>
    <t>l'hébergement sera fermé à partir du 30 aout 2025 &gt; mail TDS</t>
  </si>
  <si>
    <t>f79401f2</t>
  </si>
  <si>
    <t>à déménagé</t>
  </si>
  <si>
    <t>efbd75e9</t>
  </si>
  <si>
    <t>11 jul : plainte de Martine Crescence</t>
  </si>
  <si>
    <t>750680d9</t>
  </si>
  <si>
    <t>a changer de type d'activité le MT passe en CH &gt; capacité différente</t>
  </si>
  <si>
    <t>716604ee</t>
  </si>
  <si>
    <t>ouverture à faire pr ses 3 hbgt</t>
  </si>
  <si>
    <t>32f6aab7</t>
  </si>
  <si>
    <t>Souhaite obtenir les infos grands publics et actus pour adapter sa comm et en faire une stratégie !!</t>
  </si>
  <si>
    <t>caddb117</t>
  </si>
  <si>
    <t>A signalé sur la plateforme tds</t>
  </si>
  <si>
    <t>c8a73629</t>
  </si>
  <si>
    <t>est classé</t>
  </si>
  <si>
    <t>d07235da</t>
  </si>
  <si>
    <t>promo explore et fb</t>
  </si>
  <si>
    <t>9bd48615</t>
  </si>
  <si>
    <t>demande faites via la plateforme TDS du 01/08/2025 au 01/06/2026</t>
  </si>
  <si>
    <t>5a5e941e</t>
  </si>
  <si>
    <t>Parution explore N°18</t>
  </si>
  <si>
    <t>3fb954c6</t>
  </si>
  <si>
    <t>61e2cb6c</t>
  </si>
  <si>
    <t>fb2d290c</t>
  </si>
  <si>
    <t>587a3836</t>
  </si>
  <si>
    <t>46358ccb</t>
  </si>
  <si>
    <t>8567bd28</t>
  </si>
  <si>
    <t>4927b7eb</t>
  </si>
  <si>
    <t>69881107</t>
  </si>
  <si>
    <t>classé 2 étoiles</t>
  </si>
  <si>
    <t>3f49b733</t>
  </si>
  <si>
    <t>envoie courrier</t>
  </si>
  <si>
    <t>e1a8f517</t>
  </si>
  <si>
    <t>fermeture définitive des Goyaves</t>
  </si>
  <si>
    <t>4f4a1b08</t>
  </si>
  <si>
    <t>ouverture à faire - conciergerie</t>
  </si>
  <si>
    <t>3d51a842</t>
  </si>
  <si>
    <t>STRUCTURE EN STAND-BYE 
Le propriétaire est décédé 
à suivre..</t>
  </si>
  <si>
    <t>395ec524</t>
  </si>
  <si>
    <t>souhaite infos classement</t>
  </si>
  <si>
    <t>99e6f079</t>
  </si>
  <si>
    <t>changement de son adresse mail</t>
  </si>
  <si>
    <t>ca45a901</t>
  </si>
  <si>
    <t>nouveau panneau resto + chambre d'hôtes</t>
  </si>
  <si>
    <t>0334bc7c</t>
  </si>
  <si>
    <t>154e94fd</t>
  </si>
  <si>
    <t>2 panneaux cassés &gt; souhaite qu'on les remplace</t>
  </si>
  <si>
    <t>8fc7acef</t>
  </si>
  <si>
    <t>4d4387c4</t>
  </si>
  <si>
    <t>souhaite 2 panneaux 1 cite volcan + 1 commerson</t>
  </si>
  <si>
    <t>9d4fddc4</t>
  </si>
  <si>
    <t>TDS a faire</t>
  </si>
  <si>
    <t>521b1b40</t>
  </si>
  <si>
    <t>e9d01bce</t>
  </si>
  <si>
    <t>4847557a</t>
  </si>
  <si>
    <t>nouveau TDS</t>
  </si>
  <si>
    <t>62a15eb1</t>
  </si>
  <si>
    <t>souhaite être sur reunion.fr</t>
  </si>
  <si>
    <t>8c3fde7b</t>
  </si>
  <si>
    <t>souhaite des panneaux</t>
  </si>
  <si>
    <t>1bbdfd20</t>
  </si>
  <si>
    <t>a036d200</t>
  </si>
  <si>
    <t>Souhaite avoir un panneaux</t>
  </si>
  <si>
    <t>fa85e62b</t>
  </si>
  <si>
    <t>b617775f</t>
  </si>
  <si>
    <t>b9420e2e</t>
  </si>
  <si>
    <t>4bd23fc7</t>
  </si>
  <si>
    <t>fermeture à faire sur la plateforme</t>
  </si>
  <si>
    <t>dc535cae</t>
  </si>
  <si>
    <t>9b1b51b1</t>
  </si>
  <si>
    <t>le presta signale que les panneaux sont très abîmés et à refaire</t>
  </si>
  <si>
    <t>030ce8c2</t>
  </si>
  <si>
    <t>courrier reçu le 27/10 par Margarette Bilheux 
&gt; pour les 2 structures</t>
  </si>
  <si>
    <t>981f2811</t>
  </si>
  <si>
    <t>8f5283df</t>
  </si>
  <si>
    <t>5a66aea6</t>
  </si>
  <si>
    <t>afe7337c</t>
  </si>
  <si>
    <t>fermeture définitive 31 déc 2025</t>
  </si>
  <si>
    <t>ae818610</t>
  </si>
  <si>
    <t>c87833f2</t>
  </si>
  <si>
    <t>c1bbf18d</t>
  </si>
  <si>
    <t>0b8ea9ac</t>
  </si>
  <si>
    <t>souhaite avoir un panneaux</t>
  </si>
  <si>
    <t>8f2c08ba</t>
  </si>
  <si>
    <t>souhaite avoir une promo nimporte laquelle</t>
  </si>
  <si>
    <t>1f263704</t>
  </si>
  <si>
    <t>veut un panneau</t>
  </si>
  <si>
    <t>60c58bb1</t>
  </si>
  <si>
    <t>889989f9</t>
  </si>
  <si>
    <t>Cesse définitivement son activité</t>
  </si>
  <si>
    <t>69167478</t>
  </si>
  <si>
    <t>81391c97</t>
  </si>
  <si>
    <t>Souhaite un panneau</t>
  </si>
  <si>
    <t>47e708d5</t>
  </si>
  <si>
    <t>fe87526b</t>
  </si>
  <si>
    <t>Ce logement repasse en location longue durée</t>
  </si>
  <si>
    <t>591f839d</t>
  </si>
  <si>
    <t>40c695f8</t>
  </si>
  <si>
    <t>En raison de problèmes de santé, elle suspend ses visites jusqu’au 19/12/2025.</t>
  </si>
  <si>
    <t>c62703e0</t>
  </si>
  <si>
    <t>courrier de fermeture envoyé le 18/12/2025</t>
  </si>
  <si>
    <t>f3bffc78</t>
  </si>
  <si>
    <t>courrier de fermeture envoyé le 17/12/2025</t>
  </si>
  <si>
    <t>378124f3</t>
  </si>
  <si>
    <t>1dffa26f</t>
  </si>
  <si>
    <t>cesse son activité le 26/12/2025</t>
  </si>
  <si>
    <t>23e1392c</t>
  </si>
  <si>
    <t>mail reçu sur la TDS : fermeture définitive</t>
  </si>
  <si>
    <t>9b39fa3f</t>
  </si>
  <si>
    <t>055e202c</t>
  </si>
  <si>
    <t>dd9b273d</t>
  </si>
  <si>
    <t>9a21a81d</t>
  </si>
  <si>
    <t>3b01d079</t>
  </si>
  <si>
    <t>6f20c692</t>
  </si>
  <si>
    <t>c180a478</t>
  </si>
  <si>
    <t>fermeture de l'hébergement prévue</t>
  </si>
  <si>
    <t>2651a59e</t>
  </si>
  <si>
    <t>ferme définitivement le 01/01/2026</t>
  </si>
  <si>
    <t>de2bf506</t>
  </si>
  <si>
    <t>Ferme sa structure le 17 décembre 2025</t>
  </si>
  <si>
    <t>61299243</t>
  </si>
  <si>
    <t>fermeture signalée par mail (TDS)</t>
  </si>
  <si>
    <t>4aa57ee3</t>
  </si>
  <si>
    <t>7b0c5da0</t>
  </si>
  <si>
    <t>9d02f26b</t>
  </si>
  <si>
    <t>98cf9e43</t>
  </si>
  <si>
    <t>6fe9732f</t>
  </si>
  <si>
    <t>ouverture à faire : hbgt relier avec la conciergerie Authentic Stay</t>
  </si>
  <si>
    <t>e60dab2e</t>
  </si>
  <si>
    <t>Souhaite avoir un panneau</t>
  </si>
  <si>
    <t>d103d87b</t>
  </si>
  <si>
    <t>1d75487a</t>
  </si>
  <si>
    <t>demande a recevoir le doss pr faire sa fiche</t>
  </si>
  <si>
    <t>a8e6bd7e</t>
  </si>
  <si>
    <t>dffc7a4f</t>
  </si>
  <si>
    <t>92b37656</t>
  </si>
  <si>
    <t>71681896</t>
  </si>
  <si>
    <t>classement 2 étoiles à ajouter</t>
  </si>
  <si>
    <t>6bccb321</t>
  </si>
  <si>
    <t>a4ac7346</t>
  </si>
  <si>
    <t>veut être sur reunion.fr</t>
  </si>
  <si>
    <t>0abde654</t>
  </si>
  <si>
    <t>120ce94f</t>
  </si>
  <si>
    <t>fermeture signalée via la TDS</t>
  </si>
  <si>
    <t>2ee48686</t>
  </si>
  <si>
    <t>fermeture signalé via TDS</t>
  </si>
  <si>
    <t>5feec7ba</t>
  </si>
  <si>
    <t>0c1ee819</t>
  </si>
  <si>
    <t>b55a1a03</t>
  </si>
  <si>
    <t>63116cce</t>
  </si>
  <si>
    <t>facc0e51</t>
  </si>
  <si>
    <t>b67a682f</t>
  </si>
  <si>
    <t>9020fcd8</t>
  </si>
  <si>
    <t>a fait 2 signalements sur la TDS pour dire que c'est fermé</t>
  </si>
  <si>
    <t>ID_Nom_Label</t>
  </si>
  <si>
    <t>website</t>
  </si>
  <si>
    <t>Labels_Images/Tourisme &amp; Handicap.logo.060109.png</t>
  </si>
  <si>
    <t>Labels_Images/test.logo.060947.png</t>
  </si>
  <si>
    <t>Labels_Images/Clévacances.logo.104232.jpg</t>
  </si>
  <si>
    <t>https://www.clevacances.com/fr/label-clevacances</t>
  </si>
  <si>
    <t>Labels_Images/Bienvenue à la ferme.logo.104558.png</t>
  </si>
  <si>
    <t>https://www.bienvenue-a-la-ferme.com/</t>
  </si>
  <si>
    <t>Labels_Images/Centre de Tourisme Equestre.logo.104825.jpg</t>
  </si>
  <si>
    <t>https://www.ffe.com/tourisme/Label-Centre-de-Tourisme-Equestre</t>
  </si>
  <si>
    <t>Labels_Images/Gîtes de France.logo.105022.png</t>
  </si>
  <si>
    <t>https://www.gites-de-france.com/fr</t>
  </si>
  <si>
    <t>Labels_Images/Qualité Tourisme Ile de La Réunion.logo.110944.jpg</t>
  </si>
  <si>
    <t>https://www.reunion.fr/organisez/conseils-de-voyage/labels-a-la-reunion/qualite-tourisme-ile-de-la-reunion/</t>
  </si>
  <si>
    <t>Labels_Images/Maîtres Restaurateur.logo.111246.jpg</t>
  </si>
  <si>
    <t>https://www.maitresrestaurateurs.fr/histoire/le-titre-de-maitre-restaurateur-591</t>
  </si>
  <si>
    <t>Qualité Tourisme</t>
  </si>
  <si>
    <t>Labels_Images/Qualité Tourisme.logo.112615.png</t>
  </si>
  <si>
    <t>https://www.qualite-tourisme.gouv.fr/fr</t>
  </si>
  <si>
    <t>Labels_Images/Indication Géographique Protégée - IGP.logo.044505.png</t>
  </si>
  <si>
    <t>https://ec.europa.eu/info/food-farming-fisheries/food-safety-and-quality/certification/quality-labels/geographical-indications-register/</t>
  </si>
  <si>
    <t>Labels_Images/Agriculture Biologique - AB.logo.044715.jpg</t>
  </si>
  <si>
    <t>https://www.agencebio.org/</t>
  </si>
  <si>
    <t>Labels_Images/Esprit Parc.logo.043110.png</t>
  </si>
  <si>
    <t>https://www.espritparcnational.com/destination-parc-national/reunion</t>
  </si>
  <si>
    <t>Réunion pour Tous</t>
  </si>
  <si>
    <t>Labels_Images/Réunion pour Tous.logo.082003.png</t>
  </si>
  <si>
    <t>https://www.lareunionpourtous.re/</t>
  </si>
  <si>
    <t>Labels_Images/100% La Réunion.logo.110147.png</t>
  </si>
  <si>
    <t>https://100pour100reunion.fr/</t>
  </si>
  <si>
    <t>Ecolabel Européen</t>
  </si>
  <si>
    <t>Labels_Images/Ecolabel Européen.logo.075527.png</t>
  </si>
  <si>
    <t>https://www.ecolabels.fr/</t>
  </si>
  <si>
    <t>ID_Nom_RS</t>
  </si>
  <si>
    <t>Facebook</t>
  </si>
  <si>
    <t>RS_Type_Images/Facebook.logo.055802.png</t>
  </si>
  <si>
    <t>https://www.facebook.com/</t>
  </si>
  <si>
    <t>Airbnb</t>
  </si>
  <si>
    <t>RS_Type_Images/Airbnb.logo.060058.png</t>
  </si>
  <si>
    <t>https://www.airbnb.fr/</t>
  </si>
  <si>
    <t>Booking</t>
  </si>
  <si>
    <t>RS_Type_Images/Booking.logo.060222.png</t>
  </si>
  <si>
    <t>https://www.booking.com/</t>
  </si>
  <si>
    <t>RS_Type_Images/Abritel.logo.060637.png</t>
  </si>
  <si>
    <t>https://www.abritel.fr/</t>
  </si>
  <si>
    <t>Instagram</t>
  </si>
  <si>
    <t>RS_Type_Images/Instagram.logo.055923.png</t>
  </si>
  <si>
    <t>https://www.instagram.com/?hl=fr</t>
  </si>
  <si>
    <t>Leboncoin</t>
  </si>
  <si>
    <t>RS_Type_Images/Leboncoin.logo.052257.png</t>
  </si>
  <si>
    <t>https://www.leboncoin.fr/</t>
  </si>
  <si>
    <t>RS_Type_Images/tripadvisor.logo.055954.png</t>
  </si>
  <si>
    <t>https://www.tripadvisor.fr/</t>
  </si>
  <si>
    <t>TikTok</t>
  </si>
  <si>
    <t>RS_Type_Images/TikTok.logo.074357.png</t>
  </si>
  <si>
    <t>https://www.tiktok.com/fr/</t>
  </si>
  <si>
    <t>CRM</t>
  </si>
  <si>
    <t>Commentaire</t>
  </si>
  <si>
    <t>Moderer</t>
  </si>
  <si>
    <t>close_reqs</t>
  </si>
  <si>
    <t>912cb12d</t>
  </si>
  <si>
    <t>2 panneaux posés Juin 2021</t>
  </si>
  <si>
    <t>ok</t>
  </si>
  <si>
    <t>b12650bd</t>
  </si>
  <si>
    <t>2 panneaux posés juin 2021PAK</t>
  </si>
  <si>
    <t>bbb30188</t>
  </si>
  <si>
    <t>3 panneaux posés juin 2021 PAK</t>
  </si>
  <si>
    <t>1743eec3</t>
  </si>
  <si>
    <t>1 panneau posé Juin 21 PAK</t>
  </si>
  <si>
    <t>3c830ef3</t>
  </si>
  <si>
    <t>1 panneau posé Juin 2021 PAK</t>
  </si>
  <si>
    <t>9b1adc44</t>
  </si>
  <si>
    <t>2 les baies roses du 17éme ( (dont 1 probléme sur le support -vu avec l'administré qu'il s'en charge)</t>
  </si>
  <si>
    <t>c4694243</t>
  </si>
  <si>
    <t>1 panneau</t>
  </si>
  <si>
    <t>En cours</t>
  </si>
  <si>
    <t>d6ff2ab7</t>
  </si>
  <si>
    <t>traitée</t>
  </si>
  <si>
    <t>🙂</t>
  </si>
  <si>
    <t>d65ffe9c</t>
  </si>
  <si>
    <t>9c74b77d</t>
  </si>
  <si>
    <t>9c01910e</t>
  </si>
  <si>
    <t>b88058f1</t>
  </si>
  <si>
    <t>f9a6b1d8</t>
  </si>
  <si>
    <t>ab415daa</t>
  </si>
  <si>
    <t>a425cab3</t>
  </si>
  <si>
    <t>Plusieurs appels et un mail (le 11/08/2021) du prestataire concernant cette demande de panneau</t>
  </si>
  <si>
    <t>A traitée</t>
  </si>
  <si>
    <t>97761b1b</t>
  </si>
  <si>
    <t>(ML) Courrier de déclaration de fermeture définitive envoyé par mail le 27/08/2021 - en attente du retour presta pour désactivation Bertel + TDS</t>
  </si>
  <si>
    <t>09eb7ddf</t>
  </si>
  <si>
    <t>La catégorie ne sera pas modifiée pour rester en cohérence avec la plateforme taxe de séjour qui classe cet hébergement en camping</t>
  </si>
  <si>
    <t>57eb0257</t>
  </si>
  <si>
    <t>Mail réponse d'Annabelle le 8 sept : Bonjour Madame Falconnet, J'ai bien reçu votre mail et je comprends son message. Aussi ce que nous pouvons vous proposer, c'est de faire passer votre structure dans la rubrique "le presta du mois" dans notre prochaine Newsletter qui sortira le 4 octobre. Nous pouvons aussi faire un post sur notre page fb vous mettant en avant. Je vais donc me servir des éléments que vous donnez sur votre site internet (qui est très beau) Je partage aussi votre site internet sur notre réseau interne de conseil en séjour; Enfin je programme de vous rendre visite au mois d'octobre si tout se passe bien, je vous contacterai pour une prise de rdv, Gardez cette adresse email, c'est la bonne !</t>
  </si>
  <si>
    <t>91523072</t>
  </si>
  <si>
    <t>cf demande similaire !</t>
  </si>
  <si>
    <t>aa945481</t>
  </si>
  <si>
    <t>RDV pris pour le 15/09/2021 (DECV)</t>
  </si>
  <si>
    <t>f63f5775</t>
  </si>
  <si>
    <t>avait des questions sur la télédéclaration / les opérateurs numériques / la déclaration de sa fermeture temporaire (01 décembre 2021 au 11 janvier 2022)</t>
  </si>
  <si>
    <t>8ba2bb81</t>
  </si>
  <si>
    <t>RDV déplacé au 27/09 à 9h (bureau)</t>
  </si>
  <si>
    <t>11fec9cb</t>
  </si>
  <si>
    <t>Annabelle a proposé par mail à Claire Falconnet de s'inscrire sur reunion.fr (mail)</t>
  </si>
  <si>
    <t>5cac4b83</t>
  </si>
  <si>
    <t>Claire a renvoyé le formulaire le 16 sepot. AMIR a transferrer à SOUBIK. Mais il manque des photos</t>
  </si>
  <si>
    <t>5a13fbdb</t>
  </si>
  <si>
    <t>traité en direct pendant l'appel</t>
  </si>
  <si>
    <t>ed4dca0d</t>
  </si>
  <si>
    <t>16/09 : Annabelle a préparé le doc sur le drive, je l'envoie à Elodie pour signature</t>
  </si>
  <si>
    <t>3f65c7e4</t>
  </si>
  <si>
    <t>Attestation envoyé eà ET pour signature le 16</t>
  </si>
  <si>
    <t>d220b6d1</t>
  </si>
  <si>
    <t>traité en direct au tel</t>
  </si>
  <si>
    <t>60eda5de</t>
  </si>
  <si>
    <t>j'ai envoyé un mail à Mme Chassenieux pour lui demander de nous envoyer ses nouvelles photos</t>
  </si>
  <si>
    <t>2371643b</t>
  </si>
  <si>
    <t>formulaire de demande signalétique envoyé par mail à Mme Chassenieux</t>
  </si>
  <si>
    <t>ad53eb5d</t>
  </si>
  <si>
    <t>Au 27/09 : vérifier si son compte TDS est activé. Si ce n'est pas le cas, rappeler le presta pour fixer un RDV de formation au bureau</t>
  </si>
  <si>
    <t>00b78254</t>
  </si>
  <si>
    <t>Photos reçues le 20 sept, AMIR transfère à Soubik</t>
  </si>
  <si>
    <t>9d739c52</t>
  </si>
  <si>
    <t>Il faut différencier la demande de promotion FB de la demande de promotion EXPLORE : AMIR gère explore, SG gère fb je crée une autre demande et j'avertis SG de traiter</t>
  </si>
  <si>
    <t>3dae346f</t>
  </si>
  <si>
    <t>Formulaires envoyés, il s'agira de rouvrir de nouvelles demandes qd signalétique arrive et sit et qd nouveaux éléments bdd, faudra les rentrer dans bertel</t>
  </si>
  <si>
    <t>dd06ede7</t>
  </si>
  <si>
    <t>AMIR relance ET le 20/09 : signé?</t>
  </si>
  <si>
    <t>d6f64683</t>
  </si>
  <si>
    <t>AMIR NL 5 et SIT en cours formulaire envoyé, ce n'est plus une demande</t>
  </si>
  <si>
    <t>dda7e4a8</t>
  </si>
  <si>
    <t>Attestatio signbée mailée par AMIR le 20/09</t>
  </si>
  <si>
    <t>94de44cc</t>
  </si>
  <si>
    <t>Mme Chauvin nous relance sur sa demande de signalétique</t>
  </si>
  <si>
    <t>Problème</t>
  </si>
  <si>
    <t>e5e4c930</t>
  </si>
  <si>
    <t>M. a tel sur hotline. AMIR a rép. M a dit besoin de Joëlle Guichard pr projet. Amir a dit elle donne tel à Joëlle pour qu'elle le rappelle. Le M  adit ok et attend appel de Joëlle. Merci Joëlle</t>
  </si>
  <si>
    <t>08b109ab</t>
  </si>
  <si>
    <t>Et surtout pour répondre à la demande, je note TI KAZ MARTIN et PAPANG pour Explore prochain et NL prochains no pb enregsitrés c'est comme si c'était fait</t>
  </si>
  <si>
    <t>d21f38b9</t>
  </si>
  <si>
    <t>AMIR va trouver son adresse mail</t>
  </si>
  <si>
    <t>e87bb952</t>
  </si>
  <si>
    <t>Contact avec Mr Baret aujoudhui</t>
  </si>
  <si>
    <t>807cf75b</t>
  </si>
  <si>
    <t>Mail envoyé à Mme avec toutes démarches à effectuer pour sa demande</t>
  </si>
  <si>
    <t>2eb734ad</t>
  </si>
  <si>
    <t>discussion téléphonique avec Mr Barret qui m'a expliqué son projet. je dois lui envoyer un mail avec m'etre rensigné auprès des organismes concernés</t>
  </si>
  <si>
    <t>6e22ecaa</t>
  </si>
  <si>
    <t>Suite a conversation téléphonique mail avec renseignements nécessaires envoyés à M BARRET pour la création de son activité</t>
  </si>
  <si>
    <t>ff76456b</t>
  </si>
  <si>
    <t>Chrislène a répondu dans la foulée que Sébastien qu'elle a mis en copie du mail de l'IRT contactera le presta. Qui aussi été en copie. Balle dans le camp de l'IRT</t>
  </si>
  <si>
    <t>b2521413</t>
  </si>
  <si>
    <t>Mme FORMAN a renvoyé par mail les éléments pour le SIT. AMIR a transferé à l'IRT par mail en copie prestataires/ AMIR relance pour demande signalétique et complète BERTEL avec élément sreçus</t>
  </si>
  <si>
    <t>60de5ddc</t>
  </si>
  <si>
    <t>courrier de fermeture dispo dans le Drive</t>
  </si>
  <si>
    <t>ffcfd8cd</t>
  </si>
  <si>
    <t>Prestataire enregistré en plateforme TDS</t>
  </si>
  <si>
    <t>30503b05</t>
  </si>
  <si>
    <t>Mme a demandé à recevoir à nouveau par courrier les documents TDS</t>
  </si>
  <si>
    <t>6a4bc1e2</t>
  </si>
  <si>
    <t>infos données en direct</t>
  </si>
  <si>
    <t>b1454d40</t>
  </si>
  <si>
    <t>Mail envoyé</t>
  </si>
  <si>
    <t>58f973e4</t>
  </si>
  <si>
    <t>A eu Alice au téléphone qui fera le nécessaire</t>
  </si>
  <si>
    <t>f0cd265d</t>
  </si>
  <si>
    <t>J'ai essayé de l'avoir au téléphone sans succès, j'ai donc envoyé un mail avec mes dispos pour le RDV. J'attends sa réponse</t>
  </si>
  <si>
    <t>a7070f4d</t>
  </si>
  <si>
    <t>traitable</t>
  </si>
  <si>
    <t>ddbb5a69</t>
  </si>
  <si>
    <t>Saisie par ML le 1er</t>
  </si>
  <si>
    <t>04c381ab</t>
  </si>
  <si>
    <t>AMIR a emailé IRT pour faire le point sur la synchro des bdd. Dp dit qu'il faut leur renvoyer des fichiers. AM demande sous quelle forme (email).</t>
  </si>
  <si>
    <t>d78ca9e8</t>
  </si>
  <si>
    <t>AMIR a demandé par mail son adresse au presta</t>
  </si>
  <si>
    <t>585711cf</t>
  </si>
  <si>
    <t>AMIR a fait l'attestation sur le drive, et partagé à ET pour signature</t>
  </si>
  <si>
    <t>549d6d34</t>
  </si>
  <si>
    <t>Amir a demandé des news par mail au presta</t>
  </si>
  <si>
    <t>37360319</t>
  </si>
  <si>
    <t>Le Presta a répondu à Annabelle : c'était en effet juste une erreur de code postal à modifier.</t>
  </si>
  <si>
    <t>0544dedd</t>
  </si>
  <si>
    <t>Transmission de l'attestation signée au presta + ET + IRT // mise sur le Drive</t>
  </si>
  <si>
    <t>ba321e14</t>
  </si>
  <si>
    <t>Amir a demandé à Ruddy par mail s'il a repris. J'attends sa réponse</t>
  </si>
  <si>
    <t>0d3cbb47</t>
  </si>
  <si>
    <t>Il a répondu : Oui nous avons repris nos activités Randonnées sur l'ensemble de l'île et les sorties Tunnels de lave Bleu (Tampon) et tunnel 2004 (Ste Rose) ! https://www.kokapatrando-reunion.com/fr/</t>
  </si>
  <si>
    <t>4e11277b</t>
  </si>
  <si>
    <t>Mme CHAUVIN relance sa demande de panneau : assez urgent car les touristes ont du mal à trouver son hébergement (google maps ne les amène pas au bon endroit)</t>
  </si>
  <si>
    <t>0e251e31</t>
  </si>
  <si>
    <t>Mise à jour effectuée et nouveaux docs tarifaires TDS envoyés par mail</t>
  </si>
  <si>
    <t>dba46d4b</t>
  </si>
  <si>
    <t>réponse envoyée par mail</t>
  </si>
  <si>
    <t>75641c5e</t>
  </si>
  <si>
    <t>AMIR a écrit dans la foulée sur slack à Joëlle pour qu'elle prenne le relais sur cette demande</t>
  </si>
  <si>
    <t>a8d6c959</t>
  </si>
  <si>
    <t>Le presta a répondu : il a réouvert</t>
  </si>
  <si>
    <t>53bba9a3</t>
  </si>
  <si>
    <t>Tout envoyé à l'IRT le 5 octobre</t>
  </si>
  <si>
    <t>7c3d3e36</t>
  </si>
  <si>
    <t>AMIR et DP en visite de terrain, la dame est en convalescence, elle va fermer et revendre bientot, et demande à annuler sa demande de panneau. Elle nous a dit qu'elle était déçue de l'OTI qdq même, car les panneaux, c'est trop tard</t>
  </si>
  <si>
    <t>def30903</t>
  </si>
  <si>
    <t>ok mail de bienvenue envoyé + contact tel</t>
  </si>
  <si>
    <t>f9056459</t>
  </si>
  <si>
    <t>prestataire entré en plateforme, courrier TDS envoyé</t>
  </si>
  <si>
    <t>d372adc0</t>
  </si>
  <si>
    <t>dossier SIT envoyé au presta le 05/10/21</t>
  </si>
  <si>
    <t>3f4ec3c9</t>
  </si>
  <si>
    <t>Dossier avec le prestataire : attente retour des documents, pièces, photos</t>
  </si>
  <si>
    <t>459972ae</t>
  </si>
  <si>
    <t>Prestataire vu au bureau le 05/10/2021 : déclaration de septembre faite</t>
  </si>
  <si>
    <t>583f6204</t>
  </si>
  <si>
    <t>Fermeture temporaire enregistrée en plateforme TDS jusqu'au 31/12/2021</t>
  </si>
  <si>
    <t>61eb85c3</t>
  </si>
  <si>
    <t>ok modifié</t>
  </si>
  <si>
    <t>08ac3fb7</t>
  </si>
  <si>
    <t>RDV pris avec la fille de Mme Nativel pour accompagnement TDS : le 12/10/2021 à 9h au bureau</t>
  </si>
  <si>
    <t>d8030a96</t>
  </si>
  <si>
    <t>ok + prestataire prévenu par mail</t>
  </si>
  <si>
    <t>0bdd8187</t>
  </si>
  <si>
    <t>Accompagnement téléphonique pour ses déclarations en ligne (août et septembre 2021)</t>
  </si>
  <si>
    <t>d97fffe3</t>
  </si>
  <si>
    <t>Fait</t>
  </si>
  <si>
    <t>568617f3</t>
  </si>
  <si>
    <t>C est la structure de son homme</t>
  </si>
  <si>
    <t>a09dec8e</t>
  </si>
  <si>
    <t>Courrier de fermeture définitive enregistré - Fermeture TDS ok - Prestataire informé</t>
  </si>
  <si>
    <t>dd09505c</t>
  </si>
  <si>
    <t>Demande prioritaire !</t>
  </si>
  <si>
    <t>fe224bc7</t>
  </si>
  <si>
    <t>Répondu en direct : 2 sommes en attente de reversement sur son espace TDS + déclarations en attente. Madame est informée que si elle loue uniquement via Airbnb, elle devra entrer des déclarations à zéro et n'est donc pas considéré comme établissement fermé (comme elle l'avait annoncé au départ)</t>
  </si>
  <si>
    <t>b98a63ce</t>
  </si>
  <si>
    <t>modif ok dans Bertel et TDS. Je laisse "ex les pamplemousses" pour que les CES puissent s'y retrouver</t>
  </si>
  <si>
    <t>e478ef29</t>
  </si>
  <si>
    <t>Mail transféré à Chrislène de l'IRT pour traitement</t>
  </si>
  <si>
    <t>99c6d33d</t>
  </si>
  <si>
    <t>fille de Mme NATIVEL (gestionnaire) reçue en RDV bureau le 12/10/2021. Compte TDS activé, doit terminer la création du MDP et les déclarations 2021 chez elle</t>
  </si>
  <si>
    <t>c1e74dce</t>
  </si>
  <si>
    <t>infos modifiées dans Bertel</t>
  </si>
  <si>
    <t>84e9d489</t>
  </si>
  <si>
    <t>mail envoyé à Chrislène pour mise à jour : tarifs, coordonnées, description, capacité</t>
  </si>
  <si>
    <t>4b18ccf1</t>
  </si>
  <si>
    <t>a0ed7ca7</t>
  </si>
  <si>
    <t>Dossier d'inscription envoyé au prestataire</t>
  </si>
  <si>
    <t>a5d860b6</t>
  </si>
  <si>
    <t>4e94289a</t>
  </si>
  <si>
    <t>HEBERGEMENT FERME DEFINITIVEMENT</t>
  </si>
  <si>
    <t>2742bb54</t>
  </si>
  <si>
    <t>Fermeture traitée : BDD + Bertel + TDS</t>
  </si>
  <si>
    <t>10d8cd52</t>
  </si>
  <si>
    <t>mise à jour effectuée</t>
  </si>
  <si>
    <t>2a54e16d</t>
  </si>
  <si>
    <t>accompagné au téléphone</t>
  </si>
  <si>
    <t>6f40653a</t>
  </si>
  <si>
    <t>traité au téléphone</t>
  </si>
  <si>
    <t>d09d9c69</t>
  </si>
  <si>
    <t>Traité</t>
  </si>
  <si>
    <t>b0b465af</t>
  </si>
  <si>
    <t>fait</t>
  </si>
  <si>
    <t>5d7728c4</t>
  </si>
  <si>
    <t>9b925222</t>
  </si>
  <si>
    <t>Demande traitée par mail (mail TDS)</t>
  </si>
  <si>
    <t>80b1d53d</t>
  </si>
  <si>
    <t>https://www.sudreuniontourisme.fr/fiche-etablissement/entre-deux/location-saisonniere/o-lodge-des-rameaux-eta_5756.html</t>
  </si>
  <si>
    <t>403d9ab3</t>
  </si>
  <si>
    <t>Fiche publiée : https://www.reunion.fr/offres/o-lodge-des-rameaux-entre-deux-fr-3352939/</t>
  </si>
  <si>
    <t>ff9a98fe</t>
  </si>
  <si>
    <t>En attente d'info IRT pour synchro?</t>
  </si>
  <si>
    <t>0d6fbd67</t>
  </si>
  <si>
    <t>changement fait en direct</t>
  </si>
  <si>
    <t>70ceef3c</t>
  </si>
  <si>
    <t>traité en direct</t>
  </si>
  <si>
    <t>c0b7f2c3</t>
  </si>
  <si>
    <t>demande envoyée par mail à Chrislène + soubik le 25/10/2021</t>
  </si>
  <si>
    <t>e63e30ef</t>
  </si>
  <si>
    <t>Mr Alicalapa-tenon voulait plus de panneaux, mais son établissement et déjà signalé comme il se doit. Il a compris que les panneaux ne servent qu'à signaler des changement de directions, et que donc sont établissement n'est pas éligible a plus de passeaux.</t>
  </si>
  <si>
    <t>5b1dbb6f</t>
  </si>
  <si>
    <t>demande traitée</t>
  </si>
  <si>
    <t>92c9a823</t>
  </si>
  <si>
    <t>Monsieur a rappelé sur le gsm d'AMIR mardi 26 oct pour savoir ou çà en était. Après vérif sur massif manager, c'est ok, panneaux déjà enregistrés à créer, faciles à placer :)</t>
  </si>
  <si>
    <t>77ef315c</t>
  </si>
  <si>
    <t>24041f7d</t>
  </si>
  <si>
    <t>Madame souhaite une latte pour la villa bambou pas pour la villa léa puisqu'elle est bien signalée sur la RN2</t>
  </si>
  <si>
    <t>87325148</t>
  </si>
  <si>
    <t>75024a12</t>
  </si>
  <si>
    <t>Prestataire renseigné en direct par téléphone</t>
  </si>
  <si>
    <t>f1e58004</t>
  </si>
  <si>
    <t>c'est ok je l'ai eu au téléphone :)</t>
  </si>
  <si>
    <t>2db02c4c</t>
  </si>
  <si>
    <t>plateforme TDS ok // mail envoyé au presta avec pack bienvenue // Reste le courrier papier à envoyer!</t>
  </si>
  <si>
    <t>ed64210c</t>
  </si>
  <si>
    <t>6131338e</t>
  </si>
  <si>
    <t>mail envoyé</t>
  </si>
  <si>
    <t>8c774983</t>
  </si>
  <si>
    <t>Jalonnement fait</t>
  </si>
  <si>
    <t>2f702e7d</t>
  </si>
  <si>
    <t>Etablissement déjà classé en étoiles, donc infos à donner sur les labels. Voir label Tourisme et Handicap, car accès PMR</t>
  </si>
  <si>
    <t>fdfe8e1a</t>
  </si>
  <si>
    <t>Demande traitée par mail</t>
  </si>
  <si>
    <t>0c2c4260</t>
  </si>
  <si>
    <t>Message laissé sur son répondeur avec proposition de RDV pour le mardi 09/11/2021 // attendre son appel pour confirmation</t>
  </si>
  <si>
    <t>43a96ceb</t>
  </si>
  <si>
    <t>Fait ! https://www.facebook.com/Otisud/photos/a.176421190868009/394567919053334/</t>
  </si>
  <si>
    <t>df0e9a62</t>
  </si>
  <si>
    <t>Envoyée par mail le 4/11 à 15h par mail d'amir</t>
  </si>
  <si>
    <t>112cbaf2</t>
  </si>
  <si>
    <t>Angélica a envoyé le 29 oct par sms à la dame l'adresse prestataires, elle attend le retour de Mme Valromex.</t>
  </si>
  <si>
    <t>d3a68fb0</t>
  </si>
  <si>
    <t>f45db7b4</t>
  </si>
  <si>
    <t>87cedbdc</t>
  </si>
  <si>
    <t>Je prévois pour la NL de déc un bloc sur eux (en plsu c'est l'été il fait chaud), et Métro a dit ok pour un post fb sur la page de l'OTI . Donc à suivre :)</t>
  </si>
  <si>
    <t>b729e590</t>
  </si>
  <si>
    <t>Massifs existants, 1 latte à poser voire 2 (à droite et à gauche en montant), indispensable, déjà que le nom de rue n'est pas à jour sur Google ...</t>
  </si>
  <si>
    <t>e7e9fcec</t>
  </si>
  <si>
    <t>Attente de son courrier de fermeture définitive</t>
  </si>
  <si>
    <t>f3719b0c</t>
  </si>
  <si>
    <t>Presta accompagné pendant la visite de sa structure le 09 novembre 2021</t>
  </si>
  <si>
    <t>750a53c5</t>
  </si>
  <si>
    <t>Dossier papier complété lors de la visite terrain le 09/11/2021. Mme GERMAIN attend son attestation d'assurance et son numéro SIREN pour prendre RDV avec nous au bureau pour finaliser son inscription SIT</t>
  </si>
  <si>
    <t>9d57d10f</t>
  </si>
  <si>
    <t>1 panneau au rond point du 14ème + 1 panneau entrée chemin des Bibassiers + 1 massif à faire avec panneau à l'entrée du chemin privé</t>
  </si>
  <si>
    <t>82b4fa1a</t>
  </si>
  <si>
    <t>43bbd95a</t>
  </si>
  <si>
    <t>Test =&gt; vu avec David Philippe le 09/11/2021</t>
  </si>
  <si>
    <t>49804bca</t>
  </si>
  <si>
    <t>infos envoyées par mail (Joëlle informée que j'envoie le mail)</t>
  </si>
  <si>
    <t>fd8f6d4b</t>
  </si>
  <si>
    <t>ok traité par téléphone</t>
  </si>
  <si>
    <t>6280296f</t>
  </si>
  <si>
    <t>ok fait par tel</t>
  </si>
  <si>
    <t>68a49a9c</t>
  </si>
  <si>
    <t>Madame K-BIDI a besoin d'une attestation mentionnant la date de fermeture de sa structure "Les Pamplemousses". Il est important de se tourner vers la mairie de Saint-Joseph pour avoir ce document dans les délais (avant le 15 décembre 2021). Le prestataire avait besoin également d'une aide pour compléter le courrier de fermeture.</t>
  </si>
  <si>
    <t>377ae7f0</t>
  </si>
  <si>
    <t>AMIR a enregistré son mail et a envoyé un mail à mme germain pour la prévenir que c'est fait</t>
  </si>
  <si>
    <t>3e5dab11</t>
  </si>
  <si>
    <t>La reqûete est à fermer car le presta est informé et nous avons reçu son courrier de fermeture. Il s'agit maintenant à l'OTI de former l'agenbt communal de la maiire. AMIR en parle à ET</t>
  </si>
  <si>
    <t>108b68fd</t>
  </si>
  <si>
    <t>Numéro d'appart rajouté dans son adresse</t>
  </si>
  <si>
    <t>371a9b1e</t>
  </si>
  <si>
    <t>Angélica a modifié ok</t>
  </si>
  <si>
    <t>143b7f3f</t>
  </si>
  <si>
    <t>Et a informé irt et médialight.. la balle est dans leur camp</t>
  </si>
  <si>
    <t>cde73642</t>
  </si>
  <si>
    <t>A rappeler pour voir où en sont ses démarches au niveau de l'obtention du numéro SIREN</t>
  </si>
  <si>
    <t>eea95b5e</t>
  </si>
  <si>
    <t>structure fermée</t>
  </si>
  <si>
    <t>7a55de76</t>
  </si>
  <si>
    <t>Vu avec madame et monsieur le 16 nov, il s'agirait de signaler en haut 'RN2/martin luther king', puis remplacer leur panneau sauvage en dessous de celui de Chambrita
Et il faut mettre 2 lattes en dessous de Gîte les Cormorans, en bas de la rue des cormorans pour les visiteurs qui passent par en bas</t>
  </si>
  <si>
    <t>eaf5d304</t>
  </si>
  <si>
    <t>ouverture d'une nouvelle demande plus compléte</t>
  </si>
  <si>
    <t>38311158</t>
  </si>
  <si>
    <t>mail le 18/11 : Mme GERMAIN demande à être recontactée pour prise de RDV au bureau pour l'aider avec son dossier SIT</t>
  </si>
  <si>
    <t>75d678c2</t>
  </si>
  <si>
    <t>Le formulaire SIT a été envoyé par mail le 18/11/2021</t>
  </si>
  <si>
    <t>d8be851f</t>
  </si>
  <si>
    <t>Mail envoyé à Chrislène le 18/11/2021</t>
  </si>
  <si>
    <t>4d03300e</t>
  </si>
  <si>
    <t>Le prestataire a rappelé le 19/11/2021 pour le même motif</t>
  </si>
  <si>
    <t>cd8c618b</t>
  </si>
  <si>
    <t>traité en direct au téléphone</t>
  </si>
  <si>
    <t>31fca9c6</t>
  </si>
  <si>
    <t>63c8f6c5</t>
  </si>
  <si>
    <t>entré en plateforme TDS / mail ok / courrier ok</t>
  </si>
  <si>
    <t>14043295</t>
  </si>
  <si>
    <t>b35839c7</t>
  </si>
  <si>
    <t>message laissé sur son répondeur le 16/11</t>
  </si>
  <si>
    <t>d00fcc9b</t>
  </si>
  <si>
    <t>Le post explore était prévu pour sept mais il y a eu un pb avec la nouvelle agence !
Post fb oti prévu pour décembre vu avec CM</t>
  </si>
  <si>
    <t>a59aee50</t>
  </si>
  <si>
    <t>mail envoyé avec proposition de visite pour le 30/11/21 à 10h : attente de confirmation du prestataire</t>
  </si>
  <si>
    <t>c79d5d68</t>
  </si>
  <si>
    <t>courrier de fermeture envoyé au prestataire, en attente du retour courrier pour désactivation de l'hébergement</t>
  </si>
  <si>
    <t>4f20b0fc</t>
  </si>
  <si>
    <t>Mme GERMAIN a été recontactée le 19/11/2021 pour fixer son RV</t>
  </si>
  <si>
    <t>7a1689b5</t>
  </si>
  <si>
    <t>Mme ne souhaite pas de visite pour le moment : pour la TDS je lui ai envoyé des déclarations papier à compléter</t>
  </si>
  <si>
    <t>ed55c324</t>
  </si>
  <si>
    <t>9bb26fe5</t>
  </si>
  <si>
    <t>Rien à signaler</t>
  </si>
  <si>
    <t>0fd15e63</t>
  </si>
  <si>
    <t>Amir lui a envoyé un mail le 19 nov copie à prestataires pour lui donner nos coordonnées et qq infos. Il s'agira de lui rendre visite en décembre ! Et elle devait reconduire sa marque ESPRIT PARC :)</t>
  </si>
  <si>
    <t>4be02077</t>
  </si>
  <si>
    <t>AM a eu au tel Mme CAUCHEMEZ, fait le pt avec AS : il manque des pièces : page 1 du formulaire, la CNI, et qq photos. AM envoie par mail à cauchemez copie prestataires.</t>
  </si>
  <si>
    <t>e6165db1</t>
  </si>
  <si>
    <t>c1944159</t>
  </si>
  <si>
    <t>tout ok, nous tiendra au courant pour son classement en étoile, attente du retour de l'organisme</t>
  </si>
  <si>
    <t>da207112</t>
  </si>
  <si>
    <t>Le formulaire d'inscription SIT a été envoyé par mail le 24/11/2021. Le prestataire indique qu'il sera en Métropole dans les 15 prochains jours. Le dossier SIT complet sera envoyé par mail après cette période.</t>
  </si>
  <si>
    <t>e2c9175e</t>
  </si>
  <si>
    <t>Presta appelé le 24/11 : essaiera de se connecter et nous rappelera si besoin</t>
  </si>
  <si>
    <t>0b922fae</t>
  </si>
  <si>
    <t>ok entré en TDS + courrier envoyé</t>
  </si>
  <si>
    <t>27519ea3</t>
  </si>
  <si>
    <t>J'ai appelé le prestataire le 22/11/2021 pour finaliser le dossier d'inscription (photos manquantes)</t>
  </si>
  <si>
    <t>c593e9d7</t>
  </si>
  <si>
    <t>La fiche établissement a bien été mise à jour sur reunion.fr</t>
  </si>
  <si>
    <t>a44f4a09</t>
  </si>
  <si>
    <t>AMIR a répondu au presta que nous nous rense"ignons</t>
  </si>
  <si>
    <t>042cd866</t>
  </si>
  <si>
    <t>M. LEBRETON a été contacté (par téléphone) le 25/11/2021 concernant le suivi de son dossier SIT. Le prestataire ne souhaite pas donner suite à la demande d'inscription sur reunion.fr.</t>
  </si>
  <si>
    <t>05e40fc0</t>
  </si>
  <si>
    <t>Le prestataire informe le 26/11/2021 que le courrier de déclaration de fermeture sera envoyé par mail dès que possible</t>
  </si>
  <si>
    <t>d2c89a7b</t>
  </si>
  <si>
    <t>traité depuis le 05/11 reçu mail remerciement presta en retour</t>
  </si>
  <si>
    <t>1be992d9</t>
  </si>
  <si>
    <t>M. ETHEVE m'a transmi des pièces par mail pour son dossier SIT (26/11/2021), j'ai transféré le mail sur l'adresse prestataires. Les photos seront transmises ultérieurement.</t>
  </si>
  <si>
    <t>dbb55bb0</t>
  </si>
  <si>
    <t>L'attestation d'assurance envoyée ce jour par Mme GERMAIN indique l'année 2020. Le prestataire a été informé par mail et par téléphone qu'il faudra se rapprocher de la GMF pour mettre à jour ce document.</t>
  </si>
  <si>
    <t>7e8b1612</t>
  </si>
  <si>
    <t>Le prestataire a souhaité reporter le RV du 26/11/2021. Le prochain RV aura lieu dans l'après-midi du 03/12/2021.</t>
  </si>
  <si>
    <t>49c259c8</t>
  </si>
  <si>
    <t>La 2ème structure de ce prestataire ne fait pas partie de notre territoire. Le prestataire a été informé en date du 29/11/2021.</t>
  </si>
  <si>
    <t>ceedb326</t>
  </si>
  <si>
    <t>Le prestataire souhaite apporter des modifications à la fiche établissement déjà publiée sur reunion.fr</t>
  </si>
  <si>
    <t>92dceaca</t>
  </si>
  <si>
    <t>50945568</t>
  </si>
  <si>
    <t>Prestataire redirigé vers Alice MARIE (CASUD)</t>
  </si>
  <si>
    <t>8eae09e2</t>
  </si>
  <si>
    <t>Les photos ont été reçues le 29/11/2021. Le dossier complet a été envoyé à l'IRT le 29/11/2021.</t>
  </si>
  <si>
    <t>109d016d</t>
  </si>
  <si>
    <t>Presta supprimé sur bertel</t>
  </si>
  <si>
    <t>996796f5</t>
  </si>
  <si>
    <t>Le prestataire a envoyé la demande de changement de tarification par mail le 29/11/2021. Ce mail a été transféré à l'IRT le même jour.</t>
  </si>
  <si>
    <t>c60c9cf2</t>
  </si>
  <si>
    <t>La fiche établissement a été modifiée le 25/11/2021.</t>
  </si>
  <si>
    <t>2a47d5e9</t>
  </si>
  <si>
    <t>Panneaux installés</t>
  </si>
  <si>
    <t>9a395997</t>
  </si>
  <si>
    <t>il y a déjà une fiche au nom de "Les Grands Monts" il faut la mettre à jour et indiquer le changement de gestionnaire, Mme RATANE Marina enverra les nouvelles pièces administratives</t>
  </si>
  <si>
    <t>761bc38b</t>
  </si>
  <si>
    <t>courrier récupéré le 30/11/2021 lors de la visite</t>
  </si>
  <si>
    <t>253049f6</t>
  </si>
  <si>
    <t>sorti semaine du 22 novembre ok mais on aurait pas du car pas à jour tds</t>
  </si>
  <si>
    <t>98a1c1c2</t>
  </si>
  <si>
    <t>Possible en dessous de celui de Chambrita, mais le presta n'a pas vraiment mis de signalétique sur la résidence (normal c'est- un appart)</t>
  </si>
  <si>
    <t>b6c0f04d</t>
  </si>
  <si>
    <t>post fb prévu et nl décembre ok</t>
  </si>
  <si>
    <t>ee98651a</t>
  </si>
  <si>
    <t>006a0141</t>
  </si>
  <si>
    <t>traité au cours de la visite</t>
  </si>
  <si>
    <t>e82e7eee</t>
  </si>
  <si>
    <t>relai ok pour l'événement : story fb + story insta + google agenda // attente de ses photos pour le post de promo hébergement</t>
  </si>
  <si>
    <t>3d1f9afc</t>
  </si>
  <si>
    <t>Le prestataire a été contacté le 01/12/2021 pour l'envoi des photos de son établissement.</t>
  </si>
  <si>
    <t>345d684d</t>
  </si>
  <si>
    <t>déclaration enregistrée en plateforme</t>
  </si>
  <si>
    <t>6a91fe37</t>
  </si>
  <si>
    <t>mail envoyé pour prise de contact et demande de son numéro de tel (03/12/2021)</t>
  </si>
  <si>
    <t>7868dff6</t>
  </si>
  <si>
    <t>documents envoyés par mail + courrier postal</t>
  </si>
  <si>
    <t>42c9b5ef</t>
  </si>
  <si>
    <t>J'ai appelé le prestataire le 22/11/2021 ainsi que le 25/11/2021 pour le courrier de déclaration de fermeture. Mme BERTHELIER n'a pas répondu aux deux premiers appels. Cependant, le 26/11/2021, j'ai pu parler au prestataire.</t>
  </si>
  <si>
    <t>73bb8e4b</t>
  </si>
  <si>
    <t>Le dossier complet a été envoyé par mail à Chrislène le 06/12/2021.</t>
  </si>
  <si>
    <t>fd79fd1e</t>
  </si>
  <si>
    <t>Le prestataire a envoyé la déclaration en mairie par mail le 02/12/2021.</t>
  </si>
  <si>
    <t>46635841</t>
  </si>
  <si>
    <t>Les modifications de cette fiche établissement ont été apportées lors de la conversation téléphonique avec M. LAURET.</t>
  </si>
  <si>
    <t>33ae6fc4</t>
  </si>
  <si>
    <t>Le 06/12/2021, M. LAURET a envoyé un mail pour les modifications à apporter à sa fiche établissement. Ce mail a été transféré à Chrislène le 06/12/2021.</t>
  </si>
  <si>
    <t>52f14ef8</t>
  </si>
  <si>
    <t>Le prestataire a indiqué lors de notre dernière conversation téléphonique qu'il fallait changer l 'adresse mail</t>
  </si>
  <si>
    <t>db92a333</t>
  </si>
  <si>
    <t>Le 04/12/2021, le prestataire a envoyé par mail son courrier de déclaration de fermeture de son établissement</t>
  </si>
  <si>
    <t>755c1798</t>
  </si>
  <si>
    <t>Le 04/12/2021, Mme BERTHELIER a envoyé par mail son courrier de déclaration de fermeture de son établissement</t>
  </si>
  <si>
    <t>41099785</t>
  </si>
  <si>
    <t>structure fermée! annulation de la demande de panneau</t>
  </si>
  <si>
    <t>3e6500bb</t>
  </si>
  <si>
    <t>ok Bertel + TDS</t>
  </si>
  <si>
    <t>e9b916c1</t>
  </si>
  <si>
    <t>traité au téléphone : modification de la déclaration de novembre</t>
  </si>
  <si>
    <t>951930d1</t>
  </si>
  <si>
    <t>demande post FB relayée à SG + CM le vendredi 03/12/21</t>
  </si>
  <si>
    <t>40f2e01f</t>
  </si>
  <si>
    <t>courrier d'ouverture renvoyé par mail</t>
  </si>
  <si>
    <t>a4c54fc1</t>
  </si>
  <si>
    <t>prestataire appelé pour compléter Bertel</t>
  </si>
  <si>
    <t>e9c37536</t>
  </si>
  <si>
    <t>Le 08/12/2021, le dossier SIT a été envoyé par mail à l'IRT</t>
  </si>
  <si>
    <t>0ca5d52d</t>
  </si>
  <si>
    <t>traité par mail</t>
  </si>
  <si>
    <t>b8903e0d</t>
  </si>
  <si>
    <t>Le 06/12/2021, Mme GERMAIN a envoyé (par mail) son attestation d'assurance pour l'année 2021. Le 08/12/2021, Mme GERMAIN a été appelée pour confirmer le rendez-vous d'accompagnement (SIT) prévu le 10/12/2021.</t>
  </si>
  <si>
    <t>79138bfb</t>
  </si>
  <si>
    <t>Le 08/12/2021, M. MARTIN a été appelé pour le report de son rendez-vous.</t>
  </si>
  <si>
    <t>1a352ff4</t>
  </si>
  <si>
    <t>traité au téléphone : nous annonce également qu'elle est en train d'ouvrir un autre hébergement (St-Joseph). Nous recontactera pour ajouter ce dernier</t>
  </si>
  <si>
    <t>44cc02a6</t>
  </si>
  <si>
    <t>prestataire entré en plateforme + courrier ok</t>
  </si>
  <si>
    <t>ea53d8d1</t>
  </si>
  <si>
    <t>suivi : pas de retour de la part de M. VIAN, et pas de connexion sur son compte, je lui envoie un mail pour relancer</t>
  </si>
  <si>
    <t>7bc0fafa</t>
  </si>
  <si>
    <t>Le formulaire SIT a été envoyé à Mme GRONDIN.</t>
  </si>
  <si>
    <t>aee55bb7</t>
  </si>
  <si>
    <t>Le 08/12/2021, M. DUPONT a envoyé un mail afin de mettre à jour les données sur reunion.fr. Ce mail a été transféré à Chrislène. Je suis dans l'attente de recevoir les photos de cet établissement.</t>
  </si>
  <si>
    <t>0880ad80</t>
  </si>
  <si>
    <t>Pas encore de jalonnement, accès sur la piste de 4X4, aimerait un jalonnement sur la piste, et un jalonnement piéton  .</t>
  </si>
  <si>
    <t>99d1395b</t>
  </si>
  <si>
    <t>Deja jalonné, aimerait avoirs des panneaux d'itinéraire piéton</t>
  </si>
  <si>
    <t>f44274a3</t>
  </si>
  <si>
    <t>Massif existent, 1 panneaux vandalisé et 1 volé</t>
  </si>
  <si>
    <t>e7b3b0c4</t>
  </si>
  <si>
    <t>fait, mais manque éventuellement 1 panneau</t>
  </si>
  <si>
    <t>d7935911</t>
  </si>
  <si>
    <t>Aimerait une forme de signalisation depuis Saint-Joseph</t>
  </si>
  <si>
    <t>29840a56</t>
  </si>
  <si>
    <t>b9b5298e</t>
  </si>
  <si>
    <t>post fb en nov qui a super bien marché ! puis il y aura le guide loisirs</t>
  </si>
  <si>
    <t>4be5c3ca</t>
  </si>
  <si>
    <t>passé en story c'est fait/ le presta était super content</t>
  </si>
  <si>
    <t>69d54323</t>
  </si>
  <si>
    <t>En effet, il s'agit de mettre un panneau en bas croisement RN2, puis croisement avec Rue des Jacques</t>
  </si>
  <si>
    <t>c57a9781</t>
  </si>
  <si>
    <t>Post prévu pour le 22 déc, errer d'objet de contact je revois çà</t>
  </si>
  <si>
    <t>4e5abb44</t>
  </si>
  <si>
    <t>Le numéro n'est pas le bon, 2 mails envoyés, je mets une info à l"équipe dans la fiche établissement, mais ce n'est pas une requête au sens demande du presta</t>
  </si>
  <si>
    <t>7c9e45f9</t>
  </si>
  <si>
    <t>Aimerais un massif au niveau de la passerel</t>
  </si>
  <si>
    <t>834e2ae8</t>
  </si>
  <si>
    <t>Le 10/12/2021, j'ai envoyé le formulaire d'inscription SIT par mail à M. THEODORAT.</t>
  </si>
  <si>
    <t>34eba393</t>
  </si>
  <si>
    <t>Le 10/12/2021, Mme ICHAYE a indiqué qu'elle ne souhaitait pas recevoir le formulaire d'inscription SIT.</t>
  </si>
  <si>
    <t>e8ce0836</t>
  </si>
  <si>
    <t>pause d'activité enregistrée dans la plateforme TDS jusqu'au 28/02/2022</t>
  </si>
  <si>
    <t>6c8249fa</t>
  </si>
  <si>
    <t>Le 10/12/2021, j'ai reçu (en mains propres) le dossier SIT de Mme GERMAIN. Il manque une pièce à joindre à ce dossier avant l'envoi à l'IRT. Par conséquent, je suis dans l'attente de recevoir la déclaration en mairie de l'établissement :"AU DOUX TAMARIN DES HAUTS".</t>
  </si>
  <si>
    <t>977075c3</t>
  </si>
  <si>
    <t>j'ai essayé d'appeler (le 10/12/2021 16h00), j'ai laissé un message vocal en demandant de me rappeler</t>
  </si>
  <si>
    <t>b442aecb</t>
  </si>
  <si>
    <t>Denis dit que ceux qui ont des panneaux, c'est de la concurrence déloyale...</t>
  </si>
  <si>
    <t>6fcf6b5c</t>
  </si>
  <si>
    <t>Le 13/12/2021, j'ai envoyé un mail à M. PAYET pour lui informer que la fiche établissement du "PLACIDE" est publiée sur reunion.fr.</t>
  </si>
  <si>
    <t>7875020a</t>
  </si>
  <si>
    <t>J'ai appelé le prestataire le 13/12/2021. Il manque une pièce à joindre au dossier SIT.</t>
  </si>
  <si>
    <t>6f33c3c1</t>
  </si>
  <si>
    <t>ok TDS presta appelé : inscription + courrier</t>
  </si>
  <si>
    <t>f14156e4</t>
  </si>
  <si>
    <t>demande traitée au téléphone</t>
  </si>
  <si>
    <t>eda063f0</t>
  </si>
  <si>
    <t>3d5ae834</t>
  </si>
  <si>
    <t>le 14/12 M. demande où en sont ses panneaux, je lui ai dit qu'il y aura encore de l'attente</t>
  </si>
  <si>
    <t>7f0faeb6</t>
  </si>
  <si>
    <t>J'ai modifié la fiche établissement. L'établissement n'est pas enregistré sur reunion.fr.</t>
  </si>
  <si>
    <t>cde6f0dd</t>
  </si>
  <si>
    <t>traité au téléphone : les contrats saisonniers sont des contrats bien spécifiques, différents des CDD</t>
  </si>
  <si>
    <t>e93d77d5</t>
  </si>
  <si>
    <t>RDV tél fixé au 15/12/2021 14h00</t>
  </si>
  <si>
    <t>9db656fe</t>
  </si>
  <si>
    <t>Le 15/12/2021, j'ai appelé Mme BOYER pour les photos à mettre en ligne sur reunion.fr. J'ai proposé un RV à Mme BOYER pour l'aider à prendre les photos de son hébergement. La confirmation de ce RV se fera à compter du 17 janvier 2022.</t>
  </si>
  <si>
    <t>ab608290</t>
  </si>
  <si>
    <t>Mme LEBON déplace le RDV tél au vendredi 17/12/21 en matinée</t>
  </si>
  <si>
    <t>aa708f85</t>
  </si>
  <si>
    <t>Attestation de classement reçue par mail le 15/12/2021</t>
  </si>
  <si>
    <t>20314fe5</t>
  </si>
  <si>
    <t>Attestation de classement reçue par mail le 14/12/2021</t>
  </si>
  <si>
    <t>01f5bd66</t>
  </si>
  <si>
    <t>f856150b</t>
  </si>
  <si>
    <t>Mail envoyé le 16/12</t>
  </si>
  <si>
    <t>4b1dc1be</t>
  </si>
  <si>
    <t>Mail traité</t>
  </si>
  <si>
    <t>2eebd5ba</t>
  </si>
  <si>
    <t>619fd5f8</t>
  </si>
  <si>
    <t>il y a un doublon dans Bertel, il faut supprimer "Villa Mandarine"
Dans la taxe de séjour il y a bien une seule fiche pour cet établissement c'est "Les Villas Mandarine"</t>
  </si>
  <si>
    <t>7f6f5bde</t>
  </si>
  <si>
    <t>Mme BAZIN : Courrier de fermeture définitive reçu / En attente de reversement pour désactiver l'hébergement. Alice a déjà relancé ce prestataire 2 fois par mail pour la régularisation des sommes dues. Je l'ai informée de l'appel en question, elle prend le relais avec le prestataire pour faire une 3ème relance...</t>
  </si>
  <si>
    <t>b9949a31</t>
  </si>
  <si>
    <t>demande traitée au téléphone : accompagnement à la télédéclaration</t>
  </si>
  <si>
    <t>93dde35a</t>
  </si>
  <si>
    <t>prestataire entré en plateforme TDS + courrier ok</t>
  </si>
  <si>
    <t>cb00745a</t>
  </si>
  <si>
    <t>ML a emailé au presta son attestation le 21 matin (il avait déjà rappelé à 8h)</t>
  </si>
  <si>
    <t>b710506e</t>
  </si>
  <si>
    <t>La visite de l’établissement « Le Placide » a eu lieu le 15/12/2021 à 14h00. 
Cette visite a été effectuée par : 
- David Philippe ;
- Angélica SARPÉDON.</t>
  </si>
  <si>
    <t>5926dd60</t>
  </si>
  <si>
    <t>Le formulaire d'inscription SIT a bien été envoyé au prestataire</t>
  </si>
  <si>
    <t>0f77dd6c</t>
  </si>
  <si>
    <t>Alice a été prévenue pour voir les possibilités de remboursement // mail envoyé au client le 24/12/2021 pour lui expliquer que son dossier est à l'étude // un nouveau point sera fait avec Alice à mon retour de CA (05/01/2021)</t>
  </si>
  <si>
    <t>f36e031d</t>
  </si>
  <si>
    <t>Une cliente n'a pas à demander cela. La cliente a été conseillée de reprendre contact avec le prestataire pour lui fournir une facture tout simplement</t>
  </si>
  <si>
    <t>02ecd256</t>
  </si>
  <si>
    <t>AMIR a emailé l'attestation mardi 28 déc</t>
  </si>
  <si>
    <t>1e92c09f</t>
  </si>
  <si>
    <t>Presta entré en bdd ok, commentaire mis en rappel dans agenda ML et infos à l'équipe, ce n'est pas une requête en soi</t>
  </si>
  <si>
    <t>eaad1d47</t>
  </si>
  <si>
    <t>L'information a été transmise à la CASUD en date du 16 décembre 2021</t>
  </si>
  <si>
    <t>1028dac5</t>
  </si>
  <si>
    <t>Comme convenu, le post dédié aux Locations Vert Eden a été mis en ligne le 22 décembre 2021. 
=&gt; Mme MARAPA a bien été informée.</t>
  </si>
  <si>
    <t>93874466</t>
  </si>
  <si>
    <t>Post fait en décembre et NL ok</t>
  </si>
  <si>
    <t>e9fcbc52</t>
  </si>
  <si>
    <t>Page fb vérifiée / et SIRENE vérifié</t>
  </si>
  <si>
    <t>59b8c116</t>
  </si>
  <si>
    <t>Page fb vérifiée et sirene vérifié</t>
  </si>
  <si>
    <t>0036d986</t>
  </si>
  <si>
    <t>Le presta a un sirene mais pas de page fb ni internet mais il est sur reunion.fr, sur google my business, sur d'autres sites.</t>
  </si>
  <si>
    <t>8c311623</t>
  </si>
  <si>
    <t>Le prestataire souhaite recevoir de nouveau le formulaire d'inscription SIT</t>
  </si>
  <si>
    <t>c64469b1</t>
  </si>
  <si>
    <t>Le 29 décembre 2021, j'ai appelé Alice pour cette demande</t>
  </si>
  <si>
    <t>943b7fc5</t>
  </si>
  <si>
    <t>Je me suis rapprochée de la DECV pour faire le point concernant la demande de M. CORRÉ. Le prestataire a confirmé par mail que la collecte des déchets du bac jaune a bien été effectuée ce jour.</t>
  </si>
  <si>
    <t>e54f81ba</t>
  </si>
  <si>
    <t>Le 30/12/2021, j'ai expliqué à M. PIGNAULT que le formulaire lui sera envoyé après avoir fait le point avec l'IRT. Pour le moment, je n'arrive pas à avoir quelqu'un au bout du fil. 
J'ai fait une demande de rappel par mail à :
- Chrislène (le 27/12/2021) ;
- Muriel (le 30/12/2021). 
En parallèle, le 30/12/2021, j'ai listé au prestataire les documents à fournir pour son inscription SIT. Il est à noter que le prestataire ne détient pas l'ensemble de ces documents.</t>
  </si>
  <si>
    <t>86938280</t>
  </si>
  <si>
    <t>Le formulaire d'inscription SIT a bien été envoyé</t>
  </si>
  <si>
    <t>e1b44f76</t>
  </si>
  <si>
    <t>Le formulaire d'inscription SIT a été envoyé par mail le 03/01/2022</t>
  </si>
  <si>
    <t>fd892ea3</t>
  </si>
  <si>
    <t>Le formulaire d'inscription SIT a bien été envoyé au prestataire. De plus, la fiche établissement de l'ancien propriétaire est désactivée sur www.reunion.fr</t>
  </si>
  <si>
    <t>3315a3c6</t>
  </si>
  <si>
    <t>J'ai pu faire le point avec l'IRT. De ce fait, le formulaire SIT en lien avec l'activité de M. PIGNAULT a bien été envoyé par mail.</t>
  </si>
  <si>
    <t>7735dba7</t>
  </si>
  <si>
    <t>Le 03/01/2022, Mme ROBERT a appelé Alice pour ce paiement. Alice est informée que le paiement de Mme ROBERT est en cours.</t>
  </si>
  <si>
    <t>59b7603d</t>
  </si>
  <si>
    <t>fermeture temporaire bien reportée dans la plateforme TDS (fait le 05/01/2022)</t>
  </si>
  <si>
    <t>4fc1fbe8</t>
  </si>
  <si>
    <t>Le 05/01/2022, j'ai envoyé un mail à Mme HUET. Ce mail a un lien d’accès direct pour consulter la fiche de cet établissement sur le site de l'IRT.</t>
  </si>
  <si>
    <t>1a0d8aeb</t>
  </si>
  <si>
    <t>Le 05/01/2022, j'ai envoyé un mail à Mme HUET. Ce mail contient un lien d’accès direct pour consulter la fiche de cet établissement sur le site de l'IRT.</t>
  </si>
  <si>
    <t>7f07d406</t>
  </si>
  <si>
    <t>Traité le 05/01/22 avec la publication sur Facebook</t>
  </si>
  <si>
    <t>d55e839a</t>
  </si>
  <si>
    <t>Point fait avec Alice : après analyse, le client n'a pas payé de taxe de séjour sur Booking, il n'y aura donc pas de remboursement puisque Mme Côme a payé une fois sa TDS auprès de Mme MARAPA. Alice s'occupe de recontacter le client pour lui expliquer</t>
  </si>
  <si>
    <t>d8a466e3</t>
  </si>
  <si>
    <t>Le 06/01/2022, le prestataire a envoyé plusieurs mails concernant ses panneaux signalétiques.</t>
  </si>
  <si>
    <t>f69e7b43</t>
  </si>
  <si>
    <t>L'établissement de Mme GERMAIN n'est pas encore référencé sur www.reunion.fr car l'attestation d'assurance envoyée par le prestataire n'est pas à jour. De plus, il manque la déclaration en mairie pour finaliser le dossier d'inscription.</t>
  </si>
  <si>
    <t>53b77d11</t>
  </si>
  <si>
    <t>Le numéro SIREN a bien été enregistré</t>
  </si>
  <si>
    <t>cb68c4b2</t>
  </si>
  <si>
    <t>fermeture prolongée sur une autre requête</t>
  </si>
  <si>
    <t>64585a6f</t>
  </si>
  <si>
    <t>Fermeture reportée sur plateforme TDS + mail envoyé au presta</t>
  </si>
  <si>
    <t>dda37a56</t>
  </si>
  <si>
    <t>ok reporté dans la plateforme TDS</t>
  </si>
  <si>
    <t>14da74b9</t>
  </si>
  <si>
    <t>appelé le 10/01/2021 : me rappelera quand il sera devant son ordi pour faire les déclarations ensemble - à relancer si pas de retour d'ici la fin de semaine</t>
  </si>
  <si>
    <t>c806f20f</t>
  </si>
  <si>
    <t>Déclaration enregistrée en plateforme</t>
  </si>
  <si>
    <t>958c2fbe</t>
  </si>
  <si>
    <t>Mail envoyé avec demande de rappel téléphonique car numéros de téléphones en BDD incorrects (non attribué)</t>
  </si>
  <si>
    <t>d8d9ca3a</t>
  </si>
  <si>
    <t>le prestataire a bien rappelé, requête traitée</t>
  </si>
  <si>
    <t>793c6435</t>
  </si>
  <si>
    <t>Relance par téléphone et par mail en date du 10/01/2022</t>
  </si>
  <si>
    <t>924d79d1</t>
  </si>
  <si>
    <t>presta ajouté en plateforme TDS / attente validation courrier + nouveaux docs tarifaires 2022 pour envoi au presta (mail + courrier)</t>
  </si>
  <si>
    <t>f6a5d7f8</t>
  </si>
  <si>
    <t>Prestataire ajouté en plateforme TDS // attente validation courrier + nouveaux documents tarifaires pour envoi mail + courrier</t>
  </si>
  <si>
    <t>b1622eb4</t>
  </si>
  <si>
    <t>Relance par téléphone en date du 10/01/2022</t>
  </si>
  <si>
    <t>63f7c94a</t>
  </si>
  <si>
    <t>f28f0d67</t>
  </si>
  <si>
    <t>57262563</t>
  </si>
  <si>
    <t>Mme FILAUMART souhaite recevoir de nouveau le courrier à compléter pour la fermeture de son établissement</t>
  </si>
  <si>
    <t>6408655d</t>
  </si>
  <si>
    <t>entrée faite le 11/01/22 // ne souhaite pas SIT pour le moment // nous enverra ses photos par mail</t>
  </si>
  <si>
    <t>8aec2e56</t>
  </si>
  <si>
    <t>entrée en plateforme faite le 11/01/22 mais en attente de la validation du courrier + les docs de com 2022 pour envoi (mail + courrier postal)</t>
  </si>
  <si>
    <t>f0c80c8c</t>
  </si>
  <si>
    <t>RDV donné au bureau le jeudi 13 (matin) pour accompagnement</t>
  </si>
  <si>
    <t>81cff3ec</t>
  </si>
  <si>
    <t>RDV donné le jeudi 13 (matin) au bureau pour accompagnement télédéclaration</t>
  </si>
  <si>
    <t>2a38a8fd</t>
  </si>
  <si>
    <t>Le prestataire a envoyé par mail le courrier de déclaration de fermeture définitive de son établissement</t>
  </si>
  <si>
    <t>0643be9c</t>
  </si>
  <si>
    <t>RDV annulé / Mme Chassenieux a pu faire ses déclarations</t>
  </si>
  <si>
    <t>81072dc9</t>
  </si>
  <si>
    <t>RDV annulé, M. LAURET a pu se faire aider pour effectuer ses déclarations et ses reversements</t>
  </si>
  <si>
    <t>57b244cb</t>
  </si>
  <si>
    <t>CERFA mairie envoyé par mail</t>
  </si>
  <si>
    <t>80f2888f</t>
  </si>
  <si>
    <t>RDV fixé avec M. PALMAS pour le jeudi 12/01/2022 à 10h30</t>
  </si>
  <si>
    <t>32ff62b1</t>
  </si>
  <si>
    <t>fermeture enregistrée en plateforme TDS</t>
  </si>
  <si>
    <t>59edb6ef</t>
  </si>
  <si>
    <t>Le numéro de téléphone du prestataire a été modifié en date du 11/01/2022</t>
  </si>
  <si>
    <t>487ebcff</t>
  </si>
  <si>
    <t>L'attestation de classement de la VILLA MORINGA a été envoyée par mail en date du 12/01/2022</t>
  </si>
  <si>
    <t>8ce98edf</t>
  </si>
  <si>
    <t>J'ai appelé Mme CHAN le 12/01/2022 pour les modifications à apporter à sa fiche établissement. 
Cf. mail envoyé à ce prestataire le 13/01/2022.</t>
  </si>
  <si>
    <t>3e082df5</t>
  </si>
  <si>
    <t>Accompagnement TDS lors du RDV au bureau le 13/01/22</t>
  </si>
  <si>
    <t>debe84e5</t>
  </si>
  <si>
    <t>traité au tel</t>
  </si>
  <si>
    <t>4c049333</t>
  </si>
  <si>
    <t>répondu via mail TDS : "Je vous informe que l'hébergement "LES PAMPLEMOUSSES" est bien fermé définitivement dans votre espace personnel, pour vous en assurer, il suffit de regarder dans la rubrique "Mes hébergements", ce meublé de tourisme est marqué "INACTIF" ce qui signifie qu'il est fermé définitivement. Vous pouvez également voir sur votre tableau de bord que la liste des "hébergements actifs" ne comporte que votre hébergement "DATTIER".
En ce qui concerne votre meublé de tourisme "DATTIER", si vous souhaitez effectuer une fermeture définitive, merci de bien vouloir compléter la déclaration de fermeture en pièce jointe et de nous la retourner en réponse de ce mail."
+ PJ COURRIER TYPE DE FERMETURE</t>
  </si>
  <si>
    <t>8345d7b4</t>
  </si>
  <si>
    <t>M KERBIDI a envoyé un mail le 12/01/2022 pour fait le point sur sa situation : il souhaite fermer définitivement le meublé de tourisme et reprendre l'activité de chambre d'hôtes à partir du mois d'août 2022 / à rappeler pour les modifications TDS (dates fermeture temporaire) et transmission courrier type fermeture pour le meublé</t>
  </si>
  <si>
    <t>99f072ef</t>
  </si>
  <si>
    <t>Publication le 12/01/22</t>
  </si>
  <si>
    <t>ba825356</t>
  </si>
  <si>
    <t>Le 14/01/2022, j'ai appelé Mme GERMAIN pour faire le point au sujet de son dossier d'inscription SIT.</t>
  </si>
  <si>
    <t>2dddda0a</t>
  </si>
  <si>
    <t>Le 14/01/2022, Mme HOARAU a été informée qu'il faut joindre son attestation d'assurance, sa pièce d'identité ainsi que la déclaration en mairie de son hébergement pour finaliser son dossier d'inscription SIT.</t>
  </si>
  <si>
    <t>89b02dbd</t>
  </si>
  <si>
    <t>J'ai appelé le prestataire le 11/01/2022 pour faire le point concernant la fiche de son établissement</t>
  </si>
  <si>
    <t>0f7c9c23</t>
  </si>
  <si>
    <t>Le formulaire d'inscription SIT a bien été envoyé à M. PATCHANE</t>
  </si>
  <si>
    <t>78d21013</t>
  </si>
  <si>
    <t>Le 14/01/2022, j'ai appelé le prestataire pour faire le point concernant les documents importants à joindre pour le référencement de son établissement sur www.reunion.fr</t>
  </si>
  <si>
    <t>2ee028b4</t>
  </si>
  <si>
    <t>le 17/01/2022 : relance de M. HOAREAU concernant le changement de nom sur ses panneaux / message transmis à DP sur slack pour prise de contact avec le presta</t>
  </si>
  <si>
    <t>f8d807b1</t>
  </si>
  <si>
    <t>rappel le 17/01 matin pour faire le point : monsieur n'était pas dispo, il va me rappeler dans la journée, à suivre</t>
  </si>
  <si>
    <t>4c0fc364</t>
  </si>
  <si>
    <t>à suivre pour la réception du document mairie!!</t>
  </si>
  <si>
    <t>d0a3c5b9</t>
  </si>
  <si>
    <t>nouveaux documents tarifaires envoyés par mail (sans le courrier! qui est en attente de validation élu)</t>
  </si>
  <si>
    <t>36bc1dda</t>
  </si>
  <si>
    <t>Chambre d'hôtes : fermeture provisoire prolongée jusqu'au 31/07/2022 - après cette date M. KERBIDI fera le point avec nous : soit changement en meublé de tourisme soit baisse de la capacité d'accueil si possibilité de continuer en chambre d'hôtes //  pour le meublé : fermeture définitive, courrier de fermeture envoyé</t>
  </si>
  <si>
    <t>e6d100e3</t>
  </si>
  <si>
    <t>AMIR a envoyé un email, on attend</t>
  </si>
  <si>
    <t>82dba028</t>
  </si>
  <si>
    <t>AMIR a emailé pour redemander le doc</t>
  </si>
  <si>
    <t>32cfbf0f</t>
  </si>
  <si>
    <t>redirigée vers Alice MARIE</t>
  </si>
  <si>
    <t>7a7d5295</t>
  </si>
  <si>
    <t>redirection vers les services de la CASUD : numéro vert donné et page internet</t>
  </si>
  <si>
    <t>ed434d48</t>
  </si>
  <si>
    <t>mail ouverture : courrier + docs tarifaires envoyés le 18/01/2022</t>
  </si>
  <si>
    <t>3968ddb4</t>
  </si>
  <si>
    <t>f6d725d5</t>
  </si>
  <si>
    <t>24b3d06c</t>
  </si>
  <si>
    <t>2f8a6167</t>
  </si>
  <si>
    <t>f515956a</t>
  </si>
  <si>
    <t>enregistré sur la plateforme + mail envoyé avec courrier activation + docs tarifaires // reste courrier postal à envoyer</t>
  </si>
  <si>
    <t>f7f17213</t>
  </si>
  <si>
    <t>Le service a finalisé sa démarche, la balle est dans le camp du presta</t>
  </si>
  <si>
    <t>En attente d'un retour du prestataire</t>
  </si>
  <si>
    <t>124857df</t>
  </si>
  <si>
    <t>Le service a rempli sa mission, Le presta rappelera lorsqu'il ouvrira</t>
  </si>
  <si>
    <t>d09c2dca</t>
  </si>
  <si>
    <t>Le formulaire d'inscription SIT a été envoyé par mail à M. TONRU le 13/12/2021</t>
  </si>
  <si>
    <t>4f70911e</t>
  </si>
  <si>
    <t>Le service a donné toutes les infos, le presta doit revenir vers nous pour son cerfa complet</t>
  </si>
  <si>
    <t>df1861a1</t>
  </si>
  <si>
    <t>c7959a6b</t>
  </si>
  <si>
    <t>1ab771ce</t>
  </si>
  <si>
    <t>a9fd6020</t>
  </si>
  <si>
    <t>Rdv pris fin janvier</t>
  </si>
  <si>
    <t>f2e124a9</t>
  </si>
  <si>
    <t>c4be75b2</t>
  </si>
  <si>
    <t>Desiderata saisi dans fichier des prestas "différents" (en vrac sur drive)</t>
  </si>
  <si>
    <t>db66455f</t>
  </si>
  <si>
    <t>Info saisie dans presta en vrac sur le drive</t>
  </si>
  <si>
    <t>b080251f</t>
  </si>
  <si>
    <t>82ff61f6</t>
  </si>
  <si>
    <t>a3476411</t>
  </si>
  <si>
    <t>Complexe</t>
  </si>
  <si>
    <t>8aba766a</t>
  </si>
  <si>
    <t>6c2f13c8</t>
  </si>
  <si>
    <t>Le presta doit renvoyer ses documents</t>
  </si>
  <si>
    <t>9e2e0b6d</t>
  </si>
  <si>
    <t>En attente du retour du doc de la dame</t>
  </si>
  <si>
    <t>a9455fcd</t>
  </si>
  <si>
    <t>Info saisie dans info à l'équipe</t>
  </si>
  <si>
    <t>03112d03</t>
  </si>
  <si>
    <t>7e34a00a</t>
  </si>
  <si>
    <t>a91c747c</t>
  </si>
  <si>
    <t>572e931a</t>
  </si>
  <si>
    <t>800ba472</t>
  </si>
  <si>
    <t>Monsieur Lebon rouvrira aux touristes qd il aura terminé les travaux, ils habitent dans la Varangue pour le moment
Infos saisie dans info à l'équipe</t>
  </si>
  <si>
    <t>bb7b7f15</t>
  </si>
  <si>
    <t>Mail de question sur la réouverture envoyé le 18/01</t>
  </si>
  <si>
    <t>6491aaba</t>
  </si>
  <si>
    <t>1499eae2</t>
  </si>
  <si>
    <t>0729df90</t>
  </si>
  <si>
    <t>74cf45b7</t>
  </si>
  <si>
    <t>8e65983e</t>
  </si>
  <si>
    <t>8caa2dd9</t>
  </si>
  <si>
    <t>660d5e5a</t>
  </si>
  <si>
    <t>3b80f2a9</t>
  </si>
  <si>
    <t>5466af9c</t>
  </si>
  <si>
    <t>cfa9687f</t>
  </si>
  <si>
    <t>Dossier d'inscription envoyé au presta</t>
  </si>
  <si>
    <t>6d710df8</t>
  </si>
  <si>
    <t>859cb4df</t>
  </si>
  <si>
    <t>66488245</t>
  </si>
  <si>
    <t>0a200060</t>
  </si>
  <si>
    <t>5b66a76a</t>
  </si>
  <si>
    <t>891afeb6</t>
  </si>
  <si>
    <t>537e53a2</t>
  </si>
  <si>
    <t>94632d5a</t>
  </si>
  <si>
    <t>53bfe829</t>
  </si>
  <si>
    <t>902fc68e</t>
  </si>
  <si>
    <t>Le 22/12 Le formulaire d'inscription SIT a bien été envoyé au prestataire</t>
  </si>
  <si>
    <t>65fedf73</t>
  </si>
  <si>
    <t>0c4626b0</t>
  </si>
  <si>
    <t>71f09b79</t>
  </si>
  <si>
    <t>bae37595</t>
  </si>
  <si>
    <t>aa6a18d3</t>
  </si>
  <si>
    <t>597e6cbf</t>
  </si>
  <si>
    <t>31202664</t>
  </si>
  <si>
    <t>8ec54ddc</t>
  </si>
  <si>
    <t>016a3171</t>
  </si>
  <si>
    <t>62cfda3d</t>
  </si>
  <si>
    <t>39f5bf19</t>
  </si>
  <si>
    <t>4b3aed50</t>
  </si>
  <si>
    <t>14fb6119</t>
  </si>
  <si>
    <t>8ec59a85</t>
  </si>
  <si>
    <t>33552dee</t>
  </si>
  <si>
    <t>c5f60ca8</t>
  </si>
  <si>
    <t>fa52c3ee</t>
  </si>
  <si>
    <t>5abf0493</t>
  </si>
  <si>
    <t>b78faa0e</t>
  </si>
  <si>
    <t>ffe7c6a9</t>
  </si>
  <si>
    <t>9e5fa468</t>
  </si>
  <si>
    <t>3926ba53</t>
  </si>
  <si>
    <t>0f469655</t>
  </si>
  <si>
    <t>49653734</t>
  </si>
  <si>
    <t>9fa220dc</t>
  </si>
  <si>
    <t>6da876bb</t>
  </si>
  <si>
    <t>en attente du retour courrier complété et signé pour fermeture TDS!</t>
  </si>
  <si>
    <t>6341c7a7</t>
  </si>
  <si>
    <t>courrier postal envoyé le 19/01/2022 - procédure d'entrée du prestataire en plateforme TDS terminée</t>
  </si>
  <si>
    <t>54ce4ab9</t>
  </si>
  <si>
    <t>3c2e10e7</t>
  </si>
  <si>
    <t>17d26127</t>
  </si>
  <si>
    <t>bc96edb1</t>
  </si>
  <si>
    <t>317b3a0a</t>
  </si>
  <si>
    <t>f1a19fa6</t>
  </si>
  <si>
    <t>df72a3e9</t>
  </si>
  <si>
    <t>75025220</t>
  </si>
  <si>
    <t>Madame RODZINKA a été contactée en date du 18 janvier 2022. De plus, j'ai envoyé un mail à ce prestataire.</t>
  </si>
  <si>
    <t>f033d830</t>
  </si>
  <si>
    <t>de405b4e</t>
  </si>
  <si>
    <t>362f029b</t>
  </si>
  <si>
    <t>message laissé sur son portable le 19/01/2022 à 10h00 avec demande de rappel</t>
  </si>
  <si>
    <t>2e2d2fc0</t>
  </si>
  <si>
    <t>fermeture de Kaz a Mélina 1 et nous informe qu'elle va renouveller le classement pour Kaz a Mélina 2</t>
  </si>
  <si>
    <t>62f2b5ce</t>
  </si>
  <si>
    <t>Publication le 19/01/22 à 20h</t>
  </si>
  <si>
    <t>92c4f9d4</t>
  </si>
  <si>
    <t>attente retour attestation une fois que le classement sera renouvelé - arrive à échéance en avril 2022 (appel de Mme Valromex pour nous prévenir le 19/01/2022)</t>
  </si>
  <si>
    <t>2cc100ce</t>
  </si>
  <si>
    <t>envoi mail du courrier type fermeture au presta le 19/01/2022 - en attente de son retour</t>
  </si>
  <si>
    <t>00e08ddd</t>
  </si>
  <si>
    <t>Le formulaire d'inscription SIT a été envoyé à Madame LORION en date du 13 janvier 2022</t>
  </si>
  <si>
    <t>96200a16</t>
  </si>
  <si>
    <t>presta ajouté en plateforme / mail ok / courrier ok le 19/01/2022</t>
  </si>
  <si>
    <t>a54bc19e</t>
  </si>
  <si>
    <t>Le 12 novembre 2021, j'ai envoyé un mail à M. NAGUIN concernant les modifications à apporter à la fiche de son établissement</t>
  </si>
  <si>
    <t>58fca773</t>
  </si>
  <si>
    <t>Le 19 janvier 2022, j'ai appelé le prestataire pour faire le point concernant la fiche de son établissement. Ce jour, pour donner suite à la demande de M. NAGUIN, je vais envoyer de nouveau un mail.</t>
  </si>
  <si>
    <t>27db698d</t>
  </si>
  <si>
    <t>Le 10 novembre 2021, j'ai envoyé un mail à Mme APOSTIN concernant la mise à jour de la fiche de son établissement</t>
  </si>
  <si>
    <t>f6176a75</t>
  </si>
  <si>
    <t>attente retour</t>
  </si>
  <si>
    <t>3aec4ffc</t>
  </si>
  <si>
    <t>Cet établissement est référencé sur reunion.fr</t>
  </si>
  <si>
    <t>1d83ca9e</t>
  </si>
  <si>
    <t>attente vérification mairie St-Jo : prestataire déclaré en mairie ou pas? - mail envoyé le 19/01/2022 à M. De La Hogue</t>
  </si>
  <si>
    <t>3bda139e</t>
  </si>
  <si>
    <t>ok courrier reçu - fermé TDS</t>
  </si>
  <si>
    <t>d9b748b9</t>
  </si>
  <si>
    <t>Mme MUSSARD a informé qu'elle ne souhaitait pas donner suite à cette demande</t>
  </si>
  <si>
    <t>ac0dde6d</t>
  </si>
  <si>
    <t>presta entré, mail + courrier ok le 20/01/2022</t>
  </si>
  <si>
    <t>eaf58f98</t>
  </si>
  <si>
    <t>Le 20/01/2022, j'ai envoyé un courriel à M. NAGUIN. Ce courriel permet à M. NAGUIN d'avoir un accès direct à la fiche de son établissement.</t>
  </si>
  <si>
    <t>e1ff5234</t>
  </si>
  <si>
    <t>attente envoi document</t>
  </si>
  <si>
    <t>0a7d3ed8</t>
  </si>
  <si>
    <t>document reçu et placé dans sa fiche</t>
  </si>
  <si>
    <t>ea4f5f6b</t>
  </si>
  <si>
    <t>* Le prestataire a transmis les pièces importantes à joindre pour finaliser son dossier d'inscription.
* J'ai envoyé un mail à Madame GERMAIN le 20/01/2022.</t>
  </si>
  <si>
    <t>c2cd45a7</t>
  </si>
  <si>
    <t>prestataire ajouté en plateforme : courrier et mail ok</t>
  </si>
  <si>
    <t>304bec75</t>
  </si>
  <si>
    <t>4d976657</t>
  </si>
  <si>
    <t>J'ai appelé Mme Bègue pour faire le point au sujet de ses interrogations.
Cf. mail envoyé par Madame Bègue en date du 20/01/2022.</t>
  </si>
  <si>
    <t>319e90f9</t>
  </si>
  <si>
    <t>Métro informe que la publication est prévue le 2 février :)</t>
  </si>
  <si>
    <t>e794cea3</t>
  </si>
  <si>
    <t>Métro informe que la publication est prévue pour le 26/01</t>
  </si>
  <si>
    <t>d9681334</t>
  </si>
  <si>
    <t>Il s'agira d'expliquer au presta qu'il lui faut une page et non un profil</t>
  </si>
  <si>
    <t>45f3fa57</t>
  </si>
  <si>
    <t>Le 20/01/2022, j'ai envoyé un mail à M. LEBON en mentionnant les 3 pièces manquantes à fournir pour le référencement de l'AN DORMI VACANCES sur SOUBIK</t>
  </si>
  <si>
    <t>93384f33</t>
  </si>
  <si>
    <t>courrier reçu</t>
  </si>
  <si>
    <t>0da93632</t>
  </si>
  <si>
    <t>prestataire non déclaré en mairie : placé dans la liste des marrons CASUD (voir mail Alice)</t>
  </si>
  <si>
    <t>aaaf111c</t>
  </si>
  <si>
    <t>Le 24/01/2022, j'ai appelé le prestataire pour faire le point au sujet du suivi de son dossier :
*Le premier formulaire d'inscription SIT a été envoyé le 29/11/2021. 
* Le deuxième formulaire d'inscription SIT a été envoyé le 24/01/2022.</t>
  </si>
  <si>
    <t>61de4d12</t>
  </si>
  <si>
    <t>Amir propose de faire un post sur lui et de le partager dans le groupe fb privé pro pour inviter les prestas du coin à rentrer en contact avec lui pour construire une formule</t>
  </si>
  <si>
    <t>c0471875</t>
  </si>
  <si>
    <t>changement de nom ok // tout changement relatif à l'hébergement doit être signalé en mairie</t>
  </si>
  <si>
    <t>9c577aee</t>
  </si>
  <si>
    <t>Le 24/01/2022, j'ai appelé M. PIGNAULT pour faire le point au sujet des documents transmis par mail le 24/01/2022. J'ai également appelé Chrislène pour le référencement de : Destination Bien Être sur SOUBIK.</t>
  </si>
  <si>
    <t>ba50fb71</t>
  </si>
  <si>
    <t>La publication sort le 26/01/22 à 20h</t>
  </si>
  <si>
    <t>06895b63</t>
  </si>
  <si>
    <t>Le 25/01/2022, j'ai envoyé un courriel à Madame GERMAIN pour confirmer que son établissement est visible sur le site de l'IRT.</t>
  </si>
  <si>
    <t>6f904d84</t>
  </si>
  <si>
    <t>Christophe a déjà dit aux proprios de supprimer les pages anciennes</t>
  </si>
  <si>
    <t>5bc42fca</t>
  </si>
  <si>
    <t>Le point est fait le 25 janvier : AS va informer le presta qu'il faut une fb page et non un fb profil</t>
  </si>
  <si>
    <t>a0ef1506</t>
  </si>
  <si>
    <t>Christophe informe que qqc est faisable, mais SIRENE à modifier, TDS ok à jour</t>
  </si>
  <si>
    <t>cadd9822</t>
  </si>
  <si>
    <t>Amir informe que seules les pages fb fan et site internet au nom de la structure sont éligibles, donc ce Mr ne peut pas bénéficier d'une promotion fb &gt; Annabelle va clôturer la requête puisqu'un travail de promotion sur la filière loisirs est en cours (édition d'un guide loisirs, vidéos d'expérience...)</t>
  </si>
  <si>
    <t>6dfcd572</t>
  </si>
  <si>
    <t>Le 25/01/2022, M. LEBON a informé par téléphone qu'il souhaitait être recontacté à ce sujet</t>
  </si>
  <si>
    <t>b7d77f33</t>
  </si>
  <si>
    <t>Le 25/01/2022, j'ai appelé le prestataire. De plus, j'ai envoyé le formulaire par mail à M. SELLY.</t>
  </si>
  <si>
    <t>615a1ed7</t>
  </si>
  <si>
    <t>Amir a envoyé toutes les infos par mail le 25/01 à 20h07</t>
  </si>
  <si>
    <t>d6a8a7cd</t>
  </si>
  <si>
    <t>La nouvelle fiche de l'établissement a été mise en ligne.
Le 25/01/2022, j'ai appelé le prestataire pour lui donner cette information. 
De plus, j'ai envoyé un mail à Mme HOARAU.</t>
  </si>
  <si>
    <t>21e0471e</t>
  </si>
  <si>
    <t>Ce n'est pas une demande de classement en soi, mais ok, je classe en en attente de retour du presta</t>
  </si>
  <si>
    <t>4dd0c07c</t>
  </si>
  <si>
    <t>En attente de retour</t>
  </si>
  <si>
    <t>4eb8d70d</t>
  </si>
  <si>
    <t>a7f42c0f</t>
  </si>
  <si>
    <t>Demande a être rappelée pour les photos (le 26/01/2022)</t>
  </si>
  <si>
    <t>89bc82c3</t>
  </si>
  <si>
    <t>Le prestataire a été rappelé le 26/01/2022. En effet, compte tenu de la reprise des visites (cette information a été transmise par Annabelle le 25/01/2022), j'ai pu programmer la visite de l'établissement de Madame BOYER. Cette visite me permettra de prendre les photos de son établissement.</t>
  </si>
  <si>
    <t>968fc640</t>
  </si>
  <si>
    <t>ajouté en TDS + point fait concernant ses déclarations à faire et reversements - Mme dit qu'elle va régulariser à zéro les déclarations manquantes car location via les opérateurs numériques</t>
  </si>
  <si>
    <t>ae45a655</t>
  </si>
  <si>
    <t>Le presta a été invité le 26 janvier à publier lui même ses infos sur le gr fb privé pro</t>
  </si>
  <si>
    <t>4a96d192</t>
  </si>
  <si>
    <t>inscription faite selon les infos présentes dans la matrice mairie // j'ai appelé le presta le 26/01/2022 j'ai laissé un message vocal en indiquant qu'elle recevrait un mail et de me recontacter en cas de questions</t>
  </si>
  <si>
    <t>6d814c64</t>
  </si>
  <si>
    <t>Le 26/01/2022, j'ai envoyé l'attestation prestataire OTI par mail à M. MARÉCHAL</t>
  </si>
  <si>
    <t>a6909caa</t>
  </si>
  <si>
    <t>tout ok : mail, courrier</t>
  </si>
  <si>
    <t>9ba41f47</t>
  </si>
  <si>
    <t>presta ajouté en plateforme</t>
  </si>
  <si>
    <t>3bfa7018</t>
  </si>
  <si>
    <t>Le 31/01/2022, le formulaire d'inscription SIT a été envoyé par mail à Mme BOYER</t>
  </si>
  <si>
    <t>b241780f</t>
  </si>
  <si>
    <t>Le 27/01/2022, j'ai appelé Mme BIOT. De plus, j'ai envoyé le formulaire d'inscription SIT par mail à Mme BIOT en date du 31/01/2022.</t>
  </si>
  <si>
    <t>bf6541cc</t>
  </si>
  <si>
    <t>Faire remonter aux mairies?</t>
  </si>
  <si>
    <t>4578a9d3</t>
  </si>
  <si>
    <t>2db53f26</t>
  </si>
  <si>
    <t>Je classe la demande en "problème", il faut en reparler avec l'IRT</t>
  </si>
  <si>
    <t>2d24d97f</t>
  </si>
  <si>
    <t>Le 01/02/2022, j'ai appelé Mme GRONDIN. Le prestataire va envoyer les documents par mail.</t>
  </si>
  <si>
    <t>1be7d03a</t>
  </si>
  <si>
    <t>Le 01/02/2022, j'ai appelé le prestataire. J'ai également envoyé le formulaire d'inscription SIT par mail à M. SOTOMAYOR.</t>
  </si>
  <si>
    <t>4172bd87</t>
  </si>
  <si>
    <t>Le 02/02/2022, j'ai appelé Mme BOYER. De plus, j'ai envoyé le formulaire d'inscription SIT par mail à Mme BOYER.</t>
  </si>
  <si>
    <t>2e8d8ed0</t>
  </si>
  <si>
    <t>Le 08/02/2022, j'ai appelé Alice. De ce fait, Madame VALROMEX a été orientée vers Alice.</t>
  </si>
  <si>
    <t>e7e24b9f</t>
  </si>
  <si>
    <t>Le 08/02/2022, j'ai appelé Madame GUICHARD afin de faire le point au sujet de la fiche de son établissement.</t>
  </si>
  <si>
    <t>83f63347</t>
  </si>
  <si>
    <t>Message téléphonique laissé</t>
  </si>
  <si>
    <t>3d681060</t>
  </si>
  <si>
    <t>L'adresse mail de ce prestataire a été vérifiée le 09/02/2022</t>
  </si>
  <si>
    <t>d48a7592</t>
  </si>
  <si>
    <t>Le 09/02/2022, j'ai envoyé le formulaire d'inscription SIT par mail à Madame EBERLIN</t>
  </si>
  <si>
    <t>409c581d</t>
  </si>
  <si>
    <t>Monsieur COVINDIN a indiqué avoir bien reçu le formulaire. Ce dernier enverra les pièces demandées dès que possible.</t>
  </si>
  <si>
    <t>0a8d4a5b</t>
  </si>
  <si>
    <t>Le 10 novembre 2021, le lien de la fiche de cet établissement a été transmis par mail à Madame PAYET</t>
  </si>
  <si>
    <t>0ca0b374</t>
  </si>
  <si>
    <t>Explication sur la situation signalétique appotée par mail :
"En ce qui concerne les panneaux de signalisations, je n'ai malheureusement pas de réponses satisfaisante a vous
apporté pour le moment, nous somme dépendant de nouvelles normes, qui vont sans doute nous obligé à passer par un prestataire extérieur, des discussions sont en cours avec l'intercommunalité, nous reviendrons vers vous dès que nous aurons des éléments clairs à vous communiquer ."</t>
  </si>
  <si>
    <t>32d6702f</t>
  </si>
  <si>
    <t>J'ai renvoyé le lien par messenger</t>
  </si>
  <si>
    <t>39c98bb6</t>
  </si>
  <si>
    <t>Post partagé par Fabien sur le groupe le 10/02, 55 vues au 11/02</t>
  </si>
  <si>
    <t>6590fa03</t>
  </si>
  <si>
    <t>Visite calée le 14/02</t>
  </si>
  <si>
    <t>7343bd16</t>
  </si>
  <si>
    <t>Visite prévue le 14/02</t>
  </si>
  <si>
    <t>ff461459</t>
  </si>
  <si>
    <t>Visite prévue le 17/02</t>
  </si>
  <si>
    <t>443ddd13</t>
  </si>
  <si>
    <t>4ca8ddd2</t>
  </si>
  <si>
    <t>e5cbc8ad</t>
  </si>
  <si>
    <t>Le 11/02/2022, le formulaire d'inscription SIT a été envoyé par mail à Madame MOREL</t>
  </si>
  <si>
    <t>3c787d13</t>
  </si>
  <si>
    <t>Le 11/02/2022, j'ai envoyé le formulaire d'inscription SIT par mail à Monsieur LEBON</t>
  </si>
  <si>
    <t>c3a76744</t>
  </si>
  <si>
    <t>Le 14 janvier 2022, j'ai envoyé le formulaire d'inscription SIT par mail à Madame MOUREAUX</t>
  </si>
  <si>
    <t>85aca239</t>
  </si>
  <si>
    <t>Le 16 novembre 2021, j'ai appelé Madame PONAMA. De plus, ce jour-là, j'ai envoyé un courriel à Madame PONAMA.</t>
  </si>
  <si>
    <t>64b95ecf</t>
  </si>
  <si>
    <t>Le 10/02/2022, j'ai envoyé une demande de rappel téléphonique par mail à Madame LE QUÉRÉ</t>
  </si>
  <si>
    <t>fb8dc360</t>
  </si>
  <si>
    <t>Le 14/02/2022, la fiche de cet établissement est en ligne. De plus, j'ai envoyé un mail pour informer le prestataire.</t>
  </si>
  <si>
    <t>77890f48</t>
  </si>
  <si>
    <t>Le 15/02/2022, j'ai appelé Madame GRONDIN car il manque une pièce à joindre à son dossier. Il s'agit de l'attestation d'assurance de son hébergement pour l'année 2022.</t>
  </si>
  <si>
    <t>ef4c8588</t>
  </si>
  <si>
    <t>Le 15/02/2022, j'ai envoyé le formulaire d'inscription SIT par mail à Madame LENORMAND</t>
  </si>
  <si>
    <t>380f9423</t>
  </si>
  <si>
    <t>On ferme au niveau bertel</t>
  </si>
  <si>
    <t>2ba89428</t>
  </si>
  <si>
    <t>Le 12/01/2022, le prestataire a envoyé les photos par mail. 
Les photos reçues sont en ligne sur le site de l'IRT.</t>
  </si>
  <si>
    <t>f4e902bd</t>
  </si>
  <si>
    <t>Le prestataire a transmis les photos par mail. Les photos sont en ligne.</t>
  </si>
  <si>
    <t>fbedcd7a</t>
  </si>
  <si>
    <t>Le 18/02/2022, j'ai envoyé un courriel à Madame SMITH pour qu'elle puisse accéder à la fiche de son établissement en cliquant sur le lien approprié.</t>
  </si>
  <si>
    <t>64c91221</t>
  </si>
  <si>
    <t>La publication sort le 23/02/22 à 20h</t>
  </si>
  <si>
    <t>664ddea2</t>
  </si>
  <si>
    <t>Le 21/02/2022, Alice MARIE a indiqué par mail qu'à la suite de mon appel, elle avait envoyé des nouveaux mots de passe à Madame SMITH. De plus, l'identifiant de connexion de Madame SMITH a bien été confirmé mais sans succès. Alice MARIE a également contacté Nouveaux Territoires.</t>
  </si>
  <si>
    <t>1963ba17</t>
  </si>
  <si>
    <t>Le 22/02/2022, j'ai envoyé le formulaire d'inscription SIT par mail à Madame ABLANCOURT.</t>
  </si>
  <si>
    <t>4d2ae663</t>
  </si>
  <si>
    <t>Explore a fait la com sur Fb : https://www.facebook.com/explorelareunion ( publication du 19 fev )</t>
  </si>
  <si>
    <t>d01c0c33</t>
  </si>
  <si>
    <t>Madame ABLANCOURT est passée au bureau le 22/02/2022 pour faire une relance. En effet, Madame ABLANCOURT ne comprend pas pourquoi le panneau n'est toujours pas installé.</t>
  </si>
  <si>
    <t>ce439e63</t>
  </si>
  <si>
    <t>Monsieur LEBON a bien été informé</t>
  </si>
  <si>
    <t>555eedaf</t>
  </si>
  <si>
    <t>La fiche de cet établissement est en ligne sur www.reunion.fr. De ce fait, le 23/02/2022, j'ai envoyé un mail informatif à Monsieur LEBON.</t>
  </si>
  <si>
    <t>96c23d6c</t>
  </si>
  <si>
    <t>Le 04/03/2022, j'ai appelé Madame Gevez pour faire le point au sujet de sa demande. Le prestataire est en train de finaliser son dossier d'inscription SIT. Cette inscription est liée à une demande de commercialisation en ligne (envoyée par mail le 22/02/2022).</t>
  </si>
  <si>
    <t>d34f3097</t>
  </si>
  <si>
    <t>Vu en visite le 8 mars avec AMIR/ éléments transmis pour texte à prestataires/ il va nous envoyer une nouvelle photo pour remplacer la rouge. merci</t>
  </si>
  <si>
    <t>030961f1</t>
  </si>
  <si>
    <t>Cet établissement est visible sur www.reunion.fr. 
Le 08/03/2022, j'ai appelé le prestataire. De plus, j'ai envoyé un mail informatif à Madame GEVEZ.</t>
  </si>
  <si>
    <t>aae393f1</t>
  </si>
  <si>
    <t>saisie</t>
  </si>
  <si>
    <t>2d539175</t>
  </si>
  <si>
    <t>Saisie ds tds</t>
  </si>
  <si>
    <t>f12c5c36</t>
  </si>
  <si>
    <t>Mail envoyé au presta le 9 mars pour plus de détails sur les dates de fermetures</t>
  </si>
  <si>
    <t>f423e445</t>
  </si>
  <si>
    <t>Fait et saisi</t>
  </si>
  <si>
    <t>8650d47f</t>
  </si>
  <si>
    <t>- j'ai déjà vérifié son identifiant: pas de problème de ce côté là.
- je lui ai communiqué à plusieurs reprise des nouveaux mot de passe
- j'ai contacté nouveaux territoires pour demander si il y avait un problème et rien de ce côté non plus
Elle m'a indiqué ne pas être très à l'aise avec l'informatique.</t>
  </si>
  <si>
    <t>2c111829</t>
  </si>
  <si>
    <t>saisi</t>
  </si>
  <si>
    <t>5d6623fd</t>
  </si>
  <si>
    <t>saisi dans info à l'équipe</t>
  </si>
  <si>
    <t>9c0c836e</t>
  </si>
  <si>
    <t>Le 10 mars 2022, j'ai transmis le formulaire d'inscription SIT par mail à Monsieur GARCIANNE.</t>
  </si>
  <si>
    <t>3b581cf7</t>
  </si>
  <si>
    <t>mail le 9 pr qu'il renvoie le courrier officiel</t>
  </si>
  <si>
    <t>dc49dfd5</t>
  </si>
  <si>
    <t>elle n' a pas pu déclarer de séjours pour la période et que donc nous perdons le bénéfice de ces sommes.
Il faudrait donc lui demander si elle a des séjours à déclarer pour la période, si oui il faut supprimer la fermeture en allant dans la fiche hébergement, onglets fermetures.
Elle pourra du coup entrer les séjours effectués sur la période.
Cependant elle a déjà reversé la période concerné, elle aura donc un reliquat à reverser mais elle ne devrait plus pouvoir le faire via payfip : il faudra lui proposer de reverser par chèque ou virement.
Je vais appeler le presta semaine pro</t>
  </si>
  <si>
    <t>a113423a</t>
  </si>
  <si>
    <t>Madame PAYET enverra les photos de son établissement par mail.</t>
  </si>
  <si>
    <t>5c980aa9</t>
  </si>
  <si>
    <t>Le 14/03/2022, j'ai appelé Monsieur DUCROT pour faire le point au sujet de la fiche de son établissement. Il y a six photos de son établissement à changer. De plus, la tarification n'est pas indiquée sur SOUBIK.</t>
  </si>
  <si>
    <t>e78500a2</t>
  </si>
  <si>
    <t>Le 14/03/2022, j'ai appelé tout d'abord, Madame LAUDE et ensuite, Monsieur PAYET pour le référencement de l'établissement "ROSELODGE" sur SOUBIK. De plus, j'ai envoyé le formulaire d'inscription SIT par mail à Monsieur PAYET.</t>
  </si>
  <si>
    <t>ca3a9362</t>
  </si>
  <si>
    <t>Solène a discuter de la possibilité d'obtention de la marque pour eux. Ils voudraient avoir plus d'infos et les bons contacts</t>
  </si>
  <si>
    <t>13bc5f40</t>
  </si>
  <si>
    <t>La fiche de cet établissement est en ligne sur www.reunion.fr. 
Le samedi 12 mars 2022, Madame BOYER a envoyé un SMS au 0.692.49.47.99 pour changer la tarification. 
La tarification a été modifiée le lundi 14 mars 2022. Le prestataire a été informé par mail.</t>
  </si>
  <si>
    <t>43ca444a</t>
  </si>
  <si>
    <t>Le 16/03/2022, j'ai envoyé le formulaire d'inscription SIT par mail à Monsieur HOAREAU.</t>
  </si>
  <si>
    <t>f8801d86</t>
  </si>
  <si>
    <t>Le 16/03/2022, j'ai envoyé le formulaire d'inscription SIT (2022) à Madame CAUCHEMEZ. 
Le dossier a été entièrement revu. Il manque à présent l'attestation d'assurance à joindre au dossier.</t>
  </si>
  <si>
    <t>fa6727f6</t>
  </si>
  <si>
    <t>Le 21/03/2022, j'ai envoyé un mail à Madame KERBIDI. De plus, le prestataire a été informé par téléphone que des modifications sont à apporter à la fiche de son établissement.</t>
  </si>
  <si>
    <t>babe4f55</t>
  </si>
  <si>
    <t>Le 22/03/2022, j'ai envoyé le formulaire d'inscription SIT par mail à Madame LEPERRE.</t>
  </si>
  <si>
    <t>7cc27921</t>
  </si>
  <si>
    <t>Le 23/03/2022, j'ai appelé le prestataire. De plus, j'ai envoyé un courriel à Monsieur PAYET.</t>
  </si>
  <si>
    <t>cfda50e9</t>
  </si>
  <si>
    <t>Le 23 mars 2022, Monsieur PALMAS a bien été rappelé.</t>
  </si>
  <si>
    <t>b15cc807</t>
  </si>
  <si>
    <t>Tout envoyé par mail le 31/03 à 14h27</t>
  </si>
  <si>
    <t>d099fd05</t>
  </si>
  <si>
    <t>Tout ok sur la plateforme depuis la demande</t>
  </si>
  <si>
    <t>4b78d514</t>
  </si>
  <si>
    <t>Eu la dame au tel, explications données, et mail envoyé le 31/03 avec tous les données et documents. Elle devrait commencer à déclarer pour début mai, cad, déclarer le mois d'avril.</t>
  </si>
  <si>
    <t>fa46a460</t>
  </si>
  <si>
    <t>Bilikers contactés par mail pour savoir si nous pouvons faire la promotion, avec ou sans le numéro de tel de Bilikers; Mail du 31/03</t>
  </si>
  <si>
    <t>5a25a4ef</t>
  </si>
  <si>
    <t>qui peut modifier les infos sur sudreuniontourisme</t>
  </si>
  <si>
    <t>6f2301a3</t>
  </si>
  <si>
    <t>Compétence non OTI</t>
  </si>
  <si>
    <t>380dee3a</t>
  </si>
  <si>
    <t>8b7b1376</t>
  </si>
  <si>
    <t>Orienté par tel sur les organismes tel le Conseil général et autres partenaires dans le social</t>
  </si>
  <si>
    <t>a2fb63a7</t>
  </si>
  <si>
    <t>Conciergerie contactée par mail le 31/03</t>
  </si>
  <si>
    <t>dacd1962</t>
  </si>
  <si>
    <t>C'est fait, le Parc prendra rdv avec eux (confirmation en copil du 16 mars)</t>
  </si>
  <si>
    <t>9076959e</t>
  </si>
  <si>
    <t>Info emailée le 5 avril</t>
  </si>
  <si>
    <t>e964a3ac</t>
  </si>
  <si>
    <t>e905db62</t>
  </si>
  <si>
    <t>Les listing IRT ont été reçu et la vérification sera faite sur ce fichier excel auj 5 avril</t>
  </si>
  <si>
    <t>0ffa582f</t>
  </si>
  <si>
    <t>Listing IRT reçus, vérification en cours</t>
  </si>
  <si>
    <t>054dff99</t>
  </si>
  <si>
    <t>Listing IRT reçu, vérification en cours</t>
  </si>
  <si>
    <t>a3426bf5</t>
  </si>
  <si>
    <t>Mail de demande de jolies photos au presta envoyé le 5 avril</t>
  </si>
  <si>
    <t>3a3b3691</t>
  </si>
  <si>
    <t>Infos liens labels et classements envoyé le 6 avril par mail</t>
  </si>
  <si>
    <t>4620e4ff</t>
  </si>
  <si>
    <t>Formulaire envoyé par mail à Madame</t>
  </si>
  <si>
    <t>7572555e</t>
  </si>
  <si>
    <t>Le 07/04/2022, j'ai appelé le prestataire. Aussi, j'ai envoyé le formulaire par mail à Monsieur VELIA.</t>
  </si>
  <si>
    <t>5289ec87</t>
  </si>
  <si>
    <t>Le 07 avril 2022, j'ai pris contact avec Madame Florence GIRARD car il manquait une pièce à joindre à son dossier.</t>
  </si>
  <si>
    <t>e4171807</t>
  </si>
  <si>
    <t>Le formulaire a été transmis par mail à Madame TERGEMINA à deux reprises.</t>
  </si>
  <si>
    <t>bc25dd4a</t>
  </si>
  <si>
    <t>Le 08 avril 2022, j'ai envoyé le formulaire par mail à Monsieur SEVERIN.</t>
  </si>
  <si>
    <t>87233abf</t>
  </si>
  <si>
    <t>Le 08 avril 2022, j'ai appelé Madame TERGEMINA pour faire le point au sujet de sa demande.</t>
  </si>
  <si>
    <t>1f3c2df1</t>
  </si>
  <si>
    <t>Le lundi 11 avril 2022, j'ai envoyé le courrier type de déclaration de fermeture de structure par mail à Madame METRO.</t>
  </si>
  <si>
    <t>a5ba91f0</t>
  </si>
  <si>
    <t>Le courrier de fermeture a été envoyé par mail par Madame METRO le 11 avril 2022.</t>
  </si>
  <si>
    <t>e011060f</t>
  </si>
  <si>
    <t>Le 12 avril 2022, j'ai appelé Madame GIRARD pour informer que la fiche de son établissement est en ligne sur le site de l'IRT. Aussi, j'ai envoyé un courriel à Madame GIRARD.</t>
  </si>
  <si>
    <t>5f35c74c</t>
  </si>
  <si>
    <t>Le 12 avril 2022, j'ai envoyé le formulaire par mail à Monsieur LEBON.</t>
  </si>
  <si>
    <t>6a428ec8</t>
  </si>
  <si>
    <t>La fiche de cet établissement est en ligne sur le site de l'IRT.</t>
  </si>
  <si>
    <t>1e6ddb50</t>
  </si>
  <si>
    <t>Le 13 avril 2022, tout d'abord, j'ai appelé le prestataire. Aussi, j'ai transmis le nouveau formulaire par mail à Madame MARY.</t>
  </si>
  <si>
    <t>6383a164</t>
  </si>
  <si>
    <t>Le 07 avril 2022, j'ai appelé Madame VITRY pour lui informer qu'il fallait refaire son dossier pour le référencement de son établissement sur SOUBIK. Aussi, le 08 avril 2022, j'ai envoyé le nouveau formulaire par mail à Madame VITRY.</t>
  </si>
  <si>
    <t>1663cc44</t>
  </si>
  <si>
    <t>Le 14 avril 2022, j'ai appelé Monsieur HOAREAU pour faire le point au sujet de son dossier.
=&gt; photos manquantes au dossier.</t>
  </si>
  <si>
    <t>b057a8e3</t>
  </si>
  <si>
    <t>Le 13 avril 2022, j'ai appelé Madame TERGEMINA pour faire le point au sujet de sa demande.</t>
  </si>
  <si>
    <t>f284550b</t>
  </si>
  <si>
    <t>Les photos non pas encore été transmises. De ce fait, le 14 avril 2022, j'ai appelé Monsieur PAYET.</t>
  </si>
  <si>
    <t>a29c6f9c</t>
  </si>
  <si>
    <t>La fiche de cet établissement est à jour sur le site de l'IRT.</t>
  </si>
  <si>
    <t>634b61d9</t>
  </si>
  <si>
    <t>Pour le moment, Madame HEEKENG ne souhaite pas donner suite à cette demande.</t>
  </si>
  <si>
    <t>cee28ed3</t>
  </si>
  <si>
    <t>La fiche de cet établissement est en ligne sur le site de l'IRT. 
=&gt; Le prestataire a été informé par courriel le 15 avril 2022.</t>
  </si>
  <si>
    <t>83a6d4d7</t>
  </si>
  <si>
    <t>Le prestataire enverra les photos ainsi que les horaires par mail.</t>
  </si>
  <si>
    <t>46c45a42</t>
  </si>
  <si>
    <t>Le 15 avril 2022, j'ai appelé Madame BOYER pour faire le point au sujet de son dossier. 
=&gt; Le prestataire a bien reçu le formulaire par courriel.</t>
  </si>
  <si>
    <t>6e372f0d</t>
  </si>
  <si>
    <t>15d5c4de</t>
  </si>
  <si>
    <t>Le 24 avril 2022, j'ai envoyé le formulaire d'adhésion à la plateforme SOUBIK par mail à Monsieur BILLET.</t>
  </si>
  <si>
    <t>ca957451</t>
  </si>
  <si>
    <t>Le 24 avril 2022, tout d'abord, j'ai appelé le prestataire. Ensuite, j'ai envoyé le formulaire d'adhésion à la plateforme SOUBIK par mail à Monsieur ROBERT.</t>
  </si>
  <si>
    <t>28ce651d</t>
  </si>
  <si>
    <t>Le 22 avril 2022, tout d'abord, j'ai appelé le prestataire. Ensuite, j'ai envoyé un courriel à Monsieur GODERON. En effet, les modifications suivantes sont à apporter à la fiche de son établissement :
- les photos sont à compléter ;
- les horaires sont à indiquer ;
- les moyens de paiement sont à revoir.</t>
  </si>
  <si>
    <t>d435562f</t>
  </si>
  <si>
    <t>Le 26 avril 2022, j'ai envoyé le formulaire d'adhésion à la plateforme SOUBIK par mail à Madame GANGNANT.</t>
  </si>
  <si>
    <t>6557007d</t>
  </si>
  <si>
    <t>La publication sort le 27/04/22 à 20h</t>
  </si>
  <si>
    <t>5a16cf13</t>
  </si>
  <si>
    <t>L'attestation OTI a été envoyée par mail à Monsieur KINDLER en date du 27 avril 2022.</t>
  </si>
  <si>
    <t>b51c61ba</t>
  </si>
  <si>
    <t>Le 28 avril 2022, j'ai envoyé le formulaire d'adhésion à la plateforme SOUBIK par mail à Monsieur MARCOURT.</t>
  </si>
  <si>
    <t>3ac55f49</t>
  </si>
  <si>
    <t>Le 28 avril 2022, j'ai envoyé le formulaire d'adhésion à la plateforme SOUBIK par mail à Monsieur WACOGNE.</t>
  </si>
  <si>
    <t>c3ffecd2</t>
  </si>
  <si>
    <t>Le prestataire ne souhaite pas que son établissement soit référencé sur le site de l'IRT. 
Cette information a été transmise par téléphone en date du 02 mai 2022.</t>
  </si>
  <si>
    <t>a989eaf0</t>
  </si>
  <si>
    <t>Le 03 mai 2022, j'ai envoyé le formulaire d'adhésion à la plateforme SOUBIK par mail à Monsieur RIVERON.</t>
  </si>
  <si>
    <t>52ce1918</t>
  </si>
  <si>
    <t>Le 04 mai 2022, tout d'abord, j'ai appelé Madame TÉVANÉ. Aussi, j'ai envoyé un courriel à Madame TÉVANÉ.</t>
  </si>
  <si>
    <t>8a6ebf8f</t>
  </si>
  <si>
    <t>démarche mairie en cours pour modif de nom</t>
  </si>
  <si>
    <t>f3a4c8d0</t>
  </si>
  <si>
    <t>Doit nous renvoyer ses docs prochainement</t>
  </si>
  <si>
    <t>3a9c9bfd</t>
  </si>
  <si>
    <t>Enregistrement ok / courrier ok / mail plateforme ok</t>
  </si>
  <si>
    <t>658cf62d</t>
  </si>
  <si>
    <t>courrier + mail ok le 06/05/2022</t>
  </si>
  <si>
    <t>d1829004</t>
  </si>
  <si>
    <t>Inscription plateforme TDS ok / prestataire contacté par tél + envoi des docs ouverture par mail + courrier le 06/05/2022</t>
  </si>
  <si>
    <t>7cf14db6</t>
  </si>
  <si>
    <t>Le 06 mai 2022, j'ai appelé le prestataire pour faire le point au sujet de sa demande. Aussi, le 06 mai 2022, j'ai envoyé de nouveau le formulaire d'adhésion à la plateforme SOUBIK par mail à Madame CHANE HIME.</t>
  </si>
  <si>
    <t>a3bcd730</t>
  </si>
  <si>
    <t>e19202cf</t>
  </si>
  <si>
    <t>ok déclaration d'avril</t>
  </si>
  <si>
    <t>88474dc3</t>
  </si>
  <si>
    <t>ok déclaration</t>
  </si>
  <si>
    <t>b86dce9b</t>
  </si>
  <si>
    <t>prestataire enregistré en plateforme : courrier envoyé par mail le 09/05/2022. L'appel téléphonique n'ayant pu aboutir, j'ai laissé un message vocal pour une première prise de contact</t>
  </si>
  <si>
    <t>92710fa2</t>
  </si>
  <si>
    <t>entrée plateforme ok - CO-16-052022
Reste à faire : prise de contact tél, mail, courrier à imprimer</t>
  </si>
  <si>
    <t>947c1dcf</t>
  </si>
  <si>
    <t>en attente : déclaration mairie + impôts</t>
  </si>
  <si>
    <t>ee2330c0</t>
  </si>
  <si>
    <t>ok le 10/05</t>
  </si>
  <si>
    <t>9e34986b</t>
  </si>
  <si>
    <t>Ouverture traitée : mail + courrier envoyé</t>
  </si>
  <si>
    <t>8b07d65e</t>
  </si>
  <si>
    <t>requete qui ne devait pas etre enregistrée</t>
  </si>
  <si>
    <t>3f02c114</t>
  </si>
  <si>
    <t>en cours de fermeture / attente retour document signé</t>
  </si>
  <si>
    <t>d2a7f10e</t>
  </si>
  <si>
    <t>attente du courrier complété et signé</t>
  </si>
  <si>
    <t>2c8b6a55</t>
  </si>
  <si>
    <t>doit nous envoyer le document mairie</t>
  </si>
  <si>
    <t>e35b2b69</t>
  </si>
  <si>
    <t>prestataire appelé, fera le nécessaire</t>
  </si>
  <si>
    <t>ba032b5e</t>
  </si>
  <si>
    <t>Je lui ai demandé de nous envoyer ses dates (début et fin de fermeture temporaire)</t>
  </si>
  <si>
    <t>1b42dfc1</t>
  </si>
  <si>
    <t>rappel des conditions d'exonérations (mail TDS)</t>
  </si>
  <si>
    <t>6c734733</t>
  </si>
  <si>
    <t>traité par appel</t>
  </si>
  <si>
    <t>b6da3f96</t>
  </si>
  <si>
    <t>inscription ok</t>
  </si>
  <si>
    <t>85487674</t>
  </si>
  <si>
    <t>prestataire rappelé / modification traitée</t>
  </si>
  <si>
    <t>99152d78</t>
  </si>
  <si>
    <t>traité au téléphone en direct</t>
  </si>
  <si>
    <t>a60b8a07</t>
  </si>
  <si>
    <t>Le 16 mai 2022, tout d'abord, j'ai appelé le prestataire. Ensuite, j'ai envoyé le formulaire d'adhésion à la plateforme SOUBIK par mail à Madame LEICHNIG.</t>
  </si>
  <si>
    <t>5a346af3</t>
  </si>
  <si>
    <t>mail transféré à Alice (CASUD) pour traitement</t>
  </si>
  <si>
    <t>0bc00340</t>
  </si>
  <si>
    <t>fermeture temporaire enregistrée sur la plateforme</t>
  </si>
  <si>
    <t>8d00203d</t>
  </si>
  <si>
    <t>Le 17 mai 2022, tout d'abord, j'ai appelé le prestataire. Ensuite, j'ai envoyé le formulaire d'adhésion à la plateforme SOUBIK par mail à Monsieur PAYET.</t>
  </si>
  <si>
    <t>3b3adaa4</t>
  </si>
  <si>
    <t>Le 18 mai 2022, tout d'abord, j'ai appelé le prestataire. Ensuite, j'ai envoyé le formulaire d'adhésion à la plateforme SOUBIK (année 2022) par mail à Madame MARTY. En effet, le formulaire d'adhésion à SOUBIK transmis par mail le 16 novembre 2021 n'a pas été complété par le prestataire.</t>
  </si>
  <si>
    <t>2fa815f8</t>
  </si>
  <si>
    <t>M. Leveneur a rempli ses déclarations lors de son RDV au bureau le 18/05/2022</t>
  </si>
  <si>
    <t>b07ee0b0</t>
  </si>
  <si>
    <t>traité en direct lors du RDV au bureau le 18/05/2022</t>
  </si>
  <si>
    <t>b060ffcf</t>
  </si>
  <si>
    <t>Le 18 mai 2022, tout d'abord, j'ai appelé le prestataire. Ensuite, j'ai envoyé le formulaire d'adhésion à la plateforme SOUBIK (année 2022) par mail à Monsieur COVINDIN. En effet, le formulaire d'adhésion à SOUBIK transmis par mail le 23 novembre 2021 n'a pas été complété par le prestataire.</t>
  </si>
  <si>
    <t>e3911a85</t>
  </si>
  <si>
    <t>traité</t>
  </si>
  <si>
    <t>0757fbf4</t>
  </si>
  <si>
    <t>Le 18 mai 2022, j'ai appelé Madame BOYER pour faire le point au sujet de son dossier. Le dossier est incomplet.</t>
  </si>
  <si>
    <t>85b0d17f</t>
  </si>
  <si>
    <t>Relance sa demande de panneau, est informé que pr le moment les créations de panneaux ne sont plus prévus par l'OTI</t>
  </si>
  <si>
    <t>8f7b80a8</t>
  </si>
  <si>
    <t>envoi du courrier de fermeture à compléter + informé qu'une somme est en attente de reversement avant fermeture</t>
  </si>
  <si>
    <t>cb0759f4</t>
  </si>
  <si>
    <t>courrier type transmi par mail le 20/05/22</t>
  </si>
  <si>
    <t>ff11e869</t>
  </si>
  <si>
    <t>relance le 19/05/2022</t>
  </si>
  <si>
    <t>2d9c2495</t>
  </si>
  <si>
    <t>Cette info n'a pas lieu d'être dans ce type de requête, c'est une simple info à l'équipe</t>
  </si>
  <si>
    <t>a9499908</t>
  </si>
  <si>
    <t>Am lui a envoyé un mail pour lui expliquer que pour des raisons légales, l'OTISud ne fabrique plus de panneaux, mais sa demande est enregistrée</t>
  </si>
  <si>
    <t>b966ddb8</t>
  </si>
  <si>
    <t>Le 24 mai 2022, j'ai appelé Madame PONAMA pour faire le point au sujet de la fiche de son établissement sur la plateforme SOUBIK. En effet, la tarification est à mettre à jour. De plus, j'ai informé le prestataire qu'il manque les photos de son établissement sur le site de l'IRT.</t>
  </si>
  <si>
    <t>bc4ebc77</t>
  </si>
  <si>
    <t>La fiche de cet établissement a bien été mise à jour sur SOUBIK. Monsieur PREVEL a été informé par mail en date du 25 mai 2022.</t>
  </si>
  <si>
    <t>f226e336</t>
  </si>
  <si>
    <t>Le 25 mai 2022, j'ai appelé Madame LORION pour faire le point au sujet de son dossier. Le prestataire a bien reçu le formulaire de référencement par mail. Aussi, le dossier n'est pas encore complet.</t>
  </si>
  <si>
    <t>db1e5c67</t>
  </si>
  <si>
    <t>Le 30 mai 2022, tout d'abord, j'ai appelé le prestataire. Ensuite, j'ai envoyé le formulaire d'adhésion à la plateforme SOUBIK par mail à Madame LEBON.</t>
  </si>
  <si>
    <t>e81d4ea0</t>
  </si>
  <si>
    <t>Le 30 mai 2022, l'attestation prestataire OTI a été transmise par mail à Madame TERGEMINA.</t>
  </si>
  <si>
    <t>378f8809</t>
  </si>
  <si>
    <t>Le 01/06/2022, tout d'abord, j'ai appelé le prestataire. Aussi, j'ai envoyé un courriel à Monsieur BÉNARD. En effet, il faut revoir la tarification. De plus, le prestataire enverra des photos récentes de son hébergement par mail.</t>
  </si>
  <si>
    <t>f1951052</t>
  </si>
  <si>
    <t>2d91b9cb</t>
  </si>
  <si>
    <t>83dfb358</t>
  </si>
  <si>
    <t>mail envoyé le 08/06/22</t>
  </si>
  <si>
    <t>700c83bc</t>
  </si>
  <si>
    <t>dossier réouvert!</t>
  </si>
  <si>
    <t>0a8764fa</t>
  </si>
  <si>
    <t>le prestataire doit nous envoyer son attestation</t>
  </si>
  <si>
    <t>0018bd17</t>
  </si>
  <si>
    <t>faite pendant son RDV au bureau le 7/06/22</t>
  </si>
  <si>
    <t>e6ea1316</t>
  </si>
  <si>
    <t>prise de RDV au bureau pour le 10/06/22 à 9h</t>
  </si>
  <si>
    <t>1c5df2a4</t>
  </si>
  <si>
    <t>29fe44e7</t>
  </si>
  <si>
    <t>13a41671</t>
  </si>
  <si>
    <t>d89ce059</t>
  </si>
  <si>
    <t>9aca739e</t>
  </si>
  <si>
    <t>e412190a</t>
  </si>
  <si>
    <t>La fiche de cet établissement est enregistrée sur SOUBIK</t>
  </si>
  <si>
    <t>588ed0fe</t>
  </si>
  <si>
    <t>structure entrée</t>
  </si>
  <si>
    <t>98de4e2f</t>
  </si>
  <si>
    <t>f6e6e3cd</t>
  </si>
  <si>
    <t>Le 14 juin 2022, tout d'abord, j'ai appelé Alice. Ensuite, Alice a pris contact avec Madame ABLANCOURT.</t>
  </si>
  <si>
    <t>def19e5f</t>
  </si>
  <si>
    <t>publication sortie le 4/05/22</t>
  </si>
  <si>
    <t>15cf46ad</t>
  </si>
  <si>
    <t>727078d6</t>
  </si>
  <si>
    <t>traité par réponse mail + téléphone</t>
  </si>
  <si>
    <t>f1849c67</t>
  </si>
  <si>
    <t>traité par Annabelle</t>
  </si>
  <si>
    <t>815361be</t>
  </si>
  <si>
    <t>prestataire enregistré en plateforme</t>
  </si>
  <si>
    <t>06fcda44</t>
  </si>
  <si>
    <t>71fc6e74</t>
  </si>
  <si>
    <t>82433156</t>
  </si>
  <si>
    <t>ok plateforme à partir du 1er juillet 2022 passage en tarif fixe 3 étoiles // mail envoyé au presta avec les nouveaux documents tarifaires</t>
  </si>
  <si>
    <t>acf71231</t>
  </si>
  <si>
    <t>Monsieur HOAREAU souhaite que les panneaux soient retirés au plus vite. En effet, les panneaux portent le nom de son ancien hébergement. Le prestataire est passé au bureau le 16 juin 2022 car personne ne répond à sa demande.</t>
  </si>
  <si>
    <t>c8d48369</t>
  </si>
  <si>
    <t>Madame LERICHE souhaite avoir une aide pour la déclaration du mois de mai 2022.</t>
  </si>
  <si>
    <t>c9fd9ca7</t>
  </si>
  <si>
    <t>c55cd8cf</t>
  </si>
  <si>
    <t>hébergement passé au tarif variable sur la TDS, Mme Leriche ne sait pas si elle va renouveller son classement, elle nous tiendra informés</t>
  </si>
  <si>
    <t>6b0e0445</t>
  </si>
  <si>
    <t>traité par téléphone</t>
  </si>
  <si>
    <t>181b9730</t>
  </si>
  <si>
    <t>Le 17 juin 2022, tout d'abord, j'ai appelé le prestataire. Ensuite, j'ai envoyé le formulaire d'adhésion à la plateforme SOUBIK par mail à Monsieur GIRAUD.</t>
  </si>
  <si>
    <t>2979ea3f</t>
  </si>
  <si>
    <t>Le 17 juin 2022, j'ai envoyé le formulaire d'adhésion à la plateforme SOUBIK par mail à Madame PAYET.</t>
  </si>
  <si>
    <t>c8c9411a</t>
  </si>
  <si>
    <t>Le 17 juin 2022, j'ai appelé le prestataire mais ce dernier est injoignable.</t>
  </si>
  <si>
    <t>786c8685</t>
  </si>
  <si>
    <t>traité : presta recontacté par téléphone</t>
  </si>
  <si>
    <t>b7878296</t>
  </si>
  <si>
    <t>hébergement ajouté au dossier de Billikers sur la plateforme TDS</t>
  </si>
  <si>
    <t>002124ab</t>
  </si>
  <si>
    <t>attente retour presta</t>
  </si>
  <si>
    <t>4b1e9001</t>
  </si>
  <si>
    <t>Mme a été contactée par tel le 15 juin mais n'a pas répondu, à rappeler</t>
  </si>
  <si>
    <t>fca417df</t>
  </si>
  <si>
    <t>b56713cc</t>
  </si>
  <si>
    <t>a0f14b95</t>
  </si>
  <si>
    <t>f79ca524</t>
  </si>
  <si>
    <t>888a6712</t>
  </si>
  <si>
    <t>b20dd5c0</t>
  </si>
  <si>
    <t>2200ea64</t>
  </si>
  <si>
    <t>le dossier est bien créé sur la plateforme, la requête n'a pas été fermée?...</t>
  </si>
  <si>
    <t>4f4ca728</t>
  </si>
  <si>
    <t>9d986612</t>
  </si>
  <si>
    <t>7722e2f1</t>
  </si>
  <si>
    <t>5856e6cf</t>
  </si>
  <si>
    <t>cb928026</t>
  </si>
  <si>
    <t>le prestataire a indiqué travailler avec une conciergerie... (mail TDS du 16/06/2022) j'ai demandé plus d'infos au presta à ce sujet (nom de la conciergerie pour prise de relais)</t>
  </si>
  <si>
    <t>e7e1be41</t>
  </si>
  <si>
    <t>aeb85198</t>
  </si>
  <si>
    <t>c226c361</t>
  </si>
  <si>
    <t>cc8e50eb</t>
  </si>
  <si>
    <t>Le 29 juin 2022, tout d'abord, j'ai appelé le prestataire. Ensuite, j'ai envoyé le formulaire d'adhésion à la plateforme SOUBIK par mail à Monsieur LEVENEUR.</t>
  </si>
  <si>
    <t>f287dd22</t>
  </si>
  <si>
    <t>ec6bac08</t>
  </si>
  <si>
    <t>e9654dde</t>
  </si>
  <si>
    <t>2444ad9e</t>
  </si>
  <si>
    <t>mai ok</t>
  </si>
  <si>
    <t>08985c65</t>
  </si>
  <si>
    <t>À présent, cet établissement est référencé sur SOUBIK.</t>
  </si>
  <si>
    <t>ef346777</t>
  </si>
  <si>
    <t>relance demande de panneau : a été informée que nous ne sommes plus en mesure de poser des panneaux pour le moment</t>
  </si>
  <si>
    <t>0561d8f7</t>
  </si>
  <si>
    <t>La fiche de cet établissement est actuellement en ligne sur SOUBIK.</t>
  </si>
  <si>
    <t>4d8abaa3</t>
  </si>
  <si>
    <t>fermeture traitée : mail + TDS + Drive + tableau + slide</t>
  </si>
  <si>
    <t>e2d57a99</t>
  </si>
  <si>
    <t>ok hébergement fermé : périodes reversées + déclarations ok + courrier ok</t>
  </si>
  <si>
    <t>6c74e5be</t>
  </si>
  <si>
    <t>juin ok</t>
  </si>
  <si>
    <t>1af5503a</t>
  </si>
  <si>
    <t>ok traité sur la plateforme</t>
  </si>
  <si>
    <t>2455f51e</t>
  </si>
  <si>
    <t>ok sur bertel</t>
  </si>
  <si>
    <t>d39556cb</t>
  </si>
  <si>
    <t>ok enregistré</t>
  </si>
  <si>
    <t>0cad0f95</t>
  </si>
  <si>
    <t>ok plateforme</t>
  </si>
  <si>
    <t>80f04974</t>
  </si>
  <si>
    <t>Le 05 juillet 2022, j'ai envoyé le formulaire d'adhésion à la plateforme SOUBIK par mail à Monsieur HOAREAU.</t>
  </si>
  <si>
    <t>54d980d3</t>
  </si>
  <si>
    <t>courrier type envoyé au presta, attente retour</t>
  </si>
  <si>
    <t>8620fe48</t>
  </si>
  <si>
    <t>attente retour courrier pr fermeture en plateforme // déclarations et reversements ok</t>
  </si>
  <si>
    <t>a47b2f61</t>
  </si>
  <si>
    <t>Le 05 juillet 2022, tout d'abord, j'ai appelé le prestataire. Ensuite, j'ai envoyé le formulaire d'adhésion à la plateforme SOUBIK par mail à Monsieur ESTANGUET.</t>
  </si>
  <si>
    <t>3ba8677e</t>
  </si>
  <si>
    <t>Publication sortie le 29 juin</t>
  </si>
  <si>
    <t>5ddf8ed8</t>
  </si>
  <si>
    <t>appelé le 07/07/2022 
Annonce les dates suivantes : fermeture juin 2022 // puis fermeture du 28 août 2022 au 31 août 2023</t>
  </si>
  <si>
    <t>aa1843f3</t>
  </si>
  <si>
    <t>ok enregistré sur la plateforme</t>
  </si>
  <si>
    <t>442201fa</t>
  </si>
  <si>
    <t>prestataire appelé le 08/07/2022</t>
  </si>
  <si>
    <t>142af72a</t>
  </si>
  <si>
    <t>d8798419</t>
  </si>
  <si>
    <t>envoi mail pour confirmation des dates de fermeture (dates ok enregistrées) + proposition de RDV au bureau pour prise en main de la plateforme - à suivre pr le RDV (activation de compte à faire)</t>
  </si>
  <si>
    <t>8742dcd7</t>
  </si>
  <si>
    <t>Le 08 juillet 2022, tout d'abord, j'ai appelé le prestataire. Ensuite, j'ai envoyé le formulaire d'adhésion à la plateforme SOUBIK par mail à Madame LI-WOUNG-KI.</t>
  </si>
  <si>
    <t>9f68a37d</t>
  </si>
  <si>
    <t>ok mail envoyé</t>
  </si>
  <si>
    <t>c6164765</t>
  </si>
  <si>
    <t>eaca3959</t>
  </si>
  <si>
    <t>067213cf</t>
  </si>
  <si>
    <t>le presta a relancé sur le traitement de sa fermeture (mail plateforme) mais nous sommes toujours en attente du document + reversement!</t>
  </si>
  <si>
    <t>d93c8e50</t>
  </si>
  <si>
    <t>le presta a relancé sur le traitement de sa fermeture (mail plateforme) mais nous sommes toujours en attente du document + reversement!
ML : réponse par mail le 18/07 avec renvoi du doc + rappel du reversement à faire</t>
  </si>
  <si>
    <t>e0de6888</t>
  </si>
  <si>
    <t>a804f377</t>
  </si>
  <si>
    <t>indications envoyées par mail + numéro de portable pro donné si besoin d'un acc téléphonique</t>
  </si>
  <si>
    <t>8c75578a</t>
  </si>
  <si>
    <t>requête envoyée à NT - attente de réponse</t>
  </si>
  <si>
    <t>81478174</t>
  </si>
  <si>
    <t>cba4012e</t>
  </si>
  <si>
    <t>requête envoyée à NT / A suivre + informer le presta quand ok</t>
  </si>
  <si>
    <t>ca6db44d</t>
  </si>
  <si>
    <t>prise de RDV au bureau pour le mercredi 27/07/22 à 8h30</t>
  </si>
  <si>
    <t>787f1078</t>
  </si>
  <si>
    <t>ok traité</t>
  </si>
  <si>
    <t>4e8eee0f</t>
  </si>
  <si>
    <t>prestataire informé par téléphone le 20/07/2022 &gt; déclarations à suivre puis fermeture plateforme à faire en septembre 2022</t>
  </si>
  <si>
    <t>bde901a9</t>
  </si>
  <si>
    <t>courrier reçu à fermer en septembre / en attente déclarations TDS</t>
  </si>
  <si>
    <t>e899b19a</t>
  </si>
  <si>
    <t>attestation d'assurance non valide...</t>
  </si>
  <si>
    <t>95fa9663</t>
  </si>
  <si>
    <t>Mme RATANE enregistrera ses séjours dans le registre en ligne (fait office de registre obligatoire car elle n'a pas de fichier à mettre en PJ de ses déclarations)</t>
  </si>
  <si>
    <t>946b3770</t>
  </si>
  <si>
    <t>envoi du courrier type au presta</t>
  </si>
  <si>
    <t>33756dda</t>
  </si>
  <si>
    <t>courrier type transmi &gt; attente du retour presta</t>
  </si>
  <si>
    <t>37d49ad6</t>
  </si>
  <si>
    <t>il ne s'agit pas d'une fermeture définitive, l'hébergement est maintenant sous gestion agence immo</t>
  </si>
  <si>
    <t>a80a15d2</t>
  </si>
  <si>
    <t>5a7a9f32</t>
  </si>
  <si>
    <t>point sur la collecte par Abritel</t>
  </si>
  <si>
    <t>aa396387</t>
  </si>
  <si>
    <t>courrier reçu fermeture ok</t>
  </si>
  <si>
    <t>7cd83e96</t>
  </si>
  <si>
    <t>ok hébergement fermé</t>
  </si>
  <si>
    <t>2b862ead</t>
  </si>
  <si>
    <t>contact tél : doit nous envoyer par mail : nouvelles photos / classement 3 étoiles / changement tarif // les docs obligatoires à savoir attestation assurance / sirene / déclaration mairie</t>
  </si>
  <si>
    <t>0ff65799</t>
  </si>
  <si>
    <t>attribution d'un classement 3 étoiles, fiche à MAJ une fois le mail reçu</t>
  </si>
  <si>
    <t>d36ecd43</t>
  </si>
  <si>
    <t>à MAJ une fois l'attestation reçue</t>
  </si>
  <si>
    <t>40adcd79</t>
  </si>
  <si>
    <t>en attente de l'attestation de classement par mail</t>
  </si>
  <si>
    <t>9073b8f2</t>
  </si>
  <si>
    <t>Madame FONTAINE a bien été appelée concernant ses questions envoyées par mail.</t>
  </si>
  <si>
    <t>9311cc06</t>
  </si>
  <si>
    <t>mail envoyé le 22 juin 2022 relance docs pour : 
- Villa Ti Kaz Do Miel
- Villa Isis
- Résidence Rosanna
- L'instant d'évasion
- L'instant d'évasion 2</t>
  </si>
  <si>
    <t>27b71db4</t>
  </si>
  <si>
    <t>Le 22 juillet 2022, tout d'abord, j'ai appelé le prestataire. Ensuite, j'ai envoyé le formulaire d'adhésion à la plateforme SOUBIK par mail à Monsieur BODIN.</t>
  </si>
  <si>
    <t>f6da9382</t>
  </si>
  <si>
    <t>compétence pas oti</t>
  </si>
  <si>
    <t>9630ae40</t>
  </si>
  <si>
    <t>compétence pas otisud</t>
  </si>
  <si>
    <t>fab67040</t>
  </si>
  <si>
    <t>voir requete classement</t>
  </si>
  <si>
    <t>4078a6e0</t>
  </si>
  <si>
    <t>fermeture à faire au 31 août 2022</t>
  </si>
  <si>
    <t>b3a7b9af</t>
  </si>
  <si>
    <t>sera positionné en atelier créateur</t>
  </si>
  <si>
    <t>8dee1724</t>
  </si>
  <si>
    <t>cf autre demande de promotion explore</t>
  </si>
  <si>
    <t>b7ed0766</t>
  </si>
  <si>
    <t>Madame CHAUVIN a fait une relance par courriel concernant sa demande de panneau (cf. mail envoyé le 25 juillet 2022).</t>
  </si>
  <si>
    <t>8f904406</t>
  </si>
  <si>
    <t>presta appelé le 25/07/22</t>
  </si>
  <si>
    <t>200ea576</t>
  </si>
  <si>
    <t>ok TDS</t>
  </si>
  <si>
    <t>dac7e9d1</t>
  </si>
  <si>
    <t>418e8b66</t>
  </si>
  <si>
    <t>juillet 2022 : relance pour la pose de son panneau // presta informé par mail que l'OT n'est plus en mesure de poser le panneau</t>
  </si>
  <si>
    <t>1a63f8d2</t>
  </si>
  <si>
    <t>attente retour presta : dates de période de fermeture</t>
  </si>
  <si>
    <t>912111ea</t>
  </si>
  <si>
    <t>Le 26 juillet 2022, tout d'abord, j'ai appelé le prestataire. Ensuite, j'ai envoyé le formulaire d'adhésion à la plateforme SOUBIK par mail à Monsieur TONRU.</t>
  </si>
  <si>
    <t>f0e5f40a</t>
  </si>
  <si>
    <t>850979cd</t>
  </si>
  <si>
    <t>relance effectuée par mail le 27 juillet 2022</t>
  </si>
  <si>
    <t>ed106fdf</t>
  </si>
  <si>
    <t>Le 29 juillet 2022, j'ai appelé Monsieur SELLY pour faire le point au sujet du référencement de son hébergement sur SOUBIK. Le dossier complet n'a pas encore pu être transmis.</t>
  </si>
  <si>
    <t>0bd7b41a</t>
  </si>
  <si>
    <t>Courrier reçu le 01/08/2022
Fermeture ok</t>
  </si>
  <si>
    <t>0278e3bc</t>
  </si>
  <si>
    <t>fermeture ok plateforme</t>
  </si>
  <si>
    <t>d1ccf2ae</t>
  </si>
  <si>
    <t>Le 02 août 2022, tout d'abord, j'ai appelé le prestataire. Ensuite, j'ai envoyé le formulaire d'adhésion à la plateforme SOUBIK par mail à Monsieur VITRY.</t>
  </si>
  <si>
    <t>622a64a8</t>
  </si>
  <si>
    <t>mail de bienvenue envoyé le 03/08/2022
attente des pièces administratives</t>
  </si>
  <si>
    <t>ed41d750</t>
  </si>
  <si>
    <t>envoi du mail type pour le traitement des registres ouverts / fermés sur les hébergements au tarif fixe</t>
  </si>
  <si>
    <t>4dccc8a3</t>
  </si>
  <si>
    <t>ok déclaration réouverte</t>
  </si>
  <si>
    <t>fc1651ee</t>
  </si>
  <si>
    <t>Ajout plateforme ok / mail ok/ courrier ok</t>
  </si>
  <si>
    <t>34fec7b2</t>
  </si>
  <si>
    <t>L'attestation prestataire OTI a bien été transmis par mail à Madame MOUREAUX</t>
  </si>
  <si>
    <t>cfea2203</t>
  </si>
  <si>
    <t>69404317</t>
  </si>
  <si>
    <t>proposition de poser un RDV pour l'accompagner : Mme a refusé et fera ses déclarations comme elle veut</t>
  </si>
  <si>
    <t>0475f4fe</t>
  </si>
  <si>
    <t>Le 03 août 2022, tout d'abord, j'ai appelé le prestataire. Ensuite, j'ai envoyé le formulaire d'adhésion à la plateforme SOUBIK par mail à Madame TECHER.</t>
  </si>
  <si>
    <t>abda1021</t>
  </si>
  <si>
    <t>Le 03 août 2022, j'ai appelé le prestataire pour faire le point au sujet de la mise à jour de la fiche de son établissement sur SOUBIK.</t>
  </si>
  <si>
    <t>cc8e336e</t>
  </si>
  <si>
    <t>96c7107b</t>
  </si>
  <si>
    <t>doit relancer 2B&amp;G et nous tiendra informés</t>
  </si>
  <si>
    <t>41f610cf</t>
  </si>
  <si>
    <t>Le 05 août 2022, tout d'abord, j'ai appelé le prestataire. Ensuite, j'ai envoyé le formulaire d'adhésion à la plateforme SOUBIK par mail à Madame BIOT.</t>
  </si>
  <si>
    <t>ba7a9ba7</t>
  </si>
  <si>
    <t>Courrier de fermeture ok / drive ok</t>
  </si>
  <si>
    <t>e21c7f53</t>
  </si>
  <si>
    <t>Déclaration + reversement ok</t>
  </si>
  <si>
    <t>f27d0cdd</t>
  </si>
  <si>
    <t>réponse apportée par mail</t>
  </si>
  <si>
    <t>4dc242c1</t>
  </si>
  <si>
    <t>a16d1b31</t>
  </si>
  <si>
    <t>attente d'un retour du prestataire</t>
  </si>
  <si>
    <t>7a84379f</t>
  </si>
  <si>
    <t>Toutes les modifications ont été effectuées. En effet, les coordonnées du prestataire ainsi que les labels sont en ligne sur le site de l'IRT.</t>
  </si>
  <si>
    <t>0b3d34c5</t>
  </si>
  <si>
    <t>Am relance le presta</t>
  </si>
  <si>
    <t>b7fe4c5f</t>
  </si>
  <si>
    <t>appelé le 3 août, pas décroché</t>
  </si>
  <si>
    <t>52451883</t>
  </si>
  <si>
    <t>4f0c5252</t>
  </si>
  <si>
    <t>bdc74f2e</t>
  </si>
  <si>
    <t>attestation de classement reçue</t>
  </si>
  <si>
    <t>54ae5505</t>
  </si>
  <si>
    <t>réponse apportée : Je vous confirme que votre déclaration du mois de juillet 2022 a bien été enregistrée. 
Nous restons à votre disposition pour toute information complémentaire.</t>
  </si>
  <si>
    <t>733b37df</t>
  </si>
  <si>
    <t>Le 12 août 2022, j'ai appelé Madame GIRARD pour faire le point au sujet des informations actuellement en ligne sur le site de l'IRT. En effet, le descriptif de cet établissement est à modifier.</t>
  </si>
  <si>
    <t>bd8f588c</t>
  </si>
  <si>
    <t>modifications ok</t>
  </si>
  <si>
    <t>2ebdaf24</t>
  </si>
  <si>
    <t>1c2f9e57</t>
  </si>
  <si>
    <t>6682dbc6</t>
  </si>
  <si>
    <t>de97279c</t>
  </si>
  <si>
    <t>Cet hébergement est référencé sur SOUBIK. 
=&gt; Le 18 août 2022, Madame LI-WOUNG-KI a été informée par téléphone et par mail.</t>
  </si>
  <si>
    <t>b3adab46</t>
  </si>
  <si>
    <t>Le 18 août 2022, les documents envoyés par Madame BIOT ont été vérifiés et classés. Le dossier de référencement est complet.</t>
  </si>
  <si>
    <t>0c2501cc</t>
  </si>
  <si>
    <t>Cet établissement est à présent référencé sur SOUBIK.</t>
  </si>
  <si>
    <t>fa28458b</t>
  </si>
  <si>
    <t>envoi par courrier postal à faire : formulaire de déclaration papier</t>
  </si>
  <si>
    <t>e64a663e</t>
  </si>
  <si>
    <t>envoi du formulaire papier par courrier postal le 25/08/22</t>
  </si>
  <si>
    <t>2eec5fae</t>
  </si>
  <si>
    <t>réponse mail ok</t>
  </si>
  <si>
    <t>22d31587</t>
  </si>
  <si>
    <t>mail explicatif envoyé</t>
  </si>
  <si>
    <t>be493083</t>
  </si>
  <si>
    <t>ok classement MAJ</t>
  </si>
  <si>
    <t>9ccc6e50</t>
  </si>
  <si>
    <t>relance  demande de changement panneaux dégradés mail en date du 14/08/2022</t>
  </si>
  <si>
    <t>69fa25f4</t>
  </si>
  <si>
    <t>ok attestation reçue, dossier MAJ</t>
  </si>
  <si>
    <t>0053dd93</t>
  </si>
  <si>
    <t>dossier à MAJ sur reunion.fr &gt; transfert du mail à AS le 25/08</t>
  </si>
  <si>
    <t>998452f1</t>
  </si>
  <si>
    <t>RDV tél fixé au 26/08 10h</t>
  </si>
  <si>
    <t>0124d07f</t>
  </si>
  <si>
    <t>7d807e87</t>
  </si>
  <si>
    <t>e30521f9</t>
  </si>
  <si>
    <t>OK</t>
  </si>
  <si>
    <t>1eb61056</t>
  </si>
  <si>
    <t>demande envoyée à Solène via slack le 26/08/22 avec envoi de photos pour le post</t>
  </si>
  <si>
    <t>0eeaa8a1</t>
  </si>
  <si>
    <t>mail type envoyé le 29/08</t>
  </si>
  <si>
    <t>f7d2189e</t>
  </si>
  <si>
    <t>Réponse au mail: 
"Après vérification de votre dossier, je remarque que votre déclaration à zéro a bien été enregistrée.
Pour information, vous pouvez vérifier les déclarations enregistrées dans l'onglet "mes déclarations" depuis votre espace personnel.
Si vous avez besoin d'un accompagnement spécifique ou d'informations complémentaires, je reste à votre disposition."</t>
  </si>
  <si>
    <t>4f74ba92</t>
  </si>
  <si>
    <t>Déclaration fermeture reçu le 30/08/2022</t>
  </si>
  <si>
    <t>90f2e908</t>
  </si>
  <si>
    <t>Le 30 août 2022, le prestataire a écrit un courriel au sujet de la signalétique à l'adresse prestataires@otisud.com. Ainsi, le 31 août 2022, j'ai envoyé une réponse par mail à Madame GERMAIN.</t>
  </si>
  <si>
    <t>fe845581</t>
  </si>
  <si>
    <t>envoi de l'état récap par mail 31/08/22</t>
  </si>
  <si>
    <t>bba17a3d</t>
  </si>
  <si>
    <t>25c81463</t>
  </si>
  <si>
    <t>8a36b017</t>
  </si>
  <si>
    <t>15b0b004</t>
  </si>
  <si>
    <t>mail reçu sur plateforme le 19/08/2022</t>
  </si>
  <si>
    <t>d528de2d</t>
  </si>
  <si>
    <t>ok fermeture enregistrée TDS</t>
  </si>
  <si>
    <t>853dcf09</t>
  </si>
  <si>
    <t>reversement ok</t>
  </si>
  <si>
    <t>a368c30c</t>
  </si>
  <si>
    <t>mail envoyé le 02/09 avec les documents nécessaires à l'activation de son compte</t>
  </si>
  <si>
    <t>2d88df76</t>
  </si>
  <si>
    <t>Décision de classement reçu le 02/09</t>
  </si>
  <si>
    <t>f6779065</t>
  </si>
  <si>
    <t>Cet établissement est référencé sur SOUBIK.</t>
  </si>
  <si>
    <t>10e2dfe4</t>
  </si>
  <si>
    <t>Déclaration OK</t>
  </si>
  <si>
    <t>8bec6ff4</t>
  </si>
  <si>
    <t>a16a587d</t>
  </si>
  <si>
    <t>6181b277</t>
  </si>
  <si>
    <t>TDS OK // mail ok // courrier ok</t>
  </si>
  <si>
    <t>2ad048ba</t>
  </si>
  <si>
    <t>Appel effectué le 07/09</t>
  </si>
  <si>
    <t>1201c34f</t>
  </si>
  <si>
    <t>Le 09 septembre 2022, j'ai envoyé le formulaire d'adhésion à la plateforme SOUBIK par mail à Madame BOYER.</t>
  </si>
  <si>
    <t>72b87c8c</t>
  </si>
  <si>
    <t>presta vu en visite le 08/09/2022 &gt; doc ouverture mairie transmi</t>
  </si>
  <si>
    <t>c765ee54</t>
  </si>
  <si>
    <t>document reçu pour kaz a melina 2 &gt; 3 étoiles</t>
  </si>
  <si>
    <t>34d9ada8</t>
  </si>
  <si>
    <t>démarches en cours, nous tient informé</t>
  </si>
  <si>
    <t>380393ce</t>
  </si>
  <si>
    <t>1bb02ff3</t>
  </si>
  <si>
    <t>Le 08 septembre 2022, j'ai appelé le prestataire. Aussi, le 09 septembre 2022, j'ai envoyé le formulaire d'adhésion à la plateforme SOUBIK par mail à Monsieur HOAREAU.</t>
  </si>
  <si>
    <t>f54e718d</t>
  </si>
  <si>
    <t>TDS OK // Courrier envoyé le 09/09/2022 OK // Mail OK</t>
  </si>
  <si>
    <t>d08caf82</t>
  </si>
  <si>
    <t>Mail envoyé le 12/09</t>
  </si>
  <si>
    <t>2e647fce</t>
  </si>
  <si>
    <t>Cette requête a été créée alors que l'établissement est déjà en ligne sur le site reunion.fr. En effet, la fiche établissement de "Kaz à Mélina 1" est déjà activée sur SOUBIK.</t>
  </si>
  <si>
    <t>bba9cbcc</t>
  </si>
  <si>
    <t>Courrier fermeture envoyé le 12/09</t>
  </si>
  <si>
    <t>2509be96</t>
  </si>
  <si>
    <t>Le 12 septembre 2022, j'ai appelé Sébastien de l'IRT afin de mettre à jour les tarifs en ligne.</t>
  </si>
  <si>
    <t>9443ad91</t>
  </si>
  <si>
    <t>Les modifications ont été effectuées le 09 septembre 2022.</t>
  </si>
  <si>
    <t>54638077</t>
  </si>
  <si>
    <t>Appel passé le 06/09
Envoi d'un mail avec les informations manquantes le 12/09</t>
  </si>
  <si>
    <t>17c43978</t>
  </si>
  <si>
    <t>b37e3331</t>
  </si>
  <si>
    <t>Le 15 septembre 2022, j'ai envoyé le document par mail à Madame LI-WOUNG-KI.</t>
  </si>
  <si>
    <t>a4c9ff14</t>
  </si>
  <si>
    <t>pour les 2 chalets</t>
  </si>
  <si>
    <t>64842564</t>
  </si>
  <si>
    <t>démarches en cours</t>
  </si>
  <si>
    <t>9615314f</t>
  </si>
  <si>
    <t>infos envoyées</t>
  </si>
  <si>
    <t>dcc43534</t>
  </si>
  <si>
    <t>Le 15 septembre 2022, Annabelle a noté cette demande.</t>
  </si>
  <si>
    <t>0f0eb403</t>
  </si>
  <si>
    <t>Le 15 septembre 2022, tout d'abord, j'ai appelé le prestataire. Ensuite, j'ai envoyé le formulaire d'adhésion à la plateforme SOUBIK par mail à Madame MAILLOT.</t>
  </si>
  <si>
    <t>c5f3ff8a</t>
  </si>
  <si>
    <t>post à faire pour les 2 structures : attention 2 pages fb différentes</t>
  </si>
  <si>
    <t>e77615b3</t>
  </si>
  <si>
    <t>affb7241</t>
  </si>
  <si>
    <t>Le 16 septembre 2022, j'ai transmis les photos par mail à Madame LI-WOUNG-KI.</t>
  </si>
  <si>
    <t>97652dd5</t>
  </si>
  <si>
    <t>Courrier reçu le 18/09 // fermeture TDS ok //mail ok</t>
  </si>
  <si>
    <t>c120650e</t>
  </si>
  <si>
    <t>TDS ok // courrier ok // mail ok</t>
  </si>
  <si>
    <t>3cc869f7</t>
  </si>
  <si>
    <t>Appel fait le 19/09</t>
  </si>
  <si>
    <t>989d34b7</t>
  </si>
  <si>
    <t>traité par téléphone le 19/09/2022</t>
  </si>
  <si>
    <t>20c5c03a</t>
  </si>
  <si>
    <t>Attente de retour du prestas</t>
  </si>
  <si>
    <t>d2f881c9</t>
  </si>
  <si>
    <t>9c55e5ab</t>
  </si>
  <si>
    <t>b9a3cda0</t>
  </si>
  <si>
    <t>fermeture de compte à faire + vérif si déclarations et reversements ok</t>
  </si>
  <si>
    <t>7dfc41cf</t>
  </si>
  <si>
    <t>c3aaa11e</t>
  </si>
  <si>
    <t>accompagné lors de la visite</t>
  </si>
  <si>
    <t>8bcc9fcd</t>
  </si>
  <si>
    <t>relance dossier par mail le 22/09/2022</t>
  </si>
  <si>
    <t>ec2afcac</t>
  </si>
  <si>
    <t>traité pendant la visite presta</t>
  </si>
  <si>
    <t>efbf5061</t>
  </si>
  <si>
    <t>ok courrier / mail / plateforme &gt; tout ok</t>
  </si>
  <si>
    <t>b3c40995</t>
  </si>
  <si>
    <t>doit nous envoyer son attestation dès réception</t>
  </si>
  <si>
    <t>e5139968</t>
  </si>
  <si>
    <t>établissement fermé définitivement : demande annulée</t>
  </si>
  <si>
    <t>e9d468ea</t>
  </si>
  <si>
    <t>Appel fait le 23/09</t>
  </si>
  <si>
    <t>d0c31369</t>
  </si>
  <si>
    <t>gestion de la TDS par un cabinet comptable</t>
  </si>
  <si>
    <t>49939639</t>
  </si>
  <si>
    <t>prestataire contacté</t>
  </si>
  <si>
    <t>59752c5f</t>
  </si>
  <si>
    <t>contacts organismes de classement envoyé par mail</t>
  </si>
  <si>
    <t>4d4e4707</t>
  </si>
  <si>
    <t>envoi du dossier par mail</t>
  </si>
  <si>
    <t>576faa6f</t>
  </si>
  <si>
    <t>fermé dans bertel</t>
  </si>
  <si>
    <t>6c686a26</t>
  </si>
  <si>
    <t>57e9e307</t>
  </si>
  <si>
    <t>en attente des déclarations par Neovarim!</t>
  </si>
  <si>
    <t>4092b30d</t>
  </si>
  <si>
    <t>PUBLICATION LE 28/09</t>
  </si>
  <si>
    <t>69a1026a</t>
  </si>
  <si>
    <t>doit nous envoyer son attestation par mail</t>
  </si>
  <si>
    <t>a00c92e4</t>
  </si>
  <si>
    <t>attestation reçu le 28/09/2022 : MAJ BDD ok + MAJ TDS ok</t>
  </si>
  <si>
    <t>a603aefd</t>
  </si>
  <si>
    <t>ok tds</t>
  </si>
  <si>
    <t>d4190d1e</t>
  </si>
  <si>
    <t>Le 03 octobre 2022, j'ai appelé Monsieur DALLY pour faire le point au sujet de la fiche de cet hébergement. Ainsi, le prestataire enverra les photos de "TERRE ROUGE" par mail.</t>
  </si>
  <si>
    <t>3c002510</t>
  </si>
  <si>
    <t>Le 03 octobre 2022, tout d'abord, j'ai appelé le prestataire. Ensuite, j'ai envoyé le formulaire d'adhésion à la plateforme SOUBIK par mail à Monsieur DALLY.</t>
  </si>
  <si>
    <t>6777cd91</t>
  </si>
  <si>
    <t>rdv donné au bureau pour prise en charge le 07/09/22 matin</t>
  </si>
  <si>
    <t>f7534246</t>
  </si>
  <si>
    <t>La fiche de cet établissement a été mise à jour sur SOUBIK.
Madame BIOT a été informée par téléphone.</t>
  </si>
  <si>
    <t>442757a6</t>
  </si>
  <si>
    <t>Le 06 octobre 2022, j'ai appelé le prestataire pour faire le point au sujet du dossier de référencement qu'il a transmis par mail à l'adresse prestataires@otisud.com.</t>
  </si>
  <si>
    <t>6583ca2c</t>
  </si>
  <si>
    <t>845a8413</t>
  </si>
  <si>
    <t>renvoi des documents par mail</t>
  </si>
  <si>
    <t>34022f6b</t>
  </si>
  <si>
    <t>démarche à suivre pour supprimer un séjour indiquée par mail</t>
  </si>
  <si>
    <t>75911db5</t>
  </si>
  <si>
    <t>Le 07 octobre 2022, tout d'abord, j'ai appelé le prestataire. Ensuite, j'ai envoyé le formulaire d'adhésion à la plateforme SOUBIK par mail à Madame HASCOAT.</t>
  </si>
  <si>
    <t>10e27cfa</t>
  </si>
  <si>
    <t>Le presta n'a pas fait de déclaration mairie&gt; document nécessaire pour la suite des démarches</t>
  </si>
  <si>
    <t>ee288c2f</t>
  </si>
  <si>
    <t>Courriel envoyé le vendredi 23 septembre 2022 par Chrislène : 
"M. PAYET nous a contacté directement pour le référencement de son établissement «Tamar’inn» sur le portail touristique reunion.fr.
La fiche est en cours de finalisation car il manque la déclaration en mairie. Après avoir fait le nécessaire auprès du prestataire il m’annonce qu’il a été en contact avec l’OTI Sud et qu’il ne fait pas «chambre d’hôtes» mais «hôtel». J’étais surprise de sa réponse d’autant plus que son code APE est bien «hébergement touristique de courte durée» ce qui correspond à la location de vacances, chambres d’hôtes ou chambres meublées et surtout pas hôtel.
Sans réponse de ce prestataire la fiche restera désactivée.
Il faudra qu’il refasse sa déclaration aux Impôts au service CFE pour avoir de nouveau un code APE correspondant cette fois-ci à la catégorie hôtel.
Il aura aussi des obligations à mettre en place correspondantes à l’hôtellerie."</t>
  </si>
  <si>
    <t>fa535cae</t>
  </si>
  <si>
    <t>tds ok</t>
  </si>
  <si>
    <t>ab872b60</t>
  </si>
  <si>
    <t>Le 11 octobre 2022, Monsieur HUET a appelé pour avoir les codes de connexion pour pouvoir accéder à la plateforme de la taxe de séjour.</t>
  </si>
  <si>
    <t>1c77cf24</t>
  </si>
  <si>
    <t>d87f38d5</t>
  </si>
  <si>
    <t>96b61880</t>
  </si>
  <si>
    <t>doit nous envoyer sa décision de classement</t>
  </si>
  <si>
    <t>df6668cb</t>
  </si>
  <si>
    <t>TDS ok/ mail ok/ courrier ok</t>
  </si>
  <si>
    <t>10bb8aae</t>
  </si>
  <si>
    <t>4e2aea80</t>
  </si>
  <si>
    <t>Le dossier de référencement est complet. Ce dossier est en cours de traitement.</t>
  </si>
  <si>
    <t>7c6d93ca</t>
  </si>
  <si>
    <t>TDS ok// mail ok// courrier ok</t>
  </si>
  <si>
    <t>9e1b3734</t>
  </si>
  <si>
    <t>La fiche de cet établissement a été mise à jour.</t>
  </si>
  <si>
    <t>b5865f63</t>
  </si>
  <si>
    <t>envoi de documents par mail + prise de RDV au bureau</t>
  </si>
  <si>
    <t>9433c528</t>
  </si>
  <si>
    <t>Le 12 octobre 2022, j'ai envoyé le formulaire d'adhésion à la plateforme SOUBIK par mail à Madame FONTAINE.</t>
  </si>
  <si>
    <t>7ebd130f</t>
  </si>
  <si>
    <t>Hébergement fermé</t>
  </si>
  <si>
    <t>83deb210</t>
  </si>
  <si>
    <t>déclaration ok // reversement ok// fermeture ok</t>
  </si>
  <si>
    <t>700da77c</t>
  </si>
  <si>
    <t>déclaration ok//reversement ok// fermeture ok</t>
  </si>
  <si>
    <t>95ce40f1</t>
  </si>
  <si>
    <t>c2154921</t>
  </si>
  <si>
    <t>02f4e5e9</t>
  </si>
  <si>
    <t>hébergement désactivé 
&gt; manque 1 reversement</t>
  </si>
  <si>
    <t>16410782</t>
  </si>
  <si>
    <t>cd54a332</t>
  </si>
  <si>
    <t>Le 14 octobre 2022, j'ai envoyé de nouveau le formulaire d'adhésion à la plateforme SOUBIK par mail à Madame PATCHANE.</t>
  </si>
  <si>
    <t>e647174e</t>
  </si>
  <si>
    <t>Actuellement, cet établissement est référencé sur SOUBIK.</t>
  </si>
  <si>
    <t>12f65184</t>
  </si>
  <si>
    <t>La fiche de cet établissement a bien été mise à jour. En effet, à présent, les trois chambres de cet hébergement sont présentées sur le site de l'IRT.</t>
  </si>
  <si>
    <t>60f06a55</t>
  </si>
  <si>
    <t>96c7d190</t>
  </si>
  <si>
    <t>Le 20 octobre 2022, tout d'abord, j'ai appelé Madame GERMAIN. Ensuite, j'ai transmis le document par mail au prestataire.</t>
  </si>
  <si>
    <t>c7a6e96b</t>
  </si>
  <si>
    <t>Monsieur POLLET souhaite savoir quelle est la date programmée pour le post sur Facebook dédié à son hébergement (cf. le mail du 24 octobre 2022 envoyé par Monsieur POLLET à l'adresse du Service Prestataires).</t>
  </si>
  <si>
    <t>b65d3a58</t>
  </si>
  <si>
    <t>La fiche de cet établissement a été mise à jour le lundi 24 octobre 2022. Le prestataire a bien été informé par téléphone.</t>
  </si>
  <si>
    <t>1d70351f</t>
  </si>
  <si>
    <t>en attente reversement TDS + déclaration mai 2021 + déclaration de fermeture</t>
  </si>
  <si>
    <t>39135875</t>
  </si>
  <si>
    <t>infos transmises par mail + Alice Marie en copie pour prise de relais</t>
  </si>
  <si>
    <t>5a354985</t>
  </si>
  <si>
    <t>cca9d25b</t>
  </si>
  <si>
    <t>courrier de fermeture reçu mais manque les déclarations et le reversement</t>
  </si>
  <si>
    <t>e563edd7</t>
  </si>
  <si>
    <t>tds ok// mail ok// courrier ok</t>
  </si>
  <si>
    <t>e6900930</t>
  </si>
  <si>
    <t>Le 28 octobre 2022, j'ai appelé le prestataire pour donner suite à sa demande. Le formulaire d'adhésion à la plateforme SOUBIK sera transmis par mail.</t>
  </si>
  <si>
    <t>d543d743</t>
  </si>
  <si>
    <t>Publication le 26 octobre</t>
  </si>
  <si>
    <t>9d86f67f</t>
  </si>
  <si>
    <t>Le 31 octobre 2022, j'ai envoyé le formulaire d'adhésion à la plateforme SOUBIK par mail à Madame KRAEMER.</t>
  </si>
  <si>
    <t>0ad4e778</t>
  </si>
  <si>
    <t>accompagné au téléphone + classement 1 étoile</t>
  </si>
  <si>
    <t>71bfeded</t>
  </si>
  <si>
    <t>f851b25b</t>
  </si>
  <si>
    <t>message transmi à Alice</t>
  </si>
  <si>
    <t>a9282122</t>
  </si>
  <si>
    <t>ok bertel</t>
  </si>
  <si>
    <t>209878f5</t>
  </si>
  <si>
    <t>en attente déclaration + reversement</t>
  </si>
  <si>
    <t>abe8acbb</t>
  </si>
  <si>
    <t>Le dossier de référencement est en cours de traitement. Le 02 novembre 2022, j'ai appelé Madame DELARUELLE pour faire le point au sujet de ce dossier. Le prestataire est informé que la tarification est à revoir.</t>
  </si>
  <si>
    <t>b711f5ec</t>
  </si>
  <si>
    <t>ok bertel / attestation reçue</t>
  </si>
  <si>
    <t>4a4eb0f9</t>
  </si>
  <si>
    <t>0cb0c617</t>
  </si>
  <si>
    <t>RDV pris au bureau avec le presta pour accompagnement / régularisation au 9/11 à 9h</t>
  </si>
  <si>
    <t>3eaec64c</t>
  </si>
  <si>
    <t>publication le 12/10/22</t>
  </si>
  <si>
    <t>e826b1a0</t>
  </si>
  <si>
    <t>demande de support technique envoyé à NT &gt; ticket</t>
  </si>
  <si>
    <t>bc4281c9</t>
  </si>
  <si>
    <t>684da6c4</t>
  </si>
  <si>
    <t>ok traité au tel</t>
  </si>
  <si>
    <t>95e4a1d5</t>
  </si>
  <si>
    <t>presta a répondu par mail le 3/11 en indiquant que ce n'est pas une fermeture définitive mais temporaire</t>
  </si>
  <si>
    <t>b95b0aa1</t>
  </si>
  <si>
    <t>traité + presta informé : 8 déclarations manquantes + 1 reversement manquant sur 2021</t>
  </si>
  <si>
    <t>60781d64</t>
  </si>
  <si>
    <t>ok, appel fait le 26/10</t>
  </si>
  <si>
    <t>3d15fd4f</t>
  </si>
  <si>
    <t>Contacté pour marché photo</t>
  </si>
  <si>
    <t>c2ff09eb</t>
  </si>
  <si>
    <t>Informé, c'est remonté</t>
  </si>
  <si>
    <t>209bcd06</t>
  </si>
  <si>
    <t>informé de la problématique de compétences</t>
  </si>
  <si>
    <t>2b883c88</t>
  </si>
  <si>
    <t>explore décembre</t>
  </si>
  <si>
    <t>844f20ab</t>
  </si>
  <si>
    <t>je pourrai le faire qd ils seront sur le SIT</t>
  </si>
  <si>
    <t>3bc66779</t>
  </si>
  <si>
    <t>Invité atelier juridique, on remet les compteurs à ézeo</t>
  </si>
  <si>
    <t>1feb63f2</t>
  </si>
  <si>
    <t>invitée atelier juridique</t>
  </si>
  <si>
    <t>f16eec45</t>
  </si>
  <si>
    <t>dossier SIT en attente</t>
  </si>
  <si>
    <t>c11a5c61</t>
  </si>
  <si>
    <t>Post le 09/11 à 20h</t>
  </si>
  <si>
    <t>78093888</t>
  </si>
  <si>
    <t>Le 09 novembre 2022, tout d'abord, j'ai appelé le prestataire. Ensuite, j'ai envoyé le formulaire d'adhésion à la plateforme SOUBIK par mail à Monsieur LEVENEUR.</t>
  </si>
  <si>
    <t>0629ccb6</t>
  </si>
  <si>
    <t>Déjà publier sur Explore le 7/11</t>
  </si>
  <si>
    <t>884b38f5</t>
  </si>
  <si>
    <t>Le presta n'a pas renvoyé le doc, donc il continuera de recevoir nos éléments, s'il se remanifeste, il s'agira de lui redemander de nous renvoyer le formulaire et de reverser la tds. Merci</t>
  </si>
  <si>
    <t>796d0083</t>
  </si>
  <si>
    <t>Le prestataire est dans le listing des prévus pour les prochains event d'artisans. Pour ce qui est des prospectus, je note pour Explore, merci</t>
  </si>
  <si>
    <t>f54fa59f</t>
  </si>
  <si>
    <t>Le fournisseur est recontacté mensuellement via les relances</t>
  </si>
  <si>
    <t>64db2c6e</t>
  </si>
  <si>
    <t>Demande faite. Lors d'un travail avec les agences et conciergeries, nous verrons si l'agence l'a fait.</t>
  </si>
  <si>
    <t>85a30277</t>
  </si>
  <si>
    <t>Mélodie va en visite la semaine prochaine, et il recevra le guide labels et classement fin du mois</t>
  </si>
  <si>
    <t>483a1d6b</t>
  </si>
  <si>
    <t>Invité à l'atelier labels le 17 nov</t>
  </si>
  <si>
    <t>d011b68c</t>
  </si>
  <si>
    <t>Le presta a l'information, et sait qu'il doit nous renvoyer l'attestation.</t>
  </si>
  <si>
    <t>083be163</t>
  </si>
  <si>
    <t>Le presta connait la démarche et sait qu'elle doit le faire, nous lui enverrons aussi le wébinaire sur le SIRENE</t>
  </si>
  <si>
    <t>6cd30a90</t>
  </si>
  <si>
    <t>AM a envoyé le mail avec contacts</t>
  </si>
  <si>
    <t>f3873260</t>
  </si>
  <si>
    <t>Nous avons fait un post sur fb sur le groupe privé pro, et ils sont prévus d'être sur SIT Pour une promotion sur Explore (noté au calendrier éditorial ANIS POSTS EXPLORE)</t>
  </si>
  <si>
    <t>ab066a4a</t>
  </si>
  <si>
    <t>Je l'ai inscrit sur le calendrier ANIS POST EXPLORE</t>
  </si>
  <si>
    <t>2cff11a1</t>
  </si>
  <si>
    <t>Post prévu semaine du 23 nov</t>
  </si>
  <si>
    <t>bec0f342</t>
  </si>
  <si>
    <t>Post prévu le 23 nov</t>
  </si>
  <si>
    <t>a67143e5</t>
  </si>
  <si>
    <t>Post prévu le 7 décembre</t>
  </si>
  <si>
    <t>5725d272</t>
  </si>
  <si>
    <t>Post prévu pour le 14 décembre</t>
  </si>
  <si>
    <t>55eb2f90</t>
  </si>
  <si>
    <t>Post prévu pour février 2022 sur facebook explore</t>
  </si>
  <si>
    <t>2bfc13fe</t>
  </si>
  <si>
    <t>Post prévu en décembre pour idée cadeau</t>
  </si>
  <si>
    <t>d5d39b0a</t>
  </si>
  <si>
    <t>Mélodie l'a reçue en rdv au bureau pour mettre à jour sa page fb, mais qq jours plutard elle nous a dit qu'elle arrêtait fb et qu''elle reviendra plutard vers nous.</t>
  </si>
  <si>
    <t>ca5fbd35</t>
  </si>
  <si>
    <t>Le prestataire a les informations mais ne revient pas vers nous</t>
  </si>
  <si>
    <t>09c646f6</t>
  </si>
  <si>
    <t>Le presta doit nous renvoyer ses documents.</t>
  </si>
  <si>
    <t>b4596b8a</t>
  </si>
  <si>
    <t>formulaire envoyé</t>
  </si>
  <si>
    <t>7385b80c</t>
  </si>
  <si>
    <t>Dans l'attente de retour de doc du presta</t>
  </si>
  <si>
    <t>c2efb226</t>
  </si>
  <si>
    <t>Dans l'attente d'infos du presta</t>
  </si>
  <si>
    <t>da0032ce</t>
  </si>
  <si>
    <t>En attente retour du presta</t>
  </si>
  <si>
    <t>05e96de5</t>
  </si>
  <si>
    <t>Appel effectué le 06/09 
Mail avec infos manquante envoyé le 13/09
En attente d'un retour</t>
  </si>
  <si>
    <t>f2c7faa3</t>
  </si>
  <si>
    <t>En attente retour presta</t>
  </si>
  <si>
    <t>d7f07e38</t>
  </si>
  <si>
    <t>Appel effectué le 06/09 
Mail avec infos manquante envoyé le 13/09
En attente d'un retour OK</t>
  </si>
  <si>
    <t>8141163d</t>
  </si>
  <si>
    <t>En attente de retour du presta</t>
  </si>
  <si>
    <t>34037a0f</t>
  </si>
  <si>
    <t>43608632</t>
  </si>
  <si>
    <t>Appel avec le presta fait le 08/11</t>
  </si>
  <si>
    <t>d14a2bf4</t>
  </si>
  <si>
    <t>Déclaration octobre ok</t>
  </si>
  <si>
    <t>db26c1d8</t>
  </si>
  <si>
    <t>En attente</t>
  </si>
  <si>
    <t>6f177027</t>
  </si>
  <si>
    <t>Reversement ok</t>
  </si>
  <si>
    <t>5666108e</t>
  </si>
  <si>
    <t>Balle dans le camp du presta</t>
  </si>
  <si>
    <t>69203928</t>
  </si>
  <si>
    <t>Action presta en attente</t>
  </si>
  <si>
    <t>bd8c8a8c</t>
  </si>
  <si>
    <t>1b836015</t>
  </si>
  <si>
    <t>Le formulaire d'adhésion à la plateforme SOUBIK a été transmis par mail.</t>
  </si>
  <si>
    <t>aa763d39</t>
  </si>
  <si>
    <t>debffca8</t>
  </si>
  <si>
    <t>6057ba59</t>
  </si>
  <si>
    <t>25f3d872</t>
  </si>
  <si>
    <t>d2fca5c6</t>
  </si>
  <si>
    <t>8b2f66c4</t>
  </si>
  <si>
    <t>tds ok // mail ok // courrier ok</t>
  </si>
  <si>
    <t>7087a4f9</t>
  </si>
  <si>
    <t>5b5dacd7</t>
  </si>
  <si>
    <t>traité, envoyé au presta + IRT le 14/11/22</t>
  </si>
  <si>
    <t>0c9b3204</t>
  </si>
  <si>
    <t>ff51a364</t>
  </si>
  <si>
    <t>2176a9f2</t>
  </si>
  <si>
    <t>Formulaire envoyé le 16 nov</t>
  </si>
  <si>
    <t>392061b8</t>
  </si>
  <si>
    <t>pb remonté à Alice MARIE</t>
  </si>
  <si>
    <t>4c59e67e</t>
  </si>
  <si>
    <t>Il a déjà eu sa com sur Facebook</t>
  </si>
  <si>
    <t>8855a82c</t>
  </si>
  <si>
    <t>post déjà fait</t>
  </si>
  <si>
    <t>0afa37bb</t>
  </si>
  <si>
    <t>47b5b3e3</t>
  </si>
  <si>
    <t>Le presta a le document et doit nous le renvoyer</t>
  </si>
  <si>
    <t>8cb4a9b9</t>
  </si>
  <si>
    <t>d6c904be</t>
  </si>
  <si>
    <t>aa31c89e</t>
  </si>
  <si>
    <t>664c25d7</t>
  </si>
  <si>
    <t>f82bf613</t>
  </si>
  <si>
    <t>24265fc2</t>
  </si>
  <si>
    <t>9e4ede6d</t>
  </si>
  <si>
    <t>8738aefe</t>
  </si>
  <si>
    <t>eb226ab9</t>
  </si>
  <si>
    <t>5587c932</t>
  </si>
  <si>
    <t>9241dbd4</t>
  </si>
  <si>
    <t>0634f005</t>
  </si>
  <si>
    <t>26e3e00b</t>
  </si>
  <si>
    <t>c3134475</t>
  </si>
  <si>
    <t>b43968fc</t>
  </si>
  <si>
    <t>bc901e7e</t>
  </si>
  <si>
    <t>772ce748</t>
  </si>
  <si>
    <t>0028173e</t>
  </si>
  <si>
    <t>30272848</t>
  </si>
  <si>
    <t>76c95114</t>
  </si>
  <si>
    <t>c2d60317</t>
  </si>
  <si>
    <t>888fe572</t>
  </si>
  <si>
    <t>05173b38</t>
  </si>
  <si>
    <t>ff2efc4b</t>
  </si>
  <si>
    <t>e5950e76</t>
  </si>
  <si>
    <t>ac865940</t>
  </si>
  <si>
    <t>332d445e</t>
  </si>
  <si>
    <t>4d17a067</t>
  </si>
  <si>
    <t>769b94a9</t>
  </si>
  <si>
    <t>92563282</t>
  </si>
  <si>
    <t>59f595a5</t>
  </si>
  <si>
    <t>9c7bf573</t>
  </si>
  <si>
    <t>55ef0298</t>
  </si>
  <si>
    <t>0fab577a</t>
  </si>
  <si>
    <t>Le formulaire d'adhésion à la plateforme SOUBIK a été transmis à Madame RATANE.</t>
  </si>
  <si>
    <t>803b5a2f</t>
  </si>
  <si>
    <t>d1e09cc9</t>
  </si>
  <si>
    <t>a27cb936</t>
  </si>
  <si>
    <t>cec4eacc</t>
  </si>
  <si>
    <t>2798a93e</t>
  </si>
  <si>
    <t>32f5de7e</t>
  </si>
  <si>
    <t>08963c15</t>
  </si>
  <si>
    <t>93fcba65</t>
  </si>
  <si>
    <t>7f04f4f2</t>
  </si>
  <si>
    <t>6de56cbc</t>
  </si>
  <si>
    <t>9e98b441</t>
  </si>
  <si>
    <t>3389682b</t>
  </si>
  <si>
    <t>fde03103</t>
  </si>
  <si>
    <t>La fiche de cet établissement a été mise à jour le 18 novembre 2022.</t>
  </si>
  <si>
    <t>9f16a5a3</t>
  </si>
  <si>
    <t>74c32695</t>
  </si>
  <si>
    <t>27bffb34</t>
  </si>
  <si>
    <t>77db7612</t>
  </si>
  <si>
    <t>250c6666</t>
  </si>
  <si>
    <t>e3bcd746</t>
  </si>
  <si>
    <t>Le 18 novembre 2022, tout d'abord, j'ai appelé le prestataire. Ensuite, j'ai envoyé le formulaire d'adhésion à la plateforme SOUBIK par mail à Monsieur LEGROS.</t>
  </si>
  <si>
    <t>8305beb2</t>
  </si>
  <si>
    <t>infos envoyées pour explore pour décembre</t>
  </si>
  <si>
    <t>892848a3</t>
  </si>
  <si>
    <t>Noémie a envoyé un message à Christophe le 21 novembre par slack</t>
  </si>
  <si>
    <t>d69ac4e4</t>
  </si>
  <si>
    <t>e021074e</t>
  </si>
  <si>
    <t>rdv pris au bureau le mercredi 30 novembre 14h</t>
  </si>
  <si>
    <t>fbfd6aab</t>
  </si>
  <si>
    <t>faux</t>
  </si>
  <si>
    <t>3fe06ee6</t>
  </si>
  <si>
    <t>Madame BOURGOIN a appelé le lundi 21 novembre 2022 pour avoir des informations concernant sa demande.
Le prestataire maintient cette demande.</t>
  </si>
  <si>
    <t>7c950131</t>
  </si>
  <si>
    <t>document POi transmi au presta lors de la visite - en attente de retour</t>
  </si>
  <si>
    <t>86830450</t>
  </si>
  <si>
    <t>accompagnement fait pendant la visite</t>
  </si>
  <si>
    <t>4a11d113</t>
  </si>
  <si>
    <t>ouverture hébergement ok (pendant la visite) // envoi documents à faire (affichette tarifaire + guide)</t>
  </si>
  <si>
    <t>bf131e2c</t>
  </si>
  <si>
    <t>doit revenir vers nous pour l'attestation</t>
  </si>
  <si>
    <t>b1c10051</t>
  </si>
  <si>
    <t>Un courriel a été envoyé à Madame BOURGOIN. Ainsi, le prestataire pourra contacter par téléphone les organismes agréés pour le classement ATOUT FRANCE.</t>
  </si>
  <si>
    <t>82961f97</t>
  </si>
  <si>
    <t>mail envoyé le 25/11</t>
  </si>
  <si>
    <t>0141cfa2</t>
  </si>
  <si>
    <t>Le 25 novembre 2022, tout d'abord, j'ai appelé le prestataire. Ensuite, j'ai envoyé le formulaire d'adhésion à la plateforme SOUBIK par mail à Madame GONNEVILLE.</t>
  </si>
  <si>
    <t>59664d08</t>
  </si>
  <si>
    <t>a29f6871</t>
  </si>
  <si>
    <t>documentation envoyée par mail</t>
  </si>
  <si>
    <t>bf78292e</t>
  </si>
  <si>
    <t>c9beb4c6</t>
  </si>
  <si>
    <t>a pu avoir des réponses auprès de l'opérateur, donc annule son RDV avec moi au bureau (30/11/22 à 14h)</t>
  </si>
  <si>
    <t>3c3d74d2</t>
  </si>
  <si>
    <t>ok fermé / déclarations et reversements à jour</t>
  </si>
  <si>
    <t>e24e8a79</t>
  </si>
  <si>
    <t>envoyé par mail</t>
  </si>
  <si>
    <t>5b0167e0</t>
  </si>
  <si>
    <t>2 sommes en attente de reversement : envoi des états récaps par mail et prestataire informé que tant que les sommes ne sont pas reversées, l'hébergement ne peut pas être fermé</t>
  </si>
  <si>
    <t>566d8ee3</t>
  </si>
  <si>
    <t>page de connexion ok sur Chrome / presta accompagné par téléphone</t>
  </si>
  <si>
    <t>f47e8d12</t>
  </si>
  <si>
    <t>ebed18f8</t>
  </si>
  <si>
    <t>La fiche de son établissement a bien été modifiée.</t>
  </si>
  <si>
    <t>f4f2c7c3</t>
  </si>
  <si>
    <t>Dans l'attente des fonds feder</t>
  </si>
  <si>
    <t>5f234eec</t>
  </si>
  <si>
    <t>Msg envoyé par slack à Christophe Métro</t>
  </si>
  <si>
    <t>99d6a130</t>
  </si>
  <si>
    <t>Mélodie a rdv le 16</t>
  </si>
  <si>
    <t>9c975b18</t>
  </si>
  <si>
    <t>Va recevoir fin du mois le catalogue labels</t>
  </si>
  <si>
    <t>4c01349f</t>
  </si>
  <si>
    <t>J'ai donné le nom du Presta au parc, Orane m'a dit qu'elle le contacterait début d'année</t>
  </si>
  <si>
    <t>f30e7bf7</t>
  </si>
  <si>
    <t>Courrier envoyé au presta le 16, si pas de retour la plateforme tds va le relancer, il reviendra vers nous à cemoment</t>
  </si>
  <si>
    <t>dd01ce1f</t>
  </si>
  <si>
    <t>Annabelle a envoyé le formulaire le 2 décembre</t>
  </si>
  <si>
    <t>cce6a646</t>
  </si>
  <si>
    <t>Avec le presta</t>
  </si>
  <si>
    <t>bfba0032</t>
  </si>
  <si>
    <t>prévu pour janvier ok</t>
  </si>
  <si>
    <t>2cc26a30</t>
  </si>
  <si>
    <t>Christophe va les contacter ok (slack le 30 nov)</t>
  </si>
  <si>
    <t>3f42a2e1</t>
  </si>
  <si>
    <t>le courrier sera préparé pour la visite presta prévu au 23/12/2022 à 14h</t>
  </si>
  <si>
    <t>58bbc303</t>
  </si>
  <si>
    <t>a9f25346</t>
  </si>
  <si>
    <t>Annabelle a écrit à Chrislène pour demander la modif de la durée de location : "2 nuits minimum"</t>
  </si>
  <si>
    <t>a17d6477</t>
  </si>
  <si>
    <t>Annabelle a envoyé un mail pour l'orienter sur la CROEC</t>
  </si>
  <si>
    <t>01a44031</t>
  </si>
  <si>
    <t>le numéro de Alice Marie lui a été transmis</t>
  </si>
  <si>
    <t>77ad8763</t>
  </si>
  <si>
    <t>ouverture ok // mail ok // courrier ok</t>
  </si>
  <si>
    <t>471272f7</t>
  </si>
  <si>
    <t>6f99e8f6</t>
  </si>
  <si>
    <t>afdd375a</t>
  </si>
  <si>
    <t>M. le Maire a envoyé un courrier manuscrit pour demander de prendre en compte cette demande</t>
  </si>
  <si>
    <t>cb9585e4</t>
  </si>
  <si>
    <t>tds ok // mail ok// courrier ok</t>
  </si>
  <si>
    <t>96d8577d</t>
  </si>
  <si>
    <t>mail envoyé à Muriel + CC presta + CC M. Kbidi le 13/12/22</t>
  </si>
  <si>
    <t>59dd77e9</t>
  </si>
  <si>
    <t>Pas besoin d'attente fiche sit car c'est un 4 étoiles, je le note pour un post EXPLORE avant avril (liste d'attente pour le Tampon déjà bien fournie)</t>
  </si>
  <si>
    <t>9d7d5db1</t>
  </si>
  <si>
    <t>réponse mail envoyée le 14/12/22</t>
  </si>
  <si>
    <t>238b6ff2</t>
  </si>
  <si>
    <t>traité par mail + presta informé que des déclarations sont attendues pour les mois concernés</t>
  </si>
  <si>
    <t>890e07b4</t>
  </si>
  <si>
    <t>dfb16d4b</t>
  </si>
  <si>
    <t>envoi du mail de bienvenue + coordonnées IRT</t>
  </si>
  <si>
    <t>fb4ff153</t>
  </si>
  <si>
    <t>traité par mail le 14/12/22</t>
  </si>
  <si>
    <t>0b7218da</t>
  </si>
  <si>
    <t>traité + réponse mail</t>
  </si>
  <si>
    <t>45bb05e1</t>
  </si>
  <si>
    <t>d0da705f</t>
  </si>
  <si>
    <t>f420dab4</t>
  </si>
  <si>
    <t>809a8492</t>
  </si>
  <si>
    <t>accompagnement par mail, attente réponse / si pas de solution, prendre un RDV au bureau pour accompagnement</t>
  </si>
  <si>
    <t>576aa35b</t>
  </si>
  <si>
    <t>réponse par mail</t>
  </si>
  <si>
    <t>a2ea4935</t>
  </si>
  <si>
    <t>formulaire transmis le 14/12</t>
  </si>
  <si>
    <t>d26177fc</t>
  </si>
  <si>
    <t>aea998bb</t>
  </si>
  <si>
    <t>La demande de Monsieur DUCRET a été traitée au mois de septembre 2022. En effet, la fiche de l'établissement LA CASE AU PIED DU VOLCAN a été mise à jour le mardi 13 septembre 2022.</t>
  </si>
  <si>
    <t>de023661</t>
  </si>
  <si>
    <t>Le 21 décembre 2022, tout d'abord, j'ai appelé le prestataire. Ensuite, j'ai envoyé le formulaire d'adhésion à la plateforme SOUBIK par mail à Madame LEFEVRE.</t>
  </si>
  <si>
    <t>a016ca16</t>
  </si>
  <si>
    <t>Le 21 décembre 2022, tout d'abord, j'ai appelé le prestataire. Ensuite, j'ai envoyé le formulaire d'adhésion à la plateforme SOUBIK par mail à Monsieur CERVEAUX.</t>
  </si>
  <si>
    <t>336f1bf9</t>
  </si>
  <si>
    <t>en attente de la décision de classement</t>
  </si>
  <si>
    <t>9af64248</t>
  </si>
  <si>
    <t>tds ok // mail ok// courrier ok le 19/12</t>
  </si>
  <si>
    <t>0c7766f4</t>
  </si>
  <si>
    <t>ok, envoyé le 19/12</t>
  </si>
  <si>
    <t>ae994627</t>
  </si>
  <si>
    <t>9e4e2210</t>
  </si>
  <si>
    <t>5b73a355</t>
  </si>
  <si>
    <t>86c8334a</t>
  </si>
  <si>
    <t>courrier fermeture envoyé le 02/01
en attente d'un retour du prestataire</t>
  </si>
  <si>
    <t>aa985825</t>
  </si>
  <si>
    <t>468a1b5d</t>
  </si>
  <si>
    <t>pas de retour du presta pour le moment</t>
  </si>
  <si>
    <t>a3bdfeb6</t>
  </si>
  <si>
    <t>Hébergement avec atout cocooning cheminée : promo programmée au mois de Mai (sachant qu'il a déjà eu 2 post sur les gourmandises du jardin en 2022 + présence à Miel Vert) - vu avec Solène</t>
  </si>
  <si>
    <t>fb560465</t>
  </si>
  <si>
    <t>mail envoyé le 05/01 avec courrier de fermeture</t>
  </si>
  <si>
    <t>50df109c</t>
  </si>
  <si>
    <t>Madame est passé il y a quelques jours, elle a pu récupérer ce dont elle avait besoin !</t>
  </si>
  <si>
    <t>fa00eddb</t>
  </si>
  <si>
    <t>Léa dit : Bonjour, oui elle est passé il y a quelques jours, elle a pu récupérer ce dont elle avait besoin !</t>
  </si>
  <si>
    <t>15473225</t>
  </si>
  <si>
    <t>Le prestataire a envoyé le dossier par mail le 05 janvier 2023. Ce dossier est en cours de traitement.</t>
  </si>
  <si>
    <t>954ac257</t>
  </si>
  <si>
    <t>courrier reçu le 06/01</t>
  </si>
  <si>
    <t>140fb2cc</t>
  </si>
  <si>
    <t>Le post a été retiré le 6 janvier car nous attendons le cerfa qui finalement n'est pas en cours</t>
  </si>
  <si>
    <t>15731d3f</t>
  </si>
  <si>
    <t>ok traité TDS + bertel</t>
  </si>
  <si>
    <t>4f5dc76c</t>
  </si>
  <si>
    <t>ok + réponse par mail</t>
  </si>
  <si>
    <t>bed62907</t>
  </si>
  <si>
    <t>ok traité : BDD + TDS</t>
  </si>
  <si>
    <t>9072f976</t>
  </si>
  <si>
    <t>prestataire contacté le 09/01/23, mais pas dispo, à rappeler!</t>
  </si>
  <si>
    <t>ebf78709</t>
  </si>
  <si>
    <t>Le 10 janvier 2023, tout d'abord, j'ai transmis les coordonnées souhaitées lors de la conversation téléphonique. Aussi, j'ai envoyé un courriel à Monsieur PAYET.</t>
  </si>
  <si>
    <t>615fe3e1</t>
  </si>
  <si>
    <t>OK traité</t>
  </si>
  <si>
    <t>83ec73a2</t>
  </si>
  <si>
    <t>5f8cac50</t>
  </si>
  <si>
    <t>ccc208d4</t>
  </si>
  <si>
    <t>a24d50fd</t>
  </si>
  <si>
    <t>ok TDS / plateforme / mail / courrier</t>
  </si>
  <si>
    <t>60d248e1</t>
  </si>
  <si>
    <t>Le dossier complet a été envoyé à l'IRT.</t>
  </si>
  <si>
    <t>b1ae3c21</t>
  </si>
  <si>
    <t>La demande de Monsieur APOSTIN a été prise en compte le 12 janvier 2023.</t>
  </si>
  <si>
    <t>219e3d5b</t>
  </si>
  <si>
    <t>prestataire informé de la manipulation à faire pour modifier son adresse mail</t>
  </si>
  <si>
    <t>f8e15160</t>
  </si>
  <si>
    <t>Le 13 janvier 2023, j'ai appelé Madame MAILLOT pour faire le point au sujet des deux dossiers à renvoyer par mail.</t>
  </si>
  <si>
    <t>39dba7bc</t>
  </si>
  <si>
    <t>La promotion sur Facebook a été faite le 11 janvier 2023.</t>
  </si>
  <si>
    <t>5700f1f6</t>
  </si>
  <si>
    <t>visite du 12 janvier 2023 : le presta souhaite une mise à jour de sa fiche (détails envoyés sur slack et par mail le 18/01)</t>
  </si>
  <si>
    <t>5dadf43b</t>
  </si>
  <si>
    <t>La promotion sur Facebook a été faite le 18 janvier 2023.</t>
  </si>
  <si>
    <t>07f958ee</t>
  </si>
  <si>
    <t>ba98a3d8</t>
  </si>
  <si>
    <t>Le formulaire prestataire 2023 a été transmis par mail.</t>
  </si>
  <si>
    <t>dd933847</t>
  </si>
  <si>
    <t>9e8600d9</t>
  </si>
  <si>
    <t>3fa308be</t>
  </si>
  <si>
    <t>88814ef0</t>
  </si>
  <si>
    <t>Le 23 janvier 2023, tout d'abord, j'ai appelé le prestataire. Ensuite, j'ai envoyé le formulaire d'adhésion à la plateforme SOUBIK par mail à Madame AUGER.</t>
  </si>
  <si>
    <t>8878b486</t>
  </si>
  <si>
    <t>attendre de recevoir leur page fb pour faire la promo</t>
  </si>
  <si>
    <t>72dcb37f</t>
  </si>
  <si>
    <t>ok mail envoyé le 25/01</t>
  </si>
  <si>
    <t>3a1d97ee</t>
  </si>
  <si>
    <t>4f2c699c</t>
  </si>
  <si>
    <t>aacdecf3</t>
  </si>
  <si>
    <t>Alice informée par sms</t>
  </si>
  <si>
    <t>564eae16</t>
  </si>
  <si>
    <t>5f6f6785</t>
  </si>
  <si>
    <t>courrier type envoyé par mail</t>
  </si>
  <si>
    <t>7d330306</t>
  </si>
  <si>
    <t>La mise à jour de la fiche de cet établissement a bien été effectuée.</t>
  </si>
  <si>
    <t>2f1dbfcc</t>
  </si>
  <si>
    <t>Le 31 janvier 2023, tout d'abord, j'ai appelé le prestataire. Ensuite, j'ai envoyé le formulaire d'adhésion à la plateforme SOUBIK par mail à Monsieur GANGNANT.</t>
  </si>
  <si>
    <t>25568649</t>
  </si>
  <si>
    <t>bd496471</t>
  </si>
  <si>
    <t>1f799b6b</t>
  </si>
  <si>
    <t>page facebook créée, lien transmi le 02/02/23 mais en attente car la page est vide pour le moment</t>
  </si>
  <si>
    <t>ed116c30</t>
  </si>
  <si>
    <t>traité sur bertel</t>
  </si>
  <si>
    <t>c7f6b64e</t>
  </si>
  <si>
    <t>en attente des documents officiel : changement de la déclaration en mairie, pour report dans la plateforme</t>
  </si>
  <si>
    <t>49f35a50</t>
  </si>
  <si>
    <t>Demande de transmission d'un justificatif précisant la capacité d'accueil de l'hébergement pour pouvoir apporter les modifications souhaitées.</t>
  </si>
  <si>
    <t>26f1b95b</t>
  </si>
  <si>
    <t>3234423e</t>
  </si>
  <si>
    <t>Le 08 février 2023, j'ai appelé Madame FALCONNET avant l'envoi du formulaire d'adhésion à la plateforme SOUBIK.</t>
  </si>
  <si>
    <t>28e1f198</t>
  </si>
  <si>
    <t>Le formulaire d'adhésion à la plateforme SOUBIK a bien été transmis par mail.</t>
  </si>
  <si>
    <t>50ecb5d6</t>
  </si>
  <si>
    <t>Le formulaire d'adhésion à la plateforme SOUBIK a été transmis par mail le 09 février 2023.</t>
  </si>
  <si>
    <t>d9aceed8</t>
  </si>
  <si>
    <t>118d37fa</t>
  </si>
  <si>
    <t>Mme Brizard doit nous recontacter pour fixer un RDV d'accompagnement (soit par tél, soit au cours d'une visite mais elle travaille aux mêmes horaires que nous)</t>
  </si>
  <si>
    <t>df3b79d4</t>
  </si>
  <si>
    <t>contact en cours pour avoir des infos sur les financements possibles pour l'obtention du label NF : CCI (M. Motet) / Label NF (Mme LACROIX) / ADEME (Mme Maspeyrat) // doit contacter l'AD2R prochainement et la chambre d'agriculture - presta démotivé car les aides sont en général pour les hébergeurs et restaurateurs</t>
  </si>
  <si>
    <t>7f86e88b</t>
  </si>
  <si>
    <t>La mise à jour de la fiche de cet établissement a été effectuée. Cette information a été transmise au prestataire par téléphone le 10 février 2023.</t>
  </si>
  <si>
    <t>94b420ca</t>
  </si>
  <si>
    <t>J'ai envoyé le formulaire d'adhésion à la plateforme SOUBIK par mail à Monsieur HOAREAU.</t>
  </si>
  <si>
    <t>155453a0</t>
  </si>
  <si>
    <t>J'ai envoyé le formulaire d'adhésion à la plateforme SOUBIK par mail à Madame FELICITE.</t>
  </si>
  <si>
    <t>59621bf2</t>
  </si>
  <si>
    <t>courrier type envoyé par mail en attente de retour</t>
  </si>
  <si>
    <t>0b27e272</t>
  </si>
  <si>
    <t>invité en atelier créateur du 23 février</t>
  </si>
  <si>
    <t>22c45678</t>
  </si>
  <si>
    <t>AMIR a envoyé le mail de demande d'info au prestataire le 15 février à 14h40</t>
  </si>
  <si>
    <t>ede81c29</t>
  </si>
  <si>
    <t>Amir cherche le nouveau numéro et va le rentrer</t>
  </si>
  <si>
    <t>0cf84da4</t>
  </si>
  <si>
    <t>Amir a saisi la nouvelle adresse</t>
  </si>
  <si>
    <t>fa2158ad</t>
  </si>
  <si>
    <t>Doublon de requête, téléphone déjà modifié</t>
  </si>
  <si>
    <t>7bb1be3b</t>
  </si>
  <si>
    <t>Invité au juridique du 2 mars</t>
  </si>
  <si>
    <t>5966acc0</t>
  </si>
  <si>
    <t>d431e48c</t>
  </si>
  <si>
    <t>Invité à l'atelier créateur pour la partie MT. Pour la partie accompagnement fb/ internet, c'est plus délicat. Possiblement des ateliers et/ou permanences pourraient se mettre en place. A voir, je vais en discuter.</t>
  </si>
  <si>
    <t>f2f3eea5</t>
  </si>
  <si>
    <t>Amir en parle en réunion de service. Jusqu'où peut aller notre accompagnement dans le numérique. Possibilité à envisager d'un rdv entre Noémie et le presta pour création de page fb. Info déjà précisée dans la requête porteur de projet du même presta.</t>
  </si>
  <si>
    <t>425c9550</t>
  </si>
  <si>
    <t>Problème à traiter en interne, ce n'est pas une demande de presta. Pour ce qui concerne ce presta, voir l'ensemble des requêtes et commentaires merci</t>
  </si>
  <si>
    <t>2ea030dc</t>
  </si>
  <si>
    <t>Elle est super sympa cette dame de donner des idées, mais c'est tout simplement infaisable au regard des calendriers instables des institutions. Néanmoins, un projet de calendrier plus "léger" avec un système de "zone" sera envisagé en T4 pour édition début 2024. Inch Allah</t>
  </si>
  <si>
    <t>59cb70f2</t>
  </si>
  <si>
    <t>Attention les prestas éligibles à la promo explore ont soit un classement soit un label, soit une situation géographique exceptionnelle maillée à une e réputation exemplaire... je vais essayer de le caler pour mai ou juin, mais à confirmer</t>
  </si>
  <si>
    <t>ea6646bc</t>
  </si>
  <si>
    <t>Prévue pour mai</t>
  </si>
  <si>
    <t>c6e70c72</t>
  </si>
  <si>
    <t>Prévue pour février 2023</t>
  </si>
  <si>
    <t>bdadc24e</t>
  </si>
  <si>
    <t>Prévue en avril 2023</t>
  </si>
  <si>
    <t>03b18017</t>
  </si>
  <si>
    <t>J'ai proposé à Explore mais ce n'est pas sujet.. je tenterai tout de même de le raccrocher au niveau rédactionnel quelque part! je mets en post fb anis</t>
  </si>
  <si>
    <t>fa2f78a7</t>
  </si>
  <si>
    <t>Pas de retour du prestataire, donc pas de participation à l'action Saint Valentin.</t>
  </si>
  <si>
    <t>c373029e</t>
  </si>
  <si>
    <t>Pas de participation à l'action</t>
  </si>
  <si>
    <t>2caa9c51</t>
  </si>
  <si>
    <t>Ne participe pas à l'action</t>
  </si>
  <si>
    <t>5663a572</t>
  </si>
  <si>
    <t>f173f4e9</t>
  </si>
  <si>
    <t>801fa62c</t>
  </si>
  <si>
    <t>PUBLICATION EN DD sur fb le 16/02</t>
  </si>
  <si>
    <t>bf425a0c</t>
  </si>
  <si>
    <t>Pas de retour, ne participe pas à l'action.</t>
  </si>
  <si>
    <t>02d0367c</t>
  </si>
  <si>
    <t>Ne participe pas à l'action.</t>
  </si>
  <si>
    <t>971381c1</t>
  </si>
  <si>
    <t>Pas de retour, pas de participation à l'action.</t>
  </si>
  <si>
    <t>bc0c0b12</t>
  </si>
  <si>
    <t>La promotion sur Facebook a été faite le 16 février 2023.</t>
  </si>
  <si>
    <t>c3db86c2</t>
  </si>
  <si>
    <t>Retour positif de la part du prestataire</t>
  </si>
  <si>
    <t>e1ded1fa</t>
  </si>
  <si>
    <t>Retour positif et participation du prestataire à l'action Saint Valentin.</t>
  </si>
  <si>
    <t>0410296e</t>
  </si>
  <si>
    <t>Pas de retour, pas de participation du prestataire à l'action.</t>
  </si>
  <si>
    <t>b3786f8a</t>
  </si>
  <si>
    <t>Consigne du 16 février : ne pas rappeler le presta pour le moment</t>
  </si>
  <si>
    <t>260f3c63</t>
  </si>
  <si>
    <t>cf autre requete autre</t>
  </si>
  <si>
    <t>5b1b61a9</t>
  </si>
  <si>
    <t>3cbef445</t>
  </si>
  <si>
    <t>besoin d'aide pour reparamétrer son compte airbnb : 3 pages pour sa structure https://www.airbnb.fr/s/le-colibri--la-r%C3%A9union/homes?adults=1&amp;refinement_paths%5B%5D=%2Fhomes&amp;tab_id=home_tab&amp;flexible_trip_lengths%5B%5D=one_week&amp;price_filter_input_type=0&amp;price_filter_num_nights=6&amp;date_picker_type=calendar&amp;checkin=2023-02-20&amp;checkout=2023-02-26&amp;source=structured_search_input_header&amp;search_type=user_map_move&amp;query=le%20colibri%2C%20la%20r%C3%A9union&amp;ne_lat=-21.23528050146063&amp;ne_lng=55.541794595161974&amp;sw_lat=-21.242830578636998&amp;sw_lng=55.53433805410057&amp;zoom=17&amp;search_by_map=true&amp;place_id=ChIJAdEdx_90eCERw1-bRcNB3Eo</t>
  </si>
  <si>
    <t>02626a1e</t>
  </si>
  <si>
    <t>Lorsqu'on recevra le cerfa on pourra refaire une promotion fb, je vais vérfiier</t>
  </si>
  <si>
    <t>33f5539e</t>
  </si>
  <si>
    <t>Le client a été assurer du fait que l'OTISud n'accompagne pas ce prestataire en raison de sa situation irrégulière qui ne dépend pas de nous. Le presta est d'ailleurs signalé fermé pour cause d'irrégularité</t>
  </si>
  <si>
    <t>831056de</t>
  </si>
  <si>
    <t>b59a65ba</t>
  </si>
  <si>
    <t>Amir a redemandé à SG s'il existe un courriel type à adresser au presta.</t>
  </si>
  <si>
    <t>e6d63971</t>
  </si>
  <si>
    <t>Madame GERMAIN souhaite avoir les panneaux signalétiques demandés.</t>
  </si>
  <si>
    <t>55ef094e</t>
  </si>
  <si>
    <t>SG a donné la procédure par mail à AMIR qui a répondu en associant Mellie pour savoir si un courrier écrit du plaignant a été récupéré par le Pole b to c, j'attends la suite</t>
  </si>
  <si>
    <t>fff089f2</t>
  </si>
  <si>
    <t>traité dans la TDS</t>
  </si>
  <si>
    <t>c810af91</t>
  </si>
  <si>
    <t>Courriel QUAD MOD 6 envoyé au presta avec copie de la fiche réclamation à 8h le 21 février.</t>
  </si>
  <si>
    <t>03b90b4e</t>
  </si>
  <si>
    <t>A participé à l'action.</t>
  </si>
  <si>
    <t>2ffc5c47</t>
  </si>
  <si>
    <t>pas de retour, n'a pas participé à l'action.</t>
  </si>
  <si>
    <t>aafbe308</t>
  </si>
  <si>
    <t>Pas de retour.</t>
  </si>
  <si>
    <t>e874dc39</t>
  </si>
  <si>
    <t>Réponse positive à l'action, puis n'a pas donné de suite.</t>
  </si>
  <si>
    <t>92d9fa1e</t>
  </si>
  <si>
    <t>Retour positif. N'as pas donné suite.</t>
  </si>
  <si>
    <t>5c0db2ce</t>
  </si>
  <si>
    <t>24027b1b</t>
  </si>
  <si>
    <t>Retour positif. A participé à l'action.</t>
  </si>
  <si>
    <t>1918609a</t>
  </si>
  <si>
    <t>1164fd77</t>
  </si>
  <si>
    <t>Pas de retour. N'a pas participé à l'action.</t>
  </si>
  <si>
    <t>89e6d1a9</t>
  </si>
  <si>
    <t>4fd7b856</t>
  </si>
  <si>
    <t>8b87f2c4</t>
  </si>
  <si>
    <t>3f881d37</t>
  </si>
  <si>
    <t>42da46dd</t>
  </si>
  <si>
    <t>81efc498</t>
  </si>
  <si>
    <t>prestataire relancé par mail le 23/02/23</t>
  </si>
  <si>
    <t>a479ff0e</t>
  </si>
  <si>
    <t>déclaration enregistrée</t>
  </si>
  <si>
    <t>0f8d4777</t>
  </si>
  <si>
    <t>1280c8f9</t>
  </si>
  <si>
    <t>enregistré sur la plateforme</t>
  </si>
  <si>
    <t>dcff5c7d</t>
  </si>
  <si>
    <t>bb53ebe2</t>
  </si>
  <si>
    <t>47d8afe9</t>
  </si>
  <si>
    <t>réponse apportée au presta par mail : les mails d'invitation à déclarer sont automatiques</t>
  </si>
  <si>
    <t>bb50b1c8</t>
  </si>
  <si>
    <t>d13e8b5e</t>
  </si>
  <si>
    <t>mail envoyé : guide référenciel, grille, guide labels et classement</t>
  </si>
  <si>
    <t>8154703e</t>
  </si>
  <si>
    <t>b7d8671c</t>
  </si>
  <si>
    <t>envoi du courrier de fermeture le 22/02/2023</t>
  </si>
  <si>
    <t>d6ada0ac</t>
  </si>
  <si>
    <t>10c0141a</t>
  </si>
  <si>
    <t>PUBLICATION AVEC LES KOUD'KER DE TI YAB le 9/02/23</t>
  </si>
  <si>
    <t>c936bdb7</t>
  </si>
  <si>
    <t>PUBLICATION FAITES SUR EXPLORE</t>
  </si>
  <si>
    <t>fb548d8d</t>
  </si>
  <si>
    <t>Le figuier a programmer dès que possible</t>
  </si>
  <si>
    <t>4310ebd0</t>
  </si>
  <si>
    <t>Amir a appelé le 24 fév sur le tel de la dame. NRP. Message laissé avec explications : Que j'ai vu la resp des prestas de DSR mercredi et qu'elle s'est trompée d'OTI et que je la rappelai pour faire le point sur la réclamation de GUERRIERO. J'ai laissé les coordonnées du service. Je relancerai le 3.</t>
  </si>
  <si>
    <t>750b436c</t>
  </si>
  <si>
    <t>TDS ok // mail ok // courrier ok le 27/02</t>
  </si>
  <si>
    <t>59505517</t>
  </si>
  <si>
    <t>amir a envoyé le mail avec explication : faut qu'elle fasse le changement du 6820a en 5520z</t>
  </si>
  <si>
    <t>935fa19f</t>
  </si>
  <si>
    <t>infos envoyées par mail le 28/02/23</t>
  </si>
  <si>
    <t>e26eb9e2</t>
  </si>
  <si>
    <t>La fiche de cet hébergement a été mise à jour.</t>
  </si>
  <si>
    <t>2a7fe1bb</t>
  </si>
  <si>
    <t>Monsieur COVINDIN n'a pas le code pour se connecter à la plateforme de la taxe de séjour.</t>
  </si>
  <si>
    <t>9a64c67e</t>
  </si>
  <si>
    <t>infos envoyées par mail</t>
  </si>
  <si>
    <t>ced7741f</t>
  </si>
  <si>
    <t>Villa Saint Jo ⭐⭐⭐⭐⭐
En famille ou entre amis, profitez de cette villa de style créol et vintage composée de 8 chambres dont 2 suites parentales. Confort, calme et bien-être seront au rendez-vous, avec une vue imprenable sur la mer. 
Le jardin tropical vous offrira l’opportunité de vous détendre autour de la piscine ou sous son magnifique kiosque en bambou. Pour avoir un avant-goût de vos vacances dans ce cadre exceptionnel visitez leur site internet villasaintjo.com.</t>
  </si>
  <si>
    <t>69c0e6b3</t>
  </si>
  <si>
    <t>appel téléphonique du 01/03/23 : le prestataire souhaite décaler sa promo facebook pour l'année prochaine car elle est déjà booké pour toute l'année et elle n'a pas de page facebook pour le moment</t>
  </si>
  <si>
    <t>9caa8198</t>
  </si>
  <si>
    <t>appeler le presta début juillet pour fixer une date</t>
  </si>
  <si>
    <t>681f0f0e</t>
  </si>
  <si>
    <t>TEXTE :
Bungalow Tillandsia
Envie de séjourner au calme au Tampon?
Le Bungalow Tillandsia vous accueille dans un beau chalet en bois composé d'une chambre, d'une cuisine équipée donnant sur un salon avec lit gigogne, tout confort et décoré avec soin.
Vous pourrez également profiter de l'extérieur dans une ambiance zen et bucolique : vue mer et montagne pour profiter de beaux couchers de soleils!
Pour plus d'infos voici la page facebook de l'hébergement : https://www.facebook.com/people/Bungalow-Tillandsia-Location-saisonni%C3%A8re/100077497460285/</t>
  </si>
  <si>
    <t>d6f088ea</t>
  </si>
  <si>
    <t>Tibouchina
Besoin d’évasion ou d’un instant cocooning? 
Le Tibouchina se trouve sur une exploitation agricole biologique certifiée, cadre verdoyant et calme garantis, idéale pour se ressourcer avec de belles énergies !
Situé dans la fraîcheur des hauts, laissez vous séduire par sa décoration intérieure mélangeant moderne et vintage tout en vous réchauffant près de sa cheminée ou en admirant un magnifique coucher de soleil au milieu des champs alentour.</t>
  </si>
  <si>
    <t>855b8910</t>
  </si>
  <si>
    <t>TEXTE Jardin secret ***
Le Jardin secret est un hébergement qui porte si bien son nom. Prélassez-vous dans son grand jardin verdoyant en écoutant les oiseaux au retour d’une randonnée, jouez en famille ou profitez de son brasero en fin de journée. Classé 3 étoiles, ce meublé de tourisme sera parfait pour un séjour en famille bien au chaud autour de la cheminée pour vos soirées hivernales.https://drive.google.com/drive/folders/1B5MHmqWqSvoBXKpUcqmIrzatjyfPymRC</t>
  </si>
  <si>
    <t>8258b36f</t>
  </si>
  <si>
    <t>réponse envoyée par mail : lien de la plateforme</t>
  </si>
  <si>
    <t>2f93cd77</t>
  </si>
  <si>
    <t>Enregistrée dans le planning pour juillet</t>
  </si>
  <si>
    <t>0c7ac99c</t>
  </si>
  <si>
    <t>juillet</t>
  </si>
  <si>
    <t>ddd5f9ba</t>
  </si>
  <si>
    <t>Programmée sept</t>
  </si>
  <si>
    <t>9991ae4c</t>
  </si>
  <si>
    <t>Réunion le 7 mars avec le CESP</t>
  </si>
  <si>
    <t>3c602f31</t>
  </si>
  <si>
    <t>doublon</t>
  </si>
  <si>
    <t>8ef18c9c</t>
  </si>
  <si>
    <t>Madame est venue en atelier juridique, elle souhaite qu'on la recontacte pour l'aider pour reunion.fr et citybreak</t>
  </si>
  <si>
    <t>127460fb</t>
  </si>
  <si>
    <t>envoi du courrier de fermeture</t>
  </si>
  <si>
    <t>90f84606</t>
  </si>
  <si>
    <t>pas eu de réponse...</t>
  </si>
  <si>
    <t>c016bf22</t>
  </si>
  <si>
    <t>courrier reçu le 03/03
TDS déclaration ok + versement ok</t>
  </si>
  <si>
    <t>d0f27d30</t>
  </si>
  <si>
    <t>mail envoyé avec le courrier d'activation datant de janvier 2022 / proposition de RDV</t>
  </si>
  <si>
    <t>3676810a</t>
  </si>
  <si>
    <t>Noémie a appelé le presta le 03/03/23 pour informer que sans courrier de fermeture elle sera toujours relancée! De plus elle a confirmé avoir reçu le courrier à compléter par mail. donc courrier de fermture en attente!</t>
  </si>
  <si>
    <t>8f9a1416</t>
  </si>
  <si>
    <t>répondu le 06/03/23</t>
  </si>
  <si>
    <t>b236750a</t>
  </si>
  <si>
    <t>réponse apportée par mail le 06/03/23</t>
  </si>
  <si>
    <t>f68b854b</t>
  </si>
  <si>
    <t>traité sur la plateforme TDS + envoi du mail avec les codes d'accès</t>
  </si>
  <si>
    <t>1dfdb9b9</t>
  </si>
  <si>
    <t>Le formulaire de référencement a été transmis par mail au prestataire.</t>
  </si>
  <si>
    <t>b69c9a85</t>
  </si>
  <si>
    <t>envoi le 7 mars 2023</t>
  </si>
  <si>
    <t>505a8ef8</t>
  </si>
  <si>
    <t>Le 07 mars 2023, j'ai envoyé le formulaire d'adhésion à la plateforme SOUBIK par mail à Monsieur GALLIOT.</t>
  </si>
  <si>
    <t>65f524b4</t>
  </si>
  <si>
    <t>La fiche de cet établissement a bien été mise à jour.</t>
  </si>
  <si>
    <t>99bff695</t>
  </si>
  <si>
    <t>Monsieur COVINDIN souhaite que les panneaux retirés soient de nouveau installés.</t>
  </si>
  <si>
    <t>61a5d05c</t>
  </si>
  <si>
    <t>Le 08 mars 2023, j'ai envoyé le formulaire d'adhésion à la plateforme SOUBIK par mail à Monsieur COVINDIN.</t>
  </si>
  <si>
    <t>c57ee9da</t>
  </si>
  <si>
    <t>b658b5a6</t>
  </si>
  <si>
    <t>Le 08 mars 2023, j'ai envoyé le formulaire d'adhésion à la plateforme SOUBIK par mail à Madame PAYET.</t>
  </si>
  <si>
    <t>c1b8fd30</t>
  </si>
  <si>
    <t>Le 08 mars 2023, j'ai envoyé le formulaire d'adhésion à la plateforme SOUBIK par mail à Madame PATCHANE.</t>
  </si>
  <si>
    <t>9345ca46</t>
  </si>
  <si>
    <t>Monsieur ALY BERIL a pris contact avec Madame MAILLOT. Une rencontre avec le prestataire est prévue le 09 mars 2023.</t>
  </si>
  <si>
    <t>cd5951e3</t>
  </si>
  <si>
    <t>publication LE FIGUIER &gt; OK programmé pour le 15 mars 18h00</t>
  </si>
  <si>
    <t>10519cd4</t>
  </si>
  <si>
    <t>envoi du courrier type le 09/03/23</t>
  </si>
  <si>
    <t>b05f7290</t>
  </si>
  <si>
    <t>courrier type envoyé le 09/03/23</t>
  </si>
  <si>
    <t>eb2a52ea</t>
  </si>
  <si>
    <t>mail envoyé le 10/03/23</t>
  </si>
  <si>
    <t>47df90a7</t>
  </si>
  <si>
    <t>ok fait</t>
  </si>
  <si>
    <t>ed12d686</t>
  </si>
  <si>
    <t>ok doc reçu et enregistré</t>
  </si>
  <si>
    <t>bb5b7f7b</t>
  </si>
  <si>
    <t>cda9be17</t>
  </si>
  <si>
    <t>77972a2e</t>
  </si>
  <si>
    <t>Sur liste pour le prochain atelier, dates en cours de validation</t>
  </si>
  <si>
    <t>c588d5bf</t>
  </si>
  <si>
    <t>Le 13 mars 2023, j'ai envoyé le formulaire d'adhésion à la plateforme SOUBIK par mail à Madame ABLANCOURT.</t>
  </si>
  <si>
    <t>9decd00e</t>
  </si>
  <si>
    <t>Le 13 mars 2023, j'ai envoyé le formulaire d'adhésion à la plateforme SOUBIK par mail à Madame JACQUOT.</t>
  </si>
  <si>
    <t>767af0f1</t>
  </si>
  <si>
    <t>ok fermeture TDS</t>
  </si>
  <si>
    <t>a11490e1</t>
  </si>
  <si>
    <t>5a4eced0</t>
  </si>
  <si>
    <t>PUBLICATION LE 15 MARS</t>
  </si>
  <si>
    <t>bc2a1012</t>
  </si>
  <si>
    <t>plainte en cours par le voisinage</t>
  </si>
  <si>
    <t>0dc9a3a0</t>
  </si>
  <si>
    <t>post à programmer, page fb ok</t>
  </si>
  <si>
    <t>cced3dc2</t>
  </si>
  <si>
    <t>PUBLI PREVUE LE 22 MARS</t>
  </si>
  <si>
    <t>5a7b96bb</t>
  </si>
  <si>
    <t>Le 17 mars 2023, j'ai envoyé le formulaire d'adhésion à la plateforme SOUBIK par mail à Monsieur BARNET.</t>
  </si>
  <si>
    <t>a56a12ea</t>
  </si>
  <si>
    <t>Le 17 mars 2023, j'ai envoyé le formulaire d'adhésion à la plateforme SOUBIK par mail à Monsieur TURPIN.</t>
  </si>
  <si>
    <t>353a5536</t>
  </si>
  <si>
    <t>PUBLI PREVUE LE 29 MARS</t>
  </si>
  <si>
    <t>16a47e49</t>
  </si>
  <si>
    <t>La Villa Letchi vous accueille à l'Entre-Deux avec sa vue à couper le souffle sur la côte sud (à vous les couchers de soleils exceptionnels!) .
Sur place vous pourrez profiter de la piscine, faire un bon petit barbecue, ou tout simplement faire un petit jeu de société en famille à l'ombre du pied de letchis.</t>
  </si>
  <si>
    <t>f496dd5e</t>
  </si>
  <si>
    <t>TEXTE : Poussez la porte de La Table d’Elvina et venez à la rencontre d’un restaurateur passionné de cuisine réunionnaise situé à Manapany-Les-Bains. L’accueil y est chaleureux et le cadre enchanteur grâce à une décoration fleurie et originale. Les plats sont soigneusement confectionnés à partir de produits provenants de producteurs locaux d’excellence, inutile de préciser que tout est fait maison!</t>
  </si>
  <si>
    <t>25615449</t>
  </si>
  <si>
    <t>TEXTE : Évadez vous au cœur de la Méditerranée tout en restant dans le beau petit quartier de Manapany-Les-Bains. C’est ce que vous propose La Case A Nona à travers sa cuisine originale : un mélange de saveurs raffinées franco-siciliennes, un vrai régal autant pour les papilles que pour les yeux ! 
Vous pourrez profiter de ce cadre intimiste avec une vue imprenable sur la mer toute la journée puisque le restaurant est ouvert en continu de 8h00 à 22h00</t>
  </si>
  <si>
    <t>56fdd382</t>
  </si>
  <si>
    <t>presta reçu au bureau le 20/03/2023 : compte activé + déclarations 2022 et janvier février 2023 complétées ensemble // M. COVINDIN a abordé le sujet de ses panneaux (il n'est pas content)</t>
  </si>
  <si>
    <t>f55207f3</t>
  </si>
  <si>
    <t>le 20/03/23 : M. COVINDIN souhaite que ses panneaux soient installés, il verra avec les élus pour que les choses bougent</t>
  </si>
  <si>
    <t>4d1dadc2</t>
  </si>
  <si>
    <t>ok fait le 1er mars</t>
  </si>
  <si>
    <t>fb1245d2</t>
  </si>
  <si>
    <t>ok fait le 3 mars 23</t>
  </si>
  <si>
    <t>ce6a6943</t>
  </si>
  <si>
    <t>j'ai appelé, pas de problème a signaler de leur côté...</t>
  </si>
  <si>
    <t>89a5f64a</t>
  </si>
  <si>
    <t>répondu par mail</t>
  </si>
  <si>
    <t>8512c26a</t>
  </si>
  <si>
    <t>prise de RDV visite pour le 28/03/23</t>
  </si>
  <si>
    <t>62fe904c</t>
  </si>
  <si>
    <t>acc sera fait lors de la visite programmée au 17 avril 2023 à 10h</t>
  </si>
  <si>
    <t>9b3084c1</t>
  </si>
  <si>
    <t>acc sera fait lors de la visite du 20 avril à 9h</t>
  </si>
  <si>
    <t>c5b2c133</t>
  </si>
  <si>
    <t>CHOUBIDOUX KRÉATION
Laurence vous propose de découvrir ses collections fait main inspirées par les paysages de l'île : sacs, pochettes, sacoches et autres accessoires parfaits pour vos voyages et personnalisables sur demande. Elle vous donne aussi la possibilité de partager son quotidien à travers des ateliers. Venez découvrir son atelier et prenez un moment pour profiter de son magnifique jardin et échanger avec elle.</t>
  </si>
  <si>
    <t>f82f7bbc</t>
  </si>
  <si>
    <t>Publication le 5 avril</t>
  </si>
  <si>
    <t>68bf310c</t>
  </si>
  <si>
    <t>il y'a eu des plaintes du voisinage</t>
  </si>
  <si>
    <t>b8e35ecc</t>
  </si>
  <si>
    <t>j'ai prévu la publication pour le 12 mars</t>
  </si>
  <si>
    <t>b7676c48</t>
  </si>
  <si>
    <t>Les modifications de la fiche de cet établissement ont bien été effectuées.</t>
  </si>
  <si>
    <t>fe0ba016</t>
  </si>
  <si>
    <t>Le 21 mars 2023, Madame MAILLOT a complété le premier formulaire au bureau. De plus, j'ai remis un deuxième formulaire de référencement au prestataire.</t>
  </si>
  <si>
    <t>9c390463</t>
  </si>
  <si>
    <t>reversement toujours en attente le 24/03</t>
  </si>
  <si>
    <t>abd207a8</t>
  </si>
  <si>
    <t>Le 23 mars 2023, deux fiches distinctes ont été créées. Le 24 mars 2023, tout d'abord, j'ai appelé Madame MAILLOT. Ensuite, j'ai transmis deux courriels au prestataire.
J'ai également contacté Monsieur ALY BERIL pour la demande liée à la commercialisation.</t>
  </si>
  <si>
    <t>7c71bd86</t>
  </si>
  <si>
    <t>RDV d'accompagnement + visite programmé au 17 avril 13h30</t>
  </si>
  <si>
    <t>83ad54c9</t>
  </si>
  <si>
    <t>Atelier du 25/03/23 : Belle journée beaucoup de monde, prestataire satisfait</t>
  </si>
  <si>
    <t>acfbcffa</t>
  </si>
  <si>
    <t>2d1fb4c2</t>
  </si>
  <si>
    <t>info envoyée au presta de faire ses déclarations mensuelles, à zéro si pas de TDS récoltée en direct</t>
  </si>
  <si>
    <t>a638dc3a</t>
  </si>
  <si>
    <t>Passage de chambre d'hôtes en meublé de tourisme suite au covid
Le lien de leur page reunion.fr a été transmis pour apporter les modifications nécessaire (Cf mail récap visite du 28/03)
Ils ont été mis au courant qu'ils devront surement remplir un nouveau formulaire pour le SIT en tant que meublé de tourisme 
Des photos et les documents ont également été demandé</t>
  </si>
  <si>
    <t>7acde74c</t>
  </si>
  <si>
    <t>Cet hébergement est référencé sur SOUBIK. Le 29 mars 2023, cette information a été transmise à Madame ABLANCOURT par téléphone et par courriel.</t>
  </si>
  <si>
    <t>30c22a95</t>
  </si>
  <si>
    <t>Le 29 mars 2023, j'ai envoyé le formulaire d'adhésion à la plateforme SOUBIK par mail à Madame MUSSARD. De plus, j'ai modifié les coordonnées du prestataire sur SOUBIK.</t>
  </si>
  <si>
    <t>182adab4</t>
  </si>
  <si>
    <t>ok enregistré bertel + tds</t>
  </si>
  <si>
    <t>ab505fca</t>
  </si>
  <si>
    <t>ouverture ok // mail ok // courrier ok 
le 31/03</t>
  </si>
  <si>
    <t>925e5b4d</t>
  </si>
  <si>
    <t>5dcf0811</t>
  </si>
  <si>
    <t>traité bertel</t>
  </si>
  <si>
    <t>169bfc86</t>
  </si>
  <si>
    <t>traité + mail confirmation envoyé</t>
  </si>
  <si>
    <t>757abf2b</t>
  </si>
  <si>
    <t>enregistré en plateforme</t>
  </si>
  <si>
    <t>87dae115</t>
  </si>
  <si>
    <t>confirmation que sa déclaration est bien enregistrée</t>
  </si>
  <si>
    <t>fba342ac</t>
  </si>
  <si>
    <t>enregistrement fait en plateforme</t>
  </si>
  <si>
    <t>78c56707</t>
  </si>
  <si>
    <t>OK sera inscrit (en tout cas invité) pour le prochain ti dej du créateur en sept</t>
  </si>
  <si>
    <t>f86fd5cd</t>
  </si>
  <si>
    <t>Info saisie AMIR</t>
  </si>
  <si>
    <t>2d36e70b</t>
  </si>
  <si>
    <t>Sera invité à l'atelier petit dej du créateur en sept. David va en visite à st phi 26 avril, il va peut etre les voir?</t>
  </si>
  <si>
    <t>a1522e19</t>
  </si>
  <si>
    <t>123b3efa</t>
  </si>
  <si>
    <t>85a57202</t>
  </si>
  <si>
    <t>Ok</t>
  </si>
  <si>
    <t>19b7d45f</t>
  </si>
  <si>
    <t>849633a2</t>
  </si>
  <si>
    <t>2efe8b4f</t>
  </si>
  <si>
    <t>0fee0793</t>
  </si>
  <si>
    <t>81829c7c</t>
  </si>
  <si>
    <t>Un entretien à eu lieu avec le prestataire qui accusé le client d avoir été titillent... le prestataire ne reconnaît pas</t>
  </si>
  <si>
    <t>20a8554b</t>
  </si>
  <si>
    <t>eed59aab</t>
  </si>
  <si>
    <t>3bd0f140</t>
  </si>
  <si>
    <t>3d8bd509</t>
  </si>
  <si>
    <t>481709bf</t>
  </si>
  <si>
    <t>749f9b7d</t>
  </si>
  <si>
    <t>6436de90</t>
  </si>
  <si>
    <t>50999028</t>
  </si>
  <si>
    <t>2415397e</t>
  </si>
  <si>
    <t>a93af782</t>
  </si>
  <si>
    <t>Prévue pour le mois de mai</t>
  </si>
  <si>
    <t>71588673</t>
  </si>
  <si>
    <t>Promotion explore prévue de sortir pour le mois de juillet 2023</t>
  </si>
  <si>
    <t>d1419a9e</t>
  </si>
  <si>
    <t>d1eeeb41</t>
  </si>
  <si>
    <t>c84cef9e</t>
  </si>
  <si>
    <t>Vivez une expérience inoubliable en séjournant au TY LODGE LA RÉUNION****. Parce que les moments de partage sont essentiels, TY LODGE LA REUNION**** dispose de trois belles chambres. Chaque chambre décorée avec goût compose un havre douillet et paisible. L'une des chambres est équipée d'un lit de relaxation.
Le Spa de 6 places, avec Airjets et Hydrajets, vous permettra de vous détendre tout en admirant la vue magnifique donnant sur la mer lointaine.</t>
  </si>
  <si>
    <t>c065530b</t>
  </si>
  <si>
    <t>79a8f8a7</t>
  </si>
  <si>
    <t>prévue pour mai explore fb</t>
  </si>
  <si>
    <t>e47c8db9</t>
  </si>
  <si>
    <t>Le 21 avril 2023, tout d'abord, j'ai appelé le prestataire. Ensuite, j'ai envoyé le formulaire d'adhésion à la plateforme SOUBIK par mail à Monsieur LAURET.</t>
  </si>
  <si>
    <t>23dbffce</t>
  </si>
  <si>
    <t>Le 21 avril 2023, j'ai appelé le prestataire afin de faire le point au sujet du dossier de référencement. Ce dernier transmettra la dernière pièce à joindre par mail.</t>
  </si>
  <si>
    <t>07c0fda3</t>
  </si>
  <si>
    <t>déclarations complétées avec le presta lors de la visite du jeudi 20 avril 2023</t>
  </si>
  <si>
    <t>85a9cd8c</t>
  </si>
  <si>
    <t>d843fb2b</t>
  </si>
  <si>
    <t>enregistrement effectué</t>
  </si>
  <si>
    <t>cbe19220</t>
  </si>
  <si>
    <t>explications données par mail</t>
  </si>
  <si>
    <t>611dca0a</t>
  </si>
  <si>
    <t>ec020d37</t>
  </si>
  <si>
    <t>courrier type envoyé au presta le 25/04/23</t>
  </si>
  <si>
    <t>12ca829c</t>
  </si>
  <si>
    <t>demande du certificat de classement (mail du 25/04/23)</t>
  </si>
  <si>
    <t>c86742ca</t>
  </si>
  <si>
    <t>envoyé par mail le 26/04/23</t>
  </si>
  <si>
    <t>d0bd0b96</t>
  </si>
  <si>
    <t>rdv pris en partenariat avec l'IRT pour discuter de leur projet le 12 avril 2023</t>
  </si>
  <si>
    <t>1ac66d92</t>
  </si>
  <si>
    <t>date fixée au 29 juin 9h00 (va confirmer par tel)</t>
  </si>
  <si>
    <t>c8215116</t>
  </si>
  <si>
    <t>déclaration ok</t>
  </si>
  <si>
    <t>e657234d</t>
  </si>
  <si>
    <t>ok le 21/04</t>
  </si>
  <si>
    <t>d03b98e6</t>
  </si>
  <si>
    <t>Les horaires d'accueil ont été changés.</t>
  </si>
  <si>
    <t>b5f63f8e</t>
  </si>
  <si>
    <t>Noté</t>
  </si>
  <si>
    <t>194347c5</t>
  </si>
  <si>
    <t>Prévu pour juillet 2023</t>
  </si>
  <si>
    <t>8ffdde52</t>
  </si>
  <si>
    <t>prévu juin 2023</t>
  </si>
  <si>
    <t>2b72b683</t>
  </si>
  <si>
    <t>prévu finalement en aout 2023 car délais de réception du cerfa et d'autres prestas se sont positionnés depuis</t>
  </si>
  <si>
    <t>aeacb174</t>
  </si>
  <si>
    <t>Le 27 avril 2023, j'ai envoyé le formulaire d'adhésion à la plateforme SOUBIK par mail à Monsieur MAILLOT.</t>
  </si>
  <si>
    <t>0c478215</t>
  </si>
  <si>
    <t>Le 27 avril 2023, j'ai envoyé le formulaire d'adhésion à la plateforme SOUBIK par mail à Monsieur MUSSARD.</t>
  </si>
  <si>
    <t>51533212</t>
  </si>
  <si>
    <t>rappel de l'obligation déclarative + indication : 40 déclarations manquantes</t>
  </si>
  <si>
    <t>4046093e</t>
  </si>
  <si>
    <t>déclarations papier complétées sur place de novembre 2022 à mars 2023</t>
  </si>
  <si>
    <t>f93bb68d</t>
  </si>
  <si>
    <t>le dossier a été remis au presta lors de son RDV au bureau le 28/04/2023 en version papier (à la demande du presta)</t>
  </si>
  <si>
    <t>afa89c08</t>
  </si>
  <si>
    <t>dossier labels et classement remi au presta le 28/04/23 en version papier</t>
  </si>
  <si>
    <t>f6cf6b56</t>
  </si>
  <si>
    <t>b6d3a399</t>
  </si>
  <si>
    <t>presta keylodge</t>
  </si>
  <si>
    <t>ee0f4f1b</t>
  </si>
  <si>
    <t>16b8d139</t>
  </si>
  <si>
    <t>604f70d1</t>
  </si>
  <si>
    <t>dd410214</t>
  </si>
  <si>
    <t>publication le 19 avril</t>
  </si>
  <si>
    <t>2ee4e07a</t>
  </si>
  <si>
    <t>publication le 10 mai</t>
  </si>
  <si>
    <t>1829f344</t>
  </si>
  <si>
    <t>prévu le dim 21 mai - pour la journée du thé</t>
  </si>
  <si>
    <t>bc6ea925</t>
  </si>
  <si>
    <t>publi fait le 26 avril</t>
  </si>
  <si>
    <t>594acde1</t>
  </si>
  <si>
    <t>prévu pour le 3 juin ( journée du vélo )</t>
  </si>
  <si>
    <t>c05faa37</t>
  </si>
  <si>
    <t>Le 28/04/2023, le formulaire d'adhésion à la plateforme SOUBIK a été remis au prestataire en mains propres.</t>
  </si>
  <si>
    <t>d7739c82</t>
  </si>
  <si>
    <t>traité au tel + fermeture enregistrée pour le mois d'avril car pas en activité (commence en mai)</t>
  </si>
  <si>
    <t>d8bd33b1</t>
  </si>
  <si>
    <t>document enregistré</t>
  </si>
  <si>
    <t>a199da13</t>
  </si>
  <si>
    <t>rappel effectué : le presta a pu faire sa déclaration</t>
  </si>
  <si>
    <t>bae52604</t>
  </si>
  <si>
    <t>rappel effectué mais le presta a un soucis de connexion, il rappelera plus tard</t>
  </si>
  <si>
    <t>2cd97a98</t>
  </si>
  <si>
    <t>db4c4906</t>
  </si>
  <si>
    <t>venue au bureau le 03/05/2023 / ok</t>
  </si>
  <si>
    <t>0f5523f9</t>
  </si>
  <si>
    <t>enregistré en plateforme + confirmation mail</t>
  </si>
  <si>
    <t>fb90c44e</t>
  </si>
  <si>
    <t>décision de classement reçue</t>
  </si>
  <si>
    <t>59e2df66</t>
  </si>
  <si>
    <t>ok enregistré + mail avec docs tarifaires envoyé</t>
  </si>
  <si>
    <t>085a2a32</t>
  </si>
  <si>
    <t>envoi du courrier type par mail</t>
  </si>
  <si>
    <t>3d8f9be4</t>
  </si>
  <si>
    <t>Le 03 mai 2023, tout d'abord, j'ai appelé le prestataire. Ensuite, j'ai envoyé le formulaire d'adhésion à la plateforme SOUBIK par mail à Monsieur JEAN-PIERRE.</t>
  </si>
  <si>
    <t>76112d5b</t>
  </si>
  <si>
    <t>traité le 05/05/23</t>
  </si>
  <si>
    <t>c623f2d8</t>
  </si>
  <si>
    <t>demande contrat avec Billikers (ML a envoyé un mail le 05/05/23)</t>
  </si>
  <si>
    <t>47326cc4</t>
  </si>
  <si>
    <t>Le 5 mai 2023, tout d'abord, j'ai appelé le prestataire. Ensuite, j'ai envoyé le formulaire d'adhésion à la plateforme SOUBIK par mail à Madame MOUNOUSSAMY-DARCEL.</t>
  </si>
  <si>
    <t>92024df7</t>
  </si>
  <si>
    <t>Le document a été envoyé par mail, le 09 mai 2023.</t>
  </si>
  <si>
    <t>498adc04</t>
  </si>
  <si>
    <t>post prévu le 4 octobre (fb OTISUD)</t>
  </si>
  <si>
    <t>26d068f9</t>
  </si>
  <si>
    <t>f87b2a15</t>
  </si>
  <si>
    <t>Publi le dimanche 21 mai pour la journée du thé</t>
  </si>
  <si>
    <t>fcda84ae</t>
  </si>
  <si>
    <t>Tibouchina programmé au 21/06</t>
  </si>
  <si>
    <t>fe030401</t>
  </si>
  <si>
    <t>Madame MOUCAYE a été contactée par téléphone et par courriel.</t>
  </si>
  <si>
    <t>e4ccf341</t>
  </si>
  <si>
    <t>ok le 12/05</t>
  </si>
  <si>
    <t>69628541</t>
  </si>
  <si>
    <t>sortira en juin</t>
  </si>
  <si>
    <t>00ee0c1d</t>
  </si>
  <si>
    <t>juin</t>
  </si>
  <si>
    <t>a7e97ac1</t>
  </si>
  <si>
    <t>f715f759</t>
  </si>
  <si>
    <t>Le prestataire a de nouveau été informé en 2023.</t>
  </si>
  <si>
    <t>cd3686d3</t>
  </si>
  <si>
    <t>Ce meublé de tourisme est référencé sur SOUBIK.</t>
  </si>
  <si>
    <t>c74cb10c</t>
  </si>
  <si>
    <t>Vivez une expérience des plus romantiques en séjournant à L'ÎLE Ô VERT***.
Ce beau chalet en bois avec jacuzzi, situé à SAINT-PHILIPPE, est le lieu propice pour une escapade amoureuse.
Pensez à réserver à l'avance votre séjour placé sous le signe de l'amour où règne une atmosphère chaleureuse.</t>
  </si>
  <si>
    <t>d5b29325</t>
  </si>
  <si>
    <t>publication prévue le 14 juin</t>
  </si>
  <si>
    <t>bbf0cd6c</t>
  </si>
  <si>
    <t>9b974a86</t>
  </si>
  <si>
    <t>Monsieur MUSSARD a été appelé le 19 mai 2023.</t>
  </si>
  <si>
    <t>80386458</t>
  </si>
  <si>
    <t>publi le 7 juin</t>
  </si>
  <si>
    <t>2897d49c</t>
  </si>
  <si>
    <t>publi activité et chambre le  : samedi 3 juin</t>
  </si>
  <si>
    <t>f7a96f6e</t>
  </si>
  <si>
    <t>J'ai désactivé la fiche de cet hébergement le 23 mai 2023.</t>
  </si>
  <si>
    <t>5b7974de</t>
  </si>
  <si>
    <t>5a0bf085</t>
  </si>
  <si>
    <t>406f9cf5</t>
  </si>
  <si>
    <t>2528d97d</t>
  </si>
  <si>
    <t>message vocal laissé le 29/05/23 avec demande de rappel pour fixer le RDV</t>
  </si>
  <si>
    <t>898f84f1</t>
  </si>
  <si>
    <t>3208134c</t>
  </si>
  <si>
    <t>988d557a</t>
  </si>
  <si>
    <t>prestataire informé qu'il manque des déclarations et reversements pour que son hb soit fermé en plateforme</t>
  </si>
  <si>
    <t>09e3c43c</t>
  </si>
  <si>
    <t>4ee734d7</t>
  </si>
  <si>
    <t>réponse mail avec indications + proposition de RDV si pb non résolu</t>
  </si>
  <si>
    <t>46e6cad6</t>
  </si>
  <si>
    <t>7152191d</t>
  </si>
  <si>
    <t>enregistrement ok</t>
  </si>
  <si>
    <t>06869ccd</t>
  </si>
  <si>
    <t>courrier a envoyer</t>
  </si>
  <si>
    <t>8db93d6f</t>
  </si>
  <si>
    <t>J'ai envoyé le formulaire d'adhésion à la plateforme SOUBIK par mail à Madame RIVIÈRE.</t>
  </si>
  <si>
    <t>9e43d8c5</t>
  </si>
  <si>
    <t>Satisfait de l'évènement, elle a bien travaillé</t>
  </si>
  <si>
    <t>0ffe7b77</t>
  </si>
  <si>
    <t>Satisfait</t>
  </si>
  <si>
    <t>e09c1b27</t>
  </si>
  <si>
    <t>Trés contente de la journée</t>
  </si>
  <si>
    <t>98c29277</t>
  </si>
  <si>
    <t>Satisfaite d ela journée</t>
  </si>
  <si>
    <t>2e65de39</t>
  </si>
  <si>
    <t>Satisfaite de la journée</t>
  </si>
  <si>
    <t>d67fdd00</t>
  </si>
  <si>
    <t>RAS</t>
  </si>
  <si>
    <t>ba9fa0bf</t>
  </si>
  <si>
    <t>Satisfait la journée</t>
  </si>
  <si>
    <t>002eed2d</t>
  </si>
  <si>
    <t>satisfait son atelier de customisation a cartonné 70 participants de la journée..</t>
  </si>
  <si>
    <t>0a1bd103</t>
  </si>
  <si>
    <t>L'attestation d'assurance de l'année en cours n'avait pas été envoyée par le prestataire. Par conséquent, le dossier est toujours incomplet.</t>
  </si>
  <si>
    <t>023e32af</t>
  </si>
  <si>
    <t>Prévu pour décembre pas avant pour le moment, à voir</t>
  </si>
  <si>
    <t>b3c27236</t>
  </si>
  <si>
    <t>prévu octobre</t>
  </si>
  <si>
    <t>88c9e922</t>
  </si>
  <si>
    <t>prévu novembre</t>
  </si>
  <si>
    <t>63cb4673</t>
  </si>
  <si>
    <t>prévue jullet 2023</t>
  </si>
  <si>
    <t>55e0497f</t>
  </si>
  <si>
    <t>Sortira en juillet 2023</t>
  </si>
  <si>
    <t>2b5870a1</t>
  </si>
  <si>
    <t>Post explore sortira en juillet 2023</t>
  </si>
  <si>
    <t>d94d7dd6</t>
  </si>
  <si>
    <t>courrier envoyé par mail le 07/06/23</t>
  </si>
  <si>
    <t>c4af297f</t>
  </si>
  <si>
    <t>courrier reçu, établissement fermé</t>
  </si>
  <si>
    <t>cfa7372d</t>
  </si>
  <si>
    <t>25b9c136</t>
  </si>
  <si>
    <t>renvoi du courrier type suite à un mail de relance du presta (plateforme TDS)</t>
  </si>
  <si>
    <t>37152482</t>
  </si>
  <si>
    <t>fermé</t>
  </si>
  <si>
    <t>ae387f7e</t>
  </si>
  <si>
    <t>mail envoyé le 08/06/23</t>
  </si>
  <si>
    <t>ff46e5fd</t>
  </si>
  <si>
    <t>56ce097e</t>
  </si>
  <si>
    <t>dd1acf3c</t>
  </si>
  <si>
    <t>ff8c82df</t>
  </si>
  <si>
    <t>616e39db</t>
  </si>
  <si>
    <t>cd85adad</t>
  </si>
  <si>
    <t>bc21b51e</t>
  </si>
  <si>
    <t>bf8454c3</t>
  </si>
  <si>
    <t>envoi du courrier type le 8/06/23</t>
  </si>
  <si>
    <t>d88933ca</t>
  </si>
  <si>
    <t>e78ceae8</t>
  </si>
  <si>
    <t>mail demande de docs + numéro de tel envoyé à Mme Anaïs NANY le 08/06/23</t>
  </si>
  <si>
    <t>c26e6474</t>
  </si>
  <si>
    <t>Le 9 juin 2023, tout d'abord, j'ai appelé le prestataire. Ensuite, j'ai envoyé le formulaire d'adhésion à la plateforme SOUBIK par mail à Monsieur LAURET.</t>
  </si>
  <si>
    <t>e477d86b</t>
  </si>
  <si>
    <t>Le 9 juin 2023, tout d'abord, j'ai appelé le prestataire. Ensuite, j'ai envoyé le formulaire d'adhésion à la plateforme SOUBIK par mail à Monsieur DUSSART.</t>
  </si>
  <si>
    <t>7ee5cf94</t>
  </si>
  <si>
    <t>mise en relation avec les partenaires par mail</t>
  </si>
  <si>
    <t>5fe40533</t>
  </si>
  <si>
    <t>5c0cbde7</t>
  </si>
  <si>
    <t>contact téléphonique avec Camille GOPAUL le 13/06/23 &gt; point sur les docs demandés pour un domaine public, elle va se renseigner pour nous fournir un doc qui justifie l'existance de ce domaine public + assurance + conventions de partenariat avec les asso sur place</t>
  </si>
  <si>
    <t>c84526ff</t>
  </si>
  <si>
    <t>Le dossier a été refait intégralement. Madame CAUCHEMEZ est passée au bureau le 12 juin 2023 afin de compléter le formulaire de référencement de l'année 2023. De plus, le 13 juin 2023, j'ai transmis un courriel à Madame CAUCHEMEZ pour faire la sélection des neuf photos qui seront mises en ligne sur le site de l'IRT.</t>
  </si>
  <si>
    <t>e65a3db7</t>
  </si>
  <si>
    <t>bd445422</t>
  </si>
  <si>
    <t>fda329ad</t>
  </si>
  <si>
    <t>072f1362</t>
  </si>
  <si>
    <t>1fa2a9e6</t>
  </si>
  <si>
    <t>visite programmée le 29/06/23 pour accompagnement TDS</t>
  </si>
  <si>
    <t>6b096b80</t>
  </si>
  <si>
    <t>La fiche de cet établissement a été désactivée.</t>
  </si>
  <si>
    <t>9bd1c469</t>
  </si>
  <si>
    <t>La fiche de cet établissement a été désactivée le 14 juin 2023.</t>
  </si>
  <si>
    <t>6e0bed70</t>
  </si>
  <si>
    <t>publication le 21 juin 2023</t>
  </si>
  <si>
    <t>9aa6beac</t>
  </si>
  <si>
    <t>prévu pour le 26 juillet</t>
  </si>
  <si>
    <t>ac6dd6e9</t>
  </si>
  <si>
    <t>prévue pour le 5 juillet</t>
  </si>
  <si>
    <t>7e9bc4b8</t>
  </si>
  <si>
    <t>rectification prévu le 5 aout 2023</t>
  </si>
  <si>
    <t>adcf1b03</t>
  </si>
  <si>
    <t>rectification prévu le 9 aout</t>
  </si>
  <si>
    <t>61f0e7c0</t>
  </si>
  <si>
    <t>prévu le 5 juillet</t>
  </si>
  <si>
    <t>8e40cbaf</t>
  </si>
  <si>
    <t>prévu le  12 juillet</t>
  </si>
  <si>
    <t>d8b33546</t>
  </si>
  <si>
    <t>prévu le 19 juillet</t>
  </si>
  <si>
    <t>ba3b7a6b</t>
  </si>
  <si>
    <t>prévu le mercredi 16 aout</t>
  </si>
  <si>
    <t>039ca274</t>
  </si>
  <si>
    <t>prévu le 23 aout</t>
  </si>
  <si>
    <t>65da9b98</t>
  </si>
  <si>
    <t>enregistré TDS</t>
  </si>
  <si>
    <t>f14918a4</t>
  </si>
  <si>
    <t>f49ed046</t>
  </si>
  <si>
    <t>mail info envoyé le 21/06/23</t>
  </si>
  <si>
    <t>b1523dd2</t>
  </si>
  <si>
    <t>401fbcc2</t>
  </si>
  <si>
    <t>Le dossier est en cours de traitement. Le 21 juin 2023, j'ai appelé Monsieur DUSSART pour faire le point au sujet de son dossier de référencement.</t>
  </si>
  <si>
    <t>712e707a</t>
  </si>
  <si>
    <t>En attente de recevoir la déclaration en mairie de cet hébergement.</t>
  </si>
  <si>
    <t>f8d3a2bf</t>
  </si>
  <si>
    <t>5d1b0683</t>
  </si>
  <si>
    <t>00189db8</t>
  </si>
  <si>
    <t>La fiche de cet hébergement est actuellement en ligne sur SOUBIK.</t>
  </si>
  <si>
    <t>149f86b8</t>
  </si>
  <si>
    <t>lien magasine envoyé le 26/06/23</t>
  </si>
  <si>
    <t>3620b351</t>
  </si>
  <si>
    <t>traité + réponse mail le 26/06/23</t>
  </si>
  <si>
    <t>f86cc912</t>
  </si>
  <si>
    <t>f30697ed</t>
  </si>
  <si>
    <t>programmation de visite + acc TDS le 13 juillet 2023 10h</t>
  </si>
  <si>
    <t>3542a267</t>
  </si>
  <si>
    <t>Le numéro de téléphone portable a bien été modifié.</t>
  </si>
  <si>
    <t>40caf099</t>
  </si>
  <si>
    <t>publi le 12 juillet</t>
  </si>
  <si>
    <t>b04c14de</t>
  </si>
  <si>
    <t>publi le 19 juillet</t>
  </si>
  <si>
    <t>8af897c0</t>
  </si>
  <si>
    <t>publi le 5 juillet</t>
  </si>
  <si>
    <t>20bbac01</t>
  </si>
  <si>
    <t>c396690b</t>
  </si>
  <si>
    <t>80a0255a</t>
  </si>
  <si>
    <t>b9f9fbf0</t>
  </si>
  <si>
    <t>mail envoyé le 04/07/23</t>
  </si>
  <si>
    <t>08e4e02b</t>
  </si>
  <si>
    <t>8be87122</t>
  </si>
  <si>
    <t>1fbb13e7</t>
  </si>
  <si>
    <t>Novembre</t>
  </si>
  <si>
    <t>ce4fe410</t>
  </si>
  <si>
    <t>octobre</t>
  </si>
  <si>
    <t>120c61b7</t>
  </si>
  <si>
    <t>pour décembre</t>
  </si>
  <si>
    <t>1b002c55</t>
  </si>
  <si>
    <t>Septembre</t>
  </si>
  <si>
    <t>341b8af4</t>
  </si>
  <si>
    <t>Nous pourrons modifier des lors que le presta nous renvoie les documents</t>
  </si>
  <si>
    <t>4e4786fc</t>
  </si>
  <si>
    <t>Mellie y est allée ok</t>
  </si>
  <si>
    <t>597dd25e</t>
  </si>
  <si>
    <t>Am a relancé Claudia</t>
  </si>
  <si>
    <t>54b3442d</t>
  </si>
  <si>
    <t>la sélection des produits boutique a été faite le 06/07
un nouveau rdv chez le prestataires est prévu le jeudi 27 juillet pour une visite de son atelier et de sa boutique</t>
  </si>
  <si>
    <t>48a68301</t>
  </si>
  <si>
    <t>envoi du courrier type</t>
  </si>
  <si>
    <t>44ae0b3b</t>
  </si>
  <si>
    <t>ok le 07/07</t>
  </si>
  <si>
    <t>7a781080</t>
  </si>
  <si>
    <t>ok, courrier donné en mains propres le 07/07/23 lors de son passage au bureau</t>
  </si>
  <si>
    <t>64864316</t>
  </si>
  <si>
    <t>9d33ab89</t>
  </si>
  <si>
    <t>Le prestataire a de nouveau été contacté pour la mise à jour de la fiche de son établissement.</t>
  </si>
  <si>
    <t>c9a87404</t>
  </si>
  <si>
    <t>ok : vu avec le presta lors de la visite du 10/07/2023</t>
  </si>
  <si>
    <t>a7b61795</t>
  </si>
  <si>
    <t>2ef05da8</t>
  </si>
  <si>
    <t>mail envoyé le 11/07</t>
  </si>
  <si>
    <t>29692db8</t>
  </si>
  <si>
    <t>fermeture au 1er aout 2023</t>
  </si>
  <si>
    <t>abcde2ca</t>
  </si>
  <si>
    <t>publi prévue le 30 aout</t>
  </si>
  <si>
    <t>8b1c2062</t>
  </si>
  <si>
    <t>prévue le 6 septembre</t>
  </si>
  <si>
    <t>4b4e00be</t>
  </si>
  <si>
    <t>prévue le 13 septembre</t>
  </si>
  <si>
    <t>412c5997</t>
  </si>
  <si>
    <t>a06c7613</t>
  </si>
  <si>
    <t>j'ai demandé le bon document au prestataire par mail puisqu'il avait transmi son courrier de classement</t>
  </si>
  <si>
    <t>bb5d8c2c</t>
  </si>
  <si>
    <t>j'ai réceptionné la décision de classement + enregistré et traité dans la plateforme TDS</t>
  </si>
  <si>
    <t>5b7e38fa</t>
  </si>
  <si>
    <t>décision de classement enregistrée dans sa fiche bertel</t>
  </si>
  <si>
    <t>90ccc9b9</t>
  </si>
  <si>
    <t>Am en envoyé mail au presta pour revoir sa fiche</t>
  </si>
  <si>
    <t>cc4556e5</t>
  </si>
  <si>
    <t>La promo doit être reprogrammer 
Promo explore prevu pour août</t>
  </si>
  <si>
    <t>b1bbf823</t>
  </si>
  <si>
    <t>Changement pour Août</t>
  </si>
  <si>
    <t>fb5cbb57</t>
  </si>
  <si>
    <t>La dernière mise à jour de la fiche de cet établissement date du 29 novembre 2021.</t>
  </si>
  <si>
    <t>cc7b1bdb</t>
  </si>
  <si>
    <t>Les photos transmises par mail le 31 août 2022 n'ont pas pu être mises en ligne sur la plateforme SOUBIK.</t>
  </si>
  <si>
    <t>ffb0f7c8</t>
  </si>
  <si>
    <t>La déclaration en mairie de cet établissement a bien été transmise. Le dossier de référencement est complet.</t>
  </si>
  <si>
    <t>f72f05f8</t>
  </si>
  <si>
    <t>Retour du Prestataire favorable.</t>
  </si>
  <si>
    <t>6f03ccd7</t>
  </si>
  <si>
    <t>Pas de retour au 17/07/2023.</t>
  </si>
  <si>
    <t>860f39a2</t>
  </si>
  <si>
    <t>Pas de retour au 17/07/2023</t>
  </si>
  <si>
    <t>7486c0bc</t>
  </si>
  <si>
    <t>a08f6824</t>
  </si>
  <si>
    <t>a327abb1</t>
  </si>
  <si>
    <t>ce798861</t>
  </si>
  <si>
    <t>c15737d3</t>
  </si>
  <si>
    <t>58d730a4</t>
  </si>
  <si>
    <t>appel téléphonique - ok</t>
  </si>
  <si>
    <t>82373dfa</t>
  </si>
  <si>
    <t>relance via appel téléphonique le 17/07/2023 &gt; presta informé que pas de panneaux pour le moment</t>
  </si>
  <si>
    <t>77ba2fd8</t>
  </si>
  <si>
    <t>72227337</t>
  </si>
  <si>
    <t>47863307</t>
  </si>
  <si>
    <t>courrier reçu le 18/07</t>
  </si>
  <si>
    <t>5874d2b4</t>
  </si>
  <si>
    <t>Sponsoring</t>
  </si>
  <si>
    <t>9cb02357</t>
  </si>
  <si>
    <t>d6ff3443</t>
  </si>
  <si>
    <t>4e5f10c7</t>
  </si>
  <si>
    <t>69d0fb67</t>
  </si>
  <si>
    <t>9c7388e5</t>
  </si>
  <si>
    <t>70d8c8a8</t>
  </si>
  <si>
    <t>b1a92545</t>
  </si>
  <si>
    <t>bcdb4a92</t>
  </si>
  <si>
    <t>5562f457</t>
  </si>
  <si>
    <t>eb56d4c1</t>
  </si>
  <si>
    <t>1c0c7359</t>
  </si>
  <si>
    <t>21c0a96e</t>
  </si>
  <si>
    <t>daef12b1</t>
  </si>
  <si>
    <t>e8de4433</t>
  </si>
  <si>
    <t>c3ef5673</t>
  </si>
  <si>
    <t>2e5b5e17</t>
  </si>
  <si>
    <t>4fba6603</t>
  </si>
  <si>
    <t>0da6fe5b</t>
  </si>
  <si>
    <t>20138357</t>
  </si>
  <si>
    <t>8a611c9b</t>
  </si>
  <si>
    <t>visite prévu pour le lundi 24/07 à 14h</t>
  </si>
  <si>
    <t>39f1d013</t>
  </si>
  <si>
    <t>modification de la capacité d'accueil + ajout du nouveau cerfa mairie dans la plateforme</t>
  </si>
  <si>
    <t>5d8f0764</t>
  </si>
  <si>
    <t>requête traitée</t>
  </si>
  <si>
    <t>97459323</t>
  </si>
  <si>
    <t>Le 11 juillet 2023, j'ai appelé le prestataire suite à l'envoi de son courriel. Pour le moment, tous les éléments transmis ne pourront pas être mis en ligne. Ce jour, j'ai de nouveau fait le point avec l'IRT concernant cette demande.</t>
  </si>
  <si>
    <t>45d8aad5</t>
  </si>
  <si>
    <t>OK courrier reçu</t>
  </si>
  <si>
    <t>e275f444</t>
  </si>
  <si>
    <t>Cette information a bien été transmise à l'IRT.</t>
  </si>
  <si>
    <t>0d0610e9</t>
  </si>
  <si>
    <t>9b9e3ba4</t>
  </si>
  <si>
    <t>Le 24 juillet 2023, j'ai contacté Madame APOSTIN afin de faire le point au sujet de la fiche de son établissement.</t>
  </si>
  <si>
    <t>4af46c1d</t>
  </si>
  <si>
    <t>PUBLI le 26/07</t>
  </si>
  <si>
    <t>4a9ffd2e</t>
  </si>
  <si>
    <t>mail d'infos envoyé le 25/07/23</t>
  </si>
  <si>
    <t>41ca1c95</t>
  </si>
  <si>
    <t>Je vois le retour de la requête, mais la publi est sortie y'a un moment</t>
  </si>
  <si>
    <t>02a52f4f</t>
  </si>
  <si>
    <t>publi le 9 aout</t>
  </si>
  <si>
    <t>8b9ed98b</t>
  </si>
  <si>
    <t>publi le 16 aout</t>
  </si>
  <si>
    <t>c479ccfe</t>
  </si>
  <si>
    <t>décalé au 27 septembre ( je remplace avec les cases de la mer cassée )</t>
  </si>
  <si>
    <t>39062c48</t>
  </si>
  <si>
    <t>Publi le 30 aout</t>
  </si>
  <si>
    <t>44980f48</t>
  </si>
  <si>
    <t>publi le 2 aout</t>
  </si>
  <si>
    <t>db92e147</t>
  </si>
  <si>
    <t>publi le 6 septembre</t>
  </si>
  <si>
    <t>2e774a5d</t>
  </si>
  <si>
    <t>Le 26 juillet 2023, tout d'abord, j'ai appelé le prestataire. Ensuite, j'ai envoyé le formulaire d'adhésion à la plateforme SOUBIK par mail à Madame RIVIÈRE.</t>
  </si>
  <si>
    <t>8caf4cfa</t>
  </si>
  <si>
    <t>Le 28 juillet 2023, j'ai envoyé le formulaire d'adhésion à la plateforme SOUBIK par mail à Madame PATCHANE LACANE.</t>
  </si>
  <si>
    <t>8e79711a</t>
  </si>
  <si>
    <t>V​ous êtes à la recherche d'une charmante maison tout confort​ ? Vous souhaitez ​également ​passer un moment festif avec vos proches.​ ​Optez et privilégiez un moment agréable et inoubliable ​en séjournant ​au BLUE PAPANGUE​. Ce meublé de tourisme avec piscine situé au TAMPON vous permettra de profiter en toute liberté de votre séjour.</t>
  </si>
  <si>
    <t>c6c5c4b8</t>
  </si>
  <si>
    <t>La fiche SIT a été mise à jour le 28 juillet 2023.</t>
  </si>
  <si>
    <t>7768c4b0</t>
  </si>
  <si>
    <t>Le formulaire d'adhésion à la plateforme SOUBIK a été envoyé par mail à Madame RIVIÈRE.</t>
  </si>
  <si>
    <t>c921f92a</t>
  </si>
  <si>
    <t>mail envoyé le 04/08/2023</t>
  </si>
  <si>
    <t>ee5a8b3a</t>
  </si>
  <si>
    <t>en attente de l'attestation d'assurance depuis le 30/06</t>
  </si>
  <si>
    <t>87b04203</t>
  </si>
  <si>
    <t>Am a demandé à C. Grondin de faire le point par mail</t>
  </si>
  <si>
    <t>128ab00b</t>
  </si>
  <si>
    <t>Am a envoyé mail au presta pour vérifier tarifs et nous retourner de nouvelles photos</t>
  </si>
  <si>
    <t>75c8dc00</t>
  </si>
  <si>
    <t>Am a relancé le canal presta</t>
  </si>
  <si>
    <t>cd886744</t>
  </si>
  <si>
    <t>publi le 23 aout</t>
  </si>
  <si>
    <t>c085b7ee</t>
  </si>
  <si>
    <t>promotion prévu pour le 10/08</t>
  </si>
  <si>
    <t>c610d2a1</t>
  </si>
  <si>
    <t>relance courrier de fermeture le 11/08/23</t>
  </si>
  <si>
    <t>8d401085</t>
  </si>
  <si>
    <t>doc envoyé au presta le 11/08/23</t>
  </si>
  <si>
    <t>2f03a79b</t>
  </si>
  <si>
    <t>le prestataire a de nouveau transmis le courrier de fermeture vide 
relance effectué le 14/08</t>
  </si>
  <si>
    <t>f77b1089</t>
  </si>
  <si>
    <t>ouverture fait le 11/08</t>
  </si>
  <si>
    <t>526f3467</t>
  </si>
  <si>
    <t>Le 14 août 2023, j'ai appelé le prestataire pour faire le point au sujet de la fiche de son établissement.</t>
  </si>
  <si>
    <t>aba42dae</t>
  </si>
  <si>
    <t>ouverture faite le 11/08 + relance attestation assu (reçu le 11/08)</t>
  </si>
  <si>
    <t>c28ea4b4</t>
  </si>
  <si>
    <t>J'ai informé le prestataire également par appel téléphonique.</t>
  </si>
  <si>
    <t>c3315cf5</t>
  </si>
  <si>
    <t>59af740e</t>
  </si>
  <si>
    <t>Le 16/08/2023, j'ai appelé Monsieur DALLY pour faire le point au sujet de la fiche de cet hébergement. Ainsi, le prestataire enverra les photos de "TERRE ROUGE" par mail.</t>
  </si>
  <si>
    <t>3f6de646</t>
  </si>
  <si>
    <t>785f62e6</t>
  </si>
  <si>
    <t>Génial, il n'aura qu'à s'i,scrire lorsque l'email d'invt est envoyé</t>
  </si>
  <si>
    <t>71820bc2</t>
  </si>
  <si>
    <t>Le prestatare n'a pas le docjument L'rt a désactvé la fche sur soub</t>
  </si>
  <si>
    <t>e3c88acf</t>
  </si>
  <si>
    <t>pb car pas de déclaraton mare à jour. Le prestatare dot modfer le cerfa</t>
  </si>
  <si>
    <t>e7d743c1</t>
  </si>
  <si>
    <t>publi prévu le 4 octobre</t>
  </si>
  <si>
    <t>f387ae9b</t>
  </si>
  <si>
    <t>Demande de désactivation de la fiche.</t>
  </si>
  <si>
    <t>87b41189</t>
  </si>
  <si>
    <t>7bc926c1</t>
  </si>
  <si>
    <t>fd306aa9</t>
  </si>
  <si>
    <t>le presta a envoyé le courrier le 14 août sur la boite mail TDS // sur le courrier mention "déjà transmis à la mairie au mois de mars et à l'OTI" mais nous n'avons rien reçu malgré plusieurs vérifications dans les boites mail...</t>
  </si>
  <si>
    <t>0635fe1e</t>
  </si>
  <si>
    <t>Le 18 août 2023, tout d'abord, j'ai appelé le prestataire. Ensuite, j'ai envoyé le formulaire d'adhésion à la plateforme SOUBIK par mail à Madame SERY.</t>
  </si>
  <si>
    <t>a7478a07</t>
  </si>
  <si>
    <t>La fiche de cet établissement a été désactivée le 18 août 2023.</t>
  </si>
  <si>
    <t>7ea82b81</t>
  </si>
  <si>
    <t>4cd60d3a</t>
  </si>
  <si>
    <t>traité + docs tarifs remis au presta en mains propres</t>
  </si>
  <si>
    <t>8f2a080b</t>
  </si>
  <si>
    <t>Oui concerné comme tous les hébergements!
traité dans la plateforme</t>
  </si>
  <si>
    <t>e090365c</t>
  </si>
  <si>
    <t>ouverture ok + mail ok + courrier ok le 30/08</t>
  </si>
  <si>
    <t>dd4338c0</t>
  </si>
  <si>
    <t>presta a relancé la demande le 30/08</t>
  </si>
  <si>
    <t>b30c5921</t>
  </si>
  <si>
    <t>ouverture ok + mail ok + courrier ok le 30/08 NC</t>
  </si>
  <si>
    <t>a45630ce</t>
  </si>
  <si>
    <t>traité sur TDS</t>
  </si>
  <si>
    <t>122f7b81</t>
  </si>
  <si>
    <t>7b125abd</t>
  </si>
  <si>
    <t>36da2c44</t>
  </si>
  <si>
    <t>Info lisible dans la rubrique pour les CES. Donc à fermer</t>
  </si>
  <si>
    <t>828ec7ae</t>
  </si>
  <si>
    <t>presta est passé au BIT, la doc a été prise !</t>
  </si>
  <si>
    <t>254cbc29</t>
  </si>
  <si>
    <t>Noté au planning</t>
  </si>
  <si>
    <t>1eeca4bf</t>
  </si>
  <si>
    <t>6c5fc4f1</t>
  </si>
  <si>
    <t>971a7e59</t>
  </si>
  <si>
    <t>ouverture ok / mail ok / courrier ok le 06/09</t>
  </si>
  <si>
    <t>59929719</t>
  </si>
  <si>
    <t>ouverture ok / mail ok/ courrier ok le 06/09</t>
  </si>
  <si>
    <t>a94ccfee</t>
  </si>
  <si>
    <t>modification faites en bdd et sur la tds</t>
  </si>
  <si>
    <t>177b94a7</t>
  </si>
  <si>
    <t>noté pour prochains ateliers</t>
  </si>
  <si>
    <t>41d8d364</t>
  </si>
  <si>
    <t>Mail d'infos envoyé à 15h28 par ML</t>
  </si>
  <si>
    <t>cac35a37</t>
  </si>
  <si>
    <t>Mail d'infos envoyé par NL à 11h20</t>
  </si>
  <si>
    <t>f20595c8</t>
  </si>
  <si>
    <t>prévu pour 15 novembre par là</t>
  </si>
  <si>
    <t>c68b4949</t>
  </si>
  <si>
    <t>AMIR prévoit d'y aller avant le 15 octobre</t>
  </si>
  <si>
    <t>d80bc06d</t>
  </si>
  <si>
    <t>Amir a envoyé le formulaires à 15h15</t>
  </si>
  <si>
    <t>886dbb79</t>
  </si>
  <si>
    <t>presta passera au bureau pour récupérer ses articles jeudi 14/09/23</t>
  </si>
  <si>
    <t>615eecfa</t>
  </si>
  <si>
    <t>30c91a16</t>
  </si>
  <si>
    <t>6a76b16a</t>
  </si>
  <si>
    <t>33397b0f</t>
  </si>
  <si>
    <t>mail envoyé avec les éléments</t>
  </si>
  <si>
    <t>3968671b</t>
  </si>
  <si>
    <t>le formulaire a été transmis au presta le 13/09</t>
  </si>
  <si>
    <t>07c67c40</t>
  </si>
  <si>
    <t>5419c097</t>
  </si>
  <si>
    <t>publi le 21 aout en produit boutique</t>
  </si>
  <si>
    <t>9be3b90f</t>
  </si>
  <si>
    <t>e9c2ca5c</t>
  </si>
  <si>
    <t>formulaire transmi au presta par mail le 15/09/23</t>
  </si>
  <si>
    <t>6b148a85</t>
  </si>
  <si>
    <t>attention pas encore de page fb</t>
  </si>
  <si>
    <t>913fffe1</t>
  </si>
  <si>
    <t>475feafb</t>
  </si>
  <si>
    <t>fcc200f3</t>
  </si>
  <si>
    <t>rdv fixé au 26 sept aprem (BIT st Phi)</t>
  </si>
  <si>
    <t>0a21c4db</t>
  </si>
  <si>
    <t>courrier envoyé au presta</t>
  </si>
  <si>
    <t>66bc61e9</t>
  </si>
  <si>
    <t>Fiche pour le grand chalet envoyée par mail depuis l'adresse presta le lundi 25 septembre 2023</t>
  </si>
  <si>
    <t>5f778a83</t>
  </si>
  <si>
    <t>Prestataires délicat et qui cherche un peu les ennuis, attention</t>
  </si>
  <si>
    <t>3a796664</t>
  </si>
  <si>
    <t>courrier reçu le 23/09</t>
  </si>
  <si>
    <t>446aebae</t>
  </si>
  <si>
    <t>ouverture ok / mail ok / courrier ok le 25/09</t>
  </si>
  <si>
    <t>5c94e5f1</t>
  </si>
  <si>
    <t>publi le 27/09/23</t>
  </si>
  <si>
    <t>77934f23</t>
  </si>
  <si>
    <t>publi le 20/09/23</t>
  </si>
  <si>
    <t>2c5326ea</t>
  </si>
  <si>
    <t>le formulaire a été transmis le 15/09</t>
  </si>
  <si>
    <t>2d2b8b2f</t>
  </si>
  <si>
    <t>le formulaire a été transmis le 26/09</t>
  </si>
  <si>
    <t>8eacc23a</t>
  </si>
  <si>
    <t>ouverture ok le 29/09</t>
  </si>
  <si>
    <t>c11fa594</t>
  </si>
  <si>
    <t>page fb ok</t>
  </si>
  <si>
    <t>54f1a9ad</t>
  </si>
  <si>
    <t>courrier ok</t>
  </si>
  <si>
    <t>303a61e4</t>
  </si>
  <si>
    <t>ok le 04/10</t>
  </si>
  <si>
    <t>d41eae98</t>
  </si>
  <si>
    <t>AMIR a répondu par mail à la mairie le 4 oct il faut prévenir le presta</t>
  </si>
  <si>
    <t>90c6ff0f</t>
  </si>
  <si>
    <t>demande d'info pour compléter sa fiche</t>
  </si>
  <si>
    <t>eeb8da20</t>
  </si>
  <si>
    <t>formulaire remis au prestataire lors de son passage au bureau le 06/10/23</t>
  </si>
  <si>
    <t>d9bdfb7e</t>
  </si>
  <si>
    <t>publi le 4 octobre</t>
  </si>
  <si>
    <t>4fe3e3ef</t>
  </si>
  <si>
    <t>publi le 11 octobre</t>
  </si>
  <si>
    <t>160f1b78</t>
  </si>
  <si>
    <t>courrier transmis par mail le 13/10</t>
  </si>
  <si>
    <t>5e6753fb</t>
  </si>
  <si>
    <t>promo explore faites le 14/10</t>
  </si>
  <si>
    <t>f24c6605</t>
  </si>
  <si>
    <t>envoyé au presta le 18/10/23</t>
  </si>
  <si>
    <t>df9342d4</t>
  </si>
  <si>
    <t>doss envoyé le 19/10/23</t>
  </si>
  <si>
    <t>532d2219</t>
  </si>
  <si>
    <t>05c47d17</t>
  </si>
  <si>
    <t>95b7629c</t>
  </si>
  <si>
    <t>indications données par mail</t>
  </si>
  <si>
    <t>dae5a65b</t>
  </si>
  <si>
    <t>publi prévu le 19 octobre</t>
  </si>
  <si>
    <t>3926b6ad</t>
  </si>
  <si>
    <t>formulaire transmis le 23/10</t>
  </si>
  <si>
    <t>88775cc7</t>
  </si>
  <si>
    <t>ouverture ok le 23/10</t>
  </si>
  <si>
    <t>6892b5a3</t>
  </si>
  <si>
    <t>Nouvelle plainte le 21 oct de ESNAULT &gt; mail de réclamation et 'explication envoyé au presta pour explications sous 15 aine</t>
  </si>
  <si>
    <t>c4372ede</t>
  </si>
  <si>
    <t>okay</t>
  </si>
  <si>
    <t>3cc211ce</t>
  </si>
  <si>
    <t>publi le 25 octobre</t>
  </si>
  <si>
    <t>201d8d30</t>
  </si>
  <si>
    <t>courrier type transmis le 26/10</t>
  </si>
  <si>
    <t>5c00a83f</t>
  </si>
  <si>
    <t>ok le 26/10</t>
  </si>
  <si>
    <t>2169b14d</t>
  </si>
  <si>
    <t>indications envoyées par mail</t>
  </si>
  <si>
    <t>d34f6cf7</t>
  </si>
  <si>
    <t>point fait avec M. D'ARRIGO et son comptable M. Arsène (06 65 53 43 31) ouverture du compte TDS depuis le 1er janvier 2023 à la demande du comptable</t>
  </si>
  <si>
    <t>0d5f45d2</t>
  </si>
  <si>
    <t>Sujet sera abordé avec la Casud lors des réunions DECLALOC</t>
  </si>
  <si>
    <t>37e0bf18</t>
  </si>
  <si>
    <t>A voir pour 2024, noté dans le listing des invités</t>
  </si>
  <si>
    <t>2c343fbb</t>
  </si>
  <si>
    <t>publi le 2 novembre</t>
  </si>
  <si>
    <t>039f0298</t>
  </si>
  <si>
    <t>ok le 05/10</t>
  </si>
  <si>
    <t>63028f73</t>
  </si>
  <si>
    <t>mail envoyé au presta pour les modif à faire + envoi du formulaire pour les cottages</t>
  </si>
  <si>
    <t>00cbb942</t>
  </si>
  <si>
    <t>Réactivité immédiate de Aurore, merci pour son expertise.</t>
  </si>
  <si>
    <t>185d5c2c</t>
  </si>
  <si>
    <t>ok le 31/10</t>
  </si>
  <si>
    <t>249d2d85</t>
  </si>
  <si>
    <t>3f212195</t>
  </si>
  <si>
    <t>65f339f5</t>
  </si>
  <si>
    <t>AM demande à presta de proposer reunion.Fr si pas déjà fait</t>
  </si>
  <si>
    <t>8ca211ad</t>
  </si>
  <si>
    <t>doc sit + infos classt envoyé 23 10</t>
  </si>
  <si>
    <t>402e7ede</t>
  </si>
  <si>
    <t>répondu au tel</t>
  </si>
  <si>
    <t>f97b1171</t>
  </si>
  <si>
    <t>ok le 03/11</t>
  </si>
  <si>
    <t>cc7cc897</t>
  </si>
  <si>
    <t>formulaire transmis le 27/10</t>
  </si>
  <si>
    <t>a13be0ca</t>
  </si>
  <si>
    <t>publi le 8 nov 2023</t>
  </si>
  <si>
    <t>5174a5cd</t>
  </si>
  <si>
    <t>oupsi pb ça devait etre pour explore..</t>
  </si>
  <si>
    <t>36716c5a</t>
  </si>
  <si>
    <t>ok traité bertel + TDS courrier reçu le 06/11/2023</t>
  </si>
  <si>
    <t>ca226500</t>
  </si>
  <si>
    <t>4b50d767</t>
  </si>
  <si>
    <t>publi le 15/11</t>
  </si>
  <si>
    <t>dc5afd02</t>
  </si>
  <si>
    <t>ok le 07/11 &gt; transmis à l'IRT</t>
  </si>
  <si>
    <t>93062129</t>
  </si>
  <si>
    <t>enregistré</t>
  </si>
  <si>
    <t>bd231cab</t>
  </si>
  <si>
    <t>Enregistré, il faudra vérifier  sit ou label</t>
  </si>
  <si>
    <t>b80bf2ec</t>
  </si>
  <si>
    <t>Enregistré, il faudra vérifier la qualification</t>
  </si>
  <si>
    <t>2a39baec</t>
  </si>
  <si>
    <t>formulaire transmis le 07/11</t>
  </si>
  <si>
    <t>95cdb45d</t>
  </si>
  <si>
    <t>attente des cerfa mairie qui doit etre modifiés</t>
  </si>
  <si>
    <t>43892a2a</t>
  </si>
  <si>
    <t>proposer rdv pour accompagnement TDS et numérique</t>
  </si>
  <si>
    <t>e76a171e</t>
  </si>
  <si>
    <t>attendre décision de classement</t>
  </si>
  <si>
    <t>e3763040</t>
  </si>
  <si>
    <t>presta accompagné au tel pour effectuer sa télédéclaration</t>
  </si>
  <si>
    <t>565a582d</t>
  </si>
  <si>
    <t>presta accompagné au téléphone</t>
  </si>
  <si>
    <t>088530cb</t>
  </si>
  <si>
    <t>SIT OK</t>
  </si>
  <si>
    <t>0b1b648f</t>
  </si>
  <si>
    <t>Pas de changement à faire ok le 15/11</t>
  </si>
  <si>
    <t>4772a135</t>
  </si>
  <si>
    <t>Le 15/11/2023, l'information a été transmise à l'IRT.</t>
  </si>
  <si>
    <t>84a0d891</t>
  </si>
  <si>
    <t>OK noté pour janvier ou février 2024, à vérifier qualité et label</t>
  </si>
  <si>
    <t>22190218</t>
  </si>
  <si>
    <t>ML a envoyé infos par mail le 14.11</t>
  </si>
  <si>
    <t>7df7a7f2</t>
  </si>
  <si>
    <t>Je mets en explore aussi</t>
  </si>
  <si>
    <t>f3426a97</t>
  </si>
  <si>
    <t>Lorsque le SIT changera, la bascule des données donnera lieu à une demande des prestataires de redonner leurs infos, uniquement à ce moment nous pourrons le faire, car pour le moment nous n'avons pas la main dessus. J'ai noté dans un autre fichier sa requête. Car pour le moment, nous ne pouvons la traiter</t>
  </si>
  <si>
    <t>41215e0d</t>
  </si>
  <si>
    <t>ok le 15/11</t>
  </si>
  <si>
    <t>f2980ad1</t>
  </si>
  <si>
    <t>Son nom est rajouté au fichier des réponses du form "besoins en numériques". Le presta sera contacté en priorité dès l'organisation d'un prochain atelier en accompagnement numérique</t>
  </si>
  <si>
    <t>f7d46f60</t>
  </si>
  <si>
    <t>Courrier type envoyé par mail le 15.11.2023</t>
  </si>
  <si>
    <t>1305572b</t>
  </si>
  <si>
    <t>Requête fermée, lorsque le prestataire nous renverra les documents, un commentaire sera ajouté, et l'IRT sollicité</t>
  </si>
  <si>
    <t>5d817b24</t>
  </si>
  <si>
    <t>PLAINTE PAR MAIL le 17 nov 2023</t>
  </si>
  <si>
    <t>a045f5d4</t>
  </si>
  <si>
    <t>OK LE 20/11</t>
  </si>
  <si>
    <t>7869f9b2</t>
  </si>
  <si>
    <t>Relance effectuée par mail le 04 septembre 2023 : "J'avais demandé à l'ouverture de Terre Rouge qu'une indication soit installée par l'office de tourisme sur la route..."</t>
  </si>
  <si>
    <t>71865f90</t>
  </si>
  <si>
    <t>ok le 17/11</t>
  </si>
  <si>
    <t>309c025b</t>
  </si>
  <si>
    <t>Courrier reçu le 10 octobre, fermeture définitive de NAture pas AKIAS!</t>
  </si>
  <si>
    <t>b0301e90</t>
  </si>
  <si>
    <t>Relance faite le 20 novembre pour le courrier mais je ferme dans bertel. J'ai prévenu la cellule tds pour s'assurer qu'elle soit fermée dans tds aussi. En tout cas, à jour des reversements ok</t>
  </si>
  <si>
    <t>b17e0c4c</t>
  </si>
  <si>
    <t>Dans l'attente du CERA réglementaire. Le Presta est informé de notre demande. Sans ce document, pas de possibilité de faire la fiche SIT</t>
  </si>
  <si>
    <t>4d584d31</t>
  </si>
  <si>
    <t>Envoi du mail de dernière relance, reprise à zéro, si le presta répond et redonne des modifs à faire, il s'agira de basculer le mail directement à Chryslène Grondin</t>
  </si>
  <si>
    <t>4865adc2</t>
  </si>
  <si>
    <t>353971bc</t>
  </si>
  <si>
    <t>2304a7a5</t>
  </si>
  <si>
    <t>4fe0816b</t>
  </si>
  <si>
    <t>0b9c8b86</t>
  </si>
  <si>
    <t>8a83bf4b</t>
  </si>
  <si>
    <t>39212fa2</t>
  </si>
  <si>
    <t>abf64cd8</t>
  </si>
  <si>
    <t>a7fdc2c2</t>
  </si>
  <si>
    <t>cea8717d</t>
  </si>
  <si>
    <t>7e2b6818</t>
  </si>
  <si>
    <t>d98ceb56</t>
  </si>
  <si>
    <t>Formulaire envoyé</t>
  </si>
  <si>
    <t>a0a54014</t>
  </si>
  <si>
    <t>ouverture ok le 20/11</t>
  </si>
  <si>
    <t>fc180552</t>
  </si>
  <si>
    <t>Malgré les deux emails de QUAD MOD 6, pas de retour du presta, le délai de réponse est résolu auj 21 nov, le presta est supprimé de la BDD. Il s'agira de voir en réunion manager comment informer AMIVAC.</t>
  </si>
  <si>
    <t>2a8e2824</t>
  </si>
  <si>
    <t>Prestataire partenaire d'une action b to c</t>
  </si>
  <si>
    <t>b879a441</t>
  </si>
  <si>
    <t>84751e3a</t>
  </si>
  <si>
    <t>b2c4fb24</t>
  </si>
  <si>
    <t>2a26e9e6</t>
  </si>
  <si>
    <t>c84485a2</t>
  </si>
  <si>
    <t>cf3313b7</t>
  </si>
  <si>
    <t>e0cf9b2e</t>
  </si>
  <si>
    <t>ef7723de</t>
  </si>
  <si>
    <t>1bf5740f</t>
  </si>
  <si>
    <t>8d75205e</t>
  </si>
  <si>
    <t>0ff86861</t>
  </si>
  <si>
    <t>83250217</t>
  </si>
  <si>
    <t>de0a8479</t>
  </si>
  <si>
    <t>1c46e069</t>
  </si>
  <si>
    <t>27f7bc70</t>
  </si>
  <si>
    <t>Suite à un appel téléphonique, il est préférable de ne pas faire de promotion pour cet établissement pour le moment, car le voisinage est sur ses gardes.</t>
  </si>
  <si>
    <t>51609c44</t>
  </si>
  <si>
    <t>Demande noté dans le fichier des posts EXPLORE fb ANIS. La liste sera donnée à Métro</t>
  </si>
  <si>
    <t>8fd7d1da</t>
  </si>
  <si>
    <t>Noté au fichier EXPLORE FB ANIS. La liste sera envoyée à Métro</t>
  </si>
  <si>
    <t>1878d957</t>
  </si>
  <si>
    <t>Noté dans fichier EXPLORE ANIS FB. La liste sera envoyée à Métro</t>
  </si>
  <si>
    <t>f78c122d</t>
  </si>
  <si>
    <t>prévu le 22 nov</t>
  </si>
  <si>
    <t>9cd51ec7</t>
  </si>
  <si>
    <t>prévu le 29 nov</t>
  </si>
  <si>
    <t>d0a2969f</t>
  </si>
  <si>
    <t>prévu le 6 dec</t>
  </si>
  <si>
    <t>44b07a6f</t>
  </si>
  <si>
    <t>prévu 13 dec</t>
  </si>
  <si>
    <t>9b9b0531</t>
  </si>
  <si>
    <t>à rappeler à manapany le 21/11 &gt; NC a pris le relais et à transmis les coordonnées par mail</t>
  </si>
  <si>
    <t>0bef6688</t>
  </si>
  <si>
    <t>ouverture ok le 17/11</t>
  </si>
  <si>
    <t>aff4785f</t>
  </si>
  <si>
    <t>publi le 22 nov</t>
  </si>
  <si>
    <t>e36ba13b</t>
  </si>
  <si>
    <t>retour par mail fait le 23/11 &gt; son espace sur la tds est tjr ouvert</t>
  </si>
  <si>
    <t>7c689fa8</t>
  </si>
  <si>
    <t>programmé pour le 13 décembre ( pas de page fb donc j'ai mis airbnb)</t>
  </si>
  <si>
    <t>8037dc74</t>
  </si>
  <si>
    <t>Mail avec discours validé envoyé à 14h18</t>
  </si>
  <si>
    <t>431b283f</t>
  </si>
  <si>
    <t>demande de doc et infos pour attestation faites par mail le 29/11</t>
  </si>
  <si>
    <t>39968298</t>
  </si>
  <si>
    <t>publi le 29/11/23</t>
  </si>
  <si>
    <t>d93b1f00</t>
  </si>
  <si>
    <t>publi le 6/12/23</t>
  </si>
  <si>
    <t>a78fdd3a</t>
  </si>
  <si>
    <t>à prévoir pour début 2024 (maybe le 10/01/2024 ?)</t>
  </si>
  <si>
    <t>979d6f75</t>
  </si>
  <si>
    <t>courrier reçu le 01/12 par mail &gt; fermeture ok</t>
  </si>
  <si>
    <t>2a56cdbd</t>
  </si>
  <si>
    <t>fiche réclamation client transmis le 04/12 par mail</t>
  </si>
  <si>
    <t>e83027c8</t>
  </si>
  <si>
    <t>ok le 06/12</t>
  </si>
  <si>
    <t>a40ab444</t>
  </si>
  <si>
    <t>NC voit avec le Pole B to C pour que le client remplisse le formulaire de réclamation, sans çà pas de démarche QUAL MOD 6. Le presta n'attend rien dans cette requête, je la ferme, çà plombe les délais</t>
  </si>
  <si>
    <t>551635ba</t>
  </si>
  <si>
    <t>Calé pour janvier ou février fonction du doodle de la FRT</t>
  </si>
  <si>
    <t>b7aef24f</t>
  </si>
  <si>
    <t>66a2f032</t>
  </si>
  <si>
    <t>tds ok 
structure fermé jusqu'au 31 juillet</t>
  </si>
  <si>
    <t>d617b408</t>
  </si>
  <si>
    <t>courrier type envoyé par mail (TDS) le 11/12/23</t>
  </si>
  <si>
    <t>b16fcca6</t>
  </si>
  <si>
    <t>ok le 11/12 &gt; pour une date indéterminée + de 6mois
sur la plateforme prog jusqu'au 31/07/2024</t>
  </si>
  <si>
    <t>111c2a9a</t>
  </si>
  <si>
    <t>4ab05f0b</t>
  </si>
  <si>
    <t>promo sur la partie excursion &gt; activité de transport</t>
  </si>
  <si>
    <t>7e35c1c1</t>
  </si>
  <si>
    <t>appel tél le 11/12/23</t>
  </si>
  <si>
    <t>0ec65330</t>
  </si>
  <si>
    <t>TDS ok le 12/12</t>
  </si>
  <si>
    <t>ae796f8a</t>
  </si>
  <si>
    <t>tds ok le 12/12</t>
  </si>
  <si>
    <t>475f260c</t>
  </si>
  <si>
    <t>ok le 12/12</t>
  </si>
  <si>
    <t>222fa49c</t>
  </si>
  <si>
    <t>orienter la promo plutot sur le service excursion, transfert aeroport &gt; la fiche sera créée ASAP</t>
  </si>
  <si>
    <t>8916ff38</t>
  </si>
  <si>
    <t>12815d8f</t>
  </si>
  <si>
    <t>tds ok le 15/12</t>
  </si>
  <si>
    <t>0c413d36</t>
  </si>
  <si>
    <t>c89a3525</t>
  </si>
  <si>
    <t>c8c4d6b6</t>
  </si>
  <si>
    <t>traité + docs tarif fixe envoyés</t>
  </si>
  <si>
    <t>5b411cdf</t>
  </si>
  <si>
    <t>info enregistrée dans bertel</t>
  </si>
  <si>
    <t>05c63e97</t>
  </si>
  <si>
    <t>publi le 27 dec 23</t>
  </si>
  <si>
    <t>33461845</t>
  </si>
  <si>
    <t>documents reçus : déclaration mairie + assurance
manque : avis SIRENE</t>
  </si>
  <si>
    <t>859a80de</t>
  </si>
  <si>
    <t>docs ok &gt; réouverture TDS + bertel ok</t>
  </si>
  <si>
    <t>14e11ab4</t>
  </si>
  <si>
    <t>publi le 3/01/24</t>
  </si>
  <si>
    <t>43faea30</t>
  </si>
  <si>
    <t>ok le 28/12</t>
  </si>
  <si>
    <t>e4c954eb</t>
  </si>
  <si>
    <t>4561dd8b</t>
  </si>
  <si>
    <t>appel le 03/01/2024 pour relancer sa demande de panneaux</t>
  </si>
  <si>
    <t>1d41194b</t>
  </si>
  <si>
    <t>accompagné au tél</t>
  </si>
  <si>
    <t>e3084ef0</t>
  </si>
  <si>
    <t>cb2ae2ee</t>
  </si>
  <si>
    <t>dossier SIT remis en mains propres lors de son passage au bureau le 03/01/2024</t>
  </si>
  <si>
    <t>86f240da</t>
  </si>
  <si>
    <t>va faire le point avec madame et reviendra vers nous si besoin</t>
  </si>
  <si>
    <t>9e3d3b4b</t>
  </si>
  <si>
    <t>ok le 05/01/2024</t>
  </si>
  <si>
    <t>bb2a822c</t>
  </si>
  <si>
    <t>visite fixée au jeudi 18 janvier à 10h</t>
  </si>
  <si>
    <t>fc0fa67a</t>
  </si>
  <si>
    <t>f7d2ca39</t>
  </si>
  <si>
    <t>info transmise a Alice le 09/01/2024</t>
  </si>
  <si>
    <t>e97a7e8a</t>
  </si>
  <si>
    <t>06583a07</t>
  </si>
  <si>
    <t>va m'envoyer son export de logiciel pour voir si le fichier est exploitable</t>
  </si>
  <si>
    <t>21a09cd0</t>
  </si>
  <si>
    <t>numéro d'Alice transmi</t>
  </si>
  <si>
    <t>2c70d3e1</t>
  </si>
  <si>
    <t>Mail QUAD MOD6 envoyé le 10 janvier</t>
  </si>
  <si>
    <t>d55840a4</t>
  </si>
  <si>
    <t>capture écran envoyée à l'équipe sur slack</t>
  </si>
  <si>
    <t>4dafc807</t>
  </si>
  <si>
    <t>courrier transmis le 11/01</t>
  </si>
  <si>
    <t>ff622bc7</t>
  </si>
  <si>
    <t>prévue le 24 janvier à 18h</t>
  </si>
  <si>
    <t>3161aab5</t>
  </si>
  <si>
    <t>ok le 18/01</t>
  </si>
  <si>
    <t>e93e5761</t>
  </si>
  <si>
    <t>Christophe, les photos sur son fb sont pas mal (elle en a repris !) 
+ elle a encore des dispo pour la st valentin donc peut passer pour bientôt ;)</t>
  </si>
  <si>
    <t>4edfd146</t>
  </si>
  <si>
    <t>publi le 31/01/24</t>
  </si>
  <si>
    <t>13c69fdd</t>
  </si>
  <si>
    <t>envoi de la doc par mail le 25/01/24</t>
  </si>
  <si>
    <t>94d86b19</t>
  </si>
  <si>
    <t>Le 25/01/2024, Madame Elsa DUPONT a appelé la hotline. Cette dernière souhaite être rappelée au plus vite par Noémie au sujet de la réclamation de Madame Brigitte MEDOC. 
Le prestataire est joignable au 06.92.93.36 40.</t>
  </si>
  <si>
    <t>a3d8d1ab</t>
  </si>
  <si>
    <t>traité le jour même</t>
  </si>
  <si>
    <t>2ee006d0</t>
  </si>
  <si>
    <t>ok le 31/01/2024</t>
  </si>
  <si>
    <t>8711681c</t>
  </si>
  <si>
    <t>Prévu pour mars</t>
  </si>
  <si>
    <t>ec9d730c</t>
  </si>
  <si>
    <t>6e9ef151</t>
  </si>
  <si>
    <t>prévu pour avril</t>
  </si>
  <si>
    <t>7a5e625d</t>
  </si>
  <si>
    <t>prévu en avril</t>
  </si>
  <si>
    <t>64ad92ff</t>
  </si>
  <si>
    <t>N'a pas de siret, demande faite, en attendant on clôture la requête</t>
  </si>
  <si>
    <t>9a67d440</t>
  </si>
  <si>
    <t>Courrier envoyé via prestataires le mercredi 31 janvier</t>
  </si>
  <si>
    <t>22a8828f</t>
  </si>
  <si>
    <t>Courrier envoyé le 31</t>
  </si>
  <si>
    <t>3ae14a2e</t>
  </si>
  <si>
    <t>Le presta nous a répondu en nous renvoyant le mail de réponse au client. Il s'agirait selon lui d'un "délit de sale gueule", aussi, de notre côté, le presta reste en bdd, néanmoins nous devons peut être recontacter le client qui nous a redemandé ce que nous avions fait contre le presta. Je vois avec Solène, mais en tout état de cause, la requête "plainte" est traitée, le presta n'a plus de requête en soi. Je ferme</t>
  </si>
  <si>
    <t>254222b8</t>
  </si>
  <si>
    <t>Prévue le 5 février NC et ML</t>
  </si>
  <si>
    <t>16aa4056</t>
  </si>
  <si>
    <t>Relance concernant l'installation de panneaux signalétiques.</t>
  </si>
  <si>
    <t>7b2386e0</t>
  </si>
  <si>
    <t>ok le 01/02</t>
  </si>
  <si>
    <t>dcb74bd6</t>
  </si>
  <si>
    <t>courrier envoyé le 6 février</t>
  </si>
  <si>
    <t>6e38b0fd</t>
  </si>
  <si>
    <t>Posté sur le réseau EXPLORE le 10 janvier 2024</t>
  </si>
  <si>
    <t>55f5ae07</t>
  </si>
  <si>
    <t>On attend les infos du presta</t>
  </si>
  <si>
    <t>1fa82042</t>
  </si>
  <si>
    <t>Et promo explore prévue en mars 2024</t>
  </si>
  <si>
    <t>3d8a727e</t>
  </si>
  <si>
    <t>j'ai appelé pas de retour pour l'instant 07/02</t>
  </si>
  <si>
    <t>47f42f5b</t>
  </si>
  <si>
    <t>courrier envoyé le 08/02/2024</t>
  </si>
  <si>
    <t>b18a1629</t>
  </si>
  <si>
    <t>presta rassuré par tel</t>
  </si>
  <si>
    <t>ac4fa3df</t>
  </si>
  <si>
    <t>ok le 16/02</t>
  </si>
  <si>
    <t>2c102533</t>
  </si>
  <si>
    <t>publié le mercredi 7 fev 2024</t>
  </si>
  <si>
    <t>b52ae200</t>
  </si>
  <si>
    <t>publi le 21 fev 24</t>
  </si>
  <si>
    <t>102a47f8</t>
  </si>
  <si>
    <t>publi le 28 fev 24</t>
  </si>
  <si>
    <t>0592e9a6</t>
  </si>
  <si>
    <t>info gite transmis le 20/02 
avec contact des labels pour son activité + magasine label et classement</t>
  </si>
  <si>
    <t>54f39fc1</t>
  </si>
  <si>
    <t>ok vu avec la presta le 20/02</t>
  </si>
  <si>
    <t>5fddf0e8</t>
  </si>
  <si>
    <t>ok le 20/02</t>
  </si>
  <si>
    <t>009f5642</t>
  </si>
  <si>
    <t>ML envoie mail NF</t>
  </si>
  <si>
    <t>27e8392f</t>
  </si>
  <si>
    <t>Visite le 22 à 9h30</t>
  </si>
  <si>
    <t>d3d85471</t>
  </si>
  <si>
    <t>Prévu mai ou juin</t>
  </si>
  <si>
    <t>04c7bab8</t>
  </si>
  <si>
    <t>Prévu avril mai ou juin</t>
  </si>
  <si>
    <t>1d59d254</t>
  </si>
  <si>
    <t>Il y a du texte et des éléments dans la fiche bertel meme et sur booking :)</t>
  </si>
  <si>
    <t>af3eb163</t>
  </si>
  <si>
    <t>Prévu le 6 mars</t>
  </si>
  <si>
    <t>b7ca9238</t>
  </si>
  <si>
    <t>beaecf11</t>
  </si>
  <si>
    <t>38d4436d</t>
  </si>
  <si>
    <t>6a1c4471</t>
  </si>
  <si>
    <t>courrier type envoyé le 26/02/24 &gt; en attente réponse presta</t>
  </si>
  <si>
    <t>9cd18134</t>
  </si>
  <si>
    <t>en attente de retour du courrier de fermeture définitive (envoyé au presta le 27/02/24 par mail)</t>
  </si>
  <si>
    <t>b94d0ea0</t>
  </si>
  <si>
    <t>HB fermé</t>
  </si>
  <si>
    <t>e4a9080a</t>
  </si>
  <si>
    <t>courrier type envoyé au presta le 27/02/24 &gt; en attente pr fermeture plateforme</t>
  </si>
  <si>
    <t>61c93916</t>
  </si>
  <si>
    <t>BDD et TDS ok</t>
  </si>
  <si>
    <t>0745f3af</t>
  </si>
  <si>
    <t>courrier reçu le 27/02/24</t>
  </si>
  <si>
    <t>41204ed1</t>
  </si>
  <si>
    <t>0ef56309</t>
  </si>
  <si>
    <t>courrier de fermeture transmis le 29/02</t>
  </si>
  <si>
    <t>cd6a3243</t>
  </si>
  <si>
    <t>courrier type envoyé le 01/03/24</t>
  </si>
  <si>
    <t>8eb46a6a</t>
  </si>
  <si>
    <t>,</t>
  </si>
  <si>
    <t>8f3485d8</t>
  </si>
  <si>
    <t>modif bertel ok 
merci pour l'info</t>
  </si>
  <si>
    <t>7c9ccc4a</t>
  </si>
  <si>
    <t>visite programmée au mercredi 13/03/24 8h30</t>
  </si>
  <si>
    <t>6acb5c49</t>
  </si>
  <si>
    <t>ok TDS + annonce faite dans le groupe FB à la demande du presta pr la mise en vente</t>
  </si>
  <si>
    <t>27f2ac30</t>
  </si>
  <si>
    <t>64c0a0d8</t>
  </si>
  <si>
    <t>c708ea40</t>
  </si>
  <si>
    <t>ok le 13/03</t>
  </si>
  <si>
    <t>125d9dc3</t>
  </si>
  <si>
    <t>5b299e2f</t>
  </si>
  <si>
    <t>ok le 14/03</t>
  </si>
  <si>
    <t>bb8518c6</t>
  </si>
  <si>
    <t>86a5ca13</t>
  </si>
  <si>
    <t>4d779492</t>
  </si>
  <si>
    <t>ok TDS clôturé le 19/03/24</t>
  </si>
  <si>
    <t>e572b22d</t>
  </si>
  <si>
    <t>fermeture ok suite réception du courrier le 19/03/24</t>
  </si>
  <si>
    <t>13784f8a</t>
  </si>
  <si>
    <t>ok le 20/03</t>
  </si>
  <si>
    <t>413a6283</t>
  </si>
  <si>
    <t>email le 21 mars pr prednre des news</t>
  </si>
  <si>
    <t>dbf7f14c</t>
  </si>
  <si>
    <t>courrier transmis le 21/03</t>
  </si>
  <si>
    <t>a9b4b853</t>
  </si>
  <si>
    <t>envoie du courrier de fermeture le 22/03</t>
  </si>
  <si>
    <t>738509fb</t>
  </si>
  <si>
    <t>ok le 22/03</t>
  </si>
  <si>
    <t>a03ffe28</t>
  </si>
  <si>
    <t>Mail envoyé avec texte pour qu'elle corrige</t>
  </si>
  <si>
    <t>6c4f74d6</t>
  </si>
  <si>
    <t>mail avec demande de doc + autre info pour la bdd</t>
  </si>
  <si>
    <t>aa6349d7</t>
  </si>
  <si>
    <t>fa347def</t>
  </si>
  <si>
    <t>904fed9b</t>
  </si>
  <si>
    <t>formulaire transmis</t>
  </si>
  <si>
    <t>a6034096</t>
  </si>
  <si>
    <t>COURRIER transmis le 05/04</t>
  </si>
  <si>
    <t>426719ad</t>
  </si>
  <si>
    <t>d2af57e4</t>
  </si>
  <si>
    <t>df1b1d0e</t>
  </si>
  <si>
    <t>prévue mai</t>
  </si>
  <si>
    <t>1e5d3281</t>
  </si>
  <si>
    <t>c59d22d1</t>
  </si>
  <si>
    <t>Mail envoyé pour propal de visite le 18 avril puisque pp à Manap</t>
  </si>
  <si>
    <t>725fc665</t>
  </si>
  <si>
    <t>Organisée le jeudi 18 avril</t>
  </si>
  <si>
    <t>4b5aaaf7</t>
  </si>
  <si>
    <t>en conciergerie</t>
  </si>
  <si>
    <t>2e377b89</t>
  </si>
  <si>
    <t>d256de81</t>
  </si>
  <si>
    <t>publié le mercredi 10</t>
  </si>
  <si>
    <t>923fae4d</t>
  </si>
  <si>
    <t>publié le 27 mars 2024</t>
  </si>
  <si>
    <t>a739d09c</t>
  </si>
  <si>
    <t>publi le mercredi 17 avril 2024</t>
  </si>
  <si>
    <t>38396fbb</t>
  </si>
  <si>
    <t>publi le 24 avril 2024</t>
  </si>
  <si>
    <t>7d72360b</t>
  </si>
  <si>
    <t>publi le 8 mai 2024</t>
  </si>
  <si>
    <t>01621f73</t>
  </si>
  <si>
    <t>publié le 10 avril 2024</t>
  </si>
  <si>
    <t>3a8b6560</t>
  </si>
  <si>
    <t>Prévue pour juin</t>
  </si>
  <si>
    <t>fe31da1f</t>
  </si>
  <si>
    <t>prévue septembre</t>
  </si>
  <si>
    <t>41b39433</t>
  </si>
  <si>
    <t>Mail de proposition envoyé le 26 mars à 7h16</t>
  </si>
  <si>
    <t>74a7d0f6</t>
  </si>
  <si>
    <t>Mail de demande de modifications envoyé le 18 avril</t>
  </si>
  <si>
    <t>13e28f4f</t>
  </si>
  <si>
    <t>3e29fbdc</t>
  </si>
  <si>
    <t>ok TDS + mail envoyé</t>
  </si>
  <si>
    <t>97bc172b</t>
  </si>
  <si>
    <t>info ajoutée dans bertel</t>
  </si>
  <si>
    <t>f27b4e19</t>
  </si>
  <si>
    <t>modif faite sur la plateforme + mail envoyé au presta</t>
  </si>
  <si>
    <t>de8c2b3e</t>
  </si>
  <si>
    <t>déclarations remplies + enregistrées + état récap imprimé pour le presta</t>
  </si>
  <si>
    <t>83285521</t>
  </si>
  <si>
    <t>d91fecb2</t>
  </si>
  <si>
    <t>la déclaration du mois de mars n'a pas été validée &gt; le presta va réessayer et nous rappeler si besoin</t>
  </si>
  <si>
    <t>55bc1e3f</t>
  </si>
  <si>
    <t>f4298fc0</t>
  </si>
  <si>
    <t>prévue pour le 5 juin</t>
  </si>
  <si>
    <t>ea50b4ce</t>
  </si>
  <si>
    <t>0487047c</t>
  </si>
  <si>
    <t>envoi du formulaire par mail</t>
  </si>
  <si>
    <t>28bd4263</t>
  </si>
  <si>
    <t>envoi des coordonnées de la cellule porteurs de projets IRT</t>
  </si>
  <si>
    <t>9c5bcbb8</t>
  </si>
  <si>
    <t>mail changé sur la plateforme</t>
  </si>
  <si>
    <t>3ed9290a</t>
  </si>
  <si>
    <t>courrier donné en mains propres lors de la presta patrouille du 02/05/2024 à BM // mail à faire</t>
  </si>
  <si>
    <t>1f88d24a</t>
  </si>
  <si>
    <t>c0add318</t>
  </si>
  <si>
    <t>0e6a7383</t>
  </si>
  <si>
    <t>mail transféré à Annabelle et Julie le 03/05/2024</t>
  </si>
  <si>
    <t>8956d980</t>
  </si>
  <si>
    <t>structure ayant déclaré fermeture définitive (mails TDS)</t>
  </si>
  <si>
    <t>370148cb</t>
  </si>
  <si>
    <t>prestataire ne comprend pas pourquoi l'hébergement n'est pas fermé sur la plateforme TDS : renvoi de la déclaration de fermeture car jamais reçu!</t>
  </si>
  <si>
    <t>1dd769b3</t>
  </si>
  <si>
    <t>71839504</t>
  </si>
  <si>
    <t>presta rappelé et renseigné : va faire son règlement prochainement</t>
  </si>
  <si>
    <t>3058694e</t>
  </si>
  <si>
    <t>le 06/05/24 rappel suite à son appel du 02/05/24 (réceptionné par Lupsine) &gt; le presta a pu se connecter</t>
  </si>
  <si>
    <t>bcc35d32</t>
  </si>
  <si>
    <t>mail avec déclaration de fermeture envoyé le 06/05/2024 (attente de retour attestation signée + reversement en attente sur la plateforme)</t>
  </si>
  <si>
    <t>cbae107b</t>
  </si>
  <si>
    <t>mail de proposition de dates envoyé le 07/05/2024 : attente de sa réponse!</t>
  </si>
  <si>
    <t>0e2ca918</t>
  </si>
  <si>
    <t>ouverture ok</t>
  </si>
  <si>
    <t>8a3e0d4d</t>
  </si>
  <si>
    <t>Prévue pour Juillet</t>
  </si>
  <si>
    <t>69aeee29</t>
  </si>
  <si>
    <t>0a239473</t>
  </si>
  <si>
    <t>OK on a vu, TDS je vais faire</t>
  </si>
  <si>
    <t>891d43e4</t>
  </si>
  <si>
    <t>edd1312f</t>
  </si>
  <si>
    <t>en conciergerie &gt; il faut le contrat ou mandat complet pour ouvrir l'espace TDS</t>
  </si>
  <si>
    <t>5b09c3d0</t>
  </si>
  <si>
    <t>ok prévu pour le mercredi 19 juin</t>
  </si>
  <si>
    <t>e583b3dd</t>
  </si>
  <si>
    <t>ok calé pour le mercredi 12 juin</t>
  </si>
  <si>
    <t>a7b34702</t>
  </si>
  <si>
    <t>ok prévu le 22 mai</t>
  </si>
  <si>
    <t>d5dea908</t>
  </si>
  <si>
    <t>ok sort le 15/05/2024</t>
  </si>
  <si>
    <t>a1defb49</t>
  </si>
  <si>
    <t>bb417590</t>
  </si>
  <si>
    <t>ab599c73</t>
  </si>
  <si>
    <t>jamais eu de retour au bout de 2 ans (formulaire de fermeture envoyé au presta le 12 décembre 2022) et les déclarations sont faites à zéro tous les mois, donc je ferme la requête.</t>
  </si>
  <si>
    <t>f7aa54c7</t>
  </si>
  <si>
    <t>pas reçu de doc mais comme l'IRT a modifié sur l'annonce en ligne... j'ai modif dans la plateforme à 6 pax pareil</t>
  </si>
  <si>
    <t>36f4dc90</t>
  </si>
  <si>
    <t>c'est ok</t>
  </si>
  <si>
    <t>b8a4a0f5</t>
  </si>
  <si>
    <t>presta appelé le 21/05/24 avec 2 propositions de dates + envoi d'un sms &gt; attente de sa réponse</t>
  </si>
  <si>
    <t>8fa291f7</t>
  </si>
  <si>
    <t>Tout c'est bien passé. Elle est satisfaite.</t>
  </si>
  <si>
    <t>10d75b9c</t>
  </si>
  <si>
    <t>"Merci a l'équipe Tranche Papaye pour leur disponibilité, leur sourire ( tranche papaye) et leur aide pour l'installation de notre chapiteau."
La présidente MARIE Philomène</t>
  </si>
  <si>
    <t>0a4ab9eb</t>
  </si>
  <si>
    <t>"Très bel événement, bonne communication et organisation. Pourriez vous envisager d'organiser l'événement sur 2 jours?"</t>
  </si>
  <si>
    <t>ff3dbe2b</t>
  </si>
  <si>
    <t>"Belle équipe, belle organisation. Ravi de participer à cet évènement et dans la bonne humeur. Améliorations éventuelles : fournir le plan aux prestataires pour avoir une idée de leur position et prendre en compte leur éventuelle remarque et déplacement si nécessaire, et organiser un horaire dépose minute avec un battement de 5 à 10 minutes uniquement pour charger/décharger le véhicule. Bonne continuation :)"</t>
  </si>
  <si>
    <t>6028de9e</t>
  </si>
  <si>
    <t>"Bien organisé dans l'ensemble, avec une équipe dynamique mais peut-être plus de promotion (ma voisine, qui travaille à la mairie, n'était pas au courant.. ! ) l'artisanat est plébiscité et pourtant il ne fait plus recette  dans les expos alors qu'il se vend bien dans les magasins, alors que bien plus cher !?...et peut-être la date aussi, trop de monde parti. Bref, ça devient compliqué . En tout cas vous n'avez pas démérité."</t>
  </si>
  <si>
    <t>c9d81006</t>
  </si>
  <si>
    <t>"Le format de l’événement est parfait car cela reste un rassemblement d’artisans à taille humaine"</t>
  </si>
  <si>
    <t>3bfb94c4</t>
  </si>
  <si>
    <t>"Sur 2 jours se serait super. Vraiment enchanté par l organisation, le personnel, le lieu, etc... Une réussite !!! Bravo à tous !"</t>
  </si>
  <si>
    <t>5fc13e75</t>
  </si>
  <si>
    <t>"Très bon accueil de la part de la Team Tranche Papaye, évènement à rééditer si possible, emplacement idéal."</t>
  </si>
  <si>
    <t>e8370eaf</t>
  </si>
  <si>
    <t>9b8b6891</t>
  </si>
  <si>
    <t>a3e39cb3</t>
  </si>
  <si>
    <t>cb4cfc0b</t>
  </si>
  <si>
    <t>7cafa889</t>
  </si>
  <si>
    <t>N'est pas venu à l'évènement à la dernière minute et n'a pas prévenue Claudia</t>
  </si>
  <si>
    <t>5e37696a</t>
  </si>
  <si>
    <t>bba97980</t>
  </si>
  <si>
    <t>e1d8af8a</t>
  </si>
  <si>
    <t>39fbee4f</t>
  </si>
  <si>
    <t>e2ca680e</t>
  </si>
  <si>
    <t>ebf6f072</t>
  </si>
  <si>
    <t>03cff364</t>
  </si>
  <si>
    <t>2584b1a8</t>
  </si>
  <si>
    <t>f56505b2</t>
  </si>
  <si>
    <t>c3891b9c</t>
  </si>
  <si>
    <t>1b59a2b5</t>
  </si>
  <si>
    <t>fe1896e3</t>
  </si>
  <si>
    <t>2c4834cb</t>
  </si>
  <si>
    <t>15a4088f</t>
  </si>
  <si>
    <t>fermeture enregistrée dans bertel + mail au presta</t>
  </si>
  <si>
    <t>6fe4534c</t>
  </si>
  <si>
    <t>mail envoyé au presta avec l'attestation de fermeture à remplir (le 22/05/2024)</t>
  </si>
  <si>
    <t>323340ec</t>
  </si>
  <si>
    <t>courrier fermeture envoyé au presta (22/05/24) + 12 déclarations en attente + reversements en attente</t>
  </si>
  <si>
    <t>696be0fc</t>
  </si>
  <si>
    <t>relancé le 22/05/2024 par mail</t>
  </si>
  <si>
    <t>7740ab15</t>
  </si>
  <si>
    <t>relancé par mail le 22/05/2024</t>
  </si>
  <si>
    <t>7bd254e6</t>
  </si>
  <si>
    <t>relance mail le 22/05/24 pour attestation fermeture + décla et reversements en attente</t>
  </si>
  <si>
    <t>c1a4fbe0</t>
  </si>
  <si>
    <t>relance mail pour son attestation de fermeture le 22/05/24</t>
  </si>
  <si>
    <t>5de10516</t>
  </si>
  <si>
    <t>391912d7</t>
  </si>
  <si>
    <t>courrier reçu le 22/05/24 &gt; fermeture TDS ok</t>
  </si>
  <si>
    <t>23f48bf2</t>
  </si>
  <si>
    <t>courrier et reversements ok le 22/05/2024</t>
  </si>
  <si>
    <t>3d5b8825</t>
  </si>
  <si>
    <t>compte créé &gt; mail à envoyer avec courrier après appel pr remplissage bertel</t>
  </si>
  <si>
    <t>149c7bc9</t>
  </si>
  <si>
    <t>prévue le 5 juin</t>
  </si>
  <si>
    <t>8c3c5bc6</t>
  </si>
  <si>
    <t>Envoyée le 23 mai</t>
  </si>
  <si>
    <t>a445b6b7</t>
  </si>
  <si>
    <t>Formulaire envoyé dans le mail du 13 mai</t>
  </si>
  <si>
    <t>a0854fc7</t>
  </si>
  <si>
    <t>fait mail envoyé le 23</t>
  </si>
  <si>
    <t>5750e37c</t>
  </si>
  <si>
    <t>visite fixée au 19 juin 2024 10h00</t>
  </si>
  <si>
    <t>e7ab409a</t>
  </si>
  <si>
    <t>prévu en septembre sur fb (et noté pour le prochain explore 16)</t>
  </si>
  <si>
    <t>987053d4</t>
  </si>
  <si>
    <t>test en attente retour</t>
  </si>
  <si>
    <t>5f4564e7</t>
  </si>
  <si>
    <t>RDV tél pris pour lundi 27 à 11h pour compléter la base de données</t>
  </si>
  <si>
    <t>03c90ed3</t>
  </si>
  <si>
    <t>test terminé</t>
  </si>
  <si>
    <t>086d3eea</t>
  </si>
  <si>
    <t>Mail envoyé le 24 meme : il a le choix soit de sortir du tourisme social car on ne peut pas lui envoyer de touristes, soit il reste en tourisme social et doit accepter le grand public et auquel cas il doit aussi déclarer et reverser la tds pour les accompagnateurs adultes non exonérés.</t>
  </si>
  <si>
    <t>25477e1a</t>
  </si>
  <si>
    <t>Première programmation : le 27 mai, mais la FRT nous informe que c'est reporté en juin</t>
  </si>
  <si>
    <t>bb839f3a</t>
  </si>
  <si>
    <t>Est venue, très contente</t>
  </si>
  <si>
    <t>901d01d9</t>
  </si>
  <si>
    <t>A participé à l'atelier, est venue, connaissait Nathalie, très contente 'il y a tjs qqc à apprendre" merci</t>
  </si>
  <si>
    <t>9cfc24fd</t>
  </si>
  <si>
    <t>A participé, était content</t>
  </si>
  <si>
    <t>1a705222</t>
  </si>
  <si>
    <t>A participé était contente</t>
  </si>
  <si>
    <t>fa956d95</t>
  </si>
  <si>
    <t>A participé était content</t>
  </si>
  <si>
    <t>326f52e7</t>
  </si>
  <si>
    <t>Pas venu</t>
  </si>
  <si>
    <t>ee0cf2ee</t>
  </si>
  <si>
    <t>Est venu content</t>
  </si>
  <si>
    <t>b7c4e48d</t>
  </si>
  <si>
    <t>Est venu, très contente, a envoyé un mail de satisfaction</t>
  </si>
  <si>
    <t>c7a4ea1a</t>
  </si>
  <si>
    <t>A bien participé à l'oral</t>
  </si>
  <si>
    <t>8d2174c0</t>
  </si>
  <si>
    <t>S 'est plaint de ne pas avoir eu de promotion en passant au BIT de Bm... coup rattrapé</t>
  </si>
  <si>
    <t>02235d35</t>
  </si>
  <si>
    <t>Est venu, content</t>
  </si>
  <si>
    <t>50f9f220</t>
  </si>
  <si>
    <t>Est venue, a tellement apprécié qu'elle a demandé à ce qu'on lui envoie un formulaire d'évaluation</t>
  </si>
  <si>
    <t>00a040df</t>
  </si>
  <si>
    <t>Est venu, RAS</t>
  </si>
  <si>
    <t>39c4a805</t>
  </si>
  <si>
    <t>5999e6d7</t>
  </si>
  <si>
    <t>6eb8105e</t>
  </si>
  <si>
    <t>Mail envoyé le lundi 27 à 8h pourlui confirmer les 2 options possibles</t>
  </si>
  <si>
    <t>4a5c62a1</t>
  </si>
  <si>
    <t>Réponse éléments de langage apportées par mail le 28 mai</t>
  </si>
  <si>
    <t>bb7f9ab7</t>
  </si>
  <si>
    <t>mail transmis à soubik</t>
  </si>
  <si>
    <t>fd1a9927</t>
  </si>
  <si>
    <t>a01948a9</t>
  </si>
  <si>
    <t>c8f1166c</t>
  </si>
  <si>
    <t>3fa7aeee</t>
  </si>
  <si>
    <t>7eb3bc74</t>
  </si>
  <si>
    <t>a4caa807</t>
  </si>
  <si>
    <t>762096c3</t>
  </si>
  <si>
    <t>2ca776a7</t>
  </si>
  <si>
    <t>bf34b283</t>
  </si>
  <si>
    <t>e6147467</t>
  </si>
  <si>
    <t>f69d3e44</t>
  </si>
  <si>
    <t>1bf14d0d</t>
  </si>
  <si>
    <t>73face17</t>
  </si>
  <si>
    <t>b52fab04</t>
  </si>
  <si>
    <t>38690fd1</t>
  </si>
  <si>
    <t>74327281</t>
  </si>
  <si>
    <t>96f01ce7</t>
  </si>
  <si>
    <t>ok transmis !</t>
  </si>
  <si>
    <t>00ff1ca7</t>
  </si>
  <si>
    <t>mail envoyé à la conciergerie, reste courrier papier à faire</t>
  </si>
  <si>
    <t>4961ea85</t>
  </si>
  <si>
    <t>ok pb réglé lors de la presta patrouille à st jo</t>
  </si>
  <si>
    <t>f5b846b0</t>
  </si>
  <si>
    <t>réponse ML : Malheureusement nous ne pouvons répondre favorablement à votre demande puisque nous ne fournissons pas de documents à d'autres personnes qu'à nos hébergeurs mêmes.
Si ce document est nécessaire, merci de bien vouloir demander à l'hébergeur concerné de nous formuler cette demande à l'adresse mail de notre service : prestataires@otisud.com
Aussi, merci de nous précisez ce que vous entendez par "attestation de classement touristique".</t>
  </si>
  <si>
    <t>ebd5bc0f</t>
  </si>
  <si>
    <t>réponse par mail : c'est automatique!</t>
  </si>
  <si>
    <t>36f0cd4c</t>
  </si>
  <si>
    <t>4943d847</t>
  </si>
  <si>
    <t>75da8f0f</t>
  </si>
  <si>
    <t>326f37e9</t>
  </si>
  <si>
    <t>a0ad9c4b</t>
  </si>
  <si>
    <t>d37db30a</t>
  </si>
  <si>
    <t>a6c08b73</t>
  </si>
  <si>
    <t>fbf83a4a</t>
  </si>
  <si>
    <t>6e8e7e51</t>
  </si>
  <si>
    <t>fe21953f</t>
  </si>
  <si>
    <t>visite du 5 juin annulée par le presta : il reviendra vers nous pour une nouvelle date</t>
  </si>
  <si>
    <t>b066deba</t>
  </si>
  <si>
    <t>offre un lot fête vacoa (rectification pas un devis)</t>
  </si>
  <si>
    <t>90240d07</t>
  </si>
  <si>
    <t>729e6fe8</t>
  </si>
  <si>
    <t>70bfdfbe</t>
  </si>
  <si>
    <t>fête vacoa</t>
  </si>
  <si>
    <t>0c5f1ffb</t>
  </si>
  <si>
    <t>c8c88f0a</t>
  </si>
  <si>
    <t>1320fbf3</t>
  </si>
  <si>
    <t>2c46d7ea</t>
  </si>
  <si>
    <t>04360ff6</t>
  </si>
  <si>
    <t>changement de num + docs enregistrés</t>
  </si>
  <si>
    <t>404877b7</t>
  </si>
  <si>
    <t>1411484a</t>
  </si>
  <si>
    <t>courrier type transmis le 10/06</t>
  </si>
  <si>
    <t>f4461f79</t>
  </si>
  <si>
    <t>131adf93</t>
  </si>
  <si>
    <t>1f7bcdee</t>
  </si>
  <si>
    <t>4db0d74d</t>
  </si>
  <si>
    <t>7a1ba8cd</t>
  </si>
  <si>
    <t>7e66e9b1</t>
  </si>
  <si>
    <t>bd7bcb95</t>
  </si>
  <si>
    <t>a5370d93</t>
  </si>
  <si>
    <t>54681c45</t>
  </si>
  <si>
    <t>56cbf9e3</t>
  </si>
  <si>
    <t>5d233018</t>
  </si>
  <si>
    <t>033978f5</t>
  </si>
  <si>
    <t>c7f111cc</t>
  </si>
  <si>
    <t>86a6c9be</t>
  </si>
  <si>
    <t>34479134</t>
  </si>
  <si>
    <t>4c03da0c</t>
  </si>
  <si>
    <t>56c091ee</t>
  </si>
  <si>
    <t>d826490e</t>
  </si>
  <si>
    <t>98b5e6a8</t>
  </si>
  <si>
    <t>dfd91858</t>
  </si>
  <si>
    <t>f43806dc</t>
  </si>
  <si>
    <t>4d0b34d9</t>
  </si>
  <si>
    <t>307beeed</t>
  </si>
  <si>
    <t>ticket envoyé à NT avec capture écran</t>
  </si>
  <si>
    <t>0d55850a</t>
  </si>
  <si>
    <t>7eb30dac</t>
  </si>
  <si>
    <t>conseils donnés par téléphone : choisir au feeling son label et nous transmettre l'attestation de labélisation par la suite</t>
  </si>
  <si>
    <t>5a5ed016</t>
  </si>
  <si>
    <t>a8574bfc</t>
  </si>
  <si>
    <t>vu avec NT, doit faire mot de passe oublié</t>
  </si>
  <si>
    <t>a36c58c1</t>
  </si>
  <si>
    <t>mois de novembre 2023 supprimé pour qu'il puisse refaire la déclaration &gt; il faudra refaire un état récap pour la période concernée</t>
  </si>
  <si>
    <t>8a4f0d26</t>
  </si>
  <si>
    <t>mail de demande de doc envoyé le 17/06/24</t>
  </si>
  <si>
    <t>5376e7b0</t>
  </si>
  <si>
    <t>2166585b</t>
  </si>
  <si>
    <t>Le presta doit se créer une page et revenir vers nous</t>
  </si>
  <si>
    <t>a2a8e373</t>
  </si>
  <si>
    <t>Mélodie a répondu</t>
  </si>
  <si>
    <t>99621f18</t>
  </si>
  <si>
    <t>Devis reçu. Qd nous aurons les participants finaux nous mettrons l'information à jour si il a été partenaire ou pas.</t>
  </si>
  <si>
    <t>c7eaac9e</t>
  </si>
  <si>
    <t>Prévu pour aout</t>
  </si>
  <si>
    <t>7b128750</t>
  </si>
  <si>
    <t>En lien par mail avec le service accueil et evenementiel</t>
  </si>
  <si>
    <t>2f6cf2d8</t>
  </si>
  <si>
    <t>modification transmises à l'irt</t>
  </si>
  <si>
    <t>931ecee5</t>
  </si>
  <si>
    <t>a appelé sur la hotline le 21/06/24 et a discuté avec AM &gt; suivi mail de ML &gt; envoi courrier fermeture pour réouverture en chb d'hôtes à la mairie + demande nouveau SIRENE</t>
  </si>
  <si>
    <t>f3f828fc</t>
  </si>
  <si>
    <t>demande d'attestation de classement envoyée par mail le 21/06/24</t>
  </si>
  <si>
    <t>d71cc19d</t>
  </si>
  <si>
    <t>b4709391</t>
  </si>
  <si>
    <t>RDV visite prévue au 27 juin 2024 9h00</t>
  </si>
  <si>
    <t>557d8e59</t>
  </si>
  <si>
    <t>bd169d99</t>
  </si>
  <si>
    <t>ba09d284</t>
  </si>
  <si>
    <t>e3996c2b</t>
  </si>
  <si>
    <t>informée de contacter son service clients pr avoir l'info</t>
  </si>
  <si>
    <t>a699a94c</t>
  </si>
  <si>
    <t>aa9395fc</t>
  </si>
  <si>
    <t>prise de contact avec Mme BARRET par mail</t>
  </si>
  <si>
    <t>eeaa217b</t>
  </si>
  <si>
    <t>j'ai laissé un message vocal + envoyé un mail avec les mois manquants</t>
  </si>
  <si>
    <t>8c509be8</t>
  </si>
  <si>
    <t>mail transmis au presta pour connaitre les infos à modif</t>
  </si>
  <si>
    <t>e39af19c</t>
  </si>
  <si>
    <t>Prévue septembre</t>
  </si>
  <si>
    <t>9c1db352</t>
  </si>
  <si>
    <t>On modifiera quand on aura le doc</t>
  </si>
  <si>
    <t>c27d7873</t>
  </si>
  <si>
    <t>Denis doit aller à la mairie fermer la MT et reouvrir une CH? nous emailer le cerfa et à partir de là on modifiera TDS et on l'accompagnera à un nouveau label car il perd ses étoiles (CH)</t>
  </si>
  <si>
    <t>264bcd25</t>
  </si>
  <si>
    <t>Prévue en septembre</t>
  </si>
  <si>
    <t>7015eb5c</t>
  </si>
  <si>
    <t>Prévue pour le Mercredi 24 juillet</t>
  </si>
  <si>
    <t>1695af58</t>
  </si>
  <si>
    <t>Prévue pour le mercredi 17 juillet</t>
  </si>
  <si>
    <t>b2a79376</t>
  </si>
  <si>
    <t>Infos envoyées et à la journaliste et au presta. Rdv sera pris fin juillet, publication septembre :)</t>
  </si>
  <si>
    <t>09ecf537</t>
  </si>
  <si>
    <t>9b5fbcb5</t>
  </si>
  <si>
    <t>11924ea0</t>
  </si>
  <si>
    <t>ouverture de compte faite / mail ok</t>
  </si>
  <si>
    <t>0547dcdf</t>
  </si>
  <si>
    <t>demande de docs envoyée le 01/07/24</t>
  </si>
  <si>
    <t>e7cd2dcc</t>
  </si>
  <si>
    <t>changement de propriétaire effectué sur la plateforme et 1 déclaration enregistrée à 0 pour le mois de mai 2024 ( &gt; bug plateforme, déclaration à 0 par ML sous les conseils de NT via ticket)</t>
  </si>
  <si>
    <t>df58d22a</t>
  </si>
  <si>
    <t>liste fournie, le prestataire choisi est "L'art et le choca" qui fournira des produits pour la boutique de l'hôtel</t>
  </si>
  <si>
    <t>110a3c4d</t>
  </si>
  <si>
    <t>reviendra vers moi si besoin d'aide dans la démarche</t>
  </si>
  <si>
    <t>4cd02ac0</t>
  </si>
  <si>
    <t>Pas beaucoup de vente mais satisfaite de l'Accueil de la TTP de l'Entre-Deux</t>
  </si>
  <si>
    <t>ede887e0</t>
  </si>
  <si>
    <t>Très mitigé concernant les ventes car très peu de passages, à revoir pour une autre période, mais satisfait quand même.</t>
  </si>
  <si>
    <t>6690241f</t>
  </si>
  <si>
    <t>publi programmé pour le mer 24 juillet</t>
  </si>
  <si>
    <t>3b8c2698</t>
  </si>
  <si>
    <t>9f2cdb17</t>
  </si>
  <si>
    <t>d01d73e6</t>
  </si>
  <si>
    <t>afff375d</t>
  </si>
  <si>
    <t>b4c6f5aa</t>
  </si>
  <si>
    <t>c6a0438d</t>
  </si>
  <si>
    <t>83875930</t>
  </si>
  <si>
    <t>767f9453</t>
  </si>
  <si>
    <t>7415857a</t>
  </si>
  <si>
    <t>d2ec10a9</t>
  </si>
  <si>
    <t>21329f12</t>
  </si>
  <si>
    <t>c9af3a64</t>
  </si>
  <si>
    <t>6448c72b</t>
  </si>
  <si>
    <t>125ed1bf</t>
  </si>
  <si>
    <t>15bf4cc4</t>
  </si>
  <si>
    <t>47bae318</t>
  </si>
  <si>
    <t>ok pour les 2 hbgt</t>
  </si>
  <si>
    <t>3fdade93</t>
  </si>
  <si>
    <t>db58496e</t>
  </si>
  <si>
    <t>visite fixée pour le mardi 16/07 à 9h30</t>
  </si>
  <si>
    <t>017f1c36</t>
  </si>
  <si>
    <t>visite fixée à 14h le jour même</t>
  </si>
  <si>
    <t>ce7541e7</t>
  </si>
  <si>
    <t>RDV 11/07/24 à 14h pour essayer de l'aider</t>
  </si>
  <si>
    <t>ec744b53</t>
  </si>
  <si>
    <t>prévu aôut 2024</t>
  </si>
  <si>
    <t>871e68f8</t>
  </si>
  <si>
    <t>b2ce604f</t>
  </si>
  <si>
    <t>ce42c423</t>
  </si>
  <si>
    <t>40b9e743</t>
  </si>
  <si>
    <t>Vu</t>
  </si>
  <si>
    <t>91ae0bf4</t>
  </si>
  <si>
    <t>Le prestataire reviendra si besoin.</t>
  </si>
  <si>
    <t>55dfc524</t>
  </si>
  <si>
    <t>be34785c</t>
  </si>
  <si>
    <t>le + c'est l'accessibilité aux animaux !</t>
  </si>
  <si>
    <t>ddfa643e</t>
  </si>
  <si>
    <t>Formulaire et infos re échangés le 16 juillet</t>
  </si>
  <si>
    <t>d90ccb53</t>
  </si>
  <si>
    <t>Nous attendons que le presta nous communique l'adresse de sa page fb</t>
  </si>
  <si>
    <t>6e63f157</t>
  </si>
  <si>
    <t>Requête classée en attente pour ne pas augmenter les délais de traitement (indicateur surveillé par la Présidence). Lorsque le post sera fait par Christophe il s'agira de la classer "traitée" et de la clôturer. Merci</t>
  </si>
  <si>
    <t>08b54733</t>
  </si>
  <si>
    <t>14 jours de traitement &gt; Requête classée en attente pour ne pas augmenter les délais de traitement (indicateur surveillé par la Présidence). Lorsque le post sera fait par Christophe il s'agira de la classer "traitée" et de la clôturer. Merci</t>
  </si>
  <si>
    <t>d5a1cb7d</t>
  </si>
  <si>
    <t>4a2042df</t>
  </si>
  <si>
    <t>tds ok jusqu'au 31/08/2024</t>
  </si>
  <si>
    <t>52bf494d</t>
  </si>
  <si>
    <t>d7ca8765</t>
  </si>
  <si>
    <t>Gestion casud</t>
  </si>
  <si>
    <t>91c6e4af</t>
  </si>
  <si>
    <t>Envoyé par mail</t>
  </si>
  <si>
    <t>a0b8ae3e</t>
  </si>
  <si>
    <t>Les participants ont bien aimés, belle matinée...</t>
  </si>
  <si>
    <t>e47c1863</t>
  </si>
  <si>
    <t>nous informe que le meublé est classé, elle va nous envoyer la décision de classement par mail (adresse prestataires transmise)</t>
  </si>
  <si>
    <t>1729a646</t>
  </si>
  <si>
    <t>d562384d</t>
  </si>
  <si>
    <t>Courrier emailé le 29</t>
  </si>
  <si>
    <t>bca5cd96</t>
  </si>
  <si>
    <t>En attente mais çà plombe les délais de traitement</t>
  </si>
  <si>
    <t>c5e54593</t>
  </si>
  <si>
    <t>Elle covoiture avec Denis Heuvrard</t>
  </si>
  <si>
    <t>9cdfd890</t>
  </si>
  <si>
    <t>30c5069d</t>
  </si>
  <si>
    <t>78ffc1d2</t>
  </si>
  <si>
    <t>e0446c24</t>
  </si>
  <si>
    <t>fermeture temporaire supprimée, prestataire invité à déclarer de nouveau le mois en question</t>
  </si>
  <si>
    <t>792faa54</t>
  </si>
  <si>
    <t>je relance la demande de justificatif (1er mail datant de juin)</t>
  </si>
  <si>
    <t>2fcdde6a</t>
  </si>
  <si>
    <t>demande de docs</t>
  </si>
  <si>
    <t>069a667f</t>
  </si>
  <si>
    <t>envoi du formulaire</t>
  </si>
  <si>
    <t>74d8c885</t>
  </si>
  <si>
    <t>formulaire de fermeture définitive envoyé le 05/08/24 (mail TDS)</t>
  </si>
  <si>
    <t>e15885db</t>
  </si>
  <si>
    <t>NC a envoyé le formulaire de fermeture le 17 juillet</t>
  </si>
  <si>
    <t>2fa408f2</t>
  </si>
  <si>
    <t>formulaire envoyé par NC le 17 juillet</t>
  </si>
  <si>
    <t>9d84976a</t>
  </si>
  <si>
    <t>le presta demande les modalités de réouverture (car location longue durée) &gt; réponse qu'elle devra refaire les démarches d'ouverture / n'a pas transmis le document de fermeture pr le moment (au 05/08/24)</t>
  </si>
  <si>
    <t>6ee05a8a</t>
  </si>
  <si>
    <t>57c2c040</t>
  </si>
  <si>
    <t>f89e1610</t>
  </si>
  <si>
    <t>réponse par message vocal sur leur téléphone</t>
  </si>
  <si>
    <t>0593b8d1</t>
  </si>
  <si>
    <t>enregistrement du classement + doc dans bertel (06/08/24)</t>
  </si>
  <si>
    <t>185d62e8</t>
  </si>
  <si>
    <t>classement enregistré + doc dans bertel (06/08/24)</t>
  </si>
  <si>
    <t>58093934</t>
  </si>
  <si>
    <t>A relancé pour savoir où sa demande en est. pb : courrier casud devait être envoyé, pas de news à ce jour, donc AMIR a relancé Alice Marie le 7 aoùt pour avoir des infos afin d'appeler le presta.</t>
  </si>
  <si>
    <t>b887d7db</t>
  </si>
  <si>
    <t>attente envoi décision classement</t>
  </si>
  <si>
    <t>0b94ddc5</t>
  </si>
  <si>
    <t>ne veut pas donner ni document, ni justificatif &gt; je lui ai dit de faire des fermetures si elle n'a pas de doc (mail TDS)</t>
  </si>
  <si>
    <t>c1e10fb9</t>
  </si>
  <si>
    <t>41529223</t>
  </si>
  <si>
    <t>226fe390</t>
  </si>
  <si>
    <t>857043f6</t>
  </si>
  <si>
    <t>555c0dad</t>
  </si>
  <si>
    <t>5c349fea</t>
  </si>
  <si>
    <t>efddf4ed</t>
  </si>
  <si>
    <t>1ddf554e</t>
  </si>
  <si>
    <t>a5ba2933</t>
  </si>
  <si>
    <t>c2d2220e</t>
  </si>
  <si>
    <t>3fffb238</t>
  </si>
  <si>
    <t>0c68ef5d</t>
  </si>
  <si>
    <t>0d8fbd6e</t>
  </si>
  <si>
    <t>45cf73b8</t>
  </si>
  <si>
    <t>33b63be8</t>
  </si>
  <si>
    <t>f8d1b3d5</t>
  </si>
  <si>
    <t>275a0da3</t>
  </si>
  <si>
    <t>enregistrée sur la plateforme TDS</t>
  </si>
  <si>
    <t>fc668a28</t>
  </si>
  <si>
    <t>j'ai modifié la date de fin de contrat avec la conciergerie Keylodge au 30/06/24 (préalablement le 17/07/24) pour que le mois de juillet soit libre &gt; presta informé ok</t>
  </si>
  <si>
    <t>03d08cfe</t>
  </si>
  <si>
    <t>Promotion Explore pour septembre pour info</t>
  </si>
  <si>
    <t>18ccc9de</t>
  </si>
  <si>
    <t>26beb353</t>
  </si>
  <si>
    <t>CM informé, en cours</t>
  </si>
  <si>
    <t>dc3f3506</t>
  </si>
  <si>
    <t>Pr septembre</t>
  </si>
  <si>
    <t>a7dc9c57</t>
  </si>
  <si>
    <t>3950801f</t>
  </si>
  <si>
    <t>c5ecc53b</t>
  </si>
  <si>
    <t>f374b0cd</t>
  </si>
  <si>
    <t>J'ai envoyé notre mail prestataires</t>
  </si>
  <si>
    <t>b436a687</t>
  </si>
  <si>
    <t>courrier transmis le 19/08</t>
  </si>
  <si>
    <t>d61cdc9f</t>
  </si>
  <si>
    <t>a4f61c91</t>
  </si>
  <si>
    <t>4cb04f83</t>
  </si>
  <si>
    <t>cet hébergement n'a jamais été ajouté au dossier de la conciergerie CARO &amp; CO puisque la gestionnaire de la conciergerie n'a jamais envoyé les documents demandés (voir les échanges mails avec la conciergerie depuis le 3 mai 2024)</t>
  </si>
  <si>
    <t>603ed546</t>
  </si>
  <si>
    <t>presta informé que la conciergerie n'a pas transmis de docs et n'a pas fait de déclarations TDS pour son hb // +info : elle a mis fin au contrat avec la conciergerie avant que la situation ne se dégrade parce que certaines choses ne lui plaisaient pas</t>
  </si>
  <si>
    <t>49d2576f</t>
  </si>
  <si>
    <t>c1a2737d</t>
  </si>
  <si>
    <t>95ba3c5d</t>
  </si>
  <si>
    <t>a7386a0a</t>
  </si>
  <si>
    <t>je m'occupe de prévenir Christophe :)</t>
  </si>
  <si>
    <t>77b08d45</t>
  </si>
  <si>
    <t>C'est noté, en fonction de la thématique, l'établissement sera positionné (info donné par AMIR via mail presta)</t>
  </si>
  <si>
    <t>22f20814</t>
  </si>
  <si>
    <t>accompagnement télédéclaration par téléphone &gt; déclarations ok</t>
  </si>
  <si>
    <t>a1d52826</t>
  </si>
  <si>
    <t>déclaration de fermeture à compléter envoyée au presta le 28/08/24 + indiqué que reversement en attente</t>
  </si>
  <si>
    <t>402cfd8f</t>
  </si>
  <si>
    <t>325d53d8</t>
  </si>
  <si>
    <t>message slack envoyé à Claudia le 29/08/24</t>
  </si>
  <si>
    <t>ffc38967</t>
  </si>
  <si>
    <t>sorti le mercredi 28/08</t>
  </si>
  <si>
    <t>327decec</t>
  </si>
  <si>
    <t>ok 30/08</t>
  </si>
  <si>
    <t>105789fa</t>
  </si>
  <si>
    <t>demande des docs par mail le 02/09/24</t>
  </si>
  <si>
    <t>967608c0</t>
  </si>
  <si>
    <t>presta prévenu par mail qu'on attend son feu vert pour démarrer la colab</t>
  </si>
  <si>
    <t>42df87e9</t>
  </si>
  <si>
    <t>demande de docs envoyée par mail le 04/09/24</t>
  </si>
  <si>
    <t>1fedb81e</t>
  </si>
  <si>
    <t>déclaration de fermeture envoyée au presta le 04/09/24</t>
  </si>
  <si>
    <t>ee88a06e</t>
  </si>
  <si>
    <t>d98b5123</t>
  </si>
  <si>
    <t>ok enregistré TDS</t>
  </si>
  <si>
    <t>54bc4123</t>
  </si>
  <si>
    <t>Publication le 11 septembre</t>
  </si>
  <si>
    <t>e2f8f79c</t>
  </si>
  <si>
    <t>publié le 21 aout 2024</t>
  </si>
  <si>
    <t>61d0637f</t>
  </si>
  <si>
    <t>prog pour le 02/10 (vu avec CM)</t>
  </si>
  <si>
    <t>c47bac8f</t>
  </si>
  <si>
    <t>59e2c59a</t>
  </si>
  <si>
    <t>21718991</t>
  </si>
  <si>
    <t>Une belle journée</t>
  </si>
  <si>
    <t>96b6336c</t>
  </si>
  <si>
    <t>Une belle journée , elle était satisfaite et est partant pour les prochains évènements</t>
  </si>
  <si>
    <t>10d11e99</t>
  </si>
  <si>
    <t>Très satisfaite de la journée</t>
  </si>
  <si>
    <t>a9a35976</t>
  </si>
  <si>
    <t>Très satisfait : Une première pour lui, il était ravi de la réussit et qui l'encourage pour les prochaines demandes.</t>
  </si>
  <si>
    <t>63093ec2</t>
  </si>
  <si>
    <t>Satisfait de la journée</t>
  </si>
  <si>
    <t>018f00ab</t>
  </si>
  <si>
    <t>courrier de fermeture ok</t>
  </si>
  <si>
    <t>bca91841</t>
  </si>
  <si>
    <t>fermeture déf ok</t>
  </si>
  <si>
    <t>245a1750</t>
  </si>
  <si>
    <t>51dbf728</t>
  </si>
  <si>
    <t>prévu pour le 25 sep 2024</t>
  </si>
  <si>
    <t>b9019e37</t>
  </si>
  <si>
    <t>prévu pour le 18 sep 2024</t>
  </si>
  <si>
    <t>01512f92</t>
  </si>
  <si>
    <t>est passée au bureau le 13/09/2024 au matin pour relancer sa demande de panneaux!</t>
  </si>
  <si>
    <t>6ecb7d56</t>
  </si>
  <si>
    <t>redirigé vers la mairie</t>
  </si>
  <si>
    <t>484e05c2</t>
  </si>
  <si>
    <t>Food trip et concours culinaire</t>
  </si>
  <si>
    <t>8a4a69c4</t>
  </si>
  <si>
    <t>7bdfe0be</t>
  </si>
  <si>
    <t>dd23d45e</t>
  </si>
  <si>
    <t>Parution dans le mag OTI du Sud by explore
+ Zest n°6</t>
  </si>
  <si>
    <t>8eda38c6</t>
  </si>
  <si>
    <t>d871d169</t>
  </si>
  <si>
    <t>9628bcab</t>
  </si>
  <si>
    <t>1b7cd363</t>
  </si>
  <si>
    <t>43df8e10</t>
  </si>
  <si>
    <t>a74ac45f</t>
  </si>
  <si>
    <t>406c3ce5</t>
  </si>
  <si>
    <t>3229c8a4</t>
  </si>
  <si>
    <t>b53e2ccb</t>
  </si>
  <si>
    <t>1b836d1b</t>
  </si>
  <si>
    <t>c9255f43</t>
  </si>
  <si>
    <t>cfd5e665</t>
  </si>
  <si>
    <t>f873c8cc</t>
  </si>
  <si>
    <t>a envoyé un mail à la CASUD en septembre 2024 pour se plaindre du fait que le DIMITILE HOTEL a des panneaux dans tout le village &gt; réponse apportée par mail le 20/09/24 selon les consignes de JB : bénéficiera du QR code de guidage parmi les 1ers</t>
  </si>
  <si>
    <t>25739ec2</t>
  </si>
  <si>
    <t>1daf7da8</t>
  </si>
  <si>
    <t>à planifier + faire photos</t>
  </si>
  <si>
    <t>75fefcb6</t>
  </si>
  <si>
    <t>aff71af8</t>
  </si>
  <si>
    <t>b02631fd</t>
  </si>
  <si>
    <t>envoi du dossier le 01/10/24</t>
  </si>
  <si>
    <t>b3c655cf</t>
  </si>
  <si>
    <t>98ca1fff</t>
  </si>
  <si>
    <t>ok sur TDS</t>
  </si>
  <si>
    <t>1a8993ed</t>
  </si>
  <si>
    <t>52b9ec7a</t>
  </si>
  <si>
    <t>mail demande d'info transmis</t>
  </si>
  <si>
    <t>55f28c11</t>
  </si>
  <si>
    <t>sortira le 30 oct</t>
  </si>
  <si>
    <t>9758f4f2</t>
  </si>
  <si>
    <t>elle était très contente de participer</t>
  </si>
  <si>
    <t>c1e26078</t>
  </si>
  <si>
    <t>Satisfait de l'action</t>
  </si>
  <si>
    <t>a0d2a962</t>
  </si>
  <si>
    <t>abc86c7c</t>
  </si>
  <si>
    <t>22b72733</t>
  </si>
  <si>
    <t>a511e025</t>
  </si>
  <si>
    <t>62a711d5</t>
  </si>
  <si>
    <t>3790df1a</t>
  </si>
  <si>
    <t>ebf44194</t>
  </si>
  <si>
    <t>OK VU</t>
  </si>
  <si>
    <t>e6f96938</t>
  </si>
  <si>
    <t>Prévu pour décembre 2024</t>
  </si>
  <si>
    <t>783efaae</t>
  </si>
  <si>
    <t>A traiter svp (obligée de mettre en attente car çà plombe l'indicateur de délais de réponse)</t>
  </si>
  <si>
    <t>ab16f7c9</t>
  </si>
  <si>
    <t>b07695f6</t>
  </si>
  <si>
    <t>b55d6341</t>
  </si>
  <si>
    <t>fermeture provisoire modifiée par téléphone le 04/11/24 : réouvre le 20 novembre</t>
  </si>
  <si>
    <t>bf04e908</t>
  </si>
  <si>
    <t>fermeture provisoire modifiée par tel le 04/11/24 : réouvre le 20 novembre</t>
  </si>
  <si>
    <t>e1f78666</t>
  </si>
  <si>
    <t>f4136445</t>
  </si>
  <si>
    <t>dd646933</t>
  </si>
  <si>
    <t>mail avec demande de verification fiche ok &gt; pr màj</t>
  </si>
  <si>
    <t>964f03e9</t>
  </si>
  <si>
    <t>b70f9303</t>
  </si>
  <si>
    <t>en attente retour presta</t>
  </si>
  <si>
    <t>61b1c45c</t>
  </si>
  <si>
    <t>c4a658aa</t>
  </si>
  <si>
    <t>a17e28bf</t>
  </si>
  <si>
    <t>df95688a</t>
  </si>
  <si>
    <t>ok traité via le mail envoyé par le presta (18/11/24)</t>
  </si>
  <si>
    <t>26d538d7</t>
  </si>
  <si>
    <t>prévu décembre</t>
  </si>
  <si>
    <t>cbf734ad</t>
  </si>
  <si>
    <t>8ac5aa05</t>
  </si>
  <si>
    <t>a59ce124</t>
  </si>
  <si>
    <t>attention au délai, mettre ici ce qui est prévu et mettre en attente merci</t>
  </si>
  <si>
    <t>95a7455b</t>
  </si>
  <si>
    <t>bdd et tds ok</t>
  </si>
  <si>
    <t>b1547c03</t>
  </si>
  <si>
    <t>6d76816a</t>
  </si>
  <si>
    <t>390e2bb5</t>
  </si>
  <si>
    <t>mail transféré</t>
  </si>
  <si>
    <t>23f72d2d</t>
  </si>
  <si>
    <t>05f66c06</t>
  </si>
  <si>
    <t>Courrier transmis</t>
  </si>
  <si>
    <t>b2f03e19</t>
  </si>
  <si>
    <t>b78b72af</t>
  </si>
  <si>
    <t>Calée début 2025 explore/ Christophe doit voir pour fb,</t>
  </si>
  <si>
    <t>8e09287a</t>
  </si>
  <si>
    <t>IDem tratoria</t>
  </si>
  <si>
    <t>d5e34da8</t>
  </si>
  <si>
    <t>pb réglé</t>
  </si>
  <si>
    <t>5d8d7e6b</t>
  </si>
  <si>
    <t>388c8155</t>
  </si>
  <si>
    <t>8a014c68</t>
  </si>
  <si>
    <t>127b008d</t>
  </si>
  <si>
    <t>43ee885f</t>
  </si>
  <si>
    <t>a37e2562</t>
  </si>
  <si>
    <t>envoyé par mail le 06/12/24</t>
  </si>
  <si>
    <t>bb9904db</t>
  </si>
  <si>
    <t>propositions de dates envoyées le 06/12 par mail</t>
  </si>
  <si>
    <t>feecb7be</t>
  </si>
  <si>
    <t>63047ae3</t>
  </si>
  <si>
    <t>74f0e2e9</t>
  </si>
  <si>
    <t>c7db70a1</t>
  </si>
  <si>
    <t>05479f96</t>
  </si>
  <si>
    <t>point fait sur doss &gt; pb dans la tds</t>
  </si>
  <si>
    <t>f0455fcf</t>
  </si>
  <si>
    <t>e362f384</t>
  </si>
  <si>
    <t>b0da6580</t>
  </si>
  <si>
    <t>590b9e42</t>
  </si>
  <si>
    <t>e5b3d525</t>
  </si>
  <si>
    <t>4e5ccbe8</t>
  </si>
  <si>
    <t>1c530d5e</t>
  </si>
  <si>
    <t>mail d'infos envoyé le 23/12/2024 par mail</t>
  </si>
  <si>
    <t>9dbca62a</t>
  </si>
  <si>
    <t>envoi de propositions de dates par mail le 23/12/24</t>
  </si>
  <si>
    <t>680270bc</t>
  </si>
  <si>
    <t>éléments envoyés par mail et demande traitée le 23/12/24</t>
  </si>
  <si>
    <t>442ee2bb</t>
  </si>
  <si>
    <t>demande nouveau CERFA mairie (23/12/24) - en attente presta</t>
  </si>
  <si>
    <t>27ce8a97</t>
  </si>
  <si>
    <t>visite prog au 29/01/2025</t>
  </si>
  <si>
    <t>a313a5f2</t>
  </si>
  <si>
    <t>document a compléter envoyé par mail le 24/12/24</t>
  </si>
  <si>
    <t>a145eb9a</t>
  </si>
  <si>
    <t>en attente du courrier (envoyé au presta le 24/12/24)</t>
  </si>
  <si>
    <t>1facf5bc</t>
  </si>
  <si>
    <t>envoi du courrier type le 24/12/24 (attente presta)</t>
  </si>
  <si>
    <t>03a0a08d</t>
  </si>
  <si>
    <t>fiche ok</t>
  </si>
  <si>
    <t>c0acdbfc</t>
  </si>
  <si>
    <t>4f566db9</t>
  </si>
  <si>
    <t>d99b8d77</t>
  </si>
  <si>
    <t>6bc34340</t>
  </si>
  <si>
    <t>de1f3ea4</t>
  </si>
  <si>
    <t>Prévu janvier 2025</t>
  </si>
  <si>
    <t>059e3d50</t>
  </si>
  <si>
    <t>Prévu pour mars 2025</t>
  </si>
  <si>
    <t>4cde10ee</t>
  </si>
  <si>
    <t>visite fixée au 15/01/2025 à 10h00</t>
  </si>
  <si>
    <t>8e3a410f</t>
  </si>
  <si>
    <t>15560885</t>
  </si>
  <si>
    <t>a4878a81</t>
  </si>
  <si>
    <t>prise de RDV pour le 09/01/2025 à St Jo pendant la presta patrouille</t>
  </si>
  <si>
    <t>14f663ee</t>
  </si>
  <si>
    <t>ok posté le 27 novembre</t>
  </si>
  <si>
    <t>fd13acb4</t>
  </si>
  <si>
    <t>n'a pas de fb..</t>
  </si>
  <si>
    <t>f33988b1</t>
  </si>
  <si>
    <t>presta à relancer</t>
  </si>
  <si>
    <t>804adc74</t>
  </si>
  <si>
    <t>prog pr mercredi 15/01</t>
  </si>
  <si>
    <t>19336dd5</t>
  </si>
  <si>
    <t>sorti le 09/01</t>
  </si>
  <si>
    <t>11fda449</t>
  </si>
  <si>
    <t>d0180228</t>
  </si>
  <si>
    <t>courrier envoyé le 10/01/25</t>
  </si>
  <si>
    <t>c018ea4a</t>
  </si>
  <si>
    <t>d8366582</t>
  </si>
  <si>
    <t>Qr Code transmis</t>
  </si>
  <si>
    <t>49c2c185</t>
  </si>
  <si>
    <t>QR code transmis</t>
  </si>
  <si>
    <t>07af3095</t>
  </si>
  <si>
    <t>QR Code transmis</t>
  </si>
  <si>
    <t>585bdebc</t>
  </si>
  <si>
    <t>ae8cc3b3</t>
  </si>
  <si>
    <t>QR Code</t>
  </si>
  <si>
    <t>f0e40ab0</t>
  </si>
  <si>
    <t>294e21f5</t>
  </si>
  <si>
    <t>a5ebb1b5</t>
  </si>
  <si>
    <t>85fa8fbc</t>
  </si>
  <si>
    <t>QR code envoyé via bertel le 14/01/2025</t>
  </si>
  <si>
    <t>21a70dc3</t>
  </si>
  <si>
    <t>relance pour les panneaux! (14/01/25)</t>
  </si>
  <si>
    <t>d7b67a3f</t>
  </si>
  <si>
    <t>paru dans l'explore n°17</t>
  </si>
  <si>
    <t>d3cb50b3</t>
  </si>
  <si>
    <t>8677c9da</t>
  </si>
  <si>
    <t>77ab178a</t>
  </si>
  <si>
    <t>aeda0270</t>
  </si>
  <si>
    <t>coordonnées organismes envoyé par mail le 16/01/25</t>
  </si>
  <si>
    <t>4a1cc544</t>
  </si>
  <si>
    <t>informée qu'on accompagne pas sur les sujets relatifs aux impots</t>
  </si>
  <si>
    <t>76eecf31</t>
  </si>
  <si>
    <t>penser à les inviter à la prochaine visio!</t>
  </si>
  <si>
    <t>3a39d81f</t>
  </si>
  <si>
    <t>prestataire a relancé concernant sa fermeture (TDS) mais jamais reçu le courrier... j'ai relancé (16/01/25)</t>
  </si>
  <si>
    <t>9f11c140</t>
  </si>
  <si>
    <t>76b4577b</t>
  </si>
  <si>
    <t>confirmé avec le presta le 17/01</t>
  </si>
  <si>
    <t>141dbcb8</t>
  </si>
  <si>
    <t>f6b96d86</t>
  </si>
  <si>
    <t>visite fixée le 29 janvier 13h30</t>
  </si>
  <si>
    <t>37ed12ea</t>
  </si>
  <si>
    <t>0f8715f9</t>
  </si>
  <si>
    <t>ok fermeture</t>
  </si>
  <si>
    <t>9778ca32</t>
  </si>
  <si>
    <t>ok fermeture plateforme</t>
  </si>
  <si>
    <t>8a1231c2</t>
  </si>
  <si>
    <t>de21576a</t>
  </si>
  <si>
    <t>dossier envoyé par mail le 23/01/2025</t>
  </si>
  <si>
    <t>d425bee5</t>
  </si>
  <si>
    <t>visite prog au 12/02/2025 à 14h00</t>
  </si>
  <si>
    <t>6fd33b1a</t>
  </si>
  <si>
    <t>presta a rempli le formulaire sur place - ok</t>
  </si>
  <si>
    <t>898a3c43</t>
  </si>
  <si>
    <t>courrier ok fermeture programmée</t>
  </si>
  <si>
    <t>8143697f</t>
  </si>
  <si>
    <t>visite programmée au mercredi 29 janvier 2025 matin</t>
  </si>
  <si>
    <t>b44b548e</t>
  </si>
  <si>
    <t>1d61546c</t>
  </si>
  <si>
    <t>735342d5</t>
  </si>
  <si>
    <t>99e2513d</t>
  </si>
  <si>
    <t>ec5d67bb</t>
  </si>
  <si>
    <t>qr code envoyé</t>
  </si>
  <si>
    <t>e23937e8</t>
  </si>
  <si>
    <t>c9565c20</t>
  </si>
  <si>
    <t>a0c2d4d8</t>
  </si>
  <si>
    <t>68aec0e5</t>
  </si>
  <si>
    <t>ac4c6ca6</t>
  </si>
  <si>
    <t>9c0b4229</t>
  </si>
  <si>
    <t>239f3b2e</t>
  </si>
  <si>
    <t>f93843bc</t>
  </si>
  <si>
    <t>080e323a</t>
  </si>
  <si>
    <t>bb9ea09a</t>
  </si>
  <si>
    <t>courrier type envoyé le 04/02/25</t>
  </si>
  <si>
    <t>c86dfd41</t>
  </si>
  <si>
    <t>06c04231</t>
  </si>
  <si>
    <t>courrier reçu le 05/02/25</t>
  </si>
  <si>
    <t>3a7215c8</t>
  </si>
  <si>
    <t>955f11a5</t>
  </si>
  <si>
    <t>envoi du courrier type le 10/02/25</t>
  </si>
  <si>
    <t>ccd968d0</t>
  </si>
  <si>
    <t>ff0db919</t>
  </si>
  <si>
    <t>ok doc enregistré</t>
  </si>
  <si>
    <t>825e0c33</t>
  </si>
  <si>
    <t>publié le 5 fev 2023</t>
  </si>
  <si>
    <t>d9dbb555</t>
  </si>
  <si>
    <t>publi prévue pour le 12 fev 2025</t>
  </si>
  <si>
    <t>2b8a0753</t>
  </si>
  <si>
    <t>courrier reçu le 11/02/2025</t>
  </si>
  <si>
    <t>411c541d</t>
  </si>
  <si>
    <t>93561dac</t>
  </si>
  <si>
    <t>2487b129</t>
  </si>
  <si>
    <t>05be862a</t>
  </si>
  <si>
    <t>98185dba</t>
  </si>
  <si>
    <t>7c667c15</t>
  </si>
  <si>
    <t>3e2208f2</t>
  </si>
  <si>
    <t>prévu pour mars 2025</t>
  </si>
  <si>
    <t>ef0f4efb</t>
  </si>
  <si>
    <t>Presta déjà proposé pour février, parution en février 2025</t>
  </si>
  <si>
    <t>d50673af</t>
  </si>
  <si>
    <t>Post prévu pour avril 2025</t>
  </si>
  <si>
    <t>6a0748d4</t>
  </si>
  <si>
    <t>Post prévu pour mars 2025</t>
  </si>
  <si>
    <t>daa34b58</t>
  </si>
  <si>
    <t>Post prévu pour mai 2025</t>
  </si>
  <si>
    <t>019ccb9f</t>
  </si>
  <si>
    <t>courrier type envoyé le 14/01/25</t>
  </si>
  <si>
    <t>52379213</t>
  </si>
  <si>
    <t>courrier reçu et traité au 17/02/25</t>
  </si>
  <si>
    <t>85b4da54</t>
  </si>
  <si>
    <t>8f460121</t>
  </si>
  <si>
    <t>courrier donné en main propre le 17/02</t>
  </si>
  <si>
    <t>86709c6c</t>
  </si>
  <si>
    <t>f01a735d</t>
  </si>
  <si>
    <t>en attente du CERFA mairie</t>
  </si>
  <si>
    <t>69590c14</t>
  </si>
  <si>
    <t>Promo explore prévue en mars 2025</t>
  </si>
  <si>
    <t>b752b634</t>
  </si>
  <si>
    <t>traité, courrier reçu</t>
  </si>
  <si>
    <t>3f1513e7</t>
  </si>
  <si>
    <t>en attente de reversement</t>
  </si>
  <si>
    <t>50b7a9a7</t>
  </si>
  <si>
    <t>mail demande info transmis</t>
  </si>
  <si>
    <t>7de1c6c1</t>
  </si>
  <si>
    <t>publié le 26 fev 2025</t>
  </si>
  <si>
    <t>5addb7bd</t>
  </si>
  <si>
    <t>publié le 19 fev 2025</t>
  </si>
  <si>
    <t>51fafe2e</t>
  </si>
  <si>
    <t>programmé pour le 5 mars 2025</t>
  </si>
  <si>
    <t>bf1a297f</t>
  </si>
  <si>
    <t>programmé 12 mars 25</t>
  </si>
  <si>
    <t>70579b2d</t>
  </si>
  <si>
    <t>programmé 19 mars 25</t>
  </si>
  <si>
    <t>d600648c</t>
  </si>
  <si>
    <t>programmé 26 mars 25</t>
  </si>
  <si>
    <t>cf3411cf</t>
  </si>
  <si>
    <t>courrier de fermeture envoyé le 05/03/25 et reversement en attente</t>
  </si>
  <si>
    <t>2d6e71bf</t>
  </si>
  <si>
    <t>ok fermeture enregistrée</t>
  </si>
  <si>
    <t>168ec125</t>
  </si>
  <si>
    <t>fermeture enregistrée car courrier et reversements ok</t>
  </si>
  <si>
    <t>93db18b7</t>
  </si>
  <si>
    <t>pas de réponse du presta, j'ai relancé par mail le 06/03/25</t>
  </si>
  <si>
    <t>b7414d25</t>
  </si>
  <si>
    <t>traité, 2 fiches ok</t>
  </si>
  <si>
    <t>a79a0dfc</t>
  </si>
  <si>
    <t>ok!</t>
  </si>
  <si>
    <t>bea7246a</t>
  </si>
  <si>
    <t>relance faite le 07/03/2025</t>
  </si>
  <si>
    <t>d6c354d5</t>
  </si>
  <si>
    <t>mail fait le 07/03</t>
  </si>
  <si>
    <t>aa4a2750</t>
  </si>
  <si>
    <t>mail de dmde de renouvellement fait le 0703</t>
  </si>
  <si>
    <t>ae260f33</t>
  </si>
  <si>
    <t>répondu par téléphone le 11/03/25</t>
  </si>
  <si>
    <t>3c3f01c2</t>
  </si>
  <si>
    <t>j'ai envoyé un mail de relance pr la décla de fermeture le 12/03/2025 via le mail TDS</t>
  </si>
  <si>
    <t>32e4c243</t>
  </si>
  <si>
    <t>prévu le 9 avril</t>
  </si>
  <si>
    <t>de25304c</t>
  </si>
  <si>
    <t>prog pour avril</t>
  </si>
  <si>
    <t>198334d7</t>
  </si>
  <si>
    <t>prog pour mai</t>
  </si>
  <si>
    <t>fc892038</t>
  </si>
  <si>
    <t>9583ef99</t>
  </si>
  <si>
    <t>680e34e6</t>
  </si>
  <si>
    <t>0bb9bc01</t>
  </si>
  <si>
    <t>fermeture au 16/01/2025 courrier ok</t>
  </si>
  <si>
    <t>bc5b0c0f</t>
  </si>
  <si>
    <t>3cfd4b64</t>
  </si>
  <si>
    <t>courrier envoyé et reçu le 14/03/2025
+ fermé en tds !</t>
  </si>
  <si>
    <t>09a6c7d8</t>
  </si>
  <si>
    <t>3564fb70</t>
  </si>
  <si>
    <t>programmé pour le 2 avril 2025</t>
  </si>
  <si>
    <t>34d58b4b</t>
  </si>
  <si>
    <t>programmée le 23 avril 25</t>
  </si>
  <si>
    <t>c6a12e60</t>
  </si>
  <si>
    <t>prévu le 16 avril 2025</t>
  </si>
  <si>
    <t>552fd3a7</t>
  </si>
  <si>
    <t>programmée le 30 avril 2025</t>
  </si>
  <si>
    <t>59813b00</t>
  </si>
  <si>
    <t>nouvelles décisions ok</t>
  </si>
  <si>
    <t>25cdd01e</t>
  </si>
  <si>
    <t>44829b2a</t>
  </si>
  <si>
    <t>690bcf58</t>
  </si>
  <si>
    <t>5cc067d7</t>
  </si>
  <si>
    <t>Pourtant après vérification elle ouvre bien toutes les newsletters, elle aouvert la dernière de février. pas de pb du côté de mailchimp</t>
  </si>
  <si>
    <t>28764c48</t>
  </si>
  <si>
    <t>courrier fermeture envoyée le 25/03</t>
  </si>
  <si>
    <t>a5b89117</t>
  </si>
  <si>
    <t>envoi de la décla à remplir le 01/04/25</t>
  </si>
  <si>
    <t>5b63f386</t>
  </si>
  <si>
    <t>relance déclaration de fermeture le 01/04/2025</t>
  </si>
  <si>
    <t>cbdd0126</t>
  </si>
  <si>
    <t>document reçu le 01/04/2025</t>
  </si>
  <si>
    <t>c48d14b9</t>
  </si>
  <si>
    <t>26b0848e</t>
  </si>
  <si>
    <t>doc reçu ok</t>
  </si>
  <si>
    <t>1bb4f927</t>
  </si>
  <si>
    <t>778c5b9e</t>
  </si>
  <si>
    <t>contacts transmi par mail le 03/04/25</t>
  </si>
  <si>
    <t>e2df90c5</t>
  </si>
  <si>
    <t>047e88f4</t>
  </si>
  <si>
    <t>ses panneaux ont été enlevés par des gens depuis un moment au niveau de la nationale, chemin de la mer cassée.
Si la prestataire a déjà posé des panneaux sur le chemin, merci de la contacter pour qu'elle récupère ses panneaux!</t>
  </si>
  <si>
    <t>f501cdac</t>
  </si>
  <si>
    <t>975eee0a</t>
  </si>
  <si>
    <t>5ebbf6eb</t>
  </si>
  <si>
    <t>courrier fermeture transmis le 10/04</t>
  </si>
  <si>
    <t>796cfb30</t>
  </si>
  <si>
    <t>n'a pas encore transmis de formulaire</t>
  </si>
  <si>
    <t>8527a7c5</t>
  </si>
  <si>
    <t>Fiche ok</t>
  </si>
  <si>
    <t>292536c0</t>
  </si>
  <si>
    <t>relance panneau le 02/05 perd des clients car n'est pas sur la route principale</t>
  </si>
  <si>
    <t>148c13ea</t>
  </si>
  <si>
    <t>relance faites car a perdu des points pour son label QTIR</t>
  </si>
  <si>
    <t>71bbc7c3</t>
  </si>
  <si>
    <t>4d988fda</t>
  </si>
  <si>
    <t>ok traité!</t>
  </si>
  <si>
    <t>42354db6</t>
  </si>
  <si>
    <t>envoi du formulaire le 14/05/25 par mail</t>
  </si>
  <si>
    <t>2aaa5574</t>
  </si>
  <si>
    <t>abf71c5e</t>
  </si>
  <si>
    <t>7f1b5594</t>
  </si>
  <si>
    <t>dossier transmis à Chrislène</t>
  </si>
  <si>
    <t>9a7e217d</t>
  </si>
  <si>
    <t>publié le mercredi 7 mai 2025</t>
  </si>
  <si>
    <t>09d7ad4f</t>
  </si>
  <si>
    <t>programmé pour le 28 mai</t>
  </si>
  <si>
    <t>d47a2105</t>
  </si>
  <si>
    <t>fermeture ok enregistrée</t>
  </si>
  <si>
    <t>3307dcce</t>
  </si>
  <si>
    <t>fermeture enregistrée courrier reçu le 19/05/2025</t>
  </si>
  <si>
    <t>e24e1235</t>
  </si>
  <si>
    <t>envoi du courrier à compléter le 19/05/2025</t>
  </si>
  <si>
    <t>83d58582</t>
  </si>
  <si>
    <t>0675cd77</t>
  </si>
  <si>
    <t>L'hébergement "L'hibiscus" n'est plus sous la gestion de Caro&amp;Co depuis mi novembre 2024 (voir mail de Caro&amp;Co). J'ai mailé l'hébergeur en février, puis en mars, pas de réponse. Une dernière relance a été envoyée le 02/06/2025 pour faire le point et voir si l'hébergement est toujours en activité ou pas. Sans réponse de la part de M. GAUBERT, le compte TDS sera ouvert d'ici un mois minimum et le courrier d'ouverture lui sera transmis.</t>
  </si>
  <si>
    <t>9025cd91</t>
  </si>
  <si>
    <t>fa827667</t>
  </si>
  <si>
    <t>sans retour du propriétaire depuis février 2025 malgré les relances (nous sommes le 03/06/2025) &gt; j'ai désactivé la fiche TDS pour cet hébergement sous Caro&amp;Co</t>
  </si>
  <si>
    <t>3e0a2787</t>
  </si>
  <si>
    <t>demande décision de classement au presta par mail le 06/06/25</t>
  </si>
  <si>
    <t>39037989</t>
  </si>
  <si>
    <t>722f153c</t>
  </si>
  <si>
    <t>96f76869</t>
  </si>
  <si>
    <t>2c0ca483</t>
  </si>
  <si>
    <t>relancé le 06 juin 2025 pr son doc mais j'ai pu enregistrer le classement en plateforme (classement publié sur atout france!)</t>
  </si>
  <si>
    <t>8e578c18</t>
  </si>
  <si>
    <t>1f22365a</t>
  </si>
  <si>
    <t>5b311b6b</t>
  </si>
  <si>
    <t>enregistré sur bertel</t>
  </si>
  <si>
    <t>d7392b6a</t>
  </si>
  <si>
    <t>a surveiller</t>
  </si>
  <si>
    <t>21f67ec5</t>
  </si>
  <si>
    <t>en attente manque courrier + décla + reversements</t>
  </si>
  <si>
    <t>0cca642c</t>
  </si>
  <si>
    <t>presta prévenu par mail le 08/07/25</t>
  </si>
  <si>
    <t>27e1fdc2</t>
  </si>
  <si>
    <t>décision de classement reçue le 08/07/2025</t>
  </si>
  <si>
    <t>5f538071</t>
  </si>
  <si>
    <t>ok doc INPI reçu</t>
  </si>
  <si>
    <t>1d044ac9</t>
  </si>
  <si>
    <t>32d57cf4</t>
  </si>
  <si>
    <t>0074d979</t>
  </si>
  <si>
    <t>55827620</t>
  </si>
  <si>
    <t>ok (vu lors des preparatifs mag zartisan)</t>
  </si>
  <si>
    <t>a22f686b</t>
  </si>
  <si>
    <t>décla de fermeture envoyé au presta le 25/07/25</t>
  </si>
  <si>
    <t>3d68a7a8</t>
  </si>
  <si>
    <t>0a304aa5</t>
  </si>
  <si>
    <t>88ef6d93</t>
  </si>
  <si>
    <t>5e8cb9e5</t>
  </si>
  <si>
    <t>2eec705d</t>
  </si>
  <si>
    <t>dossier à revoir ensemble...</t>
  </si>
  <si>
    <t>1685125e</t>
  </si>
  <si>
    <t>1a9a7b68</t>
  </si>
  <si>
    <t>ok le 11/08</t>
  </si>
  <si>
    <t>d3036d3a</t>
  </si>
  <si>
    <t>courrier reçu le 12/08</t>
  </si>
  <si>
    <t>d6a9c220</t>
  </si>
  <si>
    <t>990cf537</t>
  </si>
  <si>
    <t>f00f9f08</t>
  </si>
  <si>
    <t>courrier reçu le 18/08/2025</t>
  </si>
  <si>
    <t>e7f7052b</t>
  </si>
  <si>
    <t>Courrier reçu le 19/08</t>
  </si>
  <si>
    <t>564a2a6c</t>
  </si>
  <si>
    <t>courrier reçu le 19/08</t>
  </si>
  <si>
    <t>d1ce6419</t>
  </si>
  <si>
    <t>transmis via la plateforme TDS</t>
  </si>
  <si>
    <t>a736608a</t>
  </si>
  <si>
    <t>b1f1cf81</t>
  </si>
  <si>
    <t>ok manque un séjour à valider</t>
  </si>
  <si>
    <t>c4ed2f6d</t>
  </si>
  <si>
    <t>1089a181</t>
  </si>
  <si>
    <t>mail envoyé le 04/09/25</t>
  </si>
  <si>
    <t>9c195e0e</t>
  </si>
  <si>
    <t>2075f4c1</t>
  </si>
  <si>
    <t>e3c45735</t>
  </si>
  <si>
    <t>7ccc075e</t>
  </si>
  <si>
    <t>TDS ok</t>
  </si>
  <si>
    <t>bfea3d37</t>
  </si>
  <si>
    <t>5c6f8902</t>
  </si>
  <si>
    <t>21ae9b11</t>
  </si>
  <si>
    <t>b5264c3b</t>
  </si>
  <si>
    <t>dossier papier remis au presta le 18/09/25 lors de son passage au bureau</t>
  </si>
  <si>
    <t>b9332fed</t>
  </si>
  <si>
    <t>fe160852</t>
  </si>
  <si>
    <t>2622c6d2</t>
  </si>
  <si>
    <t>3ba7a501</t>
  </si>
  <si>
    <t>f4008360</t>
  </si>
  <si>
    <t>fermeture ok 20/10/2025</t>
  </si>
  <si>
    <t>1c10abf8</t>
  </si>
  <si>
    <t>tds mailer manque décla + courriers enregistrés !</t>
  </si>
  <si>
    <t>6e7b40f5</t>
  </si>
  <si>
    <t>courrier de fermeture envoyer</t>
  </si>
  <si>
    <t>2ac976e8</t>
  </si>
  <si>
    <t>f6cefd88</t>
  </si>
  <si>
    <t>traité ok</t>
  </si>
  <si>
    <t>6e25951d</t>
  </si>
  <si>
    <t>attention : il est sous la conciergerie de Mahavel ! les documents sont en attente! (pas de contrat et pas de docs pour la conciergerie à ce jour)</t>
  </si>
  <si>
    <t>0b47638d</t>
  </si>
  <si>
    <t>la conciergerie a été relancée pour les docs le 12/11/25 par mail &gt; relance pour contrat, kbis conciergerie, assurance conciergerie et le nom de l'hébergement?</t>
  </si>
  <si>
    <t>e7a9cc28</t>
  </si>
  <si>
    <t>ok traité - hébergement réouvert en plateforme + mail envoyé au prestataire</t>
  </si>
  <si>
    <t>09dcc83b</t>
  </si>
  <si>
    <t>7d5e86ed</t>
  </si>
  <si>
    <t>fermeture définitive de son activité</t>
  </si>
  <si>
    <t>13fd22af</t>
  </si>
  <si>
    <t>courrier de fermeture le 20/11/2025</t>
  </si>
  <si>
    <t>b38df127</t>
  </si>
  <si>
    <t>7258c489</t>
  </si>
  <si>
    <t>f80677cc</t>
  </si>
  <si>
    <t>4a9fbd85</t>
  </si>
  <si>
    <t>15a97056</t>
  </si>
  <si>
    <t>ok fait en direct</t>
  </si>
  <si>
    <t>b24ffcd9</t>
  </si>
  <si>
    <t>Fermeture ok manque déclaration décembre</t>
  </si>
  <si>
    <t>fde1ac41</t>
  </si>
  <si>
    <t>18df7c73</t>
  </si>
  <si>
    <t>50babd0e</t>
  </si>
  <si>
    <t>courrier de fermeture envoyé le 26/12/2025</t>
  </si>
  <si>
    <t>6b7552ae</t>
  </si>
  <si>
    <t>courrier type envoyé le 26/12/25</t>
  </si>
  <si>
    <t>a3de3028</t>
  </si>
  <si>
    <t>envoi du courrier type le 26/12/25</t>
  </si>
  <si>
    <t>2c1b1a3f</t>
  </si>
  <si>
    <t>323dab26</t>
  </si>
  <si>
    <t>De retour le 18 Janvier 2026</t>
  </si>
  <si>
    <t>f0052eb9</t>
  </si>
  <si>
    <t>envoi du courrier type le 19/01/26</t>
  </si>
  <si>
    <t>98bf29da</t>
  </si>
  <si>
    <t>Courrier de fermeture reçu le 19/01/26</t>
  </si>
  <si>
    <t>65bd5f6a</t>
  </si>
  <si>
    <t>courrier fermeture reçu le 19/01/2026</t>
  </si>
  <si>
    <t>64ec1a8d</t>
  </si>
  <si>
    <t>Courrier reçu le 21/01/2026</t>
  </si>
  <si>
    <t>4759be98</t>
  </si>
  <si>
    <t>courrier a remplir envoyé le 21/01/26</t>
  </si>
  <si>
    <t>f511fbbb</t>
  </si>
  <si>
    <t>finalement c'est le propriétaire qui gère la TDS &gt; compte ouvert OK</t>
  </si>
  <si>
    <t>c1fe0b67</t>
  </si>
  <si>
    <t>il a enfin envoyé le courrier!!! fermeture ok</t>
  </si>
  <si>
    <t>fa4781b9</t>
  </si>
  <si>
    <t>en attente retour courrier</t>
  </si>
  <si>
    <t>5fc8c696</t>
  </si>
  <si>
    <t>ouverture impossible pour le moment car le CERFA n'est pas bon, RDV pris avec le presta pour régler ce pb... en attente!</t>
  </si>
  <si>
    <t>9f32f47b</t>
  </si>
  <si>
    <t>ok le 02/02/2026 
un message pour reunion.fr a été envoyé</t>
  </si>
  <si>
    <t>dd24f141</t>
  </si>
  <si>
    <t>5a5f0a35</t>
  </si>
  <si>
    <t>ok courrier envoyé par mail</t>
  </si>
  <si>
    <t>02f26be4</t>
  </si>
  <si>
    <t>ok courrier envoyé</t>
  </si>
  <si>
    <t>f55ab2c0</t>
  </si>
  <si>
    <t>hébergement ajouté dans son compte taxe de séjour</t>
  </si>
  <si>
    <t>c5e8c71b</t>
  </si>
  <si>
    <t>Ouverture faite et il s'agit d'une chambre d'hôtes + meublé de tourisme (double activité)</t>
  </si>
  <si>
    <t>a81e688e</t>
  </si>
  <si>
    <t>e7baf2c5</t>
  </si>
  <si>
    <t>ada24118</t>
  </si>
  <si>
    <t>Envoie du formulaire le 09/02/2026</t>
  </si>
  <si>
    <t>1975b339</t>
  </si>
  <si>
    <t>0a256904</t>
  </si>
  <si>
    <t>40f4f0b9</t>
  </si>
  <si>
    <t>Avant ouverture dossier à vérifier avec Noémie</t>
  </si>
  <si>
    <t>e44172c2</t>
  </si>
  <si>
    <t>ouvert en normal &gt; on a jamais reçu de contrat de conciergerie</t>
  </si>
  <si>
    <t>c3c0d014</t>
  </si>
  <si>
    <t>courrier envoyé le 19/02 au presta</t>
  </si>
  <si>
    <t>2037dbf5</t>
  </si>
  <si>
    <t>courrier de fermeture envoyé le 19/02/2026</t>
  </si>
  <si>
    <t>bf56f5ef</t>
  </si>
  <si>
    <t>ouverture de compte le 19/02/2026</t>
  </si>
  <si>
    <t>527e02b2</t>
  </si>
  <si>
    <t>3da508b8</t>
  </si>
  <si>
    <t>760c96d5</t>
  </si>
  <si>
    <t>24e3ef87</t>
  </si>
  <si>
    <t>eec498ae</t>
  </si>
  <si>
    <t>ff71d4e2</t>
  </si>
  <si>
    <t>Courrier reçu le 17/03/26 sur la TDS</t>
  </si>
  <si>
    <t>a641aad6</t>
  </si>
  <si>
    <t>mail avec doc de fermeture envoyé 2 fois!!!!! -_- j'attends son doc pour fermer dans la TDS</t>
  </si>
  <si>
    <t>Id_contact_sup</t>
  </si>
  <si>
    <t>Type de contact</t>
  </si>
  <si>
    <t>Téléphone</t>
  </si>
  <si>
    <t>email</t>
  </si>
  <si>
    <t>cc4e3855</t>
  </si>
  <si>
    <t>0262312520</t>
  </si>
  <si>
    <t>a1aa8767</t>
  </si>
  <si>
    <t>8147966a</t>
  </si>
  <si>
    <t>e4b7ac29</t>
  </si>
  <si>
    <t>bef40ee4</t>
  </si>
  <si>
    <t>0693905826</t>
  </si>
  <si>
    <t>4955ed6f</t>
  </si>
  <si>
    <t>e5122336</t>
  </si>
  <si>
    <t>5223ec79</t>
  </si>
  <si>
    <t>0693 01 02 72</t>
  </si>
  <si>
    <t>62d20b3a</t>
  </si>
  <si>
    <t>0300dff4</t>
  </si>
  <si>
    <t>be25b20f</t>
  </si>
  <si>
    <t>7a1c163a</t>
  </si>
  <si>
    <t>2801472f</t>
  </si>
  <si>
    <t>a0685bef</t>
  </si>
  <si>
    <t>0262414440</t>
  </si>
  <si>
    <t>15004768</t>
  </si>
  <si>
    <t>0692860986</t>
  </si>
  <si>
    <t>3bc13d82</t>
  </si>
  <si>
    <t>a537ea02</t>
  </si>
  <si>
    <t>c418e160</t>
  </si>
  <si>
    <t>a82f693e</t>
  </si>
  <si>
    <t>0693457013</t>
  </si>
  <si>
    <t>2325495e</t>
  </si>
  <si>
    <t>0693338888</t>
  </si>
  <si>
    <t>4bc1044b</t>
  </si>
  <si>
    <t>0692881162</t>
  </si>
  <si>
    <t>0757400e</t>
  </si>
  <si>
    <t>0693 02 79 76</t>
  </si>
  <si>
    <t>fd912dec</t>
  </si>
  <si>
    <t>0692 52 64 03</t>
  </si>
  <si>
    <t>1d10c607</t>
  </si>
  <si>
    <t>0692407839</t>
  </si>
  <si>
    <t>63b56e60</t>
  </si>
  <si>
    <t>0692 33 16 35</t>
  </si>
  <si>
    <t>5576d9f5</t>
  </si>
  <si>
    <t>0262 56 55 40</t>
  </si>
  <si>
    <t>7f3cf346</t>
  </si>
  <si>
    <t>0693 04 10 20</t>
  </si>
  <si>
    <t>le fils qui s'occupe du côté administratif</t>
  </si>
  <si>
    <t>b157a693</t>
  </si>
  <si>
    <t>a1919240</t>
  </si>
  <si>
    <t>34514a1c</t>
  </si>
  <si>
    <t>0692321951</t>
  </si>
  <si>
    <t>3dfc230c</t>
  </si>
  <si>
    <t>0692 58 47 45</t>
  </si>
  <si>
    <t>0a55e4b2</t>
  </si>
  <si>
    <t>0262 47 31 88</t>
  </si>
  <si>
    <t>b2719ba9</t>
  </si>
  <si>
    <t>0692 06 67 25</t>
  </si>
  <si>
    <t>ec3a499e</t>
  </si>
  <si>
    <t>a72e8e42</t>
  </si>
  <si>
    <t>800383a3</t>
  </si>
  <si>
    <t>0692608891</t>
  </si>
  <si>
    <t>1457004d</t>
  </si>
  <si>
    <t>53da578b</t>
  </si>
  <si>
    <t>0692 65 14 29</t>
  </si>
  <si>
    <t>b746cf50</t>
  </si>
  <si>
    <t>0692 94 51 12</t>
  </si>
  <si>
    <t>e32fb343</t>
  </si>
  <si>
    <t>f33bf951</t>
  </si>
  <si>
    <t>045568cb</t>
  </si>
  <si>
    <t>0692 17 82 00</t>
  </si>
  <si>
    <t>SMITH</t>
  </si>
  <si>
    <t>93a51c69</t>
  </si>
  <si>
    <t>06 93 93 41 41</t>
  </si>
  <si>
    <t>CLAIN</t>
  </si>
  <si>
    <t>Levine</t>
  </si>
  <si>
    <t>75 rue bois de fer 97414 Entre-Deux</t>
  </si>
  <si>
    <t>17fe8eac</t>
  </si>
  <si>
    <t>06 60 98 03 72</t>
  </si>
  <si>
    <t>SERIEYS &amp; SLOBODA</t>
  </si>
  <si>
    <t>Denis &amp; Natacha</t>
  </si>
  <si>
    <t>Propriétaires</t>
  </si>
  <si>
    <t>120 chemin de l'anglesy 84740 VELLERON</t>
  </si>
  <si>
    <t>2a2cc05e</t>
  </si>
  <si>
    <t>0692926692</t>
  </si>
  <si>
    <t>VELIA</t>
  </si>
  <si>
    <t>c246cec1</t>
  </si>
  <si>
    <t>a443c063</t>
  </si>
  <si>
    <t>antreopots@gmail.com</t>
  </si>
  <si>
    <t>173247a1</t>
  </si>
  <si>
    <t>47fa3f70</t>
  </si>
  <si>
    <t>a0543d2c</t>
  </si>
  <si>
    <t>saintphilippe@capmechant.re</t>
  </si>
  <si>
    <t>0d4ee970</t>
  </si>
  <si>
    <t>damourlucette96@gmail.com</t>
  </si>
  <si>
    <t>436bb59a</t>
  </si>
  <si>
    <t>Rapeau</t>
  </si>
  <si>
    <t>Gerry</t>
  </si>
  <si>
    <t>bf4588bc</t>
  </si>
  <si>
    <t>0692941320</t>
  </si>
  <si>
    <t>ac7ef70b</t>
  </si>
  <si>
    <t>+262370606</t>
  </si>
  <si>
    <t>25405b20</t>
  </si>
  <si>
    <t>0693419771</t>
  </si>
  <si>
    <t>fb84d7a6</t>
  </si>
  <si>
    <t>mail de l'hébergement</t>
  </si>
  <si>
    <t>tillandsia.location@gmail.com</t>
  </si>
  <si>
    <t>0bffa19a</t>
  </si>
  <si>
    <t>411056f7</t>
  </si>
  <si>
    <t>0692682586</t>
  </si>
  <si>
    <t>M. PAYET</t>
  </si>
  <si>
    <t>d1def29b</t>
  </si>
  <si>
    <t>0692903669</t>
  </si>
  <si>
    <t>4de01a82</t>
  </si>
  <si>
    <t>fd772c44</t>
  </si>
  <si>
    <t>Olivia</t>
  </si>
  <si>
    <t>Chargée de la communication et de la gestion</t>
  </si>
  <si>
    <t>Fille</t>
  </si>
  <si>
    <t>mussard.olivia@gmail.com</t>
  </si>
  <si>
    <t>f9a767fe</t>
  </si>
  <si>
    <t>contact@villajoli.fr</t>
  </si>
  <si>
    <t>073e3a0d</t>
  </si>
  <si>
    <t>mail pour les clients</t>
  </si>
  <si>
    <t>contact@lafermedukilimandjaro.fr</t>
  </si>
  <si>
    <t>6f8d7e5a</t>
  </si>
  <si>
    <t>Mme Techer</t>
  </si>
  <si>
    <t>81eff0e5</t>
  </si>
  <si>
    <t>0692381329</t>
  </si>
  <si>
    <t>Mme LAURET</t>
  </si>
  <si>
    <t>Gérante</t>
  </si>
  <si>
    <t>d9a80dec</t>
  </si>
  <si>
    <t>0692645078</t>
  </si>
  <si>
    <t>M. HOAREAU</t>
  </si>
  <si>
    <t>98e72bdb</t>
  </si>
  <si>
    <t>0693003105</t>
  </si>
  <si>
    <t>Mme CHAN CHIT SANG</t>
  </si>
  <si>
    <t>3c840d98</t>
  </si>
  <si>
    <t>0693 47 89 33</t>
  </si>
  <si>
    <t>Gérant</t>
  </si>
  <si>
    <t>cdbd4a2e</t>
  </si>
  <si>
    <t>0693468599</t>
  </si>
  <si>
    <t>629d255e</t>
  </si>
  <si>
    <t>0262373060</t>
  </si>
  <si>
    <t>195f4c29</t>
  </si>
  <si>
    <t>44b84b67</t>
  </si>
  <si>
    <t>Pour réserver une visite</t>
  </si>
  <si>
    <t>4c934bd0</t>
  </si>
  <si>
    <t>JONARD</t>
  </si>
  <si>
    <t>Adresse mail personnel</t>
  </si>
  <si>
    <t>andre.jonard@wanadoo.fr</t>
  </si>
  <si>
    <t>7e75ef3a</t>
  </si>
  <si>
    <t>06 92 33 61 73</t>
  </si>
  <si>
    <t>Co-gérante</t>
  </si>
  <si>
    <t>12c216d8</t>
  </si>
  <si>
    <t>agrondin@netcourrier.com</t>
  </si>
  <si>
    <t>81efd159</t>
  </si>
  <si>
    <t>APAYA-GADABAYA</t>
  </si>
  <si>
    <t>gérant</t>
  </si>
  <si>
    <t>location97430agd@gmail.com</t>
  </si>
  <si>
    <t>6dc6f2b1</t>
  </si>
  <si>
    <t>Alizée</t>
  </si>
  <si>
    <t>4a0b1e3a</t>
  </si>
  <si>
    <t>0692017610</t>
  </si>
  <si>
    <t>Suzette</t>
  </si>
  <si>
    <t>Collaboratrice</t>
  </si>
  <si>
    <t>02170ba0</t>
  </si>
  <si>
    <t>0692308701</t>
  </si>
  <si>
    <t>494bef9f</t>
  </si>
  <si>
    <t>0692 66 77 10</t>
  </si>
  <si>
    <t>Ruth</t>
  </si>
  <si>
    <t>co-gère la structure</t>
  </si>
  <si>
    <t>Fille de Claudette</t>
  </si>
  <si>
    <t>67a92792</t>
  </si>
  <si>
    <t>39ddd571</t>
  </si>
  <si>
    <t>co-gérante</t>
  </si>
  <si>
    <t>fille de la propriétaire</t>
  </si>
  <si>
    <t>ab0e1c39</t>
  </si>
  <si>
    <t>0693 02 36 13</t>
  </si>
  <si>
    <t>f43706b9</t>
  </si>
  <si>
    <t>0692 64 61 70</t>
  </si>
  <si>
    <t>c67a68a8</t>
  </si>
  <si>
    <t>association.rosaline@gmail.com</t>
  </si>
  <si>
    <t>5b1182b0</t>
  </si>
  <si>
    <t>0692 78 97 54</t>
  </si>
  <si>
    <t>4ef91f2e</t>
  </si>
  <si>
    <t>ac95d836</t>
  </si>
  <si>
    <t>32cecf54</t>
  </si>
  <si>
    <t>0f96fc8a</t>
  </si>
  <si>
    <t>47dd0808</t>
  </si>
  <si>
    <t>0262 59 13 94</t>
  </si>
  <si>
    <t>199c7f19</t>
  </si>
  <si>
    <t>886224f0</t>
  </si>
  <si>
    <t>506f82a1</t>
  </si>
  <si>
    <t>0262 37 04 19</t>
  </si>
  <si>
    <t>01bfc420</t>
  </si>
  <si>
    <t>0692 85 24 84</t>
  </si>
  <si>
    <t>2bf406a6</t>
  </si>
  <si>
    <t>0692 85 40 8 37</t>
  </si>
  <si>
    <t>81cf55e2</t>
  </si>
  <si>
    <t>0692 52 03 82</t>
  </si>
  <si>
    <t>c72dc243</t>
  </si>
  <si>
    <t>0692 85 30 32</t>
  </si>
  <si>
    <t>fd451108</t>
  </si>
  <si>
    <t>0692 86 29 77</t>
  </si>
  <si>
    <t>7951a0f6</t>
  </si>
  <si>
    <t>0692 72 67 18</t>
  </si>
  <si>
    <t>33b33244</t>
  </si>
  <si>
    <t>0262 25 02 17</t>
  </si>
  <si>
    <t>696a64dd</t>
  </si>
  <si>
    <t>79cac113</t>
  </si>
  <si>
    <t>976b9d80</t>
  </si>
  <si>
    <t>5afb22ab</t>
  </si>
  <si>
    <t>10363207</t>
  </si>
  <si>
    <t>contact@lesvillastropicales.re</t>
  </si>
  <si>
    <t>c1c4c04d</t>
  </si>
  <si>
    <t>0693 03 69 89</t>
  </si>
  <si>
    <t>trouvé sur le site internet</t>
  </si>
  <si>
    <t>f723d78f</t>
  </si>
  <si>
    <t>ef7e41ca</t>
  </si>
  <si>
    <t>0f269156</t>
  </si>
  <si>
    <t>7aaca56f</t>
  </si>
  <si>
    <t>3ff784b4</t>
  </si>
  <si>
    <t>0571fc14</t>
  </si>
  <si>
    <t>eb35b5fa</t>
  </si>
  <si>
    <t>c83ceb25</t>
  </si>
  <si>
    <t>0262 78 46 86</t>
  </si>
  <si>
    <t>c7cdf4ce</t>
  </si>
  <si>
    <t>0262 88 14 70</t>
  </si>
  <si>
    <t>cb88a922</t>
  </si>
  <si>
    <t>0692 76 97 23</t>
  </si>
  <si>
    <t>2d265b69</t>
  </si>
  <si>
    <t>karlosse974@gmail.com</t>
  </si>
  <si>
    <t>3a04f82b</t>
  </si>
  <si>
    <t>43463c12</t>
  </si>
  <si>
    <t>d2c13ded</t>
  </si>
  <si>
    <t>d343c344</t>
  </si>
  <si>
    <t>695ce30b</t>
  </si>
  <si>
    <t>Saint-Agnan</t>
  </si>
  <si>
    <t>Anne-Cécile</t>
  </si>
  <si>
    <t>Directrice Adjointe</t>
  </si>
  <si>
    <t>hebergement@hotel-ledimitile.com</t>
  </si>
  <si>
    <t>a0a3b090</t>
  </si>
  <si>
    <t>04721ec1</t>
  </si>
  <si>
    <t>0693 49 03 13</t>
  </si>
  <si>
    <t>d777ca0c</t>
  </si>
  <si>
    <t>e514e7f8</t>
  </si>
  <si>
    <t>M. FIARDA</t>
  </si>
  <si>
    <t>d178b965</t>
  </si>
  <si>
    <t>SAINT-AGNAN</t>
  </si>
  <si>
    <t>Directrice adjointe</t>
  </si>
  <si>
    <t>hebergement@dimitile-hotel.com</t>
  </si>
  <si>
    <t>3ac954fe</t>
  </si>
  <si>
    <t>mail utilisé pour le compte TDS</t>
  </si>
  <si>
    <t>stefbarret20@gmail.com</t>
  </si>
  <si>
    <t>ddb12ab6</t>
  </si>
  <si>
    <t>d0534c89</t>
  </si>
  <si>
    <t>c6c2112e</t>
  </si>
  <si>
    <t>f0863b62</t>
  </si>
  <si>
    <t>c02f6fc4</t>
  </si>
  <si>
    <t>Auguste</t>
  </si>
  <si>
    <t>dolphinauguste60@gmail.com</t>
  </si>
  <si>
    <t>930f23c2</t>
  </si>
  <si>
    <t>07cf979e</t>
  </si>
  <si>
    <t>8a9e028e</t>
  </si>
  <si>
    <t>2285f952</t>
  </si>
  <si>
    <t>389ae962</t>
  </si>
  <si>
    <t>LAFOSSE</t>
  </si>
  <si>
    <t>Gestionnaire</t>
  </si>
  <si>
    <t>4b85d637</t>
  </si>
  <si>
    <t>7990d60a</t>
  </si>
  <si>
    <t>0620749995</t>
  </si>
  <si>
    <t>Annaelle</t>
  </si>
  <si>
    <t>Aide à gérer le meublé</t>
  </si>
  <si>
    <t>49b0d13f</t>
  </si>
  <si>
    <t>242ca1a3</t>
  </si>
  <si>
    <t>078eedd7</t>
  </si>
  <si>
    <t>c24ad6d4</t>
  </si>
  <si>
    <t>DE LANGLARD</t>
  </si>
  <si>
    <t>Ludovic</t>
  </si>
  <si>
    <t>luludelanglard974@gmail.com</t>
  </si>
  <si>
    <t>c2a7d387</t>
  </si>
  <si>
    <t>0692 88 36 09</t>
  </si>
  <si>
    <t>efd5698b</t>
  </si>
  <si>
    <t>e9fa4d70</t>
  </si>
  <si>
    <t>8caf370d</t>
  </si>
  <si>
    <t>villa.kazayo@gmail.com</t>
  </si>
  <si>
    <t>84ffb70a</t>
  </si>
  <si>
    <t>assodecouvertesenterressignees@gmail.com</t>
  </si>
  <si>
    <t>5e71a1c2</t>
  </si>
  <si>
    <t>e654b3f6</t>
  </si>
  <si>
    <t>7b527ff5</t>
  </si>
  <si>
    <t>359348c3</t>
  </si>
  <si>
    <t>24e8eed0</t>
  </si>
  <si>
    <t>795fd3dd</t>
  </si>
  <si>
    <t>6354d239</t>
  </si>
  <si>
    <t>2e5e184f</t>
  </si>
  <si>
    <t>abdde238</t>
  </si>
  <si>
    <t>femme de M. Hoareau</t>
  </si>
  <si>
    <t>fdd587ed</t>
  </si>
  <si>
    <t>57dba6ab</t>
  </si>
  <si>
    <t>4d27cff9</t>
  </si>
  <si>
    <t>75b34f04</t>
  </si>
  <si>
    <t>427f7fa7</t>
  </si>
  <si>
    <t>Le site internet</t>
  </si>
  <si>
    <t>c623e367</t>
  </si>
  <si>
    <t>6fb02af4</t>
  </si>
  <si>
    <t>37f0c327</t>
  </si>
  <si>
    <t>9914cf31</t>
  </si>
  <si>
    <t>f21accf9</t>
  </si>
  <si>
    <t>d566a0e1</t>
  </si>
  <si>
    <t>87a53a29</t>
  </si>
  <si>
    <t>de134b29</t>
  </si>
  <si>
    <t>3786a45b</t>
  </si>
  <si>
    <t>f1e8e64e</t>
  </si>
  <si>
    <t>1a180452</t>
  </si>
  <si>
    <t>70650d13</t>
  </si>
  <si>
    <t>5f40d262</t>
  </si>
  <si>
    <t>73d2b34f</t>
  </si>
  <si>
    <t>f1e58f8e</t>
  </si>
  <si>
    <t>b1a2aa1b</t>
  </si>
  <si>
    <t>2eeb3030</t>
  </si>
  <si>
    <t>01a2ba5a</t>
  </si>
  <si>
    <t>7030ac2f</t>
  </si>
  <si>
    <t>94606b59</t>
  </si>
  <si>
    <t>421e70d8</t>
  </si>
  <si>
    <t>65fa26f1</t>
  </si>
  <si>
    <t>921f2862</t>
  </si>
  <si>
    <t>f4d4955a</t>
  </si>
  <si>
    <t>c657974f</t>
  </si>
  <si>
    <t>657d80f5</t>
  </si>
  <si>
    <t>aafd76bc</t>
  </si>
  <si>
    <t>674b09f7</t>
  </si>
  <si>
    <t>a2e8ea73</t>
  </si>
  <si>
    <t>dc636fc2</t>
  </si>
  <si>
    <t>02a44d9b</t>
  </si>
  <si>
    <t>f543212f</t>
  </si>
  <si>
    <t>a704f233</t>
  </si>
  <si>
    <t>06103d52</t>
  </si>
  <si>
    <t>742ae472</t>
  </si>
  <si>
    <t>852bc6f5</t>
  </si>
  <si>
    <t>Pauline</t>
  </si>
  <si>
    <t>Conjointe</t>
  </si>
  <si>
    <t>serveaumarie@yahoo.fr</t>
  </si>
  <si>
    <t>61899dc5</t>
  </si>
  <si>
    <t>259c0520</t>
  </si>
  <si>
    <t>a321c5c6</t>
  </si>
  <si>
    <t>397a0183</t>
  </si>
  <si>
    <t>S'occupe de la partie administrative</t>
  </si>
  <si>
    <t>lelauret@hotmail.com</t>
  </si>
  <si>
    <t>b64a2ec6</t>
  </si>
  <si>
    <t>e08a9d21</t>
  </si>
  <si>
    <t>829bac22</t>
  </si>
  <si>
    <t>Elizeon</t>
  </si>
  <si>
    <t>Vanessa</t>
  </si>
  <si>
    <t>cogérante</t>
  </si>
  <si>
    <t>elizeonvanes@gmail.com</t>
  </si>
  <si>
    <t>5aac65b0</t>
  </si>
  <si>
    <t>57e0126e</t>
  </si>
  <si>
    <t>directrice</t>
  </si>
  <si>
    <t>direction@enchampthe.com</t>
  </si>
  <si>
    <t>c69d91d1</t>
  </si>
  <si>
    <t>eca02060</t>
  </si>
  <si>
    <t>284016c5</t>
  </si>
  <si>
    <t>b645ae3b</t>
  </si>
  <si>
    <t>1a0763b7</t>
  </si>
  <si>
    <t>oliviercouhault@hotmail.fr</t>
  </si>
  <si>
    <t>cd459ce4</t>
  </si>
  <si>
    <t>LARGOT</t>
  </si>
  <si>
    <t>annelargot58@gmail.com</t>
  </si>
  <si>
    <t>25e7afb5</t>
  </si>
  <si>
    <t>bf3b64e2</t>
  </si>
  <si>
    <t>8767ac83</t>
  </si>
  <si>
    <t>bbedfdaf</t>
  </si>
  <si>
    <t>d4304833</t>
  </si>
  <si>
    <t>propriétaire</t>
  </si>
  <si>
    <t>jeanphilippetecher97480@gmail.com</t>
  </si>
  <si>
    <t>30f40e7d</t>
  </si>
  <si>
    <t>c85b116e</t>
  </si>
  <si>
    <t>dec6287a</t>
  </si>
  <si>
    <t>d8936d26</t>
  </si>
  <si>
    <t>1806215c</t>
  </si>
  <si>
    <t>ede7bc6b</t>
  </si>
  <si>
    <t>35a4315f</t>
  </si>
  <si>
    <t>35fd5c1b</t>
  </si>
  <si>
    <t>12c6782a</t>
  </si>
  <si>
    <t>Gites de france</t>
  </si>
  <si>
    <t>dc0ea745</t>
  </si>
  <si>
    <t>70df2f76</t>
  </si>
  <si>
    <t>86f81139</t>
  </si>
  <si>
    <t>0693 11 73 85</t>
  </si>
  <si>
    <t>3344b558</t>
  </si>
  <si>
    <t>751fb437</t>
  </si>
  <si>
    <t>a6828882</t>
  </si>
  <si>
    <t>1d909f71</t>
  </si>
  <si>
    <t>a98d7608</t>
  </si>
  <si>
    <t>783cfa83</t>
  </si>
  <si>
    <t>hoarau.emeline@gmail.com</t>
  </si>
  <si>
    <t>bacf5014</t>
  </si>
  <si>
    <t>e12d869e</t>
  </si>
  <si>
    <t>2670025c</t>
  </si>
  <si>
    <t>1be714cf</t>
  </si>
  <si>
    <t>39113285</t>
  </si>
  <si>
    <t>cffc0608</t>
  </si>
  <si>
    <t>ALLEYRON-BIRON</t>
  </si>
  <si>
    <t>gregalleyron974@gmail.com</t>
  </si>
  <si>
    <t>a9cdf52f</t>
  </si>
  <si>
    <t>Id_Tarifs</t>
  </si>
  <si>
    <t>Mini</t>
  </si>
  <si>
    <t>3ad2452b</t>
  </si>
  <si>
    <t>à partir de 2 nuits</t>
  </si>
  <si>
    <t>chambre double/bungalow/nuit</t>
  </si>
  <si>
    <t>0e12d7f7</t>
  </si>
  <si>
    <t>chambre double/bungalow/semaine</t>
  </si>
  <si>
    <t>43e06f3d</t>
  </si>
  <si>
    <t>pers./nuit</t>
  </si>
  <si>
    <t>9c89e1db</t>
  </si>
  <si>
    <t>8c774d86</t>
  </si>
  <si>
    <t>82799188</t>
  </si>
  <si>
    <t>179bce10</t>
  </si>
  <si>
    <t>À partir de</t>
  </si>
  <si>
    <t>f28c88ba</t>
  </si>
  <si>
    <t>4d1a49a4</t>
  </si>
  <si>
    <t>Carte postale</t>
  </si>
  <si>
    <t>f5ca46b7</t>
  </si>
  <si>
    <t>41c32123</t>
  </si>
  <si>
    <t>chambre double avec petit déjeuner/pers./repas</t>
  </si>
  <si>
    <t>683ef605</t>
  </si>
  <si>
    <t>chambre double avec petit déjeuner/pers./repas/dortoir</t>
  </si>
  <si>
    <t>4f63e8da</t>
  </si>
  <si>
    <t>repas/dortoir/enfant</t>
  </si>
  <si>
    <t>bbe95593</t>
  </si>
  <si>
    <t>8c60f576</t>
  </si>
  <si>
    <t>86ce4f88</t>
  </si>
  <si>
    <t>0ddc4548</t>
  </si>
  <si>
    <t>Enfants</t>
  </si>
  <si>
    <t>1eb61818</t>
  </si>
  <si>
    <t>Minimum 6 personnes</t>
  </si>
  <si>
    <t>fcae823e</t>
  </si>
  <si>
    <t>fa4d5eba</t>
  </si>
  <si>
    <t>1f1453a5</t>
  </si>
  <si>
    <t>chambre double avec petit déjeuner/nuit</t>
  </si>
  <si>
    <t>0fed1234</t>
  </si>
  <si>
    <t>41758127</t>
  </si>
  <si>
    <t>386f0c7d</t>
  </si>
  <si>
    <t>Repas</t>
  </si>
  <si>
    <t>b437ad0f</t>
  </si>
  <si>
    <t>9d656eb3</t>
  </si>
  <si>
    <t>Au delà de 4 personnes</t>
  </si>
  <si>
    <t>b421c50c</t>
  </si>
  <si>
    <t>4 pers plus 20€ linge de maison</t>
  </si>
  <si>
    <t>33571828</t>
  </si>
  <si>
    <t>7fa68df4</t>
  </si>
  <si>
    <t>fbb9a9ee</t>
  </si>
  <si>
    <t>f72cc479</t>
  </si>
  <si>
    <t>d01ae9bc</t>
  </si>
  <si>
    <t>d338118f</t>
  </si>
  <si>
    <t>f00eaeca</t>
  </si>
  <si>
    <t>add91c96</t>
  </si>
  <si>
    <t>1845922f</t>
  </si>
  <si>
    <t>chambre double/nuit</t>
  </si>
  <si>
    <t>cc2f4784</t>
  </si>
  <si>
    <t>49c9ad91</t>
  </si>
  <si>
    <t>a7451634</t>
  </si>
  <si>
    <t>a70a6aec</t>
  </si>
  <si>
    <t>5a414a6a</t>
  </si>
  <si>
    <t>bungalow/nuit</t>
  </si>
  <si>
    <t>dcea6563</t>
  </si>
  <si>
    <t>studio/nuit</t>
  </si>
  <si>
    <t>2aa20785</t>
  </si>
  <si>
    <t>c5d0fdc4</t>
  </si>
  <si>
    <t>b59f595c</t>
  </si>
  <si>
    <t>par nuit</t>
  </si>
  <si>
    <t>aaba456a</t>
  </si>
  <si>
    <t>a1e986c5</t>
  </si>
  <si>
    <t>77796213</t>
  </si>
  <si>
    <t>6b1106dc</t>
  </si>
  <si>
    <t>3ee522e6</t>
  </si>
  <si>
    <t>69e0086d</t>
  </si>
  <si>
    <t>cc0e5edf</t>
  </si>
  <si>
    <t>Apéritif/Entrée/plat/dessert</t>
  </si>
  <si>
    <t>repas/pers.</t>
  </si>
  <si>
    <t>3e192c5a</t>
  </si>
  <si>
    <t>3198b8fd</t>
  </si>
  <si>
    <t>1f7392c3</t>
  </si>
  <si>
    <t>aaa4661f</t>
  </si>
  <si>
    <t>a5eb42d1</t>
  </si>
  <si>
    <t>84e99ac5</t>
  </si>
  <si>
    <t>612a909c</t>
  </si>
  <si>
    <t>295252a5</t>
  </si>
  <si>
    <t>9a5a1b06</t>
  </si>
  <si>
    <t>afd42df4</t>
  </si>
  <si>
    <t>8c5a778c</t>
  </si>
  <si>
    <t>Pour 6 personnes</t>
  </si>
  <si>
    <t>f63a13bd</t>
  </si>
  <si>
    <t>9f65124c</t>
  </si>
  <si>
    <t>1b9fdfb0</t>
  </si>
  <si>
    <t>f2448882</t>
  </si>
  <si>
    <t>76e761d1</t>
  </si>
  <si>
    <t>Pour 14 personnes</t>
  </si>
  <si>
    <t>0e602b50</t>
  </si>
  <si>
    <t>a1cb58a4</t>
  </si>
  <si>
    <t>69fc18a1</t>
  </si>
  <si>
    <t>Visite libre</t>
  </si>
  <si>
    <t>7de76199</t>
  </si>
  <si>
    <t>49a44e64</t>
  </si>
  <si>
    <t>ccdbe4e3</t>
  </si>
  <si>
    <t>665d1edb</t>
  </si>
  <si>
    <t>38b6819a</t>
  </si>
  <si>
    <t>56a7a6dd</t>
  </si>
  <si>
    <t>4a66e29f</t>
  </si>
  <si>
    <t>d667e633</t>
  </si>
  <si>
    <t>06cedd9e</t>
  </si>
  <si>
    <t>0fa4efe0</t>
  </si>
  <si>
    <t>à partir de 4 nuits</t>
  </si>
  <si>
    <t>8bc19fd8</t>
  </si>
  <si>
    <t>06e473a9</t>
  </si>
  <si>
    <t>62254b0b</t>
  </si>
  <si>
    <t>bungalow/semaine</t>
  </si>
  <si>
    <t>a98962b4</t>
  </si>
  <si>
    <t>984b20aa</t>
  </si>
  <si>
    <t>produit/pers.</t>
  </si>
  <si>
    <t>52a6b877</t>
  </si>
  <si>
    <t>5bf7dcf6</t>
  </si>
  <si>
    <t>60ccba73</t>
  </si>
  <si>
    <t>410c4163</t>
  </si>
  <si>
    <t>pour 10 personnes</t>
  </si>
  <si>
    <t>b96d1b55</t>
  </si>
  <si>
    <t>7af02af5</t>
  </si>
  <si>
    <t>pour 8 personnes</t>
  </si>
  <si>
    <t>a1af35ea</t>
  </si>
  <si>
    <t>fa5f4936</t>
  </si>
  <si>
    <t>b9140af4</t>
  </si>
  <si>
    <t>4 personnes</t>
  </si>
  <si>
    <t>8f52d8e9</t>
  </si>
  <si>
    <t>à partir de 5 nuits</t>
  </si>
  <si>
    <t>36c532cc</t>
  </si>
  <si>
    <t>924e784f</t>
  </si>
  <si>
    <t>stage</t>
  </si>
  <si>
    <t>b6be5901</t>
  </si>
  <si>
    <t>d8899cf6</t>
  </si>
  <si>
    <t>27fd600a</t>
  </si>
  <si>
    <t>demi-journée</t>
  </si>
  <si>
    <t>7ecca7cd</t>
  </si>
  <si>
    <t>b6d9e977</t>
  </si>
  <si>
    <t>basse saison</t>
  </si>
  <si>
    <t>955d1a2b</t>
  </si>
  <si>
    <t>86efaa6f</t>
  </si>
  <si>
    <t>b906370f</t>
  </si>
  <si>
    <t>245d8400</t>
  </si>
  <si>
    <t>repas/produit</t>
  </si>
  <si>
    <t>11e2e0c6</t>
  </si>
  <si>
    <t>bcb7cc55</t>
  </si>
  <si>
    <t>a7b72292</t>
  </si>
  <si>
    <t>2f3b9df0</t>
  </si>
  <si>
    <t>d859f4e7</t>
  </si>
  <si>
    <t>b728972d</t>
  </si>
  <si>
    <t>6fc6fc9e</t>
  </si>
  <si>
    <t>88fa5884</t>
  </si>
  <si>
    <t>9524d471</t>
  </si>
  <si>
    <t>6c489472</t>
  </si>
  <si>
    <t>Adulte et enfant</t>
  </si>
  <si>
    <t>82b30adc</t>
  </si>
  <si>
    <t>70b4ae5b</t>
  </si>
  <si>
    <t>44f30527</t>
  </si>
  <si>
    <t>01e0fc17</t>
  </si>
  <si>
    <t>05f1fac8</t>
  </si>
  <si>
    <t>chambre double/pers./nuit</t>
  </si>
  <si>
    <t>54f14336</t>
  </si>
  <si>
    <t>chambre double avec petit déjeuner/pers./nuit</t>
  </si>
  <si>
    <t>5449aca2</t>
  </si>
  <si>
    <t>3d66e0de</t>
  </si>
  <si>
    <t>92e303db</t>
  </si>
  <si>
    <t>ab6fac2e</t>
  </si>
  <si>
    <t>8a59334c</t>
  </si>
  <si>
    <t>5f698947</t>
  </si>
  <si>
    <t>14f28459</t>
  </si>
  <si>
    <t>enfant jusqu'à 10 ans</t>
  </si>
  <si>
    <t>ab305c28</t>
  </si>
  <si>
    <t>47ff4428</t>
  </si>
  <si>
    <t>8 personnes</t>
  </si>
  <si>
    <t>8b9b83bb</t>
  </si>
  <si>
    <t>8c1f5be1</t>
  </si>
  <si>
    <t>374bc049</t>
  </si>
  <si>
    <t>9035ccf3</t>
  </si>
  <si>
    <t>2a21747f</t>
  </si>
  <si>
    <t>05d28f56</t>
  </si>
  <si>
    <t>b1d2829d</t>
  </si>
  <si>
    <t>a5d1137e</t>
  </si>
  <si>
    <t>16fd587a</t>
  </si>
  <si>
    <t>89d446eb</t>
  </si>
  <si>
    <t>ec3fe688</t>
  </si>
  <si>
    <t>0babcae1</t>
  </si>
  <si>
    <t>petit-déjeuner</t>
  </si>
  <si>
    <t>0f497daa</t>
  </si>
  <si>
    <t>9ba99f30</t>
  </si>
  <si>
    <t>fda27e02</t>
  </si>
  <si>
    <t>5934e00d</t>
  </si>
  <si>
    <t>Maximum 6 personnes</t>
  </si>
  <si>
    <t>31d6f634</t>
  </si>
  <si>
    <t>87a30ea7</t>
  </si>
  <si>
    <t>eacfca3b</t>
  </si>
  <si>
    <t>3ce072e1</t>
  </si>
  <si>
    <t>5d2bd5a0</t>
  </si>
  <si>
    <t>chambre simple avec petit-déjeuner/nuit</t>
  </si>
  <si>
    <t>99e5b104</t>
  </si>
  <si>
    <t>4593ce11</t>
  </si>
  <si>
    <t>24b755ab</t>
  </si>
  <si>
    <t>4495e0fe</t>
  </si>
  <si>
    <t>de 5 à 11 ans</t>
  </si>
  <si>
    <t>2e4d6a5f</t>
  </si>
  <si>
    <t>Adulte</t>
  </si>
  <si>
    <t>f0a88c2d</t>
  </si>
  <si>
    <t>/semaine pour 2 personnes</t>
  </si>
  <si>
    <t>555c1fb7</t>
  </si>
  <si>
    <t>/semaine pour 4 personnes</t>
  </si>
  <si>
    <t>18f7d58f</t>
  </si>
  <si>
    <t>12741d3c</t>
  </si>
  <si>
    <t>/nuit pour 2 personnes</t>
  </si>
  <si>
    <t>c28c2634</t>
  </si>
  <si>
    <t>cc73ec92</t>
  </si>
  <si>
    <t>ffcdc74a</t>
  </si>
  <si>
    <t>9ec631cd</t>
  </si>
  <si>
    <t>6d66ee22</t>
  </si>
  <si>
    <t>d18ad88d</t>
  </si>
  <si>
    <t>8bf96c0b</t>
  </si>
  <si>
    <t>01d9fcc7</t>
  </si>
  <si>
    <t>à partir de 3 nuits pour 4 personnes</t>
  </si>
  <si>
    <t>f9619a18</t>
  </si>
  <si>
    <t>dd771a6f</t>
  </si>
  <si>
    <t>df31f4b4</t>
  </si>
  <si>
    <t>467ccfc1</t>
  </si>
  <si>
    <t>78021a47</t>
  </si>
  <si>
    <t>e0fff956</t>
  </si>
  <si>
    <t>7c75f72c</t>
  </si>
  <si>
    <t>à partir de 7 nuits</t>
  </si>
  <si>
    <t>6c8efc76</t>
  </si>
  <si>
    <t>acec8d12</t>
  </si>
  <si>
    <t>repas/article/produit</t>
  </si>
  <si>
    <t>da182f94</t>
  </si>
  <si>
    <t>23b81b6e</t>
  </si>
  <si>
    <t>259d1edc</t>
  </si>
  <si>
    <t>Le café</t>
  </si>
  <si>
    <t>5503a8a8</t>
  </si>
  <si>
    <t>e619951d</t>
  </si>
  <si>
    <t>2126582d</t>
  </si>
  <si>
    <t>a502e9c7</t>
  </si>
  <si>
    <t>d4c58699</t>
  </si>
  <si>
    <t>4b2d18a9</t>
  </si>
  <si>
    <t>475f06c6</t>
  </si>
  <si>
    <t>8a6ffe02</t>
  </si>
  <si>
    <t>58baf055</t>
  </si>
  <si>
    <t>66d79859</t>
  </si>
  <si>
    <t>2b8a40d9</t>
  </si>
  <si>
    <t>cb787f8e</t>
  </si>
  <si>
    <t>3347a283</t>
  </si>
  <si>
    <t>76924f2c</t>
  </si>
  <si>
    <t>50844c4e</t>
  </si>
  <si>
    <t>392a45cf</t>
  </si>
  <si>
    <t>43995cbb</t>
  </si>
  <si>
    <t>60f5acfd</t>
  </si>
  <si>
    <t>183c6e97</t>
  </si>
  <si>
    <t>chambre double/semaine</t>
  </si>
  <si>
    <t>ba3724fa</t>
  </si>
  <si>
    <t>5cdfe9b6</t>
  </si>
  <si>
    <t>bd926df4</t>
  </si>
  <si>
    <t>la minute</t>
  </si>
  <si>
    <t>58552bd7</t>
  </si>
  <si>
    <t>a553e3e6</t>
  </si>
  <si>
    <t>da2248f0</t>
  </si>
  <si>
    <t>d7a30805</t>
  </si>
  <si>
    <t>f2fe0743</t>
  </si>
  <si>
    <t>à partir de 5 personnes</t>
  </si>
  <si>
    <t>3184a444</t>
  </si>
  <si>
    <t>bungalow/week-end</t>
  </si>
  <si>
    <t>cc2e0ee6</t>
  </si>
  <si>
    <t>1e7e42a7</t>
  </si>
  <si>
    <t>bungalow/week-end/nuit</t>
  </si>
  <si>
    <t>914e1b2e</t>
  </si>
  <si>
    <t>bungalow/semaine/nuit</t>
  </si>
  <si>
    <t>45da3b9e</t>
  </si>
  <si>
    <t>a7d2b347</t>
  </si>
  <si>
    <t>5e74c9fe</t>
  </si>
  <si>
    <t>b6d439ca</t>
  </si>
  <si>
    <t>5a710283</t>
  </si>
  <si>
    <t>visite libre</t>
  </si>
  <si>
    <t>db28f034</t>
  </si>
  <si>
    <t>66a6bf7b</t>
  </si>
  <si>
    <t>visite guidée</t>
  </si>
  <si>
    <t>38cb6c56</t>
  </si>
  <si>
    <t>f8949539</t>
  </si>
  <si>
    <t>d982a8a7</t>
  </si>
  <si>
    <t>097589d4</t>
  </si>
  <si>
    <t>maximum 10 personnes</t>
  </si>
  <si>
    <t>023d8ebc</t>
  </si>
  <si>
    <t>a0280969</t>
  </si>
  <si>
    <t>ae07bf86</t>
  </si>
  <si>
    <t>de 2 à 12 ans</t>
  </si>
  <si>
    <t>b4db54ed</t>
  </si>
  <si>
    <t>à partir de 13 ans</t>
  </si>
  <si>
    <t>7799baf0</t>
  </si>
  <si>
    <t>8271ee66</t>
  </si>
  <si>
    <t>bb356176</t>
  </si>
  <si>
    <t>fb8b4618</t>
  </si>
  <si>
    <t>de 8 à 11 ans</t>
  </si>
  <si>
    <t>040328cf</t>
  </si>
  <si>
    <t>5dc9f79f</t>
  </si>
  <si>
    <t>c40626b9</t>
  </si>
  <si>
    <t>826d2ad7</t>
  </si>
  <si>
    <t>e60adcb7</t>
  </si>
  <si>
    <t>5519c31f</t>
  </si>
  <si>
    <t>c3ebf57b</t>
  </si>
  <si>
    <t>2de8078c</t>
  </si>
  <si>
    <t>1c3ade97</t>
  </si>
  <si>
    <t>52ea53f0</t>
  </si>
  <si>
    <t>5398d677</t>
  </si>
  <si>
    <t>a32b87b8</t>
  </si>
  <si>
    <t>3f6dbb6d</t>
  </si>
  <si>
    <t>81f5c257</t>
  </si>
  <si>
    <t>f783033a</t>
  </si>
  <si>
    <t>1345325c</t>
  </si>
  <si>
    <t>ca3b96ba</t>
  </si>
  <si>
    <t>440cd559</t>
  </si>
  <si>
    <t>ad252c63</t>
  </si>
  <si>
    <t>932700d7</t>
  </si>
  <si>
    <t>028c5afb</t>
  </si>
  <si>
    <t>08b68fb3</t>
  </si>
  <si>
    <t>3760ec8f</t>
  </si>
  <si>
    <t>9d7833c1</t>
  </si>
  <si>
    <t>58a60e1c</t>
  </si>
  <si>
    <t>à partir de 2 nuits pour 2 personnes</t>
  </si>
  <si>
    <t>b24c9dc5</t>
  </si>
  <si>
    <t>f69d5076</t>
  </si>
  <si>
    <t>7e793f6b</t>
  </si>
  <si>
    <t>df9c6219</t>
  </si>
  <si>
    <t>c9963ce1</t>
  </si>
  <si>
    <t>ce9daf61</t>
  </si>
  <si>
    <t>f3b67adc</t>
  </si>
  <si>
    <t>c47a7447</t>
  </si>
  <si>
    <t>d193ae8f</t>
  </si>
  <si>
    <t>e209dadb</t>
  </si>
  <si>
    <t>A partir de 3 nuits minimum</t>
  </si>
  <si>
    <t>1e70905f</t>
  </si>
  <si>
    <t>31b3e822</t>
  </si>
  <si>
    <t>b4092fd0</t>
  </si>
  <si>
    <t>d51361ef</t>
  </si>
  <si>
    <t>ba19cc15</t>
  </si>
  <si>
    <t>6837b2d6</t>
  </si>
  <si>
    <t>82545dcd</t>
  </si>
  <si>
    <t>1e800a28</t>
  </si>
  <si>
    <t>456d77fc</t>
  </si>
  <si>
    <t>d4bc4b05</t>
  </si>
  <si>
    <t>cdc1a223</t>
  </si>
  <si>
    <t>2f2a5ea3</t>
  </si>
  <si>
    <t>b42bd12a</t>
  </si>
  <si>
    <t>3969f9cf</t>
  </si>
  <si>
    <t>8cfd3b9e</t>
  </si>
  <si>
    <t>40dce782</t>
  </si>
  <si>
    <t>à emporter</t>
  </si>
  <si>
    <t>13f2e4d7</t>
  </si>
  <si>
    <t>53bb409a</t>
  </si>
  <si>
    <t>77a9eda7</t>
  </si>
  <si>
    <t>d481693b</t>
  </si>
  <si>
    <t>b212a05c</t>
  </si>
  <si>
    <t>chambre familiale</t>
  </si>
  <si>
    <t>29d10e35</t>
  </si>
  <si>
    <t>62a0c6af</t>
  </si>
  <si>
    <t>7790ab53</t>
  </si>
  <si>
    <t>fa7aa562</t>
  </si>
  <si>
    <t>chambre double avec petit déjeuner/semaine/nuit</t>
  </si>
  <si>
    <t>a0ec8459</t>
  </si>
  <si>
    <t>chambre double avec petit déjeuner/week-end/nuit</t>
  </si>
  <si>
    <t>ad2294dd</t>
  </si>
  <si>
    <t>6edf2d69</t>
  </si>
  <si>
    <t>0fe543df</t>
  </si>
  <si>
    <t>/nuit pour 4 personnes</t>
  </si>
  <si>
    <t>42293ca8</t>
  </si>
  <si>
    <t>chambre double/week-end/nuit</t>
  </si>
  <si>
    <t>07a1cf68</t>
  </si>
  <si>
    <t>chambre double/semaine/nuit</t>
  </si>
  <si>
    <t>f371c68f</t>
  </si>
  <si>
    <t>b9c52282</t>
  </si>
  <si>
    <t>3dfdd1fd</t>
  </si>
  <si>
    <t>80cddb43</t>
  </si>
  <si>
    <t>à partir de 3 nuits pour 3 personnes</t>
  </si>
  <si>
    <t>nuit/chambre familiale avec petit-déjeuner</t>
  </si>
  <si>
    <t>3412419f</t>
  </si>
  <si>
    <t>3 personnes</t>
  </si>
  <si>
    <t>6aac7485</t>
  </si>
  <si>
    <t>1fd5f662</t>
  </si>
  <si>
    <t>à partir de 3 nuits</t>
  </si>
  <si>
    <t>86910f74</t>
  </si>
  <si>
    <t>1d7e3d6e</t>
  </si>
  <si>
    <t>c3ddf331</t>
  </si>
  <si>
    <t>2e33c565</t>
  </si>
  <si>
    <t>2263952b</t>
  </si>
  <si>
    <t>d1e8541b</t>
  </si>
  <si>
    <t>5d3e3061</t>
  </si>
  <si>
    <t>d289c08a</t>
  </si>
  <si>
    <t>6d7df759</t>
  </si>
  <si>
    <t>60a8ff3b</t>
  </si>
  <si>
    <t>d24b099d</t>
  </si>
  <si>
    <t>680444ea</t>
  </si>
  <si>
    <t>49389cd2</t>
  </si>
  <si>
    <t>3010593a</t>
  </si>
  <si>
    <t>053e6a16</t>
  </si>
  <si>
    <t>4ccc1a55</t>
  </si>
  <si>
    <t>c6339bce</t>
  </si>
  <si>
    <t>114d6895</t>
  </si>
  <si>
    <t>e41d6945</t>
  </si>
  <si>
    <t>60295452</t>
  </si>
  <si>
    <t>e8a2a012</t>
  </si>
  <si>
    <t>a84ebe27</t>
  </si>
  <si>
    <t>91923a4f</t>
  </si>
  <si>
    <t>menu à volonté (entrée plat)</t>
  </si>
  <si>
    <t>2a07ebc0</t>
  </si>
  <si>
    <t>9beafbb5</t>
  </si>
  <si>
    <t>f73327c0</t>
  </si>
  <si>
    <t>6523fe61</t>
  </si>
  <si>
    <t>9b4f5abc</t>
  </si>
  <si>
    <t>45baeff6</t>
  </si>
  <si>
    <t>5d19330e</t>
  </si>
  <si>
    <t>7a95766c</t>
  </si>
  <si>
    <t>57bbb8b0</t>
  </si>
  <si>
    <t>9cd6c448</t>
  </si>
  <si>
    <t>6f5a8bd3</t>
  </si>
  <si>
    <t>à partir de 2 nuits pour 3 personnes</t>
  </si>
  <si>
    <t>4db1f1bf</t>
  </si>
  <si>
    <t>9445eef9</t>
  </si>
  <si>
    <t>9478fac0</t>
  </si>
  <si>
    <t>65e8e47c</t>
  </si>
  <si>
    <t>e72932bb</t>
  </si>
  <si>
    <t>7105c5a7</t>
  </si>
  <si>
    <t>d0fe75bd</t>
  </si>
  <si>
    <t>91d624e4</t>
  </si>
  <si>
    <t>pers./semaine/nuit</t>
  </si>
  <si>
    <t>65a3991f</t>
  </si>
  <si>
    <t>pers./week-end/nuit</t>
  </si>
  <si>
    <t>348ee701</t>
  </si>
  <si>
    <t>nuit/enfant</t>
  </si>
  <si>
    <t>c98c648a</t>
  </si>
  <si>
    <t>6f26f540</t>
  </si>
  <si>
    <t>5b05037c</t>
  </si>
  <si>
    <t>haute saison</t>
  </si>
  <si>
    <t>0acdee0e</t>
  </si>
  <si>
    <t>47ded933</t>
  </si>
  <si>
    <t>c3e9216f</t>
  </si>
  <si>
    <t>1579e71e</t>
  </si>
  <si>
    <t>3d56ddbb</t>
  </si>
  <si>
    <t>7d2705e6</t>
  </si>
  <si>
    <t>4cc2374b</t>
  </si>
  <si>
    <t>Repas du soir</t>
  </si>
  <si>
    <t>beb61d11</t>
  </si>
  <si>
    <t>de180e10</t>
  </si>
  <si>
    <t>5fe788f7</t>
  </si>
  <si>
    <t>24cc1e1f</t>
  </si>
  <si>
    <t>pers./week-end</t>
  </si>
  <si>
    <t>279be1d4</t>
  </si>
  <si>
    <t>semaine/nuit</t>
  </si>
  <si>
    <t>de84859f</t>
  </si>
  <si>
    <t>9393dac6</t>
  </si>
  <si>
    <t>fc0fd001</t>
  </si>
  <si>
    <t>d0bee10c</t>
  </si>
  <si>
    <t>25ea2ec1</t>
  </si>
  <si>
    <t>251aaca5</t>
  </si>
  <si>
    <t>3e2e7f7d</t>
  </si>
  <si>
    <t>dbf92b64</t>
  </si>
  <si>
    <t>b5f00219</t>
  </si>
  <si>
    <t>6840a239</t>
  </si>
  <si>
    <t>2e5ce9d1</t>
  </si>
  <si>
    <t>studio/semaine</t>
  </si>
  <si>
    <t>fb5b41fe</t>
  </si>
  <si>
    <t>0f050044</t>
  </si>
  <si>
    <t>ba185672</t>
  </si>
  <si>
    <t>a9b7e0fa</t>
  </si>
  <si>
    <t>la journée</t>
  </si>
  <si>
    <t>2590f7dc</t>
  </si>
  <si>
    <t>aa7e4ef7</t>
  </si>
  <si>
    <t>99fe1762</t>
  </si>
  <si>
    <t>56f87385</t>
  </si>
  <si>
    <t>à partir de 10 personnes</t>
  </si>
  <si>
    <t>d156f139</t>
  </si>
  <si>
    <t>à partir de 20 personnes</t>
  </si>
  <si>
    <t>6f4c924e</t>
  </si>
  <si>
    <t>à partir de 15 personnes</t>
  </si>
  <si>
    <t>110af027</t>
  </si>
  <si>
    <t>144d2c38</t>
  </si>
  <si>
    <t>8c6a3f02</t>
  </si>
  <si>
    <t>3dac8b23</t>
  </si>
  <si>
    <t>73b0fbc7</t>
  </si>
  <si>
    <t>a8d5105c</t>
  </si>
  <si>
    <t>86254ad4</t>
  </si>
  <si>
    <t>repas/produit/pers.</t>
  </si>
  <si>
    <t>a5f80279</t>
  </si>
  <si>
    <t>repas/produit/enfant</t>
  </si>
  <si>
    <t>66b27f5b</t>
  </si>
  <si>
    <t>b2894337</t>
  </si>
  <si>
    <t>week-end/nuit</t>
  </si>
  <si>
    <t>ad8c6135</t>
  </si>
  <si>
    <t>c7984c66</t>
  </si>
  <si>
    <t>en semaine</t>
  </si>
  <si>
    <t>d89b56db</t>
  </si>
  <si>
    <t>1811d363</t>
  </si>
  <si>
    <t>1bf2795f</t>
  </si>
  <si>
    <t>dfffde7a</t>
  </si>
  <si>
    <t>3a4f52f1</t>
  </si>
  <si>
    <t>6bd9468f</t>
  </si>
  <si>
    <t>aa835543</t>
  </si>
  <si>
    <t>443f7120</t>
  </si>
  <si>
    <t>1f594677</t>
  </si>
  <si>
    <t>d56dd8e2</t>
  </si>
  <si>
    <t>6b3468b9</t>
  </si>
  <si>
    <t>cb4fd745</t>
  </si>
  <si>
    <t>95ed5202</t>
  </si>
  <si>
    <t>751746ec</t>
  </si>
  <si>
    <t>91e7d988</t>
  </si>
  <si>
    <t>91a92884</t>
  </si>
  <si>
    <t>b1f8c666</t>
  </si>
  <si>
    <t>pers./semaine</t>
  </si>
  <si>
    <t>686308bc</t>
  </si>
  <si>
    <t>eb42e918</t>
  </si>
  <si>
    <t>bea2b3f8</t>
  </si>
  <si>
    <t>f65fa890</t>
  </si>
  <si>
    <t>daa031a2</t>
  </si>
  <si>
    <t>8d8ba96c</t>
  </si>
  <si>
    <t>chambre double/studio/week-end/nuit</t>
  </si>
  <si>
    <t>598e15dc</t>
  </si>
  <si>
    <t>chambre double/studio/semaine/nuit</t>
  </si>
  <si>
    <t>99523dd4</t>
  </si>
  <si>
    <t>0c84d0f4</t>
  </si>
  <si>
    <t>6c90d91e</t>
  </si>
  <si>
    <t>b3423fd0</t>
  </si>
  <si>
    <t>dea0a031</t>
  </si>
  <si>
    <t>99e9fea9</t>
  </si>
  <si>
    <t>Dessert</t>
  </si>
  <si>
    <t>c395a754</t>
  </si>
  <si>
    <t>repas/enfant</t>
  </si>
  <si>
    <t>8f95b103</t>
  </si>
  <si>
    <t>visite et dégustation</t>
  </si>
  <si>
    <t>7194d23a</t>
  </si>
  <si>
    <t>9bc3328c</t>
  </si>
  <si>
    <t>5f919fe1</t>
  </si>
  <si>
    <t>c7c8b9bf</t>
  </si>
  <si>
    <t>ff17cd2e</t>
  </si>
  <si>
    <t>fe6963c3</t>
  </si>
  <si>
    <t>6c5ce57c</t>
  </si>
  <si>
    <t>4a419514</t>
  </si>
  <si>
    <t>33f6e94e</t>
  </si>
  <si>
    <t>1c75d1a1</t>
  </si>
  <si>
    <t>793246ea</t>
  </si>
  <si>
    <t>d6bc3afb</t>
  </si>
  <si>
    <t>c7469ba2</t>
  </si>
  <si>
    <t>381f8098</t>
  </si>
  <si>
    <t>d21caa4b</t>
  </si>
  <si>
    <t>25869438</t>
  </si>
  <si>
    <t>c95411e4</t>
  </si>
  <si>
    <t>18b56e02</t>
  </si>
  <si>
    <t>f0995bf3</t>
  </si>
  <si>
    <t>81c7ac6e</t>
  </si>
  <si>
    <t>192e813a</t>
  </si>
  <si>
    <t>a58f8079</t>
  </si>
  <si>
    <t>ee13750a</t>
  </si>
  <si>
    <t>9dc83c4a</t>
  </si>
  <si>
    <t>28c3f196</t>
  </si>
  <si>
    <t>403a8561</t>
  </si>
  <si>
    <t>1408205d</t>
  </si>
  <si>
    <t>e572198a</t>
  </si>
  <si>
    <t>eee5f390</t>
  </si>
  <si>
    <t>fad3f998</t>
  </si>
  <si>
    <t>le week-end (vendredi et samedi)</t>
  </si>
  <si>
    <t>31e8681e</t>
  </si>
  <si>
    <t>d382f831</t>
  </si>
  <si>
    <t>7b11b6be</t>
  </si>
  <si>
    <t>0766bca8</t>
  </si>
  <si>
    <t>89af6df1</t>
  </si>
  <si>
    <t>6270f596</t>
  </si>
  <si>
    <t>60fa405a</t>
  </si>
  <si>
    <t>5e300bd5</t>
  </si>
  <si>
    <t>a6810639</t>
  </si>
  <si>
    <t>0e33f09c</t>
  </si>
  <si>
    <t>f75677e9</t>
  </si>
  <si>
    <t>magnet</t>
  </si>
  <si>
    <t>644a893e</t>
  </si>
  <si>
    <t>11bc2f7d</t>
  </si>
  <si>
    <t>7480bbe0</t>
  </si>
  <si>
    <t>51ccc692</t>
  </si>
  <si>
    <t>e805b172</t>
  </si>
  <si>
    <t>d92de1c8</t>
  </si>
  <si>
    <t>fbfbbab0</t>
  </si>
  <si>
    <t>7ad96c34</t>
  </si>
  <si>
    <t>135c0937</t>
  </si>
  <si>
    <t>becabfcd</t>
  </si>
  <si>
    <t>c8184d8b</t>
  </si>
  <si>
    <t>50dda688</t>
  </si>
  <si>
    <t>509b84d9</t>
  </si>
  <si>
    <t>4811b297</t>
  </si>
  <si>
    <t>2bf89d8c</t>
  </si>
  <si>
    <t>d2d451d3</t>
  </si>
  <si>
    <t>bd1c6277</t>
  </si>
  <si>
    <t>559a2d96</t>
  </si>
  <si>
    <t>8c65c4af</t>
  </si>
  <si>
    <t>a931231a</t>
  </si>
  <si>
    <t>2f94b97a</t>
  </si>
  <si>
    <t>72b80ad4</t>
  </si>
  <si>
    <t>75bb1d6d</t>
  </si>
  <si>
    <t>ea4c3cbe</t>
  </si>
  <si>
    <t>9d1ffdd6</t>
  </si>
  <si>
    <t>810e811b</t>
  </si>
  <si>
    <t>210fb552</t>
  </si>
  <si>
    <t>2b8ab958</t>
  </si>
  <si>
    <t>avec matériel</t>
  </si>
  <si>
    <t>0608802f</t>
  </si>
  <si>
    <t>db5b2914</t>
  </si>
  <si>
    <t>9dc990fa</t>
  </si>
  <si>
    <t>fffd9e38</t>
  </si>
  <si>
    <t>mois</t>
  </si>
  <si>
    <t>149f8d92</t>
  </si>
  <si>
    <t>12cb8da2</t>
  </si>
  <si>
    <t>4fa21008</t>
  </si>
  <si>
    <t>b5fd4f7d</t>
  </si>
  <si>
    <t>d41ef2a4</t>
  </si>
  <si>
    <t>55572351</t>
  </si>
  <si>
    <t>248a1023</t>
  </si>
  <si>
    <t>0287c369</t>
  </si>
  <si>
    <t>52c5dd26</t>
  </si>
  <si>
    <t>4e7268f6</t>
  </si>
  <si>
    <t>665cd7ec</t>
  </si>
  <si>
    <t>56e0e391</t>
  </si>
  <si>
    <t>9a8140cc</t>
  </si>
  <si>
    <t>e0733a41</t>
  </si>
  <si>
    <t>fb17462d</t>
  </si>
  <si>
    <t>4a0ba73b</t>
  </si>
  <si>
    <t>d3f815a1</t>
  </si>
  <si>
    <t>2aae1909</t>
  </si>
  <si>
    <t>927a6865</t>
  </si>
  <si>
    <t>899df093</t>
  </si>
  <si>
    <t>8f1f3355</t>
  </si>
  <si>
    <t>par nuit en demi-pension (repas + petit déjeuner)</t>
  </si>
  <si>
    <t>bd4c8d89</t>
  </si>
  <si>
    <t>dc2f8673</t>
  </si>
  <si>
    <t>en tente équipée pour 3 personnes + demi pension</t>
  </si>
  <si>
    <t>0da14c37</t>
  </si>
  <si>
    <t>9fb9aabb</t>
  </si>
  <si>
    <t>0ac35973</t>
  </si>
  <si>
    <t>chambre supérieur/ nuit</t>
  </si>
  <si>
    <t>186625aa</t>
  </si>
  <si>
    <t>588ac8df</t>
  </si>
  <si>
    <t>372b5d53</t>
  </si>
  <si>
    <t>familiale</t>
  </si>
  <si>
    <t>3265610f</t>
  </si>
  <si>
    <t>triple</t>
  </si>
  <si>
    <t>2e1af626</t>
  </si>
  <si>
    <t>31251c4d</t>
  </si>
  <si>
    <t>b70c3d43</t>
  </si>
  <si>
    <t>8901dac5</t>
  </si>
  <si>
    <t>7070cde7</t>
  </si>
  <si>
    <t>517570aa</t>
  </si>
  <si>
    <t>6a7ae152</t>
  </si>
  <si>
    <t>b8150a58</t>
  </si>
  <si>
    <t>f91fcc5f</t>
  </si>
  <si>
    <t>a044db46</t>
  </si>
  <si>
    <t>d1c2a38d</t>
  </si>
  <si>
    <t>a65cdd31</t>
  </si>
  <si>
    <t>5f58aedd</t>
  </si>
  <si>
    <t>8bdb6832</t>
  </si>
  <si>
    <t>fc13f18d</t>
  </si>
  <si>
    <t>61e649e0</t>
  </si>
  <si>
    <t>621e7ce0</t>
  </si>
  <si>
    <t>c4404cf5</t>
  </si>
  <si>
    <t>734dd4b7</t>
  </si>
  <si>
    <t>ee7a4769</t>
  </si>
  <si>
    <t>1c8b303f</t>
  </si>
  <si>
    <t>8ce187f6</t>
  </si>
  <si>
    <t>plat du jour</t>
  </si>
  <si>
    <t>1e5a20cf</t>
  </si>
  <si>
    <t>afb0a6ea</t>
  </si>
  <si>
    <t>6258079a</t>
  </si>
  <si>
    <t>a4462d1b</t>
  </si>
  <si>
    <t>23d59485</t>
  </si>
  <si>
    <t>l'atelier</t>
  </si>
  <si>
    <t>de21cbfb</t>
  </si>
  <si>
    <t>ad86cced</t>
  </si>
  <si>
    <t>cd52d7aa</t>
  </si>
  <si>
    <t>chambre double/pers.</t>
  </si>
  <si>
    <t>e7800fa1</t>
  </si>
  <si>
    <t>pers./dortoir</t>
  </si>
  <si>
    <t>cf6a2ac5</t>
  </si>
  <si>
    <t>dortoir/enfant</t>
  </si>
  <si>
    <t>d7c3c68a</t>
  </si>
  <si>
    <t>a3445588</t>
  </si>
  <si>
    <t>428461a2</t>
  </si>
  <si>
    <t>ba27a267</t>
  </si>
  <si>
    <t>4fdebc91</t>
  </si>
  <si>
    <t>2f081e95</t>
  </si>
  <si>
    <t>f859acd7</t>
  </si>
  <si>
    <t>78b16069</t>
  </si>
  <si>
    <t>f2a579c4</t>
  </si>
  <si>
    <t>249617dc</t>
  </si>
  <si>
    <t>b89aa3c3</t>
  </si>
  <si>
    <t>01a5066f</t>
  </si>
  <si>
    <t>2b8dd70f</t>
  </si>
  <si>
    <t>505b5430</t>
  </si>
  <si>
    <t>9c6ae400</t>
  </si>
  <si>
    <t>9bca68c1</t>
  </si>
  <si>
    <t>74919708</t>
  </si>
  <si>
    <t>0723b9c7</t>
  </si>
  <si>
    <t>edf44da7</t>
  </si>
  <si>
    <t>420a93f2</t>
  </si>
  <si>
    <t>87b4701a</t>
  </si>
  <si>
    <t>66422db3</t>
  </si>
  <si>
    <t>8955c99b</t>
  </si>
  <si>
    <t>534673a2</t>
  </si>
  <si>
    <t>c4e4a875</t>
  </si>
  <si>
    <t>a136324d</t>
  </si>
  <si>
    <t>9f25d36c</t>
  </si>
  <si>
    <t>6020f041</t>
  </si>
  <si>
    <t>9aa26e12</t>
  </si>
  <si>
    <t>2b6460e5</t>
  </si>
  <si>
    <t>Planche dinatoire</t>
  </si>
  <si>
    <t>5dcc5b2a</t>
  </si>
  <si>
    <t>3d6badb3</t>
  </si>
  <si>
    <t>4d689cdb</t>
  </si>
  <si>
    <t>e37f497e</t>
  </si>
  <si>
    <t>47aef8d6</t>
  </si>
  <si>
    <t>d2d9b14d</t>
  </si>
  <si>
    <t>46a4742a</t>
  </si>
  <si>
    <t>23e4fe52</t>
  </si>
  <si>
    <t>8765fba5</t>
  </si>
  <si>
    <t>662cdaeb</t>
  </si>
  <si>
    <t>dd5078bc</t>
  </si>
  <si>
    <t>a896db14</t>
  </si>
  <si>
    <t>e51990aa</t>
  </si>
  <si>
    <t>efbb4ab8</t>
  </si>
  <si>
    <t>8b9b8653</t>
  </si>
  <si>
    <t>3aa3c0ed</t>
  </si>
  <si>
    <t>4a36aab7</t>
  </si>
  <si>
    <t>e259a18a</t>
  </si>
  <si>
    <t>c3b46cdd</t>
  </si>
  <si>
    <t>214c9f11</t>
  </si>
  <si>
    <t>57fddc57</t>
  </si>
  <si>
    <t>265b5402</t>
  </si>
  <si>
    <t>307cf731</t>
  </si>
  <si>
    <t>ee9c49fb</t>
  </si>
  <si>
    <t>4a9042fc</t>
  </si>
  <si>
    <t>3b281154</t>
  </si>
  <si>
    <t>b7c76ca3</t>
  </si>
  <si>
    <t>62951815</t>
  </si>
  <si>
    <t>93c51c9c</t>
  </si>
  <si>
    <t>12ec703d</t>
  </si>
  <si>
    <t>9b5f0c47</t>
  </si>
  <si>
    <t>b0df0bf5</t>
  </si>
  <si>
    <t>5c256f26</t>
  </si>
  <si>
    <t>b8f8d4a0</t>
  </si>
  <si>
    <t>ec204bdb</t>
  </si>
  <si>
    <t>f32e0f17</t>
  </si>
  <si>
    <t>c783a242</t>
  </si>
  <si>
    <t>45397c05</t>
  </si>
  <si>
    <t>Le cours</t>
  </si>
  <si>
    <t>00ea6d56</t>
  </si>
  <si>
    <t>8dac0989</t>
  </si>
  <si>
    <t>a9af2d85</t>
  </si>
  <si>
    <t>56a389b5</t>
  </si>
  <si>
    <t>94c91989</t>
  </si>
  <si>
    <t>aa1cc531</t>
  </si>
  <si>
    <t>tapas</t>
  </si>
  <si>
    <t>0838af91</t>
  </si>
  <si>
    <t>7b80fa20</t>
  </si>
  <si>
    <t>b8bf69e1</t>
  </si>
  <si>
    <t>a58298bd</t>
  </si>
  <si>
    <t>plus de 30 nuits</t>
  </si>
  <si>
    <t>1581b8b6</t>
  </si>
  <si>
    <t>98593d3f</t>
  </si>
  <si>
    <t>eeeee0a5</t>
  </si>
  <si>
    <t>86280c9b</t>
  </si>
  <si>
    <t>f48db09d</t>
  </si>
  <si>
    <t>e0764a5b</t>
  </si>
  <si>
    <t>702eae2a</t>
  </si>
  <si>
    <t>4dc72e63</t>
  </si>
  <si>
    <t>0a41b6ae</t>
  </si>
  <si>
    <t>d6485370</t>
  </si>
  <si>
    <t>aec3594b</t>
  </si>
  <si>
    <t>afa645b3</t>
  </si>
  <si>
    <t>f9673136</t>
  </si>
  <si>
    <t>431ef55a</t>
  </si>
  <si>
    <t>Chambre standard</t>
  </si>
  <si>
    <t>c337ccb5</t>
  </si>
  <si>
    <t>Chambre supérieure (vue piscine)</t>
  </si>
  <si>
    <t>a549b4d9</t>
  </si>
  <si>
    <t>Chambre supérieure (vue panoramique)</t>
  </si>
  <si>
    <t>8a87b894</t>
  </si>
  <si>
    <t>Chambre supérieure triple (vue piscine)</t>
  </si>
  <si>
    <t>nuit/chambre familiale</t>
  </si>
  <si>
    <t>bd0afb97</t>
  </si>
  <si>
    <t>Suite junior (3 adultes ou 2 adultes + 2 enfants)</t>
  </si>
  <si>
    <t>0e52cc7b</t>
  </si>
  <si>
    <t>4d6f68a1</t>
  </si>
  <si>
    <t>demi-pension</t>
  </si>
  <si>
    <t>650f0cd4</t>
  </si>
  <si>
    <t>pension complète</t>
  </si>
  <si>
    <t>66d5fe82</t>
  </si>
  <si>
    <t>la prestation</t>
  </si>
  <si>
    <t>4f1af0d3</t>
  </si>
  <si>
    <t>chambre supérieure quadruple</t>
  </si>
  <si>
    <t>d10b7972</t>
  </si>
  <si>
    <t>2d4bd0a6</t>
  </si>
  <si>
    <t>1021d913</t>
  </si>
  <si>
    <t>6c7f7d73</t>
  </si>
  <si>
    <t>ecc4e30d</t>
  </si>
  <si>
    <t>b74184b8</t>
  </si>
  <si>
    <t>vue mer</t>
  </si>
  <si>
    <t>fca9ef83</t>
  </si>
  <si>
    <t>vue jardin</t>
  </si>
  <si>
    <t>2c703c3d</t>
  </si>
  <si>
    <t>995d1960</t>
  </si>
  <si>
    <t>terrasse vue mer</t>
  </si>
  <si>
    <t>b589b08b</t>
  </si>
  <si>
    <t>supérieure (terrasse + vue mer)</t>
  </si>
  <si>
    <t>2e43d18b</t>
  </si>
  <si>
    <t>supérieure (vue mer)</t>
  </si>
  <si>
    <t>bda26baf</t>
  </si>
  <si>
    <t>4b39d3b1</t>
  </si>
  <si>
    <t>6aaf2f70</t>
  </si>
  <si>
    <t>24ac07f2</t>
  </si>
  <si>
    <t>d6e0430f</t>
  </si>
  <si>
    <t>f96d7e4a</t>
  </si>
  <si>
    <t>5a3b5e79</t>
  </si>
  <si>
    <t>55bf1b82</t>
  </si>
  <si>
    <t>cdf56dcd</t>
  </si>
  <si>
    <t>dd6f20d8</t>
  </si>
  <si>
    <t>a60f5e58</t>
  </si>
  <si>
    <t>58f3bca8</t>
  </si>
  <si>
    <t>00c8c2c2</t>
  </si>
  <si>
    <t>1b78c6db</t>
  </si>
  <si>
    <t>598ad430</t>
  </si>
  <si>
    <t>d8696849</t>
  </si>
  <si>
    <t>8e3978f2</t>
  </si>
  <si>
    <t>888cb89a</t>
  </si>
  <si>
    <t>9b611500</t>
  </si>
  <si>
    <t>28c12440</t>
  </si>
  <si>
    <t>8559a908</t>
  </si>
  <si>
    <t>Le massage de 1h30</t>
  </si>
  <si>
    <t>0bb8200c</t>
  </si>
  <si>
    <t>d68108f4</t>
  </si>
  <si>
    <t>700e9aca</t>
  </si>
  <si>
    <t>ebd0760c</t>
  </si>
  <si>
    <t>a4e25823</t>
  </si>
  <si>
    <t>0d3297de</t>
  </si>
  <si>
    <t>8b269ff5</t>
  </si>
  <si>
    <t>1d52c328</t>
  </si>
  <si>
    <t>304e5dfc</t>
  </si>
  <si>
    <t>8a216afa</t>
  </si>
  <si>
    <t>f751f2f8</t>
  </si>
  <si>
    <t>473d40ae</t>
  </si>
  <si>
    <t>eab1f216</t>
  </si>
  <si>
    <t>36f901ec</t>
  </si>
  <si>
    <t>c8d2034e</t>
  </si>
  <si>
    <t>768c7bce</t>
  </si>
  <si>
    <t>ff6294d8</t>
  </si>
  <si>
    <t>4400eccb</t>
  </si>
  <si>
    <t>6a99bf27</t>
  </si>
  <si>
    <t>le massage de 1h</t>
  </si>
  <si>
    <t>90484684</t>
  </si>
  <si>
    <t>f5183791</t>
  </si>
  <si>
    <t>4 personnes minimum</t>
  </si>
  <si>
    <t>2fff51fc</t>
  </si>
  <si>
    <t>d11c1c4a</t>
  </si>
  <si>
    <t>c1d2c6c2</t>
  </si>
  <si>
    <t>fb1daa46</t>
  </si>
  <si>
    <t>1167fa59</t>
  </si>
  <si>
    <t>ce49730c</t>
  </si>
  <si>
    <t>97df3dbc</t>
  </si>
  <si>
    <t>5b9b97d4</t>
  </si>
  <si>
    <t>228d7079</t>
  </si>
  <si>
    <t>e9067381</t>
  </si>
  <si>
    <t>41db6cd3</t>
  </si>
  <si>
    <t>8e15c1d9</t>
  </si>
  <si>
    <t>c5e1be15</t>
  </si>
  <si>
    <t>4cc781da</t>
  </si>
  <si>
    <t>7392b231</t>
  </si>
  <si>
    <t>fd1d56fb</t>
  </si>
  <si>
    <t>168fa500</t>
  </si>
  <si>
    <t>à partir de 3 nuits pour 6 personnes</t>
  </si>
  <si>
    <t>2cf7ef9e</t>
  </si>
  <si>
    <t>55425621</t>
  </si>
  <si>
    <t>376c263b</t>
  </si>
  <si>
    <t>5b70bc78</t>
  </si>
  <si>
    <t>bfd07b4b</t>
  </si>
  <si>
    <t>75d59b79</t>
  </si>
  <si>
    <t>2116b443</t>
  </si>
  <si>
    <t>fdd618a9</t>
  </si>
  <si>
    <t>bbe4f93a</t>
  </si>
  <si>
    <t>8d1daef5</t>
  </si>
  <si>
    <t>703fef43</t>
  </si>
  <si>
    <t>d189467c</t>
  </si>
  <si>
    <t>fd6c2397</t>
  </si>
  <si>
    <t>b8be479c</t>
  </si>
  <si>
    <t>2b44d3dc</t>
  </si>
  <si>
    <t>cba09842</t>
  </si>
  <si>
    <t>bc574006</t>
  </si>
  <si>
    <t>4137ae53</t>
  </si>
  <si>
    <t>0f583a48</t>
  </si>
  <si>
    <t>1b7ade2e</t>
  </si>
  <si>
    <t>c22a425b</t>
  </si>
  <si>
    <t>816f62e9</t>
  </si>
  <si>
    <t>8995ea75</t>
  </si>
  <si>
    <t>dcab6fc3</t>
  </si>
  <si>
    <t>1f43eb03</t>
  </si>
  <si>
    <t>8e5c499d</t>
  </si>
  <si>
    <t>e702a8e6</t>
  </si>
  <si>
    <t>427103d0</t>
  </si>
  <si>
    <t>d9f862da</t>
  </si>
  <si>
    <t>14526f12</t>
  </si>
  <si>
    <t>d00616a3</t>
  </si>
  <si>
    <t>5d26948a</t>
  </si>
  <si>
    <t>12f7fb18</t>
  </si>
  <si>
    <t>b64d9b5b</t>
  </si>
  <si>
    <t>85aea40e</t>
  </si>
  <si>
    <t>9ed5d359</t>
  </si>
  <si>
    <t>06ead6b1</t>
  </si>
  <si>
    <t>e4540fa4</t>
  </si>
  <si>
    <t>45f67e6c</t>
  </si>
  <si>
    <t>77370353</t>
  </si>
  <si>
    <t>fe9af985</t>
  </si>
  <si>
    <t>da4b0727</t>
  </si>
  <si>
    <t>5b926d2d</t>
  </si>
  <si>
    <t>e0a5c088</t>
  </si>
  <si>
    <t>dd1b7966</t>
  </si>
  <si>
    <t>998cc112</t>
  </si>
  <si>
    <t>26b5f7fb</t>
  </si>
  <si>
    <t>1c0a996f</t>
  </si>
  <si>
    <t>26e73b92</t>
  </si>
  <si>
    <t>1f3fdb41</t>
  </si>
  <si>
    <t>da3323ad</t>
  </si>
  <si>
    <t>9d171fa0</t>
  </si>
  <si>
    <t>c3489c9d</t>
  </si>
  <si>
    <t>c9eefa54</t>
  </si>
  <si>
    <t>01a49a53</t>
  </si>
  <si>
    <t>28396399</t>
  </si>
  <si>
    <t>93c05276</t>
  </si>
  <si>
    <t>f6a5ebd3</t>
  </si>
  <si>
    <t>c56b1623</t>
  </si>
  <si>
    <t>8ac1138e</t>
  </si>
  <si>
    <t>86cf36c6</t>
  </si>
  <si>
    <t>19494464</t>
  </si>
  <si>
    <t>4a2591db</t>
  </si>
  <si>
    <t>1f795447</t>
  </si>
  <si>
    <t>c2c5a34e</t>
  </si>
  <si>
    <t>00f41ea8</t>
  </si>
  <si>
    <t>70326fc7</t>
  </si>
  <si>
    <t>8ef4ee05</t>
  </si>
  <si>
    <t>43050843</t>
  </si>
  <si>
    <t>f2310269</t>
  </si>
  <si>
    <t>501be2da</t>
  </si>
  <si>
    <t>02fc73fd</t>
  </si>
  <si>
    <t>68b2dc85</t>
  </si>
  <si>
    <t>2249f844</t>
  </si>
  <si>
    <t>df9ebfb1</t>
  </si>
  <si>
    <t>d2d70a30</t>
  </si>
  <si>
    <t>797e80fe</t>
  </si>
  <si>
    <t>1ab9e6a1</t>
  </si>
  <si>
    <t>2cfb3247</t>
  </si>
  <si>
    <t>b43cc2c6</t>
  </si>
  <si>
    <t>6400b347</t>
  </si>
  <si>
    <t>b418602f</t>
  </si>
  <si>
    <t>5a40e00b</t>
  </si>
  <si>
    <t>2bb3f864</t>
  </si>
  <si>
    <t>0f986356</t>
  </si>
  <si>
    <t>a04141b8</t>
  </si>
  <si>
    <t>8b6d259a</t>
  </si>
  <si>
    <t>639c9d49</t>
  </si>
  <si>
    <t>ba14ffb0</t>
  </si>
  <si>
    <t>0f63b0f7</t>
  </si>
  <si>
    <t>62487ecb</t>
  </si>
  <si>
    <t>6b8c5c1f</t>
  </si>
  <si>
    <t>ea1167d7</t>
  </si>
  <si>
    <t>7265d725</t>
  </si>
  <si>
    <t>bb256cad</t>
  </si>
  <si>
    <t>aeb169fb</t>
  </si>
  <si>
    <t>7c86cb6f</t>
  </si>
  <si>
    <t>7b336914</t>
  </si>
  <si>
    <t>a62299b6</t>
  </si>
  <si>
    <t>/nuit /personne à partir de 2 pax</t>
  </si>
  <si>
    <t>15637e9c</t>
  </si>
  <si>
    <t>463fcfd2</t>
  </si>
  <si>
    <t>5c70add2</t>
  </si>
  <si>
    <t>4ed79c53</t>
  </si>
  <si>
    <t>f65a299d</t>
  </si>
  <si>
    <t>b219765f</t>
  </si>
  <si>
    <t>54ad8bf0</t>
  </si>
  <si>
    <t>0fbccc72</t>
  </si>
  <si>
    <t>19ddc302</t>
  </si>
  <si>
    <t>2d936c7e</t>
  </si>
  <si>
    <t>2a0ef2cd</t>
  </si>
  <si>
    <t>acd37a16</t>
  </si>
  <si>
    <t>7809c341</t>
  </si>
  <si>
    <t>fc5754c7</t>
  </si>
  <si>
    <t>8507c2e5</t>
  </si>
  <si>
    <t>dd99ec45</t>
  </si>
  <si>
    <t>cba654ef</t>
  </si>
  <si>
    <t>6a5894ed</t>
  </si>
  <si>
    <t>3caa0103</t>
  </si>
  <si>
    <t>2e4129e7</t>
  </si>
  <si>
    <t>640cfda9</t>
  </si>
  <si>
    <t>83af35c8</t>
  </si>
  <si>
    <t>3a876d5a</t>
  </si>
  <si>
    <t>6c7fc705</t>
  </si>
  <si>
    <t>le massage de 30min</t>
  </si>
  <si>
    <t>e36cef78</t>
  </si>
  <si>
    <t>66ecf971</t>
  </si>
  <si>
    <t>278ee025</t>
  </si>
  <si>
    <t>eecb2066</t>
  </si>
  <si>
    <t>f47777b6</t>
  </si>
  <si>
    <t>7e0cf8ed</t>
  </si>
  <si>
    <t>24ccf7a7</t>
  </si>
  <si>
    <t>305dff3d</t>
  </si>
  <si>
    <t>efab1c1d</t>
  </si>
  <si>
    <t>206bfa90</t>
  </si>
  <si>
    <t>7cba054c</t>
  </si>
  <si>
    <t>d98b0375</t>
  </si>
  <si>
    <t>fc728e5d</t>
  </si>
  <si>
    <t>57208d3e</t>
  </si>
  <si>
    <t>9afb0fef</t>
  </si>
  <si>
    <t>2dd6aabe</t>
  </si>
  <si>
    <t>13fd9076</t>
  </si>
  <si>
    <t>cc32da16</t>
  </si>
  <si>
    <t>410d5d88</t>
  </si>
  <si>
    <t>bdb94d36</t>
  </si>
  <si>
    <t>9de7a478</t>
  </si>
  <si>
    <t>7c61a369</t>
  </si>
  <si>
    <t>8b4c11a5</t>
  </si>
  <si>
    <t>6104cbce</t>
  </si>
  <si>
    <t>70a84eaa</t>
  </si>
  <si>
    <t>le week-end (vendredi au dimanche)</t>
  </si>
  <si>
    <t>a2b17121</t>
  </si>
  <si>
    <t>a7eb9a24</t>
  </si>
  <si>
    <t>13ebf283</t>
  </si>
  <si>
    <t>19864ceb</t>
  </si>
  <si>
    <t>a5a2b314</t>
  </si>
  <si>
    <t>le week-end</t>
  </si>
  <si>
    <t>a8784ef2</t>
  </si>
  <si>
    <t>f1251e86</t>
  </si>
  <si>
    <t>b55fb86c</t>
  </si>
  <si>
    <t>a6fad8e0</t>
  </si>
  <si>
    <t>0b0cb389</t>
  </si>
  <si>
    <t>62ef2daa</t>
  </si>
  <si>
    <t>a2b8d5ee</t>
  </si>
  <si>
    <t>21bc13cd</t>
  </si>
  <si>
    <t>c2c9c16a</t>
  </si>
  <si>
    <t>8c9c8e10</t>
  </si>
  <si>
    <t>aad1cf0d</t>
  </si>
  <si>
    <t>064290eb</t>
  </si>
  <si>
    <t>47cb58e9</t>
  </si>
  <si>
    <t>a1418ac4</t>
  </si>
  <si>
    <t>5a049cb5</t>
  </si>
  <si>
    <t>75cbbdee</t>
  </si>
  <si>
    <t>91d28cb0</t>
  </si>
  <si>
    <t>ID_R_S</t>
  </si>
  <si>
    <t>Type_R_S</t>
  </si>
  <si>
    <t>URL</t>
  </si>
  <si>
    <t>621a5337</t>
  </si>
  <si>
    <t>https://www.facebook.com/ledimitile/</t>
  </si>
  <si>
    <t>92cf08f1</t>
  </si>
  <si>
    <t>https://www.facebook.com/people/Les-milles-et-une-nuit-du-gecko/100063198881246/</t>
  </si>
  <si>
    <t>5ae3cc0b</t>
  </si>
  <si>
    <t>https://www.facebook.com/people/Pizza-DEric-Grande-Ferme/100057371721451/</t>
  </si>
  <si>
    <t>774413d5</t>
  </si>
  <si>
    <t>https://www.facebook.com/La-Kaz-Jaune-104691421903353/</t>
  </si>
  <si>
    <t>5f8261fe</t>
  </si>
  <si>
    <t>https://www.facebook.com/Lodges-Les-Vanilliers-126612897395240/</t>
  </si>
  <si>
    <t>99b50328</t>
  </si>
  <si>
    <t>https://www.facebook.com/lelonganis/?ref=page_internal</t>
  </si>
  <si>
    <t>89a21c7b</t>
  </si>
  <si>
    <t>https://www.facebook.com/Association-Des-Petits-M%C3%A9tiers-1466122896945870</t>
  </si>
  <si>
    <t>526648b6</t>
  </si>
  <si>
    <t>https://www.facebook.com/LAtelierDeCoccinelle</t>
  </si>
  <si>
    <t>92fadcd4</t>
  </si>
  <si>
    <t>https://www.facebook.com/Les-savons-de-sarah-343090719128276</t>
  </si>
  <si>
    <t>19f91076</t>
  </si>
  <si>
    <t>https://www.facebook.com/Villa-Bambou-336255814280454</t>
  </si>
  <si>
    <t>9f0894a2</t>
  </si>
  <si>
    <t>https://www.facebook.com/Cap-Vanisa-104255208002710</t>
  </si>
  <si>
    <t>2c86d7cf</t>
  </si>
  <si>
    <t>https://www.facebook.com/Tiplanterre</t>
  </si>
  <si>
    <t>62cfa014</t>
  </si>
  <si>
    <t>https://www.facebook.com/lakazanou97480/</t>
  </si>
  <si>
    <t>a4c1ac39</t>
  </si>
  <si>
    <t>https://www.facebook.com/profile.php?id=100013637648883</t>
  </si>
  <si>
    <t>a22843ba</t>
  </si>
  <si>
    <t>https://www.facebook.com/Restole57</t>
  </si>
  <si>
    <t>eed480d9</t>
  </si>
  <si>
    <t>https://www.facebook.com/chalet.cogite</t>
  </si>
  <si>
    <t>b5842e82</t>
  </si>
  <si>
    <t>https://www.facebook.com/bungalowlavulao</t>
  </si>
  <si>
    <t>11db792f</t>
  </si>
  <si>
    <t>https://www.facebook.com/leskalya/</t>
  </si>
  <si>
    <t>404bcd90</t>
  </si>
  <si>
    <t>https://www.instagram.com/leskalya_974/</t>
  </si>
  <si>
    <t>61072c7c</t>
  </si>
  <si>
    <t>https://www.facebook.com/La-Kaz-%C3%A0-M%C3%A9lina-224740427964064/?ref=page_internal</t>
  </si>
  <si>
    <t>fa5d113f</t>
  </si>
  <si>
    <t>https://www.airbnb.fr/rooms/14377835?source_impression_id=p3_1633947775_xyVZYDTxDbIxywRo&amp;guests=1&amp;adults=1&amp;_set_bev_on_new_domain=1633947774_MWYyN2I0MWVmYjdm</t>
  </si>
  <si>
    <t>14457a36</t>
  </si>
  <si>
    <t>https://www.facebook.com/G%C3%AEte-de-la-cascade-a-grand-bassin-690124011122868</t>
  </si>
  <si>
    <t>d6c37b58</t>
  </si>
  <si>
    <t>https://www.facebook.com/pages/Le%20Crabe%20Sous%20La%20Varangue/598059850284357/</t>
  </si>
  <si>
    <t>4e9abbf0</t>
  </si>
  <si>
    <t>https://www.facebook.com/profile.php?id=100057137722831</t>
  </si>
  <si>
    <t>e4b242a2</t>
  </si>
  <si>
    <t>https://www.airbnb.fr/rooms/43571680?source_impression_id=p3_1634034765_Di%2BkgP38XeqWbSFx&amp;guests=1&amp;adults=1</t>
  </si>
  <si>
    <t>d2a1ede2</t>
  </si>
  <si>
    <t>https://www.facebook.com/VILLA-PABLO-107369297437895/?ref=page_internal</t>
  </si>
  <si>
    <t>5360486b</t>
  </si>
  <si>
    <t>https://www.booking.com/hotel/re/la-villa-juliette-manapany-les-bains.fr.html</t>
  </si>
  <si>
    <t>88e8c8c1</t>
  </si>
  <si>
    <t>https://www.facebook.com/Lacasecardinale/?ref=page_internal</t>
  </si>
  <si>
    <t>72278516</t>
  </si>
  <si>
    <t>https://www.booking.com/hotel/re/ti-kaz-hoareau.fr.html#tab-main</t>
  </si>
  <si>
    <t>0109ac4e</t>
  </si>
  <si>
    <t>aae44940</t>
  </si>
  <si>
    <t>https://www.airbnb.fr/rooms/16758460?source_impression_id=p3_1635400410_Nazi%2FZRkPCRg19vw</t>
  </si>
  <si>
    <t>d284ed36</t>
  </si>
  <si>
    <t>https://www.booking.com/hotel/re/ti-kaz-martin-de-o-la-reunion.fr.html</t>
  </si>
  <si>
    <t>eec7816f</t>
  </si>
  <si>
    <t>https://www.facebook.com/profile.php?id=100067432697104</t>
  </si>
  <si>
    <t>ab05e210</t>
  </si>
  <si>
    <t>5d96e919</t>
  </si>
  <si>
    <t>https://www.airbnb.fr/rooms/10275955?source_impression_id=p3_1635400243_D7TbZD0rjpOvOYYe</t>
  </si>
  <si>
    <t>1bf2eff6</t>
  </si>
  <si>
    <t>https://www.booking.com/hotel/re/ti-kaz-papang.fr.html</t>
  </si>
  <si>
    <t>f9c28208</t>
  </si>
  <si>
    <t>https://www.facebook.com/La-Villa-L%C3%A9a-%C3%A0-Saint-Joseph-244024276135500</t>
  </si>
  <si>
    <t>8c51bf84</t>
  </si>
  <si>
    <t>https://m.facebook.com/profile.php?id=100057611282053</t>
  </si>
  <si>
    <t>d9356fdc</t>
  </si>
  <si>
    <t>https://www.airbnb.fr/rooms/33431854</t>
  </si>
  <si>
    <t>7741feef</t>
  </si>
  <si>
    <t>https://www.booking.com/hotel/re/liane-de-jade-location.fr.html?aid=318615&amp;label=New_French_FR_RE_26394819985-5KMfyMgIYi7RF9Cd6ZNX9wS100087090705%3Apl%3Ata%3Ap1%3Ap2%3Aac%3Aap%3Aneg%3Afi%3Atidsa-194594581705%3Alp9075843%3Ali%3Adec%3Adm&amp;sid=219fa3bd56adbb433c24d7abded56101&amp;dest_id=-1331043;dest_type=city;dist=0;group_adults=2;group_children=0;hapos=1;hpos=1;no_rooms=1;req_adults=2;req_children=0;room1=A%2CA;sb_price_type=total;sr_order=popularity;srepoch=1690955744;srpvid=7b3d29ae957001a9;type=total;ucfs=1&amp;#hotelTmpl</t>
  </si>
  <si>
    <t>1de48596</t>
  </si>
  <si>
    <t>https://www.facebook.com/artsud</t>
  </si>
  <si>
    <t>3f96439b</t>
  </si>
  <si>
    <t>https://www.facebook.com/Alain-Beaudemoulin-Artisan-Chocolatier-110471383711504</t>
  </si>
  <si>
    <t>cf879fe2</t>
  </si>
  <si>
    <t>https://www.booking.com/hotel/re/locations-vert-eden.fr.html?aid=1630418;sid=3686fddff533fab9b2e00bc41df0fc71;dist=0;keep_landing=1;sb_price_type=total;type=total;sig=v1GppkWJX3&amp;</t>
  </si>
  <si>
    <t>98f05653</t>
  </si>
  <si>
    <t>https://www.facebook.com/lebretonfrancema/photos/?ref=page_internal</t>
  </si>
  <si>
    <t>5044b71b</t>
  </si>
  <si>
    <t>https://www.facebook.com/L%C3%A9-Yabar-687587201665405</t>
  </si>
  <si>
    <t>7c48e87a</t>
  </si>
  <si>
    <t>https://www.facebook.com/RaoulTrail/</t>
  </si>
  <si>
    <t>a345d448</t>
  </si>
  <si>
    <t>https://www.booking.com/hotel/re/la-villa-pitaya-entre-deux.fr.html</t>
  </si>
  <si>
    <t>28111c71</t>
  </si>
  <si>
    <t>https://www.facebook.com/Aquasensreunion/</t>
  </si>
  <si>
    <t>45b4d5b8</t>
  </si>
  <si>
    <t>e5844eed</t>
  </si>
  <si>
    <t>https://www.instagram.com/leyabar974/?hl=fr</t>
  </si>
  <si>
    <t>6b8bc526</t>
  </si>
  <si>
    <t>https://www.facebook.com/lesgrandsmonts</t>
  </si>
  <si>
    <t>2b2789c3</t>
  </si>
  <si>
    <t>https://www.airbnb.fr/rooms/53103526?source_impression_id=p3_1638252531_SnVsazPnbjUkRUHw&amp;guests=1&amp;adults=1</t>
  </si>
  <si>
    <t>451df81d</t>
  </si>
  <si>
    <t>655720fc</t>
  </si>
  <si>
    <t>https://www.booking.com/hotel/re/le-gecko-vert.fr.html?aid=318615;label=New_French_FR_RE_26394819985-5KMfyMgIYi7RF9Cd6ZNX9wS100087090705%3Apl%3Ata%3Ap1%3Ap2%3Aac%3Aap%3Aneg%3Afi%3Atidsa-194594581705%3Alp9075843%3Ali%3Adec%3Adm;sid=21593314fc7017a1607f0303cc70a00c;dest_id=-1331091;dest_type=city;dist=0;group_adults=2;group_children=0;hapos=0;hpos=0;no_rooms=1;req_adults=2;req_children=0;room1=A%2CA;sb_price_type=total;sr_order=popularity;srepoch=1638340661;srpvid=dc572e9906af0038;type=total;ucfs=1&amp;#hotelTmpl</t>
  </si>
  <si>
    <t>a01ff288</t>
  </si>
  <si>
    <t>https://www.booking.com/hotel/re/la-maison-des-hotes-saint-joseph.fr.html?aid=318615;label=New_French_FR_RE_26394819985-5KMfyMgIYi7RF9Cd6ZNX9wS100087090825%3Apl%3Ata%3Ap1%3Ap2%3Aac%3Aap%3Aneg%3Afi%3Atidsa-194594581705%3Alp9075843%3Ali%3Adec%3Adm;sid=21593314fc7017a1607f0303cc70a00c;dest_id=-1331399;dest_type=city;dist=0;group_adults=2;group_children=0;hapos=0;hpos=0;no_rooms=1;req_adults=2;req_children=0;room1=A%2CA;sb_price_type=total;sr_order=popularity;srepoch=1638342139;srpvid=2977317d769d000f;type=total;ucfs=1&amp;#hotelTmpl</t>
  </si>
  <si>
    <t>bdc55dc6</t>
  </si>
  <si>
    <t>https://www.booking.com/hotel/re/la-case-o-zoizos.fr.html</t>
  </si>
  <si>
    <t>e382a371</t>
  </si>
  <si>
    <t>https://fr.airbnb.be/rooms/50261275?source_impression_id=p3_1638875201_Na3xlkcjHj3aq%2BZB</t>
  </si>
  <si>
    <t>a0f0eb32</t>
  </si>
  <si>
    <t>https://www.abritel.fr/location-vacances/p976807</t>
  </si>
  <si>
    <t>545492d8</t>
  </si>
  <si>
    <t>https://www.abritel.fr/location-vacances/p1712040</t>
  </si>
  <si>
    <t>fb73d1aa</t>
  </si>
  <si>
    <t>https://www.facebook.com/Paintball-club-de-St-Jo-1608993145980920/</t>
  </si>
  <si>
    <t>ee7d7a44</t>
  </si>
  <si>
    <t>https://www.facebook.com/entredeuxdelices</t>
  </si>
  <si>
    <t>8278b3a9</t>
  </si>
  <si>
    <t>https://www.facebook.com/locationsVertEden</t>
  </si>
  <si>
    <t>0419c026</t>
  </si>
  <si>
    <t>https://www.facebook.com/m97418</t>
  </si>
  <si>
    <t>92ac3a91</t>
  </si>
  <si>
    <t>https://fr.airbnb.com/rooms/45647926?_set_bev_on_new_domain=1639631767_YWZhZDYxNDViMjYw&amp;source_impression_id=p3_1639631768_gwTHmUlS6RSC3QuF</t>
  </si>
  <si>
    <t>8bf75c21</t>
  </si>
  <si>
    <t>https://www.facebook.com/Fabien480DLG/</t>
  </si>
  <si>
    <t>a7985e45</t>
  </si>
  <si>
    <t>https://fr-fr.facebook.com/LeLabyrintheEnChampThe/</t>
  </si>
  <si>
    <t>2a43e18d</t>
  </si>
  <si>
    <t>https://www.instagram.com › en_champ_the</t>
  </si>
  <si>
    <t>47019cf6</t>
  </si>
  <si>
    <t>https://www.tripadvisor.fr/Attraction_Review-g635742-d5524040-Reviews-Le_Labyrinthe_En_Champ_The-Saint_Joseph_Arrondissement_of_Saint_Pierre.html</t>
  </si>
  <si>
    <t>7eeaa38a</t>
  </si>
  <si>
    <t>https://www.facebook.com/Manapany-Team-102384948530138</t>
  </si>
  <si>
    <t>619f5260</t>
  </si>
  <si>
    <t>https://www.booking.com/hotel/re/manapany-team.fr.html</t>
  </si>
  <si>
    <t>0cbb6558</t>
  </si>
  <si>
    <t>https://www.facebook.com/perlesauvage.filaumart</t>
  </si>
  <si>
    <t>45756fe5</t>
  </si>
  <si>
    <t>https://www.facebook.com/happytimerun</t>
  </si>
  <si>
    <t>dc6580aa</t>
  </si>
  <si>
    <t>https://www.facebook.com/legitelahaut/</t>
  </si>
  <si>
    <t>18194734</t>
  </si>
  <si>
    <t>https://www.instagram.com/legitelahaut/</t>
  </si>
  <si>
    <t>3ce8666a</t>
  </si>
  <si>
    <t>https://www.airbnb.fr/rooms/39477731?federated_search_id=82e9cd1c-5ae1-4d58-8405-42f42697dbb2&amp;source_impression_id=p3_1640167109_ArBm94Idgix6nq41</t>
  </si>
  <si>
    <t>f870d5e1</t>
  </si>
  <si>
    <t>https://www.abritel.fr/location-vacances/p1850474</t>
  </si>
  <si>
    <t>31488360</t>
  </si>
  <si>
    <t>https://www.facebook.com/lebonpapillonferme</t>
  </si>
  <si>
    <t>c2434dd4</t>
  </si>
  <si>
    <t>https://www.facebook.com/Chez-Narvam-table-dh%C3%B4tes-101914314760216</t>
  </si>
  <si>
    <t>2a4af690</t>
  </si>
  <si>
    <t>https://www.facebook.com/Auberge-de-Campagne-Sarasvathy-102305141962580</t>
  </si>
  <si>
    <t>aff8330c</t>
  </si>
  <si>
    <t>https://www.facebook.com/profile.php?id=100054258170105</t>
  </si>
  <si>
    <t>85add62c</t>
  </si>
  <si>
    <t>https://www.facebook.com/Leronddebassevallee</t>
  </si>
  <si>
    <t>72299ed2</t>
  </si>
  <si>
    <t>https://www.facebook.com/Auberge-le-bel-air-371022739764083</t>
  </si>
  <si>
    <t>8eb8d672</t>
  </si>
  <si>
    <t>https://www.facebook.com/Ferme-Auberge-Desprairies-520083278094211</t>
  </si>
  <si>
    <t>3ee3497a</t>
  </si>
  <si>
    <t>https://www.facebook.com/Anna97442</t>
  </si>
  <si>
    <t>6f9e2b38</t>
  </si>
  <si>
    <t>https://www.facebook.com/pages/Auberge-Paysanne-Le-Palmier/314065658690148</t>
  </si>
  <si>
    <t>f63c34b4</t>
  </si>
  <si>
    <t>https://www.facebook.com/latabledesrandonneurs</t>
  </si>
  <si>
    <t>269edc8b</t>
  </si>
  <si>
    <t>https://www.facebook.com/tikazfontaine/</t>
  </si>
  <si>
    <t>2fd3e61a</t>
  </si>
  <si>
    <t>a1b91c3d</t>
  </si>
  <si>
    <t>https://www.facebook.com/Les-Sens-Ciel-by-GM-101030041815024</t>
  </si>
  <si>
    <t>79fc1a42</t>
  </si>
  <si>
    <t>https://www.facebook.com/Cabane-Robinson-1790328107730318/</t>
  </si>
  <si>
    <t>5a299ee3</t>
  </si>
  <si>
    <t>https://www.facebook.com/Leau-Forte-561278923952056/</t>
  </si>
  <si>
    <t>42a9661f</t>
  </si>
  <si>
    <t>https://www.facebook.com/Thereserm21</t>
  </si>
  <si>
    <t>162c1216</t>
  </si>
  <si>
    <t>https://www.facebook.com/R%C3%A9sidence-Tiktik-100566465596729/?ref=py_c</t>
  </si>
  <si>
    <t>ce719759</t>
  </si>
  <si>
    <t>https://linktr.ee/residence_tiktik</t>
  </si>
  <si>
    <t>dd4df6eb</t>
  </si>
  <si>
    <t>https://www.facebook.com/aar974lareunion/</t>
  </si>
  <si>
    <t>16bf3511</t>
  </si>
  <si>
    <t>https://www.facebook.com/La-Bicyclette-Gourmande-104050835458666/</t>
  </si>
  <si>
    <t>338cbb29</t>
  </si>
  <si>
    <t>https://www.facebook.com/Le-Bismarckia-1582541735223393</t>
  </si>
  <si>
    <t>3c1e851d</t>
  </si>
  <si>
    <t>https://fr-fr.facebook.com/sudhotelletampon/</t>
  </si>
  <si>
    <t>46a18480</t>
  </si>
  <si>
    <t>0af5b98d</t>
  </si>
  <si>
    <t>https://www.facebook.com/cotesauvagerestaurant/</t>
  </si>
  <si>
    <t>683c036d</t>
  </si>
  <si>
    <t>https://www.facebook.com/pages/category/Vacation-Home-Rental/Villa-des-calist%C3%A9mons-location-saisonni%C3%A8re-104601604343771/</t>
  </si>
  <si>
    <t>d21281b2</t>
  </si>
  <si>
    <t>https://www.facebook.com/dimitilebike</t>
  </si>
  <si>
    <t>c967e514</t>
  </si>
  <si>
    <t>https://fr-fr.facebook.com/pages/category/Vacation-Home-Rental/Le-Palmier-de-la-Paix-341790459811230/</t>
  </si>
  <si>
    <t>6a7bf10a</t>
  </si>
  <si>
    <t>https://www.facebook.com/maisondesremparts/</t>
  </si>
  <si>
    <t>930cc089</t>
  </si>
  <si>
    <t>https://www.facebook.com/_LUuna-K_-115204245211306</t>
  </si>
  <si>
    <t>d1945d08</t>
  </si>
  <si>
    <t>https://www.instagram.com/margoz_amer/?hl=fr</t>
  </si>
  <si>
    <t>f3214cd9</t>
  </si>
  <si>
    <t>https://www.facebook.com/La-villa-du-Piton-St-Joseph-127229302856621/posts/</t>
  </si>
  <si>
    <t>d9f395e5</t>
  </si>
  <si>
    <t>https://www.facebook.com/COTE-SUD-Sauvage-Maison-de-vacances-Location-saisonni%C3%A8re-101556412269872</t>
  </si>
  <si>
    <t>1e3906d2</t>
  </si>
  <si>
    <t>https://www.facebook.com/broderiesPauletVirginie/?ref=page_internal</t>
  </si>
  <si>
    <t>5d1253fa</t>
  </si>
  <si>
    <t>https://www.facebook.com/lezartsdecocreations/about/?ref=page_internal</t>
  </si>
  <si>
    <t>f230f678</t>
  </si>
  <si>
    <t>https://www.booking.com/hotel/re/location-saisonniere-maison-de-vacances.fr.html</t>
  </si>
  <si>
    <t>90f12524</t>
  </si>
  <si>
    <t>52b57b09</t>
  </si>
  <si>
    <t>https://www.facebook.com/profile.php?id=100018914204477</t>
  </si>
  <si>
    <t>edb311aa</t>
  </si>
  <si>
    <t>https://www.facebook.com/La-ferme-du-Kilimandjaro-242832062839593</t>
  </si>
  <si>
    <t>011fe97c</t>
  </si>
  <si>
    <t>https://www.facebook.com/scadubrascreux</t>
  </si>
  <si>
    <t>b7c97498</t>
  </si>
  <si>
    <t>https://www.airbnb.fr/rooms/51658963?guests=1&amp;adults=1&amp;s=67&amp;unique_share_id=cae31911-a4cf-48f3-aa86-26016d06e8af&amp;source_impression_id=p3_1644836964_DhVsga9uBNCDEa2I</t>
  </si>
  <si>
    <t>1ec3fe52</t>
  </si>
  <si>
    <t>https://m.facebook.com/Domaine-Paille-en-Queue-Location-Saisonni%C3%A8re-%C3%AEle-de-la-R%C3%A9union-22-personnes-102208138953022/?ref=page_internal</t>
  </si>
  <si>
    <t>ab9fdd44</t>
  </si>
  <si>
    <t>https://www.facebook.com/pg/Les-bijoux-dhermana-106325794170935/posts/</t>
  </si>
  <si>
    <t>4f56a7f3</t>
  </si>
  <si>
    <t>https://www.airbnb.fr/rooms/4204169?source_impression_id=p3_1645256160_0vPqB98WbZHNGLA%2F</t>
  </si>
  <si>
    <t>34962bed</t>
  </si>
  <si>
    <t>https://www.facebook.com/lescoeursdamants/</t>
  </si>
  <si>
    <t>9e1c6b45</t>
  </si>
  <si>
    <t>https://m.facebook.com/olodgedesrameaux/</t>
  </si>
  <si>
    <t>0201001e</t>
  </si>
  <si>
    <t>https://www.booking.com/hotel/re/coeur-creole.fr.html</t>
  </si>
  <si>
    <t>55445454</t>
  </si>
  <si>
    <t>https://www.airbnb.fr/rooms/40567049?adults=1&amp;children=0&amp;infants=0&amp;check_in=2023-10-29&amp;check_out=2023-11-03&amp;source_impression_id=p3_1697450066_O0IJf%2B4C9NOkiVhY&amp;previous_page_section_name=1000&amp;federated_search_id=87e77c1b-1f9a-43d6-b1dd-157933aa024d</t>
  </si>
  <si>
    <t>c672a26f</t>
  </si>
  <si>
    <t>https://www.tripadvisor.fr/Hotel_Review-g675133-d23219448-Reviews-Coeur_Creole-Le_Tampon_Arrondissement_of_Saint_Pierre.html</t>
  </si>
  <si>
    <t>92cc40f4</t>
  </si>
  <si>
    <t>https://www.airbnb.fr/rooms/24547801?source_impression_id=p3_1645617669_sX1%2BiQNLgmFWHD2a</t>
  </si>
  <si>
    <t>68adade1</t>
  </si>
  <si>
    <t>https://www.instagram.com/choubidoux_kreation/?hl=fr</t>
  </si>
  <si>
    <t>f169d28c</t>
  </si>
  <si>
    <t>https://www.facebook.com/Claire.Falconnet/</t>
  </si>
  <si>
    <t>1a7fd748</t>
  </si>
  <si>
    <t>https://www.facebook.com/versionecaille/</t>
  </si>
  <si>
    <t>4f47d0c6</t>
  </si>
  <si>
    <t>https://www.facebook.com/apiculture974</t>
  </si>
  <si>
    <t>9b000817</t>
  </si>
  <si>
    <t>https://www.facebook.com/Paintball97414</t>
  </si>
  <si>
    <t>a50aef34</t>
  </si>
  <si>
    <t>https://www.booking.com/hotel/re/gandalf-safari-camp.fr.html</t>
  </si>
  <si>
    <t>2d4b9cca</t>
  </si>
  <si>
    <t>https://www.booking.com/hotel/re/les-tourterelles-saint-joseph.fr.html</t>
  </si>
  <si>
    <t>1a5e5f48</t>
  </si>
  <si>
    <t>https://www.booking.com/hotel/re/instant-d-evasion1-meuble-de-tourisme-4-plaine-des-cafres-le-tampon1.fr.html?lang=fr&amp;soz=1&amp;lang_changed=1</t>
  </si>
  <si>
    <t>0cf6a5cb</t>
  </si>
  <si>
    <t>https://fr-fr.facebook.com/Locations-saisonni%C3%A8res-Saint-Joseph-Bungalows-Les-platanes--294038631076486/</t>
  </si>
  <si>
    <t>d59ce577</t>
  </si>
  <si>
    <t>https://www.facebook.com/zamponepothin974/</t>
  </si>
  <si>
    <t>a583d40b</t>
  </si>
  <si>
    <t>https://www.facebook.com/Les3Soleils974/</t>
  </si>
  <si>
    <t>b6747e63</t>
  </si>
  <si>
    <t>https://www.airbnb.fr/rooms/7491566?guests=6&amp;adults=4&amp;children=2&amp;infants=2&amp;location=Saint%20Joseph%2C%20R%C3%A9union&amp;check_in=2017-09-05&amp;check_out=2017-09-10&amp;s=RT0JrrBT&amp;source_impression_id=p3_1647342919_V5rd%2FGecO%2FmxfRC5</t>
  </si>
  <si>
    <t>a498e798</t>
  </si>
  <si>
    <t>https://www.facebook.com/pages/category/Local---travel-website/Far-Far-de-B%C3%A9zaves-651889558656296/</t>
  </si>
  <si>
    <t>d702579b</t>
  </si>
  <si>
    <t>https://www.facebook.com/Villa-Latanier-102049134886955</t>
  </si>
  <si>
    <t>ce726698</t>
  </si>
  <si>
    <t>https://www.airbnb.fr/rooms/50719013?adults=2&amp;federated_search_id=43c261a8-6436-414d-968c-6cda91b16ede&amp;source_impression_id=p3_1649093752_%2BJ1eS99El5Fa4O7B</t>
  </si>
  <si>
    <t>76f11ce2</t>
  </si>
  <si>
    <t>https://www.facebook.com/%C3%80-la-kaz-ti-Zozeff-101710245562394/photos/?ref=page_internal</t>
  </si>
  <si>
    <t>de8764a7</t>
  </si>
  <si>
    <t>https://www.abritel.fr/location-vacances/p1364036</t>
  </si>
  <si>
    <t>c2cf91e4</t>
  </si>
  <si>
    <t>https://www.facebook.com/Atelierpalmisterouge/</t>
  </si>
  <si>
    <t>f2a55fba</t>
  </si>
  <si>
    <t>https://www.instagram.com/atelierpalmisterouge/?hl=fr</t>
  </si>
  <si>
    <t>cf34e451</t>
  </si>
  <si>
    <t>https://fr-fr.facebook.com/Atmospherepei/</t>
  </si>
  <si>
    <t>059f51ed</t>
  </si>
  <si>
    <t>https://www.instagram.com/atmospherepei/?hl=fr</t>
  </si>
  <si>
    <t>20efefd8</t>
  </si>
  <si>
    <t>https://www.instagram.com/bitasyonbio/?hl=fr</t>
  </si>
  <si>
    <t>4c5bd15e</t>
  </si>
  <si>
    <t>https://fr-fr.facebook.com/bitasyonbio/</t>
  </si>
  <si>
    <t>058cdd44</t>
  </si>
  <si>
    <t>https://www.facebook.com/profile.php?id=100040988959085</t>
  </si>
  <si>
    <t>3612a0e3</t>
  </si>
  <si>
    <t>https://www.facebook.com/HarryLeichnig/</t>
  </si>
  <si>
    <t>b2bd7dc2</t>
  </si>
  <si>
    <t>https://www.instagram.com/escalebleue/?hl=fr</t>
  </si>
  <si>
    <t>dcf1995f</t>
  </si>
  <si>
    <t>https://fr-fr.facebook.com/Escalebleue/</t>
  </si>
  <si>
    <t>aa37aebe</t>
  </si>
  <si>
    <t>https://fr-fr.facebook.com/profile.php?id=100063536772160</t>
  </si>
  <si>
    <t>58d116c3</t>
  </si>
  <si>
    <t>https://fr-fr.facebook.com/coulombeauClara/</t>
  </si>
  <si>
    <t>9760a169</t>
  </si>
  <si>
    <t>https://www.tripadvisor.fr/Restaurant_Review-g2140646-d21330474-Reviews-Cote_Sauvage-Saint_Philippe_Arrondissement_of_Saint_Pierre.html</t>
  </si>
  <si>
    <t>2a60a646</t>
  </si>
  <si>
    <t>https://m.facebook.com/profile.php?id=172804692769029</t>
  </si>
  <si>
    <t>d48d9a02</t>
  </si>
  <si>
    <t>https://www.facebook.com/Restaurant-des-Laves-105592771187427</t>
  </si>
  <si>
    <t>fe2b6602</t>
  </si>
  <si>
    <t>https://www.facebook.com/pages/category/Vacation-Home-Rental/Villa-JoLi-103826648558846/</t>
  </si>
  <si>
    <t>e98a9246</t>
  </si>
  <si>
    <t>https://www.airbnb.fr/rooms/49522808?source_impression_id=p3_1649661244_8BlrKNAYAJWiTrPy</t>
  </si>
  <si>
    <t>a9d8700d</t>
  </si>
  <si>
    <t>https://www.booking.com/hotel/re/la-villa-joli-saint-joseph.fr.html?aid=318615;label=New_French_FR_RE_26394819985-5KMfyMgIYi7RF9Cd6ZNX9wS100087090705%3Apl%3Ata%3Ap1%3Ap2%3Aac%3Aap%3Aneg%3Afi%3Atidsa-194594581705%3Alp9075843%3Ali%3Adec%3Adm;sid=e1070579b2cc798bf954b801d3b02931;dest_id=-1331399;dest_type=city;dist=0;group_adults=2;group_children=0;hapos=1;hpos=1;no_rooms=1;req_adults=2;req_children=0;room1=A%2CA;sb_price_type=total;sr_order=popularity;srepoch=1649668042;srpvid=8957402486ff0736;type=total;ucfs=1&amp;#hotelTmpl</t>
  </si>
  <si>
    <t>45bdbf1a</t>
  </si>
  <si>
    <t>https://fr-fr.facebook.com/maisondulaurina/</t>
  </si>
  <si>
    <t>23791095</t>
  </si>
  <si>
    <t>https://www.tripadvisor.fr/Attraction_Review-g298470-d8698269-Reviews-Z_ile_4x4-Saint_Gilles_Les_Bains_Arrondissement_of_Saint_Paul-m11424.html</t>
  </si>
  <si>
    <t>6eff5d90</t>
  </si>
  <si>
    <t>https://fr-fr.facebook.com/zile4x4/</t>
  </si>
  <si>
    <t>bf9739c4</t>
  </si>
  <si>
    <t>https://www.facebook.com/lacazahibiscus</t>
  </si>
  <si>
    <t>e1b75907</t>
  </si>
  <si>
    <t>https://www.booking.com/hotel/re/la-caz-a-hibiscus.fr.html</t>
  </si>
  <si>
    <t>091f1fe8</t>
  </si>
  <si>
    <t>https://fr.airbnb.be/rooms/43885934?source_impression_id=p3_1649763339_ZcKmbpNPZdydthw6</t>
  </si>
  <si>
    <t>b4bde780</t>
  </si>
  <si>
    <t>https://m.facebook.com/Entre-Mer-Et-Montagne-394760914213277/</t>
  </si>
  <si>
    <t>065d323a</t>
  </si>
  <si>
    <t>https://m.facebook.com/100057309826726</t>
  </si>
  <si>
    <t>aff58499</t>
  </si>
  <si>
    <t>https://fr-fr.facebook.com/pages/category/Fish-Farm/Parc-de-la-grande-cascade-langevin-245098302548096/</t>
  </si>
  <si>
    <t>70f992b8</t>
  </si>
  <si>
    <t>https://fr-fr.facebook.com/pages/category/Local-Business/Producteur-Mr-Hoareau-Guibert-1762503067326637/</t>
  </si>
  <si>
    <t>566384c4</t>
  </si>
  <si>
    <t>https://www.facebook.com/AudouxTamarindesHauts</t>
  </si>
  <si>
    <t>5c6e4bfc</t>
  </si>
  <si>
    <t>https://www.instagram.com/vavangart974/?hl=fr</t>
  </si>
  <si>
    <t>034306ff</t>
  </si>
  <si>
    <t>https://fr-fr.facebook.com/vavangart/</t>
  </si>
  <si>
    <t>2edfbcaf</t>
  </si>
  <si>
    <t>https://www.tripadvisor.fr/Restaurant_Review-g668283-d12621050-Reviews-Vavang_Art-Entre_Deux_Arrondissement_of_Saint_Pierre.html</t>
  </si>
  <si>
    <t>35b43bda</t>
  </si>
  <si>
    <t>https://fr-fr.facebook.com/kreolie/</t>
  </si>
  <si>
    <t>9df634f4</t>
  </si>
  <si>
    <t>https://www.tripadvisor.fr/Attraction_Review-g668283-d6748595-Reviews-Kreolie_4x4-Entre_Deux_Arrondissement_of_Saint_Pierre.html</t>
  </si>
  <si>
    <t>6d4a7d13</t>
  </si>
  <si>
    <t>https://www.instagram.com/kreolie_4x4/?hl=fr</t>
  </si>
  <si>
    <t>17db4457</t>
  </si>
  <si>
    <t>https://www.facebook.com/HorlogesReunionUtinamparDidierPrevel/</t>
  </si>
  <si>
    <t>adbc70bf</t>
  </si>
  <si>
    <t>https://www.tripadvisor.fr/Hotel_Review-g668283-d8685625-Reviews-Camping_Entre_2_Songes-Entre_Deux_Arrondissement_of_Saint_Pierre.html</t>
  </si>
  <si>
    <t>c98d31ca</t>
  </si>
  <si>
    <t>https://fr-fr.facebook.com/entre2songes/</t>
  </si>
  <si>
    <t>2249731a</t>
  </si>
  <si>
    <t>https://www.facebook.com/profile.php?id=100068384780022</t>
  </si>
  <si>
    <t>65d9a843</t>
  </si>
  <si>
    <t>https://www.facebook.com/people/Studio-M%C3%A9moire-DSens/100042749154697/</t>
  </si>
  <si>
    <t>3c28ffcf</t>
  </si>
  <si>
    <t>https://www.facebook.com/profile.php?id=100089693227592</t>
  </si>
  <si>
    <t>ef5a19d1</t>
  </si>
  <si>
    <t>https://www.tripadvisor.fr/Restaurant_Review-g675133-d3469656-Reviews-Le_Palais_du_Fromage-Le_Tampon_Arrondissement_of_Saint_Pierre.html</t>
  </si>
  <si>
    <t>e90614ed</t>
  </si>
  <si>
    <t>https://fr-fr.facebook.com/forgeron.taillandier/</t>
  </si>
  <si>
    <t>039f2bf8</t>
  </si>
  <si>
    <t>https://fr-fr.facebook.com/TunnelsDeLaveRandoTrekkingReunionKokapat/</t>
  </si>
  <si>
    <t>a7baa3cf</t>
  </si>
  <si>
    <t>https://www.tripadvisor.fr/Attraction_Review-g675133-d8041348-Reviews-Kokapat_Rando_Reunion-Le_Tampon_Arrondissement_of_Saint_Pierre.html</t>
  </si>
  <si>
    <t>d34d1d29</t>
  </si>
  <si>
    <t>https://www.instagram.com/explore/locations/3231236/raunion/le-tampon/theatre-luc-donat/</t>
  </si>
  <si>
    <t>53edb0d2</t>
  </si>
  <si>
    <t>https://www.facebook.com/theatrelucdonat/</t>
  </si>
  <si>
    <t>794ad609</t>
  </si>
  <si>
    <t>https://fr-fr.facebook.com/pages/category/Local-Business/DNat-Creations-2105106393065932/</t>
  </si>
  <si>
    <t>ed679f3d</t>
  </si>
  <si>
    <t>https://www.airbnb.fr/rooms/36826748</t>
  </si>
  <si>
    <t>092c2f0f</t>
  </si>
  <si>
    <t>https://fr-fr.facebook.com/pages/category/Restaurant/Ferme-Auberge-Desprairies-520083278094211/</t>
  </si>
  <si>
    <t>aa9837ca</t>
  </si>
  <si>
    <t>https://www.google.com/aclk?sa=l&amp;ai=DChcSEwjx0sDxt5P3AhVM3tUKHbKmAJQYABABGgJ3cw&amp;ae=2&amp;sig=AOD64_05xD4rn5ipTNt95z1Rsea3QS1amw&amp;q&amp;adurl&amp;ved=2ahUKEwiDwrXxt5P3AhVaSfEDHVbrDlEQ0Qx6BAgEEAM</t>
  </si>
  <si>
    <t>c458ccd8</t>
  </si>
  <si>
    <t>https://fr-fr.facebook.com/lebilimbilocation/</t>
  </si>
  <si>
    <t>dfcc2d72</t>
  </si>
  <si>
    <t>https://fr.airbnb.ch/rooms/19182957</t>
  </si>
  <si>
    <t>6d4e49fc</t>
  </si>
  <si>
    <t>https://www.airbnb.fr/rooms/28058133</t>
  </si>
  <si>
    <t>2af69366</t>
  </si>
  <si>
    <t>https://www.booking.com/hotel/re/caseaupiedduvolcan-charmante-maison-confortable-au-pied-du-volcan.fr.html?aid=318615;label=New_French_FR_RE_26394819985-5KMfyMgIYi7RF9Cd6ZNX9wS100087090705%3Apl%3Ata%3Ap1%3Ap2%3Aac%3Aap%3Aneg%3Afi%3Atidsa-194594581705%3Alp9075843%3Ali%3Adec%3Adm;sid=3131204cdaea17d70ef26a7f3ce14355;dest_id=-1331043;dest_type=city;dist=0;group_adults=2;group_children=0;hapos=1;hpos=1;no_rooms=1;req_adults=2;req_children=0;room1=A%2CA;sb_price_type=total;sr_order=popularity;srepoch=1650362276;srpvid=fa5e461111e800db;type=total;ucfs=1&amp;#hotelTmpl</t>
  </si>
  <si>
    <t>b3a36970</t>
  </si>
  <si>
    <t>https://www.tripadvisor.fr/Restaurant_Review-g675133-d7645508-Reviews-Le_Bar_a_4-Le_Tampon_Arrondissement_of_Saint_Pierre.html</t>
  </si>
  <si>
    <t>2b2fa252</t>
  </si>
  <si>
    <t>https://www.facebook.com/pages/category/Restaurant/Le-Bar-A-4-Tampon-100880958297279/</t>
  </si>
  <si>
    <t>f8578671</t>
  </si>
  <si>
    <t>https://www.facebook.com/La-Caz-%C3%A0-Eva-176219992731001/</t>
  </si>
  <si>
    <t>4617a249</t>
  </si>
  <si>
    <t>https://www.tripadvisor.fr/Restaurant_Review-g635742-d10214686-Reviews-La_Caz_a_Eva-Saint_Joseph_Arrondissement_of_Saint_Pierre.html</t>
  </si>
  <si>
    <t>80ac2849</t>
  </si>
  <si>
    <t>https://www.facebook.com/ellatinobar</t>
  </si>
  <si>
    <t>6137af70</t>
  </si>
  <si>
    <t>https://fr.tripadvisor.be/Restaurant_Review-g675133-d20300773-Reviews-El_Latino-Le_Tampon_Arrondissement_of_Saint_Pierre.html</t>
  </si>
  <si>
    <t>aeca0a94</t>
  </si>
  <si>
    <t>https://www.facebook.com/Ti-kaz-gingembre-101101125109222</t>
  </si>
  <si>
    <t>0737af0a</t>
  </si>
  <si>
    <t>https://fr-fr.facebook.com/people/Restaurant-le-Saint-Hilaire/100063476656214/</t>
  </si>
  <si>
    <t>e6b3dd08</t>
  </si>
  <si>
    <t>https://www.instagram.com/canyoning_evasion_kreol/?hl=fr</t>
  </si>
  <si>
    <t>a30b40eb</t>
  </si>
  <si>
    <t>https://fr-fr.facebook.com/EvasionKreol974/</t>
  </si>
  <si>
    <t>3d5ca8c5</t>
  </si>
  <si>
    <t>https://www.tripadvisor.fr/Attraction_Review-g3442308-d5101139-Reviews-Evasion_Kreol-Bras_Panon_Arrondissement_of_Saint_Benoit.html</t>
  </si>
  <si>
    <t>b2106439</t>
  </si>
  <si>
    <t>https://www.facebook.com/pages/category/Restaurant/Le-Gr%C3%A9guois-294279934054834/</t>
  </si>
  <si>
    <t>495cf2b1</t>
  </si>
  <si>
    <t>https://www.tripadvisor.fr/Hotel_Review-g675133-d16658564-Reviews-Les_jardins_de_Le_o-Le_Tampon_Arrondissement_of_Saint_Pierre.html</t>
  </si>
  <si>
    <t>a8f33bea</t>
  </si>
  <si>
    <t>https://m.facebook.com/permalink.php?story_fbid=123560085680148&amp;id=107136697322487&amp;comment_id=123610285675128&amp;reply_comment_id=123724878997002</t>
  </si>
  <si>
    <t>0dae6c43</t>
  </si>
  <si>
    <t>https://www.facebook.com/Restaurant-Le-Longboard-838436569505805/?__cft__[0]=AZUlo6oyIRvUKWWegU4BeVdMsfCwsGroc1uThrXC-L9bBp-aAeL7Br9wfM4YPIqEsBki7lcns4PcAb5E_eiQmF2AJYzMvCsh3p9IPJy_GWZbxVAmrLcD5r0BMDf5CRlV63CR13Dn8ninMvwspDNrZG2n&amp;__tn__=-UK-R</t>
  </si>
  <si>
    <t>0712bfdf</t>
  </si>
  <si>
    <t>https://fr-fr.facebook.com/pages/category/Just-For-Fun/G%C3%AEte-cascade-les-3-galets-142104323363187/</t>
  </si>
  <si>
    <t>e80caf91</t>
  </si>
  <si>
    <t>https://www.tripadvisor.fr/Restaurant_Review-g635742-d13434608-Reviews-Orient_Express-Saint_Joseph_Arrondissement_of_Saint_Pierre.html</t>
  </si>
  <si>
    <t>6dd13ac0</t>
  </si>
  <si>
    <t>https://fr-fr.facebook.com/bigdilnessamatnana/</t>
  </si>
  <si>
    <t>0c2f7428</t>
  </si>
  <si>
    <t>https://www.tripadvisor.fr/Restaurant_Review-g635742-d12963391-Reviews-Ti_Pany-Saint_Joseph_Arrondissement_of_Saint_Pierre.html</t>
  </si>
  <si>
    <t>9d9e6583</t>
  </si>
  <si>
    <t>https://www.facebook.com/pages/category/Restaurant/Ti-pany-110900266144888/</t>
  </si>
  <si>
    <t>d1469501</t>
  </si>
  <si>
    <t>https://fr-fr.facebook.com/lemillepertuis/</t>
  </si>
  <si>
    <t>16677357</t>
  </si>
  <si>
    <t>https://www.facebook.com/biensfeesdegraziella/</t>
  </si>
  <si>
    <t>8411defb</t>
  </si>
  <si>
    <t>https://www.facebook.com/pages/category/Vacation-Home-Rental/Case-au-pied-du-volcan-111380103685326/</t>
  </si>
  <si>
    <t>a9275293</t>
  </si>
  <si>
    <t>https://www.airbnb.fr/rooms/35102090?source_impression_id=p3_1652160801_AUP%2FJFS8f6WcdmWO</t>
  </si>
  <si>
    <t>5a2af4fd</t>
  </si>
  <si>
    <t>https://www.facebook.com/pages/category/Shopping---retail/Ti-brin-nature-114898620339890/</t>
  </si>
  <si>
    <t>0bb4036b</t>
  </si>
  <si>
    <t>https://www.facebook.com/pages/category/Restaurant/Le-Bardeau-108051214396276/</t>
  </si>
  <si>
    <t>b1e45e6f</t>
  </si>
  <si>
    <t>https://www.tripadvisor.fr/Restaurant_Review-g668283-d23714748-Reviews-Le_Bardeau-Entre_Deux_Arrondissement_of_Saint_Pierre.html</t>
  </si>
  <si>
    <t>4a21809d</t>
  </si>
  <si>
    <t>https://www.airbnb.fr/rooms/15351503?source_impression_id=p3_1653041232_MVSh6U4Cqv%2FyH7BY</t>
  </si>
  <si>
    <t>b352f492</t>
  </si>
  <si>
    <t>https://www.instagram.com/ferme.lebonpapillon.1/</t>
  </si>
  <si>
    <t>b82d83dd</t>
  </si>
  <si>
    <t>https://www.instagram.com/restaurant_lelongboard/</t>
  </si>
  <si>
    <t>16546983</t>
  </si>
  <si>
    <t>https://www.facebook.com/leboizoly</t>
  </si>
  <si>
    <t>f63fac94</t>
  </si>
  <si>
    <t>https://www.facebook.com/pages/Le-ti-resto-Lontan-Plaine-des-Cafres/150819332204133</t>
  </si>
  <si>
    <t>a400bdb2</t>
  </si>
  <si>
    <t>https://www.facebook.com/pages/Le-Tinto/155015571262203</t>
  </si>
  <si>
    <t>f96b1d5f</t>
  </si>
  <si>
    <t>https://www.tripadvisor.fr/Restaurant_Review-g790521-d12804712-Reviews-Restaurant_Le_Tourne_Broche-La_Plaine_des_Cafres_Arrondissement_of_Saint_Pierre.html</t>
  </si>
  <si>
    <t>38605fc1</t>
  </si>
  <si>
    <t>https://www.facebook.com/TourneBrocheOfficiel</t>
  </si>
  <si>
    <t>b89b1216</t>
  </si>
  <si>
    <t>https://www.tripadvisor.fr/Restaurant_Review-g790521-d6429322-Reviews-Le_Vieux_Bardeau-La_Plaine_des_Cafres_Arrondissement_of_Saint_Pierre.html</t>
  </si>
  <si>
    <t>f652fe10</t>
  </si>
  <si>
    <t>https://www.facebook.com/profile.php?id=100042098606707</t>
  </si>
  <si>
    <t>b3a8effd</t>
  </si>
  <si>
    <t>https://www.instagram.com/levieuxbardeau/</t>
  </si>
  <si>
    <t>d126ef48</t>
  </si>
  <si>
    <t>https://www.instagram.com/les_sens_ciel_by_gm/</t>
  </si>
  <si>
    <t>fbaaee2f</t>
  </si>
  <si>
    <t>56393591</t>
  </si>
  <si>
    <t>https://www.tripadvisor.fr/Restaurant_Review-g675133-d7231074-Reviews-Le_Canard_Bourbon-Le_Tampon_Arrondissement_of_Saint_Pierre.html</t>
  </si>
  <si>
    <t>0ebc3e42</t>
  </si>
  <si>
    <t>https://www.facebook.com/Restaurant-la-kaz-458846967634186</t>
  </si>
  <si>
    <t>95898111</t>
  </si>
  <si>
    <t>https://www.tripadvisor.fr/Restaurant_Review-g790521-d12059741-Reviews-La_Kaz-La_Plaine_des_Cafres_Arrondissement_of_Saint_Pierre.html</t>
  </si>
  <si>
    <t>79a3ef23</t>
  </si>
  <si>
    <t>https://www.facebook.com/restaurantlolivier974</t>
  </si>
  <si>
    <t>471a6dc6</t>
  </si>
  <si>
    <t>https://www.tripadvisor.fr/Restaurant_Review-g675133-d10161844-Reviews-L_Olivier-Le_Tampon_Arrondissement_of_Saint_Pierre.html</t>
  </si>
  <si>
    <t>ea1d6c79</t>
  </si>
  <si>
    <t>https://www.tripadvisor.fr/Restaurant_Review-g675133-d2526663-Reviews-L_Amberic-Le_Tampon_Arrondissement_of_Saint_Pierre.html</t>
  </si>
  <si>
    <t>5e1ef89b</t>
  </si>
  <si>
    <t>https://www.facebook.com/pages/Restaurant-lAmberic/407951182916548</t>
  </si>
  <si>
    <t>2f7777cb</t>
  </si>
  <si>
    <t>https://www.facebook.com/pages/La-Ferme-Du-P%C3%AAcher-Gourmand/368946193145543</t>
  </si>
  <si>
    <t>ac076c41</t>
  </si>
  <si>
    <t>https://www.tripadvisor.fr/Hotel_Review-g790521-d1876595-Reviews-Ferme_du_Pecher_Gourmand-La_Plaine_des_Cafres_Arrondissement_of_Saint_Pierre.html</t>
  </si>
  <si>
    <t>518399f6</t>
  </si>
  <si>
    <t>https://www.instagram.com/oqgresto/</t>
  </si>
  <si>
    <t>e6b59b0b</t>
  </si>
  <si>
    <t>https://www.tripadvisor.fr/Restaurant_Review-g790521-d2094219-Reviews-Le_QG-La_Plaine_des_Cafres_Arrondissement_of_Saint_Pierre.html</t>
  </si>
  <si>
    <t>52cf36db</t>
  </si>
  <si>
    <t>https://www.facebook.com/OQGresto</t>
  </si>
  <si>
    <t>300a1541</t>
  </si>
  <si>
    <t>https://www.facebook.com/people/Ticasemetyss/100057549335378/</t>
  </si>
  <si>
    <t>8f3435dd</t>
  </si>
  <si>
    <t>https://www.tripadvisor.fr/Restaurant_Review-g667223-d4162877-Reviews-Le_ti_kan-Bourg_Murat_Arrondissement_of_Saint_Pierre.html</t>
  </si>
  <si>
    <t>f05d19d0</t>
  </si>
  <si>
    <t>https://www.instagram.com/sudhotel974/</t>
  </si>
  <si>
    <t>cc4ae621</t>
  </si>
  <si>
    <t>https://www.tripadvisor.fr/Hotel_Review-g675133-d1725023-Reviews-Sud_Hotel-Le_Tampon_Arrondissement_of_Saint_Pierre.html</t>
  </si>
  <si>
    <t>e685fe3e</t>
  </si>
  <si>
    <t>https://www.facebook.com/diablesothym/?ref=page_internal</t>
  </si>
  <si>
    <t>c30d6aab</t>
  </si>
  <si>
    <t>https://www.instagram.com/diablesothym/</t>
  </si>
  <si>
    <t>43b36490</t>
  </si>
  <si>
    <t>https://www.tripadvisor.fr/Restaurant_Review-g675133-d17082823-Reviews-Diables_o_Thym-Le_Tampon_Arrondissement_of_Saint_Pierre.html</t>
  </si>
  <si>
    <t>91fcab4a</t>
  </si>
  <si>
    <t>https://www.facebook.com/Au-20-C%C5%93urs-346798595781291</t>
  </si>
  <si>
    <t>70807a0a</t>
  </si>
  <si>
    <t>https://www.facebook.com/assiettefleurie</t>
  </si>
  <si>
    <t>2d6d8fde</t>
  </si>
  <si>
    <t>https://www.tripadvisor.fr/Restaurant_Review-g790521-d8825297-Reviews-Restaurant_Chez_Guilaine-La_Plaine_des_Cafres_Arrondissement_of_Saint_Pierre.html</t>
  </si>
  <si>
    <t>783e3e83</t>
  </si>
  <si>
    <t>https://www.facebook.com/CHEZ-Guilaine-1603333213321079</t>
  </si>
  <si>
    <t>d1f37b7b</t>
  </si>
  <si>
    <t>https://www.tripadvisor.fr/Restaurant_Review-g675133-d6901751-Reviews-Chez_Manman-Le_Tampon_Arrondissement_of_Saint_Pierre.html</t>
  </si>
  <si>
    <t>af8a4318</t>
  </si>
  <si>
    <t>https://www.facebook.com/profile.php?id=100063694414099</t>
  </si>
  <si>
    <t>a0fc4bbc</t>
  </si>
  <si>
    <t>https://www.tripadvisor.fr/Restaurant_Review-g675133-d5508127-Reviews-Le_Bongo-Le_Tampon_Arrondissement_of_Saint_Pierre.html</t>
  </si>
  <si>
    <t>587ce8c9</t>
  </si>
  <si>
    <t>https://www.facebook.com/KAZMAURICIEN974</t>
  </si>
  <si>
    <t>e7905470</t>
  </si>
  <si>
    <t>https://www.facebook.com/orchidea.salledereception</t>
  </si>
  <si>
    <t>9664abd6</t>
  </si>
  <si>
    <t>https://www.facebook.com/restaurantlepanoramic974/</t>
  </si>
  <si>
    <t>c523a491</t>
  </si>
  <si>
    <t>https://www.tripadvisor.fr/Restaurant_Review-g667223-d7132796-Reviews-Le_Grillanoo-Bourg_Murat_Arrondissement_of_Saint_Pierre.html</t>
  </si>
  <si>
    <t>311b94c7</t>
  </si>
  <si>
    <t>https://www.facebook.com/grillanoo</t>
  </si>
  <si>
    <t>be9da338</t>
  </si>
  <si>
    <t>https://www.instagram.com/legrillanoo/</t>
  </si>
  <si>
    <t>672a7151</t>
  </si>
  <si>
    <t>https://www.facebook.com/groups/100884030248847</t>
  </si>
  <si>
    <t>c6f53ecd</t>
  </si>
  <si>
    <t>https://www.tripadvisor.fr/Restaurant_Review-g675133-d19774170-Reviews-La_Paillote-Le_Tampon_Arrondissement_of_Saint_Pierre.html</t>
  </si>
  <si>
    <t>2a163e76</t>
  </si>
  <si>
    <t>https://www.instagram.com/happy_time.run/</t>
  </si>
  <si>
    <t>a7a85bac</t>
  </si>
  <si>
    <t>https://www.facebook.com/pages/Auberge-du-Volcan/357358737993871</t>
  </si>
  <si>
    <t>b0422c1c</t>
  </si>
  <si>
    <t>https://www.facebook.com/Meubledetourismevillareunion/?ref=bookmarks</t>
  </si>
  <si>
    <t>7c8ca9a3</t>
  </si>
  <si>
    <t>https://www.facebook.com/La-Guinguette-103444018327064</t>
  </si>
  <si>
    <t>b66531e3</t>
  </si>
  <si>
    <t>https://www.tripadvisor.fr/Restaurant_Review-g2140646-d3309198-Reviews-Le_Vieux_Port-Saint_Philippe_Arrondissement_of_Saint_Pierre.html</t>
  </si>
  <si>
    <t>d638bd4b</t>
  </si>
  <si>
    <t>https://www.tripadvisor.fr/Restaurant_Review-g2140646-d8483202-Reviews-La_Bicyclette_Gourmande-Saint_Philippe_Arrondissement_of_Saint_Pierre.html</t>
  </si>
  <si>
    <t>8c77312d</t>
  </si>
  <si>
    <t>https://www.instagram.com/baril_and_co_974/</t>
  </si>
  <si>
    <t>a32855c2</t>
  </si>
  <si>
    <t>https://www.facebook.com/barilandco</t>
  </si>
  <si>
    <t>ef08bd90</t>
  </si>
  <si>
    <t>https://www.tripadvisor.fr/Restaurant_Review-g2140646-d8454328-Reviews-Restaurant_des_Laves-Saint_Philippe_Arrondissement_of_Saint_Pierre.html</t>
  </si>
  <si>
    <t>6d60680d</t>
  </si>
  <si>
    <t>https://www.facebook.com/Restaurant-Le-Mascarin-102566977783090</t>
  </si>
  <si>
    <t>ea22c168</t>
  </si>
  <si>
    <t>https://www.facebook.com/aubergeguimard</t>
  </si>
  <si>
    <t>1ad10955</t>
  </si>
  <si>
    <t>https://www.tripadvisor.fr/Restaurant_Review-g2140646-d7212426-Reviews-Auberge_Guimard-Saint_Philippe_Arrondissement_of_Saint_Pierre.html</t>
  </si>
  <si>
    <t>c1fff17f</t>
  </si>
  <si>
    <t>https://www.facebook.com/pages/Restaurant-La-Case-Volcan/547318852117670</t>
  </si>
  <si>
    <t>0ca7b967</t>
  </si>
  <si>
    <t>https://www.tripadvisor.fr/Restaurant_Review-g2140646-d6742820-Reviews-La_Case_Volcan-Saint_Philippe_Arrondissement_of_Saint_Pierre.html</t>
  </si>
  <si>
    <t>7ab989d5</t>
  </si>
  <si>
    <t>https://www.tripadvisor.fr/Restaurant_Review-g2140646-d5960960-Reviews-Le_Palmier_auberge_paysanne-Saint_Philippe_Arrondissement_of_Saint_Pierre.html</t>
  </si>
  <si>
    <t>8211ed51</t>
  </si>
  <si>
    <t>https://www.tripadvisor.fr/Restaurant_Review-g2140646-d2656647-Reviews-La_Mer_Cassee-Saint_Philippe_Arrondissement_of_Saint_Pierre.html</t>
  </si>
  <si>
    <t>ed2bbacb</t>
  </si>
  <si>
    <t>https://www.facebook.com/ChezMoustache</t>
  </si>
  <si>
    <t>d8f0cf88</t>
  </si>
  <si>
    <t>https://www.tripadvisor.fr/Restaurant_Review-g2140646-d3737411-Reviews-Chez_Moustache-Saint_Philippe_Arrondissement_of_Saint_Pierre.html</t>
  </si>
  <si>
    <t>c0473955</t>
  </si>
  <si>
    <t>https://fr.tripadvisor.ch/Restaurant_Review-g2140646-d23868128-Reviews-L_atelier_Palmiste_Rouge-Saint_Philippe_Arrondissement_of_Saint_Pierre.html</t>
  </si>
  <si>
    <t>e0308df8</t>
  </si>
  <si>
    <t>https://www.facebook.com/AltiRun</t>
  </si>
  <si>
    <t>231f1e55</t>
  </si>
  <si>
    <t>https://www.facebook.com/Au-QG-JJ-101606198379019</t>
  </si>
  <si>
    <t>32ae5e0a</t>
  </si>
  <si>
    <t>https://www.booking.com/hotel/re/chez-malou-saint-philippe.fr.html</t>
  </si>
  <si>
    <t>77df5213</t>
  </si>
  <si>
    <t>https://www.airbnb.fr/rooms/45243732?source_impression_id=p3_1654662867_ZJcF8MzPcFmPnUGB</t>
  </si>
  <si>
    <t>405418f2</t>
  </si>
  <si>
    <t>https://www.facebook.com/Ferme-auberge-le-ti-planteur-122093121567184</t>
  </si>
  <si>
    <t>ff55520f</t>
  </si>
  <si>
    <t>https://www.facebook.com/profile.php?id=100057077634918</t>
  </si>
  <si>
    <t>4326419a</t>
  </si>
  <si>
    <t>https://www.tripadvisor.fr/Hotel_Review-g2140646-d13323762-Reviews-Le_Puit_des_Francais-Saint_Philippe_Arrondissement_of_Saint_Pierre.html</t>
  </si>
  <si>
    <t>65662ffe</t>
  </si>
  <si>
    <t>https://www.tripadvisor.fr/Hotel_Review-g2140646-d4453842-Reviews-Au_Domaine_du_Vacoa-Saint_Philippe_Arrondissement_of_Saint_Pierre.html</t>
  </si>
  <si>
    <t>30f2376c</t>
  </si>
  <si>
    <t>01dd0583</t>
  </si>
  <si>
    <t>https://www.tripadvisor.fr/Hotel_Review-g2140646-d5569320-Reviews-Coco_Vanille-Saint_Philippe_Arrondissement_of_Saint_Pierre.html</t>
  </si>
  <si>
    <t>53cc4240</t>
  </si>
  <si>
    <t>https://www.facebook.com/cocovanille974/?ref=page_internal</t>
  </si>
  <si>
    <t>0005e22e</t>
  </si>
  <si>
    <t>https://www.tripadvisor.fr/Hotel_Review-g2140646-d3459911-Reviews-Crabe_Sous_la_Varangue-Saint_Philippe_Arrondissement_of_Saint_Pierre.html</t>
  </si>
  <si>
    <t>5bccddaf</t>
  </si>
  <si>
    <t>https://www.facebook.com/sejour2reve</t>
  </si>
  <si>
    <t>266c57c5</t>
  </si>
  <si>
    <t>https://www.booking.com/hotel/re/le-four-a-pain.fr.html?aid=311089&amp;label=le-four-a-pain-T%2AZG4BVjidZ9bDoc%2A642EwS442462650702%3Apl%3Ata%3Ap1%3Ap2%3Aac%3Aap%3Aneg%3Afi%3Atikwd-343967915980%3Alp9075843%3Ali%3Adec%3Adm%3Appccp%3DUmFuZG9tSVYkc2RlIyh9YVcLb15uXY9dObSb2laNmOc&amp;sid=0321f735a3745fc1860e69443dcf6585&amp;dest_id=-1331411;dest_type=city;dist=0;group_adults=2;group_children=0;hapos=1;hpos=1;no_rooms=1;req_adults=2;req_children=0;room1=A%2CA;sb_price_type=total;sr_order=popularity;srepoch=1654670798;srpvid=69a42fa61d840278;type=total;ucfs=1&amp;#hotelTmpl</t>
  </si>
  <si>
    <t>70210d04</t>
  </si>
  <si>
    <t>4a491cad</t>
  </si>
  <si>
    <t>https://www.facebook.com/Le-Multipliant-101910985413691</t>
  </si>
  <si>
    <t>35285431</t>
  </si>
  <si>
    <t>https://fr.airbnb.com/rooms/53265821?_set_bev_on_new_domain=1654672479_NDBkZWM1MWIzYTRk&amp;source_impression_id=p3_1654672489_JAQN7UA47SmPyU8f</t>
  </si>
  <si>
    <t>e56623fc</t>
  </si>
  <si>
    <t>https://www.facebook.com/Ti-Natte-107275804974982/</t>
  </si>
  <si>
    <t>4875bb4b</t>
  </si>
  <si>
    <t>cba06adb</t>
  </si>
  <si>
    <t>https://www.booking.com/hotel/re/kom-une-evidence-974.fr.html</t>
  </si>
  <si>
    <t>f1f7bc58</t>
  </si>
  <si>
    <t>https://www.facebook.com/giteteophaneetyoleine</t>
  </si>
  <si>
    <t>a91a41ae</t>
  </si>
  <si>
    <t>https://www.tripadvisor.fr/Hotel_Review-g2140646-d2253645-Reviews-Gite_Theophane_et_Yoleine-Saint_Philippe_Arrondissement_of_Saint_Pierre.html</t>
  </si>
  <si>
    <t>22759fa8</t>
  </si>
  <si>
    <t>https://www.booking.com/hotel/re/le-palmier.fr.html?aid=318615&amp;label=New_French_FR_RE_26394819985-5KMfyMgIYi7RF9Cd6ZNX9wS217272236396%3Apl%3Ata%3Ap1%3Ap2%3Aac%3Aap%3Aneg%3Afi%3Atidsa-194594581705%3Alp9075843%3Ali%3Adec%3Adm&amp;sid=0321f735a3745fc1860e69443dcf6585&amp;dest_id=-1331411;dest_type=city;dist=0;group_adults=2;group_children=0;hapos=1;hpos=1;no_rooms=1;req_adults=2;req_children=0;room1=A%2CA;sb_price_type=total;sr_order=popularity;srepoch=1654682002;srpvid=79a2458894e9019d;type=total;ucfs=1&amp;#hotelTmpl</t>
  </si>
  <si>
    <t>e6561f12</t>
  </si>
  <si>
    <t>7ccc3c53</t>
  </si>
  <si>
    <t>https://www.facebook.com/Fontaine97442</t>
  </si>
  <si>
    <t>f3c9e48d</t>
  </si>
  <si>
    <t>https://www.facebook.com/entredeuxcases/?hc_ref=ARSsyhV41E_gXQnKk0Xseoy3r0Vj2NyFuH6nK2S5GefTsFKqKAItG15J2_M4i-JkgXY&amp;fref=nf&amp;__xts__[0]=68.ARDRsi_7um8Q441Pi0VGigIc7lST8W5rzhAVLzZA-misRIFeDiBqRL_mE6I-kgKJththw-e6S3py0_YUQyFfwy8-huOhGC8V9ibK-FBQJgg680pnF8TDPC9EP6YlGQShNiKKLIC1QeaBGasjNuWPj70JrSeEYRoTPgui8ZCWI_h4nSj-uCSILYcku7EbrxtvTCwxISjiHVP5fH5G-w5RDJaXGNcZrJbZxXipCv61E_dF5BcagQhUODAk8EYUs_zDG_oLVmAQ7DIi7WLyqUA1Ux-99QiO43y--X8N5iLgW2_bnOAFNhU</t>
  </si>
  <si>
    <t>ae412e1f</t>
  </si>
  <si>
    <t>https://www.instagram.com/entredeuxcases/?igshid=YmMyMTA2M2Y=</t>
  </si>
  <si>
    <t>cef16b2a</t>
  </si>
  <si>
    <t>https://www.facebook.com/Nancy-Boutique-106750160851891</t>
  </si>
  <si>
    <t>25ab57f7</t>
  </si>
  <si>
    <t>https://www.facebook.com/pages/Jardin-des-parfums-et-des-%C3%A9pices/1436393906591403</t>
  </si>
  <si>
    <t>e477e751</t>
  </si>
  <si>
    <t>27e2edd2</t>
  </si>
  <si>
    <t>https://www.abritel.fr/location-vacances/p2122437?oc=lD8wQXSq0lmPE6ZT8e0lc&amp;uni_id=2298361&amp;utm_campaign=earned%3Aabritel%3Asharecopylink%3AFRA&amp;utm_content=2122437&amp;utm_medium=social&amp;utm_source=direct</t>
  </si>
  <si>
    <t>3bd65d8c</t>
  </si>
  <si>
    <t>https://www.airbnb.fr/rooms/633691413548085988?check_in=2022-06-09&amp;check_out=2022-06-16&amp;guests=1&amp;adults=1&amp;s=67&amp;unique_share_id=e7104a73-91fb-4568-b48f-cdb42c6e6926&amp;source_impression_id=p3_1655114359_9OxSt1V3dj%2BTkTOc</t>
  </si>
  <si>
    <t>d199beac</t>
  </si>
  <si>
    <t>https://www.booking.com/hotel/re/charmant-studio-en-plein-coeur-du-centre-ville.fr.html</t>
  </si>
  <si>
    <t>626fdc39</t>
  </si>
  <si>
    <t>https://www.facebook.com/Cr%C3%A9ation-de-Lilie-343019783076255</t>
  </si>
  <si>
    <t>4cd29708</t>
  </si>
  <si>
    <t>https://www.facebook.com/Benoit.venturini.masseurbienetre</t>
  </si>
  <si>
    <t>61baa94b</t>
  </si>
  <si>
    <t>https://www.instagram.com/une_escale_enchantee/</t>
  </si>
  <si>
    <t>0e0304e7</t>
  </si>
  <si>
    <t>https://www.facebook.com/lestourterelles974</t>
  </si>
  <si>
    <t>70b0f5be</t>
  </si>
  <si>
    <t>https://www.facebook.com/VEKApeintre</t>
  </si>
  <si>
    <t>4c7175af</t>
  </si>
  <si>
    <t>https://www.facebook.com/profile.php?id=100071334105067</t>
  </si>
  <si>
    <t>b6d494d7</t>
  </si>
  <si>
    <t>https://fr.airbnb.com/rooms/53900128?_set_bev_on_new_domain=1655276847_NDBmMjk1NDczMzg1&amp;source_impression_id=p3_1655276813_1W5fVFsgrkxgNBKj</t>
  </si>
  <si>
    <t>885e6d2b</t>
  </si>
  <si>
    <t>https://www.facebook.com/LePtiCorailDeVincendo</t>
  </si>
  <si>
    <t>d7942f5e</t>
  </si>
  <si>
    <t>https://www.booking.com/hotel/re/le-p-tit-corail-de-vincendo.fr.html?aid=318615&amp;label=New_French_FR_RE_26394819985-5KMfyMgIYi7RF9Cd6ZNX9wS100087090705%3Apl%3Ata%3Ap1%3Ap2%3Aac%3Aap%3Aneg%3Afi%3Atidsa-194594581705%3Alp9075843%3Ali%3Adec%3Adm&amp;sid=c3879394e6138e84e000cd27b1f495eb&amp;dest_id=-1331399;dest_type=city;dist=0;group_adults=2;group_children=0;hapos=1;hpos=1;no_rooms=1;req_adults=2;req_children=0;room1=A%2CA;sb_price_type=total;sr_order=popularity;srepoch=1655288890;srpvid=0b98499c700d03ee;type=total;ucfs=1&amp;#hotelTmpl</t>
  </si>
  <si>
    <t>2166a62a</t>
  </si>
  <si>
    <t>https://www.instagram.com/lmcv974/?hl=fr</t>
  </si>
  <si>
    <t>56733daa</t>
  </si>
  <si>
    <t>https://www.facebook.com/billikerslocation</t>
  </si>
  <si>
    <t>22530ae4</t>
  </si>
  <si>
    <t>c9ccf6c5</t>
  </si>
  <si>
    <t>https://www.facebook.com/lestagnon</t>
  </si>
  <si>
    <t>25aeea26</t>
  </si>
  <si>
    <t>https://www.facebook.com/detentecreole</t>
  </si>
  <si>
    <t>8182e6d7</t>
  </si>
  <si>
    <t>https://www.facebook.com/CoteVolcan</t>
  </si>
  <si>
    <t>d3fd8e21</t>
  </si>
  <si>
    <t>https://www.facebook.com/chambres.dhotes.les.quatre.saisons/</t>
  </si>
  <si>
    <t>3d7b492b</t>
  </si>
  <si>
    <t>https://www.facebook.com/La-R%C3%A9sidence-des-Caf%C3%A9iers-237264300020902</t>
  </si>
  <si>
    <t>62f50009</t>
  </si>
  <si>
    <t>https://www.facebook.com/chambres.caloupile</t>
  </si>
  <si>
    <t>178c473a</t>
  </si>
  <si>
    <t>https://www.booking.com/hotel/re/les-terrasses-du-volcan.fr.html?aid=318615&amp;label=New_French_FR_RE_26394819985-5KMfyMgIYi7RF9Cd6ZNX9wS100087090705%3Apl%3Ata%3Ap1%3Ap2%3Aac%3Aap%3Aneg%3Afi%3Atidsa-194594581705%3Alp9075843%3Ali%3Adec%3Adm&amp;sid=a41b685001a6706976ec9cfe55baed53&amp;dest_id=-1331043;dest_type=city;dist=0;group_adults=2;group_children=0;hapos=1;hpos=1;no_rooms=1;req_adults=2;req_children=0;room1=A%2CA;sb_price_type=total;sr_order=popularity;srepoch=1655449453;srpvid=53ad31b6f2f90196;type=total;ucfs=1&amp;#hotelTmpl</t>
  </si>
  <si>
    <t>d2b5cbc4</t>
  </si>
  <si>
    <t>https://www.airbnb.fr/rooms/37518986?source_impression_id=p3_1655449491_oVsxQBrewK6xr28v</t>
  </si>
  <si>
    <t>ff12cc88</t>
  </si>
  <si>
    <t>https://www.booking.com/hotel/re/bungalow-tillandsia.fr.html?aid=397594&amp;label=gog235jc-1DCAEoggI46AdIDVgDaL8BiAEBmAENuAEXyAEM2AED6AEB-AECiAIBqAIDuAL21LCVBsACAdICJGY1NzhjNmQ1LTZmNzUtNDQ0MS05MWZjLTc4MTZjNjg4MjU4ONgCBOACAQ&amp;sid=0d633162bbd5c1debe711478c4362c59&amp;dest_id=8170539;dest_type=hotel;dist=0;group_adults=2;group_children=0;hapos=1;hpos=1;no_rooms=1;req_adults=2;req_children=0;room1=A%2CA;sb_price_type=total;sr_order=popularity;srepoch=1655450261;srpvid=e19c3349408f0013;type=total;ucfs=1&amp;#hotelTmpl</t>
  </si>
  <si>
    <t>87a15cb3</t>
  </si>
  <si>
    <t>f448b580</t>
  </si>
  <si>
    <t>https://www.facebook.com/lejardindesbestioles/</t>
  </si>
  <si>
    <t>f7ffbd69</t>
  </si>
  <si>
    <t>https://www.instagram.com/le_jardin_des_bestioles/</t>
  </si>
  <si>
    <t>f1b02d0a</t>
  </si>
  <si>
    <t>https://www.booking.com/hotel/re/villa-jacqueline.fr.html?aid=318615&amp;label=New_French_FR_RE_26394819985-5KMfyMgIYi7RF9Cd6ZNX9wS100087090705%3Apl%3Ata%3Ap1%3Ap2%3Aac%3Aap%3Aneg%3Afi%3Atidsa-194594581705%3Alp9075843%3Ali%3Adec%3Adm&amp;sid=c1202f84f5d7f16925c4be7839e0c918&amp;dest_id=-1331399;dest_type=city;dist=0;group_adults=2;group_children=0;hapos=1;hpos=1;no_rooms=1;req_adults=2;req_children=0;room1=A%2CA;sb_price_type=total;sr_order=popularity;srepoch=1656672926;srpvid=b13d4cce4dba0233;type=total;ucfs=1&amp;#hotelTmpl</t>
  </si>
  <si>
    <t>619ecbf3</t>
  </si>
  <si>
    <t>949c626f</t>
  </si>
  <si>
    <t>https://www.airbnb.fr/rooms/619472439729358749?preview_for_ml=true&amp;source_impression_id=p3_1657793481_kyLyWqtNbSOeudxK</t>
  </si>
  <si>
    <t>b33ae3ac</t>
  </si>
  <si>
    <t>https://fr.airbnb.com/rooms/636658771128912652?_set_bev_on_new_domain=1658481534_MTVjZDdhYjE2N2I1&amp;source_impression_id=p3_1658481494_ejDW4sG2LDaRyFY1</t>
  </si>
  <si>
    <t>ea90a56f</t>
  </si>
  <si>
    <t>https://www.airbnb.co.nz/rooms/22844775?source_impression_id=p3_1658743251_UzF12jS%2BFBs%2BF4iQ</t>
  </si>
  <si>
    <t>d2b6c61a</t>
  </si>
  <si>
    <t>https://www.abritel.fr/location-vacances/p6349693a</t>
  </si>
  <si>
    <t>68a4295b</t>
  </si>
  <si>
    <t>https://www.airbnb.fr/rooms/52364274?source_impression_id=p3_1658830645_5jjmxBrcZsJAqhC9</t>
  </si>
  <si>
    <t>528fe979</t>
  </si>
  <si>
    <t>https://www.leboncoin.fr/offre/locations_gites/2090584059</t>
  </si>
  <si>
    <t>13872d96</t>
  </si>
  <si>
    <t>https://www.tripadvisor.fr/VacationRentalReview-g675133-d12704461-Kazanoo-Le_Tampon_Arrondissement_of_Saint_Pierre.html</t>
  </si>
  <si>
    <t>fbebb3bc</t>
  </si>
  <si>
    <t>https://www.tripadvisor.fr/Hotel_Review-g668283-d1967656-Reviews-L_Echappee_Belle-Entre_Deux_Arrondissement_of_Saint_Pierre.html</t>
  </si>
  <si>
    <t>a66f115d</t>
  </si>
  <si>
    <t>https://fr-fr.facebook.com/echappeebelle974/</t>
  </si>
  <si>
    <t>426404f9</t>
  </si>
  <si>
    <t>https://www.facebook.com/lileovert97442/</t>
  </si>
  <si>
    <t>4f869eb4</t>
  </si>
  <si>
    <t>https://www.facebook.com/chamantini.re</t>
  </si>
  <si>
    <t>ccd4f601</t>
  </si>
  <si>
    <t>https://www.booking.com/hotel/re/l-39-an-dormi-vacances.fr.html?aid=318615&amp;label=New_French_FR_RE_26394819985-5KMfyMgIYi7RF9Cd6ZNX9wS217286598214%3Apl%3Ata%3Ap1%3Ap2%3Aac%3Aap%3Aneg%3Afi%3Atidsa-194594581705%3Alp9075843%3Ali%3Adec%3Adm&amp;sid=6b752762f9c7916ad4b26f85b66139ce&amp;dest_id=-1330930;dest_type=city;dist=0;group_adults=2;group_children=0;hapos=1;hpos=1;no_rooms=1;req_adults=2;req_children=0;room1=A%2CA;sb_price_type=total;sr_order=popularity;srepoch=1659526057;srpvid=065450945a42025d;type=total;ucfs=1&amp;#hotelTmpl</t>
  </si>
  <si>
    <t>7f2b3434</t>
  </si>
  <si>
    <t>https://www.facebook.com/Oasis.GrandBassin</t>
  </si>
  <si>
    <t>0ab71c0c</t>
  </si>
  <si>
    <t>https://www.instagram.com/hydrangea97418/?hl=fr</t>
  </si>
  <si>
    <t>7e8c9b7a</t>
  </si>
  <si>
    <t>https://www.facebook.com/hydrangea97418/?ref=page_internal</t>
  </si>
  <si>
    <t>39b55c60</t>
  </si>
  <si>
    <t>https://www.facebook.com/Les-Palmiers-305542896655655</t>
  </si>
  <si>
    <t>03c09b35</t>
  </si>
  <si>
    <t>https://www.facebook.com/Gou-l%C3%A9-o-Resto-105734148908023/</t>
  </si>
  <si>
    <t>2fb15f42</t>
  </si>
  <si>
    <t>https://www.leboncoin.fr/offre/locations_gites/2087490309</t>
  </si>
  <si>
    <t>11bd92c4</t>
  </si>
  <si>
    <t>https://www.facebook.com/profile.php?id=100076628432020</t>
  </si>
  <si>
    <t>04dbc238</t>
  </si>
  <si>
    <t>f140b189</t>
  </si>
  <si>
    <t>7cbdb790</t>
  </si>
  <si>
    <t>https://www.booking.com/hotel/re/villas-manapany.fr.html?aid=311089&amp;label=villas-manapany-ZoeyqjzqqzEgvxpoJ9AoswS474285026314%3Apl%3Ata%3Ap1%3Ap2%3Aac%3Aap%3Aneg%3Afi%3Atikwd-593432347320%3Alp9075843%3Ali%3Adec%3Adm%3Appccp%3DUmFuZG9tSVYkc2RlIyh9YfNeh-lbHkPZZDrBVOcopBI&amp;sid=9b7942f2b40b06f63f8950fa797472f8&amp;dest_id=-1331399;dest_type=city;dist=0;group_adults=2;group_children=0;hapos=1;hpos=1;no_rooms=1;req_adults=2;req_children=0;room1=A%2CA;sb_price_type=total;sr_order=popularity;srepoch=1661933777;srpvid=36283a28a89102d6;type=total;ucfs=1&amp;#hotelTmpl</t>
  </si>
  <si>
    <t>af677a6c</t>
  </si>
  <si>
    <t>https://www.facebook.com/DomainedelaLouise/</t>
  </si>
  <si>
    <t>9242001e</t>
  </si>
  <si>
    <t>https://www.abritel.fr/location-vacances/p1079756?noDates=true&amp;uni_id=1244341</t>
  </si>
  <si>
    <t>2fc11946</t>
  </si>
  <si>
    <t>https://www.facebook.com/Dimitile-g%C3%AEte-au-coin-tranquille-103539058825143</t>
  </si>
  <si>
    <t>593cddc6</t>
  </si>
  <si>
    <t>c1af7c3a</t>
  </si>
  <si>
    <t>https://www.facebook.com/bungalowcorossol</t>
  </si>
  <si>
    <t>499cdee1</t>
  </si>
  <si>
    <t>https://www.facebook.com/location.lenideo</t>
  </si>
  <si>
    <t>719069f1</t>
  </si>
  <si>
    <t>https://www.facebook.com/pages/Chalet-Bourg-Murat-27eme/402689336852998</t>
  </si>
  <si>
    <t>5cfdf284</t>
  </si>
  <si>
    <t>https://www.facebook.com/profile.php?id=100064958022271</t>
  </si>
  <si>
    <t>945a3100</t>
  </si>
  <si>
    <t>https://www.leboncoin.fr/offre/locations_gites/2066087684</t>
  </si>
  <si>
    <t>aa9808af</t>
  </si>
  <si>
    <t>https://www.facebook.com/974BUGGSBUGGY/</t>
  </si>
  <si>
    <t>316e5c98</t>
  </si>
  <si>
    <t>https://www.tripadvisor.fr/Attraction_Review-g790521-d12510771-Reviews-Bugg_s_Buggy_974-La_Plaine_des_Cafres_Arrondissement_of_Saint_Pierre.html</t>
  </si>
  <si>
    <t>482a7d77</t>
  </si>
  <si>
    <t>https://www.facebook.com/ericperot974/</t>
  </si>
  <si>
    <t>2d38e264</t>
  </si>
  <si>
    <t>https://www.facebook.com/Paintballgrandcoude974/</t>
  </si>
  <si>
    <t>b540f125</t>
  </si>
  <si>
    <t>https://www.instagram.com/paintball_grand_coude974/</t>
  </si>
  <si>
    <t>ad082f5b</t>
  </si>
  <si>
    <t>https://www.facebook.com/scadubrascreux/</t>
  </si>
  <si>
    <t>a0be58ee</t>
  </si>
  <si>
    <t>https://www.facebook.com/adrenalile/</t>
  </si>
  <si>
    <t>2b99b8da</t>
  </si>
  <si>
    <t>https://www.tripadvisor.fr/Attraction_Review-g480229-d7160660-Reviews-Adrenal_ile-Cilaos_Arrondissement_of_Saint_Pierre.html</t>
  </si>
  <si>
    <t>e8d9c311</t>
  </si>
  <si>
    <t>https://www.instagram.com/adrenalile/</t>
  </si>
  <si>
    <t>5979b89d</t>
  </si>
  <si>
    <t>https://www.facebook.com/LarbreDeVie974</t>
  </si>
  <si>
    <t>11df3eb8</t>
  </si>
  <si>
    <t>https://www.booking.com/hotel/re/les-nouveaux-sauvages.fr.html?aid=318615&amp;label=New_French_FR_RE_26394819985-5KMfyMgIYi7RF9Cd6ZNX9wS100087090705%3Apl%3Ata%3Ap1%3Ap2%3Aac%3Aap%3Aneg%3Afi%3Atidsa-194594581705%3Alp9075843%3Ali%3Adec%3Adm&amp;sid=44bdeab9f079af531f9d48cd7b717e90&amp;all_sr_blocks=170230803_335453903_2_1_0;checkin=2022-10-02;checkout=2022-10-03;dest_id=-1331399;dest_type=city;dist=0;group_adults=2;group_children=0;hapos=1;highlighted_blocks=170230803_335453903_2_1_0;hpos=1;matching_block_id=170230803_335453903_2_1_0;no_rooms=1;req_adults=2;req_children=0;room1=A%2CA;sb_price_type=total;sr_order=popularity;sr_pri_blocks=170230803_335453903_2_1_0__8752;srepoch=1663070555;srpvid=b99654ad93f50405;type=total;ucfs=1&amp;#hotelTmpl</t>
  </si>
  <si>
    <t>e90e2676</t>
  </si>
  <si>
    <t>https://www.facebook.com/bouillondaventures/</t>
  </si>
  <si>
    <t>e754287f</t>
  </si>
  <si>
    <t>https://www.facebook.com/profile.php?id=100063721502528</t>
  </si>
  <si>
    <t>3a8e1893</t>
  </si>
  <si>
    <t>https://www.facebook.com/profile.php?id=100056814836098</t>
  </si>
  <si>
    <t>c177837b</t>
  </si>
  <si>
    <t>https://www.facebook.com/lesfrangipaniers/</t>
  </si>
  <si>
    <t>0030acbd</t>
  </si>
  <si>
    <t>https://www.tripadvisor.fr/Hotel_Review-g668283-d3610644-Reviews-Les_Frangipaniers-Entre_Deux_Arrondissement_of_Saint_Pierre.html</t>
  </si>
  <si>
    <t>fe004b60</t>
  </si>
  <si>
    <t>https://www.facebook.com/lesfrangipaniers/photos</t>
  </si>
  <si>
    <t>c3b0de30</t>
  </si>
  <si>
    <t>https://www.airbnb.fr/rooms/541947491225326419?source_impression_id=p3_1663223046_6iSqqNTtyw6pZqHg&amp;_set_bev_on_new_domain=1663222967_NDA0ZDMxMjE4MjUw</t>
  </si>
  <si>
    <t>ed8c857f</t>
  </si>
  <si>
    <t>https://www.airbnb.fr/rooms/551869610198753238?source_impression_id=p3_1663223226_wLoiHL0p7jzOBA9F</t>
  </si>
  <si>
    <t>735776fe</t>
  </si>
  <si>
    <t>https://www.instagram.com/le_monde_d_elsa_et_fred/</t>
  </si>
  <si>
    <t>fde7692e</t>
  </si>
  <si>
    <t>https://www.airbnb.fr/rooms/8597081?source_impression_id=p3_1663238269_3Ivwvl02BIFpvP77</t>
  </si>
  <si>
    <t>5cbe3256</t>
  </si>
  <si>
    <t>https://www.airbnb.fr/rooms/4027207?source_impression_id=p3_1663240478_WGwZdh26%2BMUih4Ug</t>
  </si>
  <si>
    <t>a8e4f8f9</t>
  </si>
  <si>
    <t>7757f9d1</t>
  </si>
  <si>
    <t>https://www.instagram.com/lann_mariah/</t>
  </si>
  <si>
    <t>11323a08</t>
  </si>
  <si>
    <t>https://www.airbnb.fr/rooms/33763073?adults=1&amp;children=0&amp;infants=0&amp;check_in=2022-09-18&amp;check_out=2022-09-23&amp;federated_search_id=31346009-3fdd-48fa-b8d7-68677e7e132d&amp;source_impression_id=p3_1663410536_nuf%2FXDuoAYEMqHyB</t>
  </si>
  <si>
    <t>b81c327f</t>
  </si>
  <si>
    <t>https://www.facebook.com/people/TamarINN/100077419616814/</t>
  </si>
  <si>
    <t>b3a2c34c</t>
  </si>
  <si>
    <t>https://www.facebook.com/dgtrot/</t>
  </si>
  <si>
    <t>8165356e</t>
  </si>
  <si>
    <t>https://www.booking.com/hotel/re/bungalow-le-corossol.fr.html</t>
  </si>
  <si>
    <t>8975dab8</t>
  </si>
  <si>
    <t>https://www.leboncoin.fr/offre/locations_gites/2198205024</t>
  </si>
  <si>
    <t>f1eaea74</t>
  </si>
  <si>
    <t>https://www.facebook.com/Ecuriesduvolcan/</t>
  </si>
  <si>
    <t>bed931db</t>
  </si>
  <si>
    <t>https://www.instagram.com/speleolave/?hl=fr</t>
  </si>
  <si>
    <t>b51e25c1</t>
  </si>
  <si>
    <t>https://www.facebook.com/speleolave</t>
  </si>
  <si>
    <t>ea3238d8</t>
  </si>
  <si>
    <t>https://www.facebook.com/couteauxbourbon97430/</t>
  </si>
  <si>
    <t>a21e8704</t>
  </si>
  <si>
    <t>9b312632</t>
  </si>
  <si>
    <t>https://www.facebook.com/La-CAHEB-559541437711818/</t>
  </si>
  <si>
    <t>380aec4d</t>
  </si>
  <si>
    <t>https://www.facebook.com/Le-figuier-100575541812719</t>
  </si>
  <si>
    <t>eed9f2ac</t>
  </si>
  <si>
    <t>940a9b3d</t>
  </si>
  <si>
    <t>https://www.tripadvisor.fr/Restaurant_Review-g2140646-d12712119-Reviews-Le_mascarin-Saint_Philippe_Arrondissement_of_Saint_Pierre.html</t>
  </si>
  <si>
    <t>1b3d742d</t>
  </si>
  <si>
    <t>https://www.facebook.com/velia.location.saisonniere.Reunion.Sud.974</t>
  </si>
  <si>
    <t>7a97028f</t>
  </si>
  <si>
    <t>https://www.tripadvisor.fr/Restaurant_Review-g2140646-d8669492-Reviews-Warren_Hasting-Saint_Philippe_Arrondissement_of_Saint_Pierre.html</t>
  </si>
  <si>
    <t>0008fb4a</t>
  </si>
  <si>
    <t>https://www.facebook.com/pages/Restaurant-Warren-Hasting/835806513218852</t>
  </si>
  <si>
    <t>f47d2b34</t>
  </si>
  <si>
    <t>https://www.facebook.com/profile.php?id=100067494674393</t>
  </si>
  <si>
    <t>e801c30f</t>
  </si>
  <si>
    <t>https://www.facebook.com/Fran%C3%A7ois-Nicolle-Sculpteur-102503294767717</t>
  </si>
  <si>
    <t>15c40360</t>
  </si>
  <si>
    <t>https://www.facebook.com/Jasmin-de-nuit-107610581636233</t>
  </si>
  <si>
    <t>b9cd9688</t>
  </si>
  <si>
    <t>https://www.booking.com/hotel/re/jasmin-de-nuit.fr.html</t>
  </si>
  <si>
    <t>893b4aab</t>
  </si>
  <si>
    <t>https://www.booking.com/hotel/re/la-kaz-a-melina.fr.html</t>
  </si>
  <si>
    <t>0328c067</t>
  </si>
  <si>
    <t>https://www.tripadvisor.fr/VacationRentalReview-g675133-d9808733-La_kaz_a_melina_02-Le_Tampon_Arrondissement_of_Saint_Pierre.html</t>
  </si>
  <si>
    <t>2e5cf7c4</t>
  </si>
  <si>
    <t>455e6e40</t>
  </si>
  <si>
    <t>cdb67837</t>
  </si>
  <si>
    <t>https://www.booking.com/hotel/re/sud-ha-tel.fr.html?aid=318615&amp;label=New_French_FR_RE_26394819985-5KMfyMgIYi7RF9Cd6ZNX9wS100087090705%3Apl%3Ata%3Ap1%3Ap2%3Aac%3Aap%3Aneg%3Afi%3Atidsa-194594581705%3Alp9075843%3Ali%3Adec%3Adm&amp;sid=6809b13e7ff478c830cb2eea67e3b37d&amp;dest_id=-1331043;dest_type=city;dist=0;group_adults=2;group_children=0;hapos=1;hpos=1;no_rooms=1;req_adults=2;req_children=0;room1=A%2CA;sb_price_type=total;sr_order=popularity;srepoch=1663930212;srpvid=a1aa4c3176f9021a;type=total;ucfs=1&amp;#hotelTmpl</t>
  </si>
  <si>
    <t>f972e5b4</t>
  </si>
  <si>
    <t>cfd34f59</t>
  </si>
  <si>
    <t>https://www.airbnb.fr/rooms/52747087?source_impression_id=p3_1663933289_LxV%2Fe6n%2B9QD%2B7sWS</t>
  </si>
  <si>
    <t>79a57b24</t>
  </si>
  <si>
    <t>https://www.leboncoin.fr/offre/locations_gites/2200353679</t>
  </si>
  <si>
    <t>52114696</t>
  </si>
  <si>
    <t>https://www.booking.com/hotel/re/songe.fr.html?aid=304142&amp;label=gen173nr-1DCAsovwFCDmphc21pbi1kZS1udWl0SA1YBGi_AYgBAZgBDbgBF8gBD9gBA-gBAfgBAogCAagCA7gC36_FmQbAAgHSAiQ3NzY0NWU2MS0zZWFiLTRmZWItYWMyNS1jY2M3NzVmZDgzODLYAgTgAgE&amp;sid=3686fddff533fab9b2e00bc41df0fc71&amp;dest_id=-1331043&amp;dest_type=city&amp;dist=0&amp;group_adults=2&amp;group_children=0&amp;no_rooms=1&amp;sb_price_type=total&amp;type=total&amp;ucfac=151&amp;</t>
  </si>
  <si>
    <t>9edca08a</t>
  </si>
  <si>
    <t>https://www.airbnb.fr/rooms/52746482?source_impression_id=p3_1664188161_KvoNQdFAMyuikkJr</t>
  </si>
  <si>
    <t>11501854</t>
  </si>
  <si>
    <t>1bb9934c</t>
  </si>
  <si>
    <t>https://www.facebook.com/gigitecoco/</t>
  </si>
  <si>
    <t>c3e09852</t>
  </si>
  <si>
    <t>https://www.facebook.com/bleudusud974</t>
  </si>
  <si>
    <t>66966212</t>
  </si>
  <si>
    <t>https://www.booking.com/hotel/re/gigite-coco.fr.html</t>
  </si>
  <si>
    <t>2e28a039</t>
  </si>
  <si>
    <t>https://www.facebook.com/people/Lannmariah/100085175454788/</t>
  </si>
  <si>
    <t>d6f10623</t>
  </si>
  <si>
    <t>https://www.facebook.com/mechant974</t>
  </si>
  <si>
    <t>65ed5d18</t>
  </si>
  <si>
    <t>https://www.instagram.com/mechant974/</t>
  </si>
  <si>
    <t>c9d34513</t>
  </si>
  <si>
    <t>https://www.facebook.com/terrerouge974</t>
  </si>
  <si>
    <t>64fb434f</t>
  </si>
  <si>
    <t>https://www.booking.com/hotel/re/incroyable-maison-de-mamie-mechant.fr.html</t>
  </si>
  <si>
    <t>19ffaae3</t>
  </si>
  <si>
    <t>https://www.booking.com/hotel/re/a-la-kaz-ti-zozeff-saint-joseph.fr.html?aid=318615&amp;label=New_French_FR_TN_27027044065-bvXnm9gzTkientvdFEK2VAS217291950652%3Apl%3Ata%3Ap1%3Ap2%3Aac%3Aap%3Aneg%3Afi%3Atidsa-64415224945%3Alp9075843%3Ali9075843%3Adec%3Adm&amp;sid=60c6a39ae5b5bfd1618f63b17c4fc92f&amp;dest_id=-1331399;dest_type=city;dist=0;group_adults=2;group_children=0;hapos=1;hpos=1;no_rooms=1;req_adults=2;req_children=0;room1=A%2CA;sb_price_type=total;sr_order=popularity;srepoch=1664603907;srpvid=9fc22a015fac0259;type=total;ucfs=1&amp;#hotelTmpl</t>
  </si>
  <si>
    <t>537a734b</t>
  </si>
  <si>
    <t>https://www.airbnb.fr/rooms/51240950?adults=1&amp;children=0&amp;infants=0&amp;check_in=2022-10-07&amp;check_out=2022-10-12&amp;federated_search_id=6771101a-7361-4d74-8f2b-b98b29579c47&amp;source_impression_id=p3_1664603872_n2dsWGtDBkxFSGbQ</t>
  </si>
  <si>
    <t>50b25444</t>
  </si>
  <si>
    <t>https://www.booking.com/hotel/re/lonbraz-volkan-meuble-avec-jacuzzi-privatif.fr.html</t>
  </si>
  <si>
    <t>8e88c178</t>
  </si>
  <si>
    <t>https://fr.airbnb.ch/rooms/640267299165635751?source_impression_id=p3_1665040221_wcmh1%2Fd3I1RKBM5n</t>
  </si>
  <si>
    <t>445966a2</t>
  </si>
  <si>
    <t>https://planetofhotels.com/fr/la-reunion/entre-deux/villa-taaj-palace-100m2-piscine-nature-entre-deux</t>
  </si>
  <si>
    <t>c1058818</t>
  </si>
  <si>
    <t>https://www.airbnb.fr/rooms/46883273?source_impression_id=p3_1665382069_hqY6rbm94saxjDWy</t>
  </si>
  <si>
    <t>3fcf84ad</t>
  </si>
  <si>
    <t>https://www.airbnb.fr/rooms/36040665?source_impression_id=p3_1665382171_rvDaFHVuNBCrIuSz</t>
  </si>
  <si>
    <t>33f3eaba</t>
  </si>
  <si>
    <t>https://www.facebook.com/profile.php?id=100086089607898</t>
  </si>
  <si>
    <t>b9d9dbfd</t>
  </si>
  <si>
    <t>https://www.facebook.com/profile.php?id=100064454091524</t>
  </si>
  <si>
    <t>e8cec47e</t>
  </si>
  <si>
    <t>https://www.facebook.com/lilielocation97418</t>
  </si>
  <si>
    <t>56b671f5</t>
  </si>
  <si>
    <t>https://www.facebook.com/lilie97480</t>
  </si>
  <si>
    <t>a7403a5b</t>
  </si>
  <si>
    <t>https://www.booking.com/hotel/re/magnifique-villa-avec-jacuzzi-proximite-mer.fr.html?label=gen173nr-1FCAsovwFCK21hZ25pZmlxdWUtdmlsbGEtYXZlYy1qYWN1enppLXByb3hpbWl0ZS1tZXJIDVgEaL8BiAEBmAENuAEXyAEM2AEB6AEB-AECiAIBqAIDuALDipWaBsACAdICJDk3ZTAyNjRmLWIwNGItNGNiMi1hN2I0LWNkMWM3YTAwMWMxN9gCBeACAQ&amp;sid=378e3d714e04f8fd14668882234a570b&amp;dist=0&amp;lang=fr&amp;room1=A%2CA&amp;sb_price_type=total&amp;soz=1&amp;type=total&amp;lang_click=other&amp;cdl=fr&amp;lang_changed=1</t>
  </si>
  <si>
    <t>09512ec9</t>
  </si>
  <si>
    <t>https://www.instagram.com/lonbrazvolkan/</t>
  </si>
  <si>
    <t>bf9c672d</t>
  </si>
  <si>
    <t>https://www.facebook.com/lonbrazvolkan97442</t>
  </si>
  <si>
    <t>7ffb5946</t>
  </si>
  <si>
    <t>https://www.facebook.com/Australopitrek</t>
  </si>
  <si>
    <t>351d8f86</t>
  </si>
  <si>
    <t>https://www.facebook.com/LeCapitaineDimitile</t>
  </si>
  <si>
    <t>e080cbe8</t>
  </si>
  <si>
    <t>ce2a1139</t>
  </si>
  <si>
    <t>https://www.facebook.com/croisieresaustralesbellile</t>
  </si>
  <si>
    <t>f9ddcf6f</t>
  </si>
  <si>
    <t>https://www.facebook.com/RicaricReunion/</t>
  </si>
  <si>
    <t>664dfa12</t>
  </si>
  <si>
    <t>https://www.instagram.com/ricaric.tv/?fbclid=IwAR1bcKpshwl2VH7AEYJYldF9v-5WRqDiSilrQDY_bDUB0ZQdA4fLOZ3ukd8</t>
  </si>
  <si>
    <t>7b73d850</t>
  </si>
  <si>
    <t>https://www.airbnb.fr/rooms/39794562?source_impression_id=p3_1665740529_c8ML1yYHFWa1x5kv</t>
  </si>
  <si>
    <t>de89702a</t>
  </si>
  <si>
    <t>https://www.abritel.fr/location-vacances/p1860994</t>
  </si>
  <si>
    <t>1c56bb90</t>
  </si>
  <si>
    <t>https://www.facebook.com/auxsenteursdejasmin/</t>
  </si>
  <si>
    <t>4d63c494</t>
  </si>
  <si>
    <t>https://www.facebook.com/people/La-For%C3%AAt-du-Rempart/100065518088543/</t>
  </si>
  <si>
    <t>fdbeb502</t>
  </si>
  <si>
    <t>https://www.instagram.com/la_foret_du_rempart/</t>
  </si>
  <si>
    <t>def359f3</t>
  </si>
  <si>
    <t>https://www.instagram.com/veroniquekraemer/</t>
  </si>
  <si>
    <t>645718ca</t>
  </si>
  <si>
    <t>https://www.leboncoin.fr/offre/hebergements_insolites/2221506175</t>
  </si>
  <si>
    <t>4f083023</t>
  </si>
  <si>
    <t>https://www.facebook.com/LechaletdeNoel974</t>
  </si>
  <si>
    <t>88377cfb</t>
  </si>
  <si>
    <t>https://www.facebook.com/profile.php?id=100085177374899</t>
  </si>
  <si>
    <t>874ad3d2</t>
  </si>
  <si>
    <t>https://www.airbnb.fr/rooms/706238054968762138?source_impression_id=p3_1666955976_UJ2zScszTLzi5UJU&amp;_set_bev_on_new_domain=1666955974_MmFlMTE2ZTBmODc5</t>
  </si>
  <si>
    <t>3f6e0146</t>
  </si>
  <si>
    <t>https://www.facebook.com/profile.php?id=100082558283942</t>
  </si>
  <si>
    <t>c967a951</t>
  </si>
  <si>
    <t>https://www.booking.com/hotel/re/chambre-commerson.fr.html</t>
  </si>
  <si>
    <t>2a6245b2</t>
  </si>
  <si>
    <t>https://www.facebook.com/profile.php?id=100083366581622</t>
  </si>
  <si>
    <t>32a87bd0</t>
  </si>
  <si>
    <t>https://www.instagram.com/kaz_emara/</t>
  </si>
  <si>
    <t>c1cc356d</t>
  </si>
  <si>
    <t>https://www.airbnb.fr/rooms/676521444738811185?source_impression_id=p3_1667978768_H0pRGnXJ0NnXVlV1&amp;_set_bev_on_new_domain=1663222967_NDA0ZDMxMjE4MjUw</t>
  </si>
  <si>
    <t>6fe09e85</t>
  </si>
  <si>
    <t>https://www.tripadvisor.fr/Restaurant_Review-g675133-d16726503-Reviews-Aux_Delices_des_Iles-Le_Tampon_Arrondissement_of_Saint_Pierre.html</t>
  </si>
  <si>
    <t>602f88fe</t>
  </si>
  <si>
    <t>https://www.facebook.com/profile.php?id=100073318998521</t>
  </si>
  <si>
    <t>e2a85495</t>
  </si>
  <si>
    <t>https://www.instagram.com/olodgedesrameaux/</t>
  </si>
  <si>
    <t>3c1ac53f</t>
  </si>
  <si>
    <t>https://www.instagram.com/fabien480/</t>
  </si>
  <si>
    <t>a85a5c8b</t>
  </si>
  <si>
    <t>https://www.facebook.com/people/Peggy-Auger/100071334105067/</t>
  </si>
  <si>
    <t>46549b5a</t>
  </si>
  <si>
    <t>1c76be9a</t>
  </si>
  <si>
    <t>https://www.airbnb.fr/rooms/38635445?source_impression_id=p3_1669096693_nU7R1dbCWXGk3Imc</t>
  </si>
  <si>
    <t>8559720a</t>
  </si>
  <si>
    <t>65c9a5a4</t>
  </si>
  <si>
    <t>https://www.facebook.com/loiseauduparadislangevin</t>
  </si>
  <si>
    <t>be5c5ded</t>
  </si>
  <si>
    <t>https://www.facebook.com/profile.php?id=100054257810448</t>
  </si>
  <si>
    <t>8239d911</t>
  </si>
  <si>
    <t>https://www.facebook.com/CocoDream974</t>
  </si>
  <si>
    <t>72dd5837</t>
  </si>
  <si>
    <t>https://www.facebook.com/leptitcoindeszabitants/</t>
  </si>
  <si>
    <t>481efb71</t>
  </si>
  <si>
    <t>https://www.facebook.com/profile.php?id=100077497460285</t>
  </si>
  <si>
    <t>416239a2</t>
  </si>
  <si>
    <t>https://www.airbnb.fr/rooms/51759450?source_impression_id=p3_1669270522_rw5RxvSaJ09W1U2o</t>
  </si>
  <si>
    <t>9ecee37d</t>
  </si>
  <si>
    <t>https://fr.airbnb.ch/rooms/744022382865520002?source_impression_id=p3_1669284852_u1jVyZO34yF362Cu</t>
  </si>
  <si>
    <t>28629415</t>
  </si>
  <si>
    <t>https://www.facebook.com/djoossys/</t>
  </si>
  <si>
    <t>003f12e1</t>
  </si>
  <si>
    <t>https://www.instagram.com/djoossys_stjoseph/</t>
  </si>
  <si>
    <t>c574b233</t>
  </si>
  <si>
    <t>https://www.airbnb.fr/rooms/52342506?adults=1&amp;guests=1&amp;s=42&amp;unique_share_id=f32777fb-20e8-447c-a3ff-9e6dc05906d8&amp;source_impression_id=p3_1669361792_go%2BhMDAcWk4oburo</t>
  </si>
  <si>
    <t>4692bf1f</t>
  </si>
  <si>
    <t>https://www.booking.com/hotel/re/les-agapanthes-le-tampon12.fr.html</t>
  </si>
  <si>
    <t>622997cb</t>
  </si>
  <si>
    <t>https://www.abritel.fr/location-vacances/p663710?arrival=2023-01-16&amp;departure=2023-01-22&amp;uni_id=663710</t>
  </si>
  <si>
    <t>64ce3f5a</t>
  </si>
  <si>
    <t>c6174391</t>
  </si>
  <si>
    <t>65419803</t>
  </si>
  <si>
    <t>https://www.airbnb.fr/rooms/662743092826027667?check_out=2023-01-08&amp;children=1&amp;check_in=2023-01-02&amp;adults=5&amp;guests=6&amp;s=42&amp;unique_share_id=bfc53280-d64b-444e-9302-780feec6e60f&amp;_branch_match_id=1121380517906973837&amp;_branch_referrer=H4sIAAAAAAAAA8soKSkottLXT0zKS9LLTdUPDsss9zBwcUwvSQIAfING1xsAAAA%3D&amp;source_impression_id=p3_1670225105_xhEKhVAMJY%2FXgif%2B</t>
  </si>
  <si>
    <t>52053322</t>
  </si>
  <si>
    <t>https://www.booking.com/hotel/re/ka-hema.fr.html?age=6&amp;aid=337862&amp;app_hotel_id=8888839&amp;checkin=2022-09-22&amp;checkout=2022-09-25&amp;from_sn=android&amp;group_adults=4&amp;group_children=1&amp;label=Share-YR4Ha6%401662977979&amp;no_rooms=1&amp;req_adults=4&amp;req_age=6&amp;req_children=1&amp;room1=A%2CA%2CA%2CA%2C6</t>
  </si>
  <si>
    <t>d7f8cd70</t>
  </si>
  <si>
    <t>https://www.facebook.com/kahema974</t>
  </si>
  <si>
    <t>9a3ba6bd</t>
  </si>
  <si>
    <t>https://www.instagram.com/terre_et_feu_creation/</t>
  </si>
  <si>
    <t>0b0d5c10</t>
  </si>
  <si>
    <t>https://fr.airbnb.com/rooms/723875649607882601?_set_bev_on_new_domain=1663222967_NDA0ZDMxMjE4MjUw&amp;source_impression_id=p3_1670819076_6MCK0xqrHSYWg1Ll</t>
  </si>
  <si>
    <t>a68e8b3b</t>
  </si>
  <si>
    <t>https://www.leboncoin.fr/profil/ea54e055-45e9-4cd7-9c62-da88eff046ed</t>
  </si>
  <si>
    <t>b250268f</t>
  </si>
  <si>
    <t>https://www.facebook.com/profile.php?id=100087578979542</t>
  </si>
  <si>
    <t>0d29ef79</t>
  </si>
  <si>
    <t>https://www.booking.com/hotel/re/ouverture-la-terrasse-pei.fr.html</t>
  </si>
  <si>
    <t>28914b23</t>
  </si>
  <si>
    <t>https://www.instagram.com/laterrassepei/</t>
  </si>
  <si>
    <t>15d13ec0</t>
  </si>
  <si>
    <t>https://fr.airbnb.com/rooms/750496980651506946?_set_bev_on_new_domain=1663222967_NDA0ZDMxMjE4MjUw&amp;source_impression_id=p3_1671432217_RwDtYkZQAT2ssTE0</t>
  </si>
  <si>
    <t>7113861d</t>
  </si>
  <si>
    <t>https://www.facebook.com/SudBungalow/</t>
  </si>
  <si>
    <t>6a1b3f1e</t>
  </si>
  <si>
    <t>airbnb.fr/rooms/35746173?adults=1&amp;children=0&amp;infants=0&amp;check_in=2023-01-03&amp;check_out=2023-01-10&amp;source_impression_id=p3_1671441690_eCo2NW6Kzm6PG3IE</t>
  </si>
  <si>
    <t>3a1edffb</t>
  </si>
  <si>
    <t>https://www.booking.com/hotel/re/villa-de-3-chambres-avec-piscine-privee-jardin-clos-et-wifi-a-saint-joseph.fr.html?aid=816135&amp;room1=A%2CA%2CA%2CA&amp;sid=2b89d1ce7aa826b6638f6e1425e7cd8e&amp;dist=0&amp;atlas_src=sr_iw_btn&amp;type=total&amp;group_children=0&amp;ucfs=1&amp;group_adults=4&amp;sb_price_type=total&amp;checkin=2023-01-25&amp;dest_id=-1331399&amp;checkout=2023-01-31&amp;label=saint-joseph-H5JtHKebugKSHg3pyBiJZgS626025034986%3Apl%3Ata%3Ap1%3Ap2%3Aac%3Aap%3Aneg%3Afi%3Atikwd-1209196034343%3Alp9075843%3Ali%3Adec%3Adm&amp;no_rooms=1&amp;dest_type=city#tab-main</t>
  </si>
  <si>
    <t>4600ddcc</t>
  </si>
  <si>
    <t>https://www.facebook.com/profile.php?id=100087202017835</t>
  </si>
  <si>
    <t>81f54260</t>
  </si>
  <si>
    <t>https://www.airbnb.fr/rooms/699449512033310780?source_impression_id=p3_1671774771_OwBA2SJ3dTeFXBvc</t>
  </si>
  <si>
    <t>ddc14fb4</t>
  </si>
  <si>
    <t>b721e695</t>
  </si>
  <si>
    <t>https://www.facebook.com/clarisse.littleyogini</t>
  </si>
  <si>
    <t>5ade450c</t>
  </si>
  <si>
    <t>https://www.instagram.com/clarisse.littleyogini/?igshid=ZDdkNTZiNTM</t>
  </si>
  <si>
    <t>6f26ee80</t>
  </si>
  <si>
    <t>00dd39da</t>
  </si>
  <si>
    <t>https://www.booking.com/hotel/re/le-liseron-creole-entre-terre-mer-et-riviere.fr.html</t>
  </si>
  <si>
    <t>4956e6f0</t>
  </si>
  <si>
    <t>https://www.leboncoin.fr/offre/locations_gites/2166377314</t>
  </si>
  <si>
    <t>800e824f</t>
  </si>
  <si>
    <t>https://fr.airbnb.be/rooms/638822747696448483?source_impression_id=p3_1672740155_jRgiJKWf8B7Bwox%2B</t>
  </si>
  <si>
    <t>fcd7eaca</t>
  </si>
  <si>
    <t>https://www.facebook.com/profile.php?id=100083432316738</t>
  </si>
  <si>
    <t>d6def916</t>
  </si>
  <si>
    <t>https://www.facebook.com/marie.nadege.1656</t>
  </si>
  <si>
    <t>921cc0b0</t>
  </si>
  <si>
    <t>https://www.booking.com/hotel/re/les-cormorans-studio-corail.fr.html?aid=318615&amp;label=New_French_FR_RE_26394819985-5KMfyMgIYi7RF9Cd6ZNX9wS217246948707%3Apl%3Ata%3Ap1%3Ap2%3Aac%3Aap%3Aneg%3Afi%3Atidsa-194594581705%3Alp9075843%3Ali%3Adec%3Adm&amp;sid=ab4a5d80bbdc9cc28e85f449874713d0&amp;dest_id=-1331399;dest_type=city;dist=0;group_adults=2;group_children=0;hapos=1;hpos=1;no_rooms=1;req_adults=2;req_children=0;room1=A%2CA;sb_price_type=total;sr_order=popularity;srepoch=1672998673;srpvid=b2834548ad4d00f4;type=total;ucfs=1&amp;#hotelTmpl</t>
  </si>
  <si>
    <t>6149f2e8</t>
  </si>
  <si>
    <t>https://www.airbnb.fr/rooms/5971221?adults=1&amp;children=0&amp;infants=0&amp;check_in=2023-01-14&amp;check_out=2023-01-20&amp;source_impression_id=p3_1672998732_0CceFbE6sqszXisO</t>
  </si>
  <si>
    <t>26a265c5</t>
  </si>
  <si>
    <t>https://www.facebook.com/GiteDesCormoransManapanyLesBains</t>
  </si>
  <si>
    <t>4d4990f7</t>
  </si>
  <si>
    <t>https://www.facebook.com/profile.php?id=100083029245793</t>
  </si>
  <si>
    <t>3c834f47</t>
  </si>
  <si>
    <t>https://www.booking.com/hotel/re/ty-lodge-la-reunion.fr.html</t>
  </si>
  <si>
    <t>246148f5</t>
  </si>
  <si>
    <t>https://www.tripadvisor.fr/VacationRentalReview-g675133-d25009009-Ty_Lodge_La_Reunion-Le_Tampon_Arrondissement_of_Saint_Pierre.html</t>
  </si>
  <si>
    <t>62003587</t>
  </si>
  <si>
    <t>https://www.booking.com/hotel/re/entre-deux-reves.fr.html?aid=1630418</t>
  </si>
  <si>
    <t>b55834a0</t>
  </si>
  <si>
    <t>https://www.facebook.com/restaurantlepinpin</t>
  </si>
  <si>
    <t>2b4c43db</t>
  </si>
  <si>
    <t>https://www.booking.com/hotel/re/le-colibri.fr.html</t>
  </si>
  <si>
    <t>a7319afd</t>
  </si>
  <si>
    <t>https://www.facebook.com/profile.php?id=100086265786273</t>
  </si>
  <si>
    <t>f323f16b</t>
  </si>
  <si>
    <t>dffe3ff8</t>
  </si>
  <si>
    <t>https://www.instagram.com/la.kaz.leo/</t>
  </si>
  <si>
    <t>1c5eb5c0</t>
  </si>
  <si>
    <t>https://www.airbnb.fr/rooms/26795527?source_impression_id=p3_1674555875_VvpgMsHcndxA3Gll</t>
  </si>
  <si>
    <t>5377300b</t>
  </si>
  <si>
    <t>https://www.facebook.com/aucocondadeli/</t>
  </si>
  <si>
    <t>71614bee</t>
  </si>
  <si>
    <t>https://fr.airbnb.ca/rooms/37698000?source_impression_id=p3_1674731159_J0axoT4Ek4V8XUdN</t>
  </si>
  <si>
    <t>934df4df</t>
  </si>
  <si>
    <t>https://www.facebook.com/Coeur-Cr%C3%A8ole-112741640517897/</t>
  </si>
  <si>
    <t>3b088585</t>
  </si>
  <si>
    <t>https://www.facebook.com/profile.php?id=100063576242513</t>
  </si>
  <si>
    <t>c3ce9d21</t>
  </si>
  <si>
    <t>https://www.facebook.com/profile.php?id=100076043282751</t>
  </si>
  <si>
    <t>f23e3ad0</t>
  </si>
  <si>
    <t>https://www.instagram.com/villa.tourmaline/?hl=fr</t>
  </si>
  <si>
    <t>667dc100</t>
  </si>
  <si>
    <t>https://www.facebook.com/people/Le-Sunset/100089963375070/</t>
  </si>
  <si>
    <t>caea0b41</t>
  </si>
  <si>
    <t>https://fr.airbnb.com/rooms/644453555558432780?_set_bev_on_new_domain=1663222967_NDA0ZDMxMjE4MjUw&amp;source_impression_id=p3_1675675934_ys6yI2o3IRAAGU%2B4</t>
  </si>
  <si>
    <t>61bf0583</t>
  </si>
  <si>
    <t>https://www.leboncoin.fr/offre/locations_gites/2104177317</t>
  </si>
  <si>
    <t>1ed87138</t>
  </si>
  <si>
    <t>https://www.instagram.com/lada.falco/?hl=fr</t>
  </si>
  <si>
    <t>1afc1c95</t>
  </si>
  <si>
    <t>https://www.facebook.com/TYLodgeLaReunion</t>
  </si>
  <si>
    <t>7e80e099</t>
  </si>
  <si>
    <t>https://www.facebook.com/GayoArtiste/</t>
  </si>
  <si>
    <t>112d5467</t>
  </si>
  <si>
    <t>https://www.facebook.com/RestaurantLaMarmiteDuPecheur/?locale=fr_FR</t>
  </si>
  <si>
    <t>0615a16d</t>
  </si>
  <si>
    <t>https://www.facebook.com/marie.monique.sery</t>
  </si>
  <si>
    <t>561fbaf8</t>
  </si>
  <si>
    <t>https://www.facebook.com/tisanerie</t>
  </si>
  <si>
    <t>55e8871b</t>
  </si>
  <si>
    <t>https://www.facebook.com/profile.php?id=100069804773338</t>
  </si>
  <si>
    <t>02fe34ab</t>
  </si>
  <si>
    <t>29c0b4d8</t>
  </si>
  <si>
    <t>https://www.facebook.com/profile.php?id=100086786245915</t>
  </si>
  <si>
    <t>b60a9cee</t>
  </si>
  <si>
    <t>https://www.facebook.com/profile.php?id=100057721117297</t>
  </si>
  <si>
    <t>ac4cfba7</t>
  </si>
  <si>
    <t>https://www.airbnb.fr/rooms/678167262902331214?adults=1&amp;guests=1&amp;s=42&amp;unique_share_id=86eb2cd6-4ab2-402b-a5b1-590c9ce922c0&amp;fbclid=IwAR0lHUqN2squsPb9N4KNqkauXHRaMR5IU5LFutH0mp9wuImlvlh88y6Zh-8&amp;source_impression_id=p3_1677488597_1oREB1SZQaiIOLAs</t>
  </si>
  <si>
    <t>971b40a0</t>
  </si>
  <si>
    <t>https://www.facebook.com/pages/%C3%89toile-Des-Mers-Saint-Philippe/1800125053332074</t>
  </si>
  <si>
    <t>67778b52</t>
  </si>
  <si>
    <t>https://www.facebook.com/people/Les-Jardins-de-Nicole/100076200070301/?ref=page_internal</t>
  </si>
  <si>
    <t>6ded2f78</t>
  </si>
  <si>
    <t>https://www.booking.com/hotel/re/chalet-de-notre-dame.fr.html</t>
  </si>
  <si>
    <t>8aaadd4d</t>
  </si>
  <si>
    <t>https://www.facebook.com/profile.php?id=100087896956984</t>
  </si>
  <si>
    <t>a0e53280</t>
  </si>
  <si>
    <t>https://www.leboncoin.fr/locations_gites/2257799920.htm?fbclid=IwAR0yRbcGIlkjZLeUGXs2S-_zxVvYpWXRbDuycw3uQdch3O1yUnpMUAHDFyw</t>
  </si>
  <si>
    <t>7e4c157c</t>
  </si>
  <si>
    <t>https://www.facebook.com/pages/Resto-Regal-des-Hauts/344992775626515</t>
  </si>
  <si>
    <t>aaa1644d</t>
  </si>
  <si>
    <t>https://www.facebook.com/profile.php?id=100090024696990</t>
  </si>
  <si>
    <t>435c55fb</t>
  </si>
  <si>
    <t>https://www.facebook.com/linstantdevasion97418</t>
  </si>
  <si>
    <t>0dc6d94f</t>
  </si>
  <si>
    <t>69e905a6</t>
  </si>
  <si>
    <t>https://instagram.com/terrerougeguesthouse?igshid=YmMyMTA2M2Y=</t>
  </si>
  <si>
    <t>fbbf7a6c</t>
  </si>
  <si>
    <t>https://instagram.com/margayillat?igshid=YmMyMTA2M2Y=</t>
  </si>
  <si>
    <t>a94bbb1d</t>
  </si>
  <si>
    <t>https://fr.tripadvisor.ca/VacationRentalReview-g19887023-d25225322-Ti_Kaz_Sauvage_3_Etoiles_avec_piscine-Vincendo_Arrondissement_of_Saint_Pierre.html</t>
  </si>
  <si>
    <t>f3644778</t>
  </si>
  <si>
    <t>https://www.abritel.fr/location-vacances/p2169749</t>
  </si>
  <si>
    <t>03837bcb</t>
  </si>
  <si>
    <t>https://www.facebook.com/TikazSauvage</t>
  </si>
  <si>
    <t>72df6972</t>
  </si>
  <si>
    <t>https://www.leboncoin.fr/offre/locations_gites/2310696768</t>
  </si>
  <si>
    <t>890efe74</t>
  </si>
  <si>
    <t>https://www.booking.com/hotel/re/ti-kaz-sauvage.fr.html</t>
  </si>
  <si>
    <t>5e2efe2b</t>
  </si>
  <si>
    <t>https://fr.airbnb.com/rooms/44726147?_set_bev_on_new_domain=1633606169_N2U5MTg1OTAzYTNj&amp;source_impression_id=p3_1678429877_WIHhtq6QfKY1WQAP</t>
  </si>
  <si>
    <t>9ded79f7</t>
  </si>
  <si>
    <t>https://www.facebook.com/people/D%C3%A9couvertes-en-Terres-Sign%C3%A9es/100083149067871/</t>
  </si>
  <si>
    <t>ec02e105</t>
  </si>
  <si>
    <t>https://www.leboncoin.fr/offre/locations_gites/2276232500</t>
  </si>
  <si>
    <t>42a6e85a</t>
  </si>
  <si>
    <t>https://www.facebook.com/people/Blue-Papangue/100077399511199/?hc_ref=ARThQGIRg2jReSOFwXjePgr5PDQDypG0H9tQXkCRtWhjCkJqyqu_vGTb4H3zYBLZ7H8&amp;fref=nf&amp;__xts__[0]=68.ARB_PQsPEQDbS06IOeHRuOr26RZ0xtPgg1ZJUcGzYb91ZUSVORm0heJc9ye4CiMwYI_g4G8QAn_0Ul9J_XsqnObrZPP3mbBT00nCnAB3IjHprlUQGwg2hPJ3COxoCXePY3AcqJN-gko2v9aDwSvU8cAsKwCo8WMfaWbjzMAfxTRaxlSFulnnXiUPivsYXboBQSkyXVKLLLpIE7pChomPncEa0Gq7qfxEQNHcBRGfDEgtU5NVNU70OakxVuBVyQ6ciwvLTLOhfMGj2JA6SkvbAlH9N8RmS3mOxA27aoCuWgQX5D6i8a8</t>
  </si>
  <si>
    <t>ae39c4d5</t>
  </si>
  <si>
    <t>https://www.instagram.com/canyonaventure/</t>
  </si>
  <si>
    <t>8863cd49</t>
  </si>
  <si>
    <t>https://www.facebook.com/canyonaventure974</t>
  </si>
  <si>
    <t>043c8aee</t>
  </si>
  <si>
    <t>https://www.facebook.com/manapescale</t>
  </si>
  <si>
    <t>77c5f5e8</t>
  </si>
  <si>
    <t>https://www.booking.com/hotel/re/manapescale.fr.html?sb_price_type=total&amp;type=total&amp;fbclid=IwAR21NXXk25GIVT0dkcC2y7zCT9g8t3ObxD_gK2eYN4hpT6vt9UY_wq4LUSY&amp;label=gen173nr-1DCAsovwFCC21hbmFwZXNjYWxlSA1YBGi_AYgBAZgBDbgBGMgBD9gBA-gBAfgBA4gCAagCBLgC28v1nQbAAgHSAiQxYTc5MTVmOS0wMzZkLTQ2ZDQtYjg5YS1iM2FhZTkwZDQyZDLYAgTgAgE&amp;dist=0&amp;=&amp;sid=303a5ae962da920815b9c2559aa1a29e&amp;keep_landing=1</t>
  </si>
  <si>
    <t>727b8593</t>
  </si>
  <si>
    <t>https://www.instagram.com/latabledelvina/?fbclid=IwAR2wGH77OOtbuhC1-rwilkWTGCGkzphMnfl6yZ3V8h64xiiirpJNI-tWrzU</t>
  </si>
  <si>
    <t>02b5536b</t>
  </si>
  <si>
    <t>https://www.facebook.com/profile.php?id=100089650550962</t>
  </si>
  <si>
    <t>39264a08</t>
  </si>
  <si>
    <t>https://www.instagram.com/lacaseanona/?igshid=YmMyMTA2M2Y%3D</t>
  </si>
  <si>
    <t>43f375ca</t>
  </si>
  <si>
    <t>https://www.facebook.com/lamaisondeshotesreunion</t>
  </si>
  <si>
    <t>c1c21cec</t>
  </si>
  <si>
    <t>https://www.instagram.com/villa_ote/</t>
  </si>
  <si>
    <t>7f59d0b0</t>
  </si>
  <si>
    <t>https://www.facebook.com/villaote</t>
  </si>
  <si>
    <t>c68b7411</t>
  </si>
  <si>
    <t>https://www.facebook.com/velhautsrun</t>
  </si>
  <si>
    <t>29cc1f19</t>
  </si>
  <si>
    <t>https://www.leboncoin.fr/locations_gites/2138061425.htm</t>
  </si>
  <si>
    <t>4f096f1e</t>
  </si>
  <si>
    <t>https://www.booking.com/hotel/re/vel-hauts-run.fr.html?sr_order=popularity&amp;dest_id=174&amp;group_children=0&amp;type=total&amp;dist=0&amp;no_rooms=1&amp;hapos=1&amp;sid=4ff373d5aed3b2145a891a27680657e6&amp;ucfs=1&amp;dest_type=country&amp;req_adults=2&amp;req_children=0&amp;srepoch=1648823374&amp;srpvid=8e9965e6152e00b9&amp;group_adults=2&amp;hpos=1&amp;room1=A%2CA&amp;label=gen173nr-1FCAEoggI46AdIM1gEaL8BiAEBmAENuAEYyAEM2AEB6AEB-AELiAIBqAIEuAKrmJySBsACAdICJDgyMTZhODYzLWJkYTMtNGVmMS1iODA3LTE4N2QwZTA3ZmEyNNgCBuACAQ&amp;aid=304142&amp;sb_price_type=total&amp;activeTab=main</t>
  </si>
  <si>
    <t>6d0acaf7</t>
  </si>
  <si>
    <t>https://www.airbnb.fr/rooms/580208704549551854?adults=1&amp;location=La%20Reunion%2C%20R%C3%A9union&amp;federated_search_id=0a59043d-ee50-4eb3-a0da-deb2ecea7140&amp;source_impression_id=p3_1648823136_C9oCUswqCdf9PyA9&amp;guests=1</t>
  </si>
  <si>
    <t>7a9b4320</t>
  </si>
  <si>
    <t>https://www.airbnb.fr/rooms/52486413?adults=1&amp;federated_search_id=d64701f2-0b98-4e19-9119-44bb94a204b0&amp;source_impression_id=p3_1658993697_waAwxMMMusGO8w2w&amp;guests=1</t>
  </si>
  <si>
    <t>fe8e9229</t>
  </si>
  <si>
    <t>https://www.booking.com/hotel/re/baril-o-thentik-saint-philippe.fr.html</t>
  </si>
  <si>
    <t>f28536a3</t>
  </si>
  <si>
    <t>https://www.facebook.com/profile.php?id=100086472046194</t>
  </si>
  <si>
    <t>f3591aca</t>
  </si>
  <si>
    <t>https://www.booking.com/hotel/re/villa-ote.fr.html?aid=318615&amp;label=New_French_FR_RE_26394819985-5KMfyMgIYi7RF9Cd6ZNX9wS217246948707%3Apl%3Ata%3Ap1%3Ap2%3Aac%3Aap%3Aneg%3Afi55772946061%3Atidsa-320131990260%3Alp9075843%3Ali%3Adec%3Adm&amp;sid=ab4a5d80bbdc9cc28e85f449874713d0&amp;dest_id=-1330710;dest_type=city;dist=0;group_adults=2;group_children=0;hapos=1;hpos=1;no_rooms=1;req_adults=2;req_children=0;room1=A%2CA;sb_price_type=total;sr_order=popularity;srepoch=1679375940;srpvid=ab812561d90a002a;type=total;ucfs=1&amp;#hotelTmpl</t>
  </si>
  <si>
    <t>fa437eb3</t>
  </si>
  <si>
    <t>https://www.facebook.com/profile.php?id=100054321229104</t>
  </si>
  <si>
    <t>df66fdd9</t>
  </si>
  <si>
    <t>https://www.facebook.com/profile.php?id=100041276475856</t>
  </si>
  <si>
    <t>eb1c1e5c</t>
  </si>
  <si>
    <t>https://www.booking.com/hotel/re/holiday-home-la-caverne-des-hirondelles-saint-joseph.fr.html?aid=311089&amp;label=holiday-home-la-caverne-des-hirondelles-saint-joseph-ou_mZnlM02D4d9EI4jBFkgS647568116549%3Apl%3Ata%3Ap1%3Ap2%3Aac%3Aap%3Aneg%3Afi%3Atikwd-22137914198%3Alp9075843%3Ali%3Adec%3Adm%3Appccp%3DUmFuZG9tSVYkc2RlIyh9YVcLb15uXY9dObSb2laNmOc&amp;sid=9c98e3a93fda3bde7d1e95de4dd1cd4e&amp;dest_id=-1331399&amp;dest_type=city&amp;dist=0&amp;group_adults=2&amp;group_children=0&amp;hapos=1&amp;hpos=1&amp;no_rooms=1&amp;req_adults=2&amp;req_children=0&amp;room1=A%2CA&amp;sb_price_type=total&amp;sr_order=popularity&amp;srepoch=1679390463&amp;srpvid=d2d341bf37900296&amp;type=total&amp;ucfs=1&amp;activeTab=main</t>
  </si>
  <si>
    <t>3e88ce5c</t>
  </si>
  <si>
    <t>https://www.facebook.com/lacavernedeshirondelles/?locale=fr_FR</t>
  </si>
  <si>
    <t>f8c46e4c</t>
  </si>
  <si>
    <t>https://www.facebook.com/profile.php?id=100052386924148</t>
  </si>
  <si>
    <t>59261f64</t>
  </si>
  <si>
    <t>https://www.booking.com/hotel/re/le-bougainvillier-la-plaine-des-cafres12.fr.html?aid=318615&amp;label=New_French_FR_RE_26394819985-5KMfyMgIYi7RF9Cd6ZNX9wS640938625631%3Apl%3Ata%3Ap1%3Ap2%3Aac%3Aap%3Aneg%3Afi%3Atidsa-194594581705%3Alp9075843%3Ali%3Adec%3Adm%3Aag26394819985%3Acmp392730865&amp;sid=ab4a5d80bbdc9cc28e85f449874713d0&amp;dest_id=-1330930;dest_type=city;dist=0;group_adults=2;group_children=0;hapos=1;hpos=1;no_rooms=1;req_adults=2;req_children=0;room1=A%2CA;sb_price_type=total;sr_order=popularity;srepoch=1679463860;srpvid=6805285933b20117;type=total;ucfs=1&amp;#hotelTmpl</t>
  </si>
  <si>
    <t>d2b71c79</t>
  </si>
  <si>
    <t>https://www.facebook.com/bougainvillier97418</t>
  </si>
  <si>
    <t>7f59728c</t>
  </si>
  <si>
    <t>https://fr.airbnb.com/rooms/737194119169096783?_set_bev_on_new_domain=1663222967_NDA0ZDMxMjE4MjUw&amp;source_impression_id=p3_1679467800_VHWDwdbJ3YEKzbtd</t>
  </si>
  <si>
    <t>5ffcfd72</t>
  </si>
  <si>
    <t>https://fr-fr.facebook.com/people/IRISE-Traiteur/100057576395082/</t>
  </si>
  <si>
    <t>73dc8ef3</t>
  </si>
  <si>
    <t>https://www.booking.com/hotel/re/villa-au-coeur-de-la-reunion.fr.html</t>
  </si>
  <si>
    <t>0f47790a</t>
  </si>
  <si>
    <t>https://www.facebook.com/profile.php?id=100088794564476</t>
  </si>
  <si>
    <t>05d4f986</t>
  </si>
  <si>
    <t>https://www.facebook.com/profile.php?id=100090444471228</t>
  </si>
  <si>
    <t>b01be9cb</t>
  </si>
  <si>
    <t>c2b9e7c7</t>
  </si>
  <si>
    <t>https://www.booking.com/hotel/re/chez-frida.fr.html?lang=fr&amp;soz=1&amp;lang_changed=1</t>
  </si>
  <si>
    <t>68df9fe1</t>
  </si>
  <si>
    <t>https://www.instagram.com/au_bois_noir/</t>
  </si>
  <si>
    <t>d1f29f20</t>
  </si>
  <si>
    <t>https://www.tripadvisor.fr/Hotel_Review-g635742-d12108790-Reviews-Au_Bois_Noir-Saint_Joseph_Arrondissement_of_Saint_Pierre.html</t>
  </si>
  <si>
    <t>a42c7810</t>
  </si>
  <si>
    <t>https://www.facebook.com/AuBoisNoir974</t>
  </si>
  <si>
    <t>02fcc680</t>
  </si>
  <si>
    <t>https://fr.airbnb.com/rooms/796702557627453667?_set_bev_on_new_domain=1679982808_YjdmNjdlZWNhY2Zh&amp;source_impression_id=p3_1679982810_Lv9QXSEcgBgQN8Kx</t>
  </si>
  <si>
    <t>e0340e80</t>
  </si>
  <si>
    <t>https://www.instagram.com/lesjardinsdenicole/?igshid=YmMyMTA2M2Y%3D</t>
  </si>
  <si>
    <t>6bf431d9</t>
  </si>
  <si>
    <t>https://www.facebook.com/people/Le-paille-en-queue/100029264630345/?paipv=0&amp;eav=Afb-ylz3K1C9ej0s2_mr60L9CJm6OTq7ttSwzjfP65EvpPf2Ao7-UFHs-HZ3TIFEj4c&amp;_rdr</t>
  </si>
  <si>
    <t>c667462b</t>
  </si>
  <si>
    <t>https://www.tripadvisor.fr/Restaurant_Review-g790521-d7255127-Reviews-Gite_le_Paille_en_Queue-La_Plaine_des_Cafres_Arrondissement_of_Saint_Pierre.html</t>
  </si>
  <si>
    <t>548b04ad</t>
  </si>
  <si>
    <t>https://www.airbnb.fr/rooms/38369346?source_impression_id=p3_1680084925_0FaI93Bkl50xfQN2</t>
  </si>
  <si>
    <t>4592d4a2</t>
  </si>
  <si>
    <t>https://www.facebook.com/Plurius</t>
  </si>
  <si>
    <t>74774c38</t>
  </si>
  <si>
    <t>https://www.booking.com/hotel/re/fleur-de-vanille.fr.html</t>
  </si>
  <si>
    <t>53b13320</t>
  </si>
  <si>
    <t>5cd8f51d</t>
  </si>
  <si>
    <t>https://www.facebook.com/LodgeDeGrandCoude</t>
  </si>
  <si>
    <t>4fe84a02</t>
  </si>
  <si>
    <t>https://www.airbnb.fr/rooms/825966400964880822?adults=1&amp;guests=1&amp;s=42&amp;unique_share_id=3c4697a4-1d7e-4513-b006-6790994aa42f&amp;_branch_match_id=1121380517906973837&amp;_branch_referrer=H4sIAAAAAAAAA8soKSkottLXT0zKS9LLTdUPCcrKLAlw83GsTAIAhybZwRsAAAA%3D&amp;source_impression_id=p3_1680240062_izCJ38HWT6jJA6yU</t>
  </si>
  <si>
    <t>4c8c0cd6</t>
  </si>
  <si>
    <t>https://www.booking.com/hotel/re/le-chalet-gayar.fr.html?aid=1258470&amp;label=Share-5sMBoz%401680188077</t>
  </si>
  <si>
    <t>0d9f26f0</t>
  </si>
  <si>
    <t>https://www.facebook.com/keylodge.locations</t>
  </si>
  <si>
    <t>e585df79</t>
  </si>
  <si>
    <t>https://www.tripadvisor.fr/Restaurant_Review-g668283-d15024727-Reviews-Le_Saint_Hilaire-Entre_Deux_Arrondissement_of_Saint_Pierre.html</t>
  </si>
  <si>
    <t>43488f32</t>
  </si>
  <si>
    <t>https://fr.airbnb.com/rooms/34430755?_set_bev_on_new_domain=1663222967_NDA0ZDMxMjE4MjUw&amp;source_impression_id=p3_1681878158_EVaLjDLQ66whwae5</t>
  </si>
  <si>
    <t>024f8c1a</t>
  </si>
  <si>
    <t>https://fr.airbnb.com/rooms/34321965?_set_bev_on_new_domain=1663222967_NDA0ZDMxMjE4MjUw&amp;source_impression_id=p3_1681878056_v3RcwtCC%2Faukpoi1</t>
  </si>
  <si>
    <t>b1c97bd1</t>
  </si>
  <si>
    <t>https://fr.airbnb.com/rooms/34383362?_set_bev_on_new_domain=1663222967_NDA0ZDMxMjE4MjUw&amp;source_impression_id=p3_1681878060_PCM4iLrUfgWG26T7</t>
  </si>
  <si>
    <t>6201cd5a</t>
  </si>
  <si>
    <t>https://fr.airbnb.com/rooms/34424845?_set_bev_on_new_domain=1663222967_NDA0ZDMxMjE4MjUw&amp;source_impression_id=p3_1681878063_kyGw%2FzA7a4jNF85C</t>
  </si>
  <si>
    <t>4eab85ea</t>
  </si>
  <si>
    <t>https://www.facebook.com/Transportanou/</t>
  </si>
  <si>
    <t>dfefc238</t>
  </si>
  <si>
    <t>https://www.facebook.com/profile.php?id=100083008351300</t>
  </si>
  <si>
    <t>181010ed</t>
  </si>
  <si>
    <t>https://www.facebook.com/profile.php?id=100087010601801</t>
  </si>
  <si>
    <t>a27d384c</t>
  </si>
  <si>
    <t>https://www.leboncoin.fr/offre/locations_gites/2333356859</t>
  </si>
  <si>
    <t>a03c9433</t>
  </si>
  <si>
    <t>https://www.booking.com/hotel/re/la-belle-lalia-meuble-spa.en-gb.html</t>
  </si>
  <si>
    <t>46d297e0</t>
  </si>
  <si>
    <t>https://www.facebook.com/villacoeurvanille</t>
  </si>
  <si>
    <t>029bd46e</t>
  </si>
  <si>
    <t>https://www.booking.com/hotel/re/location-saisonniere-berive.fr.html</t>
  </si>
  <si>
    <t>ae48ec5a</t>
  </si>
  <si>
    <t>https://www.airbnb.fr/rooms/41806366?source_impression_id=p3_1682490963_aZ%2FtBN9OvLK6tFCF</t>
  </si>
  <si>
    <t>b3ae7dff</t>
  </si>
  <si>
    <t>https://www.tripadvisor.fr/VacationRentalReview-g675133-d21177283-Les_locations_d_elo_jul-Le_Tampon_Arrondissement_of_Saint_Pierre.html</t>
  </si>
  <si>
    <t>07bfe02a</t>
  </si>
  <si>
    <t>https://www.leboncoin.fr/offre/locations_gites/2303726654</t>
  </si>
  <si>
    <t>d92c2573</t>
  </si>
  <si>
    <t>dc9f55dc</t>
  </si>
  <si>
    <t>https://www.facebook.com/profile.php?id=100091726006915</t>
  </si>
  <si>
    <t>377674da</t>
  </si>
  <si>
    <t>https://www.instagram.com/labelle.lalia/</t>
  </si>
  <si>
    <t>97205ed7</t>
  </si>
  <si>
    <t>https://www.booking.com/hotel/re/charmant-chalet-avec-jacuzzi.fr.html</t>
  </si>
  <si>
    <t>1e7ed79e</t>
  </si>
  <si>
    <t>https://www.facebook.com/HumanitySpiritualityMalika/</t>
  </si>
  <si>
    <t>eff93a3d</t>
  </si>
  <si>
    <t>https://www.booking.com/hotel/re/villa-moderne-manapany-jacuzzi-proximite-mer.fr.html?aid=304142&amp;label=gen173nr-1FCAsovwFCK21hZ25pZmlxdWUtdmlsbGEtYXZlYy1qYWN1enppLXByb3hpbWl0ZS1tZXJIDVgEaL8BiAEBmAENuAEXyAEM2AEB6AEB-AECiAIBqAIDuALDipWaBsACAdICJDk3ZTAyNjRmLWIwNGItNGNiMi1hN2I0LWNkMWM3YTAwMWMxN9gCBeACAQ&amp;sid=219fa3bd56adbb433c24d7abded56101&amp;dest_id=-1331399&amp;dest_type=city&amp;dist=0&amp;group_adults=2&amp;group_children=0&amp;no_rooms=1&amp;sb_price_type=total&amp;type=total&amp;ucfac=151&amp;</t>
  </si>
  <si>
    <t>e4685a41</t>
  </si>
  <si>
    <t>https://www.facebook.com/gitedegrandbassin/?locale=fr_FR</t>
  </si>
  <si>
    <t>f39792af</t>
  </si>
  <si>
    <t>https://www.facebook.com/legadjak</t>
  </si>
  <si>
    <t>0afe148f</t>
  </si>
  <si>
    <t>https://www.facebook.com/Yren.974/?locale=fr_FR</t>
  </si>
  <si>
    <t>87414727</t>
  </si>
  <si>
    <t>https://www.facebook.com/profile.php?id=100092479846289</t>
  </si>
  <si>
    <t>85d06d14</t>
  </si>
  <si>
    <t>https://www.instagram.com/lesbiensfeesdegraziella/?hl=fr</t>
  </si>
  <si>
    <t>a591b42a</t>
  </si>
  <si>
    <t>https://www.tripadvisor.fr/Restaurant_Review-g635742-d6429694-Reviews-La_Table_des_Randonneurs_Jacques_Payet_Saint_Joseph-Saint_Joseph_Arrondissement_o.html</t>
  </si>
  <si>
    <t>a56fc1ee</t>
  </si>
  <si>
    <t>https://www.facebook.com/crinsdubelair?locale=fr_FR</t>
  </si>
  <si>
    <t>4ac29a13</t>
  </si>
  <si>
    <t>https://www.facebook.com/ColorsOfHumanityReunion/?locale=br_FR</t>
  </si>
  <si>
    <t>14cd2141</t>
  </si>
  <si>
    <t>https://www.facebook.com/profile.php?id=100091970793063&amp;sk=about</t>
  </si>
  <si>
    <t>5035afa1</t>
  </si>
  <si>
    <t>https://www.airbnb.fr/rooms/876688779016384785?adults=4&amp;check_in=2023-05-26&amp;check_out=2023-05-28&amp;federated_search_id=1d837375-f778-4242-b13f-40c81816b781&amp;source_impression_id=p3_1684478803_NGaDbvOSz6XAUpmC</t>
  </si>
  <si>
    <t>b563a77c</t>
  </si>
  <si>
    <t>https://www.facebook.com/people/Villas-Mandarine/100063523962237/</t>
  </si>
  <si>
    <t>17d352ae</t>
  </si>
  <si>
    <t>https://www.booking.com/hotel/re/villa-rosanna.fr.html</t>
  </si>
  <si>
    <t>6e01b634</t>
  </si>
  <si>
    <t>7dd7f4c5</t>
  </si>
  <si>
    <t>6bfcb187</t>
  </si>
  <si>
    <t>https://www.instagram.com/yren__/?hl=fr</t>
  </si>
  <si>
    <t>99ee1524</t>
  </si>
  <si>
    <t>https://www.facebook.com/people/Casa-Lo%C3%ABva/pfbid0JEDChbJeDbm4T3xXW1TPs7YTiB82QjnLuYmGq3JzpdYr8gRfGZRdHfY6BCkLQr7Pl/</t>
  </si>
  <si>
    <t>38b73c32</t>
  </si>
  <si>
    <t>https://www.facebook.com/florigami974/</t>
  </si>
  <si>
    <t>abde88e7</t>
  </si>
  <si>
    <t>https://instagram.com/flo_et_les_ptits_papiers?igshid=MzNlNGNkZWQ4Mg==</t>
  </si>
  <si>
    <t>1d2db510</t>
  </si>
  <si>
    <t>https://www.airbnb.fr/rooms/866663423154494215?source_impression_id=p3_1684433513_kOllAB7SqsPZCXZo</t>
  </si>
  <si>
    <t>8feb7872</t>
  </si>
  <si>
    <t>https://www.airbnb.fr/rooms/892477127717491184?adults=1&amp;children=0&amp;enable_m3_private_room=true&amp;infants=0&amp;pets=0&amp;check_in=2023-06-07&amp;check_out=2023-07-07&amp;federated_search_id=f27cd2c8-eecd-4178-acec-9b3b4e82fb1d&amp;source_impression_id=p3_1685943965_WUAbLYtvy%2Fceowvz</t>
  </si>
  <si>
    <t>9c24c5c2</t>
  </si>
  <si>
    <t>https://www.airbnb.fr/rooms/904800946502679968?adults=1&amp;children=0&amp;enable_m3_private_room=true&amp;infants=0&amp;location=France&amp;pets=0&amp;check_in=2023-07-01&amp;check_out=2023-07-07&amp;federated_search_id=15a7e88c-ca59-4d4f-9c34-c86b8f0cb2fb&amp;source_impression_id=p3_1685959702_UsnBOcuQXNBhZK%2BB</t>
  </si>
  <si>
    <t>065f0641</t>
  </si>
  <si>
    <t>https://www.facebook.com/profile.php?id=100092402301142</t>
  </si>
  <si>
    <t>eafbdacf</t>
  </si>
  <si>
    <t>https://www.facebook.com/LaReunion974IleIntense</t>
  </si>
  <si>
    <t>a1af65d8</t>
  </si>
  <si>
    <t>https://www.tripadvisor.fr/Hotel_Review-g675133-d16774976-Reviews-ESCAL_RUN-Le_Tampon_Arrondissement_of_Saint_Pierre.html</t>
  </si>
  <si>
    <t>ff711168</t>
  </si>
  <si>
    <t>https://www.instagram.com/mathieubuenafuente</t>
  </si>
  <si>
    <t>12b98dfc</t>
  </si>
  <si>
    <t>https://www.booking.com/hotel/re/escal-run.fr.html?aid=1486641;label=escal-run-FR-S602565230363:pl:ta:p1:p2:ac:ap:neg:fi234953798194:tikwd-1661953263750:lp9075843:li2638:dec:dm;ws=&amp;gclid=CjwKCAjw1YCkBhAOEiwA5aN4AVhMh65vjQH0CkSy-7JDzxnzdmfToDXkPzB-38JfQbZO4Ugc4Je1UhoCyOEQAvD_BwE</t>
  </si>
  <si>
    <t>669f212d</t>
  </si>
  <si>
    <t>https://www.airbnb.fr/rooms/32755754?source_impression_id=p3_1686131539_rojQBfYeRPi6ICJJ</t>
  </si>
  <si>
    <t>10003a9e</t>
  </si>
  <si>
    <t>https://instagram.com/kellyartisanat?igshid=MzRlODBiNWFlZA==</t>
  </si>
  <si>
    <t>90d212de</t>
  </si>
  <si>
    <t>https://www.facebook.com/CreateurReunion</t>
  </si>
  <si>
    <t>b8145e1a</t>
  </si>
  <si>
    <t>https://www.facebook.com/Kellyartisanatlocal974</t>
  </si>
  <si>
    <t>8b807cbc</t>
  </si>
  <si>
    <t>https://www.booking.com/hotel/re/villa-exotica-f3-entre-deux.fr.html</t>
  </si>
  <si>
    <t>bc21aaeb</t>
  </si>
  <si>
    <t>6c869ada</t>
  </si>
  <si>
    <t>https://fr.airbnb.be/rooms/775884676870827552?source_impression_id=p3_1686719296_qIGY8AvVZlif0U1X</t>
  </si>
  <si>
    <t>9190a27c</t>
  </si>
  <si>
    <t>https://www.facebook.com/people/Villa-AnaDa/100077480211026/</t>
  </si>
  <si>
    <t>3f2de4a4</t>
  </si>
  <si>
    <t>https://www.booking.com/hotel/re/la-louisiane.fr.html?aid=318615&amp;label=New_French_FR_FR_21427169905-YP8jtirKV%2AkzSzTpDnHYDwS640938627539%3Apl%3Ata%3Ap1%3Ap2%3Aac%3Aap%3Aneg&amp;sid=dd94617ac52a3272dc06f799eaee633d&amp;dest_id=-1331399;dest_type=city;dist=0;group_adults=2;group_children=0;hapos=1;hpos=1;no_rooms=1;req_adults=2;req_children=0;room1=A%2CA;sb_price_type=total;sr_order=popularity;srepoch=1686740929;srpvid=44c24e60330501de;type=total;ucfs=1&amp;#hotelTmpl</t>
  </si>
  <si>
    <t>fb53b396</t>
  </si>
  <si>
    <t>https://www.facebook.com/PAYAZ974</t>
  </si>
  <si>
    <t>82fb5c49</t>
  </si>
  <si>
    <t>https://www.facebook.com/profile.php?id=100092577846962</t>
  </si>
  <si>
    <t>f9825f9c</t>
  </si>
  <si>
    <t>https://www.booking.com/hotel/re/ti-kaz-serre-maison.fr.html</t>
  </si>
  <si>
    <t>2f0122b3</t>
  </si>
  <si>
    <t>https://www.tripadvisor.fr/Restaurant_Review-g635742-d17836321-Reviews-Le_ti_comptoir-Saint_Joseph_Arrondissement_of_Saint_Pierre.html</t>
  </si>
  <si>
    <t>7d91434a</t>
  </si>
  <si>
    <t>https://www.facebook.com/p/Le-Ti-Comptoir-100063462824035/</t>
  </si>
  <si>
    <t>d63da28c</t>
  </si>
  <si>
    <t>https://www.airbnb.fr/rooms/887404097382101560?source_impression_id=p3_1687342210_olKJd2OLmmW9shU%2B</t>
  </si>
  <si>
    <t>0c346fab</t>
  </si>
  <si>
    <t>https://www.facebook.com/profile.php?id=100092296816748</t>
  </si>
  <si>
    <t>b75cc703</t>
  </si>
  <si>
    <t>https://www.facebook.com/domitile.artisanat974/?locale=fr_FR</t>
  </si>
  <si>
    <t>5903c9f6</t>
  </si>
  <si>
    <t>https://www.facebook.com/profile.php?id=100094200813540</t>
  </si>
  <si>
    <t>8ced56ec</t>
  </si>
  <si>
    <t>81f38f32</t>
  </si>
  <si>
    <t>7458e2a2</t>
  </si>
  <si>
    <t>https://www.instagram.com/mathieubuenafuente/</t>
  </si>
  <si>
    <t>bd4c6e39</t>
  </si>
  <si>
    <t>https://www.booking.com/hotel/re/escal-run.fr.html?label=escal-run-FR-S602565230363%3Apl%3Ata%3Ap1%3Ap2%3Aac%3Aap%3Aneg%3Afi234953798194%3Atikwd-1661953263750%3Alp9075843%3Ali2638%3Adec%3Adm;aid=1486641;ws=;gclid=CjwKCAjw1YCkBhAOEiwA5aN4AVhMh65vjQH0CkSy-7JDzxnzdmfToDXkPzB-38JfQbZO4Ugc4Je1UhoCyOEQAvD_BwE</t>
  </si>
  <si>
    <t>1fed7e6a</t>
  </si>
  <si>
    <t>https://www.airbnb.fr/rooms/32754087?source_impression_id=p3_1686131541_EsGb%2BBMKdIOHNXtD</t>
  </si>
  <si>
    <t>dfcfffd5</t>
  </si>
  <si>
    <t>f12c327a</t>
  </si>
  <si>
    <t>https://www.airbnb.fr/rooms/32754532?source_impression_id=p3_1686131544_ZTd5izeAjMxXopM9</t>
  </si>
  <si>
    <t>7e4e78d9</t>
  </si>
  <si>
    <t>a954e563</t>
  </si>
  <si>
    <t>016b911c</t>
  </si>
  <si>
    <t>59cfba46</t>
  </si>
  <si>
    <t>https://www.booking.com/hotel/re/les-casses-de-la-mer-cassee.fr.html?aid=1630418</t>
  </si>
  <si>
    <t>f01c1a46</t>
  </si>
  <si>
    <t>https://fr.airbnb.ca/rooms/16048775?source_impression_id=p3_1687949588_RzM9o0XdnJWduDx3</t>
  </si>
  <si>
    <t>392c78be</t>
  </si>
  <si>
    <t>https://www.booking.com/hotel/re/bleu-du-sud.fr.html</t>
  </si>
  <si>
    <t>bd531504</t>
  </si>
  <si>
    <t>https://www.tripadvisor.fr/Restaurant_Review-g668283-d24143268-Reviews-Restaurant_Le_Chocas-Entre_Deux_Arrondissement_of_Saint_Pierre.html</t>
  </si>
  <si>
    <t>a6e71618</t>
  </si>
  <si>
    <t>https://www.booking.com/hotel/re/les-jardins-de-nicole.fr.html?aid=318615&amp;label=New_French_FR_RE_26394819985-5KMfyMgIYi7RF9Cd6ZNX9wS640938625631%3Apl%3Ata%3Ap1%3Ap2%3Aac%3Aap%3Aneg%3Afi%3Atidsa-194594581705%3Alp9075843%3Ali%3Adec%3Adm%3Aag26394819985%3Acmp392730865&amp;sid=219fa3bd56adbb433c24d7abded56101&amp;dest_id=-1330930;dest_type=city;dist=0;group_adults=2;group_children=0;hapos=1;hpos=1;no_rooms=1;req_adults=2;req_children=0;room1=A%2CA;sb_price_type=total;sr_order=popularity;srepoch=1688032393;srpvid=e0a14584212602b3;type=total;ucfs=1&amp;#hotelTmpl</t>
  </si>
  <si>
    <t>4da16d48</t>
  </si>
  <si>
    <t>https://www.facebook.com/l.eclat.tente.Creation</t>
  </si>
  <si>
    <t>738faecd</t>
  </si>
  <si>
    <t>https://www.instagram.com/l.eclat.tente.creation/</t>
  </si>
  <si>
    <t>26992574</t>
  </si>
  <si>
    <t>https://www.booking.com/hotel/re/lonbraz-volkan.fr.html?aid=318615&amp;label=New_French_FR_RE_26394819985-5KMfyMgIYi7RF9Cd6ZNX9wS640938625631%3Apl%3Ata%3Ap1%3Ap2%3Aac%3Aap%3Aneg%3Afi%3Atidsa-194594581705%3Alp9075843%3Ali%3Adec%3Adm%3Aag26394819985%3Acmp392730865&amp;sid=219fa3bd56adbb433c24d7abded56101&amp;dest_id=-1331411;dest_type=city;dist=0;group_adults=2;group_children=0;hapos=12;hpos=12;no_rooms=1;req_adults=2;req_children=0;room1=A%2CA;sb_price_type=total;sr_order=popularity;srepoch=1688105361;srpvid=ad5a2b47115a01bc;type=total;ucfs=1&amp;#hotelTmpl</t>
  </si>
  <si>
    <t>62402c54</t>
  </si>
  <si>
    <t>542574da</t>
  </si>
  <si>
    <t>e6fb2f6b</t>
  </si>
  <si>
    <t>https://fr.airbnb.ch/rooms/881895542546535024?source_impression_id=p3_1688104650_0k1TCAITRuCCdLj4</t>
  </si>
  <si>
    <t>45805ee6</t>
  </si>
  <si>
    <t>https://www.booking.com/hotel/re/kaz-a-olymp-maison-de-vacances-a-l-entre-deux.fr.html?aid=318615&amp;label=New_French_FR_RE_26394819985-5KMfyMgIYi7RF9Cd6ZNX9wS217246948707%3Apl%3Ata%3Ap1%3Ap2%3Aac%3Aap%3Aneg%3Afi%3Atidsa-194594581705%3Alp9075843%3Ali%3Adec%3Adm&amp;sid=62c97b66b82cbbc4b63c2b97f04d9876&amp;dest_id=-1330710;dest_type=city;dist=0;group_adults=2;group_children=0;hapos=1;hpos=1;no_rooms=1;req_adults=2;req_children=0;room1=A%2CA;sb_price_type=total;sr_order=popularity;srepoch=1688553843;srpvid=00004b784dfe03b6;type=total;ucfs=1&amp;#hotelTmpl</t>
  </si>
  <si>
    <t>599b8daf</t>
  </si>
  <si>
    <t>https://www.tripadvisor.fr/VacationRentalReview-g635742-d19937891-L_Eskalya-Saint_Joseph_Arrondissement_of_Saint_Pierre.html</t>
  </si>
  <si>
    <t>604d383c</t>
  </si>
  <si>
    <t>https://www.booking.com/hotel/re/eskalya.fr.html</t>
  </si>
  <si>
    <t>5723e4a9</t>
  </si>
  <si>
    <t>https://www.facebook.com/people/KMila-pizza-Vincendo/100069336330450/</t>
  </si>
  <si>
    <t>3aeebca4</t>
  </si>
  <si>
    <t>https://fr.tripadvisor.ch/Restaurant_Review-g2140646-d25065175-Reviews-La_Libellule_Qui_Roule-Saint_Philippe_Arrondissement_of_Saint_Pierre.html</t>
  </si>
  <si>
    <t>56d33b00</t>
  </si>
  <si>
    <t>https://www.facebook.com/lalibellulequiroule</t>
  </si>
  <si>
    <t>a66b03cf</t>
  </si>
  <si>
    <t>https://www.instagram.com/lalibellulequiroule/?igshid=YmMyMTA2M2Y%3D&amp;fbclid=IwAR2_fLO6QMK4tYIvfiPfaZ5nosMPhsYlzv_0vgHggpo1IHoiWTa1Wz0nsbo</t>
  </si>
  <si>
    <t>ff481b50</t>
  </si>
  <si>
    <t>https://www.facebook.com/profile.php?id=100069944031459</t>
  </si>
  <si>
    <t>987ea82e</t>
  </si>
  <si>
    <t>https://www.facebook.com/vtcreunion/</t>
  </si>
  <si>
    <t>8ad8e4b3</t>
  </si>
  <si>
    <t>https://fr.airbnb.com/rooms/891678209337470420?_set_bev_on_new_domain=1633606169_N2U5MTg1OTAzYTNj&amp;source_impression_id=p3_1689923493_paARszm41iFEa01n</t>
  </si>
  <si>
    <t>0c7bbc98</t>
  </si>
  <si>
    <t>https://fr.airbnb.com/rooms/893200478560619955?source_impression_id=p3_1689924845_xmdUA8jIQs1xj3g%2F</t>
  </si>
  <si>
    <t>eeaaee52</t>
  </si>
  <si>
    <t>https://www.facebook.com/people/Les-Hibiscus/100093237810458/</t>
  </si>
  <si>
    <t>178cd00f</t>
  </si>
  <si>
    <t>https://fr.airbnb.com/rooms/893189637306358886?source_impression_id=p3_1689924845_PBgRnGLPGYXZ7zpf</t>
  </si>
  <si>
    <t>cf028c2f</t>
  </si>
  <si>
    <t>https://www.facebook.com/larosedusudstephaneetlaurie</t>
  </si>
  <si>
    <t>ae1c9373</t>
  </si>
  <si>
    <t>https://www.airbnb.fr/rooms/853971746359457021?source_impression_id=p3_1689933687_wJvMbO%2FFY0rEPppS&amp;_set_bev_on_new_domain=1689933687_ZTExNGVmOWZjOWEz</t>
  </si>
  <si>
    <t>2c415a11</t>
  </si>
  <si>
    <t>https://www.airbnb.fr/rooms/21615253?source_impression_id=p3_1690177102_ax990fOTdLvnAfP1</t>
  </si>
  <si>
    <t>3efcb111</t>
  </si>
  <si>
    <t>https://www.facebook.com/profile.php?id=100094707300614</t>
  </si>
  <si>
    <t>c46bb562</t>
  </si>
  <si>
    <t>https://www.leboncoin.fr/offre/locations_gites/2050895047</t>
  </si>
  <si>
    <t>b4814916</t>
  </si>
  <si>
    <t>https://www.leboncoin.fr/offre/locations_gites/2099739760</t>
  </si>
  <si>
    <t>cc35c135</t>
  </si>
  <si>
    <t>https://fr.airbnb.be/rooms/28120771?source_impression_id=p3_1690785638_%2FfkGNHfu1qN%2FWpM0</t>
  </si>
  <si>
    <t>7a161d93</t>
  </si>
  <si>
    <t>https://www.airbnb.fr/rooms/11261533?adults=1&amp;children=0&amp;infants=0&amp;check_in=2023-08-05&amp;check_out=2023-08-11&amp;source_impression_id=p3_1690952161_%2BDNSzy3NEYWF5XRL&amp;previous_page_section_name=1000&amp;federated_search_id=48ea4162-f6b9-4749-98eb-9e19dcbc4537</t>
  </si>
  <si>
    <t>ba31ffc7</t>
  </si>
  <si>
    <t>https://www.airbnb.fr/rooms/12555427?source_impression_id=p3_1690952273_OxpyssZjXo74ziDr</t>
  </si>
  <si>
    <t>6d963aed</t>
  </si>
  <si>
    <t>https://www.airbnb.fr/rooms/931134941652726599?source_impression_id=p3_1688839585_PiXcIpLdvSy0b9yI</t>
  </si>
  <si>
    <t>41995c91</t>
  </si>
  <si>
    <t>https://www.facebook.com/profile.php?id=100064082080654</t>
  </si>
  <si>
    <t>154480d3</t>
  </si>
  <si>
    <t>https://www.airbnb.fr/rooms/926622351693862104?check_in=2023-09-01&amp;check_out=2023-09-03&amp;source_impression_id=p3_1691660549_zll7muyd%2F3LesE4Y&amp;previous_page_section_name=1000&amp;federated_search_id=9c142618-76ba-4ccf-b4cb-34f1631e8284</t>
  </si>
  <si>
    <t>d976abff</t>
  </si>
  <si>
    <t>https://www.facebook.com/chezalyreetsylvette</t>
  </si>
  <si>
    <t>134e40e6</t>
  </si>
  <si>
    <t>https://www.instagram.com/nout_ti_larranze/</t>
  </si>
  <si>
    <t>ffb42db4</t>
  </si>
  <si>
    <t>https://www.facebook.com/profile.php?id=100094735541351</t>
  </si>
  <si>
    <t>2f6834c1</t>
  </si>
  <si>
    <t>https://www.instagram.com/ban_verte/</t>
  </si>
  <si>
    <t>dc908e17</t>
  </si>
  <si>
    <t>https://www.facebook.com/MadamePayet/?locale=fr_FR</t>
  </si>
  <si>
    <t>b607b0a2</t>
  </si>
  <si>
    <t>9dfee081</t>
  </si>
  <si>
    <t>https://www.abritel.fr/location-vacances/p2260080?noDates=true&amp;uni_id=2437011</t>
  </si>
  <si>
    <t>3c9cbaae</t>
  </si>
  <si>
    <t>https://www.booking.com/hotel/re/le-quelea-une-case-creole-de-charme.fr.html?aid=356980&amp;label=gog235jc-1FCAsovwFCI2xlLXF1ZWxlYS11bmUtY2FzZS1jcmVvbGUtZGUtY2hhcm1lSA1YA2i_AYgBAZgBDbgBF8gBDNgBAegBAfgBAogCAagCA7gC2smcpwbAAgHSAiRjZGNlZGRkMS1iZTA5LTQ4ODUtODFhNi01MjE3YzliYTAzMGTYAgXgAgE&amp;sid=1d91ab27864dc9721d26f0ceffa99ed5&amp;checkin=2023-08-26;checkout=2023-08-27;dest_id=-1330710;dest_type=city;dist=0;group_adults=2;group_children=0;hapos=1;hpos=1;no_rooms=1;req_adults=2;req_children=0;room1=A%2CA;sb_price_type=total;soh=1;sr_order=popularity;srepoch=1692869961;srpvid=2b1743e18e0301cc;type=total;ucfs=1&amp;#no_availability_msg</t>
  </si>
  <si>
    <t>a951184f</t>
  </si>
  <si>
    <t>https://fr.airbnb.com/rooms/53563100?_set_bev_on_new_domain=1663222967_NDA0ZDMxMjE4MjUw&amp;source_impression_id=p3_1692941157_Dl8jN3iUdTM3deDC</t>
  </si>
  <si>
    <t>b9ae5adb</t>
  </si>
  <si>
    <t>https://www.leboncoin.fr/offre/locations_gites/2395644192</t>
  </si>
  <si>
    <t>56978c9c</t>
  </si>
  <si>
    <t>https://www.booking.com/hotel/re/cote-volcan.fr.html?aid=318615&amp;label=French_Reunion_FR_RE_29562101905-PWLXEH4QApQRABXOF9JAXwS634186710607%3Apl%3Ata%3Ap1%3Ap2%3Aac%3Aap%3Aneg%3Afi55772692243%3Atidsa-320131989100%3Alp9075843%3Ali%3Adec%3Adm%3Aag29562101905%3Acmp392730865&amp;sid=1d91ab27864dc9721d26f0ceffa99ed5&amp;dest_id=-1330930;dest_type=city;dist=0;group_adults=2;group_children=0;hapos=1;hpos=1;no_rooms=1;req_adults=2;req_children=0;room1=A%2CA;sb_price_type=total;sr_order=popularity;srepoch=1709121191;srpvid=03ce538d879501ed;type=total;ucfs=1&amp;#hotelTmpl</t>
  </si>
  <si>
    <t>eca8c1bc</t>
  </si>
  <si>
    <t>https://www.booking.com/hotel/re/villa-spacieuse-avec-piscine-debordement-et-vue-exceptionnelle.fr.html#tab-main</t>
  </si>
  <si>
    <t>be66cd72</t>
  </si>
  <si>
    <t>https://www.facebook.com/restaurantbassindinan97480/</t>
  </si>
  <si>
    <t>044b01d9</t>
  </si>
  <si>
    <t>https://www.tripadvisor.fr/Restaurant_Review-g17157705-d20120506-Reviews-Restaurant_Chez_Reine_Lys-Langevin_Arrondissement_of_Saint_Pierre.html</t>
  </si>
  <si>
    <t>2a33fdc5</t>
  </si>
  <si>
    <t>https://www.facebook.com/profile.php?id=100092180347653</t>
  </si>
  <si>
    <t>eb1f1767</t>
  </si>
  <si>
    <t>https://www.booking.com/hotel/re/villa-sud-sauvage-saint-philippe.fr.html</t>
  </si>
  <si>
    <t>3978f088</t>
  </si>
  <si>
    <t>https://www.facebook.com/profile.php?id=100064007746849</t>
  </si>
  <si>
    <t>f8b87234</t>
  </si>
  <si>
    <t>https://www.facebook.com/profile.php?id=100087833543169</t>
  </si>
  <si>
    <t>e96a0bd5</t>
  </si>
  <si>
    <t>https://mt.airbnb.com.mt/rooms/742535653511556233?source_impression_id=p3_1693477641_mLVskAvw6xZoZfh%2B</t>
  </si>
  <si>
    <t>45af3b8e</t>
  </si>
  <si>
    <t>https://www.leboncoin.fr/offre/locations_gites/2301038919</t>
  </si>
  <si>
    <t>8cfbd7ae</t>
  </si>
  <si>
    <t>https://www.facebook.com/profile.php?id=100093583369024</t>
  </si>
  <si>
    <t>ffb2d1d5</t>
  </si>
  <si>
    <t>https://www.airbnb.fr/rooms/918560933421543043?source_impression_id=p3_1693480818_CDnN0uZTBPVdmPU8</t>
  </si>
  <si>
    <t>45192da2</t>
  </si>
  <si>
    <t>https://www.booking.com/hotel/re/bungalow-ti-moon.fr.html?aid=356980&amp;label=gog235jc-1FCAMYlAQovwFCCmVudHJlLWRldXhIDVgDaL8BiAEBmAENuAEXyAEM2AEB6AEB-AECiAIBqAIDuALA8MGnBsACAdICJDJjNjMzMzBkLTJlM2MtNGY0NS1hMDM0LTBmYzU4MWIzZTZhNtgCBeACAQ&amp;sid=1d91ab27864dc9721d26f0ceffa99ed5&amp;dest_id=-1330710;dest_type=city;dist=0;group_adults=2;group_children=0;hapos=2;hpos=2;nflt=sth%3D2;no_rooms=1;req_adults=2;req_children=0;room1=A%2CA;sb_price_type=total;sr_order=popularity;srepoch=1693481034;srpvid=93de5023c5fe0372;type=total;ucfs=1&amp;#hotelTmpl</t>
  </si>
  <si>
    <t>e4b7a47d</t>
  </si>
  <si>
    <t>https://www.booking.com/hotel/re/bungalow-ti-moon.fr.html?aid=356980&amp;label=gog235jc-1FCAMYlAQovwFCCmVudHJlLWRldXhIDVgDaL8BiAEBmAENuAEXyAEM2AEB6AEB-AECiAIBqAIDuAL29sWnBsACAdICJDg3ZWY5ZTY1LWY2YzctNGU4NS04MTI1LTIxZTQyNTk1MmQ5ZNgCBeACAQ&amp;sid=1d91ab27864dc9721d26f0ceffa99ed5&amp;dest_id=-1330710;dest_type=city;dist=0;group_adults=2;group_children=0;hapos=1;hpos=1;nflt=sth%3D2;no_rooms=1;req_adults=2;req_children=0;room1=A%2CA;sb_price_type=total;sr_order=popularity;srepoch=1693547412;srpvid=b39229080dd30133;type=total;ucfs=1&amp;</t>
  </si>
  <si>
    <t>70fb0aaf</t>
  </si>
  <si>
    <t>0723a474</t>
  </si>
  <si>
    <t>https://www.airbnb.fr/rooms/789488813705561127?source_impression_id=p3_1693549999_WgG5KIbq27CIYpjR</t>
  </si>
  <si>
    <t>e82da870</t>
  </si>
  <si>
    <t>https://www.facebook.com/Myris974?locale=fr_FR</t>
  </si>
  <si>
    <t>832e31a1</t>
  </si>
  <si>
    <t>https://www.airbnb.fr/rooms/960653479301290966?adults=4&amp;location=Le%20Tampon%2C%20R%C3%A9union&amp;check_in=2023-12-29&amp;check_out=2023-12-31&amp;source_impression_id=p3_1694068047_51UHJONJdONdNZwD&amp;previous_page_section_name=1001</t>
  </si>
  <si>
    <t>0fd80b8e</t>
  </si>
  <si>
    <t>https://www.leboncoin.fr/locations_gites/2364517405.htm</t>
  </si>
  <si>
    <t>ea284ad0</t>
  </si>
  <si>
    <t>https://www.facebook.com/pages/La-Vieille-Tonnelle/462560374307901</t>
  </si>
  <si>
    <t>df94c54e</t>
  </si>
  <si>
    <t>https://www.facebook.com/profile.php?id=100063909348579</t>
  </si>
  <si>
    <t>3136532d</t>
  </si>
  <si>
    <t>https://www.leboncoin.fr/offre/locations_gites/2281192297</t>
  </si>
  <si>
    <t>64d31a34</t>
  </si>
  <si>
    <t>https://www.booking.com/hotel/re/case-vi-d-o.fr.html</t>
  </si>
  <si>
    <t>c9edf358</t>
  </si>
  <si>
    <t>https://www.facebook.com/villabeausoleil974/</t>
  </si>
  <si>
    <t>1de22494</t>
  </si>
  <si>
    <t>https://www.airbnb.fr/rooms/49202514?source_impression_id=p3_1694513074_qmoCGzmO1wxbdf4v</t>
  </si>
  <si>
    <t>f6785375</t>
  </si>
  <si>
    <t>https://www.leboncoin.fr/offre/locations_gites/1956929401</t>
  </si>
  <si>
    <t>206924a2</t>
  </si>
  <si>
    <t>https://fr.airbnb.com/rooms/976762595086803183?source_impression_id=p3_1694691381_qVm3F99Ge4yQyUOR</t>
  </si>
  <si>
    <t>debe0af0</t>
  </si>
  <si>
    <t>https://www.booking.com/hotel/re/la-case-bouisseau-du-sud-sauvage.fr.html</t>
  </si>
  <si>
    <t>06fd996b</t>
  </si>
  <si>
    <t>https://fr.airbnb.com/rooms/893210742176494182?source_impression_id=p3_1695709616_Bi6%2FszYOx2aqkBuG</t>
  </si>
  <si>
    <t>00e11e38</t>
  </si>
  <si>
    <t>https://www.facebook.com/profile.php?id=100093309836138</t>
  </si>
  <si>
    <t>82dfe949</t>
  </si>
  <si>
    <t>https://www.instagram.com/o422_reunion/</t>
  </si>
  <si>
    <t>fb12d0ce</t>
  </si>
  <si>
    <t>https://www.instagram.com/olangevin.974/?igshid=MWZjMTM2ODFkZg%3D%3D&amp;fbclid=IwAR1CYHKlgLyII294dLRxB3LIYMSFr05sHcayvxETNMJuPu1EjWefwdrk_oc</t>
  </si>
  <si>
    <t>68dd1e4b</t>
  </si>
  <si>
    <t>https://fr.airbnb.com/rooms/678929227578305507?adults=2&amp;children=0&amp;infants=0&amp;check_in=2022-09-19&amp;check_out=2022-09-24&amp;federated_search_id=49fa2205-2d89-4101-944b-c959bab9f649&amp;source_impression_id=p3_1663574739_gys%2FRE7HSl7neIkB</t>
  </si>
  <si>
    <t>bf19f3f2</t>
  </si>
  <si>
    <t>https://www.booking.com/hotel/re/o-langevin-logement-avec-vehicule.fr.html?srpvid=fb8955ea313e0040&amp;sb_price_type=total&amp;soh=1&amp;label=New_French_FR_FR_21427169905-YP8jtirKV%252AkzSzTpDnHYDwS640938627539%253Apl%253Ata%253Ap1%253Ap2%253Aac%253Aap%253Aneg&amp;srepoch=1695643993&amp;dest_id=-1331399&amp;hpos=1&amp;dist=0&amp;ucfs=1&amp;aid=318615&amp;checkout=2023-10-15&amp;req_children=0&amp;group_children=0&amp;sr_order=popularity&amp;dest_type=city&amp;req_adults=2&amp;type=total&amp;room1=A%2CA&amp;hapos=1&amp;checkin=2023-10-09&amp;no_rooms=1&amp;group_adults=2&amp;sid=541fce24b1e9d59195c76b7345f0b334#no_availability_msg</t>
  </si>
  <si>
    <t>10d0d299</t>
  </si>
  <si>
    <t>https://www.facebook.com/profile.php?id=61551362265916</t>
  </si>
  <si>
    <t>deb11663</t>
  </si>
  <si>
    <t>https://www.instagram.com/bellilecroisieresaustrales/</t>
  </si>
  <si>
    <t>93b86bbc</t>
  </si>
  <si>
    <t>https://fr.airbnb.com/rooms/896709198272479087?_set_bev_on_new_domain=1663222967_NDA0ZDMxMjE4MjUw&amp;source_impression_id=p3_1696245919_shfOdC2jiOGfXdX3</t>
  </si>
  <si>
    <t>605400d6</t>
  </si>
  <si>
    <t>https://www.facebook.com/profile.php?id=100082995387749</t>
  </si>
  <si>
    <t>6e7e622f</t>
  </si>
  <si>
    <t>https://www.booking.com/hotel/re/la-villa-tikalikata.fr.html?aid=1630418&amp;ycadu=</t>
  </si>
  <si>
    <t>a9d842c6</t>
  </si>
  <si>
    <t>https://www.booking.com/hotel/re/la-rose-du-sud.fr.html</t>
  </si>
  <si>
    <t>66994066</t>
  </si>
  <si>
    <t>3f20966c</t>
  </si>
  <si>
    <t>https://www.tripadvisor.fr/Hotel_Review-g635742-d3847322-Reviews-La_Rose_du_Sud-Saint_Joseph_Arrondissement_of_Saint_Pierre.html</t>
  </si>
  <si>
    <t>46577137</t>
  </si>
  <si>
    <t>2f366565</t>
  </si>
  <si>
    <t>https://www.facebook.com/profile.php?id=100094506781974</t>
  </si>
  <si>
    <t>4a84f5b0</t>
  </si>
  <si>
    <t>https://www.facebook.com/9zailes4</t>
  </si>
  <si>
    <t>33de8c0f</t>
  </si>
  <si>
    <t>https://www.booking.com/hotel/re/la-rose-du-sud.fr.html?aid=311089&amp;label=la-rose-du-sud-b86Zl2eRPxNdn_RHQpU3BgS161720941905%3Apl%3Ata%3Ap1%3Ap2%3Aac%3Aap%3Aneg%3Afi%3Atikwd-64571483726%3Alp9075843%3Ali%3Adec%3Adm%3Appccp%3DUmFuZG9tSVYkc2RlIyh9Yf23yREhrOV9DIzdQnby_R8&amp;sid=1d91ab27864dc9721d26f0ceffa99ed5&amp;all_sr_blocks=50442803_344212776_4_2_0;checkin=2023-10-11;checkout=2023-10-12;dest_id=-1331399;dest_type=city;dist=0;group_adults=4;group_children=0;hapos=1;highlighted_blocks=50442803_344212776_4_2_0;hpos=1;matching_block_id=50442803_344212776_4_2_0;no_rooms=1;req_adults=4;req_children=0;room1=A%2CA%2CA%2CA;sb_price_type=total;sr_order=popularity;sr_pri_blocks=50442803_344212776_4_2_0__19400;srepoch=1697021920;srpvid=39144d240d71019e;type=total;ucfs=1&amp;#hotelTmpl</t>
  </si>
  <si>
    <t>0b413329</t>
  </si>
  <si>
    <t>https://www.facebook.com/ParentheseInattendueGrandBassin/?locale=fr_FR</t>
  </si>
  <si>
    <t>a6c01869</t>
  </si>
  <si>
    <t>https://www.airbnb.fr/rooms/21974640?source_impression_id=p3_1697103964_O3ufn6bSNTrNp4TB</t>
  </si>
  <si>
    <t>1653a002</t>
  </si>
  <si>
    <t>https://www.instagram.com/chalet.cogite/?hl=fr</t>
  </si>
  <si>
    <t>3077de40</t>
  </si>
  <si>
    <t>https://www.booking.com/hotel/re/la-case-o-39-gecko974.fr.html?aid=311089&amp;label=la-case-o-39-gecko974-GNzAoq_RBOibjJ0ouT*r3gS273951133675%3Apl%3Ata%3Ap1%3Ap2%3Aac%3Aap%3Aneg%3Afi%3Atikwd-484315956454%3Alp9075843%3Ali%3Adec%3Adm%3Appccp%3DUmFuZG9tSVYkc2RlIyh9YVcLb15uXY9dObSb2laNmOc&amp;sid=1d91ab27864dc9721d26f0ceffa99ed5&amp;checkin=2023-10-13&amp;checkout=2023-10-14&amp;dest_id=-1331399&amp;dest_type=city&amp;dist=0&amp;group_adults=4&amp;group_children=0&amp;hapos=1&amp;hpos=1&amp;no_rooms=1&amp;req_adults=4&amp;req_children=0&amp;room1=A%2CA%2CA%2CA&amp;sb_price_type=total&amp;soh=1&amp;sr_order=popularity&amp;srepoch=1697183882&amp;srpvid=19ca38020e170162&amp;type=total&amp;ucfs=1&amp;activeTab=main</t>
  </si>
  <si>
    <t>d99a3faa</t>
  </si>
  <si>
    <t>https://www.facebook.com/ogecko974/?locale=fr_FR</t>
  </si>
  <si>
    <t>9954b123</t>
  </si>
  <si>
    <t>https://www.airbnb.fr/rooms/22987784?source_impression_id=p3_1697433915_6O6nQTDDbM7i7Nv%2B</t>
  </si>
  <si>
    <t>c6fb094d</t>
  </si>
  <si>
    <t>https://www.leboncoin.fr/offre/locations_gites/2276257114</t>
  </si>
  <si>
    <t>9be1fb02</t>
  </si>
  <si>
    <t>https://www.airbnb.fr/rooms/38689081?source_impression_id=p3_1697438785_HRDHikxD%2BpPYdo8P</t>
  </si>
  <si>
    <t>6facee33</t>
  </si>
  <si>
    <t>https://www.booking.com/hotel/re/le-belvedere.fr.html#tab-main</t>
  </si>
  <si>
    <t>36e4da52</t>
  </si>
  <si>
    <t>https://www.facebook.com/profile.php?id=100042485576130</t>
  </si>
  <si>
    <t>e86c28e5</t>
  </si>
  <si>
    <t>https://www.facebook.com/profile.php?id=100057148462137&amp;paipv=0&amp;eav=AfblOrUtI5JNWqvaXqsXtjCI3FclCiJwaA8nRYd3F93AGMtKhqLkNRY-Y_93TnfP3_Q</t>
  </si>
  <si>
    <t>8e6cfb4a</t>
  </si>
  <si>
    <t>https://www.facebook.com/p/LEscala-Vincendo-100063655172729/?paipv=0&amp;eav=AfZzarl6oIx1e-qXBu7-vV2ZQNuslqlBc2jLLG_z0KCFimE-AnZpgWPSgjicdCvXwGo&amp;_rdr</t>
  </si>
  <si>
    <t>d30c4c9e</t>
  </si>
  <si>
    <t>https://www.facebook.com/iletauxpalmistes</t>
  </si>
  <si>
    <t>e2859ed4</t>
  </si>
  <si>
    <t>https://www.facebook.com/marketplace/item/331699286210112/?ref=search&amp;referral_code=null&amp;referral_story_type=post&amp;tracking=browse_serp%3A9721ed7d-b49c-4dd4-80ce-95f61204b824</t>
  </si>
  <si>
    <t>430e85a5</t>
  </si>
  <si>
    <t>https://www.facebook.com/ericlavalleproduitsrarespei</t>
  </si>
  <si>
    <t>6bea4eb4</t>
  </si>
  <si>
    <t>https://www.facebook.com/couleursdusudsauvage</t>
  </si>
  <si>
    <t>d5487fb0</t>
  </si>
  <si>
    <t>https://www.tripadvisor.fr/Hotel_Review-g635742-d25733391-Reviews-Villa_Couleurs_Du_Sud_Sauvage-Saint_Joseph_Arrondissement_of_Saint_Pierre.html</t>
  </si>
  <si>
    <t>a59301f4</t>
  </si>
  <si>
    <t>https://www.booking.com/hotel/re/villa-couleurs-du-sud-sauvage.fr.html</t>
  </si>
  <si>
    <t>44475d90</t>
  </si>
  <si>
    <t>1be4f29a</t>
  </si>
  <si>
    <t>8d18baa3</t>
  </si>
  <si>
    <t>ef029994</t>
  </si>
  <si>
    <t>5a51fcb5</t>
  </si>
  <si>
    <t>20b5441d</t>
  </si>
  <si>
    <t>02d93b93</t>
  </si>
  <si>
    <t>https://www.facebook.com/CocoFanty974</t>
  </si>
  <si>
    <t>2e6500d6</t>
  </si>
  <si>
    <t>https://www.instagram.com/coco_fanty/</t>
  </si>
  <si>
    <t>55a73ba3</t>
  </si>
  <si>
    <t>https://www.facebook.com/profile.php?id=61550421462433</t>
  </si>
  <si>
    <t>28546d8e</t>
  </si>
  <si>
    <t>https://www.airbnb.fr/rooms/767221379574604540?source_impression_id=p3_1698387842_owWgZ32QwYATuLeW</t>
  </si>
  <si>
    <t>fea29a64</t>
  </si>
  <si>
    <t>https://www.facebook.com/profile.php?id=61552219130990</t>
  </si>
  <si>
    <t>bb1d10a8</t>
  </si>
  <si>
    <t>https://www.facebook.com/lulico974</t>
  </si>
  <si>
    <t>4b54843c</t>
  </si>
  <si>
    <t>https://www.airbnb.fr/rooms/984623536656342002?preview_for_ml=true&amp;source_impression_id=p3_1699254571_RQIIBFlKOOQgef1S</t>
  </si>
  <si>
    <t>7913d12d</t>
  </si>
  <si>
    <t>https://www.leboncoin.fr/locations_saisonnieres/2413652343.htm?fbclid=IwAR35lY3rWIeENZaxi6UWbfmSLa4imV2TRhASDb-l5G-zqTXMCEgPVz1qBYA</t>
  </si>
  <si>
    <t>6fd52c24</t>
  </si>
  <si>
    <t>https://www.leboncoin.fr/colocations/2418887174.htm?fbclid=IwAR3vsUx58xZLQc0zrstXorKMl8HkDwrC1rSN3-FLlb2L9_9vIwCX5g-1s-Y</t>
  </si>
  <si>
    <t>77d53668</t>
  </si>
  <si>
    <t>https://www.airbnb.fr/rooms/998988741882075034?source_impression_id=p3_1699619181_nCvANIy%2BeHjS0N7T</t>
  </si>
  <si>
    <t>e03a3ba9</t>
  </si>
  <si>
    <t>https://www.leboncoin.fr/locations_saisonnieres/2424752397.htm</t>
  </si>
  <si>
    <t>880e05ce</t>
  </si>
  <si>
    <t>https://www.facebook.com/profile.php?id=100083376036627</t>
  </si>
  <si>
    <t>29b775b4</t>
  </si>
  <si>
    <t>https://www.instagram.com/lebonheurestdanslatelier?fbclid=IwAR3AOufUYR6mvtk-CSFY14Fv6DJVskHwfpvSeSxCQ6k7G11YWtwLHDNmYDA</t>
  </si>
  <si>
    <t>325ac7fe</t>
  </si>
  <si>
    <t>https://www.facebook.com/soniacadetbda/</t>
  </si>
  <si>
    <t>758330a7</t>
  </si>
  <si>
    <t>https://www.facebook.com/tiloryo/</t>
  </si>
  <si>
    <t>ae299084</t>
  </si>
  <si>
    <t>https://www.instagram.com/lotte.974/</t>
  </si>
  <si>
    <t>a7d6b9e4</t>
  </si>
  <si>
    <t>https://www.facebook.com/lotte.974</t>
  </si>
  <si>
    <t>0307d3dc</t>
  </si>
  <si>
    <t>https://fr.airbnb.com/rooms/1001461351316113422?_set_bev_on_new_domain=1663222967_NDA0ZDMxMjE4MjUw&amp;source_impression_id=p3_1700196276_Nn7Jvv70UavEdkHU</t>
  </si>
  <si>
    <t>4faf308f</t>
  </si>
  <si>
    <t>https://www.airbnb.fr/rooms/40968130?c=.pi0.pk16779809938_133954657366&amp;gad_source=1&amp;gclsrc=ds&amp;source_impression_id=p3_1700206459_2yX8QlZeVR5xMR8w</t>
  </si>
  <si>
    <t>4ce1b026</t>
  </si>
  <si>
    <t>https://www.abritel.fr/location-vacances/p1875961</t>
  </si>
  <si>
    <t>2522a653</t>
  </si>
  <si>
    <t>https://www.facebook.com/profile.php?id=100021536886250</t>
  </si>
  <si>
    <t>0a03f317</t>
  </si>
  <si>
    <t>https://www.airbnb.fr/rooms/34992264?check_in=2024-01-14&amp;check_out=2024-01-19&amp;guests=1&amp;adults=2&amp;viralityEntryPoint=1&amp;s=76&amp;unique_share_id=f0a89b68-9380-40d7-ad0b-48a427abb0bd&amp;source_impression_id=p3_1700464980_bUuhetVRfpXRtYQK</t>
  </si>
  <si>
    <t>be407c1f</t>
  </si>
  <si>
    <t>https://www.booking.com/hotel/re/villa-pitayas-saint-joseph.fr.html</t>
  </si>
  <si>
    <t>ac7c86df</t>
  </si>
  <si>
    <t>https://www.instagram.com/explore/locations/122560691684093/escale-du-point-de-vue---dimitile/</t>
  </si>
  <si>
    <t>c3ff18fe</t>
  </si>
  <si>
    <t>https://www.facebook.com/people/Villa-NickYv/100063692974665/?paipv=0&amp;eav=AfY0yH1Y1Kj-WqVNgbKkVKF5RhTcKnYL-vRMLP4YTum00NjJHVR8hMsMT-yeRbJYeFI&amp;_rdr</t>
  </si>
  <si>
    <t>a4970ca8</t>
  </si>
  <si>
    <t>https://www.facebook.com/p/Le-flamboyant-100078250551348/?paipv=0&amp;eav=AfbtXJ3qdj6QKGL2afHH4erWs4uf57g32GtMrPEQT8ei4mcQRO3ohez8U0icj-kjZ7Q&amp;_rdr</t>
  </si>
  <si>
    <t>b005484e</t>
  </si>
  <si>
    <t>https://www.booking.com/hotel/re/ti-kaz-perchee.fr.html?aid=318615&amp;label=New_French_FR_RE_26394819985-5KMfyMgIYi7RF9Cd6ZNX9wS217246948707%3Apl%3Ata%3Ap1%3Ap2%3Aac%3Aap%3Aneg%3Afi%3Atidsa-194594581705%3Alp9075843%3Ali%3Adec%3Adm&amp;sid=c72aaf6c7b61a00d641006c63567e4ca&amp;dest_id=-1330710;dest_type=city;dist=0;group_adults=2;group_children=0;hapos=1;hpos=1;no_rooms=1;req_adults=2;req_children=0;room1=A%2CA;sb_price_type=total;sr_order=popularity;srepoch=1700723536;srpvid=800b32a516750043;type=total;ucfs=1&amp;#hotelTmpl</t>
  </si>
  <si>
    <t>5d3e0536</t>
  </si>
  <si>
    <t>https://www.airbnb.fr/rooms/19130598?c=.pi0.pk16779809938_133954657366&amp;gad_source=1&amp;gclsrc=ds&amp;source_impression_id=p3_1700723546_nDDMoxFlIrtVNT2o</t>
  </si>
  <si>
    <t>a00f8e71</t>
  </si>
  <si>
    <t>https://www.facebook.com/profile.php?id=100072059516984</t>
  </si>
  <si>
    <t>fd70a145</t>
  </si>
  <si>
    <t>https://www.abritel.fr/location-vacances/p1311056</t>
  </si>
  <si>
    <t>5a99e39a</t>
  </si>
  <si>
    <t>https://www.leboncoin.fr/offre/locations_saisonnieres/2145389630</t>
  </si>
  <si>
    <t>cbc95d3f</t>
  </si>
  <si>
    <t>https://www.facebook.com/pages/Boulangerie-P%C3%A2tisserie-Artisanale-LEntredeusienne/340210312680412</t>
  </si>
  <si>
    <t>a277592f</t>
  </si>
  <si>
    <t>https://www.abritel.fr/location-vacances/p2332145?chkin=2023-12-19&amp;chkout=2023-12-22&amp;d1=2023-12-19&amp;d2=2023-12-22&amp;startDate=2023-12-19&amp;endDate=2023-12-22&amp;x_pwa=1&amp;rfrr=HSR&amp;pwa_ts=1700498787276&amp;referrerUrl=aHR0cHM6Ly93d3cuYWJyaXRlbC5mci9Ib3RlbC1TZWFyY2g%3D&amp;useRewards=true&amp;adults=6&amp;regionId=6331571&amp;destination=Saint-Joseph%2C+Arrondissement+of+Saint-Pierre%2C+La+R%C3%A9union&amp;destType=MARKET&amp;latLong=-21.324617%2C55.646759&amp;privacyTrackingState=CAN_TRACK&amp;searchId=86c69dbd-2b69-40fe-80c6-933122a95aae&amp;sort=RECOMMENDED&amp;top_dp=1061&amp;top_cur=EUR&amp;userIntent=&amp;selectedRoomType=100469063&amp;selectedRatePlan=000336c6e7d0416c410ab81b2b7996b044ba&amp;expediaPropertyId=100469063</t>
  </si>
  <si>
    <t>4f070886</t>
  </si>
  <si>
    <t>https://www.facebook.com/profile.php?id=100093683975442</t>
  </si>
  <si>
    <t>73b0b94a</t>
  </si>
  <si>
    <t>https://www.booking.com/hotel/re/le-cypres-saint-joseph.fr.html?type=total&amp;dist=0&amp;sb_price_type=total&amp;sid=be7e14a11ec290356dbcdf83e24db7a5&amp;aid=356982&amp;keep_landing=1&amp;label=gog235jc-1DCAsovwFCFmxlLWN5cHJlcy1zYWludC1qb3NlcGhIM1gDaL8BiAEBmAENuAEYyAEM2AED6AEBiAIBqAIEuAK1mu6qBsACAdICJGY0YzE2MjNhLTkzMzItNDg1MS1iZmEyLTE3OGZjYzdmMGFhM9gCBOACAQ</t>
  </si>
  <si>
    <t>3a69a935</t>
  </si>
  <si>
    <t>https://fr.airbnb.com/rooms/1027443783159498243?_set_bev_on_new_domain=1663222967_NDA0ZDMxMjE4MjUw&amp;source_impression_id=p3_1701236158_lWBvc6OP9fK4ZdXE</t>
  </si>
  <si>
    <t>671d58db</t>
  </si>
  <si>
    <t>https://www.leboncoin.fr/offre/locations_saisonnieres/2247188928</t>
  </si>
  <si>
    <t>e642b9da</t>
  </si>
  <si>
    <t>https://fr.airbnb.ca/rooms/751256304201735216?source_impression_id=p3_1701252148_IU2lo1%2Fa2N7s7UNv</t>
  </si>
  <si>
    <t>fcd0ff2c</t>
  </si>
  <si>
    <t>https://facebook.com/LeMargaretHolidays</t>
  </si>
  <si>
    <t>aeeeb04e</t>
  </si>
  <si>
    <t>https://www.instagram.com/lemargaretholidays/</t>
  </si>
  <si>
    <t>f78713d0</t>
  </si>
  <si>
    <t>https://www.airbnb.fr/rooms/978707331883610982?guests=1&amp;adults=1&amp;s=67&amp;unique_share_id=a524afb5-7160-49ea-acff-1713594ee894&amp;source_impression_id=p3_1701252154_wmtpfCWVBXvXBTCg</t>
  </si>
  <si>
    <t>b44d5341</t>
  </si>
  <si>
    <t>https://www.booking.com/hotel/re/le-margaret-holidays.fr.html?aid=304142&amp;checkin=2023-12-05&amp;checkout=2023-12-07&amp;dest_id=-1330930&amp;dest_type=city&amp;group_adults=6&amp;group_children=0&amp;label=gen173nr-1FCAsovwFCFGxlLW1hcmdhcmV0LWhvbGlkYXlzSA1YBGi_AYgBAZgBDbgBGMgBDNgBAegBAfgBA4gCAagCBLgC3eXVpAbAAgHSAiQ4OWFlMGMzMi1kZWE0LTRjZWYtODQ0Ny05ZjI3MzZhNzRkMjnYAgXgAgE-Share-oSz8N1E%401701155107&amp;no_rooms=1&amp;req_adults=6&amp;req_children=0</t>
  </si>
  <si>
    <t>4011da5e</t>
  </si>
  <si>
    <t>https://www.airbnb.fr/rooms/985852719094496641?guests=1&amp;adults=1&amp;s=67&amp;unique_share_id=d2b28bbc-5e83-40eb-9866-d3198e013de4&amp;source_impression_id=p3_1701252154_567UzlMh48g5WeYZ</t>
  </si>
  <si>
    <t>9e32f297</t>
  </si>
  <si>
    <t>https://fr.airbnb.ch/rooms/17889101?source_impression_id=p3_1701425631_P4tu%2Ft6erxeiAC%2Bd</t>
  </si>
  <si>
    <t>07e3952e</t>
  </si>
  <si>
    <t>https://www.booking.com/hotel/re/coin-zen-et-reposant.fr.html</t>
  </si>
  <si>
    <t>93a3e046</t>
  </si>
  <si>
    <t>https://www.booking.com/hotel/re/le-109.fr.html</t>
  </si>
  <si>
    <t>08805ae4</t>
  </si>
  <si>
    <t>https://www.booking.com/hotel/re/ti-kazenboi.fr.html?aid=1630418&amp;ycadu=1</t>
  </si>
  <si>
    <t>523e876a</t>
  </si>
  <si>
    <t>https://fr.airbnb.com/rooms/50185919?_set_bev_on_new_domain=1633606169_N2U5MTg1OTAzYTNj&amp;source_impression_id=p3_1701840568_Gy9ifNKzbzTP9vnw</t>
  </si>
  <si>
    <t>b886bb13</t>
  </si>
  <si>
    <t>https://www.facebook.com/tikazenboi</t>
  </si>
  <si>
    <t>535daab5</t>
  </si>
  <si>
    <t>https://www.abritel.fr/location-vacances/p2190447</t>
  </si>
  <si>
    <t>eda602b1</t>
  </si>
  <si>
    <t>https://www.booking.com/hotel/re/villa-ti-kaz-trankil-piscine-chauffee-saint-joseph.fr.html?aid=318615&amp;label=New_French_FR_RE_26394819985-5KMfyMgIYi7RF9Cd6ZNX9wS217246948707%3Apl%3Ata%3Ap1%3Ap2%3Aac%3Aap%3Aneg%3Afi%3Atidsa-194594581705%3Alp9075843%3Ali%3Adec%3Adm&amp;sid=e85228deef812631419f23c060e07663&amp;dest_id=-1331399;dest_type=city;dist=0;group_adults=2;group_children=0;hapos=1;hpos=1;no_rooms=1;req_adults=2;req_children=0;room1=A%2CA;sb_price_type=total;sr_order=popularity;srepoch=1702277495;srpvid=74653037efd501a3;type=total;ucfs=1&amp;#hotelTmpl</t>
  </si>
  <si>
    <t>30f5e9d1</t>
  </si>
  <si>
    <t>https://www.airbnb.fr/rooms/644786414361535661?c=.pi0.pk16779809938_133954657366&amp;gad_source=1&amp;gclsrc=ds&amp;source_impression_id=p3_1702279364_wWAYh1W7nb17pFC6</t>
  </si>
  <si>
    <t>e88b017c</t>
  </si>
  <si>
    <t>https://www.booking.com/hotel/re/gite-des-dodos.fr.html?aid=318615&amp;label=New_French_FR_RE_26394819985-5KMfyMgIYi7RF9Cd6ZNX9wS217246948707%3Apl%3Ata%3Ap1%3Ap2%3Aac%3Aap%3Aneg%3Afi%3Atidsa-194594581705%3Alp9075843%3Ali%3Adec%3Adm&amp;sid=521894f20a3286209fe20386c504686f&amp;dest_id=-1331399&amp;dest_type=city&amp;dist=0&amp;group_adults=2&amp;group_children=0&amp;hapos=1&amp;hpos=1&amp;no_rooms=1&amp;req_adults=2&amp;req_children=0&amp;room1=A%2CA&amp;sb_price_type=total&amp;sr_order=popularity&amp;srepoch=1702289028&amp;srpvid=21e646beae8101d8&amp;type=total&amp;ucfs=1&amp;activeTab=main</t>
  </si>
  <si>
    <t>26a39ec0</t>
  </si>
  <si>
    <t>https://www.facebook.com/p/G%C3%AEte-des-Dodos-G%C3%AEte-le-109-100043160179183/?_rdr</t>
  </si>
  <si>
    <t>3ac7d1a8</t>
  </si>
  <si>
    <t>3f26433b</t>
  </si>
  <si>
    <t>https://www.facebook.com/Sandrine.lebon10071975/</t>
  </si>
  <si>
    <t>bd18a8e2</t>
  </si>
  <si>
    <t>https://www.abritel.fr/location-vacances/p1712042</t>
  </si>
  <si>
    <t>70f259d8</t>
  </si>
  <si>
    <t>https://fr.airbnb.ch/rooms/33667509?source_impression_id=p3_1699964768_PwFNnelbrm3G7%2FAb</t>
  </si>
  <si>
    <t>247dbc40</t>
  </si>
  <si>
    <t>https://www.facebook.com/people/Sud-Sauvage-Locations/100072059516984/</t>
  </si>
  <si>
    <t>5e369a3e</t>
  </si>
  <si>
    <t>f716906e</t>
  </si>
  <si>
    <t>https://www.facebook.com/people/H%C3%B4tel-Les-G%C3%A9raniums/100063859561012/</t>
  </si>
  <si>
    <t>f2b7df55</t>
  </si>
  <si>
    <t>a46b7e3f</t>
  </si>
  <si>
    <t>https://www.airbnb.fr/rooms/45559250?adults=1&amp;children=0&amp;enable_m3_private_room=true&amp;infants=0&amp;location=Le%20Tampon%2C%20R%C3%A9union&amp;pets=0&amp;check_in=2023-12-16&amp;check_out=2023-12-21&amp;source_impression_id=p3_1702632075_%2BRbghX1pEVDf3n8n&amp;previous_page_section_name=1001&amp;federated_search_id=4bad2ca0-d484-4b49-9ac8-0872ba084b1e</t>
  </si>
  <si>
    <t>ff195408</t>
  </si>
  <si>
    <t>https://www.booking.com/hotel/re/anthurium-location-saisonniere.fr.html</t>
  </si>
  <si>
    <t>ec3cdafb</t>
  </si>
  <si>
    <t>https://www.facebook.com/anthuriumpayet974</t>
  </si>
  <si>
    <t>eb3da6f0</t>
  </si>
  <si>
    <t>https://www.facebook.com/profile.php?id=61552194080926</t>
  </si>
  <si>
    <t>1abf908b</t>
  </si>
  <si>
    <t>https://www.airbnb.fr/rooms/848140052110024557?guests=1&amp;adults=1&amp;viralityEntryPoint=1&amp;s=76&amp;unique_share_id=5b414139-c147-48c0-9e12-736cfe826998&amp;source_impression_id=p3_1703218773_a9YrWqxvmYaXCV0M</t>
  </si>
  <si>
    <t>52a98113</t>
  </si>
  <si>
    <t>https://www.facebook.com/profile.php?id=61552685003322</t>
  </si>
  <si>
    <t>4a3afd9e</t>
  </si>
  <si>
    <t>https://fr.airbnb.com/rooms/41607444?source_impression_id=p3_1701281573_ve4U28IC2rhfqdbc</t>
  </si>
  <si>
    <t>351a1241</t>
  </si>
  <si>
    <t>https://www.tripadvisor.fr/Restaurant_Review-g667223-d2026814-Reviews-Le_Ti_Resto_Lontan-Bourg_Murat_Arrondissement_of_Saint_Pierre.html</t>
  </si>
  <si>
    <t>604ee1cf</t>
  </si>
  <si>
    <t>https://www.instagram.com/tirestolontan/?hl=fr</t>
  </si>
  <si>
    <t>22dbabac</t>
  </si>
  <si>
    <t>https://www.facebook.com/profile.php?id=100067089836197</t>
  </si>
  <si>
    <t>a7769d37</t>
  </si>
  <si>
    <t>fef612c3</t>
  </si>
  <si>
    <t>https://www.tripadvisor.fr/Restaurant_Review-g667223-d3727194-Reviews-Le_Panoramic-Bourg_Murat_Arrondissement_of_Saint_Pierre.html</t>
  </si>
  <si>
    <t>de8d8f1c</t>
  </si>
  <si>
    <t>https://www.leboncoin.fr/offre/locations_saisonnieres/2387732682</t>
  </si>
  <si>
    <t>bc80d91a</t>
  </si>
  <si>
    <t>https://www.tripadvisor.fr/Restaurant_Review-g668283-d23761361-Reviews-Le_Plat_Garni-Entre_Deux_Arrondissement_of_Saint_Pierre.html</t>
  </si>
  <si>
    <t>1736fefe</t>
  </si>
  <si>
    <t>https://www.facebook.com/profile.php?id=100075555322722</t>
  </si>
  <si>
    <t>746094d8</t>
  </si>
  <si>
    <t>6a6e3cb4</t>
  </si>
  <si>
    <t>https://www.facebook.com/profile.php?id=61554252646801</t>
  </si>
  <si>
    <t>6e9b0f73</t>
  </si>
  <si>
    <t>https://www.facebook.com/profile.php?id=61555808034117</t>
  </si>
  <si>
    <t>98a7bb4c</t>
  </si>
  <si>
    <t>31bd078e</t>
  </si>
  <si>
    <t>https://www.tripadvisor.fr/Hotel_Review-g635742-d23201355-Reviews-La_Kazanou-Saint_Joseph_Arrondissement_of_Saint_Pierre.html</t>
  </si>
  <si>
    <t>a5e0ff01</t>
  </si>
  <si>
    <t>https://www.instagram.com/lakazanou/</t>
  </si>
  <si>
    <t>ebfc2af6</t>
  </si>
  <si>
    <t>https://www.booking.com/hotel/re/la-kazanou.fr.html?aid=311089&amp;label=la-kazanou-kzHkYjgANlx9HFwk3yG%2AYwS589864284690%3Apl%3Ata%3Ap1%3Ap2%3Aac%3Aap%3Aneg%3Afi%3Atikwd-405854837901%3Alp9075843%3Ali%3Adec%3Adm%3Appccp%3DUmFuZG9tSVYkc2RlIyh9Yf23yREhrOV9DIzdQnby_R8&amp;sid=1d91ab27864dc9721d26f0ceffa99ed5&amp;all_sr_blocks=607550502_275626096_0_41_0%2C607550501_275626096_0_41_0;checkin=2024-01-23;checkout=2024-01-24;dest_id=-1331399;dest_type=city;dist=0;group_adults=4;group_children=0;hapos=1;highlighted_blocks=607550502_275626096_0_41_0%2C607550501_275626096_0_41_0;hpos=1;matching_block_id=607550502_275626096_0_41_0;no_rooms=1;req_adults=4;req_children=0;room1=A%2CA%2CA%2CA;sb_price_type=total;sr_order=popularity;sr_pri_blocks=607550502_275626096_0_41_0__12717%2C607550501_275626096_0_41_0__12717;srepoch=1705989707;srpvid=62ab2a5b259c0143;type=total;ucfs=1&amp;#hotelTmpl</t>
  </si>
  <si>
    <t>d51abfe0</t>
  </si>
  <si>
    <t>https://www.tripadvisor.fr/Restaurant_Review-g675133-d6538819-Reviews-Le_Relais_Commerson-Le_Tampon_Arrondissement_of_Saint_Pierre.html</t>
  </si>
  <si>
    <t>b0b6dc7a</t>
  </si>
  <si>
    <t>https://www.facebook.com/p/Le-Relais-Commerson-100076660143930/</t>
  </si>
  <si>
    <t>f27ff3b5</t>
  </si>
  <si>
    <t>https://fr.airbnb.com/rooms/946008828657151852?_set_bev_on_new_domain=1706167738_NzI1YzMzYjE4YzUy&amp;source_impression_id=p3_1706167739_khhLqN0VFfVoE09s</t>
  </si>
  <si>
    <t>bfb86448</t>
  </si>
  <si>
    <t>https://fr.airbnb.ch/rooms/1052661366157803549?adults=2&amp;children=2&amp;check_in=2024-03-04&amp;check_out=2024-03-07&amp;source_impression_id=p3_1704540693_CBhdfHUdgQIJXdD3&amp;previous_page_section_name=1000&amp;federated_search_id=71a9e2a6-2088-473e-b767-d920d822f51d&amp;enable_auto_translate=false&amp;fbclid=IwAR17bq0ZXFomwji88me4uRBh1B-Kp5io-Y-ADKprey7PgvOmcpyOufOBnIU&amp;_set_bev_on_new_domain=1663658553_NTBkZjY3ZDZlYjFh</t>
  </si>
  <si>
    <t>8a3a0233</t>
  </si>
  <si>
    <t>https://www.booking.com/hotel/re/villa-centre-entre-deux.fr.html</t>
  </si>
  <si>
    <t>5fd01819</t>
  </si>
  <si>
    <t>https://www.facebook.com/villa.entre.deux.centre</t>
  </si>
  <si>
    <t>6d6103da</t>
  </si>
  <si>
    <t>https://www.booking.com/hotel/re/le-malaya.fr.html?aid=318615&amp;label=New_French_FR_RE_26394819985-5KMfyMgIYi7RF9Cd6ZNX9wS217246948707%3Apl%3Ata%3Ap1%3Ap2%3Aac%3Aap%3Aneg%3Afi%3Atidsa-194594581705%3Alp9075843%3Ali%3Adec%3Adm&amp;sid=e6078ed3a476bce35ac5adad09f36c1d&amp;dest_id=-1331399&amp;dest_type=city&amp;dist=0&amp;group_adults=2&amp;group_children=0&amp;hapos=1&amp;hpos=1&amp;no_rooms=1&amp;req_adults=2&amp;req_children=0&amp;room1=A%2CA&amp;sb_price_type=total&amp;sr_order=popularity&amp;srepoch=1708595608&amp;srpvid=6e814588596d0050&amp;type=total&amp;ucfs=1&amp;activeTab=main</t>
  </si>
  <si>
    <t>b2819dd6</t>
  </si>
  <si>
    <t>https://www.booking.com/hotel/re/l-39-estagnon.fr.html</t>
  </si>
  <si>
    <t>5b32e23e</t>
  </si>
  <si>
    <t>https://www.facebook.com/profile.php?id=61556574003544</t>
  </si>
  <si>
    <t>687c2b08</t>
  </si>
  <si>
    <t>https://www.facebook.com/Ofildelo974</t>
  </si>
  <si>
    <t>1c72b93d</t>
  </si>
  <si>
    <t>https://fr.airbnb.com/rooms/776044637365737974?fbclid=IwAR1BK0t0BjHCVgx_zsuukTR2MkgYcg1sQeyucfy3U6xMHvhJuEuB9Pnyz4Y&amp;_set_bev_on_new_domain=1705149534_M2JmYWMyZmRkNmM3</t>
  </si>
  <si>
    <t>c186a302</t>
  </si>
  <si>
    <t>https://www.airbnb.fr/rooms/1046967680184369414?source_impression_id=p3_1708606629_lftQY%2BnpYn9ENZsd</t>
  </si>
  <si>
    <t>841069b7</t>
  </si>
  <si>
    <t>https://www.facebook.com/marketplace/item/1761170564295565/</t>
  </si>
  <si>
    <t>f3d8478d</t>
  </si>
  <si>
    <t>https://www.booking.com/hotel/re/appartement-t2-avec-box-pour-voiture.fr.html?aid=1610680&amp;label=re-3fpFwusaTED28H7kOGyGXQS379685183999%3Apl%3Ata%3Ap1%3Ap2%3Aac%3Aap%3Aneg%3Afi%3Atiaud-146342138470%3Akwd-359339491425%3Alp9075843%3Ali%3Adec%3Adm%3Appccp%3DUmFuZG9tSVYkc2RlIyh9YURcq_26dhSxO_kD28P4Rwg-Share-3aXkW9%401708605846&amp;sid=ba4e4e680180124b9e08f6acfb274803&amp;dest_id=-1331043;dest_type=city;dist=0;group_adults=2;group_children=0;hapos=1;hpos=1;no_rooms=1;req_adults=2;req_children=0;room1=A%2CA;sb_price_type=total;sr_order=popularity;srepoch=1708926537;srpvid=8243285fd5f00148;type=total;ucfs=1&amp;#hotelTmpl</t>
  </si>
  <si>
    <t>847d31ac</t>
  </si>
  <si>
    <t>https://www.leboncoin.fr/offre/locations_saisonnieres/2460943414</t>
  </si>
  <si>
    <t>6d0db897</t>
  </si>
  <si>
    <t>https://www.airbnb.fr/rooms/1047908851036085140?check_in=2024-03-13&amp;check_out=2024-03-19&amp;guests=1&amp;adults=1&amp;s=67&amp;unique_share_id=46291ba5-b7c4-4b75-86f4-5d41bb460128&amp;source_impression_id=p3_1708933046_nX1CEiW2M1tpGFcf</t>
  </si>
  <si>
    <t>2cd47a51</t>
  </si>
  <si>
    <t>https://www.leboncoin.fr/offre/locations_saisonnieres/2460923888</t>
  </si>
  <si>
    <t>2f36c540</t>
  </si>
  <si>
    <t>https://www.facebook.com/marketplace/item/386729380583283/</t>
  </si>
  <si>
    <t>0d80e19b</t>
  </si>
  <si>
    <t>https://www.booking.com/hotel/re/t2-avec-parking-prive.fr.html?aid=1610680&amp;label=re-3fpFwusaTED28H7kOGyGXQS379685183999%3Apl%3Ata%3Ap1%3Ap2%3Aac%3Aap%3Aneg%3Afi%3Atiaud-146342138470%3Akwd-359339491425%3Alp9075843%3Ali%3Adec%3Adm%3Appccp%3DUmFuZG9tSVYkc2RlIyh9YURcq_26dhSxO_kD28P4Rwg-Share-jWmiccn%401708605916&amp;sid=ba4e4e680180124b9e08f6acfb274803&amp;all_sr_blocks=1121678101_384943234_2_0_0;checkin=2024-03-13;checkout=2024-03-19;dest_id=-1331043;dest_type=city;dist=0;group_adults=2;group_children=0;hapos=1;highlighted_blocks=1121678101_384943234_2_0_0;hpos=1;matching_block_id=1121678101_384943234_2_0_0;no_rooms=1;req_adults=2;req_children=0;room1=A%2CA;sb_price_type=total;sr_order=popularity;sr_pri_blocks=1121678101_384943234_2_0_0__32000;srepoch=1708933060;srpvid=49fd359bdaa802ae;type=total;ucfs=1&amp;#hotelTmpl</t>
  </si>
  <si>
    <t>706f55ea</t>
  </si>
  <si>
    <t>https://sp.booking.com/hotel/re/hibiscus-saint-joseph.fr.html?aid=1997859&amp;label=device_id%3Dt5PmDY9fQb9iU-tB96qUZs&amp;sid=49a3cfd903c74b28113b1e95d9e6c057&amp;atlas_src=sr_iw_btn;checkin=2024-02-26;checkout=2024-02-27;dest_id=-1331399;dest_type=city;dist=0;group_adults=2;group_children=0;no_rooms=1;room1=A%2CA;sb_price_type=total;type=total;ucfs=1&amp;</t>
  </si>
  <si>
    <t>cc6cd052</t>
  </si>
  <si>
    <t>https://www.facebook.com/profile.php?id=61556522188436</t>
  </si>
  <si>
    <t>1ae4c89b</t>
  </si>
  <si>
    <t>https://www.airbnb.fr/rooms/1089476824491785174?preview_for_ml=true&amp;source_impression_id=p3_1708939169_exSRm6WFrqy0hdUV</t>
  </si>
  <si>
    <t>06f5d050</t>
  </si>
  <si>
    <t>https://www.booking.com/hotel/re/ti-kaz-bleu-plaine-des-cafres.fr.html</t>
  </si>
  <si>
    <t>d44a8196</t>
  </si>
  <si>
    <t>https://www.facebook.com/profile.php?id=61556698163025</t>
  </si>
  <si>
    <t>cf3edacd</t>
  </si>
  <si>
    <t>https://www.airbnb.fr/rooms/820678380602462880?source_impression_id=p3_1709701480_w9foZQI5uNP%2BQ%2Fk0</t>
  </si>
  <si>
    <t>3f484c09</t>
  </si>
  <si>
    <t>https://www.abritel.fr/location-vacances/p2217025</t>
  </si>
  <si>
    <t>10efc071</t>
  </si>
  <si>
    <t>https://www.facebook.com/profile.php?id=100090075944055</t>
  </si>
  <si>
    <t>b659ccf7</t>
  </si>
  <si>
    <t>https://www.facebook.com/litchee974</t>
  </si>
  <si>
    <t>2207d5b7</t>
  </si>
  <si>
    <t>https://www.tripadvisor.fr/Restaurant_Review-g668283-d3690529-Reviews-L_Arbre_a_Palabres-Entre_Deux_Arrondissement_of_Saint_Pierre.html</t>
  </si>
  <si>
    <t>cf63e15a</t>
  </si>
  <si>
    <t>c8d2a2cc</t>
  </si>
  <si>
    <t>https://fr.airbnb.com/rooms/52623893?_set_bev_on_new_domain=1663222967_NDA0ZDMxMjE4MjUw&amp;source_impression_id=p3_1709797478_N6XkY4P0NrwBAE5t</t>
  </si>
  <si>
    <t>5610a1a0</t>
  </si>
  <si>
    <t>https://capvanisa.re/?fbclid=IwAR27G0CiRFpwMLQg9Ums_zwg8y39yE_qHw3hY5WwVFJ7SdUhVzgjSwmNiuU</t>
  </si>
  <si>
    <t>11c4c01c</t>
  </si>
  <si>
    <t>https://www.leboncoin.fr/offre/locations_saisonnieres/2522618405</t>
  </si>
  <si>
    <t>d34080b3</t>
  </si>
  <si>
    <t>https://www.facebook.com/profile.php?id=61553969941459</t>
  </si>
  <si>
    <t>b9825c73</t>
  </si>
  <si>
    <t>https://www.tiktok.com/@le.muguet.sauvage</t>
  </si>
  <si>
    <t>e0b5bce9</t>
  </si>
  <si>
    <t>ebf1153f</t>
  </si>
  <si>
    <t>https://www.airbnb.fr/rooms/1047469863245681604?guests=1&amp;adults=1&amp;s=67&amp;unique_share_id=d89dd9f2-2380-4aec-a694-40ca116e8109&amp;source_impression_id=p3_1710309000_ntr5wLNJomDoAD0F</t>
  </si>
  <si>
    <t>c2188938</t>
  </si>
  <si>
    <t>https://www.facebook.com/lemalaya.re</t>
  </si>
  <si>
    <t>fbc7442f</t>
  </si>
  <si>
    <t>https://www.tripadvisor.fr/Restaurant_Review-g635742-d7949473-Reviews-Restaurant_Chez_Jim-Saint_Joseph_Arrondissement_of_Saint_Pierre.html</t>
  </si>
  <si>
    <t>36c7bfe0</t>
  </si>
  <si>
    <t>htthttps://www.facebook.com/profile.php?id=100063776820555ps://</t>
  </si>
  <si>
    <t>3567a5b0</t>
  </si>
  <si>
    <t>https://www.tripadvisor.fr/Restaurant_Review-g668283-d8753550-Reviews-Le_Gadjak-Entre_Deux_Arrondissement_of_Saint_Pierre.html</t>
  </si>
  <si>
    <t>82e68afb</t>
  </si>
  <si>
    <t>https://www.booking.com/hotel/re/les-capucines-du-volcan.fr.html?aid=318615&amp;label=New_French_FR_RE_26394819985-5KMfyMgIYi7RF9Cd6ZNX9wS217246948707%3Apl%3Ata%3Ap1%3Ap2%3Aac%3Aap%3Aneg%3Afi%3Atidsa-194594581705%3Alp9075843%3Ali%3Adec%3Adm&amp;sid=1d91ab27864dc9721d26f0ceffa99ed5&amp;dest_id=-1331043;dest_type=city;dist=0;group_adults=2;group_children=0;hapos=1;hpos=1;no_rooms=1;req_adults=2;req_children=0;room1=A%2CA;sb_price_type=total;sr_order=popularity;srepoch=1711359388;srpvid=443b4389af3c0134;type=total;ucfs=1&amp;#hotelTmpl</t>
  </si>
  <si>
    <t>227e36e0</t>
  </si>
  <si>
    <t>https://www.facebook.com/p/Les-Capucines-du-volcan-100086653658729/?paipv=0&amp;eav=AfaRG12qZ59HouPtUIxHDvIRvL2-x9JclU4n2izfhZuab9QIvvrvq0BWGu_yA4V5M_k&amp;_rdr</t>
  </si>
  <si>
    <t>02046bef</t>
  </si>
  <si>
    <t>https://fr.airbnb.be/rooms/588338933960590630?source_impression_id=p3_1710410657_u0L%2Bzj7lyj0qc10S</t>
  </si>
  <si>
    <t>44d7b3d7</t>
  </si>
  <si>
    <t>https://www.leboncoin.fr/offre/locations_saisonnieres/2238312009</t>
  </si>
  <si>
    <t>318c01f4</t>
  </si>
  <si>
    <t>https://www.tripadvisor.fr/Restaurant_Review-g635742-d10751624-Reviews-Resto_le_jubile_des_O-Saint_Joseph_Arrondissement_of_Saint_Pierre.html</t>
  </si>
  <si>
    <t>6feb2333</t>
  </si>
  <si>
    <t>https://www.airbnb.fr/rooms/1104795829042915684?guests=1&amp;adults=1&amp;s=67&amp;unique_share_id=22ff65c3-3d69-4ff3-8a57-f1795c2470f4&amp;source_impression_id=p3_1710484854_fF7GkqFo2bgJ5Nmu</t>
  </si>
  <si>
    <t>0ce57cca</t>
  </si>
  <si>
    <t>https://www.facebook.com/p/Cap-Vanisa-100057106524107/?locale=fr_FR</t>
  </si>
  <si>
    <t>a7b10862</t>
  </si>
  <si>
    <t>https://www.tripadvisor.fr/Restaurant_Review-g675133-d6731801-Reviews-Le_Longboard-Le_Tampon_Arrondissement_of_Saint_Pierre.html</t>
  </si>
  <si>
    <t>af4b8304</t>
  </si>
  <si>
    <t>https://www.facebook.com/MiraCeramikArt</t>
  </si>
  <si>
    <t>8bb89a62</t>
  </si>
  <si>
    <t>https://www.booking.com/hotel/re/les-oliviers-sous-le-cocotier.fr.html</t>
  </si>
  <si>
    <t>ccc003d3</t>
  </si>
  <si>
    <t>https://www.leboncoin.fr/offre/locations_saisonnieres/2454069771</t>
  </si>
  <si>
    <t>c01aa773</t>
  </si>
  <si>
    <t>https://www.facebook.com/MichelD974/?locale=fr_FR</t>
  </si>
  <si>
    <t>8c69e148</t>
  </si>
  <si>
    <t>https://www.tripadvisor.fr/VacationRentalReview-g675133-d12702707-Les_Mimosas_Grand_bassin-Le_Tampon_Arrondissement_of_Saint_Pierre.html</t>
  </si>
  <si>
    <t>84a0dcd6</t>
  </si>
  <si>
    <t>https://www.facebook.com/kevinsery97418/?paipv=0&amp;eav=AfYZ7eA7oFPOxBBcVs4C-X2CvpfADDBX2Yvw1WPE_amZ0KunqrsErMgFEncUOPLz78c&amp;_rdr</t>
  </si>
  <si>
    <t>45d5748f</t>
  </si>
  <si>
    <t>https://www.booking.com/hotel/re/ti-jean.fr.html</t>
  </si>
  <si>
    <t>87d503c4</t>
  </si>
  <si>
    <t>https://www.facebook.com/profile.php?id=61554400452052</t>
  </si>
  <si>
    <t>0b00dcf3</t>
  </si>
  <si>
    <t>https://fr.airbnb.com/rooms/1061461544052636640?_set_bev_on_new_domain=1663222967_NDA0ZDMxMjE4MjUw&amp;source_impression_id=p3_1711445645_lRwm78qOab4N9TjZ</t>
  </si>
  <si>
    <t>38ee9476</t>
  </si>
  <si>
    <t>https://www.instagram.com/lecrin_pei974?fbclid=IwAR3fdYO3EQ4vsVT5OpgVCvbTpThDvhYRn6oSeZ2rQnVsK-hvX8En3wqx_5s_aem_AeFpjFpvGddOZBMtZsrbkIu2mMvU36fBHdJfxFZ01Jmi5ASVjpWluqWWsf3U0JdGaqwWzbyPynHmCrrexeOabu9o</t>
  </si>
  <si>
    <t>62f6d617</t>
  </si>
  <si>
    <t>https://www.tripadvisor.fr/Hotel_Review-g790521-d2170790-Reviews-Les_Grevilleas-La_Plaine_des_Cafres_Arrondissement_of_Saint_Pierre.html</t>
  </si>
  <si>
    <t>ad27cc28</t>
  </si>
  <si>
    <t>https://www.booking.com/hotel/re/les-grevilleas.fr.html?aid=311089&amp;label=les-grevilleas-2MAWi3mBZZDWNQDOK6Z_TAS161719401284%3Apl%3Ata%3Ap1%3Ap2%3Aac%3Aap%3Aneg%3Afi%3Atikwd-123957951926%3Alp9075843%3Ali%3Adec%3Adm%3Appccp%3DUmFuZG9tSVYkc2RlIyh9YWiN3YY6Tdistu3PpCLSviE&amp;sid=1d91ab27864dc9721d26f0ceffa99ed5&amp;dest_id=-1330930;dest_type=city;dist=0;group_adults=2;group_children=0;hapos=1;hpos=1;no_rooms=1;req_adults=2;req_children=0;room1=A%2CA;sb_price_type=total;sr_order=popularity;srepoch=1711449400;srpvid=490e4a9608010317;type=total;ucfs=1&amp;#hotelTmpl</t>
  </si>
  <si>
    <t>32647993</t>
  </si>
  <si>
    <t>https://www.facebook.com/profile.php?id=100063831379409</t>
  </si>
  <si>
    <t>37cc74d8</t>
  </si>
  <si>
    <t>https://www.tripadvisor.fr/Restaurant_Review-g790521-d7020961-Reviews-Restaurant_Auberge_du_Volcan-La_Plaine_des_Cafres_Arrondissement_of_Saint_Pierre.html</t>
  </si>
  <si>
    <t>9178365f</t>
  </si>
  <si>
    <t>https://www.facebook.com/profile.php?id=100074816721572</t>
  </si>
  <si>
    <t>4b558682</t>
  </si>
  <si>
    <t>https://www.instagram.com/Monvoyagefleuri?fbclid=IwAR2Y9ZnPNnNGymXbPhunAs3uOJ01MaQ9eKKOS3F3Ivutsy1os88knt7D5h8_aem_AaiCHOU7s8buIDF-83FG_DzIavSmYcpQJN3cnFijKNHvYXnk87D5hbMd0WkKX637xtZRO_FFREMp9fAXmfrgLCWZ</t>
  </si>
  <si>
    <t>361f87dd</t>
  </si>
  <si>
    <t>https://fr.airbnb.be/rooms/1107218941307905743?adults=1&amp;children=0&amp;enable_m3_private_room=true&amp;infants=0&amp;pets=0&amp;check_in=2024-04-04&amp;check_out=2024-04-09&amp;source_impression_id=p3_1712211470_GT3SShjNmUAEa2Df&amp;previous_page_section_name=1000&amp;federated_search_id=a1c742c6-f098-47ab-995c-1f2ac6c7f55d</t>
  </si>
  <si>
    <t>e639aad8</t>
  </si>
  <si>
    <t>https://www.booking.com/hotel/re/etoile-de-la-plaine.fr.html</t>
  </si>
  <si>
    <t>574d2477</t>
  </si>
  <si>
    <t>https://www.leboncoin.fr/offre/locations_saisonnieres/2593813566</t>
  </si>
  <si>
    <t>88d66cf2</t>
  </si>
  <si>
    <t>https://fr.airbnb.ch/rooms/762823144084483448?guests=1&amp;adults=1&amp;viralityEntryPoint=1&amp;s=76&amp;unique_share_id=0b081f8b-d958-4349-8051-193bd3f10473&amp;source_impression_id=p3_1712224522_VJXzh%2B%2F9zawD%2Becb</t>
  </si>
  <si>
    <t>8a7b8ea7</t>
  </si>
  <si>
    <t>https://www.facebook.com/people/Eau-clair-de-lune-location-saisonni%C3%A8re/100087743473392/</t>
  </si>
  <si>
    <t>ed6dbe3e</t>
  </si>
  <si>
    <t>https://www.booking.com/hotel/re/eau-clair-de-lune.fr.html?aid=898224&amp;app_hotel_id=9250950&amp;checkin=2024-04-23&amp;checkout=2024-04-24&amp;from_sn=ios&amp;group_adults=2&amp;group_children=0&amp;label=hotel_details-asVN9z%401712213892&amp;no_rooms=1&amp;req_adults=2&amp;req_children=0&amp;room1=A%2CA%2C</t>
  </si>
  <si>
    <t>7dc31f70</t>
  </si>
  <si>
    <t>https://fr.airbnb.com/rooms/1046980293869949154?_set_bev_on_new_domain=1663222967_NDA0ZDMxMjE4MjUw&amp;source_impression_id=p3_1712316226_6H0iSFNj98QPMv53</t>
  </si>
  <si>
    <t>7edf6dce</t>
  </si>
  <si>
    <t>https://www.booking.com/hotel/re/peace-amp-lodge-ii.fr.html</t>
  </si>
  <si>
    <t>41034752</t>
  </si>
  <si>
    <t>https://www.facebook.com/profile.php?id=61554887570203</t>
  </si>
  <si>
    <t>4452c11d</t>
  </si>
  <si>
    <t>e4aa545c</t>
  </si>
  <si>
    <t>https://www.booking.com/hotel/re/peace-amp-lodge-i-saint-joseph.fr.html</t>
  </si>
  <si>
    <t>5116037d</t>
  </si>
  <si>
    <t>https://fr.airbnb.com/rooms/1024595640708929269?_set_bev_on_new_domain=1663222967_NDA0ZDMxMjE4MjUw&amp;source_impression_id=p3_1712556740_ln%2FXn5W628wU5VnK</t>
  </si>
  <si>
    <t>7808fd23</t>
  </si>
  <si>
    <t>https://www.booking.com/hotel/re/heritage-ecolodge.fr.html?aid=318615&amp;label=New_French_FR_RE_26394819985-5KMfyMgIYi7RF9Cd6ZNX9wS217246948707%3Apl%3Ata%3Ap1%3Ap2%3Aac%3Aap%3Aneg%3Afi%3Atidsa-194594581705%3Alp9075843%3Ali%3Adec%3Adm&amp;sid=e6078ed3a476bce35ac5adad09f36c1d&amp;dest_id=-1331043;dest_type=city;dist=0;group_adults=2;group_children=0;hapos=1;hpos=1;no_rooms=1;req_adults=2;req_children=0;room1=A%2CA;sb_price_type=total;sr_order=popularity;srepoch=1712572651;srpvid=f2834ab131190331;type=total;ucfs=1&amp;#hotelTmpl</t>
  </si>
  <si>
    <t>681b7b29</t>
  </si>
  <si>
    <t>https://www.facebook.com/heritageecolodge</t>
  </si>
  <si>
    <t>5ccd3aad</t>
  </si>
  <si>
    <t>https://www.facebook.com/profile.php?id=100067059131921</t>
  </si>
  <si>
    <t>5cae89fa</t>
  </si>
  <si>
    <t>https://www.tripadvisor.fr/Restaurant_Review-g635742-d17759827-Reviews-Djoossy_s-Saint_Joseph_Arrondissement_of_Saint_Pierre.html</t>
  </si>
  <si>
    <t>b0fd5190</t>
  </si>
  <si>
    <t>https://www.tripadvisor.fr/Restaurant_Review-g2140646-d4156609-Reviews-Le_Pinpin-Saint_Philippe_Arrondissement_of_Saint_Pierre.html</t>
  </si>
  <si>
    <t>dfa6bcf5</t>
  </si>
  <si>
    <t>https://www.tripadvisor.fr/Hotel_Review-g667223-d13189966-Reviews-Gite_Les_Hortensias-Bourg_Murat_Arrondissement_of_Saint_Pierre.html</t>
  </si>
  <si>
    <t>550c2627</t>
  </si>
  <si>
    <t>https://www.tripadvisor.fr/Restaurant_Review-g2140646-d3346130-Reviews-La_Marmite_du_Pecheur-Saint_Philippe_Arrondissement_of_Saint_Pierre.html</t>
  </si>
  <si>
    <t>b07286c0</t>
  </si>
  <si>
    <t>https://www.tripadvisor.fr/Restaurant_Review-g2140646-d24102949-Reviews-Le_Maccabit-Saint_Philippe_Arrondissement_of_Saint_Pierre.html</t>
  </si>
  <si>
    <t>e6882538</t>
  </si>
  <si>
    <t>https://www.facebook.com/profile.php?id=100094520112735</t>
  </si>
  <si>
    <t>4afbe98b</t>
  </si>
  <si>
    <t>https://www.facebook.com/profile.php?id=61557288482858</t>
  </si>
  <si>
    <t>f0652383</t>
  </si>
  <si>
    <t>4d3cea60</t>
  </si>
  <si>
    <t>https://www.tripadvisor.fr/Restaurant_Review-g2140646-d5770635-Reviews-Ferme_Auberge_le_Rond_de_Basse_Vallee-Saint_Philippe_Arrondissement_of_Saint_Pie.html</t>
  </si>
  <si>
    <t>a14d7ae4</t>
  </si>
  <si>
    <t>https://www.facebook.com/pages/Cap-M%C3%A9chant-Saint-Philippe/1015920018596391?locale=fr_FR</t>
  </si>
  <si>
    <t>9c5fe83e</t>
  </si>
  <si>
    <t>https://www.tripadvisor.fr/Restaurant_Review-g2140646-d3737410-Reviews-Le_Cap_Mechant-Saint_Philippe_Arrondissement_of_Saint_Pierre.html</t>
  </si>
  <si>
    <t>a09a17a7</t>
  </si>
  <si>
    <t>https://www.facebook.com/chambres.caloupile/?locale=fr_FR</t>
  </si>
  <si>
    <t>8cbf4c24</t>
  </si>
  <si>
    <t>https://www.tripadvisor.fr/Hotel_Review-g675133-d14008226-Reviews-Caloupile-Le_Tampon_Arrondissement_of_Saint_Pierre.html</t>
  </si>
  <si>
    <t>75d2afe1</t>
  </si>
  <si>
    <t>fae42f49</t>
  </si>
  <si>
    <t>https://www.tripadvisor.fr/Restaurant_Review-g2140646-d3703068-Reviews-L_Etoile_de_Mer-Saint_Philippe_Arrondissement_of_Saint_Pierre.html</t>
  </si>
  <si>
    <t>f30c25e5</t>
  </si>
  <si>
    <t>https://www.leboncoin.fr/ad/locations_saisonnieres/2594973996</t>
  </si>
  <si>
    <t>a4a37186</t>
  </si>
  <si>
    <t>https://www.airbnb.fr/rooms/1134417493676762154?adults=1&amp;children=0&amp;enable_m3_private_room=true&amp;infants=0&amp;pets=0&amp;check_in=2024-05-01&amp;check_out=2024-05-06&amp;source_impression_id=p3_1714024089_KyzoqOng6tRgo0k9&amp;previous_page_section_name=1000&amp;federated_search_id=8459ce5a-a0db-4276-b7fc-94f203a4e8e6</t>
  </si>
  <si>
    <t>0700b3d6</t>
  </si>
  <si>
    <t>https://www.booking.com/searchresults.fr.html?aid=311089&amp;label=le-four-a-pain-FIlSzq9wH1fzdOuy%2AXxcxAS442462650702%3Apl%3Ata%3Ap1%3Ap2%3Aac%3Aap%3Aneg%3Afi%3Atikwd-343964658136%3Alp9075843%3Ali%3Adec%3Adm%3Appccp%3DUmFuZG9tSVYkc2RlIyh9YVcLb15uXY9dObSb2laNmOc&amp;gclid=CjwKCAjw26KxBhBDEiwAu6KXt5wM2FWpQdwZLLqKgkRXJJK0-BBdXB7uyPiIstlunDq7fj9gMudr8hoCgmcQAvD_BwE&amp;highlighted_hotels=2541398&amp;redirected=1&amp;city=-1331411&amp;hlrd=no_dates&amp;source=hotel&amp;expand_sb=1&amp;keep_landing=1&amp;sid=9a9ff0a0004d301e138227d617fe34a9</t>
  </si>
  <si>
    <t>324eb9db</t>
  </si>
  <si>
    <t>https://www.tripadvisor.fr/Hotel_Review-g2140646-d8768656-Reviews-Le_Four_a_Pain-Saint_Philippe_Arrondissement_of_Saint_Pierre.html</t>
  </si>
  <si>
    <t>cecfb3d6</t>
  </si>
  <si>
    <t>https://www.tripadvisor.fr/Restaurant_Review-g635742-d23425530-Reviews-La_Table_d_Elvina-Saint_Joseph_Arrondissement_of_Saint_Pierre.html</t>
  </si>
  <si>
    <t>13b85e18</t>
  </si>
  <si>
    <t>https://www.tripadvisor.fr/ShowUserReviews-g635742-d25248254-r894208457-La_Case_A_Nona-Saint_Joseph_Arrondissement_of_Saint_Pierre.html</t>
  </si>
  <si>
    <t>c4d4ee4c</t>
  </si>
  <si>
    <t>https://www.facebook.com/vavangart</t>
  </si>
  <si>
    <t>19fc825b</t>
  </si>
  <si>
    <t>de874604</t>
  </si>
  <si>
    <t>https://www.booking.com/hotel/re/jolie-maison-de-la-plaine-des-cafres-pour-10-personnes.fr.html</t>
  </si>
  <si>
    <t>1b5fd57f</t>
  </si>
  <si>
    <t>https://www.facebook.com/profile.php?id=100063577750930</t>
  </si>
  <si>
    <t>1db195df</t>
  </si>
  <si>
    <t>https://www.facebook.com/profile.php?id=100063913485839</t>
  </si>
  <si>
    <t>d2208069</t>
  </si>
  <si>
    <t>https://www.airbnb.fr/rooms/1124678093321071874?source_impression_id=p3_1714629737_dPcHuLkz2AcDaIl0</t>
  </si>
  <si>
    <t>24c59f4c</t>
  </si>
  <si>
    <t>https://www.tripadvisor.fr/Hotel_Review-g675133-d2302060-Reviews-Fleur_de_vanille-Le_Tampon_Arrondissement_of_Saint_Pierre.html</t>
  </si>
  <si>
    <t>0f1e8cb6</t>
  </si>
  <si>
    <t>2f7ec051</t>
  </si>
  <si>
    <t>https://www.facebook.com/profile.php?id=100088880542215&amp;locale=fr_FR</t>
  </si>
  <si>
    <t>b684b977</t>
  </si>
  <si>
    <t>https://www.tripadvisor.fr/Hotel_Review-g790521-d2199663-Reviews-L_Auberge_du_Volcan-La_Plaine_des_Cafres_Arrondissement_of_Saint_Pierre.html</t>
  </si>
  <si>
    <t>4719fd97</t>
  </si>
  <si>
    <t>https://www.tripadvisor.fr/Hotel_Review-g667223-d2587378-Reviews-Gite_de_La_Fournaise-Bourg_Murat_Arrondissement_of_Saint_Pierre.html</t>
  </si>
  <si>
    <t>b3a14dcf</t>
  </si>
  <si>
    <t>https://www.airbnb.fr/rooms/42637483?source_impression_id=p3_1715598402_WGY1UuWxhVXFtzj1</t>
  </si>
  <si>
    <t>5a9a0dad</t>
  </si>
  <si>
    <t>https://www.facebook.com/myhomevolcan974/</t>
  </si>
  <si>
    <t>d60054dc</t>
  </si>
  <si>
    <t>https://www.facebook.com/Lavilladany/</t>
  </si>
  <si>
    <t>f9ebad2a</t>
  </si>
  <si>
    <t>https://www.facebook.com/TiKazTrankil</t>
  </si>
  <si>
    <t>a021b3bc</t>
  </si>
  <si>
    <t>https://www.facebook.com/profile.php?id=100084209261092</t>
  </si>
  <si>
    <t>aff4d66f</t>
  </si>
  <si>
    <t>https://www.facebook.com/LesVillasTropicales?paipv=0&amp;eav=AfbESJMVwHBEqUx7L9GX_wFBmJNod4_g4lpuo4s8VN1Yctwxn8g6d6JEgNsag0SozZA&amp;_rdr</t>
  </si>
  <si>
    <t>8196ed0f</t>
  </si>
  <si>
    <t>ba75862f</t>
  </si>
  <si>
    <t>https://www.facebook.com/leconevolcanique/?locale=fr_FR</t>
  </si>
  <si>
    <t>759f8721</t>
  </si>
  <si>
    <t>https://www.facebook.com/profile.php?id=61557758137636</t>
  </si>
  <si>
    <t>07fda289</t>
  </si>
  <si>
    <t>https://www.booking.com/hotel/re/vanille-amp-goyavier.fr.html</t>
  </si>
  <si>
    <t>1b684f19</t>
  </si>
  <si>
    <t>https://www.tripadvisor.fr/Restaurant_Review-g668283-d15196026-Reviews-Entre_Deux_Delices-Entre_Deux_Arrondissement_of_Saint_Pierre.html</t>
  </si>
  <si>
    <t>7fe14a84</t>
  </si>
  <si>
    <t>https://www.facebook.com/profile.php?id=100063043219181</t>
  </si>
  <si>
    <t>22e09df7</t>
  </si>
  <si>
    <t>https://www.instagram.com/aar_reunion/</t>
  </si>
  <si>
    <t>5fac0603</t>
  </si>
  <si>
    <t>https://www.facebook.com/Margoz974</t>
  </si>
  <si>
    <t>fee8f836</t>
  </si>
  <si>
    <t>https://fr.airbnb.be/rooms/1120180119513019259?source_impression_id=p3_1716892292_VAYEWkoe6owrysuO</t>
  </si>
  <si>
    <t>e87cc4c3</t>
  </si>
  <si>
    <t>https://www.booking.com/hotel/re/chalet-tikaz-sandjo-entre-deux.en-gb.html</t>
  </si>
  <si>
    <t>0555183f</t>
  </si>
  <si>
    <t>https://www.airbnb.fr/rooms/1036876481552456171?source_impression_id=p3_1716959523_FzL8ri93T5UNX6Uf</t>
  </si>
  <si>
    <t>fbfd9693</t>
  </si>
  <si>
    <t>https://www.booking.com/hotel/re/mon-chez-moi.fr.html</t>
  </si>
  <si>
    <t>4f1f794d</t>
  </si>
  <si>
    <t>https://www.leboncoin.fr/ad/locations_saisonnieres/2433112343</t>
  </si>
  <si>
    <t>85502b64</t>
  </si>
  <si>
    <t>https://www.tripadvisor.fr/Restaurant_Review-g668283-d26258062-Reviews-Label_Fourchette-Entre_Deux_Arrondissement_of_Saint_Pierre.html</t>
  </si>
  <si>
    <t>ff03adb5</t>
  </si>
  <si>
    <t>https://www.instagram.com/nana.barket/p/C3rcwcxNaAB/</t>
  </si>
  <si>
    <t>ac8e5388</t>
  </si>
  <si>
    <t>https://www.facebook.com/rodolphe97414/?locale=fr_FR</t>
  </si>
  <si>
    <t>9a452c81</t>
  </si>
  <si>
    <t>https://www.facebook.com/profile.php?id=100090849732589</t>
  </si>
  <si>
    <t>5aa6a0d9</t>
  </si>
  <si>
    <t>https://www.instagram.com/explore/locations/590325343/boulangerie-patisserie-artisanale-lentredeusienne/</t>
  </si>
  <si>
    <t>9c526114</t>
  </si>
  <si>
    <t>https://www.booking.com/hotel/re/la-villa-germaine-entre-mer-et-riviere.fr.html?label=New_French_FR_RE_26394819985-5KMfyMgIYi7RF9Cd6ZNX9wS217246948707%3Apl%3Ata%3Ap1%3Ap2%3Aac%3Aap%3Aneg%3Afi%3Atidsa-194594581705%3Alp9075843%3Ali%3Adec%3Adm&amp;sid=14625ccd85d49e4bbd2758c13d295105&amp;gclid=CjwKCAiAopuvBhBCEiwAm8jaMbl2mWHLLdz33FWhPytJ64zrHl2HIfmPSRLYRIhBlU6Py3uhLXdS6xoCHHUQAvD_BwE&amp;aid=318615&amp;ucfs=1&amp;arphpl=1&amp;checkin=2024-06-06&amp;checkout=2024-06-07&amp;dest_id=-1331399&amp;dest_type=city&amp;group_adults=2&amp;req_adults=2&amp;no_rooms=1&amp;group_children=0&amp;req_children=0&amp;hpos=1&amp;hapos=1&amp;sr_order=popularity&amp;srpvid=c77d4e52aa2e0451&amp;srepoch=1717499317&amp;soh=1&amp;from_sustainable_property_sr=1&amp;from=searchresults#no_availability_msg</t>
  </si>
  <si>
    <t>9aee2556</t>
  </si>
  <si>
    <t>https://www.booking.com/hotel/re/la-kaz-lily.fr.html</t>
  </si>
  <si>
    <t>9f3e36b8</t>
  </si>
  <si>
    <t>https://www.facebook.com/people/La-villa-vetyvers/100068731720377/</t>
  </si>
  <si>
    <t>7a0137ab</t>
  </si>
  <si>
    <t>https://fr.airbnb.com/rooms/835301762196167732?_set_bev_on_new_domain=1717670436_MGMwNTgxMDI1ZmM2&amp;source_impression_id=p3_1717670438_P3grxcXcYdTEjUV1</t>
  </si>
  <si>
    <t>a5935331</t>
  </si>
  <si>
    <t>https://www.instagram.com/vanilleetgoyavier/</t>
  </si>
  <si>
    <t>8c4da6e0</t>
  </si>
  <si>
    <t>https://www.facebook.com/profile.php?id=61556279190822&amp;rdid=hiGou0asnsUiPMSY</t>
  </si>
  <si>
    <t>9d968b3c</t>
  </si>
  <si>
    <t>https://www.instagram.com/janma_gaelleyoga?igsh=OTAwenU4c3ZxYWFt</t>
  </si>
  <si>
    <t>1b8e8a9a</t>
  </si>
  <si>
    <t>https://www.booking.com/hotel/re/meuble-chez-gilbert.fr.html?msockid=35390d1322bb644c3708194723fc65b3</t>
  </si>
  <si>
    <t>ddcd0633</t>
  </si>
  <si>
    <t>https://www.facebook.com/restojim</t>
  </si>
  <si>
    <t>62e68d18</t>
  </si>
  <si>
    <t>https://www.facebook.com/lebluesoleilappart/</t>
  </si>
  <si>
    <t>f3d617d7</t>
  </si>
  <si>
    <t>https://www.airbnb.fr/rooms/51933547?source_impression_id=p3_1718339001_P3Z-bV89lNyphZNB</t>
  </si>
  <si>
    <t>68c32ef5</t>
  </si>
  <si>
    <t>https://fr.airbnb.be/rooms/1087333463099861662?source_impression_id=p3_1718599153_P342RFpqinIu23Ua</t>
  </si>
  <si>
    <t>9c94deb5</t>
  </si>
  <si>
    <t>https://www.booking.com/hotel/re/havre-de-verdure-2-personnes.fr.html</t>
  </si>
  <si>
    <t>afe0fefb</t>
  </si>
  <si>
    <t>https://www.airbnb.fr/rooms/38842889?source_impression_id=p3_1718604226_P3VBxOBofZjl5ehQ</t>
  </si>
  <si>
    <t>5fbdf085</t>
  </si>
  <si>
    <t>https://www.instagram.com/mobilboard_la_reunion/</t>
  </si>
  <si>
    <t>0682a857</t>
  </si>
  <si>
    <t>https://www.facebook.com/MobilboardLaReunion</t>
  </si>
  <si>
    <t>f3b9b6c5</t>
  </si>
  <si>
    <t>63327015</t>
  </si>
  <si>
    <t>https://www.booking.com/hotel/re/quot-entre-mer-et-montagne-quot.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1718779558;srpvid=ca3b2f8dc66404f5;type=total;ucfs=1&amp;</t>
  </si>
  <si>
    <t>906dd2ff</t>
  </si>
  <si>
    <t>f52a8eca</t>
  </si>
  <si>
    <t>ae31cbce</t>
  </si>
  <si>
    <t>https://www.facebook.com/ledimitilehotel</t>
  </si>
  <si>
    <t>96d8eeb0</t>
  </si>
  <si>
    <t>https://www.instagram.com/ledimitilehotelspa/</t>
  </si>
  <si>
    <t>04b4b004</t>
  </si>
  <si>
    <t>https://www.booking.com/hotel/re/dimitile-hotel.fr.html?aid=356980&amp;label=gog235jc-1DCAsovwFCDmRpbWl0aWxlLWhvdGVsSDNYA2i_AYgBAZgBDbgBF8gBDNgBA-gBAfgBBIgCAagCA7gCq4TKswbAAgHSAiQ3NTAxNTM0Ni03MzE3LTQ0Y2UtOTg3ZC03YzI3YWE5MDNkZTnYAgTgAgE&amp;sid=ba4e4e680180124b9e08f6acfb274803&amp;dist=0&amp;keep_landing=1&amp;sb_price_type=total&amp;type=total&amp;</t>
  </si>
  <si>
    <t>d8b206a3</t>
  </si>
  <si>
    <t>https://www.tripadvisor.fr/Hotel_Review-g668283-d667647-Reviews-Le_Dimitile_Hotel_Spa-Entre_Deux_Arrondissement_of_Saint_Pierre.html</t>
  </si>
  <si>
    <t>f0c5c3ff</t>
  </si>
  <si>
    <t>3fc81c86</t>
  </si>
  <si>
    <t>e01a8879</t>
  </si>
  <si>
    <t>https://www.facebook.com/profile.php?id=61559874247160</t>
  </si>
  <si>
    <t>421825f1</t>
  </si>
  <si>
    <t>https://www.booking.com/hotel/re/magnolia.fr.html</t>
  </si>
  <si>
    <t>916e82ca</t>
  </si>
  <si>
    <t>https://www.facebook.com/profile.php?id=100068562438528</t>
  </si>
  <si>
    <t>4011de5b</t>
  </si>
  <si>
    <t>https://www.facebook.com/entre.deux.zi.cann</t>
  </si>
  <si>
    <t>47670c67</t>
  </si>
  <si>
    <t>https://www.leboncoin.fr/ad/locations_saisonnieres/1330385421</t>
  </si>
  <si>
    <t>c9a4494b</t>
  </si>
  <si>
    <t>https://www.facebook.com/reunionboutik/?locale=fr_FR</t>
  </si>
  <si>
    <t>b273eccb</t>
  </si>
  <si>
    <t>https://www.airbnb.fr/rooms/741699295235127690?source_impression_id=p3_1719211855_P3HzgAhX10hw4nCG</t>
  </si>
  <si>
    <t>a57fd114</t>
  </si>
  <si>
    <t>https://lamaisondesremparts.fr/?fbclid=IwZXh0bgNhZW0CMTAAAR2wo1fuFLh1uSOmRozgVWpQIw-E7zC3Kl0Vu_gVbgDOSpUcYxPvHEAkdy8_aem_Nmxvbgp__b2lt1gSE8lYtA</t>
  </si>
  <si>
    <t>37880c64</t>
  </si>
  <si>
    <t>a60c1c6d</t>
  </si>
  <si>
    <t>65745d25</t>
  </si>
  <si>
    <t>d3e654b4</t>
  </si>
  <si>
    <t>https://www.facebook.com/hotelecrin</t>
  </si>
  <si>
    <t>b705c114</t>
  </si>
  <si>
    <t>https://www.booking.com/hotel/re/ha-tel-l-ecrin.fr.html?aid=311089&amp;label=ha-tel-l-ecrin-YS7QLygvYdD%2AHjzGRqWE3wS161720941869%3Apl%3Ata%3Ap1%3Ap2%3Aac%3Aap%3Aneg%3Afi%3Atikwd-569870619112%3Alp9075843%3Ali%3Adec%3Adm%3Appccp%3DUmFuZG9tSVYkc2RlIyh9Yf23yREhrOV9DIzdQnby_R8&amp;sid=ba4e4e680180124b9e08f6acfb274803&amp;dest_id=-1330930;dest_type=city;dist=0;group_adults=2;group_children=0;hapos=1;hpos=1;no_rooms=1;req_adults=2;req_children=0;room1=A%2CA;sb_price_type=total;sr_order=popularity;srepoch=1719825889;srpvid=4fee41914a9102e4;type=total;ucfs=1&amp;#hotelTmpl</t>
  </si>
  <si>
    <t>131973d1</t>
  </si>
  <si>
    <t>https://www.tripadvisor.fr/Hotel_Review-g667223-d666127-Reviews-Hotel_L_Ecrin-Bourg_Murat_Arrondissement_of_Saint_Pierre.html</t>
  </si>
  <si>
    <t>1343743c</t>
  </si>
  <si>
    <t>https://www.booking.com/hotel/re/les-geraniums-la-plaine-des-cafres1.fr.html?aid=311089&amp;label=les-geraniums-la-plaine-des-cafres1-TiDw9%2AEEh1R%2AnuprJFU5eAS506064731882%3Apl%3Ata%3Ap1%3Ap2%3Aac%3Aap%3Aneg%3Afi%3Atikwd-1237786656714%3Alp9075843%3Ali%3Adec%3Adm&amp;sid=a6005a8579cbe0ef9a3e444120cd0aa6&amp;dest_id=-1330930;dest_type=city;dist=0;group_adults=2;group_children=0;hapos=1;hpos=1;no_rooms=1;req_adults=2;req_children=0;room1=A%2CA;sb_price_type=total;sr_order=popularity;srepoch=1719833405;srpvid=e10050d3ba9a0401;type=total;ucfs=1&amp;#hotelTmpl</t>
  </si>
  <si>
    <t>523b6552</t>
  </si>
  <si>
    <t>https://www.booking.com/hotel/re/meuble-touristique-le-ti-son-39-dort.fr.html#tab-main</t>
  </si>
  <si>
    <t>5487ec40</t>
  </si>
  <si>
    <t>https://www.facebook.com/profile.php?id=100013639093308&amp;locale=tl_PH</t>
  </si>
  <si>
    <t>9d40308b</t>
  </si>
  <si>
    <t>https://www.booking.com/hotel/re/les-embruns-du-baril.fr.html?aid=2378099&amp;label=olr-bing%3Af2e7a5e4ca291e0a6064c3675287915a&amp;sid=a6005a8579cbe0ef9a3e444120cd0aa6&amp;all_sr_blocks=396044810_194407416_2_1_0;checkin=2024-07-09;checkout=2024-07-10;dest_id=-1330478;dest_type=city;dist=0;group_adults=2;group_children=0;hapos=1;highlighted_blocks=396044810_194407416_2_1_0;hpos=1;matching_block_id=396044810_194407416_2_1_0;no_rooms=1;req_adults=2;req_children=0;room1=A%2CA;sb_price_type=total;sr_order=popularity;sr_pri_blocks=396044810_194407416_2_1_0__15700;srepoch=1719900466;srpvid=f25c2af2540f0166;type=total;ucfs=1&amp;#hotelTmpl</t>
  </si>
  <si>
    <t>8e6cea0d</t>
  </si>
  <si>
    <t>https://www.booking.com/hotel/re/lodge-de-grand-coude.fr.html?aid=356980&amp;label=gog235jc-1FCAsovwFCFGxvZGdlLWRlLWdyYW5kLWNvdWRlSA1YA2i_AYgBAZgBDbgBF8gBDNgBAegBAfgBAogCAagCA7gCnLmOtAbAAgHSAiQyYmZkODgyNy0yMjkzLTQ4YzQtODA2Ni0xNjVkOTdlOWYwZWHYAgXgAgE&amp;sid=88f348dbdd7c1429de2cd782de1d05a0&amp;checkin=2024-09-04;checkout=2024-09-07;dest_id=-1331399;dest_type=city;dist=0;group_adults=2;group_children=0;hapos=1;hpos=1;no_rooms=1;req_adults=2;req_children=0;room1=A%2CA;sb_price_type=total;soh=1;sr_order=popularity;srepoch=1719901385;srpvid=427d2ccf75b0038b;type=total;ucfs=1&amp;#no_availability_msg</t>
  </si>
  <si>
    <t>55e8e1bc</t>
  </si>
  <si>
    <t>https://www.airbnb.fr/rooms/33214217?source_impression_id=p3_1719918199_P3Enn0zAPbZ4-PjC</t>
  </si>
  <si>
    <t>59f9f2a7</t>
  </si>
  <si>
    <t>https://www.booking.com/hotel/re/case-taapuna.fr.html</t>
  </si>
  <si>
    <t>6bb929db</t>
  </si>
  <si>
    <t>https://www.booking.com/hotel/re/les-irish-du-bois-noir-la-prairie.fr.html</t>
  </si>
  <si>
    <t>d9a68170</t>
  </si>
  <si>
    <t>https://www.facebook.com/profile.php?id=100057433090245</t>
  </si>
  <si>
    <t>26300a8c</t>
  </si>
  <si>
    <t>https://www.tripadvisor.fr/Restaurant_Review-g790521-d7620355-Reviews-Resto_Self_la_Fournaise-La_Plaine_des_Cafres_Arrondissement_of_Saint_Pierre.html</t>
  </si>
  <si>
    <t>03ef007a</t>
  </si>
  <si>
    <t>https://www.facebook.com/profile.php?id=100067198208853</t>
  </si>
  <si>
    <t>42f1db13</t>
  </si>
  <si>
    <t>https://www.facebook.com/profile.php?id=100014781817209</t>
  </si>
  <si>
    <t>2669d199</t>
  </si>
  <si>
    <t>https://www.airbnb.fr/rooms/1185822324787710430?adults=1&amp;category_tag=Tag%3A8678&amp;children=0&amp;enable_m3_private_room=true&amp;infants=0&amp;pets=0&amp;photo_id=1937384521&amp;search_mode=regular_search&amp;check_in=2024-07-21&amp;check_out=2024-07-26&amp;source_impression_id=p3_1721108809_P3M540WM9vbnXiRS&amp;previous_page_section_name=1000&amp;federated_search_id=03133598-3862-4e30-b776-ae867d6a1f79</t>
  </si>
  <si>
    <t>fc3309ec</t>
  </si>
  <si>
    <t>https://www.airbnb.fr/rooms/54137720?source_impression_id=p3_1721110255_P3uKBswNwGdPcgse</t>
  </si>
  <si>
    <t>5f5ea235</t>
  </si>
  <si>
    <t>https://www.airbnb.fr/rooms/740395449879303481?source_impression_id=p3_1721110283_P3rfhitIln7tyca3</t>
  </si>
  <si>
    <t>40544d06</t>
  </si>
  <si>
    <t>https://www.airbnb.fr/rooms/1183927821534640531?source_impression_id=p3_1721194263_P3T7CsfOJXiAq7p5</t>
  </si>
  <si>
    <t>e9002199</t>
  </si>
  <si>
    <t>https://www.leboncoin.fr/ad/locations_saisonnieres/2759275160</t>
  </si>
  <si>
    <t>aff6dc46</t>
  </si>
  <si>
    <t>https://www.instagram.com/prenez_soin_de_vous_by_cg/</t>
  </si>
  <si>
    <t>d33451fd</t>
  </si>
  <si>
    <t>https://www.facebook.com/christelle974.dlgworld.info</t>
  </si>
  <si>
    <t>f4ac2cce</t>
  </si>
  <si>
    <t>https://www.facebook.com/profile.php?id=61562872794015</t>
  </si>
  <si>
    <t>cb023280</t>
  </si>
  <si>
    <t>https://www.abritel.fr/location-vacances/p2432772?dateless=true&amp;x_pwa=1&amp;rfrr=HSR&amp;pwa_ts=1721385736311&amp;referrerUrl=aHR0cHM6Ly93d3cuYWJyaXRlbC5mci9Ib3RlbC1TZWFyY2g%3D&amp;useRewards=true&amp;adults=2&amp;regionId=553248624408265275&amp;destination=Lieu-dit+Trois+Mares%2C+Le+Tampon%2C+Arrondissement+of+Saint-Pierre%2C+La+R%C3%A9union&amp;destType=BOUNDING_BOX&amp;neighborhoodId=553248624408265275&amp;latLong=-21.25368%2C55.49267&amp;privacyTrackingState=CAN_TRACK&amp;searchId=40564517-b409-42b5-b0d2-7a4f4529531b&amp;sort=RECOMMENDED&amp;userIntent=&amp;expediaPropertyId=106405339</t>
  </si>
  <si>
    <t>6fcff886</t>
  </si>
  <si>
    <t>https://www.booking.com/hotel/re/villa-volcan.fr.html</t>
  </si>
  <si>
    <t>0cb78023</t>
  </si>
  <si>
    <t>https://www.facebook.com/villavolcanreunion/?locale=fr_FR</t>
  </si>
  <si>
    <t>32de01c3</t>
  </si>
  <si>
    <t>https://www.instagram.com/cote.volcan/</t>
  </si>
  <si>
    <t>ffbee2c0</t>
  </si>
  <si>
    <t>https://www.facebook.com/choubidouxkreation</t>
  </si>
  <si>
    <t>63cbad29</t>
  </si>
  <si>
    <t>https://www.airbnb.fr/rooms/53780545?guests=1&amp;adults=1&amp;s=67&amp;unique_share_id=c8884321-eba4-4b53-8848-f8c67eb27b0c&amp;source_impression_id=p3_1722410973_P3KimswrLzPPJsk-</t>
  </si>
  <si>
    <t>e8318142</t>
  </si>
  <si>
    <t>https://www.facebook.com/profile.php?id=61559497793818</t>
  </si>
  <si>
    <t>d81168b4</t>
  </si>
  <si>
    <t>https://www.booking.com/hotel/re/ferme-lebon-papillon.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1722941946;srpvid=44714d1964360072;type=total;ucfs=1&amp;</t>
  </si>
  <si>
    <t>51567e8c</t>
  </si>
  <si>
    <t>https://www.tripadvisor.fr/Restaurant_Review-g675133-d17660062-Reviews-Ferme_Lebon_Papillon-Le_Tampon_Arrondissement_of_Saint_Pierre.html</t>
  </si>
  <si>
    <t>216b7201</t>
  </si>
  <si>
    <t>https://www.booking.com/hotel/re/la-roulotte-le-tampon.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1722943415;srpvid=725b50130f8f06f2;type=total;ucfs=1&amp;</t>
  </si>
  <si>
    <t>ef6c44c1</t>
  </si>
  <si>
    <t>ac1f9d8c</t>
  </si>
  <si>
    <t>https://www.instagram.com/les_mains_dadrienne?fbclid=IwY2xjawEhR8JleHRuA2FlbQIxMAABHRGGG_CncEHgv6nW6idQEBOuXvXZLSsBe7XT_DknNCruBDZeOmmXc59llQ_aem_7NnXKs7XH5p6OU1M8eiirA</t>
  </si>
  <si>
    <t>7dc93224</t>
  </si>
  <si>
    <t>https://www.facebook.com/lesmainsdadrienne/</t>
  </si>
  <si>
    <t>42bb4b35</t>
  </si>
  <si>
    <t>https://www.booking.com/hotel/re/chez-ti-karl.fr.html</t>
  </si>
  <si>
    <t>9dccbdb4</t>
  </si>
  <si>
    <t>https://www.booking.com/hotel/re/o-palmiers-511.fr.html?aid=356980&amp;label=gog235jc-1FCAsovwFCDm8tcGFsbWllcnMtNTExSA1YA2i_AYgBAZgBDbgBF8gBDNgBAegBAfgBAogCAagCA7gCw_LxtQbAAgHSAiRkNTM1ODBmMC1kNDIxLTQ0YjQtYjJiZC0wZjJkOTI3M2I3ODPYAgXgAgE&amp;sid=ba4e4e680180124b9e08f6acfb274803&amp;checkin=2024-08-16&amp;checkout=2024-08-18&amp;dest_id=-1331399&amp;dest_type=city&amp;dist=0&amp;group_adults=2&amp;group_children=0&amp;hapos=1&amp;hpos=1&amp;no_rooms=1&amp;req_adults=2&amp;req_children=0&amp;room1=A%2CA&amp;sb_price_type=total&amp;soh=1&amp;sr_order=popularity&amp;srepoch=1723627854&amp;srpvid=bbff42e2248c022c&amp;type=total&amp;ucfs=1&amp;activeTab=main</t>
  </si>
  <si>
    <t>91dbd24b</t>
  </si>
  <si>
    <t>https://www.instagram.com/heritage.ecolodge/</t>
  </si>
  <si>
    <t>447f2bd3</t>
  </si>
  <si>
    <t>https://www.booking.com/hotel/re/le-lodge-bel-air.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1724049113;srpvid=3ca62dc296980179;type=total;ucfs=1&amp;</t>
  </si>
  <si>
    <t>199feed3</t>
  </si>
  <si>
    <t>https://www.airbnb.fr/rooms/1151126560066702087?adults=1&amp;children=0&amp;enable_m3_private_room=true&amp;infants=0&amp;pets=0&amp;search_mode=regular_search&amp;check_in=2024-08-19&amp;check_out=2024-08-24&amp;source_impression_id=p3_1724049392_P38ctB6ITiNyHPs5&amp;previous_page_section_name=1000&amp;federated_search_id=3f7fb842-0b61-41f9-b914-7b6e3ea2d0cd</t>
  </si>
  <si>
    <t>b9060cf2</t>
  </si>
  <si>
    <t>https://www.facebook.com/soignerparlesplanteskakoukdevoile/?locale=fr_FR</t>
  </si>
  <si>
    <t>c0708791</t>
  </si>
  <si>
    <t>https://www.airbnb.fr/users/show/94349458</t>
  </si>
  <si>
    <t>2ba96f45</t>
  </si>
  <si>
    <t>https://www.tripadvisor.fr/VacationRentalReview-g2140646-d4507737-Dan_n_Tan_Lontan_Kaz_Fleurs-Saint_Philippe_Arrondissement_of_Saint_Pierre.html</t>
  </si>
  <si>
    <t>c1840fb8</t>
  </si>
  <si>
    <t>https://www.facebook.com/danntanlontan/?locale=fr_FR</t>
  </si>
  <si>
    <t>01e2d1ec</t>
  </si>
  <si>
    <t>https://www.booking.com/hotel/re/damaniel-ze-detente-jacuzzi.fr.html</t>
  </si>
  <si>
    <t>31ea7669</t>
  </si>
  <si>
    <t>https://www.facebook.com/profile.php?id=61552770452652</t>
  </si>
  <si>
    <t>8321cfe7</t>
  </si>
  <si>
    <t>https://fr.airbnb.com/rooms/1006314759318185428?_set_bev_on_new_domain=1663222967_NDA0ZDMxMjE4MjUw&amp;source_impression_id=p3_1724826165_P3tmo4B6n1W7O7mO</t>
  </si>
  <si>
    <t>dee0166b</t>
  </si>
  <si>
    <t>https://www.facebook.com/profile.php?id=61560853276297</t>
  </si>
  <si>
    <t>cecf7ecb</t>
  </si>
  <si>
    <t>https://www.instagram.com/timelanz974/</t>
  </si>
  <si>
    <t>69de863a</t>
  </si>
  <si>
    <t>https://www.facebook.com/profile.php?id=61558180466674</t>
  </si>
  <si>
    <t>26d9d3a6</t>
  </si>
  <si>
    <t>https://www.airbnb.fr/users/show/313543132</t>
  </si>
  <si>
    <t>bb0de27e</t>
  </si>
  <si>
    <t>https://www.tiktok.com/@omeublesdes2bois</t>
  </si>
  <si>
    <t>b96b12a4</t>
  </si>
  <si>
    <t>https://www.facebook.com/profile.php?id=61564911118250</t>
  </si>
  <si>
    <t>2aa83cd2</t>
  </si>
  <si>
    <t>https://www.facebook.com/profile.php?id=61556646376492</t>
  </si>
  <si>
    <t>bfe982ab</t>
  </si>
  <si>
    <t>https://www.facebook.com/profile.php?id=61563817528210</t>
  </si>
  <si>
    <t>6fd7a759</t>
  </si>
  <si>
    <t>https://www.booking.com/hotel/re/ti-caz-desir.fr.html</t>
  </si>
  <si>
    <t>c482210b</t>
  </si>
  <si>
    <t>https://www.instagram.com/tikazananas/</t>
  </si>
  <si>
    <t>a383c288</t>
  </si>
  <si>
    <t>https://www.instagram.com/la_case_o_gecko/</t>
  </si>
  <si>
    <t>ebe9eb94</t>
  </si>
  <si>
    <t>https://www.booking.com/hotel/re/ti-caz-meme.fr.html</t>
  </si>
  <si>
    <t>44b09292</t>
  </si>
  <si>
    <t>https://fr.airbnb.ca/rooms/1217194335985874383?source_impression_id=p3_1727174489_P3hta5TZvj7zqOGE</t>
  </si>
  <si>
    <t>21905a0e</t>
  </si>
  <si>
    <t>https://www.tiktok.com/@les_caze_dela_mer_casse_</t>
  </si>
  <si>
    <t>7b1c13b2</t>
  </si>
  <si>
    <t>https://www.facebook.com/profile.php?id=61565510801369</t>
  </si>
  <si>
    <t>4e4adb17</t>
  </si>
  <si>
    <t>https://www.booking.com/hotel/re/les-caze-de-la-mer-cassee-avec-piscine.fr.html?aid=356980&amp;label=gog235jc-1DCAsovwFCJmxlcy1jYXplLWRlLWxhLW1lci1jYXNzZWUtYXZlYy1waXNjaW5lSDNYA2i_AYgBAZgBDbgBGMgBDNgBA-gBAfgBBIgCAagCBLgCsq7KtwbAAgHSAiQyODA4MmZhYy0wMDRlLTRiZWUtOWE2My02MTU2ZWMwOWM4NmHYAgTgAgE&amp;sid=ba4e4e680180124b9e08f6acfb274803&amp;dist=0&amp;keep_landing=1&amp;sb_price_type=total&amp;type=total&amp;</t>
  </si>
  <si>
    <t>123cf91a</t>
  </si>
  <si>
    <t>https://www.instagram.com/tikazsandjo/</t>
  </si>
  <si>
    <t>b824437f</t>
  </si>
  <si>
    <t>https://www.facebook.com/profile.php?id=61565443453216</t>
  </si>
  <si>
    <t>cc342020</t>
  </si>
  <si>
    <t>https://www.facebook.com/profile.php?id=100092214512847</t>
  </si>
  <si>
    <t>b5646761</t>
  </si>
  <si>
    <t>https://www.tripadvisor.fr/Hotel_Review-g668283-d17519055-Reviews-La_Villa_Pitaya-Entre_Deux_Arrondissement_of_Saint_Pierre.html</t>
  </si>
  <si>
    <t>40700c2c</t>
  </si>
  <si>
    <t>https://www.facebook.com/profile.php?id=61560738571826</t>
  </si>
  <si>
    <t>54e97d45</t>
  </si>
  <si>
    <t>https://www.booking.com/hotel/re/la-roulotte-geante-le-tampon.fr.html?aid=318615&amp;label=New_French_FR_RE_26394819985-5KMfyMgIYi7RF9Cd6ZNX9wS217246948707%3Apl%3Ata%3Ap1%3Ap2%3Aac%3Aap%3Aneg%3Afi%3Atidsa-194594581705%3Alp9075843%3Ali%3Adec%3Adm&amp;sid=ba4e4e680180124b9e08f6acfb274803&amp;all_sr_blocks=891419501_367501064_2_0_0;checkin=2024-11-04;checkout=2024-11-09;dest_id=-1331043;dest_type=city;dist=0;group_adults=2;group_children=0;hapos=1;highlighted_blocks=891419501_367501064_2_0_0;hpos=1;matching_block_id=891419501_367501064_2_0_0;no_rooms=1;req_adults=2;req_children=0;room1=A%2CA;sb_price_type=total;sr_order=popularity;sr_pri_blocks=891419501_367501064_2_0_0__69700;srepoch=1729245824;srpvid=6dd645ee77ec0161;type=total;ucfs=1&amp;</t>
  </si>
  <si>
    <t>24e750e7</t>
  </si>
  <si>
    <t>https://www.instagram.com/tikrater974/</t>
  </si>
  <si>
    <t>0f6067aa</t>
  </si>
  <si>
    <t>https://www.airbnb.fr/users/show/110593405</t>
  </si>
  <si>
    <t>98a8cd31</t>
  </si>
  <si>
    <t>https://www.facebook.com/profile.php?id=61566624114271</t>
  </si>
  <si>
    <t>bedb9381</t>
  </si>
  <si>
    <t>https://fr.airbnb.com/rooms/1188255576364854191?_set_bev_on_new_domain=1663222967_NDA0ZDMxMjE4MjUw&amp;source_impression_id=p3_1730714956_P3QjXm-49t6nBbGJ</t>
  </si>
  <si>
    <t>1f17fd18</t>
  </si>
  <si>
    <t>https://www.leboncoin.fr/ad/locations_saisonnieres/2829209105</t>
  </si>
  <si>
    <t>80e7aff4</t>
  </si>
  <si>
    <t>https://www.instagram.com/petit_paradis_location/</t>
  </si>
  <si>
    <t>18993231</t>
  </si>
  <si>
    <t>https://www.booking.com/hotel/re/villa-petit-paradis.fr.html?aid=318615&amp;label=New_French_FR_RE_26394819985-5KMfyMgIYi7RF9Cd6ZNX9wS217246948707%3Apl%3Ata%3Ap1%3Ap2%3Aac%3Aap%3Aneg%3Afi%3Atidsa-194594581705%3Alp9075843%3Ali%3Adec%3Adm&amp;sid=ba4e4e680180124b9e08f6acfb274803&amp;checkin=2024-11-04;checkout=2024-11-09;dest_id=-1331399;dest_type=city;dist=0;group_adults=2;group_children=0;hapos=1;hpos=1;no_rooms=1;req_adults=2;req_children=0;room1=A%2CA;sb_price_type=total;soh=1;sr_order=popularity;srepoch=1730719208;srpvid=96f34fa5ba0a0e6e;type=total;ucfs=1&amp;#no_availability_msg</t>
  </si>
  <si>
    <t>7b4fefbc</t>
  </si>
  <si>
    <t>https://www.facebook.com/people/Villa-Petit-Paradis/61553893463144/</t>
  </si>
  <si>
    <t>b473d638</t>
  </si>
  <si>
    <t>https://www.facebook.com/rosalie.olivier.flp/?_rdr</t>
  </si>
  <si>
    <t>6c848886</t>
  </si>
  <si>
    <t>https://www.facebook.com/friends/requests/?profile_id=100048515286686&amp;notif_id=1731666715797453&amp;notif_t=friend&amp;ref=notif</t>
  </si>
  <si>
    <t>34e6a175</t>
  </si>
  <si>
    <t>https://www.facebook.com/profile.php?id=61567687756448</t>
  </si>
  <si>
    <t>59b4cebf</t>
  </si>
  <si>
    <t>https://fr.airbnb.com/rooms/1281285273984446999?source_impression_id=p3_1731905881_P34ULjBsax6Ea2wa</t>
  </si>
  <si>
    <t>abf71a2e</t>
  </si>
  <si>
    <t>https://www.tripadvisor.fr/VacationRentalReview-g675133-d5256388-GITES_LOISIRS_BRAS_LONTAN-Le_Tampon_Arrondissement_of_Saint_Pierre.html</t>
  </si>
  <si>
    <t>678847c0</t>
  </si>
  <si>
    <t>1BCAsovwFCImxhLWJiby1sYS1idWxsZS1ieS1iYXJpbC1vLXRoZW50aWtIM1gDaL8BiAEBmAENuAEXyAEM2AEB6AEBiAIBqAIDuALtxeu5BsACAdICJDMzYjIyZjQzLTE4ODEtNDU4MC05ZTNjLTA2NDNmN2YzYzVmMtgCBeACAQ</t>
  </si>
  <si>
    <t>5f28d458</t>
  </si>
  <si>
    <t>f2d225c7</t>
  </si>
  <si>
    <t>https://www.facebook.com/lempreinte.re/</t>
  </si>
  <si>
    <t>777f01e5</t>
  </si>
  <si>
    <t>https://www.leboncoin.fr/ad/locations_saisonnieres/2673577333</t>
  </si>
  <si>
    <t>fea4260f</t>
  </si>
  <si>
    <t>https://www.facebook.com/profile.php?id=61558899822341</t>
  </si>
  <si>
    <t>3ed7b617</t>
  </si>
  <si>
    <t>https://www.facebook.com/ticaseleshaut/?locale=fr_FR</t>
  </si>
  <si>
    <t>24b0127f</t>
  </si>
  <si>
    <t>https://www.airbnb.fr/rooms/1282591804198314160?guests=1&amp;adults=1&amp;s=13&amp;unique_share_id=6886986a-d7e3-444f-9d09-1f0813611a11&amp;source_impression_id=p3_1732181530_P3jK5vgh7PDyzCGK</t>
  </si>
  <si>
    <t>d904399c</t>
  </si>
  <si>
    <t>https://www.airbnb.fr/rooms/40969477?source_impression_id=p3_1732599735_P3RWfifQ96W6_hGA</t>
  </si>
  <si>
    <t>941f9c37</t>
  </si>
  <si>
    <t>https://www.facebook.com/profile.php?id=100088677273944</t>
  </si>
  <si>
    <t>5ca35f77</t>
  </si>
  <si>
    <t>https://www.abritel.fr/location-vacances/p1877696?chkin=2025-2-4&amp;chkout=2025-2-7&amp;rm1=a2&amp;searchId=31431c29-fc52-4d24-9394-8952d8ee44c2</t>
  </si>
  <si>
    <t>4d707c29</t>
  </si>
  <si>
    <t>https://www.airbnb.fr/rooms/835420580275009276?source_impression_id=p3_1732605975_P3QdbuRyPSpMVtbc</t>
  </si>
  <si>
    <t>abf339dc</t>
  </si>
  <si>
    <t>https://www.tripadvisor.com/Hotel_Review-g790521-d1910333-Reviews-Le_Millepertuis-La_Plaine_des_Cafres_Arrondissement_of_Saint_Pierre.html</t>
  </si>
  <si>
    <t>a5fc0153</t>
  </si>
  <si>
    <t>https://www.facebook.com/people/Coeur-de-caf%C3%A9/100035478081570/?sk=photos&amp;locale=fr_FR</t>
  </si>
  <si>
    <t>ff06cbf4</t>
  </si>
  <si>
    <t>https://www.airbnb.fr/rooms/1291700740845563053?guests=1&amp;adults=1&amp;s=67&amp;unique_share_id=4bba42e8-eb7d-4b06-a3e1-37a51c1f0770</t>
  </si>
  <si>
    <t>96690d5f</t>
  </si>
  <si>
    <t>https://www.facebook.com/ti.kaz.misouk</t>
  </si>
  <si>
    <t>c47d7e86</t>
  </si>
  <si>
    <t>https://www.facebook.com/profile.php?id=100072520896038</t>
  </si>
  <si>
    <t>9eda991e</t>
  </si>
  <si>
    <t>https://www.instagram.com/maisonducurcuma/</t>
  </si>
  <si>
    <t>0e7182e7</t>
  </si>
  <si>
    <t>https://www.facebook.com/cuisinepei974/?locale=fr_FR</t>
  </si>
  <si>
    <t>6f5bfc71</t>
  </si>
  <si>
    <t>https://www.facebook.com/profile.php?id=100084892642923</t>
  </si>
  <si>
    <t>b137bb88</t>
  </si>
  <si>
    <t>https://www.instagram.com/synergiesdamandine/</t>
  </si>
  <si>
    <t>5f8077b6</t>
  </si>
  <si>
    <t>https://www.facebook.com/profile.php?id=61552557241060</t>
  </si>
  <si>
    <t>9b50fd36</t>
  </si>
  <si>
    <t>https://www.tiktok.com/@auditmaximone?fbclid=IwZXh0bgNhZW0CMTAAAR0pJpWVSXjsQYyub6I2dW2ZigNkcHrylSM4ujsQ_LLY1DjHCkrRXcg5VRU_aem_oFlVEgELYrRJD1tmhvSE_g</t>
  </si>
  <si>
    <t>8263e8a7</t>
  </si>
  <si>
    <t>https://www.tiktok.com/@tinat_pepiniere_reunion</t>
  </si>
  <si>
    <t>70765bf7</t>
  </si>
  <si>
    <t>https://www.facebook.com/TiNAT.Bio</t>
  </si>
  <si>
    <t>1f8fd967</t>
  </si>
  <si>
    <t>https://www.instagram.com/tinat_pepiniere_endemique_974</t>
  </si>
  <si>
    <t>942a0982</t>
  </si>
  <si>
    <t>https://fr.airbnb.be/rooms/1273828125308409393?source_impression_id=p3_1735877403_P3iQgBHCzBWIkYrn</t>
  </si>
  <si>
    <t>235aadb9</t>
  </si>
  <si>
    <t>https://www.facebook.com/people/Villa-Tropicale-D%C3%A9tente-Spa/61567039001925/?_rdr</t>
  </si>
  <si>
    <t>a00ee0f9</t>
  </si>
  <si>
    <t>https://www.booking.com/hotel/re/chez-margot.fr.html?aid=356980&amp;label=gog235jc-1FCAsovwFCC2NoZXotbWFyZ290SA1YA2i_AYgBAZgBDbgBGMgBDNgBAegBAfgBAogCAagCBLgC9cb-uwbAAgHSAiRkY2Y5ZTE3My1lNWRhLTQyYzktYTMxMS1mZWU3MDI0MGI1ZTXYAgXgAgE&amp;sid=ba4e4e680180124b9e08f6acfb274803&amp;checkin=2025-01-09&amp;checkout=2025-01-10&amp;dest_id=-1331043&amp;dest_type=city&amp;dist=0&amp;group_adults=2&amp;group_children=0&amp;hapos=1&amp;hpos=1&amp;no_rooms=1&amp;req_adults=2&amp;req_children=0&amp;room1=A%2CA&amp;sb_price_type=total&amp;soh=1&amp;sr_order=popularity&amp;srepoch=1736418172&amp;srpvid=a07148fba0d001d5&amp;type=total&amp;ucfs=1&amp;#no_availability_msg</t>
  </si>
  <si>
    <t>c6c302ec</t>
  </si>
  <si>
    <t>https://www.airbnb.fr/rooms/1255573989364106266?source_impression_id=p3_1736743405_P3m_OrWFd9APchZD</t>
  </si>
  <si>
    <t>448ad2b1</t>
  </si>
  <si>
    <t>https://www.booking.com/hotel/re/la-terrasse-vanillee.fr.html?aid=356980&amp;label=gog235jc-1FCAsovwFCFGxhLXRlcnJhc3NlLXZhbmlsbGVlSA1YA2i_AYgBAZgBDbgBF8gBDNgBAegBAfgBAogCAagCA7gC5LOSvAbAAgHSAiRiOTU2NWQ1Yi0yMTgyLTQ5NDMtOWFlYy01NGRmYzgwNWQ5YjDYAgXgAgE&amp;sid=f2db896984a0049b10289cc46ffd39ce&amp;checkin=2025-01-13&amp;checkout=2025-01-14&amp;dest_id=-1331451&amp;dest_type=city&amp;dist=0&amp;group_adults=2&amp;group_children=0&amp;hapos=1&amp;hpos=1&amp;no_rooms=1&amp;req_adults=2&amp;req_children=0&amp;room1=A%2CA&amp;sb_price_type=total&amp;soh=1&amp;sr_order=popularity&amp;srepoch=1736743585&amp;srpvid=6f0a2132c93102bf&amp;type=total&amp;ucfs=1&amp;#no_availability_msg</t>
  </si>
  <si>
    <t>d90fd8c6</t>
  </si>
  <si>
    <t>https://www.facebook.com/profile.php?id=61567159958544</t>
  </si>
  <si>
    <t>b2ed083a</t>
  </si>
  <si>
    <t>https://www.airbnb.fr/rooms/1047898351693255805?viralityEntryPoint=1&amp;s=76&amp;source_impression_id=p3_1736761203_P3Pq8SUnApQ9PXDY</t>
  </si>
  <si>
    <t>a05cd51e</t>
  </si>
  <si>
    <t>https://www.booking.com/hotel/re/villa-kote-shandel.fr.html?aid=356980&amp;label=gog235jc-1FCAsovwFCEnZpbGxhLWtvdGUtc2hhbmRlbEgzWANovwGIAQGYAQ24ARfIAQzYAQHoAQH4AQyIAgGoAgO4AvifnbwGwAIB0gIkMzdmNjE0N2ItNGVjYS00M2Y4LThkMWUtNDQ3ZmVmZDMxOGE12AIG4AIB&amp;sid=f2db896984a0049b10289cc46ffd39ce&amp;all_sr_blocks=1313909801_404168332_2_0_0&amp;checkin=2025-01-27&amp;checkout=2025-02-02&amp;dest_id=13139098&amp;dest_type=hotel&amp;dist=0&amp;group_adults=2&amp;group_children=0&amp;hapos=1&amp;highlighted_blocks=1313909801_404168332_2_0_0&amp;hpos=1&amp;matching_block_id=1313909801_404168332_2_0_0&amp;no_rooms=1&amp;req_adults=2&amp;req_children=0&amp;room1=A%2CA&amp;sb_price_type=total&amp;sr_order=popularity&amp;sr_pri_blocks=1313909801_404168332_2_0_0__123200&amp;srepoch=1736921185&amp;srpvid=c47b2aee93e90066&amp;type=total&amp;ucfs=1&amp;</t>
  </si>
  <si>
    <t>7905514f</t>
  </si>
  <si>
    <t>https://www.booking.com/hotel/re/bras-lontan.fr.html?aid=356980&amp;label=gog235jc-1FCAsovwFCC2JyYXMtbG9udGFuSA1YA2i_AYgBAZgBDbgBF8gBDNgBAegBAfgBAogCAagCA7gC74mevAbAAgHSAiQ5OGQ4ZDUwMi05NmJhLTQxZTEtOTMyNy00NGI1NjU5ZmQ3YTTYAgXgAgE&amp;sid=f2db896984a0049b10289cc46ffd39ce&amp;all_sr_blocks=1316311101_404383479_3_0_0&amp;checkin=2025-02-13&amp;checkout=2025-02-16&amp;dest_id=-1331043&amp;dest_type=city&amp;dist=0&amp;group_adults=2&amp;group_children=0&amp;hapos=1&amp;highlighted_blocks=1316311101_404383479_3_0_0&amp;hpos=1&amp;matching_block_id=1316311101_404383479_3_0_0&amp;no_rooms=1&amp;req_adults=2&amp;req_children=0&amp;room1=A%2CA&amp;sb_price_type=total&amp;sr_order=popularity&amp;sr_pri_blocks=1316311101_404383479_3_0_0__29925&amp;srepoch=1736934645&amp;srpvid=14f84538140611f6&amp;type=total&amp;ucfs=1&amp;</t>
  </si>
  <si>
    <t>e3bcc2d9</t>
  </si>
  <si>
    <t>https://www.facebook.com/profile.php?id=61571789441194</t>
  </si>
  <si>
    <t>fe9eba01</t>
  </si>
  <si>
    <t>https://www.facebook.com/profile.php?id=61564916455641</t>
  </si>
  <si>
    <t>a01701ca</t>
  </si>
  <si>
    <t>https://www.leboncoin.fr/ad/locations_saisonnieres/2826851341</t>
  </si>
  <si>
    <t>2adf904f</t>
  </si>
  <si>
    <t>https://airbnb.fr/rooms/1321499694443415336</t>
  </si>
  <si>
    <t>ef319c6a</t>
  </si>
  <si>
    <t>https://booking.com/Share-QPcPJf</t>
  </si>
  <si>
    <t>d7ddc6d6</t>
  </si>
  <si>
    <t>https://www.facebook.com/share/14w18urL5w/?mibextid=wwXIfr</t>
  </si>
  <si>
    <t>76b7ccb9</t>
  </si>
  <si>
    <t>https://www.instagram.com/coeur_de_ville_airbnb?igsh=MXNqNTFyb3hsdXk3Yg%3D%3D&amp;utm_source=qr</t>
  </si>
  <si>
    <t>acdefde8</t>
  </si>
  <si>
    <t>https://www.facebook.com/isdrawing97430</t>
  </si>
  <si>
    <t>6184fbf6</t>
  </si>
  <si>
    <t>https://www.booking.com/hotel/re/appartement-a-vincendo-lumineux-avec-netflix.fr.html</t>
  </si>
  <si>
    <t>587ce130</t>
  </si>
  <si>
    <t>https://www.facebook.com/people/Sophrologie-et-sylvioth%C3%A9rapie-Change-%C3%A9corce/61571887383899/?mibextid=wwXIfr&amp;rdid=bkKZWGcdf3SdpGir&amp;share_url=https%3A%2F%2Fwww.facebook.com%2Fshare%2F1FDJ1zAy3Z%2F%3Fmibextid%3DwwXIfr</t>
  </si>
  <si>
    <t>fbd9a75a</t>
  </si>
  <si>
    <t>https://www.facebook.com/profile.php?id=61555475886550</t>
  </si>
  <si>
    <t>cbe3dd73</t>
  </si>
  <si>
    <t>https://www.leboncoin.fr/ad/locations_saisonnieres/2838010872</t>
  </si>
  <si>
    <t>d42c2686</t>
  </si>
  <si>
    <t>https://www.booking.com/hotel/re/villa-arbre-du-voyageur.fr.html?aid=357028&amp;label=bin859jc-1FCAsovwFCF3ZpbGxhLWFyYnJlLWR1LXZveWFnZXVySDNYA2i_AYgBAZgBDbgBF8gBDNgBAegBAfgBA4gCAagCA7gC7sTCvAbAAgHSAiRmMzBkOTlhMS1iM2ExLTRiMmMtYWYxNy1jZmMzNGZhNDE3ZWTYAgXgAgE&amp;sid=65a9e8e7d74c6bbf9259d16ca71bddc3&amp;dest_id=-1330710&amp;dest_type=city&amp;dist=0&amp;group_adults=2&amp;group_children=0&amp;hapos=1&amp;hpos=1&amp;no_rooms=1&amp;req_adults=2&amp;req_children=0&amp;room1=A%2CA&amp;sb_price_type=total&amp;sr_order=popularity&amp;srepoch=1737542813&amp;srpvid=8c9d36b8421500b1&amp;type=total&amp;ucfs=1&amp;</t>
  </si>
  <si>
    <t>38bb2aa2</t>
  </si>
  <si>
    <t>https://www.instagram.com/change.ecorce?fbclid=IwY2xjawH9qV5leHRuA2FlbQIxMAABHdVuqu-FOTWrTu4uOSaX86eU3DNnv26bQev5qVz3rWhSR5aHpzQYy3H-lA_aem_xSF0LWF2bWFWD24gVNMqjQ</t>
  </si>
  <si>
    <t>ed8fb8f7</t>
  </si>
  <si>
    <t>https://www.facebook.com/profile.php?id=100090533899164</t>
  </si>
  <si>
    <t>1a72b3f2</t>
  </si>
  <si>
    <t>https://www.facebook.com/jacky.rifosta</t>
  </si>
  <si>
    <t>96300f6d</t>
  </si>
  <si>
    <t>https://www.facebook.com/profile.php?id=61570137843175</t>
  </si>
  <si>
    <t>94dac373</t>
  </si>
  <si>
    <t>https://www.instagram.com/isdrawing97430?fbclid=IwY2xjawH-vHtleHRuA2FlbQIxMAABHXkU51uHmbGEdOq7BIATqaAYV-2nZc2BWDMmijS9bxOkXbluxA9fXCSYIQ_aem_vF6NXEM29q_l2iru8zVVHg</t>
  </si>
  <si>
    <t>96fa32e5</t>
  </si>
  <si>
    <t xml:space="preserve"> https://www.instagram.com/domaine_kmzero/</t>
  </si>
  <si>
    <t>cabd7dcc</t>
  </si>
  <si>
    <t xml:space="preserve"> https://www.facebook.com/domaine.kmzero</t>
  </si>
  <si>
    <t>9be6113a</t>
  </si>
  <si>
    <t>https://www.facebook.com/profile.php?id=100095228364390</t>
  </si>
  <si>
    <t>318fa43f</t>
  </si>
  <si>
    <t>https://www.instagram.com/altimerens_centreequestre/?fbclid=IwZXh0bgNhZW0CMTEAAR25bXijufrWJwfwUH_fOP4d3D_Q5v5GpV0-84CxoeyBqwaB4d0rs702sdA_aem_j4TKcLZR78BFCV97mTBI8A</t>
  </si>
  <si>
    <t>b7dbb354</t>
  </si>
  <si>
    <t>https://www.facebook.com/Igesa/</t>
  </si>
  <si>
    <t>d3afb06c</t>
  </si>
  <si>
    <t>https://www.facebook.com/p/Gkomo-residence-61553202575209/</t>
  </si>
  <si>
    <t>dc42fa50</t>
  </si>
  <si>
    <t>https://www.airbnb.fr/rooms/1029972631234866769?source_impression_id=p3_1737983544_P3UJtWQWsH8RkBhX</t>
  </si>
  <si>
    <t>46e200eb</t>
  </si>
  <si>
    <t>https://www.airbnb.fr/rooms/1031403970855590861?source_impression_id=p3_1737983394_P3qAvaCtuc-JorWD</t>
  </si>
  <si>
    <t>70c8a514</t>
  </si>
  <si>
    <t>https://www.booking.com/hotel/re/bungalow-java.fr.html?aid=356980&amp;label=gog235jc-1FCAsovwFCDWJ1bmdhbG93LWphdmFIDVgDaL8BiAEBmAENuAEXyAEM2AEB6AEB-AECiAIBqAIDuAKmo9y8BsACAdICJGU3OTc5ZWU4LTNiNzUtNGU0Ny05MmNiLTQ2ZTViMzMxNGEyYdgCBeACAQ&amp;sid=f2db896984a0049b10289cc46ffd39ce&amp;age=0&amp;checkin=2025-01-27&amp;checkout=2025-01-28&amp;dest_id=-1331399&amp;dest_type=city&amp;dist=0&amp;group_adults=2&amp;group_children=0&amp;hapos=1&amp;hpos=1&amp;no_rooms=1&amp;req_adults=2&amp;req_children=0&amp;room1=A%2CA&amp;sb_price_type=total&amp;soh=1&amp;sr_order=popularity&amp;srepoch=1737953705&amp;srpvid=1702229407bc0018&amp;type=total&amp;ucfs=1&amp;#map_closed</t>
  </si>
  <si>
    <t>e426b453</t>
  </si>
  <si>
    <t>7da10696</t>
  </si>
  <si>
    <t>https://www.airbnb.fr/rooms/1029646558583456674?source_impression_id=p3_1737984914_P3B3Wi0A0rqatZhc</t>
  </si>
  <si>
    <t>e77b0073</t>
  </si>
  <si>
    <t>https://www.booking.com/hotel/re/ti-caz-marley.fr.html?aid=357028&amp;label=bin859jc-1FCAsovwFCDXRpLWNhei1tYXJsZXlIDVgDaL8BiAEBmAENuAEXyAEM2AEB6AEB-AEDiAIBqAIDuAKPx928BsACAdICJDhjZmQyMDM5LTZlYTQtNGZlOS1hOWRlLWI2YWQ4MjA1ZTA1NdgCBeACAQ&amp;sid=65a9e8e7d74c6bbf9259d16ca71bddc3&amp;age=0&amp;checkin=2025-03-11&amp;checkout=2025-03-12&amp;dest_id=-1331399&amp;dest_type=city&amp;dist=0&amp;group_adults=2&amp;group_children=1&amp;hapos=1&amp;hpos=1&amp;no_rooms=1&amp;req_adults=2&amp;req_age=0&amp;req_children=1&amp;room1=A%2CA%2C0&amp;sb_price_type=total&amp;soh=1&amp;sr_order=popularity&amp;srepoch=1737974673&amp;srpvid=9a3a4b88630c03bf&amp;type=total&amp;ucfs=1&amp;#no_availability_msg</t>
  </si>
  <si>
    <t>fe44ad46</t>
  </si>
  <si>
    <t>https://www.instagram.com/gkomo_residence?fbclid=IwY2xjawIENIhleHRuA2FlbQIxMAABHRkeHG4MCWbU068Eg3wdGMbdtJfFS9CUUezD_qaq01I09vIHVd_hGwrXxA_aem_LTkDu0iavzrYDWINqQ17Jg</t>
  </si>
  <si>
    <t>731ec88f</t>
  </si>
  <si>
    <t>https://www.booking.com/hotel/re/bungalow-jazz-saint-joseph.fr.html?aid=357028&amp;label=bin859jc-1FCAsovwFCGmJ1bmdhbG93LWphenotc2FpbnQtam9zZXBoSA1YA2i_AYgBAZgBDbgBF8gBDNgBAegBAfgBA4gCAagCA7gCot_dvAbAAgHSAiRhNzdjZmI4MS0wNWNiLTQ3MDctOTM1MC1mODBiMDFjZDZmYjPYAgXgAgE&amp;sid=65a9e8e7d74c6bbf9259d16ca71bddc3&amp;age=1&amp;checkin=2025-03-11&amp;checkout=2025-03-12&amp;dest_id=-1331399&amp;dest_type=city&amp;dist=0&amp;group_adults=2&amp;group_children=1&amp;hapos=1&amp;hpos=1&amp;no_rooms=1&amp;req_adults=2&amp;req_age=1&amp;req_children=1&amp;room1=A%2CA%2C1&amp;sb_price_type=total&amp;soh=1&amp;sr_order=popularity&amp;srepoch=1737988550&amp;srpvid=8e0a5192cd810267&amp;type=total&amp;ucfs=1&amp;#no_availability_msg</t>
  </si>
  <si>
    <t>de009cf5</t>
  </si>
  <si>
    <t>https://www.airbnb.fr/rooms/49881151?source_impression_id=p3_1738046708_P3g2uE8h5Gfn8lq_</t>
  </si>
  <si>
    <t>885c9cbd</t>
  </si>
  <si>
    <t>https://www.tiktok.com/@fe.gadiamb</t>
  </si>
  <si>
    <t>d1a1a23f</t>
  </si>
  <si>
    <t xml:space="preserve">https://www.instagram.com/feegadiamb/ </t>
  </si>
  <si>
    <t>029dd729</t>
  </si>
  <si>
    <t>e9a404d8</t>
  </si>
  <si>
    <t>https://www.leboncoin.fr/ad/locations_saisonnieres/2908424117</t>
  </si>
  <si>
    <t>5c23da9c</t>
  </si>
  <si>
    <t>https://www.booking.com/hotel/re/douceur-du-sud.fr.html</t>
  </si>
  <si>
    <t>77abc8a0</t>
  </si>
  <si>
    <t>https://www.airbnb.fr/rooms/1289727765171316977?source_impression_id=p3_1738567568_P3Zu4Bcjjl_-B2uf</t>
  </si>
  <si>
    <t>b49cdda8</t>
  </si>
  <si>
    <t>https://www.facebook.com/profile.php?id=61567086906858</t>
  </si>
  <si>
    <t>becbb501</t>
  </si>
  <si>
    <t>https://www.airbnb.fr/rooms/1268043814108370337?source_impression_id=p3_1738569540_P3gLp_xytrkK_dAX</t>
  </si>
  <si>
    <t>12830a06</t>
  </si>
  <si>
    <t>https://www.booking.com/hotel/re/villa-baril-sucre.fr.html?label=gen173nr-1BCAsovwFCEXZpbGxhLWJhcmlsLXN1Y3JlSDNYBGi_AYgBAZgBDbgBF8gBDNgBAegBAYgCAagCA7gCi5qBvQbAAgHSAiRiMGY2OTIwNC05YzhiLTQ0NWMtOTZlYy0xODRhOGUzMmU5MmPYAgXgAgE&amp;sid=65a9e8e7d74c6bbf9259d16ca71bddc3&amp;dist=0&amp;group_adults=2&amp;group_children=0&amp;keep_landing=1&amp;no_rooms=1&amp;sb_price_type=total&amp;type=total&amp;</t>
  </si>
  <si>
    <t>3104cb43</t>
  </si>
  <si>
    <t>https://www.facebook.com/SisterHome.conciergerie</t>
  </si>
  <si>
    <t>9348c7cc</t>
  </si>
  <si>
    <t>https://www.instagram.com/p/DEfmlJnNRsr/</t>
  </si>
  <si>
    <t>0868b6ed</t>
  </si>
  <si>
    <t>https://www.facebook.com/profile.php?id=61564897120088</t>
  </si>
  <si>
    <t>95db1c05</t>
  </si>
  <si>
    <t>https://www.instagram.com/lagourmandisedesmoches?fbclid=IwY2xjawIP17RleHRuA2FlbQIxMAABHQnED1mBRceCMU5IUGc1BnAdbs2tcRBHmZgs8M1n6WskPFm55SayGbfBHg_aem_cjPCi9tDKpFiwX8egfwhHg</t>
  </si>
  <si>
    <t>fbacfb7c</t>
  </si>
  <si>
    <t>https://www.facebook.com/p/RodbikeLoc-100076044858114/</t>
  </si>
  <si>
    <t>53530633</t>
  </si>
  <si>
    <t>https://www.instagram.com/rodbikeloc/</t>
  </si>
  <si>
    <t>531eff2b</t>
  </si>
  <si>
    <t>https://www.tripadvisor.fr/Attraction_Review-g635742-d23975284-Reviews-RodbikeLoc-Saint_Joseph_Arrondissement_of_Saint_Pierre.html</t>
  </si>
  <si>
    <t>724cac97</t>
  </si>
  <si>
    <t>https://www.instagram.com/tisaneduvolcan/</t>
  </si>
  <si>
    <t>6ec160a9</t>
  </si>
  <si>
    <t>24c7580c</t>
  </si>
  <si>
    <t>https://www.booking.com/hotel/re/instant-d-evasion-2-plaine-des-cafres.fr.html?aid=356980&amp;label=gog235jc-1FCAsovwFCJWluc3RhbnQtZC1ldmFzaW9uLTItcGxhaW5lLWRlcy1jYWZyZXNIDVgDaL8BiAEBmAENuAEXyAEM2AEB6AEB-AECiAIBqAIDuALQirG9BsACAdICJDc3MWUwOTUyLTViZjMtNGE3My04YjE4LWVlMTNjYTAyZjE2ZNgCBeACAQ&amp;sid=f2db896984a0049b10289cc46ffd39ce&amp;age=0&amp;checkin=2025-02-12&amp;checkout=2025-02-13&amp;dest_id=-1330930&amp;dest_type=city&amp;dist=0&amp;group_adults=2&amp;group_children=0&amp;hapos=1&amp;hpos=1&amp;no_rooms=1&amp;req_adults=2&amp;req_children=0&amp;room1=A%2CA&amp;sb_price_type=total&amp;soh=1&amp;sr_order=popularity&amp;srepoch=1739343192&amp;srpvid=b5fd3068ea6500d3&amp;type=total&amp;ucfs=1&amp;#no_availability_msg</t>
  </si>
  <si>
    <t>35cf1c47</t>
  </si>
  <si>
    <t>https://www.instagram.com/villatropicaledetenteandspa/</t>
  </si>
  <si>
    <t>98faba2c</t>
  </si>
  <si>
    <t>https://www.facebook.com/profile.php?id=61565072347110</t>
  </si>
  <si>
    <t>f9e1ccf5</t>
  </si>
  <si>
    <t>https://www.instagram.com/linstantdevasion97418/</t>
  </si>
  <si>
    <t>38a3f678</t>
  </si>
  <si>
    <t>https://www.facebook.com/leplatgarni/</t>
  </si>
  <si>
    <t>c1dcc591</t>
  </si>
  <si>
    <t>https://www.instagram.com/leplatgarni?fbclid=IwY2xjawI3mKNleHRuA2FlbQIxMAABHf-qO0UdGNOrMaXjoCrQAXu4SRLewxoQMPESxCWgenlv6TIXAvMbTsBMxw_aem_U1be9EOsYk1EGG8MEoF-EQ</t>
  </si>
  <si>
    <t>c4fdb05a</t>
  </si>
  <si>
    <t>https://www.airbnb.fr/rooms/1300733389512470174?source_impression_id=p3_1742358162_P3gMSrwPRf1MtMqe</t>
  </si>
  <si>
    <t>754268f1</t>
  </si>
  <si>
    <t>https://www.facebook.com/profile.php?id=61571379835498</t>
  </si>
  <si>
    <t>255590b6</t>
  </si>
  <si>
    <t>https://www.instagram.com/5atransports/</t>
  </si>
  <si>
    <t>4605c58c</t>
  </si>
  <si>
    <t>https://www.facebook.com/5aTransports.Vtc</t>
  </si>
  <si>
    <t>c041696d</t>
  </si>
  <si>
    <t>https://www.facebook.com/people/Villa-%C3%B6-nature-sauvage/61564867726753/?_rdr</t>
  </si>
  <si>
    <t>b467674b</t>
  </si>
  <si>
    <t>https://fr.airbnb.com/rooms/1259645264838788680?fbclid=IwY2xjawJI1UFleHRuA2FlbQIxMAABHXdX_kjFRa9nnGhhjcZRNlO5nP83woGzUnCy0GpXQDpyqIUmoSwxi0JkqA_aem_k4Sij9RDhSYRr5Me2MOFdA&amp;_set_bev_on_new_domain=1663222967_NDA0ZDMxMjE4MjUw&amp;source_impression_id=p3_1742468611_P3-DDNxpC_RHIlN5</t>
  </si>
  <si>
    <t>daad9d36</t>
  </si>
  <si>
    <t>https://www.instagram.com/villa_o_nature_sauvage?fbclid=IwY2xjawJI1T9leHRuA2FlbQIxMAABHXOMV22Y9YfUAJLgRN8Sh3NpGr18j8dWhRjUn6W1AjY5qud-SLLf3Uoh1Q_aem_Bc9kJArR8YiF_QdCrfEYyA</t>
  </si>
  <si>
    <t>9f53c839</t>
  </si>
  <si>
    <t>https://www.facebook.com/profile.php?id=100086249172435</t>
  </si>
  <si>
    <t>56dc2ea8</t>
  </si>
  <si>
    <t>https://www.booking.com/hotel/re/la-villa-vetiver.fr.html?aid=304142&amp;label=gen173nr-1BCAsovwFCEGxhLXZpbGxhLXZldGl2ZXJIM1gEaE2IAQGYAQ24ARjIAQ3YAQHoAQGIAgGoAgS4Avu38rwGwAIB0gIkZGM5Y2I5ZjktMjdmMi00NTg1LTkwOGMtMmU4ZDJkZWE3ZmNl2AIF4AIB-Share-iZMau5b%401738316803</t>
  </si>
  <si>
    <t>9ebc736e</t>
  </si>
  <si>
    <t>https://www.airbnb.fr/rooms/1015687688557016452?guests=1&amp;adults=1&amp;s=67&amp;unique_share_id=15b4c6ce-6764-4a26-8130-58fefe31476d&amp;source_impression_id=p3_1742792486_P3C-_S2xxctVMgwe</t>
  </si>
  <si>
    <t>4a270786</t>
  </si>
  <si>
    <t>https://www.facebook.com/profile.php?id=61553245162029</t>
  </si>
  <si>
    <t>2cd28c50</t>
  </si>
  <si>
    <t>https://www.instagram.com/villavetiver?fbclid=IwY2xjawJNxUtleHRuA2FlbQIxMAABHXjIMI2smQz5fG6Btg_SF3RPnPKVl5KXJb6pRi6yc1diXntDMz9q8aHGpg_aem_zDnupz3QESuJF-p3B1KIPA</t>
  </si>
  <si>
    <t>7b5282b3</t>
  </si>
  <si>
    <t>https://www.booking.com/hotel/re/villa-o-ti-paille-en-queue.fr.html?aid=304142&amp;label=gen173nr-1BCAsovwFCGnZpbGxhLW8tdGktcGFpbGxlLWVuLXF1ZXVlSDNYBGhNiAEBmAENuAEYyAEN2AEB6AEBiAIBqAIEuALpuu-8BsACAdICJDUzODA2ZWZhLTAzZTktNGM1OC1iYTkzLTkwNTY1YzhjYzNkMdgCBeACAQ-Share-VGZPwP%401738268012</t>
  </si>
  <si>
    <t>f72f46d7</t>
  </si>
  <si>
    <t>https://www.airbnb.fr/rooms/821444321996433767?guests=1&amp;adults=1&amp;s=67&amp;unique_share_id=972af798-4382-463f-9f23-6762cb9def23&amp;source_impression_id=p3_1742793646_P3dgYrXAq0wBYjJV</t>
  </si>
  <si>
    <t>94dacc0e</t>
  </si>
  <si>
    <t>https://www.instagram.com/villaotipailleenqueue?fbclid=IwY2xjawJNyrtleHRuA2FlbQIxMAABHX-13k6Dmjq6pybB7VqpFj7vSIpTzk4Ggal8eDTsrTIurvYdqIx4tOOcEA_aem_2niV23UTI2b0RtO21dKpEw</t>
  </si>
  <si>
    <t>5a1e53e2</t>
  </si>
  <si>
    <t>https://www.facebook.com/profile.php?id=100090014266295</t>
  </si>
  <si>
    <t>090fb60b</t>
  </si>
  <si>
    <t>https://www.booking.com/hotel/re/aquilegia.fr.html?aid=356980&amp;label=gog235jc-1FCAsovwFCCWFxdWlsZWdpYUgNWANovwGIAQGYAQ24ARjIAQzYAQHoAQH4AQKIAgGoAgS4AoX8s78GwAIB0gIkNGU5Zjk5NjYtMWFmYS00ZDEwLTkzNDctNGVhMzI1MGMwMGE12AIF4AIB&amp;sid=ba4e4e680180124b9e08f6acfb274803&amp;dest_id=-1331399&amp;dest_type=city&amp;dist=0&amp;group_adults=2&amp;group_children=0&amp;hapos=1&amp;hpos=1&amp;no_rooms=1&amp;req_adults=2&amp;req_children=0&amp;room1=A%2CA&amp;sb_price_type=total&amp;sr_order=popularity&amp;srepoch=1743584781&amp;srpvid=3a5940032d210801&amp;type=total&amp;ucfs=1&amp;</t>
  </si>
  <si>
    <t>5c6ecfd0</t>
  </si>
  <si>
    <t>https://www.airbnb.fr/rooms/1333872540388562288?source_impression_id=p3_1743675319_P3XhTyhQwc7F4Ykh</t>
  </si>
  <si>
    <t>02c30796</t>
  </si>
  <si>
    <t>https://www.instagram.com/ceramika_re/</t>
  </si>
  <si>
    <t>b08c9e50</t>
  </si>
  <si>
    <t>https://www.facebook.com/marika.sergeat</t>
  </si>
  <si>
    <t>ff9b3016</t>
  </si>
  <si>
    <t>https://www.facebook.com/entrefleursetplantes</t>
  </si>
  <si>
    <t>a80dda21</t>
  </si>
  <si>
    <t>https://www.facebook.com/profile.php?id=100007894426932</t>
  </si>
  <si>
    <t>32be8541</t>
  </si>
  <si>
    <t>https://www.facebook.com/profile.php?id=61565929853862</t>
  </si>
  <si>
    <t>d2ef124a</t>
  </si>
  <si>
    <t>https://www.instagram.com/leszaventuriers.re/</t>
  </si>
  <si>
    <t>c846f144</t>
  </si>
  <si>
    <t>https://www.facebook.com/p/Les-Zaventuriers-61556083888209/</t>
  </si>
  <si>
    <t>81c50f07</t>
  </si>
  <si>
    <t>https://www.instagram.com/labibreunion/</t>
  </si>
  <si>
    <t>24ac35e8</t>
  </si>
  <si>
    <t>https://www.facebook.com/labibreunion</t>
  </si>
  <si>
    <t>e086f727</t>
  </si>
  <si>
    <t>https://www.facebook.com/profile.php?id=61574009975552</t>
  </si>
  <si>
    <t>53414901</t>
  </si>
  <si>
    <t>https://www.airbnb.fr/rooms/1257069119596993061?adults=1&amp;search_mode=regular_search&amp;check_in=2025-05-01&amp;check_out=2025-05-06&amp;children=0&amp;infants=0&amp;pets=0&amp;source_impression_id=p3_1745481028_P3Yzr1YvuZhTniAc&amp;previous_page_section_name=1000&amp;federated_search_id=e4c3227d-f5e7-4f90-a892-62334c96c47f</t>
  </si>
  <si>
    <t>0ea41edf</t>
  </si>
  <si>
    <t>https://www.facebook.com/profile.php?id=61567887686131</t>
  </si>
  <si>
    <t>47455f3c</t>
  </si>
  <si>
    <t>https://www.tripadvisor.fr/Restaurant_Review-g2140646-d32769046-Reviews-Restaurant_Le_Ti_Recif-Saint_Philippe_Arrondissement_of_Saint_Pierre.html</t>
  </si>
  <si>
    <t>4014081f</t>
  </si>
  <si>
    <t>https://www.airbnb.fr/rooms/1407688840338982787?adults=1&amp;search_mode=regular_search&amp;check_in=2025-05-02&amp;check_out=2025-05-07&amp;children=0&amp;infants=0&amp;pets=0&amp;source_impression_id=p3_1745999719_P3KXvy8PkBad3KK9&amp;previous_page_section_name=1000&amp;federated_search_id=16dec6c1-b15e-45df-9946-2e5e685e5a59</t>
  </si>
  <si>
    <t>a97e90d9</t>
  </si>
  <si>
    <t>https://www.booking.com/hotel/re/chez-francine.fr.html?aid=356980&amp;label=gog235jc-1FCAsovwFCDWNoZXotZnJhbmNpbmVICVgDaL8BiAEBmAENuAEXyAEM2AEB6AEB-AEMiAIBqAIDuALcr8fABsACAdICJDJlYzZjYzVjLWQyYjUtNDI0MC1hYWQ4LWE4MjVjMjYxZmYyNtgCBuACAQ&amp;sid=f2db896984a0049b10289cc46ffd39ce&amp;dest_id=-1331043&amp;dest_type=city&amp;dist=0&amp;group_adults=2&amp;group_children=0&amp;hapos=1&amp;hpos=1&amp;no_rooms=1&amp;req_adults=2&amp;req_children=0&amp;room1=A%2CA&amp;sb_price_type=total&amp;sr_order=popularity&amp;srepoch=1745999846&amp;srpvid=5f4c37efce040053&amp;type=total&amp;ucfs=1&amp;</t>
  </si>
  <si>
    <t>6207564f</t>
  </si>
  <si>
    <t>https://www.facebook.com/profile.php?id=61575216812517</t>
  </si>
  <si>
    <t>1be5dfce</t>
  </si>
  <si>
    <t>https://www.booking.com/hotel/re/nou-dor-ter-la.fr.html?label=gen173nr-1BCAEoggI46AdIM1gEaL8BiAEBmAENuAEXyAEM2AEB6AEBiAIBqAIDuAL1m9HABsACAdICJGM5MWJlNWYxLTdiZmItNGFmNi1iYmM5LTk3OTQ0MmI2YTVkNtgCBeACAQ&amp;sid=f2db896984a0049b10289cc46ffd39ce&amp;aid=304142&amp;ucfs=1&amp;dest_id=-1330710&amp;dest_type=city&amp;group_adults=2&amp;no_rooms=1&amp;group_children=0&amp;srpvid=190c218698ad04e3&amp;srepoch=1746161212&amp;atlas_src=sr_iw_title</t>
  </si>
  <si>
    <t>3fb72644</t>
  </si>
  <si>
    <t>https://www.booking.com/hotel/re/le-muguet-sauvage.fr.html?aid=356980&amp;label=gog235jc-1FCAsovwFCEWxlLW11Z3VldC1zYXV2YWdlSDNYA2i_AYgBAZgBDbgBF8gBDNgBAegBAfgBDIgCAagCA7gCwPW_rwbAAgHSAiRhZDhlZjI1My05ZTBhLTQyMGEtOWExMy01MWI3OWY0NTExMzDYAgbgAgE&amp;sid=f2db896984a0049b10289cc46ffd39ce&amp;dest_id=-1331043&amp;dest_type=city&amp;dist=0&amp;group_adults=2&amp;group_children=0&amp;hapos=1&amp;hpos=1&amp;no_rooms=1&amp;req_adults=2&amp;req_children=0&amp;room1=A%2CA&amp;sb_price_type=total&amp;sr_order=popularity&amp;srepoch=1746440395&amp;srpvid=7c9c48a35d6201eb&amp;type=total&amp;ucfs=1&amp;</t>
  </si>
  <si>
    <t>3519aaf3</t>
  </si>
  <si>
    <t>https://www.airbnb.fr/rooms/1408571909086383076?adults=1&amp;guests=1&amp;search_mode=regular_search&amp;check_in=2025-05-11&amp;check_out=2025-05-16&amp;children=0&amp;infants=0&amp;pets=0&amp;source_impression_id=p3_1746517901_P3Zh8FKuKTzuum92&amp;previous_page_section_name=1000&amp;federated_search_id=ffce2d2c-0a80-42a2-8777-2c881938721f</t>
  </si>
  <si>
    <t>9c841e57</t>
  </si>
  <si>
    <t>https://www.booking.com/hotel/re/entr-deux-gones-chambres-d-hotes.fr.html?aid=356980&amp;label=gog235jc-1FCAsovwFCIGVudHItZGV1eC1nb25lcy1jaGFtYnJlcy1kLWhvdGVzSAlYA2i_AYgBAZgBDbgBF8gBDNgBAegBAfgBDIgCAagCA7gC9YHnwAbAAgHSAiRiNGMxNjllYy1jOGRlLTQzNTMtYjAyYS00OTM3ZDZlNmMwMjbYAgbgAgE&amp;sid=f2db896984a0049b10289cc46ffd39ce&amp;dest_id=-1330710&amp;dest_type=city&amp;dist=0&amp;group_adults=2&amp;group_children=0&amp;hapos=1&amp;hpos=1&amp;no_rooms=1&amp;req_adults=2&amp;req_children=0&amp;room1=A%2CA&amp;sb_price_type=total&amp;sr_order=popularity&amp;srepoch=1746518318&amp;srpvid=e21137fb607315dd&amp;type=total&amp;ucfs=1&amp;</t>
  </si>
  <si>
    <t>6826df26</t>
  </si>
  <si>
    <t>https://www.tripadvisor.fr/VacationRentalReview-g675133-d29156602-Duplex_Bellevue_Entre_Mer_et_Montagne-Le_Tampon_Arrondissement_of_Saint_Pierre.html</t>
  </si>
  <si>
    <t>7e42b5e7</t>
  </si>
  <si>
    <t>https://cocoonr.fr/location-court-sejour/le-tampon-974/duplex-bellevue-entre-mer-et-montagne-8767/?arrival=&amp;departure=&amp;nb_persons=1&amp;nb_children=0</t>
  </si>
  <si>
    <t>af0d7b22</t>
  </si>
  <si>
    <t>https://www.booking.com/hotel/re/duplex-bellevue-entre-mer-et-montagne.fr.html?aid=356980&amp;label=gog235jc-1FCAsovwFCJWR1cGxleC1iZWxsZXZ1ZS1lbnRyZS1tZXItZXQtbW9udGFnbmVIDVgDaL8BiAEBmAENuAEXyAEM2AEB6AEB-AECiAIBqAIDuAKmjPbABsACAdICJGQ4MzZiNTE0LTI2NmMtNGJlMy1iNTYwLTEzNTg1ZDVmY2VmNNgCBeACAQ&amp;sid=f2db896984a0049b10289cc46ffd39ce&amp;dest_id=-1331043&amp;dest_type=city&amp;dist=0&amp;group_adults=2&amp;group_children=0&amp;hapos=1&amp;hpos=1&amp;no_rooms=1&amp;req_adults=2&amp;req_children=0&amp;room1=A%2CA&amp;sb_price_type=total&amp;sr_order=popularity&amp;srepoch=1746765471&amp;srpvid=dae62054950b0255&amp;type=total&amp;ucfs=1&amp;</t>
  </si>
  <si>
    <t>d248d30e</t>
  </si>
  <si>
    <t>https://www.airbnb.fr/rooms/1233888305809462045?source_impression_id=p3_1746765356_P3CMSGOIDH2GlbAj</t>
  </si>
  <si>
    <t>008542a6</t>
  </si>
  <si>
    <t>https://www.facebook.com/profile.php?id=61571959379871&amp;rdid=PTfP0badq3URgb0V#</t>
  </si>
  <si>
    <t>a09667b8</t>
  </si>
  <si>
    <t>https://www.instagram.com/waterfallscanyoning?igsh=b2RyemJlOHBuaDM2</t>
  </si>
  <si>
    <t>0a218093</t>
  </si>
  <si>
    <t>https://www.airbnb.fr/rooms/1411486868281575007?adults=1&amp;search_mode=regular_search&amp;check_in=2025-05-25&amp;check_out=2025-05-30&amp;children=0&amp;infants=0&amp;pets=0&amp;source_impression_id=p3_1747036695_P3idRBTLbSW579fk&amp;previous_page_section_name=1000&amp;federated_search_id=a8f9c8e7-e43c-4f6d-a16a-3f2c72ae9fa3</t>
  </si>
  <si>
    <t>0762c25a</t>
  </si>
  <si>
    <t>https://www.facebook.com/p/Le-Repos-dor-100042395544503/</t>
  </si>
  <si>
    <t>935aeef1</t>
  </si>
  <si>
    <t>https://es-l.airbnb.com/rooms/805612487396795649?source_impression_id=p3_1747305065_P3U0KlxdrJYWHOKE</t>
  </si>
  <si>
    <t>0a406187</t>
  </si>
  <si>
    <t>https://www.instagram.com/casevido/</t>
  </si>
  <si>
    <t>623471ec</t>
  </si>
  <si>
    <t>https://www.facebook.com/profile.php?id=100091253297492</t>
  </si>
  <si>
    <t>d91641ae</t>
  </si>
  <si>
    <t>https://www.airbnb.fr/rooms/1359881013423668464?source_impression_id=p3_1747889515_P3QTVAAOytCy3eCB&amp;check_in=2025-05-23&amp;guests=1&amp;adults=1&amp;check_out=2025-05-24</t>
  </si>
  <si>
    <t>0ee2c0e9</t>
  </si>
  <si>
    <t>https://www.booking.com/hotel/re/ti-case-louise-petit-coin-charmant-a-manapany.fr.html?aid=356980&amp;label=gog235jc-1FCAsovwFCLXRpLWNhc2UtbG91aXNlLXBldGl0LWNvaW4tY2hhcm1hbnQtYS1tYW5hcGFueUgNWANovwGIAQGYAQ24ARjIAQzYAQHoAQH4AQKIAgGoAgS4ArHl9cEGwAIB0gIkYzRmMWUyMzAtNWMyNS00MTZkLTgyOGQtNGJlM2Y1NGRlZTE12AIF4AIB&amp;sid=ba4e4e680180124b9e08f6acfb274803&amp;dest_id=-1331399&amp;dest_type=city&amp;dist=0&amp;group_adults=2&amp;group_children=0&amp;hapos=1&amp;hpos=1&amp;no_rooms=1&amp;req_adults=2&amp;req_children=0&amp;room1=A%2CA&amp;sb_price_type=total&amp;sr_order=popularity&amp;srepoch=1748857550&amp;srpvid=bd404499b0620212&amp;type=total&amp;ucfs=1&amp;</t>
  </si>
  <si>
    <t>b7bf37d3</t>
  </si>
  <si>
    <t>https://fr.airbnb.com/rooms/1084778510054082125?_set_bev_on_new_domain=1708588246_Nzk5YzdhMWExNTVj&amp;source_impression_id=p3_1748857580_P3d0EUnxnKQV4rRv</t>
  </si>
  <si>
    <t>d7859229</t>
  </si>
  <si>
    <t>https://www.facebook.com/people/Ti-Case-Louise/61566819491175/</t>
  </si>
  <si>
    <t>129b151b</t>
  </si>
  <si>
    <t>https://www.airbnb.fr/rooms/1390527531197036458?source_impression_id=p3_1748855884_P3ibjwXggC7bNiox</t>
  </si>
  <si>
    <t>f410f35d</t>
  </si>
  <si>
    <t>https://www.instagram.com/lafabrik974/</t>
  </si>
  <si>
    <t>7a044da7</t>
  </si>
  <si>
    <t>https://www.facebook.com/profile.php?id=61569846470434</t>
  </si>
  <si>
    <t>ad8707fd</t>
  </si>
  <si>
    <t>https://www.booking.com/hotel/re/la-fabrik-le-tampon1.fr.html?aid=304142&amp;label=gen173nr-1BCAsovwFCFGxhLWZhYnJpay1sZS10YW1wb24xSDNYBGi_AYgBAZgBDbgBGMgBDNgBAegBAYgCAagCBLgC_u7fwQbAAgHSAiQxMmI3MTI4Ny00MTY5LTQ3NDQtODQ4Zi0wMmY4NWYxY2Y3YTLYAgXgAgE-Share-jxr7mA%401748498310</t>
  </si>
  <si>
    <t>bc71c507</t>
  </si>
  <si>
    <t>https://www.facebook.com/people/Villa-Romana/61570986955333/?_rdr</t>
  </si>
  <si>
    <t>455f6b35</t>
  </si>
  <si>
    <t>https://www.airbnb.fr/rooms/1381608398432824139?check_in=2025-05-13&amp;check_out=2025-05-16&amp;search_mode=regular_search&amp;source_impression_id=p3_1747045548_P3-HnUQVs5o7tolF&amp;previous_page_section_name=1000&amp;federated_search_id=304ed614-aa20-4936-aa6c-84eb254651ee</t>
  </si>
  <si>
    <t>58a29a2c</t>
  </si>
  <si>
    <t>https://www.facebook.com/rucherdupetitpiton</t>
  </si>
  <si>
    <t>7ab3e2f2</t>
  </si>
  <si>
    <t>https://www.facebook.com/people/PatJaune/100063494593534/?locale=fr_FR</t>
  </si>
  <si>
    <t>d4808f54</t>
  </si>
  <si>
    <t>https://www.airbnb.fr/rooms/1151167212688197296?source_impression_id=p3_1749633979_P3FlRAIu2C96gHTq</t>
  </si>
  <si>
    <t>c134a0e5</t>
  </si>
  <si>
    <t>https://www.facebook.com/sucettepei</t>
  </si>
  <si>
    <t>e1ee43b9</t>
  </si>
  <si>
    <t>https://www.tripadvisor.fr/Hotel_Review-g635742-d1598831-Reviews-La_Plantation-Saint_Joseph_Arrondissement_of_Saint_Pierre.html#REVIEWS</t>
  </si>
  <si>
    <t>df1bc02b</t>
  </si>
  <si>
    <t>https://fr.airbnb.ch/rooms/1243390707402264697?source_impression_id=p3_1750228324_P3_6iF_EfcZtyDf8</t>
  </si>
  <si>
    <t>cee17c06</t>
  </si>
  <si>
    <t>https://www.facebook.com/Papillon.97430LeTampon</t>
  </si>
  <si>
    <t>31a15876</t>
  </si>
  <si>
    <t>https://www.airbnb.fr/rooms/1404971228890782493?check_in=2025-07-24&amp;check_out=2025-07-29&amp;guests=1&amp;adults=1&amp;s=67&amp;unique_share_id=3b9f02c0-7e4a-44d5-9ab0-b6d4aabda509&amp;source_impression_id=p3_1751966971_P3eycAdZ9fG2ouJG</t>
  </si>
  <si>
    <t>3ed734e0</t>
  </si>
  <si>
    <t>https://www.facebook.com/profile.php?id=61577691673795</t>
  </si>
  <si>
    <t>48f7c495</t>
  </si>
  <si>
    <t>https://www.airbnb.fr/rooms/1457513572988076922?viralityEntryPoint=1&amp;s=76&amp;source_impression_id=p3_1752219858_P3Xsn8_XTiJWGNlM</t>
  </si>
  <si>
    <t>5129ce73</t>
  </si>
  <si>
    <t>https://www.booking.com/hotel/re/ti-kaz-dede-6-voyageurs.fr.html?age=6&amp;age=12&amp;age=15&amp;aid=2198091&amp;app_hotel_id=14512174&amp;checkin=2025-07-18&amp;checkout=2025-07-27&amp;from_sn=android&amp;group_adults=2&amp;group_children=3&amp;label=entre-deux-wh6BvOxIOHVBtxBYuRNldQSM631957778827%3Apl%3Ata%3Ap1%3Ap2%3Aac%3Aap%3Aneg%3Afi%3Atikwd-950206672242%3Alp9108766%3Ali%3Adem%3Adm-KV3Vkd%401752246192&amp;no_rooms=3&amp;req_adults=2&amp;req_age=6&amp;req_age=12&amp;req_age=15&amp;req_children=3&amp;room1=A%2CA%2C6%2C12%2C15</t>
  </si>
  <si>
    <t>188efcbb</t>
  </si>
  <si>
    <t>https://www.facebook.com/patisseriehomemade/</t>
  </si>
  <si>
    <t>871968d9</t>
  </si>
  <si>
    <t>https://www.instagram.com/la_caze_a_manoue_by_resiste/</t>
  </si>
  <si>
    <t>434ac1aa</t>
  </si>
  <si>
    <t>https://www.facebook.com/profile.php?id=100092523409341</t>
  </si>
  <si>
    <t>410c6641</t>
  </si>
  <si>
    <t>https://www.instagram.com/sabrinart974/</t>
  </si>
  <si>
    <t>13b4f66e</t>
  </si>
  <si>
    <t>https://www.booking.com/hotel/re/chambres-d-hotes-le-puits-des-francais.fr.html?aid=356980&amp;label=gog235jc-1FCAsovwFCJmNoYW1icmVzLWQtaG90ZXMtbGUtcHVpdHMtZGVzLWZyYW5jYWlzSA1YA2i_AYgBAZgBDbgBF8gBDNgBAegBAfgBAogCAagCA7gC-tmMxAbAAgHSAiQ5ZmRiMWU0ZC1hMmE2LTRhNWMtOTdjOS1jNzYyZmM5Mjc1M2TYAgXgAgE&amp;sid=f2db896984a0049b10289cc46ffd39ce&amp;age=0&amp;dest_id=-1331411&amp;dest_type=city&amp;dist=0&amp;group_adults=2&amp;group_children=1&amp;hapos=1&amp;hpos=1&amp;no_rooms=1&amp;req_adults=2&amp;req_age=0&amp;req_children=1&amp;room1=A%2CA%2C0&amp;sb_price_type=total&amp;sr_order=popularity&amp;srepoch=1753427213&amp;srpvid=bb4c5fec6553182d3b34b3ca846397b4&amp;type=total&amp;ucfs=1&amp;</t>
  </si>
  <si>
    <t>bd335b61</t>
  </si>
  <si>
    <t>https://www.tripadvisor.fr/Hotel_Review-g2140646-d12438101-Reviews-Le_Palmier-Saint_Philippe_Arrondissement_of_Saint_Pierre.html</t>
  </si>
  <si>
    <t>66b6b37e</t>
  </si>
  <si>
    <t>https://www.booking.com/hotel/re/le-palmier.fr.html?aid=311089&amp;label=le-palmier-_ZtnMO6HGenR4jN6TaVB0QS589864285092%3Apl%3Ata%3Ap1%3Ap2%3Aac%3Aap%3Aneg%3Afi%3Atikwd-948860319250%3Alp9218685%3Ali%3Adec%3Adm%3Appccp%3DUmFuZG9tSVYkc2RlIyh9Yf23yREhrOV9DIzdQnby_R8&amp;sid=f2db896984a0049b10289cc46ffd39ce&amp;age=0&amp;dest_id=-1331411&amp;dest_type=city&amp;dist=0&amp;group_adults=2&amp;group_children=1&amp;hapos=1&amp;hpos=1&amp;no_rooms=1&amp;req_adults=2&amp;req_age=0&amp;req_children=1&amp;room1=A%2CA%2C0&amp;sb_price_type=total&amp;sr_order=popularity&amp;srepoch=1753430385&amp;srpvid=c8c50633285460372bd3ff9693a9ed20&amp;type=total&amp;ucfs=1&amp;</t>
  </si>
  <si>
    <t>f88a9759</t>
  </si>
  <si>
    <t>https://www.abritel.fr/location-vacances/p2050400</t>
  </si>
  <si>
    <t>c04fef39</t>
  </si>
  <si>
    <t>https://www.booking.com/hotel/re/ferme-auberge-le-ti-planteur.fr.html?aid=356980&amp;label=gog235jc-1FCAsovwFCHGZlcm1lLWF1YmVyZ2UtbGUtdGktcGxhbnRldXJIDVgDaL8BiAEBmAENuAEXyAEM2AEB6AEB-AECiAIBqAIDuAK5l43EBsACAdICJGY5MzU4YzkwLTI4ZGEtNDk1MC05MzdiLTRhOTFiYjIyMGM2MdgCBeACAQ&amp;sid=f2db896984a0049b10289cc46ffd39ce&amp;age=0&amp;dest_id=-1331411&amp;dest_type=city&amp;dist=0&amp;group_adults=2&amp;group_children=1&amp;hapos=1&amp;hpos=1&amp;no_rooms=1&amp;req_adults=2&amp;req_age=0&amp;req_children=1&amp;room1=A%2CA%2C0&amp;sb_price_type=total&amp;sr_order=popularity&amp;srepoch=1753435072&amp;srpvid=fc417f0e6d5e757e58789f922bb02a3d&amp;type=total&amp;ucfs=1&amp;</t>
  </si>
  <si>
    <t>37c29016</t>
  </si>
  <si>
    <t>https://www.instagram.com/letiplanteur/</t>
  </si>
  <si>
    <t>fb65b795</t>
  </si>
  <si>
    <t>1c9ce7a7</t>
  </si>
  <si>
    <t>https://www.instagram.com/kreol_tours_reunion/</t>
  </si>
  <si>
    <t>18f50cff</t>
  </si>
  <si>
    <t>https://www.facebook.com/profile.php?id=100088385438075#</t>
  </si>
  <si>
    <t>3fc1fede</t>
  </si>
  <si>
    <t>https://www.facebook.com/thomas.schulze.reunion</t>
  </si>
  <si>
    <t>847a95f9</t>
  </si>
  <si>
    <t>https://www.instagram.com/gitehydrangea974?igsh=ZGI0d2gwam5rZmY%3D&amp;utm_source=qr</t>
  </si>
  <si>
    <t>f05baad0</t>
  </si>
  <si>
    <t>https://www.facebook.com/profile.php?id=61576432205467</t>
  </si>
  <si>
    <t>bafe3a6c</t>
  </si>
  <si>
    <t>https://www.booking.com/hotel/re/gite-hydrangea-974.fr.html?label=gen173nr-10CAsovwFCEmdpdGUtaHlkcmFuZ2VhLTk3NEgzWARovwGIAQGYATO4ARfIAQzYAQPoAQH4AQGIAgGoAgG4AqeHxsQGwAIB0gIkMzQwYzY2MjItZTE3Ni00ZTlmLTlhMzgtNGU1MzAwNTYwNmY22AIB4AIB&amp;sid=2f4e9ade64653e30e3dee97d0d47e370&amp;dist=0&amp;group_adults=2&amp;group_children=0&amp;keep_landing=1&amp;no_rooms=1&amp;sb_price_type=total&amp;type=total&amp;</t>
  </si>
  <si>
    <t>aa1077c5</t>
  </si>
  <si>
    <t>87ba586e</t>
  </si>
  <si>
    <t>https://www.booking.com/hotel/re/gite-hydrangea974-studio-le-dalia.fr.html?aid=304142&amp;label=gen173nr-10CAEoggI46AdIM1gEaL8BiAEBmAEzuAEXyAEM2AED6AEB-AEBiAIBqAIBuALXpubEBsACAdICJGYwMGY1MjRjLWE2MjctNDFiMy1hYTA2LWQ0ZTNiNjdkZmE2ONgCAeACAQ&amp;sid=37721eb7e608b6a6b863a3b88fe0e287&amp;dest_id=-1330930&amp;dest_type=city&amp;dist=0&amp;group_adults=2&amp;group_children=0&amp;hapos=6&amp;hpos=6&amp;nflt=class%3D3&amp;no_rooms=1&amp;req_adults=2&amp;req_children=0&amp;room1=A%2CA&amp;sb_price_type=total&amp;sr_order=popularity&amp;srepoch=1754895369&amp;srpvid=1b743805b77ed24c0693ab5580524a63&amp;type=total&amp;ucfs=1&amp;</t>
  </si>
  <si>
    <t>64db80ed</t>
  </si>
  <si>
    <t>https://www.airbnb.fr/rooms/673468865437244569?search_mode=regular_search&amp;adults=1&amp;check_in=2025-08-12&amp;check_out=2025-08-17&amp;children=0&amp;infants=0&amp;pets=0&amp;source_impression_id=p3_1754894410_P3PnboBAhQKITnUE&amp;previous_page_section_name=1000&amp;federated_search_id=71ef8206-3b14-42f8-b3cc-f004a4eb2ba5</t>
  </si>
  <si>
    <t>9a699415</t>
  </si>
  <si>
    <t>https://www.airbnb.fr/rooms/1251457176753024810?source_impression_id=p3_1754895205_P3wbvTHObrxbwsFU</t>
  </si>
  <si>
    <t>6b62987e</t>
  </si>
  <si>
    <t>d9ff9939</t>
  </si>
  <si>
    <t>https://www.facebook.com/people/Les-Chalets-du-Morne/61577934212680/</t>
  </si>
  <si>
    <t>56fb6512</t>
  </si>
  <si>
    <t>3aa27863</t>
  </si>
  <si>
    <t>https://www.instagram.com/cocovanille97442/</t>
  </si>
  <si>
    <t>4f80c690</t>
  </si>
  <si>
    <t>https://www.facebook.com/profile.php?id=61575227956449</t>
  </si>
  <si>
    <t>8013858a</t>
  </si>
  <si>
    <t>https://www.facebook.com/profile.php?id=100073130676299</t>
  </si>
  <si>
    <t>33441fb1</t>
  </si>
  <si>
    <t>https://www.facebook.com/profile.php?id=61566433853576</t>
  </si>
  <si>
    <t>3d1733ed</t>
  </si>
  <si>
    <t>https://www.facebook.com/profile.php?id=61571641221202</t>
  </si>
  <si>
    <t>65cc8dd4</t>
  </si>
  <si>
    <t>https://www.booking.com/hotel/re/la-tit-kaz-begonia-vue-montagne.fr.html</t>
  </si>
  <si>
    <t>5badc12e</t>
  </si>
  <si>
    <t>https://www.abritel.fr/location-vacances/p2351363</t>
  </si>
  <si>
    <t>6d16ee20</t>
  </si>
  <si>
    <t>https://www.airbnb.fr/rooms/1063658789953379551?source_impression_id=p3_1755772290_P3JlUBKa59ubjf9-</t>
  </si>
  <si>
    <t>5dfcee93</t>
  </si>
  <si>
    <t>https://www.airbnb.fr/rooms/1490496647125773834?source_impression_id=p3_1756362344_P3GLy0n922tHF3IM</t>
  </si>
  <si>
    <t>faca6c91</t>
  </si>
  <si>
    <t>https://www.instagram.com/naturrun974/</t>
  </si>
  <si>
    <t>512fbd35</t>
  </si>
  <si>
    <t>https://www.instagram.com/dalonlakour/?hl=fr</t>
  </si>
  <si>
    <t>6a92afec</t>
  </si>
  <si>
    <t>https://www.facebook.com/dalon.la.kour/</t>
  </si>
  <si>
    <t>d7a0e5ed</t>
  </si>
  <si>
    <t>https://www.booking.com/hotel/re/enclos-du-volcan.fr.html?aid=356980&amp;label=gog235jc-10CAsovwFCEGVuY2xvcy1kdS12b2xjYW5IDVgDaL8BiAEBmAEzuAEXyAEM2AED6AEB-AEBiAIBqAIBuAKQyYnGBsACAdICJGQzNzgzZGY5LWUwOGMtNGQ1Ny05YzcxLTc4OTYyYTNkZDkwYtgCAeACAQ&amp;sid=f2db896984a0049b10289cc46ffd39ce&amp;dest_id=-1330930&amp;dest_type=city&amp;dist=0&amp;group_adults=2&amp;group_children=0&amp;hapos=1&amp;hpos=1&amp;no_rooms=1&amp;req_adults=2&amp;req_children=0&amp;room1=A%2CA&amp;sb_price_type=total&amp;sr_order=popularity&amp;srepoch=1757570286&amp;srpvid=d7cd29c83217006b&amp;type=total&amp;ucfs=1&amp;</t>
  </si>
  <si>
    <t>e5134c22</t>
  </si>
  <si>
    <t>https://www.airbnb.fr/rooms/1251939567081674574?source_impression_id=p3_1757570209_P3UU7N4qmZ7fbxaW</t>
  </si>
  <si>
    <t>665c881b</t>
  </si>
  <si>
    <t>https://www.tripadvisor.fr/Hotel_Review-g790521-d28248827-Reviews-L_enclos_Du_Volcan-La_Plaine_des_Cafres_Arrondissement_of_Saint_Pierre.html</t>
  </si>
  <si>
    <t>08b30293</t>
  </si>
  <si>
    <t>https://www.facebook.com/p/Lenclos-du-volcan-61565695993348/</t>
  </si>
  <si>
    <t>f16af460</t>
  </si>
  <si>
    <t>https://www.facebook.com/auxchaletsdutourneur</t>
  </si>
  <si>
    <t>21b1dfcb</t>
  </si>
  <si>
    <t>https://www.instagram.com/auxchaletsdutourneur</t>
  </si>
  <si>
    <t>9c82936a</t>
  </si>
  <si>
    <t>https://www.facebook.com/chezjorestaurant</t>
  </si>
  <si>
    <t>a910428c</t>
  </si>
  <si>
    <t>https://www.booking.com/hotel/re/entre-volcan-et-montagnes.fr.html?aid=318615&amp;label=New_French_FR_RE_26394819985-5KMfyMgIYi7RF9Cd6ZNX9wS217246948707%3Apl%3Ata%3Ap1%3Ap2%3Aac%3Aap%3Aneg%3Afi%3Atidsa-194594581705%3Alp9075843%3Ali%3Adec%3Adm&amp;sid=f2db896984a0049b10289cc46ffd39ce&amp;age=1&amp;checkin=2025-10-30&amp;checkout=2025-10-31&amp;dest_id=-1330930&amp;dest_type=city&amp;dist=0&amp;group_adults=2&amp;group_children=0&amp;hapos=1&amp;hpos=1&amp;map=1&amp;no_rooms=1&amp;req_adults=2&amp;req_children=0&amp;room1=A%2CA&amp;sb_price_type=total&amp;soh=1&amp;sr_order=popularity&amp;srepoch=1757923707&amp;srpvid=b3c93927142101a2&amp;type=total&amp;ucfs=1&amp;#tab-main</t>
  </si>
  <si>
    <t>dc9c66f4</t>
  </si>
  <si>
    <t>https://www.facebook.com/profile.php?id=100089626664911</t>
  </si>
  <si>
    <t>c1859080</t>
  </si>
  <si>
    <t>https://www.facebook.com/lamaisoncouleurvolcan</t>
  </si>
  <si>
    <t>01045d87</t>
  </si>
  <si>
    <t>https://www.instagram.com/lamaisoncouleurvolcan</t>
  </si>
  <si>
    <t>35b6d61b</t>
  </si>
  <si>
    <t>https://www.booking.com/hotel/re/la-maison-couleur-volcan-la-plaine-des-cafres.fr.html?aid=311089&amp;label=la-maison-couleur-volcan-la-plaine-des-cafres-Ir%2AJKXBa5%2AqZIcsG8cfsnAS711119147677%3Apl%3Ata%3Ap1%3Ap2%3Aac%3Aap%3Aneg%3Afi%3Atikwd-1713647218446%3Alp9075843%3Ali%3Adec%3Adm%3Appccp%3DUmFuZG9tSVYkc2RlIyh9YfNeh-lbHkPZZDrBVOcopBI&amp;sid=f2db896984a0049b10289cc46ffd39ce&amp;age=0&amp;all_sr_blocks=1261364603_420845952_2_33_0&amp;checkin=2025-11-12&amp;checkout=2025-11-14&amp;dest_id=-1331043&amp;dest_type=city&amp;dist=0&amp;group_adults=2&amp;group_children=0&amp;hapos=1&amp;highlighted_blocks=1261364603_420845952_2_33_0&amp;hpos=1&amp;matching_block_id=1261364603_420845952_2_33_0&amp;no_rooms=1&amp;req_adults=2&amp;req_children=0&amp;room1=A%2CA&amp;sb_price_type=total&amp;sr_order=popularity&amp;sr_pri_blocks=1261364603_420845952_2_33_0__13005&amp;srepoch=1758178511&amp;srpvid=d82130a4070f0572&amp;type=total&amp;ucfs=1&amp;</t>
  </si>
  <si>
    <t>eef255ba</t>
  </si>
  <si>
    <t>https://www.booking.com/hotel/re/la-maison-des-camelias.fr.html?aid=318615&amp;label=New_French_FR_RE_26394819985-5KMfyMgIYi7RF9Cd6ZNX9wS217246948707%3Apl%3Ata%3Ap1%3Ap2%3Aac%3Aap%3Aneg%3Afi%3Atidsa-194594581705%3Alp9075843%3Ali%3Adec%3Adm&amp;sid=ba4e4e680180124b9e08f6acfb274803&amp;dest_id=-1331043&amp;dest_type=city&amp;dist=0&amp;group_adults=2&amp;group_children=0&amp;hapos=1&amp;hpos=1&amp;no_rooms=1&amp;req_adults=2&amp;req_children=0&amp;room1=A%2CA&amp;sb_price_type=total&amp;sr_order=popularity&amp;srepoch=1758190841&amp;srpvid=b4b948ba40b4068b&amp;type=total&amp;ucfs=1&amp;</t>
  </si>
  <si>
    <t>61d28b39</t>
  </si>
  <si>
    <t>https://www.booking.com/hotel/re/harmonie-de-3-logements-villa-des-4-sens.fr.html?aid=364031&amp;label=viam%7Cpoilist%7Cfr%7Cmap.result%7Cphone%7C%7C%7C%7CRESIDENCE%7COff%7C%7C%7Ccadd8d2c%7C13279101%7C%7C%7C1747353601772%7C%7C&amp;sid=c0482b785feae546095318e848437054&amp;dest_id=14433683&amp;dest_type=hotel&amp;dist=0&amp;group_adults=2&amp;group_children=0&amp;hapos=1&amp;hpos=1&amp;no_rooms=1&amp;req_adults=2&amp;req_children=0&amp;room1=A%2CA&amp;sb_price_type=total&amp;sr_order=popularity&amp;srepoch=1759299900&amp;srpvid=0ef22d198d920079&amp;type=total&amp;ucfs=1&amp;#hotelTmpl</t>
  </si>
  <si>
    <t>987a1a26</t>
  </si>
  <si>
    <t>https://www.booking.com/hotel/re/ti-kaz-paradis-bungalow-en-bois-pour-2.fr.html?aid=356980&amp;label=gog235jc-10CAsovwFCJnRpLWthei1wYXJhZGlzLWJ1bmdhbG93LWVuLWJvaXMtcG91ci0ySA1YA2i_AYgBAZgBM7gBF8gBDNgBA-gBAfgBAYgCAagCAbgCwcv4xgbAAgHSAiQzZWQ3MDRhZS01YmZiLTQyMDItOWVjNC01NTM0NzFlOTIwMTXYAgHgAgE&amp;sid=349bd7c55afe232f19dd66257d1905f2&amp;checkin=2025-11-16&amp;checkout=2025-11-17&amp;dest_id=-1331043&amp;dest_type=city&amp;dist=0&amp;do_availability_check=1&amp;group_adults=2&amp;group_children=0&amp;hp_avform=1&amp;hp_group_set=0&amp;no_rooms=1&amp;origin=hp&amp;sb_price_type=total&amp;src=hotel&amp;type=total&amp;activeTab=main</t>
  </si>
  <si>
    <t>e28370f6</t>
  </si>
  <si>
    <t>https://www.abritel.fr/location-vacances/p2341960</t>
  </si>
  <si>
    <t>cbf23b42</t>
  </si>
  <si>
    <t>https://www.airbnb.fr/rooms/913669220627939842?search_mode=regular_search&amp;adults=1&amp;check_in=2025-10-07&amp;check_out=2025-10-12&amp;children=0&amp;infants=0&amp;source_impression_id=p3_1759388773_P3vwdRJwL6LrO6DI&amp;previous_page_section_name=1000</t>
  </si>
  <si>
    <t>066bc10b</t>
  </si>
  <si>
    <t>https://www.booking.com/hotel/re/hydrangea-le-prunier-studio.fr.html</t>
  </si>
  <si>
    <t>bf9c92c3</t>
  </si>
  <si>
    <t>https://www.booking.com/hotel/re/autour-des-palmiers.fr.html</t>
  </si>
  <si>
    <t>a6c96d78</t>
  </si>
  <si>
    <t>https://www.booking.com/hotel/re/entre-deux-reves.fr.html?aid=1630418&amp;chal_t=1759726662001&amp;force_referer=</t>
  </si>
  <si>
    <t>a41b32cf</t>
  </si>
  <si>
    <t>https://www.instagram.com/vakoa.gin/</t>
  </si>
  <si>
    <t>cd5970c0</t>
  </si>
  <si>
    <t xml:space="preserve"> https://www.facebook.com/p/VAKOA-distillerie-100093222946441/</t>
  </si>
  <si>
    <t>c3deb6ce</t>
  </si>
  <si>
    <t>https://www.tiktok.com/@vakoadistillerie</t>
  </si>
  <si>
    <t>fcb9e4c1</t>
  </si>
  <si>
    <t>https://www.facebook.com/profile.php?id=61561887603927&amp;locale=fr_FR</t>
  </si>
  <si>
    <t>71374c05</t>
  </si>
  <si>
    <t xml:space="preserve"> http://airbnb.com/h/entre2bulles</t>
  </si>
  <si>
    <t>789c2a18</t>
  </si>
  <si>
    <t>https://www.facebook.com/profile.php?id=61572737681858</t>
  </si>
  <si>
    <t>fec62e1f</t>
  </si>
  <si>
    <t>https://www.tiktok.com/@entre2bulles2</t>
  </si>
  <si>
    <t>ee44bbf8</t>
  </si>
  <si>
    <t>https://www.instagram.com/entre.2.bulles/</t>
  </si>
  <si>
    <t>94509816</t>
  </si>
  <si>
    <t>https://www.airbnb.fr/rooms/1383172986534312508?source_impression_id=p3_1760596052_P3aknsEFV8tf5IVw&amp;check_in=2025-11-13&amp;guests=2&amp;adults=2&amp;check_out=2025-11-14</t>
  </si>
  <si>
    <t>73a2f779</t>
  </si>
  <si>
    <t>https://www.booking.com/hotel/re/villa-ti-gargoulette.fr.html?aid=304142&amp;label=gen173nr-10CAEoggI46AdIM1gEaL8BiAEBmAEzuAEXyAEP2AED6AEB-AEBiAIBqAIBuAKexPTGBsACAdICJDc2ODNlMTYzLWMxNDEtNDYxYi04ZjdhLTljN2QzNmQ1MDQwMdgCAeACAQ&amp;sid=ba4e4e680180124b9e08f6acfb274803&amp;all_sr_blocks=1490576901_421595844_4_0_0&amp;checkin=2025-11-07&amp;checkout=2025-11-10&amp;dest_id=-1331399&amp;dest_type=city&amp;dist=0&amp;group_adults=4&amp;group_children=0&amp;hapos=1&amp;highlighted_blocks=1490576901_421595844_4_0_0&amp;hpos=1&amp;matching_block_id=1490576901_421595844_4_0_0&amp;no_rooms=1&amp;req_adults=4&amp;req_children=0&amp;room1=A%2CA%2CA%2CA&amp;sb_price_type=total&amp;sr_order=popularity&amp;sr_pri_blocks=1490576901_421595844_4_0_0__26325&amp;srepoch=1759322663&amp;srpvid=190c59926f6d04b3&amp;type=total&amp;ucfs=1&amp;</t>
  </si>
  <si>
    <t>3c2a6afc</t>
  </si>
  <si>
    <t>https://fr.airbnb.com/rooms/1505709526358452176?_set_bev_on_new_domain=1756182618_EAYTZiMTA2MTE0Mj&amp;source_impression_id=p3_1759322389_P3hJOyLI6kifj00F</t>
  </si>
  <si>
    <t>a22e8599</t>
  </si>
  <si>
    <t>https://www.facebook.com/profile.php?id=100090973621164</t>
  </si>
  <si>
    <t>894f4891</t>
  </si>
  <si>
    <t>https://www.airbnb.fr/rooms/1539047172735927358?viralityEntryPoint=1&amp;s=76&amp;source_impression_id=p3_1761627032_P3z9WdeYbB_avySR</t>
  </si>
  <si>
    <t>1fe15cbe</t>
  </si>
  <si>
    <t>https://www.airbnb.fr/rooms/1460726100969785165?adults=6&amp;check_in=2025-11-07&amp;check_out=2025-11-09&amp;search_mode=regular_search&amp;source_impression_id=p3_1759899632_P3dBAE5WrpvvF8bD&amp;previous_page_section_name=1000&amp;federated_search_id=66e9bacb-eccc-4f1e-908c-97c6bca9ddee</t>
  </si>
  <si>
    <t>c6bd20c2</t>
  </si>
  <si>
    <t>https://www.facebook.com/profile.php?id=61574956790771&amp;rdid=IgEmA1yDKOk3AUaO#</t>
  </si>
  <si>
    <t>22925275</t>
  </si>
  <si>
    <t>https://www.airbnb.fr/rooms/1333914233818593999?guests=1&amp;adults=1&amp;s=67&amp;unique_share_id=13631498-2cb1-407b-aee8-ef6a488bf10c&amp;source_impression_id=p3_1763352459_P321Rwui9YFil5nO</t>
  </si>
  <si>
    <t>806f595b</t>
  </si>
  <si>
    <t>https://www.booking.com/hotel/re/logement-entier-saint-joseph-quartier-des-jacques-saint-joseph2.fr.html?aid=356980&amp;label=gen173nr-10CAsovwFCP2xvZ2VtZW50LWVudGllci1zYWludC1qb3NlcGgtcXVhcnRpZXItZGVzLWphY3F1ZXMtc2FpbnQtam9zZXBoMkgzWARo-wGIAQGYATO4ARfIAQzYAQPoAQH4AQGIAgGoAgG4Apm55cgGwAIB0gIkN2ZmNzQxNmUtZDA3Ni00NzExLTliNjEtZGYyODJlNWQzYjM22AIB4AIB&amp;sid=349bd7c55afe232f19dd66257d1905f2&amp;age=1&amp;all_sr_blocks=1491389401_420794314_3_0_0&amp;checkin=2026-03-01&amp;checkout=2026-03-08&amp;dest_id=-1331399&amp;dest_type=city&amp;dist=0&amp;group_adults=2&amp;group_children=1&amp;hapos=1&amp;highlighted_blocks=1491389401_420794314_3_0_0&amp;hpos=1&amp;matching_block_id=1491389401_420794314_3_0_0&amp;no_rooms=2&amp;req_adults=2&amp;req_age=1&amp;req_children=1&amp;room1=A&amp;room2=A%2C1&amp;sb_price_type=total&amp;sr_order=popularity&amp;sr_pri_blocks=1491389401_420794314_3_0_0__29988&amp;srepoch=1763269932&amp;srpvid=2b51249343c1032c&amp;type=total&amp;ucfs=1&amp;</t>
  </si>
  <si>
    <t>880024b1</t>
  </si>
  <si>
    <t>https://www.abritel.fr/location-vacances/p2526339</t>
  </si>
  <si>
    <t>af7ae264</t>
  </si>
  <si>
    <t>https://www.facebook.com/p/Association-des-artisans-dart-de-la-reunion-61573457136127/</t>
  </si>
  <si>
    <t>bcbbce3f</t>
  </si>
  <si>
    <t>https://www.facebook.com/profile.php?id=61583657301986</t>
  </si>
  <si>
    <t>a2c381e1</t>
  </si>
  <si>
    <t>https://www.facebook.com/profile.php?id=61559837638942&amp;locale=fr_FR</t>
  </si>
  <si>
    <t>1293857e</t>
  </si>
  <si>
    <t>https://www.instagram.com/Kolibriz_massage/?fbclid=IwY2xjawOKgCdleHRuA2FlbQIxMABicmlkETBqU3lydTRLVnRBMkRsQUI4c3J0YwZhcHBfaWQQMjIyMDM5MTc4ODIwMDg5MgABHqffZasfKF9YM01mJ0t2sC46UsYLS-q2MUNvATpDczPToL1_wxWgaymWPmF9_aem_b4oW8o_kastVx2-5ijcsJQ#</t>
  </si>
  <si>
    <t>d171aef6</t>
  </si>
  <si>
    <t xml:space="preserve">https://www.facebook.com/groups/321778873707557/user/61581372016939/?locale=fr_FR </t>
  </si>
  <si>
    <t>cb36d530</t>
  </si>
  <si>
    <t>https://www.booking.com/hotel/re/villa-spacieuse-a-grand-coude-avec-acces-pmr-fr-1-786-52.fr.html?aid=356980&amp;label=gog235jc-10CAsovwFCOHZpbGxhLXNwYWNpZXVzZS1hLWdyYW5kLWNvdWRlLWF2ZWMtYWNjZXMtcG1yLWZyLTEtNzg2LTUySA1YA2i_AYgBAZgBM7gBF8gBDNgBA-gBAfgBAYgCAagCAbgCzL_6yAbAAgHSAiQzYzJmMTQ5MC02MWM0LTQ2NWQtYjViOC1jODJkOTE1MDUxNGTYAgHgAgE&amp;sid=349bd7c55afe232f19dd66257d1905f2&amp;checkin=2026-01-20&amp;checkout=2026-01-21&amp;dest_id=-1331399&amp;dest_type=city&amp;dist=0&amp;do_availability_check=1&amp;group_adults=2&amp;group_children=0&amp;hp_avform=1&amp;hp_group_set=0&amp;no_rooms=1&amp;origin=hp&amp;sb_price_type=total&amp;src=hotel&amp;type=total&amp;#availability_target</t>
  </si>
  <si>
    <t>ec365f98</t>
  </si>
  <si>
    <t>https://www.facebook.com/profile.php?id=61582441693747&amp;locale=fr_FR</t>
  </si>
  <si>
    <t>813187d3</t>
  </si>
  <si>
    <t>https://www.airbnb.fr/rooms/1163620355686488076?search_mode=regular_search&amp;adults=1&amp;check_in=2026-01-09&amp;check_out=2026-01-14&amp;children=0&amp;infants=0&amp;source_impression_id=p3_1763700656_P3UpAcuUFr6Mv-2I&amp;previous_page_section_name=1000</t>
  </si>
  <si>
    <t>84887eb0</t>
  </si>
  <si>
    <t>https://www.booking.com/hotel/re/la-casa-del-ju-lya-4-etoiles-le-tampon.fr.html?aid=318615&amp;label=New_French_FR_RE_26394819985-5KMfyMgIYi7RF9Cd6ZNX9wS217246948707%3Apl%3Ata%3Ap1%3Ap2%3Aac%3Aap%3Aneg%3Afi%3Atidsa-194594581705%3Alp9075843%3Ali%3Adec%3Adm&amp;sid=005cf14238dcda254298b82a719e6e5a&amp;checkin=2025-11-27&amp;checkout=2025-11-28&amp;dest_id=-1331043&amp;dest_type=city&amp;dist=0&amp;group_adults=2&amp;group_children=0&amp;hapos=1&amp;hpos=1&amp;no_rooms=1&amp;req_adults=2&amp;req_children=0&amp;room1=A%2CA&amp;sb_price_type=total&amp;soh=1&amp;sr_order=popularity&amp;srepoch=1763700654&amp;srpvid=b6325e547c10a3570fdc558b3885a296&amp;type=total&amp;ucfs=1&amp;#no_availability_msg</t>
  </si>
  <si>
    <t>605c8cf4</t>
  </si>
  <si>
    <t>https://www.facebook.com/profile.php?id=61580937478526&amp;locale=fr_FR</t>
  </si>
  <si>
    <t>142b5660</t>
  </si>
  <si>
    <t>https://fr.airbnb.com/rooms/1530512482771272329?_set_bev_on_new_domain=1708588246_Nzk5YzdhMWExNTVj&amp;set_everest_cookie_on_new_domain=1759475212.EAZjk1NGY4ZGVhMzBkZj.z8bqTpchS-9Xcb8Fk1cvUHVduRuuWnAX0XOPKl9qGQE&amp;source_impression_id=p3_1763957313_P3Hcr8nvLsn4gGSD</t>
  </si>
  <si>
    <t>4baca646</t>
  </si>
  <si>
    <t>https://www.airbnb.fr/rooms/1535272505513302647?source_impression_id=p3_1764137644_P3f1GDWNJ_uGisfz</t>
  </si>
  <si>
    <t>a9811d40</t>
  </si>
  <si>
    <t>https://www.booking.com/hotel/re/empreinte-by-lonbraz-volkan.fr.html?aid=304142&amp;label=gen173nr-10CAsovwFCG2VtcHJlaW50ZS1ieS1sb25icmF6LXZvbGthbkgzWARovwGIAQGYATO4ARfIAQzYAQPoAQH4AQGIAgGoAgG4AqiL6ccGwAIB0gIkOTU1MWJhODYtN2Y4ZC00MGQwLTg2MTYtMjZmYjhmMzRkYWJi2AIB4AIB-Share-oF7OHM%401761232305-Share-1LWwcOS%401764133885&amp;chal_t=1764137647833&amp;force_referer=</t>
  </si>
  <si>
    <t>6cb14ad8</t>
  </si>
  <si>
    <t>https://fr.airbnb.com/rooms/1493933874449307953?_set_bev_on_new_domain=1708588246_Nzk5YzdhMWExNTVj&amp;set_everest_cookie_on_new_domain=1759475212.EAZjk1NGY4ZGVhMzBkZj.z8bqTpchS-9Xcb8Fk1cvUHVduRuuWnAX0XOPKl9qGQE&amp;source_impression_id=p3_1764226701_P3obnU3co52Y4IRm</t>
  </si>
  <si>
    <t>82da101e</t>
  </si>
  <si>
    <t>https://www.booking.com/hotel/re/le-tranquillou.html?ssne=La+Plaine+des+Cafres&amp;ssne_untouched=La+Plaine+des+Cafres&amp;highlighted_hotels=9601103&amp;ss=La+Plaine+des+Cafres&amp;dest_id=-1330930&amp;dest_type=city&amp;hp_avform=1&amp;origin=hp&amp;do_availability_check=1&amp;label=1764648971.911873&amp;aid=2195102&amp;lang=fr&amp;sb=1&amp;src_elem=sb&amp;src=hotel&amp;checkin=2026-02-03&amp;checkout=2026-02-04&amp;group_adults=2&amp;no_rooms=1&amp;group_children=0#availability_target</t>
  </si>
  <si>
    <t>027bec49</t>
  </si>
  <si>
    <t>https://www.facebook.com/legitemalmany/</t>
  </si>
  <si>
    <t>d19263a8</t>
  </si>
  <si>
    <t>https://www.facebook.com/residencelestiaresreunion/?locale=fr_FR</t>
  </si>
  <si>
    <t>fa7af35b</t>
  </si>
  <si>
    <t>https://www.leboncoin.fr/ad/locations_saisonnieres/3010456850</t>
  </si>
  <si>
    <t>dbb64f1a</t>
  </si>
  <si>
    <t>https://www.booking.com/hotel/re/auberge-la-fermette.fr.html?aid=356980&amp;label=gog235jc-10CAsovwFCE2F1YmVyZ2UtbGEtZmVybWV0dGVIM1gDaL8BiAEBmAEzuAEXyAEM2AED6AEB-AEBiAIBqAIBuALewaTKBsACAdICJDI1NzY5NzNlLTViZGUtNDlhOC04OGQ4LTk0YTRkMDgxZGZlNNgCAeACAQ&amp;sid=349bd7c55afe232f19dd66257d1905f2&amp;dist=0&amp;keep_landing=1&amp;sb_price_type=total&amp;type=total&amp;</t>
  </si>
  <si>
    <t>b5954a55</t>
  </si>
  <si>
    <t>https://www.booking.com/hotel/re/lilie97418.fr.html?aid=318615&amp;label=New_French_FR_RE_26394819985-5KMfyMgIYi7RF9Cd6ZNX9wS217246948707%3Apl%3Ata%3Ap1%3Ap2%3Aac%3Aap%3Aneg%3Afi%3Atidsa-194594581705%3Alp9218685%3Ali%3Adec%3Adm&amp;sid=349bd7c55afe232f19dd66257d1905f2&amp;dest_id=-1330930&amp;dest_type=city&amp;dist=0&amp;group_adults=2&amp;group_children=0&amp;hapos=1&amp;hpos=1&amp;no_rooms=1&amp;req_adults=2&amp;req_children=0&amp;room1=A%2CA&amp;sb_price_type=total&amp;sr_order=popularity&amp;srepoch=1766470790&amp;srpvid=28e614740feeb5a9f01a21ae1e1a37c3&amp;type=total&amp;ucfs=1&amp;</t>
  </si>
  <si>
    <t>fa1d7cc6</t>
  </si>
  <si>
    <t>https://www.booking.com/hotel/re/barbadine.fr.html</t>
  </si>
  <si>
    <t>5ce60263</t>
  </si>
  <si>
    <t>https://www.facebook.com/eilaroc.fr?locale=fr_FR</t>
  </si>
  <si>
    <t>10dfc4d8</t>
  </si>
  <si>
    <t>https://www.instagram.com/eilaroc.fr/</t>
  </si>
  <si>
    <t>582125fc</t>
  </si>
  <si>
    <t>https://www.airbnb.fr/rooms/1350531539594559455?source_impression_id=p3_1767765453_P3-hUk8FmhYbNx7q</t>
  </si>
  <si>
    <t>22a9b23c</t>
  </si>
  <si>
    <t>https://www.instagram.com/laklebleu/</t>
  </si>
  <si>
    <t>6ab864db</t>
  </si>
  <si>
    <t>https://www.booking.com/hotel/re/appartement-ti-gouillat.fr.html?aid=2311236&amp;label=fr-re-booking-desktop-Baoii00aW2bPALa26_oNNwS652796014740%3Apl%3Ata%3Ap1%3Ap2%3Aac%3Aap%3Aneg%3Afi%3Atikwd-65526620%3Alp1011788%3Ali%3Adec%3Adm-Share-WOs1mHo%401767607223&amp;sid=349bd7c55afe232f19dd66257d1905f2&amp;all_sr_blocks=1495309601_421204294_2_0_0&amp;checkin=2026-01-22&amp;checkout=2026-01-23&amp;dest_id=-1331043&amp;dest_type=city&amp;dist=0&amp;group_adults=2&amp;group_children=0&amp;hapos=1&amp;highlighted_blocks=1495309601_421204294_2_0_0&amp;hpos=1&amp;matching_block_id=1495309601_421204294_2_0_0&amp;no_rooms=1&amp;req_adults=2&amp;req_children=0&amp;room1=A%2CA&amp;sb_price_type=total&amp;sr_order=popularity&amp;sr_pri_blocks=1495309601_421204294_2_0_0__8100&amp;srepoch=1767765522&amp;srpvid=1c630bd109179a09605d54eac103d350&amp;type=total&amp;ucfs=1&amp;</t>
  </si>
  <si>
    <t>c50981af</t>
  </si>
  <si>
    <t>https://www.booking.com/hotel/re/le-clos-gentil.fr.html</t>
  </si>
  <si>
    <t>5fbc029d</t>
  </si>
  <si>
    <t>https://www.facebook.com/p/Le-Clos-Gentil-61575559119127/</t>
  </si>
  <si>
    <t>c2044f4c</t>
  </si>
  <si>
    <t>https://www.airbnb.fr/rooms/1460137813966696425?source_impression_id=p3_1767850359_P3hM2RGg4PZ7k8_e&amp;check_in=2026-02-02&amp;guests=1&amp;adults=1&amp;check_out=2026-02-04</t>
  </si>
  <si>
    <t>7f92fd97</t>
  </si>
  <si>
    <t>https://www.airbnb.fr/rooms/1379053205452551923?search_mode=regular_search&amp;adults=1&amp;check_in=2026-01-23&amp;source_impression_id=p3_1768213462_P3a85UjMsIxcIHYw&amp;previous_page_section_name=1000&amp;federated_search_id=9d492570-e0ff-4edd-885c-e72dcde4cdc8&amp;guests=1&amp;check_out=2026-01-25</t>
  </si>
  <si>
    <t>4ded7a22</t>
  </si>
  <si>
    <t>https://www.facebook.com/people/Le-Cap-Sud-meubl%C3%A9-de-tourisme-4-%C3%A9toiles/61574641450819/?ref=_xav_ig_profile_page_web</t>
  </si>
  <si>
    <t>0b8cc7f7</t>
  </si>
  <si>
    <t>https://www.facebook.com/profile.php?id=61578279094206</t>
  </si>
  <si>
    <t>c4ff74dd</t>
  </si>
  <si>
    <t>https://www.instagram.com/gamikit_officiel/</t>
  </si>
  <si>
    <t>3b1d6b5d</t>
  </si>
  <si>
    <t>https://www.instagram.com/chef_jacques_malet/</t>
  </si>
  <si>
    <t>ac303e39</t>
  </si>
  <si>
    <t>https://www.airbnb.fr/rooms/1404185326845338732?source_impression_id=p3_1762322555_P3DLmpyqWAzXpP0B</t>
  </si>
  <si>
    <t>5f481623</t>
  </si>
  <si>
    <t>https://www.booking.com/hotel/re/les-chalets-du-morne.fr.html?aid=318615&amp;label=New_French_FR_RE_26394819985-5KMfyMgIYi7RF9Cd6ZNX9wS217246948707%3Apl%3Ata%3Ap1%3Ap2%3Aac%3Aap%3Aneg%3Afi%3Atidsa-194594581705%3Alp9218685%3Ali%3Adec%3Adm&amp;sid=349bd7c55afe232f19dd66257d1905f2&amp;dest_id=-1331399&amp;dest_type=city&amp;dist=0&amp;group_adults=2&amp;group_children=0&amp;hapos=1&amp;hpos=1&amp;no_rooms=1&amp;req_adults=2&amp;req_children=0&amp;room1=A%2CA&amp;sb_price_type=total&amp;sr_order=popularity&amp;srepoch=1768980172&amp;srpvid=07e0c93f52155e220fa716b4d67db717&amp;type=total&amp;ucfs=1&amp;</t>
  </si>
  <si>
    <t>d199c391</t>
  </si>
  <si>
    <t>https://www.facebook.com/profile.php?id=61577412632500</t>
  </si>
  <si>
    <t>ab96c39f</t>
  </si>
  <si>
    <t>https://www.booking.com/hotel/re/studio-189.fr.html?aid=318615&amp;label=New_French_FR_RE_26394819985-5KMfyMgIYi7RF9Cd6ZNX9wS217246948707%3Apl%3Ata%3Ap1%3Ap2%3Aac%3Aap%3Aneg%3Afi%3Atidsa-194594581705%3Alp9075843%3Ali%3Adec%3Adm&amp;sid=349bd7c55afe232f19dd66257d1905f2&amp;dest_id=-1331043&amp;dest_type=city&amp;dist=0&amp;group_adults=2&amp;group_children=0&amp;hapos=1&amp;hpos=1&amp;no_rooms=1&amp;req_adults=2&amp;req_children=0&amp;room1=A%2CA&amp;sb_price_type=total&amp;sr_order=popularity&amp;srepoch=1769403244&amp;srpvid=6e513689c013585bf1879cbf28fc3c32&amp;type=total&amp;ucfs=1&amp;</t>
  </si>
  <si>
    <t>9901fca8</t>
  </si>
  <si>
    <t>https://www.instagram.com/tinyedenloc?utm_source=ig_web_button_share_sheet&amp;igsh=ZDNlZDc0MzIxNw%3D%3D</t>
  </si>
  <si>
    <t>791d5aca</t>
  </si>
  <si>
    <t>https://fr.airbnb.be/rooms/1445736495956028382?source_impression_id=p3_1769403213_P3m4t46JpTB01Zom</t>
  </si>
  <si>
    <t>589cdcf0</t>
  </si>
  <si>
    <t>https://www.facebook.com/p/Dans-les-Mains-dEmy-61561132048569/?locale=fr_FR</t>
  </si>
  <si>
    <t>7802f885</t>
  </si>
  <si>
    <t>https://www.instagram.com/danslesmains.d.emy/</t>
  </si>
  <si>
    <t>bd15277f</t>
  </si>
  <si>
    <t>https://www.facebook.com/profile.php?id=61583284541639&amp;locale=fr_FR</t>
  </si>
  <si>
    <t>8be11b29</t>
  </si>
  <si>
    <t>https://www.booking.com/hotel/re/kaz-jolycya.fr.html</t>
  </si>
  <si>
    <t>c2be82fa</t>
  </si>
  <si>
    <t>https://www.airbnb.fr/rooms/1578370986783547687?viralityEntryPoint=1&amp;s=76&amp;source_impression_id=p3_1767454755_P32DS2a1t5jUrVeF</t>
  </si>
  <si>
    <t>1d379a94</t>
  </si>
  <si>
    <t>https://www.booking.com/hotel/re/agreable-chalet-au-milieu-des-sapins.fr.html?aid=318615&amp;label=New_French_FR_RE_26394819985-5KMfyMgIYi7RF9Cd6ZNX9wS217246948707%3Apl%3Ata%3Ap1%3Ap2%3Aac%3Aap%3Aneg%3Afi%3Atidsa-194594581705%3Alp9218685%3Ali%3Adec%3Adm&amp;sid=349bd7c55afe232f19dd66257d1905f2&amp;dest_id=-1330930&amp;dest_type=city&amp;dist=0&amp;group_adults=2&amp;group_children=0&amp;hapos=1&amp;hpos=1&amp;no_rooms=1&amp;req_adults=2&amp;req_children=0&amp;room1=A%2CA&amp;sb_price_type=total&amp;sr_order=popularity&amp;srepoch=1769667657&amp;srpvid=6da7120ad704e9c9f690b09857e8beec&amp;type=total&amp;ucfs=1&amp;</t>
  </si>
  <si>
    <t>bc66ceb2</t>
  </si>
  <si>
    <t>https://www.airbnb.fr/rooms/50125327?source_impression_id=p3_1769667653_P3ibGvv1E_03DG1z</t>
  </si>
  <si>
    <t>1f5f3871</t>
  </si>
  <si>
    <t>https://www.facebook.com/au.milieu.des.sapins?locale=fr_FR</t>
  </si>
  <si>
    <t>f3a3fd62</t>
  </si>
  <si>
    <t>https://www.airbnb.fr/rooms/32159469?search_mode=regular_search&amp;adults=1&amp;check_in=2026-02-01&amp;check_out=2026-02-06&amp;children=0&amp;infants=0&amp;pets=0&amp;source_impression_id=p3_1769679556_P3uttuuDwsF8Leb-&amp;previous_page_section_name=1000</t>
  </si>
  <si>
    <t>f575ac35</t>
  </si>
  <si>
    <t>https://www.facebook.com/aupaysdumoutonblanc?locale=fr_FR</t>
  </si>
  <si>
    <t>aabca8a7</t>
  </si>
  <si>
    <t>https://www.booking.com/hotel/re/la-maison-verte.fr.html?aid=311089&amp;label=la-maison-verte-F2f3y30MstTd4GNhliamTgS704431363561%3Apl%3Ata%3Ap1%3Ap2%3Aac%3Aap%3Aneg%3Afi%3Atikwd-319902948695%3Alp9218685%3Ali%3Adec%3Adm%3Appccp%3DUmFuZG9tSVYkc2RlIyh9YfNeh-lbHkPZZDrBVOcopBI&amp;sid=f2db896984a0049b10289cc46ffd39ce&amp;dest_id=-1331043&amp;dest_type=city&amp;dist=0&amp;group_adults=2&amp;group_children=0&amp;hapos=1&amp;hpos=1&amp;no_rooms=1&amp;req_adults=2&amp;req_children=0&amp;room1=A%2CA&amp;sb_price_type=total&amp;sr_order=popularity&amp;srepoch=1742454725&amp;srpvid=7a3032a2e7e000e7&amp;type=total&amp;ucfs=1&amp;#tab-main</t>
  </si>
  <si>
    <t>5fef1a2d</t>
  </si>
  <si>
    <t>https://fr.airbnb.be/rooms/1062889101172686427?source_impression_id=p3_1769752023_P354UYRXk8prk3QD</t>
  </si>
  <si>
    <t>bf446829</t>
  </si>
  <si>
    <t>https://www.facebook.com/profile.php?id=61581341562579</t>
  </si>
  <si>
    <t>a88b2c17</t>
  </si>
  <si>
    <t>https://www.booking.com/hotel/re/dragon-fly-location-saisonnier.fr.html?aid=356980&amp;label=gog235jc-10CAsovwFCHmRyYWdvbi1mbHktbG9jYXRpb24tc2Fpc29ubmllckgdWANovwGIAQGYATO4ARfIAQzYAQPoAQH4AQGIAgGoAgG4ArjxqswGwAIB0gIkM2E0ZGY5NjctZWU2Yi00YmRiLWJkNTctNzAzYWY0MTViNTFj2AIB4AIB&amp;sid=349bd7c55afe232f19dd66257d1905f2&amp;dist=0&amp;keep_landing=1&amp;sb_price_type=total&amp;type=total&amp;chal_t=1770698936968&amp;force_referer=https%3A%2F%2Fwww.google.com%2F</t>
  </si>
  <si>
    <t>c720f529</t>
  </si>
  <si>
    <t>https://www.facebook.com/profile.php?id=61586572037567</t>
  </si>
  <si>
    <t>9aa67288</t>
  </si>
  <si>
    <t>https://www.facebook.com/profile.php?id=61569502852096&amp;locale=fr_FR</t>
  </si>
  <si>
    <t>3946c609</t>
  </si>
  <si>
    <t>https://www.booking.com/hotel/re/ecokaz-palmita-chambres-privees-et-espace-de-travail.en-gb.html?aid=1980379&amp;label=EdgeFav&amp;sid=cd5910c1f24fb6802d432a2f7b9eff03&amp;all_sr_blocks=1575673801_428681125_2_0_0&amp;checkin=2026-02-12&amp;checkout=2026-02-13&amp;dest_id=-1331043&amp;dest_type=city&amp;dist=0&amp;group_adults=2&amp;group_children=0&amp;hapos=1&amp;highlighted_blocks=1575673801_428681125_2_0_0&amp;hpos=1&amp;matching_block_id=1575673801_428681125_2_0_0&amp;no_rooms=1&amp;req_adults=2&amp;req_children=0&amp;room1=A%2CA&amp;sb_price_type=total&amp;sr_order=popularity&amp;sr_pri_blocks=1575673801_428681125_2_0_0__5928&amp;srepoch=1770641413&amp;srpvid=bd40595ddfea0186&amp;type=total&amp;ucfs=1&amp;selected_currency=EUR&amp;chal_t=1771216394058&amp;force_referer=#hotelTmpl</t>
  </si>
  <si>
    <t>1005fb1c</t>
  </si>
  <si>
    <t>https://www.airbnb.fr/rooms/1570034503759037386?source_impression_id=p3_1771562534_P3AHwnw4R5m28Lsl</t>
  </si>
  <si>
    <t>57bb7b6a</t>
  </si>
  <si>
    <t>https://www.facebook.com/Waro.JB?locale=fr_FR</t>
  </si>
  <si>
    <t>7a21fc3b</t>
  </si>
  <si>
    <t>https://www.booking.com/hotel/re/escapade-des-hauts.fr.html?aid=356980&amp;label=gog235jc-10CAsovwFCEmVzY2FwYWRlLWRlcy1oYXV0c0gzWANovwGIAQGYATO4ARfIAQzYAQPoAQH4AQGIAgGoAgG4Arni9MwGwAIB0gIkYTUwYmI3MjMtOTZjZS00NGJkLThmZDAtMGIwYTdkYWI2ZTc32AIB4AIB&amp;sid=349bd7c55afe232f19dd66257d1905f2&amp;dist=0&amp;keep_landing=1&amp;sb_price_type=total&amp;type=total&amp;</t>
  </si>
  <si>
    <t>2765f1cd</t>
  </si>
  <si>
    <t>https://www.abritel.fr/location-vacances/p2548681</t>
  </si>
  <si>
    <t>dccc5191</t>
  </si>
  <si>
    <t>https://www.facebook.com/afficheduneile</t>
  </si>
  <si>
    <t>0a50ac9e</t>
  </si>
  <si>
    <t>https://www.instagram.com/lafficheduneile</t>
  </si>
  <si>
    <t>5f0769c3</t>
  </si>
  <si>
    <t>https://www.airbnb.fr/rooms/762961354771801820?source_impression_id=p3_1772165327_P30gIEfiKpvgRnAl</t>
  </si>
  <si>
    <t>d0fc26f5</t>
  </si>
  <si>
    <t>https://www.booking.com/hotel/re/chez-monblanc.fr.html?chal_t=1772165319330&amp;force_referer=https%3A%2F%2Fwww.google.com%2F</t>
  </si>
  <si>
    <t>35aeda68</t>
  </si>
  <si>
    <t>https://www.airbnb.fr/rooms/1581959321754942664?photo_id=2484044345&amp;source_impression_id=p3_1771602082_P36TpIa4j4RQImgQ&amp;previous_page_section_name=1000</t>
  </si>
  <si>
    <t>471e84cb</t>
  </si>
  <si>
    <t>https://www.booking.com/hotel/re/villa-marine-ti-case-meme-lauret.fr.html?aid=356980&amp;label=gog235jc-10CAsovwFCIHZpbGxhLW1hcmluZS10aS1jYXNlLW1lbWUtbGF1cmV0SA1YA2i_AYgBAZgBM7gBF8gBDNgBA-gBAfgBAYgCAagCAbgCr4HizAbAAgHSAiQyMDJmYWFhMy1lYTgzLTQ5OWQtYjBkMy1iNTA1MGJiYWFhODHYAgHgAgE&amp;sid=c8f4410255802e901c5b04fd2201e430&amp;dest_id=-1331399&amp;dest_type=city&amp;dist=0&amp;group_adults=2&amp;group_children=0&amp;hapos=1&amp;hpos=1&amp;no_rooms=1&amp;req_adults=2&amp;req_children=0&amp;room1=A%2CA&amp;sb_price_type=total&amp;sr_order=popularity&amp;srepoch=1771602103&amp;srpvid=72b46e5857c200ed&amp;type=total&amp;ucfs=1&amp;chal_t=1772605067994&amp;force_referer=</t>
  </si>
  <si>
    <t>7cb2e14e</t>
  </si>
  <si>
    <t>https://www.facebook.com/profile.php?id=61583387395177&amp;locale=fr_FR</t>
  </si>
  <si>
    <t>87f63c44</t>
  </si>
  <si>
    <t>da67106e</t>
  </si>
  <si>
    <t>https://www.airbnb.fr/rooms/1580910241131839540?photo_id=2499476336&amp;source_impression_id=p3_1771602082_P3NRqMZIuxymLar1&amp;previous_page_section_name=1000</t>
  </si>
  <si>
    <t>2532a6f6</t>
  </si>
  <si>
    <t>https://www.booking.com/hotel/re/villa-cap-jaune-ti-case-meme-lauret.fr.html?aid=356980&amp;label=gog235jc-10CAsovwFCI3ZpbGxhLWNhcC1qYXVuZS10aS1jYXNlLW1lbWUtbGF1cmV0SA1YA2i_AYgBAZgBM7gBF8gBDNgBA-gBAfgBAYgCAagCAbgC2YHizAbAAgHSAiQ0NzViNTU2ZC02ZWE0LTRlMWQtOWZlYi1iN2NhY2MyZjI5ZmXYAgHgAgE&amp;sid=c8f4410255802e901c5b04fd2201e430&amp;dest_id=-1331399&amp;dest_type=city&amp;dist=0&amp;group_adults=2&amp;group_children=0&amp;hapos=1&amp;hpos=1&amp;no_rooms=1&amp;req_adults=2&amp;req_children=0&amp;room1=A%2CA&amp;sb_price_type=total&amp;sr_order=popularity&amp;srepoch=1771602143&amp;srpvid=33466e6ddfb7023b&amp;type=total&amp;ucfs=1&amp;</t>
  </si>
  <si>
    <t>138a97e6</t>
  </si>
  <si>
    <t>https://www.facebook.com/tikaredanpei/</t>
  </si>
  <si>
    <t>0ed247a7</t>
  </si>
  <si>
    <t>https://www.instagram.com/creoleleshaut?fbclid=IwY2xjawQchC5leHRuA2FlbQIxMABicmlkETBIUFBvTWxLM2pwRlMzTERsc3J0YwZhcHBfaWQQMjIyMDM5MTc4ODIwMDg5MgABHvTP9Y_yBZorm1KGt_SY11WQUMauUgqwR8kKRx1wR9qpMEsDvEv8o1253jL9_aem_0S3SUjFevt3Ij2lxjzqtXQ</t>
  </si>
  <si>
    <t>5d2287eb</t>
  </si>
  <si>
    <t>https://www.airbnb.fr/rooms/1449166276785389209?source_impression_id=p3_1773724827_P3leosin0V7XuC5U</t>
  </si>
  <si>
    <t>b4733af5</t>
  </si>
  <si>
    <t>https://www.facebook.com/profile.php?id=100094902035505&amp;locale=fr_FR</t>
  </si>
  <si>
    <t>8e47ff0e</t>
  </si>
  <si>
    <t>https://www.instagram.com/laforetdenuages?igsh=MW9tbGk4dDZ0Y3A2eQ%3D%3D</t>
  </si>
  <si>
    <t>2b6318d3</t>
  </si>
  <si>
    <t>https://fr.airbnb.com/rooms/1515257715027072376?_set_bev_on_new_domain=1708588246_Nzk5YzdhMWExNTVj&amp;set_everest_cookie_on_new_domain=1759475212.EAZjk1NGY4ZGVhMzBkZj.z8bqTpchS-9Xcb8Fk1cvUHVduRuuWnAX0XOPKl9qGQE&amp;source_impression_id=p3_1773906310_P32GXm2C6YL_0iwK</t>
  </si>
  <si>
    <t>ab7a583f</t>
  </si>
  <si>
    <t>https://www.facebook.com/profile.php?id=61582348143466&amp;rdid=0mo9RolWKk2Uf3Of&amp;share_url=https%3A%2F%2Fwww.facebook.com%2Fshare%2F1a48B8fLya%2F#</t>
  </si>
  <si>
    <t>e6d87e86</t>
  </si>
  <si>
    <t>https://www.facebook.com/emiyogam?locale=fr_FR</t>
  </si>
  <si>
    <t>ID_D_D</t>
  </si>
  <si>
    <t>Type_D_D</t>
  </si>
  <si>
    <t>48b2a9be</t>
  </si>
  <si>
    <t>borne électrique (recharge VTT ou véhicule)</t>
  </si>
  <si>
    <t>477eddcc</t>
  </si>
  <si>
    <t>recyclage des végétaux</t>
  </si>
  <si>
    <t>prestataire qui utilise les feuilles de palmier pour ses créations</t>
  </si>
  <si>
    <t>8cba14d3</t>
  </si>
  <si>
    <t>Produits labellisés bio</t>
  </si>
  <si>
    <t>production bio / réemploi des bocaux usagés</t>
  </si>
  <si>
    <t>7b6c96ab</t>
  </si>
  <si>
    <t>Sensibilisation de la clientèle</t>
  </si>
  <si>
    <t>8ed47988</t>
  </si>
  <si>
    <t>70d472f0</t>
  </si>
  <si>
    <t>Gestion des déchets</t>
  </si>
  <si>
    <t>composteur / tri des déchets</t>
  </si>
  <si>
    <t>82bee9a0</t>
  </si>
  <si>
    <t>1b9487d1</t>
  </si>
  <si>
    <t>27cf440f</t>
  </si>
  <si>
    <t>fermette biologique / utilisation de produits bio</t>
  </si>
  <si>
    <t>40fd8f03</t>
  </si>
  <si>
    <t>Gestion de l'énergie</t>
  </si>
  <si>
    <t>Panneaux photovoltaïques</t>
  </si>
  <si>
    <t>70784837</t>
  </si>
  <si>
    <t>tri des déchets</t>
  </si>
  <si>
    <t>fe3de992</t>
  </si>
  <si>
    <t>Gestion de l'eau</t>
  </si>
  <si>
    <t>Récupération de l'eau de pluie</t>
  </si>
  <si>
    <t>838f6630</t>
  </si>
  <si>
    <t>Préservation de la biodiversité</t>
  </si>
  <si>
    <t>Préservation de la biodiversité aquatique des eaux douces de La Réunion</t>
  </si>
  <si>
    <t>a2bc7437</t>
  </si>
  <si>
    <t>30ab42af</t>
  </si>
  <si>
    <t>Tri sélectif</t>
  </si>
  <si>
    <t>982abb03</t>
  </si>
  <si>
    <t>Chauffe-eau solaire</t>
  </si>
  <si>
    <t>8a62b7e2</t>
  </si>
  <si>
    <t>85363fa8</t>
  </si>
  <si>
    <t>Eclairage LED / chauffe-eau solaire</t>
  </si>
  <si>
    <t>499a3b77</t>
  </si>
  <si>
    <t>e9ae000f</t>
  </si>
  <si>
    <t>Assainissement Durable</t>
  </si>
  <si>
    <t>Phyto-épuration</t>
  </si>
  <si>
    <t>09dbd670</t>
  </si>
  <si>
    <t>récupération de l'eau de pluie</t>
  </si>
  <si>
    <t>e23bef1d</t>
  </si>
  <si>
    <t>mini ferme / accessible aux PMR et autres types de handicaps</t>
  </si>
  <si>
    <t>05b85640</t>
  </si>
  <si>
    <t>lutte contre les espèces envahissantes / arboretum d'espèces endémiques et indigènes</t>
  </si>
  <si>
    <t>6c2bfabb</t>
  </si>
  <si>
    <t>tri / orientation zéro déchets</t>
  </si>
  <si>
    <t>14edf03d</t>
  </si>
  <si>
    <t>Autonomie énergétique / panneaux photovoltaïques</t>
  </si>
  <si>
    <t>120b383b</t>
  </si>
  <si>
    <t>Toilettes sèches</t>
  </si>
  <si>
    <t>a35eb637</t>
  </si>
  <si>
    <t>c2851993</t>
  </si>
  <si>
    <t>Cuisine avec pdts bio et locaux
Utilisation nettoyage vapeur</t>
  </si>
  <si>
    <t>ce641f36</t>
  </si>
  <si>
    <t>Tri effectué par les hébergeurs</t>
  </si>
  <si>
    <t>2d46430d</t>
  </si>
  <si>
    <t>Éclairage LED et solaire
Panneaux photovoltaiques
Chauffe eau solaire</t>
  </si>
  <si>
    <t>8af361f6</t>
  </si>
  <si>
    <t>Recuperation eau de pluie une citerne pr le jardin, piscine, jacuzzi</t>
  </si>
  <si>
    <t>fe796aaa</t>
  </si>
  <si>
    <t>Poubelle à végétaux dispo sur place</t>
  </si>
  <si>
    <t>d6d2064f</t>
  </si>
  <si>
    <t>Tri sélectif appliqué et demandé aux clients. Le verre et récupérer également pour bien trier.</t>
  </si>
  <si>
    <t>5d1878cd</t>
  </si>
  <si>
    <t>Tri des déchets proposé aux clients.
Suppression des consommables à usage unique et l’élimination des emballages plastiques.
Les déchets compostables sont traités et stockés sur place, et le compost ainsi généré est utilisé pour les nombreux espaces végétalisés de l’hôtel.</t>
  </si>
  <si>
    <t>c8cde98a</t>
  </si>
  <si>
    <t>L’hôtel est équipé des équipements sanitaires les plus récents, incluant notamment des mousseurs et des robinets avec cran économiseur d’eau à double position, qui permettent de limiter le débit et donc la consommation. Les WC sont équipés de la même manière de chasse-d ’eau à double poussoir.
Un volet repliable automatique est installé sur la piscine permettant de couvrir celle-ci hors des heures d’usage afin de limiter les déperditions thermiques et l’évaporation d’eau.
Le chauffage de l’eau de la piscine est assuré par une pompe à chaleur.</t>
  </si>
  <si>
    <t>d53322b2</t>
  </si>
  <si>
    <t>Réduction de la consommation électrique (pas de télévision dans les chambres, éclairage extérieur avec détecteur de présence)
Mise en place d’une centrale solaire thermique équipée d’une surface de captage de 56 m², couvrant l’ensemble des hébergements, nouveaux et anciens.
Ventilation naturelle (climatisation uniquement en appoint si nécessaire)</t>
  </si>
  <si>
    <t>f80621a1</t>
  </si>
  <si>
    <t>Le végétal fait partie intégrante de la stratégie environnementale du projet du Dimitile. Le projet paysager met en valeur les espèces endémiques et la biodiversité du site : les plus gros sujets ont d’ailleurs été déplantés, mis en nourrice, puis replantés à l’issue des travaux.</t>
  </si>
  <si>
    <t>2f23e26f</t>
  </si>
  <si>
    <t>Suppression des consommables à usage unique et l’élimination des emballages plastiques.
Les déchets compostables sont traités et stockés sur place, et le compost ainsi généré est utilisé pour les nombreux espaces végétalisés de l’hôtel.</t>
  </si>
  <si>
    <t>1ca44c32</t>
  </si>
  <si>
    <t>Produits en circuit court</t>
  </si>
  <si>
    <t>Le restaurant du Dimitile souhaite promouvoir le savoir-faire et l’agriculture de l’île en privilégiant les fruits et légumes locaux et de saison. Les maraîchers sont sélectionnés pour la qualité de leurs produits et l’utilisation limitée de pesticides dans leurs exploitations.</t>
  </si>
  <si>
    <t>84c40691</t>
  </si>
  <si>
    <t>Construction bioclimatique</t>
  </si>
  <si>
    <t>Les bâtiments du Dimitile ont été conçu en intégrant les grands principes bioclimatiques : orientation des édifices, utilisation de voiles d’ombrages ou dimensionnement des débords de toit pour gérer au mieux les apports solaires en les favorisant lors de la saison fraîche et en s’en protégeant lors de la saison chaude.</t>
  </si>
  <si>
    <t>9dc593d0</t>
  </si>
  <si>
    <t>Sensibilisation du personnel</t>
  </si>
  <si>
    <t>Formation du personnel aux pratiques écoresponsables (formation obligatoire démarche éco responsable dans une entreprise).</t>
  </si>
  <si>
    <t>341fee0c</t>
  </si>
  <si>
    <t>Soutien associatif</t>
  </si>
  <si>
    <t>Le groupe AMANTA, dont fait partie Le Dimitile, est membre du mouvement 1% pour la planète et reverse ainsi 1% de son chiffre d’affaires à des fins environnementales.</t>
  </si>
  <si>
    <t>bad6635c</t>
  </si>
  <si>
    <t>795cf17d</t>
  </si>
  <si>
    <t>L’hôtel utilise des équipements sanitaires économes en eau et une couverture automatique pour la piscine afin de limiter les pertes thermiques et l’évaporation. Le chauffage de la piscine est assuré par une pompe à chaleur.</t>
  </si>
  <si>
    <t>8150c3bc</t>
  </si>
  <si>
    <t>fd789863</t>
  </si>
  <si>
    <t>Composte, panier gourmand anti-gaspillage</t>
  </si>
  <si>
    <t>e975ad12</t>
  </si>
  <si>
    <t>Chauffe-Eau Solaire, éclairage extérieur solaire et led dans l'hôtel</t>
  </si>
  <si>
    <t>daf8db3e</t>
  </si>
  <si>
    <t>Upcycling</t>
  </si>
  <si>
    <t>crée des bijoux ou des produits à partir d'anciens produits qui ne peuvent plus être utilisés</t>
  </si>
  <si>
    <t>96106716</t>
  </si>
  <si>
    <t>utilisation de produits bio pour réaliser ses confitures et autres produits transformés</t>
  </si>
  <si>
    <t>6dcf8eb9</t>
  </si>
  <si>
    <t>produits en zéro déchets</t>
  </si>
  <si>
    <t>fd4cc737</t>
  </si>
  <si>
    <t>produits zéro déchets + ateliers</t>
  </si>
  <si>
    <t>a36b4556</t>
  </si>
  <si>
    <t>travaille avec les agriculteurs et artisans locaux</t>
  </si>
  <si>
    <t>52387810</t>
  </si>
  <si>
    <t>réinsertion professionnelle des personnes en difficultés et propose des ateliers à prix réduit pour les associations (maladies chroniques par ex...)</t>
  </si>
  <si>
    <t>ea73206e</t>
  </si>
  <si>
    <t>réutilisation de tissus et pots pour ses produits</t>
  </si>
  <si>
    <t>65f9f55d</t>
  </si>
  <si>
    <t>Recyclage de papier</t>
  </si>
  <si>
    <t>b79075d8</t>
  </si>
  <si>
    <t>12fdbe56</t>
  </si>
  <si>
    <t>3e7cae51</t>
  </si>
  <si>
    <t>06ba2d88</t>
  </si>
  <si>
    <t>Compostage et poulailler (déchets alimentaires)</t>
  </si>
  <si>
    <t>61d500c5</t>
  </si>
  <si>
    <t>e34d56c9</t>
  </si>
  <si>
    <t>compostage</t>
  </si>
  <si>
    <t>0abb4bd6</t>
  </si>
  <si>
    <t>choix de fournisseurs locaux dès que possible et produits péi</t>
  </si>
  <si>
    <t>6fc4568f</t>
  </si>
  <si>
    <t>41884c4e</t>
  </si>
  <si>
    <t>Tri des déchets disponible dans la maison : compost, verre, poubelle jaune</t>
  </si>
  <si>
    <t>b8723b14</t>
  </si>
  <si>
    <t>dispose d'un livret d'accueil avec des éléments de sensibilisation à la protection de l'environnement</t>
  </si>
  <si>
    <t>f96edc5e</t>
  </si>
  <si>
    <t>Panneaux photovoltaïque et chauffe eau solaire</t>
  </si>
  <si>
    <t>d0ba7bc0</t>
  </si>
  <si>
    <t>Récupération de l'eau de pluie pour le jardin, chasse d'eau éco, cuisine équipée de robinet à double débit</t>
  </si>
  <si>
    <t>5fcedc8d</t>
  </si>
  <si>
    <t>Produits bio à dispo des clients : produit vaisselle et lave-vaisselle, produits ménagers, savon bio</t>
  </si>
  <si>
    <t>54b9c9ab</t>
  </si>
  <si>
    <t>Pas de climatiseurs, la structure dispose de brasseurs d'air</t>
  </si>
  <si>
    <t>formulaire_id</t>
  </si>
  <si>
    <t>prestataire_id</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</si>
</sst>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d/m/yyyy hh:mm"/>
    <numFmt numFmtId="166" formatCode="d/m/yyyy"/>
    <numFmt numFmtId="167" formatCode="dd/mm/yyyy"/>
    <numFmt numFmtId="168" formatCode="dd/mm/yyyy hh:mm:ss"/>
    <numFmt numFmtId="169" formatCode="dd/MM/yyyy"/>
    <numFmt numFmtId="170" formatCode="d/m/yyyy hh:mm:ss"/>
    <numFmt numFmtId="171" formatCode="d-m"/>
    <numFmt numFmtId="172" formatCode="hh&quot;:&quot;mm"/>
    <numFmt numFmtId="173" formatCode="dddd d mmm"/>
    <numFmt numFmtId="174" formatCode="d mmmm"/>
  </numFmts>
  <fonts count="39">
    <font>
      <sz val="10.0"/>
      <color rgb="FF000000"/>
      <name val="Arial"/>
      <scheme val="minor"/>
    </font>
    <font>
      <b/>
      <color theme="1"/>
      <name val="Calibri"/>
    </font>
    <font>
      <color theme="1"/>
      <name val="Calibri"/>
    </font>
    <font>
      <u/>
      <color rgb="FF0000FF"/>
    </font>
    <font>
      <color theme="1"/>
      <name val="Arial"/>
      <scheme val="minor"/>
    </font>
    <font>
      <color rgb="FF000000"/>
      <name val="Docs-Calibri"/>
    </font>
    <font>
      <u/>
      <color rgb="FF0000FF"/>
    </font>
    <font>
      <color rgb="FF000000"/>
      <name val="Roboto"/>
    </font>
    <font>
      <color rgb="FF000000"/>
      <name val="Calibri"/>
    </font>
    <font>
      <sz val="11.0"/>
      <color rgb="FF000000"/>
      <name val="Roboto"/>
    </font>
    <font>
      <sz val="9.0"/>
      <color rgb="FF1F1F1F"/>
      <name val="&quot;Google Sans&quot;"/>
    </font>
    <font>
      <sz val="12.0"/>
      <color rgb="FF5F6368"/>
      <name val="Roboto"/>
    </font>
    <font>
      <sz val="11.0"/>
      <color rgb="FF000000"/>
      <name val="Inconsolata"/>
    </font>
    <font>
      <u/>
      <color rgb="FF0000FF"/>
    </font>
    <font>
      <b/>
      <sz val="12.0"/>
      <color theme="1"/>
      <name val="Calibri"/>
    </font>
    <font>
      <b/>
      <sz val="12.0"/>
      <color rgb="FF000000"/>
      <name val="Calibri"/>
    </font>
    <font>
      <b/>
      <sz val="12.0"/>
      <color theme="1"/>
      <name val="Arial"/>
      <scheme val="minor"/>
    </font>
    <font>
      <sz val="11.0"/>
      <color rgb="FF000000"/>
      <name val="Calibri"/>
    </font>
    <font>
      <u/>
      <color rgb="FF0000FF"/>
    </font>
    <font>
      <u/>
      <color theme="1"/>
      <name val="Calibri"/>
    </font>
    <font>
      <color rgb="FF333333"/>
      <name val="Monospace"/>
    </font>
    <font>
      <sz val="14.0"/>
      <color rgb="FF3C4043"/>
      <name val="Roboto"/>
    </font>
    <font>
      <u/>
      <color rgb="FF0000FF"/>
    </font>
    <font>
      <u/>
      <color rgb="FF0000FF"/>
    </font>
    <font>
      <color rgb="FF000000"/>
      <name val="Arial"/>
      <scheme val="minor"/>
    </font>
    <font>
      <u/>
      <color theme="1"/>
      <name val="Calibri"/>
    </font>
    <font>
      <sz val="11.0"/>
      <color rgb="FF000000"/>
      <name val="Docs-Calibri"/>
    </font>
    <font>
      <color rgb="FF333333"/>
      <name val="Arial"/>
    </font>
    <font>
      <color theme="1"/>
      <name val="Arial"/>
    </font>
    <font>
      <sz val="11.0"/>
      <color rgb="FF0C0D10"/>
      <name val="Lato"/>
    </font>
    <font>
      <b/>
      <sz val="10.0"/>
      <color theme="1"/>
      <name val="Calibri"/>
    </font>
    <font>
      <u/>
      <color rgb="FF0000FF"/>
      <name val="Calibri"/>
    </font>
    <font>
      <b/>
      <color theme="1"/>
      <name val="Roboto"/>
    </font>
    <font>
      <b/>
      <sz val="11.0"/>
      <color rgb="FF222222"/>
      <name val="Roboto"/>
    </font>
    <font>
      <sz val="11.0"/>
      <color rgb="FF4D5156"/>
      <name val="Arial"/>
    </font>
    <font>
      <u/>
      <color rgb="FF0000FF"/>
      <name val="Calibri"/>
    </font>
    <font>
      <b/>
      <sz val="10.0"/>
      <color rgb="FF222222"/>
      <name val="Roboto"/>
    </font>
    <font>
      <b/>
      <color theme="1"/>
      <name val="Arial"/>
      <scheme val="minor"/>
    </font>
    <font>
      <u/>
      <color rgb="FF0000FF"/>
    </font>
  </fonts>
  <fills count="8">
    <fill>
      <patternFill patternType="none"/>
    </fill>
    <fill>
      <patternFill patternType="lightGray"/>
    </fill>
    <fill>
      <patternFill patternType="solid">
        <fgColor rgb="FFFFFFFF"/>
        <bgColor rgb="FFFFFFFF"/>
      </patternFill>
    </fill>
    <fill>
      <patternFill patternType="solid">
        <fgColor rgb="FFEEEEEE"/>
        <bgColor rgb="FFEEEEEE"/>
      </patternFill>
    </fill>
    <fill>
      <patternFill patternType="solid">
        <fgColor theme="6"/>
        <bgColor theme="6"/>
      </patternFill>
    </fill>
    <fill>
      <patternFill patternType="solid">
        <fgColor rgb="FFF8F8F8"/>
        <bgColor rgb="FFF8F8F8"/>
      </patternFill>
    </fill>
    <fill>
      <patternFill patternType="solid">
        <fgColor rgb="FFCCCCCC"/>
        <bgColor rgb="FFCCCCCC"/>
      </patternFill>
    </fill>
    <fill>
      <patternFill patternType="solid">
        <fgColor rgb="FFD9D9D9"/>
        <bgColor rgb="FFD9D9D9"/>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shrinkToFit="0" wrapText="0"/>
    </xf>
    <xf borderId="0" fillId="0" fontId="2" numFmtId="0" xfId="0" applyFont="1"/>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horizontal="left" readingOrder="0"/>
    </xf>
    <xf borderId="0" fillId="0" fontId="6" numFmtId="0" xfId="0" applyAlignment="1" applyFont="1">
      <alignment readingOrder="0"/>
    </xf>
    <xf borderId="0" fillId="2" fontId="7" numFmtId="0" xfId="0" applyAlignment="1" applyFont="1">
      <alignment readingOrder="0"/>
    </xf>
    <xf borderId="0" fillId="2" fontId="8" numFmtId="0" xfId="0" applyAlignment="1" applyFont="1">
      <alignment horizontal="left" readingOrder="0"/>
    </xf>
    <xf borderId="0" fillId="2" fontId="9" numFmtId="0" xfId="0" applyAlignment="1" applyFont="1">
      <alignment horizontal="left" readingOrder="0"/>
    </xf>
    <xf borderId="0" fillId="0" fontId="4" numFmtId="0" xfId="0" applyAlignment="1" applyFont="1">
      <alignment readingOrder="0"/>
    </xf>
    <xf borderId="0" fillId="2" fontId="10" numFmtId="0" xfId="0" applyAlignment="1" applyFont="1">
      <alignment readingOrder="0"/>
    </xf>
    <xf borderId="0" fillId="3" fontId="7" numFmtId="0" xfId="0" applyAlignment="1" applyFill="1" applyFont="1">
      <alignment horizontal="left" readingOrder="0" shrinkToFit="0" wrapText="0"/>
    </xf>
    <xf borderId="0" fillId="2" fontId="11" numFmtId="0" xfId="0" applyAlignment="1" applyFont="1">
      <alignment readingOrder="0"/>
    </xf>
    <xf borderId="0" fillId="0" fontId="4" numFmtId="0" xfId="0" applyAlignment="1" applyFont="1">
      <alignment readingOrder="0" shrinkToFit="0" wrapText="0"/>
    </xf>
    <xf borderId="0" fillId="0" fontId="2" numFmtId="164" xfId="0" applyAlignment="1" applyFont="1" applyNumberFormat="1">
      <alignment shrinkToFit="0" wrapText="0"/>
    </xf>
    <xf borderId="0" fillId="0" fontId="2" numFmtId="165" xfId="0" applyAlignment="1" applyFont="1" applyNumberFormat="1">
      <alignment shrinkToFit="0" wrapText="0"/>
    </xf>
    <xf borderId="0" fillId="0" fontId="2" numFmtId="166" xfId="0" applyAlignment="1" applyFont="1" applyNumberFormat="1">
      <alignment shrinkToFit="0" wrapText="0"/>
    </xf>
    <xf borderId="0" fillId="2" fontId="12" numFmtId="0" xfId="0" applyFont="1"/>
    <xf borderId="0" fillId="0" fontId="2" numFmtId="167" xfId="0" applyAlignment="1" applyFont="1" applyNumberFormat="1">
      <alignment shrinkToFit="0" wrapText="0"/>
    </xf>
    <xf borderId="0" fillId="2" fontId="12" numFmtId="0" xfId="0" applyAlignment="1" applyFont="1">
      <alignment shrinkToFit="0" wrapText="0"/>
    </xf>
    <xf borderId="0" fillId="0" fontId="13" numFmtId="0" xfId="0" applyAlignment="1" applyFont="1">
      <alignment shrinkToFit="0" wrapText="0"/>
    </xf>
    <xf borderId="0" fillId="0" fontId="2" numFmtId="168" xfId="0" applyAlignment="1" applyFont="1" applyNumberFormat="1">
      <alignment shrinkToFit="0" wrapText="0"/>
    </xf>
    <xf borderId="0" fillId="0" fontId="14" numFmtId="0" xfId="0" applyFont="1"/>
    <xf borderId="0" fillId="0" fontId="15" numFmtId="0" xfId="0" applyAlignment="1" applyFont="1">
      <alignment readingOrder="0" vertical="bottom"/>
    </xf>
    <xf borderId="0" fillId="4" fontId="16" numFmtId="0" xfId="0" applyAlignment="1" applyFill="1" applyFont="1">
      <alignment readingOrder="0"/>
    </xf>
    <xf borderId="0" fillId="2" fontId="15" numFmtId="0" xfId="0" applyAlignment="1" applyFont="1">
      <alignment horizontal="left" readingOrder="0"/>
    </xf>
    <xf borderId="0" fillId="0" fontId="16" numFmtId="0" xfId="0" applyAlignment="1" applyFont="1">
      <alignment readingOrder="0"/>
    </xf>
    <xf borderId="0" fillId="0" fontId="16" numFmtId="0" xfId="0" applyFont="1"/>
    <xf borderId="0" fillId="0" fontId="17" numFmtId="0" xfId="0" applyAlignment="1" applyFont="1">
      <alignment readingOrder="0" vertical="bottom"/>
    </xf>
    <xf borderId="0" fillId="4" fontId="4" numFmtId="0" xfId="0" applyAlignment="1" applyFont="1">
      <alignment readingOrder="0"/>
    </xf>
    <xf borderId="0" fillId="0" fontId="4" numFmtId="0" xfId="0" applyFont="1"/>
    <xf borderId="0" fillId="0" fontId="18" numFmtId="0" xfId="0" applyFont="1"/>
    <xf borderId="0" fillId="0" fontId="1" numFmtId="49" xfId="0" applyAlignment="1" applyFont="1" applyNumberFormat="1">
      <alignment shrinkToFit="0" wrapText="0"/>
    </xf>
    <xf borderId="0" fillId="0" fontId="1" numFmtId="169" xfId="0" applyAlignment="1" applyFont="1" applyNumberFormat="1">
      <alignment shrinkToFit="0" wrapText="0"/>
    </xf>
    <xf borderId="0" fillId="0" fontId="1" numFmtId="0" xfId="0" applyAlignment="1" applyFont="1">
      <alignment readingOrder="0" shrinkToFit="0" wrapText="0"/>
    </xf>
    <xf quotePrefix="1" borderId="0" fillId="0" fontId="2" numFmtId="0" xfId="0" applyAlignment="1" applyFont="1">
      <alignment readingOrder="0" shrinkToFit="0" wrapText="0"/>
    </xf>
    <xf borderId="0" fillId="0" fontId="2" numFmtId="0" xfId="0" applyAlignment="1" applyFont="1">
      <alignment vertical="bottom"/>
    </xf>
    <xf borderId="0" fillId="0" fontId="2" numFmtId="49" xfId="0" applyAlignment="1" applyFont="1" applyNumberFormat="1">
      <alignment readingOrder="0" vertical="bottom"/>
    </xf>
    <xf borderId="0" fillId="0" fontId="19" numFmtId="49" xfId="0" applyAlignment="1" applyFont="1" applyNumberFormat="1">
      <alignment readingOrder="0" shrinkToFit="0" wrapText="0"/>
    </xf>
    <xf borderId="0" fillId="0" fontId="2" numFmtId="168" xfId="0" applyAlignment="1" applyFont="1" applyNumberFormat="1">
      <alignment readingOrder="0" shrinkToFit="0" wrapText="0"/>
    </xf>
    <xf borderId="0" fillId="5" fontId="20" numFmtId="0" xfId="0" applyAlignment="1" applyFill="1" applyFont="1">
      <alignment readingOrder="0" shrinkToFit="0" wrapText="1"/>
    </xf>
    <xf borderId="0" fillId="0" fontId="4" numFmtId="49" xfId="0" applyAlignment="1" applyFont="1" applyNumberFormat="1">
      <alignment shrinkToFit="0" wrapText="0"/>
    </xf>
    <xf borderId="0" fillId="2" fontId="21" numFmtId="0" xfId="0" applyAlignment="1" applyFont="1">
      <alignment horizontal="center" readingOrder="0"/>
    </xf>
    <xf quotePrefix="1" borderId="0" fillId="0" fontId="2" numFmtId="49" xfId="0" applyAlignment="1" applyFont="1" applyNumberFormat="1">
      <alignment readingOrder="0" vertical="bottom"/>
    </xf>
    <xf borderId="0" fillId="0" fontId="2" numFmtId="49" xfId="0" applyAlignment="1" applyFont="1" applyNumberFormat="1">
      <alignment vertical="bottom"/>
    </xf>
    <xf borderId="0" fillId="0" fontId="2" numFmtId="49" xfId="0" applyAlignment="1" applyFont="1" applyNumberFormat="1">
      <alignment shrinkToFit="0" wrapText="0"/>
    </xf>
    <xf quotePrefix="1" borderId="0" fillId="0" fontId="4" numFmtId="0" xfId="0" applyAlignment="1" applyFont="1">
      <alignment readingOrder="0"/>
    </xf>
    <xf borderId="0" fillId="0" fontId="2" numFmtId="0" xfId="0" applyAlignment="1" applyFont="1">
      <alignment readingOrder="0" vertical="bottom"/>
    </xf>
    <xf borderId="0" fillId="0" fontId="4" numFmtId="49" xfId="0" applyFont="1" applyNumberFormat="1"/>
    <xf borderId="0" fillId="0" fontId="4" numFmtId="168" xfId="0" applyAlignment="1" applyFont="1" applyNumberFormat="1">
      <alignment readingOrder="0"/>
    </xf>
    <xf borderId="0" fillId="0" fontId="4" numFmtId="167" xfId="0" applyAlignment="1" applyFont="1" applyNumberFormat="1">
      <alignment readingOrder="0"/>
    </xf>
    <xf borderId="0" fillId="0" fontId="22" numFmtId="49" xfId="0" applyAlignment="1" applyFont="1" applyNumberFormat="1">
      <alignment readingOrder="0" shrinkToFit="0" wrapText="0"/>
    </xf>
    <xf borderId="0" fillId="0" fontId="23" numFmtId="49" xfId="0" applyAlignment="1" applyFont="1" applyNumberFormat="1">
      <alignment readingOrder="0"/>
    </xf>
    <xf borderId="0" fillId="0" fontId="4" numFmtId="49" xfId="0" applyAlignment="1" applyFont="1" applyNumberFormat="1">
      <alignment readingOrder="0"/>
    </xf>
    <xf borderId="0" fillId="0" fontId="4" numFmtId="170" xfId="0" applyAlignment="1" applyFont="1" applyNumberFormat="1">
      <alignment readingOrder="0"/>
    </xf>
    <xf borderId="0" fillId="0" fontId="4" numFmtId="166" xfId="0" applyAlignment="1" applyFont="1" applyNumberFormat="1">
      <alignment readingOrder="0"/>
    </xf>
    <xf quotePrefix="1" borderId="0" fillId="5" fontId="20" numFmtId="0" xfId="0" applyAlignment="1" applyFont="1">
      <alignment readingOrder="0" shrinkToFit="0" wrapText="1"/>
    </xf>
    <xf borderId="0" fillId="0" fontId="2" numFmtId="170" xfId="0" applyAlignment="1" applyFont="1" applyNumberFormat="1">
      <alignment readingOrder="0" shrinkToFit="0" wrapText="0"/>
    </xf>
    <xf borderId="1" fillId="0" fontId="2" numFmtId="0" xfId="0" applyAlignment="1" applyBorder="1" applyFont="1">
      <alignment shrinkToFit="0" wrapText="0"/>
    </xf>
    <xf borderId="0" fillId="0" fontId="2" numFmtId="167" xfId="0" applyAlignment="1" applyFont="1" applyNumberFormat="1">
      <alignment readingOrder="0" shrinkToFit="0" wrapText="0"/>
    </xf>
    <xf borderId="0" fillId="0" fontId="24" numFmtId="49" xfId="0" applyAlignment="1" applyFont="1" applyNumberFormat="1">
      <alignment readingOrder="0" shrinkToFit="0" wrapText="0"/>
    </xf>
    <xf borderId="0" fillId="5" fontId="20" numFmtId="11" xfId="0" applyAlignment="1" applyFont="1" applyNumberFormat="1">
      <alignment readingOrder="0" shrinkToFit="0" wrapText="1"/>
    </xf>
    <xf borderId="0" fillId="0" fontId="25" numFmtId="0" xfId="0" applyAlignment="1" applyFont="1">
      <alignment readingOrder="0" shrinkToFit="0" wrapText="0"/>
    </xf>
    <xf borderId="0" fillId="2" fontId="5" numFmtId="0" xfId="0" applyAlignment="1" applyFont="1">
      <alignment horizontal="right" readingOrder="0"/>
    </xf>
    <xf borderId="0" fillId="2" fontId="26" numFmtId="0" xfId="0" applyAlignment="1" applyFont="1">
      <alignment horizontal="left" readingOrder="0"/>
    </xf>
    <xf borderId="0" fillId="0" fontId="2" numFmtId="0" xfId="0" applyAlignment="1" applyFont="1">
      <alignment vertical="bottom"/>
    </xf>
    <xf borderId="0" fillId="0" fontId="2" numFmtId="49" xfId="0" applyAlignment="1" applyFont="1" applyNumberFormat="1">
      <alignment readingOrder="0" shrinkToFit="0" wrapText="0"/>
    </xf>
    <xf borderId="0" fillId="5" fontId="27" numFmtId="0" xfId="0" applyAlignment="1" applyFont="1">
      <alignment readingOrder="0" shrinkToFit="0" wrapText="1"/>
    </xf>
    <xf borderId="0" fillId="0" fontId="2" numFmtId="169" xfId="0" applyAlignment="1" applyFont="1" applyNumberFormat="1">
      <alignment shrinkToFit="0" wrapText="0"/>
    </xf>
    <xf borderId="0" fillId="5" fontId="20" numFmtId="0" xfId="0" applyAlignment="1" applyFont="1">
      <alignment shrinkToFit="0" wrapText="1"/>
    </xf>
    <xf borderId="0" fillId="0" fontId="15" numFmtId="0" xfId="0" applyAlignment="1" applyFont="1">
      <alignment readingOrder="0" shrinkToFit="0" vertical="bottom" wrapText="0"/>
    </xf>
    <xf borderId="0" fillId="0" fontId="1" numFmtId="0" xfId="0" applyAlignment="1" applyFont="1">
      <alignment shrinkToFit="0" wrapText="0"/>
    </xf>
    <xf borderId="0" fillId="0" fontId="1" numFmtId="49" xfId="0" applyAlignment="1" applyFont="1" applyNumberFormat="1">
      <alignment shrinkToFit="0" wrapText="0"/>
    </xf>
    <xf borderId="0" fillId="0" fontId="1" numFmtId="49" xfId="0" applyAlignment="1" applyFont="1" applyNumberFormat="1">
      <alignment horizontal="left" shrinkToFit="0" wrapText="0"/>
    </xf>
    <xf borderId="0" fillId="0" fontId="1" numFmtId="0" xfId="0" applyAlignment="1" applyFont="1">
      <alignment readingOrder="0" shrinkToFit="0" wrapText="0"/>
    </xf>
    <xf borderId="0" fillId="0" fontId="28" numFmtId="0" xfId="0" applyAlignment="1" applyFont="1">
      <alignment shrinkToFit="0" vertical="bottom" wrapText="0"/>
    </xf>
    <xf borderId="0" fillId="0" fontId="28" numFmtId="0" xfId="0" applyAlignment="1" applyFont="1">
      <alignment shrinkToFit="0" vertical="bottom" wrapText="0"/>
    </xf>
    <xf borderId="0" fillId="0" fontId="28" numFmtId="49" xfId="0" applyAlignment="1" applyFont="1" applyNumberFormat="1">
      <alignment horizontal="right" shrinkToFit="0" vertical="bottom" wrapText="0"/>
    </xf>
    <xf borderId="0" fillId="0" fontId="28" numFmtId="0" xfId="0" applyAlignment="1" applyFont="1">
      <alignment horizontal="center" readingOrder="0" shrinkToFit="0" vertical="bottom" wrapText="0"/>
    </xf>
    <xf borderId="0" fillId="0" fontId="28" numFmtId="0" xfId="0" applyAlignment="1" applyFont="1">
      <alignment readingOrder="0" shrinkToFit="0" vertical="bottom" wrapText="0"/>
    </xf>
    <xf borderId="0" fillId="0" fontId="28" numFmtId="0" xfId="0" applyAlignment="1" applyFont="1">
      <alignment horizontal="right" shrinkToFit="0" vertical="bottom" wrapText="0"/>
    </xf>
    <xf borderId="0" fillId="0" fontId="2" numFmtId="169" xfId="0" applyAlignment="1" applyFont="1" applyNumberFormat="1">
      <alignment shrinkToFit="0" wrapText="0"/>
    </xf>
    <xf borderId="0" fillId="0" fontId="28" numFmtId="0" xfId="0" applyAlignment="1" applyFont="1">
      <alignment horizontal="center" shrinkToFit="0" vertical="bottom" wrapText="0"/>
    </xf>
    <xf quotePrefix="1" borderId="0" fillId="0" fontId="28" numFmtId="0" xfId="0" applyAlignment="1" applyFont="1">
      <alignment horizontal="right" readingOrder="0" shrinkToFit="0" vertical="bottom" wrapText="0"/>
    </xf>
    <xf quotePrefix="1" borderId="0" fillId="0" fontId="28" numFmtId="0" xfId="0" applyAlignment="1" applyFont="1">
      <alignment readingOrder="0" shrinkToFit="0" vertical="bottom" wrapText="0"/>
    </xf>
    <xf quotePrefix="1" borderId="0" fillId="0" fontId="28" numFmtId="49" xfId="0" applyAlignment="1" applyFont="1" applyNumberFormat="1">
      <alignment horizontal="right" readingOrder="0" shrinkToFit="0" vertical="bottom" wrapText="0"/>
    </xf>
    <xf borderId="0" fillId="0" fontId="28" numFmtId="167" xfId="0" applyAlignment="1" applyFont="1" applyNumberFormat="1">
      <alignment readingOrder="0" shrinkToFit="0" vertical="bottom" wrapText="0"/>
    </xf>
    <xf borderId="0" fillId="0" fontId="2" numFmtId="0" xfId="0" applyAlignment="1" applyFont="1">
      <alignment readingOrder="0" shrinkToFit="0" wrapText="0"/>
    </xf>
    <xf borderId="0" fillId="0" fontId="28" numFmtId="49" xfId="0" applyAlignment="1" applyFont="1" applyNumberFormat="1">
      <alignment horizontal="right" readingOrder="0" shrinkToFit="0" vertical="bottom" wrapText="0"/>
    </xf>
    <xf borderId="0" fillId="0" fontId="28" numFmtId="0" xfId="0" applyAlignment="1" applyFont="1">
      <alignment vertical="bottom"/>
    </xf>
    <xf borderId="0" fillId="0" fontId="28" numFmtId="166" xfId="0" applyAlignment="1" applyFont="1" applyNumberFormat="1">
      <alignment readingOrder="0" shrinkToFit="0" vertical="bottom" wrapText="0"/>
    </xf>
    <xf borderId="0" fillId="0" fontId="28" numFmtId="0" xfId="0" applyAlignment="1" applyFont="1">
      <alignment horizontal="right" readingOrder="0" shrinkToFit="0" vertical="bottom" wrapText="0"/>
    </xf>
    <xf borderId="0" fillId="0" fontId="28" numFmtId="49" xfId="0" applyAlignment="1" applyFont="1" applyNumberFormat="1">
      <alignment shrinkToFit="0" vertical="bottom" wrapText="0"/>
    </xf>
    <xf borderId="0" fillId="0" fontId="28" numFmtId="171" xfId="0" applyAlignment="1" applyFont="1" applyNumberFormat="1">
      <alignment horizontal="right" shrinkToFit="0" vertical="bottom" wrapText="0"/>
    </xf>
    <xf borderId="0" fillId="2" fontId="29" numFmtId="0" xfId="0" applyAlignment="1" applyFont="1">
      <alignment vertical="bottom"/>
    </xf>
    <xf borderId="0" fillId="0" fontId="4" numFmtId="0" xfId="0" applyAlignment="1" applyFont="1">
      <alignment shrinkToFit="0" wrapText="0"/>
    </xf>
    <xf quotePrefix="1" borderId="0" fillId="0" fontId="4" numFmtId="0" xfId="0" applyAlignment="1" applyFont="1">
      <alignment readingOrder="0" shrinkToFit="0" wrapText="0"/>
    </xf>
    <xf borderId="0" fillId="0" fontId="4" numFmtId="0" xfId="0" applyAlignment="1" applyFont="1">
      <alignment shrinkToFit="0" wrapText="0"/>
    </xf>
    <xf borderId="0" fillId="0" fontId="4" numFmtId="167" xfId="0" applyAlignment="1" applyFont="1" applyNumberFormat="1">
      <alignment readingOrder="0" shrinkToFit="0" wrapText="0"/>
    </xf>
    <xf borderId="0" fillId="0" fontId="4" numFmtId="166" xfId="0" applyAlignment="1" applyFont="1" applyNumberFormat="1">
      <alignment readingOrder="0" shrinkToFit="0" wrapText="0"/>
    </xf>
    <xf borderId="0" fillId="6" fontId="30" numFmtId="0" xfId="0" applyAlignment="1" applyFill="1" applyFont="1">
      <alignment shrinkToFit="0" wrapText="0"/>
    </xf>
    <xf borderId="0" fillId="6" fontId="30" numFmtId="0" xfId="0" applyFont="1"/>
    <xf borderId="0" fillId="6" fontId="30" numFmtId="172" xfId="0" applyFont="1" applyNumberFormat="1"/>
    <xf borderId="0" fillId="6" fontId="30" numFmtId="172" xfId="0" applyFont="1" applyNumberFormat="1"/>
    <xf borderId="0" fillId="0" fontId="2" numFmtId="172" xfId="0" applyAlignment="1" applyFont="1" applyNumberFormat="1">
      <alignment readingOrder="0"/>
    </xf>
    <xf borderId="0" fillId="0" fontId="2" numFmtId="172" xfId="0" applyAlignment="1" applyFont="1" applyNumberFormat="1">
      <alignment readingOrder="0"/>
    </xf>
    <xf borderId="0" fillId="0" fontId="2" numFmtId="172" xfId="0" applyFont="1" applyNumberFormat="1"/>
    <xf borderId="0" fillId="0" fontId="2" numFmtId="172" xfId="0" applyFont="1" applyNumberFormat="1"/>
    <xf borderId="0" fillId="0" fontId="4" numFmtId="172" xfId="0" applyAlignment="1" applyFont="1" applyNumberFormat="1">
      <alignment readingOrder="0"/>
    </xf>
    <xf borderId="0" fillId="0" fontId="4" numFmtId="172" xfId="0" applyAlignment="1" applyFont="1" applyNumberFormat="1">
      <alignment readingOrder="0"/>
    </xf>
    <xf borderId="0" fillId="0" fontId="4" numFmtId="172" xfId="0" applyFont="1" applyNumberFormat="1"/>
    <xf borderId="0" fillId="0" fontId="4" numFmtId="172" xfId="0" applyFont="1" applyNumberFormat="1"/>
    <xf borderId="0" fillId="0" fontId="31" numFmtId="0" xfId="0" applyAlignment="1" applyFont="1">
      <alignment readingOrder="0" shrinkToFit="0" wrapText="0"/>
    </xf>
    <xf borderId="0" fillId="0" fontId="32" numFmtId="0" xfId="0" applyFont="1"/>
    <xf borderId="0" fillId="2" fontId="33" numFmtId="0" xfId="0" applyFont="1"/>
    <xf borderId="0" fillId="2" fontId="33" numFmtId="0" xfId="0" applyAlignment="1" applyFont="1">
      <alignment readingOrder="0"/>
    </xf>
    <xf borderId="0" fillId="0" fontId="32" numFmtId="0" xfId="0" applyAlignment="1" applyFont="1">
      <alignment readingOrder="0"/>
    </xf>
    <xf borderId="0" fillId="0" fontId="32" numFmtId="169" xfId="0" applyFont="1" applyNumberFormat="1"/>
    <xf borderId="0" fillId="2" fontId="34" numFmtId="0" xfId="0" applyAlignment="1" applyFont="1">
      <alignment horizontal="left" readingOrder="0"/>
    </xf>
    <xf borderId="0" fillId="0" fontId="2" numFmtId="169" xfId="0" applyAlignment="1" applyFont="1" applyNumberFormat="1">
      <alignment readingOrder="0"/>
    </xf>
    <xf borderId="0" fillId="0" fontId="2" numFmtId="167" xfId="0" applyAlignment="1" applyFont="1" applyNumberFormat="1">
      <alignment readingOrder="0"/>
    </xf>
    <xf borderId="0" fillId="0" fontId="4" numFmtId="169" xfId="0" applyAlignment="1" applyFont="1" applyNumberFormat="1">
      <alignment readingOrder="0"/>
    </xf>
    <xf borderId="0" fillId="0" fontId="2" numFmtId="0" xfId="0" applyAlignment="1" applyFont="1">
      <alignment vertical="bottom"/>
    </xf>
    <xf borderId="2" fillId="0" fontId="35" numFmtId="0" xfId="0" applyAlignment="1" applyBorder="1" applyFont="1">
      <alignment shrinkToFit="0" vertical="bottom" wrapText="0"/>
    </xf>
    <xf borderId="0" fillId="2" fontId="11" numFmtId="0" xfId="0" applyAlignment="1" applyFont="1">
      <alignment readingOrder="0"/>
    </xf>
    <xf borderId="0" fillId="0" fontId="4" numFmtId="173" xfId="0" applyAlignment="1" applyFont="1" applyNumberFormat="1">
      <alignment readingOrder="0"/>
    </xf>
    <xf borderId="0" fillId="0" fontId="4" numFmtId="174" xfId="0" applyAlignment="1" applyFont="1" applyNumberFormat="1">
      <alignment readingOrder="0"/>
    </xf>
    <xf borderId="0" fillId="7" fontId="32" numFmtId="0" xfId="0" applyFill="1" applyFont="1"/>
    <xf borderId="0" fillId="7" fontId="36" numFmtId="0" xfId="0" applyFont="1"/>
    <xf borderId="0" fillId="7" fontId="33" numFmtId="0" xfId="0" applyFont="1"/>
    <xf borderId="0" fillId="7" fontId="32" numFmtId="0" xfId="0" applyAlignment="1" applyFont="1">
      <alignment readingOrder="0"/>
    </xf>
    <xf quotePrefix="1" borderId="0" fillId="0" fontId="2" numFmtId="0" xfId="0" applyAlignment="1" applyFont="1">
      <alignment readingOrder="0"/>
    </xf>
    <xf borderId="0" fillId="0" fontId="37" numFmtId="0" xfId="0" applyFont="1"/>
    <xf borderId="0" fillId="0" fontId="37" numFmtId="0" xfId="0" applyAlignment="1" applyFont="1">
      <alignment readingOrder="0"/>
    </xf>
    <xf borderId="0" fillId="0" fontId="38" numFmtId="0" xfId="0" applyAlignment="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i-avatars.com/api/?name=+&amp;background=random&amp;rounded=true" TargetMode="External"/><Relationship Id="rId20" Type="http://schemas.openxmlformats.org/officeDocument/2006/relationships/hyperlink" Target="https://ui-avatars.com/api/?name=+&amp;background=random&amp;rounded=true" TargetMode="External"/><Relationship Id="rId41" Type="http://schemas.openxmlformats.org/officeDocument/2006/relationships/drawing" Target="../drawings/drawing1.xml"/><Relationship Id="rId22" Type="http://schemas.openxmlformats.org/officeDocument/2006/relationships/hyperlink" Target="https://ui-avatars.com/api/?name=Derouault+Lilian&amp;background=random&amp;rounded=true" TargetMode="External"/><Relationship Id="rId21" Type="http://schemas.openxmlformats.org/officeDocument/2006/relationships/hyperlink" Target="https://ui-avatars.com/api/?name=No%C3%A9mie+Chevalier&amp;background=random&amp;rounded=true" TargetMode="External"/><Relationship Id="rId24" Type="http://schemas.openxmlformats.org/officeDocument/2006/relationships/hyperlink" Target="https://ui-avatars.com/api/?name=Morel+Emilie&amp;background=random&amp;rounded=true" TargetMode="External"/><Relationship Id="rId23" Type="http://schemas.openxmlformats.org/officeDocument/2006/relationships/hyperlink" Target="https://ui-avatars.com/api/?name=Rivi%C3%A8re+St%C3%A9phane&amp;background=random&amp;rounded=true" TargetMode="External"/><Relationship Id="rId1" Type="http://schemas.openxmlformats.org/officeDocument/2006/relationships/hyperlink" Target="https://ui-avatars.com/api/?name=David+Philippe&amp;background=random&amp;rounded=true" TargetMode="External"/><Relationship Id="rId2" Type="http://schemas.openxmlformats.org/officeDocument/2006/relationships/hyperlink" Target="https://ui-avatars.com/api/?name=Annabelle+Mir&amp;background=random&amp;rounded=true" TargetMode="External"/><Relationship Id="rId3" Type="http://schemas.openxmlformats.org/officeDocument/2006/relationships/hyperlink" Target="https://ui-avatars.com/api/?name=Elodie+Terral&amp;background=random&amp;rounded=true" TargetMode="External"/><Relationship Id="rId4" Type="http://schemas.openxmlformats.org/officeDocument/2006/relationships/hyperlink" Target="https://ui-avatars.com/api/?name=Bardil+Larissa&amp;background=random&amp;rounded=true" TargetMode="External"/><Relationship Id="rId9" Type="http://schemas.openxmlformats.org/officeDocument/2006/relationships/hyperlink" Target="https://ui-avatars.com/api/?name=Christophe+DUPREY&amp;background=random&amp;rounded=true" TargetMode="External"/><Relationship Id="rId26" Type="http://schemas.openxmlformats.org/officeDocument/2006/relationships/hyperlink" Target="https://ui-avatars.com/api/?name=Dijoux+Gille&amp;background=random&amp;rounded=true" TargetMode="External"/><Relationship Id="rId25" Type="http://schemas.openxmlformats.org/officeDocument/2006/relationships/hyperlink" Target="https://ui-avatars.com/api/?name=Galletier+St%C3%A9phane&amp;background=random&amp;rounded=true" TargetMode="External"/><Relationship Id="rId28" Type="http://schemas.openxmlformats.org/officeDocument/2006/relationships/hyperlink" Target="https://ui-avatars.com/api/?name=+&amp;background=random&amp;rounded=true" TargetMode="External"/><Relationship Id="rId27" Type="http://schemas.openxmlformats.org/officeDocument/2006/relationships/hyperlink" Target="https://ui-avatars.com/api/?name=+&amp;background=random&amp;rounded=true" TargetMode="External"/><Relationship Id="rId5" Type="http://schemas.openxmlformats.org/officeDocument/2006/relationships/hyperlink" Target="https://ui-avatars.com/api/?name=M%C3%A9lodie+Lallement&amp;background=random&amp;rounded=true" TargetMode="External"/><Relationship Id="rId6" Type="http://schemas.openxmlformats.org/officeDocument/2006/relationships/hyperlink" Target="https://ui-avatars.com/api/?name=Ang%C3%A9lica+Sarpedon&amp;background=random&amp;rounded=true" TargetMode="External"/><Relationship Id="rId29" Type="http://schemas.openxmlformats.org/officeDocument/2006/relationships/hyperlink" Target="https://ui-avatars.com/api/?name=Pos%C3%A9+Charlotte&amp;background=random&amp;rounded=true" TargetMode="External"/><Relationship Id="rId7" Type="http://schemas.openxmlformats.org/officeDocument/2006/relationships/hyperlink" Target="https://ui-avatars.com/api/?name=Anne+Turpin&amp;background=random&amp;rounded=true" TargetMode="External"/><Relationship Id="rId8" Type="http://schemas.openxmlformats.org/officeDocument/2006/relationships/hyperlink" Target="https://ui-avatars.com/api/?name=Audrey+Payet&amp;background=random&amp;rounded=true" TargetMode="External"/><Relationship Id="rId31" Type="http://schemas.openxmlformats.org/officeDocument/2006/relationships/hyperlink" Target="https://ui-avatars.com/api/?name=Korane+Doressamy&amp;background=random&amp;rounded=true" TargetMode="External"/><Relationship Id="rId30" Type="http://schemas.openxmlformats.org/officeDocument/2006/relationships/hyperlink" Target="https://ui-avatars.com/api/?name=+&amp;background=random&amp;rounded=true" TargetMode="External"/><Relationship Id="rId11" Type="http://schemas.openxmlformats.org/officeDocument/2006/relationships/hyperlink" Target="https://ui-avatars.com/api/?name=David+ALLART&amp;background=random&amp;rounded=true" TargetMode="External"/><Relationship Id="rId33" Type="http://schemas.openxmlformats.org/officeDocument/2006/relationships/hyperlink" Target="https://ui-avatars.com/api/?name=+&amp;background=random&amp;rounded=true" TargetMode="External"/><Relationship Id="rId10" Type="http://schemas.openxmlformats.org/officeDocument/2006/relationships/hyperlink" Target="https://ui-avatars.com/api/?name=Christophe+METRO&amp;background=random&amp;rounded=true" TargetMode="External"/><Relationship Id="rId32" Type="http://schemas.openxmlformats.org/officeDocument/2006/relationships/hyperlink" Target="https://ui-avatars.com/api/?name=+&amp;background=random&amp;rounded=true" TargetMode="External"/><Relationship Id="rId13" Type="http://schemas.openxmlformats.org/officeDocument/2006/relationships/hyperlink" Target="https://ui-avatars.com/api/?name=Claudia+Pose&amp;background=random&amp;rounded=true" TargetMode="External"/><Relationship Id="rId35" Type="http://schemas.openxmlformats.org/officeDocument/2006/relationships/hyperlink" Target="https://ui-avatars.com/api/?name=Marie-No%C3%ABl+Severin&amp;background=random&amp;rounded=true" TargetMode="External"/><Relationship Id="rId12" Type="http://schemas.openxmlformats.org/officeDocument/2006/relationships/hyperlink" Target="https://ui-avatars.com/api/?name=Jo%C3%ABlle+GUICHARD&amp;background=random&amp;rounded=true" TargetMode="External"/><Relationship Id="rId34" Type="http://schemas.openxmlformats.org/officeDocument/2006/relationships/hyperlink" Target="https://ui-avatars.com/api/?name=+&amp;background=random&amp;rounded=true" TargetMode="External"/><Relationship Id="rId15" Type="http://schemas.openxmlformats.org/officeDocument/2006/relationships/hyperlink" Target="https://ui-avatars.com/api/?name=Mellie+Lauret&amp;background=random&amp;rounded=true" TargetMode="External"/><Relationship Id="rId37" Type="http://schemas.openxmlformats.org/officeDocument/2006/relationships/hyperlink" Target="https://ui-avatars.com/api/?name=+&amp;background=random&amp;rounded=true" TargetMode="External"/><Relationship Id="rId14" Type="http://schemas.openxmlformats.org/officeDocument/2006/relationships/hyperlink" Target="https://ui-avatars.com/api/?name=Joan+Raoeliarison&amp;background=random&amp;rounded=true" TargetMode="External"/><Relationship Id="rId36" Type="http://schemas.openxmlformats.org/officeDocument/2006/relationships/hyperlink" Target="https://ui-avatars.com/api/?name=+&amp;background=random&amp;rounded=true" TargetMode="External"/><Relationship Id="rId17" Type="http://schemas.openxmlformats.org/officeDocument/2006/relationships/hyperlink" Target="https://ui-avatars.com/api/?name=Benoiton+M%C3%A9lissa&amp;background=random&amp;rounded=true" TargetMode="External"/><Relationship Id="rId39" Type="http://schemas.openxmlformats.org/officeDocument/2006/relationships/hyperlink" Target="https://ui-avatars.com/api/?name=Clo%C3%A9+M%C3%A9tro&amp;background=random&amp;rounded=true" TargetMode="External"/><Relationship Id="rId16" Type="http://schemas.openxmlformats.org/officeDocument/2006/relationships/hyperlink" Target="https://ui-avatars.com/api/?name=Brosch+Julie&amp;background=random&amp;rounded=true" TargetMode="External"/><Relationship Id="rId38" Type="http://schemas.openxmlformats.org/officeDocument/2006/relationships/hyperlink" Target="https://ui-avatars.com/api/?name=+&amp;background=random&amp;rounded=true" TargetMode="External"/><Relationship Id="rId19" Type="http://schemas.openxmlformats.org/officeDocument/2006/relationships/hyperlink" Target="https://ui-avatars.com/api/?name=Rita+Clerville&amp;background=random&amp;rounded=true" TargetMode="External"/><Relationship Id="rId18" Type="http://schemas.openxmlformats.org/officeDocument/2006/relationships/hyperlink" Target="https://ui-avatars.com/api/?name=Loic+Malet&amp;background=random&amp;rounde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chezdans.fr" TargetMode="External"/><Relationship Id="rId190" Type="http://schemas.openxmlformats.org/officeDocument/2006/relationships/hyperlink" Target="http://www.tillandsia.re" TargetMode="External"/><Relationship Id="rId42" Type="http://schemas.openxmlformats.org/officeDocument/2006/relationships/hyperlink" Target="http://www.chezdans.fr" TargetMode="External"/><Relationship Id="rId41" Type="http://schemas.openxmlformats.org/officeDocument/2006/relationships/hyperlink" Target="http://www.chezdans.fr" TargetMode="External"/><Relationship Id="rId44" Type="http://schemas.openxmlformats.org/officeDocument/2006/relationships/hyperlink" Target="http://www.museesreunion.fr/la-cite-du-volcan/" TargetMode="External"/><Relationship Id="rId194" Type="http://schemas.openxmlformats.org/officeDocument/2006/relationships/hyperlink" Target="http://www.domainedutulipier.com" TargetMode="External"/><Relationship Id="rId43" Type="http://schemas.openxmlformats.org/officeDocument/2006/relationships/hyperlink" Target="https://www.chezmanman.com/" TargetMode="External"/><Relationship Id="rId193" Type="http://schemas.openxmlformats.org/officeDocument/2006/relationships/hyperlink" Target="http://www.domainedutulipier.com" TargetMode="External"/><Relationship Id="rId46" Type="http://schemas.openxmlformats.org/officeDocument/2006/relationships/hyperlink" Target="http://www.coco-vanille.com" TargetMode="External"/><Relationship Id="rId192" Type="http://schemas.openxmlformats.org/officeDocument/2006/relationships/hyperlink" Target="http://www.travelisland.net" TargetMode="External"/><Relationship Id="rId45" Type="http://schemas.openxmlformats.org/officeDocument/2006/relationships/hyperlink" Target="http://www.clotilis.com" TargetMode="External"/><Relationship Id="rId191" Type="http://schemas.openxmlformats.org/officeDocument/2006/relationships/hyperlink" Target="http://www.le-tonga-soa.com" TargetMode="External"/><Relationship Id="rId48" Type="http://schemas.openxmlformats.org/officeDocument/2006/relationships/hyperlink" Target="https://www.facebook.com/Coeur-de-caf%C3%A9-1804250489832029/" TargetMode="External"/><Relationship Id="rId187" Type="http://schemas.openxmlformats.org/officeDocument/2006/relationships/hyperlink" Target="http://www.theatrelucdonat.re" TargetMode="External"/><Relationship Id="rId47" Type="http://schemas.openxmlformats.org/officeDocument/2006/relationships/hyperlink" Target="http://manacoel.com" TargetMode="External"/><Relationship Id="rId186" Type="http://schemas.openxmlformats.org/officeDocument/2006/relationships/hyperlink" Target="http://www.terre-rouge.re" TargetMode="External"/><Relationship Id="rId185" Type="http://schemas.openxmlformats.org/officeDocument/2006/relationships/hyperlink" Target="http://www.sudhotel.re/" TargetMode="External"/><Relationship Id="rId49" Type="http://schemas.openxmlformats.org/officeDocument/2006/relationships/hyperlink" Target="http://www.lescoeursdamants.re" TargetMode="External"/><Relationship Id="rId184" Type="http://schemas.openxmlformats.org/officeDocument/2006/relationships/hyperlink" Target="http://www.sudhotel.re/" TargetMode="External"/><Relationship Id="rId189" Type="http://schemas.openxmlformats.org/officeDocument/2006/relationships/hyperlink" Target="http://www.tikazhoareau.com" TargetMode="External"/><Relationship Id="rId188" Type="http://schemas.openxmlformats.org/officeDocument/2006/relationships/hyperlink" Target="http://www.ticoincharmant.fr" TargetMode="External"/><Relationship Id="rId31" Type="http://schemas.openxmlformats.org/officeDocument/2006/relationships/hyperlink" Target="http://www.gite-casalis974.fr" TargetMode="External"/><Relationship Id="rId30" Type="http://schemas.openxmlformats.org/officeDocument/2006/relationships/hyperlink" Target="http://www.canyonaventure.re" TargetMode="External"/><Relationship Id="rId33" Type="http://schemas.openxmlformats.org/officeDocument/2006/relationships/hyperlink" Target="https://www.lacaseozoizos.com/" TargetMode="External"/><Relationship Id="rId183" Type="http://schemas.openxmlformats.org/officeDocument/2006/relationships/hyperlink" Target="http://www.pagesperso-orange.fr/sudbungalow" TargetMode="External"/><Relationship Id="rId32" Type="http://schemas.openxmlformats.org/officeDocument/2006/relationships/hyperlink" Target="http://www.lacasecardinale.fr/" TargetMode="External"/><Relationship Id="rId182" Type="http://schemas.openxmlformats.org/officeDocument/2006/relationships/hyperlink" Target="http://www.senteursdestropiques.com" TargetMode="External"/><Relationship Id="rId35" Type="http://schemas.openxmlformats.org/officeDocument/2006/relationships/hyperlink" Target="http://la-case-soleil.vadif.com/" TargetMode="External"/><Relationship Id="rId181" Type="http://schemas.openxmlformats.org/officeDocument/2006/relationships/hyperlink" Target="http://www.lessaveursdelatonnelle.com" TargetMode="External"/><Relationship Id="rId34" Type="http://schemas.openxmlformats.org/officeDocument/2006/relationships/hyperlink" Target="http://casedoudous.wordpress.com" TargetMode="External"/><Relationship Id="rId180" Type="http://schemas.openxmlformats.org/officeDocument/2006/relationships/hyperlink" Target="http://www.rougailmangue.com" TargetMode="External"/><Relationship Id="rId37" Type="http://schemas.openxmlformats.org/officeDocument/2006/relationships/hyperlink" Target="http://www.location-chambre-bungalow-reunion.com" TargetMode="External"/><Relationship Id="rId176" Type="http://schemas.openxmlformats.org/officeDocument/2006/relationships/hyperlink" Target="https://www.reunionmototour.fr" TargetMode="External"/><Relationship Id="rId36" Type="http://schemas.openxmlformats.org/officeDocument/2006/relationships/hyperlink" Target="http://www.casecarlou.re" TargetMode="External"/><Relationship Id="rId175" Type="http://schemas.openxmlformats.org/officeDocument/2006/relationships/hyperlink" Target="https://www.kmilapizza.re/" TargetMode="External"/><Relationship Id="rId39" Type="http://schemas.openxmlformats.org/officeDocument/2006/relationships/hyperlink" Target="http://www.allonslareunion.com/hebergement-reunion/villas/chalet-du-piton/index.html" TargetMode="External"/><Relationship Id="rId174" Type="http://schemas.openxmlformats.org/officeDocument/2006/relationships/hyperlink" Target="http://www.residence-cazala.fr" TargetMode="External"/><Relationship Id="rId38" Type="http://schemas.openxmlformats.org/officeDocument/2006/relationships/hyperlink" Target="http://www.location-chambre-bungalow-reunion.com" TargetMode="External"/><Relationship Id="rId173" Type="http://schemas.openxmlformats.org/officeDocument/2006/relationships/hyperlink" Target="http://www.lereposdor.com" TargetMode="External"/><Relationship Id="rId179" Type="http://schemas.openxmlformats.org/officeDocument/2006/relationships/hyperlink" Target="http://www.larosedusud.com" TargetMode="External"/><Relationship Id="rId178" Type="http://schemas.openxmlformats.org/officeDocument/2006/relationships/hyperlink" Target="http://www.larosedusud.com" TargetMode="External"/><Relationship Id="rId177" Type="http://schemas.openxmlformats.org/officeDocument/2006/relationships/hyperlink" Target="http://www.la-riviere-des-sens.fr" TargetMode="External"/><Relationship Id="rId20" Type="http://schemas.openxmlformats.org/officeDocument/2006/relationships/hyperlink" Target="https://www.mesenseignes.fr/stephane-bost-vtc/" TargetMode="External"/><Relationship Id="rId22" Type="http://schemas.openxmlformats.org/officeDocument/2006/relationships/hyperlink" Target="http://www.location-gite-la-reunion.com" TargetMode="External"/><Relationship Id="rId21" Type="http://schemas.openxmlformats.org/officeDocument/2006/relationships/hyperlink" Target="http://www.reunionboutik.com" TargetMode="External"/><Relationship Id="rId24" Type="http://schemas.openxmlformats.org/officeDocument/2006/relationships/hyperlink" Target="https://bungalowsgabriel.blogspot.com/" TargetMode="External"/><Relationship Id="rId23" Type="http://schemas.openxmlformats.org/officeDocument/2006/relationships/hyperlink" Target="http://www.michel-brisset.fr" TargetMode="External"/><Relationship Id="rId26" Type="http://schemas.openxmlformats.org/officeDocument/2006/relationships/hyperlink" Target="http://www.patjaune.com" TargetMode="External"/><Relationship Id="rId25" Type="http://schemas.openxmlformats.org/officeDocument/2006/relationships/hyperlink" Target="http://www.majorie-bungalows.com" TargetMode="External"/><Relationship Id="rId28" Type="http://schemas.openxmlformats.org/officeDocument/2006/relationships/hyperlink" Target="http://www.entre2songes.re/" TargetMode="External"/><Relationship Id="rId27" Type="http://schemas.openxmlformats.org/officeDocument/2006/relationships/hyperlink" Target="http://www.caloupile.fr" TargetMode="External"/><Relationship Id="rId29" Type="http://schemas.openxmlformats.org/officeDocument/2006/relationships/hyperlink" Target="https://www.facebook.com/Le-Canard-Bourbon-904580412892628/" TargetMode="External"/><Relationship Id="rId11" Type="http://schemas.openxmlformats.org/officeDocument/2006/relationships/hyperlink" Target="http://www.atmospherepei.com" TargetMode="External"/><Relationship Id="rId10" Type="http://schemas.openxmlformats.org/officeDocument/2006/relationships/hyperlink" Target="http://www.ascendance-parapente.re" TargetMode="External"/><Relationship Id="rId13" Type="http://schemas.openxmlformats.org/officeDocument/2006/relationships/hyperlink" Target="http://www.victoriaclub.fr" TargetMode="External"/><Relationship Id="rId12" Type="http://schemas.openxmlformats.org/officeDocument/2006/relationships/hyperlink" Target="http://www.aubergeboisnoir.e-monsite.com" TargetMode="External"/><Relationship Id="rId15" Type="http://schemas.openxmlformats.org/officeDocument/2006/relationships/hyperlink" Target="http://www.servpei.re" TargetMode="External"/><Relationship Id="rId198" Type="http://schemas.openxmlformats.org/officeDocument/2006/relationships/hyperlink" Target="http://www.villacoeurvanille.com" TargetMode="External"/><Relationship Id="rId14" Type="http://schemas.openxmlformats.org/officeDocument/2006/relationships/hyperlink" Target="http://www.cypresbleu-reunion.com/" TargetMode="External"/><Relationship Id="rId197" Type="http://schemas.openxmlformats.org/officeDocument/2006/relationships/hyperlink" Target="http://www.victoriaclub.fr" TargetMode="External"/><Relationship Id="rId17" Type="http://schemas.openxmlformats.org/officeDocument/2006/relationships/hyperlink" Target="http://www.lebengali.com" TargetMode="External"/><Relationship Id="rId196" Type="http://schemas.openxmlformats.org/officeDocument/2006/relationships/hyperlink" Target="http://www.gitelevictoria.e-monsite.com" TargetMode="External"/><Relationship Id="rId16" Type="http://schemas.openxmlformats.org/officeDocument/2006/relationships/hyperlink" Target="http://www.saveursdesgregues.com" TargetMode="External"/><Relationship Id="rId195" Type="http://schemas.openxmlformats.org/officeDocument/2006/relationships/hyperlink" Target="http://www.lodgeslesvanilliers.com/lesvanilliers" TargetMode="External"/><Relationship Id="rId19" Type="http://schemas.openxmlformats.org/officeDocument/2006/relationships/hyperlink" Target="http://www.bleudusudreunion.re" TargetMode="External"/><Relationship Id="rId18" Type="http://schemas.openxmlformats.org/officeDocument/2006/relationships/hyperlink" Target="http://www.labergeriedu974.canalblog.com" TargetMode="External"/><Relationship Id="rId199" Type="http://schemas.openxmlformats.org/officeDocument/2006/relationships/hyperlink" Target="http://manacoel.com" TargetMode="External"/><Relationship Id="rId84" Type="http://schemas.openxmlformats.org/officeDocument/2006/relationships/hyperlink" Target="http://perso.wanadoo.fr/espace-ocean-indien/" TargetMode="External"/><Relationship Id="rId83" Type="http://schemas.openxmlformats.org/officeDocument/2006/relationships/hyperlink" Target="http://www.escale-bleue.fr" TargetMode="External"/><Relationship Id="rId86" Type="http://schemas.openxmlformats.org/officeDocument/2006/relationships/hyperlink" Target="http://www.eucalyptus.grondin.pagesperso-orange.fr" TargetMode="External"/><Relationship Id="rId85" Type="http://schemas.openxmlformats.org/officeDocument/2006/relationships/hyperlink" Target="http://www.gite-etoiledesneiges.com" TargetMode="External"/><Relationship Id="rId88" Type="http://schemas.openxmlformats.org/officeDocument/2006/relationships/hyperlink" Target="http://www.evasionkreol.com" TargetMode="External"/><Relationship Id="rId150" Type="http://schemas.openxmlformats.org/officeDocument/2006/relationships/hyperlink" Target="http://www.lemillepertuis.fr" TargetMode="External"/><Relationship Id="rId87" Type="http://schemas.openxmlformats.org/officeDocument/2006/relationships/hyperlink" Target="http://www.evasionkreol.com" TargetMode="External"/><Relationship Id="rId89" Type="http://schemas.openxmlformats.org/officeDocument/2006/relationships/hyperlink" Target="http://www.ferme-auberge-desprairies.com" TargetMode="External"/><Relationship Id="rId80" Type="http://schemas.openxmlformats.org/officeDocument/2006/relationships/hyperlink" Target="http://www.lepidendrum.com" TargetMode="External"/><Relationship Id="rId82" Type="http://schemas.openxmlformats.org/officeDocument/2006/relationships/hyperlink" Target="http://www.cocolistoo.com" TargetMode="External"/><Relationship Id="rId81" Type="http://schemas.openxmlformats.org/officeDocument/2006/relationships/hyperlink" Target="http://www.grevilaire.com" TargetMode="External"/><Relationship Id="rId1" Type="http://schemas.openxmlformats.org/officeDocument/2006/relationships/hyperlink" Target="http://www.les4epices.com" TargetMode="External"/><Relationship Id="rId2" Type="http://schemas.openxmlformats.org/officeDocument/2006/relationships/hyperlink" Target="http://www.lesagapanthes.re" TargetMode="External"/><Relationship Id="rId3" Type="http://schemas.openxmlformats.org/officeDocument/2006/relationships/hyperlink" Target="http://www.allonbatapat-rando.fr" TargetMode="External"/><Relationship Id="rId149" Type="http://schemas.openxmlformats.org/officeDocument/2006/relationships/hyperlink" Target="http://www.case.fr" TargetMode="External"/><Relationship Id="rId4" Type="http://schemas.openxmlformats.org/officeDocument/2006/relationships/hyperlink" Target="https://static1.tables-auberges.com/wp-content/plugins/taf-members/medias/42649/42649.jpg" TargetMode="External"/><Relationship Id="rId148" Type="http://schemas.openxmlformats.org/officeDocument/2006/relationships/hyperlink" Target="http://www.case.fr" TargetMode="External"/><Relationship Id="rId9" Type="http://schemas.openxmlformats.org/officeDocument/2006/relationships/hyperlink" Target="https://www.artsud.re/" TargetMode="External"/><Relationship Id="rId143" Type="http://schemas.openxmlformats.org/officeDocument/2006/relationships/hyperlink" Target="https://www.manapescale.fr/" TargetMode="External"/><Relationship Id="rId142" Type="http://schemas.openxmlformats.org/officeDocument/2006/relationships/hyperlink" Target="http://www.lemalaya.re" TargetMode="External"/><Relationship Id="rId141" Type="http://schemas.openxmlformats.org/officeDocument/2006/relationships/hyperlink" Target="https://www.maisoneverest.fr" TargetMode="External"/><Relationship Id="rId140" Type="http://schemas.openxmlformats.org/officeDocument/2006/relationships/hyperlink" Target="http://www.sudsauvage.com" TargetMode="External"/><Relationship Id="rId5" Type="http://schemas.openxmlformats.org/officeDocument/2006/relationships/hyperlink" Target="http://www.aquasens.re" TargetMode="External"/><Relationship Id="rId147" Type="http://schemas.openxmlformats.org/officeDocument/2006/relationships/hyperlink" Target="http://www.lamedina-loc.com" TargetMode="External"/><Relationship Id="rId6" Type="http://schemas.openxmlformats.org/officeDocument/2006/relationships/hyperlink" Target="https://www.larbredevie-reunion.fr/" TargetMode="External"/><Relationship Id="rId146" Type="http://schemas.openxmlformats.org/officeDocument/2006/relationships/hyperlink" Target="http://www.mediatheque-tampon.fr" TargetMode="External"/><Relationship Id="rId7" Type="http://schemas.openxmlformats.org/officeDocument/2006/relationships/hyperlink" Target="http://www.arbreduvoyageur.re" TargetMode="External"/><Relationship Id="rId145" Type="http://schemas.openxmlformats.org/officeDocument/2006/relationships/hyperlink" Target="http://www.margayillat.wixsite.com/locations" TargetMode="External"/><Relationship Id="rId8" Type="http://schemas.openxmlformats.org/officeDocument/2006/relationships/hyperlink" Target="http://www.arpegeaustral.minisite.fr" TargetMode="External"/><Relationship Id="rId144" Type="http://schemas.openxmlformats.org/officeDocument/2006/relationships/hyperlink" Target="https://www.manapescale.fr/" TargetMode="External"/><Relationship Id="rId73" Type="http://schemas.openxmlformats.org/officeDocument/2006/relationships/hyperlink" Target="http://www.el.latino.com" TargetMode="External"/><Relationship Id="rId72" Type="http://schemas.openxmlformats.org/officeDocument/2006/relationships/hyperlink" Target="http://www.edgar.re/?fbclid=IwAR31r5oyLXT4N8T3CAPAJe0K9B5QeNbr805QL0RjPwWOcnZ-neNLFOjjWKY" TargetMode="External"/><Relationship Id="rId75" Type="http://schemas.openxmlformats.org/officeDocument/2006/relationships/hyperlink" Target="http://www.entre-deux-reves.com" TargetMode="External"/><Relationship Id="rId74" Type="http://schemas.openxmlformats.org/officeDocument/2006/relationships/hyperlink" Target="http://www.entre-deux-reves.com" TargetMode="External"/><Relationship Id="rId77" Type="http://schemas.openxmlformats.org/officeDocument/2006/relationships/hyperlink" Target="http://visiteslareunion.com" TargetMode="External"/><Relationship Id="rId76" Type="http://schemas.openxmlformats.org/officeDocument/2006/relationships/hyperlink" Target="http://www.entre-deux-reves.com" TargetMode="External"/><Relationship Id="rId79" Type="http://schemas.openxmlformats.org/officeDocument/2006/relationships/hyperlink" Target="http://www.dimitile.eu" TargetMode="External"/><Relationship Id="rId78" Type="http://schemas.openxmlformats.org/officeDocument/2006/relationships/hyperlink" Target="http://www.meuble-tampon.fr" TargetMode="External"/><Relationship Id="rId71" Type="http://schemas.openxmlformats.org/officeDocument/2006/relationships/hyperlink" Target="http://www.ecuriesduvolcan.e-monsite.com" TargetMode="External"/><Relationship Id="rId70" Type="http://schemas.openxmlformats.org/officeDocument/2006/relationships/hyperlink" Target="http://www.hotel-ecrin.re" TargetMode="External"/><Relationship Id="rId139" Type="http://schemas.openxmlformats.org/officeDocument/2006/relationships/hyperlink" Target="http://www.sudreuniontourisme.fr" TargetMode="External"/><Relationship Id="rId138" Type="http://schemas.openxmlformats.org/officeDocument/2006/relationships/hyperlink" Target="http://www.lamaisondulaurina.fr" TargetMode="External"/><Relationship Id="rId137" Type="http://schemas.openxmlformats.org/officeDocument/2006/relationships/hyperlink" Target="http://www.lamaisondeshotes.re" TargetMode="External"/><Relationship Id="rId132" Type="http://schemas.openxmlformats.org/officeDocument/2006/relationships/hyperlink" Target="http://www.lebeautitour.com" TargetMode="External"/><Relationship Id="rId131" Type="http://schemas.openxmlformats.org/officeDocument/2006/relationships/hyperlink" Target="http://www.lelangevin974.fr" TargetMode="External"/><Relationship Id="rId130" Type="http://schemas.openxmlformats.org/officeDocument/2006/relationships/hyperlink" Target="http://www.enchampthe.com" TargetMode="External"/><Relationship Id="rId136" Type="http://schemas.openxmlformats.org/officeDocument/2006/relationships/hyperlink" Target="http://www.lamaisondesdelices.sitew.fr" TargetMode="External"/><Relationship Id="rId135" Type="http://schemas.openxmlformats.org/officeDocument/2006/relationships/hyperlink" Target="http://maison-ananas.re/" TargetMode="External"/><Relationship Id="rId134" Type="http://schemas.openxmlformats.org/officeDocument/2006/relationships/hyperlink" Target="https://www.magnolia974.com/" TargetMode="External"/><Relationship Id="rId133" Type="http://schemas.openxmlformats.org/officeDocument/2006/relationships/hyperlink" Target="http://www.gite-les-lilas-reunion.com" TargetMode="External"/><Relationship Id="rId62" Type="http://schemas.openxmlformats.org/officeDocument/2006/relationships/hyperlink" Target="http://www.dimitile.eu" TargetMode="External"/><Relationship Id="rId61" Type="http://schemas.openxmlformats.org/officeDocument/2006/relationships/hyperlink" Target="https://www.dantanlontan.com/" TargetMode="External"/><Relationship Id="rId64" Type="http://schemas.openxmlformats.org/officeDocument/2006/relationships/hyperlink" Target="http://www.domainepailleenqueue.com" TargetMode="External"/><Relationship Id="rId63" Type="http://schemas.openxmlformats.org/officeDocument/2006/relationships/hyperlink" Target="http://www.domainepailleenqueue.com" TargetMode="External"/><Relationship Id="rId66" Type="http://schemas.openxmlformats.org/officeDocument/2006/relationships/hyperlink" Target="http://www.lesdurentas.com" TargetMode="External"/><Relationship Id="rId172" Type="http://schemas.openxmlformats.org/officeDocument/2006/relationships/hyperlink" Target="http://www.lereposdor.com" TargetMode="External"/><Relationship Id="rId65" Type="http://schemas.openxmlformats.org/officeDocument/2006/relationships/hyperlink" Target="http://www.domainepailleenqueue.com" TargetMode="External"/><Relationship Id="rId171" Type="http://schemas.openxmlformats.org/officeDocument/2006/relationships/hyperlink" Target="http://www.sylviearquier.wix.com/relaisduvolcan" TargetMode="External"/><Relationship Id="rId68" Type="http://schemas.openxmlformats.org/officeDocument/2006/relationships/hyperlink" Target="http://www.lechappee-belle.com" TargetMode="External"/><Relationship Id="rId170" Type="http://schemas.openxmlformats.org/officeDocument/2006/relationships/hyperlink" Target="http://www.gitelerandonneur.business.site/" TargetMode="External"/><Relationship Id="rId67" Type="http://schemas.openxmlformats.org/officeDocument/2006/relationships/hyperlink" Target="http://www.eau-forte.fr" TargetMode="External"/><Relationship Id="rId60" Type="http://schemas.openxmlformats.org/officeDocument/2006/relationships/hyperlink" Target="https://www.facebook.com/Cuisine-le-Mauricien-1082839705094589/?ref=hl" TargetMode="External"/><Relationship Id="rId165" Type="http://schemas.openxmlformats.org/officeDocument/2006/relationships/hyperlink" Target="http://www.la-plantation.re" TargetMode="External"/><Relationship Id="rId69" Type="http://schemas.openxmlformats.org/officeDocument/2006/relationships/hyperlink" Target="http://www.eclatsdaromes.com" TargetMode="External"/><Relationship Id="rId164" Type="http://schemas.openxmlformats.org/officeDocument/2006/relationships/hyperlink" Target="http://www.pinpindamour.com" TargetMode="External"/><Relationship Id="rId163" Type="http://schemas.openxmlformats.org/officeDocument/2006/relationships/hyperlink" Target="http://www.pinpindamour.com" TargetMode="External"/><Relationship Id="rId162" Type="http://schemas.openxmlformats.org/officeDocument/2006/relationships/hyperlink" Target="http://www.lepayanke.com" TargetMode="External"/><Relationship Id="rId169" Type="http://schemas.openxmlformats.org/officeDocument/2006/relationships/hyperlink" Target="http://www.rando-outre-mer.re" TargetMode="External"/><Relationship Id="rId168" Type="http://schemas.openxmlformats.org/officeDocument/2006/relationships/hyperlink" Target="http://www.quick.fr" TargetMode="External"/><Relationship Id="rId167" Type="http://schemas.openxmlformats.org/officeDocument/2006/relationships/hyperlink" Target="http://quadevolutionmobile.free.fr" TargetMode="External"/><Relationship Id="rId166" Type="http://schemas.openxmlformats.org/officeDocument/2006/relationships/hyperlink" Target="https://www.oqg-restaurant.com/" TargetMode="External"/><Relationship Id="rId51" Type="http://schemas.openxmlformats.org/officeDocument/2006/relationships/hyperlink" Target="http://www.geranium-bourbon.com" TargetMode="External"/><Relationship Id="rId50" Type="http://schemas.openxmlformats.org/officeDocument/2006/relationships/hyperlink" Target="http://www.lecolibri.jimdo.com" TargetMode="External"/><Relationship Id="rId53" Type="http://schemas.openxmlformats.org/officeDocument/2006/relationships/hyperlink" Target="http://www.osezlareunion.com" TargetMode="External"/><Relationship Id="rId52" Type="http://schemas.openxmlformats.org/officeDocument/2006/relationships/hyperlink" Target="http://www.copacabanareunion.com" TargetMode="External"/><Relationship Id="rId55" Type="http://schemas.openxmlformats.org/officeDocument/2006/relationships/hyperlink" Target="http://www.couteauxbourbon.canalblog.com" TargetMode="External"/><Relationship Id="rId161" Type="http://schemas.openxmlformats.org/officeDocument/2006/relationships/hyperlink" Target="https://www.parenthese-inattendue.re" TargetMode="External"/><Relationship Id="rId54" Type="http://schemas.openxmlformats.org/officeDocument/2006/relationships/hyperlink" Target="https://www.cote-volcan.fr/" TargetMode="External"/><Relationship Id="rId160" Type="http://schemas.openxmlformats.org/officeDocument/2006/relationships/hyperlink" Target="http://www.truite.re" TargetMode="External"/><Relationship Id="rId57" Type="http://schemas.openxmlformats.org/officeDocument/2006/relationships/hyperlink" Target="https://www.les-gites-de-signole.re/" TargetMode="External"/><Relationship Id="rId56" Type="http://schemas.openxmlformats.org/officeDocument/2006/relationships/hyperlink" Target="http://www.bellile.re/" TargetMode="External"/><Relationship Id="rId159" Type="http://schemas.openxmlformats.org/officeDocument/2006/relationships/hyperlink" Target="http://www.iledelareunion.net/location-reunion/les-palmiers.html" TargetMode="External"/><Relationship Id="rId59" Type="http://schemas.openxmlformats.org/officeDocument/2006/relationships/hyperlink" Target="https://www.les-gites-de-signole.re/" TargetMode="External"/><Relationship Id="rId154" Type="http://schemas.openxmlformats.org/officeDocument/2006/relationships/hyperlink" Target="http://olibane.com" TargetMode="External"/><Relationship Id="rId58" Type="http://schemas.openxmlformats.org/officeDocument/2006/relationships/hyperlink" Target="https://www.les-gites-de-signole.re/" TargetMode="External"/><Relationship Id="rId153" Type="http://schemas.openxmlformats.org/officeDocument/2006/relationships/hyperlink" Target="http://www.naturev.re" TargetMode="External"/><Relationship Id="rId152" Type="http://schemas.openxmlformats.org/officeDocument/2006/relationships/hyperlink" Target="http://www.decorbois-design.com" TargetMode="External"/><Relationship Id="rId151" Type="http://schemas.openxmlformats.org/officeDocument/2006/relationships/hyperlink" Target="http://www.mimosas.re" TargetMode="External"/><Relationship Id="rId158" Type="http://schemas.openxmlformats.org/officeDocument/2006/relationships/hyperlink" Target="http://www.sudreuniontourisme.fr" TargetMode="External"/><Relationship Id="rId157" Type="http://schemas.openxmlformats.org/officeDocument/2006/relationships/hyperlink" Target="http://www.tampontourisme.re" TargetMode="External"/><Relationship Id="rId156" Type="http://schemas.openxmlformats.org/officeDocument/2006/relationships/hyperlink" Target="http://www.ot-entredeux.com" TargetMode="External"/><Relationship Id="rId155" Type="http://schemas.openxmlformats.org/officeDocument/2006/relationships/hyperlink" Target="http://oasisdessenteurs.com" TargetMode="External"/><Relationship Id="rId107" Type="http://schemas.openxmlformats.org/officeDocument/2006/relationships/hyperlink" Target="http://www.gite-css.com" TargetMode="External"/><Relationship Id="rId228" Type="http://schemas.openxmlformats.org/officeDocument/2006/relationships/hyperlink" Target="http://www.ilot-paradisiaque.re/gite/" TargetMode="External"/><Relationship Id="rId106" Type="http://schemas.openxmlformats.org/officeDocument/2006/relationships/hyperlink" Target="http://www.gite-css.com" TargetMode="External"/><Relationship Id="rId227" Type="http://schemas.openxmlformats.org/officeDocument/2006/relationships/hyperlink" Target="http://www.apiculture-reunion.com" TargetMode="External"/><Relationship Id="rId105" Type="http://schemas.openxmlformats.org/officeDocument/2006/relationships/hyperlink" Target="http://www.hotelrestaurantlesgeraniums.com/" TargetMode="External"/><Relationship Id="rId226" Type="http://schemas.openxmlformats.org/officeDocument/2006/relationships/hyperlink" Target="http://www.fermelebon.fr" TargetMode="External"/><Relationship Id="rId104" Type="http://schemas.openxmlformats.org/officeDocument/2006/relationships/hyperlink" Target="http://www.hotelrestaurantlesgeraniums.com/" TargetMode="External"/><Relationship Id="rId225" Type="http://schemas.openxmlformats.org/officeDocument/2006/relationships/hyperlink" Target="http://www.le-capitaine-dimitile.re/" TargetMode="External"/><Relationship Id="rId109" Type="http://schemas.openxmlformats.org/officeDocument/2006/relationships/hyperlink" Target="http://www.gitedebellevue.re" TargetMode="External"/><Relationship Id="rId108" Type="http://schemas.openxmlformats.org/officeDocument/2006/relationships/hyperlink" Target="http://www.gite-css.com" TargetMode="External"/><Relationship Id="rId229" Type="http://schemas.openxmlformats.org/officeDocument/2006/relationships/hyperlink" Target="https://www.facebook.com/lakazleo/" TargetMode="External"/><Relationship Id="rId220" Type="http://schemas.openxmlformats.org/officeDocument/2006/relationships/hyperlink" Target="http://www.cap-vanisa.re/" TargetMode="External"/><Relationship Id="rId103" Type="http://schemas.openxmlformats.org/officeDocument/2006/relationships/hyperlink" Target="http://www.lamaisondeshotes.re/" TargetMode="External"/><Relationship Id="rId224" Type="http://schemas.openxmlformats.org/officeDocument/2006/relationships/hyperlink" Target="http://www.vavangart.com" TargetMode="External"/><Relationship Id="rId102" Type="http://schemas.openxmlformats.org/officeDocument/2006/relationships/hyperlink" Target="http://www.gandalfsafaricamp.de" TargetMode="External"/><Relationship Id="rId223" Type="http://schemas.openxmlformats.org/officeDocument/2006/relationships/hyperlink" Target="https://www.facebook.com/chalet.cogite/" TargetMode="External"/><Relationship Id="rId101" Type="http://schemas.openxmlformats.org/officeDocument/2006/relationships/hyperlink" Target="http://www.legalabert.e-monsite.com" TargetMode="External"/><Relationship Id="rId222" Type="http://schemas.openxmlformats.org/officeDocument/2006/relationships/hyperlink" Target="https://www.lescentpieds.fr/" TargetMode="External"/><Relationship Id="rId100" Type="http://schemas.openxmlformats.org/officeDocument/2006/relationships/hyperlink" Target="http://www.lesfrangipaniers.re" TargetMode="External"/><Relationship Id="rId221" Type="http://schemas.openxmlformats.org/officeDocument/2006/relationships/hyperlink" Target="https://www.facebook.com/Location-saisonni%C3%A8re-manapany-les-bains-835492363456084/" TargetMode="External"/><Relationship Id="rId217" Type="http://schemas.openxmlformats.org/officeDocument/2006/relationships/hyperlink" Target="http://www.bouillon-daventures.com/" TargetMode="External"/><Relationship Id="rId216" Type="http://schemas.openxmlformats.org/officeDocument/2006/relationships/hyperlink" Target="http://www.savonsdesarah.com" TargetMode="External"/><Relationship Id="rId215" Type="http://schemas.openxmlformats.org/officeDocument/2006/relationships/hyperlink" Target="http://www.atmospherepei.com" TargetMode="External"/><Relationship Id="rId214" Type="http://schemas.openxmlformats.org/officeDocument/2006/relationships/hyperlink" Target="https://www.facebook.com/Association-Des-Petits-M%C3%A9tiers-1466122896945870/" TargetMode="External"/><Relationship Id="rId219" Type="http://schemas.openxmlformats.org/officeDocument/2006/relationships/hyperlink" Target="https://www.facebook.com/pages/category/Vacation-Home-Rental/Bungalow-Paille-en-Queue-100444451362761/" TargetMode="External"/><Relationship Id="rId218" Type="http://schemas.openxmlformats.org/officeDocument/2006/relationships/hyperlink" Target="http://www.bambous-bungalows.fr/" TargetMode="External"/><Relationship Id="rId213" Type="http://schemas.openxmlformats.org/officeDocument/2006/relationships/hyperlink" Target="http://www.artspourtous974.com" TargetMode="External"/><Relationship Id="rId212" Type="http://schemas.openxmlformats.org/officeDocument/2006/relationships/hyperlink" Target="http://www.adrenalile.com" TargetMode="External"/><Relationship Id="rId211" Type="http://schemas.openxmlformats.org/officeDocument/2006/relationships/hyperlink" Target="http://www.facebook.com/agrandcoudaile" TargetMode="External"/><Relationship Id="rId210" Type="http://schemas.openxmlformats.org/officeDocument/2006/relationships/hyperlink" Target="http://www.9zailes4.com" TargetMode="External"/><Relationship Id="rId129" Type="http://schemas.openxmlformats.org/officeDocument/2006/relationships/hyperlink" Target="http://www.kreolie4x4.com" TargetMode="External"/><Relationship Id="rId128" Type="http://schemas.openxmlformats.org/officeDocument/2006/relationships/hyperlink" Target="http://www.kokapatrando-reunion.com" TargetMode="External"/><Relationship Id="rId127" Type="http://schemas.openxmlformats.org/officeDocument/2006/relationships/hyperlink" Target="http://www.la-kaz-lizette.re" TargetMode="External"/><Relationship Id="rId126" Type="http://schemas.openxmlformats.org/officeDocument/2006/relationships/hyperlink" Target="http://kazbiloute.blogspot.com" TargetMode="External"/><Relationship Id="rId121" Type="http://schemas.openxmlformats.org/officeDocument/2006/relationships/hyperlink" Target="http://www.jardin-parfums-epices.com" TargetMode="External"/><Relationship Id="rId242" Type="http://schemas.openxmlformats.org/officeDocument/2006/relationships/drawing" Target="../drawings/drawing4.xml"/><Relationship Id="rId120" Type="http://schemas.openxmlformats.org/officeDocument/2006/relationships/hyperlink" Target="http://www.jardin-orchidees.com" TargetMode="External"/><Relationship Id="rId241" Type="http://schemas.openxmlformats.org/officeDocument/2006/relationships/hyperlink" Target="http://www.federationpeche.fr/97/" TargetMode="External"/><Relationship Id="rId240" Type="http://schemas.openxmlformats.org/officeDocument/2006/relationships/hyperlink" Target="http://www.villa-pitaya-bed-and-breakfast.business.site/" TargetMode="External"/><Relationship Id="rId125" Type="http://schemas.openxmlformats.org/officeDocument/2006/relationships/hyperlink" Target="http://www.bonplanreunion.com" TargetMode="External"/><Relationship Id="rId124" Type="http://schemas.openxmlformats.org/officeDocument/2006/relationships/hyperlink" Target="http://www.bonplanreunion.com" TargetMode="External"/><Relationship Id="rId123" Type="http://schemas.openxmlformats.org/officeDocument/2006/relationships/hyperlink" Target="http://perso.numericable.fr/lakasali" TargetMode="External"/><Relationship Id="rId122" Type="http://schemas.openxmlformats.org/officeDocument/2006/relationships/hyperlink" Target="http://www.lejolool.com" TargetMode="External"/><Relationship Id="rId95" Type="http://schemas.openxmlformats.org/officeDocument/2006/relationships/hyperlink" Target="http://www.leflerkann.sitew.com" TargetMode="External"/><Relationship Id="rId94" Type="http://schemas.openxmlformats.org/officeDocument/2006/relationships/hyperlink" Target="http://www.leficus.com" TargetMode="External"/><Relationship Id="rId97" Type="http://schemas.openxmlformats.org/officeDocument/2006/relationships/hyperlink" Target="https://www.aubergefleurdevanille.com/" TargetMode="External"/><Relationship Id="rId96" Type="http://schemas.openxmlformats.org/officeDocument/2006/relationships/hyperlink" Target="http://www.fleursdecafe.com" TargetMode="External"/><Relationship Id="rId99" Type="http://schemas.openxmlformats.org/officeDocument/2006/relationships/hyperlink" Target="http://www.lesfrangipaniers.re" TargetMode="External"/><Relationship Id="rId98" Type="http://schemas.openxmlformats.org/officeDocument/2006/relationships/hyperlink" Target="http://bungalow-tampon.com" TargetMode="External"/><Relationship Id="rId91" Type="http://schemas.openxmlformats.org/officeDocument/2006/relationships/hyperlink" Target="http://www.pechergourmand.re" TargetMode="External"/><Relationship Id="rId90" Type="http://schemas.openxmlformats.org/officeDocument/2006/relationships/hyperlink" Target="http://www.lafermedukilimandjaro.fr" TargetMode="External"/><Relationship Id="rId93" Type="http://schemas.openxmlformats.org/officeDocument/2006/relationships/hyperlink" Target="http://www.fermelebon.fr" TargetMode="External"/><Relationship Id="rId92" Type="http://schemas.openxmlformats.org/officeDocument/2006/relationships/hyperlink" Target="http://www.pagesperso-orange.fr/pecher-gourmand" TargetMode="External"/><Relationship Id="rId118" Type="http://schemas.openxmlformats.org/officeDocument/2006/relationships/hyperlink" Target="http://monsite.wanadoo.fr/giterunsud" TargetMode="External"/><Relationship Id="rId239" Type="http://schemas.openxmlformats.org/officeDocument/2006/relationships/hyperlink" Target="http://www.vavangart.com" TargetMode="External"/><Relationship Id="rId117" Type="http://schemas.openxmlformats.org/officeDocument/2006/relationships/hyperlink" Target="http://www.grillanoo.fr" TargetMode="External"/><Relationship Id="rId238" Type="http://schemas.openxmlformats.org/officeDocument/2006/relationships/hyperlink" Target="http://www.lodgeslesvanilliers.com/" TargetMode="External"/><Relationship Id="rId116" Type="http://schemas.openxmlformats.org/officeDocument/2006/relationships/hyperlink" Target="http://www.grevilaire.com" TargetMode="External"/><Relationship Id="rId237" Type="http://schemas.openxmlformats.org/officeDocument/2006/relationships/hyperlink" Target="http://www.mumucedric.wixsite.com/letiloryo" TargetMode="External"/><Relationship Id="rId115" Type="http://schemas.openxmlformats.org/officeDocument/2006/relationships/hyperlink" Target="http://www.gitetiboner.fr" TargetMode="External"/><Relationship Id="rId236" Type="http://schemas.openxmlformats.org/officeDocument/2006/relationships/hyperlink" Target="http://www.canyonreunion.com" TargetMode="External"/><Relationship Id="rId119" Type="http://schemas.openxmlformats.org/officeDocument/2006/relationships/hyperlink" Target="http://www.imperiale-sushi-pizzas.jimdo.com" TargetMode="External"/><Relationship Id="rId110" Type="http://schemas.openxmlformats.org/officeDocument/2006/relationships/hyperlink" Target="http://www.gitedelafournaise.re" TargetMode="External"/><Relationship Id="rId231" Type="http://schemas.openxmlformats.org/officeDocument/2006/relationships/hyperlink" Target="http://www.meuble-tampon.fr" TargetMode="External"/><Relationship Id="rId230" Type="http://schemas.openxmlformats.org/officeDocument/2006/relationships/hyperlink" Target="http://www.kazanoo.com" TargetMode="External"/><Relationship Id="rId114" Type="http://schemas.openxmlformats.org/officeDocument/2006/relationships/hyperlink" Target="http://www.gite-reunion.com" TargetMode="External"/><Relationship Id="rId235" Type="http://schemas.openxmlformats.org/officeDocument/2006/relationships/hyperlink" Target="http://www.reunionboutik.com" TargetMode="External"/><Relationship Id="rId113" Type="http://schemas.openxmlformats.org/officeDocument/2006/relationships/hyperlink" Target="http://www.gite-des-cormorans-manapany.com" TargetMode="External"/><Relationship Id="rId234" Type="http://schemas.openxmlformats.org/officeDocument/2006/relationships/hyperlink" Target="http://www.gadiamb.re" TargetMode="External"/><Relationship Id="rId112" Type="http://schemas.openxmlformats.org/officeDocument/2006/relationships/hyperlink" Target="http://www.gite-lareunion.com" TargetMode="External"/><Relationship Id="rId233" Type="http://schemas.openxmlformats.org/officeDocument/2006/relationships/hyperlink" Target="http://www.lesterrassesduvolcan.com" TargetMode="External"/><Relationship Id="rId111" Type="http://schemas.openxmlformats.org/officeDocument/2006/relationships/hyperlink" Target="http://lesgitesdelaplaine.monsite-orange.fr" TargetMode="External"/><Relationship Id="rId232" Type="http://schemas.openxmlformats.org/officeDocument/2006/relationships/hyperlink" Target="http://www.meuble-tampon.fr" TargetMode="External"/><Relationship Id="rId206" Type="http://schemas.openxmlformats.org/officeDocument/2006/relationships/hyperlink" Target="http://www.villasmanapany.com" TargetMode="External"/><Relationship Id="rId205" Type="http://schemas.openxmlformats.org/officeDocument/2006/relationships/hyperlink" Target="http://www.villagesauvage.sitew.fr" TargetMode="External"/><Relationship Id="rId204" Type="http://schemas.openxmlformats.org/officeDocument/2006/relationships/hyperlink" Target="http://www.villa-volcan.re" TargetMode="External"/><Relationship Id="rId203" Type="http://schemas.openxmlformats.org/officeDocument/2006/relationships/hyperlink" Target="http://www.villasouslestropique.wix.com/villasouslestropique" TargetMode="External"/><Relationship Id="rId209" Type="http://schemas.openxmlformats.org/officeDocument/2006/relationships/hyperlink" Target="http://www.zescargots-des-hauts.fr" TargetMode="External"/><Relationship Id="rId208" Type="http://schemas.openxmlformats.org/officeDocument/2006/relationships/hyperlink" Target="http://volcano-re.webnode.fr" TargetMode="External"/><Relationship Id="rId207" Type="http://schemas.openxmlformats.org/officeDocument/2006/relationships/hyperlink" Target="http://www.ilereunion.com/hotelvolcan" TargetMode="External"/><Relationship Id="rId202" Type="http://schemas.openxmlformats.org/officeDocument/2006/relationships/hyperlink" Target="http://www.villapalm-reunion.com" TargetMode="External"/><Relationship Id="rId201" Type="http://schemas.openxmlformats.org/officeDocument/2006/relationships/hyperlink" Target="http://www.otelareunion.com" TargetMode="External"/><Relationship Id="rId200" Type="http://schemas.openxmlformats.org/officeDocument/2006/relationships/hyperlink" Target="http://www.villaot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reunion.fr"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vtc-alp.com/" TargetMode="External"/><Relationship Id="rId42" Type="http://schemas.openxmlformats.org/officeDocument/2006/relationships/hyperlink" Target="https://www.lejardindesbestioles.com/?fbclid=IwAR04jmA78U645PZ3zrlYXkoAKno2zD-017iGwEpd7hm2RlJisdlyT7P5Cs4" TargetMode="External"/><Relationship Id="rId41" Type="http://schemas.openxmlformats.org/officeDocument/2006/relationships/hyperlink" Target="https://www.tunnelsdelave.net/?fbclid=IwAR38upPXWxw_8sPxucbhxcWze2vDvZJQlXGH_NjkxbUFrP1VbfMbWYZd-lY" TargetMode="External"/><Relationship Id="rId44" Type="http://schemas.openxmlformats.org/officeDocument/2006/relationships/hyperlink" Target="https://www.casevido.com/" TargetMode="External"/><Relationship Id="rId43" Type="http://schemas.openxmlformats.org/officeDocument/2006/relationships/hyperlink" Target="https://speleolave.fr/" TargetMode="External"/><Relationship Id="rId46" Type="http://schemas.openxmlformats.org/officeDocument/2006/relationships/hyperlink" Target="https://www.velhautsrun.com/?fbclid=IwAR0R8dnSXmE_jV2-KI8PAHXUY14bLomy2bOVc1OZplXto3JhVUIldDcEwrs" TargetMode="External"/><Relationship Id="rId45" Type="http://schemas.openxmlformats.org/officeDocument/2006/relationships/hyperlink" Target="https://www.lacasebouisseau.re/" TargetMode="External"/><Relationship Id="rId48" Type="http://schemas.openxmlformats.org/officeDocument/2006/relationships/hyperlink" Target="https://www.villajoli.fr/?fbclid=IwAR1uxZ2GdRWy9HVLV-0VfrZAwHE_Zz2JtNMYX6ToZIUu6PAPBHCZ1h25YUo" TargetMode="External"/><Relationship Id="rId47" Type="http://schemas.openxmlformats.org/officeDocument/2006/relationships/hyperlink" Target="https://www.lesvillastropicales.re/" TargetMode="External"/><Relationship Id="rId186" Type="http://schemas.openxmlformats.org/officeDocument/2006/relationships/drawing" Target="../drawings/drawing8.xml"/><Relationship Id="rId185" Type="http://schemas.openxmlformats.org/officeDocument/2006/relationships/hyperlink" Target="https://laforetdenuages.com/" TargetMode="External"/><Relationship Id="rId49" Type="http://schemas.openxmlformats.org/officeDocument/2006/relationships/hyperlink" Target="http://www.entredeuxreves.fr" TargetMode="External"/><Relationship Id="rId184" Type="http://schemas.openxmlformats.org/officeDocument/2006/relationships/hyperlink" Target="https://ryycrdhlkmzpxwwwwupy.supabase.co/storage/v1/object/public/old_media/f7c1b481.Path.044259.jpg" TargetMode="External"/><Relationship Id="rId31" Type="http://schemas.openxmlformats.org/officeDocument/2006/relationships/hyperlink" Target="https://larosedusud.com/" TargetMode="External"/><Relationship Id="rId30" Type="http://schemas.openxmlformats.org/officeDocument/2006/relationships/hyperlink" Target="https://bonheur.re/" TargetMode="External"/><Relationship Id="rId33" Type="http://schemas.openxmlformats.org/officeDocument/2006/relationships/hyperlink" Target="https://www.lavillarosanna.fr/" TargetMode="External"/><Relationship Id="rId183" Type="http://schemas.openxmlformats.org/officeDocument/2006/relationships/hyperlink" Target="http://www.lafficheduneile.re" TargetMode="External"/><Relationship Id="rId32" Type="http://schemas.openxmlformats.org/officeDocument/2006/relationships/hyperlink" Target="https://kaz-cyatheas.com/?fbclid=IwAR0Mwf3lXwe2FBq2tg2ehhwyw4CjdgIt-MSZEqoLtFjPwJMj-pfah3xYaz0" TargetMode="External"/><Relationship Id="rId182" Type="http://schemas.openxmlformats.org/officeDocument/2006/relationships/hyperlink" Target="https://www.saisonnier-reunion.re/" TargetMode="External"/><Relationship Id="rId35" Type="http://schemas.openxmlformats.org/officeDocument/2006/relationships/hyperlink" Target="https://www.bienvenue-a-la-ferme.com/dom-tom/reunion/st-joseph/ferme/la-ferme-de-lebreton-france-may/633429?q&amp;ferme_decouverte=1&amp;callback_url=https%3A%2F%2Fwww.bienvenue-a-la-ferme.com%2Freunion%2Frecherche%2Floisirs%2F2648&amp;callback_zone_geo=reunion&amp;callback_relais_id=187890&amp;moteur=loisirs&amp;id_moteur=2648&amp;view=4&amp;fbclid=IwAR2bJYs4sT7ULF_aM1P9IyhWu_AmCJlgJOFPZ8rKaGf6SLCzcbUn0isRkEs" TargetMode="External"/><Relationship Id="rId181" Type="http://schemas.openxmlformats.org/officeDocument/2006/relationships/hyperlink" Target="https://ryycrdhlkmzpxwwwwupy.supabase.co/storage/v1/object/public/old_media/7e6cb6d8.Path.063958.jpg" TargetMode="External"/><Relationship Id="rId34" Type="http://schemas.openxmlformats.org/officeDocument/2006/relationships/hyperlink" Target="https://mumucedric.wixsite.com/letiloryo" TargetMode="External"/><Relationship Id="rId180" Type="http://schemas.openxmlformats.org/officeDocument/2006/relationships/hyperlink" Target="https://emy.re/" TargetMode="External"/><Relationship Id="rId37" Type="http://schemas.openxmlformats.org/officeDocument/2006/relationships/hyperlink" Target="https://www.tikazsauvage.com/" TargetMode="External"/><Relationship Id="rId176" Type="http://schemas.openxmlformats.org/officeDocument/2006/relationships/hyperlink" Target="https://vakoadistillerie.com/" TargetMode="External"/><Relationship Id="rId36" Type="http://schemas.openxmlformats.org/officeDocument/2006/relationships/hyperlink" Target="https://cocofanty.com/" TargetMode="External"/><Relationship Id="rId175" Type="http://schemas.openxmlformats.org/officeDocument/2006/relationships/hyperlink" Target="https://ryycrdhlkmzpxwwwwupy.supabase.co/storage/v1/object/public/old_media/57bb080f.Path.074100.jpg" TargetMode="External"/><Relationship Id="rId39" Type="http://schemas.openxmlformats.org/officeDocument/2006/relationships/hyperlink" Target="http://www.dimitilebike.com/" TargetMode="External"/><Relationship Id="rId174" Type="http://schemas.openxmlformats.org/officeDocument/2006/relationships/hyperlink" Target="https://www.villades4sens.com/fr" TargetMode="External"/><Relationship Id="rId38" Type="http://schemas.openxmlformats.org/officeDocument/2006/relationships/hyperlink" Target="https://harasdescoeurs.wixsite.com/haras-des-coeurs/le-haras" TargetMode="External"/><Relationship Id="rId173" Type="http://schemas.openxmlformats.org/officeDocument/2006/relationships/hyperlink" Target="http://www.auxchaletsdutourneur.re" TargetMode="External"/><Relationship Id="rId179" Type="http://schemas.openxmlformats.org/officeDocument/2006/relationships/hyperlink" Target="https://www.eilaroc.fr/about-9" TargetMode="External"/><Relationship Id="rId178" Type="http://schemas.openxmlformats.org/officeDocument/2006/relationships/hyperlink" Target="https://kolibriz.com/" TargetMode="External"/><Relationship Id="rId177" Type="http://schemas.openxmlformats.org/officeDocument/2006/relationships/hyperlink" Target="https://www.labelledusud.re/" TargetMode="External"/><Relationship Id="rId20" Type="http://schemas.openxmlformats.org/officeDocument/2006/relationships/hyperlink" Target="https://villa-amaryllis.bedsandhotels.com/index.php" TargetMode="External"/><Relationship Id="rId22" Type="http://schemas.openxmlformats.org/officeDocument/2006/relationships/hyperlink" Target="https://esprityourte.wordpress.com/" TargetMode="External"/><Relationship Id="rId21" Type="http://schemas.openxmlformats.org/officeDocument/2006/relationships/hyperlink" Target="https://www.restaurant-feu-de-bois-974.fr/" TargetMode="External"/><Relationship Id="rId24" Type="http://schemas.openxmlformats.org/officeDocument/2006/relationships/hyperlink" Target="https://www.couleursdusudsauvage.com/" TargetMode="External"/><Relationship Id="rId23" Type="http://schemas.openxmlformats.org/officeDocument/2006/relationships/hyperlink" Target="https://www.lemargaretholidays.com/" TargetMode="External"/><Relationship Id="rId26" Type="http://schemas.openxmlformats.org/officeDocument/2006/relationships/hyperlink" Target="https://www.couleursdusudsauvage.com/fr-FR/homepage" TargetMode="External"/><Relationship Id="rId25" Type="http://schemas.openxmlformats.org/officeDocument/2006/relationships/hyperlink" Target="https://www.couleursdusudsauvage.com/" TargetMode="External"/><Relationship Id="rId28" Type="http://schemas.openxmlformats.org/officeDocument/2006/relationships/hyperlink" Target="https://www.location-belvedere.com/?fbclid=IwAR038CZsfABTmERKJHJLq1ja53_NOTi3iO8-Xl8Gw3qeNycE80FI56vWXno" TargetMode="External"/><Relationship Id="rId27" Type="http://schemas.openxmlformats.org/officeDocument/2006/relationships/hyperlink" Target="https://tisaneduvolcan.com/fr/contact-et-localisation/" TargetMode="External"/><Relationship Id="rId29" Type="http://schemas.openxmlformats.org/officeDocument/2006/relationships/hyperlink" Target="https://lesrameaux.re/?fbclid=IwAR0XvY5M-qGZgnlX4osNFFUVK104WDWWDNUwJiIA5qPBYwi5D-HFGqKWu7w" TargetMode="External"/><Relationship Id="rId11" Type="http://schemas.openxmlformats.org/officeDocument/2006/relationships/hyperlink" Target="https://villabengalis.re/" TargetMode="External"/><Relationship Id="rId10" Type="http://schemas.openxmlformats.org/officeDocument/2006/relationships/hyperlink" Target="https://sites.google.com/view/hydrangea97418/accueil" TargetMode="External"/><Relationship Id="rId13" Type="http://schemas.openxmlformats.org/officeDocument/2006/relationships/hyperlink" Target="https://location-tipalissandre.re/?fbclid=IwAR32s1j40OoljEOlpPXMMw2cuOnXomIQ8mAa3Nxih6y5EC8-q1-nfCpipEA" TargetMode="External"/><Relationship Id="rId12" Type="http://schemas.openxmlformats.org/officeDocument/2006/relationships/hyperlink" Target="https://www.lakazanou-reunion.fr/fr" TargetMode="External"/><Relationship Id="rId15" Type="http://schemas.openxmlformats.org/officeDocument/2006/relationships/hyperlink" Target="https://leplatgarni.re/" TargetMode="External"/><Relationship Id="rId14" Type="http://schemas.openxmlformats.org/officeDocument/2006/relationships/hyperlink" Target="https://www.facebook.com/people/TI-KAN/100063968943623/" TargetMode="External"/><Relationship Id="rId17" Type="http://schemas.openxmlformats.org/officeDocument/2006/relationships/hyperlink" Target="https://www.restaurant-le-panoramic.com/" TargetMode="External"/><Relationship Id="rId16" Type="http://schemas.openxmlformats.org/officeDocument/2006/relationships/hyperlink" Target="https://gouleoresto.re/" TargetMode="External"/><Relationship Id="rId19" Type="http://schemas.openxmlformats.org/officeDocument/2006/relationships/hyperlink" Target="https://www.gite-eden-durandonneur.com/?fbclid=IwAR0J1FYNT6nzAZmfbmgib3rnFKf4P4y9Bhf9R9RfgLrliXqJOWw8MbaS2Oo" TargetMode="External"/><Relationship Id="rId18" Type="http://schemas.openxmlformats.org/officeDocument/2006/relationships/hyperlink" Target="https://www.gite-eden-durandonneur.com/?fbclid=IwAR0J1FYNT6nzAZmfbmgib3rnFKf4P4y9Bhf9R9RfgLrliXqJOWw8MbaS2Oo" TargetMode="External"/><Relationship Id="rId84" Type="http://schemas.openxmlformats.org/officeDocument/2006/relationships/hyperlink" Target="https://anaelodge.re/" TargetMode="External"/><Relationship Id="rId83" Type="http://schemas.openxmlformats.org/officeDocument/2006/relationships/hyperlink" Target="https://le-niaouli.business.site/?utm_source=gmb&amp;utm_medium=referral" TargetMode="External"/><Relationship Id="rId86" Type="http://schemas.openxmlformats.org/officeDocument/2006/relationships/hyperlink" Target="https://www.la-maison-du-curcuma.fr/" TargetMode="External"/><Relationship Id="rId85" Type="http://schemas.openxmlformats.org/officeDocument/2006/relationships/hyperlink" Target="https://www.lesvillastropicales.re/" TargetMode="External"/><Relationship Id="rId88" Type="http://schemas.openxmlformats.org/officeDocument/2006/relationships/hyperlink" Target="https://www.ecurieduvolcan.re/" TargetMode="External"/><Relationship Id="rId150" Type="http://schemas.openxmlformats.org/officeDocument/2006/relationships/hyperlink" Target="https://locationpetitparadis.fr/" TargetMode="External"/><Relationship Id="rId87" Type="http://schemas.openxmlformats.org/officeDocument/2006/relationships/hyperlink" Target="https://lepticoraildevincendo.re/nous-contacter/" TargetMode="External"/><Relationship Id="rId89" Type="http://schemas.openxmlformats.org/officeDocument/2006/relationships/hyperlink" Target="http://www.gitelerandonneur.net/" TargetMode="External"/><Relationship Id="rId80" Type="http://schemas.openxmlformats.org/officeDocument/2006/relationships/hyperlink" Target="http://sudbungalow.com/index.html" TargetMode="External"/><Relationship Id="rId82" Type="http://schemas.openxmlformats.org/officeDocument/2006/relationships/hyperlink" Target="https://gite-le-bras-sec.webnode.fr/hebergement/" TargetMode="External"/><Relationship Id="rId81" Type="http://schemas.openxmlformats.org/officeDocument/2006/relationships/hyperlink" Target="https://yren.art/author/nery974/" TargetMode="External"/><Relationship Id="rId1" Type="http://schemas.openxmlformats.org/officeDocument/2006/relationships/hyperlink" Target="https://www.restaurant-le-longboard-tampon-974.fr/" TargetMode="External"/><Relationship Id="rId2" Type="http://schemas.openxmlformats.org/officeDocument/2006/relationships/hyperlink" Target="https://eaufortest.jimdofree.com/" TargetMode="External"/><Relationship Id="rId3" Type="http://schemas.openxmlformats.org/officeDocument/2006/relationships/hyperlink" Target="https://www.caroandconciergerie.com/?fbclid=IwAR30Q4E5eRxjjDMEIRN1hoFRHwZntTWHr0fQjWOMVnVrHVVMAq3kHPlnOcs" TargetMode="External"/><Relationship Id="rId149" Type="http://schemas.openxmlformats.org/officeDocument/2006/relationships/hyperlink" Target="https://www.visitemonile.re/" TargetMode="External"/><Relationship Id="rId4" Type="http://schemas.openxmlformats.org/officeDocument/2006/relationships/hyperlink" Target="https://www.facebook.com/profile.php?id=100063776820555" TargetMode="External"/><Relationship Id="rId148" Type="http://schemas.openxmlformats.org/officeDocument/2006/relationships/hyperlink" Target="https://prenezsoindevousbycg.fr/" TargetMode="External"/><Relationship Id="rId9" Type="http://schemas.openxmlformats.org/officeDocument/2006/relationships/hyperlink" Target="https://vitle-the.webador.fr/?fbclid=IwAR1Aw9HmCe0tXloeR2oeBeOIi1zTNnOBx3LOkbnfrx_D9CzIXcu4-DnATNM" TargetMode="External"/><Relationship Id="rId143" Type="http://schemas.openxmlformats.org/officeDocument/2006/relationships/hyperlink" Target="https://www.locasun.fr/1012767-Location-Appartement-Le-Tampon.htm" TargetMode="External"/><Relationship Id="rId142" Type="http://schemas.openxmlformats.org/officeDocument/2006/relationships/hyperlink" Target="https://www.kazanou-immobilier.re/location-vacances/la-kaz-lily/59661.htm" TargetMode="External"/><Relationship Id="rId141" Type="http://schemas.openxmlformats.org/officeDocument/2006/relationships/hyperlink" Target="https://www.vanille-goyavier.com/" TargetMode="External"/><Relationship Id="rId140" Type="http://schemas.openxmlformats.org/officeDocument/2006/relationships/hyperlink" Target="https://www.billikers.com/fr/rentals/515109-le-verger-de-la-plaine-jolie-maison-sur-la-plaine-des-cafres-pour-10-pers-a-le-tampon" TargetMode="External"/><Relationship Id="rId5" Type="http://schemas.openxmlformats.org/officeDocument/2006/relationships/hyperlink" Target="https://www.menu-touch.fr/resto/webmenu/v1.0/qrcode.php?id=2430" TargetMode="External"/><Relationship Id="rId147" Type="http://schemas.openxmlformats.org/officeDocument/2006/relationships/hyperlink" Target="https://hotel-ledimitile.com/hotel-spa-entre-deux/" TargetMode="External"/><Relationship Id="rId6" Type="http://schemas.openxmlformats.org/officeDocument/2006/relationships/hyperlink" Target="https://orchidea-salle-de-reception.business.site/" TargetMode="External"/><Relationship Id="rId146" Type="http://schemas.openxmlformats.org/officeDocument/2006/relationships/hyperlink" Target="https://hotel-ledimitile.com/restaurant-entre-deux/" TargetMode="External"/><Relationship Id="rId7" Type="http://schemas.openxmlformats.org/officeDocument/2006/relationships/hyperlink" Target="https://www.abacard.net/fr/page/abacard-home-a-la-reunion" TargetMode="External"/><Relationship Id="rId145" Type="http://schemas.openxmlformats.org/officeDocument/2006/relationships/hyperlink" Target="http://meuble-tampon.fr/?fbclid=IwZXh0bgNhZW0CMTAAAR3GNKs7WUNnz0IcI5R8g4Va3Dfd9B0ocooHbfScKqIEZWuzu0VCaVLmCns_aem_pNKJNq0ioBmqoGgRx-gHHQ" TargetMode="External"/><Relationship Id="rId8" Type="http://schemas.openxmlformats.org/officeDocument/2006/relationships/hyperlink" Target="https://tikazenboi.com/" TargetMode="External"/><Relationship Id="rId144" Type="http://schemas.openxmlformats.org/officeDocument/2006/relationships/hyperlink" Target="https://www.mobilboard.com/fr/la-reunion" TargetMode="External"/><Relationship Id="rId73" Type="http://schemas.openxmlformats.org/officeDocument/2006/relationships/hyperlink" Target="https://ryycrdhlkmzpxwwwwupy.supabase.co/storage/v1/object/public/old_media/54f12974.Path.051027.jpg" TargetMode="External"/><Relationship Id="rId72" Type="http://schemas.openxmlformats.org/officeDocument/2006/relationships/hyperlink" Target="https://lesjardinsdenicole.re/" TargetMode="External"/><Relationship Id="rId75" Type="http://schemas.openxmlformats.org/officeDocument/2006/relationships/hyperlink" Target="https://naturaissance.re/" TargetMode="External"/><Relationship Id="rId74" Type="http://schemas.openxmlformats.org/officeDocument/2006/relationships/hyperlink" Target="https://www.sejour-de-reve.com/fr/villa-baies-roses---piscine-chauffee-ile-reunion" TargetMode="External"/><Relationship Id="rId77" Type="http://schemas.openxmlformats.org/officeDocument/2006/relationships/hyperlink" Target="https://www.velhautsrun.com/" TargetMode="External"/><Relationship Id="rId76" Type="http://schemas.openxmlformats.org/officeDocument/2006/relationships/hyperlink" Target="https://www.keylodge.fr/location/villa-entre-deux-villa-exotika-piscine-privee-68-m-entre-deux-410365.html" TargetMode="External"/><Relationship Id="rId79" Type="http://schemas.openxmlformats.org/officeDocument/2006/relationships/hyperlink" Target="https://gitedescormorans.hotelc2.top/" TargetMode="External"/><Relationship Id="rId78" Type="http://schemas.openxmlformats.org/officeDocument/2006/relationships/hyperlink" Target="https://www.o422-e2.com/" TargetMode="External"/><Relationship Id="rId71" Type="http://schemas.openxmlformats.org/officeDocument/2006/relationships/hyperlink" Target="https://lonbrazvolkan.lodgify.com/" TargetMode="External"/><Relationship Id="rId70" Type="http://schemas.openxmlformats.org/officeDocument/2006/relationships/hyperlink" Target="https://www.keylodge.fr/location/maison-entre-deux-kaz-a-olymp-charmante-maison-de-80-m2-a-l-entre-deux-404719.html" TargetMode="External"/><Relationship Id="rId139" Type="http://schemas.openxmlformats.org/officeDocument/2006/relationships/hyperlink" Target="https://heritage-ecolodge.fr/" TargetMode="External"/><Relationship Id="rId138" Type="http://schemas.openxmlformats.org/officeDocument/2006/relationships/hyperlink" Target="https://9a703982.smoobu.net/fr/apartment/PeaceLodgeIaucurdelaverdure/1907693" TargetMode="External"/><Relationship Id="rId137" Type="http://schemas.openxmlformats.org/officeDocument/2006/relationships/hyperlink" Target="https://9a703982.smoobu.net/fr/apartment/PeaceLodgeIIaucurdelaverdureetdtentedanslejacuzzi/1907696" TargetMode="External"/><Relationship Id="rId132" Type="http://schemas.openxmlformats.org/officeDocument/2006/relationships/hyperlink" Target="https://9a703982.smoobu.net/fr/apartment/LHibiscus/1990622?fbclid=IwAR2XTx4TjtRN6iuU8R96LW9QmVClhdnxS9RgXAMU727s4YpsXWLS7uO9ap0" TargetMode="External"/><Relationship Id="rId131" Type="http://schemas.openxmlformats.org/officeDocument/2006/relationships/hyperlink" Target="https://www.locationplainedescafres.com/pages/coordonnees.html" TargetMode="External"/><Relationship Id="rId130" Type="http://schemas.openxmlformats.org/officeDocument/2006/relationships/hyperlink" Target="https://aubergeduvolcan.re/" TargetMode="External"/><Relationship Id="rId136" Type="http://schemas.openxmlformats.org/officeDocument/2006/relationships/hyperlink" Target="https://www.premiumsaisonnier.fr/location/maison-saint-joseph-etoile-de-la-plaine-471870.html" TargetMode="External"/><Relationship Id="rId135" Type="http://schemas.openxmlformats.org/officeDocument/2006/relationships/hyperlink" Target="https://www.mira-ceramique.re/" TargetMode="External"/><Relationship Id="rId134" Type="http://schemas.openxmlformats.org/officeDocument/2006/relationships/hyperlink" Target="https://le-muguet-sauvage.lodgify.com/" TargetMode="External"/><Relationship Id="rId133" Type="http://schemas.openxmlformats.org/officeDocument/2006/relationships/hyperlink" Target="https://www.couleursdusudsauvage.com/" TargetMode="External"/><Relationship Id="rId62" Type="http://schemas.openxmlformats.org/officeDocument/2006/relationships/hyperlink" Target="https://location-saisonniere-ti-kaze-creole.odoo.com/?fbclid=IwAR2po_JiOIe_VcRUQ3K_gZyZE7ajJpRxeAkPjk6-EwqIHjUxjU4RDaXpce8" TargetMode="External"/><Relationship Id="rId61" Type="http://schemas.openxmlformats.org/officeDocument/2006/relationships/hyperlink" Target="https://www.casaloeva.fr/" TargetMode="External"/><Relationship Id="rId64" Type="http://schemas.openxmlformats.org/officeDocument/2006/relationships/hyperlink" Target="https://www.escalrun.com/fr/escalrun-appart-paille-en-queue" TargetMode="External"/><Relationship Id="rId63" Type="http://schemas.openxmlformats.org/officeDocument/2006/relationships/hyperlink" Target="https://www.escalrun.com/fr/escalrun-appart-margouillat" TargetMode="External"/><Relationship Id="rId66" Type="http://schemas.openxmlformats.org/officeDocument/2006/relationships/hyperlink" Target="https://www.kmilapizza.re/kmila-pizza-vincendo/" TargetMode="External"/><Relationship Id="rId172" Type="http://schemas.openxmlformats.org/officeDocument/2006/relationships/hyperlink" Target="https://lenclosduvolcan.fr/" TargetMode="External"/><Relationship Id="rId65" Type="http://schemas.openxmlformats.org/officeDocument/2006/relationships/hyperlink" Target="https://www.escalrun.com/" TargetMode="External"/><Relationship Id="rId171" Type="http://schemas.openxmlformats.org/officeDocument/2006/relationships/hyperlink" Target="https://www.dalonlakour.com/" TargetMode="External"/><Relationship Id="rId68" Type="http://schemas.openxmlformats.org/officeDocument/2006/relationships/hyperlink" Target="https://lamaisondeshotes.re/la-maison-des-hotes-saint-joseph/" TargetMode="External"/><Relationship Id="rId170" Type="http://schemas.openxmlformats.org/officeDocument/2006/relationships/hyperlink" Target="https://www.kreol-tours-reunion.com/" TargetMode="External"/><Relationship Id="rId67" Type="http://schemas.openxmlformats.org/officeDocument/2006/relationships/hyperlink" Target="https://lamaisondeshotes.re/le-gecko-vert-manapany-les-bains/" TargetMode="External"/><Relationship Id="rId60" Type="http://schemas.openxmlformats.org/officeDocument/2006/relationships/hyperlink" Target="https://www.bijouterierobertj974.com/" TargetMode="External"/><Relationship Id="rId165" Type="http://schemas.openxmlformats.org/officeDocument/2006/relationships/hyperlink" Target="https://www.leszaventuriers.com/" TargetMode="External"/><Relationship Id="rId69" Type="http://schemas.openxmlformats.org/officeDocument/2006/relationships/hyperlink" Target="https://lileovertsaunabienetremeubletouristique.bookinbeautiful.fr/" TargetMode="External"/><Relationship Id="rId164" Type="http://schemas.openxmlformats.org/officeDocument/2006/relationships/hyperlink" Target="http://www.timacaronpei.re" TargetMode="External"/><Relationship Id="rId163" Type="http://schemas.openxmlformats.org/officeDocument/2006/relationships/hyperlink" Target="https://paa.ge/villaotipailleenqueue/fr?fbclid=IwY2xjawJNyr1leHRuA2FlbQIxMAABHQgzekVqFfV7kIok-PKgOy65mP7NZn5aO6zbyNi_nzCxHyZXIUuYTPjFzQ_aem_zX0J4G7FIMI_lYd79okL7w" TargetMode="External"/><Relationship Id="rId162" Type="http://schemas.openxmlformats.org/officeDocument/2006/relationships/hyperlink" Target="https://paa.ge/villavetiver/fr?fbclid=IwY2xjawJNxU9leHRuA2FlbQIxMAABHcA2f1f6YwE-XzUm3Q4ENMhDpWiAYKf3I4Onz5qvwKp0CJP60E-edgEqoA_aem_9vchK6mL9UWcSuiPaLImeA" TargetMode="External"/><Relationship Id="rId169" Type="http://schemas.openxmlformats.org/officeDocument/2006/relationships/hyperlink" Target="http://la-caze-a-manou-by-resiste.com" TargetMode="External"/><Relationship Id="rId168" Type="http://schemas.openxmlformats.org/officeDocument/2006/relationships/hyperlink" Target="https://sucette-evenement-974.fr/" TargetMode="External"/><Relationship Id="rId167" Type="http://schemas.openxmlformats.org/officeDocument/2006/relationships/hyperlink" Target="https://www.caroandconciergerie.com/les-logements-de-la-conciergerie?fbclid=IwY2xjawKqUutleHRuA2FlbQIxMABicmlkETFpTEpMU0FSbUdVYVQxU0FaAR4lP1fj2yN3naJwj9oV3Auc04001JiHxQn5yyhVYyOgi-HwoHtFVefxgHz2Uw_aem_XZnhuxlLmcpx2brPFpHR3g" TargetMode="External"/><Relationship Id="rId166" Type="http://schemas.openxmlformats.org/officeDocument/2006/relationships/hyperlink" Target="https://labib.re/" TargetMode="External"/><Relationship Id="rId51" Type="http://schemas.openxmlformats.org/officeDocument/2006/relationships/hyperlink" Target="http://www.entredeuxreves.fr" TargetMode="External"/><Relationship Id="rId50" Type="http://schemas.openxmlformats.org/officeDocument/2006/relationships/hyperlink" Target="http://www.entredeuxreves.fr" TargetMode="External"/><Relationship Id="rId53" Type="http://schemas.openxmlformats.org/officeDocument/2006/relationships/hyperlink" Target="https://billikers.com/fr/rentals/266005-villa-ti-caz-do-miel-piscine-bain-remous-le-tampon-ile-de-la-reunion-a-la-reunion?currency=EUR" TargetMode="External"/><Relationship Id="rId52" Type="http://schemas.openxmlformats.org/officeDocument/2006/relationships/hyperlink" Target="https://meuble-de-tourisme-villa-reunion.webnode.fr/" TargetMode="External"/><Relationship Id="rId55" Type="http://schemas.openxmlformats.org/officeDocument/2006/relationships/hyperlink" Target="https://www.lavillarosanna.fr/" TargetMode="External"/><Relationship Id="rId161" Type="http://schemas.openxmlformats.org/officeDocument/2006/relationships/hyperlink" Target="https://5a-transports.fr/" TargetMode="External"/><Relationship Id="rId54" Type="http://schemas.openxmlformats.org/officeDocument/2006/relationships/hyperlink" Target="https://lonbrazvolkan.lodgify.com/" TargetMode="External"/><Relationship Id="rId160" Type="http://schemas.openxmlformats.org/officeDocument/2006/relationships/hyperlink" Target="https://lechaletdesecuries.re" TargetMode="External"/><Relationship Id="rId57" Type="http://schemas.openxmlformats.org/officeDocument/2006/relationships/hyperlink" Target="https://www.sejour-de-reve.com/fr/villa-nature-evasion" TargetMode="External"/><Relationship Id="rId56" Type="http://schemas.openxmlformats.org/officeDocument/2006/relationships/hyperlink" Target="https://www.lavillarosanna.fr/" TargetMode="External"/><Relationship Id="rId159" Type="http://schemas.openxmlformats.org/officeDocument/2006/relationships/hyperlink" Target="https://www.location-velo-electrique-974.fr/" TargetMode="External"/><Relationship Id="rId59" Type="http://schemas.openxmlformats.org/officeDocument/2006/relationships/hyperlink" Target="https://www.transportanou.com/" TargetMode="External"/><Relationship Id="rId154" Type="http://schemas.openxmlformats.org/officeDocument/2006/relationships/hyperlink" Target="https://100pour100reunion.fr/portfolio/la-gourmandises-des-moches/" TargetMode="External"/><Relationship Id="rId58" Type="http://schemas.openxmlformats.org/officeDocument/2006/relationships/hyperlink" Target="https://ti-natte.business.site/" TargetMode="External"/><Relationship Id="rId153" Type="http://schemas.openxmlformats.org/officeDocument/2006/relationships/hyperlink" Target="https://www.domaine-kmzero.com/" TargetMode="External"/><Relationship Id="rId152" Type="http://schemas.openxmlformats.org/officeDocument/2006/relationships/hyperlink" Target="https://www.lempreinte.re/" TargetMode="External"/><Relationship Id="rId151" Type="http://schemas.openxmlformats.org/officeDocument/2006/relationships/hyperlink" Target="https://gitebraslontan.re/" TargetMode="External"/><Relationship Id="rId158" Type="http://schemas.openxmlformats.org/officeDocument/2006/relationships/hyperlink" Target="http://www.change-ecorce.fr" TargetMode="External"/><Relationship Id="rId157" Type="http://schemas.openxmlformats.org/officeDocument/2006/relationships/hyperlink" Target="https://sites.google.com/view/isdrawing974/accueil?fbclid=IwY2xjawH6_BRleHRuA2FlbQIxMAABHdqRLP6Ec0bJufp4Tag_Dqbo3kGrKgdEn8dDkpYn3pgIEDp8LsYtmsSyYQ_aem_BY3X2GfIuoGNMP8y8o4Qnw" TargetMode="External"/><Relationship Id="rId156" Type="http://schemas.openxmlformats.org/officeDocument/2006/relationships/hyperlink" Target="https://contacttropicalede.wixsite.com/monsite-1?fbclid=IwY2xjawIZVwlleHRuA2FlbQIxMAABHTDG8qAJjbhcnOs1u_DH1HxrKd7d15wPcZxjVKWv4FsQiII6WkRNNebDXA_aem_8Rkh2rjpyweTCHSO9_7u1w" TargetMode="External"/><Relationship Id="rId155" Type="http://schemas.openxmlformats.org/officeDocument/2006/relationships/hyperlink" Target="https://synergiesdamandine.com/" TargetMode="External"/><Relationship Id="rId107" Type="http://schemas.openxmlformats.org/officeDocument/2006/relationships/hyperlink" Target="https://www.caseaupiedduvolcan.com/" TargetMode="External"/><Relationship Id="rId106" Type="http://schemas.openxmlformats.org/officeDocument/2006/relationships/hyperlink" Target="https://www.jasmin-de-nuit.com/?fbclid=IwAR3So7oPBRB8_U-1SGTfodIDmAMcAdxyc6X_a-g66LtOTmqofai2koaDyKo" TargetMode="External"/><Relationship Id="rId105" Type="http://schemas.openxmlformats.org/officeDocument/2006/relationships/hyperlink" Target="https://www.jasmin-de-nuit.com/?fbclid=IwAR3So7oPBRB8_U-1SGTfodIDmAMcAdxyc6X_a-g66LtOTmqofai2koaDyKo" TargetMode="External"/><Relationship Id="rId104" Type="http://schemas.openxmlformats.org/officeDocument/2006/relationships/hyperlink" Target="https://www.coco-vanille.com/" TargetMode="External"/><Relationship Id="rId109" Type="http://schemas.openxmlformats.org/officeDocument/2006/relationships/hyperlink" Target="https://chamantini.re/" TargetMode="External"/><Relationship Id="rId108" Type="http://schemas.openxmlformats.org/officeDocument/2006/relationships/hyperlink" Target="https://grillanoo-fr.webnode.fr/" TargetMode="External"/><Relationship Id="rId103" Type="http://schemas.openxmlformats.org/officeDocument/2006/relationships/hyperlink" Target="https://www.runissime.re/tampon+974+villa+location-vacances+r24770579.html?marche=1&amp;transaction_url=location-vacances" TargetMode="External"/><Relationship Id="rId102" Type="http://schemas.openxmlformats.org/officeDocument/2006/relationships/hyperlink" Target="https://www.mechant.re/?fbclid=IwAR3prgWy0IrwAyoLGNxXCUCqda5GFFXAtI0nHdfg-kRQGVqiWoUvU1tourQ" TargetMode="External"/><Relationship Id="rId101" Type="http://schemas.openxmlformats.org/officeDocument/2006/relationships/hyperlink" Target="https://www.clairefalconnet.re/?fbclid=IwAR08pCbnqq88nTbJ6QHHe7pxTwgu-mCBWZsgSvvUUwP_HLj5jVYPFLOiqk0" TargetMode="External"/><Relationship Id="rId100" Type="http://schemas.openxmlformats.org/officeDocument/2006/relationships/hyperlink" Target="https://www.jardin-parfums-epices.com/" TargetMode="External"/><Relationship Id="rId129" Type="http://schemas.openxmlformats.org/officeDocument/2006/relationships/hyperlink" Target="https://www.lebarildepoudre.com/" TargetMode="External"/><Relationship Id="rId128" Type="http://schemas.openxmlformats.org/officeDocument/2006/relationships/hyperlink" Target="https://billikers.com/fr/rentals/265984-villa-isis-piscine-randonnee-entre-deux-ile-de-la-reunion-a-la-reunion" TargetMode="External"/><Relationship Id="rId127" Type="http://schemas.openxmlformats.org/officeDocument/2006/relationships/hyperlink" Target="https://www.bedandbreakfast.eu/fr/a/8226378/le-bel-horizon/" TargetMode="External"/><Relationship Id="rId126" Type="http://schemas.openxmlformats.org/officeDocument/2006/relationships/hyperlink" Target="https://ryycrdhlkmzpxwwwwupy.supabase.co/storage/v1/object/public/old_media/4b30f488.Path.120011.jpg" TargetMode="External"/><Relationship Id="rId121" Type="http://schemas.openxmlformats.org/officeDocument/2006/relationships/hyperlink" Target="https://paintball974.wixsite.com/website?fbclid=IwAR1oafA8Rhpe23oqfqlQ96uttJsYkdOcUCGmF6gTFcLUk8lkYzF1ruO5YdE" TargetMode="External"/><Relationship Id="rId120" Type="http://schemas.openxmlformats.org/officeDocument/2006/relationships/hyperlink" Target="https://www.buggsbuggy974.re/tarifs-p351902.html" TargetMode="External"/><Relationship Id="rId125" Type="http://schemas.openxmlformats.org/officeDocument/2006/relationships/hyperlink" Target="http://detentecreole.e-monsite.com/" TargetMode="External"/><Relationship Id="rId124" Type="http://schemas.openxmlformats.org/officeDocument/2006/relationships/hyperlink" Target="https://www.el-latino.com/index.php/restaurant" TargetMode="External"/><Relationship Id="rId123" Type="http://schemas.openxmlformats.org/officeDocument/2006/relationships/hyperlink" Target="https://la-vieille-tonnelle.business.site/" TargetMode="External"/><Relationship Id="rId122" Type="http://schemas.openxmlformats.org/officeDocument/2006/relationships/hyperlink" Target="https://www.lesembrunsdubaril.com/" TargetMode="External"/><Relationship Id="rId95" Type="http://schemas.openxmlformats.org/officeDocument/2006/relationships/hyperlink" Target="https://capmechant.re/" TargetMode="External"/><Relationship Id="rId94" Type="http://schemas.openxmlformats.org/officeDocument/2006/relationships/hyperlink" Target="https://www.google.fr/maps/dir//-21.3721395,55.6261843/@-21.372125,55.6218044,16z" TargetMode="External"/><Relationship Id="rId97" Type="http://schemas.openxmlformats.org/officeDocument/2006/relationships/hyperlink" Target="https://www.lemaccabit.re/" TargetMode="External"/><Relationship Id="rId96" Type="http://schemas.openxmlformats.org/officeDocument/2006/relationships/hyperlink" Target="https://auberge-guimard.business.site/" TargetMode="External"/><Relationship Id="rId99" Type="http://schemas.openxmlformats.org/officeDocument/2006/relationships/hyperlink" Target="https://www.pinpindamour.com/" TargetMode="External"/><Relationship Id="rId98" Type="http://schemas.openxmlformats.org/officeDocument/2006/relationships/hyperlink" Target="https://www.pinpindamour.com/" TargetMode="External"/><Relationship Id="rId91" Type="http://schemas.openxmlformats.org/officeDocument/2006/relationships/hyperlink" Target="https://aar-reunion.jimdofree.com/" TargetMode="External"/><Relationship Id="rId90" Type="http://schemas.openxmlformats.org/officeDocument/2006/relationships/hyperlink" Target="https://www.facebook.com/TiKazAnanasEntreDeux/" TargetMode="External"/><Relationship Id="rId93" Type="http://schemas.openxmlformats.org/officeDocument/2006/relationships/hyperlink" Target="https://villasaintjo.com/" TargetMode="External"/><Relationship Id="rId92" Type="http://schemas.openxmlformats.org/officeDocument/2006/relationships/hyperlink" Target="https://www.sejour-de-reve.com/fr/villa-roselodge" TargetMode="External"/><Relationship Id="rId118" Type="http://schemas.openxmlformats.org/officeDocument/2006/relationships/hyperlink" Target="https://hotel-ledimitile.com/" TargetMode="External"/><Relationship Id="rId117" Type="http://schemas.openxmlformats.org/officeDocument/2006/relationships/hyperlink" Target="https://beds24.com/booking2.php?propid=151283&amp;fbclid=IwAR3xHykd3eo-zWehAa4oJZ5t4AE5LaNFuYKVX12U2EXQPQ7RjERqBsaAnZk" TargetMode="External"/><Relationship Id="rId116" Type="http://schemas.openxmlformats.org/officeDocument/2006/relationships/hyperlink" Target="https://www.sejour-de-reve.com/fr/villa-les-papangues" TargetMode="External"/><Relationship Id="rId115" Type="http://schemas.openxmlformats.org/officeDocument/2006/relationships/hyperlink" Target="https://couteauxbourbon.com/" TargetMode="External"/><Relationship Id="rId119" Type="http://schemas.openxmlformats.org/officeDocument/2006/relationships/hyperlink" Target="https://www.scealesplatanes.com/" TargetMode="External"/><Relationship Id="rId110" Type="http://schemas.openxmlformats.org/officeDocument/2006/relationships/hyperlink" Target="https://couleurvolcanreunion.re/" TargetMode="External"/><Relationship Id="rId114" Type="http://schemas.openxmlformats.org/officeDocument/2006/relationships/hyperlink" Target="https://www.sejour-de-reve.com/fr/la-villa-des-bibassiers" TargetMode="External"/><Relationship Id="rId113" Type="http://schemas.openxmlformats.org/officeDocument/2006/relationships/hyperlink" Target="https://www.la-louise-vacances.com/" TargetMode="External"/><Relationship Id="rId112" Type="http://schemas.openxmlformats.org/officeDocument/2006/relationships/hyperlink" Target="https://www.booking.com/hotel/re/les-alizes.fr.html" TargetMode="External"/><Relationship Id="rId111" Type="http://schemas.openxmlformats.org/officeDocument/2006/relationships/hyperlink" Target="https://couleurvolcanreunion.r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92" Type="http://schemas.openxmlformats.org/officeDocument/2006/relationships/hyperlink" Target="https://ryycrdhlkmzpxwwwwupy.supabase.co/storage/v1/object/public/old_media/b598775c.Path.065606.jpg" TargetMode="External"/><Relationship Id="rId391" Type="http://schemas.openxmlformats.org/officeDocument/2006/relationships/hyperlink" Target="https://ryycrdhlkmzpxwwwwupy.supabase.co/storage/v1/object/public/old_media/122ef640.Path.065552.jpg" TargetMode="External"/><Relationship Id="rId390" Type="http://schemas.openxmlformats.org/officeDocument/2006/relationships/hyperlink" Target="https://ryycrdhlkmzpxwwwwupy.supabase.co/storage/v1/object/public/old_media/c7cc750f.Path.065529.jpg" TargetMode="External"/><Relationship Id="rId2180" Type="http://schemas.openxmlformats.org/officeDocument/2006/relationships/hyperlink" Target="https://ryycrdhlkmzpxwwwwupy.supabase.co/storage/v1/object/public/old_media/f7daab5e.Path.104229.jpg" TargetMode="External"/><Relationship Id="rId2181" Type="http://schemas.openxmlformats.org/officeDocument/2006/relationships/hyperlink" Target="https://ryycrdhlkmzpxwwwwupy.supabase.co/storage/v1/object/public/old_media/802eeabf.Path.104251.jpg" TargetMode="External"/><Relationship Id="rId2182" Type="http://schemas.openxmlformats.org/officeDocument/2006/relationships/hyperlink" Target="https://ryycrdhlkmzpxwwwwupy.supabase.co/storage/v1/object/public/old_media/e499eda7.Path.104310.jpg" TargetMode="External"/><Relationship Id="rId2183" Type="http://schemas.openxmlformats.org/officeDocument/2006/relationships/hyperlink" Target="https://ryycrdhlkmzpxwwwwupy.supabase.co/storage/v1/object/public/old_media/976b0536.Path.104333.jpg" TargetMode="External"/><Relationship Id="rId385" Type="http://schemas.openxmlformats.org/officeDocument/2006/relationships/hyperlink" Target="https://ryycrdhlkmzpxwwwwupy.supabase.co/storage/v1/object/public/old_media/9904a54d.Path.111556.png" TargetMode="External"/><Relationship Id="rId2184" Type="http://schemas.openxmlformats.org/officeDocument/2006/relationships/hyperlink" Target="https://ryycrdhlkmzpxwwwwupy.supabase.co/storage/v1/object/public/old_media/c61de742.Path.104431.jpg" TargetMode="External"/><Relationship Id="rId384" Type="http://schemas.openxmlformats.org/officeDocument/2006/relationships/hyperlink" Target="https://ryycrdhlkmzpxwwwwupy.supabase.co/storage/v1/object/public/old_media/822f40a1.Path.102809.jpg" TargetMode="External"/><Relationship Id="rId2185" Type="http://schemas.openxmlformats.org/officeDocument/2006/relationships/hyperlink" Target="https://ryycrdhlkmzpxwwwwupy.supabase.co/storage/v1/object/public/old_media/3403dbbb.Path.104450.jpg" TargetMode="External"/><Relationship Id="rId383" Type="http://schemas.openxmlformats.org/officeDocument/2006/relationships/hyperlink" Target="https://ryycrdhlkmzpxwwwwupy.supabase.co/storage/v1/object/public/old_media/130ac7ba.Path.102625.jpg" TargetMode="External"/><Relationship Id="rId2186" Type="http://schemas.openxmlformats.org/officeDocument/2006/relationships/hyperlink" Target="https://ryycrdhlkmzpxwwwwupy.supabase.co/storage/v1/object/public/old_media/6b0110e9.Path.104505.jpg" TargetMode="External"/><Relationship Id="rId382" Type="http://schemas.openxmlformats.org/officeDocument/2006/relationships/hyperlink" Target="https://ryycrdhlkmzpxwwwwupy.supabase.co/storage/v1/object/public/old_media/aedd1eb1.Path.102532.jpg" TargetMode="External"/><Relationship Id="rId2187" Type="http://schemas.openxmlformats.org/officeDocument/2006/relationships/hyperlink" Target="https://ryycrdhlkmzpxwwwwupy.supabase.co/storage/v1/object/public/old_media/07f70343.Path.104520.jpg" TargetMode="External"/><Relationship Id="rId389" Type="http://schemas.openxmlformats.org/officeDocument/2006/relationships/hyperlink" Target="https://ryycrdhlkmzpxwwwwupy.supabase.co/storage/v1/object/public/old_media/69739b7d.Path.043959.jpg" TargetMode="External"/><Relationship Id="rId2188" Type="http://schemas.openxmlformats.org/officeDocument/2006/relationships/hyperlink" Target="https://ryycrdhlkmzpxwwwwupy.supabase.co/storage/v1/object/public/old_media/6b792bb7.Path.105702.jpg" TargetMode="External"/><Relationship Id="rId388" Type="http://schemas.openxmlformats.org/officeDocument/2006/relationships/hyperlink" Target="https://ryycrdhlkmzpxwwwwupy.supabase.co/storage/v1/object/public/old_media/56e7ec31.Path.043946.jpg" TargetMode="External"/><Relationship Id="rId2189" Type="http://schemas.openxmlformats.org/officeDocument/2006/relationships/hyperlink" Target="https://ryycrdhlkmzpxwwwwupy.supabase.co/storage/v1/object/public/old_media/6779749a.Path.043539.jpg" TargetMode="External"/><Relationship Id="rId387" Type="http://schemas.openxmlformats.org/officeDocument/2006/relationships/hyperlink" Target="https://ryycrdhlkmzpxwwwwupy.supabase.co/storage/v1/object/public/old_media/dc4f88cb.Path.043932.jpg" TargetMode="External"/><Relationship Id="rId386" Type="http://schemas.openxmlformats.org/officeDocument/2006/relationships/hyperlink" Target="https://ryycrdhlkmzpxwwwwupy.supabase.co/storage/v1/object/public/old_media/145f6a72.Path.111610.jpg" TargetMode="External"/><Relationship Id="rId381" Type="http://schemas.openxmlformats.org/officeDocument/2006/relationships/hyperlink" Target="https://ryycrdhlkmzpxwwwwupy.supabase.co/storage/v1/object/public/old_media/4248441e.Path.102425.jpg" TargetMode="External"/><Relationship Id="rId380" Type="http://schemas.openxmlformats.org/officeDocument/2006/relationships/hyperlink" Target="https://ryycrdhlkmzpxwwwwupy.supabase.co/storage/v1/object/public/old_media/880b2eaa.Path.102317.jpg" TargetMode="External"/><Relationship Id="rId379" Type="http://schemas.openxmlformats.org/officeDocument/2006/relationships/hyperlink" Target="https://ryycrdhlkmzpxwwwwupy.supabase.co/storage/v1/object/public/old_media/d7668b57.Path.102227.jpg" TargetMode="External"/><Relationship Id="rId2170" Type="http://schemas.openxmlformats.org/officeDocument/2006/relationships/hyperlink" Target="https://ryycrdhlkmzpxwwwwupy.supabase.co/storage/v1/object/public/old_media/f73228d0.Path.062928.jpg" TargetMode="External"/><Relationship Id="rId2171" Type="http://schemas.openxmlformats.org/officeDocument/2006/relationships/hyperlink" Target="https://ryycrdhlkmzpxwwwwupy.supabase.co/storage/v1/object/public/old_media/2d4d9f27.Path.062937.jpg" TargetMode="External"/><Relationship Id="rId2172" Type="http://schemas.openxmlformats.org/officeDocument/2006/relationships/hyperlink" Target="https://ryycrdhlkmzpxwwwwupy.supabase.co/storage/v1/object/public/old_media/98f19cb5.Path.062946.jpg" TargetMode="External"/><Relationship Id="rId374" Type="http://schemas.openxmlformats.org/officeDocument/2006/relationships/hyperlink" Target="https://ryycrdhlkmzpxwwwwupy.supabase.co/storage/v1/object/public/old_media/d2171b3e.Path.102119.jpg" TargetMode="External"/><Relationship Id="rId2173" Type="http://schemas.openxmlformats.org/officeDocument/2006/relationships/hyperlink" Target="https://ryycrdhlkmzpxwwwwupy.supabase.co/storage/v1/object/public/old_media/b503223c.Path.062956.jpg" TargetMode="External"/><Relationship Id="rId373" Type="http://schemas.openxmlformats.org/officeDocument/2006/relationships/hyperlink" Target="https://ryycrdhlkmzpxwwwwupy.supabase.co/storage/v1/object/public/old_media/977ce96e.Path.102109.jpg" TargetMode="External"/><Relationship Id="rId2174" Type="http://schemas.openxmlformats.org/officeDocument/2006/relationships/hyperlink" Target="https://ryycrdhlkmzpxwwwwupy.supabase.co/storage/v1/object/public/old_media/bdb755f8.Path.063007.jpg" TargetMode="External"/><Relationship Id="rId372" Type="http://schemas.openxmlformats.org/officeDocument/2006/relationships/hyperlink" Target="https://ryycrdhlkmzpxwwwwupy.supabase.co/storage/v1/object/public/old_media/0e24fb05.Path.102057.jpg" TargetMode="External"/><Relationship Id="rId2175" Type="http://schemas.openxmlformats.org/officeDocument/2006/relationships/hyperlink" Target="https://ryycrdhlkmzpxwwwwupy.supabase.co/storage/v1/object/public/old_media/f0f98a9f.Path.075242.jpg" TargetMode="External"/><Relationship Id="rId371" Type="http://schemas.openxmlformats.org/officeDocument/2006/relationships/hyperlink" Target="https://ryycrdhlkmzpxwwwwupy.supabase.co/storage/v1/object/public/old_media/d7bca029.Path.101746.jpg" TargetMode="External"/><Relationship Id="rId2176" Type="http://schemas.openxmlformats.org/officeDocument/2006/relationships/hyperlink" Target="https://ryycrdhlkmzpxwwwwupy.supabase.co/storage/v1/object/public/old_media/eb5392dc.Path.101737.jpg" TargetMode="External"/><Relationship Id="rId378" Type="http://schemas.openxmlformats.org/officeDocument/2006/relationships/hyperlink" Target="https://ryycrdhlkmzpxwwwwupy.supabase.co/storage/v1/object/public/old_media/9e7022eb.Path.074446.jpg" TargetMode="External"/><Relationship Id="rId2177" Type="http://schemas.openxmlformats.org/officeDocument/2006/relationships/hyperlink" Target="https://ryycrdhlkmzpxwwwwupy.supabase.co/storage/v1/object/public/old_media/3fca645d.Path.101746.jpg" TargetMode="External"/><Relationship Id="rId377" Type="http://schemas.openxmlformats.org/officeDocument/2006/relationships/hyperlink" Target="https://ryycrdhlkmzpxwwwwupy.supabase.co/storage/v1/object/public/old_media/592aaf4b.Path.102656.jpg" TargetMode="External"/><Relationship Id="rId2178" Type="http://schemas.openxmlformats.org/officeDocument/2006/relationships/hyperlink" Target="https://ryycrdhlkmzpxwwwwupy.supabase.co/storage/v1/object/public/old_media/392e311d.Path.101753.jpg" TargetMode="External"/><Relationship Id="rId376" Type="http://schemas.openxmlformats.org/officeDocument/2006/relationships/hyperlink" Target="https://ryycrdhlkmzpxwwwwupy.supabase.co/storage/v1/object/public/old_media/56c13bcc.Path.102645.jpg" TargetMode="External"/><Relationship Id="rId2179" Type="http://schemas.openxmlformats.org/officeDocument/2006/relationships/hyperlink" Target="https://ryycrdhlkmzpxwwwwupy.supabase.co/storage/v1/object/public/old_media/f2ef6bf7.Path.101805.jpg" TargetMode="External"/><Relationship Id="rId375" Type="http://schemas.openxmlformats.org/officeDocument/2006/relationships/hyperlink" Target="https://ryycrdhlkmzpxwwwwupy.supabase.co/storage/v1/object/public/old_media/32b47a2b.Path.102448.jpg" TargetMode="External"/><Relationship Id="rId2190" Type="http://schemas.openxmlformats.org/officeDocument/2006/relationships/hyperlink" Target="https://ryycrdhlkmzpxwwwwupy.supabase.co/storage/v1/object/public/old_media/64a25a94.Path.043549.jpg" TargetMode="External"/><Relationship Id="rId2191" Type="http://schemas.openxmlformats.org/officeDocument/2006/relationships/hyperlink" Target="https://ryycrdhlkmzpxwwwwupy.supabase.co/storage/v1/object/public/old_media/3d5ed0a4.Path.043559.jpg" TargetMode="External"/><Relationship Id="rId2192" Type="http://schemas.openxmlformats.org/officeDocument/2006/relationships/hyperlink" Target="https://ryycrdhlkmzpxwwwwupy.supabase.co/storage/v1/object/public/old_media/9e2a1799.Path.043611.jpg" TargetMode="External"/><Relationship Id="rId2193" Type="http://schemas.openxmlformats.org/officeDocument/2006/relationships/hyperlink" Target="https://ryycrdhlkmzpxwwwwupy.supabase.co/storage/v1/object/public/old_media/6259770e.Path.043624.jpg" TargetMode="External"/><Relationship Id="rId2194" Type="http://schemas.openxmlformats.org/officeDocument/2006/relationships/hyperlink" Target="https://ryycrdhlkmzpxwwwwupy.supabase.co/storage/v1/object/public/old_media/efeaddff.Path.043638.jpg" TargetMode="External"/><Relationship Id="rId396" Type="http://schemas.openxmlformats.org/officeDocument/2006/relationships/hyperlink" Target="https://ryycrdhlkmzpxwwwwupy.supabase.co/storage/v1/object/public/old_media/e3ee28bf.Path.065752.jpg" TargetMode="External"/><Relationship Id="rId2195" Type="http://schemas.openxmlformats.org/officeDocument/2006/relationships/hyperlink" Target="https://ryycrdhlkmzpxwwwwupy.supabase.co/storage/v1/object/public/old_media/09c59066.Path.043659.jpg" TargetMode="External"/><Relationship Id="rId395" Type="http://schemas.openxmlformats.org/officeDocument/2006/relationships/hyperlink" Target="https://ryycrdhlkmzpxwwwwupy.supabase.co/storage/v1/object/public/old_media/00f64e0e.Path.065710.jpg" TargetMode="External"/><Relationship Id="rId2196" Type="http://schemas.openxmlformats.org/officeDocument/2006/relationships/hyperlink" Target="https://ryycrdhlkmzpxwwwwupy.supabase.co/storage/v1/object/public/old_media/4902ee34.Path.043708.jpg" TargetMode="External"/><Relationship Id="rId394" Type="http://schemas.openxmlformats.org/officeDocument/2006/relationships/hyperlink" Target="https://ryycrdhlkmzpxwwwwupy.supabase.co/storage/v1/object/public/old_media/baa501ab.Path.065641.jpg" TargetMode="External"/><Relationship Id="rId2197" Type="http://schemas.openxmlformats.org/officeDocument/2006/relationships/hyperlink" Target="https://ryycrdhlkmzpxwwwwupy.supabase.co/storage/v1/object/public/old_media/26d25c4f.Path.043719.jpg" TargetMode="External"/><Relationship Id="rId393" Type="http://schemas.openxmlformats.org/officeDocument/2006/relationships/hyperlink" Target="https://ryycrdhlkmzpxwwwwupy.supabase.co/storage/v1/object/public/old_media/6c185876.Path.065628.jpg" TargetMode="External"/><Relationship Id="rId2198" Type="http://schemas.openxmlformats.org/officeDocument/2006/relationships/hyperlink" Target="https://ryycrdhlkmzpxwwwwupy.supabase.co/storage/v1/object/public/old_media/941f71d2.Path.052854.jpg" TargetMode="External"/><Relationship Id="rId2199" Type="http://schemas.openxmlformats.org/officeDocument/2006/relationships/hyperlink" Target="https://ryycrdhlkmzpxwwwwupy.supabase.co/storage/v1/object/public/old_media/f9600335.Path.100754.jpg" TargetMode="External"/><Relationship Id="rId399" Type="http://schemas.openxmlformats.org/officeDocument/2006/relationships/hyperlink" Target="https://ryycrdhlkmzpxwwwwupy.supabase.co/storage/v1/object/public/old_media/985c0b06.Path.063157.jpg" TargetMode="External"/><Relationship Id="rId398" Type="http://schemas.openxmlformats.org/officeDocument/2006/relationships/hyperlink" Target="https://ryycrdhlkmzpxwwwwupy.supabase.co/storage/v1/object/public/old_media/78e5b283.Path.070138.jpg" TargetMode="External"/><Relationship Id="rId397" Type="http://schemas.openxmlformats.org/officeDocument/2006/relationships/hyperlink" Target="https://ryycrdhlkmzpxwwwwupy.supabase.co/storage/v1/object/public/old_media/5c516300.Path.065853.jpg" TargetMode="External"/><Relationship Id="rId1730" Type="http://schemas.openxmlformats.org/officeDocument/2006/relationships/hyperlink" Target="https://ryycrdhlkmzpxwwwwupy.supabase.co/storage/v1/object/public/old_media/193dbcbd.Path.103615.jpg" TargetMode="External"/><Relationship Id="rId1731" Type="http://schemas.openxmlformats.org/officeDocument/2006/relationships/hyperlink" Target="https://ryycrdhlkmzpxwwwwupy.supabase.co/storage/v1/object/public/old_media/44e7edde.Path.103624.jpg" TargetMode="External"/><Relationship Id="rId1732" Type="http://schemas.openxmlformats.org/officeDocument/2006/relationships/hyperlink" Target="https://ryycrdhlkmzpxwwwwupy.supabase.co/storage/v1/object/public/old_media/aa0048d4.Path.175205.png" TargetMode="External"/><Relationship Id="rId1733" Type="http://schemas.openxmlformats.org/officeDocument/2006/relationships/hyperlink" Target="https://ryycrdhlkmzpxwwwwupy.supabase.co/storage/v1/object/public/old_media/631b45e2.Path.175215.png" TargetMode="External"/><Relationship Id="rId1734" Type="http://schemas.openxmlformats.org/officeDocument/2006/relationships/hyperlink" Target="https://ryycrdhlkmzpxwwwwupy.supabase.co/storage/v1/object/public/old_media/a3e55e4b.Path.065321.jpg" TargetMode="External"/><Relationship Id="rId1735" Type="http://schemas.openxmlformats.org/officeDocument/2006/relationships/hyperlink" Target="https://ryycrdhlkmzpxwwwwupy.supabase.co/storage/v1/object/public/old_media/1d8a1090.Path.065330.jpg" TargetMode="External"/><Relationship Id="rId1736" Type="http://schemas.openxmlformats.org/officeDocument/2006/relationships/hyperlink" Target="https://ryycrdhlkmzpxwwwwupy.supabase.co/storage/v1/object/public/old_media/5b533492.Path.065341.jpg" TargetMode="External"/><Relationship Id="rId1737" Type="http://schemas.openxmlformats.org/officeDocument/2006/relationships/hyperlink" Target="https://ryycrdhlkmzpxwwwwupy.supabase.co/storage/v1/object/public/old_media/a37cb543.Path.065351.jpg" TargetMode="External"/><Relationship Id="rId1738" Type="http://schemas.openxmlformats.org/officeDocument/2006/relationships/hyperlink" Target="https://ryycrdhlkmzpxwwwwupy.supabase.co/storage/v1/object/public/old_media/c46f341c.Path.065402.jpg" TargetMode="External"/><Relationship Id="rId1739" Type="http://schemas.openxmlformats.org/officeDocument/2006/relationships/hyperlink" Target="https://ryycrdhlkmzpxwwwwupy.supabase.co/storage/v1/object/public/old_media/25f427ad.Path.065412.jpg" TargetMode="External"/><Relationship Id="rId1720" Type="http://schemas.openxmlformats.org/officeDocument/2006/relationships/hyperlink" Target="https://ryycrdhlkmzpxwwwwupy.supabase.co/storage/v1/object/public/old_media/07494f0f.Path.101222.jpg" TargetMode="External"/><Relationship Id="rId1721" Type="http://schemas.openxmlformats.org/officeDocument/2006/relationships/hyperlink" Target="https://ryycrdhlkmzpxwwwwupy.supabase.co/storage/v1/object/public/old_media/e63f20d8.Path.114122.avif" TargetMode="External"/><Relationship Id="rId1722" Type="http://schemas.openxmlformats.org/officeDocument/2006/relationships/hyperlink" Target="https://ryycrdhlkmzpxwwwwupy.supabase.co/storage/v1/object/public/old_media/20c14dfa.Path.114136.avif" TargetMode="External"/><Relationship Id="rId1723" Type="http://schemas.openxmlformats.org/officeDocument/2006/relationships/hyperlink" Target="https://ryycrdhlkmzpxwwwwupy.supabase.co/storage/v1/object/public/old_media/1d97c9db.Path.114148.avif" TargetMode="External"/><Relationship Id="rId1724" Type="http://schemas.openxmlformats.org/officeDocument/2006/relationships/hyperlink" Target="https://ryycrdhlkmzpxwwwwupy.supabase.co/storage/v1/object/public/old_media/9597960c.Path.114200.avif" TargetMode="External"/><Relationship Id="rId1725" Type="http://schemas.openxmlformats.org/officeDocument/2006/relationships/hyperlink" Target="https://ryycrdhlkmzpxwwwwupy.supabase.co/storage/v1/object/public/old_media/81797d52.Path.114209.avif" TargetMode="External"/><Relationship Id="rId1726" Type="http://schemas.openxmlformats.org/officeDocument/2006/relationships/hyperlink" Target="https://ryycrdhlkmzpxwwwwupy.supabase.co/storage/v1/object/public/old_media/00740b6c.Path.103523.jpg" TargetMode="External"/><Relationship Id="rId1727" Type="http://schemas.openxmlformats.org/officeDocument/2006/relationships/hyperlink" Target="https://ryycrdhlkmzpxwwwwupy.supabase.co/storage/v1/object/public/old_media/b454d9b5.Path.103545.jpg" TargetMode="External"/><Relationship Id="rId1728" Type="http://schemas.openxmlformats.org/officeDocument/2006/relationships/hyperlink" Target="https://ryycrdhlkmzpxwwwwupy.supabase.co/storage/v1/object/public/old_media/9f932563.Path.103555.jpg" TargetMode="External"/><Relationship Id="rId1729" Type="http://schemas.openxmlformats.org/officeDocument/2006/relationships/hyperlink" Target="https://ryycrdhlkmzpxwwwwupy.supabase.co/storage/v1/object/public/old_media/dc0c2e30.Path.103605.jpg" TargetMode="External"/><Relationship Id="rId1752" Type="http://schemas.openxmlformats.org/officeDocument/2006/relationships/hyperlink" Target="https://ryycrdhlkmzpxwwwwupy.supabase.co/storage/v1/object/public/old_media/b9a45fc9.Path.052647.jpg" TargetMode="External"/><Relationship Id="rId1753" Type="http://schemas.openxmlformats.org/officeDocument/2006/relationships/hyperlink" Target="https://ryycrdhlkmzpxwwwwupy.supabase.co/storage/v1/object/public/old_media/c7d9aed2.Path.052705.jpg" TargetMode="External"/><Relationship Id="rId1754" Type="http://schemas.openxmlformats.org/officeDocument/2006/relationships/hyperlink" Target="https://ryycrdhlkmzpxwwwwupy.supabase.co/storage/v1/object/public/old_media/cf566fc5.Path.052717.jpg" TargetMode="External"/><Relationship Id="rId1755" Type="http://schemas.openxmlformats.org/officeDocument/2006/relationships/hyperlink" Target="https://ryycrdhlkmzpxwwwwupy.supabase.co/storage/v1/object/public/old_media/5a8d5401.Path.052736.jpg" TargetMode="External"/><Relationship Id="rId1756" Type="http://schemas.openxmlformats.org/officeDocument/2006/relationships/hyperlink" Target="https://ryycrdhlkmzpxwwwwupy.supabase.co/storage/v1/object/public/old_media/73cff547.Path.052756.jpg" TargetMode="External"/><Relationship Id="rId1757" Type="http://schemas.openxmlformats.org/officeDocument/2006/relationships/hyperlink" Target="https://ryycrdhlkmzpxwwwwupy.supabase.co/storage/v1/object/public/old_media/2c4468ff.Path.052810.jpg" TargetMode="External"/><Relationship Id="rId1758" Type="http://schemas.openxmlformats.org/officeDocument/2006/relationships/hyperlink" Target="https://ryycrdhlkmzpxwwwwupy.supabase.co/storage/v1/object/public/old_media/0cc52eca.Path.052826.jpg" TargetMode="External"/><Relationship Id="rId1759" Type="http://schemas.openxmlformats.org/officeDocument/2006/relationships/hyperlink" Target="https://ryycrdhlkmzpxwwwwupy.supabase.co/storage/v1/object/public/old_media/1c3927f7.Path.052841.jpg" TargetMode="External"/><Relationship Id="rId1750" Type="http://schemas.openxmlformats.org/officeDocument/2006/relationships/hyperlink" Target="https://ryycrdhlkmzpxwwwwupy.supabase.co/storage/v1/object/public/old_media/bbd76508.Path.064246.jpg" TargetMode="External"/><Relationship Id="rId1751" Type="http://schemas.openxmlformats.org/officeDocument/2006/relationships/hyperlink" Target="https://ryycrdhlkmzpxwwwwupy.supabase.co/storage/v1/object/public/old_media/57a247ac.Path.064259.jpg" TargetMode="External"/><Relationship Id="rId1741" Type="http://schemas.openxmlformats.org/officeDocument/2006/relationships/hyperlink" Target="https://ryycrdhlkmzpxwwwwupy.supabase.co/storage/v1/object/public/old_media/9d214b62.Path.065434.jpg" TargetMode="External"/><Relationship Id="rId1742" Type="http://schemas.openxmlformats.org/officeDocument/2006/relationships/hyperlink" Target="https://ryycrdhlkmzpxwwwwupy.supabase.co/storage/v1/object/public/old_media/bc6412ce.Path.065443.jpg" TargetMode="External"/><Relationship Id="rId1743" Type="http://schemas.openxmlformats.org/officeDocument/2006/relationships/hyperlink" Target="https://ryycrdhlkmzpxwwwwupy.supabase.co/storage/v1/object/public/old_media/23f682fe.Path.065453.jpg" TargetMode="External"/><Relationship Id="rId1744" Type="http://schemas.openxmlformats.org/officeDocument/2006/relationships/hyperlink" Target="https://ryycrdhlkmzpxwwwwupy.supabase.co/storage/v1/object/public/old_media/05d1c846.Path.065507.jpg" TargetMode="External"/><Relationship Id="rId1745" Type="http://schemas.openxmlformats.org/officeDocument/2006/relationships/hyperlink" Target="https://ryycrdhlkmzpxwwwwupy.supabase.co/storage/v1/object/public/old_media/8ee9372a.Path.064103.jpg" TargetMode="External"/><Relationship Id="rId1746" Type="http://schemas.openxmlformats.org/officeDocument/2006/relationships/hyperlink" Target="https://ryycrdhlkmzpxwwwwupy.supabase.co/storage/v1/object/public/old_media/ed6e2dd5.Path.064115.jpg" TargetMode="External"/><Relationship Id="rId1747" Type="http://schemas.openxmlformats.org/officeDocument/2006/relationships/hyperlink" Target="https://ryycrdhlkmzpxwwwwupy.supabase.co/storage/v1/object/public/old_media/eea34692.Path.064126.jpg" TargetMode="External"/><Relationship Id="rId1748" Type="http://schemas.openxmlformats.org/officeDocument/2006/relationships/hyperlink" Target="https://ryycrdhlkmzpxwwwwupy.supabase.co/storage/v1/object/public/old_media/7ef637c0.Path.064139.jpg" TargetMode="External"/><Relationship Id="rId1749" Type="http://schemas.openxmlformats.org/officeDocument/2006/relationships/hyperlink" Target="https://ryycrdhlkmzpxwwwwupy.supabase.co/storage/v1/object/public/old_media/06a8cfb9.Path.064153.jpg" TargetMode="External"/><Relationship Id="rId1740" Type="http://schemas.openxmlformats.org/officeDocument/2006/relationships/hyperlink" Target="https://ryycrdhlkmzpxwwwwupy.supabase.co/storage/v1/object/public/old_media/55119295.Path.065421.jpg" TargetMode="External"/><Relationship Id="rId1710" Type="http://schemas.openxmlformats.org/officeDocument/2006/relationships/hyperlink" Target="https://ryycrdhlkmzpxwwwwupy.supabase.co/storage/v1/object/public/old_media/b64aae32.Path.113449.jpg" TargetMode="External"/><Relationship Id="rId1711" Type="http://schemas.openxmlformats.org/officeDocument/2006/relationships/hyperlink" Target="https://ryycrdhlkmzpxwwwwupy.supabase.co/storage/v1/object/public/old_media/d62f6ae3.Path.113526.jpg" TargetMode="External"/><Relationship Id="rId1712" Type="http://schemas.openxmlformats.org/officeDocument/2006/relationships/hyperlink" Target="https://ryycrdhlkmzpxwwwwupy.supabase.co/storage/v1/object/public/old_media/52bab743.Path.065654.jpg" TargetMode="External"/><Relationship Id="rId1713" Type="http://schemas.openxmlformats.org/officeDocument/2006/relationships/hyperlink" Target="https://ryycrdhlkmzpxwwwwupy.supabase.co/storage/v1/object/public/old_media/17db6043.Path.100946.jpg" TargetMode="External"/><Relationship Id="rId1714" Type="http://schemas.openxmlformats.org/officeDocument/2006/relationships/hyperlink" Target="https://ryycrdhlkmzpxwwwwupy.supabase.co/storage/v1/object/public/old_media/cc59e0cc.Path.101016.jpg" TargetMode="External"/><Relationship Id="rId1715" Type="http://schemas.openxmlformats.org/officeDocument/2006/relationships/hyperlink" Target="https://ryycrdhlkmzpxwwwwupy.supabase.co/storage/v1/object/public/old_media/9dc905e8.Path.101043.jpg" TargetMode="External"/><Relationship Id="rId1716" Type="http://schemas.openxmlformats.org/officeDocument/2006/relationships/hyperlink" Target="https://ryycrdhlkmzpxwwwwupy.supabase.co/storage/v1/object/public/old_media/2f6e0aad.Path.101124.jpg" TargetMode="External"/><Relationship Id="rId1717" Type="http://schemas.openxmlformats.org/officeDocument/2006/relationships/hyperlink" Target="https://ryycrdhlkmzpxwwwwupy.supabase.co/storage/v1/object/public/old_media/157bd840.Path.101142.jpg" TargetMode="External"/><Relationship Id="rId1718" Type="http://schemas.openxmlformats.org/officeDocument/2006/relationships/hyperlink" Target="https://ryycrdhlkmzpxwwwwupy.supabase.co/storage/v1/object/public/old_media/30a2384f.Path.101201.jpg" TargetMode="External"/><Relationship Id="rId1719" Type="http://schemas.openxmlformats.org/officeDocument/2006/relationships/hyperlink" Target="https://ryycrdhlkmzpxwwwwupy.supabase.co/storage/v1/object/public/old_media/deed9b08.Path.101211.jpg" TargetMode="External"/><Relationship Id="rId1700" Type="http://schemas.openxmlformats.org/officeDocument/2006/relationships/hyperlink" Target="https://ryycrdhlkmzpxwwwwupy.supabase.co/storage/v1/object/public/old_media/f5fe30ad.Path.104541.jpg" TargetMode="External"/><Relationship Id="rId1701" Type="http://schemas.openxmlformats.org/officeDocument/2006/relationships/hyperlink" Target="https://ryycrdhlkmzpxwwwwupy.supabase.co/storage/v1/object/public/old_media/65cda70a.Path.104608.jpg" TargetMode="External"/><Relationship Id="rId1702" Type="http://schemas.openxmlformats.org/officeDocument/2006/relationships/hyperlink" Target="https://ryycrdhlkmzpxwwwwupy.supabase.co/storage/v1/object/public/old_media/767da78e.Path.112640.jpg" TargetMode="External"/><Relationship Id="rId1703" Type="http://schemas.openxmlformats.org/officeDocument/2006/relationships/hyperlink" Target="https://ryycrdhlkmzpxwwwwupy.supabase.co/storage/v1/object/public/old_media/ee8d706b.Path.112717.jpg" TargetMode="External"/><Relationship Id="rId1704" Type="http://schemas.openxmlformats.org/officeDocument/2006/relationships/hyperlink" Target="https://ryycrdhlkmzpxwwwwupy.supabase.co/storage/v1/object/public/old_media/59f63218.Path.112748.jpg" TargetMode="External"/><Relationship Id="rId1705" Type="http://schemas.openxmlformats.org/officeDocument/2006/relationships/hyperlink" Target="https://ryycrdhlkmzpxwwwwupy.supabase.co/storage/v1/object/public/old_media/4f6bcf6f.Path.112819.jpg" TargetMode="External"/><Relationship Id="rId1706" Type="http://schemas.openxmlformats.org/officeDocument/2006/relationships/hyperlink" Target="https://ryycrdhlkmzpxwwwwupy.supabase.co/storage/v1/object/public/old_media/ee269161.Path.113150.jpg" TargetMode="External"/><Relationship Id="rId1707" Type="http://schemas.openxmlformats.org/officeDocument/2006/relationships/hyperlink" Target="https://ryycrdhlkmzpxwwwwupy.supabase.co/storage/v1/object/public/old_media/085f143d.Path.113240.jpg" TargetMode="External"/><Relationship Id="rId1708" Type="http://schemas.openxmlformats.org/officeDocument/2006/relationships/hyperlink" Target="https://ryycrdhlkmzpxwwwwupy.supabase.co/storage/v1/object/public/old_media/b3bccfbc.Path.113313.jpg" TargetMode="External"/><Relationship Id="rId1709" Type="http://schemas.openxmlformats.org/officeDocument/2006/relationships/hyperlink" Target="https://ryycrdhlkmzpxwwwwupy.supabase.co/storage/v1/object/public/old_media/de2ce3f4.Path.113358.jpg" TargetMode="External"/><Relationship Id="rId40" Type="http://schemas.openxmlformats.org/officeDocument/2006/relationships/hyperlink" Target="https://ryycrdhlkmzpxwwwwupy.supabase.co/storage/v1/object/public/old_media/b2db31bf.Path.061654.jpg" TargetMode="External"/><Relationship Id="rId3513" Type="http://schemas.openxmlformats.org/officeDocument/2006/relationships/hyperlink" Target="https://ryycrdhlkmzpxwwwwupy.supabase.co/storage/v1/object/public/old_media/292c14a9.Path.094111.jpg" TargetMode="External"/><Relationship Id="rId4844" Type="http://schemas.openxmlformats.org/officeDocument/2006/relationships/hyperlink" Target="https://ryycrdhlkmzpxwwwwupy.supabase.co/storage/v1/object/public/old_media/e15c6bd6.Path.070517.jpg" TargetMode="External"/><Relationship Id="rId3512" Type="http://schemas.openxmlformats.org/officeDocument/2006/relationships/hyperlink" Target="https://ryycrdhlkmzpxwwwwupy.supabase.co/storage/v1/object/public/old_media/36f17428.Path.091859.jpg" TargetMode="External"/><Relationship Id="rId4843" Type="http://schemas.openxmlformats.org/officeDocument/2006/relationships/hyperlink" Target="https://ryycrdhlkmzpxwwwwupy.supabase.co/storage/v1/object/public/old_media/7769f265.Path.070445.avif" TargetMode="External"/><Relationship Id="rId42" Type="http://schemas.openxmlformats.org/officeDocument/2006/relationships/hyperlink" Target="https://ryycrdhlkmzpxwwwwupy.supabase.co/storage/v1/object/public/old_media/a87af688.Path.091954.jpg" TargetMode="External"/><Relationship Id="rId3515" Type="http://schemas.openxmlformats.org/officeDocument/2006/relationships/hyperlink" Target="https://ryycrdhlkmzpxwwwwupy.supabase.co/storage/v1/object/public/old_media/4c32d0ba.Path.094212.jpg" TargetMode="External"/><Relationship Id="rId4846" Type="http://schemas.openxmlformats.org/officeDocument/2006/relationships/hyperlink" Target="https://ryycrdhlkmzpxwwwwupy.supabase.co/storage/v1/object/public/old_media/a17a7ea1.Path.070619.avif" TargetMode="External"/><Relationship Id="rId41" Type="http://schemas.openxmlformats.org/officeDocument/2006/relationships/hyperlink" Target="https://ryycrdhlkmzpxwwwwupy.supabase.co/storage/v1/object/public/old_media/a4915413.Path.061702.jpg" TargetMode="External"/><Relationship Id="rId3514" Type="http://schemas.openxmlformats.org/officeDocument/2006/relationships/hyperlink" Target="https://ryycrdhlkmzpxwwwwupy.supabase.co/storage/v1/object/public/old_media/892143cd.Path.094138.jpg" TargetMode="External"/><Relationship Id="rId4845" Type="http://schemas.openxmlformats.org/officeDocument/2006/relationships/hyperlink" Target="https://ryycrdhlkmzpxwwwwupy.supabase.co/storage/v1/object/public/old_media/3cf0b56a.Path.070549.avif" TargetMode="External"/><Relationship Id="rId44" Type="http://schemas.openxmlformats.org/officeDocument/2006/relationships/hyperlink" Target="https://ryycrdhlkmzpxwwwwupy.supabase.co/storage/v1/object/public/old_media/17dfc5b3.Path.060358.jpg" TargetMode="External"/><Relationship Id="rId3517" Type="http://schemas.openxmlformats.org/officeDocument/2006/relationships/hyperlink" Target="https://ryycrdhlkmzpxwwwwupy.supabase.co/storage/v1/object/public/old_media/7baa87d2.Path.094305.jpg" TargetMode="External"/><Relationship Id="rId4848" Type="http://schemas.openxmlformats.org/officeDocument/2006/relationships/hyperlink" Target="https://ryycrdhlkmzpxwwwwupy.supabase.co/storage/v1/object/public/old_media/b1c69cc8.Path.102848.jpg" TargetMode="External"/><Relationship Id="rId43" Type="http://schemas.openxmlformats.org/officeDocument/2006/relationships/hyperlink" Target="https://ryycrdhlkmzpxwwwwupy.supabase.co/storage/v1/object/public/old_media/6b7f71e9.Path.092727.jpg" TargetMode="External"/><Relationship Id="rId3516" Type="http://schemas.openxmlformats.org/officeDocument/2006/relationships/hyperlink" Target="https://ryycrdhlkmzpxwwwwupy.supabase.co/storage/v1/object/public/old_media/a3d50088.Path.094238.jpg" TargetMode="External"/><Relationship Id="rId4847" Type="http://schemas.openxmlformats.org/officeDocument/2006/relationships/hyperlink" Target="https://ryycrdhlkmzpxwwwwupy.supabase.co/storage/v1/object/public/old_media/1f271870.Path.102817.jpg" TargetMode="External"/><Relationship Id="rId46" Type="http://schemas.openxmlformats.org/officeDocument/2006/relationships/hyperlink" Target="https://ryycrdhlkmzpxwwwwupy.supabase.co/storage/v1/object/public/old_media/dd788e5a.Path.060836.jpg" TargetMode="External"/><Relationship Id="rId3519" Type="http://schemas.openxmlformats.org/officeDocument/2006/relationships/hyperlink" Target="https://ryycrdhlkmzpxwwwwupy.supabase.co/storage/v1/object/public/old_media/66ba17de.Path.094904.jpg" TargetMode="External"/><Relationship Id="rId45" Type="http://schemas.openxmlformats.org/officeDocument/2006/relationships/hyperlink" Target="https://ryycrdhlkmzpxwwwwupy.supabase.co/storage/v1/object/public/old_media/39cb45c1.Path.060701.jpg" TargetMode="External"/><Relationship Id="rId3518" Type="http://schemas.openxmlformats.org/officeDocument/2006/relationships/hyperlink" Target="https://ryycrdhlkmzpxwwwwupy.supabase.co/storage/v1/object/public/old_media/a83ef209.Path.094440.jpg" TargetMode="External"/><Relationship Id="rId4849" Type="http://schemas.openxmlformats.org/officeDocument/2006/relationships/hyperlink" Target="https://ryycrdhlkmzpxwwwwupy.supabase.co/storage/v1/object/public/old_media/d1d874bf.Path.102922.jpg" TargetMode="External"/><Relationship Id="rId48" Type="http://schemas.openxmlformats.org/officeDocument/2006/relationships/hyperlink" Target="https://ryycrdhlkmzpxwwwwupy.supabase.co/storage/v1/object/public/old_media/b2de3eb7.Path.070150.jpg" TargetMode="External"/><Relationship Id="rId47" Type="http://schemas.openxmlformats.org/officeDocument/2006/relationships/hyperlink" Target="https://ryycrdhlkmzpxwwwwupy.supabase.co/storage/v1/object/public/old_media/d2e147da.Path.065929.jpg" TargetMode="External"/><Relationship Id="rId49" Type="http://schemas.openxmlformats.org/officeDocument/2006/relationships/hyperlink" Target="https://ryycrdhlkmzpxwwwwupy.supabase.co/storage/v1/object/public/old_media/8b3efa52.Path.070322.jpg" TargetMode="External"/><Relationship Id="rId4840" Type="http://schemas.openxmlformats.org/officeDocument/2006/relationships/hyperlink" Target="https://ryycrdhlkmzpxwwwwupy.supabase.co/storage/v1/object/public/old_media/d48d679c.Path.044301.jpg" TargetMode="External"/><Relationship Id="rId3511" Type="http://schemas.openxmlformats.org/officeDocument/2006/relationships/hyperlink" Target="https://ryycrdhlkmzpxwwwwupy.supabase.co/storage/v1/object/public/old_media/3376675f.Path.091830.jpg" TargetMode="External"/><Relationship Id="rId4842" Type="http://schemas.openxmlformats.org/officeDocument/2006/relationships/hyperlink" Target="https://ryycrdhlkmzpxwwwwupy.supabase.co/storage/v1/object/public/old_media/2e1c8153.Path.070414.avif" TargetMode="External"/><Relationship Id="rId3510" Type="http://schemas.openxmlformats.org/officeDocument/2006/relationships/hyperlink" Target="https://ryycrdhlkmzpxwwwwupy.supabase.co/storage/v1/object/public/old_media/83b2fccc.Path.091801.jpg" TargetMode="External"/><Relationship Id="rId4841" Type="http://schemas.openxmlformats.org/officeDocument/2006/relationships/hyperlink" Target="https://ryycrdhlkmzpxwwwwupy.supabase.co/storage/v1/object/public/old_media/bb4d5bef.Path.044329.jpg" TargetMode="External"/><Relationship Id="rId3502" Type="http://schemas.openxmlformats.org/officeDocument/2006/relationships/hyperlink" Target="https://ryycrdhlkmzpxwwwwupy.supabase.co/storage/v1/object/public/old_media/d8628c14.Path.074953.jpg" TargetMode="External"/><Relationship Id="rId4833" Type="http://schemas.openxmlformats.org/officeDocument/2006/relationships/hyperlink" Target="https://ryycrdhlkmzpxwwwwupy.supabase.co/storage/v1/object/public/old_media/e2918d39.Path.054202.jpg" TargetMode="External"/><Relationship Id="rId3501" Type="http://schemas.openxmlformats.org/officeDocument/2006/relationships/hyperlink" Target="https://ryycrdhlkmzpxwwwwupy.supabase.co/storage/v1/object/public/old_media/ef1c9159.Path.074925.jpg" TargetMode="External"/><Relationship Id="rId4832" Type="http://schemas.openxmlformats.org/officeDocument/2006/relationships/hyperlink" Target="https://ryycrdhlkmzpxwwwwupy.supabase.co/storage/v1/object/public/old_media/ed3ae00d.Path.054131.jpg" TargetMode="External"/><Relationship Id="rId31" Type="http://schemas.openxmlformats.org/officeDocument/2006/relationships/hyperlink" Target="https://ryycrdhlkmzpxwwwwupy.supabase.co/storage/v1/object/public/old_media/21037423.Path.112902.jpg" TargetMode="External"/><Relationship Id="rId3504" Type="http://schemas.openxmlformats.org/officeDocument/2006/relationships/hyperlink" Target="https://ryycrdhlkmzpxwwwwupy.supabase.co/storage/v1/object/public/old_media/dddac529.Path.091449.jpg" TargetMode="External"/><Relationship Id="rId4835" Type="http://schemas.openxmlformats.org/officeDocument/2006/relationships/hyperlink" Target="https://ryycrdhlkmzpxwwwwupy.supabase.co/storage/v1/object/public/old_media/08eeea00.Path.054306.jpg" TargetMode="External"/><Relationship Id="rId30" Type="http://schemas.openxmlformats.org/officeDocument/2006/relationships/hyperlink" Target="https://ryycrdhlkmzpxwwwwupy.supabase.co/storage/v1/object/public/old_media/150bd2a5.Path.112741.jpg" TargetMode="External"/><Relationship Id="rId3503" Type="http://schemas.openxmlformats.org/officeDocument/2006/relationships/hyperlink" Target="https://ryycrdhlkmzpxwwwwupy.supabase.co/storage/v1/object/public/old_media/432759f7.Path.075019.webp" TargetMode="External"/><Relationship Id="rId4834" Type="http://schemas.openxmlformats.org/officeDocument/2006/relationships/hyperlink" Target="https://ryycrdhlkmzpxwwwwupy.supabase.co/storage/v1/object/public/old_media/03d6bb1b.Path.054234.jpg" TargetMode="External"/><Relationship Id="rId33" Type="http://schemas.openxmlformats.org/officeDocument/2006/relationships/hyperlink" Target="https://ryycrdhlkmzpxwwwwupy.supabase.co/storage/v1/object/public/old_media/6a878171.Path.065857.jpg" TargetMode="External"/><Relationship Id="rId3506" Type="http://schemas.openxmlformats.org/officeDocument/2006/relationships/hyperlink" Target="https://ryycrdhlkmzpxwwwwupy.supabase.co/storage/v1/object/public/old_media/b4663357.Path.091557.jpg" TargetMode="External"/><Relationship Id="rId4837" Type="http://schemas.openxmlformats.org/officeDocument/2006/relationships/hyperlink" Target="https://ryycrdhlkmzpxwwwwupy.supabase.co/storage/v1/object/public/old_media/b720203b.Path.065410.jpg" TargetMode="External"/><Relationship Id="rId32" Type="http://schemas.openxmlformats.org/officeDocument/2006/relationships/hyperlink" Target="https://ryycrdhlkmzpxwwwwupy.supabase.co/storage/v1/object/public/old_media/6400cbf8.Path.065210.jpg" TargetMode="External"/><Relationship Id="rId3505" Type="http://schemas.openxmlformats.org/officeDocument/2006/relationships/hyperlink" Target="https://ryycrdhlkmzpxwwwwupy.supabase.co/storage/v1/object/public/old_media/32b07df6.Path.091527.jpg" TargetMode="External"/><Relationship Id="rId4836" Type="http://schemas.openxmlformats.org/officeDocument/2006/relationships/hyperlink" Target="https://ryycrdhlkmzpxwwwwupy.supabase.co/storage/v1/object/public/old_media/ec87d41f.Path.065337.jpg" TargetMode="External"/><Relationship Id="rId35" Type="http://schemas.openxmlformats.org/officeDocument/2006/relationships/hyperlink" Target="https://ryycrdhlkmzpxwwwwupy.supabase.co/storage/v1/object/public/old_media/0a536023.Path.073609.jpg" TargetMode="External"/><Relationship Id="rId3508" Type="http://schemas.openxmlformats.org/officeDocument/2006/relationships/hyperlink" Target="https://ryycrdhlkmzpxwwwwupy.supabase.co/storage/v1/object/public/old_media/9e60d3f3.Path.091653.jpg" TargetMode="External"/><Relationship Id="rId4839" Type="http://schemas.openxmlformats.org/officeDocument/2006/relationships/hyperlink" Target="https://ryycrdhlkmzpxwwwwupy.supabase.co/storage/v1/object/public/old_media/3ed6a1d8.Path.044228.jpg" TargetMode="External"/><Relationship Id="rId34" Type="http://schemas.openxmlformats.org/officeDocument/2006/relationships/hyperlink" Target="https://ryycrdhlkmzpxwwwwupy.supabase.co/storage/v1/object/public/old_media/d9d3a3b9.Path.073437.jpg" TargetMode="External"/><Relationship Id="rId3507" Type="http://schemas.openxmlformats.org/officeDocument/2006/relationships/hyperlink" Target="https://ryycrdhlkmzpxwwwwupy.supabase.co/storage/v1/object/public/old_media/87d03b72.Path.091625.jpg" TargetMode="External"/><Relationship Id="rId4838" Type="http://schemas.openxmlformats.org/officeDocument/2006/relationships/hyperlink" Target="https://ryycrdhlkmzpxwwwwupy.supabase.co/storage/v1/object/public/old_media/c71e77eb.Path.044157.jpg" TargetMode="External"/><Relationship Id="rId3509" Type="http://schemas.openxmlformats.org/officeDocument/2006/relationships/hyperlink" Target="https://ryycrdhlkmzpxwwwwupy.supabase.co/storage/v1/object/public/old_media/6f330b6d.Path.091731.jpg" TargetMode="External"/><Relationship Id="rId37" Type="http://schemas.openxmlformats.org/officeDocument/2006/relationships/hyperlink" Target="https://ryycrdhlkmzpxwwwwupy.supabase.co/storage/v1/object/public/old_media/3ff88f27.Path.050648.jpg" TargetMode="External"/><Relationship Id="rId36" Type="http://schemas.openxmlformats.org/officeDocument/2006/relationships/hyperlink" Target="https://ryycrdhlkmzpxwwwwupy.supabase.co/storage/v1/object/public/old_media/d50314b7.Path.075251.jpg" TargetMode="External"/><Relationship Id="rId39" Type="http://schemas.openxmlformats.org/officeDocument/2006/relationships/hyperlink" Target="https://ryycrdhlkmzpxwwwwupy.supabase.co/storage/v1/object/public/old_media/639d60bc.Path.064721.jpg" TargetMode="External"/><Relationship Id="rId38" Type="http://schemas.openxmlformats.org/officeDocument/2006/relationships/hyperlink" Target="https://ryycrdhlkmzpxwwwwupy.supabase.co/storage/v1/object/public/old_media/9d587442.Path.064712.jpg" TargetMode="External"/><Relationship Id="rId3500" Type="http://schemas.openxmlformats.org/officeDocument/2006/relationships/hyperlink" Target="https://ryycrdhlkmzpxwwwwupy.supabase.co/storage/v1/object/public/old_media/b6dea38b.Path.074901.jpg" TargetMode="External"/><Relationship Id="rId4831" Type="http://schemas.openxmlformats.org/officeDocument/2006/relationships/hyperlink" Target="https://ryycrdhlkmzpxwwwwupy.supabase.co/storage/v1/object/public/old_media/17c81be4.Path.054100.jpg" TargetMode="External"/><Relationship Id="rId4830" Type="http://schemas.openxmlformats.org/officeDocument/2006/relationships/hyperlink" Target="https://ryycrdhlkmzpxwwwwupy.supabase.co/storage/v1/object/public/old_media/13edcc22.Path.054028.jpg" TargetMode="External"/><Relationship Id="rId2203" Type="http://schemas.openxmlformats.org/officeDocument/2006/relationships/hyperlink" Target="https://ryycrdhlkmzpxwwwwupy.supabase.co/storage/v1/object/public/old_media/f49db064.Path.102830.webp" TargetMode="External"/><Relationship Id="rId3535" Type="http://schemas.openxmlformats.org/officeDocument/2006/relationships/hyperlink" Target="https://ryycrdhlkmzpxwwwwupy.supabase.co/storage/v1/object/public/old_media/99fd4a36.Path.120003.jpg" TargetMode="External"/><Relationship Id="rId4866" Type="http://schemas.openxmlformats.org/officeDocument/2006/relationships/hyperlink" Target="https://ryycrdhlkmzpxwwwwupy.supabase.co/storage/v1/object/public/old_media/72d202a8.Path.051301.avif" TargetMode="External"/><Relationship Id="rId2204" Type="http://schemas.openxmlformats.org/officeDocument/2006/relationships/hyperlink" Target="https://ryycrdhlkmzpxwwwwupy.supabase.co/storage/v1/object/public/old_media/8be4b6e0.Path.102839.webp" TargetMode="External"/><Relationship Id="rId3534" Type="http://schemas.openxmlformats.org/officeDocument/2006/relationships/hyperlink" Target="https://ryycrdhlkmzpxwwwwupy.supabase.co/storage/v1/object/public/old_media/11a5f497.Path.115929.jpg" TargetMode="External"/><Relationship Id="rId4865" Type="http://schemas.openxmlformats.org/officeDocument/2006/relationships/hyperlink" Target="https://ryycrdhlkmzpxwwwwupy.supabase.co/storage/v1/object/public/old_media/80407d86.Path.051231.avif" TargetMode="External"/><Relationship Id="rId20" Type="http://schemas.openxmlformats.org/officeDocument/2006/relationships/hyperlink" Target="https://ryycrdhlkmzpxwwwwupy.supabase.co/storage/v1/object/public/old_media/667d9fd4.Path.072832.jpg" TargetMode="External"/><Relationship Id="rId2205" Type="http://schemas.openxmlformats.org/officeDocument/2006/relationships/hyperlink" Target="https://ryycrdhlkmzpxwwwwupy.supabase.co/storage/v1/object/public/old_media/fcaa46a8.Path.102847.webp" TargetMode="External"/><Relationship Id="rId3537" Type="http://schemas.openxmlformats.org/officeDocument/2006/relationships/hyperlink" Target="https://ryycrdhlkmzpxwwwwupy.supabase.co/storage/v1/object/public/old_media/003ef0a3.Path.120107.jpg" TargetMode="External"/><Relationship Id="rId4868" Type="http://schemas.openxmlformats.org/officeDocument/2006/relationships/hyperlink" Target="https://ryycrdhlkmzpxwwwwupy.supabase.co/storage/v1/object/public/old_media/926c80b6.Path.051402.avif" TargetMode="External"/><Relationship Id="rId2206" Type="http://schemas.openxmlformats.org/officeDocument/2006/relationships/hyperlink" Target="https://ryycrdhlkmzpxwwwwupy.supabase.co/storage/v1/object/public/old_media/2726ff08.Path.102858.webp" TargetMode="External"/><Relationship Id="rId3536" Type="http://schemas.openxmlformats.org/officeDocument/2006/relationships/hyperlink" Target="https://ryycrdhlkmzpxwwwwupy.supabase.co/storage/v1/object/public/old_media/54204053.Path.120035.jpg" TargetMode="External"/><Relationship Id="rId4867" Type="http://schemas.openxmlformats.org/officeDocument/2006/relationships/hyperlink" Target="https://ryycrdhlkmzpxwwwwupy.supabase.co/storage/v1/object/public/old_media/8cb7c365.Path.051332.avif" TargetMode="External"/><Relationship Id="rId22" Type="http://schemas.openxmlformats.org/officeDocument/2006/relationships/hyperlink" Target="https://ryycrdhlkmzpxwwwwupy.supabase.co/storage/v1/object/public/old_media/c985f1d4.Path.050534.jpg" TargetMode="External"/><Relationship Id="rId2207" Type="http://schemas.openxmlformats.org/officeDocument/2006/relationships/hyperlink" Target="https://ryycrdhlkmzpxwwwwupy.supabase.co/storage/v1/object/public/old_media/bfa508d9.Path.104825.webp" TargetMode="External"/><Relationship Id="rId3539" Type="http://schemas.openxmlformats.org/officeDocument/2006/relationships/hyperlink" Target="https://ryycrdhlkmzpxwwwwupy.supabase.co/storage/v1/object/public/old_media/4283e8e2.Path.070418.webp" TargetMode="External"/><Relationship Id="rId21" Type="http://schemas.openxmlformats.org/officeDocument/2006/relationships/hyperlink" Target="https://ryycrdhlkmzpxwwwwupy.supabase.co/storage/v1/object/public/old_media/740456d9.Path.050355.jpg" TargetMode="External"/><Relationship Id="rId2208" Type="http://schemas.openxmlformats.org/officeDocument/2006/relationships/hyperlink" Target="https://ryycrdhlkmzpxwwwwupy.supabase.co/storage/v1/object/public/old_media/e2b21201.Path.104836.jpg" TargetMode="External"/><Relationship Id="rId3538" Type="http://schemas.openxmlformats.org/officeDocument/2006/relationships/hyperlink" Target="https://ryycrdhlkmzpxwwwwupy.supabase.co/storage/v1/object/public/old_media/3e9e38e8.Path.070346.webp" TargetMode="External"/><Relationship Id="rId4869" Type="http://schemas.openxmlformats.org/officeDocument/2006/relationships/hyperlink" Target="https://ryycrdhlkmzpxwwwwupy.supabase.co/storage/v1/object/public/old_media/bf7ced36.Path.045351.jpg" TargetMode="External"/><Relationship Id="rId24" Type="http://schemas.openxmlformats.org/officeDocument/2006/relationships/hyperlink" Target="https://ryycrdhlkmzpxwwwwupy.supabase.co/storage/v1/object/public/old_media/093fbda0.Path.112146.jpg" TargetMode="External"/><Relationship Id="rId2209" Type="http://schemas.openxmlformats.org/officeDocument/2006/relationships/hyperlink" Target="https://ryycrdhlkmzpxwwwwupy.supabase.co/storage/v1/object/public/old_media/3625fc39.Path.105043.jpg" TargetMode="External"/><Relationship Id="rId23" Type="http://schemas.openxmlformats.org/officeDocument/2006/relationships/hyperlink" Target="https://ryycrdhlkmzpxwwwwupy.supabase.co/storage/v1/object/public/old_media/bd0d8832.Path.050551.jpg" TargetMode="External"/><Relationship Id="rId26" Type="http://schemas.openxmlformats.org/officeDocument/2006/relationships/hyperlink" Target="https://ryycrdhlkmzpxwwwwupy.supabase.co/storage/v1/object/public/old_media/1aabf7e0.Path.112351.jpg" TargetMode="External"/><Relationship Id="rId25" Type="http://schemas.openxmlformats.org/officeDocument/2006/relationships/hyperlink" Target="https://ryycrdhlkmzpxwwwwupy.supabase.co/storage/v1/object/public/old_media/1195402e.Path.112211.jpg" TargetMode="External"/><Relationship Id="rId28" Type="http://schemas.openxmlformats.org/officeDocument/2006/relationships/hyperlink" Target="https://ryycrdhlkmzpxwwwwupy.supabase.co/storage/v1/object/public/old_media/45f043f3.Path.112447.jpg" TargetMode="External"/><Relationship Id="rId4860" Type="http://schemas.openxmlformats.org/officeDocument/2006/relationships/hyperlink" Target="https://ryycrdhlkmzpxwwwwupy.supabase.co/storage/v1/object/public/old_media/d4fe3373.Path.050956.avif" TargetMode="External"/><Relationship Id="rId27" Type="http://schemas.openxmlformats.org/officeDocument/2006/relationships/hyperlink" Target="https://ryycrdhlkmzpxwwwwupy.supabase.co/storage/v1/object/public/old_media/73cd5537.Path.112427.jpg" TargetMode="External"/><Relationship Id="rId3531" Type="http://schemas.openxmlformats.org/officeDocument/2006/relationships/hyperlink" Target="https://ryycrdhlkmzpxwwwwupy.supabase.co/storage/v1/object/public/old_media/53240dc7.Path.114756.jpg" TargetMode="External"/><Relationship Id="rId4862" Type="http://schemas.openxmlformats.org/officeDocument/2006/relationships/hyperlink" Target="https://ryycrdhlkmzpxwwwwupy.supabase.co/storage/v1/object/public/old_media/1f7db384.Path.051059.avif" TargetMode="External"/><Relationship Id="rId29" Type="http://schemas.openxmlformats.org/officeDocument/2006/relationships/hyperlink" Target="https://ryycrdhlkmzpxwwwwupy.supabase.co/storage/v1/object/public/old_media/7794b098.Path.112700.jpg" TargetMode="External"/><Relationship Id="rId2200" Type="http://schemas.openxmlformats.org/officeDocument/2006/relationships/hyperlink" Target="https://ryycrdhlkmzpxwwwwupy.supabase.co/storage/v1/object/public/old_media/c5afef5c.Path.100806.jpg" TargetMode="External"/><Relationship Id="rId3530" Type="http://schemas.openxmlformats.org/officeDocument/2006/relationships/hyperlink" Target="https://ryycrdhlkmzpxwwwwupy.supabase.co/storage/v1/object/public/old_media/7ab00104.Path.114728.jpg" TargetMode="External"/><Relationship Id="rId4861" Type="http://schemas.openxmlformats.org/officeDocument/2006/relationships/hyperlink" Target="https://ryycrdhlkmzpxwwwwupy.supabase.co/storage/v1/object/public/old_media/c062022c.Path.051028.avif" TargetMode="External"/><Relationship Id="rId2201" Type="http://schemas.openxmlformats.org/officeDocument/2006/relationships/hyperlink" Target="https://ryycrdhlkmzpxwwwwupy.supabase.co/storage/v1/object/public/old_media/10f36837.Path.100821.jpg" TargetMode="External"/><Relationship Id="rId3533" Type="http://schemas.openxmlformats.org/officeDocument/2006/relationships/hyperlink" Target="https://ryycrdhlkmzpxwwwwupy.supabase.co/storage/v1/object/public/old_media/39fade5f.Path.115856.jpg" TargetMode="External"/><Relationship Id="rId4864" Type="http://schemas.openxmlformats.org/officeDocument/2006/relationships/hyperlink" Target="https://ryycrdhlkmzpxwwwwupy.supabase.co/storage/v1/object/public/old_media/ecdd95e9.Path.051202.avif" TargetMode="External"/><Relationship Id="rId2202" Type="http://schemas.openxmlformats.org/officeDocument/2006/relationships/hyperlink" Target="https://ryycrdhlkmzpxwwwwupy.supabase.co/storage/v1/object/public/old_media/dea19160.Path.102820.webp" TargetMode="External"/><Relationship Id="rId3532" Type="http://schemas.openxmlformats.org/officeDocument/2006/relationships/hyperlink" Target="https://ryycrdhlkmzpxwwwwupy.supabase.co/storage/v1/object/public/old_media/5c977466.Path.114825.jpg" TargetMode="External"/><Relationship Id="rId4863" Type="http://schemas.openxmlformats.org/officeDocument/2006/relationships/hyperlink" Target="https://ryycrdhlkmzpxwwwwupy.supabase.co/storage/v1/object/public/old_media/139b947d.Path.051133.avif" TargetMode="External"/><Relationship Id="rId3524" Type="http://schemas.openxmlformats.org/officeDocument/2006/relationships/hyperlink" Target="https://ryycrdhlkmzpxwwwwupy.supabase.co/storage/v1/object/public/old_media/97078703.Path.095214.jpg" TargetMode="External"/><Relationship Id="rId4855" Type="http://schemas.openxmlformats.org/officeDocument/2006/relationships/hyperlink" Target="https://ryycrdhlkmzpxwwwwupy.supabase.co/storage/v1/object/public/old_media/3adf174b.Path.054644.jpg" TargetMode="External"/><Relationship Id="rId3523" Type="http://schemas.openxmlformats.org/officeDocument/2006/relationships/hyperlink" Target="https://ryycrdhlkmzpxwwwwupy.supabase.co/storage/v1/object/public/old_media/790e672b.Path.095118.jpg" TargetMode="External"/><Relationship Id="rId4854" Type="http://schemas.openxmlformats.org/officeDocument/2006/relationships/hyperlink" Target="https://ryycrdhlkmzpxwwwwupy.supabase.co/storage/v1/object/public/old_media/6fb47301.Path.054608.jpg" TargetMode="External"/><Relationship Id="rId3526" Type="http://schemas.openxmlformats.org/officeDocument/2006/relationships/hyperlink" Target="https://ryycrdhlkmzpxwwwwupy.supabase.co/storage/v1/object/public/old_media/b17c8812.Path.070801.jpg" TargetMode="External"/><Relationship Id="rId4857" Type="http://schemas.openxmlformats.org/officeDocument/2006/relationships/hyperlink" Target="https://ryycrdhlkmzpxwwwwupy.supabase.co/storage/v1/object/public/old_media/79f7aa28.Path.055119.jpg" TargetMode="External"/><Relationship Id="rId3525" Type="http://schemas.openxmlformats.org/officeDocument/2006/relationships/hyperlink" Target="https://ryycrdhlkmzpxwwwwupy.supabase.co/storage/v1/object/public/old_media/a7ae5c49.Path.095245.jpg" TargetMode="External"/><Relationship Id="rId4856" Type="http://schemas.openxmlformats.org/officeDocument/2006/relationships/hyperlink" Target="https://ryycrdhlkmzpxwwwwupy.supabase.co/storage/v1/object/public/old_media/6a1906e9.Path.054720.jpg" TargetMode="External"/><Relationship Id="rId11" Type="http://schemas.openxmlformats.org/officeDocument/2006/relationships/hyperlink" Target="https://ryycrdhlkmzpxwwwwupy.supabase.co/storage/v1/object/public/old_media/93cfda2c.Path.055421.jpg" TargetMode="External"/><Relationship Id="rId3528" Type="http://schemas.openxmlformats.org/officeDocument/2006/relationships/hyperlink" Target="https://ryycrdhlkmzpxwwwwupy.supabase.co/storage/v1/object/public/old_media/d8cb09e0.Path.114611.jpg" TargetMode="External"/><Relationship Id="rId4859" Type="http://schemas.openxmlformats.org/officeDocument/2006/relationships/hyperlink" Target="https://ryycrdhlkmzpxwwwwupy.supabase.co/storage/v1/object/public/old_media/ac544fe2.Path.050924.avif" TargetMode="External"/><Relationship Id="rId10" Type="http://schemas.openxmlformats.org/officeDocument/2006/relationships/hyperlink" Target="https://ryycrdhlkmzpxwwwwupy.supabase.co/storage/v1/object/public/old_media/c7fe269d.Path.055352.jpg" TargetMode="External"/><Relationship Id="rId3527" Type="http://schemas.openxmlformats.org/officeDocument/2006/relationships/hyperlink" Target="https://ryycrdhlkmzpxwwwwupy.supabase.co/storage/v1/object/public/old_media/86548abf.Path.070831.jpg" TargetMode="External"/><Relationship Id="rId4858" Type="http://schemas.openxmlformats.org/officeDocument/2006/relationships/hyperlink" Target="https://ryycrdhlkmzpxwwwwupy.supabase.co/storage/v1/object/public/old_media/521e56e7.Path.055253.jpg" TargetMode="External"/><Relationship Id="rId13" Type="http://schemas.openxmlformats.org/officeDocument/2006/relationships/hyperlink" Target="https://ryycrdhlkmzpxwwwwupy.supabase.co/storage/v1/object/public/old_media/1f2a34a2.Path.090406.jpg" TargetMode="External"/><Relationship Id="rId12" Type="http://schemas.openxmlformats.org/officeDocument/2006/relationships/hyperlink" Target="https://ryycrdhlkmzpxwwwwupy.supabase.co/storage/v1/object/public/old_media/7d8495de.Path.090337.jpg" TargetMode="External"/><Relationship Id="rId3529" Type="http://schemas.openxmlformats.org/officeDocument/2006/relationships/hyperlink" Target="https://ryycrdhlkmzpxwwwwupy.supabase.co/storage/v1/object/public/old_media/28da760d.Path.114657.jpg" TargetMode="External"/><Relationship Id="rId15" Type="http://schemas.openxmlformats.org/officeDocument/2006/relationships/hyperlink" Target="https://ryycrdhlkmzpxwwwwupy.supabase.co/storage/v1/object/public/old_media/24f8e447.Path.090452.jpg" TargetMode="External"/><Relationship Id="rId14" Type="http://schemas.openxmlformats.org/officeDocument/2006/relationships/hyperlink" Target="https://ryycrdhlkmzpxwwwwupy.supabase.co/storage/v1/object/public/old_media/fdd55438.Path.090435.jpg" TargetMode="External"/><Relationship Id="rId17" Type="http://schemas.openxmlformats.org/officeDocument/2006/relationships/hyperlink" Target="https://ryycrdhlkmzpxwwwwupy.supabase.co/storage/v1/object/public/old_media/d930bee3.Path.113822.jpg" TargetMode="External"/><Relationship Id="rId16" Type="http://schemas.openxmlformats.org/officeDocument/2006/relationships/hyperlink" Target="https://ryycrdhlkmzpxwwwwupy.supabase.co/storage/v1/object/public/old_media/4a358074.Path.113804.jpg" TargetMode="External"/><Relationship Id="rId19" Type="http://schemas.openxmlformats.org/officeDocument/2006/relationships/hyperlink" Target="https://ryycrdhlkmzpxwwwwupy.supabase.co/storage/v1/object/public/old_media/5799c5cb.Path.113918.jpg" TargetMode="External"/><Relationship Id="rId3520" Type="http://schemas.openxmlformats.org/officeDocument/2006/relationships/hyperlink" Target="https://ryycrdhlkmzpxwwwwupy.supabase.co/storage/v1/object/public/old_media/53a9070d.Path.094936.jpg" TargetMode="External"/><Relationship Id="rId4851" Type="http://schemas.openxmlformats.org/officeDocument/2006/relationships/hyperlink" Target="https://ryycrdhlkmzpxwwwwupy.supabase.co/storage/v1/object/public/old_media/2be20ecf.Path.103031.jpg" TargetMode="External"/><Relationship Id="rId18" Type="http://schemas.openxmlformats.org/officeDocument/2006/relationships/hyperlink" Target="https://ryycrdhlkmzpxwwwwupy.supabase.co/storage/v1/object/public/old_media/13f9fada.Path.113850.jpg" TargetMode="External"/><Relationship Id="rId4850" Type="http://schemas.openxmlformats.org/officeDocument/2006/relationships/hyperlink" Target="https://ryycrdhlkmzpxwwwwupy.supabase.co/storage/v1/object/public/old_media/3b7a84c8.Path.102957.jpg" TargetMode="External"/><Relationship Id="rId3522" Type="http://schemas.openxmlformats.org/officeDocument/2006/relationships/hyperlink" Target="https://ryycrdhlkmzpxwwwwupy.supabase.co/storage/v1/object/public/old_media/8f389563.Path.095050.jpg" TargetMode="External"/><Relationship Id="rId4853" Type="http://schemas.openxmlformats.org/officeDocument/2006/relationships/hyperlink" Target="https://ryycrdhlkmzpxwwwwupy.supabase.co/storage/v1/object/public/old_media/6efbf940.Path.054532.jpg" TargetMode="External"/><Relationship Id="rId3521" Type="http://schemas.openxmlformats.org/officeDocument/2006/relationships/hyperlink" Target="https://ryycrdhlkmzpxwwwwupy.supabase.co/storage/v1/object/public/old_media/97c5c7b5.Path.095019.jpg" TargetMode="External"/><Relationship Id="rId4852" Type="http://schemas.openxmlformats.org/officeDocument/2006/relationships/hyperlink" Target="https://ryycrdhlkmzpxwwwwupy.supabase.co/storage/v1/object/public/old_media/2251705b.Path.103104.jpg" TargetMode="External"/><Relationship Id="rId84" Type="http://schemas.openxmlformats.org/officeDocument/2006/relationships/hyperlink" Target="https://ryycrdhlkmzpxwwwwupy.supabase.co/storage/v1/object/public/old_media/ddbbf629.Path.075547.jpg" TargetMode="External"/><Relationship Id="rId1774" Type="http://schemas.openxmlformats.org/officeDocument/2006/relationships/hyperlink" Target="https://ryycrdhlkmzpxwwwwupy.supabase.co/storage/v1/object/public/old_media/00c8a23d.Path.100753.webp" TargetMode="External"/><Relationship Id="rId4800" Type="http://schemas.openxmlformats.org/officeDocument/2006/relationships/hyperlink" Target="https://ryycrdhlkmzpxwwwwupy.supabase.co/storage/v1/object/public/old_media/7eefd02d.Path.065952.jpg" TargetMode="External"/><Relationship Id="rId83" Type="http://schemas.openxmlformats.org/officeDocument/2006/relationships/hyperlink" Target="https://ryycrdhlkmzpxwwwwupy.supabase.co/storage/v1/object/public/old_media/f5b1b9be.Path.075531.jpg" TargetMode="External"/><Relationship Id="rId1775" Type="http://schemas.openxmlformats.org/officeDocument/2006/relationships/hyperlink" Target="https://ryycrdhlkmzpxwwwwupy.supabase.co/storage/v1/object/public/old_media/7bf1633f.Path.100807.webp" TargetMode="External"/><Relationship Id="rId86" Type="http://schemas.openxmlformats.org/officeDocument/2006/relationships/hyperlink" Target="https://ryycrdhlkmzpxwwwwupy.supabase.co/storage/v1/object/public/old_media/07fe660c.Path.055826.png" TargetMode="External"/><Relationship Id="rId1776" Type="http://schemas.openxmlformats.org/officeDocument/2006/relationships/hyperlink" Target="https://ryycrdhlkmzpxwwwwupy.supabase.co/storage/v1/object/public/old_media/0be570f0.Path.100827.webp" TargetMode="External"/><Relationship Id="rId4802" Type="http://schemas.openxmlformats.org/officeDocument/2006/relationships/hyperlink" Target="https://ryycrdhlkmzpxwwwwupy.supabase.co/storage/v1/object/public/old_media/346a57bd.Path.071615.jpg" TargetMode="External"/><Relationship Id="rId85" Type="http://schemas.openxmlformats.org/officeDocument/2006/relationships/hyperlink" Target="https://ryycrdhlkmzpxwwwwupy.supabase.co/storage/v1/object/public/old_media/11bb3f76.Path.075603.jpg" TargetMode="External"/><Relationship Id="rId1777" Type="http://schemas.openxmlformats.org/officeDocument/2006/relationships/hyperlink" Target="https://ryycrdhlkmzpxwwwwupy.supabase.co/storage/v1/object/public/old_media/04e2b165.Path.100908.webp" TargetMode="External"/><Relationship Id="rId4801" Type="http://schemas.openxmlformats.org/officeDocument/2006/relationships/hyperlink" Target="https://ryycrdhlkmzpxwwwwupy.supabase.co/storage/v1/object/public/old_media/cf7313e7.Path.071540.jpg" TargetMode="External"/><Relationship Id="rId88" Type="http://schemas.openxmlformats.org/officeDocument/2006/relationships/hyperlink" Target="https://ryycrdhlkmzpxwwwwupy.supabase.co/storage/v1/object/public/old_media/864d8f63.Path.053514.jpg" TargetMode="External"/><Relationship Id="rId1778" Type="http://schemas.openxmlformats.org/officeDocument/2006/relationships/hyperlink" Target="https://ryycrdhlkmzpxwwwwupy.supabase.co/storage/v1/object/public/old_media/19d5f175.Path.100924.webp" TargetMode="External"/><Relationship Id="rId4804" Type="http://schemas.openxmlformats.org/officeDocument/2006/relationships/hyperlink" Target="https://ryycrdhlkmzpxwwwwupy.supabase.co/storage/v1/object/public/old_media/f8014a6c.Path.071722.jpg" TargetMode="External"/><Relationship Id="rId87" Type="http://schemas.openxmlformats.org/officeDocument/2006/relationships/hyperlink" Target="https://ryycrdhlkmzpxwwwwupy.supabase.co/storage/v1/object/public/old_media/e7c98ae0.Path.053312.jpg" TargetMode="External"/><Relationship Id="rId1779" Type="http://schemas.openxmlformats.org/officeDocument/2006/relationships/hyperlink" Target="https://ryycrdhlkmzpxwwwwupy.supabase.co/storage/v1/object/public/old_media/53415a6a.Path.100944.webp" TargetMode="External"/><Relationship Id="rId4803" Type="http://schemas.openxmlformats.org/officeDocument/2006/relationships/hyperlink" Target="https://ryycrdhlkmzpxwwwwupy.supabase.co/storage/v1/object/public/old_media/a59aa7ce.Path.071648.jpg" TargetMode="External"/><Relationship Id="rId4806" Type="http://schemas.openxmlformats.org/officeDocument/2006/relationships/hyperlink" Target="https://ryycrdhlkmzpxwwwwupy.supabase.co/storage/v1/object/public/old_media/c76527fd.Path.063148.jpg" TargetMode="External"/><Relationship Id="rId89" Type="http://schemas.openxmlformats.org/officeDocument/2006/relationships/hyperlink" Target="https://ryycrdhlkmzpxwwwwupy.supabase.co/storage/v1/object/public/old_media/cf51687c.Path.053558.jpg" TargetMode="External"/><Relationship Id="rId4805" Type="http://schemas.openxmlformats.org/officeDocument/2006/relationships/hyperlink" Target="https://ryycrdhlkmzpxwwwwupy.supabase.co/storage/v1/object/public/old_media/005ee6c7.Path.071751.jpg" TargetMode="External"/><Relationship Id="rId4808" Type="http://schemas.openxmlformats.org/officeDocument/2006/relationships/hyperlink" Target="https://ryycrdhlkmzpxwwwwupy.supabase.co/storage/v1/object/public/old_media/8ad8ad04.Path.063249.jpg" TargetMode="External"/><Relationship Id="rId4807" Type="http://schemas.openxmlformats.org/officeDocument/2006/relationships/hyperlink" Target="https://ryycrdhlkmzpxwwwwupy.supabase.co/storage/v1/object/public/old_media/3ec78f3a.Path.063219.jpg" TargetMode="External"/><Relationship Id="rId4809" Type="http://schemas.openxmlformats.org/officeDocument/2006/relationships/hyperlink" Target="https://ryycrdhlkmzpxwwwwupy.supabase.co/storage/v1/object/public/old_media/c01c3d06.Path.063318.jpg" TargetMode="External"/><Relationship Id="rId80" Type="http://schemas.openxmlformats.org/officeDocument/2006/relationships/hyperlink" Target="https://ryycrdhlkmzpxwwwwupy.supabase.co/storage/v1/object/public/old_media/3fdfd2f8.Path.075003.jpg" TargetMode="External"/><Relationship Id="rId82" Type="http://schemas.openxmlformats.org/officeDocument/2006/relationships/hyperlink" Target="https://ryycrdhlkmzpxwwwwupy.supabase.co/storage/v1/object/public/old_media/a478caaa.Path.075515.jpg" TargetMode="External"/><Relationship Id="rId81" Type="http://schemas.openxmlformats.org/officeDocument/2006/relationships/hyperlink" Target="https://ryycrdhlkmzpxwwwwupy.supabase.co/storage/v1/object/public/old_media/5a7fddcb.Path.075020.jpg" TargetMode="External"/><Relationship Id="rId1770" Type="http://schemas.openxmlformats.org/officeDocument/2006/relationships/hyperlink" Target="https://ryycrdhlkmzpxwwwwupy.supabase.co/storage/v1/object/public/old_media/d5a3945b.Path.100645.webp" TargetMode="External"/><Relationship Id="rId1771" Type="http://schemas.openxmlformats.org/officeDocument/2006/relationships/hyperlink" Target="https://ryycrdhlkmzpxwwwwupy.supabase.co/storage/v1/object/public/old_media/8bbd93ba.Path.100654.webp" TargetMode="External"/><Relationship Id="rId1772" Type="http://schemas.openxmlformats.org/officeDocument/2006/relationships/hyperlink" Target="https://ryycrdhlkmzpxwwwwupy.supabase.co/storage/v1/object/public/old_media/e3553813.Path.100706.webp" TargetMode="External"/><Relationship Id="rId1773" Type="http://schemas.openxmlformats.org/officeDocument/2006/relationships/hyperlink" Target="https://ryycrdhlkmzpxwwwwupy.supabase.co/storage/v1/object/public/old_media/10b8ed9f.Path.100742.webp" TargetMode="External"/><Relationship Id="rId73" Type="http://schemas.openxmlformats.org/officeDocument/2006/relationships/hyperlink" Target="https://ryycrdhlkmzpxwwwwupy.supabase.co/storage/v1/object/public/old_media/05ba4cd0.Path.064231.jpg" TargetMode="External"/><Relationship Id="rId1763" Type="http://schemas.openxmlformats.org/officeDocument/2006/relationships/hyperlink" Target="https://ryycrdhlkmzpxwwwwupy.supabase.co/storage/v1/object/public/old_media/5e9436b3.Path.100454.webp" TargetMode="External"/><Relationship Id="rId72" Type="http://schemas.openxmlformats.org/officeDocument/2006/relationships/hyperlink" Target="https://ryycrdhlkmzpxwwwwupy.supabase.co/storage/v1/object/public/old_media/797cbc50.Path.064214.jpg" TargetMode="External"/><Relationship Id="rId1764" Type="http://schemas.openxmlformats.org/officeDocument/2006/relationships/hyperlink" Target="https://ryycrdhlkmzpxwwwwupy.supabase.co/storage/v1/object/public/old_media/d19f270e.Path.100509.webp" TargetMode="External"/><Relationship Id="rId75" Type="http://schemas.openxmlformats.org/officeDocument/2006/relationships/hyperlink" Target="https://ryycrdhlkmzpxwwwwupy.supabase.co/storage/v1/object/public/old_media/ed9f09d9.Path.064300.jpg" TargetMode="External"/><Relationship Id="rId1765" Type="http://schemas.openxmlformats.org/officeDocument/2006/relationships/hyperlink" Target="https://ryycrdhlkmzpxwwwwupy.supabase.co/storage/v1/object/public/old_media/5c695553.Path.100524.webp" TargetMode="External"/><Relationship Id="rId74" Type="http://schemas.openxmlformats.org/officeDocument/2006/relationships/hyperlink" Target="https://ryycrdhlkmzpxwwwwupy.supabase.co/storage/v1/object/public/old_media/69000d5d.Path.064237.jpg" TargetMode="External"/><Relationship Id="rId1766" Type="http://schemas.openxmlformats.org/officeDocument/2006/relationships/hyperlink" Target="https://ryycrdhlkmzpxwwwwupy.supabase.co/storage/v1/object/public/old_media/60ad0f99.Path.100552.webp" TargetMode="External"/><Relationship Id="rId77" Type="http://schemas.openxmlformats.org/officeDocument/2006/relationships/hyperlink" Target="https://ryycrdhlkmzpxwwwwupy.supabase.co/storage/v1/object/public/old_media/3fc05175.Path.074839.jpg" TargetMode="External"/><Relationship Id="rId1767" Type="http://schemas.openxmlformats.org/officeDocument/2006/relationships/hyperlink" Target="https://ryycrdhlkmzpxwwwwupy.supabase.co/storage/v1/object/public/old_media/0898f850.Path.100605.webp" TargetMode="External"/><Relationship Id="rId76" Type="http://schemas.openxmlformats.org/officeDocument/2006/relationships/hyperlink" Target="https://ryycrdhlkmzpxwwwwupy.supabase.co/storage/v1/object/public/old_media/c9f6b036.Path.064306.jpg" TargetMode="External"/><Relationship Id="rId1768" Type="http://schemas.openxmlformats.org/officeDocument/2006/relationships/hyperlink" Target="https://ryycrdhlkmzpxwwwwupy.supabase.co/storage/v1/object/public/old_media/62bf6518.Path.100617.webp" TargetMode="External"/><Relationship Id="rId79" Type="http://schemas.openxmlformats.org/officeDocument/2006/relationships/hyperlink" Target="https://ryycrdhlkmzpxwwwwupy.supabase.co/storage/v1/object/public/old_media/656a7ebf.Path.074952.jpg" TargetMode="External"/><Relationship Id="rId1769" Type="http://schemas.openxmlformats.org/officeDocument/2006/relationships/hyperlink" Target="https://ryycrdhlkmzpxwwwwupy.supabase.co/storage/v1/object/public/old_media/ebf4bdb2.Path.100629.webp" TargetMode="External"/><Relationship Id="rId78" Type="http://schemas.openxmlformats.org/officeDocument/2006/relationships/hyperlink" Target="https://ryycrdhlkmzpxwwwwupy.supabase.co/storage/v1/object/public/old_media/b3f2acf9.Path.074854.jpg" TargetMode="External"/><Relationship Id="rId71" Type="http://schemas.openxmlformats.org/officeDocument/2006/relationships/hyperlink" Target="https://ryycrdhlkmzpxwwwwupy.supabase.co/storage/v1/object/public/old_media/c6011758.Path.064154.jpg" TargetMode="External"/><Relationship Id="rId70" Type="http://schemas.openxmlformats.org/officeDocument/2006/relationships/hyperlink" Target="https://ryycrdhlkmzpxwwwwupy.supabase.co/storage/v1/object/public/old_media/5936911f.Path.053145.jpg" TargetMode="External"/><Relationship Id="rId1760" Type="http://schemas.openxmlformats.org/officeDocument/2006/relationships/hyperlink" Target="https://ryycrdhlkmzpxwwwwupy.supabase.co/storage/v1/object/public/old_media/9c7f6d28.Path.055154.jpg" TargetMode="External"/><Relationship Id="rId1761" Type="http://schemas.openxmlformats.org/officeDocument/2006/relationships/hyperlink" Target="https://ryycrdhlkmzpxwwwwupy.supabase.co/storage/v1/object/public/old_media/c8cb112a.Path.100429.webp" TargetMode="External"/><Relationship Id="rId1762" Type="http://schemas.openxmlformats.org/officeDocument/2006/relationships/hyperlink" Target="https://ryycrdhlkmzpxwwwwupy.supabase.co/storage/v1/object/public/old_media/5d745e65.Path.100442.webp" TargetMode="External"/><Relationship Id="rId62" Type="http://schemas.openxmlformats.org/officeDocument/2006/relationships/hyperlink" Target="https://ryycrdhlkmzpxwwwwupy.supabase.co/storage/v1/object/public/old_media/8d513eb0.Path.073526.jpg" TargetMode="External"/><Relationship Id="rId1796" Type="http://schemas.openxmlformats.org/officeDocument/2006/relationships/hyperlink" Target="https://ryycrdhlkmzpxwwwwupy.supabase.co/storage/v1/object/public/old_media/b4d2763e.Path.110825.jpg" TargetMode="External"/><Relationship Id="rId4822" Type="http://schemas.openxmlformats.org/officeDocument/2006/relationships/hyperlink" Target="https://ryycrdhlkmzpxwwwwupy.supabase.co/storage/v1/object/public/old_media/6ecfd025.Path.073412.jpg" TargetMode="External"/><Relationship Id="rId61" Type="http://schemas.openxmlformats.org/officeDocument/2006/relationships/hyperlink" Target="https://ryycrdhlkmzpxwwwwupy.supabase.co/storage/v1/object/public/old_media/2b4ede87.Path.073502.jpg" TargetMode="External"/><Relationship Id="rId1797" Type="http://schemas.openxmlformats.org/officeDocument/2006/relationships/hyperlink" Target="https://ryycrdhlkmzpxwwwwupy.supabase.co/storage/v1/object/public/old_media/f725414d.Path.110851.jpg" TargetMode="External"/><Relationship Id="rId4821" Type="http://schemas.openxmlformats.org/officeDocument/2006/relationships/hyperlink" Target="https://ryycrdhlkmzpxwwwwupy.supabase.co/storage/v1/object/public/old_media/a994d433.Path.071248.jpg" TargetMode="External"/><Relationship Id="rId64" Type="http://schemas.openxmlformats.org/officeDocument/2006/relationships/hyperlink" Target="https://ryycrdhlkmzpxwwwwupy.supabase.co/storage/v1/object/public/old_media/c09bdda2.Path.073556.jpg" TargetMode="External"/><Relationship Id="rId1798" Type="http://schemas.openxmlformats.org/officeDocument/2006/relationships/hyperlink" Target="https://ryycrdhlkmzpxwwwwupy.supabase.co/storage/v1/object/public/old_media/23e2eead.Path.110917.jpg" TargetMode="External"/><Relationship Id="rId4824" Type="http://schemas.openxmlformats.org/officeDocument/2006/relationships/hyperlink" Target="https://ryycrdhlkmzpxwwwwupy.supabase.co/storage/v1/object/public/old_media/de424b84.Path.073519.jpg" TargetMode="External"/><Relationship Id="rId63" Type="http://schemas.openxmlformats.org/officeDocument/2006/relationships/hyperlink" Target="https://ryycrdhlkmzpxwwwwupy.supabase.co/storage/v1/object/public/old_media/98642af1.Path.073546.jpg" TargetMode="External"/><Relationship Id="rId1799" Type="http://schemas.openxmlformats.org/officeDocument/2006/relationships/hyperlink" Target="https://ryycrdhlkmzpxwwwwupy.supabase.co/storage/v1/object/public/old_media/242cbef2.Path.110940.jpg" TargetMode="External"/><Relationship Id="rId4823" Type="http://schemas.openxmlformats.org/officeDocument/2006/relationships/hyperlink" Target="https://ryycrdhlkmzpxwwwwupy.supabase.co/storage/v1/object/public/old_media/0e7e8cbd.Path.073447.jpg" TargetMode="External"/><Relationship Id="rId66" Type="http://schemas.openxmlformats.org/officeDocument/2006/relationships/hyperlink" Target="https://ryycrdhlkmzpxwwwwupy.supabase.co/storage/v1/object/public/old_media/33c925d3.Path.100238.jpg" TargetMode="External"/><Relationship Id="rId4826" Type="http://schemas.openxmlformats.org/officeDocument/2006/relationships/hyperlink" Target="https://ryycrdhlkmzpxwwwwupy.supabase.co/storage/v1/object/public/old_media/8b2edfb7.Path.060432.jpg" TargetMode="External"/><Relationship Id="rId65" Type="http://schemas.openxmlformats.org/officeDocument/2006/relationships/hyperlink" Target="https://ryycrdhlkmzpxwwwwupy.supabase.co/storage/v1/object/public/old_media/fd52e5c8.Path.100255.jpg" TargetMode="External"/><Relationship Id="rId4825" Type="http://schemas.openxmlformats.org/officeDocument/2006/relationships/hyperlink" Target="https://ryycrdhlkmzpxwwwwupy.supabase.co/storage/v1/object/public/old_media/bad0107b.Path.044711.HEIC" TargetMode="External"/><Relationship Id="rId68" Type="http://schemas.openxmlformats.org/officeDocument/2006/relationships/hyperlink" Target="https://ryycrdhlkmzpxwwwwupy.supabase.co/storage/v1/object/public/old_media/6c8e61cc.Path.053112.jpg" TargetMode="External"/><Relationship Id="rId4828" Type="http://schemas.openxmlformats.org/officeDocument/2006/relationships/hyperlink" Target="https://ryycrdhlkmzpxwwwwupy.supabase.co/storage/v1/object/public/old_media/e7479bfa.Path.045637.jpg" TargetMode="External"/><Relationship Id="rId67" Type="http://schemas.openxmlformats.org/officeDocument/2006/relationships/hyperlink" Target="https://ryycrdhlkmzpxwwwwupy.supabase.co/storage/v1/object/public/old_media/a254fb3c.Path.053053.jpg" TargetMode="External"/><Relationship Id="rId4827" Type="http://schemas.openxmlformats.org/officeDocument/2006/relationships/hyperlink" Target="https://ryycrdhlkmzpxwwwwupy.supabase.co/storage/v1/object/public/old_media/ab2bb729.Path.074947.jpg" TargetMode="External"/><Relationship Id="rId4829" Type="http://schemas.openxmlformats.org/officeDocument/2006/relationships/hyperlink" Target="https://ryycrdhlkmzpxwwwwupy.supabase.co/storage/v1/object/public/old_media/57a78655.Path.045708.jpg" TargetMode="External"/><Relationship Id="rId60" Type="http://schemas.openxmlformats.org/officeDocument/2006/relationships/hyperlink" Target="https://ryycrdhlkmzpxwwwwupy.supabase.co/storage/v1/object/public/old_media/00d55979.Path.073441.jpg" TargetMode="External"/><Relationship Id="rId69" Type="http://schemas.openxmlformats.org/officeDocument/2006/relationships/hyperlink" Target="https://ryycrdhlkmzpxwwwwupy.supabase.co/storage/v1/object/public/old_media/e49c4c49.Path.053128.jpg" TargetMode="External"/><Relationship Id="rId1790" Type="http://schemas.openxmlformats.org/officeDocument/2006/relationships/hyperlink" Target="https://ryycrdhlkmzpxwwwwupy.supabase.co/storage/v1/object/public/old_media/ee74142d.Path.110522.jpg" TargetMode="External"/><Relationship Id="rId1791" Type="http://schemas.openxmlformats.org/officeDocument/2006/relationships/hyperlink" Target="https://ryycrdhlkmzpxwwwwupy.supabase.co/storage/v1/object/public/old_media/ef8ee5b4.Path.110547.jpg" TargetMode="External"/><Relationship Id="rId1792" Type="http://schemas.openxmlformats.org/officeDocument/2006/relationships/hyperlink" Target="https://ryycrdhlkmzpxwwwwupy.supabase.co/storage/v1/object/public/old_media/e043a261.Path.110612.jpg" TargetMode="External"/><Relationship Id="rId1793" Type="http://schemas.openxmlformats.org/officeDocument/2006/relationships/hyperlink" Target="https://ryycrdhlkmzpxwwwwupy.supabase.co/storage/v1/object/public/old_media/5d8bbcb5.Path.110639.jpg" TargetMode="External"/><Relationship Id="rId1794" Type="http://schemas.openxmlformats.org/officeDocument/2006/relationships/hyperlink" Target="https://ryycrdhlkmzpxwwwwupy.supabase.co/storage/v1/object/public/old_media/3c2aebec.Path.110716.jpg" TargetMode="External"/><Relationship Id="rId4820" Type="http://schemas.openxmlformats.org/officeDocument/2006/relationships/hyperlink" Target="https://ryycrdhlkmzpxwwwwupy.supabase.co/storage/v1/object/public/old_media/5c7d2f8d.Path.071212.jpg" TargetMode="External"/><Relationship Id="rId1795" Type="http://schemas.openxmlformats.org/officeDocument/2006/relationships/hyperlink" Target="https://ryycrdhlkmzpxwwwwupy.supabase.co/storage/v1/object/public/old_media/259fe2df.Path.110751.jpg" TargetMode="External"/><Relationship Id="rId51" Type="http://schemas.openxmlformats.org/officeDocument/2006/relationships/hyperlink" Target="https://ryycrdhlkmzpxwwwwupy.supabase.co/storage/v1/object/public/old_media/3e8b82f6.Path.082856.jpg" TargetMode="External"/><Relationship Id="rId1785" Type="http://schemas.openxmlformats.org/officeDocument/2006/relationships/hyperlink" Target="https://ryycrdhlkmzpxwwwwupy.supabase.co/storage/v1/object/public/old_media/2d237767.Path.110208.jpg" TargetMode="External"/><Relationship Id="rId4811" Type="http://schemas.openxmlformats.org/officeDocument/2006/relationships/hyperlink" Target="https://ryycrdhlkmzpxwwwwupy.supabase.co/storage/v1/object/public/old_media/42638a29.Path.064643.jpg" TargetMode="External"/><Relationship Id="rId50" Type="http://schemas.openxmlformats.org/officeDocument/2006/relationships/hyperlink" Target="https://ryycrdhlkmzpxwwwwupy.supabase.co/storage/v1/object/public/old_media/450bca95.Path.082758.jpg" TargetMode="External"/><Relationship Id="rId1786" Type="http://schemas.openxmlformats.org/officeDocument/2006/relationships/hyperlink" Target="https://ryycrdhlkmzpxwwwwupy.supabase.co/storage/v1/object/public/old_media/2006a0f0.Path.110232.jpg" TargetMode="External"/><Relationship Id="rId4810" Type="http://schemas.openxmlformats.org/officeDocument/2006/relationships/hyperlink" Target="https://ryycrdhlkmzpxwwwwupy.supabase.co/storage/v1/object/public/old_media/837d5c39.Path.063457.jpg" TargetMode="External"/><Relationship Id="rId53" Type="http://schemas.openxmlformats.org/officeDocument/2006/relationships/hyperlink" Target="https://ryycrdhlkmzpxwwwwupy.supabase.co/storage/v1/object/public/old_media/ef6fac9a.Path.073018.jpg" TargetMode="External"/><Relationship Id="rId1787" Type="http://schemas.openxmlformats.org/officeDocument/2006/relationships/hyperlink" Target="https://ryycrdhlkmzpxwwwwupy.supabase.co/storage/v1/object/public/old_media/c2e42200.Path.110319.jpg" TargetMode="External"/><Relationship Id="rId4813" Type="http://schemas.openxmlformats.org/officeDocument/2006/relationships/hyperlink" Target="https://ryycrdhlkmzpxwwwwupy.supabase.co/storage/v1/object/public/old_media/5c2cf95b.Path.064744.jpg" TargetMode="External"/><Relationship Id="rId52" Type="http://schemas.openxmlformats.org/officeDocument/2006/relationships/hyperlink" Target="https://ryycrdhlkmzpxwwwwupy.supabase.co/storage/v1/object/public/old_media/aceeda9f.Path.073001.jpg" TargetMode="External"/><Relationship Id="rId1788" Type="http://schemas.openxmlformats.org/officeDocument/2006/relationships/hyperlink" Target="https://ryycrdhlkmzpxwwwwupy.supabase.co/storage/v1/object/public/old_media/a6fcd751.Path.110344.jpg" TargetMode="External"/><Relationship Id="rId4812" Type="http://schemas.openxmlformats.org/officeDocument/2006/relationships/hyperlink" Target="https://ryycrdhlkmzpxwwwwupy.supabase.co/storage/v1/object/public/old_media/1183cc77.Path.064715.jpg" TargetMode="External"/><Relationship Id="rId55" Type="http://schemas.openxmlformats.org/officeDocument/2006/relationships/hyperlink" Target="https://ryycrdhlkmzpxwwwwupy.supabase.co/storage/v1/object/public/old_media/094c1f9d.Path.073035.jpg" TargetMode="External"/><Relationship Id="rId1789" Type="http://schemas.openxmlformats.org/officeDocument/2006/relationships/hyperlink" Target="https://ryycrdhlkmzpxwwwwupy.supabase.co/storage/v1/object/public/old_media/0b477b1c.Path.110458.jpg" TargetMode="External"/><Relationship Id="rId4815" Type="http://schemas.openxmlformats.org/officeDocument/2006/relationships/hyperlink" Target="https://ryycrdhlkmzpxwwwwupy.supabase.co/storage/v1/object/public/old_media/57bb080f.Path.074100.jpg" TargetMode="External"/><Relationship Id="rId54" Type="http://schemas.openxmlformats.org/officeDocument/2006/relationships/hyperlink" Target="https://ryycrdhlkmzpxwwwwupy.supabase.co/storage/v1/object/public/old_media/66463f71.Path.073027.jpg" TargetMode="External"/><Relationship Id="rId4814" Type="http://schemas.openxmlformats.org/officeDocument/2006/relationships/hyperlink" Target="https://ryycrdhlkmzpxwwwwupy.supabase.co/storage/v1/object/public/old_media/ec4b465a.Path.064814.jpg" TargetMode="External"/><Relationship Id="rId57" Type="http://schemas.openxmlformats.org/officeDocument/2006/relationships/hyperlink" Target="https://ryycrdhlkmzpxwwwwupy.supabase.co/storage/v1/object/public/old_media/01b161fa.Path.073059.jpg" TargetMode="External"/><Relationship Id="rId4817" Type="http://schemas.openxmlformats.org/officeDocument/2006/relationships/hyperlink" Target="https://ryycrdhlkmzpxwwwwupy.supabase.co/storage/v1/object/public/old_media/644c17fb.Path.074158.jpg" TargetMode="External"/><Relationship Id="rId56" Type="http://schemas.openxmlformats.org/officeDocument/2006/relationships/hyperlink" Target="https://ryycrdhlkmzpxwwwwupy.supabase.co/storage/v1/object/public/old_media/3bd41f60.Path.073042.jpg" TargetMode="External"/><Relationship Id="rId4816" Type="http://schemas.openxmlformats.org/officeDocument/2006/relationships/hyperlink" Target="https://ryycrdhlkmzpxwwwwupy.supabase.co/storage/v1/object/public/old_media/fa7b2db5.Path.074129.jpg" TargetMode="External"/><Relationship Id="rId4819" Type="http://schemas.openxmlformats.org/officeDocument/2006/relationships/hyperlink" Target="https://ryycrdhlkmzpxwwwwupy.supabase.co/storage/v1/object/public/old_media/9eed2eca.Path.074256.jpg" TargetMode="External"/><Relationship Id="rId4818" Type="http://schemas.openxmlformats.org/officeDocument/2006/relationships/hyperlink" Target="https://ryycrdhlkmzpxwwwwupy.supabase.co/storage/v1/object/public/old_media/8ab97c37.Path.074228.jpg" TargetMode="External"/><Relationship Id="rId59" Type="http://schemas.openxmlformats.org/officeDocument/2006/relationships/hyperlink" Target="https://ryycrdhlkmzpxwwwwupy.supabase.co/storage/v1/object/public/old_media/e2328e3f.Path.073116.jpg" TargetMode="External"/><Relationship Id="rId58" Type="http://schemas.openxmlformats.org/officeDocument/2006/relationships/hyperlink" Target="https://ryycrdhlkmzpxwwwwupy.supabase.co/storage/v1/object/public/old_media/e04ad986.Path.073108.jpg" TargetMode="External"/><Relationship Id="rId1780" Type="http://schemas.openxmlformats.org/officeDocument/2006/relationships/hyperlink" Target="https://ryycrdhlkmzpxwwwwupy.supabase.co/storage/v1/object/public/old_media/a81808c4.Path.101002.webp" TargetMode="External"/><Relationship Id="rId1781" Type="http://schemas.openxmlformats.org/officeDocument/2006/relationships/hyperlink" Target="https://ryycrdhlkmzpxwwwwupy.supabase.co/storage/v1/object/public/old_media/69922db2.Path.101020.webp" TargetMode="External"/><Relationship Id="rId1782" Type="http://schemas.openxmlformats.org/officeDocument/2006/relationships/hyperlink" Target="https://ryycrdhlkmzpxwwwwupy.supabase.co/storage/v1/object/public/old_media/e77a232b.Path.110055.jpg" TargetMode="External"/><Relationship Id="rId1783" Type="http://schemas.openxmlformats.org/officeDocument/2006/relationships/hyperlink" Target="https://ryycrdhlkmzpxwwwwupy.supabase.co/storage/v1/object/public/old_media/261d632b.Path.110124.jpg" TargetMode="External"/><Relationship Id="rId1784" Type="http://schemas.openxmlformats.org/officeDocument/2006/relationships/hyperlink" Target="https://ryycrdhlkmzpxwwwwupy.supabase.co/storage/v1/object/public/old_media/f08bd2ce.Path.110146.jpg" TargetMode="External"/><Relationship Id="rId2269" Type="http://schemas.openxmlformats.org/officeDocument/2006/relationships/hyperlink" Target="https://ryycrdhlkmzpxwwwwupy.supabase.co/storage/v1/object/public/old_media/9c01e270.Path.050924.jpg" TargetMode="External"/><Relationship Id="rId349" Type="http://schemas.openxmlformats.org/officeDocument/2006/relationships/hyperlink" Target="https://ryycrdhlkmzpxwwwwupy.supabase.co/storage/v1/object/public/old_media/ab898394.Path.044826.jpg" TargetMode="External"/><Relationship Id="rId348" Type="http://schemas.openxmlformats.org/officeDocument/2006/relationships/hyperlink" Target="https://ryycrdhlkmzpxwwwwupy.supabase.co/storage/v1/object/public/old_media/2ddaa710.Path.044808.jpg" TargetMode="External"/><Relationship Id="rId347" Type="http://schemas.openxmlformats.org/officeDocument/2006/relationships/hyperlink" Target="https://ryycrdhlkmzpxwwwwupy.supabase.co/storage/v1/object/public/old_media/4bf6e62e.Path.044744.jpg" TargetMode="External"/><Relationship Id="rId346" Type="http://schemas.openxmlformats.org/officeDocument/2006/relationships/hyperlink" Target="https://ryycrdhlkmzpxwwwwupy.supabase.co/storage/v1/object/public/old_media/a6a69536.Path.043533.jpg" TargetMode="External"/><Relationship Id="rId3591" Type="http://schemas.openxmlformats.org/officeDocument/2006/relationships/hyperlink" Target="https://ryycrdhlkmzpxwwwwupy.supabase.co/storage/v1/object/public/old_media/a2d87be6.Path.043648.jpg" TargetMode="External"/><Relationship Id="rId2260" Type="http://schemas.openxmlformats.org/officeDocument/2006/relationships/hyperlink" Target="https://ryycrdhlkmzpxwwwwupy.supabase.co/storage/v1/object/public/old_media/e405e7a7.Path.044751.jpg" TargetMode="External"/><Relationship Id="rId3590" Type="http://schemas.openxmlformats.org/officeDocument/2006/relationships/hyperlink" Target="https://ryycrdhlkmzpxwwwwupy.supabase.co/storage/v1/object/public/old_media/c8023437.Path.043617.jpg" TargetMode="External"/><Relationship Id="rId341" Type="http://schemas.openxmlformats.org/officeDocument/2006/relationships/hyperlink" Target="https://ryycrdhlkmzpxwwwwupy.supabase.co/storage/v1/object/public/old_media/e860c9cc.Path.043435.jpg" TargetMode="External"/><Relationship Id="rId2261" Type="http://schemas.openxmlformats.org/officeDocument/2006/relationships/hyperlink" Target="https://ryycrdhlkmzpxwwwwupy.supabase.co/storage/v1/object/public/old_media/da5ef297.Path.044802.jpg" TargetMode="External"/><Relationship Id="rId3593" Type="http://schemas.openxmlformats.org/officeDocument/2006/relationships/hyperlink" Target="https://ryycrdhlkmzpxwwwwupy.supabase.co/storage/v1/object/public/old_media/be7b4e44.Path.043752.jpg" TargetMode="External"/><Relationship Id="rId340" Type="http://schemas.openxmlformats.org/officeDocument/2006/relationships/hyperlink" Target="https://ryycrdhlkmzpxwwwwupy.supabase.co/storage/v1/object/public/old_media/db2a9709.Path.043425.jpg" TargetMode="External"/><Relationship Id="rId2262" Type="http://schemas.openxmlformats.org/officeDocument/2006/relationships/hyperlink" Target="https://ryycrdhlkmzpxwwwwupy.supabase.co/storage/v1/object/public/old_media/69de2076.Path.044813.jpg" TargetMode="External"/><Relationship Id="rId3592" Type="http://schemas.openxmlformats.org/officeDocument/2006/relationships/hyperlink" Target="https://ryycrdhlkmzpxwwwwupy.supabase.co/storage/v1/object/public/old_media/af5d4544.Path.043720.jpg" TargetMode="External"/><Relationship Id="rId2263" Type="http://schemas.openxmlformats.org/officeDocument/2006/relationships/hyperlink" Target="https://ryycrdhlkmzpxwwwwupy.supabase.co/storage/v1/object/public/old_media/b6eb657d.Path.045814.jpg" TargetMode="External"/><Relationship Id="rId3595" Type="http://schemas.openxmlformats.org/officeDocument/2006/relationships/hyperlink" Target="https://ryycrdhlkmzpxwwwwupy.supabase.co/storage/v1/object/public/old_media/a3d5362d.Path.043852.jpg" TargetMode="External"/><Relationship Id="rId2264" Type="http://schemas.openxmlformats.org/officeDocument/2006/relationships/hyperlink" Target="https://ryycrdhlkmzpxwwwwupy.supabase.co/storage/v1/object/public/old_media/05f6e07e.Path.045940.jpg" TargetMode="External"/><Relationship Id="rId3594" Type="http://schemas.openxmlformats.org/officeDocument/2006/relationships/hyperlink" Target="https://ryycrdhlkmzpxwwwwupy.supabase.co/storage/v1/object/public/old_media/e4d72be9.Path.043823.jpg" TargetMode="External"/><Relationship Id="rId345" Type="http://schemas.openxmlformats.org/officeDocument/2006/relationships/hyperlink" Target="https://ryycrdhlkmzpxwwwwupy.supabase.co/storage/v1/object/public/old_media/b1bd85b4.Path.043524.jpg" TargetMode="External"/><Relationship Id="rId2265" Type="http://schemas.openxmlformats.org/officeDocument/2006/relationships/hyperlink" Target="https://ryycrdhlkmzpxwwwwupy.supabase.co/storage/v1/object/public/old_media/9d4dae06.Path.050028.jpg" TargetMode="External"/><Relationship Id="rId3597" Type="http://schemas.openxmlformats.org/officeDocument/2006/relationships/hyperlink" Target="https://ryycrdhlkmzpxwwwwupy.supabase.co/storage/v1/object/public/old_media/d4e2f98d.Path.055006.jpg" TargetMode="External"/><Relationship Id="rId344" Type="http://schemas.openxmlformats.org/officeDocument/2006/relationships/hyperlink" Target="https://ryycrdhlkmzpxwwwwupy.supabase.co/storage/v1/object/public/old_media/6d8f205e.Path.043515.jpg" TargetMode="External"/><Relationship Id="rId2266" Type="http://schemas.openxmlformats.org/officeDocument/2006/relationships/hyperlink" Target="https://ryycrdhlkmzpxwwwwupy.supabase.co/storage/v1/object/public/old_media/37a922a1.Path.050116.jpg" TargetMode="External"/><Relationship Id="rId3596" Type="http://schemas.openxmlformats.org/officeDocument/2006/relationships/hyperlink" Target="https://ryycrdhlkmzpxwwwwupy.supabase.co/storage/v1/object/public/old_media/9a11d7af.Path.043923.jpg" TargetMode="External"/><Relationship Id="rId343" Type="http://schemas.openxmlformats.org/officeDocument/2006/relationships/hyperlink" Target="https://ryycrdhlkmzpxwwwwupy.supabase.co/storage/v1/object/public/old_media/29eae1b9.Path.043501.jpg" TargetMode="External"/><Relationship Id="rId2267" Type="http://schemas.openxmlformats.org/officeDocument/2006/relationships/hyperlink" Target="https://ryycrdhlkmzpxwwwwupy.supabase.co/storage/v1/object/public/old_media/4ed6b948.Path.050129.jpg" TargetMode="External"/><Relationship Id="rId3599" Type="http://schemas.openxmlformats.org/officeDocument/2006/relationships/hyperlink" Target="https://ryycrdhlkmzpxwwwwupy.supabase.co/storage/v1/object/public/old_media/beefbffa.Path.095653.webp" TargetMode="External"/><Relationship Id="rId342" Type="http://schemas.openxmlformats.org/officeDocument/2006/relationships/hyperlink" Target="https://ryycrdhlkmzpxwwwwupy.supabase.co/storage/v1/object/public/old_media/837a7ca9.Path.043448.jpg" TargetMode="External"/><Relationship Id="rId2268" Type="http://schemas.openxmlformats.org/officeDocument/2006/relationships/hyperlink" Target="https://ryycrdhlkmzpxwwwwupy.supabase.co/storage/v1/object/public/old_media/9c21cfa4.Path.050140.webp" TargetMode="External"/><Relationship Id="rId3598" Type="http://schemas.openxmlformats.org/officeDocument/2006/relationships/hyperlink" Target="https://ryycrdhlkmzpxwwwwupy.supabase.co/storage/v1/object/public/old_media/73198491.Path.072841.png" TargetMode="External"/><Relationship Id="rId2258" Type="http://schemas.openxmlformats.org/officeDocument/2006/relationships/hyperlink" Target="https://ryycrdhlkmzpxwwwwupy.supabase.co/storage/v1/object/public/old_media/8e46bb07.Path.044725.jpg" TargetMode="External"/><Relationship Id="rId2259" Type="http://schemas.openxmlformats.org/officeDocument/2006/relationships/hyperlink" Target="https://ryycrdhlkmzpxwwwwupy.supabase.co/storage/v1/object/public/old_media/964c1dce.Path.044738.jpg" TargetMode="External"/><Relationship Id="rId3589" Type="http://schemas.openxmlformats.org/officeDocument/2006/relationships/hyperlink" Target="https://ryycrdhlkmzpxwwwwupy.supabase.co/storage/v1/object/public/old_media/21f82457.Path.064626.jpg" TargetMode="External"/><Relationship Id="rId338" Type="http://schemas.openxmlformats.org/officeDocument/2006/relationships/hyperlink" Target="https://ryycrdhlkmzpxwwwwupy.supabase.co/storage/v1/object/public/old_media/5da66ba9.Path.102147.jpg" TargetMode="External"/><Relationship Id="rId337" Type="http://schemas.openxmlformats.org/officeDocument/2006/relationships/hyperlink" Target="https://ryycrdhlkmzpxwwwwupy.supabase.co/storage/v1/object/public/old_media/65c76f9b.Path.102131.jpg" TargetMode="External"/><Relationship Id="rId336" Type="http://schemas.openxmlformats.org/officeDocument/2006/relationships/hyperlink" Target="https://ryycrdhlkmzpxwwwwupy.supabase.co/storage/v1/object/public/old_media/5eaf08cf.Path.102019.jpg" TargetMode="External"/><Relationship Id="rId335" Type="http://schemas.openxmlformats.org/officeDocument/2006/relationships/hyperlink" Target="https://ryycrdhlkmzpxwwwwupy.supabase.co/storage/v1/object/public/old_media/8535406f.Path.102004.jpg" TargetMode="External"/><Relationship Id="rId3580" Type="http://schemas.openxmlformats.org/officeDocument/2006/relationships/hyperlink" Target="https://ryycrdhlkmzpxwwwwupy.supabase.co/storage/v1/object/public/old_media/e21bd2ac.Path.043812.jpg" TargetMode="External"/><Relationship Id="rId339" Type="http://schemas.openxmlformats.org/officeDocument/2006/relationships/hyperlink" Target="https://ryycrdhlkmzpxwwwwupy.supabase.co/storage/v1/object/public/old_media/fb9c7d88.Path.043415.jpg" TargetMode="External"/><Relationship Id="rId330" Type="http://schemas.openxmlformats.org/officeDocument/2006/relationships/hyperlink" Target="https://ryycrdhlkmzpxwwwwupy.supabase.co/storage/v1/object/public/old_media/d4d97f96.Path.104319.jpg" TargetMode="External"/><Relationship Id="rId2250" Type="http://schemas.openxmlformats.org/officeDocument/2006/relationships/hyperlink" Target="https://ryycrdhlkmzpxwwwwupy.supabase.co/storage/v1/object/public/old_media/50dd2ffa.Path.060443.jpg" TargetMode="External"/><Relationship Id="rId3582" Type="http://schemas.openxmlformats.org/officeDocument/2006/relationships/hyperlink" Target="https://ryycrdhlkmzpxwwwwupy.supabase.co/storage/v1/object/public/old_media/50bd7a65.Path.064044.jpg" TargetMode="External"/><Relationship Id="rId2251" Type="http://schemas.openxmlformats.org/officeDocument/2006/relationships/hyperlink" Target="https://ryycrdhlkmzpxwwwwupy.supabase.co/storage/v1/object/public/old_media/89bad840.Path.060453.jpg" TargetMode="External"/><Relationship Id="rId3581" Type="http://schemas.openxmlformats.org/officeDocument/2006/relationships/hyperlink" Target="https://ryycrdhlkmzpxwwwwupy.supabase.co/storage/v1/object/public/old_media/0699fa5f.Path.064003.jpg" TargetMode="External"/><Relationship Id="rId2252" Type="http://schemas.openxmlformats.org/officeDocument/2006/relationships/hyperlink" Target="https://ryycrdhlkmzpxwwwwupy.supabase.co/storage/v1/object/public/old_media/fb0afd0e.Path.060504.jpg" TargetMode="External"/><Relationship Id="rId3584" Type="http://schemas.openxmlformats.org/officeDocument/2006/relationships/hyperlink" Target="https://ryycrdhlkmzpxwwwwupy.supabase.co/storage/v1/object/public/old_media/59de10c7.Path.064330.jpg" TargetMode="External"/><Relationship Id="rId2253" Type="http://schemas.openxmlformats.org/officeDocument/2006/relationships/hyperlink" Target="https://ryycrdhlkmzpxwwwwupy.supabase.co/storage/v1/object/public/old_media/2eea9dce.Path.060520.jpg" TargetMode="External"/><Relationship Id="rId3583" Type="http://schemas.openxmlformats.org/officeDocument/2006/relationships/hyperlink" Target="https://ryycrdhlkmzpxwwwwupy.supabase.co/storage/v1/object/public/old_media/9539ad33.Path.064249.jpg" TargetMode="External"/><Relationship Id="rId334" Type="http://schemas.openxmlformats.org/officeDocument/2006/relationships/hyperlink" Target="https://ryycrdhlkmzpxwwwwupy.supabase.co/storage/v1/object/public/old_media/989dd4aa.Path.052627.jpg" TargetMode="External"/><Relationship Id="rId2254" Type="http://schemas.openxmlformats.org/officeDocument/2006/relationships/hyperlink" Target="https://ryycrdhlkmzpxwwwwupy.supabase.co/storage/v1/object/public/old_media/dc778a20.Path.060530.jpg" TargetMode="External"/><Relationship Id="rId3586" Type="http://schemas.openxmlformats.org/officeDocument/2006/relationships/hyperlink" Target="https://ryycrdhlkmzpxwwwwupy.supabase.co/storage/v1/object/public/old_media/ebd5a5e0.Path.064445.jpg" TargetMode="External"/><Relationship Id="rId333" Type="http://schemas.openxmlformats.org/officeDocument/2006/relationships/hyperlink" Target="https://ryycrdhlkmzpxwwwwupy.supabase.co/storage/v1/object/public/old_media/3e346b8f.Path.052548.jpg" TargetMode="External"/><Relationship Id="rId2255" Type="http://schemas.openxmlformats.org/officeDocument/2006/relationships/hyperlink" Target="https://ryycrdhlkmzpxwwwwupy.supabase.co/storage/v1/object/public/old_media/264c65bf.Path.060544.jpg" TargetMode="External"/><Relationship Id="rId3585" Type="http://schemas.openxmlformats.org/officeDocument/2006/relationships/hyperlink" Target="https://ryycrdhlkmzpxwwwwupy.supabase.co/storage/v1/object/public/old_media/ed85203d.Path.064405.jpg" TargetMode="External"/><Relationship Id="rId332" Type="http://schemas.openxmlformats.org/officeDocument/2006/relationships/hyperlink" Target="https://ryycrdhlkmzpxwwwwupy.supabase.co/storage/v1/object/public/old_media/a8602831.Path.052541.jpg" TargetMode="External"/><Relationship Id="rId2256" Type="http://schemas.openxmlformats.org/officeDocument/2006/relationships/hyperlink" Target="https://ryycrdhlkmzpxwwwwupy.supabase.co/storage/v1/object/public/old_media/e1a19359.Path.060556.jpg" TargetMode="External"/><Relationship Id="rId3588" Type="http://schemas.openxmlformats.org/officeDocument/2006/relationships/hyperlink" Target="https://ryycrdhlkmzpxwwwwupy.supabase.co/storage/v1/object/public/old_media/6d600be5.Path.064548.jpg" TargetMode="External"/><Relationship Id="rId331" Type="http://schemas.openxmlformats.org/officeDocument/2006/relationships/hyperlink" Target="https://ryycrdhlkmzpxwwwwupy.supabase.co/storage/v1/object/public/old_media/ec448d8a.Path.052524.jpg" TargetMode="External"/><Relationship Id="rId2257" Type="http://schemas.openxmlformats.org/officeDocument/2006/relationships/hyperlink" Target="https://ryycrdhlkmzpxwwwwupy.supabase.co/storage/v1/object/public/old_media/c80ed749.Path.063332.jpg" TargetMode="External"/><Relationship Id="rId3587" Type="http://schemas.openxmlformats.org/officeDocument/2006/relationships/hyperlink" Target="https://ryycrdhlkmzpxwwwwupy.supabase.co/storage/v1/object/public/old_media/912c9413.Path.064519.jpg" TargetMode="External"/><Relationship Id="rId370" Type="http://schemas.openxmlformats.org/officeDocument/2006/relationships/hyperlink" Target="https://ryycrdhlkmzpxwwwwupy.supabase.co/storage/v1/object/public/old_media/9a1b2f9f.Path.101734.jpg" TargetMode="External"/><Relationship Id="rId369" Type="http://schemas.openxmlformats.org/officeDocument/2006/relationships/hyperlink" Target="https://ryycrdhlkmzpxwwwwupy.supabase.co/storage/v1/object/public/old_media/7ce8c0ff.Path.101616.jpg" TargetMode="External"/><Relationship Id="rId368" Type="http://schemas.openxmlformats.org/officeDocument/2006/relationships/hyperlink" Target="https://ryycrdhlkmzpxwwwwupy.supabase.co/storage/v1/object/public/old_media/ad2a0291.Path.101606.jpg" TargetMode="External"/><Relationship Id="rId2280" Type="http://schemas.openxmlformats.org/officeDocument/2006/relationships/hyperlink" Target="https://ryycrdhlkmzpxwwwwupy.supabase.co/storage/v1/object/public/old_media/d862a519.Path.053636.jpg" TargetMode="External"/><Relationship Id="rId2281" Type="http://schemas.openxmlformats.org/officeDocument/2006/relationships/hyperlink" Target="https://ryycrdhlkmzpxwwwwupy.supabase.co/storage/v1/object/public/old_media/bfa2748f.Path.053733.jpg" TargetMode="External"/><Relationship Id="rId2282" Type="http://schemas.openxmlformats.org/officeDocument/2006/relationships/hyperlink" Target="https://ryycrdhlkmzpxwwwwupy.supabase.co/storage/v1/object/public/old_media/aeb090ad.Path.053812.jpg" TargetMode="External"/><Relationship Id="rId363" Type="http://schemas.openxmlformats.org/officeDocument/2006/relationships/hyperlink" Target="https://ryycrdhlkmzpxwwwwupy.supabase.co/storage/v1/object/public/old_media/d6e8e2b1.Path.111255.jpg" TargetMode="External"/><Relationship Id="rId2283" Type="http://schemas.openxmlformats.org/officeDocument/2006/relationships/hyperlink" Target="https://ryycrdhlkmzpxwwwwupy.supabase.co/storage/v1/object/public/old_media/336a09a6.Path.062123.jpg" TargetMode="External"/><Relationship Id="rId362" Type="http://schemas.openxmlformats.org/officeDocument/2006/relationships/hyperlink" Target="https://ryycrdhlkmzpxwwwwupy.supabase.co/storage/v1/object/public/old_media/e1d673be.Path.111245.jpg" TargetMode="External"/><Relationship Id="rId2284" Type="http://schemas.openxmlformats.org/officeDocument/2006/relationships/hyperlink" Target="https://ryycrdhlkmzpxwwwwupy.supabase.co/storage/v1/object/public/old_media/2877c4cb.Path.062134.jpg" TargetMode="External"/><Relationship Id="rId361" Type="http://schemas.openxmlformats.org/officeDocument/2006/relationships/hyperlink" Target="https://ryycrdhlkmzpxwwwwupy.supabase.co/storage/v1/object/public/old_media/55361838.Path.110708.jpg" TargetMode="External"/><Relationship Id="rId2285" Type="http://schemas.openxmlformats.org/officeDocument/2006/relationships/hyperlink" Target="https://ryycrdhlkmzpxwwwwupy.supabase.co/storage/v1/object/public/old_media/c06026b3.Path.062147.jpg" TargetMode="External"/><Relationship Id="rId360" Type="http://schemas.openxmlformats.org/officeDocument/2006/relationships/hyperlink" Target="https://ryycrdhlkmzpxwwwwupy.supabase.co/storage/v1/object/public/old_media/db360576.Path.110518.jpg" TargetMode="External"/><Relationship Id="rId2286" Type="http://schemas.openxmlformats.org/officeDocument/2006/relationships/hyperlink" Target="https://ryycrdhlkmzpxwwwwupy.supabase.co/storage/v1/object/public/old_media/f1f19063.Path.062200.jpg" TargetMode="External"/><Relationship Id="rId367" Type="http://schemas.openxmlformats.org/officeDocument/2006/relationships/hyperlink" Target="https://ryycrdhlkmzpxwwwwupy.supabase.co/storage/v1/object/public/old_media/fc718649.Path.101556.jpg" TargetMode="External"/><Relationship Id="rId2287" Type="http://schemas.openxmlformats.org/officeDocument/2006/relationships/hyperlink" Target="https://ryycrdhlkmzpxwwwwupy.supabase.co/storage/v1/object/public/old_media/2adea6d5.Path.062211.jpg" TargetMode="External"/><Relationship Id="rId366" Type="http://schemas.openxmlformats.org/officeDocument/2006/relationships/hyperlink" Target="https://ryycrdhlkmzpxwwwwupy.supabase.co/storage/v1/object/public/old_media/b2bc3a84.Path.101457.jpg" TargetMode="External"/><Relationship Id="rId2288" Type="http://schemas.openxmlformats.org/officeDocument/2006/relationships/hyperlink" Target="https://ryycrdhlkmzpxwwwwupy.supabase.co/storage/v1/object/public/old_media/4dd16d6c.Path.062223.jpg" TargetMode="External"/><Relationship Id="rId365" Type="http://schemas.openxmlformats.org/officeDocument/2006/relationships/hyperlink" Target="https://ryycrdhlkmzpxwwwwupy.supabase.co/storage/v1/object/public/old_media/4474a891.Path.111415.jpg" TargetMode="External"/><Relationship Id="rId2289" Type="http://schemas.openxmlformats.org/officeDocument/2006/relationships/hyperlink" Target="https://ryycrdhlkmzpxwwwwupy.supabase.co/storage/v1/object/public/old_media/1b9f8859.Path.094313.jpg" TargetMode="External"/><Relationship Id="rId364" Type="http://schemas.openxmlformats.org/officeDocument/2006/relationships/hyperlink" Target="https://ryycrdhlkmzpxwwwwupy.supabase.co/storage/v1/object/public/old_media/97207835.Path.111310.jpg" TargetMode="External"/><Relationship Id="rId95" Type="http://schemas.openxmlformats.org/officeDocument/2006/relationships/hyperlink" Target="https://ryycrdhlkmzpxwwwwupy.supabase.co/storage/v1/object/public/old_media/cecbf78f.Path.061005.jpg" TargetMode="External"/><Relationship Id="rId94" Type="http://schemas.openxmlformats.org/officeDocument/2006/relationships/hyperlink" Target="https://ryycrdhlkmzpxwwwwupy.supabase.co/storage/v1/object/public/old_media/50fa0e5e.Path.060946.jpg" TargetMode="External"/><Relationship Id="rId97" Type="http://schemas.openxmlformats.org/officeDocument/2006/relationships/hyperlink" Target="https://ryycrdhlkmzpxwwwwupy.supabase.co/storage/v1/object/public/old_media/98c4e7dd.Path.094303.jpg" TargetMode="External"/><Relationship Id="rId96" Type="http://schemas.openxmlformats.org/officeDocument/2006/relationships/hyperlink" Target="https://ryycrdhlkmzpxwwwwupy.supabase.co/storage/v1/object/public/old_media/5e44f3bb.Path.094216.jpg" TargetMode="External"/><Relationship Id="rId99" Type="http://schemas.openxmlformats.org/officeDocument/2006/relationships/hyperlink" Target="https://ryycrdhlkmzpxwwwwupy.supabase.co/storage/v1/object/public/old_media/6ae9d0b0.Path.094320.jpg" TargetMode="External"/><Relationship Id="rId98" Type="http://schemas.openxmlformats.org/officeDocument/2006/relationships/hyperlink" Target="https://ryycrdhlkmzpxwwwwupy.supabase.co/storage/v1/object/public/old_media/8a654c64.Path.094313.jpg" TargetMode="External"/><Relationship Id="rId91" Type="http://schemas.openxmlformats.org/officeDocument/2006/relationships/hyperlink" Target="https://ryycrdhlkmzpxwwwwupy.supabase.co/storage/v1/object/public/old_media/2e68f445.Path.054758.jpg" TargetMode="External"/><Relationship Id="rId90" Type="http://schemas.openxmlformats.org/officeDocument/2006/relationships/hyperlink" Target="https://ryycrdhlkmzpxwwwwupy.supabase.co/storage/v1/object/public/old_media/ce98f39a.Path.054252.jpg" TargetMode="External"/><Relationship Id="rId93" Type="http://schemas.openxmlformats.org/officeDocument/2006/relationships/hyperlink" Target="https://ryycrdhlkmzpxwwwwupy.supabase.co/storage/v1/object/public/old_media/5eddc61e.Path.060940.jpg" TargetMode="External"/><Relationship Id="rId92" Type="http://schemas.openxmlformats.org/officeDocument/2006/relationships/hyperlink" Target="https://ryycrdhlkmzpxwwwwupy.supabase.co/storage/v1/object/public/old_media/1b0f90fa.Path.120443.jpg" TargetMode="External"/><Relationship Id="rId359" Type="http://schemas.openxmlformats.org/officeDocument/2006/relationships/hyperlink" Target="https://ryycrdhlkmzpxwwwwupy.supabase.co/storage/v1/object/public/old_media/d1f16fc0.Path.075223.jpg" TargetMode="External"/><Relationship Id="rId358" Type="http://schemas.openxmlformats.org/officeDocument/2006/relationships/hyperlink" Target="https://ryycrdhlkmzpxwwwwupy.supabase.co/storage/v1/object/public/old_media/ec496a29.Path.075214.jpg" TargetMode="External"/><Relationship Id="rId357" Type="http://schemas.openxmlformats.org/officeDocument/2006/relationships/hyperlink" Target="https://ryycrdhlkmzpxwwwwupy.supabase.co/storage/v1/object/public/old_media/7c06640a.Path.075149.jpg" TargetMode="External"/><Relationship Id="rId2270" Type="http://schemas.openxmlformats.org/officeDocument/2006/relationships/hyperlink" Target="https://ryycrdhlkmzpxwwwwupy.supabase.co/storage/v1/object/public/old_media/821ac8e2.Path.050945.jpg" TargetMode="External"/><Relationship Id="rId2271" Type="http://schemas.openxmlformats.org/officeDocument/2006/relationships/hyperlink" Target="https://ryycrdhlkmzpxwwwwupy.supabase.co/storage/v1/object/public/old_media/4a37e958.Path.051008.jpg" TargetMode="External"/><Relationship Id="rId352" Type="http://schemas.openxmlformats.org/officeDocument/2006/relationships/hyperlink" Target="https://ryycrdhlkmzpxwwwwupy.supabase.co/storage/v1/object/public/old_media/01e56ce0.Path.075029.jpg" TargetMode="External"/><Relationship Id="rId2272" Type="http://schemas.openxmlformats.org/officeDocument/2006/relationships/hyperlink" Target="https://ryycrdhlkmzpxwwwwupy.supabase.co/storage/v1/object/public/old_media/4a686702.Path.104422.jpg" TargetMode="External"/><Relationship Id="rId351" Type="http://schemas.openxmlformats.org/officeDocument/2006/relationships/hyperlink" Target="https://ryycrdhlkmzpxwwwwupy.supabase.co/storage/v1/object/public/old_media/fce16b32.Path.044902.jpg" TargetMode="External"/><Relationship Id="rId2273" Type="http://schemas.openxmlformats.org/officeDocument/2006/relationships/hyperlink" Target="https://ryycrdhlkmzpxwwwwupy.supabase.co/storage/v1/object/public/old_media/e230c0ac.Path.104452.jpg" TargetMode="External"/><Relationship Id="rId350" Type="http://schemas.openxmlformats.org/officeDocument/2006/relationships/hyperlink" Target="https://ryycrdhlkmzpxwwwwupy.supabase.co/storage/v1/object/public/old_media/80a099c8.Path.044844.jpg" TargetMode="External"/><Relationship Id="rId2274" Type="http://schemas.openxmlformats.org/officeDocument/2006/relationships/hyperlink" Target="https://ryycrdhlkmzpxwwwwupy.supabase.co/storage/v1/object/public/old_media/f3929925.Path.104506.jpg" TargetMode="External"/><Relationship Id="rId2275" Type="http://schemas.openxmlformats.org/officeDocument/2006/relationships/hyperlink" Target="https://ryycrdhlkmzpxwwwwupy.supabase.co/storage/v1/object/public/old_media/1ab70eb5.Path.053342.jpg" TargetMode="External"/><Relationship Id="rId356" Type="http://schemas.openxmlformats.org/officeDocument/2006/relationships/hyperlink" Target="https://ryycrdhlkmzpxwwwwupy.supabase.co/storage/v1/object/public/old_media/3cf06bc1.Path.075142.jpg" TargetMode="External"/><Relationship Id="rId2276" Type="http://schemas.openxmlformats.org/officeDocument/2006/relationships/hyperlink" Target="https://ryycrdhlkmzpxwwwwupy.supabase.co/storage/v1/object/public/old_media/a288a003.Path.053541.jpg" TargetMode="External"/><Relationship Id="rId355" Type="http://schemas.openxmlformats.org/officeDocument/2006/relationships/hyperlink" Target="https://ryycrdhlkmzpxwwwwupy.supabase.co/storage/v1/object/public/old_media/eaab66ba.Path.075123.jpg" TargetMode="External"/><Relationship Id="rId2277" Type="http://schemas.openxmlformats.org/officeDocument/2006/relationships/hyperlink" Target="https://ryycrdhlkmzpxwwwwupy.supabase.co/storage/v1/object/public/old_media/3f763e5f.Path.053601.jpg" TargetMode="External"/><Relationship Id="rId354" Type="http://schemas.openxmlformats.org/officeDocument/2006/relationships/hyperlink" Target="https://ryycrdhlkmzpxwwwwupy.supabase.co/storage/v1/object/public/old_media/3c85ea62.Path.075105.jpg" TargetMode="External"/><Relationship Id="rId2278" Type="http://schemas.openxmlformats.org/officeDocument/2006/relationships/hyperlink" Target="https://ryycrdhlkmzpxwwwwupy.supabase.co/storage/v1/object/public/old_media/b3695b49.Path.053613.jpg" TargetMode="External"/><Relationship Id="rId353" Type="http://schemas.openxmlformats.org/officeDocument/2006/relationships/hyperlink" Target="https://ryycrdhlkmzpxwwwwupy.supabase.co/storage/v1/object/public/old_media/ba11412b.Path.075047.jpg" TargetMode="External"/><Relationship Id="rId2279" Type="http://schemas.openxmlformats.org/officeDocument/2006/relationships/hyperlink" Target="https://ryycrdhlkmzpxwwwwupy.supabase.co/storage/v1/object/public/old_media/bc6afa2f.Path.053624.jpg" TargetMode="External"/><Relationship Id="rId2225" Type="http://schemas.openxmlformats.org/officeDocument/2006/relationships/hyperlink" Target="https://ryycrdhlkmzpxwwwwupy.supabase.co/storage/v1/object/public/old_media/ba3787fd.Path.045203.jpg" TargetMode="External"/><Relationship Id="rId3557" Type="http://schemas.openxmlformats.org/officeDocument/2006/relationships/hyperlink" Target="https://ryycrdhlkmzpxwwwwupy.supabase.co/storage/v1/object/public/old_media/07e2c745.Path.073334.webp" TargetMode="External"/><Relationship Id="rId4888" Type="http://schemas.openxmlformats.org/officeDocument/2006/relationships/hyperlink" Target="https://ryycrdhlkmzpxwwwwupy.supabase.co/storage/v1/object/public/old_media/a06aaee6.Path.052228.avif" TargetMode="External"/><Relationship Id="rId2226" Type="http://schemas.openxmlformats.org/officeDocument/2006/relationships/hyperlink" Target="https://ryycrdhlkmzpxwwwwupy.supabase.co/storage/v1/object/public/old_media/e4dd6116.Path.045222.jpg" TargetMode="External"/><Relationship Id="rId3556" Type="http://schemas.openxmlformats.org/officeDocument/2006/relationships/hyperlink" Target="https://ryycrdhlkmzpxwwwwupy.supabase.co/storage/v1/object/public/old_media/e541e318.Path.073307.jpg" TargetMode="External"/><Relationship Id="rId4887" Type="http://schemas.openxmlformats.org/officeDocument/2006/relationships/hyperlink" Target="https://ryycrdhlkmzpxwwwwupy.supabase.co/storage/v1/object/public/old_media/5423adff.Path.052200.avif" TargetMode="External"/><Relationship Id="rId2227" Type="http://schemas.openxmlformats.org/officeDocument/2006/relationships/hyperlink" Target="https://ryycrdhlkmzpxwwwwupy.supabase.co/storage/v1/object/public/old_media/5cf948b8.Path.045235.jpg" TargetMode="External"/><Relationship Id="rId3559" Type="http://schemas.openxmlformats.org/officeDocument/2006/relationships/hyperlink" Target="https://ryycrdhlkmzpxwwwwupy.supabase.co/storage/v1/object/public/old_media/0433e6aa.Path.104228.webp" TargetMode="External"/><Relationship Id="rId2228" Type="http://schemas.openxmlformats.org/officeDocument/2006/relationships/hyperlink" Target="https://ryycrdhlkmzpxwwwwupy.supabase.co/storage/v1/object/public/old_media/c49a05a8.Path.045251.jpg" TargetMode="External"/><Relationship Id="rId3558" Type="http://schemas.openxmlformats.org/officeDocument/2006/relationships/hyperlink" Target="https://ryycrdhlkmzpxwwwwupy.supabase.co/storage/v1/object/public/old_media/07231bb0.Path.101335.jpg" TargetMode="External"/><Relationship Id="rId4889" Type="http://schemas.openxmlformats.org/officeDocument/2006/relationships/hyperlink" Target="https://ryycrdhlkmzpxwwwwupy.supabase.co/storage/v1/object/public/old_media/601e76a0.Path.052258.avif" TargetMode="External"/><Relationship Id="rId2229" Type="http://schemas.openxmlformats.org/officeDocument/2006/relationships/hyperlink" Target="https://ryycrdhlkmzpxwwwwupy.supabase.co/storage/v1/object/public/old_media/e5016a2e.Path.045308.jpg" TargetMode="External"/><Relationship Id="rId305" Type="http://schemas.openxmlformats.org/officeDocument/2006/relationships/hyperlink" Target="https://ryycrdhlkmzpxwwwwupy.supabase.co/storage/v1/object/public/old_media/b3a945a0.Path.072913.jpg" TargetMode="External"/><Relationship Id="rId304" Type="http://schemas.openxmlformats.org/officeDocument/2006/relationships/hyperlink" Target="https://ryycrdhlkmzpxwwwwupy.supabase.co/storage/v1/object/public/old_media/a7f282bb.Path.075951.png" TargetMode="External"/><Relationship Id="rId303" Type="http://schemas.openxmlformats.org/officeDocument/2006/relationships/hyperlink" Target="https://ryycrdhlkmzpxwwwwupy.supabase.co/storage/v1/object/public/old_media/d942cc0d.Path.075939.png" TargetMode="External"/><Relationship Id="rId302" Type="http://schemas.openxmlformats.org/officeDocument/2006/relationships/hyperlink" Target="https://ryycrdhlkmzpxwwwwupy.supabase.co/storage/v1/object/public/old_media/5c3ba6c3.Path.075932.png" TargetMode="External"/><Relationship Id="rId309" Type="http://schemas.openxmlformats.org/officeDocument/2006/relationships/hyperlink" Target="https://ryycrdhlkmzpxwwwwupy.supabase.co/storage/v1/object/public/old_media/a9bcf077.Path.073056.jpg" TargetMode="External"/><Relationship Id="rId308" Type="http://schemas.openxmlformats.org/officeDocument/2006/relationships/hyperlink" Target="https://ryycrdhlkmzpxwwwwupy.supabase.co/storage/v1/object/public/old_media/658cf0cd.Path.073031.jpg" TargetMode="External"/><Relationship Id="rId307" Type="http://schemas.openxmlformats.org/officeDocument/2006/relationships/hyperlink" Target="https://ryycrdhlkmzpxwwwwupy.supabase.co/storage/v1/object/public/old_media/4fecbd5d.Path.073014.jpg" TargetMode="External"/><Relationship Id="rId306" Type="http://schemas.openxmlformats.org/officeDocument/2006/relationships/hyperlink" Target="https://ryycrdhlkmzpxwwwwupy.supabase.co/storage/v1/object/public/old_media/ff201ae9.Path.072941.jpg" TargetMode="External"/><Relationship Id="rId4880" Type="http://schemas.openxmlformats.org/officeDocument/2006/relationships/hyperlink" Target="https://ryycrdhlkmzpxwwwwupy.supabase.co/storage/v1/object/public/old_media/c24d1541.Path.104836.jpg" TargetMode="External"/><Relationship Id="rId3551" Type="http://schemas.openxmlformats.org/officeDocument/2006/relationships/hyperlink" Target="https://ryycrdhlkmzpxwwwwupy.supabase.co/storage/v1/object/public/old_media/ff085b38.Path.054911.jpg" TargetMode="External"/><Relationship Id="rId4882" Type="http://schemas.openxmlformats.org/officeDocument/2006/relationships/hyperlink" Target="https://ryycrdhlkmzpxwwwwupy.supabase.co/storage/v1/object/public/old_media/0d5f7bb0.Path.104944.jpg" TargetMode="External"/><Relationship Id="rId2220" Type="http://schemas.openxmlformats.org/officeDocument/2006/relationships/hyperlink" Target="https://ryycrdhlkmzpxwwwwupy.supabase.co/storage/v1/object/public/old_media/e012c482.Path.105814.jpg" TargetMode="External"/><Relationship Id="rId3550" Type="http://schemas.openxmlformats.org/officeDocument/2006/relationships/hyperlink" Target="https://ryycrdhlkmzpxwwwwupy.supabase.co/storage/v1/object/public/old_media/9f479eb1.Path.054836.jpg" TargetMode="External"/><Relationship Id="rId4881" Type="http://schemas.openxmlformats.org/officeDocument/2006/relationships/hyperlink" Target="https://ryycrdhlkmzpxwwwwupy.supabase.co/storage/v1/object/public/old_media/da763e63.Path.104910.jpg" TargetMode="External"/><Relationship Id="rId301" Type="http://schemas.openxmlformats.org/officeDocument/2006/relationships/hyperlink" Target="https://ryycrdhlkmzpxwwwwupy.supabase.co/storage/v1/object/public/old_media/432d9d2e.Path.031449.jpg" TargetMode="External"/><Relationship Id="rId2221" Type="http://schemas.openxmlformats.org/officeDocument/2006/relationships/hyperlink" Target="https://ryycrdhlkmzpxwwwwupy.supabase.co/storage/v1/object/public/old_media/c8876b54.Path.044828.jpg" TargetMode="External"/><Relationship Id="rId3553" Type="http://schemas.openxmlformats.org/officeDocument/2006/relationships/hyperlink" Target="https://ryycrdhlkmzpxwwwwupy.supabase.co/storage/v1/object/public/old_media/e1506863.Path.073138.jpg" TargetMode="External"/><Relationship Id="rId4884" Type="http://schemas.openxmlformats.org/officeDocument/2006/relationships/hyperlink" Target="https://ryycrdhlkmzpxwwwwupy.supabase.co/storage/v1/object/public/old_media/68cb4cc0.Path.052957.jpg" TargetMode="External"/><Relationship Id="rId300" Type="http://schemas.openxmlformats.org/officeDocument/2006/relationships/hyperlink" Target="https://ryycrdhlkmzpxwwwwupy.supabase.co/storage/v1/object/public/old_media/ca311fee.Path.031439.jpg" TargetMode="External"/><Relationship Id="rId2222" Type="http://schemas.openxmlformats.org/officeDocument/2006/relationships/hyperlink" Target="https://ryycrdhlkmzpxwwwwupy.supabase.co/storage/v1/object/public/old_media/7df0a432.Path.044915.jpg" TargetMode="External"/><Relationship Id="rId3552" Type="http://schemas.openxmlformats.org/officeDocument/2006/relationships/hyperlink" Target="https://ryycrdhlkmzpxwwwwupy.supabase.co/storage/v1/object/public/old_media/397ff627.Path.073103.webp" TargetMode="External"/><Relationship Id="rId4883" Type="http://schemas.openxmlformats.org/officeDocument/2006/relationships/hyperlink" Target="https://ryycrdhlkmzpxwwwwupy.supabase.co/storage/v1/object/public/old_media/1d5f5c1d.Path.052927.jpg" TargetMode="External"/><Relationship Id="rId2223" Type="http://schemas.openxmlformats.org/officeDocument/2006/relationships/hyperlink" Target="https://ryycrdhlkmzpxwwwwupy.supabase.co/storage/v1/object/public/old_media/6fb33910.Path.045017.jpg" TargetMode="External"/><Relationship Id="rId3555" Type="http://schemas.openxmlformats.org/officeDocument/2006/relationships/hyperlink" Target="https://ryycrdhlkmzpxwwwwupy.supabase.co/storage/v1/object/public/old_media/6c9942b2.Path.073240.jpg" TargetMode="External"/><Relationship Id="rId4886" Type="http://schemas.openxmlformats.org/officeDocument/2006/relationships/hyperlink" Target="https://ryycrdhlkmzpxwwwwupy.supabase.co/storage/v1/object/public/old_media/80fd1964.Path.053117.jpg" TargetMode="External"/><Relationship Id="rId2224" Type="http://schemas.openxmlformats.org/officeDocument/2006/relationships/hyperlink" Target="https://ryycrdhlkmzpxwwwwupy.supabase.co/storage/v1/object/public/old_media/eafc84ce.Path.045050.jpg" TargetMode="External"/><Relationship Id="rId3554" Type="http://schemas.openxmlformats.org/officeDocument/2006/relationships/hyperlink" Target="https://ryycrdhlkmzpxwwwwupy.supabase.co/storage/v1/object/public/old_media/9a9a0973.Path.073211.jpg" TargetMode="External"/><Relationship Id="rId4885" Type="http://schemas.openxmlformats.org/officeDocument/2006/relationships/hyperlink" Target="https://ryycrdhlkmzpxwwwwupy.supabase.co/storage/v1/object/public/old_media/c162c278.Path.053033.png" TargetMode="External"/><Relationship Id="rId2214" Type="http://schemas.openxmlformats.org/officeDocument/2006/relationships/hyperlink" Target="https://ryycrdhlkmzpxwwwwupy.supabase.co/storage/v1/object/public/old_media/0c9f922c.Path.105144.jpg" TargetMode="External"/><Relationship Id="rId3546" Type="http://schemas.openxmlformats.org/officeDocument/2006/relationships/hyperlink" Target="https://ryycrdhlkmzpxwwwwupy.supabase.co/storage/v1/object/public/old_media/8404ec31.Path.061236.jpg" TargetMode="External"/><Relationship Id="rId4877" Type="http://schemas.openxmlformats.org/officeDocument/2006/relationships/hyperlink" Target="https://ryycrdhlkmzpxwwwwupy.supabase.co/storage/v1/object/public/old_media/b58c4cba.Path.074222.jpg" TargetMode="External"/><Relationship Id="rId2215" Type="http://schemas.openxmlformats.org/officeDocument/2006/relationships/hyperlink" Target="https://ryycrdhlkmzpxwwwwupy.supabase.co/storage/v1/object/public/old_media/fc88a621.Path.105158.jpg" TargetMode="External"/><Relationship Id="rId3545" Type="http://schemas.openxmlformats.org/officeDocument/2006/relationships/hyperlink" Target="https://ryycrdhlkmzpxwwwwupy.supabase.co/storage/v1/object/public/old_media/58b3e6eb.Path.075606.jpg" TargetMode="External"/><Relationship Id="rId4876" Type="http://schemas.openxmlformats.org/officeDocument/2006/relationships/hyperlink" Target="https://ryycrdhlkmzpxwwwwupy.supabase.co/storage/v1/object/public/old_media/1befea7c.Path.070453.jpg" TargetMode="External"/><Relationship Id="rId2216" Type="http://schemas.openxmlformats.org/officeDocument/2006/relationships/hyperlink" Target="https://ryycrdhlkmzpxwwwwupy.supabase.co/storage/v1/object/public/old_media/bbcdbc17.Path.105703.jpg" TargetMode="External"/><Relationship Id="rId3548" Type="http://schemas.openxmlformats.org/officeDocument/2006/relationships/hyperlink" Target="https://ryycrdhlkmzpxwwwwupy.supabase.co/storage/v1/object/public/old_media/e18f2feb.Path.054530.webp" TargetMode="External"/><Relationship Id="rId4879" Type="http://schemas.openxmlformats.org/officeDocument/2006/relationships/hyperlink" Target="https://ryycrdhlkmzpxwwwwupy.supabase.co/storage/v1/object/public/old_media/e4e00ce1.Path.075138.jpg" TargetMode="External"/><Relationship Id="rId2217" Type="http://schemas.openxmlformats.org/officeDocument/2006/relationships/hyperlink" Target="https://ryycrdhlkmzpxwwwwupy.supabase.co/storage/v1/object/public/old_media/7a2305ac.Path.105728.jpg" TargetMode="External"/><Relationship Id="rId3547" Type="http://schemas.openxmlformats.org/officeDocument/2006/relationships/hyperlink" Target="https://ryycrdhlkmzpxwwwwupy.supabase.co/storage/v1/object/public/old_media/48478641.Path.054448.jpg" TargetMode="External"/><Relationship Id="rId4878" Type="http://schemas.openxmlformats.org/officeDocument/2006/relationships/hyperlink" Target="https://ryycrdhlkmzpxwwwwupy.supabase.co/storage/v1/object/public/old_media/1345f0f8.Path.075104.jpg" TargetMode="External"/><Relationship Id="rId2218" Type="http://schemas.openxmlformats.org/officeDocument/2006/relationships/hyperlink" Target="https://ryycrdhlkmzpxwwwwupy.supabase.co/storage/v1/object/public/old_media/1e70d898.Path.105749.jpg" TargetMode="External"/><Relationship Id="rId2219" Type="http://schemas.openxmlformats.org/officeDocument/2006/relationships/hyperlink" Target="https://ryycrdhlkmzpxwwwwupy.supabase.co/storage/v1/object/public/old_media/66d7396b.Path.105759.jpg" TargetMode="External"/><Relationship Id="rId3549" Type="http://schemas.openxmlformats.org/officeDocument/2006/relationships/hyperlink" Target="https://ryycrdhlkmzpxwwwwupy.supabase.co/storage/v1/object/public/old_media/9a458868.Path.054638.jpg" TargetMode="External"/><Relationship Id="rId3540" Type="http://schemas.openxmlformats.org/officeDocument/2006/relationships/hyperlink" Target="https://ryycrdhlkmzpxwwwwupy.supabase.co/storage/v1/object/public/old_media/96658d51.Path.070451.webp" TargetMode="External"/><Relationship Id="rId4871" Type="http://schemas.openxmlformats.org/officeDocument/2006/relationships/hyperlink" Target="https://ryycrdhlkmzpxwwwwupy.supabase.co/storage/v1/object/public/old_media/9db9a3b5.Path.045453.jpg" TargetMode="External"/><Relationship Id="rId4870" Type="http://schemas.openxmlformats.org/officeDocument/2006/relationships/hyperlink" Target="https://ryycrdhlkmzpxwwwwupy.supabase.co/storage/v1/object/public/old_media/445f74c4.Path.045423.jpg" TargetMode="External"/><Relationship Id="rId2210" Type="http://schemas.openxmlformats.org/officeDocument/2006/relationships/hyperlink" Target="https://ryycrdhlkmzpxwwwwupy.supabase.co/storage/v1/object/public/old_media/bda64f33.Path.105100.jpg" TargetMode="External"/><Relationship Id="rId3542" Type="http://schemas.openxmlformats.org/officeDocument/2006/relationships/hyperlink" Target="https://ryycrdhlkmzpxwwwwupy.supabase.co/storage/v1/object/public/old_media/c900774a.Path.070641.webp" TargetMode="External"/><Relationship Id="rId4873" Type="http://schemas.openxmlformats.org/officeDocument/2006/relationships/hyperlink" Target="https://ryycrdhlkmzpxwwwwupy.supabase.co/storage/v1/object/public/old_media/a14a4e0d.Path.045555.jpg" TargetMode="External"/><Relationship Id="rId2211" Type="http://schemas.openxmlformats.org/officeDocument/2006/relationships/hyperlink" Target="https://ryycrdhlkmzpxwwwwupy.supabase.co/storage/v1/object/public/old_media/b6d0ee79.Path.105110.jpg" TargetMode="External"/><Relationship Id="rId3541" Type="http://schemas.openxmlformats.org/officeDocument/2006/relationships/hyperlink" Target="https://ryycrdhlkmzpxwwwwupy.supabase.co/storage/v1/object/public/old_media/292ba859.Path.070608.webp" TargetMode="External"/><Relationship Id="rId4872" Type="http://schemas.openxmlformats.org/officeDocument/2006/relationships/hyperlink" Target="https://ryycrdhlkmzpxwwwwupy.supabase.co/storage/v1/object/public/old_media/a406b8cd.Path.045525.jpg" TargetMode="External"/><Relationship Id="rId2212" Type="http://schemas.openxmlformats.org/officeDocument/2006/relationships/hyperlink" Target="https://ryycrdhlkmzpxwwwwupy.supabase.co/storage/v1/object/public/old_media/4b3287fc.Path.105124.jpg" TargetMode="External"/><Relationship Id="rId3544" Type="http://schemas.openxmlformats.org/officeDocument/2006/relationships/hyperlink" Target="https://ryycrdhlkmzpxwwwwupy.supabase.co/storage/v1/object/public/old_media/9e7ef852.Path.071149.jpg" TargetMode="External"/><Relationship Id="rId4875" Type="http://schemas.openxmlformats.org/officeDocument/2006/relationships/hyperlink" Target="https://ryycrdhlkmzpxwwwwupy.supabase.co/storage/v1/object/public/old_media/f329143c.Path.063251.jpg" TargetMode="External"/><Relationship Id="rId2213" Type="http://schemas.openxmlformats.org/officeDocument/2006/relationships/hyperlink" Target="https://ryycrdhlkmzpxwwwwupy.supabase.co/storage/v1/object/public/old_media/9a89a458.Path.105134.jpg" TargetMode="External"/><Relationship Id="rId3543" Type="http://schemas.openxmlformats.org/officeDocument/2006/relationships/hyperlink" Target="https://ryycrdhlkmzpxwwwwupy.supabase.co/storage/v1/object/public/old_media/b0c45626.Path.071016.webp" TargetMode="External"/><Relationship Id="rId4874" Type="http://schemas.openxmlformats.org/officeDocument/2006/relationships/hyperlink" Target="https://ryycrdhlkmzpxwwwwupy.supabase.co/storage/v1/object/public/old_media/6cd5c240.Path.045633.jpg" TargetMode="External"/><Relationship Id="rId2247" Type="http://schemas.openxmlformats.org/officeDocument/2006/relationships/hyperlink" Target="https://ryycrdhlkmzpxwwwwupy.supabase.co/storage/v1/object/public/old_media/d5b3aae8.Path.051005.jpg" TargetMode="External"/><Relationship Id="rId3579" Type="http://schemas.openxmlformats.org/officeDocument/2006/relationships/hyperlink" Target="https://ryycrdhlkmzpxwwwwupy.supabase.co/storage/v1/object/public/old_media/7122f2f2.Path.101431.jpg" TargetMode="External"/><Relationship Id="rId2248" Type="http://schemas.openxmlformats.org/officeDocument/2006/relationships/hyperlink" Target="https://ryycrdhlkmzpxwwwwupy.supabase.co/storage/v1/object/public/old_media/f39f390d.Path.051040.jpg" TargetMode="External"/><Relationship Id="rId3578" Type="http://schemas.openxmlformats.org/officeDocument/2006/relationships/hyperlink" Target="https://ryycrdhlkmzpxwwwwupy.supabase.co/storage/v1/object/public/old_media/5a8829a0.Path.100129.jpg" TargetMode="External"/><Relationship Id="rId2249" Type="http://schemas.openxmlformats.org/officeDocument/2006/relationships/hyperlink" Target="https://ryycrdhlkmzpxwwwwupy.supabase.co/storage/v1/object/public/old_media/faa92b08.Path.060428.jpg" TargetMode="External"/><Relationship Id="rId327" Type="http://schemas.openxmlformats.org/officeDocument/2006/relationships/hyperlink" Target="https://ryycrdhlkmzpxwwwwupy.supabase.co/storage/v1/object/public/old_media/0859b4ea.Path.104227.jpg" TargetMode="External"/><Relationship Id="rId326" Type="http://schemas.openxmlformats.org/officeDocument/2006/relationships/hyperlink" Target="https://ryycrdhlkmzpxwwwwupy.supabase.co/storage/v1/object/public/old_media/5e664ca5.Path.104211.jpg" TargetMode="External"/><Relationship Id="rId325" Type="http://schemas.openxmlformats.org/officeDocument/2006/relationships/hyperlink" Target="https://ryycrdhlkmzpxwwwwupy.supabase.co/storage/v1/object/public/old_media/22d31bf0.Path.104150.jpg" TargetMode="External"/><Relationship Id="rId324" Type="http://schemas.openxmlformats.org/officeDocument/2006/relationships/hyperlink" Target="https://ryycrdhlkmzpxwwwwupy.supabase.co/storage/v1/object/public/old_media/b9055315.Path.104131.jpg" TargetMode="External"/><Relationship Id="rId329" Type="http://schemas.openxmlformats.org/officeDocument/2006/relationships/hyperlink" Target="https://ryycrdhlkmzpxwwwwupy.supabase.co/storage/v1/object/public/old_media/12f61f27.Path.104304.jpg" TargetMode="External"/><Relationship Id="rId328" Type="http://schemas.openxmlformats.org/officeDocument/2006/relationships/hyperlink" Target="https://ryycrdhlkmzpxwwwwupy.supabase.co/storage/v1/object/public/old_media/5d444d3f.Path.104251.jpg" TargetMode="External"/><Relationship Id="rId3571" Type="http://schemas.openxmlformats.org/officeDocument/2006/relationships/hyperlink" Target="https://ryycrdhlkmzpxwwwwupy.supabase.co/storage/v1/object/public/old_media/1baf7875.Path.062722.webp" TargetMode="External"/><Relationship Id="rId2240" Type="http://schemas.openxmlformats.org/officeDocument/2006/relationships/hyperlink" Target="https://ryycrdhlkmzpxwwwwupy.supabase.co/storage/v1/object/public/old_media/f2225bdc.Path.075347.webp" TargetMode="External"/><Relationship Id="rId3570" Type="http://schemas.openxmlformats.org/officeDocument/2006/relationships/hyperlink" Target="https://ryycrdhlkmzpxwwwwupy.supabase.co/storage/v1/object/public/old_media/1cead37a.Path.062652.jpg" TargetMode="External"/><Relationship Id="rId2241" Type="http://schemas.openxmlformats.org/officeDocument/2006/relationships/hyperlink" Target="https://ryycrdhlkmzpxwwwwupy.supabase.co/storage/v1/object/public/old_media/f5834016.Path.075400.webp" TargetMode="External"/><Relationship Id="rId3573" Type="http://schemas.openxmlformats.org/officeDocument/2006/relationships/hyperlink" Target="https://ryycrdhlkmzpxwwwwupy.supabase.co/storage/v1/object/public/old_media/4cfd3a73.Path.062813.jpg" TargetMode="External"/><Relationship Id="rId2242" Type="http://schemas.openxmlformats.org/officeDocument/2006/relationships/hyperlink" Target="https://ryycrdhlkmzpxwwwwupy.supabase.co/storage/v1/object/public/old_media/abd8ae1c.Path.075412.webp" TargetMode="External"/><Relationship Id="rId3572" Type="http://schemas.openxmlformats.org/officeDocument/2006/relationships/hyperlink" Target="https://ryycrdhlkmzpxwwwwupy.supabase.co/storage/v1/object/public/old_media/3a724ab2.Path.062747.webp" TargetMode="External"/><Relationship Id="rId323" Type="http://schemas.openxmlformats.org/officeDocument/2006/relationships/hyperlink" Target="https://ryycrdhlkmzpxwwwwupy.supabase.co/storage/v1/object/public/old_media/9179ed53.Path.104056.jpg" TargetMode="External"/><Relationship Id="rId2243" Type="http://schemas.openxmlformats.org/officeDocument/2006/relationships/hyperlink" Target="https://ryycrdhlkmzpxwwwwupy.supabase.co/storage/v1/object/public/old_media/1fbf0446.Path.050850.jpg" TargetMode="External"/><Relationship Id="rId3575" Type="http://schemas.openxmlformats.org/officeDocument/2006/relationships/hyperlink" Target="https://ryycrdhlkmzpxwwwwupy.supabase.co/storage/v1/object/public/old_media/27ce33a4.Path.113416.jpg" TargetMode="External"/><Relationship Id="rId322" Type="http://schemas.openxmlformats.org/officeDocument/2006/relationships/hyperlink" Target="https://ryycrdhlkmzpxwwwwupy.supabase.co/storage/v1/object/public/old_media/1a6dd972.Path.064742.jpg" TargetMode="External"/><Relationship Id="rId2244" Type="http://schemas.openxmlformats.org/officeDocument/2006/relationships/hyperlink" Target="https://ryycrdhlkmzpxwwwwupy.supabase.co/storage/v1/object/public/old_media/932665c7.Path.050906.jpg" TargetMode="External"/><Relationship Id="rId3574" Type="http://schemas.openxmlformats.org/officeDocument/2006/relationships/hyperlink" Target="https://ryycrdhlkmzpxwwwwupy.supabase.co/storage/v1/object/public/old_media/72faab2f.Path.062838.webp" TargetMode="External"/><Relationship Id="rId321" Type="http://schemas.openxmlformats.org/officeDocument/2006/relationships/hyperlink" Target="https://ryycrdhlkmzpxwwwwupy.supabase.co/storage/v1/object/public/old_media/32caeb5c.Path.064645.jpg" TargetMode="External"/><Relationship Id="rId2245" Type="http://schemas.openxmlformats.org/officeDocument/2006/relationships/hyperlink" Target="https://ryycrdhlkmzpxwwwwupy.supabase.co/storage/v1/object/public/old_media/4dfa9306.Path.050928.jpg" TargetMode="External"/><Relationship Id="rId3577" Type="http://schemas.openxmlformats.org/officeDocument/2006/relationships/hyperlink" Target="https://ryycrdhlkmzpxwwwwupy.supabase.co/storage/v1/object/public/old_media/f11f2ccf.Path.073919.jpg" TargetMode="External"/><Relationship Id="rId320" Type="http://schemas.openxmlformats.org/officeDocument/2006/relationships/hyperlink" Target="https://ryycrdhlkmzpxwwwwupy.supabase.co/storage/v1/object/public/old_media/cdf4c1bf.Path.064630.jpg" TargetMode="External"/><Relationship Id="rId2246" Type="http://schemas.openxmlformats.org/officeDocument/2006/relationships/hyperlink" Target="https://ryycrdhlkmzpxwwwwupy.supabase.co/storage/v1/object/public/old_media/ac0e50b0.Path.050945.jpg" TargetMode="External"/><Relationship Id="rId3576" Type="http://schemas.openxmlformats.org/officeDocument/2006/relationships/hyperlink" Target="https://ryycrdhlkmzpxwwwwupy.supabase.co/storage/v1/object/public/old_media/d3593e0d.Path.062440.jpg" TargetMode="External"/><Relationship Id="rId2236" Type="http://schemas.openxmlformats.org/officeDocument/2006/relationships/hyperlink" Target="https://ryycrdhlkmzpxwwwwupy.supabase.co/storage/v1/object/public/old_media/26586dbe.Path.072418.webp" TargetMode="External"/><Relationship Id="rId3568" Type="http://schemas.openxmlformats.org/officeDocument/2006/relationships/hyperlink" Target="https://ryycrdhlkmzpxwwwwupy.supabase.co/storage/v1/object/public/old_media/d653133f.Path.054139.png" TargetMode="External"/><Relationship Id="rId4899" Type="http://schemas.openxmlformats.org/officeDocument/2006/relationships/hyperlink" Target="https://ryycrdhlkmzpxwwwwupy.supabase.co/storage/v1/object/public/old_media/c00161a4.Path.044422.jpg" TargetMode="External"/><Relationship Id="rId2237" Type="http://schemas.openxmlformats.org/officeDocument/2006/relationships/hyperlink" Target="https://ryycrdhlkmzpxwwwwupy.supabase.co/storage/v1/object/public/old_media/bab317f4.Path.072431.webp" TargetMode="External"/><Relationship Id="rId3567" Type="http://schemas.openxmlformats.org/officeDocument/2006/relationships/hyperlink" Target="https://ryycrdhlkmzpxwwwwupy.supabase.co/storage/v1/object/public/old_media/bbdee1c3.Path.054110.jpg" TargetMode="External"/><Relationship Id="rId4898" Type="http://schemas.openxmlformats.org/officeDocument/2006/relationships/hyperlink" Target="https://ryycrdhlkmzpxwwwwupy.supabase.co/storage/v1/object/public/old_media/65dda266.Path.044029.jpg" TargetMode="External"/><Relationship Id="rId2238" Type="http://schemas.openxmlformats.org/officeDocument/2006/relationships/hyperlink" Target="https://ryycrdhlkmzpxwwwwupy.supabase.co/storage/v1/object/public/old_media/6b487de8.Path.072441.webp" TargetMode="External"/><Relationship Id="rId2239" Type="http://schemas.openxmlformats.org/officeDocument/2006/relationships/hyperlink" Target="https://ryycrdhlkmzpxwwwwupy.supabase.co/storage/v1/object/public/old_media/115c67e9.Path.075334.jpg" TargetMode="External"/><Relationship Id="rId3569" Type="http://schemas.openxmlformats.org/officeDocument/2006/relationships/hyperlink" Target="https://ryycrdhlkmzpxwwwwupy.supabase.co/storage/v1/object/public/old_media/5f722673.Path.062623.webp" TargetMode="External"/><Relationship Id="rId316" Type="http://schemas.openxmlformats.org/officeDocument/2006/relationships/hyperlink" Target="https://ryycrdhlkmzpxwwwwupy.supabase.co/storage/v1/object/public/old_media/f401ecf9.Path.073419.jpg" TargetMode="External"/><Relationship Id="rId315" Type="http://schemas.openxmlformats.org/officeDocument/2006/relationships/hyperlink" Target="https://ryycrdhlkmzpxwwwwupy.supabase.co/storage/v1/object/public/old_media/68706ef8.Path.073410.jpg" TargetMode="External"/><Relationship Id="rId314" Type="http://schemas.openxmlformats.org/officeDocument/2006/relationships/hyperlink" Target="https://ryycrdhlkmzpxwwwwupy.supabase.co/storage/v1/object/public/old_media/66d1a3be.Path.073400.jpg" TargetMode="External"/><Relationship Id="rId313" Type="http://schemas.openxmlformats.org/officeDocument/2006/relationships/hyperlink" Target="https://ryycrdhlkmzpxwwwwupy.supabase.co/storage/v1/object/public/old_media/d67878fa.Path.073331.jpg" TargetMode="External"/><Relationship Id="rId319" Type="http://schemas.openxmlformats.org/officeDocument/2006/relationships/hyperlink" Target="https://ryycrdhlkmzpxwwwwupy.supabase.co/storage/v1/object/public/old_media/b090cdd0.Path.064614.jpg" TargetMode="External"/><Relationship Id="rId318" Type="http://schemas.openxmlformats.org/officeDocument/2006/relationships/hyperlink" Target="https://ryycrdhlkmzpxwwwwupy.supabase.co/storage/v1/object/public/old_media/f8cdfc9b.Path.064553.jpg" TargetMode="External"/><Relationship Id="rId317" Type="http://schemas.openxmlformats.org/officeDocument/2006/relationships/hyperlink" Target="https://ryycrdhlkmzpxwwwwupy.supabase.co/storage/v1/object/public/old_media/0d159f30.Path.073441.jpg" TargetMode="External"/><Relationship Id="rId3560" Type="http://schemas.openxmlformats.org/officeDocument/2006/relationships/hyperlink" Target="https://ryycrdhlkmzpxwwwwupy.supabase.co/storage/v1/object/public/old_media/9b0343fe.Path.104255.webp" TargetMode="External"/><Relationship Id="rId4891" Type="http://schemas.openxmlformats.org/officeDocument/2006/relationships/hyperlink" Target="https://ryycrdhlkmzpxwwwwupy.supabase.co/storage/v1/object/public/old_media/71b93bf6.Path.052413.avif" TargetMode="External"/><Relationship Id="rId4890" Type="http://schemas.openxmlformats.org/officeDocument/2006/relationships/hyperlink" Target="https://ryycrdhlkmzpxwwwwupy.supabase.co/storage/v1/object/public/old_media/c583c7ed.Path.052346.avif" TargetMode="External"/><Relationship Id="rId2230" Type="http://schemas.openxmlformats.org/officeDocument/2006/relationships/hyperlink" Target="https://ryycrdhlkmzpxwwwwupy.supabase.co/storage/v1/object/public/old_media/434bdc61.Path.045358.jpg" TargetMode="External"/><Relationship Id="rId3562" Type="http://schemas.openxmlformats.org/officeDocument/2006/relationships/hyperlink" Target="https://ryycrdhlkmzpxwwwwupy.supabase.co/storage/v1/object/public/old_media/093b6723.Path.053825.jpg" TargetMode="External"/><Relationship Id="rId4893" Type="http://schemas.openxmlformats.org/officeDocument/2006/relationships/hyperlink" Target="https://ryycrdhlkmzpxwwwwupy.supabase.co/storage/v1/object/public/old_media/093ad12d.Path.070041.jpg" TargetMode="External"/><Relationship Id="rId2231" Type="http://schemas.openxmlformats.org/officeDocument/2006/relationships/hyperlink" Target="https://ryycrdhlkmzpxwwwwupy.supabase.co/storage/v1/object/public/old_media/245068c3.Path.045833.jpg" TargetMode="External"/><Relationship Id="rId3561" Type="http://schemas.openxmlformats.org/officeDocument/2006/relationships/hyperlink" Target="https://ryycrdhlkmzpxwwwwupy.supabase.co/storage/v1/object/public/old_media/582ab5ac.Path.104319.webp" TargetMode="External"/><Relationship Id="rId4892" Type="http://schemas.openxmlformats.org/officeDocument/2006/relationships/hyperlink" Target="https://ryycrdhlkmzpxwwwwupy.supabase.co/storage/v1/object/public/old_media/6553af24.Path.070003.jpg" TargetMode="External"/><Relationship Id="rId312" Type="http://schemas.openxmlformats.org/officeDocument/2006/relationships/hyperlink" Target="https://ryycrdhlkmzpxwwwwupy.supabase.co/storage/v1/object/public/old_media/e59f0582.Path.073303.jpg" TargetMode="External"/><Relationship Id="rId2232" Type="http://schemas.openxmlformats.org/officeDocument/2006/relationships/hyperlink" Target="https://ryycrdhlkmzpxwwwwupy.supabase.co/storage/v1/object/public/old_media/63fa4079.Path.045906.jpg" TargetMode="External"/><Relationship Id="rId3564" Type="http://schemas.openxmlformats.org/officeDocument/2006/relationships/hyperlink" Target="https://ryycrdhlkmzpxwwwwupy.supabase.co/storage/v1/object/public/old_media/dd6f127d.Path.053933.jpg" TargetMode="External"/><Relationship Id="rId4895" Type="http://schemas.openxmlformats.org/officeDocument/2006/relationships/hyperlink" Target="https://ryycrdhlkmzpxwwwwupy.supabase.co/storage/v1/object/public/old_media/c8b5363d.Path.070155.jpg" TargetMode="External"/><Relationship Id="rId311" Type="http://schemas.openxmlformats.org/officeDocument/2006/relationships/hyperlink" Target="https://ryycrdhlkmzpxwwwwupy.supabase.co/storage/v1/object/public/old_media/d370dfcf.Path.073229.jpg" TargetMode="External"/><Relationship Id="rId2233" Type="http://schemas.openxmlformats.org/officeDocument/2006/relationships/hyperlink" Target="https://ryycrdhlkmzpxwwwwupy.supabase.co/storage/v1/object/public/old_media/e4ef8331.Path.072112.webp" TargetMode="External"/><Relationship Id="rId3563" Type="http://schemas.openxmlformats.org/officeDocument/2006/relationships/hyperlink" Target="https://ryycrdhlkmzpxwwwwupy.supabase.co/storage/v1/object/public/old_media/b9f25fec.Path.053859.jpg" TargetMode="External"/><Relationship Id="rId4894" Type="http://schemas.openxmlformats.org/officeDocument/2006/relationships/hyperlink" Target="https://ryycrdhlkmzpxwwwwupy.supabase.co/storage/v1/object/public/old_media/2832fdc3.Path.070116.jpg" TargetMode="External"/><Relationship Id="rId310" Type="http://schemas.openxmlformats.org/officeDocument/2006/relationships/hyperlink" Target="https://ryycrdhlkmzpxwwwwupy.supabase.co/storage/v1/object/public/old_media/5114c245.Path.073209.jpg" TargetMode="External"/><Relationship Id="rId2234" Type="http://schemas.openxmlformats.org/officeDocument/2006/relationships/hyperlink" Target="https://ryycrdhlkmzpxwwwwupy.supabase.co/storage/v1/object/public/old_media/988f6f5f.Path.072354.webp" TargetMode="External"/><Relationship Id="rId3566" Type="http://schemas.openxmlformats.org/officeDocument/2006/relationships/hyperlink" Target="https://ryycrdhlkmzpxwwwwupy.supabase.co/storage/v1/object/public/old_media/c7e9c4a0.Path.054038.jpg" TargetMode="External"/><Relationship Id="rId4897" Type="http://schemas.openxmlformats.org/officeDocument/2006/relationships/hyperlink" Target="https://ryycrdhlkmzpxwwwwupy.supabase.co/storage/v1/object/public/old_media/eedb9e89.Path.070416.jpg" TargetMode="External"/><Relationship Id="rId2235" Type="http://schemas.openxmlformats.org/officeDocument/2006/relationships/hyperlink" Target="https://ryycrdhlkmzpxwwwwupy.supabase.co/storage/v1/object/public/old_media/12c2a18a.Path.072406.webp" TargetMode="External"/><Relationship Id="rId3565" Type="http://schemas.openxmlformats.org/officeDocument/2006/relationships/hyperlink" Target="https://ryycrdhlkmzpxwwwwupy.supabase.co/storage/v1/object/public/old_media/f697ce76.Path.054005.jpg" TargetMode="External"/><Relationship Id="rId4896" Type="http://schemas.openxmlformats.org/officeDocument/2006/relationships/hyperlink" Target="https://ryycrdhlkmzpxwwwwupy.supabase.co/storage/v1/object/public/old_media/87c8b323.Path.070231.jpg" TargetMode="External"/><Relationship Id="rId4040" Type="http://schemas.openxmlformats.org/officeDocument/2006/relationships/hyperlink" Target="https://ryycrdhlkmzpxwwwwupy.supabase.co/storage/v1/object/public/old_media/a3c5a71c.Path.062211.webp" TargetMode="External"/><Relationship Id="rId4042" Type="http://schemas.openxmlformats.org/officeDocument/2006/relationships/hyperlink" Target="https://ryycrdhlkmzpxwwwwupy.supabase.co/storage/v1/object/public/old_media/27057925.Path.062352.webp" TargetMode="External"/><Relationship Id="rId4041" Type="http://schemas.openxmlformats.org/officeDocument/2006/relationships/hyperlink" Target="https://ryycrdhlkmzpxwwwwupy.supabase.co/storage/v1/object/public/old_media/5cf671a5.Path.062316.webp" TargetMode="External"/><Relationship Id="rId4044" Type="http://schemas.openxmlformats.org/officeDocument/2006/relationships/hyperlink" Target="https://ryycrdhlkmzpxwwwwupy.supabase.co/storage/v1/object/public/old_media/843c2b4f.Path.062452.webp" TargetMode="External"/><Relationship Id="rId4043" Type="http://schemas.openxmlformats.org/officeDocument/2006/relationships/hyperlink" Target="https://ryycrdhlkmzpxwwwwupy.supabase.co/storage/v1/object/public/old_media/f80ea4d0.Path.062425.jpg" TargetMode="External"/><Relationship Id="rId4046" Type="http://schemas.openxmlformats.org/officeDocument/2006/relationships/hyperlink" Target="https://ryycrdhlkmzpxwwwwupy.supabase.co/storage/v1/object/public/old_media/f1e82c8a.Path.062544.webp" TargetMode="External"/><Relationship Id="rId4045" Type="http://schemas.openxmlformats.org/officeDocument/2006/relationships/hyperlink" Target="https://ryycrdhlkmzpxwwwwupy.supabase.co/storage/v1/object/public/old_media/2c54b2b7.Path.062518.webp" TargetMode="External"/><Relationship Id="rId4048" Type="http://schemas.openxmlformats.org/officeDocument/2006/relationships/hyperlink" Target="https://ryycrdhlkmzpxwwwwupy.supabase.co/storage/v1/object/public/old_media/be96a5be.Path.062636.webp" TargetMode="External"/><Relationship Id="rId4047" Type="http://schemas.openxmlformats.org/officeDocument/2006/relationships/hyperlink" Target="https://ryycrdhlkmzpxwwwwupy.supabase.co/storage/v1/object/public/old_media/45d7472f.Path.062609.webp" TargetMode="External"/><Relationship Id="rId4049" Type="http://schemas.openxmlformats.org/officeDocument/2006/relationships/hyperlink" Target="https://ryycrdhlkmzpxwwwwupy.supabase.co/storage/v1/object/public/old_media/14f9ba95.Path.103341.jpg" TargetMode="External"/><Relationship Id="rId4031" Type="http://schemas.openxmlformats.org/officeDocument/2006/relationships/hyperlink" Target="https://ryycrdhlkmzpxwwwwupy.supabase.co/storage/v1/object/public/old_media/fcc68132.Path.091201.jpg" TargetMode="External"/><Relationship Id="rId4030" Type="http://schemas.openxmlformats.org/officeDocument/2006/relationships/hyperlink" Target="https://ryycrdhlkmzpxwwwwupy.supabase.co/storage/v1/object/public/old_media/317bfb4f.Path.091135.jpg" TargetMode="External"/><Relationship Id="rId297" Type="http://schemas.openxmlformats.org/officeDocument/2006/relationships/hyperlink" Target="https://ryycrdhlkmzpxwwwwupy.supabase.co/storage/v1/object/public/old_media/38a36b09.Path.050543.jpg" TargetMode="External"/><Relationship Id="rId4033" Type="http://schemas.openxmlformats.org/officeDocument/2006/relationships/hyperlink" Target="https://ryycrdhlkmzpxwwwwupy.supabase.co/storage/v1/object/public/old_media/da0892b6.Path.091302.png" TargetMode="External"/><Relationship Id="rId296" Type="http://schemas.openxmlformats.org/officeDocument/2006/relationships/hyperlink" Target="https://ryycrdhlkmzpxwwwwupy.supabase.co/storage/v1/object/public/old_media/3cf562af.Path.050524.jpg" TargetMode="External"/><Relationship Id="rId4032" Type="http://schemas.openxmlformats.org/officeDocument/2006/relationships/hyperlink" Target="https://ryycrdhlkmzpxwwwwupy.supabase.co/storage/v1/object/public/old_media/8c4c1e7d.Path.091232.jpg" TargetMode="External"/><Relationship Id="rId295" Type="http://schemas.openxmlformats.org/officeDocument/2006/relationships/hyperlink" Target="https://ryycrdhlkmzpxwwwwupy.supabase.co/storage/v1/object/public/old_media/ad0142fa.Path.050507.jpg" TargetMode="External"/><Relationship Id="rId4035" Type="http://schemas.openxmlformats.org/officeDocument/2006/relationships/hyperlink" Target="https://ryycrdhlkmzpxwwwwupy.supabase.co/storage/v1/object/public/old_media/cf812e73.Path.075538.jpg" TargetMode="External"/><Relationship Id="rId294" Type="http://schemas.openxmlformats.org/officeDocument/2006/relationships/hyperlink" Target="https://ryycrdhlkmzpxwwwwupy.supabase.co/storage/v1/object/public/old_media/46649b97.Path.050443.jpg" TargetMode="External"/><Relationship Id="rId4034" Type="http://schemas.openxmlformats.org/officeDocument/2006/relationships/hyperlink" Target="https://ryycrdhlkmzpxwwwwupy.supabase.co/storage/v1/object/public/old_media/6bf1754f.Path.075509.jpg" TargetMode="External"/><Relationship Id="rId4037" Type="http://schemas.openxmlformats.org/officeDocument/2006/relationships/hyperlink" Target="https://ryycrdhlkmzpxwwwwupy.supabase.co/storage/v1/object/public/old_media/31450a9f.Path.075639.jpg" TargetMode="External"/><Relationship Id="rId4036" Type="http://schemas.openxmlformats.org/officeDocument/2006/relationships/hyperlink" Target="https://ryycrdhlkmzpxwwwwupy.supabase.co/storage/v1/object/public/old_media/b11cceb0.Path.075607.jpg" TargetMode="External"/><Relationship Id="rId299" Type="http://schemas.openxmlformats.org/officeDocument/2006/relationships/hyperlink" Target="https://ryycrdhlkmzpxwwwwupy.supabase.co/storage/v1/object/public/old_media/5d317441.Path.031432.jpg" TargetMode="External"/><Relationship Id="rId4039" Type="http://schemas.openxmlformats.org/officeDocument/2006/relationships/hyperlink" Target="https://ryycrdhlkmzpxwwwwupy.supabase.co/storage/v1/object/public/old_media/dff708cb.Path.110155.jpg" TargetMode="External"/><Relationship Id="rId298" Type="http://schemas.openxmlformats.org/officeDocument/2006/relationships/hyperlink" Target="https://ryycrdhlkmzpxwwwwupy.supabase.co/storage/v1/object/public/old_media/78e1e6e6.Path.031423.jpg" TargetMode="External"/><Relationship Id="rId4038" Type="http://schemas.openxmlformats.org/officeDocument/2006/relationships/hyperlink" Target="https://ryycrdhlkmzpxwwwwupy.supabase.co/storage/v1/object/public/old_media/c661b820.Path.093446.jpg" TargetMode="External"/><Relationship Id="rId4060" Type="http://schemas.openxmlformats.org/officeDocument/2006/relationships/hyperlink" Target="https://ryycrdhlkmzpxwwwwupy.supabase.co/storage/v1/object/public/old_media/5639febd.Path.110229.jpg" TargetMode="External"/><Relationship Id="rId4062" Type="http://schemas.openxmlformats.org/officeDocument/2006/relationships/hyperlink" Target="https://ryycrdhlkmzpxwwwwupy.supabase.co/storage/v1/object/public/old_media/c512d8dd.Path.110326.jpg" TargetMode="External"/><Relationship Id="rId4061" Type="http://schemas.openxmlformats.org/officeDocument/2006/relationships/hyperlink" Target="https://ryycrdhlkmzpxwwwwupy.supabase.co/storage/v1/object/public/old_media/37224825.Path.110259.jpg" TargetMode="External"/><Relationship Id="rId4064" Type="http://schemas.openxmlformats.org/officeDocument/2006/relationships/hyperlink" Target="https://ryycrdhlkmzpxwwwwupy.supabase.co/storage/v1/object/public/old_media/61a9a8bf.Path.110444.jpg" TargetMode="External"/><Relationship Id="rId4063" Type="http://schemas.openxmlformats.org/officeDocument/2006/relationships/hyperlink" Target="https://ryycrdhlkmzpxwwwwupy.supabase.co/storage/v1/object/public/old_media/fdb064e9.Path.110413.jpg" TargetMode="External"/><Relationship Id="rId4066" Type="http://schemas.openxmlformats.org/officeDocument/2006/relationships/hyperlink" Target="https://ryycrdhlkmzpxwwwwupy.supabase.co/storage/v1/object/public/old_media/669049c2.Path.111748.webp" TargetMode="External"/><Relationship Id="rId4065" Type="http://schemas.openxmlformats.org/officeDocument/2006/relationships/hyperlink" Target="https://ryycrdhlkmzpxwwwwupy.supabase.co/storage/v1/object/public/old_media/9d33cdf4.Path.111614.webp" TargetMode="External"/><Relationship Id="rId4068" Type="http://schemas.openxmlformats.org/officeDocument/2006/relationships/hyperlink" Target="https://ryycrdhlkmzpxwwwwupy.supabase.co/storage/v1/object/public/old_media/2fea406c.Path.111847.webp" TargetMode="External"/><Relationship Id="rId4067" Type="http://schemas.openxmlformats.org/officeDocument/2006/relationships/hyperlink" Target="https://ryycrdhlkmzpxwwwwupy.supabase.co/storage/v1/object/public/old_media/8128247b.Path.111814.webp" TargetMode="External"/><Relationship Id="rId4069" Type="http://schemas.openxmlformats.org/officeDocument/2006/relationships/hyperlink" Target="https://ryycrdhlkmzpxwwwwupy.supabase.co/storage/v1/object/public/old_media/be2a9d5c.Path.111914.webp" TargetMode="External"/><Relationship Id="rId4051" Type="http://schemas.openxmlformats.org/officeDocument/2006/relationships/hyperlink" Target="https://ryycrdhlkmzpxwwwwupy.supabase.co/storage/v1/object/public/old_media/8741af43.Path.103452.jpg" TargetMode="External"/><Relationship Id="rId4050" Type="http://schemas.openxmlformats.org/officeDocument/2006/relationships/hyperlink" Target="https://ryycrdhlkmzpxwwwwupy.supabase.co/storage/v1/object/public/old_media/95762eee.Path.103414.jpg" TargetMode="External"/><Relationship Id="rId4053" Type="http://schemas.openxmlformats.org/officeDocument/2006/relationships/hyperlink" Target="https://ryycrdhlkmzpxwwwwupy.supabase.co/storage/v1/object/public/old_media/fa81302b.Path.103618.jpg" TargetMode="External"/><Relationship Id="rId4052" Type="http://schemas.openxmlformats.org/officeDocument/2006/relationships/hyperlink" Target="https://ryycrdhlkmzpxwwwwupy.supabase.co/storage/v1/object/public/old_media/e96adffe.Path.103524.jpg" TargetMode="External"/><Relationship Id="rId4055" Type="http://schemas.openxmlformats.org/officeDocument/2006/relationships/hyperlink" Target="https://ryycrdhlkmzpxwwwwupy.supabase.co/storage/v1/object/public/old_media/681a7120.Path.104422.jpg" TargetMode="External"/><Relationship Id="rId4054" Type="http://schemas.openxmlformats.org/officeDocument/2006/relationships/hyperlink" Target="https://ryycrdhlkmzpxwwwwupy.supabase.co/storage/v1/object/public/old_media/49561298.Path.104021.jpg" TargetMode="External"/><Relationship Id="rId4057" Type="http://schemas.openxmlformats.org/officeDocument/2006/relationships/hyperlink" Target="https://ryycrdhlkmzpxwwwwupy.supabase.co/storage/v1/object/public/old_media/6d4bbfab.Path.105321.jpg" TargetMode="External"/><Relationship Id="rId4056" Type="http://schemas.openxmlformats.org/officeDocument/2006/relationships/hyperlink" Target="https://ryycrdhlkmzpxwwwwupy.supabase.co/storage/v1/object/public/old_media/bb4d5d82.Path.104828.jpg" TargetMode="External"/><Relationship Id="rId4059" Type="http://schemas.openxmlformats.org/officeDocument/2006/relationships/hyperlink" Target="https://ryycrdhlkmzpxwwwwupy.supabase.co/storage/v1/object/public/old_media/fac51b44.Path.110201.jpg" TargetMode="External"/><Relationship Id="rId4058" Type="http://schemas.openxmlformats.org/officeDocument/2006/relationships/hyperlink" Target="https://ryycrdhlkmzpxwwwwupy.supabase.co/storage/v1/object/public/old_media/d96a0ed5.Path.105617.jpg" TargetMode="External"/><Relationship Id="rId4008" Type="http://schemas.openxmlformats.org/officeDocument/2006/relationships/hyperlink" Target="https://ryycrdhlkmzpxwwwwupy.supabase.co/storage/v1/object/public/old_media/8013a7ed.Path.075318.jpg" TargetMode="External"/><Relationship Id="rId4007" Type="http://schemas.openxmlformats.org/officeDocument/2006/relationships/hyperlink" Target="https://ryycrdhlkmzpxwwwwupy.supabase.co/storage/v1/object/public/old_media/c1b69e28.Path.074919.jpg" TargetMode="External"/><Relationship Id="rId4009" Type="http://schemas.openxmlformats.org/officeDocument/2006/relationships/hyperlink" Target="https://ryycrdhlkmzpxwwwwupy.supabase.co/storage/v1/object/public/old_media/0943c01f.Path.110704.jpg" TargetMode="External"/><Relationship Id="rId271" Type="http://schemas.openxmlformats.org/officeDocument/2006/relationships/hyperlink" Target="https://ryycrdhlkmzpxwwwwupy.supabase.co/storage/v1/object/public/old_media/d15ccefa.Path.111256.jpg" TargetMode="External"/><Relationship Id="rId270" Type="http://schemas.openxmlformats.org/officeDocument/2006/relationships/hyperlink" Target="https://ryycrdhlkmzpxwwwwupy.supabase.co/storage/v1/object/public/old_media/0bbb5e3a.Path.111247.jpg" TargetMode="External"/><Relationship Id="rId269" Type="http://schemas.openxmlformats.org/officeDocument/2006/relationships/hyperlink" Target="https://ryycrdhlkmzpxwwwwupy.supabase.co/storage/v1/object/public/old_media/8b703283.Path.111230.jpg" TargetMode="External"/><Relationship Id="rId264" Type="http://schemas.openxmlformats.org/officeDocument/2006/relationships/hyperlink" Target="https://ryycrdhlkmzpxwwwwupy.supabase.co/storage/v1/object/public/old_media/d7197c50.Path.103706.jpg" TargetMode="External"/><Relationship Id="rId4000" Type="http://schemas.openxmlformats.org/officeDocument/2006/relationships/hyperlink" Target="https://ryycrdhlkmzpxwwwwupy.supabase.co/storage/v1/object/public/old_media/9b9c38bb.Path.060315.jpg" TargetMode="External"/><Relationship Id="rId263" Type="http://schemas.openxmlformats.org/officeDocument/2006/relationships/hyperlink" Target="https://ryycrdhlkmzpxwwwwupy.supabase.co/storage/v1/object/public/old_media/e51c30bf.Path.103623.jpg" TargetMode="External"/><Relationship Id="rId262" Type="http://schemas.openxmlformats.org/officeDocument/2006/relationships/hyperlink" Target="https://ryycrdhlkmzpxwwwwupy.supabase.co/storage/v1/object/public/old_media/f0a1ddef.Path.103603.jpg" TargetMode="External"/><Relationship Id="rId4002" Type="http://schemas.openxmlformats.org/officeDocument/2006/relationships/hyperlink" Target="https://ryycrdhlkmzpxwwwwupy.supabase.co/storage/v1/object/public/old_media/1b45d4ed.Path.061544.jpg" TargetMode="External"/><Relationship Id="rId261" Type="http://schemas.openxmlformats.org/officeDocument/2006/relationships/hyperlink" Target="https://ryycrdhlkmzpxwwwwupy.supabase.co/storage/v1/object/public/old_media/b4199048.Path.103555.jpg" TargetMode="External"/><Relationship Id="rId4001" Type="http://schemas.openxmlformats.org/officeDocument/2006/relationships/hyperlink" Target="https://ryycrdhlkmzpxwwwwupy.supabase.co/storage/v1/object/public/old_media/11d69a4b.Path.060350.jpg" TargetMode="External"/><Relationship Id="rId268" Type="http://schemas.openxmlformats.org/officeDocument/2006/relationships/hyperlink" Target="https://ryycrdhlkmzpxwwwwupy.supabase.co/storage/v1/object/public/old_media/3bb4f01f.Path.111218.jpg" TargetMode="External"/><Relationship Id="rId4004" Type="http://schemas.openxmlformats.org/officeDocument/2006/relationships/hyperlink" Target="https://ryycrdhlkmzpxwwwwupy.supabase.co/storage/v1/object/public/old_media/589c5406.Path.061825.jpg" TargetMode="External"/><Relationship Id="rId267" Type="http://schemas.openxmlformats.org/officeDocument/2006/relationships/hyperlink" Target="https://ryycrdhlkmzpxwwwwupy.supabase.co/storage/v1/object/public/old_media/c88450e5.Path.111208.jpg" TargetMode="External"/><Relationship Id="rId4003" Type="http://schemas.openxmlformats.org/officeDocument/2006/relationships/hyperlink" Target="https://ryycrdhlkmzpxwwwwupy.supabase.co/storage/v1/object/public/old_media/7c01ff81.Path.061618.jpg" TargetMode="External"/><Relationship Id="rId266" Type="http://schemas.openxmlformats.org/officeDocument/2006/relationships/hyperlink" Target="https://ryycrdhlkmzpxwwwwupy.supabase.co/storage/v1/object/public/old_media/d82c168e.Path.111158.jpg" TargetMode="External"/><Relationship Id="rId4006" Type="http://schemas.openxmlformats.org/officeDocument/2006/relationships/hyperlink" Target="https://ryycrdhlkmzpxwwwwupy.supabase.co/storage/v1/object/public/old_media/8a788402.Path.063613.jpg" TargetMode="External"/><Relationship Id="rId265" Type="http://schemas.openxmlformats.org/officeDocument/2006/relationships/hyperlink" Target="https://ryycrdhlkmzpxwwwwupy.supabase.co/storage/v1/object/public/old_media/2afe3e8c.Path.111137.jpg" TargetMode="External"/><Relationship Id="rId4005" Type="http://schemas.openxmlformats.org/officeDocument/2006/relationships/hyperlink" Target="https://ryycrdhlkmzpxwwwwupy.supabase.co/storage/v1/object/public/old_media/b9340279.Path.063545.jpg" TargetMode="External"/><Relationship Id="rId260" Type="http://schemas.openxmlformats.org/officeDocument/2006/relationships/hyperlink" Target="https://ryycrdhlkmzpxwwwwupy.supabase.co/storage/v1/object/public/old_media/579b8284.Path.103544.jpg" TargetMode="External"/><Relationship Id="rId259" Type="http://schemas.openxmlformats.org/officeDocument/2006/relationships/hyperlink" Target="https://ryycrdhlkmzpxwwwwupy.supabase.co/storage/v1/object/public/old_media/bb9341a0.Path.103536.jpg" TargetMode="External"/><Relationship Id="rId258" Type="http://schemas.openxmlformats.org/officeDocument/2006/relationships/hyperlink" Target="https://ryycrdhlkmzpxwwwwupy.supabase.co/storage/v1/object/public/old_media/b687c859.Path.103508.jpg" TargetMode="External"/><Relationship Id="rId2290" Type="http://schemas.openxmlformats.org/officeDocument/2006/relationships/hyperlink" Target="https://ryycrdhlkmzpxwwwwupy.supabase.co/storage/v1/object/public/old_media/bdd4a3a3.Path.072510.jpg" TargetMode="External"/><Relationship Id="rId2291" Type="http://schemas.openxmlformats.org/officeDocument/2006/relationships/hyperlink" Target="https://ryycrdhlkmzpxwwwwupy.supabase.co/storage/v1/object/public/old_media/95cc97fe.Path.072601.jpg" TargetMode="External"/><Relationship Id="rId2292" Type="http://schemas.openxmlformats.org/officeDocument/2006/relationships/hyperlink" Target="https://ryycrdhlkmzpxwwwwupy.supabase.co/storage/v1/object/public/old_media/0d06aae4.Path.072701.jpg" TargetMode="External"/><Relationship Id="rId2293" Type="http://schemas.openxmlformats.org/officeDocument/2006/relationships/hyperlink" Target="https://ryycrdhlkmzpxwwwwupy.supabase.co/storage/v1/object/public/old_media/37221f6b.Path.072723.jpg" TargetMode="External"/><Relationship Id="rId253" Type="http://schemas.openxmlformats.org/officeDocument/2006/relationships/hyperlink" Target="https://ryycrdhlkmzpxwwwwupy.supabase.co/storage/v1/object/public/old_media/dd0f2939.Path.063224.jpg" TargetMode="External"/><Relationship Id="rId2294" Type="http://schemas.openxmlformats.org/officeDocument/2006/relationships/hyperlink" Target="https://ryycrdhlkmzpxwwwwupy.supabase.co/storage/v1/object/public/old_media/e2974977.Path.072802.jpg" TargetMode="External"/><Relationship Id="rId252" Type="http://schemas.openxmlformats.org/officeDocument/2006/relationships/hyperlink" Target="https://ryycrdhlkmzpxwwwwupy.supabase.co/storage/v1/object/public/old_media/9f0c0ccf.Path.063209.jpg" TargetMode="External"/><Relationship Id="rId2295" Type="http://schemas.openxmlformats.org/officeDocument/2006/relationships/hyperlink" Target="https://ryycrdhlkmzpxwwwwupy.supabase.co/storage/v1/object/public/old_media/24f25c73.Path.072827.jpg" TargetMode="External"/><Relationship Id="rId251" Type="http://schemas.openxmlformats.org/officeDocument/2006/relationships/hyperlink" Target="https://ryycrdhlkmzpxwwwwupy.supabase.co/storage/v1/object/public/old_media/77c8160a.Path.063107.jpg" TargetMode="External"/><Relationship Id="rId2296" Type="http://schemas.openxmlformats.org/officeDocument/2006/relationships/hyperlink" Target="https://ryycrdhlkmzpxwwwwupy.supabase.co/storage/v1/object/public/old_media/cf962d52.Path.072920.jpg" TargetMode="External"/><Relationship Id="rId250" Type="http://schemas.openxmlformats.org/officeDocument/2006/relationships/hyperlink" Target="https://ryycrdhlkmzpxwwwwupy.supabase.co/storage/v1/object/public/old_media/e3699285.Path.063053.jpg" TargetMode="External"/><Relationship Id="rId2297" Type="http://schemas.openxmlformats.org/officeDocument/2006/relationships/hyperlink" Target="https://ryycrdhlkmzpxwwwwupy.supabase.co/storage/v1/object/public/old_media/0329a29b.Path.073034.jpg" TargetMode="External"/><Relationship Id="rId257" Type="http://schemas.openxmlformats.org/officeDocument/2006/relationships/hyperlink" Target="https://ryycrdhlkmzpxwwwwupy.supabase.co/storage/v1/object/public/old_media/9636c3a4.Path.063331.jpg" TargetMode="External"/><Relationship Id="rId2298" Type="http://schemas.openxmlformats.org/officeDocument/2006/relationships/hyperlink" Target="https://ryycrdhlkmzpxwwwwupy.supabase.co/storage/v1/object/public/old_media/61e7caad.Path.073108.jpg" TargetMode="External"/><Relationship Id="rId256" Type="http://schemas.openxmlformats.org/officeDocument/2006/relationships/hyperlink" Target="https://ryycrdhlkmzpxwwwwupy.supabase.co/storage/v1/object/public/old_media/3adab538.Path.063318.jpg" TargetMode="External"/><Relationship Id="rId2299" Type="http://schemas.openxmlformats.org/officeDocument/2006/relationships/hyperlink" Target="https://ryycrdhlkmzpxwwwwupy.supabase.co/storage/v1/object/public/old_media/62a6b081.Path.073130.jpg" TargetMode="External"/><Relationship Id="rId255" Type="http://schemas.openxmlformats.org/officeDocument/2006/relationships/hyperlink" Target="https://ryycrdhlkmzpxwwwwupy.supabase.co/storage/v1/object/public/old_media/a6c24a9e.Path.063307.jpg" TargetMode="External"/><Relationship Id="rId254" Type="http://schemas.openxmlformats.org/officeDocument/2006/relationships/hyperlink" Target="https://ryycrdhlkmzpxwwwwupy.supabase.co/storage/v1/object/public/old_media/c22e0b0a.Path.063252.png" TargetMode="External"/><Relationship Id="rId4029" Type="http://schemas.openxmlformats.org/officeDocument/2006/relationships/hyperlink" Target="https://ryycrdhlkmzpxwwwwupy.supabase.co/storage/v1/object/public/old_media/a0e406a8.Path.091102.jpg" TargetMode="External"/><Relationship Id="rId293" Type="http://schemas.openxmlformats.org/officeDocument/2006/relationships/hyperlink" Target="https://ryycrdhlkmzpxwwwwupy.supabase.co/storage/v1/object/public/old_media/5dbea6e5.Path.050414.jpg" TargetMode="External"/><Relationship Id="rId292" Type="http://schemas.openxmlformats.org/officeDocument/2006/relationships/hyperlink" Target="https://ryycrdhlkmzpxwwwwupy.supabase.co/storage/v1/object/public/old_media/cba7bee3.Path.050407.jpg" TargetMode="External"/><Relationship Id="rId291" Type="http://schemas.openxmlformats.org/officeDocument/2006/relationships/hyperlink" Target="https://ryycrdhlkmzpxwwwwupy.supabase.co/storage/v1/object/public/old_media/22277279.Path.050343.jpg" TargetMode="External"/><Relationship Id="rId290" Type="http://schemas.openxmlformats.org/officeDocument/2006/relationships/hyperlink" Target="https://ryycrdhlkmzpxwwwwupy.supabase.co/storage/v1/object/public/old_media/4b8fd202.Path.071648.jpg" TargetMode="External"/><Relationship Id="rId4020" Type="http://schemas.openxmlformats.org/officeDocument/2006/relationships/hyperlink" Target="https://ryycrdhlkmzpxwwwwupy.supabase.co/storage/v1/object/public/old_media/cf34c0cf.Path.094603.webp" TargetMode="External"/><Relationship Id="rId286" Type="http://schemas.openxmlformats.org/officeDocument/2006/relationships/hyperlink" Target="https://ryycrdhlkmzpxwwwwupy.supabase.co/storage/v1/object/public/old_media/553f1faf.Path.071302.jpg" TargetMode="External"/><Relationship Id="rId4022" Type="http://schemas.openxmlformats.org/officeDocument/2006/relationships/hyperlink" Target="https://ryycrdhlkmzpxwwwwupy.supabase.co/storage/v1/object/public/old_media/ae5d089f.Path.094657.webp" TargetMode="External"/><Relationship Id="rId285" Type="http://schemas.openxmlformats.org/officeDocument/2006/relationships/hyperlink" Target="https://ryycrdhlkmzpxwwwwupy.supabase.co/storage/v1/object/public/old_media/e631c0af.Path.103024.jpg" TargetMode="External"/><Relationship Id="rId4021" Type="http://schemas.openxmlformats.org/officeDocument/2006/relationships/hyperlink" Target="https://ryycrdhlkmzpxwwwwupy.supabase.co/storage/v1/object/public/old_media/5549465f.Path.094630.webp" TargetMode="External"/><Relationship Id="rId284" Type="http://schemas.openxmlformats.org/officeDocument/2006/relationships/hyperlink" Target="https://ryycrdhlkmzpxwwwwupy.supabase.co/storage/v1/object/public/old_media/0945226b.Path.054821.jpg" TargetMode="External"/><Relationship Id="rId4024" Type="http://schemas.openxmlformats.org/officeDocument/2006/relationships/hyperlink" Target="https://ryycrdhlkmzpxwwwwupy.supabase.co/storage/v1/object/public/old_media/48320421.Path.100954.jpg" TargetMode="External"/><Relationship Id="rId283" Type="http://schemas.openxmlformats.org/officeDocument/2006/relationships/hyperlink" Target="https://ryycrdhlkmzpxwwwwupy.supabase.co/storage/v1/object/public/old_media/24ca37e4.Path.054731.jpg" TargetMode="External"/><Relationship Id="rId4023" Type="http://schemas.openxmlformats.org/officeDocument/2006/relationships/hyperlink" Target="https://ryycrdhlkmzpxwwwwupy.supabase.co/storage/v1/object/public/old_media/3781f147.Path.094722.webp" TargetMode="External"/><Relationship Id="rId4026" Type="http://schemas.openxmlformats.org/officeDocument/2006/relationships/hyperlink" Target="https://ryycrdhlkmzpxwwwwupy.supabase.co/storage/v1/object/public/old_media/349d5364.Path.101739.jpg" TargetMode="External"/><Relationship Id="rId289" Type="http://schemas.openxmlformats.org/officeDocument/2006/relationships/hyperlink" Target="https://ryycrdhlkmzpxwwwwupy.supabase.co/storage/v1/object/public/old_media/39c08a37.Path.071557.jpg" TargetMode="External"/><Relationship Id="rId4025" Type="http://schemas.openxmlformats.org/officeDocument/2006/relationships/hyperlink" Target="https://ryycrdhlkmzpxwwwwupy.supabase.co/storage/v1/object/public/old_media/1f72a9d8.Path.101028.jpg" TargetMode="External"/><Relationship Id="rId288" Type="http://schemas.openxmlformats.org/officeDocument/2006/relationships/hyperlink" Target="https://ryycrdhlkmzpxwwwwupy.supabase.co/storage/v1/object/public/old_media/4d841e2a.Path.071505.jpg" TargetMode="External"/><Relationship Id="rId4028" Type="http://schemas.openxmlformats.org/officeDocument/2006/relationships/hyperlink" Target="https://ryycrdhlkmzpxwwwwupy.supabase.co/storage/v1/object/public/old_media/c39e8819.Path.091032.jpg" TargetMode="External"/><Relationship Id="rId287" Type="http://schemas.openxmlformats.org/officeDocument/2006/relationships/hyperlink" Target="https://ryycrdhlkmzpxwwwwupy.supabase.co/storage/v1/object/public/old_media/ccf77784.Path.071401.jpg" TargetMode="External"/><Relationship Id="rId4027" Type="http://schemas.openxmlformats.org/officeDocument/2006/relationships/hyperlink" Target="https://ryycrdhlkmzpxwwwwupy.supabase.co/storage/v1/object/public/old_media/c0b2717f.Path.065342.webp" TargetMode="External"/><Relationship Id="rId4019" Type="http://schemas.openxmlformats.org/officeDocument/2006/relationships/hyperlink" Target="https://ryycrdhlkmzpxwwwwupy.supabase.co/storage/v1/object/public/old_media/67d15be2.Path.094536.webp" TargetMode="External"/><Relationship Id="rId4018" Type="http://schemas.openxmlformats.org/officeDocument/2006/relationships/hyperlink" Target="https://ryycrdhlkmzpxwwwwupy.supabase.co/storage/v1/object/public/old_media/3f9bac47.Path.094509.webp" TargetMode="External"/><Relationship Id="rId282" Type="http://schemas.openxmlformats.org/officeDocument/2006/relationships/hyperlink" Target="https://ryycrdhlkmzpxwwwwupy.supabase.co/storage/v1/object/public/old_media/0b753dba.Path.054721.jpg" TargetMode="External"/><Relationship Id="rId281" Type="http://schemas.openxmlformats.org/officeDocument/2006/relationships/hyperlink" Target="https://ryycrdhlkmzpxwwwwupy.supabase.co/storage/v1/object/public/old_media/809c4bf1.Path.054704.jpg" TargetMode="External"/><Relationship Id="rId280" Type="http://schemas.openxmlformats.org/officeDocument/2006/relationships/hyperlink" Target="https://ryycrdhlkmzpxwwwwupy.supabase.co/storage/v1/object/public/old_media/217f24b2.Path.054557.jpg" TargetMode="External"/><Relationship Id="rId275" Type="http://schemas.openxmlformats.org/officeDocument/2006/relationships/hyperlink" Target="https://ryycrdhlkmzpxwwwwupy.supabase.co/storage/v1/object/public/old_media/861d52dc.Path.120339.png" TargetMode="External"/><Relationship Id="rId4011" Type="http://schemas.openxmlformats.org/officeDocument/2006/relationships/hyperlink" Target="https://ryycrdhlkmzpxwwwwupy.supabase.co/storage/v1/object/public/old_media/98dcde72.Path.110800.jpg" TargetMode="External"/><Relationship Id="rId274" Type="http://schemas.openxmlformats.org/officeDocument/2006/relationships/hyperlink" Target="https://ryycrdhlkmzpxwwwwupy.supabase.co/storage/v1/object/public/old_media/7715607e.Path.120327.png" TargetMode="External"/><Relationship Id="rId4010" Type="http://schemas.openxmlformats.org/officeDocument/2006/relationships/hyperlink" Target="https://ryycrdhlkmzpxwwwwupy.supabase.co/storage/v1/object/public/old_media/77fb3ba6.Path.110733.jpg" TargetMode="External"/><Relationship Id="rId273" Type="http://schemas.openxmlformats.org/officeDocument/2006/relationships/hyperlink" Target="https://ryycrdhlkmzpxwwwwupy.supabase.co/storage/v1/object/public/old_media/2eb59cd9.Path.120315.png" TargetMode="External"/><Relationship Id="rId4013" Type="http://schemas.openxmlformats.org/officeDocument/2006/relationships/hyperlink" Target="https://ryycrdhlkmzpxwwwwupy.supabase.co/storage/v1/object/public/old_media/4fff2cf5.Path.093403.jpg" TargetMode="External"/><Relationship Id="rId272" Type="http://schemas.openxmlformats.org/officeDocument/2006/relationships/hyperlink" Target="https://ryycrdhlkmzpxwwwwupy.supabase.co/storage/v1/object/public/old_media/dd8956c7.Path.111314.jpg" TargetMode="External"/><Relationship Id="rId4012" Type="http://schemas.openxmlformats.org/officeDocument/2006/relationships/hyperlink" Target="https://ryycrdhlkmzpxwwwwupy.supabase.co/storage/v1/object/public/old_media/9c2bab15.Path.110829.jpg" TargetMode="External"/><Relationship Id="rId279" Type="http://schemas.openxmlformats.org/officeDocument/2006/relationships/hyperlink" Target="https://ryycrdhlkmzpxwwwwupy.supabase.co/storage/v1/object/public/old_media/c3df6d14.Path.054527.jpg" TargetMode="External"/><Relationship Id="rId4015" Type="http://schemas.openxmlformats.org/officeDocument/2006/relationships/hyperlink" Target="https://ryycrdhlkmzpxwwwwupy.supabase.co/storage/v1/object/public/old_media/0c853a50.Path.093459.jpg" TargetMode="External"/><Relationship Id="rId278" Type="http://schemas.openxmlformats.org/officeDocument/2006/relationships/hyperlink" Target="https://ryycrdhlkmzpxwwwwupy.supabase.co/storage/v1/object/public/old_media/619c0906.Path.054511.jpg" TargetMode="External"/><Relationship Id="rId4014" Type="http://schemas.openxmlformats.org/officeDocument/2006/relationships/hyperlink" Target="https://ryycrdhlkmzpxwwwwupy.supabase.co/storage/v1/object/public/old_media/d7c09fab.Path.093432.jpg" TargetMode="External"/><Relationship Id="rId277" Type="http://schemas.openxmlformats.org/officeDocument/2006/relationships/hyperlink" Target="https://ryycrdhlkmzpxwwwwupy.supabase.co/storage/v1/object/public/old_media/410d1cb3.Path.054502.jpg" TargetMode="External"/><Relationship Id="rId4017" Type="http://schemas.openxmlformats.org/officeDocument/2006/relationships/hyperlink" Target="https://ryycrdhlkmzpxwwwwupy.supabase.co/storage/v1/object/public/old_media/fde8a768.Path.093552.jpg" TargetMode="External"/><Relationship Id="rId276" Type="http://schemas.openxmlformats.org/officeDocument/2006/relationships/hyperlink" Target="https://ryycrdhlkmzpxwwwwupy.supabase.co/storage/v1/object/public/old_media/9fd01f59.Path.054449.jpg" TargetMode="External"/><Relationship Id="rId4016" Type="http://schemas.openxmlformats.org/officeDocument/2006/relationships/hyperlink" Target="https://ryycrdhlkmzpxwwwwupy.supabase.co/storage/v1/object/public/old_media/f48a3d35.Path.093526.jpg" TargetMode="External"/><Relationship Id="rId1851" Type="http://schemas.openxmlformats.org/officeDocument/2006/relationships/hyperlink" Target="https://ryycrdhlkmzpxwwwwupy.supabase.co/storage/v1/object/public/old_media/290c0bf6.Path.062648.png" TargetMode="External"/><Relationship Id="rId1852" Type="http://schemas.openxmlformats.org/officeDocument/2006/relationships/hyperlink" Target="https://ryycrdhlkmzpxwwwwupy.supabase.co/storage/v1/object/public/old_media/4d16f41b.Path.070559.jpg" TargetMode="External"/><Relationship Id="rId1853" Type="http://schemas.openxmlformats.org/officeDocument/2006/relationships/hyperlink" Target="https://ryycrdhlkmzpxwwwwupy.supabase.co/storage/v1/object/public/old_media/0542e3d0.Path.070608.jpg" TargetMode="External"/><Relationship Id="rId1854" Type="http://schemas.openxmlformats.org/officeDocument/2006/relationships/hyperlink" Target="https://ryycrdhlkmzpxwwwwupy.supabase.co/storage/v1/object/public/old_media/e6e2850f.Path.072759.jpg" TargetMode="External"/><Relationship Id="rId1855" Type="http://schemas.openxmlformats.org/officeDocument/2006/relationships/hyperlink" Target="https://ryycrdhlkmzpxwwwwupy.supabase.co/storage/v1/object/public/old_media/538d1e86.Path.073115.jpg" TargetMode="External"/><Relationship Id="rId1856" Type="http://schemas.openxmlformats.org/officeDocument/2006/relationships/hyperlink" Target="https://ryycrdhlkmzpxwwwwupy.supabase.co/storage/v1/object/public/old_media/bb736057.Path.073124.jpg" TargetMode="External"/><Relationship Id="rId1857" Type="http://schemas.openxmlformats.org/officeDocument/2006/relationships/hyperlink" Target="https://ryycrdhlkmzpxwwwwupy.supabase.co/storage/v1/object/public/old_media/ec236773.Path.073135.jpg" TargetMode="External"/><Relationship Id="rId1858" Type="http://schemas.openxmlformats.org/officeDocument/2006/relationships/hyperlink" Target="https://ryycrdhlkmzpxwwwwupy.supabase.co/storage/v1/object/public/old_media/171d484b.Path.073147.jpg" TargetMode="External"/><Relationship Id="rId1859" Type="http://schemas.openxmlformats.org/officeDocument/2006/relationships/hyperlink" Target="https://ryycrdhlkmzpxwwwwupy.supabase.co/storage/v1/object/public/old_media/46b2fe8d.Path.064920.jpg" TargetMode="External"/><Relationship Id="rId1850" Type="http://schemas.openxmlformats.org/officeDocument/2006/relationships/hyperlink" Target="https://ryycrdhlkmzpxwwwwupy.supabase.co/storage/v1/object/public/old_media/6040d272.Path.044549.jpg" TargetMode="External"/><Relationship Id="rId1840" Type="http://schemas.openxmlformats.org/officeDocument/2006/relationships/hyperlink" Target="https://ryycrdhlkmzpxwwwwupy.supabase.co/storage/v1/object/public/old_media/dfa55be3.Path.071516.jpg" TargetMode="External"/><Relationship Id="rId1841" Type="http://schemas.openxmlformats.org/officeDocument/2006/relationships/hyperlink" Target="https://ryycrdhlkmzpxwwwwupy.supabase.co/storage/v1/object/public/old_media/045a6624.Path.071552.jpg" TargetMode="External"/><Relationship Id="rId1842" Type="http://schemas.openxmlformats.org/officeDocument/2006/relationships/hyperlink" Target="https://ryycrdhlkmzpxwwwwupy.supabase.co/storage/v1/object/public/old_media/db29af97.Path.071623.jpg" TargetMode="External"/><Relationship Id="rId1843" Type="http://schemas.openxmlformats.org/officeDocument/2006/relationships/hyperlink" Target="https://ryycrdhlkmzpxwwwwupy.supabase.co/storage/v1/object/public/old_media/2b13695c.Path.071652.jpg" TargetMode="External"/><Relationship Id="rId1844" Type="http://schemas.openxmlformats.org/officeDocument/2006/relationships/hyperlink" Target="https://ryycrdhlkmzpxwwwwupy.supabase.co/storage/v1/object/public/old_media/a54d928f.Path.071724.jpg" TargetMode="External"/><Relationship Id="rId1845" Type="http://schemas.openxmlformats.org/officeDocument/2006/relationships/hyperlink" Target="https://ryycrdhlkmzpxwwwwupy.supabase.co/storage/v1/object/public/old_media/1c3e94f0.Path.071754.jpg" TargetMode="External"/><Relationship Id="rId1846" Type="http://schemas.openxmlformats.org/officeDocument/2006/relationships/hyperlink" Target="https://ryycrdhlkmzpxwwwwupy.supabase.co/storage/v1/object/public/old_media/59d5efc2.Path.071824.jpg" TargetMode="External"/><Relationship Id="rId1847" Type="http://schemas.openxmlformats.org/officeDocument/2006/relationships/hyperlink" Target="https://ryycrdhlkmzpxwwwwupy.supabase.co/storage/v1/object/public/old_media/9ab863e7.Path.071851.jpg" TargetMode="External"/><Relationship Id="rId1848" Type="http://schemas.openxmlformats.org/officeDocument/2006/relationships/hyperlink" Target="https://ryycrdhlkmzpxwwwwupy.supabase.co/storage/v1/object/public/old_media/3e3e3c1f.Path.044512.jpg" TargetMode="External"/><Relationship Id="rId1849" Type="http://schemas.openxmlformats.org/officeDocument/2006/relationships/hyperlink" Target="https://ryycrdhlkmzpxwwwwupy.supabase.co/storage/v1/object/public/old_media/b498d095.Path.044524.jpg" TargetMode="External"/><Relationship Id="rId1873" Type="http://schemas.openxmlformats.org/officeDocument/2006/relationships/hyperlink" Target="https://ryycrdhlkmzpxwwwwupy.supabase.co/storage/v1/object/public/old_media/2ca27319.Path.074146.jpg" TargetMode="External"/><Relationship Id="rId1874" Type="http://schemas.openxmlformats.org/officeDocument/2006/relationships/hyperlink" Target="https://ryycrdhlkmzpxwwwwupy.supabase.co/storage/v1/object/public/old_media/22e3d20b.Path.074229.jpg" TargetMode="External"/><Relationship Id="rId1875" Type="http://schemas.openxmlformats.org/officeDocument/2006/relationships/hyperlink" Target="https://ryycrdhlkmzpxwwwwupy.supabase.co/storage/v1/object/public/old_media/72f692a6.Path.075609.jpg" TargetMode="External"/><Relationship Id="rId4901" Type="http://schemas.openxmlformats.org/officeDocument/2006/relationships/hyperlink" Target="https://ryycrdhlkmzpxwwwwupy.supabase.co/storage/v1/object/public/old_media/d8352643.Path.044520.jpg" TargetMode="External"/><Relationship Id="rId1876" Type="http://schemas.openxmlformats.org/officeDocument/2006/relationships/hyperlink" Target="https://ryycrdhlkmzpxwwwwupy.supabase.co/storage/v1/object/public/old_media/cee42f20.Path.075626.jpg" TargetMode="External"/><Relationship Id="rId4900" Type="http://schemas.openxmlformats.org/officeDocument/2006/relationships/hyperlink" Target="https://ryycrdhlkmzpxwwwwupy.supabase.co/storage/v1/object/public/old_media/06154d32.Path.044451.jpg" TargetMode="External"/><Relationship Id="rId1877" Type="http://schemas.openxmlformats.org/officeDocument/2006/relationships/hyperlink" Target="https://ryycrdhlkmzpxwwwwupy.supabase.co/storage/v1/object/public/old_media/c3a7d94f.Path.075639.jpg" TargetMode="External"/><Relationship Id="rId4903" Type="http://schemas.openxmlformats.org/officeDocument/2006/relationships/hyperlink" Target="https://ryycrdhlkmzpxwwwwupy.supabase.co/storage/v1/object/public/old_media/54dbbd53.Path.042434.jpg" TargetMode="External"/><Relationship Id="rId1878" Type="http://schemas.openxmlformats.org/officeDocument/2006/relationships/hyperlink" Target="https://ryycrdhlkmzpxwwwwupy.supabase.co/storage/v1/object/public/old_media/c087adac.Path.075720.jpg" TargetMode="External"/><Relationship Id="rId4902" Type="http://schemas.openxmlformats.org/officeDocument/2006/relationships/hyperlink" Target="https://ryycrdhlkmzpxwwwwupy.supabase.co/storage/v1/object/public/old_media/5c9da89e.Path.042402.jpg" TargetMode="External"/><Relationship Id="rId1879" Type="http://schemas.openxmlformats.org/officeDocument/2006/relationships/hyperlink" Target="https://ryycrdhlkmzpxwwwwupy.supabase.co/storage/v1/object/public/old_media/ba5950f4.Path.075738.jpg" TargetMode="External"/><Relationship Id="rId4905" Type="http://schemas.openxmlformats.org/officeDocument/2006/relationships/hyperlink" Target="https://ryycrdhlkmzpxwwwwupy.supabase.co/storage/v1/object/public/old_media/39786704.Path.042536.jpg" TargetMode="External"/><Relationship Id="rId4904" Type="http://schemas.openxmlformats.org/officeDocument/2006/relationships/hyperlink" Target="https://ryycrdhlkmzpxwwwwupy.supabase.co/storage/v1/object/public/old_media/02fe0711.Path.042506.jpg" TargetMode="External"/><Relationship Id="rId4907" Type="http://schemas.openxmlformats.org/officeDocument/2006/relationships/hyperlink" Target="https://ryycrdhlkmzpxwwwwupy.supabase.co/storage/v1/object/public/old_media/57af3d37.Path.035703.jpg" TargetMode="External"/><Relationship Id="rId4906" Type="http://schemas.openxmlformats.org/officeDocument/2006/relationships/hyperlink" Target="https://ryycrdhlkmzpxwwwwupy.supabase.co/storage/v1/object/public/old_media/9c0b1f32.Path.035623.jpg" TargetMode="External"/><Relationship Id="rId4909" Type="http://schemas.openxmlformats.org/officeDocument/2006/relationships/hyperlink" Target="https://ryycrdhlkmzpxwwwwupy.supabase.co/storage/v1/object/public/old_media/4b2916b0.Path.035805.jpg" TargetMode="External"/><Relationship Id="rId4908" Type="http://schemas.openxmlformats.org/officeDocument/2006/relationships/hyperlink" Target="https://ryycrdhlkmzpxwwwwupy.supabase.co/storage/v1/object/public/old_media/917eb8bd.Path.035735.jpg" TargetMode="External"/><Relationship Id="rId1870" Type="http://schemas.openxmlformats.org/officeDocument/2006/relationships/hyperlink" Target="https://ryycrdhlkmzpxwwwwupy.supabase.co/storage/v1/object/public/old_media/b8fb0923.Path.043812.webp" TargetMode="External"/><Relationship Id="rId1871" Type="http://schemas.openxmlformats.org/officeDocument/2006/relationships/hyperlink" Target="https://ryycrdhlkmzpxwwwwupy.supabase.co/storage/v1/object/public/old_media/ce46dede.Path.043845.webp" TargetMode="External"/><Relationship Id="rId1872" Type="http://schemas.openxmlformats.org/officeDocument/2006/relationships/hyperlink" Target="https://ryycrdhlkmzpxwwwwupy.supabase.co/storage/v1/object/public/old_media/3fc2aea2.Path.043858.webp" TargetMode="External"/><Relationship Id="rId1862" Type="http://schemas.openxmlformats.org/officeDocument/2006/relationships/hyperlink" Target="https://ryycrdhlkmzpxwwwwupy.supabase.co/storage/v1/object/public/old_media/76bf3ac7.Path.065019.jpg" TargetMode="External"/><Relationship Id="rId1863" Type="http://schemas.openxmlformats.org/officeDocument/2006/relationships/hyperlink" Target="https://ryycrdhlkmzpxwwwwupy.supabase.co/storage/v1/object/public/old_media/a5ce4e2c.Path.072847.jpg" TargetMode="External"/><Relationship Id="rId1864" Type="http://schemas.openxmlformats.org/officeDocument/2006/relationships/hyperlink" Target="https://ryycrdhlkmzpxwwwwupy.supabase.co/storage/v1/object/public/old_media/b6a8e280.Path.072857.jpg" TargetMode="External"/><Relationship Id="rId1865" Type="http://schemas.openxmlformats.org/officeDocument/2006/relationships/hyperlink" Target="https://ryycrdhlkmzpxwwwwupy.supabase.co/storage/v1/object/public/old_media/17098fd3.Path.072905.jpg" TargetMode="External"/><Relationship Id="rId1866" Type="http://schemas.openxmlformats.org/officeDocument/2006/relationships/hyperlink" Target="https://ryycrdhlkmzpxwwwwupy.supabase.co/storage/v1/object/public/old_media/93cca66d.Path.072916.jpg" TargetMode="External"/><Relationship Id="rId1867" Type="http://schemas.openxmlformats.org/officeDocument/2006/relationships/hyperlink" Target="https://ryycrdhlkmzpxwwwwupy.supabase.co/storage/v1/object/public/old_media/890851c3.Path.043734.webp" TargetMode="External"/><Relationship Id="rId1868" Type="http://schemas.openxmlformats.org/officeDocument/2006/relationships/hyperlink" Target="https://ryycrdhlkmzpxwwwwupy.supabase.co/storage/v1/object/public/old_media/44c88a15.Path.043747.webp" TargetMode="External"/><Relationship Id="rId1869" Type="http://schemas.openxmlformats.org/officeDocument/2006/relationships/hyperlink" Target="https://ryycrdhlkmzpxwwwwupy.supabase.co/storage/v1/object/public/old_media/32144b8f.Path.043801.webp" TargetMode="External"/><Relationship Id="rId1860" Type="http://schemas.openxmlformats.org/officeDocument/2006/relationships/hyperlink" Target="https://ryycrdhlkmzpxwwwwupy.supabase.co/storage/v1/object/public/old_media/919fe07b.Path.064936.jpg" TargetMode="External"/><Relationship Id="rId1861" Type="http://schemas.openxmlformats.org/officeDocument/2006/relationships/hyperlink" Target="https://ryycrdhlkmzpxwwwwupy.supabase.co/storage/v1/object/public/old_media/8c80734c.Path.065003.jpg" TargetMode="External"/><Relationship Id="rId1810" Type="http://schemas.openxmlformats.org/officeDocument/2006/relationships/hyperlink" Target="https://ryycrdhlkmzpxwwwwupy.supabase.co/storage/v1/object/public/old_media/8170391f.Path.111543.jpg" TargetMode="External"/><Relationship Id="rId1811" Type="http://schemas.openxmlformats.org/officeDocument/2006/relationships/hyperlink" Target="https://ryycrdhlkmzpxwwwwupy.supabase.co/storage/v1/object/public/old_media/e41f07f8.Path.111608.jpg" TargetMode="External"/><Relationship Id="rId1812" Type="http://schemas.openxmlformats.org/officeDocument/2006/relationships/hyperlink" Target="https://ryycrdhlkmzpxwwwwupy.supabase.co/storage/v1/object/public/old_media/efe2eac4.Path.111712.jpg" TargetMode="External"/><Relationship Id="rId1813" Type="http://schemas.openxmlformats.org/officeDocument/2006/relationships/hyperlink" Target="https://ryycrdhlkmzpxwwwwupy.supabase.co/storage/v1/object/public/old_media/31fbfebd.Path.111800.jpg" TargetMode="External"/><Relationship Id="rId1814" Type="http://schemas.openxmlformats.org/officeDocument/2006/relationships/hyperlink" Target="https://ryycrdhlkmzpxwwwwupy.supabase.co/storage/v1/object/public/old_media/bf2d5085.Path.111857.jpg" TargetMode="External"/><Relationship Id="rId1815" Type="http://schemas.openxmlformats.org/officeDocument/2006/relationships/hyperlink" Target="https://ryycrdhlkmzpxwwwwupy.supabase.co/storage/v1/object/public/old_media/ee43e698.Path.111931.jpg" TargetMode="External"/><Relationship Id="rId1816" Type="http://schemas.openxmlformats.org/officeDocument/2006/relationships/hyperlink" Target="https://ryycrdhlkmzpxwwwwupy.supabase.co/storage/v1/object/public/old_media/b0557b46.Path.112000.jpg" TargetMode="External"/><Relationship Id="rId1817" Type="http://schemas.openxmlformats.org/officeDocument/2006/relationships/hyperlink" Target="https://ryycrdhlkmzpxwwwwupy.supabase.co/storage/v1/object/public/old_media/f7455732.Path.062913.jpg" TargetMode="External"/><Relationship Id="rId1818" Type="http://schemas.openxmlformats.org/officeDocument/2006/relationships/hyperlink" Target="https://ryycrdhlkmzpxwwwwupy.supabase.co/storage/v1/object/public/old_media/f40b1ec4.Path.062921.jpg" TargetMode="External"/><Relationship Id="rId1819" Type="http://schemas.openxmlformats.org/officeDocument/2006/relationships/hyperlink" Target="https://ryycrdhlkmzpxwwwwupy.supabase.co/storage/v1/object/public/old_media/42ed4672.Path.062929.jpg" TargetMode="External"/><Relationship Id="rId4080" Type="http://schemas.openxmlformats.org/officeDocument/2006/relationships/hyperlink" Target="https://ryycrdhlkmzpxwwwwupy.supabase.co/storage/v1/object/public/old_media/725f9cd0.Path.091832.jpg" TargetMode="External"/><Relationship Id="rId4082" Type="http://schemas.openxmlformats.org/officeDocument/2006/relationships/hyperlink" Target="https://ryycrdhlkmzpxwwwwupy.supabase.co/storage/v1/object/public/old_media/9411c7f0.Path.091928.jpg" TargetMode="External"/><Relationship Id="rId4081" Type="http://schemas.openxmlformats.org/officeDocument/2006/relationships/hyperlink" Target="https://ryycrdhlkmzpxwwwwupy.supabase.co/storage/v1/object/public/old_media/374c7239.Path.091900.jpg" TargetMode="External"/><Relationship Id="rId4084" Type="http://schemas.openxmlformats.org/officeDocument/2006/relationships/hyperlink" Target="https://ryycrdhlkmzpxwwwwupy.supabase.co/storage/v1/object/public/old_media/6fb3baff.Path.111048.jpg" TargetMode="External"/><Relationship Id="rId4083" Type="http://schemas.openxmlformats.org/officeDocument/2006/relationships/hyperlink" Target="https://ryycrdhlkmzpxwwwwupy.supabase.co/storage/v1/object/public/old_media/9759a7a1.Path.111018.jpg" TargetMode="External"/><Relationship Id="rId4086" Type="http://schemas.openxmlformats.org/officeDocument/2006/relationships/hyperlink" Target="https://ryycrdhlkmzpxwwwwupy.supabase.co/storage/v1/object/public/old_media/b6af6d60.Path.111143.jpg" TargetMode="External"/><Relationship Id="rId4085" Type="http://schemas.openxmlformats.org/officeDocument/2006/relationships/hyperlink" Target="https://ryycrdhlkmzpxwwwwupy.supabase.co/storage/v1/object/public/old_media/2f2b4f69.Path.111116.jpg" TargetMode="External"/><Relationship Id="rId4088" Type="http://schemas.openxmlformats.org/officeDocument/2006/relationships/hyperlink" Target="https://ryycrdhlkmzpxwwwwupy.supabase.co/storage/v1/object/public/old_media/82cc790e.Path.111236.jpg" TargetMode="External"/><Relationship Id="rId4087" Type="http://schemas.openxmlformats.org/officeDocument/2006/relationships/hyperlink" Target="https://ryycrdhlkmzpxwwwwupy.supabase.co/storage/v1/object/public/old_media/c7ddb6f3.Path.111209.jpg" TargetMode="External"/><Relationship Id="rId4089" Type="http://schemas.openxmlformats.org/officeDocument/2006/relationships/hyperlink" Target="https://ryycrdhlkmzpxwwwwupy.supabase.co/storage/v1/object/public/old_media/d1e41ce9.Path.111302.jpg" TargetMode="External"/><Relationship Id="rId1800" Type="http://schemas.openxmlformats.org/officeDocument/2006/relationships/hyperlink" Target="https://ryycrdhlkmzpxwwwwupy.supabase.co/storage/v1/object/public/old_media/c9275c1e.Path.111005.jpg" TargetMode="External"/><Relationship Id="rId1801" Type="http://schemas.openxmlformats.org/officeDocument/2006/relationships/hyperlink" Target="https://ryycrdhlkmzpxwwwwupy.supabase.co/storage/v1/object/public/old_media/8d050f8b.Path.111054.jpg" TargetMode="External"/><Relationship Id="rId1802" Type="http://schemas.openxmlformats.org/officeDocument/2006/relationships/hyperlink" Target="https://ryycrdhlkmzpxwwwwupy.supabase.co/storage/v1/object/public/old_media/daa59eaa.Path.111137.jpg" TargetMode="External"/><Relationship Id="rId1803" Type="http://schemas.openxmlformats.org/officeDocument/2006/relationships/hyperlink" Target="https://ryycrdhlkmzpxwwwwupy.supabase.co/storage/v1/object/public/old_media/b5f85f2f.Path.111215.jpg" TargetMode="External"/><Relationship Id="rId1804" Type="http://schemas.openxmlformats.org/officeDocument/2006/relationships/hyperlink" Target="https://ryycrdhlkmzpxwwwwupy.supabase.co/storage/v1/object/public/old_media/0d749cfc.Path.111249.jpg" TargetMode="External"/><Relationship Id="rId1805" Type="http://schemas.openxmlformats.org/officeDocument/2006/relationships/hyperlink" Target="https://ryycrdhlkmzpxwwwwupy.supabase.co/storage/v1/object/public/old_media/c258f293.Path.111317.jpg" TargetMode="External"/><Relationship Id="rId1806" Type="http://schemas.openxmlformats.org/officeDocument/2006/relationships/hyperlink" Target="https://ryycrdhlkmzpxwwwwupy.supabase.co/storage/v1/object/public/old_media/0540556f.Path.111343.jpg" TargetMode="External"/><Relationship Id="rId1807" Type="http://schemas.openxmlformats.org/officeDocument/2006/relationships/hyperlink" Target="https://ryycrdhlkmzpxwwwwupy.supabase.co/storage/v1/object/public/old_media/88e95f9f.Path.111408.jpg" TargetMode="External"/><Relationship Id="rId1808" Type="http://schemas.openxmlformats.org/officeDocument/2006/relationships/hyperlink" Target="https://ryycrdhlkmzpxwwwwupy.supabase.co/storage/v1/object/public/old_media/96bc5506.Path.111458.jpg" TargetMode="External"/><Relationship Id="rId1809" Type="http://schemas.openxmlformats.org/officeDocument/2006/relationships/hyperlink" Target="https://ryycrdhlkmzpxwwwwupy.supabase.co/storage/v1/object/public/old_media/cb4f724c.Path.111519.jpg" TargetMode="External"/><Relationship Id="rId4071" Type="http://schemas.openxmlformats.org/officeDocument/2006/relationships/hyperlink" Target="https://ryycrdhlkmzpxwwwwupy.supabase.co/storage/v1/object/public/old_media/c5e9ae78.Path.112008.jpg" TargetMode="External"/><Relationship Id="rId4070" Type="http://schemas.openxmlformats.org/officeDocument/2006/relationships/hyperlink" Target="https://ryycrdhlkmzpxwwwwupy.supabase.co/storage/v1/object/public/old_media/690ee42e.Path.111941.webp" TargetMode="External"/><Relationship Id="rId4073" Type="http://schemas.openxmlformats.org/officeDocument/2006/relationships/hyperlink" Target="https://ryycrdhlkmzpxwwwwupy.supabase.co/storage/v1/object/public/old_media/18a7ee17.Path.112114.jpg" TargetMode="External"/><Relationship Id="rId4072" Type="http://schemas.openxmlformats.org/officeDocument/2006/relationships/hyperlink" Target="https://ryycrdhlkmzpxwwwwupy.supabase.co/storage/v1/object/public/old_media/d173336f.Path.112034.webp" TargetMode="External"/><Relationship Id="rId4075" Type="http://schemas.openxmlformats.org/officeDocument/2006/relationships/hyperlink" Target="https://ryycrdhlkmzpxwwwwupy.supabase.co/storage/v1/object/public/old_media/b28d31c6.Path.112657.webp" TargetMode="External"/><Relationship Id="rId4074" Type="http://schemas.openxmlformats.org/officeDocument/2006/relationships/hyperlink" Target="https://ryycrdhlkmzpxwwwwupy.supabase.co/storage/v1/object/public/old_media/ab362207.Path.112625.webp" TargetMode="External"/><Relationship Id="rId4077" Type="http://schemas.openxmlformats.org/officeDocument/2006/relationships/hyperlink" Target="https://ryycrdhlkmzpxwwwwupy.supabase.co/storage/v1/object/public/old_media/6ac16ec2.Path.082147.jpg" TargetMode="External"/><Relationship Id="rId4076" Type="http://schemas.openxmlformats.org/officeDocument/2006/relationships/hyperlink" Target="https://ryycrdhlkmzpxwwwwupy.supabase.co/storage/v1/object/public/old_media/daa43f48.Path.112724.webp" TargetMode="External"/><Relationship Id="rId4079" Type="http://schemas.openxmlformats.org/officeDocument/2006/relationships/hyperlink" Target="https://ryycrdhlkmzpxwwwwupy.supabase.co/storage/v1/object/public/old_media/255cb412.Path.091806.jpg" TargetMode="External"/><Relationship Id="rId4078" Type="http://schemas.openxmlformats.org/officeDocument/2006/relationships/hyperlink" Target="https://ryycrdhlkmzpxwwwwupy.supabase.co/storage/v1/object/public/old_media/c892f619.Path.091737.jpg" TargetMode="External"/><Relationship Id="rId1830" Type="http://schemas.openxmlformats.org/officeDocument/2006/relationships/hyperlink" Target="https://ryycrdhlkmzpxwwwwupy.supabase.co/storage/v1/object/public/old_media/a68a15be.Path.063116.jpg" TargetMode="External"/><Relationship Id="rId1831" Type="http://schemas.openxmlformats.org/officeDocument/2006/relationships/hyperlink" Target="https://ryycrdhlkmzpxwwwwupy.supabase.co/storage/v1/object/public/old_media/850e0a3e.Path.063131.jpg" TargetMode="External"/><Relationship Id="rId1832" Type="http://schemas.openxmlformats.org/officeDocument/2006/relationships/hyperlink" Target="https://ryycrdhlkmzpxwwwwupy.supabase.co/storage/v1/object/public/old_media/7fb5adf3.Path.063146.jpg" TargetMode="External"/><Relationship Id="rId1833" Type="http://schemas.openxmlformats.org/officeDocument/2006/relationships/hyperlink" Target="https://ryycrdhlkmzpxwwwwupy.supabase.co/storage/v1/object/public/old_media/de84045d.Path.112346.jpg" TargetMode="External"/><Relationship Id="rId1834" Type="http://schemas.openxmlformats.org/officeDocument/2006/relationships/hyperlink" Target="https://ryycrdhlkmzpxwwwwupy.supabase.co/storage/v1/object/public/old_media/d36e3f4b.Path.112403.jpg" TargetMode="External"/><Relationship Id="rId1835" Type="http://schemas.openxmlformats.org/officeDocument/2006/relationships/hyperlink" Target="https://ryycrdhlkmzpxwwwwupy.supabase.co/storage/v1/object/public/old_media/3abacdce.Path.112417.jpg" TargetMode="External"/><Relationship Id="rId1836" Type="http://schemas.openxmlformats.org/officeDocument/2006/relationships/hyperlink" Target="https://ryycrdhlkmzpxwwwwupy.supabase.co/storage/v1/object/public/old_media/9be6e111.Path.112438.jpg" TargetMode="External"/><Relationship Id="rId1837" Type="http://schemas.openxmlformats.org/officeDocument/2006/relationships/hyperlink" Target="https://ryycrdhlkmzpxwwwwupy.supabase.co/storage/v1/object/public/old_media/9528abf0.Path.071336.jpg" TargetMode="External"/><Relationship Id="rId1838" Type="http://schemas.openxmlformats.org/officeDocument/2006/relationships/hyperlink" Target="https://ryycrdhlkmzpxwwwwupy.supabase.co/storage/v1/object/public/old_media/8b0c5078.Path.071405.jpg" TargetMode="External"/><Relationship Id="rId1839" Type="http://schemas.openxmlformats.org/officeDocument/2006/relationships/hyperlink" Target="https://ryycrdhlkmzpxwwwwupy.supabase.co/storage/v1/object/public/old_media/96befe06.Path.071436.jpg" TargetMode="External"/><Relationship Id="rId1820" Type="http://schemas.openxmlformats.org/officeDocument/2006/relationships/hyperlink" Target="https://ryycrdhlkmzpxwwwwupy.supabase.co/storage/v1/object/public/old_media/d71a95ef.Path.062935.jpg" TargetMode="External"/><Relationship Id="rId1821" Type="http://schemas.openxmlformats.org/officeDocument/2006/relationships/hyperlink" Target="https://ryycrdhlkmzpxwwwwupy.supabase.co/storage/v1/object/public/old_media/2bedcca1.Path.062943.jpg" TargetMode="External"/><Relationship Id="rId1822" Type="http://schemas.openxmlformats.org/officeDocument/2006/relationships/hyperlink" Target="https://ryycrdhlkmzpxwwwwupy.supabase.co/storage/v1/object/public/old_media/15f76633.Path.062952.jpg" TargetMode="External"/><Relationship Id="rId1823" Type="http://schemas.openxmlformats.org/officeDocument/2006/relationships/hyperlink" Target="https://ryycrdhlkmzpxwwwwupy.supabase.co/storage/v1/object/public/old_media/429da9d7.Path.063011.jpg" TargetMode="External"/><Relationship Id="rId1824" Type="http://schemas.openxmlformats.org/officeDocument/2006/relationships/hyperlink" Target="https://ryycrdhlkmzpxwwwwupy.supabase.co/storage/v1/object/public/old_media/e24c5fea.Path.063021.jpg" TargetMode="External"/><Relationship Id="rId1825" Type="http://schemas.openxmlformats.org/officeDocument/2006/relationships/hyperlink" Target="https://ryycrdhlkmzpxwwwwupy.supabase.co/storage/v1/object/public/old_media/38858823.Path.063029.jpg" TargetMode="External"/><Relationship Id="rId1826" Type="http://schemas.openxmlformats.org/officeDocument/2006/relationships/hyperlink" Target="https://ryycrdhlkmzpxwwwwupy.supabase.co/storage/v1/object/public/old_media/7d25a2b5.Path.063037.jpg" TargetMode="External"/><Relationship Id="rId1827" Type="http://schemas.openxmlformats.org/officeDocument/2006/relationships/hyperlink" Target="https://ryycrdhlkmzpxwwwwupy.supabase.co/storage/v1/object/public/old_media/7e6ef1e6.Path.063044.jpg" TargetMode="External"/><Relationship Id="rId1828" Type="http://schemas.openxmlformats.org/officeDocument/2006/relationships/hyperlink" Target="https://ryycrdhlkmzpxwwwwupy.supabase.co/storage/v1/object/public/old_media/0d611cd1.Path.063054.jpg" TargetMode="External"/><Relationship Id="rId1829" Type="http://schemas.openxmlformats.org/officeDocument/2006/relationships/hyperlink" Target="https://ryycrdhlkmzpxwwwwupy.supabase.co/storage/v1/object/public/old_media/e2bb4d67.Path.063107.jpg" TargetMode="External"/><Relationship Id="rId4091" Type="http://schemas.openxmlformats.org/officeDocument/2006/relationships/hyperlink" Target="https://ryycrdhlkmzpxwwwwupy.supabase.co/storage/v1/object/public/old_media/bb5c3180.Path.111354.jpg" TargetMode="External"/><Relationship Id="rId4090" Type="http://schemas.openxmlformats.org/officeDocument/2006/relationships/hyperlink" Target="https://ryycrdhlkmzpxwwwwupy.supabase.co/storage/v1/object/public/old_media/5d9d9087.Path.111327.jpg" TargetMode="External"/><Relationship Id="rId4093" Type="http://schemas.openxmlformats.org/officeDocument/2006/relationships/hyperlink" Target="https://ryycrdhlkmzpxwwwwupy.supabase.co/storage/v1/object/public/old_media/c8e111b6.Path.111454.jpg" TargetMode="External"/><Relationship Id="rId4092" Type="http://schemas.openxmlformats.org/officeDocument/2006/relationships/hyperlink" Target="https://ryycrdhlkmzpxwwwwupy.supabase.co/storage/v1/object/public/old_media/a862797a.Path.111424.jpg" TargetMode="External"/><Relationship Id="rId4095" Type="http://schemas.openxmlformats.org/officeDocument/2006/relationships/hyperlink" Target="https://ryycrdhlkmzpxwwwwupy.supabase.co/storage/v1/object/public/old_media/da51cfdb.Path.111639.jpg" TargetMode="External"/><Relationship Id="rId4094" Type="http://schemas.openxmlformats.org/officeDocument/2006/relationships/hyperlink" Target="https://ryycrdhlkmzpxwwwwupy.supabase.co/storage/v1/object/public/old_media/188601ee.Path.111612.jpg" TargetMode="External"/><Relationship Id="rId4097" Type="http://schemas.openxmlformats.org/officeDocument/2006/relationships/hyperlink" Target="https://ryycrdhlkmzpxwwwwupy.supabase.co/storage/v1/object/public/old_media/fcc04371.Path.044619.jpg" TargetMode="External"/><Relationship Id="rId4096" Type="http://schemas.openxmlformats.org/officeDocument/2006/relationships/hyperlink" Target="https://ryycrdhlkmzpxwwwwupy.supabase.co/storage/v1/object/public/old_media/01ac4274.Path.111706.jpg" TargetMode="External"/><Relationship Id="rId4099" Type="http://schemas.openxmlformats.org/officeDocument/2006/relationships/hyperlink" Target="https://ryycrdhlkmzpxwwwwupy.supabase.co/storage/v1/object/public/old_media/761125a1.Path.044856.jpg" TargetMode="External"/><Relationship Id="rId4098" Type="http://schemas.openxmlformats.org/officeDocument/2006/relationships/hyperlink" Target="https://ryycrdhlkmzpxwwwwupy.supabase.co/storage/v1/object/public/old_media/0cc3051d.Path.044827.jpg" TargetMode="External"/><Relationship Id="rId2302" Type="http://schemas.openxmlformats.org/officeDocument/2006/relationships/hyperlink" Target="https://ryycrdhlkmzpxwwwwupy.supabase.co/storage/v1/object/public/old_media/3b3d6ddc.Path.073251.jpg" TargetMode="External"/><Relationship Id="rId3634" Type="http://schemas.openxmlformats.org/officeDocument/2006/relationships/hyperlink" Target="https://ryycrdhlkmzpxwwwwupy.supabase.co/storage/v1/object/public/old_media/e451dcd3.Path.100201.jpg" TargetMode="External"/><Relationship Id="rId4965" Type="http://schemas.openxmlformats.org/officeDocument/2006/relationships/hyperlink" Target="https://ryycrdhlkmzpxwwwwupy.supabase.co/storage/v1/object/public/old_media/c29cf4df.Path.064025.jpg" TargetMode="External"/><Relationship Id="rId2303" Type="http://schemas.openxmlformats.org/officeDocument/2006/relationships/hyperlink" Target="https://ryycrdhlkmzpxwwwwupy.supabase.co/storage/v1/object/public/old_media/73ba88e8.Path.073314.jpg" TargetMode="External"/><Relationship Id="rId3633" Type="http://schemas.openxmlformats.org/officeDocument/2006/relationships/hyperlink" Target="https://ryycrdhlkmzpxwwwwupy.supabase.co/storage/v1/object/public/old_media/6e0a3726.Path.100119.jpg" TargetMode="External"/><Relationship Id="rId4964" Type="http://schemas.openxmlformats.org/officeDocument/2006/relationships/hyperlink" Target="https://ryycrdhlkmzpxwwwwupy.supabase.co/storage/v1/object/public/old_media/7e6cb6d8.Path.063958.jpg" TargetMode="External"/><Relationship Id="rId2304" Type="http://schemas.openxmlformats.org/officeDocument/2006/relationships/hyperlink" Target="https://ryycrdhlkmzpxwwwwupy.supabase.co/storage/v1/object/public/old_media/8d0b95a5.Path.073344.jpg" TargetMode="External"/><Relationship Id="rId3636" Type="http://schemas.openxmlformats.org/officeDocument/2006/relationships/hyperlink" Target="https://ryycrdhlkmzpxwwwwupy.supabase.co/storage/v1/object/public/old_media/1b792b9c.Path.100650.jpg" TargetMode="External"/><Relationship Id="rId4967" Type="http://schemas.openxmlformats.org/officeDocument/2006/relationships/hyperlink" Target="https://ryycrdhlkmzpxwwwwupy.supabase.co/storage/v1/object/public/old_media/89755e5b.Path.092250.jpg" TargetMode="External"/><Relationship Id="rId2305" Type="http://schemas.openxmlformats.org/officeDocument/2006/relationships/hyperlink" Target="https://ryycrdhlkmzpxwwwwupy.supabase.co/storage/v1/object/public/old_media/4563508a.Path.061737.jpg" TargetMode="External"/><Relationship Id="rId3635" Type="http://schemas.openxmlformats.org/officeDocument/2006/relationships/hyperlink" Target="https://ryycrdhlkmzpxwwwwupy.supabase.co/storage/v1/object/public/old_media/159c1f78.Path.100234.jpg" TargetMode="External"/><Relationship Id="rId4966" Type="http://schemas.openxmlformats.org/officeDocument/2006/relationships/hyperlink" Target="https://ryycrdhlkmzpxwwwwupy.supabase.co/storage/v1/object/public/old_media/43acedeb.Path.064056.jpg" TargetMode="External"/><Relationship Id="rId2306" Type="http://schemas.openxmlformats.org/officeDocument/2006/relationships/hyperlink" Target="https://ryycrdhlkmzpxwwwwupy.supabase.co/storage/v1/object/public/old_media/88a77fe2.Path.061747.jpg" TargetMode="External"/><Relationship Id="rId3638" Type="http://schemas.openxmlformats.org/officeDocument/2006/relationships/hyperlink" Target="https://ryycrdhlkmzpxwwwwupy.supabase.co/storage/v1/object/public/old_media/ded07e5f.Path.105134.jpg" TargetMode="External"/><Relationship Id="rId4969" Type="http://schemas.openxmlformats.org/officeDocument/2006/relationships/hyperlink" Target="https://ryycrdhlkmzpxwwwwupy.supabase.co/storage/v1/object/public/old_media/a67f206a.Path.092347.jpg" TargetMode="External"/><Relationship Id="rId2307" Type="http://schemas.openxmlformats.org/officeDocument/2006/relationships/hyperlink" Target="https://ryycrdhlkmzpxwwwwupy.supabase.co/storage/v1/object/public/old_media/2d33403a.Path.061759.jpg" TargetMode="External"/><Relationship Id="rId3637" Type="http://schemas.openxmlformats.org/officeDocument/2006/relationships/hyperlink" Target="https://ryycrdhlkmzpxwwwwupy.supabase.co/storage/v1/object/public/old_media/a1ab33db.Path.100722.jpg" TargetMode="External"/><Relationship Id="rId4968" Type="http://schemas.openxmlformats.org/officeDocument/2006/relationships/hyperlink" Target="https://ryycrdhlkmzpxwwwwupy.supabase.co/storage/v1/object/public/old_media/6d0365c8.Path.092317.jpg" TargetMode="External"/><Relationship Id="rId2308" Type="http://schemas.openxmlformats.org/officeDocument/2006/relationships/hyperlink" Target="https://ryycrdhlkmzpxwwwwupy.supabase.co/storage/v1/object/public/old_media/9a8253bf.Path.064630.jpg" TargetMode="External"/><Relationship Id="rId2309" Type="http://schemas.openxmlformats.org/officeDocument/2006/relationships/hyperlink" Target="https://ryycrdhlkmzpxwwwwupy.supabase.co/storage/v1/object/public/old_media/25aade70.Path.064646.jpg" TargetMode="External"/><Relationship Id="rId3639" Type="http://schemas.openxmlformats.org/officeDocument/2006/relationships/hyperlink" Target="https://ryycrdhlkmzpxwwwwupy.supabase.co/storage/v1/object/public/old_media/65a23b7b.Path.105211.jpg" TargetMode="External"/><Relationship Id="rId3630" Type="http://schemas.openxmlformats.org/officeDocument/2006/relationships/hyperlink" Target="https://ryycrdhlkmzpxwwwwupy.supabase.co/storage/v1/object/public/old_media/68ac422d.Path.101257.png" TargetMode="External"/><Relationship Id="rId4961" Type="http://schemas.openxmlformats.org/officeDocument/2006/relationships/hyperlink" Target="https://ryycrdhlkmzpxwwwwupy.supabase.co/storage/v1/object/public/old_media/f780ba7c.Path.054642.avif" TargetMode="External"/><Relationship Id="rId4960" Type="http://schemas.openxmlformats.org/officeDocument/2006/relationships/hyperlink" Target="https://ryycrdhlkmzpxwwwwupy.supabase.co/storage/v1/object/public/old_media/c20fba55.Path.054616.avif" TargetMode="External"/><Relationship Id="rId2300" Type="http://schemas.openxmlformats.org/officeDocument/2006/relationships/hyperlink" Target="https://ryycrdhlkmzpxwwwwupy.supabase.co/storage/v1/object/public/old_media/3a235d9d.Path.073200.jpg" TargetMode="External"/><Relationship Id="rId3632" Type="http://schemas.openxmlformats.org/officeDocument/2006/relationships/hyperlink" Target="https://ryycrdhlkmzpxwwwwupy.supabase.co/storage/v1/object/public/old_media/a72dae98.Path.101836.jpg" TargetMode="External"/><Relationship Id="rId4963" Type="http://schemas.openxmlformats.org/officeDocument/2006/relationships/hyperlink" Target="https://ryycrdhlkmzpxwwwwupy.supabase.co/storage/v1/object/public/old_media/b8909f15.Path.054742.jpg" TargetMode="External"/><Relationship Id="rId2301" Type="http://schemas.openxmlformats.org/officeDocument/2006/relationships/hyperlink" Target="https://ryycrdhlkmzpxwwwwupy.supabase.co/storage/v1/object/public/old_media/8677bfa5.Path.073229.jpg" TargetMode="External"/><Relationship Id="rId3631" Type="http://schemas.openxmlformats.org/officeDocument/2006/relationships/hyperlink" Target="https://ryycrdhlkmzpxwwwwupy.supabase.co/storage/v1/object/public/old_media/ac665e2c.Path.101619.jpg" TargetMode="External"/><Relationship Id="rId4962" Type="http://schemas.openxmlformats.org/officeDocument/2006/relationships/hyperlink" Target="https://ryycrdhlkmzpxwwwwupy.supabase.co/storage/v1/object/public/old_media/6d08fde5.Path.054713.avif" TargetMode="External"/><Relationship Id="rId3623" Type="http://schemas.openxmlformats.org/officeDocument/2006/relationships/hyperlink" Target="https://ryycrdhlkmzpxwwwwupy.supabase.co/storage/v1/object/public/old_media/fb9be858.Path.083427.jpg" TargetMode="External"/><Relationship Id="rId4954" Type="http://schemas.openxmlformats.org/officeDocument/2006/relationships/hyperlink" Target="https://ryycrdhlkmzpxwwwwupy.supabase.co/storage/v1/object/public/old_media/c3b8cdfc.Path.044608.avif" TargetMode="External"/><Relationship Id="rId3622" Type="http://schemas.openxmlformats.org/officeDocument/2006/relationships/hyperlink" Target="https://ryycrdhlkmzpxwwwwupy.supabase.co/storage/v1/object/public/old_media/435f490f.Path.083354.webp" TargetMode="External"/><Relationship Id="rId4953" Type="http://schemas.openxmlformats.org/officeDocument/2006/relationships/hyperlink" Target="https://ryycrdhlkmzpxwwwwupy.supabase.co/storage/v1/object/public/old_media/698889b1.Path.044536.avif" TargetMode="External"/><Relationship Id="rId3625" Type="http://schemas.openxmlformats.org/officeDocument/2006/relationships/hyperlink" Target="https://ryycrdhlkmzpxwwwwupy.supabase.co/storage/v1/object/public/old_media/b3a5dd9d.Path.083543.jpg" TargetMode="External"/><Relationship Id="rId4956" Type="http://schemas.openxmlformats.org/officeDocument/2006/relationships/hyperlink" Target="https://ryycrdhlkmzpxwwwwupy.supabase.co/storage/v1/object/public/old_media/ef5ea7ae.Path.094449.jpg" TargetMode="External"/><Relationship Id="rId3624" Type="http://schemas.openxmlformats.org/officeDocument/2006/relationships/hyperlink" Target="https://ryycrdhlkmzpxwwwwupy.supabase.co/storage/v1/object/public/old_media/bb671958.Path.083508.jpg" TargetMode="External"/><Relationship Id="rId4955" Type="http://schemas.openxmlformats.org/officeDocument/2006/relationships/hyperlink" Target="https://ryycrdhlkmzpxwwwwupy.supabase.co/storage/v1/object/public/old_media/89b2641f.Path.044638.avif" TargetMode="External"/><Relationship Id="rId3627" Type="http://schemas.openxmlformats.org/officeDocument/2006/relationships/hyperlink" Target="https://ryycrdhlkmzpxwwwwupy.supabase.co/storage/v1/object/public/old_media/d231a73f.Path.083749.jpg" TargetMode="External"/><Relationship Id="rId4958" Type="http://schemas.openxmlformats.org/officeDocument/2006/relationships/hyperlink" Target="https://ryycrdhlkmzpxwwwwupy.supabase.co/storage/v1/object/public/old_media/230e0e99.Path.054522.avif" TargetMode="External"/><Relationship Id="rId3626" Type="http://schemas.openxmlformats.org/officeDocument/2006/relationships/hyperlink" Target="https://ryycrdhlkmzpxwwwwupy.supabase.co/storage/v1/object/public/old_media/e9a7b2d9.Path.083628.jpg" TargetMode="External"/><Relationship Id="rId4957" Type="http://schemas.openxmlformats.org/officeDocument/2006/relationships/hyperlink" Target="https://ryycrdhlkmzpxwwwwupy.supabase.co/storage/v1/object/public/old_media/a9c95036.Path.054454.avif" TargetMode="External"/><Relationship Id="rId3629" Type="http://schemas.openxmlformats.org/officeDocument/2006/relationships/hyperlink" Target="https://ryycrdhlkmzpxwwwwupy.supabase.co/storage/v1/object/public/old_media/ec35bb68.Path.084108.jpg" TargetMode="External"/><Relationship Id="rId3628" Type="http://schemas.openxmlformats.org/officeDocument/2006/relationships/hyperlink" Target="https://ryycrdhlkmzpxwwwwupy.supabase.co/storage/v1/object/public/old_media/44bdd5b4.Path.083838.jpg" TargetMode="External"/><Relationship Id="rId4959" Type="http://schemas.openxmlformats.org/officeDocument/2006/relationships/hyperlink" Target="https://ryycrdhlkmzpxwwwwupy.supabase.co/storage/v1/object/public/old_media/4cf3922c.Path.054548.avif" TargetMode="External"/><Relationship Id="rId4950" Type="http://schemas.openxmlformats.org/officeDocument/2006/relationships/hyperlink" Target="https://ryycrdhlkmzpxwwwwupy.supabase.co/storage/v1/object/public/old_media/83397783.Path.061519.jpg" TargetMode="External"/><Relationship Id="rId3621" Type="http://schemas.openxmlformats.org/officeDocument/2006/relationships/hyperlink" Target="https://ryycrdhlkmzpxwwwwupy.supabase.co/storage/v1/object/public/old_media/14d23831.Path.083202.jpg" TargetMode="External"/><Relationship Id="rId4952" Type="http://schemas.openxmlformats.org/officeDocument/2006/relationships/hyperlink" Target="https://ryycrdhlkmzpxwwwwupy.supabase.co/storage/v1/object/public/old_media/78f8c9ad.Path.044510.avif" TargetMode="External"/><Relationship Id="rId3620" Type="http://schemas.openxmlformats.org/officeDocument/2006/relationships/hyperlink" Target="https://ryycrdhlkmzpxwwwwupy.supabase.co/storage/v1/object/public/old_media/35951795.Path.083117.jpg" TargetMode="External"/><Relationship Id="rId4951" Type="http://schemas.openxmlformats.org/officeDocument/2006/relationships/hyperlink" Target="https://ryycrdhlkmzpxwwwwupy.supabase.co/storage/v1/object/public/old_media/827065ab.Path.044443.avif" TargetMode="External"/><Relationship Id="rId2324" Type="http://schemas.openxmlformats.org/officeDocument/2006/relationships/hyperlink" Target="https://ryycrdhlkmzpxwwwwupy.supabase.co/storage/v1/object/public/old_media/9d63b699.Path.094507.webp" TargetMode="External"/><Relationship Id="rId3656" Type="http://schemas.openxmlformats.org/officeDocument/2006/relationships/hyperlink" Target="https://ryycrdhlkmzpxwwwwupy.supabase.co/storage/v1/object/public/old_media/d0fc5922.Path.112945.jpg" TargetMode="External"/><Relationship Id="rId4987" Type="http://schemas.openxmlformats.org/officeDocument/2006/relationships/hyperlink" Target="https://ryycrdhlkmzpxwwwwupy.supabase.co/storage/v1/object/public/old_media/ebaaae40.Path.071015.jpg" TargetMode="External"/><Relationship Id="rId2325" Type="http://schemas.openxmlformats.org/officeDocument/2006/relationships/hyperlink" Target="https://ryycrdhlkmzpxwwwwupy.supabase.co/storage/v1/object/public/old_media/73231fea.Path.094519.webp" TargetMode="External"/><Relationship Id="rId3655" Type="http://schemas.openxmlformats.org/officeDocument/2006/relationships/hyperlink" Target="https://ryycrdhlkmzpxwwwwupy.supabase.co/storage/v1/object/public/old_media/66b02744.Path.112856.jpg" TargetMode="External"/><Relationship Id="rId4986" Type="http://schemas.openxmlformats.org/officeDocument/2006/relationships/hyperlink" Target="https://ryycrdhlkmzpxwwwwupy.supabase.co/storage/v1/object/public/old_media/fe496049.Path.070943.jpg" TargetMode="External"/><Relationship Id="rId2326" Type="http://schemas.openxmlformats.org/officeDocument/2006/relationships/hyperlink" Target="https://ryycrdhlkmzpxwwwwupy.supabase.co/storage/v1/object/public/old_media/190cb71d.Path.094529.webp" TargetMode="External"/><Relationship Id="rId3658" Type="http://schemas.openxmlformats.org/officeDocument/2006/relationships/hyperlink" Target="https://ryycrdhlkmzpxwwwwupy.supabase.co/storage/v1/object/public/old_media/9883af41.Path.113112.jpg" TargetMode="External"/><Relationship Id="rId4989" Type="http://schemas.openxmlformats.org/officeDocument/2006/relationships/hyperlink" Target="https://ryycrdhlkmzpxwwwwupy.supabase.co/storage/v1/object/public/old_media/c164c96f.Path.071119.jpg" TargetMode="External"/><Relationship Id="rId2327" Type="http://schemas.openxmlformats.org/officeDocument/2006/relationships/hyperlink" Target="https://ryycrdhlkmzpxwwwwupy.supabase.co/storage/v1/object/public/old_media/679188c3.Path.094540.webp" TargetMode="External"/><Relationship Id="rId3657" Type="http://schemas.openxmlformats.org/officeDocument/2006/relationships/hyperlink" Target="https://ryycrdhlkmzpxwwwwupy.supabase.co/storage/v1/object/public/old_media/cbcce664.Path.113029.jpg" TargetMode="External"/><Relationship Id="rId4988" Type="http://schemas.openxmlformats.org/officeDocument/2006/relationships/hyperlink" Target="https://ryycrdhlkmzpxwwwwupy.supabase.co/storage/v1/object/public/old_media/6e537b28.Path.071049.jpg" TargetMode="External"/><Relationship Id="rId2328" Type="http://schemas.openxmlformats.org/officeDocument/2006/relationships/hyperlink" Target="https://ryycrdhlkmzpxwwwwupy.supabase.co/storage/v1/object/public/old_media/12ea70fc.Path.095211.png" TargetMode="External"/><Relationship Id="rId2329" Type="http://schemas.openxmlformats.org/officeDocument/2006/relationships/hyperlink" Target="https://ryycrdhlkmzpxwwwwupy.supabase.co/storage/v1/object/public/old_media/dad0cb29.Path.051510.jpg" TargetMode="External"/><Relationship Id="rId3659" Type="http://schemas.openxmlformats.org/officeDocument/2006/relationships/hyperlink" Target="https://ryycrdhlkmzpxwwwwupy.supabase.co/storage/v1/object/public/old_media/3dd31ff4.Path.113459.jpg" TargetMode="External"/><Relationship Id="rId3650" Type="http://schemas.openxmlformats.org/officeDocument/2006/relationships/hyperlink" Target="https://ryycrdhlkmzpxwwwwupy.supabase.co/storage/v1/object/public/old_media/b396481f.Path.115714.jpg" TargetMode="External"/><Relationship Id="rId4981" Type="http://schemas.openxmlformats.org/officeDocument/2006/relationships/hyperlink" Target="https://ryycrdhlkmzpxwwwwupy.supabase.co/storage/v1/object/public/old_media/b792e151.Path.052151.jpg" TargetMode="External"/><Relationship Id="rId4980" Type="http://schemas.openxmlformats.org/officeDocument/2006/relationships/hyperlink" Target="https://ryycrdhlkmzpxwwwwupy.supabase.co/storage/v1/object/public/old_media/7c31d6a6.Path.052120.jpg" TargetMode="External"/><Relationship Id="rId2320" Type="http://schemas.openxmlformats.org/officeDocument/2006/relationships/hyperlink" Target="https://ryycrdhlkmzpxwwwwupy.supabase.co/storage/v1/object/public/old_media/bda29e09.Path.074236.jpg" TargetMode="External"/><Relationship Id="rId3652" Type="http://schemas.openxmlformats.org/officeDocument/2006/relationships/hyperlink" Target="https://ryycrdhlkmzpxwwwwupy.supabase.co/storage/v1/object/public/old_media/db1d9859.Path.112651.jpg" TargetMode="External"/><Relationship Id="rId4983" Type="http://schemas.openxmlformats.org/officeDocument/2006/relationships/hyperlink" Target="https://ryycrdhlkmzpxwwwwupy.supabase.co/storage/v1/object/public/old_media/b64ac174.Path.070806.jpg" TargetMode="External"/><Relationship Id="rId2321" Type="http://schemas.openxmlformats.org/officeDocument/2006/relationships/hyperlink" Target="https://ryycrdhlkmzpxwwwwupy.supabase.co/storage/v1/object/public/old_media/cccc7766.Path.094436.webp" TargetMode="External"/><Relationship Id="rId3651" Type="http://schemas.openxmlformats.org/officeDocument/2006/relationships/hyperlink" Target="https://ryycrdhlkmzpxwwwwupy.supabase.co/storage/v1/object/public/old_media/e9a46357.Path.112612.jpg" TargetMode="External"/><Relationship Id="rId4982" Type="http://schemas.openxmlformats.org/officeDocument/2006/relationships/hyperlink" Target="https://ryycrdhlkmzpxwwwwupy.supabase.co/storage/v1/object/public/old_media/b767678f.Path.061732.jpg" TargetMode="External"/><Relationship Id="rId2322" Type="http://schemas.openxmlformats.org/officeDocument/2006/relationships/hyperlink" Target="https://ryycrdhlkmzpxwwwwupy.supabase.co/storage/v1/object/public/old_media/ab25c33e.Path.094445.webp" TargetMode="External"/><Relationship Id="rId3654" Type="http://schemas.openxmlformats.org/officeDocument/2006/relationships/hyperlink" Target="https://ryycrdhlkmzpxwwwwupy.supabase.co/storage/v1/object/public/old_media/0679db56.Path.112811.jpg" TargetMode="External"/><Relationship Id="rId4985" Type="http://schemas.openxmlformats.org/officeDocument/2006/relationships/hyperlink" Target="https://ryycrdhlkmzpxwwwwupy.supabase.co/storage/v1/object/public/old_media/ee1f015a.Path.070911.jpg" TargetMode="External"/><Relationship Id="rId2323" Type="http://schemas.openxmlformats.org/officeDocument/2006/relationships/hyperlink" Target="https://ryycrdhlkmzpxwwwwupy.supabase.co/storage/v1/object/public/old_media/98323204.Path.094456.webp" TargetMode="External"/><Relationship Id="rId3653" Type="http://schemas.openxmlformats.org/officeDocument/2006/relationships/hyperlink" Target="https://ryycrdhlkmzpxwwwwupy.supabase.co/storage/v1/object/public/old_media/2876aa63.Path.112732.jpg" TargetMode="External"/><Relationship Id="rId4984" Type="http://schemas.openxmlformats.org/officeDocument/2006/relationships/hyperlink" Target="https://ryycrdhlkmzpxwwwwupy.supabase.co/storage/v1/object/public/old_media/d25094b1.Path.070839.jpg" TargetMode="External"/><Relationship Id="rId2313" Type="http://schemas.openxmlformats.org/officeDocument/2006/relationships/hyperlink" Target="https://ryycrdhlkmzpxwwwwupy.supabase.co/storage/v1/object/public/old_media/848d764b.Path.064739.jpg" TargetMode="External"/><Relationship Id="rId3645" Type="http://schemas.openxmlformats.org/officeDocument/2006/relationships/hyperlink" Target="https://ryycrdhlkmzpxwwwwupy.supabase.co/storage/v1/object/public/old_media/38e397df.Path.114922.webp" TargetMode="External"/><Relationship Id="rId4976" Type="http://schemas.openxmlformats.org/officeDocument/2006/relationships/hyperlink" Target="https://ryycrdhlkmzpxwwwwupy.supabase.co/storage/v1/object/public/old_media/42081ff7.Path.051918.jpg" TargetMode="External"/><Relationship Id="rId2314" Type="http://schemas.openxmlformats.org/officeDocument/2006/relationships/hyperlink" Target="https://ryycrdhlkmzpxwwwwupy.supabase.co/storage/v1/object/public/old_media/489a648f.Path.074136.jpg" TargetMode="External"/><Relationship Id="rId3644" Type="http://schemas.openxmlformats.org/officeDocument/2006/relationships/hyperlink" Target="https://ryycrdhlkmzpxwwwwupy.supabase.co/storage/v1/object/public/old_media/ea4a7d43.Path.114854.webp" TargetMode="External"/><Relationship Id="rId4975" Type="http://schemas.openxmlformats.org/officeDocument/2006/relationships/hyperlink" Target="https://ryycrdhlkmzpxwwwwupy.supabase.co/storage/v1/object/public/old_media/39e0b1d7.Path.051846.jpg" TargetMode="External"/><Relationship Id="rId2315" Type="http://schemas.openxmlformats.org/officeDocument/2006/relationships/hyperlink" Target="https://ryycrdhlkmzpxwwwwupy.supabase.co/storage/v1/object/public/old_media/9ec66981.Path.074145.jpg" TargetMode="External"/><Relationship Id="rId3647" Type="http://schemas.openxmlformats.org/officeDocument/2006/relationships/hyperlink" Target="https://ryycrdhlkmzpxwwwwupy.supabase.co/storage/v1/object/public/old_media/31392b52.Path.115549.jpg" TargetMode="External"/><Relationship Id="rId4978" Type="http://schemas.openxmlformats.org/officeDocument/2006/relationships/hyperlink" Target="https://ryycrdhlkmzpxwwwwupy.supabase.co/storage/v1/object/public/old_media/f349da49.Path.052018.jpg" TargetMode="External"/><Relationship Id="rId2316" Type="http://schemas.openxmlformats.org/officeDocument/2006/relationships/hyperlink" Target="https://ryycrdhlkmzpxwwwwupy.supabase.co/storage/v1/object/public/old_media/a60c95d3.Path.074156.jpg" TargetMode="External"/><Relationship Id="rId3646" Type="http://schemas.openxmlformats.org/officeDocument/2006/relationships/hyperlink" Target="https://ryycrdhlkmzpxwwwwupy.supabase.co/storage/v1/object/public/old_media/e30fcfc5.Path.114949.webp" TargetMode="External"/><Relationship Id="rId4977" Type="http://schemas.openxmlformats.org/officeDocument/2006/relationships/hyperlink" Target="https://ryycrdhlkmzpxwwwwupy.supabase.co/storage/v1/object/public/old_media/724ce553.Path.051949.jpg" TargetMode="External"/><Relationship Id="rId2317" Type="http://schemas.openxmlformats.org/officeDocument/2006/relationships/hyperlink" Target="https://ryycrdhlkmzpxwwwwupy.supabase.co/storage/v1/object/public/old_media/07554ebb.Path.074207.jpg" TargetMode="External"/><Relationship Id="rId3649" Type="http://schemas.openxmlformats.org/officeDocument/2006/relationships/hyperlink" Target="https://ryycrdhlkmzpxwwwwupy.supabase.co/storage/v1/object/public/old_media/589d91f2.Path.115645.jpg" TargetMode="External"/><Relationship Id="rId2318" Type="http://schemas.openxmlformats.org/officeDocument/2006/relationships/hyperlink" Target="https://ryycrdhlkmzpxwwwwupy.supabase.co/storage/v1/object/public/old_media/44c23d50.Path.074214.jpg" TargetMode="External"/><Relationship Id="rId3648" Type="http://schemas.openxmlformats.org/officeDocument/2006/relationships/hyperlink" Target="https://ryycrdhlkmzpxwwwwupy.supabase.co/storage/v1/object/public/old_media/9393dff3.Path.115617.jpg" TargetMode="External"/><Relationship Id="rId4979" Type="http://schemas.openxmlformats.org/officeDocument/2006/relationships/hyperlink" Target="https://ryycrdhlkmzpxwwwwupy.supabase.co/storage/v1/object/public/old_media/a90aedd5.Path.052049.jpg" TargetMode="External"/><Relationship Id="rId2319" Type="http://schemas.openxmlformats.org/officeDocument/2006/relationships/hyperlink" Target="https://ryycrdhlkmzpxwwwwupy.supabase.co/storage/v1/object/public/old_media/be69efa6.Path.074224.jpg" TargetMode="External"/><Relationship Id="rId4970" Type="http://schemas.openxmlformats.org/officeDocument/2006/relationships/hyperlink" Target="https://ryycrdhlkmzpxwwwwupy.supabase.co/storage/v1/object/public/old_media/bc2af460.Path.092414.jpg" TargetMode="External"/><Relationship Id="rId3641" Type="http://schemas.openxmlformats.org/officeDocument/2006/relationships/hyperlink" Target="https://ryycrdhlkmzpxwwwwupy.supabase.co/storage/v1/object/public/old_media/f8c8756b.Path.105309.webp" TargetMode="External"/><Relationship Id="rId4972" Type="http://schemas.openxmlformats.org/officeDocument/2006/relationships/hyperlink" Target="https://ryycrdhlkmzpxwwwwupy.supabase.co/storage/v1/object/public/old_media/f0091aa9.Path.092513.jpg" TargetMode="External"/><Relationship Id="rId2310" Type="http://schemas.openxmlformats.org/officeDocument/2006/relationships/hyperlink" Target="https://ryycrdhlkmzpxwwwwupy.supabase.co/storage/v1/object/public/old_media/70be03e1.Path.064700.jpg" TargetMode="External"/><Relationship Id="rId3640" Type="http://schemas.openxmlformats.org/officeDocument/2006/relationships/hyperlink" Target="https://ryycrdhlkmzpxwwwwupy.supabase.co/storage/v1/object/public/old_media/bb81ec6a.Path.105239.jpg" TargetMode="External"/><Relationship Id="rId4971" Type="http://schemas.openxmlformats.org/officeDocument/2006/relationships/hyperlink" Target="https://ryycrdhlkmzpxwwwwupy.supabase.co/storage/v1/object/public/old_media/9bdd832c.Path.092441.jpg" TargetMode="External"/><Relationship Id="rId2311" Type="http://schemas.openxmlformats.org/officeDocument/2006/relationships/hyperlink" Target="https://ryycrdhlkmzpxwwwwupy.supabase.co/storage/v1/object/public/old_media/1242a53a.Path.064714.jpg" TargetMode="External"/><Relationship Id="rId3643" Type="http://schemas.openxmlformats.org/officeDocument/2006/relationships/hyperlink" Target="https://ryycrdhlkmzpxwwwwupy.supabase.co/storage/v1/object/public/old_media/dc30e97d.Path.114824.webp" TargetMode="External"/><Relationship Id="rId4974" Type="http://schemas.openxmlformats.org/officeDocument/2006/relationships/hyperlink" Target="https://ryycrdhlkmzpxwwwwupy.supabase.co/storage/v1/object/public/old_media/fcdf8797.Path.092626.jpg" TargetMode="External"/><Relationship Id="rId2312" Type="http://schemas.openxmlformats.org/officeDocument/2006/relationships/hyperlink" Target="https://ryycrdhlkmzpxwwwwupy.supabase.co/storage/v1/object/public/old_media/d240b34d.Path.064729.jpg" TargetMode="External"/><Relationship Id="rId3642" Type="http://schemas.openxmlformats.org/officeDocument/2006/relationships/hyperlink" Target="https://ryycrdhlkmzpxwwwwupy.supabase.co/storage/v1/object/public/old_media/390e70b9.Path.105718.webp" TargetMode="External"/><Relationship Id="rId4973" Type="http://schemas.openxmlformats.org/officeDocument/2006/relationships/hyperlink" Target="https://ryycrdhlkmzpxwwwwupy.supabase.co/storage/v1/object/public/old_media/eac27b87.Path.092543.jpg" TargetMode="External"/><Relationship Id="rId1895" Type="http://schemas.openxmlformats.org/officeDocument/2006/relationships/hyperlink" Target="https://ryycrdhlkmzpxwwwwupy.supabase.co/storage/v1/object/public/old_media/42fe242c.Path.065140.jpg" TargetMode="External"/><Relationship Id="rId4921" Type="http://schemas.openxmlformats.org/officeDocument/2006/relationships/hyperlink" Target="https://ryycrdhlkmzpxwwwwupy.supabase.co/storage/v1/object/public/old_media/2ceafaad.Path.050616.jpg" TargetMode="External"/><Relationship Id="rId1896" Type="http://schemas.openxmlformats.org/officeDocument/2006/relationships/hyperlink" Target="https://ryycrdhlkmzpxwwwwupy.supabase.co/storage/v1/object/public/old_media/7d4537da.Path.065810.jpg" TargetMode="External"/><Relationship Id="rId4920" Type="http://schemas.openxmlformats.org/officeDocument/2006/relationships/hyperlink" Target="https://ryycrdhlkmzpxwwwwupy.supabase.co/storage/v1/object/public/old_media/509951b5.Path.072936.jpg" TargetMode="External"/><Relationship Id="rId1897" Type="http://schemas.openxmlformats.org/officeDocument/2006/relationships/hyperlink" Target="https://ryycrdhlkmzpxwwwwupy.supabase.co/storage/v1/object/public/old_media/9025d474.Path.075239.jpg" TargetMode="External"/><Relationship Id="rId4923" Type="http://schemas.openxmlformats.org/officeDocument/2006/relationships/hyperlink" Target="https://ryycrdhlkmzpxwwwwupy.supabase.co/storage/v1/object/public/old_media/0a7417f4.Path.050757.jpg" TargetMode="External"/><Relationship Id="rId1898" Type="http://schemas.openxmlformats.org/officeDocument/2006/relationships/hyperlink" Target="https://ryycrdhlkmzpxwwwwupy.supabase.co/storage/v1/object/public/old_media/e1bb216f.Path.075256.jpg" TargetMode="External"/><Relationship Id="rId4922" Type="http://schemas.openxmlformats.org/officeDocument/2006/relationships/hyperlink" Target="https://ryycrdhlkmzpxwwwwupy.supabase.co/storage/v1/object/public/old_media/b66a6f41.Path.050727.jpg" TargetMode="External"/><Relationship Id="rId1899" Type="http://schemas.openxmlformats.org/officeDocument/2006/relationships/hyperlink" Target="https://ryycrdhlkmzpxwwwwupy.supabase.co/storage/v1/object/public/old_media/6eb7d51c.Path.075313.jpg" TargetMode="External"/><Relationship Id="rId4925" Type="http://schemas.openxmlformats.org/officeDocument/2006/relationships/hyperlink" Target="https://ryycrdhlkmzpxwwwwupy.supabase.co/storage/v1/object/public/old_media/d920d724.Path.050900.jpg" TargetMode="External"/><Relationship Id="rId4924" Type="http://schemas.openxmlformats.org/officeDocument/2006/relationships/hyperlink" Target="https://ryycrdhlkmzpxwwwwupy.supabase.co/storage/v1/object/public/old_media/4906db76.Path.050825.jpg" TargetMode="External"/><Relationship Id="rId4927" Type="http://schemas.openxmlformats.org/officeDocument/2006/relationships/hyperlink" Target="https://ryycrdhlkmzpxwwwwupy.supabase.co/storage/v1/object/public/old_media/2bd4ad56.Path.075309.avif" TargetMode="External"/><Relationship Id="rId4926" Type="http://schemas.openxmlformats.org/officeDocument/2006/relationships/hyperlink" Target="https://ryycrdhlkmzpxwwwwupy.supabase.co/storage/v1/object/public/old_media/51edc8ad.Path.075236.avif" TargetMode="External"/><Relationship Id="rId4929" Type="http://schemas.openxmlformats.org/officeDocument/2006/relationships/hyperlink" Target="https://ryycrdhlkmzpxwwwwupy.supabase.co/storage/v1/object/public/old_media/82cc2dc2.Path.075414.avif" TargetMode="External"/><Relationship Id="rId4928" Type="http://schemas.openxmlformats.org/officeDocument/2006/relationships/hyperlink" Target="https://ryycrdhlkmzpxwwwwupy.supabase.co/storage/v1/object/public/old_media/e7007e1d.Path.075340.avif" TargetMode="External"/><Relationship Id="rId1890" Type="http://schemas.openxmlformats.org/officeDocument/2006/relationships/hyperlink" Target="https://ryycrdhlkmzpxwwwwupy.supabase.co/storage/v1/object/public/old_media/dc5015ed.Path.064900.jpg" TargetMode="External"/><Relationship Id="rId1891" Type="http://schemas.openxmlformats.org/officeDocument/2006/relationships/hyperlink" Target="https://ryycrdhlkmzpxwwwwupy.supabase.co/storage/v1/object/public/old_media/f9426963.Path.064929.jpg" TargetMode="External"/><Relationship Id="rId1892" Type="http://schemas.openxmlformats.org/officeDocument/2006/relationships/hyperlink" Target="https://ryycrdhlkmzpxwwwwupy.supabase.co/storage/v1/object/public/old_media/b0611d9c.Path.065016.jpg" TargetMode="External"/><Relationship Id="rId1893" Type="http://schemas.openxmlformats.org/officeDocument/2006/relationships/hyperlink" Target="https://ryycrdhlkmzpxwwwwupy.supabase.co/storage/v1/object/public/old_media/6b96ab51.Path.065056.jpg" TargetMode="External"/><Relationship Id="rId1894" Type="http://schemas.openxmlformats.org/officeDocument/2006/relationships/hyperlink" Target="https://ryycrdhlkmzpxwwwwupy.supabase.co/storage/v1/object/public/old_media/dff9859c.Path.065115.jpg" TargetMode="External"/><Relationship Id="rId1884" Type="http://schemas.openxmlformats.org/officeDocument/2006/relationships/hyperlink" Target="https://ryycrdhlkmzpxwwwwupy.supabase.co/storage/v1/object/public/old_media/77dd2503.Path.070605.jpg" TargetMode="External"/><Relationship Id="rId4910" Type="http://schemas.openxmlformats.org/officeDocument/2006/relationships/hyperlink" Target="https://ryycrdhlkmzpxwwwwupy.supabase.co/storage/v1/object/public/old_media/88f49eca.Path.035834.jpg" TargetMode="External"/><Relationship Id="rId1885" Type="http://schemas.openxmlformats.org/officeDocument/2006/relationships/hyperlink" Target="https://ryycrdhlkmzpxwwwwupy.supabase.co/storage/v1/object/public/old_media/ad65a070.Path.070619.jpg" TargetMode="External"/><Relationship Id="rId1886" Type="http://schemas.openxmlformats.org/officeDocument/2006/relationships/hyperlink" Target="https://ryycrdhlkmzpxwwwwupy.supabase.co/storage/v1/object/public/old_media/31e96c94.Path.070631.jpg" TargetMode="External"/><Relationship Id="rId4912" Type="http://schemas.openxmlformats.org/officeDocument/2006/relationships/hyperlink" Target="https://ryycrdhlkmzpxwwwwupy.supabase.co/storage/v1/object/public/old_media/32ec99f5.Path.102954.jpg" TargetMode="External"/><Relationship Id="rId1887" Type="http://schemas.openxmlformats.org/officeDocument/2006/relationships/hyperlink" Target="https://ryycrdhlkmzpxwwwwupy.supabase.co/storage/v1/object/public/old_media/d2fbb1e4.Path.070743.jpg" TargetMode="External"/><Relationship Id="rId4911" Type="http://schemas.openxmlformats.org/officeDocument/2006/relationships/hyperlink" Target="https://ryycrdhlkmzpxwwwwupy.supabase.co/storage/v1/object/public/old_media/0166db0c.Path.042536.png" TargetMode="External"/><Relationship Id="rId1888" Type="http://schemas.openxmlformats.org/officeDocument/2006/relationships/hyperlink" Target="https://ryycrdhlkmzpxwwwwupy.supabase.co/storage/v1/object/public/old_media/1bf107fc.Path.064802.jpg" TargetMode="External"/><Relationship Id="rId4914" Type="http://schemas.openxmlformats.org/officeDocument/2006/relationships/hyperlink" Target="https://ryycrdhlkmzpxwwwwupy.supabase.co/storage/v1/object/public/old_media/a61f74be.Path.103104.jpg" TargetMode="External"/><Relationship Id="rId1889" Type="http://schemas.openxmlformats.org/officeDocument/2006/relationships/hyperlink" Target="https://ryycrdhlkmzpxwwwwupy.supabase.co/storage/v1/object/public/old_media/13c7c6c0.Path.064829.jpg" TargetMode="External"/><Relationship Id="rId4913" Type="http://schemas.openxmlformats.org/officeDocument/2006/relationships/hyperlink" Target="https://ryycrdhlkmzpxwwwwupy.supabase.co/storage/v1/object/public/old_media/1fc69cb3.Path.103031.jpg" TargetMode="External"/><Relationship Id="rId4916" Type="http://schemas.openxmlformats.org/officeDocument/2006/relationships/hyperlink" Target="https://ryycrdhlkmzpxwwwwupy.supabase.co/storage/v1/object/public/old_media/dcabdcec.Path.103348.jpg" TargetMode="External"/><Relationship Id="rId4915" Type="http://schemas.openxmlformats.org/officeDocument/2006/relationships/hyperlink" Target="https://ryycrdhlkmzpxwwwwupy.supabase.co/storage/v1/object/public/old_media/62d6ac83.Path.103313.jpg" TargetMode="External"/><Relationship Id="rId4918" Type="http://schemas.openxmlformats.org/officeDocument/2006/relationships/hyperlink" Target="https://ryycrdhlkmzpxwwwwupy.supabase.co/storage/v1/object/public/old_media/d855d55b.Path.064314.jpg" TargetMode="External"/><Relationship Id="rId4917" Type="http://schemas.openxmlformats.org/officeDocument/2006/relationships/hyperlink" Target="https://ryycrdhlkmzpxwwwwupy.supabase.co/storage/v1/object/public/old_media/53715c08.Path.103428.jpg" TargetMode="External"/><Relationship Id="rId4919" Type="http://schemas.openxmlformats.org/officeDocument/2006/relationships/hyperlink" Target="https://ryycrdhlkmzpxwwwwupy.supabase.co/storage/v1/object/public/old_media/2aaf163c.Path.064342.jpg" TargetMode="External"/><Relationship Id="rId1880" Type="http://schemas.openxmlformats.org/officeDocument/2006/relationships/hyperlink" Target="https://ryycrdhlkmzpxwwwwupy.supabase.co/storage/v1/object/public/old_media/18eb522e.Path.050612.jpg" TargetMode="External"/><Relationship Id="rId1881" Type="http://schemas.openxmlformats.org/officeDocument/2006/relationships/hyperlink" Target="https://ryycrdhlkmzpxwwwwupy.supabase.co/storage/v1/object/public/old_media/3ec9164f.Path.101720.png" TargetMode="External"/><Relationship Id="rId1882" Type="http://schemas.openxmlformats.org/officeDocument/2006/relationships/hyperlink" Target="https://ryycrdhlkmzpxwwwwupy.supabase.co/storage/v1/object/public/old_media/dd6bc879.Path.101753.png" TargetMode="External"/><Relationship Id="rId1883" Type="http://schemas.openxmlformats.org/officeDocument/2006/relationships/hyperlink" Target="https://ryycrdhlkmzpxwwwwupy.supabase.co/storage/v1/object/public/old_media/b2ae8aae.Path.070552.jpg" TargetMode="External"/><Relationship Id="rId3612" Type="http://schemas.openxmlformats.org/officeDocument/2006/relationships/hyperlink" Target="https://ryycrdhlkmzpxwwwwupy.supabase.co/storage/v1/object/public/old_media/177d01fa.Path.063328.png" TargetMode="External"/><Relationship Id="rId4943" Type="http://schemas.openxmlformats.org/officeDocument/2006/relationships/hyperlink" Target="https://ryycrdhlkmzpxwwwwupy.supabase.co/storage/v1/object/public/old_media/0b2b7ff4.Path.083425.png" TargetMode="External"/><Relationship Id="rId3611" Type="http://schemas.openxmlformats.org/officeDocument/2006/relationships/hyperlink" Target="https://ryycrdhlkmzpxwwwwupy.supabase.co/storage/v1/object/public/old_media/82e6acdc.Path.063108.png" TargetMode="External"/><Relationship Id="rId4942" Type="http://schemas.openxmlformats.org/officeDocument/2006/relationships/hyperlink" Target="https://ryycrdhlkmzpxwwwwupy.supabase.co/storage/v1/object/public/old_media/02cd9f18.Path.070801.avif" TargetMode="External"/><Relationship Id="rId3614" Type="http://schemas.openxmlformats.org/officeDocument/2006/relationships/hyperlink" Target="https://ryycrdhlkmzpxwwwwupy.supabase.co/storage/v1/object/public/old_media/f5dacccf.Path.064605.png" TargetMode="External"/><Relationship Id="rId4945" Type="http://schemas.openxmlformats.org/officeDocument/2006/relationships/hyperlink" Target="https://ryycrdhlkmzpxwwwwupy.supabase.co/storage/v1/object/public/old_media/d5138d98.Path.061140.jpg" TargetMode="External"/><Relationship Id="rId3613" Type="http://schemas.openxmlformats.org/officeDocument/2006/relationships/hyperlink" Target="https://ryycrdhlkmzpxwwwwupy.supabase.co/storage/v1/object/public/old_media/8257bbe6.Path.064259.png" TargetMode="External"/><Relationship Id="rId4944" Type="http://schemas.openxmlformats.org/officeDocument/2006/relationships/hyperlink" Target="https://ryycrdhlkmzpxwwwwupy.supabase.co/storage/v1/object/public/old_media/f3288921.Path.083458.jpg" TargetMode="External"/><Relationship Id="rId3616" Type="http://schemas.openxmlformats.org/officeDocument/2006/relationships/hyperlink" Target="https://ryycrdhlkmzpxwwwwupy.supabase.co/storage/v1/object/public/old_media/82d5b97c.Path.065126.jpg" TargetMode="External"/><Relationship Id="rId4947" Type="http://schemas.openxmlformats.org/officeDocument/2006/relationships/hyperlink" Target="https://ryycrdhlkmzpxwwwwupy.supabase.co/storage/v1/object/public/old_media/e8f6f5f9.Path.061327.jpg" TargetMode="External"/><Relationship Id="rId3615" Type="http://schemas.openxmlformats.org/officeDocument/2006/relationships/hyperlink" Target="https://ryycrdhlkmzpxwwwwupy.supabase.co/storage/v1/object/public/old_media/e19cfcbe.Path.064847.png" TargetMode="External"/><Relationship Id="rId4946" Type="http://schemas.openxmlformats.org/officeDocument/2006/relationships/hyperlink" Target="https://ryycrdhlkmzpxwwwwupy.supabase.co/storage/v1/object/public/old_media/a4f28406.Path.061259.jpg" TargetMode="External"/><Relationship Id="rId3618" Type="http://schemas.openxmlformats.org/officeDocument/2006/relationships/hyperlink" Target="https://ryycrdhlkmzpxwwwwupy.supabase.co/storage/v1/object/public/old_media/70ef1489.Path.065918.jpg" TargetMode="External"/><Relationship Id="rId4949" Type="http://schemas.openxmlformats.org/officeDocument/2006/relationships/hyperlink" Target="https://ryycrdhlkmzpxwwwwupy.supabase.co/storage/v1/object/public/old_media/c0d1e5f2.Path.061428.jpg" TargetMode="External"/><Relationship Id="rId3617" Type="http://schemas.openxmlformats.org/officeDocument/2006/relationships/hyperlink" Target="https://ryycrdhlkmzpxwwwwupy.supabase.co/storage/v1/object/public/old_media/d0dcaef8.Path.065631.png" TargetMode="External"/><Relationship Id="rId4948" Type="http://schemas.openxmlformats.org/officeDocument/2006/relationships/hyperlink" Target="https://ryycrdhlkmzpxwwwwupy.supabase.co/storage/v1/object/public/old_media/40a5584e.Path.061355.jpg" TargetMode="External"/><Relationship Id="rId3619" Type="http://schemas.openxmlformats.org/officeDocument/2006/relationships/hyperlink" Target="https://ryycrdhlkmzpxwwwwupy.supabase.co/storage/v1/object/public/old_media/bd32c483.Path.083031.jpg" TargetMode="External"/><Relationship Id="rId3610" Type="http://schemas.openxmlformats.org/officeDocument/2006/relationships/hyperlink" Target="https://ryycrdhlkmzpxwwwwupy.supabase.co/storage/v1/object/public/old_media/cca320d0.Path.062858.png" TargetMode="External"/><Relationship Id="rId4941" Type="http://schemas.openxmlformats.org/officeDocument/2006/relationships/hyperlink" Target="https://ryycrdhlkmzpxwwwwupy.supabase.co/storage/v1/object/public/old_media/f4f87271.Path.070728.avif" TargetMode="External"/><Relationship Id="rId4940" Type="http://schemas.openxmlformats.org/officeDocument/2006/relationships/hyperlink" Target="https://ryycrdhlkmzpxwwwwupy.supabase.co/storage/v1/object/public/old_media/8c916c65.Path.070659.avif" TargetMode="External"/><Relationship Id="rId3601" Type="http://schemas.openxmlformats.org/officeDocument/2006/relationships/hyperlink" Target="https://ryycrdhlkmzpxwwwwupy.supabase.co/storage/v1/object/public/old_media/6248bab7.Path.100452.webp" TargetMode="External"/><Relationship Id="rId4932" Type="http://schemas.openxmlformats.org/officeDocument/2006/relationships/hyperlink" Target="https://ryycrdhlkmzpxwwwwupy.supabase.co/storage/v1/object/public/old_media/143a62f6.Path.063324.jpg" TargetMode="External"/><Relationship Id="rId3600" Type="http://schemas.openxmlformats.org/officeDocument/2006/relationships/hyperlink" Target="https://ryycrdhlkmzpxwwwwupy.supabase.co/storage/v1/object/public/old_media/ab45b354.Path.100052.jpg" TargetMode="External"/><Relationship Id="rId4931" Type="http://schemas.openxmlformats.org/officeDocument/2006/relationships/hyperlink" Target="https://ryycrdhlkmzpxwwwwupy.supabase.co/storage/v1/object/public/old_media/f0f61905.Path.063256.jpg" TargetMode="External"/><Relationship Id="rId3603" Type="http://schemas.openxmlformats.org/officeDocument/2006/relationships/hyperlink" Target="https://ryycrdhlkmzpxwwwwupy.supabase.co/storage/v1/object/public/old_media/2d4fe4a4.Path.101253.webp" TargetMode="External"/><Relationship Id="rId4934" Type="http://schemas.openxmlformats.org/officeDocument/2006/relationships/hyperlink" Target="https://ryycrdhlkmzpxwwwwupy.supabase.co/storage/v1/object/public/old_media/f0f679dc.Path.063426.jpg" TargetMode="External"/><Relationship Id="rId3602" Type="http://schemas.openxmlformats.org/officeDocument/2006/relationships/hyperlink" Target="https://ryycrdhlkmzpxwwwwupy.supabase.co/storage/v1/object/public/old_media/fab1ec3e.Path.100852.webp" TargetMode="External"/><Relationship Id="rId4933" Type="http://schemas.openxmlformats.org/officeDocument/2006/relationships/hyperlink" Target="https://ryycrdhlkmzpxwwwwupy.supabase.co/storage/v1/object/public/old_media/1e20134a.Path.063354.jpg" TargetMode="External"/><Relationship Id="rId3605" Type="http://schemas.openxmlformats.org/officeDocument/2006/relationships/hyperlink" Target="https://ryycrdhlkmzpxwwwwupy.supabase.co/storage/v1/object/public/old_media/831f492b.Path.064542.jpg" TargetMode="External"/><Relationship Id="rId4936" Type="http://schemas.openxmlformats.org/officeDocument/2006/relationships/hyperlink" Target="https://ryycrdhlkmzpxwwwwupy.supabase.co/storage/v1/object/public/old_media/cb468889.Path.063617.jpg" TargetMode="External"/><Relationship Id="rId3604" Type="http://schemas.openxmlformats.org/officeDocument/2006/relationships/hyperlink" Target="https://ryycrdhlkmzpxwwwwupy.supabase.co/storage/v1/object/public/old_media/d411b5b5.Path.101653.jpg" TargetMode="External"/><Relationship Id="rId4935" Type="http://schemas.openxmlformats.org/officeDocument/2006/relationships/hyperlink" Target="https://ryycrdhlkmzpxwwwwupy.supabase.co/storage/v1/object/public/old_media/23469252.Path.063457.jpg" TargetMode="External"/><Relationship Id="rId3607" Type="http://schemas.openxmlformats.org/officeDocument/2006/relationships/hyperlink" Target="https://ryycrdhlkmzpxwwwwupy.supabase.co/storage/v1/object/public/old_media/44eb523c.Path.064641.jpg" TargetMode="External"/><Relationship Id="rId4938" Type="http://schemas.openxmlformats.org/officeDocument/2006/relationships/hyperlink" Target="https://ryycrdhlkmzpxwwwwupy.supabase.co/storage/v1/object/public/old_media/26c64ad6.Path.070548.jpg" TargetMode="External"/><Relationship Id="rId3606" Type="http://schemas.openxmlformats.org/officeDocument/2006/relationships/hyperlink" Target="https://ryycrdhlkmzpxwwwwupy.supabase.co/storage/v1/object/public/old_media/addb2dd7.Path.064613.jpg" TargetMode="External"/><Relationship Id="rId4937" Type="http://schemas.openxmlformats.org/officeDocument/2006/relationships/hyperlink" Target="https://ryycrdhlkmzpxwwwwupy.supabase.co/storage/v1/object/public/old_media/81131589.Path.063645.jpg" TargetMode="External"/><Relationship Id="rId3609" Type="http://schemas.openxmlformats.org/officeDocument/2006/relationships/hyperlink" Target="https://ryycrdhlkmzpxwwwwupy.supabase.co/storage/v1/object/public/old_media/eb6f00be.Path.064905.jpg" TargetMode="External"/><Relationship Id="rId3608" Type="http://schemas.openxmlformats.org/officeDocument/2006/relationships/hyperlink" Target="https://ryycrdhlkmzpxwwwwupy.supabase.co/storage/v1/object/public/old_media/646a4553.Path.064709.jpg" TargetMode="External"/><Relationship Id="rId4939" Type="http://schemas.openxmlformats.org/officeDocument/2006/relationships/hyperlink" Target="https://ryycrdhlkmzpxwwwwupy.supabase.co/storage/v1/object/public/old_media/c38e90e9.Path.070629.jpg" TargetMode="External"/><Relationship Id="rId4930" Type="http://schemas.openxmlformats.org/officeDocument/2006/relationships/hyperlink" Target="https://ryycrdhlkmzpxwwwwupy.supabase.co/storage/v1/object/public/old_media/847eb980.Path.063227.jpg" TargetMode="External"/><Relationship Id="rId1059" Type="http://schemas.openxmlformats.org/officeDocument/2006/relationships/hyperlink" Target="https://ryycrdhlkmzpxwwwwupy.supabase.co/storage/v1/object/public/old_media/b3627566.Path.070626.jpg" TargetMode="External"/><Relationship Id="rId228" Type="http://schemas.openxmlformats.org/officeDocument/2006/relationships/hyperlink" Target="https://ryycrdhlkmzpxwwwwupy.supabase.co/storage/v1/object/public/old_media/c39e3c90.Path.153302.jpg" TargetMode="External"/><Relationship Id="rId227" Type="http://schemas.openxmlformats.org/officeDocument/2006/relationships/hyperlink" Target="https://ryycrdhlkmzpxwwwwupy.supabase.co/storage/v1/object/public/old_media/37c32049.Path.153220.jpg" TargetMode="External"/><Relationship Id="rId226" Type="http://schemas.openxmlformats.org/officeDocument/2006/relationships/hyperlink" Target="https://ryycrdhlkmzpxwwwwupy.supabase.co/storage/v1/object/public/old_media/26752e8c.Path.153113.jpg" TargetMode="External"/><Relationship Id="rId225" Type="http://schemas.openxmlformats.org/officeDocument/2006/relationships/hyperlink" Target="https://ryycrdhlkmzpxwwwwupy.supabase.co/storage/v1/object/public/old_media/95e8b8db.Path.065001.jpg" TargetMode="External"/><Relationship Id="rId2380" Type="http://schemas.openxmlformats.org/officeDocument/2006/relationships/hyperlink" Target="https://ryycrdhlkmzpxwwwwupy.supabase.co/storage/v1/object/public/old_media/28a526d3.Path.061030.png" TargetMode="External"/><Relationship Id="rId229" Type="http://schemas.openxmlformats.org/officeDocument/2006/relationships/hyperlink" Target="https://ryycrdhlkmzpxwwwwupy.supabase.co/storage/v1/object/public/old_media/54ab588e.Path.153357.jpg" TargetMode="External"/><Relationship Id="rId1050" Type="http://schemas.openxmlformats.org/officeDocument/2006/relationships/hyperlink" Target="https://ryycrdhlkmzpxwwwwupy.supabase.co/storage/v1/object/public/old_media/5e8d965d.Path.094819.jpg" TargetMode="External"/><Relationship Id="rId2381" Type="http://schemas.openxmlformats.org/officeDocument/2006/relationships/hyperlink" Target="https://ryycrdhlkmzpxwwwwupy.supabase.co/storage/v1/object/public/old_media/8af44e5e.Path.091318.jpg" TargetMode="External"/><Relationship Id="rId220" Type="http://schemas.openxmlformats.org/officeDocument/2006/relationships/hyperlink" Target="https://ryycrdhlkmzpxwwwwupy.supabase.co/storage/v1/object/public/old_media/75efdff4.Path.064851.jpg" TargetMode="External"/><Relationship Id="rId1051" Type="http://schemas.openxmlformats.org/officeDocument/2006/relationships/hyperlink" Target="https://ryycrdhlkmzpxwwwwupy.supabase.co/storage/v1/object/public/old_media/8d03bedd.Path.094846.jpg" TargetMode="External"/><Relationship Id="rId2382" Type="http://schemas.openxmlformats.org/officeDocument/2006/relationships/hyperlink" Target="https://ryycrdhlkmzpxwwwwupy.supabase.co/storage/v1/object/public/old_media/0dfd5f76.Path.091329.jpg" TargetMode="External"/><Relationship Id="rId1052" Type="http://schemas.openxmlformats.org/officeDocument/2006/relationships/hyperlink" Target="https://ryycrdhlkmzpxwwwwupy.supabase.co/storage/v1/object/public/old_media/2689143e.Path.070355.jpg" TargetMode="External"/><Relationship Id="rId2383" Type="http://schemas.openxmlformats.org/officeDocument/2006/relationships/hyperlink" Target="https://ryycrdhlkmzpxwwwwupy.supabase.co/storage/v1/object/public/old_media/58327ac2.Path.091344.jpg" TargetMode="External"/><Relationship Id="rId1053" Type="http://schemas.openxmlformats.org/officeDocument/2006/relationships/hyperlink" Target="https://ryycrdhlkmzpxwwwwupy.supabase.co/storage/v1/object/public/old_media/fa7d18c1.Path.070500.jpg" TargetMode="External"/><Relationship Id="rId2384" Type="http://schemas.openxmlformats.org/officeDocument/2006/relationships/hyperlink" Target="https://ryycrdhlkmzpxwwwwupy.supabase.co/storage/v1/object/public/old_media/0510d1a3.Path.091358.jpg" TargetMode="External"/><Relationship Id="rId1054" Type="http://schemas.openxmlformats.org/officeDocument/2006/relationships/hyperlink" Target="https://ryycrdhlkmzpxwwwwupy.supabase.co/storage/v1/object/public/old_media/af3f30fd.Path.070520.jpg" TargetMode="External"/><Relationship Id="rId2385" Type="http://schemas.openxmlformats.org/officeDocument/2006/relationships/hyperlink" Target="https://ryycrdhlkmzpxwwwwupy.supabase.co/storage/v1/object/public/old_media/d867b6fa.Path.091409.jpg" TargetMode="External"/><Relationship Id="rId224" Type="http://schemas.openxmlformats.org/officeDocument/2006/relationships/hyperlink" Target="https://ryycrdhlkmzpxwwwwupy.supabase.co/storage/v1/object/public/old_media/5412ecfe.Path.064943.jpg" TargetMode="External"/><Relationship Id="rId1055" Type="http://schemas.openxmlformats.org/officeDocument/2006/relationships/hyperlink" Target="https://ryycrdhlkmzpxwwwwupy.supabase.co/storage/v1/object/public/old_media/e56d635d.Path.070532.jpg" TargetMode="External"/><Relationship Id="rId2386" Type="http://schemas.openxmlformats.org/officeDocument/2006/relationships/hyperlink" Target="https://ryycrdhlkmzpxwwwwupy.supabase.co/storage/v1/object/public/old_media/17570f72.Path.092358.jpg" TargetMode="External"/><Relationship Id="rId223" Type="http://schemas.openxmlformats.org/officeDocument/2006/relationships/hyperlink" Target="https://ryycrdhlkmzpxwwwwupy.supabase.co/storage/v1/object/public/old_media/46a42e63.Path.064934.jpg" TargetMode="External"/><Relationship Id="rId1056" Type="http://schemas.openxmlformats.org/officeDocument/2006/relationships/hyperlink" Target="https://ryycrdhlkmzpxwwwwupy.supabase.co/storage/v1/object/public/old_media/6a1be712.Path.070543.jpg" TargetMode="External"/><Relationship Id="rId2387" Type="http://schemas.openxmlformats.org/officeDocument/2006/relationships/hyperlink" Target="https://ryycrdhlkmzpxwwwwupy.supabase.co/storage/v1/object/public/old_media/0a54eae0.Path.092408.jpg" TargetMode="External"/><Relationship Id="rId222" Type="http://schemas.openxmlformats.org/officeDocument/2006/relationships/hyperlink" Target="https://ryycrdhlkmzpxwwwwupy.supabase.co/storage/v1/object/public/old_media/38554d63.Path.064920.jpg" TargetMode="External"/><Relationship Id="rId1057" Type="http://schemas.openxmlformats.org/officeDocument/2006/relationships/hyperlink" Target="https://ryycrdhlkmzpxwwwwupy.supabase.co/storage/v1/object/public/old_media/103b9ed7.Path.070556.jpg" TargetMode="External"/><Relationship Id="rId2388" Type="http://schemas.openxmlformats.org/officeDocument/2006/relationships/hyperlink" Target="https://ryycrdhlkmzpxwwwwupy.supabase.co/storage/v1/object/public/old_media/0b401634.Path.092418.jpg" TargetMode="External"/><Relationship Id="rId221" Type="http://schemas.openxmlformats.org/officeDocument/2006/relationships/hyperlink" Target="https://ryycrdhlkmzpxwwwwupy.supabase.co/storage/v1/object/public/old_media/3eee70ea.Path.064904.jpg" TargetMode="External"/><Relationship Id="rId1058" Type="http://schemas.openxmlformats.org/officeDocument/2006/relationships/hyperlink" Target="https://ryycrdhlkmzpxwwwwupy.supabase.co/storage/v1/object/public/old_media/8c1387d0.Path.070609.jpg" TargetMode="External"/><Relationship Id="rId2389" Type="http://schemas.openxmlformats.org/officeDocument/2006/relationships/hyperlink" Target="https://ryycrdhlkmzpxwwwwupy.supabase.co/storage/v1/object/public/old_media/1ee0c946.Path.092430.jpg" TargetMode="External"/><Relationship Id="rId1048" Type="http://schemas.openxmlformats.org/officeDocument/2006/relationships/hyperlink" Target="https://ryycrdhlkmzpxwwwwupy.supabase.co/storage/v1/object/public/old_media/88fb124f.Path.094801.jpg" TargetMode="External"/><Relationship Id="rId2379" Type="http://schemas.openxmlformats.org/officeDocument/2006/relationships/hyperlink" Target="https://ryycrdhlkmzpxwwwwupy.supabase.co/storage/v1/object/public/old_media/8d29e7ec.Path.045626.jpg" TargetMode="External"/><Relationship Id="rId1049" Type="http://schemas.openxmlformats.org/officeDocument/2006/relationships/hyperlink" Target="https://ryycrdhlkmzpxwwwwupy.supabase.co/storage/v1/object/public/old_media/d2f6a17b.Path.094811.jpg" TargetMode="External"/><Relationship Id="rId217" Type="http://schemas.openxmlformats.org/officeDocument/2006/relationships/hyperlink" Target="https://ryycrdhlkmzpxwwwwupy.supabase.co/storage/v1/object/public/old_media/d0490cc6.Path.060732.jpg" TargetMode="External"/><Relationship Id="rId216" Type="http://schemas.openxmlformats.org/officeDocument/2006/relationships/hyperlink" Target="https://ryycrdhlkmzpxwwwwupy.supabase.co/storage/v1/object/public/old_media/0a615e0f.Path.060721.jpg" TargetMode="External"/><Relationship Id="rId215" Type="http://schemas.openxmlformats.org/officeDocument/2006/relationships/hyperlink" Target="https://ryycrdhlkmzpxwwwwupy.supabase.co/storage/v1/object/public/old_media/eb61abab.Path.060714.jpg" TargetMode="External"/><Relationship Id="rId214" Type="http://schemas.openxmlformats.org/officeDocument/2006/relationships/hyperlink" Target="https://ryycrdhlkmzpxwwwwupy.supabase.co/storage/v1/object/public/old_media/109aa016.Path.060705.jpg" TargetMode="External"/><Relationship Id="rId219" Type="http://schemas.openxmlformats.org/officeDocument/2006/relationships/hyperlink" Target="https://ryycrdhlkmzpxwwwwupy.supabase.co/storage/v1/object/public/old_media/36bf8d98.Path.064835.jpg" TargetMode="External"/><Relationship Id="rId218" Type="http://schemas.openxmlformats.org/officeDocument/2006/relationships/hyperlink" Target="https://ryycrdhlkmzpxwwwwupy.supabase.co/storage/v1/object/public/old_media/fd872027.Path.064811.jpg" TargetMode="External"/><Relationship Id="rId2370" Type="http://schemas.openxmlformats.org/officeDocument/2006/relationships/hyperlink" Target="https://ryycrdhlkmzpxwwwwupy.supabase.co/storage/v1/object/public/old_media/21ffe47b.Path.053010.jpg" TargetMode="External"/><Relationship Id="rId1040" Type="http://schemas.openxmlformats.org/officeDocument/2006/relationships/hyperlink" Target="https://ryycrdhlkmzpxwwwwupy.supabase.co/storage/v1/object/public/old_media/bd3181aa.Path.103112.jpg" TargetMode="External"/><Relationship Id="rId2371" Type="http://schemas.openxmlformats.org/officeDocument/2006/relationships/hyperlink" Target="https://ryycrdhlkmzpxwwwwupy.supabase.co/storage/v1/object/public/old_media/b6102ebc.Path.053116.jpg" TargetMode="External"/><Relationship Id="rId1041" Type="http://schemas.openxmlformats.org/officeDocument/2006/relationships/hyperlink" Target="https://ryycrdhlkmzpxwwwwupy.supabase.co/storage/v1/object/public/old_media/16a47843.Path.103142.jpg" TargetMode="External"/><Relationship Id="rId2372" Type="http://schemas.openxmlformats.org/officeDocument/2006/relationships/hyperlink" Target="https://ryycrdhlkmzpxwwwwupy.supabase.co/storage/v1/object/public/old_media/5e5998d5.Path.101029.jpg" TargetMode="External"/><Relationship Id="rId1042" Type="http://schemas.openxmlformats.org/officeDocument/2006/relationships/hyperlink" Target="https://ryycrdhlkmzpxwwwwupy.supabase.co/storage/v1/object/public/old_media/e02a3f51.Path.103219.jpg" TargetMode="External"/><Relationship Id="rId2373" Type="http://schemas.openxmlformats.org/officeDocument/2006/relationships/hyperlink" Target="https://ryycrdhlkmzpxwwwwupy.supabase.co/storage/v1/object/public/old_media/7d9e4fa4.Path.101040.jpg" TargetMode="External"/><Relationship Id="rId1043" Type="http://schemas.openxmlformats.org/officeDocument/2006/relationships/hyperlink" Target="https://ryycrdhlkmzpxwwwwupy.supabase.co/storage/v1/object/public/old_media/34f6ecdc.Path.103239.jpg" TargetMode="External"/><Relationship Id="rId2374" Type="http://schemas.openxmlformats.org/officeDocument/2006/relationships/hyperlink" Target="https://ryycrdhlkmzpxwwwwupy.supabase.co/storage/v1/object/public/old_media/cc643ee9.Path.101050.jpg" TargetMode="External"/><Relationship Id="rId213" Type="http://schemas.openxmlformats.org/officeDocument/2006/relationships/hyperlink" Target="https://ryycrdhlkmzpxwwwwupy.supabase.co/storage/v1/object/public/old_media/ffa47adc.Path.060604.jpg" TargetMode="External"/><Relationship Id="rId1044" Type="http://schemas.openxmlformats.org/officeDocument/2006/relationships/hyperlink" Target="https://ryycrdhlkmzpxwwwwupy.supabase.co/storage/v1/object/public/old_media/2cf56a3a.Path.094606.jpg" TargetMode="External"/><Relationship Id="rId2375" Type="http://schemas.openxmlformats.org/officeDocument/2006/relationships/hyperlink" Target="https://ryycrdhlkmzpxwwwwupy.supabase.co/storage/v1/object/public/old_media/f46bee37.Path.101105.jpg" TargetMode="External"/><Relationship Id="rId212" Type="http://schemas.openxmlformats.org/officeDocument/2006/relationships/hyperlink" Target="https://ryycrdhlkmzpxwwwwupy.supabase.co/storage/v1/object/public/old_media/c896aed6.Path.060341.jpg" TargetMode="External"/><Relationship Id="rId1045" Type="http://schemas.openxmlformats.org/officeDocument/2006/relationships/hyperlink" Target="https://ryycrdhlkmzpxwwwwupy.supabase.co/storage/v1/object/public/old_media/4c35b1c2.Path.094645.jpg" TargetMode="External"/><Relationship Id="rId2376" Type="http://schemas.openxmlformats.org/officeDocument/2006/relationships/hyperlink" Target="https://ryycrdhlkmzpxwwwwupy.supabase.co/storage/v1/object/public/old_media/644ceb67.Path.101115.jpg" TargetMode="External"/><Relationship Id="rId211" Type="http://schemas.openxmlformats.org/officeDocument/2006/relationships/hyperlink" Target="https://ryycrdhlkmzpxwwwwupy.supabase.co/storage/v1/object/public/old_media/ff3c97d3.Path.060107.jpg" TargetMode="External"/><Relationship Id="rId1046" Type="http://schemas.openxmlformats.org/officeDocument/2006/relationships/hyperlink" Target="https://ryycrdhlkmzpxwwwwupy.supabase.co/storage/v1/object/public/old_media/f6898abb.Path.094725.jpg" TargetMode="External"/><Relationship Id="rId2377" Type="http://schemas.openxmlformats.org/officeDocument/2006/relationships/hyperlink" Target="https://ryycrdhlkmzpxwwwwupy.supabase.co/storage/v1/object/public/old_media/3d36b258.Path.101127.jpg" TargetMode="External"/><Relationship Id="rId210" Type="http://schemas.openxmlformats.org/officeDocument/2006/relationships/hyperlink" Target="https://ryycrdhlkmzpxwwwwupy.supabase.co/storage/v1/object/public/old_media/d8f069fe.Path.060023.jpg" TargetMode="External"/><Relationship Id="rId1047" Type="http://schemas.openxmlformats.org/officeDocument/2006/relationships/hyperlink" Target="https://ryycrdhlkmzpxwwwwupy.supabase.co/storage/v1/object/public/old_media/a547f72b.Path.094740.jpg" TargetMode="External"/><Relationship Id="rId2378" Type="http://schemas.openxmlformats.org/officeDocument/2006/relationships/hyperlink" Target="https://ryycrdhlkmzpxwwwwupy.supabase.co/storage/v1/object/public/old_media/bf7f0a7b.Path.121530.jpg" TargetMode="External"/><Relationship Id="rId4107" Type="http://schemas.openxmlformats.org/officeDocument/2006/relationships/hyperlink" Target="https://ryycrdhlkmzpxwwwwupy.supabase.co/storage/v1/object/public/old_media/9be81ede.Path.065200.webp" TargetMode="External"/><Relationship Id="rId4106" Type="http://schemas.openxmlformats.org/officeDocument/2006/relationships/hyperlink" Target="https://ryycrdhlkmzpxwwwwupy.supabase.co/storage/v1/object/public/old_media/021be3f7.Path.054826.png" TargetMode="External"/><Relationship Id="rId4109" Type="http://schemas.openxmlformats.org/officeDocument/2006/relationships/hyperlink" Target="https://ryycrdhlkmzpxwwwwupy.supabase.co/storage/v1/object/public/old_media/84faeb15.Path.065726.webp" TargetMode="External"/><Relationship Id="rId4108" Type="http://schemas.openxmlformats.org/officeDocument/2006/relationships/hyperlink" Target="https://ryycrdhlkmzpxwwwwupy.supabase.co/storage/v1/object/public/old_media/7bd60d38.Path.065656.webp" TargetMode="External"/><Relationship Id="rId249" Type="http://schemas.openxmlformats.org/officeDocument/2006/relationships/hyperlink" Target="https://ryycrdhlkmzpxwwwwupy.supabase.co/storage/v1/object/public/old_media/800e17c4.Path.045800.jpg" TargetMode="External"/><Relationship Id="rId248" Type="http://schemas.openxmlformats.org/officeDocument/2006/relationships/hyperlink" Target="https://ryycrdhlkmzpxwwwwupy.supabase.co/storage/v1/object/public/old_media/72593083.Path.045747.jpg" TargetMode="External"/><Relationship Id="rId247" Type="http://schemas.openxmlformats.org/officeDocument/2006/relationships/hyperlink" Target="https://ryycrdhlkmzpxwwwwupy.supabase.co/storage/v1/object/public/old_media/9850aaf9.Path.045735.jpg" TargetMode="External"/><Relationship Id="rId1070" Type="http://schemas.openxmlformats.org/officeDocument/2006/relationships/hyperlink" Target="https://ryycrdhlkmzpxwwwwupy.supabase.co/storage/v1/object/public/old_media/7880ee4a.Path.065655.jpg" TargetMode="External"/><Relationship Id="rId1071" Type="http://schemas.openxmlformats.org/officeDocument/2006/relationships/hyperlink" Target="https://ryycrdhlkmzpxwwwwupy.supabase.co/storage/v1/object/public/old_media/10e64eae.Path.065719.jpg" TargetMode="External"/><Relationship Id="rId1072" Type="http://schemas.openxmlformats.org/officeDocument/2006/relationships/hyperlink" Target="https://ryycrdhlkmzpxwwwwupy.supabase.co/storage/v1/object/public/old_media/1f94cf45.Path.065739.jpg" TargetMode="External"/><Relationship Id="rId242" Type="http://schemas.openxmlformats.org/officeDocument/2006/relationships/hyperlink" Target="https://ryycrdhlkmzpxwwwwupy.supabase.co/storage/v1/object/public/old_media/65f0f68b.Path.111606.jpg" TargetMode="External"/><Relationship Id="rId1073" Type="http://schemas.openxmlformats.org/officeDocument/2006/relationships/hyperlink" Target="https://ryycrdhlkmzpxwwwwupy.supabase.co/storage/v1/object/public/old_media/c0412375.Path.065901.jpg" TargetMode="External"/><Relationship Id="rId241" Type="http://schemas.openxmlformats.org/officeDocument/2006/relationships/hyperlink" Target="https://ryycrdhlkmzpxwwwwupy.supabase.co/storage/v1/object/public/old_media/afa30dd9.Path.111549.jpg" TargetMode="External"/><Relationship Id="rId1074" Type="http://schemas.openxmlformats.org/officeDocument/2006/relationships/hyperlink" Target="https://ryycrdhlkmzpxwwwwupy.supabase.co/storage/v1/object/public/old_media/c6c65cdf.Path.065927.jpg" TargetMode="External"/><Relationship Id="rId240" Type="http://schemas.openxmlformats.org/officeDocument/2006/relationships/hyperlink" Target="https://ryycrdhlkmzpxwwwwupy.supabase.co/storage/v1/object/public/old_media/ecdf0d90.Path.111542.jpg" TargetMode="External"/><Relationship Id="rId1075" Type="http://schemas.openxmlformats.org/officeDocument/2006/relationships/hyperlink" Target="https://ryycrdhlkmzpxwwwwupy.supabase.co/storage/v1/object/public/old_media/f7b242ce.Path.065940.jpg" TargetMode="External"/><Relationship Id="rId4101" Type="http://schemas.openxmlformats.org/officeDocument/2006/relationships/hyperlink" Target="https://ryycrdhlkmzpxwwwwupy.supabase.co/storage/v1/object/public/old_media/6dc651ee.Path.044952.jpg" TargetMode="External"/><Relationship Id="rId1076" Type="http://schemas.openxmlformats.org/officeDocument/2006/relationships/hyperlink" Target="https://ryycrdhlkmzpxwwwwupy.supabase.co/storage/v1/object/public/old_media/3c74aadc.Path.065956.jpg" TargetMode="External"/><Relationship Id="rId4100" Type="http://schemas.openxmlformats.org/officeDocument/2006/relationships/hyperlink" Target="https://ryycrdhlkmzpxwwwwupy.supabase.co/storage/v1/object/public/old_media/f7e41b58.Path.044924.jpg" TargetMode="External"/><Relationship Id="rId246" Type="http://schemas.openxmlformats.org/officeDocument/2006/relationships/hyperlink" Target="https://ryycrdhlkmzpxwwwwupy.supabase.co/storage/v1/object/public/old_media/aba86ee8.Path.045724.jpg" TargetMode="External"/><Relationship Id="rId1077" Type="http://schemas.openxmlformats.org/officeDocument/2006/relationships/hyperlink" Target="https://ryycrdhlkmzpxwwwwupy.supabase.co/storage/v1/object/public/old_media/6343f61e.Path.070011.jpg" TargetMode="External"/><Relationship Id="rId4103" Type="http://schemas.openxmlformats.org/officeDocument/2006/relationships/hyperlink" Target="https://ryycrdhlkmzpxwwwwupy.supabase.co/storage/v1/object/public/old_media/811eeb2b.Path.054644.jpg" TargetMode="External"/><Relationship Id="rId245" Type="http://schemas.openxmlformats.org/officeDocument/2006/relationships/hyperlink" Target="https://ryycrdhlkmzpxwwwwupy.supabase.co/storage/v1/object/public/old_media/4fd8d054.Path.045712.jpg" TargetMode="External"/><Relationship Id="rId1078" Type="http://schemas.openxmlformats.org/officeDocument/2006/relationships/hyperlink" Target="https://ryycrdhlkmzpxwwwwupy.supabase.co/storage/v1/object/public/old_media/e1e104b5.Path.070027.jpg" TargetMode="External"/><Relationship Id="rId4102" Type="http://schemas.openxmlformats.org/officeDocument/2006/relationships/hyperlink" Target="https://ryycrdhlkmzpxwwwwupy.supabase.co/storage/v1/object/public/old_media/57a3e70e.Path.054614.jpg" TargetMode="External"/><Relationship Id="rId244" Type="http://schemas.openxmlformats.org/officeDocument/2006/relationships/hyperlink" Target="https://ryycrdhlkmzpxwwwwupy.supabase.co/storage/v1/object/public/old_media/bc33840c.Path.045658.jpg" TargetMode="External"/><Relationship Id="rId1079" Type="http://schemas.openxmlformats.org/officeDocument/2006/relationships/hyperlink" Target="https://ryycrdhlkmzpxwwwwupy.supabase.co/storage/v1/object/public/old_media/8867a26e.Path.050745.jpg" TargetMode="External"/><Relationship Id="rId4105" Type="http://schemas.openxmlformats.org/officeDocument/2006/relationships/hyperlink" Target="https://ryycrdhlkmzpxwwwwupy.supabase.co/storage/v1/object/public/old_media/0048294e.Path.054750.jpg" TargetMode="External"/><Relationship Id="rId243" Type="http://schemas.openxmlformats.org/officeDocument/2006/relationships/hyperlink" Target="https://ryycrdhlkmzpxwwwwupy.supabase.co/storage/v1/object/public/old_media/eb53c96e.Path.111613.jpg" TargetMode="External"/><Relationship Id="rId4104" Type="http://schemas.openxmlformats.org/officeDocument/2006/relationships/hyperlink" Target="https://ryycrdhlkmzpxwwwwupy.supabase.co/storage/v1/object/public/old_media/337bdbf6.Path.054722.png" TargetMode="External"/><Relationship Id="rId239" Type="http://schemas.openxmlformats.org/officeDocument/2006/relationships/hyperlink" Target="https://ryycrdhlkmzpxwwwwupy.supabase.co/storage/v1/object/public/old_media/8484ae67.Path.111525.jpg" TargetMode="External"/><Relationship Id="rId238" Type="http://schemas.openxmlformats.org/officeDocument/2006/relationships/hyperlink" Target="https://ryycrdhlkmzpxwwwwupy.supabase.co/storage/v1/object/public/old_media/efa925a2.Path.111518.jpg" TargetMode="External"/><Relationship Id="rId237" Type="http://schemas.openxmlformats.org/officeDocument/2006/relationships/hyperlink" Target="https://ryycrdhlkmzpxwwwwupy.supabase.co/storage/v1/object/public/old_media/7cc75b22.Path.163918.jpg" TargetMode="External"/><Relationship Id="rId236" Type="http://schemas.openxmlformats.org/officeDocument/2006/relationships/hyperlink" Target="https://ryycrdhlkmzpxwwwwupy.supabase.co/storage/v1/object/public/old_media/693cf6a0.Path.163827.jpg" TargetMode="External"/><Relationship Id="rId2390" Type="http://schemas.openxmlformats.org/officeDocument/2006/relationships/hyperlink" Target="https://ryycrdhlkmzpxwwwwupy.supabase.co/storage/v1/object/public/old_media/da8c235f.Path.055542.jpg" TargetMode="External"/><Relationship Id="rId1060" Type="http://schemas.openxmlformats.org/officeDocument/2006/relationships/hyperlink" Target="https://ryycrdhlkmzpxwwwwupy.supabase.co/storage/v1/object/public/old_media/8e0d26fc.Path.070651.jpg" TargetMode="External"/><Relationship Id="rId2391" Type="http://schemas.openxmlformats.org/officeDocument/2006/relationships/hyperlink" Target="https://ryycrdhlkmzpxwwwwupy.supabase.co/storage/v1/object/public/old_media/ad910c5a.Path.043800.jpg" TargetMode="External"/><Relationship Id="rId1061" Type="http://schemas.openxmlformats.org/officeDocument/2006/relationships/hyperlink" Target="https://ryycrdhlkmzpxwwwwupy.supabase.co/storage/v1/object/public/old_media/d586c442.Path.070709.jpg" TargetMode="External"/><Relationship Id="rId2392" Type="http://schemas.openxmlformats.org/officeDocument/2006/relationships/hyperlink" Target="https://ryycrdhlkmzpxwwwwupy.supabase.co/storage/v1/object/public/old_media/7b84f47a.Path.043813.jpg" TargetMode="External"/><Relationship Id="rId231" Type="http://schemas.openxmlformats.org/officeDocument/2006/relationships/hyperlink" Target="https://ryycrdhlkmzpxwwwwupy.supabase.co/storage/v1/object/public/old_media/d0430868.Path.153525.jpg" TargetMode="External"/><Relationship Id="rId1062" Type="http://schemas.openxmlformats.org/officeDocument/2006/relationships/hyperlink" Target="https://ryycrdhlkmzpxwwwwupy.supabase.co/storage/v1/object/public/old_media/d3cc200e.Path.050819.jpg" TargetMode="External"/><Relationship Id="rId2393" Type="http://schemas.openxmlformats.org/officeDocument/2006/relationships/hyperlink" Target="https://ryycrdhlkmzpxwwwwupy.supabase.co/storage/v1/object/public/old_media/9def8d6c.Path.043822.jpg" TargetMode="External"/><Relationship Id="rId230" Type="http://schemas.openxmlformats.org/officeDocument/2006/relationships/hyperlink" Target="https://ryycrdhlkmzpxwwwwupy.supabase.co/storage/v1/object/public/old_media/3ce16052.Path.153447.jpg" TargetMode="External"/><Relationship Id="rId1063" Type="http://schemas.openxmlformats.org/officeDocument/2006/relationships/hyperlink" Target="https://ryycrdhlkmzpxwwwwupy.supabase.co/storage/v1/object/public/old_media/7f855458.Path.050857.jpg" TargetMode="External"/><Relationship Id="rId2394" Type="http://schemas.openxmlformats.org/officeDocument/2006/relationships/hyperlink" Target="https://ryycrdhlkmzpxwwwwupy.supabase.co/storage/v1/object/public/old_media/08b0bcc3.Path.043832.jpg" TargetMode="External"/><Relationship Id="rId1064" Type="http://schemas.openxmlformats.org/officeDocument/2006/relationships/hyperlink" Target="https://ryycrdhlkmzpxwwwwupy.supabase.co/storage/v1/object/public/old_media/30be6cbf.Path.050919.jpg" TargetMode="External"/><Relationship Id="rId2395" Type="http://schemas.openxmlformats.org/officeDocument/2006/relationships/hyperlink" Target="https://ryycrdhlkmzpxwwwwupy.supabase.co/storage/v1/object/public/old_media/6d6fd3bd.Path.043841.jpg" TargetMode="External"/><Relationship Id="rId1065" Type="http://schemas.openxmlformats.org/officeDocument/2006/relationships/hyperlink" Target="https://ryycrdhlkmzpxwwwwupy.supabase.co/storage/v1/object/public/old_media/462ced7d.Path.050936.jpg" TargetMode="External"/><Relationship Id="rId2396" Type="http://schemas.openxmlformats.org/officeDocument/2006/relationships/hyperlink" Target="https://ryycrdhlkmzpxwwwwupy.supabase.co/storage/v1/object/public/old_media/fdc48b79.Path.043852.jpg" TargetMode="External"/><Relationship Id="rId235" Type="http://schemas.openxmlformats.org/officeDocument/2006/relationships/hyperlink" Target="https://ryycrdhlkmzpxwwwwupy.supabase.co/storage/v1/object/public/old_media/4a7b96ca.Path.163745.jpg" TargetMode="External"/><Relationship Id="rId1066" Type="http://schemas.openxmlformats.org/officeDocument/2006/relationships/hyperlink" Target="https://ryycrdhlkmzpxwwwwupy.supabase.co/storage/v1/object/public/old_media/95adbcc1.Path.073218.jpg" TargetMode="External"/><Relationship Id="rId2397" Type="http://schemas.openxmlformats.org/officeDocument/2006/relationships/hyperlink" Target="https://ryycrdhlkmzpxwwwwupy.supabase.co/storage/v1/object/public/old_media/1adea592.Path.043901.jpg" TargetMode="External"/><Relationship Id="rId234" Type="http://schemas.openxmlformats.org/officeDocument/2006/relationships/hyperlink" Target="https://ryycrdhlkmzpxwwwwupy.supabase.co/storage/v1/object/public/old_media/2fef0aa5.Path.163657.jpg" TargetMode="External"/><Relationship Id="rId1067" Type="http://schemas.openxmlformats.org/officeDocument/2006/relationships/hyperlink" Target="https://ryycrdhlkmzpxwwwwupy.supabase.co/storage/v1/object/public/old_media/397581c6.Path.073225.jpg" TargetMode="External"/><Relationship Id="rId2398" Type="http://schemas.openxmlformats.org/officeDocument/2006/relationships/hyperlink" Target="https://ryycrdhlkmzpxwwwwupy.supabase.co/storage/v1/object/public/old_media/d42022cd.Path.043909.jpg" TargetMode="External"/><Relationship Id="rId233" Type="http://schemas.openxmlformats.org/officeDocument/2006/relationships/hyperlink" Target="https://ryycrdhlkmzpxwwwwupy.supabase.co/storage/v1/object/public/old_media/0e699f57.Path.163615.png" TargetMode="External"/><Relationship Id="rId1068" Type="http://schemas.openxmlformats.org/officeDocument/2006/relationships/hyperlink" Target="https://ryycrdhlkmzpxwwwwupy.supabase.co/storage/v1/object/public/old_media/7573220e.Path.073243.jpg" TargetMode="External"/><Relationship Id="rId2399" Type="http://schemas.openxmlformats.org/officeDocument/2006/relationships/hyperlink" Target="https://ryycrdhlkmzpxwwwwupy.supabase.co/storage/v1/object/public/old_media/405841fa.Path.065800.jpg" TargetMode="External"/><Relationship Id="rId232" Type="http://schemas.openxmlformats.org/officeDocument/2006/relationships/hyperlink" Target="https://ryycrdhlkmzpxwwwwupy.supabase.co/storage/v1/object/public/old_media/c8df39ad.Path.153538.png" TargetMode="External"/><Relationship Id="rId1069" Type="http://schemas.openxmlformats.org/officeDocument/2006/relationships/hyperlink" Target="https://ryycrdhlkmzpxwwwwupy.supabase.co/storage/v1/object/public/old_media/091d44b8.Path.073306.jpg" TargetMode="External"/><Relationship Id="rId1015" Type="http://schemas.openxmlformats.org/officeDocument/2006/relationships/hyperlink" Target="https://ryycrdhlkmzpxwwwwupy.supabase.co/storage/v1/object/public/old_media/2d57e15d.Path.060412.jpg" TargetMode="External"/><Relationship Id="rId2346" Type="http://schemas.openxmlformats.org/officeDocument/2006/relationships/hyperlink" Target="https://ryycrdhlkmzpxwwwwupy.supabase.co/storage/v1/object/public/old_media/8e3c2a81.Path.072354.jpg" TargetMode="External"/><Relationship Id="rId3678" Type="http://schemas.openxmlformats.org/officeDocument/2006/relationships/hyperlink" Target="https://ryycrdhlkmzpxwwwwupy.supabase.co/storage/v1/object/public/old_media/6b323bc2.Path.063313.jpg" TargetMode="External"/><Relationship Id="rId1016" Type="http://schemas.openxmlformats.org/officeDocument/2006/relationships/hyperlink" Target="https://ryycrdhlkmzpxwwwwupy.supabase.co/storage/v1/object/public/old_media/0c068d68.Path.060422.jpg" TargetMode="External"/><Relationship Id="rId2347" Type="http://schemas.openxmlformats.org/officeDocument/2006/relationships/hyperlink" Target="https://ryycrdhlkmzpxwwwwupy.supabase.co/storage/v1/object/public/old_media/e01ebd23.Path.072408.jpg" TargetMode="External"/><Relationship Id="rId3677" Type="http://schemas.openxmlformats.org/officeDocument/2006/relationships/hyperlink" Target="https://ryycrdhlkmzpxwwwwupy.supabase.co/storage/v1/object/public/old_media/07891b96.Path.063149.jpg" TargetMode="External"/><Relationship Id="rId1017" Type="http://schemas.openxmlformats.org/officeDocument/2006/relationships/hyperlink" Target="https://ryycrdhlkmzpxwwwwupy.supabase.co/storage/v1/object/public/old_media/e55627a9.Path.060452.jpg" TargetMode="External"/><Relationship Id="rId2348" Type="http://schemas.openxmlformats.org/officeDocument/2006/relationships/hyperlink" Target="https://ryycrdhlkmzpxwwwwupy.supabase.co/storage/v1/object/public/old_media/dfc007a1.Path.072443.jpg" TargetMode="External"/><Relationship Id="rId1018" Type="http://schemas.openxmlformats.org/officeDocument/2006/relationships/hyperlink" Target="https://ryycrdhlkmzpxwwwwupy.supabase.co/storage/v1/object/public/old_media/d91c9425.Path.060502.jpg" TargetMode="External"/><Relationship Id="rId2349" Type="http://schemas.openxmlformats.org/officeDocument/2006/relationships/hyperlink" Target="https://ryycrdhlkmzpxwwwwupy.supabase.co/storage/v1/object/public/old_media/254a792e.Path.092652.jpg" TargetMode="External"/><Relationship Id="rId3679" Type="http://schemas.openxmlformats.org/officeDocument/2006/relationships/hyperlink" Target="https://ryycrdhlkmzpxwwwwupy.supabase.co/storage/v1/object/public/old_media/3bfb3586.Path.063550.png" TargetMode="External"/><Relationship Id="rId1019" Type="http://schemas.openxmlformats.org/officeDocument/2006/relationships/hyperlink" Target="https://ryycrdhlkmzpxwwwwupy.supabase.co/storage/v1/object/public/old_media/49c85dd5.Path.060510.jpg" TargetMode="External"/><Relationship Id="rId3670" Type="http://schemas.openxmlformats.org/officeDocument/2006/relationships/hyperlink" Target="https://ryycrdhlkmzpxwwwwupy.supabase.co/storage/v1/object/public/old_media/5d815ae4.Path.061135.jpg" TargetMode="External"/><Relationship Id="rId2340" Type="http://schemas.openxmlformats.org/officeDocument/2006/relationships/hyperlink" Target="https://ryycrdhlkmzpxwwwwupy.supabase.co/storage/v1/object/public/old_media/1fac8b08.Path.072734.jpg" TargetMode="External"/><Relationship Id="rId3672" Type="http://schemas.openxmlformats.org/officeDocument/2006/relationships/hyperlink" Target="https://ryycrdhlkmzpxwwwwupy.supabase.co/storage/v1/object/public/old_media/6105cd14.Path.062410.jpg" TargetMode="External"/><Relationship Id="rId1010" Type="http://schemas.openxmlformats.org/officeDocument/2006/relationships/hyperlink" Target="https://ryycrdhlkmzpxwwwwupy.supabase.co/storage/v1/object/public/old_media/6763beb3.Path.075029.jpg" TargetMode="External"/><Relationship Id="rId2341" Type="http://schemas.openxmlformats.org/officeDocument/2006/relationships/hyperlink" Target="https://ryycrdhlkmzpxwwwwupy.supabase.co/storage/v1/object/public/old_media/bbe9b833.Path.072745.jpg" TargetMode="External"/><Relationship Id="rId3671" Type="http://schemas.openxmlformats.org/officeDocument/2006/relationships/hyperlink" Target="https://ryycrdhlkmzpxwwwwupy.supabase.co/storage/v1/object/public/old_media/5f5292cb.Path.062024.jpg" TargetMode="External"/><Relationship Id="rId1011" Type="http://schemas.openxmlformats.org/officeDocument/2006/relationships/hyperlink" Target="https://ryycrdhlkmzpxwwwwupy.supabase.co/storage/v1/object/public/old_media/fe59da06.Path.060330.jpg" TargetMode="External"/><Relationship Id="rId2342" Type="http://schemas.openxmlformats.org/officeDocument/2006/relationships/hyperlink" Target="https://ryycrdhlkmzpxwwwwupy.supabase.co/storage/v1/object/public/old_media/89bbebf5.Path.072800.jpg" TargetMode="External"/><Relationship Id="rId3674" Type="http://schemas.openxmlformats.org/officeDocument/2006/relationships/hyperlink" Target="https://ryycrdhlkmzpxwwwwupy.supabase.co/storage/v1/object/public/old_media/b71bd4a1.Path.062634.jpg" TargetMode="External"/><Relationship Id="rId1012" Type="http://schemas.openxmlformats.org/officeDocument/2006/relationships/hyperlink" Target="https://ryycrdhlkmzpxwwwwupy.supabase.co/storage/v1/object/public/old_media/27b0edb6.Path.060339.jpg" TargetMode="External"/><Relationship Id="rId2343" Type="http://schemas.openxmlformats.org/officeDocument/2006/relationships/hyperlink" Target="https://ryycrdhlkmzpxwwwwupy.supabase.co/storage/v1/object/public/old_media/4d69c14e.Path.072810.webp" TargetMode="External"/><Relationship Id="rId3673" Type="http://schemas.openxmlformats.org/officeDocument/2006/relationships/hyperlink" Target="https://ryycrdhlkmzpxwwwwupy.supabase.co/storage/v1/object/public/old_media/be5ea960.Path.062524.jpg" TargetMode="External"/><Relationship Id="rId1013" Type="http://schemas.openxmlformats.org/officeDocument/2006/relationships/hyperlink" Target="https://ryycrdhlkmzpxwwwwupy.supabase.co/storage/v1/object/public/old_media/17ad7740.Path.060348.jpg" TargetMode="External"/><Relationship Id="rId2344" Type="http://schemas.openxmlformats.org/officeDocument/2006/relationships/hyperlink" Target="https://ryycrdhlkmzpxwwwwupy.supabase.co/storage/v1/object/public/old_media/f8965a14.Path.102545.jpg" TargetMode="External"/><Relationship Id="rId3676" Type="http://schemas.openxmlformats.org/officeDocument/2006/relationships/hyperlink" Target="https://ryycrdhlkmzpxwwwwupy.supabase.co/storage/v1/object/public/old_media/3f09b4d4.Path.063033.jpg" TargetMode="External"/><Relationship Id="rId1014" Type="http://schemas.openxmlformats.org/officeDocument/2006/relationships/hyperlink" Target="https://ryycrdhlkmzpxwwwwupy.supabase.co/storage/v1/object/public/old_media/7ff8a591.Path.060359.jpg" TargetMode="External"/><Relationship Id="rId2345" Type="http://schemas.openxmlformats.org/officeDocument/2006/relationships/hyperlink" Target="https://ryycrdhlkmzpxwwwwupy.supabase.co/storage/v1/object/public/old_media/30808780.Path.102555.jpg" TargetMode="External"/><Relationship Id="rId3675" Type="http://schemas.openxmlformats.org/officeDocument/2006/relationships/hyperlink" Target="https://ryycrdhlkmzpxwwwwupy.supabase.co/storage/v1/object/public/old_media/67aa4cdb.Path.062842.jpg" TargetMode="External"/><Relationship Id="rId1004" Type="http://schemas.openxmlformats.org/officeDocument/2006/relationships/hyperlink" Target="https://ryycrdhlkmzpxwwwwupy.supabase.co/storage/v1/object/public/old_media/cfb809a3.Path.074901.jpg" TargetMode="External"/><Relationship Id="rId2335" Type="http://schemas.openxmlformats.org/officeDocument/2006/relationships/hyperlink" Target="https://ryycrdhlkmzpxwwwwupy.supabase.co/storage/v1/object/public/old_media/e793b3c2.Path.070907.jpg" TargetMode="External"/><Relationship Id="rId3667" Type="http://schemas.openxmlformats.org/officeDocument/2006/relationships/hyperlink" Target="https://ryycrdhlkmzpxwwwwupy.supabase.co/storage/v1/object/public/old_media/5994d22c.Path.060502.jpg" TargetMode="External"/><Relationship Id="rId4998" Type="http://schemas.openxmlformats.org/officeDocument/2006/relationships/hyperlink" Target="https://ryycrdhlkmzpxwwwwupy.supabase.co/storage/v1/object/public/old_media/960cde90.Path.055155.avif" TargetMode="External"/><Relationship Id="rId1005" Type="http://schemas.openxmlformats.org/officeDocument/2006/relationships/hyperlink" Target="https://ryycrdhlkmzpxwwwwupy.supabase.co/storage/v1/object/public/old_media/a8726c42.Path.074908.jpg" TargetMode="External"/><Relationship Id="rId2336" Type="http://schemas.openxmlformats.org/officeDocument/2006/relationships/hyperlink" Target="https://ryycrdhlkmzpxwwwwupy.supabase.co/storage/v1/object/public/old_media/75b7ccc1.Path.070922.jpg" TargetMode="External"/><Relationship Id="rId3666" Type="http://schemas.openxmlformats.org/officeDocument/2006/relationships/hyperlink" Target="https://ryycrdhlkmzpxwwwwupy.supabase.co/storage/v1/object/public/old_media/ccebf7c3.Path.060308.jpg" TargetMode="External"/><Relationship Id="rId4997" Type="http://schemas.openxmlformats.org/officeDocument/2006/relationships/hyperlink" Target="https://ryycrdhlkmzpxwwwwupy.supabase.co/storage/v1/object/public/old_media/8e329c2f.Path.095511.avif" TargetMode="External"/><Relationship Id="rId1006" Type="http://schemas.openxmlformats.org/officeDocument/2006/relationships/hyperlink" Target="https://ryycrdhlkmzpxwwwwupy.supabase.co/storage/v1/object/public/old_media/ea0d86c6.Path.074936.jpg" TargetMode="External"/><Relationship Id="rId2337" Type="http://schemas.openxmlformats.org/officeDocument/2006/relationships/hyperlink" Target="https://ryycrdhlkmzpxwwwwupy.supabase.co/storage/v1/object/public/old_media/3d57c3a9.Path.071810.jpg" TargetMode="External"/><Relationship Id="rId3669" Type="http://schemas.openxmlformats.org/officeDocument/2006/relationships/hyperlink" Target="https://ryycrdhlkmzpxwwwwupy.supabase.co/storage/v1/object/public/old_media/d430b0b0.Path.061015.jpg" TargetMode="External"/><Relationship Id="rId1007" Type="http://schemas.openxmlformats.org/officeDocument/2006/relationships/hyperlink" Target="https://ryycrdhlkmzpxwwwwupy.supabase.co/storage/v1/object/public/old_media/c38d5836.Path.074953.jpg" TargetMode="External"/><Relationship Id="rId2338" Type="http://schemas.openxmlformats.org/officeDocument/2006/relationships/hyperlink" Target="https://ryycrdhlkmzpxwwwwupy.supabase.co/storage/v1/object/public/old_media/d0e54002.Path.072708.webp" TargetMode="External"/><Relationship Id="rId3668" Type="http://schemas.openxmlformats.org/officeDocument/2006/relationships/hyperlink" Target="https://ryycrdhlkmzpxwwwwupy.supabase.co/storage/v1/object/public/old_media/179dbb15.Path.060704.jpg" TargetMode="External"/><Relationship Id="rId4999" Type="http://schemas.openxmlformats.org/officeDocument/2006/relationships/hyperlink" Target="https://ryycrdhlkmzpxwwwwupy.supabase.co/storage/v1/object/public/old_media/162ee54c.Path.055227.avif" TargetMode="External"/><Relationship Id="rId1008" Type="http://schemas.openxmlformats.org/officeDocument/2006/relationships/hyperlink" Target="https://ryycrdhlkmzpxwwwwupy.supabase.co/storage/v1/object/public/old_media/94289898.Path.075000.jpg" TargetMode="External"/><Relationship Id="rId2339" Type="http://schemas.openxmlformats.org/officeDocument/2006/relationships/hyperlink" Target="https://ryycrdhlkmzpxwwwwupy.supabase.co/storage/v1/object/public/old_media/c8e6ffad.Path.072721.webp" TargetMode="External"/><Relationship Id="rId1009" Type="http://schemas.openxmlformats.org/officeDocument/2006/relationships/hyperlink" Target="https://ryycrdhlkmzpxwwwwupy.supabase.co/storage/v1/object/public/old_media/d31b8b59.Path.075018.jpg" TargetMode="External"/><Relationship Id="rId4990" Type="http://schemas.openxmlformats.org/officeDocument/2006/relationships/hyperlink" Target="https://ryycrdhlkmzpxwwwwupy.supabase.co/storage/v1/object/public/old_media/9e7c5442.Path.071157.jpg" TargetMode="External"/><Relationship Id="rId3661" Type="http://schemas.openxmlformats.org/officeDocument/2006/relationships/hyperlink" Target="https://ryycrdhlkmzpxwwwwupy.supabase.co/storage/v1/object/public/old_media/05f60c6a.Path.124922.jpg" TargetMode="External"/><Relationship Id="rId4992" Type="http://schemas.openxmlformats.org/officeDocument/2006/relationships/hyperlink" Target="https://ryycrdhlkmzpxwwwwupy.supabase.co/storage/v1/object/public/old_media/4a865fdd.Path.095242.avif" TargetMode="External"/><Relationship Id="rId2330" Type="http://schemas.openxmlformats.org/officeDocument/2006/relationships/hyperlink" Target="https://ryycrdhlkmzpxwwwwupy.supabase.co/storage/v1/object/public/old_media/35d11ac3.Path.051527.jpg" TargetMode="External"/><Relationship Id="rId3660" Type="http://schemas.openxmlformats.org/officeDocument/2006/relationships/hyperlink" Target="https://ryycrdhlkmzpxwwwwupy.supabase.co/storage/v1/object/public/old_media/451f4660.Path.113859.jpg" TargetMode="External"/><Relationship Id="rId4991" Type="http://schemas.openxmlformats.org/officeDocument/2006/relationships/hyperlink" Target="https://ryycrdhlkmzpxwwwwupy.supabase.co/storage/v1/object/public/old_media/71e1e275.Path.095214.avif" TargetMode="External"/><Relationship Id="rId1000" Type="http://schemas.openxmlformats.org/officeDocument/2006/relationships/hyperlink" Target="https://ryycrdhlkmzpxwwwwupy.supabase.co/storage/v1/object/public/old_media/033bb11c.Path.054051.jpg" TargetMode="External"/><Relationship Id="rId2331" Type="http://schemas.openxmlformats.org/officeDocument/2006/relationships/hyperlink" Target="https://ryycrdhlkmzpxwwwwupy.supabase.co/storage/v1/object/public/old_media/90a935c9.Path.051541.jpg" TargetMode="External"/><Relationship Id="rId3663" Type="http://schemas.openxmlformats.org/officeDocument/2006/relationships/hyperlink" Target="https://ryycrdhlkmzpxwwwwupy.supabase.co/storage/v1/object/public/old_media/b90598a1.Path.050445.jpg" TargetMode="External"/><Relationship Id="rId4994" Type="http://schemas.openxmlformats.org/officeDocument/2006/relationships/hyperlink" Target="https://ryycrdhlkmzpxwwwwupy.supabase.co/storage/v1/object/public/old_media/c3b2f481.Path.095339.avif" TargetMode="External"/><Relationship Id="rId1001" Type="http://schemas.openxmlformats.org/officeDocument/2006/relationships/hyperlink" Target="https://ryycrdhlkmzpxwwwwupy.supabase.co/storage/v1/object/public/old_media/5189230c.Path.054133.jpg" TargetMode="External"/><Relationship Id="rId2332" Type="http://schemas.openxmlformats.org/officeDocument/2006/relationships/hyperlink" Target="https://ryycrdhlkmzpxwwwwupy.supabase.co/storage/v1/object/public/old_media/4a6e470b.Path.051556.jpg" TargetMode="External"/><Relationship Id="rId3662" Type="http://schemas.openxmlformats.org/officeDocument/2006/relationships/hyperlink" Target="https://ryycrdhlkmzpxwwwwupy.supabase.co/storage/v1/object/public/old_media/5513bf92.Path.050226.jpg" TargetMode="External"/><Relationship Id="rId4993" Type="http://schemas.openxmlformats.org/officeDocument/2006/relationships/hyperlink" Target="https://ryycrdhlkmzpxwwwwupy.supabase.co/storage/v1/object/public/old_media/9f7a4fcd.Path.095310.avif" TargetMode="External"/><Relationship Id="rId1002" Type="http://schemas.openxmlformats.org/officeDocument/2006/relationships/hyperlink" Target="https://ryycrdhlkmzpxwwwwupy.supabase.co/storage/v1/object/public/old_media/45cf6fc7.Path.054141.jpg" TargetMode="External"/><Relationship Id="rId2333" Type="http://schemas.openxmlformats.org/officeDocument/2006/relationships/hyperlink" Target="https://ryycrdhlkmzpxwwwwupy.supabase.co/storage/v1/object/public/old_media/c3424002.Path.051609.jpg" TargetMode="External"/><Relationship Id="rId3665" Type="http://schemas.openxmlformats.org/officeDocument/2006/relationships/hyperlink" Target="https://ryycrdhlkmzpxwwwwupy.supabase.co/storage/v1/object/public/old_media/5dee3835.Path.060045.jpg" TargetMode="External"/><Relationship Id="rId4996" Type="http://schemas.openxmlformats.org/officeDocument/2006/relationships/hyperlink" Target="https://ryycrdhlkmzpxwwwwupy.supabase.co/storage/v1/object/public/old_media/a39d452d.Path.095441.avif" TargetMode="External"/><Relationship Id="rId1003" Type="http://schemas.openxmlformats.org/officeDocument/2006/relationships/hyperlink" Target="https://ryycrdhlkmzpxwwwwupy.supabase.co/storage/v1/object/public/old_media/15eaa8a6.Path.074853.jpg" TargetMode="External"/><Relationship Id="rId2334" Type="http://schemas.openxmlformats.org/officeDocument/2006/relationships/hyperlink" Target="https://ryycrdhlkmzpxwwwwupy.supabase.co/storage/v1/object/public/old_media/dfdd7259.Path.070824.jpg" TargetMode="External"/><Relationship Id="rId3664" Type="http://schemas.openxmlformats.org/officeDocument/2006/relationships/hyperlink" Target="https://ryycrdhlkmzpxwwwwupy.supabase.co/storage/v1/object/public/old_media/fdb113f0.Path.055605.jpg" TargetMode="External"/><Relationship Id="rId4995" Type="http://schemas.openxmlformats.org/officeDocument/2006/relationships/hyperlink" Target="https://ryycrdhlkmzpxwwwwupy.supabase.co/storage/v1/object/public/old_media/82aa2ce2.Path.095410.avif" TargetMode="External"/><Relationship Id="rId1037" Type="http://schemas.openxmlformats.org/officeDocument/2006/relationships/hyperlink" Target="https://ryycrdhlkmzpxwwwwupy.supabase.co/storage/v1/object/public/old_media/938a97d4.Path.102959.jpg" TargetMode="External"/><Relationship Id="rId2368" Type="http://schemas.openxmlformats.org/officeDocument/2006/relationships/hyperlink" Target="https://ryycrdhlkmzpxwwwwupy.supabase.co/storage/v1/object/public/old_media/6b37e16f.Path.052912.jpg" TargetMode="External"/><Relationship Id="rId1038" Type="http://schemas.openxmlformats.org/officeDocument/2006/relationships/hyperlink" Target="https://ryycrdhlkmzpxwwwwupy.supabase.co/storage/v1/object/public/old_media/100e74bd.Path.103017.jpg" TargetMode="External"/><Relationship Id="rId2369" Type="http://schemas.openxmlformats.org/officeDocument/2006/relationships/hyperlink" Target="https://ryycrdhlkmzpxwwwwupy.supabase.co/storage/v1/object/public/old_media/66257e7f.Path.052944.jpg" TargetMode="External"/><Relationship Id="rId3699" Type="http://schemas.openxmlformats.org/officeDocument/2006/relationships/hyperlink" Target="https://ryycrdhlkmzpxwwwwupy.supabase.co/storage/v1/object/public/old_media/4c87ef84.Path.072918.webp" TargetMode="External"/><Relationship Id="rId1039" Type="http://schemas.openxmlformats.org/officeDocument/2006/relationships/hyperlink" Target="https://ryycrdhlkmzpxwwwwupy.supabase.co/storage/v1/object/public/old_media/054a25b6.Path.103035.jpg" TargetMode="External"/><Relationship Id="rId206" Type="http://schemas.openxmlformats.org/officeDocument/2006/relationships/hyperlink" Target="https://ryycrdhlkmzpxwwwwupy.supabase.co/storage/v1/object/public/old_media/14d7ef4b.Path.072200.jpg" TargetMode="External"/><Relationship Id="rId205" Type="http://schemas.openxmlformats.org/officeDocument/2006/relationships/hyperlink" Target="https://ryycrdhlkmzpxwwwwupy.supabase.co/storage/v1/object/public/old_media/6a8fd0d2.Path.072152.jpg" TargetMode="External"/><Relationship Id="rId204" Type="http://schemas.openxmlformats.org/officeDocument/2006/relationships/hyperlink" Target="https://ryycrdhlkmzpxwwwwupy.supabase.co/storage/v1/object/public/old_media/c2c9967b.Path.072145.jpg" TargetMode="External"/><Relationship Id="rId203" Type="http://schemas.openxmlformats.org/officeDocument/2006/relationships/hyperlink" Target="https://ryycrdhlkmzpxwwwwupy.supabase.co/storage/v1/object/public/old_media/7f992dba.Path.072137.jpg" TargetMode="External"/><Relationship Id="rId209" Type="http://schemas.openxmlformats.org/officeDocument/2006/relationships/hyperlink" Target="https://ryycrdhlkmzpxwwwwupy.supabase.co/storage/v1/object/public/old_media/6c42bb5c.Path.060004.jpg" TargetMode="External"/><Relationship Id="rId208" Type="http://schemas.openxmlformats.org/officeDocument/2006/relationships/hyperlink" Target="https://ryycrdhlkmzpxwwwwupy.supabase.co/storage/v1/object/public/old_media/c0a5b0e1.Path.055943.jpg" TargetMode="External"/><Relationship Id="rId3690" Type="http://schemas.openxmlformats.org/officeDocument/2006/relationships/hyperlink" Target="https://ryycrdhlkmzpxwwwwupy.supabase.co/storage/v1/object/public/old_media/061ddebc.Path.071919.jpg" TargetMode="External"/><Relationship Id="rId207" Type="http://schemas.openxmlformats.org/officeDocument/2006/relationships/hyperlink" Target="https://ryycrdhlkmzpxwwwwupy.supabase.co/storage/v1/object/public/old_media/682159ea.Path.055918.jpg" TargetMode="External"/><Relationship Id="rId2360" Type="http://schemas.openxmlformats.org/officeDocument/2006/relationships/hyperlink" Target="https://ryycrdhlkmzpxwwwwupy.supabase.co/storage/v1/object/public/old_media/415ebb73.Path.045437.jpg" TargetMode="External"/><Relationship Id="rId3692" Type="http://schemas.openxmlformats.org/officeDocument/2006/relationships/hyperlink" Target="https://ryycrdhlkmzpxwwwwupy.supabase.co/storage/v1/object/public/old_media/d3bd16fa.Path.072154.jpg" TargetMode="External"/><Relationship Id="rId1030" Type="http://schemas.openxmlformats.org/officeDocument/2006/relationships/hyperlink" Target="https://ryycrdhlkmzpxwwwwupy.supabase.co/storage/v1/object/public/old_media/5086b6f4.Path.105834.f10.webp" TargetMode="External"/><Relationship Id="rId2361" Type="http://schemas.openxmlformats.org/officeDocument/2006/relationships/hyperlink" Target="https://ryycrdhlkmzpxwwwwupy.supabase.co/storage/v1/object/public/old_media/0d56b43a.Path.100555.jpg" TargetMode="External"/><Relationship Id="rId3691" Type="http://schemas.openxmlformats.org/officeDocument/2006/relationships/hyperlink" Target="https://ryycrdhlkmzpxwwwwupy.supabase.co/storage/v1/object/public/old_media/dbe3af9c.Path.072043.jpg" TargetMode="External"/><Relationship Id="rId1031" Type="http://schemas.openxmlformats.org/officeDocument/2006/relationships/hyperlink" Target="https://ryycrdhlkmzpxwwwwupy.supabase.co/storage/v1/object/public/old_media/4152ebd1.Path.105851.f10.webp" TargetMode="External"/><Relationship Id="rId2362" Type="http://schemas.openxmlformats.org/officeDocument/2006/relationships/hyperlink" Target="https://ryycrdhlkmzpxwwwwupy.supabase.co/storage/v1/object/public/old_media/66bacf3e.Path.100618.jpg" TargetMode="External"/><Relationship Id="rId3694" Type="http://schemas.openxmlformats.org/officeDocument/2006/relationships/hyperlink" Target="https://ryycrdhlkmzpxwwwwupy.supabase.co/storage/v1/object/public/old_media/d92b6c64.Path.072439.jpg" TargetMode="External"/><Relationship Id="rId1032" Type="http://schemas.openxmlformats.org/officeDocument/2006/relationships/hyperlink" Target="https://ryycrdhlkmzpxwwwwupy.supabase.co/storage/v1/object/public/old_media/72ddf124.Path.102826.jpg" TargetMode="External"/><Relationship Id="rId2363" Type="http://schemas.openxmlformats.org/officeDocument/2006/relationships/hyperlink" Target="https://ryycrdhlkmzpxwwwwupy.supabase.co/storage/v1/object/public/old_media/b6380295.Path.100638.jpg" TargetMode="External"/><Relationship Id="rId3693" Type="http://schemas.openxmlformats.org/officeDocument/2006/relationships/hyperlink" Target="https://ryycrdhlkmzpxwwwwupy.supabase.co/storage/v1/object/public/old_media/cdc1384a.Path.072308.jpg" TargetMode="External"/><Relationship Id="rId202" Type="http://schemas.openxmlformats.org/officeDocument/2006/relationships/hyperlink" Target="https://ryycrdhlkmzpxwwwwupy.supabase.co/storage/v1/object/public/old_media/de2df48a.Path.072131.jpg" TargetMode="External"/><Relationship Id="rId1033" Type="http://schemas.openxmlformats.org/officeDocument/2006/relationships/hyperlink" Target="https://ryycrdhlkmzpxwwwwupy.supabase.co/storage/v1/object/public/old_media/07c4a56e.Path.102842.jpg" TargetMode="External"/><Relationship Id="rId2364" Type="http://schemas.openxmlformats.org/officeDocument/2006/relationships/hyperlink" Target="https://ryycrdhlkmzpxwwwwupy.supabase.co/storage/v1/object/public/old_media/795794d4.Path.101247.jpg" TargetMode="External"/><Relationship Id="rId3696" Type="http://schemas.openxmlformats.org/officeDocument/2006/relationships/hyperlink" Target="https://ryycrdhlkmzpxwwwwupy.supabase.co/storage/v1/object/public/old_media/c8fffcb4.Path.072811.png" TargetMode="External"/><Relationship Id="rId201" Type="http://schemas.openxmlformats.org/officeDocument/2006/relationships/hyperlink" Target="https://ryycrdhlkmzpxwwwwupy.supabase.co/storage/v1/object/public/old_media/83354f5d.Path.072115.jpg" TargetMode="External"/><Relationship Id="rId1034" Type="http://schemas.openxmlformats.org/officeDocument/2006/relationships/hyperlink" Target="https://ryycrdhlkmzpxwwwwupy.supabase.co/storage/v1/object/public/old_media/dcc4f0bc.Path.102905.jpg" TargetMode="External"/><Relationship Id="rId2365" Type="http://schemas.openxmlformats.org/officeDocument/2006/relationships/hyperlink" Target="https://ryycrdhlkmzpxwwwwupy.supabase.co/storage/v1/object/public/old_media/bf37717c.Path.101300.jpg" TargetMode="External"/><Relationship Id="rId3695" Type="http://schemas.openxmlformats.org/officeDocument/2006/relationships/hyperlink" Target="https://ryycrdhlkmzpxwwwwupy.supabase.co/storage/v1/object/public/old_media/485d0c42.Path.072604.jpg" TargetMode="External"/><Relationship Id="rId200" Type="http://schemas.openxmlformats.org/officeDocument/2006/relationships/hyperlink" Target="https://ryycrdhlkmzpxwwwwupy.supabase.co/storage/v1/object/public/old_media/81edb851.Path.072108.png" TargetMode="External"/><Relationship Id="rId1035" Type="http://schemas.openxmlformats.org/officeDocument/2006/relationships/hyperlink" Target="https://ryycrdhlkmzpxwwwwupy.supabase.co/storage/v1/object/public/old_media/d6a44848.Path.102921.jpg" TargetMode="External"/><Relationship Id="rId2366" Type="http://schemas.openxmlformats.org/officeDocument/2006/relationships/hyperlink" Target="https://ryycrdhlkmzpxwwwwupy.supabase.co/storage/v1/object/public/old_media/33418ed4.Path.101320.jpg" TargetMode="External"/><Relationship Id="rId3698" Type="http://schemas.openxmlformats.org/officeDocument/2006/relationships/hyperlink" Target="https://ryycrdhlkmzpxwwwwupy.supabase.co/storage/v1/object/public/old_media/618a9735.Path.072851.webp" TargetMode="External"/><Relationship Id="rId1036" Type="http://schemas.openxmlformats.org/officeDocument/2006/relationships/hyperlink" Target="https://ryycrdhlkmzpxwwwwupy.supabase.co/storage/v1/object/public/old_media/1393a92e.Path.102939.jpg" TargetMode="External"/><Relationship Id="rId2367" Type="http://schemas.openxmlformats.org/officeDocument/2006/relationships/hyperlink" Target="https://ryycrdhlkmzpxwwwwupy.supabase.co/storage/v1/object/public/old_media/f890ae9f.Path.101402.jpg" TargetMode="External"/><Relationship Id="rId3697" Type="http://schemas.openxmlformats.org/officeDocument/2006/relationships/hyperlink" Target="https://ryycrdhlkmzpxwwwwupy.supabase.co/storage/v1/object/public/old_media/f064805b.Path.072823.webp" TargetMode="External"/><Relationship Id="rId1026" Type="http://schemas.openxmlformats.org/officeDocument/2006/relationships/hyperlink" Target="https://ryycrdhlkmzpxwwwwupy.supabase.co/storage/v1/object/public/old_media/ad66ed86.Path.105713.f10.webp" TargetMode="External"/><Relationship Id="rId2357" Type="http://schemas.openxmlformats.org/officeDocument/2006/relationships/hyperlink" Target="https://ryycrdhlkmzpxwwwwupy.supabase.co/storage/v1/object/public/old_media/e8d3c289.Path.093052.jpg" TargetMode="External"/><Relationship Id="rId3689" Type="http://schemas.openxmlformats.org/officeDocument/2006/relationships/hyperlink" Target="https://ryycrdhlkmzpxwwwwupy.supabase.co/storage/v1/object/public/old_media/46d8f136.Path.071803.jpg" TargetMode="External"/><Relationship Id="rId1027" Type="http://schemas.openxmlformats.org/officeDocument/2006/relationships/hyperlink" Target="https://ryycrdhlkmzpxwwwwupy.supabase.co/storage/v1/object/public/old_media/b1cfdc59.Path.105732.f10.webp" TargetMode="External"/><Relationship Id="rId2358" Type="http://schemas.openxmlformats.org/officeDocument/2006/relationships/hyperlink" Target="https://ryycrdhlkmzpxwwwwupy.supabase.co/storage/v1/object/public/old_media/a81116e0.Path.111744.jpg" TargetMode="External"/><Relationship Id="rId3688" Type="http://schemas.openxmlformats.org/officeDocument/2006/relationships/hyperlink" Target="https://ryycrdhlkmzpxwwwwupy.supabase.co/storage/v1/object/public/old_media/6aede0f8.Path.071519.webp" TargetMode="External"/><Relationship Id="rId1028" Type="http://schemas.openxmlformats.org/officeDocument/2006/relationships/hyperlink" Target="https://ryycrdhlkmzpxwwwwupy.supabase.co/storage/v1/object/public/old_media/d1b4f55d.Path.105751.f10.webp" TargetMode="External"/><Relationship Id="rId2359" Type="http://schemas.openxmlformats.org/officeDocument/2006/relationships/hyperlink" Target="https://ryycrdhlkmzpxwwwwupy.supabase.co/storage/v1/object/public/old_media/1e28100f.Path.111816.jpg" TargetMode="External"/><Relationship Id="rId1029" Type="http://schemas.openxmlformats.org/officeDocument/2006/relationships/hyperlink" Target="https://ryycrdhlkmzpxwwwwupy.supabase.co/storage/v1/object/public/old_media/f2548009.Path.105811.f10.webp" TargetMode="External"/><Relationship Id="rId3681" Type="http://schemas.openxmlformats.org/officeDocument/2006/relationships/hyperlink" Target="https://ryycrdhlkmzpxwwwwupy.supabase.co/storage/v1/object/public/old_media/e76bec3a.Path.064256.jpg" TargetMode="External"/><Relationship Id="rId2350" Type="http://schemas.openxmlformats.org/officeDocument/2006/relationships/hyperlink" Target="https://ryycrdhlkmzpxwwwwupy.supabase.co/storage/v1/object/public/old_media/df1bd08c.Path.092720.jpg" TargetMode="External"/><Relationship Id="rId3680" Type="http://schemas.openxmlformats.org/officeDocument/2006/relationships/hyperlink" Target="https://ryycrdhlkmzpxwwwwupy.supabase.co/storage/v1/object/public/old_media/f1ef0f9b.Path.064139.com.webp" TargetMode="External"/><Relationship Id="rId1020" Type="http://schemas.openxmlformats.org/officeDocument/2006/relationships/hyperlink" Target="https://ryycrdhlkmzpxwwwwupy.supabase.co/storage/v1/object/public/old_media/c2267734.Path.060530.jpg" TargetMode="External"/><Relationship Id="rId2351" Type="http://schemas.openxmlformats.org/officeDocument/2006/relationships/hyperlink" Target="https://ryycrdhlkmzpxwwwwupy.supabase.co/storage/v1/object/public/old_media/5a57707d.Path.092748.jpg" TargetMode="External"/><Relationship Id="rId3683" Type="http://schemas.openxmlformats.org/officeDocument/2006/relationships/hyperlink" Target="https://ryycrdhlkmzpxwwwwupy.supabase.co/storage/v1/object/public/old_media/3ac78c54.Path.070443.jpg" TargetMode="External"/><Relationship Id="rId1021" Type="http://schemas.openxmlformats.org/officeDocument/2006/relationships/hyperlink" Target="https://ryycrdhlkmzpxwwwwupy.supabase.co/storage/v1/object/public/old_media/4b9eb2d7.Path.060538.jpg" TargetMode="External"/><Relationship Id="rId2352" Type="http://schemas.openxmlformats.org/officeDocument/2006/relationships/hyperlink" Target="https://ryycrdhlkmzpxwwwwupy.supabase.co/storage/v1/object/public/old_media/eba40d9c.Path.092823.jpg" TargetMode="External"/><Relationship Id="rId3682" Type="http://schemas.openxmlformats.org/officeDocument/2006/relationships/hyperlink" Target="https://ryycrdhlkmzpxwwwwupy.supabase.co/storage/v1/object/public/old_media/e35a0683.Path.064632.jpg" TargetMode="External"/><Relationship Id="rId1022" Type="http://schemas.openxmlformats.org/officeDocument/2006/relationships/hyperlink" Target="https://ryycrdhlkmzpxwwwwupy.supabase.co/storage/v1/object/public/old_media/da0922e1.Path.105535.f10.webp" TargetMode="External"/><Relationship Id="rId2353" Type="http://schemas.openxmlformats.org/officeDocument/2006/relationships/hyperlink" Target="https://ryycrdhlkmzpxwwwwupy.supabase.co/storage/v1/object/public/old_media/0aad9624.Path.092844.jpg" TargetMode="External"/><Relationship Id="rId3685" Type="http://schemas.openxmlformats.org/officeDocument/2006/relationships/hyperlink" Target="https://ryycrdhlkmzpxwwwwupy.supabase.co/storage/v1/object/public/old_media/d1ebb537.Path.071038.jpg" TargetMode="External"/><Relationship Id="rId1023" Type="http://schemas.openxmlformats.org/officeDocument/2006/relationships/hyperlink" Target="https://ryycrdhlkmzpxwwwwupy.supabase.co/storage/v1/object/public/old_media/dd48c06e.Path.105601.f10.webp" TargetMode="External"/><Relationship Id="rId2354" Type="http://schemas.openxmlformats.org/officeDocument/2006/relationships/hyperlink" Target="https://ryycrdhlkmzpxwwwwupy.supabase.co/storage/v1/object/public/old_media/9ac8e93c.Path.092918.jpg" TargetMode="External"/><Relationship Id="rId3684" Type="http://schemas.openxmlformats.org/officeDocument/2006/relationships/hyperlink" Target="https://ryycrdhlkmzpxwwwwupy.supabase.co/storage/v1/object/public/old_media/ecc94911.Path.070712.jpg" TargetMode="External"/><Relationship Id="rId1024" Type="http://schemas.openxmlformats.org/officeDocument/2006/relationships/hyperlink" Target="https://ryycrdhlkmzpxwwwwupy.supabase.co/storage/v1/object/public/old_media/0e5e9c23.Path.105629.f10.webp" TargetMode="External"/><Relationship Id="rId2355" Type="http://schemas.openxmlformats.org/officeDocument/2006/relationships/hyperlink" Target="https://ryycrdhlkmzpxwwwwupy.supabase.co/storage/v1/object/public/old_media/7362ce2b.Path.092950.jpg" TargetMode="External"/><Relationship Id="rId3687" Type="http://schemas.openxmlformats.org/officeDocument/2006/relationships/hyperlink" Target="https://ryycrdhlkmzpxwwwwupy.supabase.co/storage/v1/object/public/old_media/107b81d1.Path.071411.webp" TargetMode="External"/><Relationship Id="rId1025" Type="http://schemas.openxmlformats.org/officeDocument/2006/relationships/hyperlink" Target="https://ryycrdhlkmzpxwwwwupy.supabase.co/storage/v1/object/public/old_media/65b16a60.Path.105653.f10.webp" TargetMode="External"/><Relationship Id="rId2356" Type="http://schemas.openxmlformats.org/officeDocument/2006/relationships/hyperlink" Target="https://ryycrdhlkmzpxwwwwupy.supabase.co/storage/v1/object/public/old_media/ee974417.Path.093024.jpg" TargetMode="External"/><Relationship Id="rId3686" Type="http://schemas.openxmlformats.org/officeDocument/2006/relationships/hyperlink" Target="https://ryycrdhlkmzpxwwwwupy.supabase.co/storage/v1/object/public/old_media/076cd571.Path.071129.jpg" TargetMode="External"/><Relationship Id="rId4161" Type="http://schemas.openxmlformats.org/officeDocument/2006/relationships/hyperlink" Target="https://ryycrdhlkmzpxwwwwupy.supabase.co/storage/v1/object/public/old_media/061f81cc.Path.111500.jpg" TargetMode="External"/><Relationship Id="rId4160" Type="http://schemas.openxmlformats.org/officeDocument/2006/relationships/hyperlink" Target="https://ryycrdhlkmzpxwwwwupy.supabase.co/storage/v1/object/public/old_media/c0b081d3.Path.111426.jpg" TargetMode="External"/><Relationship Id="rId4163" Type="http://schemas.openxmlformats.org/officeDocument/2006/relationships/hyperlink" Target="https://ryycrdhlkmzpxwwwwupy.supabase.co/storage/v1/object/public/old_media/5837bda7.Path.112308.jpg" TargetMode="External"/><Relationship Id="rId4162" Type="http://schemas.openxmlformats.org/officeDocument/2006/relationships/hyperlink" Target="https://ryycrdhlkmzpxwwwwupy.supabase.co/storage/v1/object/public/old_media/e9b2c2c8.Path.111908.jpg" TargetMode="External"/><Relationship Id="rId4165" Type="http://schemas.openxmlformats.org/officeDocument/2006/relationships/hyperlink" Target="https://ryycrdhlkmzpxwwwwupy.supabase.co/storage/v1/object/public/old_media/f997b7ac.Path.112800.jpg" TargetMode="External"/><Relationship Id="rId4164" Type="http://schemas.openxmlformats.org/officeDocument/2006/relationships/hyperlink" Target="https://ryycrdhlkmzpxwwwwupy.supabase.co/storage/v1/object/public/old_media/594a6940.Path.112340.jpg" TargetMode="External"/><Relationship Id="rId4167" Type="http://schemas.openxmlformats.org/officeDocument/2006/relationships/hyperlink" Target="https://ryycrdhlkmzpxwwwwupy.supabase.co/storage/v1/object/public/old_media/db52c1d8.Path.112908.jpg" TargetMode="External"/><Relationship Id="rId4166" Type="http://schemas.openxmlformats.org/officeDocument/2006/relationships/hyperlink" Target="https://ryycrdhlkmzpxwwwwupy.supabase.co/storage/v1/object/public/old_media/2efea768.Path.112835.jpg" TargetMode="External"/><Relationship Id="rId4169" Type="http://schemas.openxmlformats.org/officeDocument/2006/relationships/hyperlink" Target="https://ryycrdhlkmzpxwwwwupy.supabase.co/storage/v1/object/public/old_media/f62ed3a9.Path.113012.jpg" TargetMode="External"/><Relationship Id="rId4168" Type="http://schemas.openxmlformats.org/officeDocument/2006/relationships/hyperlink" Target="https://ryycrdhlkmzpxwwwwupy.supabase.co/storage/v1/object/public/old_media/d9c0755c.Path.112936.jpg" TargetMode="External"/><Relationship Id="rId4150" Type="http://schemas.openxmlformats.org/officeDocument/2006/relationships/hyperlink" Target="https://ryycrdhlkmzpxwwwwupy.supabase.co/storage/v1/object/public/old_media/f5561045.Path.063608.jpg" TargetMode="External"/><Relationship Id="rId4152" Type="http://schemas.openxmlformats.org/officeDocument/2006/relationships/hyperlink" Target="https://ryycrdhlkmzpxwwwwupy.supabase.co/storage/v1/object/public/old_media/c86f9ef8.Path.064110.jpg" TargetMode="External"/><Relationship Id="rId4151" Type="http://schemas.openxmlformats.org/officeDocument/2006/relationships/hyperlink" Target="https://ryycrdhlkmzpxwwwwupy.supabase.co/storage/v1/object/public/old_media/c08816a0.Path.063958.jpg" TargetMode="External"/><Relationship Id="rId4154" Type="http://schemas.openxmlformats.org/officeDocument/2006/relationships/hyperlink" Target="https://ryycrdhlkmzpxwwwwupy.supabase.co/storage/v1/object/public/old_media/a10e2663.Path.095740.jpg" TargetMode="External"/><Relationship Id="rId4153" Type="http://schemas.openxmlformats.org/officeDocument/2006/relationships/hyperlink" Target="https://ryycrdhlkmzpxwwwwupy.supabase.co/storage/v1/object/public/old_media/13a07905.Path.095626.jpg" TargetMode="External"/><Relationship Id="rId4156" Type="http://schemas.openxmlformats.org/officeDocument/2006/relationships/hyperlink" Target="https://ryycrdhlkmzpxwwwwupy.supabase.co/storage/v1/object/public/old_media/1580799a.Path.111225.jpg" TargetMode="External"/><Relationship Id="rId4155" Type="http://schemas.openxmlformats.org/officeDocument/2006/relationships/hyperlink" Target="https://ryycrdhlkmzpxwwwwupy.supabase.co/storage/v1/object/public/old_media/6d307fef.Path.111154.jpg" TargetMode="External"/><Relationship Id="rId4158" Type="http://schemas.openxmlformats.org/officeDocument/2006/relationships/hyperlink" Target="https://ryycrdhlkmzpxwwwwupy.supabase.co/storage/v1/object/public/old_media/cba76b0e.Path.111325.jpg" TargetMode="External"/><Relationship Id="rId4157" Type="http://schemas.openxmlformats.org/officeDocument/2006/relationships/hyperlink" Target="https://ryycrdhlkmzpxwwwwupy.supabase.co/storage/v1/object/public/old_media/78fee0f2.Path.111255.jpg" TargetMode="External"/><Relationship Id="rId4159" Type="http://schemas.openxmlformats.org/officeDocument/2006/relationships/hyperlink" Target="https://ryycrdhlkmzpxwwwwupy.supabase.co/storage/v1/object/public/old_media/8c0bafe3.Path.111355.jpg" TargetMode="External"/><Relationship Id="rId1910" Type="http://schemas.openxmlformats.org/officeDocument/2006/relationships/hyperlink" Target="https://ryycrdhlkmzpxwwwwupy.supabase.co/storage/v1/object/public/old_media/dfbe787b.Path.103430.png" TargetMode="External"/><Relationship Id="rId1911" Type="http://schemas.openxmlformats.org/officeDocument/2006/relationships/hyperlink" Target="https://ryycrdhlkmzpxwwwwupy.supabase.co/storage/v1/object/public/old_media/ece6e308.Path.103510.png" TargetMode="External"/><Relationship Id="rId1912" Type="http://schemas.openxmlformats.org/officeDocument/2006/relationships/hyperlink" Target="https://ryycrdhlkmzpxwwwwupy.supabase.co/storage/v1/object/public/old_media/04beb23e.Path.103632.png" TargetMode="External"/><Relationship Id="rId1913" Type="http://schemas.openxmlformats.org/officeDocument/2006/relationships/hyperlink" Target="https://ryycrdhlkmzpxwwwwupy.supabase.co/storage/v1/object/public/old_media/a8d4db17.Path.103644.jpg" TargetMode="External"/><Relationship Id="rId1914" Type="http://schemas.openxmlformats.org/officeDocument/2006/relationships/hyperlink" Target="https://ryycrdhlkmzpxwwwwupy.supabase.co/storage/v1/object/public/old_media/c5cdef42.Path.052520.jpg" TargetMode="External"/><Relationship Id="rId1915" Type="http://schemas.openxmlformats.org/officeDocument/2006/relationships/hyperlink" Target="https://ryycrdhlkmzpxwwwwupy.supabase.co/storage/v1/object/public/old_media/8e6c73b0.Path.052531.jpg" TargetMode="External"/><Relationship Id="rId1916" Type="http://schemas.openxmlformats.org/officeDocument/2006/relationships/hyperlink" Target="https://ryycrdhlkmzpxwwwwupy.supabase.co/storage/v1/object/public/old_media/93ea3310.Path.052639.jpg" TargetMode="External"/><Relationship Id="rId1917" Type="http://schemas.openxmlformats.org/officeDocument/2006/relationships/hyperlink" Target="https://ryycrdhlkmzpxwwwwupy.supabase.co/storage/v1/object/public/old_media/889b532c.Path.052648.jpg" TargetMode="External"/><Relationship Id="rId1918" Type="http://schemas.openxmlformats.org/officeDocument/2006/relationships/hyperlink" Target="https://ryycrdhlkmzpxwwwwupy.supabase.co/storage/v1/object/public/old_media/aa0320ad.Path.052656.jpg" TargetMode="External"/><Relationship Id="rId1919" Type="http://schemas.openxmlformats.org/officeDocument/2006/relationships/hyperlink" Target="https://ryycrdhlkmzpxwwwwupy.supabase.co/storage/v1/object/public/old_media/3c4851a2.Path.052706.jpg" TargetMode="External"/><Relationship Id="rId4181" Type="http://schemas.openxmlformats.org/officeDocument/2006/relationships/hyperlink" Target="https://ryycrdhlkmzpxwwwwupy.supabase.co/storage/v1/object/public/old_media/b6be1a06.Path.103358.jpg" TargetMode="External"/><Relationship Id="rId4180" Type="http://schemas.openxmlformats.org/officeDocument/2006/relationships/hyperlink" Target="https://ryycrdhlkmzpxwwwwupy.supabase.co/storage/v1/object/public/old_media/5b4a552d.Path.102958.jpg" TargetMode="External"/><Relationship Id="rId4183" Type="http://schemas.openxmlformats.org/officeDocument/2006/relationships/hyperlink" Target="https://ryycrdhlkmzpxwwwwupy.supabase.co/storage/v1/object/public/old_media/095d45d5.Path.103738.jpg" TargetMode="External"/><Relationship Id="rId4182" Type="http://schemas.openxmlformats.org/officeDocument/2006/relationships/hyperlink" Target="https://ryycrdhlkmzpxwwwwupy.supabase.co/storage/v1/object/public/old_media/cc68e6ce.Path.103703.jpg" TargetMode="External"/><Relationship Id="rId4185" Type="http://schemas.openxmlformats.org/officeDocument/2006/relationships/hyperlink" Target="https://ryycrdhlkmzpxwwwwupy.supabase.co/storage/v1/object/public/old_media/1617e43a.Path.073422.jpg" TargetMode="External"/><Relationship Id="rId4184" Type="http://schemas.openxmlformats.org/officeDocument/2006/relationships/hyperlink" Target="https://ryycrdhlkmzpxwwwwupy.supabase.co/storage/v1/object/public/old_media/45458d54.Path.104117.jpg" TargetMode="External"/><Relationship Id="rId4187" Type="http://schemas.openxmlformats.org/officeDocument/2006/relationships/hyperlink" Target="https://ryycrdhlkmzpxwwwwupy.supabase.co/storage/v1/object/public/old_media/60686e8d.Path.074152.jpg" TargetMode="External"/><Relationship Id="rId4186" Type="http://schemas.openxmlformats.org/officeDocument/2006/relationships/hyperlink" Target="https://ryycrdhlkmzpxwwwwupy.supabase.co/storage/v1/object/public/old_media/91729b78.Path.074012.jpg" TargetMode="External"/><Relationship Id="rId4189" Type="http://schemas.openxmlformats.org/officeDocument/2006/relationships/hyperlink" Target="https://ryycrdhlkmzpxwwwwupy.supabase.co/storage/v1/object/public/old_media/c19a5883.Path.074642.jpg" TargetMode="External"/><Relationship Id="rId4188" Type="http://schemas.openxmlformats.org/officeDocument/2006/relationships/hyperlink" Target="https://ryycrdhlkmzpxwwwwupy.supabase.co/storage/v1/object/public/old_media/dbf0da9f.Path.074243.jpg" TargetMode="External"/><Relationship Id="rId1900" Type="http://schemas.openxmlformats.org/officeDocument/2006/relationships/hyperlink" Target="https://ryycrdhlkmzpxwwwwupy.supabase.co/storage/v1/object/public/old_media/6f553d0d.Path.075331.jpg" TargetMode="External"/><Relationship Id="rId1901" Type="http://schemas.openxmlformats.org/officeDocument/2006/relationships/hyperlink" Target="https://ryycrdhlkmzpxwwwwupy.supabase.co/storage/v1/object/public/old_media/c79addf6.Path.075402.jpg" TargetMode="External"/><Relationship Id="rId1902" Type="http://schemas.openxmlformats.org/officeDocument/2006/relationships/hyperlink" Target="https://ryycrdhlkmzpxwwwwupy.supabase.co/storage/v1/object/public/old_media/196a8b05.Path.075427.jpg" TargetMode="External"/><Relationship Id="rId1903" Type="http://schemas.openxmlformats.org/officeDocument/2006/relationships/hyperlink" Target="https://ryycrdhlkmzpxwwwwupy.supabase.co/storage/v1/object/public/old_media/f1e82666.Path.075446.jpg" TargetMode="External"/><Relationship Id="rId1904" Type="http://schemas.openxmlformats.org/officeDocument/2006/relationships/hyperlink" Target="https://ryycrdhlkmzpxwwwwupy.supabase.co/storage/v1/object/public/old_media/3b17393e.Path.052042.jpg" TargetMode="External"/><Relationship Id="rId1905" Type="http://schemas.openxmlformats.org/officeDocument/2006/relationships/hyperlink" Target="https://ryycrdhlkmzpxwwwwupy.supabase.co/storage/v1/object/public/old_media/eee507d9.Path.052226.jpg" TargetMode="External"/><Relationship Id="rId1906" Type="http://schemas.openxmlformats.org/officeDocument/2006/relationships/hyperlink" Target="https://ryycrdhlkmzpxwwwwupy.supabase.co/storage/v1/object/public/old_media/91bee5c6.Path.062033.jpg" TargetMode="External"/><Relationship Id="rId1907" Type="http://schemas.openxmlformats.org/officeDocument/2006/relationships/hyperlink" Target="https://ryycrdhlkmzpxwwwwupy.supabase.co/storage/v1/object/public/old_media/3b806a91.Path.062103.jpg" TargetMode="External"/><Relationship Id="rId1908" Type="http://schemas.openxmlformats.org/officeDocument/2006/relationships/hyperlink" Target="https://ryycrdhlkmzpxwwwwupy.supabase.co/storage/v1/object/public/old_media/21be0be3.Path.103235.png" TargetMode="External"/><Relationship Id="rId1909" Type="http://schemas.openxmlformats.org/officeDocument/2006/relationships/hyperlink" Target="https://ryycrdhlkmzpxwwwwupy.supabase.co/storage/v1/object/public/old_media/3c36c28e.Path.103405.png" TargetMode="External"/><Relationship Id="rId4170" Type="http://schemas.openxmlformats.org/officeDocument/2006/relationships/hyperlink" Target="https://ryycrdhlkmzpxwwwwupy.supabase.co/storage/v1/object/public/old_media/c19aafbd.Path.113046.jpg" TargetMode="External"/><Relationship Id="rId4172" Type="http://schemas.openxmlformats.org/officeDocument/2006/relationships/hyperlink" Target="https://ryycrdhlkmzpxwwwwupy.supabase.co/storage/v1/object/public/old_media/0b81b74b.Path.102603.jpg" TargetMode="External"/><Relationship Id="rId4171" Type="http://schemas.openxmlformats.org/officeDocument/2006/relationships/hyperlink" Target="https://ryycrdhlkmzpxwwwwupy.supabase.co/storage/v1/object/public/old_media/beca1fbd.Path.113115.jpg" TargetMode="External"/><Relationship Id="rId4174" Type="http://schemas.openxmlformats.org/officeDocument/2006/relationships/hyperlink" Target="https://ryycrdhlkmzpxwwwwupy.supabase.co/storage/v1/object/public/old_media/b770abff.Path.102700.jpg" TargetMode="External"/><Relationship Id="rId4173" Type="http://schemas.openxmlformats.org/officeDocument/2006/relationships/hyperlink" Target="https://ryycrdhlkmzpxwwwwupy.supabase.co/storage/v1/object/public/old_media/548d485c.Path.102632.jpg" TargetMode="External"/><Relationship Id="rId4176" Type="http://schemas.openxmlformats.org/officeDocument/2006/relationships/hyperlink" Target="https://ryycrdhlkmzpxwwwwupy.supabase.co/storage/v1/object/public/old_media/61658e6e.Path.102756.jpg" TargetMode="External"/><Relationship Id="rId4175" Type="http://schemas.openxmlformats.org/officeDocument/2006/relationships/hyperlink" Target="https://ryycrdhlkmzpxwwwwupy.supabase.co/storage/v1/object/public/old_media/04c9bedd.Path.102729.jpg" TargetMode="External"/><Relationship Id="rId4178" Type="http://schemas.openxmlformats.org/officeDocument/2006/relationships/hyperlink" Target="https://ryycrdhlkmzpxwwwwupy.supabase.co/storage/v1/object/public/old_media/849014d1.Path.102855.jpg" TargetMode="External"/><Relationship Id="rId4177" Type="http://schemas.openxmlformats.org/officeDocument/2006/relationships/hyperlink" Target="https://ryycrdhlkmzpxwwwwupy.supabase.co/storage/v1/object/public/old_media/fd4094de.Path.102825.jpg" TargetMode="External"/><Relationship Id="rId4179" Type="http://schemas.openxmlformats.org/officeDocument/2006/relationships/hyperlink" Target="https://ryycrdhlkmzpxwwwwupy.supabase.co/storage/v1/object/public/old_media/747ec6e2.Path.102928.jpg" TargetMode="External"/><Relationship Id="rId4129" Type="http://schemas.openxmlformats.org/officeDocument/2006/relationships/hyperlink" Target="https://ryycrdhlkmzpxwwwwupy.supabase.co/storage/v1/object/public/old_media/8f5b3847.Path.055029.jpg" TargetMode="External"/><Relationship Id="rId4128" Type="http://schemas.openxmlformats.org/officeDocument/2006/relationships/hyperlink" Target="https://ryycrdhlkmzpxwwwwupy.supabase.co/storage/v1/object/public/old_media/f5d08ef9.Path.054942.jpg" TargetMode="External"/><Relationship Id="rId1090" Type="http://schemas.openxmlformats.org/officeDocument/2006/relationships/hyperlink" Target="https://ryycrdhlkmzpxwwwwupy.supabase.co/storage/v1/object/public/old_media/d812f1c9.Path.111409.jpg" TargetMode="External"/><Relationship Id="rId1091" Type="http://schemas.openxmlformats.org/officeDocument/2006/relationships/hyperlink" Target="https://ryycrdhlkmzpxwwwwupy.supabase.co/storage/v1/object/public/old_media/0306d0f0.Path.111418.jpg" TargetMode="External"/><Relationship Id="rId1092" Type="http://schemas.openxmlformats.org/officeDocument/2006/relationships/hyperlink" Target="https://ryycrdhlkmzpxwwwwupy.supabase.co/storage/v1/object/public/old_media/b54ef65a.Path.111501.jpg" TargetMode="External"/><Relationship Id="rId1093" Type="http://schemas.openxmlformats.org/officeDocument/2006/relationships/hyperlink" Target="https://ryycrdhlkmzpxwwwwupy.supabase.co/storage/v1/object/public/old_media/8d4b0506.Path.111512.jpg" TargetMode="External"/><Relationship Id="rId1094" Type="http://schemas.openxmlformats.org/officeDocument/2006/relationships/hyperlink" Target="https://ryycrdhlkmzpxwwwwupy.supabase.co/storage/v1/object/public/old_media/bd14c180.Path.115256.jpg" TargetMode="External"/><Relationship Id="rId1095" Type="http://schemas.openxmlformats.org/officeDocument/2006/relationships/hyperlink" Target="https://ryycrdhlkmzpxwwwwupy.supabase.co/storage/v1/object/public/old_media/c6bea20e.Path.115314.jpg" TargetMode="External"/><Relationship Id="rId4121" Type="http://schemas.openxmlformats.org/officeDocument/2006/relationships/hyperlink" Target="https://ryycrdhlkmzpxwwwwupy.supabase.co/storage/v1/object/public/old_media/ba6d4f5a.Path.041736.jpg" TargetMode="External"/><Relationship Id="rId1096" Type="http://schemas.openxmlformats.org/officeDocument/2006/relationships/hyperlink" Target="https://ryycrdhlkmzpxwwwwupy.supabase.co/storage/v1/object/public/old_media/9830216b.Path.115418.jpg" TargetMode="External"/><Relationship Id="rId4120" Type="http://schemas.openxmlformats.org/officeDocument/2006/relationships/hyperlink" Target="https://ryycrdhlkmzpxwwwwupy.supabase.co/storage/v1/object/public/old_media/f1832458.Path.041258.jpg" TargetMode="External"/><Relationship Id="rId1097" Type="http://schemas.openxmlformats.org/officeDocument/2006/relationships/hyperlink" Target="https://ryycrdhlkmzpxwwwwupy.supabase.co/storage/v1/object/public/old_media/62a358ae.Path.115435.jpg" TargetMode="External"/><Relationship Id="rId4123" Type="http://schemas.openxmlformats.org/officeDocument/2006/relationships/hyperlink" Target="https://ryycrdhlkmzpxwwwwupy.supabase.co/storage/v1/object/public/old_media/c9c06bc7.Path.041958.jpg" TargetMode="External"/><Relationship Id="rId1098" Type="http://schemas.openxmlformats.org/officeDocument/2006/relationships/hyperlink" Target="https://ryycrdhlkmzpxwwwwupy.supabase.co/storage/v1/object/public/old_media/92966125.Path.115456.jpg" TargetMode="External"/><Relationship Id="rId4122" Type="http://schemas.openxmlformats.org/officeDocument/2006/relationships/hyperlink" Target="https://ryycrdhlkmzpxwwwwupy.supabase.co/storage/v1/object/public/old_media/2ac50ede.Path.041853.jpg" TargetMode="External"/><Relationship Id="rId1099" Type="http://schemas.openxmlformats.org/officeDocument/2006/relationships/hyperlink" Target="https://ryycrdhlkmzpxwwwwupy.supabase.co/storage/v1/object/public/old_media/387cd8c9.Path.114625.jpg" TargetMode="External"/><Relationship Id="rId4125" Type="http://schemas.openxmlformats.org/officeDocument/2006/relationships/hyperlink" Target="https://ryycrdhlkmzpxwwwwupy.supabase.co/storage/v1/object/public/old_media/100eec6b.Path.042204.jpg" TargetMode="External"/><Relationship Id="rId4124" Type="http://schemas.openxmlformats.org/officeDocument/2006/relationships/hyperlink" Target="https://ryycrdhlkmzpxwwwwupy.supabase.co/storage/v1/object/public/old_media/44876ec6.Path.042104.jpg" TargetMode="External"/><Relationship Id="rId4127" Type="http://schemas.openxmlformats.org/officeDocument/2006/relationships/hyperlink" Target="https://ryycrdhlkmzpxwwwwupy.supabase.co/storage/v1/object/public/old_media/14cfd496.Path.042420.jpg" TargetMode="External"/><Relationship Id="rId4126" Type="http://schemas.openxmlformats.org/officeDocument/2006/relationships/hyperlink" Target="https://ryycrdhlkmzpxwwwwupy.supabase.co/storage/v1/object/public/old_media/aa6e1946.Path.042307.jpg" TargetMode="External"/><Relationship Id="rId4118" Type="http://schemas.openxmlformats.org/officeDocument/2006/relationships/hyperlink" Target="https://ryycrdhlkmzpxwwwwupy.supabase.co/storage/v1/object/public/old_media/b0f790b3.Path.111129.jpg" TargetMode="External"/><Relationship Id="rId4117" Type="http://schemas.openxmlformats.org/officeDocument/2006/relationships/hyperlink" Target="https://ryycrdhlkmzpxwwwwupy.supabase.co/storage/v1/object/public/old_media/f4f74bc0.Path.111022.jpg" TargetMode="External"/><Relationship Id="rId4119" Type="http://schemas.openxmlformats.org/officeDocument/2006/relationships/hyperlink" Target="https://ryycrdhlkmzpxwwwwupy.supabase.co/storage/v1/object/public/old_media/2750cf45.Path.041122.jpg" TargetMode="External"/><Relationship Id="rId1080" Type="http://schemas.openxmlformats.org/officeDocument/2006/relationships/hyperlink" Target="https://ryycrdhlkmzpxwwwwupy.supabase.co/storage/v1/object/public/old_media/bca504ec.Path.050836.jpg" TargetMode="External"/><Relationship Id="rId1081" Type="http://schemas.openxmlformats.org/officeDocument/2006/relationships/hyperlink" Target="https://ryycrdhlkmzpxwwwwupy.supabase.co/storage/v1/object/public/old_media/7d894b82.Path.050855.jpg" TargetMode="External"/><Relationship Id="rId1082" Type="http://schemas.openxmlformats.org/officeDocument/2006/relationships/hyperlink" Target="https://ryycrdhlkmzpxwwwwupy.supabase.co/storage/v1/object/public/old_media/c97d2222.Path.051708.jpg" TargetMode="External"/><Relationship Id="rId1083" Type="http://schemas.openxmlformats.org/officeDocument/2006/relationships/hyperlink" Target="https://ryycrdhlkmzpxwwwwupy.supabase.co/storage/v1/object/public/old_media/6c04b6fa.Path.051721.jpg" TargetMode="External"/><Relationship Id="rId1084" Type="http://schemas.openxmlformats.org/officeDocument/2006/relationships/hyperlink" Target="https://ryycrdhlkmzpxwwwwupy.supabase.co/storage/v1/object/public/old_media/08bf2265.Path.051754.jpg" TargetMode="External"/><Relationship Id="rId4110" Type="http://schemas.openxmlformats.org/officeDocument/2006/relationships/hyperlink" Target="https://ryycrdhlkmzpxwwwwupy.supabase.co/storage/v1/object/public/old_media/1fda7822.Path.055528.jpg" TargetMode="External"/><Relationship Id="rId1085" Type="http://schemas.openxmlformats.org/officeDocument/2006/relationships/hyperlink" Target="https://ryycrdhlkmzpxwwwwupy.supabase.co/storage/v1/object/public/old_media/4aa09618.Path.111255.jpg" TargetMode="External"/><Relationship Id="rId1086" Type="http://schemas.openxmlformats.org/officeDocument/2006/relationships/hyperlink" Target="https://ryycrdhlkmzpxwwwwupy.supabase.co/storage/v1/object/public/old_media/7007a7a9.Path.111328.jpg" TargetMode="External"/><Relationship Id="rId4112" Type="http://schemas.openxmlformats.org/officeDocument/2006/relationships/hyperlink" Target="https://ryycrdhlkmzpxwwwwupy.supabase.co/storage/v1/object/public/old_media/3f51823d.Path.061824.jpg" TargetMode="External"/><Relationship Id="rId1087" Type="http://schemas.openxmlformats.org/officeDocument/2006/relationships/hyperlink" Target="https://ryycrdhlkmzpxwwwwupy.supabase.co/storage/v1/object/public/old_media/9de49623.Path.111335.jpg" TargetMode="External"/><Relationship Id="rId4111" Type="http://schemas.openxmlformats.org/officeDocument/2006/relationships/hyperlink" Target="https://ryycrdhlkmzpxwwwwupy.supabase.co/storage/v1/object/public/old_media/e5950d7a.Path.055603.jpg" TargetMode="External"/><Relationship Id="rId1088" Type="http://schemas.openxmlformats.org/officeDocument/2006/relationships/hyperlink" Target="https://ryycrdhlkmzpxwwwwupy.supabase.co/storage/v1/object/public/old_media/23bb0b36.Path.111350.jpg" TargetMode="External"/><Relationship Id="rId4114" Type="http://schemas.openxmlformats.org/officeDocument/2006/relationships/hyperlink" Target="https://ryycrdhlkmzpxwwwwupy.supabase.co/storage/v1/object/public/old_media/ba1795e7.Path.061924.jpg" TargetMode="External"/><Relationship Id="rId1089" Type="http://schemas.openxmlformats.org/officeDocument/2006/relationships/hyperlink" Target="https://ryycrdhlkmzpxwwwwupy.supabase.co/storage/v1/object/public/old_media/38435d0a.Path.111401.jpg" TargetMode="External"/><Relationship Id="rId4113" Type="http://schemas.openxmlformats.org/officeDocument/2006/relationships/hyperlink" Target="https://ryycrdhlkmzpxwwwwupy.supabase.co/storage/v1/object/public/old_media/ea6724ac.Path.061855.jpg" TargetMode="External"/><Relationship Id="rId4116" Type="http://schemas.openxmlformats.org/officeDocument/2006/relationships/hyperlink" Target="https://ryycrdhlkmzpxwwwwupy.supabase.co/storage/v1/object/public/old_media/593f702c.Path.110913.jpg" TargetMode="External"/><Relationship Id="rId4115" Type="http://schemas.openxmlformats.org/officeDocument/2006/relationships/hyperlink" Target="https://ryycrdhlkmzpxwwwwupy.supabase.co/storage/v1/object/public/old_media/33b02f34.Path.061955.jpg" TargetMode="External"/><Relationship Id="rId4141" Type="http://schemas.openxmlformats.org/officeDocument/2006/relationships/hyperlink" Target="https://ryycrdhlkmzpxwwwwupy.supabase.co/storage/v1/object/public/old_media/400402b2.Path.064653.jpg" TargetMode="External"/><Relationship Id="rId4140" Type="http://schemas.openxmlformats.org/officeDocument/2006/relationships/hyperlink" Target="https://ryycrdhlkmzpxwwwwupy.supabase.co/storage/v1/object/public/old_media/ddbb4dee.Path.064625.jpg" TargetMode="External"/><Relationship Id="rId4143" Type="http://schemas.openxmlformats.org/officeDocument/2006/relationships/hyperlink" Target="https://ryycrdhlkmzpxwwwwupy.supabase.co/storage/v1/object/public/old_media/90195583.Path.064756.jpg" TargetMode="External"/><Relationship Id="rId4142" Type="http://schemas.openxmlformats.org/officeDocument/2006/relationships/hyperlink" Target="https://ryycrdhlkmzpxwwwwupy.supabase.co/storage/v1/object/public/old_media/ed2e2985.Path.064726.jpg" TargetMode="External"/><Relationship Id="rId4145" Type="http://schemas.openxmlformats.org/officeDocument/2006/relationships/hyperlink" Target="https://ryycrdhlkmzpxwwwwupy.supabase.co/storage/v1/object/public/old_media/ada56cb7.Path.064900.jpg" TargetMode="External"/><Relationship Id="rId4144" Type="http://schemas.openxmlformats.org/officeDocument/2006/relationships/hyperlink" Target="https://ryycrdhlkmzpxwwwwupy.supabase.co/storage/v1/object/public/old_media/18960a3c.Path.064826.jpg" TargetMode="External"/><Relationship Id="rId4147" Type="http://schemas.openxmlformats.org/officeDocument/2006/relationships/hyperlink" Target="https://ryycrdhlkmzpxwwwwupy.supabase.co/storage/v1/object/public/old_media/75d5e22d.Path.063430.jpg" TargetMode="External"/><Relationship Id="rId4146" Type="http://schemas.openxmlformats.org/officeDocument/2006/relationships/hyperlink" Target="https://ryycrdhlkmzpxwwwwupy.supabase.co/storage/v1/object/public/old_media/9cc318ff.Path.064931.jpg" TargetMode="External"/><Relationship Id="rId4149" Type="http://schemas.openxmlformats.org/officeDocument/2006/relationships/hyperlink" Target="https://ryycrdhlkmzpxwwwwupy.supabase.co/storage/v1/object/public/old_media/f3f601ac.Path.063532.jpg" TargetMode="External"/><Relationship Id="rId4148" Type="http://schemas.openxmlformats.org/officeDocument/2006/relationships/hyperlink" Target="https://ryycrdhlkmzpxwwwwupy.supabase.co/storage/v1/object/public/old_media/6be04152.Path.063500.jpg" TargetMode="External"/><Relationship Id="rId4139" Type="http://schemas.openxmlformats.org/officeDocument/2006/relationships/hyperlink" Target="https://ryycrdhlkmzpxwwwwupy.supabase.co/storage/v1/object/public/old_media/d5e6fee2.Path.064557.jpg" TargetMode="External"/><Relationship Id="rId4130" Type="http://schemas.openxmlformats.org/officeDocument/2006/relationships/hyperlink" Target="https://ryycrdhlkmzpxwwwwupy.supabase.co/storage/v1/object/public/old_media/7a3536cb.Path.055113.jpg" TargetMode="External"/><Relationship Id="rId4132" Type="http://schemas.openxmlformats.org/officeDocument/2006/relationships/hyperlink" Target="https://ryycrdhlkmzpxwwwwupy.supabase.co/storage/v1/object/public/old_media/3c799911.Path.055238.jpg" TargetMode="External"/><Relationship Id="rId4131" Type="http://schemas.openxmlformats.org/officeDocument/2006/relationships/hyperlink" Target="https://ryycrdhlkmzpxwwwwupy.supabase.co/storage/v1/object/public/old_media/875d27e5.Path.055158.jpg" TargetMode="External"/><Relationship Id="rId4134" Type="http://schemas.openxmlformats.org/officeDocument/2006/relationships/hyperlink" Target="https://ryycrdhlkmzpxwwwwupy.supabase.co/storage/v1/object/public/old_media/5bbd93f1.Path.055714.jpg" TargetMode="External"/><Relationship Id="rId4133" Type="http://schemas.openxmlformats.org/officeDocument/2006/relationships/hyperlink" Target="https://ryycrdhlkmzpxwwwwupy.supabase.co/storage/v1/object/public/old_media/6f6de685.Path.055319.jpg" TargetMode="External"/><Relationship Id="rId4136" Type="http://schemas.openxmlformats.org/officeDocument/2006/relationships/hyperlink" Target="https://ryycrdhlkmzpxwwwwupy.supabase.co/storage/v1/object/public/old_media/c63b8d30.Path.060155.jpg" TargetMode="External"/><Relationship Id="rId4135" Type="http://schemas.openxmlformats.org/officeDocument/2006/relationships/hyperlink" Target="https://ryycrdhlkmzpxwwwwupy.supabase.co/storage/v1/object/public/old_media/93dd92b6.Path.060058.jpg" TargetMode="External"/><Relationship Id="rId4138" Type="http://schemas.openxmlformats.org/officeDocument/2006/relationships/hyperlink" Target="https://ryycrdhlkmzpxwwwwupy.supabase.co/storage/v1/object/public/old_media/0167bf75.Path.064528.jpg" TargetMode="External"/><Relationship Id="rId4137" Type="http://schemas.openxmlformats.org/officeDocument/2006/relationships/hyperlink" Target="https://ryycrdhlkmzpxwwwwupy.supabase.co/storage/v1/object/public/old_media/3cf5e717.Path.060254.jpg" TargetMode="External"/><Relationship Id="rId1972" Type="http://schemas.openxmlformats.org/officeDocument/2006/relationships/hyperlink" Target="https://ryycrdhlkmzpxwwwwupy.supabase.co/storage/v1/object/public/old_media/366c2668.Path.091350.webp" TargetMode="External"/><Relationship Id="rId1973" Type="http://schemas.openxmlformats.org/officeDocument/2006/relationships/hyperlink" Target="https://ryycrdhlkmzpxwwwwupy.supabase.co/storage/v1/object/public/old_media/b82161b0.Path.091730.webp" TargetMode="External"/><Relationship Id="rId1974" Type="http://schemas.openxmlformats.org/officeDocument/2006/relationships/hyperlink" Target="https://ryycrdhlkmzpxwwwwupy.supabase.co/storage/v1/object/public/old_media/eb0f2605.Path.091955.webp" TargetMode="External"/><Relationship Id="rId1975" Type="http://schemas.openxmlformats.org/officeDocument/2006/relationships/hyperlink" Target="https://ryycrdhlkmzpxwwwwupy.supabase.co/storage/v1/object/public/old_media/2dc98e38.Path.092026.webp" TargetMode="External"/><Relationship Id="rId1976" Type="http://schemas.openxmlformats.org/officeDocument/2006/relationships/hyperlink" Target="https://ryycrdhlkmzpxwwwwupy.supabase.co/storage/v1/object/public/old_media/3678fb2c.Path.044953.jpg" TargetMode="External"/><Relationship Id="rId1977" Type="http://schemas.openxmlformats.org/officeDocument/2006/relationships/hyperlink" Target="https://ryycrdhlkmzpxwwwwupy.supabase.co/storage/v1/object/public/old_media/1e52b71b.Path.045015.jpg" TargetMode="External"/><Relationship Id="rId1978" Type="http://schemas.openxmlformats.org/officeDocument/2006/relationships/hyperlink" Target="https://ryycrdhlkmzpxwwwwupy.supabase.co/storage/v1/object/public/old_media/1fecff37.Path.045039.jpg" TargetMode="External"/><Relationship Id="rId1979" Type="http://schemas.openxmlformats.org/officeDocument/2006/relationships/hyperlink" Target="https://ryycrdhlkmzpxwwwwupy.supabase.co/storage/v1/object/public/old_media/77afd193.Path.045051.jpg" TargetMode="External"/><Relationship Id="rId1970" Type="http://schemas.openxmlformats.org/officeDocument/2006/relationships/hyperlink" Target="https://ryycrdhlkmzpxwwwwupy.supabase.co/storage/v1/object/public/old_media/1b1ffad5.Path.091310.webp" TargetMode="External"/><Relationship Id="rId1971" Type="http://schemas.openxmlformats.org/officeDocument/2006/relationships/hyperlink" Target="https://ryycrdhlkmzpxwwwwupy.supabase.co/storage/v1/object/public/old_media/9fa0223a.Path.091328.webp" TargetMode="External"/><Relationship Id="rId1961" Type="http://schemas.openxmlformats.org/officeDocument/2006/relationships/hyperlink" Target="https://ryycrdhlkmzpxwwwwupy.supabase.co/storage/v1/object/public/old_media/74845d8a.Path.063947.jpg" TargetMode="External"/><Relationship Id="rId1962" Type="http://schemas.openxmlformats.org/officeDocument/2006/relationships/hyperlink" Target="https://ryycrdhlkmzpxwwwwupy.supabase.co/storage/v1/object/public/old_media/3ee0b84c.Path.064006.jpg" TargetMode="External"/><Relationship Id="rId1963" Type="http://schemas.openxmlformats.org/officeDocument/2006/relationships/hyperlink" Target="https://ryycrdhlkmzpxwwwwupy.supabase.co/storage/v1/object/public/old_media/53db09b5.Path.064015.jpg" TargetMode="External"/><Relationship Id="rId1964" Type="http://schemas.openxmlformats.org/officeDocument/2006/relationships/hyperlink" Target="https://ryycrdhlkmzpxwwwwupy.supabase.co/storage/v1/object/public/old_media/a29a2d1b.Path.070745.jpg" TargetMode="External"/><Relationship Id="rId1965" Type="http://schemas.openxmlformats.org/officeDocument/2006/relationships/hyperlink" Target="https://ryycrdhlkmzpxwwwwupy.supabase.co/storage/v1/object/public/old_media/5e65590f.Path.070801.jpg" TargetMode="External"/><Relationship Id="rId1966" Type="http://schemas.openxmlformats.org/officeDocument/2006/relationships/hyperlink" Target="https://ryycrdhlkmzpxwwwwupy.supabase.co/storage/v1/object/public/old_media/ab033ea8.Path.071003.jpg" TargetMode="External"/><Relationship Id="rId1967" Type="http://schemas.openxmlformats.org/officeDocument/2006/relationships/hyperlink" Target="https://ryycrdhlkmzpxwwwwupy.supabase.co/storage/v1/object/public/old_media/8ccb3077.Path.071026.jpg" TargetMode="External"/><Relationship Id="rId1968" Type="http://schemas.openxmlformats.org/officeDocument/2006/relationships/hyperlink" Target="https://ryycrdhlkmzpxwwwwupy.supabase.co/storage/v1/object/public/old_media/c8174807.Path.091240.webp" TargetMode="External"/><Relationship Id="rId1969" Type="http://schemas.openxmlformats.org/officeDocument/2006/relationships/hyperlink" Target="https://ryycrdhlkmzpxwwwwupy.supabase.co/storage/v1/object/public/old_media/080c1983.Path.091255.webp" TargetMode="External"/><Relationship Id="rId1960" Type="http://schemas.openxmlformats.org/officeDocument/2006/relationships/hyperlink" Target="https://ryycrdhlkmzpxwwwwupy.supabase.co/storage/v1/object/public/old_media/650a89d8.Path.053340.jpg" TargetMode="External"/><Relationship Id="rId1994" Type="http://schemas.openxmlformats.org/officeDocument/2006/relationships/hyperlink" Target="https://ryycrdhlkmzpxwwwwupy.supabase.co/storage/v1/object/public/old_media/0661ef0f.Path.100025.jpg" TargetMode="External"/><Relationship Id="rId1995" Type="http://schemas.openxmlformats.org/officeDocument/2006/relationships/hyperlink" Target="https://ryycrdhlkmzpxwwwwupy.supabase.co/storage/v1/object/public/old_media/87c6033b.Path.055224.jpg" TargetMode="External"/><Relationship Id="rId1996" Type="http://schemas.openxmlformats.org/officeDocument/2006/relationships/hyperlink" Target="https://ryycrdhlkmzpxwwwwupy.supabase.co/storage/v1/object/public/old_media/9b3cafe3.Path.055237.jpg" TargetMode="External"/><Relationship Id="rId1997" Type="http://schemas.openxmlformats.org/officeDocument/2006/relationships/hyperlink" Target="https://ryycrdhlkmzpxwwwwupy.supabase.co/storage/v1/object/public/old_media/55bbe599.Path.055306.jpg" TargetMode="External"/><Relationship Id="rId1998" Type="http://schemas.openxmlformats.org/officeDocument/2006/relationships/hyperlink" Target="https://ryycrdhlkmzpxwwwwupy.supabase.co/storage/v1/object/public/old_media/e4b74455.Path.055438.jpg" TargetMode="External"/><Relationship Id="rId1999" Type="http://schemas.openxmlformats.org/officeDocument/2006/relationships/hyperlink" Target="https://ryycrdhlkmzpxwwwwupy.supabase.co/storage/v1/object/public/old_media/1eed3c4d.Path.055452.jpg" TargetMode="External"/><Relationship Id="rId1990" Type="http://schemas.openxmlformats.org/officeDocument/2006/relationships/hyperlink" Target="https://ryycrdhlkmzpxwwwwupy.supabase.co/storage/v1/object/public/old_media/d53d2733.Path.070008.jpg" TargetMode="External"/><Relationship Id="rId1991" Type="http://schemas.openxmlformats.org/officeDocument/2006/relationships/hyperlink" Target="https://ryycrdhlkmzpxwwwwupy.supabase.co/storage/v1/object/public/old_media/68a3f4b2.Path.070056.jpg" TargetMode="External"/><Relationship Id="rId1992" Type="http://schemas.openxmlformats.org/officeDocument/2006/relationships/hyperlink" Target="https://ryycrdhlkmzpxwwwwupy.supabase.co/storage/v1/object/public/old_media/3e0a0def.Path.100005.jpg" TargetMode="External"/><Relationship Id="rId1993" Type="http://schemas.openxmlformats.org/officeDocument/2006/relationships/hyperlink" Target="https://ryycrdhlkmzpxwwwwupy.supabase.co/storage/v1/object/public/old_media/78624906.Path.100016.jpg" TargetMode="External"/><Relationship Id="rId1983" Type="http://schemas.openxmlformats.org/officeDocument/2006/relationships/hyperlink" Target="https://ryycrdhlkmzpxwwwwupy.supabase.co/storage/v1/object/public/old_media/0c9d1621.Path.051209.jpg" TargetMode="External"/><Relationship Id="rId1984" Type="http://schemas.openxmlformats.org/officeDocument/2006/relationships/hyperlink" Target="https://ryycrdhlkmzpxwwwwupy.supabase.co/storage/v1/object/public/old_media/64b4efec.Path.051314.jpg" TargetMode="External"/><Relationship Id="rId1985" Type="http://schemas.openxmlformats.org/officeDocument/2006/relationships/hyperlink" Target="https://ryycrdhlkmzpxwwwwupy.supabase.co/storage/v1/object/public/old_media/dd251883.Path.061303.jpg" TargetMode="External"/><Relationship Id="rId1986" Type="http://schemas.openxmlformats.org/officeDocument/2006/relationships/hyperlink" Target="https://ryycrdhlkmzpxwwwwupy.supabase.co/storage/v1/object/public/old_media/e6136426.Path.061320.jpg" TargetMode="External"/><Relationship Id="rId1987" Type="http://schemas.openxmlformats.org/officeDocument/2006/relationships/hyperlink" Target="https://ryycrdhlkmzpxwwwwupy.supabase.co/storage/v1/object/public/old_media/9fa9900f.Path.061330.jpg" TargetMode="External"/><Relationship Id="rId1988" Type="http://schemas.openxmlformats.org/officeDocument/2006/relationships/hyperlink" Target="https://ryycrdhlkmzpxwwwwupy.supabase.co/storage/v1/object/public/old_media/23606e0b.Path.065839.jpg" TargetMode="External"/><Relationship Id="rId1989" Type="http://schemas.openxmlformats.org/officeDocument/2006/relationships/hyperlink" Target="https://ryycrdhlkmzpxwwwwupy.supabase.co/storage/v1/object/public/old_media/8e28d201.Path.065919.jpg" TargetMode="External"/><Relationship Id="rId1980" Type="http://schemas.openxmlformats.org/officeDocument/2006/relationships/hyperlink" Target="https://ryycrdhlkmzpxwwwwupy.supabase.co/storage/v1/object/public/old_media/298ef032.Path.045103.jpg" TargetMode="External"/><Relationship Id="rId1981" Type="http://schemas.openxmlformats.org/officeDocument/2006/relationships/hyperlink" Target="https://ryycrdhlkmzpxwwwwupy.supabase.co/storage/v1/object/public/old_media/9126519c.Path.051144.jpg" TargetMode="External"/><Relationship Id="rId1982" Type="http://schemas.openxmlformats.org/officeDocument/2006/relationships/hyperlink" Target="https://ryycrdhlkmzpxwwwwupy.supabase.co/storage/v1/object/public/old_media/0ead2276.Path.051157.jpg" TargetMode="External"/><Relationship Id="rId1930" Type="http://schemas.openxmlformats.org/officeDocument/2006/relationships/hyperlink" Target="https://ryycrdhlkmzpxwwwwupy.supabase.co/storage/v1/object/public/old_media/c792f15c.Path.053759.jpg" TargetMode="External"/><Relationship Id="rId1931" Type="http://schemas.openxmlformats.org/officeDocument/2006/relationships/hyperlink" Target="https://ryycrdhlkmzpxwwwwupy.supabase.co/storage/v1/object/public/old_media/28ab5a9d.Path.053918.jpg" TargetMode="External"/><Relationship Id="rId1932" Type="http://schemas.openxmlformats.org/officeDocument/2006/relationships/hyperlink" Target="https://ryycrdhlkmzpxwwwwupy.supabase.co/storage/v1/object/public/old_media/93def9d8.Path.054017.jpg" TargetMode="External"/><Relationship Id="rId1933" Type="http://schemas.openxmlformats.org/officeDocument/2006/relationships/hyperlink" Target="https://ryycrdhlkmzpxwwwwupy.supabase.co/storage/v1/object/public/old_media/f300bcbf.Path.054046.jpg" TargetMode="External"/><Relationship Id="rId1934" Type="http://schemas.openxmlformats.org/officeDocument/2006/relationships/hyperlink" Target="https://ryycrdhlkmzpxwwwwupy.supabase.co/storage/v1/object/public/old_media/a87dde36.Path.054142.jpg" TargetMode="External"/><Relationship Id="rId1935" Type="http://schemas.openxmlformats.org/officeDocument/2006/relationships/hyperlink" Target="https://ryycrdhlkmzpxwwwwupy.supabase.co/storage/v1/object/public/old_media/a5f30b85.Path.054236.jpg" TargetMode="External"/><Relationship Id="rId1936" Type="http://schemas.openxmlformats.org/officeDocument/2006/relationships/hyperlink" Target="https://ryycrdhlkmzpxwwwwupy.supabase.co/storage/v1/object/public/old_media/46be2aa3.Path.104333.jpg" TargetMode="External"/><Relationship Id="rId1937" Type="http://schemas.openxmlformats.org/officeDocument/2006/relationships/hyperlink" Target="https://ryycrdhlkmzpxwwwwupy.supabase.co/storage/v1/object/public/old_media/182c2501.Path.111212.jpg" TargetMode="External"/><Relationship Id="rId1938" Type="http://schemas.openxmlformats.org/officeDocument/2006/relationships/hyperlink" Target="https://ryycrdhlkmzpxwwwwupy.supabase.co/storage/v1/object/public/old_media/f78deb6a.Path.111649.jpg" TargetMode="External"/><Relationship Id="rId1939" Type="http://schemas.openxmlformats.org/officeDocument/2006/relationships/hyperlink" Target="https://ryycrdhlkmzpxwwwwupy.supabase.co/storage/v1/object/public/old_media/b5ff4344.Path.111811.jpg" TargetMode="External"/><Relationship Id="rId1920" Type="http://schemas.openxmlformats.org/officeDocument/2006/relationships/hyperlink" Target="https://ryycrdhlkmzpxwwwwupy.supabase.co/storage/v1/object/public/old_media/1d58d312.Path.052718.jpg" TargetMode="External"/><Relationship Id="rId1921" Type="http://schemas.openxmlformats.org/officeDocument/2006/relationships/hyperlink" Target="https://ryycrdhlkmzpxwwwwupy.supabase.co/storage/v1/object/public/old_media/37de1cad.Path.052728.jpg" TargetMode="External"/><Relationship Id="rId1922" Type="http://schemas.openxmlformats.org/officeDocument/2006/relationships/hyperlink" Target="https://ryycrdhlkmzpxwwwwupy.supabase.co/storage/v1/object/public/old_media/ddb8dc91.Path.052738.jpg" TargetMode="External"/><Relationship Id="rId1923" Type="http://schemas.openxmlformats.org/officeDocument/2006/relationships/hyperlink" Target="https://ryycrdhlkmzpxwwwwupy.supabase.co/storage/v1/object/public/old_media/b6acce51.Path.061944.jpg" TargetMode="External"/><Relationship Id="rId1924" Type="http://schemas.openxmlformats.org/officeDocument/2006/relationships/hyperlink" Target="https://ryycrdhlkmzpxwwwwupy.supabase.co/storage/v1/object/public/old_media/e6ae25a3.Path.071414.jpg" TargetMode="External"/><Relationship Id="rId1925" Type="http://schemas.openxmlformats.org/officeDocument/2006/relationships/hyperlink" Target="https://ryycrdhlkmzpxwwwwupy.supabase.co/storage/v1/object/public/old_media/bbc3694e.Path.071443.jpg" TargetMode="External"/><Relationship Id="rId1926" Type="http://schemas.openxmlformats.org/officeDocument/2006/relationships/hyperlink" Target="https://ryycrdhlkmzpxwwwwupy.supabase.co/storage/v1/object/public/old_media/fc958c99.Path.053702.jpg" TargetMode="External"/><Relationship Id="rId1927" Type="http://schemas.openxmlformats.org/officeDocument/2006/relationships/hyperlink" Target="https://ryycrdhlkmzpxwwwwupy.supabase.co/storage/v1/object/public/old_media/6a5c831f.Path.053714.jpg" TargetMode="External"/><Relationship Id="rId1928" Type="http://schemas.openxmlformats.org/officeDocument/2006/relationships/hyperlink" Target="https://ryycrdhlkmzpxwwwwupy.supabase.co/storage/v1/object/public/old_media/c5f52cb7.Path.053724.jpg" TargetMode="External"/><Relationship Id="rId1929" Type="http://schemas.openxmlformats.org/officeDocument/2006/relationships/hyperlink" Target="https://ryycrdhlkmzpxwwwwupy.supabase.co/storage/v1/object/public/old_media/8d007aa1.Path.053751.jpg" TargetMode="External"/><Relationship Id="rId4190" Type="http://schemas.openxmlformats.org/officeDocument/2006/relationships/hyperlink" Target="https://ryycrdhlkmzpxwwwwupy.supabase.co/storage/v1/object/public/old_media/6a260676.Path.075044.jpg" TargetMode="External"/><Relationship Id="rId4192" Type="http://schemas.openxmlformats.org/officeDocument/2006/relationships/hyperlink" Target="https://ryycrdhlkmzpxwwwwupy.supabase.co/storage/v1/object/public/old_media/5638f194.Path.080344.jpg" TargetMode="External"/><Relationship Id="rId4191" Type="http://schemas.openxmlformats.org/officeDocument/2006/relationships/hyperlink" Target="https://ryycrdhlkmzpxwwwwupy.supabase.co/storage/v1/object/public/old_media/a6f8c6e8.Path.075444.jpg" TargetMode="External"/><Relationship Id="rId4194" Type="http://schemas.openxmlformats.org/officeDocument/2006/relationships/hyperlink" Target="https://ryycrdhlkmzpxwwwwupy.supabase.co/storage/v1/object/public/old_media/4ffbd0f1.Path.110553.jpg" TargetMode="External"/><Relationship Id="rId4193" Type="http://schemas.openxmlformats.org/officeDocument/2006/relationships/hyperlink" Target="https://ryycrdhlkmzpxwwwwupy.supabase.co/storage/v1/object/public/old_media/268996c9.Path.110354.jpg" TargetMode="External"/><Relationship Id="rId4196" Type="http://schemas.openxmlformats.org/officeDocument/2006/relationships/hyperlink" Target="https://ryycrdhlkmzpxwwwwupy.supabase.co/storage/v1/object/public/old_media/c69538e9.Path.114536.jpg" TargetMode="External"/><Relationship Id="rId4195" Type="http://schemas.openxmlformats.org/officeDocument/2006/relationships/hyperlink" Target="https://ryycrdhlkmzpxwwwwupy.supabase.co/storage/v1/object/public/old_media/da577fae.Path.114444.jpg" TargetMode="External"/><Relationship Id="rId4198" Type="http://schemas.openxmlformats.org/officeDocument/2006/relationships/hyperlink" Target="https://ryycrdhlkmzpxwwwwupy.supabase.co/storage/v1/object/public/old_media/3494aec8.Path.114709.jpg" TargetMode="External"/><Relationship Id="rId4197" Type="http://schemas.openxmlformats.org/officeDocument/2006/relationships/hyperlink" Target="https://ryycrdhlkmzpxwwwwupy.supabase.co/storage/v1/object/public/old_media/95818a15.Path.114619.jpg" TargetMode="External"/><Relationship Id="rId4199" Type="http://schemas.openxmlformats.org/officeDocument/2006/relationships/hyperlink" Target="https://ryycrdhlkmzpxwwwwupy.supabase.co/storage/v1/object/public/old_media/2b19a4e5.Path.115055.jpg" TargetMode="External"/><Relationship Id="rId1950" Type="http://schemas.openxmlformats.org/officeDocument/2006/relationships/hyperlink" Target="https://ryycrdhlkmzpxwwwwupy.supabase.co/storage/v1/object/public/old_media/c86c3fd5.Path.114148.jpg" TargetMode="External"/><Relationship Id="rId1951" Type="http://schemas.openxmlformats.org/officeDocument/2006/relationships/hyperlink" Target="https://ryycrdhlkmzpxwwwwupy.supabase.co/storage/v1/object/public/old_media/8e8443e7.Path.105414.jpg" TargetMode="External"/><Relationship Id="rId1952" Type="http://schemas.openxmlformats.org/officeDocument/2006/relationships/hyperlink" Target="https://ryycrdhlkmzpxwwwwupy.supabase.co/storage/v1/object/public/old_media/29cb497e.Path.105440.jpg" TargetMode="External"/><Relationship Id="rId1953" Type="http://schemas.openxmlformats.org/officeDocument/2006/relationships/hyperlink" Target="https://ryycrdhlkmzpxwwwwupy.supabase.co/storage/v1/object/public/old_media/7102861e.Path.105453.jpg" TargetMode="External"/><Relationship Id="rId1954" Type="http://schemas.openxmlformats.org/officeDocument/2006/relationships/hyperlink" Target="https://ryycrdhlkmzpxwwwwupy.supabase.co/storage/v1/object/public/old_media/e847b5e5.Path.105537.jpg" TargetMode="External"/><Relationship Id="rId1955" Type="http://schemas.openxmlformats.org/officeDocument/2006/relationships/hyperlink" Target="https://ryycrdhlkmzpxwwwwupy.supabase.co/storage/v1/object/public/old_media/d3121121.Path.105639.jpg" TargetMode="External"/><Relationship Id="rId1956" Type="http://schemas.openxmlformats.org/officeDocument/2006/relationships/hyperlink" Target="https://ryycrdhlkmzpxwwwwupy.supabase.co/storage/v1/object/public/old_media/bc6babe5.Path.092554.jpg" TargetMode="External"/><Relationship Id="rId1957" Type="http://schemas.openxmlformats.org/officeDocument/2006/relationships/hyperlink" Target="https://ryycrdhlkmzpxwwwwupy.supabase.co/storage/v1/object/public/old_media/b8936b9f.Path.044702.jpg" TargetMode="External"/><Relationship Id="rId1958" Type="http://schemas.openxmlformats.org/officeDocument/2006/relationships/hyperlink" Target="https://ryycrdhlkmzpxwwwwupy.supabase.co/storage/v1/object/public/old_media/29c455d7.Path.044731.jpg" TargetMode="External"/><Relationship Id="rId1959" Type="http://schemas.openxmlformats.org/officeDocument/2006/relationships/hyperlink" Target="https://ryycrdhlkmzpxwwwwupy.supabase.co/storage/v1/object/public/old_media/7d9bae1d.Path.053045.jpg" TargetMode="External"/><Relationship Id="rId1940" Type="http://schemas.openxmlformats.org/officeDocument/2006/relationships/hyperlink" Target="https://ryycrdhlkmzpxwwwwupy.supabase.co/storage/v1/object/public/old_media/8202b1fb.Path.072504.jpg" TargetMode="External"/><Relationship Id="rId1941" Type="http://schemas.openxmlformats.org/officeDocument/2006/relationships/hyperlink" Target="https://ryycrdhlkmzpxwwwwupy.supabase.co/storage/v1/object/public/old_media/fe6138a2.Path.072511.jpg" TargetMode="External"/><Relationship Id="rId1942" Type="http://schemas.openxmlformats.org/officeDocument/2006/relationships/hyperlink" Target="https://ryycrdhlkmzpxwwwwupy.supabase.co/storage/v1/object/public/old_media/6f5f8178.Path.072859.jpg" TargetMode="External"/><Relationship Id="rId1943" Type="http://schemas.openxmlformats.org/officeDocument/2006/relationships/hyperlink" Target="https://ryycrdhlkmzpxwwwwupy.supabase.co/storage/v1/object/public/old_media/3ba6def3.Path.073913.jpg" TargetMode="External"/><Relationship Id="rId1944" Type="http://schemas.openxmlformats.org/officeDocument/2006/relationships/hyperlink" Target="https://ryycrdhlkmzpxwwwwupy.supabase.co/storage/v1/object/public/old_media/03acd2f3.Path.073925.jpg" TargetMode="External"/><Relationship Id="rId1945" Type="http://schemas.openxmlformats.org/officeDocument/2006/relationships/hyperlink" Target="https://ryycrdhlkmzpxwwwwupy.supabase.co/storage/v1/object/public/old_media/7947df3f.Path.073937.jpg" TargetMode="External"/><Relationship Id="rId1946" Type="http://schemas.openxmlformats.org/officeDocument/2006/relationships/hyperlink" Target="https://ryycrdhlkmzpxwwwwupy.supabase.co/storage/v1/object/public/old_media/79282826.Path.113257.jpg" TargetMode="External"/><Relationship Id="rId1947" Type="http://schemas.openxmlformats.org/officeDocument/2006/relationships/hyperlink" Target="https://ryycrdhlkmzpxwwwwupy.supabase.co/storage/v1/object/public/old_media/0a416e4c.Path.113313.jpg" TargetMode="External"/><Relationship Id="rId1948" Type="http://schemas.openxmlformats.org/officeDocument/2006/relationships/hyperlink" Target="https://ryycrdhlkmzpxwwwwupy.supabase.co/storage/v1/object/public/old_media/5a935853.Path.113334.jpg" TargetMode="External"/><Relationship Id="rId1949" Type="http://schemas.openxmlformats.org/officeDocument/2006/relationships/hyperlink" Target="https://ryycrdhlkmzpxwwwwupy.supabase.co/storage/v1/object/public/old_media/3f99297f.Path.113357.jpg" TargetMode="External"/><Relationship Id="rId2423" Type="http://schemas.openxmlformats.org/officeDocument/2006/relationships/hyperlink" Target="https://ryycrdhlkmzpxwwwwupy.supabase.co/storage/v1/object/public/old_media/a7ccad43.Path.051019.jpg" TargetMode="External"/><Relationship Id="rId3755" Type="http://schemas.openxmlformats.org/officeDocument/2006/relationships/hyperlink" Target="https://ryycrdhlkmzpxwwwwupy.supabase.co/storage/v1/object/public/old_media/0fff5361.Path.085610.jpg" TargetMode="External"/><Relationship Id="rId2424" Type="http://schemas.openxmlformats.org/officeDocument/2006/relationships/hyperlink" Target="https://ryycrdhlkmzpxwwwwupy.supabase.co/storage/v1/object/public/old_media/7876f2cc.Path.051113.jpg" TargetMode="External"/><Relationship Id="rId3754" Type="http://schemas.openxmlformats.org/officeDocument/2006/relationships/hyperlink" Target="https://ryycrdhlkmzpxwwwwupy.supabase.co/storage/v1/object/public/old_media/0d49ccf3.Path.085410.jpg" TargetMode="External"/><Relationship Id="rId2425" Type="http://schemas.openxmlformats.org/officeDocument/2006/relationships/hyperlink" Target="https://ryycrdhlkmzpxwwwwupy.supabase.co/storage/v1/object/public/old_media/fc5c9374.Path.051148.jpg" TargetMode="External"/><Relationship Id="rId3757" Type="http://schemas.openxmlformats.org/officeDocument/2006/relationships/hyperlink" Target="https://ryycrdhlkmzpxwwwwupy.supabase.co/storage/v1/object/public/old_media/101a26ac.Path.085955.jpg" TargetMode="External"/><Relationship Id="rId2426" Type="http://schemas.openxmlformats.org/officeDocument/2006/relationships/hyperlink" Target="https://ryycrdhlkmzpxwwwwupy.supabase.co/storage/v1/object/public/old_media/dfd787f6.Path.070435.jpg" TargetMode="External"/><Relationship Id="rId3756" Type="http://schemas.openxmlformats.org/officeDocument/2006/relationships/hyperlink" Target="https://ryycrdhlkmzpxwwwwupy.supabase.co/storage/v1/object/public/old_media/19d36812.Path.085834.webp" TargetMode="External"/><Relationship Id="rId2427" Type="http://schemas.openxmlformats.org/officeDocument/2006/relationships/hyperlink" Target="https://ryycrdhlkmzpxwwwwupy.supabase.co/storage/v1/object/public/old_media/dee85229.Path.070444.jpg" TargetMode="External"/><Relationship Id="rId3759" Type="http://schemas.openxmlformats.org/officeDocument/2006/relationships/hyperlink" Target="https://ryycrdhlkmzpxwwwwupy.supabase.co/storage/v1/object/public/old_media/d1574c62.Path.090528.jpg" TargetMode="External"/><Relationship Id="rId2428" Type="http://schemas.openxmlformats.org/officeDocument/2006/relationships/hyperlink" Target="https://ryycrdhlkmzpxwwwwupy.supabase.co/storage/v1/object/public/old_media/f6d85304.Path.070454.jpg" TargetMode="External"/><Relationship Id="rId3758" Type="http://schemas.openxmlformats.org/officeDocument/2006/relationships/hyperlink" Target="https://ryycrdhlkmzpxwwwwupy.supabase.co/storage/v1/object/public/old_media/f0878eaf.Path.090501.jpg" TargetMode="External"/><Relationship Id="rId2429" Type="http://schemas.openxmlformats.org/officeDocument/2006/relationships/hyperlink" Target="https://ryycrdhlkmzpxwwwwupy.supabase.co/storage/v1/object/public/old_media/e6e9b017.Path.070504.jpg" TargetMode="External"/><Relationship Id="rId509" Type="http://schemas.openxmlformats.org/officeDocument/2006/relationships/hyperlink" Target="https://ryycrdhlkmzpxwwwwupy.supabase.co/storage/v1/object/public/old_media/947c08f0.Path.053413.jpg" TargetMode="External"/><Relationship Id="rId508" Type="http://schemas.openxmlformats.org/officeDocument/2006/relationships/hyperlink" Target="https://ryycrdhlkmzpxwwwwupy.supabase.co/storage/v1/object/public/old_media/ca58a136.Path.053353.png" TargetMode="External"/><Relationship Id="rId503" Type="http://schemas.openxmlformats.org/officeDocument/2006/relationships/hyperlink" Target="https://ryycrdhlkmzpxwwwwupy.supabase.co/storage/v1/object/public/old_media/46b486e6.Path.120414.jpg" TargetMode="External"/><Relationship Id="rId502" Type="http://schemas.openxmlformats.org/officeDocument/2006/relationships/hyperlink" Target="https://ryycrdhlkmzpxwwwwupy.supabase.co/storage/v1/object/public/old_media/b1ead03e.Path.120407.jpg" TargetMode="External"/><Relationship Id="rId501" Type="http://schemas.openxmlformats.org/officeDocument/2006/relationships/hyperlink" Target="https://ryycrdhlkmzpxwwwwupy.supabase.co/storage/v1/object/public/old_media/5b214baf.Path.120358.jpg" TargetMode="External"/><Relationship Id="rId500" Type="http://schemas.openxmlformats.org/officeDocument/2006/relationships/hyperlink" Target="https://ryycrdhlkmzpxwwwwupy.supabase.co/storage/v1/object/public/old_media/2d279950.Path.102814.jpg" TargetMode="External"/><Relationship Id="rId507" Type="http://schemas.openxmlformats.org/officeDocument/2006/relationships/hyperlink" Target="https://ryycrdhlkmzpxwwwwupy.supabase.co/storage/v1/object/public/old_media/f3c4b8ff.Path.121137.jpg" TargetMode="External"/><Relationship Id="rId506" Type="http://schemas.openxmlformats.org/officeDocument/2006/relationships/hyperlink" Target="https://ryycrdhlkmzpxwwwwupy.supabase.co/storage/v1/object/public/old_media/d1f300f2.Path.121120.jpg" TargetMode="External"/><Relationship Id="rId505" Type="http://schemas.openxmlformats.org/officeDocument/2006/relationships/hyperlink" Target="https://ryycrdhlkmzpxwwwwupy.supabase.co/storage/v1/object/public/old_media/98c40ba7.Path.121111.jpg" TargetMode="External"/><Relationship Id="rId504" Type="http://schemas.openxmlformats.org/officeDocument/2006/relationships/hyperlink" Target="https://ryycrdhlkmzpxwwwwupy.supabase.co/storage/v1/object/public/old_media/07af3593.Path.120819.jpg" TargetMode="External"/><Relationship Id="rId3751" Type="http://schemas.openxmlformats.org/officeDocument/2006/relationships/hyperlink" Target="https://ryycrdhlkmzpxwwwwupy.supabase.co/storage/v1/object/public/old_media/e00a2584.Path.084527.jpg" TargetMode="External"/><Relationship Id="rId2420" Type="http://schemas.openxmlformats.org/officeDocument/2006/relationships/hyperlink" Target="https://ryycrdhlkmzpxwwwwupy.supabase.co/storage/v1/object/public/old_media/71c8de76.Path.050640.jpg" TargetMode="External"/><Relationship Id="rId3750" Type="http://schemas.openxmlformats.org/officeDocument/2006/relationships/hyperlink" Target="https://ryycrdhlkmzpxwwwwupy.supabase.co/storage/v1/object/public/old_media/ec22ed74.Path.084404.jpg" TargetMode="External"/><Relationship Id="rId2421" Type="http://schemas.openxmlformats.org/officeDocument/2006/relationships/hyperlink" Target="https://ryycrdhlkmzpxwwwwupy.supabase.co/storage/v1/object/public/old_media/8b2af7a5.Path.050815.jpg" TargetMode="External"/><Relationship Id="rId3753" Type="http://schemas.openxmlformats.org/officeDocument/2006/relationships/hyperlink" Target="https://ryycrdhlkmzpxwwwwupy.supabase.co/storage/v1/object/public/old_media/c9c06c01.Path.084835.png" TargetMode="External"/><Relationship Id="rId2422" Type="http://schemas.openxmlformats.org/officeDocument/2006/relationships/hyperlink" Target="https://ryycrdhlkmzpxwwwwupy.supabase.co/storage/v1/object/public/old_media/abd89cb1.Path.050919.jpg" TargetMode="External"/><Relationship Id="rId3752" Type="http://schemas.openxmlformats.org/officeDocument/2006/relationships/hyperlink" Target="https://ryycrdhlkmzpxwwwwupy.supabase.co/storage/v1/object/public/old_media/b22a5d45.Path.084719.jpg" TargetMode="External"/><Relationship Id="rId2412" Type="http://schemas.openxmlformats.org/officeDocument/2006/relationships/hyperlink" Target="https://ryycrdhlkmzpxwwwwupy.supabase.co/storage/v1/object/public/old_media/c51bf3b1.Path.103839.png" TargetMode="External"/><Relationship Id="rId3744" Type="http://schemas.openxmlformats.org/officeDocument/2006/relationships/hyperlink" Target="https://ryycrdhlkmzpxwwwwupy.supabase.co/storage/v1/object/public/old_media/890dfc9e.Path.082748.jpg" TargetMode="External"/><Relationship Id="rId2413" Type="http://schemas.openxmlformats.org/officeDocument/2006/relationships/hyperlink" Target="https://ryycrdhlkmzpxwwwwupy.supabase.co/storage/v1/object/public/old_media/1fba57ca.Path.105536.jpg" TargetMode="External"/><Relationship Id="rId3743" Type="http://schemas.openxmlformats.org/officeDocument/2006/relationships/hyperlink" Target="https://ryycrdhlkmzpxwwwwupy.supabase.co/storage/v1/object/public/old_media/c0eb2655.Path.082315.jpg" TargetMode="External"/><Relationship Id="rId2414" Type="http://schemas.openxmlformats.org/officeDocument/2006/relationships/hyperlink" Target="https://ryycrdhlkmzpxwwwwupy.supabase.co/storage/v1/object/public/old_media/43dcfe9b.Path.105549.jpg" TargetMode="External"/><Relationship Id="rId3746" Type="http://schemas.openxmlformats.org/officeDocument/2006/relationships/hyperlink" Target="https://ryycrdhlkmzpxwwwwupy.supabase.co/storage/v1/object/public/old_media/0fc22c0d.Path.083416.avif" TargetMode="External"/><Relationship Id="rId2415" Type="http://schemas.openxmlformats.org/officeDocument/2006/relationships/hyperlink" Target="https://ryycrdhlkmzpxwwwwupy.supabase.co/storage/v1/object/public/old_media/b133f427.Path.105558.jpg" TargetMode="External"/><Relationship Id="rId3745" Type="http://schemas.openxmlformats.org/officeDocument/2006/relationships/hyperlink" Target="https://ryycrdhlkmzpxwwwwupy.supabase.co/storage/v1/object/public/old_media/c0753e85.Path.083159.jpg" TargetMode="External"/><Relationship Id="rId2416" Type="http://schemas.openxmlformats.org/officeDocument/2006/relationships/hyperlink" Target="https://ryycrdhlkmzpxwwwwupy.supabase.co/storage/v1/object/public/old_media/46052c1d.Path.105608.jpg" TargetMode="External"/><Relationship Id="rId3748" Type="http://schemas.openxmlformats.org/officeDocument/2006/relationships/hyperlink" Target="https://ryycrdhlkmzpxwwwwupy.supabase.co/storage/v1/object/public/old_media/09b407a2.Path.084050.jpg" TargetMode="External"/><Relationship Id="rId2417" Type="http://schemas.openxmlformats.org/officeDocument/2006/relationships/hyperlink" Target="https://ryycrdhlkmzpxwwwwupy.supabase.co/storage/v1/object/public/old_media/076c0d17.Path.050423.jpg" TargetMode="External"/><Relationship Id="rId3747" Type="http://schemas.openxmlformats.org/officeDocument/2006/relationships/hyperlink" Target="https://ryycrdhlkmzpxwwwwupy.supabase.co/storage/v1/object/public/old_media/74fb5df9.Path.083848.webp" TargetMode="External"/><Relationship Id="rId2418" Type="http://schemas.openxmlformats.org/officeDocument/2006/relationships/hyperlink" Target="https://ryycrdhlkmzpxwwwwupy.supabase.co/storage/v1/object/public/old_media/8689fb78.Path.050458.jpg" TargetMode="External"/><Relationship Id="rId2419" Type="http://schemas.openxmlformats.org/officeDocument/2006/relationships/hyperlink" Target="https://ryycrdhlkmzpxwwwwupy.supabase.co/storage/v1/object/public/old_media/f37e5002.Path.050550.jpg" TargetMode="External"/><Relationship Id="rId3749" Type="http://schemas.openxmlformats.org/officeDocument/2006/relationships/hyperlink" Target="https://ryycrdhlkmzpxwwwwupy.supabase.co/storage/v1/object/public/old_media/4a2f6a65.Path.084240.jpg" TargetMode="External"/><Relationship Id="rId3740" Type="http://schemas.openxmlformats.org/officeDocument/2006/relationships/hyperlink" Target="https://ryycrdhlkmzpxwwwwupy.supabase.co/storage/v1/object/public/old_media/19fff51c.Path.081728.jpg" TargetMode="External"/><Relationship Id="rId2410" Type="http://schemas.openxmlformats.org/officeDocument/2006/relationships/hyperlink" Target="https://ryycrdhlkmzpxwwwwupy.supabase.co/storage/v1/object/public/old_media/554e7bf5.Path.103800.jpg" TargetMode="External"/><Relationship Id="rId3742" Type="http://schemas.openxmlformats.org/officeDocument/2006/relationships/hyperlink" Target="https://ryycrdhlkmzpxwwwwupy.supabase.co/storage/v1/object/public/old_media/e6ca94b7.Path.082051.png" TargetMode="External"/><Relationship Id="rId2411" Type="http://schemas.openxmlformats.org/officeDocument/2006/relationships/hyperlink" Target="https://ryycrdhlkmzpxwwwwupy.supabase.co/storage/v1/object/public/old_media/50de2d4d.Path.103822.png" TargetMode="External"/><Relationship Id="rId3741" Type="http://schemas.openxmlformats.org/officeDocument/2006/relationships/hyperlink" Target="https://ryycrdhlkmzpxwwwwupy.supabase.co/storage/v1/object/public/old_media/f1a4464e.Path.081939.png" TargetMode="External"/><Relationship Id="rId1114" Type="http://schemas.openxmlformats.org/officeDocument/2006/relationships/hyperlink" Target="https://ryycrdhlkmzpxwwwwupy.supabase.co/storage/v1/object/public/old_media/4a9b045d.Path.054751.jpg" TargetMode="External"/><Relationship Id="rId2445" Type="http://schemas.openxmlformats.org/officeDocument/2006/relationships/hyperlink" Target="https://ryycrdhlkmzpxwwwwupy.supabase.co/storage/v1/object/public/old_media/0b4c0f07.Path.073201.jpg" TargetMode="External"/><Relationship Id="rId3777" Type="http://schemas.openxmlformats.org/officeDocument/2006/relationships/hyperlink" Target="https://ryycrdhlkmzpxwwwwupy.supabase.co/storage/v1/object/public/old_media/c1cc5de7.Path.101635.jpg" TargetMode="External"/><Relationship Id="rId1115" Type="http://schemas.openxmlformats.org/officeDocument/2006/relationships/hyperlink" Target="https://ryycrdhlkmzpxwwwwupy.supabase.co/storage/v1/object/public/old_media/6c16e6f8.Path.054810.jpg" TargetMode="External"/><Relationship Id="rId2446" Type="http://schemas.openxmlformats.org/officeDocument/2006/relationships/hyperlink" Target="https://ryycrdhlkmzpxwwwwupy.supabase.co/storage/v1/object/public/old_media/630f7fb1.Path.073216.jpg" TargetMode="External"/><Relationship Id="rId3776" Type="http://schemas.openxmlformats.org/officeDocument/2006/relationships/hyperlink" Target="https://ryycrdhlkmzpxwwwwupy.supabase.co/storage/v1/object/public/old_media/4016afbe.Path.101445.png" TargetMode="External"/><Relationship Id="rId1116" Type="http://schemas.openxmlformats.org/officeDocument/2006/relationships/hyperlink" Target="https://ryycrdhlkmzpxwwwwupy.supabase.co/storage/v1/object/public/old_media/78aa2e78.Path.063005.jpg" TargetMode="External"/><Relationship Id="rId2447" Type="http://schemas.openxmlformats.org/officeDocument/2006/relationships/hyperlink" Target="https://ryycrdhlkmzpxwwwwupy.supabase.co/storage/v1/object/public/old_media/91e1837b.Path.073225.jpg" TargetMode="External"/><Relationship Id="rId3779" Type="http://schemas.openxmlformats.org/officeDocument/2006/relationships/hyperlink" Target="https://ryycrdhlkmzpxwwwwupy.supabase.co/storage/v1/object/public/old_media/3e4c53e1.Path.113308.jpg" TargetMode="External"/><Relationship Id="rId1117" Type="http://schemas.openxmlformats.org/officeDocument/2006/relationships/hyperlink" Target="https://ryycrdhlkmzpxwwwwupy.supabase.co/storage/v1/object/public/old_media/efc54c7f.Path.063025.jpg" TargetMode="External"/><Relationship Id="rId2448" Type="http://schemas.openxmlformats.org/officeDocument/2006/relationships/hyperlink" Target="https://ryycrdhlkmzpxwwwwupy.supabase.co/storage/v1/object/public/old_media/9282ef79.Path.073236.jpg" TargetMode="External"/><Relationship Id="rId3778" Type="http://schemas.openxmlformats.org/officeDocument/2006/relationships/hyperlink" Target="https://ryycrdhlkmzpxwwwwupy.supabase.co/storage/v1/object/public/old_media/a9d59de2.Path.102011.jpg" TargetMode="External"/><Relationship Id="rId1118" Type="http://schemas.openxmlformats.org/officeDocument/2006/relationships/hyperlink" Target="https://ryycrdhlkmzpxwwwwupy.supabase.co/storage/v1/object/public/old_media/5fa6a90d.Path.063047.jpg" TargetMode="External"/><Relationship Id="rId2449" Type="http://schemas.openxmlformats.org/officeDocument/2006/relationships/hyperlink" Target="https://ryycrdhlkmzpxwwwwupy.supabase.co/storage/v1/object/public/old_media/43d600c9.Path.073254.jpg" TargetMode="External"/><Relationship Id="rId1119" Type="http://schemas.openxmlformats.org/officeDocument/2006/relationships/hyperlink" Target="https://ryycrdhlkmzpxwwwwupy.supabase.co/storage/v1/object/public/old_media/f0fa7d8e.Path.063108.jpg" TargetMode="External"/><Relationship Id="rId525" Type="http://schemas.openxmlformats.org/officeDocument/2006/relationships/hyperlink" Target="https://ryycrdhlkmzpxwwwwupy.supabase.co/storage/v1/object/public/old_media/8cb30a41.Path.122225.png" TargetMode="External"/><Relationship Id="rId524" Type="http://schemas.openxmlformats.org/officeDocument/2006/relationships/hyperlink" Target="https://ryycrdhlkmzpxwwwwupy.supabase.co/storage/v1/object/public/old_media/58cdeb33.Path.113315.jpg" TargetMode="External"/><Relationship Id="rId523" Type="http://schemas.openxmlformats.org/officeDocument/2006/relationships/hyperlink" Target="https://ryycrdhlkmzpxwwwwupy.supabase.co/storage/v1/object/public/old_media/d5fdee88.Path.113309.jpg" TargetMode="External"/><Relationship Id="rId522" Type="http://schemas.openxmlformats.org/officeDocument/2006/relationships/hyperlink" Target="https://ryycrdhlkmzpxwwwwupy.supabase.co/storage/v1/object/public/old_media/c8914e5f.Path.113250.jpg" TargetMode="External"/><Relationship Id="rId529" Type="http://schemas.openxmlformats.org/officeDocument/2006/relationships/hyperlink" Target="https://ryycrdhlkmzpxwwwwupy.supabase.co/storage/v1/object/public/old_media/9658ca00.Path.072128.jpg" TargetMode="External"/><Relationship Id="rId528" Type="http://schemas.openxmlformats.org/officeDocument/2006/relationships/hyperlink" Target="https://ryycrdhlkmzpxwwwwupy.supabase.co/storage/v1/object/public/old_media/0de68fe3.Path.072120.jpg" TargetMode="External"/><Relationship Id="rId527" Type="http://schemas.openxmlformats.org/officeDocument/2006/relationships/hyperlink" Target="https://ryycrdhlkmzpxwwwwupy.supabase.co/storage/v1/object/public/old_media/beca0e6b.Path.122251.jpg" TargetMode="External"/><Relationship Id="rId526" Type="http://schemas.openxmlformats.org/officeDocument/2006/relationships/hyperlink" Target="https://ryycrdhlkmzpxwwwwupy.supabase.co/storage/v1/object/public/old_media/f104b81a.Path.122233.jpg" TargetMode="External"/><Relationship Id="rId3771" Type="http://schemas.openxmlformats.org/officeDocument/2006/relationships/hyperlink" Target="https://ryycrdhlkmzpxwwwwupy.supabase.co/storage/v1/object/public/old_media/38b95b60.Path.095720.webp" TargetMode="External"/><Relationship Id="rId2440" Type="http://schemas.openxmlformats.org/officeDocument/2006/relationships/hyperlink" Target="https://ryycrdhlkmzpxwwwwupy.supabase.co/storage/v1/object/public/old_media/f56175d0.Path.073112.jpg" TargetMode="External"/><Relationship Id="rId3770" Type="http://schemas.openxmlformats.org/officeDocument/2006/relationships/hyperlink" Target="https://ryycrdhlkmzpxwwwwupy.supabase.co/storage/v1/object/public/old_media/8120b819.Path.095515.jpg" TargetMode="External"/><Relationship Id="rId521" Type="http://schemas.openxmlformats.org/officeDocument/2006/relationships/hyperlink" Target="https://ryycrdhlkmzpxwwwwupy.supabase.co/storage/v1/object/public/old_media/54482612.Path.112200.jpg" TargetMode="External"/><Relationship Id="rId1110" Type="http://schemas.openxmlformats.org/officeDocument/2006/relationships/hyperlink" Target="https://ryycrdhlkmzpxwwwwupy.supabase.co/storage/v1/object/public/old_media/01a41ef9.Path.043543.jpg" TargetMode="External"/><Relationship Id="rId2441" Type="http://schemas.openxmlformats.org/officeDocument/2006/relationships/hyperlink" Target="https://ryycrdhlkmzpxwwwwupy.supabase.co/storage/v1/object/public/old_media/dfc2df2d.Path.073122.jpg" TargetMode="External"/><Relationship Id="rId3773" Type="http://schemas.openxmlformats.org/officeDocument/2006/relationships/hyperlink" Target="https://ryycrdhlkmzpxwwwwupy.supabase.co/storage/v1/object/public/old_media/93cacd3a.Path.100339.jpg" TargetMode="External"/><Relationship Id="rId520" Type="http://schemas.openxmlformats.org/officeDocument/2006/relationships/hyperlink" Target="https://ryycrdhlkmzpxwwwwupy.supabase.co/storage/v1/object/public/old_media/215e595b.Path.112141.jpg" TargetMode="External"/><Relationship Id="rId1111" Type="http://schemas.openxmlformats.org/officeDocument/2006/relationships/hyperlink" Target="https://ryycrdhlkmzpxwwwwupy.supabase.co/storage/v1/object/public/old_media/5b252c27.Path.054708.jpg" TargetMode="External"/><Relationship Id="rId2442" Type="http://schemas.openxmlformats.org/officeDocument/2006/relationships/hyperlink" Target="https://ryycrdhlkmzpxwwwwupy.supabase.co/storage/v1/object/public/old_media/d372d5f9.Path.073130.jpg" TargetMode="External"/><Relationship Id="rId3772" Type="http://schemas.openxmlformats.org/officeDocument/2006/relationships/hyperlink" Target="https://ryycrdhlkmzpxwwwwupy.supabase.co/storage/v1/object/public/old_media/c67f8cd1.Path.100034.jpg" TargetMode="External"/><Relationship Id="rId1112" Type="http://schemas.openxmlformats.org/officeDocument/2006/relationships/hyperlink" Target="https://ryycrdhlkmzpxwwwwupy.supabase.co/storage/v1/object/public/old_media/52ba6fa2.Path.054725.jpg" TargetMode="External"/><Relationship Id="rId2443" Type="http://schemas.openxmlformats.org/officeDocument/2006/relationships/hyperlink" Target="https://ryycrdhlkmzpxwwwwupy.supabase.co/storage/v1/object/public/old_media/c1479748.Path.073139.jpg" TargetMode="External"/><Relationship Id="rId3775" Type="http://schemas.openxmlformats.org/officeDocument/2006/relationships/hyperlink" Target="https://ryycrdhlkmzpxwwwwupy.supabase.co/storage/v1/object/public/old_media/f3639900.Path.101004.jpg" TargetMode="External"/><Relationship Id="rId1113" Type="http://schemas.openxmlformats.org/officeDocument/2006/relationships/hyperlink" Target="https://ryycrdhlkmzpxwwwwupy.supabase.co/storage/v1/object/public/old_media/f0670634.Path.054734.jpg" TargetMode="External"/><Relationship Id="rId2444" Type="http://schemas.openxmlformats.org/officeDocument/2006/relationships/hyperlink" Target="https://ryycrdhlkmzpxwwwwupy.supabase.co/storage/v1/object/public/old_media/3738a926.Path.073149.jpg" TargetMode="External"/><Relationship Id="rId3774" Type="http://schemas.openxmlformats.org/officeDocument/2006/relationships/hyperlink" Target="https://ryycrdhlkmzpxwwwwupy.supabase.co/storage/v1/object/public/old_media/cd29476d.Path.100810.jpg" TargetMode="External"/><Relationship Id="rId1103" Type="http://schemas.openxmlformats.org/officeDocument/2006/relationships/hyperlink" Target="https://ryycrdhlkmzpxwwwwupy.supabase.co/storage/v1/object/public/old_media/82b8ad20.Path.041818.jpg" TargetMode="External"/><Relationship Id="rId2434" Type="http://schemas.openxmlformats.org/officeDocument/2006/relationships/hyperlink" Target="https://ryycrdhlkmzpxwwwwupy.supabase.co/storage/v1/object/public/old_media/386c7e92.Path.073816.jpg" TargetMode="External"/><Relationship Id="rId3766" Type="http://schemas.openxmlformats.org/officeDocument/2006/relationships/hyperlink" Target="https://ryycrdhlkmzpxwwwwupy.supabase.co/storage/v1/object/public/old_media/418dae0a.Path.094452.jpg" TargetMode="External"/><Relationship Id="rId1104" Type="http://schemas.openxmlformats.org/officeDocument/2006/relationships/hyperlink" Target="https://ryycrdhlkmzpxwwwwupy.supabase.co/storage/v1/object/public/old_media/7d8d04df.Path.041826.jpg" TargetMode="External"/><Relationship Id="rId2435" Type="http://schemas.openxmlformats.org/officeDocument/2006/relationships/hyperlink" Target="https://ryycrdhlkmzpxwwwwupy.supabase.co/storage/v1/object/public/old_media/8130d75c.Path.073826.jpg" TargetMode="External"/><Relationship Id="rId3765" Type="http://schemas.openxmlformats.org/officeDocument/2006/relationships/hyperlink" Target="https://ryycrdhlkmzpxwwwwupy.supabase.co/storage/v1/object/public/old_media/a70f69cb.Path.093650.png" TargetMode="External"/><Relationship Id="rId1105" Type="http://schemas.openxmlformats.org/officeDocument/2006/relationships/hyperlink" Target="https://ryycrdhlkmzpxwwwwupy.supabase.co/storage/v1/object/public/old_media/a8afecec.Path.041845.jpg" TargetMode="External"/><Relationship Id="rId2436" Type="http://schemas.openxmlformats.org/officeDocument/2006/relationships/hyperlink" Target="https://ryycrdhlkmzpxwwwwupy.supabase.co/storage/v1/object/public/old_media/271ca4f7.Path.073835.jpg" TargetMode="External"/><Relationship Id="rId3768" Type="http://schemas.openxmlformats.org/officeDocument/2006/relationships/hyperlink" Target="https://ryycrdhlkmzpxwwwwupy.supabase.co/storage/v1/object/public/old_media/d06764b8.Path.094736.jpg" TargetMode="External"/><Relationship Id="rId1106" Type="http://schemas.openxmlformats.org/officeDocument/2006/relationships/hyperlink" Target="https://ryycrdhlkmzpxwwwwupy.supabase.co/storage/v1/object/public/old_media/01c7bcb7.Path.043402.jpg" TargetMode="External"/><Relationship Id="rId2437" Type="http://schemas.openxmlformats.org/officeDocument/2006/relationships/hyperlink" Target="https://ryycrdhlkmzpxwwwwupy.supabase.co/storage/v1/object/public/old_media/d66a5961.Path.073844.jpg" TargetMode="External"/><Relationship Id="rId3767" Type="http://schemas.openxmlformats.org/officeDocument/2006/relationships/hyperlink" Target="https://ryycrdhlkmzpxwwwwupy.supabase.co/storage/v1/object/public/old_media/7971be9b.Path.094611.jpg" TargetMode="External"/><Relationship Id="rId1107" Type="http://schemas.openxmlformats.org/officeDocument/2006/relationships/hyperlink" Target="https://ryycrdhlkmzpxwwwwupy.supabase.co/storage/v1/object/public/old_media/8338c80c.Path.043427.jpg" TargetMode="External"/><Relationship Id="rId2438" Type="http://schemas.openxmlformats.org/officeDocument/2006/relationships/hyperlink" Target="https://ryycrdhlkmzpxwwwwupy.supabase.co/storage/v1/object/public/old_media/1bb0ad0c.Path.073853.jpg" TargetMode="External"/><Relationship Id="rId1108" Type="http://schemas.openxmlformats.org/officeDocument/2006/relationships/hyperlink" Target="https://ryycrdhlkmzpxwwwwupy.supabase.co/storage/v1/object/public/old_media/ed4004c3.Path.043444.jpg" TargetMode="External"/><Relationship Id="rId2439" Type="http://schemas.openxmlformats.org/officeDocument/2006/relationships/hyperlink" Target="https://ryycrdhlkmzpxwwwwupy.supabase.co/storage/v1/object/public/old_media/6adc89a4.Path.073900.jpg" TargetMode="External"/><Relationship Id="rId3769" Type="http://schemas.openxmlformats.org/officeDocument/2006/relationships/hyperlink" Target="https://ryycrdhlkmzpxwwwwupy.supabase.co/storage/v1/object/public/old_media/8e346a5f.Path.095013.jpg" TargetMode="External"/><Relationship Id="rId1109" Type="http://schemas.openxmlformats.org/officeDocument/2006/relationships/hyperlink" Target="https://ryycrdhlkmzpxwwwwupy.supabase.co/storage/v1/object/public/old_media/0cec7573.Path.043502.jpg" TargetMode="External"/><Relationship Id="rId519" Type="http://schemas.openxmlformats.org/officeDocument/2006/relationships/hyperlink" Target="https://ryycrdhlkmzpxwwwwupy.supabase.co/storage/v1/object/public/old_media/3d84f25e.Path.112124.jpg" TargetMode="External"/><Relationship Id="rId514" Type="http://schemas.openxmlformats.org/officeDocument/2006/relationships/hyperlink" Target="https://ryycrdhlkmzpxwwwwupy.supabase.co/storage/v1/object/public/old_media/35a6103a.Path.055044.jpg" TargetMode="External"/><Relationship Id="rId513" Type="http://schemas.openxmlformats.org/officeDocument/2006/relationships/hyperlink" Target="https://ryycrdhlkmzpxwwwwupy.supabase.co/storage/v1/object/public/old_media/609c3d77.Path.054946.jpg" TargetMode="External"/><Relationship Id="rId512" Type="http://schemas.openxmlformats.org/officeDocument/2006/relationships/hyperlink" Target="https://ryycrdhlkmzpxwwwwupy.supabase.co/storage/v1/object/public/old_media/60efd147.Path.053456.jpg" TargetMode="External"/><Relationship Id="rId511" Type="http://schemas.openxmlformats.org/officeDocument/2006/relationships/hyperlink" Target="https://ryycrdhlkmzpxwwwwupy.supabase.co/storage/v1/object/public/old_media/8e48aa6b.Path.053437.jpg" TargetMode="External"/><Relationship Id="rId518" Type="http://schemas.openxmlformats.org/officeDocument/2006/relationships/hyperlink" Target="https://ryycrdhlkmzpxwwwwupy.supabase.co/storage/v1/object/public/old_media/edf2bc9d.Path.110550.jpg" TargetMode="External"/><Relationship Id="rId517" Type="http://schemas.openxmlformats.org/officeDocument/2006/relationships/hyperlink" Target="https://ryycrdhlkmzpxwwwwupy.supabase.co/storage/v1/object/public/old_media/4017c855.Path.110540.png" TargetMode="External"/><Relationship Id="rId516" Type="http://schemas.openxmlformats.org/officeDocument/2006/relationships/hyperlink" Target="https://ryycrdhlkmzpxwwwwupy.supabase.co/storage/v1/object/public/old_media/2aeb08db.Path.105755.png" TargetMode="External"/><Relationship Id="rId515" Type="http://schemas.openxmlformats.org/officeDocument/2006/relationships/hyperlink" Target="https://ryycrdhlkmzpxwwwwupy.supabase.co/storage/v1/object/public/old_media/64433208.Path.055101.jpg" TargetMode="External"/><Relationship Id="rId3760" Type="http://schemas.openxmlformats.org/officeDocument/2006/relationships/hyperlink" Target="https://ryycrdhlkmzpxwwwwupy.supabase.co/storage/v1/object/public/old_media/afa9ab7d.Path.090702.jpg" TargetMode="External"/><Relationship Id="rId510" Type="http://schemas.openxmlformats.org/officeDocument/2006/relationships/hyperlink" Target="https://ryycrdhlkmzpxwwwwupy.supabase.co/storage/v1/object/public/old_media/d866782c.Path.053420.jpg" TargetMode="External"/><Relationship Id="rId2430" Type="http://schemas.openxmlformats.org/officeDocument/2006/relationships/hyperlink" Target="https://ryycrdhlkmzpxwwwwupy.supabase.co/storage/v1/object/public/old_media/0d042e29.Path.070514.jpg" TargetMode="External"/><Relationship Id="rId3762" Type="http://schemas.openxmlformats.org/officeDocument/2006/relationships/hyperlink" Target="https://ryycrdhlkmzpxwwwwupy.supabase.co/storage/v1/object/public/old_media/07c36fea.Path.092743.jpg" TargetMode="External"/><Relationship Id="rId1100" Type="http://schemas.openxmlformats.org/officeDocument/2006/relationships/hyperlink" Target="https://ryycrdhlkmzpxwwwwupy.supabase.co/storage/v1/object/public/old_media/d194e630.Path.041715.jpg" TargetMode="External"/><Relationship Id="rId2431" Type="http://schemas.openxmlformats.org/officeDocument/2006/relationships/hyperlink" Target="https://ryycrdhlkmzpxwwwwupy.supabase.co/storage/v1/object/public/old_media/7e6a14e2.Path.070527.jpg" TargetMode="External"/><Relationship Id="rId3761" Type="http://schemas.openxmlformats.org/officeDocument/2006/relationships/hyperlink" Target="https://ryycrdhlkmzpxwwwwupy.supabase.co/storage/v1/object/public/old_media/c518948d.Path.090940.avif" TargetMode="External"/><Relationship Id="rId1101" Type="http://schemas.openxmlformats.org/officeDocument/2006/relationships/hyperlink" Target="https://ryycrdhlkmzpxwwwwupy.supabase.co/storage/v1/object/public/old_media/dfc332e3.Path.041739.jpg" TargetMode="External"/><Relationship Id="rId2432" Type="http://schemas.openxmlformats.org/officeDocument/2006/relationships/hyperlink" Target="https://ryycrdhlkmzpxwwwwupy.supabase.co/storage/v1/object/public/old_media/6f0ee5b0.Path.070615.jpg" TargetMode="External"/><Relationship Id="rId3764" Type="http://schemas.openxmlformats.org/officeDocument/2006/relationships/hyperlink" Target="https://ryycrdhlkmzpxwwwwupy.supabase.co/storage/v1/object/public/old_media/0d855964.Path.093246.jpg" TargetMode="External"/><Relationship Id="rId1102" Type="http://schemas.openxmlformats.org/officeDocument/2006/relationships/hyperlink" Target="https://ryycrdhlkmzpxwwwwupy.supabase.co/storage/v1/object/public/old_media/67c02273.Path.041758.jpg" TargetMode="External"/><Relationship Id="rId2433" Type="http://schemas.openxmlformats.org/officeDocument/2006/relationships/hyperlink" Target="https://ryycrdhlkmzpxwwwwupy.supabase.co/storage/v1/object/public/old_media/bfb7419e.Path.073807.jpg" TargetMode="External"/><Relationship Id="rId3763" Type="http://schemas.openxmlformats.org/officeDocument/2006/relationships/hyperlink" Target="https://ryycrdhlkmzpxwwwwupy.supabase.co/storage/v1/object/public/old_media/014d2174.Path.093127.jpg" TargetMode="External"/><Relationship Id="rId3711" Type="http://schemas.openxmlformats.org/officeDocument/2006/relationships/hyperlink" Target="https://ryycrdhlkmzpxwwwwupy.supabase.co/storage/v1/object/public/old_media/7892a828.Path.073424.jpg" TargetMode="External"/><Relationship Id="rId3710" Type="http://schemas.openxmlformats.org/officeDocument/2006/relationships/hyperlink" Target="https://ryycrdhlkmzpxwwwwupy.supabase.co/storage/v1/object/public/old_media/0204ef36.Path.073359.webp" TargetMode="External"/><Relationship Id="rId3713" Type="http://schemas.openxmlformats.org/officeDocument/2006/relationships/hyperlink" Target="https://ryycrdhlkmzpxwwwwupy.supabase.co/storage/v1/object/public/old_media/264074a1.Path.073500.webp" TargetMode="External"/><Relationship Id="rId3712" Type="http://schemas.openxmlformats.org/officeDocument/2006/relationships/hyperlink" Target="https://ryycrdhlkmzpxwwwwupy.supabase.co/storage/v1/object/public/old_media/977936db.Path.073429.webp" TargetMode="External"/><Relationship Id="rId3715" Type="http://schemas.openxmlformats.org/officeDocument/2006/relationships/hyperlink" Target="https://ryycrdhlkmzpxwwwwupy.supabase.co/storage/v1/object/public/old_media/3aaf2a6d.Path.073857.jpg" TargetMode="External"/><Relationship Id="rId3714" Type="http://schemas.openxmlformats.org/officeDocument/2006/relationships/hyperlink" Target="https://ryycrdhlkmzpxwwwwupy.supabase.co/storage/v1/object/public/old_media/eb9c09ef.Path.073547.jpg" TargetMode="External"/><Relationship Id="rId3717" Type="http://schemas.openxmlformats.org/officeDocument/2006/relationships/hyperlink" Target="https://ryycrdhlkmzpxwwwwupy.supabase.co/storage/v1/object/public/old_media/e6eccffa.Path.074213.jpg" TargetMode="External"/><Relationship Id="rId3716" Type="http://schemas.openxmlformats.org/officeDocument/2006/relationships/hyperlink" Target="https://ryycrdhlkmzpxwwwwupy.supabase.co/storage/v1/object/public/old_media/1c8072a3.Path.074053.jpg" TargetMode="External"/><Relationship Id="rId3719" Type="http://schemas.openxmlformats.org/officeDocument/2006/relationships/hyperlink" Target="https://ryycrdhlkmzpxwwwwupy.supabase.co/storage/v1/object/public/old_media/c67a6ad6.Path.074900.jpg" TargetMode="External"/><Relationship Id="rId3718" Type="http://schemas.openxmlformats.org/officeDocument/2006/relationships/hyperlink" Target="https://ryycrdhlkmzpxwwwwupy.supabase.co/storage/v1/object/public/old_media/142f120c.Path.074651.jpg" TargetMode="External"/><Relationship Id="rId3700" Type="http://schemas.openxmlformats.org/officeDocument/2006/relationships/hyperlink" Target="https://ryycrdhlkmzpxwwwwupy.supabase.co/storage/v1/object/public/old_media/69b8e436.Path.072947.webp" TargetMode="External"/><Relationship Id="rId3702" Type="http://schemas.openxmlformats.org/officeDocument/2006/relationships/hyperlink" Target="https://ryycrdhlkmzpxwwwwupy.supabase.co/storage/v1/object/public/old_media/d79a215c.Path.073044.webp" TargetMode="External"/><Relationship Id="rId3701" Type="http://schemas.openxmlformats.org/officeDocument/2006/relationships/hyperlink" Target="https://ryycrdhlkmzpxwwwwupy.supabase.co/storage/v1/object/public/old_media/2ab412d0.Path.073015.webp" TargetMode="External"/><Relationship Id="rId3704" Type="http://schemas.openxmlformats.org/officeDocument/2006/relationships/hyperlink" Target="https://ryycrdhlkmzpxwwwwupy.supabase.co/storage/v1/object/public/old_media/f7908148.Path.073111.webp" TargetMode="External"/><Relationship Id="rId3703" Type="http://schemas.openxmlformats.org/officeDocument/2006/relationships/hyperlink" Target="https://ryycrdhlkmzpxwwwwupy.supabase.co/storage/v1/object/public/old_media/2d26ad90.Path.073046.jpg" TargetMode="External"/><Relationship Id="rId3706" Type="http://schemas.openxmlformats.org/officeDocument/2006/relationships/hyperlink" Target="https://ryycrdhlkmzpxwwwwupy.supabase.co/storage/v1/object/public/old_media/2f4c5073.Path.073214.webp" TargetMode="External"/><Relationship Id="rId3705" Type="http://schemas.openxmlformats.org/officeDocument/2006/relationships/hyperlink" Target="https://ryycrdhlkmzpxwwwwupy.supabase.co/storage/v1/object/public/old_media/dd3a3caf.Path.073143.webp" TargetMode="External"/><Relationship Id="rId3708" Type="http://schemas.openxmlformats.org/officeDocument/2006/relationships/hyperlink" Target="https://ryycrdhlkmzpxwwwwupy.supabase.co/storage/v1/object/public/old_media/292d9e74.Path.073250.jpg" TargetMode="External"/><Relationship Id="rId3707" Type="http://schemas.openxmlformats.org/officeDocument/2006/relationships/hyperlink" Target="https://ryycrdhlkmzpxwwwwupy.supabase.co/storage/v1/object/public/old_media/18f8e7e0.Path.073245.webp" TargetMode="External"/><Relationship Id="rId3709" Type="http://schemas.openxmlformats.org/officeDocument/2006/relationships/hyperlink" Target="https://ryycrdhlkmzpxwwwwupy.supabase.co/storage/v1/object/public/old_media/92a8f7b9.Path.073326.webp" TargetMode="External"/><Relationship Id="rId2401" Type="http://schemas.openxmlformats.org/officeDocument/2006/relationships/hyperlink" Target="https://ryycrdhlkmzpxwwwwupy.supabase.co/storage/v1/object/public/old_media/4b2f8061.Path.065832.jpg" TargetMode="External"/><Relationship Id="rId3733" Type="http://schemas.openxmlformats.org/officeDocument/2006/relationships/hyperlink" Target="https://ryycrdhlkmzpxwwwwupy.supabase.co/storage/v1/object/public/old_media/abd68442.Path.080414.jpg" TargetMode="External"/><Relationship Id="rId2402" Type="http://schemas.openxmlformats.org/officeDocument/2006/relationships/hyperlink" Target="https://ryycrdhlkmzpxwwwwupy.supabase.co/storage/v1/object/public/old_media/aa3379f8.Path.070028.jpg" TargetMode="External"/><Relationship Id="rId3732" Type="http://schemas.openxmlformats.org/officeDocument/2006/relationships/hyperlink" Target="https://ryycrdhlkmzpxwwwwupy.supabase.co/storage/v1/object/public/old_media/36dd388e.Path.080248.jpg" TargetMode="External"/><Relationship Id="rId2403" Type="http://schemas.openxmlformats.org/officeDocument/2006/relationships/hyperlink" Target="https://ryycrdhlkmzpxwwwwupy.supabase.co/storage/v1/object/public/old_media/be8ba158.Path.070036.jpg" TargetMode="External"/><Relationship Id="rId3735" Type="http://schemas.openxmlformats.org/officeDocument/2006/relationships/hyperlink" Target="https://ryycrdhlkmzpxwwwwupy.supabase.co/storage/v1/object/public/old_media/439eb814.Path.080701.png" TargetMode="External"/><Relationship Id="rId2404" Type="http://schemas.openxmlformats.org/officeDocument/2006/relationships/hyperlink" Target="https://ryycrdhlkmzpxwwwwupy.supabase.co/storage/v1/object/public/old_media/4b56dd9e.Path.112825.jpg" TargetMode="External"/><Relationship Id="rId3734" Type="http://schemas.openxmlformats.org/officeDocument/2006/relationships/hyperlink" Target="https://ryycrdhlkmzpxwwwwupy.supabase.co/storage/v1/object/public/old_media/93a7fb6b.Path.080537.jpg" TargetMode="External"/><Relationship Id="rId2405" Type="http://schemas.openxmlformats.org/officeDocument/2006/relationships/hyperlink" Target="https://ryycrdhlkmzpxwwwwupy.supabase.co/storage/v1/object/public/old_media/fe62b683.Path.112842.jpg" TargetMode="External"/><Relationship Id="rId3737" Type="http://schemas.openxmlformats.org/officeDocument/2006/relationships/hyperlink" Target="https://ryycrdhlkmzpxwwwwupy.supabase.co/storage/v1/object/public/old_media/a81c1cec.Path.080928.jpg" TargetMode="External"/><Relationship Id="rId2406" Type="http://schemas.openxmlformats.org/officeDocument/2006/relationships/hyperlink" Target="https://ryycrdhlkmzpxwwwwupy.supabase.co/storage/v1/object/public/old_media/fcd89fb6.Path.103706.jpg" TargetMode="External"/><Relationship Id="rId3736" Type="http://schemas.openxmlformats.org/officeDocument/2006/relationships/hyperlink" Target="https://ryycrdhlkmzpxwwwwupy.supabase.co/storage/v1/object/public/old_media/a871c5bd.Path.080813.jpg" TargetMode="External"/><Relationship Id="rId2407" Type="http://schemas.openxmlformats.org/officeDocument/2006/relationships/hyperlink" Target="https://ryycrdhlkmzpxwwwwupy.supabase.co/storage/v1/object/public/old_media/528da108.Path.103718.jpg" TargetMode="External"/><Relationship Id="rId3739" Type="http://schemas.openxmlformats.org/officeDocument/2006/relationships/hyperlink" Target="https://ryycrdhlkmzpxwwwwupy.supabase.co/storage/v1/object/public/old_media/46c84ffb.Path.081610.png" TargetMode="External"/><Relationship Id="rId2408" Type="http://schemas.openxmlformats.org/officeDocument/2006/relationships/hyperlink" Target="https://ryycrdhlkmzpxwwwwupy.supabase.co/storage/v1/object/public/old_media/455acbe8.Path.103727.jpg" TargetMode="External"/><Relationship Id="rId3738" Type="http://schemas.openxmlformats.org/officeDocument/2006/relationships/hyperlink" Target="https://ryycrdhlkmzpxwwwwupy.supabase.co/storage/v1/object/public/old_media/77ac8a50.Path.081046.jpg" TargetMode="External"/><Relationship Id="rId2409" Type="http://schemas.openxmlformats.org/officeDocument/2006/relationships/hyperlink" Target="https://ryycrdhlkmzpxwwwwupy.supabase.co/storage/v1/object/public/old_media/eb8bb9f7.Path.103736.jpg" TargetMode="External"/><Relationship Id="rId3731" Type="http://schemas.openxmlformats.org/officeDocument/2006/relationships/hyperlink" Target="https://ryycrdhlkmzpxwwwwupy.supabase.co/storage/v1/object/public/old_media/f6c46686.Path.080129.jpg" TargetMode="External"/><Relationship Id="rId2400" Type="http://schemas.openxmlformats.org/officeDocument/2006/relationships/hyperlink" Target="https://ryycrdhlkmzpxwwwwupy.supabase.co/storage/v1/object/public/old_media/144a5ea8.Path.065815.jpg" TargetMode="External"/><Relationship Id="rId3730" Type="http://schemas.openxmlformats.org/officeDocument/2006/relationships/hyperlink" Target="https://ryycrdhlkmzpxwwwwupy.supabase.co/storage/v1/object/public/old_media/713d4e38.Path.080028.jpg" TargetMode="External"/><Relationship Id="rId3722" Type="http://schemas.openxmlformats.org/officeDocument/2006/relationships/hyperlink" Target="https://ryycrdhlkmzpxwwwwupy.supabase.co/storage/v1/object/public/old_media/9b4ab4b3.Path.075559.jpg" TargetMode="External"/><Relationship Id="rId3721" Type="http://schemas.openxmlformats.org/officeDocument/2006/relationships/hyperlink" Target="https://ryycrdhlkmzpxwwwwupy.supabase.co/storage/v1/object/public/old_media/ca237fe4.Path.075531.jpg" TargetMode="External"/><Relationship Id="rId3724" Type="http://schemas.openxmlformats.org/officeDocument/2006/relationships/hyperlink" Target="https://ryycrdhlkmzpxwwwwupy.supabase.co/storage/v1/object/public/old_media/64a32594.Path.075659.jpg" TargetMode="External"/><Relationship Id="rId3723" Type="http://schemas.openxmlformats.org/officeDocument/2006/relationships/hyperlink" Target="https://ryycrdhlkmzpxwwwwupy.supabase.co/storage/v1/object/public/old_media/5c456a96.Path.075629.jpg" TargetMode="External"/><Relationship Id="rId3726" Type="http://schemas.openxmlformats.org/officeDocument/2006/relationships/hyperlink" Target="https://ryycrdhlkmzpxwwwwupy.supabase.co/storage/v1/object/public/old_media/5fca62fe.Path.075759.jpg" TargetMode="External"/><Relationship Id="rId3725" Type="http://schemas.openxmlformats.org/officeDocument/2006/relationships/hyperlink" Target="https://ryycrdhlkmzpxwwwwupy.supabase.co/storage/v1/object/public/old_media/65426289.Path.075730.jpg" TargetMode="External"/><Relationship Id="rId3728" Type="http://schemas.openxmlformats.org/officeDocument/2006/relationships/hyperlink" Target="https://ryycrdhlkmzpxwwwwupy.supabase.co/storage/v1/object/public/old_media/990bf555.Path.075859.jpg" TargetMode="External"/><Relationship Id="rId3727" Type="http://schemas.openxmlformats.org/officeDocument/2006/relationships/hyperlink" Target="https://ryycrdhlkmzpxwwwwupy.supabase.co/storage/v1/object/public/old_media/71224cdb.Path.075829.jpg" TargetMode="External"/><Relationship Id="rId3729" Type="http://schemas.openxmlformats.org/officeDocument/2006/relationships/hyperlink" Target="https://ryycrdhlkmzpxwwwwupy.supabase.co/storage/v1/object/public/old_media/1ce05a30.Path.075952.jpg" TargetMode="External"/><Relationship Id="rId3720" Type="http://schemas.openxmlformats.org/officeDocument/2006/relationships/hyperlink" Target="https://ryycrdhlkmzpxwwwwupy.supabase.co/storage/v1/object/public/old_media/170e72f1.Path.075501.jpg" TargetMode="External"/><Relationship Id="rId4206" Type="http://schemas.openxmlformats.org/officeDocument/2006/relationships/hyperlink" Target="https://ryycrdhlkmzpxwwwwupy.supabase.co/storage/v1/object/public/old_media/aa64a734.Path.110841.jpg" TargetMode="External"/><Relationship Id="rId4205" Type="http://schemas.openxmlformats.org/officeDocument/2006/relationships/hyperlink" Target="https://ryycrdhlkmzpxwwwwupy.supabase.co/storage/v1/object/public/old_media/2b58a42b.Path.072116.jpg" TargetMode="External"/><Relationship Id="rId4208" Type="http://schemas.openxmlformats.org/officeDocument/2006/relationships/hyperlink" Target="https://ryycrdhlkmzpxwwwwupy.supabase.co/storage/v1/object/public/old_media/951d34ec.Path.110943.jpg" TargetMode="External"/><Relationship Id="rId4207" Type="http://schemas.openxmlformats.org/officeDocument/2006/relationships/hyperlink" Target="https://ryycrdhlkmzpxwwwwupy.supabase.co/storage/v1/object/public/old_media/da5d30ec.Path.110912.jpg" TargetMode="External"/><Relationship Id="rId590" Type="http://schemas.openxmlformats.org/officeDocument/2006/relationships/hyperlink" Target="https://ryycrdhlkmzpxwwwwupy.supabase.co/storage/v1/object/public/old_media/1a299329.Path.074518.jpg" TargetMode="External"/><Relationship Id="rId4209" Type="http://schemas.openxmlformats.org/officeDocument/2006/relationships/hyperlink" Target="https://ryycrdhlkmzpxwwwwupy.supabase.co/storage/v1/object/public/old_media/d597c35c.Path.111012.jpg" TargetMode="External"/><Relationship Id="rId589" Type="http://schemas.openxmlformats.org/officeDocument/2006/relationships/hyperlink" Target="https://ryycrdhlkmzpxwwwwupy.supabase.co/storage/v1/object/public/old_media/f55acd04.Path.074510.jpg" TargetMode="External"/><Relationship Id="rId588" Type="http://schemas.openxmlformats.org/officeDocument/2006/relationships/hyperlink" Target="https://ryycrdhlkmzpxwwwwupy.supabase.co/storage/v1/object/public/old_media/63e79dc9.Path.074433.jpg" TargetMode="External"/><Relationship Id="rId1170" Type="http://schemas.openxmlformats.org/officeDocument/2006/relationships/hyperlink" Target="https://ryycrdhlkmzpxwwwwupy.supabase.co/storage/v1/object/public/old_media/95f43714.Path.091613.png" TargetMode="External"/><Relationship Id="rId1171" Type="http://schemas.openxmlformats.org/officeDocument/2006/relationships/hyperlink" Target="https://ryycrdhlkmzpxwwwwupy.supabase.co/storage/v1/object/public/old_media/6ef467c0.Path.091635.png" TargetMode="External"/><Relationship Id="rId583" Type="http://schemas.openxmlformats.org/officeDocument/2006/relationships/hyperlink" Target="https://ryycrdhlkmzpxwwwwupy.supabase.co/storage/v1/object/public/old_media/64cfb89a.Path.072609.jpg" TargetMode="External"/><Relationship Id="rId1172" Type="http://schemas.openxmlformats.org/officeDocument/2006/relationships/hyperlink" Target="https://ryycrdhlkmzpxwwwwupy.supabase.co/storage/v1/object/public/old_media/6016dd3f.Path.091644.png" TargetMode="External"/><Relationship Id="rId582" Type="http://schemas.openxmlformats.org/officeDocument/2006/relationships/hyperlink" Target="https://ryycrdhlkmzpxwwwwupy.supabase.co/storage/v1/object/public/old_media/dcc838c1.Path.072559.jpg" TargetMode="External"/><Relationship Id="rId1173" Type="http://schemas.openxmlformats.org/officeDocument/2006/relationships/hyperlink" Target="https://ryycrdhlkmzpxwwwwupy.supabase.co/storage/v1/object/public/old_media/2e83fbda.Path.091702.jpg" TargetMode="External"/><Relationship Id="rId581" Type="http://schemas.openxmlformats.org/officeDocument/2006/relationships/hyperlink" Target="https://ryycrdhlkmzpxwwwwupy.supabase.co/storage/v1/object/public/old_media/05f1fbe8.Path.070950.jpg" TargetMode="External"/><Relationship Id="rId1174" Type="http://schemas.openxmlformats.org/officeDocument/2006/relationships/hyperlink" Target="https://ryycrdhlkmzpxwwwwupy.supabase.co/storage/v1/object/public/old_media/0980c6d0.Path.091733.jpg" TargetMode="External"/><Relationship Id="rId4200" Type="http://schemas.openxmlformats.org/officeDocument/2006/relationships/hyperlink" Target="https://ryycrdhlkmzpxwwwwupy.supabase.co/storage/v1/object/public/old_media/a16a06a3.Path.115312.jpg" TargetMode="External"/><Relationship Id="rId580" Type="http://schemas.openxmlformats.org/officeDocument/2006/relationships/hyperlink" Target="https://ryycrdhlkmzpxwwwwupy.supabase.co/storage/v1/object/public/old_media/a8302896.Path.065539.jpg" TargetMode="External"/><Relationship Id="rId1175" Type="http://schemas.openxmlformats.org/officeDocument/2006/relationships/hyperlink" Target="https://ryycrdhlkmzpxwwwwupy.supabase.co/storage/v1/object/public/old_media/86a7dc98.Path.091754.jpg" TargetMode="External"/><Relationship Id="rId587" Type="http://schemas.openxmlformats.org/officeDocument/2006/relationships/hyperlink" Target="https://ryycrdhlkmzpxwwwwupy.supabase.co/storage/v1/object/public/old_media/ed61e970.Path.074426.jpg" TargetMode="External"/><Relationship Id="rId1176" Type="http://schemas.openxmlformats.org/officeDocument/2006/relationships/hyperlink" Target="https://ryycrdhlkmzpxwwwwupy.supabase.co/storage/v1/object/public/old_media/27065cf4.Path.091802.jpg" TargetMode="External"/><Relationship Id="rId4202" Type="http://schemas.openxmlformats.org/officeDocument/2006/relationships/hyperlink" Target="https://ryycrdhlkmzpxwwwwupy.supabase.co/storage/v1/object/public/old_media/d8156dc1.Path.071927.png" TargetMode="External"/><Relationship Id="rId586" Type="http://schemas.openxmlformats.org/officeDocument/2006/relationships/hyperlink" Target="https://ryycrdhlkmzpxwwwwupy.supabase.co/storage/v1/object/public/old_media/b32ad045.Path.074402.jpg" TargetMode="External"/><Relationship Id="rId1177" Type="http://schemas.openxmlformats.org/officeDocument/2006/relationships/hyperlink" Target="https://ryycrdhlkmzpxwwwwupy.supabase.co/storage/v1/object/public/old_media/08314c6a.Path.091831.png" TargetMode="External"/><Relationship Id="rId4201" Type="http://schemas.openxmlformats.org/officeDocument/2006/relationships/hyperlink" Target="https://ryycrdhlkmzpxwwwwupy.supabase.co/storage/v1/object/public/old_media/f6cac65e.Path.071834.png" TargetMode="External"/><Relationship Id="rId585" Type="http://schemas.openxmlformats.org/officeDocument/2006/relationships/hyperlink" Target="https://ryycrdhlkmzpxwwwwupy.supabase.co/storage/v1/object/public/old_media/250a5b38.Path.073058.jpg" TargetMode="External"/><Relationship Id="rId1178" Type="http://schemas.openxmlformats.org/officeDocument/2006/relationships/hyperlink" Target="https://ryycrdhlkmzpxwwwwupy.supabase.co/storage/v1/object/public/old_media/67f2ea25.Path.091843.png" TargetMode="External"/><Relationship Id="rId4204" Type="http://schemas.openxmlformats.org/officeDocument/2006/relationships/hyperlink" Target="https://ryycrdhlkmzpxwwwwupy.supabase.co/storage/v1/object/public/old_media/d2d5d2b4.Path.072038.jpg" TargetMode="External"/><Relationship Id="rId584" Type="http://schemas.openxmlformats.org/officeDocument/2006/relationships/hyperlink" Target="https://ryycrdhlkmzpxwwwwupy.supabase.co/storage/v1/object/public/old_media/52c3355e.Path.073031.jpg" TargetMode="External"/><Relationship Id="rId1179" Type="http://schemas.openxmlformats.org/officeDocument/2006/relationships/hyperlink" Target="https://ryycrdhlkmzpxwwwwupy.supabase.co/storage/v1/object/public/old_media/e9b528cf.Path.091904.png" TargetMode="External"/><Relationship Id="rId4203" Type="http://schemas.openxmlformats.org/officeDocument/2006/relationships/hyperlink" Target="https://ryycrdhlkmzpxwwwwupy.supabase.co/storage/v1/object/public/old_media/27ed7efc.Path.072004.png" TargetMode="External"/><Relationship Id="rId1169" Type="http://schemas.openxmlformats.org/officeDocument/2006/relationships/hyperlink" Target="https://ryycrdhlkmzpxwwwwupy.supabase.co/storage/v1/object/public/old_media/fb253c59.Path.091552.png" TargetMode="External"/><Relationship Id="rId579" Type="http://schemas.openxmlformats.org/officeDocument/2006/relationships/hyperlink" Target="https://ryycrdhlkmzpxwwwwupy.supabase.co/storage/v1/object/public/old_media/b15f86e4.Path.065523.jpg" TargetMode="External"/><Relationship Id="rId578" Type="http://schemas.openxmlformats.org/officeDocument/2006/relationships/hyperlink" Target="https://ryycrdhlkmzpxwwwwupy.supabase.co/storage/v1/object/public/old_media/50ee5a69.Path.065506.jpg" TargetMode="External"/><Relationship Id="rId577" Type="http://schemas.openxmlformats.org/officeDocument/2006/relationships/hyperlink" Target="https://ryycrdhlkmzpxwwwwupy.supabase.co/storage/v1/object/public/old_media/65de1e1c.Path.065056.jpg" TargetMode="External"/><Relationship Id="rId2490" Type="http://schemas.openxmlformats.org/officeDocument/2006/relationships/hyperlink" Target="https://ryycrdhlkmzpxwwwwupy.supabase.co/storage/v1/object/public/old_media/a8896a3f.Path.092723.jpg" TargetMode="External"/><Relationship Id="rId1160" Type="http://schemas.openxmlformats.org/officeDocument/2006/relationships/hyperlink" Target="https://ryycrdhlkmzpxwwwwupy.supabase.co/storage/v1/object/public/old_media/754a59f8.Path.063353.jpg" TargetMode="External"/><Relationship Id="rId2491" Type="http://schemas.openxmlformats.org/officeDocument/2006/relationships/hyperlink" Target="https://ryycrdhlkmzpxwwwwupy.supabase.co/storage/v1/object/public/old_media/ca692769.Path.092746.jpg" TargetMode="External"/><Relationship Id="rId572" Type="http://schemas.openxmlformats.org/officeDocument/2006/relationships/hyperlink" Target="https://ryycrdhlkmzpxwwwwupy.supabase.co/storage/v1/object/public/old_media/9e2716a1.Path.062151.jpg" TargetMode="External"/><Relationship Id="rId1161" Type="http://schemas.openxmlformats.org/officeDocument/2006/relationships/hyperlink" Target="https://ryycrdhlkmzpxwwwwupy.supabase.co/storage/v1/object/public/old_media/91b178fa.Path.063412.jpg" TargetMode="External"/><Relationship Id="rId2492" Type="http://schemas.openxmlformats.org/officeDocument/2006/relationships/hyperlink" Target="https://ryycrdhlkmzpxwwwwupy.supabase.co/storage/v1/object/public/old_media/bd36552f.Path.092803.jpg" TargetMode="External"/><Relationship Id="rId571" Type="http://schemas.openxmlformats.org/officeDocument/2006/relationships/hyperlink" Target="https://ryycrdhlkmzpxwwwwupy.supabase.co/storage/v1/object/public/old_media/1d3d2e65.Path.062143.png" TargetMode="External"/><Relationship Id="rId1162" Type="http://schemas.openxmlformats.org/officeDocument/2006/relationships/hyperlink" Target="https://ryycrdhlkmzpxwwwwupy.supabase.co/storage/v1/object/public/old_media/625474ac.Path.063429.webp" TargetMode="External"/><Relationship Id="rId2493" Type="http://schemas.openxmlformats.org/officeDocument/2006/relationships/hyperlink" Target="https://ryycrdhlkmzpxwwwwupy.supabase.co/storage/v1/object/public/old_media/eae3ea57.Path.092817.jpg" TargetMode="External"/><Relationship Id="rId570" Type="http://schemas.openxmlformats.org/officeDocument/2006/relationships/hyperlink" Target="https://ryycrdhlkmzpxwwwwupy.supabase.co/storage/v1/object/public/old_media/f71937b1.Path.060459.jpg" TargetMode="External"/><Relationship Id="rId1163" Type="http://schemas.openxmlformats.org/officeDocument/2006/relationships/hyperlink" Target="https://ryycrdhlkmzpxwwwwupy.supabase.co/storage/v1/object/public/old_media/4b7680d8.Path.072511.jpg" TargetMode="External"/><Relationship Id="rId2494" Type="http://schemas.openxmlformats.org/officeDocument/2006/relationships/hyperlink" Target="https://ryycrdhlkmzpxwwwwupy.supabase.co/storage/v1/object/public/old_media/2700c6fa.Path.092830.jpg" TargetMode="External"/><Relationship Id="rId1164" Type="http://schemas.openxmlformats.org/officeDocument/2006/relationships/hyperlink" Target="https://ryycrdhlkmzpxwwwwupy.supabase.co/storage/v1/object/public/old_media/eb5ffb51.Path.072649.jpg" TargetMode="External"/><Relationship Id="rId2495" Type="http://schemas.openxmlformats.org/officeDocument/2006/relationships/hyperlink" Target="https://ryycrdhlkmzpxwwwwupy.supabase.co/storage/v1/object/public/old_media/901b7844.Path.092845.jpg" TargetMode="External"/><Relationship Id="rId576" Type="http://schemas.openxmlformats.org/officeDocument/2006/relationships/hyperlink" Target="https://ryycrdhlkmzpxwwwwupy.supabase.co/storage/v1/object/public/old_media/584e3d08.Path.065049.jpg" TargetMode="External"/><Relationship Id="rId1165" Type="http://schemas.openxmlformats.org/officeDocument/2006/relationships/hyperlink" Target="https://ryycrdhlkmzpxwwwwupy.supabase.co/storage/v1/object/public/old_media/da5b1a8e.Path.072658.jpg" TargetMode="External"/><Relationship Id="rId2496" Type="http://schemas.openxmlformats.org/officeDocument/2006/relationships/hyperlink" Target="https://ryycrdhlkmzpxwwwwupy.supabase.co/storage/v1/object/public/old_media/6364682b.Path.092857.jpg" TargetMode="External"/><Relationship Id="rId575" Type="http://schemas.openxmlformats.org/officeDocument/2006/relationships/hyperlink" Target="https://ryycrdhlkmzpxwwwwupy.supabase.co/storage/v1/object/public/old_media/4ed71f7a.Path.065031.jpg" TargetMode="External"/><Relationship Id="rId1166" Type="http://schemas.openxmlformats.org/officeDocument/2006/relationships/hyperlink" Target="https://ryycrdhlkmzpxwwwwupy.supabase.co/storage/v1/object/public/old_media/f25f85c9.Path.091432.png" TargetMode="External"/><Relationship Id="rId2497" Type="http://schemas.openxmlformats.org/officeDocument/2006/relationships/hyperlink" Target="https://ryycrdhlkmzpxwwwwupy.supabase.co/storage/v1/object/public/old_media/548f8682.Path.092923.jpg" TargetMode="External"/><Relationship Id="rId574" Type="http://schemas.openxmlformats.org/officeDocument/2006/relationships/hyperlink" Target="https://ryycrdhlkmzpxwwwwupy.supabase.co/storage/v1/object/public/old_media/aa44fd29.Path.062211.jpg" TargetMode="External"/><Relationship Id="rId1167" Type="http://schemas.openxmlformats.org/officeDocument/2006/relationships/hyperlink" Target="https://ryycrdhlkmzpxwwwwupy.supabase.co/storage/v1/object/public/old_media/2fc32219.Path.091457.jpg" TargetMode="External"/><Relationship Id="rId2498" Type="http://schemas.openxmlformats.org/officeDocument/2006/relationships/hyperlink" Target="https://ryycrdhlkmzpxwwwwupy.supabase.co/storage/v1/object/public/old_media/fdab1f41.Path.093053.jpg" TargetMode="External"/><Relationship Id="rId573" Type="http://schemas.openxmlformats.org/officeDocument/2006/relationships/hyperlink" Target="https://ryycrdhlkmzpxwwwwupy.supabase.co/storage/v1/object/public/old_media/78bae3f5.Path.062200.jpg" TargetMode="External"/><Relationship Id="rId1168" Type="http://schemas.openxmlformats.org/officeDocument/2006/relationships/hyperlink" Target="https://ryycrdhlkmzpxwwwwupy.supabase.co/storage/v1/object/public/old_media/a7389ae7.Path.091511.jpg" TargetMode="External"/><Relationship Id="rId2499" Type="http://schemas.openxmlformats.org/officeDocument/2006/relationships/hyperlink" Target="https://ryycrdhlkmzpxwwwwupy.supabase.co/storage/v1/object/public/old_media/b4b4f714.Path.093108.jpg" TargetMode="External"/><Relationship Id="rId4228" Type="http://schemas.openxmlformats.org/officeDocument/2006/relationships/hyperlink" Target="https://ryycrdhlkmzpxwwwwupy.supabase.co/storage/v1/object/public/old_media/5989f05b.Path.093458.jpg" TargetMode="External"/><Relationship Id="rId4227" Type="http://schemas.openxmlformats.org/officeDocument/2006/relationships/hyperlink" Target="https://ryycrdhlkmzpxwwwwupy.supabase.co/storage/v1/object/public/old_media/233be0a5.Path.091634.jpg" TargetMode="External"/><Relationship Id="rId4229" Type="http://schemas.openxmlformats.org/officeDocument/2006/relationships/hyperlink" Target="https://ryycrdhlkmzpxwwwwupy.supabase.co/storage/v1/object/public/old_media/73abb5f2.Path.093528.jpg" TargetMode="External"/><Relationship Id="rId1190" Type="http://schemas.openxmlformats.org/officeDocument/2006/relationships/hyperlink" Target="https://ryycrdhlkmzpxwwwwupy.supabase.co/storage/v1/object/public/old_media/0676b25e.Path.092655.webp" TargetMode="External"/><Relationship Id="rId1191" Type="http://schemas.openxmlformats.org/officeDocument/2006/relationships/hyperlink" Target="https://ryycrdhlkmzpxwwwwupy.supabase.co/storage/v1/object/public/old_media/dfb0f265.Path.093623.jpg" TargetMode="External"/><Relationship Id="rId1192" Type="http://schemas.openxmlformats.org/officeDocument/2006/relationships/hyperlink" Target="https://ryycrdhlkmzpxwwwwupy.supabase.co/storage/v1/object/public/old_media/e1dc4646.Path.093649.webp" TargetMode="External"/><Relationship Id="rId1193" Type="http://schemas.openxmlformats.org/officeDocument/2006/relationships/hyperlink" Target="https://ryycrdhlkmzpxwwwwupy.supabase.co/storage/v1/object/public/old_media/37391b4d.Path.093708.webp" TargetMode="External"/><Relationship Id="rId1194" Type="http://schemas.openxmlformats.org/officeDocument/2006/relationships/hyperlink" Target="https://ryycrdhlkmzpxwwwwupy.supabase.co/storage/v1/object/public/old_media/f599d455.Path.095324.jpg" TargetMode="External"/><Relationship Id="rId4220" Type="http://schemas.openxmlformats.org/officeDocument/2006/relationships/hyperlink" Target="https://ryycrdhlkmzpxwwwwupy.supabase.co/storage/v1/object/public/old_media/de9bcf22.Path.063947.png" TargetMode="External"/><Relationship Id="rId1195" Type="http://schemas.openxmlformats.org/officeDocument/2006/relationships/hyperlink" Target="https://ryycrdhlkmzpxwwwwupy.supabase.co/storage/v1/object/public/old_media/711ea81c.Path.095339.jpg" TargetMode="External"/><Relationship Id="rId1196" Type="http://schemas.openxmlformats.org/officeDocument/2006/relationships/hyperlink" Target="https://ryycrdhlkmzpxwwwwupy.supabase.co/storage/v1/object/public/old_media/1af33d9f.Path.102013.jpg" TargetMode="External"/><Relationship Id="rId4222" Type="http://schemas.openxmlformats.org/officeDocument/2006/relationships/hyperlink" Target="https://ryycrdhlkmzpxwwwwupy.supabase.co/storage/v1/object/public/old_media/12b64d5f.Path.064158.jpg" TargetMode="External"/><Relationship Id="rId1197" Type="http://schemas.openxmlformats.org/officeDocument/2006/relationships/hyperlink" Target="https://ryycrdhlkmzpxwwwwupy.supabase.co/storage/v1/object/public/old_media/1882dd47.Path.102031.jpg" TargetMode="External"/><Relationship Id="rId4221" Type="http://schemas.openxmlformats.org/officeDocument/2006/relationships/hyperlink" Target="https://ryycrdhlkmzpxwwwwupy.supabase.co/storage/v1/object/public/old_media/2ccaf734.Path.064115.png" TargetMode="External"/><Relationship Id="rId1198" Type="http://schemas.openxmlformats.org/officeDocument/2006/relationships/hyperlink" Target="https://ryycrdhlkmzpxwwwwupy.supabase.co/storage/v1/object/public/old_media/3ef51f8e.Path.102041.jpg" TargetMode="External"/><Relationship Id="rId4224" Type="http://schemas.openxmlformats.org/officeDocument/2006/relationships/hyperlink" Target="https://ryycrdhlkmzpxwwwwupy.supabase.co/storage/v1/object/public/old_media/37fce719.Path.045816.jpg" TargetMode="External"/><Relationship Id="rId1199" Type="http://schemas.openxmlformats.org/officeDocument/2006/relationships/hyperlink" Target="https://ryycrdhlkmzpxwwwwupy.supabase.co/storage/v1/object/public/old_media/67578e9d.Path.102112.jpg" TargetMode="External"/><Relationship Id="rId4223" Type="http://schemas.openxmlformats.org/officeDocument/2006/relationships/hyperlink" Target="https://ryycrdhlkmzpxwwwwupy.supabase.co/storage/v1/object/public/old_media/192a44a8.Path.045744.jpg" TargetMode="External"/><Relationship Id="rId4226" Type="http://schemas.openxmlformats.org/officeDocument/2006/relationships/hyperlink" Target="https://ryycrdhlkmzpxwwwwupy.supabase.co/storage/v1/object/public/old_media/74190c69.Path.050350.jpg" TargetMode="External"/><Relationship Id="rId4225" Type="http://schemas.openxmlformats.org/officeDocument/2006/relationships/hyperlink" Target="https://ryycrdhlkmzpxwwwwupy.supabase.co/storage/v1/object/public/old_media/f9ae32f8.Path.045847.jpg" TargetMode="External"/><Relationship Id="rId4217" Type="http://schemas.openxmlformats.org/officeDocument/2006/relationships/hyperlink" Target="https://ryycrdhlkmzpxwwwwupy.supabase.co/storage/v1/object/public/old_media/fe15939c.Path.063750.png" TargetMode="External"/><Relationship Id="rId4216" Type="http://schemas.openxmlformats.org/officeDocument/2006/relationships/hyperlink" Target="https://ryycrdhlkmzpxwwwwupy.supabase.co/storage/v1/object/public/old_media/bdf114fc.Path.063712.png" TargetMode="External"/><Relationship Id="rId4219" Type="http://schemas.openxmlformats.org/officeDocument/2006/relationships/hyperlink" Target="https://ryycrdhlkmzpxwwwwupy.supabase.co/storage/v1/object/public/old_media/c1be3d05.Path.063907.png" TargetMode="External"/><Relationship Id="rId4218" Type="http://schemas.openxmlformats.org/officeDocument/2006/relationships/hyperlink" Target="https://ryycrdhlkmzpxwwwwupy.supabase.co/storage/v1/object/public/old_media/2a156ae0.Path.063830.png" TargetMode="External"/><Relationship Id="rId599" Type="http://schemas.openxmlformats.org/officeDocument/2006/relationships/hyperlink" Target="https://ryycrdhlkmzpxwwwwupy.supabase.co/storage/v1/object/public/old_media/21d63d04.Path.091303.jpg" TargetMode="External"/><Relationship Id="rId1180" Type="http://schemas.openxmlformats.org/officeDocument/2006/relationships/hyperlink" Target="https://ryycrdhlkmzpxwwwwupy.supabase.co/storage/v1/object/public/old_media/54f03bec.Path.091942.jpg" TargetMode="External"/><Relationship Id="rId1181" Type="http://schemas.openxmlformats.org/officeDocument/2006/relationships/hyperlink" Target="https://ryycrdhlkmzpxwwwwupy.supabase.co/storage/v1/object/public/old_media/01c29364.Path.091951.jpg" TargetMode="External"/><Relationship Id="rId1182" Type="http://schemas.openxmlformats.org/officeDocument/2006/relationships/hyperlink" Target="https://ryycrdhlkmzpxwwwwupy.supabase.co/storage/v1/object/public/old_media/7adcd30f.Path.091958.jpg" TargetMode="External"/><Relationship Id="rId594" Type="http://schemas.openxmlformats.org/officeDocument/2006/relationships/hyperlink" Target="https://ryycrdhlkmzpxwwwwupy.supabase.co/storage/v1/object/public/old_media/1a6c6483.Path.080919.jpg" TargetMode="External"/><Relationship Id="rId1183" Type="http://schemas.openxmlformats.org/officeDocument/2006/relationships/hyperlink" Target="https://ryycrdhlkmzpxwwwwupy.supabase.co/storage/v1/object/public/old_media/d5586161.Path.111608.png" TargetMode="External"/><Relationship Id="rId593" Type="http://schemas.openxmlformats.org/officeDocument/2006/relationships/hyperlink" Target="https://ryycrdhlkmzpxwwwwupy.supabase.co/storage/v1/object/public/old_media/01d084d8.Path.080820.jpg" TargetMode="External"/><Relationship Id="rId1184" Type="http://schemas.openxmlformats.org/officeDocument/2006/relationships/hyperlink" Target="https://ryycrdhlkmzpxwwwwupy.supabase.co/storage/v1/object/public/old_media/19edcc54.Path.111628.avif" TargetMode="External"/><Relationship Id="rId592" Type="http://schemas.openxmlformats.org/officeDocument/2006/relationships/hyperlink" Target="https://ryycrdhlkmzpxwwwwupy.supabase.co/storage/v1/object/public/old_media/3599b7af.Path.080751.jpg" TargetMode="External"/><Relationship Id="rId1185" Type="http://schemas.openxmlformats.org/officeDocument/2006/relationships/hyperlink" Target="https://ryycrdhlkmzpxwwwwupy.supabase.co/storage/v1/object/public/old_media/aab33605.Path.111636.avif" TargetMode="External"/><Relationship Id="rId4211" Type="http://schemas.openxmlformats.org/officeDocument/2006/relationships/hyperlink" Target="https://ryycrdhlkmzpxwwwwupy.supabase.co/storage/v1/object/public/old_media/b3e0e8a9.Path.102541.jpg" TargetMode="External"/><Relationship Id="rId591" Type="http://schemas.openxmlformats.org/officeDocument/2006/relationships/hyperlink" Target="https://ryycrdhlkmzpxwwwwupy.supabase.co/storage/v1/object/public/old_media/da3ada07.Path.080722.jpg" TargetMode="External"/><Relationship Id="rId1186" Type="http://schemas.openxmlformats.org/officeDocument/2006/relationships/hyperlink" Target="https://ryycrdhlkmzpxwwwwupy.supabase.co/storage/v1/object/public/old_media/4aba2ff8.Path.054623.jpg" TargetMode="External"/><Relationship Id="rId4210" Type="http://schemas.openxmlformats.org/officeDocument/2006/relationships/hyperlink" Target="https://ryycrdhlkmzpxwwwwupy.supabase.co/storage/v1/object/public/old_media/63e9e060.Path.111047.jpg" TargetMode="External"/><Relationship Id="rId598" Type="http://schemas.openxmlformats.org/officeDocument/2006/relationships/hyperlink" Target="https://ryycrdhlkmzpxwwwwupy.supabase.co/storage/v1/object/public/old_media/2437df27.Path.090621.jpg" TargetMode="External"/><Relationship Id="rId1187" Type="http://schemas.openxmlformats.org/officeDocument/2006/relationships/hyperlink" Target="https://ryycrdhlkmzpxwwwwupy.supabase.co/storage/v1/object/public/old_media/dd079985.Path.064440.jpg" TargetMode="External"/><Relationship Id="rId4213" Type="http://schemas.openxmlformats.org/officeDocument/2006/relationships/hyperlink" Target="https://ryycrdhlkmzpxwwwwupy.supabase.co/storage/v1/object/public/old_media/508d1137.Path.102701.jpg" TargetMode="External"/><Relationship Id="rId597" Type="http://schemas.openxmlformats.org/officeDocument/2006/relationships/hyperlink" Target="https://ryycrdhlkmzpxwwwwupy.supabase.co/storage/v1/object/public/old_media/8a9e2829.Path.090600.jpg" TargetMode="External"/><Relationship Id="rId1188" Type="http://schemas.openxmlformats.org/officeDocument/2006/relationships/hyperlink" Target="https://ryycrdhlkmzpxwwwwupy.supabase.co/storage/v1/object/public/old_media/d20186df.Path.092618.jpg" TargetMode="External"/><Relationship Id="rId4212" Type="http://schemas.openxmlformats.org/officeDocument/2006/relationships/hyperlink" Target="https://ryycrdhlkmzpxwwwwupy.supabase.co/storage/v1/object/public/old_media/cf9b4df0.Path.102617.jpg" TargetMode="External"/><Relationship Id="rId596" Type="http://schemas.openxmlformats.org/officeDocument/2006/relationships/hyperlink" Target="https://ryycrdhlkmzpxwwwwupy.supabase.co/storage/v1/object/public/old_media/bf4a8a1a.Path.090553.jpg" TargetMode="External"/><Relationship Id="rId1189" Type="http://schemas.openxmlformats.org/officeDocument/2006/relationships/hyperlink" Target="https://ryycrdhlkmzpxwwwwupy.supabase.co/storage/v1/object/public/old_media/d9488ef5.Path.092628.webp" TargetMode="External"/><Relationship Id="rId4215" Type="http://schemas.openxmlformats.org/officeDocument/2006/relationships/hyperlink" Target="https://ryycrdhlkmzpxwwwwupy.supabase.co/storage/v1/object/public/old_media/c9979413.Path.063634.png" TargetMode="External"/><Relationship Id="rId595" Type="http://schemas.openxmlformats.org/officeDocument/2006/relationships/hyperlink" Target="https://ryycrdhlkmzpxwwwwupy.supabase.co/storage/v1/object/public/old_media/70e9fffb.Path.080948.jpg" TargetMode="External"/><Relationship Id="rId4214" Type="http://schemas.openxmlformats.org/officeDocument/2006/relationships/hyperlink" Target="https://ryycrdhlkmzpxwwwwupy.supabase.co/storage/v1/object/public/old_media/99f4b12e.Path.063555.png" TargetMode="External"/><Relationship Id="rId1136" Type="http://schemas.openxmlformats.org/officeDocument/2006/relationships/hyperlink" Target="https://ryycrdhlkmzpxwwwwupy.supabase.co/storage/v1/object/public/old_media/8d8f7895.Path.065944.jpg" TargetMode="External"/><Relationship Id="rId2467" Type="http://schemas.openxmlformats.org/officeDocument/2006/relationships/hyperlink" Target="https://ryycrdhlkmzpxwwwwupy.supabase.co/storage/v1/object/public/old_media/66628248.Path.110723.jpg" TargetMode="External"/><Relationship Id="rId3799" Type="http://schemas.openxmlformats.org/officeDocument/2006/relationships/hyperlink" Target="https://ryycrdhlkmzpxwwwwupy.supabase.co/storage/v1/object/public/old_media/77504525.Path.114720.webp" TargetMode="External"/><Relationship Id="rId1137" Type="http://schemas.openxmlformats.org/officeDocument/2006/relationships/hyperlink" Target="https://ryycrdhlkmzpxwwwwupy.supabase.co/storage/v1/object/public/old_media/8b09599d.Path.070000.jpg" TargetMode="External"/><Relationship Id="rId2468" Type="http://schemas.openxmlformats.org/officeDocument/2006/relationships/hyperlink" Target="https://ryycrdhlkmzpxwwwwupy.supabase.co/storage/v1/object/public/old_media/93b55738.Path.110734.jpg" TargetMode="External"/><Relationship Id="rId3798" Type="http://schemas.openxmlformats.org/officeDocument/2006/relationships/hyperlink" Target="https://ryycrdhlkmzpxwwwwupy.supabase.co/storage/v1/object/public/old_media/3d31f950.Path.114653.jpg" TargetMode="External"/><Relationship Id="rId1138" Type="http://schemas.openxmlformats.org/officeDocument/2006/relationships/hyperlink" Target="https://ryycrdhlkmzpxwwwwupy.supabase.co/storage/v1/object/public/old_media/5f44ee8b.Path.070034.jpg" TargetMode="External"/><Relationship Id="rId2469" Type="http://schemas.openxmlformats.org/officeDocument/2006/relationships/hyperlink" Target="https://ryycrdhlkmzpxwwwwupy.supabase.co/storage/v1/object/public/old_media/4359d16d.Path.110745.jpg" TargetMode="External"/><Relationship Id="rId1139" Type="http://schemas.openxmlformats.org/officeDocument/2006/relationships/hyperlink" Target="https://ryycrdhlkmzpxwwwwupy.supabase.co/storage/v1/object/public/old_media/a4670637.Path.070051.jpg" TargetMode="External"/><Relationship Id="rId547" Type="http://schemas.openxmlformats.org/officeDocument/2006/relationships/hyperlink" Target="https://ryycrdhlkmzpxwwwwupy.supabase.co/storage/v1/object/public/old_media/2b1e31a7.Path.104248.jpg" TargetMode="External"/><Relationship Id="rId546" Type="http://schemas.openxmlformats.org/officeDocument/2006/relationships/hyperlink" Target="https://ryycrdhlkmzpxwwwwupy.supabase.co/storage/v1/object/public/old_media/488f3d0b.Path.104240.jpg" TargetMode="External"/><Relationship Id="rId545" Type="http://schemas.openxmlformats.org/officeDocument/2006/relationships/hyperlink" Target="https://ryycrdhlkmzpxwwwwupy.supabase.co/storage/v1/object/public/old_media/733aa66c.Path.050532.jpg" TargetMode="External"/><Relationship Id="rId544" Type="http://schemas.openxmlformats.org/officeDocument/2006/relationships/hyperlink" Target="https://ryycrdhlkmzpxwwwwupy.supabase.co/storage/v1/object/public/old_media/6a3c9352.Path.050525.jpg" TargetMode="External"/><Relationship Id="rId549" Type="http://schemas.openxmlformats.org/officeDocument/2006/relationships/hyperlink" Target="https://ryycrdhlkmzpxwwwwupy.supabase.co/storage/v1/object/public/old_media/f55bb302.Path.104311.jpg" TargetMode="External"/><Relationship Id="rId548" Type="http://schemas.openxmlformats.org/officeDocument/2006/relationships/hyperlink" Target="https://ryycrdhlkmzpxwwwwupy.supabase.co/storage/v1/object/public/old_media/94e0e4f8.Path.104254.jpg" TargetMode="External"/><Relationship Id="rId3791" Type="http://schemas.openxmlformats.org/officeDocument/2006/relationships/hyperlink" Target="https://ryycrdhlkmzpxwwwwupy.supabase.co/storage/v1/object/public/old_media/0c02c817.Path.114410.jpg" TargetMode="External"/><Relationship Id="rId2460" Type="http://schemas.openxmlformats.org/officeDocument/2006/relationships/hyperlink" Target="https://ryycrdhlkmzpxwwwwupy.supabase.co/storage/v1/object/public/old_media/4160bbb1.Path.103053.jpg" TargetMode="External"/><Relationship Id="rId3790" Type="http://schemas.openxmlformats.org/officeDocument/2006/relationships/hyperlink" Target="https://ryycrdhlkmzpxwwwwupy.supabase.co/storage/v1/object/public/old_media/447d395c.Path.114407.webp" TargetMode="External"/><Relationship Id="rId1130" Type="http://schemas.openxmlformats.org/officeDocument/2006/relationships/hyperlink" Target="https://ryycrdhlkmzpxwwwwupy.supabase.co/storage/v1/object/public/old_media/22143703.Path.064752.jpg" TargetMode="External"/><Relationship Id="rId2461" Type="http://schemas.openxmlformats.org/officeDocument/2006/relationships/hyperlink" Target="https://ryycrdhlkmzpxwwwwupy.supabase.co/storage/v1/object/public/old_media/a23ce686.Path.103119.jpg" TargetMode="External"/><Relationship Id="rId3793" Type="http://schemas.openxmlformats.org/officeDocument/2006/relationships/hyperlink" Target="https://ryycrdhlkmzpxwwwwupy.supabase.co/storage/v1/object/public/old_media/c3d45eb2.Path.114516.jpg" TargetMode="External"/><Relationship Id="rId1131" Type="http://schemas.openxmlformats.org/officeDocument/2006/relationships/hyperlink" Target="https://ryycrdhlkmzpxwwwwupy.supabase.co/storage/v1/object/public/old_media/4410e0cd.Path.064811.jpg" TargetMode="External"/><Relationship Id="rId2462" Type="http://schemas.openxmlformats.org/officeDocument/2006/relationships/hyperlink" Target="https://ryycrdhlkmzpxwwwwupy.supabase.co/storage/v1/object/public/old_media/9e0f8bbc.Path.110636.jpg" TargetMode="External"/><Relationship Id="rId3792" Type="http://schemas.openxmlformats.org/officeDocument/2006/relationships/hyperlink" Target="https://ryycrdhlkmzpxwwwwupy.supabase.co/storage/v1/object/public/old_media/06b34b93.Path.114447.jpg" TargetMode="External"/><Relationship Id="rId543" Type="http://schemas.openxmlformats.org/officeDocument/2006/relationships/hyperlink" Target="https://ryycrdhlkmzpxwwwwupy.supabase.co/storage/v1/object/public/old_media/61431e7a.Path.050517.jpg" TargetMode="External"/><Relationship Id="rId1132" Type="http://schemas.openxmlformats.org/officeDocument/2006/relationships/hyperlink" Target="https://ryycrdhlkmzpxwwwwupy.supabase.co/storage/v1/object/public/old_media/3e8e0179.Path.065809.jpg" TargetMode="External"/><Relationship Id="rId2463" Type="http://schemas.openxmlformats.org/officeDocument/2006/relationships/hyperlink" Target="https://ryycrdhlkmzpxwwwwupy.supabase.co/storage/v1/object/public/old_media/45a559be.Path.110646.jpg" TargetMode="External"/><Relationship Id="rId3795" Type="http://schemas.openxmlformats.org/officeDocument/2006/relationships/hyperlink" Target="https://ryycrdhlkmzpxwwwwupy.supabase.co/storage/v1/object/public/old_media/d796a60c.Path.114552.jpg" TargetMode="External"/><Relationship Id="rId542" Type="http://schemas.openxmlformats.org/officeDocument/2006/relationships/hyperlink" Target="https://ryycrdhlkmzpxwwwwupy.supabase.co/storage/v1/object/public/old_media/ba23534f.Path.050510.jpg" TargetMode="External"/><Relationship Id="rId1133" Type="http://schemas.openxmlformats.org/officeDocument/2006/relationships/hyperlink" Target="https://ryycrdhlkmzpxwwwwupy.supabase.co/storage/v1/object/public/old_media/a0bab98a.Path.065836.jpg" TargetMode="External"/><Relationship Id="rId2464" Type="http://schemas.openxmlformats.org/officeDocument/2006/relationships/hyperlink" Target="https://ryycrdhlkmzpxwwwwupy.supabase.co/storage/v1/object/public/old_media/4cccdd7c.Path.110655.jpg" TargetMode="External"/><Relationship Id="rId3794" Type="http://schemas.openxmlformats.org/officeDocument/2006/relationships/hyperlink" Target="https://ryycrdhlkmzpxwwwwupy.supabase.co/storage/v1/object/public/old_media/6d771c7e.Path.114523.jpg" TargetMode="External"/><Relationship Id="rId541" Type="http://schemas.openxmlformats.org/officeDocument/2006/relationships/hyperlink" Target="https://ryycrdhlkmzpxwwwwupy.supabase.co/storage/v1/object/public/old_media/88c1f74d.Path.050503.jpg" TargetMode="External"/><Relationship Id="rId1134" Type="http://schemas.openxmlformats.org/officeDocument/2006/relationships/hyperlink" Target="https://ryycrdhlkmzpxwwwwupy.supabase.co/storage/v1/object/public/old_media/49d49f8f.Path.065901.jpg" TargetMode="External"/><Relationship Id="rId2465" Type="http://schemas.openxmlformats.org/officeDocument/2006/relationships/hyperlink" Target="https://ryycrdhlkmzpxwwwwupy.supabase.co/storage/v1/object/public/old_media/78156b9e.Path.110703.jpg" TargetMode="External"/><Relationship Id="rId3797" Type="http://schemas.openxmlformats.org/officeDocument/2006/relationships/hyperlink" Target="https://ryycrdhlkmzpxwwwwupy.supabase.co/storage/v1/object/public/old_media/f001e1f1.Path.114623.jpg" TargetMode="External"/><Relationship Id="rId540" Type="http://schemas.openxmlformats.org/officeDocument/2006/relationships/hyperlink" Target="https://ryycrdhlkmzpxwwwwupy.supabase.co/storage/v1/object/public/old_media/a7f419de.Path.050456.jpg" TargetMode="External"/><Relationship Id="rId1135" Type="http://schemas.openxmlformats.org/officeDocument/2006/relationships/hyperlink" Target="https://ryycrdhlkmzpxwwwwupy.supabase.co/storage/v1/object/public/old_media/8031ddef.Path.065929.jpg" TargetMode="External"/><Relationship Id="rId2466" Type="http://schemas.openxmlformats.org/officeDocument/2006/relationships/hyperlink" Target="https://ryycrdhlkmzpxwwwwupy.supabase.co/storage/v1/object/public/old_media/74772bad.Path.110713.jpg" TargetMode="External"/><Relationship Id="rId3796" Type="http://schemas.openxmlformats.org/officeDocument/2006/relationships/hyperlink" Target="https://ryycrdhlkmzpxwwwwupy.supabase.co/storage/v1/object/public/old_media/ce0a5536.Path.114555.jpg" TargetMode="External"/><Relationship Id="rId1125" Type="http://schemas.openxmlformats.org/officeDocument/2006/relationships/hyperlink" Target="https://ryycrdhlkmzpxwwwwupy.supabase.co/storage/v1/object/public/old_media/2167419f.Path.064610.jpg" TargetMode="External"/><Relationship Id="rId2456" Type="http://schemas.openxmlformats.org/officeDocument/2006/relationships/hyperlink" Target="https://ryycrdhlkmzpxwwwwupy.supabase.co/storage/v1/object/public/old_media/5c443243.Path.102916.jpg" TargetMode="External"/><Relationship Id="rId3788" Type="http://schemas.openxmlformats.org/officeDocument/2006/relationships/hyperlink" Target="https://ryycrdhlkmzpxwwwwupy.supabase.co/storage/v1/object/public/old_media/e9920819.Path.114322.jpg" TargetMode="External"/><Relationship Id="rId1126" Type="http://schemas.openxmlformats.org/officeDocument/2006/relationships/hyperlink" Target="https://ryycrdhlkmzpxwwwwupy.supabase.co/storage/v1/object/public/old_media/d2fe7c58.Path.064633.jpg" TargetMode="External"/><Relationship Id="rId2457" Type="http://schemas.openxmlformats.org/officeDocument/2006/relationships/hyperlink" Target="https://ryycrdhlkmzpxwwwwupy.supabase.co/storage/v1/object/public/old_media/a2dbd8d6.Path.102931.jpg" TargetMode="External"/><Relationship Id="rId3787" Type="http://schemas.openxmlformats.org/officeDocument/2006/relationships/hyperlink" Target="https://ryycrdhlkmzpxwwwwupy.supabase.co/storage/v1/object/public/old_media/be08eb15.Path.114202.jpg" TargetMode="External"/><Relationship Id="rId1127" Type="http://schemas.openxmlformats.org/officeDocument/2006/relationships/hyperlink" Target="https://ryycrdhlkmzpxwwwwupy.supabase.co/storage/v1/object/public/old_media/fb649ba6.Path.064652.jpg" TargetMode="External"/><Relationship Id="rId2458" Type="http://schemas.openxmlformats.org/officeDocument/2006/relationships/hyperlink" Target="https://ryycrdhlkmzpxwwwwupy.supabase.co/storage/v1/object/public/old_media/08c72364.Path.103006.jpg" TargetMode="External"/><Relationship Id="rId1128" Type="http://schemas.openxmlformats.org/officeDocument/2006/relationships/hyperlink" Target="https://ryycrdhlkmzpxwwwwupy.supabase.co/storage/v1/object/public/old_media/21093ab7.Path.064702.jpg" TargetMode="External"/><Relationship Id="rId2459" Type="http://schemas.openxmlformats.org/officeDocument/2006/relationships/hyperlink" Target="https://ryycrdhlkmzpxwwwwupy.supabase.co/storage/v1/object/public/old_media/ed062be8.Path.103033.jpg" TargetMode="External"/><Relationship Id="rId3789" Type="http://schemas.openxmlformats.org/officeDocument/2006/relationships/hyperlink" Target="https://ryycrdhlkmzpxwwwwupy.supabase.co/storage/v1/object/public/old_media/3f627746.Path.114326.jpg" TargetMode="External"/><Relationship Id="rId1129" Type="http://schemas.openxmlformats.org/officeDocument/2006/relationships/hyperlink" Target="https://ryycrdhlkmzpxwwwwupy.supabase.co/storage/v1/object/public/old_media/a96f3cf7.Path.064723.jpg" TargetMode="External"/><Relationship Id="rId536" Type="http://schemas.openxmlformats.org/officeDocument/2006/relationships/hyperlink" Target="https://ryycrdhlkmzpxwwwwupy.supabase.co/storage/v1/object/public/old_media/b5e6c1df.Path.072354.jpg" TargetMode="External"/><Relationship Id="rId535" Type="http://schemas.openxmlformats.org/officeDocument/2006/relationships/hyperlink" Target="https://ryycrdhlkmzpxwwwwupy.supabase.co/storage/v1/object/public/old_media/08bea36c.Path.072333.jpg" TargetMode="External"/><Relationship Id="rId534" Type="http://schemas.openxmlformats.org/officeDocument/2006/relationships/hyperlink" Target="https://ryycrdhlkmzpxwwwwupy.supabase.co/storage/v1/object/public/old_media/c81a351b.Path.072319.jpg" TargetMode="External"/><Relationship Id="rId533" Type="http://schemas.openxmlformats.org/officeDocument/2006/relationships/hyperlink" Target="https://ryycrdhlkmzpxwwwwupy.supabase.co/storage/v1/object/public/old_media/3103cd6b.Path.072257.jpg" TargetMode="External"/><Relationship Id="rId539" Type="http://schemas.openxmlformats.org/officeDocument/2006/relationships/hyperlink" Target="https://ryycrdhlkmzpxwwwwupy.supabase.co/storage/v1/object/public/old_media/4e4b571d.Path.050447.jpg" TargetMode="External"/><Relationship Id="rId538" Type="http://schemas.openxmlformats.org/officeDocument/2006/relationships/hyperlink" Target="https://ryycrdhlkmzpxwwwwupy.supabase.co/storage/v1/object/public/old_media/87e7fdd4.Path.072427.jpg" TargetMode="External"/><Relationship Id="rId537" Type="http://schemas.openxmlformats.org/officeDocument/2006/relationships/hyperlink" Target="https://ryycrdhlkmzpxwwwwupy.supabase.co/storage/v1/object/public/old_media/a7d2c97f.Path.072405.jpg" TargetMode="External"/><Relationship Id="rId3780" Type="http://schemas.openxmlformats.org/officeDocument/2006/relationships/hyperlink" Target="https://ryycrdhlkmzpxwwwwupy.supabase.co/storage/v1/object/public/old_media/68bd71cf.Path.113534.jpg" TargetMode="External"/><Relationship Id="rId2450" Type="http://schemas.openxmlformats.org/officeDocument/2006/relationships/hyperlink" Target="https://ryycrdhlkmzpxwwwwupy.supabase.co/storage/v1/object/public/old_media/028b28a3.Path.073309.jpg" TargetMode="External"/><Relationship Id="rId3782" Type="http://schemas.openxmlformats.org/officeDocument/2006/relationships/hyperlink" Target="https://ryycrdhlkmzpxwwwwupy.supabase.co/storage/v1/object/public/old_media/428424dd.Path.113756.jpg" TargetMode="External"/><Relationship Id="rId1120" Type="http://schemas.openxmlformats.org/officeDocument/2006/relationships/hyperlink" Target="https://ryycrdhlkmzpxwwwwupy.supabase.co/storage/v1/object/public/old_media/1047fa31.Path.063117.jpg" TargetMode="External"/><Relationship Id="rId2451" Type="http://schemas.openxmlformats.org/officeDocument/2006/relationships/hyperlink" Target="https://ryycrdhlkmzpxwwwwupy.supabase.co/storage/v1/object/public/old_media/5d6f4ee1.Path.102817.jpg" TargetMode="External"/><Relationship Id="rId3781" Type="http://schemas.openxmlformats.org/officeDocument/2006/relationships/hyperlink" Target="https://ryycrdhlkmzpxwwwwupy.supabase.co/storage/v1/object/public/old_media/e353c8c3.Path.113607.jpg" TargetMode="External"/><Relationship Id="rId532" Type="http://schemas.openxmlformats.org/officeDocument/2006/relationships/hyperlink" Target="https://ryycrdhlkmzpxwwwwupy.supabase.co/storage/v1/object/public/old_media/441c17fe.Path.072234.jpg" TargetMode="External"/><Relationship Id="rId1121" Type="http://schemas.openxmlformats.org/officeDocument/2006/relationships/hyperlink" Target="https://ryycrdhlkmzpxwwwwupy.supabase.co/storage/v1/object/public/old_media/a19eeec6.Path.063136.jpg" TargetMode="External"/><Relationship Id="rId2452" Type="http://schemas.openxmlformats.org/officeDocument/2006/relationships/hyperlink" Target="https://ryycrdhlkmzpxwwwwupy.supabase.co/storage/v1/object/public/old_media/b1dd7674.Path.102829.jpg" TargetMode="External"/><Relationship Id="rId3784" Type="http://schemas.openxmlformats.org/officeDocument/2006/relationships/hyperlink" Target="https://ryycrdhlkmzpxwwwwupy.supabase.co/storage/v1/object/public/old_media/a6b2a290.Path.114014.jpg" TargetMode="External"/><Relationship Id="rId531" Type="http://schemas.openxmlformats.org/officeDocument/2006/relationships/hyperlink" Target="https://ryycrdhlkmzpxwwwwupy.supabase.co/storage/v1/object/public/old_media/b1c823eb.Path.072212.jpg" TargetMode="External"/><Relationship Id="rId1122" Type="http://schemas.openxmlformats.org/officeDocument/2006/relationships/hyperlink" Target="https://ryycrdhlkmzpxwwwwupy.supabase.co/storage/v1/object/public/old_media/fe27ad33.Path.063249.jpg" TargetMode="External"/><Relationship Id="rId2453" Type="http://schemas.openxmlformats.org/officeDocument/2006/relationships/hyperlink" Target="https://ryycrdhlkmzpxwwwwupy.supabase.co/storage/v1/object/public/old_media/7bb9cf6e.Path.102838.jpg" TargetMode="External"/><Relationship Id="rId3783" Type="http://schemas.openxmlformats.org/officeDocument/2006/relationships/hyperlink" Target="https://ryycrdhlkmzpxwwwwupy.supabase.co/storage/v1/object/public/old_media/6794c794.Path.113843.jpg" TargetMode="External"/><Relationship Id="rId530" Type="http://schemas.openxmlformats.org/officeDocument/2006/relationships/hyperlink" Target="https://ryycrdhlkmzpxwwwwupy.supabase.co/storage/v1/object/public/old_media/a66bb02c.Path.072149.jpg" TargetMode="External"/><Relationship Id="rId1123" Type="http://schemas.openxmlformats.org/officeDocument/2006/relationships/hyperlink" Target="https://ryycrdhlkmzpxwwwwupy.supabase.co/storage/v1/object/public/old_media/f1b879dd.Path.063308.jpg" TargetMode="External"/><Relationship Id="rId2454" Type="http://schemas.openxmlformats.org/officeDocument/2006/relationships/hyperlink" Target="https://ryycrdhlkmzpxwwwwupy.supabase.co/storage/v1/object/public/old_media/e9f6bae5.Path.102848.jpg" TargetMode="External"/><Relationship Id="rId3786" Type="http://schemas.openxmlformats.org/officeDocument/2006/relationships/hyperlink" Target="https://ryycrdhlkmzpxwwwwupy.supabase.co/storage/v1/object/public/old_media/3b46d995.Path.114124.jpg" TargetMode="External"/><Relationship Id="rId1124" Type="http://schemas.openxmlformats.org/officeDocument/2006/relationships/hyperlink" Target="https://ryycrdhlkmzpxwwwwupy.supabase.co/storage/v1/object/public/old_media/7b49b5c1.Path.064447.jpg" TargetMode="External"/><Relationship Id="rId2455" Type="http://schemas.openxmlformats.org/officeDocument/2006/relationships/hyperlink" Target="https://ryycrdhlkmzpxwwwwupy.supabase.co/storage/v1/object/public/old_media/8471a0e4.Path.102858.jpg" TargetMode="External"/><Relationship Id="rId3785" Type="http://schemas.openxmlformats.org/officeDocument/2006/relationships/hyperlink" Target="https://ryycrdhlkmzpxwwwwupy.supabase.co/storage/v1/object/public/old_media/09ccce0a.Path.114051.jpg" TargetMode="External"/><Relationship Id="rId1158" Type="http://schemas.openxmlformats.org/officeDocument/2006/relationships/hyperlink" Target="https://ryycrdhlkmzpxwwwwupy.supabase.co/storage/v1/object/public/old_media/d3eccf27.Path.061038.webp" TargetMode="External"/><Relationship Id="rId2489" Type="http://schemas.openxmlformats.org/officeDocument/2006/relationships/hyperlink" Target="https://ryycrdhlkmzpxwwwwupy.supabase.co/storage/v1/object/public/old_media/b3201bdf.Path.070908.png" TargetMode="External"/><Relationship Id="rId1159" Type="http://schemas.openxmlformats.org/officeDocument/2006/relationships/hyperlink" Target="https://ryycrdhlkmzpxwwwwupy.supabase.co/storage/v1/object/public/old_media/539222a0.Path.063332.png" TargetMode="External"/><Relationship Id="rId569" Type="http://schemas.openxmlformats.org/officeDocument/2006/relationships/hyperlink" Target="https://ryycrdhlkmzpxwwwwupy.supabase.co/storage/v1/object/public/old_media/9990119a.Path.060454.jpg" TargetMode="External"/><Relationship Id="rId568" Type="http://schemas.openxmlformats.org/officeDocument/2006/relationships/hyperlink" Target="https://ryycrdhlkmzpxwwwwupy.supabase.co/storage/v1/object/public/old_media/f4c43dbb.Path.060437.jpg" TargetMode="External"/><Relationship Id="rId567" Type="http://schemas.openxmlformats.org/officeDocument/2006/relationships/hyperlink" Target="https://ryycrdhlkmzpxwwwwupy.supabase.co/storage/v1/object/public/old_media/9f20a1f2.Path.060421.jpg" TargetMode="External"/><Relationship Id="rId566" Type="http://schemas.openxmlformats.org/officeDocument/2006/relationships/hyperlink" Target="https://ryycrdhlkmzpxwwwwupy.supabase.co/storage/v1/object/public/old_media/8c0fac28.Path.055422.jpg" TargetMode="External"/><Relationship Id="rId2480" Type="http://schemas.openxmlformats.org/officeDocument/2006/relationships/hyperlink" Target="https://ryycrdhlkmzpxwwwwupy.supabase.co/storage/v1/object/public/old_media/79845c6a.Path.104500.jpg" TargetMode="External"/><Relationship Id="rId561" Type="http://schemas.openxmlformats.org/officeDocument/2006/relationships/hyperlink" Target="https://ryycrdhlkmzpxwwwwupy.supabase.co/storage/v1/object/public/old_media/4d82eef0.Path.114455.jpg" TargetMode="External"/><Relationship Id="rId1150" Type="http://schemas.openxmlformats.org/officeDocument/2006/relationships/hyperlink" Target="https://ryycrdhlkmzpxwwwwupy.supabase.co/storage/v1/object/public/old_media/236da71b.Path.030053.png" TargetMode="External"/><Relationship Id="rId2481" Type="http://schemas.openxmlformats.org/officeDocument/2006/relationships/hyperlink" Target="https://ryycrdhlkmzpxwwwwupy.supabase.co/storage/v1/object/public/old_media/4ca9d0fc.Path.104510.jpg" TargetMode="External"/><Relationship Id="rId560" Type="http://schemas.openxmlformats.org/officeDocument/2006/relationships/hyperlink" Target="https://ryycrdhlkmzpxwwwwupy.supabase.co/storage/v1/object/public/old_media/62ec6258.Path.114446.jpg" TargetMode="External"/><Relationship Id="rId1151" Type="http://schemas.openxmlformats.org/officeDocument/2006/relationships/hyperlink" Target="https://ryycrdhlkmzpxwwwwupy.supabase.co/storage/v1/object/public/old_media/aa89efd3.Path.030107.png" TargetMode="External"/><Relationship Id="rId2482" Type="http://schemas.openxmlformats.org/officeDocument/2006/relationships/hyperlink" Target="https://ryycrdhlkmzpxwwwwupy.supabase.co/storage/v1/object/public/old_media/1c5019f0.Path.104521.jpg" TargetMode="External"/><Relationship Id="rId1152" Type="http://schemas.openxmlformats.org/officeDocument/2006/relationships/hyperlink" Target="https://ryycrdhlkmzpxwwwwupy.supabase.co/storage/v1/object/public/old_media/7754d80e.Path.053522.jpg" TargetMode="External"/><Relationship Id="rId2483" Type="http://schemas.openxmlformats.org/officeDocument/2006/relationships/hyperlink" Target="https://ryycrdhlkmzpxwwwwupy.supabase.co/storage/v1/object/public/old_media/a5ad0add.Path.104532.jpg" TargetMode="External"/><Relationship Id="rId1153" Type="http://schemas.openxmlformats.org/officeDocument/2006/relationships/hyperlink" Target="https://ryycrdhlkmzpxwwwwupy.supabase.co/storage/v1/object/public/old_media/f88f5832.Path.053542.jpg" TargetMode="External"/><Relationship Id="rId2484" Type="http://schemas.openxmlformats.org/officeDocument/2006/relationships/hyperlink" Target="https://ryycrdhlkmzpxwwwwupy.supabase.co/storage/v1/object/public/old_media/3505aa40.Path.104544.jpg" TargetMode="External"/><Relationship Id="rId565" Type="http://schemas.openxmlformats.org/officeDocument/2006/relationships/hyperlink" Target="https://ryycrdhlkmzpxwwwwupy.supabase.co/storage/v1/object/public/old_media/2665c3e7.Path.055002.jpg" TargetMode="External"/><Relationship Id="rId1154" Type="http://schemas.openxmlformats.org/officeDocument/2006/relationships/hyperlink" Target="https://ryycrdhlkmzpxwwwwupy.supabase.co/storage/v1/object/public/old_media/e3f39ee6.Path.053605.jpg" TargetMode="External"/><Relationship Id="rId2485" Type="http://schemas.openxmlformats.org/officeDocument/2006/relationships/hyperlink" Target="https://ryycrdhlkmzpxwwwwupy.supabase.co/storage/v1/object/public/old_media/47562598.Path.104812.jpg" TargetMode="External"/><Relationship Id="rId564" Type="http://schemas.openxmlformats.org/officeDocument/2006/relationships/hyperlink" Target="https://ryycrdhlkmzpxwwwwupy.supabase.co/storage/v1/object/public/old_media/8a112f21.Path.054955.jpg" TargetMode="External"/><Relationship Id="rId1155" Type="http://schemas.openxmlformats.org/officeDocument/2006/relationships/hyperlink" Target="https://ryycrdhlkmzpxwwwwupy.supabase.co/storage/v1/object/public/old_media/91656192.Path.055455.jpg" TargetMode="External"/><Relationship Id="rId2486" Type="http://schemas.openxmlformats.org/officeDocument/2006/relationships/hyperlink" Target="https://ryycrdhlkmzpxwwwwupy.supabase.co/storage/v1/object/public/old_media/e042cdcb.Path.113045.jpg" TargetMode="External"/><Relationship Id="rId563" Type="http://schemas.openxmlformats.org/officeDocument/2006/relationships/hyperlink" Target="https://ryycrdhlkmzpxwwwwupy.supabase.co/storage/v1/object/public/old_media/97d39575.Path.054942.jpg" TargetMode="External"/><Relationship Id="rId1156" Type="http://schemas.openxmlformats.org/officeDocument/2006/relationships/hyperlink" Target="https://ryycrdhlkmzpxwwwwupy.supabase.co/storage/v1/object/public/old_media/324c6085.Path.055516.jpg" TargetMode="External"/><Relationship Id="rId2487" Type="http://schemas.openxmlformats.org/officeDocument/2006/relationships/hyperlink" Target="https://ryycrdhlkmzpxwwwwupy.supabase.co/storage/v1/object/public/old_media/69a72146.Path.045229.jpg" TargetMode="External"/><Relationship Id="rId562" Type="http://schemas.openxmlformats.org/officeDocument/2006/relationships/hyperlink" Target="https://ryycrdhlkmzpxwwwwupy.supabase.co/storage/v1/object/public/old_media/e02af32c.Path.053809.jpg" TargetMode="External"/><Relationship Id="rId1157" Type="http://schemas.openxmlformats.org/officeDocument/2006/relationships/hyperlink" Target="https://ryycrdhlkmzpxwwwwupy.supabase.co/storage/v1/object/public/old_media/4bfe8e8e.Path.055527.jpg" TargetMode="External"/><Relationship Id="rId2488" Type="http://schemas.openxmlformats.org/officeDocument/2006/relationships/hyperlink" Target="https://ryycrdhlkmzpxwwwwupy.supabase.co/storage/v1/object/public/old_media/c17ca092.Path.061934.png" TargetMode="External"/><Relationship Id="rId1147" Type="http://schemas.openxmlformats.org/officeDocument/2006/relationships/hyperlink" Target="https://ryycrdhlkmzpxwwwwupy.supabase.co/storage/v1/object/public/old_media/59733618.Path.150432.jpg" TargetMode="External"/><Relationship Id="rId2478" Type="http://schemas.openxmlformats.org/officeDocument/2006/relationships/hyperlink" Target="https://ryycrdhlkmzpxwwwwupy.supabase.co/storage/v1/object/public/old_media/d2bfbc31.Path.104434.jpg" TargetMode="External"/><Relationship Id="rId1148" Type="http://schemas.openxmlformats.org/officeDocument/2006/relationships/hyperlink" Target="https://ryycrdhlkmzpxwwwwupy.supabase.co/storage/v1/object/public/old_media/efa4cd79.Path.150445.png" TargetMode="External"/><Relationship Id="rId2479" Type="http://schemas.openxmlformats.org/officeDocument/2006/relationships/hyperlink" Target="https://ryycrdhlkmzpxwwwwupy.supabase.co/storage/v1/object/public/old_media/c1357121.Path.104449.jpg" TargetMode="External"/><Relationship Id="rId1149" Type="http://schemas.openxmlformats.org/officeDocument/2006/relationships/hyperlink" Target="https://ryycrdhlkmzpxwwwwupy.supabase.co/storage/v1/object/public/old_media/3ebd1b13.Path.030041.png" TargetMode="External"/><Relationship Id="rId558" Type="http://schemas.openxmlformats.org/officeDocument/2006/relationships/hyperlink" Target="https://ryycrdhlkmzpxwwwwupy.supabase.co/storage/v1/object/public/old_media/5c702dfb.Path.114426.jpg" TargetMode="External"/><Relationship Id="rId557" Type="http://schemas.openxmlformats.org/officeDocument/2006/relationships/hyperlink" Target="https://ryycrdhlkmzpxwwwwupy.supabase.co/storage/v1/object/public/old_media/b056700e.Path.114403.jpg" TargetMode="External"/><Relationship Id="rId556" Type="http://schemas.openxmlformats.org/officeDocument/2006/relationships/hyperlink" Target="https://ryycrdhlkmzpxwwwwupy.supabase.co/storage/v1/object/public/old_media/a54099f3.Path.113926.jpg" TargetMode="External"/><Relationship Id="rId555" Type="http://schemas.openxmlformats.org/officeDocument/2006/relationships/hyperlink" Target="https://ryycrdhlkmzpxwwwwupy.supabase.co/storage/v1/object/public/old_media/efe02ac5.Path.111214.jpg" TargetMode="External"/><Relationship Id="rId559" Type="http://schemas.openxmlformats.org/officeDocument/2006/relationships/hyperlink" Target="https://ryycrdhlkmzpxwwwwupy.supabase.co/storage/v1/object/public/old_media/4ba49b1f.Path.114433.jpg" TargetMode="External"/><Relationship Id="rId550" Type="http://schemas.openxmlformats.org/officeDocument/2006/relationships/hyperlink" Target="https://ryycrdhlkmzpxwwwwupy.supabase.co/storage/v1/object/public/old_media/3f4840b5.Path.104327.jpg" TargetMode="External"/><Relationship Id="rId2470" Type="http://schemas.openxmlformats.org/officeDocument/2006/relationships/hyperlink" Target="https://ryycrdhlkmzpxwwwwupy.supabase.co/storage/v1/object/public/old_media/2f68cae7.Path.110800.jpg" TargetMode="External"/><Relationship Id="rId1140" Type="http://schemas.openxmlformats.org/officeDocument/2006/relationships/hyperlink" Target="https://ryycrdhlkmzpxwwwwupy.supabase.co/storage/v1/object/public/old_media/167ffe4d.Path.070115.jpg" TargetMode="External"/><Relationship Id="rId2471" Type="http://schemas.openxmlformats.org/officeDocument/2006/relationships/hyperlink" Target="https://ryycrdhlkmzpxwwwwupy.supabase.co/storage/v1/object/public/old_media/70f547db.Path.110811.jpg" TargetMode="External"/><Relationship Id="rId1141" Type="http://schemas.openxmlformats.org/officeDocument/2006/relationships/hyperlink" Target="https://ryycrdhlkmzpxwwwwupy.supabase.co/storage/v1/object/public/old_media/a00ae756.Path.092305.jpg" TargetMode="External"/><Relationship Id="rId2472" Type="http://schemas.openxmlformats.org/officeDocument/2006/relationships/hyperlink" Target="https://ryycrdhlkmzpxwwwwupy.supabase.co/storage/v1/object/public/old_media/d5122c84.Path.110837.jpg" TargetMode="External"/><Relationship Id="rId1142" Type="http://schemas.openxmlformats.org/officeDocument/2006/relationships/hyperlink" Target="https://ryycrdhlkmzpxwwwwupy.supabase.co/storage/v1/object/public/old_media/b0b13aad.Path.092322.jpg" TargetMode="External"/><Relationship Id="rId2473" Type="http://schemas.openxmlformats.org/officeDocument/2006/relationships/hyperlink" Target="https://ryycrdhlkmzpxwwwwupy.supabase.co/storage/v1/object/public/old_media/2adbcb15.Path.095636.jpg" TargetMode="External"/><Relationship Id="rId554" Type="http://schemas.openxmlformats.org/officeDocument/2006/relationships/hyperlink" Target="https://ryycrdhlkmzpxwwwwupy.supabase.co/storage/v1/object/public/old_media/6a4dfe4f.Path.111207.jpg" TargetMode="External"/><Relationship Id="rId1143" Type="http://schemas.openxmlformats.org/officeDocument/2006/relationships/hyperlink" Target="https://ryycrdhlkmzpxwwwwupy.supabase.co/storage/v1/object/public/old_media/dd5a5789.Path.092346.jpg" TargetMode="External"/><Relationship Id="rId2474" Type="http://schemas.openxmlformats.org/officeDocument/2006/relationships/hyperlink" Target="https://ryycrdhlkmzpxwwwwupy.supabase.co/storage/v1/object/public/old_media/ba77c173.Path.104356.jpg" TargetMode="External"/><Relationship Id="rId553" Type="http://schemas.openxmlformats.org/officeDocument/2006/relationships/hyperlink" Target="https://ryycrdhlkmzpxwwwwupy.supabase.co/storage/v1/object/public/old_media/30880295.Path.111159.jpg" TargetMode="External"/><Relationship Id="rId1144" Type="http://schemas.openxmlformats.org/officeDocument/2006/relationships/hyperlink" Target="https://ryycrdhlkmzpxwwwwupy.supabase.co/storage/v1/object/public/old_media/b434a264.Path.092356.jpg" TargetMode="External"/><Relationship Id="rId2475" Type="http://schemas.openxmlformats.org/officeDocument/2006/relationships/hyperlink" Target="https://ryycrdhlkmzpxwwwwupy.supabase.co/storage/v1/object/public/old_media/2a0c02be.Path.104406.jpg" TargetMode="External"/><Relationship Id="rId552" Type="http://schemas.openxmlformats.org/officeDocument/2006/relationships/hyperlink" Target="https://ryycrdhlkmzpxwwwwupy.supabase.co/storage/v1/object/public/old_media/e90226b0.Path.104409.jpg" TargetMode="External"/><Relationship Id="rId1145" Type="http://schemas.openxmlformats.org/officeDocument/2006/relationships/hyperlink" Target="https://ryycrdhlkmzpxwwwwupy.supabase.co/storage/v1/object/public/old_media/16e38d73.Path.150251.jpg" TargetMode="External"/><Relationship Id="rId2476" Type="http://schemas.openxmlformats.org/officeDocument/2006/relationships/hyperlink" Target="https://ryycrdhlkmzpxwwwwupy.supabase.co/storage/v1/object/public/old_media/315d0162.Path.104415.jpg" TargetMode="External"/><Relationship Id="rId551" Type="http://schemas.openxmlformats.org/officeDocument/2006/relationships/hyperlink" Target="https://ryycrdhlkmzpxwwwwupy.supabase.co/storage/v1/object/public/old_media/1af39f84.Path.104353.jpg" TargetMode="External"/><Relationship Id="rId1146" Type="http://schemas.openxmlformats.org/officeDocument/2006/relationships/hyperlink" Target="https://ryycrdhlkmzpxwwwwupy.supabase.co/storage/v1/object/public/old_media/b725cceb.Path.150339.jpg" TargetMode="External"/><Relationship Id="rId2477" Type="http://schemas.openxmlformats.org/officeDocument/2006/relationships/hyperlink" Target="https://ryycrdhlkmzpxwwwwupy.supabase.co/storage/v1/object/public/old_media/1961167e.Path.104426.jpg" TargetMode="External"/><Relationship Id="rId4280" Type="http://schemas.openxmlformats.org/officeDocument/2006/relationships/hyperlink" Target="https://ryycrdhlkmzpxwwwwupy.supabase.co/storage/v1/object/public/old_media/3190955f.Path.105302.jpg" TargetMode="External"/><Relationship Id="rId4282" Type="http://schemas.openxmlformats.org/officeDocument/2006/relationships/hyperlink" Target="https://ryycrdhlkmzpxwwwwupy.supabase.co/storage/v1/object/public/old_media/a46d6b1f.Path.105356.jpg" TargetMode="External"/><Relationship Id="rId4281" Type="http://schemas.openxmlformats.org/officeDocument/2006/relationships/hyperlink" Target="https://ryycrdhlkmzpxwwwwupy.supabase.co/storage/v1/object/public/old_media/d592a6c9.Path.105329.jpg" TargetMode="External"/><Relationship Id="rId4284" Type="http://schemas.openxmlformats.org/officeDocument/2006/relationships/hyperlink" Target="https://ryycrdhlkmzpxwwwwupy.supabase.co/storage/v1/object/public/old_media/70a6e8f2.Path.105451.jpg" TargetMode="External"/><Relationship Id="rId4283" Type="http://schemas.openxmlformats.org/officeDocument/2006/relationships/hyperlink" Target="https://ryycrdhlkmzpxwwwwupy.supabase.co/storage/v1/object/public/old_media/3bcbad7b.Path.105422.jpg" TargetMode="External"/><Relationship Id="rId4286" Type="http://schemas.openxmlformats.org/officeDocument/2006/relationships/hyperlink" Target="https://ryycrdhlkmzpxwwwwupy.supabase.co/storage/v1/object/public/old_media/e298d4ed.Path.105546.jpg" TargetMode="External"/><Relationship Id="rId4285" Type="http://schemas.openxmlformats.org/officeDocument/2006/relationships/hyperlink" Target="https://ryycrdhlkmzpxwwwwupy.supabase.co/storage/v1/object/public/old_media/caa359e3.Path.105519.jpg" TargetMode="External"/><Relationship Id="rId4288" Type="http://schemas.openxmlformats.org/officeDocument/2006/relationships/hyperlink" Target="https://ryycrdhlkmzpxwwwwupy.supabase.co/storage/v1/object/public/old_media/81aea789.Path.105644.jpg" TargetMode="External"/><Relationship Id="rId4287" Type="http://schemas.openxmlformats.org/officeDocument/2006/relationships/hyperlink" Target="https://ryycrdhlkmzpxwwwwupy.supabase.co/storage/v1/object/public/old_media/9e064ad0.Path.105615.jpg" TargetMode="External"/><Relationship Id="rId4289" Type="http://schemas.openxmlformats.org/officeDocument/2006/relationships/hyperlink" Target="https://ryycrdhlkmzpxwwwwupy.supabase.co/storage/v1/object/public/old_media/63789e3a.Path.105722.jpg" TargetMode="External"/><Relationship Id="rId4271" Type="http://schemas.openxmlformats.org/officeDocument/2006/relationships/hyperlink" Target="https://ryycrdhlkmzpxwwwwupy.supabase.co/storage/v1/object/public/old_media/634754b5.Path.104902.jpg" TargetMode="External"/><Relationship Id="rId4270" Type="http://schemas.openxmlformats.org/officeDocument/2006/relationships/hyperlink" Target="https://ryycrdhlkmzpxwwwwupy.supabase.co/storage/v1/object/public/old_media/5626ca70.Path.104533.jpg" TargetMode="External"/><Relationship Id="rId4273" Type="http://schemas.openxmlformats.org/officeDocument/2006/relationships/hyperlink" Target="https://ryycrdhlkmzpxwwwwupy.supabase.co/storage/v1/object/public/old_media/68aa7674.Path.104954.jpg" TargetMode="External"/><Relationship Id="rId4272" Type="http://schemas.openxmlformats.org/officeDocument/2006/relationships/hyperlink" Target="https://ryycrdhlkmzpxwwwwupy.supabase.co/storage/v1/object/public/old_media/b6ce0ef3.Path.104928.jpg" TargetMode="External"/><Relationship Id="rId4275" Type="http://schemas.openxmlformats.org/officeDocument/2006/relationships/hyperlink" Target="https://ryycrdhlkmzpxwwwwupy.supabase.co/storage/v1/object/public/old_media/6ca56597.Path.105048.jpg" TargetMode="External"/><Relationship Id="rId4274" Type="http://schemas.openxmlformats.org/officeDocument/2006/relationships/hyperlink" Target="https://ryycrdhlkmzpxwwwwupy.supabase.co/storage/v1/object/public/old_media/c7c60468.Path.105022.jpg" TargetMode="External"/><Relationship Id="rId4277" Type="http://schemas.openxmlformats.org/officeDocument/2006/relationships/hyperlink" Target="https://ryycrdhlkmzpxwwwwupy.supabase.co/storage/v1/object/public/old_media/25ff456e.Path.105139.jpg" TargetMode="External"/><Relationship Id="rId4276" Type="http://schemas.openxmlformats.org/officeDocument/2006/relationships/hyperlink" Target="https://ryycrdhlkmzpxwwwwupy.supabase.co/storage/v1/object/public/old_media/9f811b5a.Path.105114.jpg" TargetMode="External"/><Relationship Id="rId4279" Type="http://schemas.openxmlformats.org/officeDocument/2006/relationships/hyperlink" Target="https://ryycrdhlkmzpxwwwwupy.supabase.co/storage/v1/object/public/old_media/4ec67a3c.Path.105235.jpg" TargetMode="External"/><Relationship Id="rId4278" Type="http://schemas.openxmlformats.org/officeDocument/2006/relationships/hyperlink" Target="https://ryycrdhlkmzpxwwwwupy.supabase.co/storage/v1/object/public/old_media/0cf00f2f.Path.105208.jpg" TargetMode="External"/><Relationship Id="rId4291" Type="http://schemas.openxmlformats.org/officeDocument/2006/relationships/hyperlink" Target="https://ryycrdhlkmzpxwwwwupy.supabase.co/storage/v1/object/public/old_media/52dcbe5b.Path.053231.jpg" TargetMode="External"/><Relationship Id="rId4290" Type="http://schemas.openxmlformats.org/officeDocument/2006/relationships/hyperlink" Target="https://ryycrdhlkmzpxwwwwupy.supabase.co/storage/v1/object/public/old_media/96985953.Path.053152.jpg" TargetMode="External"/><Relationship Id="rId4293" Type="http://schemas.openxmlformats.org/officeDocument/2006/relationships/hyperlink" Target="https://ryycrdhlkmzpxwwwwupy.supabase.co/storage/v1/object/public/old_media/2655dcc8.Path.053351.jpg" TargetMode="External"/><Relationship Id="rId4292" Type="http://schemas.openxmlformats.org/officeDocument/2006/relationships/hyperlink" Target="https://ryycrdhlkmzpxwwwwupy.supabase.co/storage/v1/object/public/old_media/7d7f14c7.Path.053310.jpg" TargetMode="External"/><Relationship Id="rId4295" Type="http://schemas.openxmlformats.org/officeDocument/2006/relationships/hyperlink" Target="https://ryycrdhlkmzpxwwwwupy.supabase.co/storage/v1/object/public/old_media/aedf5bf6.Path.053516.jpg" TargetMode="External"/><Relationship Id="rId4294" Type="http://schemas.openxmlformats.org/officeDocument/2006/relationships/hyperlink" Target="https://ryycrdhlkmzpxwwwwupy.supabase.co/storage/v1/object/public/old_media/cf94cb5b.Path.053429.jpg" TargetMode="External"/><Relationship Id="rId4297" Type="http://schemas.openxmlformats.org/officeDocument/2006/relationships/hyperlink" Target="https://ryycrdhlkmzpxwwwwupy.supabase.co/storage/v1/object/public/old_media/7d83f0c6.Path.043536.jpg" TargetMode="External"/><Relationship Id="rId4296" Type="http://schemas.openxmlformats.org/officeDocument/2006/relationships/hyperlink" Target="https://ryycrdhlkmzpxwwwwupy.supabase.co/storage/v1/object/public/old_media/6283c98f.Path.043507.jpg" TargetMode="External"/><Relationship Id="rId4299" Type="http://schemas.openxmlformats.org/officeDocument/2006/relationships/hyperlink" Target="https://ryycrdhlkmzpxwwwwupy.supabase.co/storage/v1/object/public/old_media/1213c7e5.Path.043640.jpg" TargetMode="External"/><Relationship Id="rId4298" Type="http://schemas.openxmlformats.org/officeDocument/2006/relationships/hyperlink" Target="https://ryycrdhlkmzpxwwwwupy.supabase.co/storage/v1/object/public/old_media/8cb86a2d.Path.043607.jpg" TargetMode="External"/><Relationship Id="rId4249" Type="http://schemas.openxmlformats.org/officeDocument/2006/relationships/hyperlink" Target="https://ryycrdhlkmzpxwwwwupy.supabase.co/storage/v1/object/public/old_media/3d920dbb.Path.114820.jpg" TargetMode="External"/><Relationship Id="rId4240" Type="http://schemas.openxmlformats.org/officeDocument/2006/relationships/hyperlink" Target="https://ryycrdhlkmzpxwwwwupy.supabase.co/storage/v1/object/public/old_media/b3b679b4.Path.114243.jpg" TargetMode="External"/><Relationship Id="rId4242" Type="http://schemas.openxmlformats.org/officeDocument/2006/relationships/hyperlink" Target="https://ryycrdhlkmzpxwwwwupy.supabase.co/storage/v1/object/public/old_media/70a880e6.Path.114342.jpg" TargetMode="External"/><Relationship Id="rId4241" Type="http://schemas.openxmlformats.org/officeDocument/2006/relationships/hyperlink" Target="https://ryycrdhlkmzpxwwwwupy.supabase.co/storage/v1/object/public/old_media/31dd04a7.Path.114312.jpg" TargetMode="External"/><Relationship Id="rId4244" Type="http://schemas.openxmlformats.org/officeDocument/2006/relationships/hyperlink" Target="https://ryycrdhlkmzpxwwwwupy.supabase.co/storage/v1/object/public/old_media/94433b37.Path.114613.jpg" TargetMode="External"/><Relationship Id="rId4243" Type="http://schemas.openxmlformats.org/officeDocument/2006/relationships/hyperlink" Target="https://ryycrdhlkmzpxwwwwupy.supabase.co/storage/v1/object/public/old_media/4689c1d5.Path.114548.jpg" TargetMode="External"/><Relationship Id="rId4246" Type="http://schemas.openxmlformats.org/officeDocument/2006/relationships/hyperlink" Target="https://ryycrdhlkmzpxwwwwupy.supabase.co/storage/v1/object/public/old_media/048e57f9.Path.114705.jpg" TargetMode="External"/><Relationship Id="rId4245" Type="http://schemas.openxmlformats.org/officeDocument/2006/relationships/hyperlink" Target="https://ryycrdhlkmzpxwwwwupy.supabase.co/storage/v1/object/public/old_media/4d2643d4.Path.114639.jpg" TargetMode="External"/><Relationship Id="rId4248" Type="http://schemas.openxmlformats.org/officeDocument/2006/relationships/hyperlink" Target="https://ryycrdhlkmzpxwwwwupy.supabase.co/storage/v1/object/public/old_media/451f2b92.Path.114755.jpg" TargetMode="External"/><Relationship Id="rId4247" Type="http://schemas.openxmlformats.org/officeDocument/2006/relationships/hyperlink" Target="https://ryycrdhlkmzpxwwwwupy.supabase.co/storage/v1/object/public/old_media/06503cf8.Path.114729.jpg" TargetMode="External"/><Relationship Id="rId4239" Type="http://schemas.openxmlformats.org/officeDocument/2006/relationships/hyperlink" Target="https://ryycrdhlkmzpxwwwwupy.supabase.co/storage/v1/object/public/old_media/bff9f9c9.Path.114216.jpg" TargetMode="External"/><Relationship Id="rId4238" Type="http://schemas.openxmlformats.org/officeDocument/2006/relationships/hyperlink" Target="https://ryycrdhlkmzpxwwwwupy.supabase.co/storage/v1/object/public/old_media/70f39864.Path.114151.jpg" TargetMode="External"/><Relationship Id="rId495" Type="http://schemas.openxmlformats.org/officeDocument/2006/relationships/hyperlink" Target="https://ryycrdhlkmzpxwwwwupy.supabase.co/storage/v1/object/public/old_media/4baa1677.Path.095921.jpg" TargetMode="External"/><Relationship Id="rId4231" Type="http://schemas.openxmlformats.org/officeDocument/2006/relationships/hyperlink" Target="https://ryycrdhlkmzpxwwwwupy.supabase.co/storage/v1/object/public/old_media/11319109.Path.113840.jpg" TargetMode="External"/><Relationship Id="rId494" Type="http://schemas.openxmlformats.org/officeDocument/2006/relationships/hyperlink" Target="https://ryycrdhlkmzpxwwwwupy.supabase.co/storage/v1/object/public/old_media/b2efb062.Path.095904.jpg" TargetMode="External"/><Relationship Id="rId4230" Type="http://schemas.openxmlformats.org/officeDocument/2006/relationships/hyperlink" Target="https://ryycrdhlkmzpxwwwwupy.supabase.co/storage/v1/object/public/old_media/52a917c8.Path.113811.jpg" TargetMode="External"/><Relationship Id="rId493" Type="http://schemas.openxmlformats.org/officeDocument/2006/relationships/hyperlink" Target="https://ryycrdhlkmzpxwwwwupy.supabase.co/storage/v1/object/public/old_media/832451ac.Path.095859.jpg" TargetMode="External"/><Relationship Id="rId4233" Type="http://schemas.openxmlformats.org/officeDocument/2006/relationships/hyperlink" Target="https://ryycrdhlkmzpxwwwwupy.supabase.co/storage/v1/object/public/old_media/50355400.Path.113934.jpg" TargetMode="External"/><Relationship Id="rId492" Type="http://schemas.openxmlformats.org/officeDocument/2006/relationships/hyperlink" Target="https://ryycrdhlkmzpxwwwwupy.supabase.co/storage/v1/object/public/old_media/1d6d5188.Path.095842.jpg" TargetMode="External"/><Relationship Id="rId4232" Type="http://schemas.openxmlformats.org/officeDocument/2006/relationships/hyperlink" Target="https://ryycrdhlkmzpxwwwwupy.supabase.co/storage/v1/object/public/old_media/46f64c1d.Path.113908.jpg" TargetMode="External"/><Relationship Id="rId499" Type="http://schemas.openxmlformats.org/officeDocument/2006/relationships/hyperlink" Target="https://ryycrdhlkmzpxwwwwupy.supabase.co/storage/v1/object/public/old_media/16b0fe6b.Path.102808.jpg" TargetMode="External"/><Relationship Id="rId4235" Type="http://schemas.openxmlformats.org/officeDocument/2006/relationships/hyperlink" Target="https://ryycrdhlkmzpxwwwwupy.supabase.co/storage/v1/object/public/old_media/271a7aab.Path.114028.jpg" TargetMode="External"/><Relationship Id="rId498" Type="http://schemas.openxmlformats.org/officeDocument/2006/relationships/hyperlink" Target="https://ryycrdhlkmzpxwwwwupy.supabase.co/storage/v1/object/public/old_media/8022c0cf.Path.102752.jpg" TargetMode="External"/><Relationship Id="rId4234" Type="http://schemas.openxmlformats.org/officeDocument/2006/relationships/hyperlink" Target="https://ryycrdhlkmzpxwwwwupy.supabase.co/storage/v1/object/public/old_media/45dc1ca9.Path.114000.jpg" TargetMode="External"/><Relationship Id="rId497" Type="http://schemas.openxmlformats.org/officeDocument/2006/relationships/hyperlink" Target="https://ryycrdhlkmzpxwwwwupy.supabase.co/storage/v1/object/public/old_media/e6e43dff.Path.102732.jpg" TargetMode="External"/><Relationship Id="rId4237" Type="http://schemas.openxmlformats.org/officeDocument/2006/relationships/hyperlink" Target="https://ryycrdhlkmzpxwwwwupy.supabase.co/storage/v1/object/public/old_media/973f1603.Path.114124.jpg" TargetMode="External"/><Relationship Id="rId496" Type="http://schemas.openxmlformats.org/officeDocument/2006/relationships/hyperlink" Target="https://ryycrdhlkmzpxwwwwupy.supabase.co/storage/v1/object/public/old_media/0b4af4f7.Path.095937.jpg" TargetMode="External"/><Relationship Id="rId4236" Type="http://schemas.openxmlformats.org/officeDocument/2006/relationships/hyperlink" Target="https://ryycrdhlkmzpxwwwwupy.supabase.co/storage/v1/object/public/old_media/321c9d47.Path.114055.jpg" TargetMode="External"/><Relationship Id="rId4260" Type="http://schemas.openxmlformats.org/officeDocument/2006/relationships/hyperlink" Target="https://ryycrdhlkmzpxwwwwupy.supabase.co/storage/v1/object/public/old_media/796953dc.Path.103549.jpg" TargetMode="External"/><Relationship Id="rId4262" Type="http://schemas.openxmlformats.org/officeDocument/2006/relationships/hyperlink" Target="https://ryycrdhlkmzpxwwwwupy.supabase.co/storage/v1/object/public/old_media/134a1e4a.Path.103643.jpg" TargetMode="External"/><Relationship Id="rId4261" Type="http://schemas.openxmlformats.org/officeDocument/2006/relationships/hyperlink" Target="https://ryycrdhlkmzpxwwwwupy.supabase.co/storage/v1/object/public/old_media/1af34688.Path.103616.jpg" TargetMode="External"/><Relationship Id="rId4264" Type="http://schemas.openxmlformats.org/officeDocument/2006/relationships/hyperlink" Target="https://ryycrdhlkmzpxwwwwupy.supabase.co/storage/v1/object/public/old_media/bada4d1f.Path.103735.jpg" TargetMode="External"/><Relationship Id="rId4263" Type="http://schemas.openxmlformats.org/officeDocument/2006/relationships/hyperlink" Target="https://ryycrdhlkmzpxwwwwupy.supabase.co/storage/v1/object/public/old_media/c2adf11b.Path.103709.jpg" TargetMode="External"/><Relationship Id="rId4266" Type="http://schemas.openxmlformats.org/officeDocument/2006/relationships/hyperlink" Target="https://ryycrdhlkmzpxwwwwupy.supabase.co/storage/v1/object/public/old_media/abd7349a.Path.103830.jpg" TargetMode="External"/><Relationship Id="rId4265" Type="http://schemas.openxmlformats.org/officeDocument/2006/relationships/hyperlink" Target="https://ryycrdhlkmzpxwwwwupy.supabase.co/storage/v1/object/public/old_media/c893f511.Path.103801.jpg" TargetMode="External"/><Relationship Id="rId4268" Type="http://schemas.openxmlformats.org/officeDocument/2006/relationships/hyperlink" Target="https://ryycrdhlkmzpxwwwwupy.supabase.co/storage/v1/object/public/old_media/31a2eb96.Path.103946.jpg" TargetMode="External"/><Relationship Id="rId4267" Type="http://schemas.openxmlformats.org/officeDocument/2006/relationships/hyperlink" Target="https://ryycrdhlkmzpxwwwwupy.supabase.co/storage/v1/object/public/old_media/8330a3f9.Path.103902.jpg" TargetMode="External"/><Relationship Id="rId4269" Type="http://schemas.openxmlformats.org/officeDocument/2006/relationships/hyperlink" Target="https://ryycrdhlkmzpxwwwwupy.supabase.co/storage/v1/object/public/old_media/2c679b60.Path.104017.jpg" TargetMode="External"/><Relationship Id="rId4251" Type="http://schemas.openxmlformats.org/officeDocument/2006/relationships/hyperlink" Target="https://ryycrdhlkmzpxwwwwupy.supabase.co/storage/v1/object/public/old_media/dd1b80ec.Path.114909.jpg" TargetMode="External"/><Relationship Id="rId4250" Type="http://schemas.openxmlformats.org/officeDocument/2006/relationships/hyperlink" Target="https://ryycrdhlkmzpxwwwwupy.supabase.co/storage/v1/object/public/old_media/a500ddf8.Path.114845.jpg" TargetMode="External"/><Relationship Id="rId4253" Type="http://schemas.openxmlformats.org/officeDocument/2006/relationships/hyperlink" Target="https://ryycrdhlkmzpxwwwwupy.supabase.co/storage/v1/object/public/old_media/68ad8093.Path.114959.jpg" TargetMode="External"/><Relationship Id="rId4252" Type="http://schemas.openxmlformats.org/officeDocument/2006/relationships/hyperlink" Target="https://ryycrdhlkmzpxwwwwupy.supabase.co/storage/v1/object/public/old_media/2299dc2e.Path.114935.jpg" TargetMode="External"/><Relationship Id="rId4255" Type="http://schemas.openxmlformats.org/officeDocument/2006/relationships/hyperlink" Target="https://ryycrdhlkmzpxwwwwupy.supabase.co/storage/v1/object/public/old_media/da8a8ba5.Path.080054.jpg" TargetMode="External"/><Relationship Id="rId4254" Type="http://schemas.openxmlformats.org/officeDocument/2006/relationships/hyperlink" Target="https://ryycrdhlkmzpxwwwwupy.supabase.co/storage/v1/object/public/old_media/7d18308c.Path.080027.jpg" TargetMode="External"/><Relationship Id="rId4257" Type="http://schemas.openxmlformats.org/officeDocument/2006/relationships/hyperlink" Target="https://ryycrdhlkmzpxwwwwupy.supabase.co/storage/v1/object/public/old_media/24cd6355.Path.080155.jpg" TargetMode="External"/><Relationship Id="rId4256" Type="http://schemas.openxmlformats.org/officeDocument/2006/relationships/hyperlink" Target="https://ryycrdhlkmzpxwwwwupy.supabase.co/storage/v1/object/public/old_media/a688c7a9.Path.080123.jpg" TargetMode="External"/><Relationship Id="rId4259" Type="http://schemas.openxmlformats.org/officeDocument/2006/relationships/hyperlink" Target="https://ryycrdhlkmzpxwwwwupy.supabase.co/storage/v1/object/public/old_media/20461f6c.Path.080255.jpg" TargetMode="External"/><Relationship Id="rId4258" Type="http://schemas.openxmlformats.org/officeDocument/2006/relationships/hyperlink" Target="https://ryycrdhlkmzpxwwwwupy.supabase.co/storage/v1/object/public/old_media/48aeac18.Path.080227.jpg" TargetMode="External"/><Relationship Id="rId3810" Type="http://schemas.openxmlformats.org/officeDocument/2006/relationships/hyperlink" Target="https://ryycrdhlkmzpxwwwwupy.supabase.co/storage/v1/object/public/old_media/1d23572c.Path.115054.jpg" TargetMode="External"/><Relationship Id="rId3812" Type="http://schemas.openxmlformats.org/officeDocument/2006/relationships/hyperlink" Target="https://ryycrdhlkmzpxwwwwupy.supabase.co/storage/v1/object/public/old_media/d98bf22a.Path.115124.jpg" TargetMode="External"/><Relationship Id="rId3811" Type="http://schemas.openxmlformats.org/officeDocument/2006/relationships/hyperlink" Target="https://ryycrdhlkmzpxwwwwupy.supabase.co/storage/v1/object/public/old_media/16fc5fe1.Path.115113.webp" TargetMode="External"/><Relationship Id="rId3814" Type="http://schemas.openxmlformats.org/officeDocument/2006/relationships/hyperlink" Target="https://ryycrdhlkmzpxwwwwupy.supabase.co/storage/v1/object/public/old_media/81c874af.Path.115153.jpg" TargetMode="External"/><Relationship Id="rId3813" Type="http://schemas.openxmlformats.org/officeDocument/2006/relationships/hyperlink" Target="https://ryycrdhlkmzpxwwwwupy.supabase.co/storage/v1/object/public/old_media/2773ea6c.Path.115145.jpg" TargetMode="External"/><Relationship Id="rId3816" Type="http://schemas.openxmlformats.org/officeDocument/2006/relationships/hyperlink" Target="https://ryycrdhlkmzpxwwwwupy.supabase.co/storage/v1/object/public/old_media/5322dba2.Path.115833.jpg" TargetMode="External"/><Relationship Id="rId3815" Type="http://schemas.openxmlformats.org/officeDocument/2006/relationships/hyperlink" Target="https://ryycrdhlkmzpxwwwwupy.supabase.co/storage/v1/object/public/old_media/635d88be.Path.115755.jpg" TargetMode="External"/><Relationship Id="rId3818" Type="http://schemas.openxmlformats.org/officeDocument/2006/relationships/hyperlink" Target="https://ryycrdhlkmzpxwwwwupy.supabase.co/storage/v1/object/public/old_media/4b30f488.Path.120011.jpg" TargetMode="External"/><Relationship Id="rId3817" Type="http://schemas.openxmlformats.org/officeDocument/2006/relationships/hyperlink" Target="https://ryycrdhlkmzpxwwwwupy.supabase.co/storage/v1/object/public/old_media/dd76fa93.Path.115921.jpg" TargetMode="External"/><Relationship Id="rId3819" Type="http://schemas.openxmlformats.org/officeDocument/2006/relationships/hyperlink" Target="https://ryycrdhlkmzpxwwwwupy.supabase.co/storage/v1/object/public/old_media/efdb3d37.Path.120401.jpg" TargetMode="External"/><Relationship Id="rId3801" Type="http://schemas.openxmlformats.org/officeDocument/2006/relationships/hyperlink" Target="https://ryycrdhlkmzpxwwwwupy.supabase.co/storage/v1/object/public/old_media/67fa2dff.Path.114751.jpg" TargetMode="External"/><Relationship Id="rId3800" Type="http://schemas.openxmlformats.org/officeDocument/2006/relationships/hyperlink" Target="https://ryycrdhlkmzpxwwwwupy.supabase.co/storage/v1/object/public/old_media/30f6aa9e.Path.114722.jpg" TargetMode="External"/><Relationship Id="rId3803" Type="http://schemas.openxmlformats.org/officeDocument/2006/relationships/hyperlink" Target="https://ryycrdhlkmzpxwwwwupy.supabase.co/storage/v1/object/public/old_media/d053abf2.Path.114821.jpg" TargetMode="External"/><Relationship Id="rId3802" Type="http://schemas.openxmlformats.org/officeDocument/2006/relationships/hyperlink" Target="https://ryycrdhlkmzpxwwwwupy.supabase.co/storage/v1/object/public/old_media/1ba98d3c.Path.114753.jpg" TargetMode="External"/><Relationship Id="rId3805" Type="http://schemas.openxmlformats.org/officeDocument/2006/relationships/hyperlink" Target="https://ryycrdhlkmzpxwwwwupy.supabase.co/storage/v1/object/public/old_media/54595235.Path.114851.jpg" TargetMode="External"/><Relationship Id="rId3804" Type="http://schemas.openxmlformats.org/officeDocument/2006/relationships/hyperlink" Target="https://ryycrdhlkmzpxwwwwupy.supabase.co/storage/v1/object/public/old_media/a55a1450.Path.114851.jpg" TargetMode="External"/><Relationship Id="rId3807" Type="http://schemas.openxmlformats.org/officeDocument/2006/relationships/hyperlink" Target="https://ryycrdhlkmzpxwwwwupy.supabase.co/storage/v1/object/public/old_media/3754426c.Path.114953.jpg" TargetMode="External"/><Relationship Id="rId3806" Type="http://schemas.openxmlformats.org/officeDocument/2006/relationships/hyperlink" Target="https://ryycrdhlkmzpxwwwwupy.supabase.co/storage/v1/object/public/old_media/d64a15a6.Path.114924.jpg" TargetMode="External"/><Relationship Id="rId3809" Type="http://schemas.openxmlformats.org/officeDocument/2006/relationships/hyperlink" Target="https://ryycrdhlkmzpxwwwwupy.supabase.co/storage/v1/object/public/old_media/6a505650.Path.115040.jpg" TargetMode="External"/><Relationship Id="rId3808" Type="http://schemas.openxmlformats.org/officeDocument/2006/relationships/hyperlink" Target="https://ryycrdhlkmzpxwwwwupy.supabase.co/storage/v1/object/public/old_media/5d70bde9.Path.115022.jpg" TargetMode="External"/><Relationship Id="rId1213" Type="http://schemas.openxmlformats.org/officeDocument/2006/relationships/hyperlink" Target="https://ryycrdhlkmzpxwwwwupy.supabase.co/storage/v1/object/public/old_media/efb99b93.Path.105913.jpg" TargetMode="External"/><Relationship Id="rId2544" Type="http://schemas.openxmlformats.org/officeDocument/2006/relationships/hyperlink" Target="https://ryycrdhlkmzpxwwwwupy.supabase.co/storage/v1/object/public/old_media/0896e4e8.Path.093040.jpg" TargetMode="External"/><Relationship Id="rId3876" Type="http://schemas.openxmlformats.org/officeDocument/2006/relationships/hyperlink" Target="https://ryycrdhlkmzpxwwwwupy.supabase.co/storage/v1/object/public/old_media/6b1374f7.Path.071031.jpg" TargetMode="External"/><Relationship Id="rId1214" Type="http://schemas.openxmlformats.org/officeDocument/2006/relationships/hyperlink" Target="https://ryycrdhlkmzpxwwwwupy.supabase.co/storage/v1/object/public/old_media/277be776.Path.105928.jpg" TargetMode="External"/><Relationship Id="rId2545" Type="http://schemas.openxmlformats.org/officeDocument/2006/relationships/hyperlink" Target="https://ryycrdhlkmzpxwwwwupy.supabase.co/storage/v1/object/public/old_media/c7e8a711.Path.093050.jpg" TargetMode="External"/><Relationship Id="rId3875" Type="http://schemas.openxmlformats.org/officeDocument/2006/relationships/hyperlink" Target="https://ryycrdhlkmzpxwwwwupy.supabase.co/storage/v1/object/public/old_media/793e744b.Path.070930.jpg" TargetMode="External"/><Relationship Id="rId1215" Type="http://schemas.openxmlformats.org/officeDocument/2006/relationships/hyperlink" Target="https://ryycrdhlkmzpxwwwwupy.supabase.co/storage/v1/object/public/old_media/45575445.Path.105947.jpg" TargetMode="External"/><Relationship Id="rId2546" Type="http://schemas.openxmlformats.org/officeDocument/2006/relationships/hyperlink" Target="https://ryycrdhlkmzpxwwwwupy.supabase.co/storage/v1/object/public/old_media/9c210f87.Path.093057.jpg" TargetMode="External"/><Relationship Id="rId3878" Type="http://schemas.openxmlformats.org/officeDocument/2006/relationships/hyperlink" Target="https://ryycrdhlkmzpxwwwwupy.supabase.co/storage/v1/object/public/old_media/5fa60d74.Path.071552.jpg" TargetMode="External"/><Relationship Id="rId1216" Type="http://schemas.openxmlformats.org/officeDocument/2006/relationships/hyperlink" Target="https://ryycrdhlkmzpxwwwwupy.supabase.co/storage/v1/object/public/old_media/49ac2399.Path.110002.jpg" TargetMode="External"/><Relationship Id="rId2547" Type="http://schemas.openxmlformats.org/officeDocument/2006/relationships/hyperlink" Target="https://ryycrdhlkmzpxwwwwupy.supabase.co/storage/v1/object/public/old_media/5ea080d7.Path.093107.jpg" TargetMode="External"/><Relationship Id="rId3877" Type="http://schemas.openxmlformats.org/officeDocument/2006/relationships/hyperlink" Target="https://ryycrdhlkmzpxwwwwupy.supabase.co/storage/v1/object/public/old_media/b2260e00.Path.071127.jpg" TargetMode="External"/><Relationship Id="rId1217" Type="http://schemas.openxmlformats.org/officeDocument/2006/relationships/hyperlink" Target="https://ryycrdhlkmzpxwwwwupy.supabase.co/storage/v1/object/public/old_media/13ca7f83.Path.110950.jpg" TargetMode="External"/><Relationship Id="rId2548" Type="http://schemas.openxmlformats.org/officeDocument/2006/relationships/hyperlink" Target="https://ryycrdhlkmzpxwwwwupy.supabase.co/storage/v1/object/public/old_media/4ed4d187.Path.093117.jpg" TargetMode="External"/><Relationship Id="rId1218" Type="http://schemas.openxmlformats.org/officeDocument/2006/relationships/hyperlink" Target="https://ryycrdhlkmzpxwwwwupy.supabase.co/storage/v1/object/public/old_media/d8c34193.Path.111008.jpg" TargetMode="External"/><Relationship Id="rId2549" Type="http://schemas.openxmlformats.org/officeDocument/2006/relationships/hyperlink" Target="https://ryycrdhlkmzpxwwwwupy.supabase.co/storage/v1/object/public/old_media/a731385c.Path.093125.jpg" TargetMode="External"/><Relationship Id="rId3879" Type="http://schemas.openxmlformats.org/officeDocument/2006/relationships/hyperlink" Target="https://ryycrdhlkmzpxwwwwupy.supabase.co/storage/v1/object/public/old_media/b1e8cea6.Path.072443.jpg" TargetMode="External"/><Relationship Id="rId1219" Type="http://schemas.openxmlformats.org/officeDocument/2006/relationships/hyperlink" Target="https://ryycrdhlkmzpxwwwwupy.supabase.co/storage/v1/object/public/old_media/bb36ea28.Path.111021.jpg" TargetMode="External"/><Relationship Id="rId3870" Type="http://schemas.openxmlformats.org/officeDocument/2006/relationships/hyperlink" Target="https://ryycrdhlkmzpxwwwwupy.supabase.co/storage/v1/object/public/old_media/27b00c3c.Path.092434.jpg" TargetMode="External"/><Relationship Id="rId2540" Type="http://schemas.openxmlformats.org/officeDocument/2006/relationships/hyperlink" Target="https://ryycrdhlkmzpxwwwwupy.supabase.co/storage/v1/object/public/old_media/5a189e44.Path.052645.jpg" TargetMode="External"/><Relationship Id="rId3872" Type="http://schemas.openxmlformats.org/officeDocument/2006/relationships/hyperlink" Target="https://ryycrdhlkmzpxwwwwupy.supabase.co/storage/v1/object/public/old_media/6822dbaa.Path.092536.jpg" TargetMode="External"/><Relationship Id="rId1210" Type="http://schemas.openxmlformats.org/officeDocument/2006/relationships/hyperlink" Target="https://ryycrdhlkmzpxwwwwupy.supabase.co/storage/v1/object/public/old_media/4d7518ff.Path.105844.jpg" TargetMode="External"/><Relationship Id="rId2541" Type="http://schemas.openxmlformats.org/officeDocument/2006/relationships/hyperlink" Target="https://ryycrdhlkmzpxwwwwupy.supabase.co/storage/v1/object/public/old_media/c61f7859.Path.052706.jpg" TargetMode="External"/><Relationship Id="rId3871" Type="http://schemas.openxmlformats.org/officeDocument/2006/relationships/hyperlink" Target="https://ryycrdhlkmzpxwwwwupy.supabase.co/storage/v1/object/public/old_media/b5027552.Path.092504.jpg" TargetMode="External"/><Relationship Id="rId1211" Type="http://schemas.openxmlformats.org/officeDocument/2006/relationships/hyperlink" Target="https://ryycrdhlkmzpxwwwwupy.supabase.co/storage/v1/object/public/old_media/4ebfc4c6.Path.105859.jpg" TargetMode="External"/><Relationship Id="rId2542" Type="http://schemas.openxmlformats.org/officeDocument/2006/relationships/hyperlink" Target="https://ryycrdhlkmzpxwwwwupy.supabase.co/storage/v1/object/public/old_media/0237219e.Path.052717.jpg" TargetMode="External"/><Relationship Id="rId3874" Type="http://schemas.openxmlformats.org/officeDocument/2006/relationships/hyperlink" Target="https://ryycrdhlkmzpxwwwwupy.supabase.co/storage/v1/object/public/old_media/0718d883.Path.095143.jpg" TargetMode="External"/><Relationship Id="rId1212" Type="http://schemas.openxmlformats.org/officeDocument/2006/relationships/hyperlink" Target="https://ryycrdhlkmzpxwwwwupy.supabase.co/storage/v1/object/public/old_media/375758a8.Path.105904.jpg" TargetMode="External"/><Relationship Id="rId2543" Type="http://schemas.openxmlformats.org/officeDocument/2006/relationships/hyperlink" Target="https://ryycrdhlkmzpxwwwwupy.supabase.co/storage/v1/object/public/old_media/ebb831ae.Path.052738.jpg" TargetMode="External"/><Relationship Id="rId3873" Type="http://schemas.openxmlformats.org/officeDocument/2006/relationships/hyperlink" Target="https://ryycrdhlkmzpxwwwwupy.supabase.co/storage/v1/object/public/old_media/4b8ef78c.Path.092611.jpg" TargetMode="External"/><Relationship Id="rId1202" Type="http://schemas.openxmlformats.org/officeDocument/2006/relationships/hyperlink" Target="https://ryycrdhlkmzpxwwwwupy.supabase.co/storage/v1/object/public/old_media/0be5f610.Path.092648.jpg" TargetMode="External"/><Relationship Id="rId2533" Type="http://schemas.openxmlformats.org/officeDocument/2006/relationships/hyperlink" Target="https://ryycrdhlkmzpxwwwwupy.supabase.co/storage/v1/object/public/old_media/9531d2fc.Path.052504.jpg" TargetMode="External"/><Relationship Id="rId3865" Type="http://schemas.openxmlformats.org/officeDocument/2006/relationships/hyperlink" Target="https://ryycrdhlkmzpxwwwwupy.supabase.co/storage/v1/object/public/old_media/af1e3e89.Path.111317.webp" TargetMode="External"/><Relationship Id="rId1203" Type="http://schemas.openxmlformats.org/officeDocument/2006/relationships/hyperlink" Target="https://ryycrdhlkmzpxwwwwupy.supabase.co/storage/v1/object/public/old_media/226e159e.Path.092701.jpg" TargetMode="External"/><Relationship Id="rId2534" Type="http://schemas.openxmlformats.org/officeDocument/2006/relationships/hyperlink" Target="https://ryycrdhlkmzpxwwwwupy.supabase.co/storage/v1/object/public/old_media/98fa1f5d.Path.052517.jpg" TargetMode="External"/><Relationship Id="rId3864" Type="http://schemas.openxmlformats.org/officeDocument/2006/relationships/hyperlink" Target="https://ryycrdhlkmzpxwwwwupy.supabase.co/storage/v1/object/public/old_media/2025a6e3.Path.111100.webp" TargetMode="External"/><Relationship Id="rId1204" Type="http://schemas.openxmlformats.org/officeDocument/2006/relationships/hyperlink" Target="https://ryycrdhlkmzpxwwwwupy.supabase.co/storage/v1/object/public/old_media/cddd057b.Path.092723.jpg" TargetMode="External"/><Relationship Id="rId2535" Type="http://schemas.openxmlformats.org/officeDocument/2006/relationships/hyperlink" Target="https://ryycrdhlkmzpxwwwwupy.supabase.co/storage/v1/object/public/old_media/ab88dbb2.Path.052531.jpg" TargetMode="External"/><Relationship Id="rId3867" Type="http://schemas.openxmlformats.org/officeDocument/2006/relationships/hyperlink" Target="https://ryycrdhlkmzpxwwwwupy.supabase.co/storage/v1/object/public/old_media/3a38722a.Path.113459.jpg" TargetMode="External"/><Relationship Id="rId1205" Type="http://schemas.openxmlformats.org/officeDocument/2006/relationships/hyperlink" Target="https://ryycrdhlkmzpxwwwwupy.supabase.co/storage/v1/object/public/old_media/24595c2c.Path.092759.jpg" TargetMode="External"/><Relationship Id="rId2536" Type="http://schemas.openxmlformats.org/officeDocument/2006/relationships/hyperlink" Target="https://ryycrdhlkmzpxwwwwupy.supabase.co/storage/v1/object/public/old_media/676ee5e5.Path.052545.jpg" TargetMode="External"/><Relationship Id="rId3866" Type="http://schemas.openxmlformats.org/officeDocument/2006/relationships/hyperlink" Target="https://ryycrdhlkmzpxwwwwupy.supabase.co/storage/v1/object/public/old_media/5b97c92a.Path.113327.jpg" TargetMode="External"/><Relationship Id="rId1206" Type="http://schemas.openxmlformats.org/officeDocument/2006/relationships/hyperlink" Target="https://ryycrdhlkmzpxwwwwupy.supabase.co/storage/v1/object/public/old_media/de5b1f35.Path.092818.jpg" TargetMode="External"/><Relationship Id="rId2537" Type="http://schemas.openxmlformats.org/officeDocument/2006/relationships/hyperlink" Target="https://ryycrdhlkmzpxwwwwupy.supabase.co/storage/v1/object/public/old_media/421cee1d.Path.052558.jpg" TargetMode="External"/><Relationship Id="rId3869" Type="http://schemas.openxmlformats.org/officeDocument/2006/relationships/hyperlink" Target="https://ryycrdhlkmzpxwwwwupy.supabase.co/storage/v1/object/public/old_media/8751dfb8.Path.092403.jpg" TargetMode="External"/><Relationship Id="rId1207" Type="http://schemas.openxmlformats.org/officeDocument/2006/relationships/hyperlink" Target="https://ryycrdhlkmzpxwwwwupy.supabase.co/storage/v1/object/public/old_media/d655c168.Path.105740.jpg" TargetMode="External"/><Relationship Id="rId2538" Type="http://schemas.openxmlformats.org/officeDocument/2006/relationships/hyperlink" Target="https://ryycrdhlkmzpxwwwwupy.supabase.co/storage/v1/object/public/old_media/9efb3b88.Path.052612.jpg" TargetMode="External"/><Relationship Id="rId3868" Type="http://schemas.openxmlformats.org/officeDocument/2006/relationships/hyperlink" Target="https://ryycrdhlkmzpxwwwwupy.supabase.co/storage/v1/object/public/old_media/18969a63.Path.092333.jpg" TargetMode="External"/><Relationship Id="rId1208" Type="http://schemas.openxmlformats.org/officeDocument/2006/relationships/hyperlink" Target="https://ryycrdhlkmzpxwwwwupy.supabase.co/storage/v1/object/public/old_media/b5cf229e.Path.105758.jpg" TargetMode="External"/><Relationship Id="rId2539" Type="http://schemas.openxmlformats.org/officeDocument/2006/relationships/hyperlink" Target="https://ryycrdhlkmzpxwwwwupy.supabase.co/storage/v1/object/public/old_media/22461eef.Path.052628.jpg" TargetMode="External"/><Relationship Id="rId1209" Type="http://schemas.openxmlformats.org/officeDocument/2006/relationships/hyperlink" Target="https://ryycrdhlkmzpxwwwwupy.supabase.co/storage/v1/object/public/old_media/2270943a.Path.105829.jpg" TargetMode="External"/><Relationship Id="rId3861" Type="http://schemas.openxmlformats.org/officeDocument/2006/relationships/hyperlink" Target="https://ryycrdhlkmzpxwwwwupy.supabase.co/storage/v1/object/public/old_media/dc5791f0.Path.110114.webp" TargetMode="External"/><Relationship Id="rId2530" Type="http://schemas.openxmlformats.org/officeDocument/2006/relationships/hyperlink" Target="https://ryycrdhlkmzpxwwwwupy.supabase.co/storage/v1/object/public/old_media/1eb8ad40.Path.052416.jpg" TargetMode="External"/><Relationship Id="rId3860" Type="http://schemas.openxmlformats.org/officeDocument/2006/relationships/hyperlink" Target="https://ryycrdhlkmzpxwwwwupy.supabase.co/storage/v1/object/public/old_media/5bd336c4.Path.073451.jpg" TargetMode="External"/><Relationship Id="rId1200" Type="http://schemas.openxmlformats.org/officeDocument/2006/relationships/hyperlink" Target="https://ryycrdhlkmzpxwwwwupy.supabase.co/storage/v1/object/public/old_media/e080f429.Path.102710.jpg" TargetMode="External"/><Relationship Id="rId2531" Type="http://schemas.openxmlformats.org/officeDocument/2006/relationships/hyperlink" Target="https://ryycrdhlkmzpxwwwwupy.supabase.co/storage/v1/object/public/old_media/d622b855.Path.052429.jpg" TargetMode="External"/><Relationship Id="rId3863" Type="http://schemas.openxmlformats.org/officeDocument/2006/relationships/hyperlink" Target="https://ryycrdhlkmzpxwwwwupy.supabase.co/storage/v1/object/public/old_media/b74d4cb5.Path.110948.webp" TargetMode="External"/><Relationship Id="rId1201" Type="http://schemas.openxmlformats.org/officeDocument/2006/relationships/hyperlink" Target="https://ryycrdhlkmzpxwwwwupy.supabase.co/storage/v1/object/public/old_media/7307b4a2.Path.102718.jpg" TargetMode="External"/><Relationship Id="rId2532" Type="http://schemas.openxmlformats.org/officeDocument/2006/relationships/hyperlink" Target="https://ryycrdhlkmzpxwwwwupy.supabase.co/storage/v1/object/public/old_media/4552343d.Path.052445.jpg" TargetMode="External"/><Relationship Id="rId3862" Type="http://schemas.openxmlformats.org/officeDocument/2006/relationships/hyperlink" Target="https://ryycrdhlkmzpxwwwwupy.supabase.co/storage/v1/object/public/old_media/e5312600.Path.110400.webp" TargetMode="External"/><Relationship Id="rId1235" Type="http://schemas.openxmlformats.org/officeDocument/2006/relationships/hyperlink" Target="https://ryycrdhlkmzpxwwwwupy.supabase.co/storage/v1/object/public/old_media/240f5bcb.Path.054101.jpg" TargetMode="External"/><Relationship Id="rId2566" Type="http://schemas.openxmlformats.org/officeDocument/2006/relationships/hyperlink" Target="https://ryycrdhlkmzpxwwwwupy.supabase.co/storage/v1/object/public/old_media/3411d0df.Path.070928.jpg" TargetMode="External"/><Relationship Id="rId3898" Type="http://schemas.openxmlformats.org/officeDocument/2006/relationships/hyperlink" Target="https://ryycrdhlkmzpxwwwwupy.supabase.co/storage/v1/object/public/old_media/8c27747e.Path.073130.jpg" TargetMode="External"/><Relationship Id="rId1236" Type="http://schemas.openxmlformats.org/officeDocument/2006/relationships/hyperlink" Target="https://ryycrdhlkmzpxwwwwupy.supabase.co/storage/v1/object/public/old_media/8b448468.Path.054118.jpg" TargetMode="External"/><Relationship Id="rId2567" Type="http://schemas.openxmlformats.org/officeDocument/2006/relationships/hyperlink" Target="https://ryycrdhlkmzpxwwwwupy.supabase.co/storage/v1/object/public/old_media/ea42037c.Path.070937.jpg" TargetMode="External"/><Relationship Id="rId3897" Type="http://schemas.openxmlformats.org/officeDocument/2006/relationships/hyperlink" Target="https://ryycrdhlkmzpxwwwwupy.supabase.co/storage/v1/object/public/old_media/825bfc82.Path.073102.jpg" TargetMode="External"/><Relationship Id="rId1237" Type="http://schemas.openxmlformats.org/officeDocument/2006/relationships/hyperlink" Target="https://ryycrdhlkmzpxwwwwupy.supabase.co/storage/v1/object/public/old_media/5c1e6d26.Path.054136.jpg" TargetMode="External"/><Relationship Id="rId2568" Type="http://schemas.openxmlformats.org/officeDocument/2006/relationships/hyperlink" Target="https://ryycrdhlkmzpxwwwwupy.supabase.co/storage/v1/object/public/old_media/8ddd8282.Path.070945.jpg" TargetMode="External"/><Relationship Id="rId1238" Type="http://schemas.openxmlformats.org/officeDocument/2006/relationships/hyperlink" Target="https://ryycrdhlkmzpxwwwwupy.supabase.co/storage/v1/object/public/old_media/4a92cc62.Path.054209.jpg" TargetMode="External"/><Relationship Id="rId2569" Type="http://schemas.openxmlformats.org/officeDocument/2006/relationships/hyperlink" Target="https://ryycrdhlkmzpxwwwwupy.supabase.co/storage/v1/object/public/old_media/a6c8bdc9.Path.113643.jpg" TargetMode="External"/><Relationship Id="rId3899" Type="http://schemas.openxmlformats.org/officeDocument/2006/relationships/hyperlink" Target="https://ryycrdhlkmzpxwwwwupy.supabase.co/storage/v1/object/public/old_media/69f10fbb.Path.113058.jpg" TargetMode="External"/><Relationship Id="rId1239" Type="http://schemas.openxmlformats.org/officeDocument/2006/relationships/hyperlink" Target="https://ryycrdhlkmzpxwwwwupy.supabase.co/storage/v1/object/public/old_media/8a115e54.Path.054221.jpg" TargetMode="External"/><Relationship Id="rId409" Type="http://schemas.openxmlformats.org/officeDocument/2006/relationships/hyperlink" Target="https://ryycrdhlkmzpxwwwwupy.supabase.co/storage/v1/object/public/old_media/29518c0a.Path.102858.jpg" TargetMode="External"/><Relationship Id="rId404" Type="http://schemas.openxmlformats.org/officeDocument/2006/relationships/hyperlink" Target="https://ryycrdhlkmzpxwwwwupy.supabase.co/storage/v1/object/public/old_media/1d212ac5.Path.102707.jpg" TargetMode="External"/><Relationship Id="rId403" Type="http://schemas.openxmlformats.org/officeDocument/2006/relationships/hyperlink" Target="https://ryycrdhlkmzpxwwwwupy.supabase.co/storage/v1/object/public/old_media/e907f0f2.Path.102655.jpg" TargetMode="External"/><Relationship Id="rId402" Type="http://schemas.openxmlformats.org/officeDocument/2006/relationships/hyperlink" Target="https://ryycrdhlkmzpxwwwwupy.supabase.co/storage/v1/object/public/old_media/89f859b6.Path.102624.jpg" TargetMode="External"/><Relationship Id="rId401" Type="http://schemas.openxmlformats.org/officeDocument/2006/relationships/hyperlink" Target="https://ryycrdhlkmzpxwwwwupy.supabase.co/storage/v1/object/public/old_media/898fdab8.Path.063301.jpg" TargetMode="External"/><Relationship Id="rId408" Type="http://schemas.openxmlformats.org/officeDocument/2006/relationships/hyperlink" Target="https://ryycrdhlkmzpxwwwwupy.supabase.co/storage/v1/object/public/old_media/1fdccb28.Path.102841.jpg" TargetMode="External"/><Relationship Id="rId407" Type="http://schemas.openxmlformats.org/officeDocument/2006/relationships/hyperlink" Target="https://ryycrdhlkmzpxwwwwupy.supabase.co/storage/v1/object/public/old_media/81665f8c.Path.102826.jpg" TargetMode="External"/><Relationship Id="rId406" Type="http://schemas.openxmlformats.org/officeDocument/2006/relationships/hyperlink" Target="https://ryycrdhlkmzpxwwwwupy.supabase.co/storage/v1/object/public/old_media/04b71c52.Path.102803.jpg" TargetMode="External"/><Relationship Id="rId405" Type="http://schemas.openxmlformats.org/officeDocument/2006/relationships/hyperlink" Target="https://ryycrdhlkmzpxwwwwupy.supabase.co/storage/v1/object/public/old_media/a9a3050c.Path.102741.jpg" TargetMode="External"/><Relationship Id="rId3890" Type="http://schemas.openxmlformats.org/officeDocument/2006/relationships/hyperlink" Target="https://ryycrdhlkmzpxwwwwupy.supabase.co/storage/v1/object/public/old_media/7f3da7fd.Path.051228.jpg" TargetMode="External"/><Relationship Id="rId2560" Type="http://schemas.openxmlformats.org/officeDocument/2006/relationships/hyperlink" Target="https://ryycrdhlkmzpxwwwwupy.supabase.co/storage/v1/object/public/old_media/17eeabc4.Path.123629.jpg" TargetMode="External"/><Relationship Id="rId3892" Type="http://schemas.openxmlformats.org/officeDocument/2006/relationships/hyperlink" Target="https://ryycrdhlkmzpxwwwwupy.supabase.co/storage/v1/object/public/old_media/cf468d83.Path.071614.jpg" TargetMode="External"/><Relationship Id="rId1230" Type="http://schemas.openxmlformats.org/officeDocument/2006/relationships/hyperlink" Target="https://ryycrdhlkmzpxwwwwupy.supabase.co/storage/v1/object/public/old_media/0870bf93.Path.132008.jpg" TargetMode="External"/><Relationship Id="rId2561" Type="http://schemas.openxmlformats.org/officeDocument/2006/relationships/hyperlink" Target="https://ryycrdhlkmzpxwwwwupy.supabase.co/storage/v1/object/public/old_media/ab6eb949.Path.123636.jpg" TargetMode="External"/><Relationship Id="rId3891" Type="http://schemas.openxmlformats.org/officeDocument/2006/relationships/hyperlink" Target="https://ryycrdhlkmzpxwwwwupy.supabase.co/storage/v1/object/public/old_media/b683880e.Path.071538.jpg" TargetMode="External"/><Relationship Id="rId400" Type="http://schemas.openxmlformats.org/officeDocument/2006/relationships/hyperlink" Target="https://ryycrdhlkmzpxwwwwupy.supabase.co/storage/v1/object/public/old_media/39815e3e.Path.063231.jpg" TargetMode="External"/><Relationship Id="rId1231" Type="http://schemas.openxmlformats.org/officeDocument/2006/relationships/hyperlink" Target="https://ryycrdhlkmzpxwwwwupy.supabase.co/storage/v1/object/public/old_media/3b2bc840.Path.132148.jpg" TargetMode="External"/><Relationship Id="rId2562" Type="http://schemas.openxmlformats.org/officeDocument/2006/relationships/hyperlink" Target="https://ryycrdhlkmzpxwwwwupy.supabase.co/storage/v1/object/public/old_media/e58f0636.Path.123650.jpg" TargetMode="External"/><Relationship Id="rId3894" Type="http://schemas.openxmlformats.org/officeDocument/2006/relationships/hyperlink" Target="https://ryycrdhlkmzpxwwwwupy.supabase.co/storage/v1/object/public/old_media/293f28bd.Path.071715.jpg" TargetMode="External"/><Relationship Id="rId1232" Type="http://schemas.openxmlformats.org/officeDocument/2006/relationships/hyperlink" Target="https://ryycrdhlkmzpxwwwwupy.supabase.co/storage/v1/object/public/old_media/6d498697.Path.044812.jpg" TargetMode="External"/><Relationship Id="rId2563" Type="http://schemas.openxmlformats.org/officeDocument/2006/relationships/hyperlink" Target="https://ryycrdhlkmzpxwwwwupy.supabase.co/storage/v1/object/public/old_media/b49f5b01.Path.123701.jpg" TargetMode="External"/><Relationship Id="rId3893" Type="http://schemas.openxmlformats.org/officeDocument/2006/relationships/hyperlink" Target="https://ryycrdhlkmzpxwwwwupy.supabase.co/storage/v1/object/public/old_media/fc7582df.Path.071644.jpg" TargetMode="External"/><Relationship Id="rId1233" Type="http://schemas.openxmlformats.org/officeDocument/2006/relationships/hyperlink" Target="https://ryycrdhlkmzpxwwwwupy.supabase.co/storage/v1/object/public/old_media/765b7a74.Path.044902.jpg" TargetMode="External"/><Relationship Id="rId2564" Type="http://schemas.openxmlformats.org/officeDocument/2006/relationships/hyperlink" Target="https://ryycrdhlkmzpxwwwwupy.supabase.co/storage/v1/object/public/old_media/25b84ce3.Path.054055.jpg" TargetMode="External"/><Relationship Id="rId3896" Type="http://schemas.openxmlformats.org/officeDocument/2006/relationships/hyperlink" Target="https://ryycrdhlkmzpxwwwwupy.supabase.co/storage/v1/object/public/old_media/7d941e32.Path.073024.jpg" TargetMode="External"/><Relationship Id="rId1234" Type="http://schemas.openxmlformats.org/officeDocument/2006/relationships/hyperlink" Target="https://ryycrdhlkmzpxwwwwupy.supabase.co/storage/v1/object/public/old_media/469cd8a3.Path.045007.jpg" TargetMode="External"/><Relationship Id="rId2565" Type="http://schemas.openxmlformats.org/officeDocument/2006/relationships/hyperlink" Target="https://ryycrdhlkmzpxwwwwupy.supabase.co/storage/v1/object/public/old_media/48588ea0.Path.070917.jpg" TargetMode="External"/><Relationship Id="rId3895" Type="http://schemas.openxmlformats.org/officeDocument/2006/relationships/hyperlink" Target="https://ryycrdhlkmzpxwwwwupy.supabase.co/storage/v1/object/public/old_media/e9411880.Path.072953.jpg" TargetMode="External"/><Relationship Id="rId1224" Type="http://schemas.openxmlformats.org/officeDocument/2006/relationships/hyperlink" Target="https://ryycrdhlkmzpxwwwwupy.supabase.co/storage/v1/object/public/old_media/a40e5f4b.Path.111219.jpg" TargetMode="External"/><Relationship Id="rId2555" Type="http://schemas.openxmlformats.org/officeDocument/2006/relationships/hyperlink" Target="https://ryycrdhlkmzpxwwwwupy.supabase.co/storage/v1/object/public/old_media/b5702dba.Path.094645.jpg" TargetMode="External"/><Relationship Id="rId3887" Type="http://schemas.openxmlformats.org/officeDocument/2006/relationships/hyperlink" Target="https://ryycrdhlkmzpxwwwwupy.supabase.co/storage/v1/object/public/old_media/c219903e.Path.051042.jpg" TargetMode="External"/><Relationship Id="rId1225" Type="http://schemas.openxmlformats.org/officeDocument/2006/relationships/hyperlink" Target="https://ryycrdhlkmzpxwwwwupy.supabase.co/storage/v1/object/public/old_media/9572044c.Path.130710.jpg" TargetMode="External"/><Relationship Id="rId2556" Type="http://schemas.openxmlformats.org/officeDocument/2006/relationships/hyperlink" Target="https://ryycrdhlkmzpxwwwwupy.supabase.co/storage/v1/object/public/old_media/bfde5cdc.Path.094654.jpg" TargetMode="External"/><Relationship Id="rId3886" Type="http://schemas.openxmlformats.org/officeDocument/2006/relationships/hyperlink" Target="https://ryycrdhlkmzpxwwwwupy.supabase.co/storage/v1/object/public/old_media/2607b777.Path.103234.jpg" TargetMode="External"/><Relationship Id="rId1226" Type="http://schemas.openxmlformats.org/officeDocument/2006/relationships/hyperlink" Target="https://ryycrdhlkmzpxwwwwupy.supabase.co/storage/v1/object/public/old_media/9e0de8af.Path.131008.jpg" TargetMode="External"/><Relationship Id="rId2557" Type="http://schemas.openxmlformats.org/officeDocument/2006/relationships/hyperlink" Target="https://ryycrdhlkmzpxwwwwupy.supabase.co/storage/v1/object/public/old_media/29a25436.Path.094702.jpg" TargetMode="External"/><Relationship Id="rId3889" Type="http://schemas.openxmlformats.org/officeDocument/2006/relationships/hyperlink" Target="https://ryycrdhlkmzpxwwwwupy.supabase.co/storage/v1/object/public/old_media/c69ebd8d.Path.051149.jpg" TargetMode="External"/><Relationship Id="rId1227" Type="http://schemas.openxmlformats.org/officeDocument/2006/relationships/hyperlink" Target="https://ryycrdhlkmzpxwwwwupy.supabase.co/storage/v1/object/public/old_media/308d454e.Path.131204.jpg" TargetMode="External"/><Relationship Id="rId2558" Type="http://schemas.openxmlformats.org/officeDocument/2006/relationships/hyperlink" Target="https://ryycrdhlkmzpxwwwwupy.supabase.co/storage/v1/object/public/old_media/b769dbd7.Path.123614.jpg" TargetMode="External"/><Relationship Id="rId3888" Type="http://schemas.openxmlformats.org/officeDocument/2006/relationships/hyperlink" Target="https://ryycrdhlkmzpxwwwwupy.supabase.co/storage/v1/object/public/old_media/92fd492d.Path.051116.jpg" TargetMode="External"/><Relationship Id="rId1228" Type="http://schemas.openxmlformats.org/officeDocument/2006/relationships/hyperlink" Target="https://ryycrdhlkmzpxwwwwupy.supabase.co/storage/v1/object/public/old_media/0a15361c.Path.131818.jpg" TargetMode="External"/><Relationship Id="rId2559" Type="http://schemas.openxmlformats.org/officeDocument/2006/relationships/hyperlink" Target="https://ryycrdhlkmzpxwwwwupy.supabase.co/storage/v1/object/public/old_media/fe98af9e.Path.123622.jpg" TargetMode="External"/><Relationship Id="rId1229" Type="http://schemas.openxmlformats.org/officeDocument/2006/relationships/hyperlink" Target="https://ryycrdhlkmzpxwwwwupy.supabase.co/storage/v1/object/public/old_media/3f8c7624.Path.131905.jpg" TargetMode="External"/><Relationship Id="rId3881" Type="http://schemas.openxmlformats.org/officeDocument/2006/relationships/hyperlink" Target="https://ryycrdhlkmzpxwwwwupy.supabase.co/storage/v1/object/public/old_media/e56db70e.Path.075300.jpg" TargetMode="External"/><Relationship Id="rId2550" Type="http://schemas.openxmlformats.org/officeDocument/2006/relationships/hyperlink" Target="https://ryycrdhlkmzpxwwwwupy.supabase.co/storage/v1/object/public/old_media/83735996.Path.093134.jpg" TargetMode="External"/><Relationship Id="rId3880" Type="http://schemas.openxmlformats.org/officeDocument/2006/relationships/hyperlink" Target="https://ryycrdhlkmzpxwwwwupy.supabase.co/storage/v1/object/public/old_media/e5a89529.Path.072525.jpg" TargetMode="External"/><Relationship Id="rId1220" Type="http://schemas.openxmlformats.org/officeDocument/2006/relationships/hyperlink" Target="https://ryycrdhlkmzpxwwwwupy.supabase.co/storage/v1/object/public/old_media/de43be34.Path.111033.jpg" TargetMode="External"/><Relationship Id="rId2551" Type="http://schemas.openxmlformats.org/officeDocument/2006/relationships/hyperlink" Target="https://ryycrdhlkmzpxwwwwupy.supabase.co/storage/v1/object/public/old_media/10d9f617.Path.093152.jpg" TargetMode="External"/><Relationship Id="rId3883" Type="http://schemas.openxmlformats.org/officeDocument/2006/relationships/hyperlink" Target="https://ryycrdhlkmzpxwwwwupy.supabase.co/storage/v1/object/public/old_media/67d62ec2.Path.103054.jpg" TargetMode="External"/><Relationship Id="rId1221" Type="http://schemas.openxmlformats.org/officeDocument/2006/relationships/hyperlink" Target="https://ryycrdhlkmzpxwwwwupy.supabase.co/storage/v1/object/public/old_media/2015d545.Path.111047.jpg" TargetMode="External"/><Relationship Id="rId2552" Type="http://schemas.openxmlformats.org/officeDocument/2006/relationships/hyperlink" Target="https://ryycrdhlkmzpxwwwwupy.supabase.co/storage/v1/object/public/old_media/03f9753d.Path.093205.jpg" TargetMode="External"/><Relationship Id="rId3882" Type="http://schemas.openxmlformats.org/officeDocument/2006/relationships/hyperlink" Target="https://ryycrdhlkmzpxwwwwupy.supabase.co/storage/v1/object/public/old_media/0a5e6303.Path.075330.jpg" TargetMode="External"/><Relationship Id="rId1222" Type="http://schemas.openxmlformats.org/officeDocument/2006/relationships/hyperlink" Target="https://ryycrdhlkmzpxwwwwupy.supabase.co/storage/v1/object/public/old_media/2557c0f9.Path.111100.jpg" TargetMode="External"/><Relationship Id="rId2553" Type="http://schemas.openxmlformats.org/officeDocument/2006/relationships/hyperlink" Target="https://ryycrdhlkmzpxwwwwupy.supabase.co/storage/v1/object/public/old_media/041d4102.Path.093218.jpg" TargetMode="External"/><Relationship Id="rId3885" Type="http://schemas.openxmlformats.org/officeDocument/2006/relationships/hyperlink" Target="https://ryycrdhlkmzpxwwwwupy.supabase.co/storage/v1/object/public/old_media/a1ce130b.Path.103201.jpg" TargetMode="External"/><Relationship Id="rId1223" Type="http://schemas.openxmlformats.org/officeDocument/2006/relationships/hyperlink" Target="https://ryycrdhlkmzpxwwwwupy.supabase.co/storage/v1/object/public/old_media/c0e0cc9e.Path.111113.jpg" TargetMode="External"/><Relationship Id="rId2554" Type="http://schemas.openxmlformats.org/officeDocument/2006/relationships/hyperlink" Target="https://ryycrdhlkmzpxwwwwupy.supabase.co/storage/v1/object/public/old_media/bd2ae4e7.Path.093411.jpg" TargetMode="External"/><Relationship Id="rId3884" Type="http://schemas.openxmlformats.org/officeDocument/2006/relationships/hyperlink" Target="https://ryycrdhlkmzpxwwwwupy.supabase.co/storage/v1/object/public/old_media/d384c617.Path.103129.jpg" TargetMode="External"/><Relationship Id="rId2500" Type="http://schemas.openxmlformats.org/officeDocument/2006/relationships/hyperlink" Target="https://ryycrdhlkmzpxwwwwupy.supabase.co/storage/v1/object/public/old_media/e18cc19b.Path.093122.jpg" TargetMode="External"/><Relationship Id="rId3832" Type="http://schemas.openxmlformats.org/officeDocument/2006/relationships/hyperlink" Target="https://ryycrdhlkmzpxwwwwupy.supabase.co/storage/v1/object/public/old_media/889a717a.Path.121952.jpg" TargetMode="External"/><Relationship Id="rId2501" Type="http://schemas.openxmlformats.org/officeDocument/2006/relationships/hyperlink" Target="https://ryycrdhlkmzpxwwwwupy.supabase.co/storage/v1/object/public/old_media/ef83cc5c.Path.093449.jpg" TargetMode="External"/><Relationship Id="rId3831" Type="http://schemas.openxmlformats.org/officeDocument/2006/relationships/hyperlink" Target="https://ryycrdhlkmzpxwwwwupy.supabase.co/storage/v1/object/public/old_media/61846130.Path.121910.png" TargetMode="External"/><Relationship Id="rId2502" Type="http://schemas.openxmlformats.org/officeDocument/2006/relationships/hyperlink" Target="https://ryycrdhlkmzpxwwwwupy.supabase.co/storage/v1/object/public/old_media/9aba003a.Path.093505.jpg" TargetMode="External"/><Relationship Id="rId3834" Type="http://schemas.openxmlformats.org/officeDocument/2006/relationships/hyperlink" Target="https://ryycrdhlkmzpxwwwwupy.supabase.co/storage/v1/object/public/old_media/0640c7f3.Path.122517.jpg" TargetMode="External"/><Relationship Id="rId2503" Type="http://schemas.openxmlformats.org/officeDocument/2006/relationships/hyperlink" Target="https://ryycrdhlkmzpxwwwwupy.supabase.co/storage/v1/object/public/old_media/e6e40cfe.Path.093517.jpg" TargetMode="External"/><Relationship Id="rId3833" Type="http://schemas.openxmlformats.org/officeDocument/2006/relationships/hyperlink" Target="https://ryycrdhlkmzpxwwwwupy.supabase.co/storage/v1/object/public/old_media/fdf26bd4.Path.122415.jpg" TargetMode="External"/><Relationship Id="rId2504" Type="http://schemas.openxmlformats.org/officeDocument/2006/relationships/hyperlink" Target="https://ryycrdhlkmzpxwwwwupy.supabase.co/storage/v1/object/public/old_media/4910277a.Path.093528.jpg" TargetMode="External"/><Relationship Id="rId3836" Type="http://schemas.openxmlformats.org/officeDocument/2006/relationships/hyperlink" Target="https://ryycrdhlkmzpxwwwwupy.supabase.co/storage/v1/object/public/old_media/2dc1b9aa.Path.122635.webp" TargetMode="External"/><Relationship Id="rId2505" Type="http://schemas.openxmlformats.org/officeDocument/2006/relationships/hyperlink" Target="https://ryycrdhlkmzpxwwwwupy.supabase.co/storage/v1/object/public/old_media/398f24da.Path.093540.jpg" TargetMode="External"/><Relationship Id="rId3835" Type="http://schemas.openxmlformats.org/officeDocument/2006/relationships/hyperlink" Target="https://ryycrdhlkmzpxwwwwupy.supabase.co/storage/v1/object/public/old_media/36b343a1.Path.122557.jpg" TargetMode="External"/><Relationship Id="rId2506" Type="http://schemas.openxmlformats.org/officeDocument/2006/relationships/hyperlink" Target="https://ryycrdhlkmzpxwwwwupy.supabase.co/storage/v1/object/public/old_media/a5551b81.Path.114032.jpg" TargetMode="External"/><Relationship Id="rId3838" Type="http://schemas.openxmlformats.org/officeDocument/2006/relationships/hyperlink" Target="https://ryycrdhlkmzpxwwwwupy.supabase.co/storage/v1/object/public/old_media/b7482b85.Path.123653.jpg" TargetMode="External"/><Relationship Id="rId2507" Type="http://schemas.openxmlformats.org/officeDocument/2006/relationships/hyperlink" Target="https://ryycrdhlkmzpxwwwwupy.supabase.co/storage/v1/object/public/old_media/39f071d0.Path.114105.jpg" TargetMode="External"/><Relationship Id="rId3837" Type="http://schemas.openxmlformats.org/officeDocument/2006/relationships/hyperlink" Target="https://ryycrdhlkmzpxwwwwupy.supabase.co/storage/v1/object/public/old_media/d0b49386.Path.123523.png" TargetMode="External"/><Relationship Id="rId2508" Type="http://schemas.openxmlformats.org/officeDocument/2006/relationships/hyperlink" Target="https://ryycrdhlkmzpxwwwwupy.supabase.co/storage/v1/object/public/old_media/af4f6c32.Path.080228.jpg" TargetMode="External"/><Relationship Id="rId2509" Type="http://schemas.openxmlformats.org/officeDocument/2006/relationships/hyperlink" Target="https://ryycrdhlkmzpxwwwwupy.supabase.co/storage/v1/object/public/old_media/964f4485.Path.044519.jpg" TargetMode="External"/><Relationship Id="rId3839" Type="http://schemas.openxmlformats.org/officeDocument/2006/relationships/hyperlink" Target="https://ryycrdhlkmzpxwwwwupy.supabase.co/storage/v1/object/public/old_media/670c0f48.Path.123904.jpg" TargetMode="External"/><Relationship Id="rId3830" Type="http://schemas.openxmlformats.org/officeDocument/2006/relationships/hyperlink" Target="https://ryycrdhlkmzpxwwwwupy.supabase.co/storage/v1/object/public/old_media/fb52acbe.Path.121808.jpg" TargetMode="External"/><Relationship Id="rId3821" Type="http://schemas.openxmlformats.org/officeDocument/2006/relationships/hyperlink" Target="https://ryycrdhlkmzpxwwwwupy.supabase.co/storage/v1/object/public/old_media/23786c12.Path.120649.png" TargetMode="External"/><Relationship Id="rId3820" Type="http://schemas.openxmlformats.org/officeDocument/2006/relationships/hyperlink" Target="https://ryycrdhlkmzpxwwwwupy.supabase.co/storage/v1/object/public/old_media/06bd6c4b.Path.120550.webp" TargetMode="External"/><Relationship Id="rId3823" Type="http://schemas.openxmlformats.org/officeDocument/2006/relationships/hyperlink" Target="https://ryycrdhlkmzpxwwwwupy.supabase.co/storage/v1/object/public/old_media/96f40686.Path.121122.png" TargetMode="External"/><Relationship Id="rId3822" Type="http://schemas.openxmlformats.org/officeDocument/2006/relationships/hyperlink" Target="https://ryycrdhlkmzpxwwwwupy.supabase.co/storage/v1/object/public/old_media/68dea347.Path.120727.jpg" TargetMode="External"/><Relationship Id="rId3825" Type="http://schemas.openxmlformats.org/officeDocument/2006/relationships/hyperlink" Target="https://ryycrdhlkmzpxwwwwupy.supabase.co/storage/v1/object/public/old_media/9fce57be.Path.121232.jpg" TargetMode="External"/><Relationship Id="rId3824" Type="http://schemas.openxmlformats.org/officeDocument/2006/relationships/hyperlink" Target="https://ryycrdhlkmzpxwwwwupy.supabase.co/storage/v1/object/public/old_media/1120a60c.Path.121156.webp" TargetMode="External"/><Relationship Id="rId3827" Type="http://schemas.openxmlformats.org/officeDocument/2006/relationships/hyperlink" Target="https://ryycrdhlkmzpxwwwwupy.supabase.co/storage/v1/object/public/old_media/68fa6b99.Path.121445.webp" TargetMode="External"/><Relationship Id="rId3826" Type="http://schemas.openxmlformats.org/officeDocument/2006/relationships/hyperlink" Target="https://ryycrdhlkmzpxwwwwupy.supabase.co/storage/v1/object/public/old_media/1f457597.Path.121307.jpg" TargetMode="External"/><Relationship Id="rId3829" Type="http://schemas.openxmlformats.org/officeDocument/2006/relationships/hyperlink" Target="https://ryycrdhlkmzpxwwwwupy.supabase.co/storage/v1/object/public/old_media/1b0ec80e.Path.121619.jpg" TargetMode="External"/><Relationship Id="rId3828" Type="http://schemas.openxmlformats.org/officeDocument/2006/relationships/hyperlink" Target="https://ryycrdhlkmzpxwwwwupy.supabase.co/storage/v1/object/public/old_media/c7075f54.Path.121520.avif" TargetMode="External"/><Relationship Id="rId2522" Type="http://schemas.openxmlformats.org/officeDocument/2006/relationships/hyperlink" Target="https://ryycrdhlkmzpxwwwwupy.supabase.co/storage/v1/object/public/old_media/88126430.Path.051205.jpg" TargetMode="External"/><Relationship Id="rId3854" Type="http://schemas.openxmlformats.org/officeDocument/2006/relationships/hyperlink" Target="https://ryycrdhlkmzpxwwwwupy.supabase.co/storage/v1/object/public/old_media/9a8fd291.Path.144503.jpg" TargetMode="External"/><Relationship Id="rId2523" Type="http://schemas.openxmlformats.org/officeDocument/2006/relationships/hyperlink" Target="https://ryycrdhlkmzpxwwwwupy.supabase.co/storage/v1/object/public/old_media/f458189b.Path.051220.jpg" TargetMode="External"/><Relationship Id="rId3853" Type="http://schemas.openxmlformats.org/officeDocument/2006/relationships/hyperlink" Target="https://ryycrdhlkmzpxwwwwupy.supabase.co/storage/v1/object/public/old_media/566142fb.Path.142305.jpg" TargetMode="External"/><Relationship Id="rId2524" Type="http://schemas.openxmlformats.org/officeDocument/2006/relationships/hyperlink" Target="https://ryycrdhlkmzpxwwwwupy.supabase.co/storage/v1/object/public/old_media/acacbd83.Path.052240.jpg" TargetMode="External"/><Relationship Id="rId3856" Type="http://schemas.openxmlformats.org/officeDocument/2006/relationships/hyperlink" Target="https://ryycrdhlkmzpxwwwwupy.supabase.co/storage/v1/object/public/old_media/f006f03f.Path.054652.jpg" TargetMode="External"/><Relationship Id="rId2525" Type="http://schemas.openxmlformats.org/officeDocument/2006/relationships/hyperlink" Target="https://ryycrdhlkmzpxwwwwupy.supabase.co/storage/v1/object/public/old_media/440007c0.Path.052259.jpg" TargetMode="External"/><Relationship Id="rId3855" Type="http://schemas.openxmlformats.org/officeDocument/2006/relationships/hyperlink" Target="https://ryycrdhlkmzpxwwwwupy.supabase.co/storage/v1/object/public/old_media/2cc72e8a.Path.125754.jpg" TargetMode="External"/><Relationship Id="rId2526" Type="http://schemas.openxmlformats.org/officeDocument/2006/relationships/hyperlink" Target="https://ryycrdhlkmzpxwwwwupy.supabase.co/storage/v1/object/public/old_media/afa99a3f.Path.052311.jpg" TargetMode="External"/><Relationship Id="rId3858" Type="http://schemas.openxmlformats.org/officeDocument/2006/relationships/hyperlink" Target="https://ryycrdhlkmzpxwwwwupy.supabase.co/storage/v1/object/public/old_media/cbafee3a.Path.064046.jpg" TargetMode="External"/><Relationship Id="rId2527" Type="http://schemas.openxmlformats.org/officeDocument/2006/relationships/hyperlink" Target="https://ryycrdhlkmzpxwwwwupy.supabase.co/storage/v1/object/public/old_media/434db39a.Path.052324.jpg" TargetMode="External"/><Relationship Id="rId3857" Type="http://schemas.openxmlformats.org/officeDocument/2006/relationships/hyperlink" Target="https://ryycrdhlkmzpxwwwwupy.supabase.co/storage/v1/object/public/old_media/87856912.Path.054726.jpg" TargetMode="External"/><Relationship Id="rId2528" Type="http://schemas.openxmlformats.org/officeDocument/2006/relationships/hyperlink" Target="https://ryycrdhlkmzpxwwwwupy.supabase.co/storage/v1/object/public/old_media/861e76b6.Path.052339.jpg" TargetMode="External"/><Relationship Id="rId2529" Type="http://schemas.openxmlformats.org/officeDocument/2006/relationships/hyperlink" Target="https://ryycrdhlkmzpxwwwwupy.supabase.co/storage/v1/object/public/old_media/9846ce0b.Path.052352.jpg" TargetMode="External"/><Relationship Id="rId3859" Type="http://schemas.openxmlformats.org/officeDocument/2006/relationships/hyperlink" Target="https://ryycrdhlkmzpxwwwwupy.supabase.co/storage/v1/object/public/old_media/9bb79dff.Path.073310.jpg" TargetMode="External"/><Relationship Id="rId3850" Type="http://schemas.openxmlformats.org/officeDocument/2006/relationships/hyperlink" Target="https://ryycrdhlkmzpxwwwwupy.supabase.co/storage/v1/object/public/old_media/101a1117.Path.125206.jpg" TargetMode="External"/><Relationship Id="rId2520" Type="http://schemas.openxmlformats.org/officeDocument/2006/relationships/hyperlink" Target="https://ryycrdhlkmzpxwwwwupy.supabase.co/storage/v1/object/public/old_media/391de00b.Path.051139.jpg" TargetMode="External"/><Relationship Id="rId3852" Type="http://schemas.openxmlformats.org/officeDocument/2006/relationships/hyperlink" Target="https://ryycrdhlkmzpxwwwwupy.supabase.co/storage/v1/object/public/old_media/38c95319.Path.142207.jpg" TargetMode="External"/><Relationship Id="rId2521" Type="http://schemas.openxmlformats.org/officeDocument/2006/relationships/hyperlink" Target="https://ryycrdhlkmzpxwwwwupy.supabase.co/storage/v1/object/public/old_media/52d4622d.Path.051152.jpg" TargetMode="External"/><Relationship Id="rId3851" Type="http://schemas.openxmlformats.org/officeDocument/2006/relationships/hyperlink" Target="https://ryycrdhlkmzpxwwwwupy.supabase.co/storage/v1/object/public/old_media/0b7ac300.Path.125514.jpg" TargetMode="External"/><Relationship Id="rId2511" Type="http://schemas.openxmlformats.org/officeDocument/2006/relationships/hyperlink" Target="https://ryycrdhlkmzpxwwwwupy.supabase.co/storage/v1/object/public/old_media/e85663a4.Path.044559.jpg" TargetMode="External"/><Relationship Id="rId3843" Type="http://schemas.openxmlformats.org/officeDocument/2006/relationships/hyperlink" Target="https://ryycrdhlkmzpxwwwwupy.supabase.co/storage/v1/object/public/old_media/11ed52b0.Path.124535.jpg" TargetMode="External"/><Relationship Id="rId2512" Type="http://schemas.openxmlformats.org/officeDocument/2006/relationships/hyperlink" Target="https://ryycrdhlkmzpxwwwwupy.supabase.co/storage/v1/object/public/old_media/05dfaacc.Path.044628.jpg" TargetMode="External"/><Relationship Id="rId3842" Type="http://schemas.openxmlformats.org/officeDocument/2006/relationships/hyperlink" Target="https://ryycrdhlkmzpxwwwwupy.supabase.co/storage/v1/object/public/old_media/9100c423.Path.124423.png" TargetMode="External"/><Relationship Id="rId2513" Type="http://schemas.openxmlformats.org/officeDocument/2006/relationships/hyperlink" Target="https://ryycrdhlkmzpxwwwwupy.supabase.co/storage/v1/object/public/old_media/9b2528e3.Path.044637.jpg" TargetMode="External"/><Relationship Id="rId3845" Type="http://schemas.openxmlformats.org/officeDocument/2006/relationships/hyperlink" Target="https://ryycrdhlkmzpxwwwwupy.supabase.co/storage/v1/object/public/old_media/fcd45539.Path.124656.com.webp" TargetMode="External"/><Relationship Id="rId2514" Type="http://schemas.openxmlformats.org/officeDocument/2006/relationships/hyperlink" Target="https://ryycrdhlkmzpxwwwwupy.supabase.co/storage/v1/object/public/old_media/0e390fc9.Path.044647.jpg" TargetMode="External"/><Relationship Id="rId3844" Type="http://schemas.openxmlformats.org/officeDocument/2006/relationships/hyperlink" Target="https://ryycrdhlkmzpxwwwwupy.supabase.co/storage/v1/object/public/old_media/f4241e5d.Path.124620.jpg" TargetMode="External"/><Relationship Id="rId2515" Type="http://schemas.openxmlformats.org/officeDocument/2006/relationships/hyperlink" Target="https://ryycrdhlkmzpxwwwwupy.supabase.co/storage/v1/object/public/old_media/bc01ea49.Path.050308.jpg" TargetMode="External"/><Relationship Id="rId3847" Type="http://schemas.openxmlformats.org/officeDocument/2006/relationships/hyperlink" Target="https://ryycrdhlkmzpxwwwwupy.supabase.co/storage/v1/object/public/old_media/cb280815.Path.124911.jpg" TargetMode="External"/><Relationship Id="rId2516" Type="http://schemas.openxmlformats.org/officeDocument/2006/relationships/hyperlink" Target="https://ryycrdhlkmzpxwwwwupy.supabase.co/storage/v1/object/public/old_media/019408b4.Path.050323.jpg" TargetMode="External"/><Relationship Id="rId3846" Type="http://schemas.openxmlformats.org/officeDocument/2006/relationships/hyperlink" Target="https://ryycrdhlkmzpxwwwwupy.supabase.co/storage/v1/object/public/old_media/210b1006.Path.124813.png" TargetMode="External"/><Relationship Id="rId2517" Type="http://schemas.openxmlformats.org/officeDocument/2006/relationships/hyperlink" Target="https://ryycrdhlkmzpxwwwwupy.supabase.co/storage/v1/object/public/old_media/54f12974.Path.051027.jpg" TargetMode="External"/><Relationship Id="rId3849" Type="http://schemas.openxmlformats.org/officeDocument/2006/relationships/hyperlink" Target="https://ryycrdhlkmzpxwwwwupy.supabase.co/storage/v1/object/public/old_media/0b8e6d7b.Path.125129.jpg" TargetMode="External"/><Relationship Id="rId2518" Type="http://schemas.openxmlformats.org/officeDocument/2006/relationships/hyperlink" Target="https://ryycrdhlkmzpxwwwwupy.supabase.co/storage/v1/object/public/old_media/527c5b8f.Path.051104.jpg" TargetMode="External"/><Relationship Id="rId3848" Type="http://schemas.openxmlformats.org/officeDocument/2006/relationships/hyperlink" Target="https://ryycrdhlkmzpxwwwwupy.supabase.co/storage/v1/object/public/old_media/c6013464.Path.125054.jpg" TargetMode="External"/><Relationship Id="rId2519" Type="http://schemas.openxmlformats.org/officeDocument/2006/relationships/hyperlink" Target="https://ryycrdhlkmzpxwwwwupy.supabase.co/storage/v1/object/public/old_media/f5d32e87.Path.051128.jpg" TargetMode="External"/><Relationship Id="rId3841" Type="http://schemas.openxmlformats.org/officeDocument/2006/relationships/hyperlink" Target="https://ryycrdhlkmzpxwwwwupy.supabase.co/storage/v1/object/public/old_media/4fcef4b3.Path.124221.png" TargetMode="External"/><Relationship Id="rId2510" Type="http://schemas.openxmlformats.org/officeDocument/2006/relationships/hyperlink" Target="https://ryycrdhlkmzpxwwwwupy.supabase.co/storage/v1/object/public/old_media/25259896.Path.044530.jpg" TargetMode="External"/><Relationship Id="rId3840" Type="http://schemas.openxmlformats.org/officeDocument/2006/relationships/hyperlink" Target="https://ryycrdhlkmzpxwwwwupy.supabase.co/storage/v1/object/public/old_media/ef1eae91.Path.124019.jpg" TargetMode="External"/><Relationship Id="rId4327" Type="http://schemas.openxmlformats.org/officeDocument/2006/relationships/hyperlink" Target="https://ryycrdhlkmzpxwwwwupy.supabase.co/storage/v1/object/public/old_media/954f6098.Path.052546.avif" TargetMode="External"/><Relationship Id="rId4326" Type="http://schemas.openxmlformats.org/officeDocument/2006/relationships/hyperlink" Target="https://ryycrdhlkmzpxwwwwupy.supabase.co/storage/v1/object/public/old_media/d61f1e74.Path.050621.jpg" TargetMode="External"/><Relationship Id="rId4329" Type="http://schemas.openxmlformats.org/officeDocument/2006/relationships/hyperlink" Target="https://ryycrdhlkmzpxwwwwupy.supabase.co/storage/v1/object/public/old_media/d29443dc.Path.052637.avif" TargetMode="External"/><Relationship Id="rId4328" Type="http://schemas.openxmlformats.org/officeDocument/2006/relationships/hyperlink" Target="https://ryycrdhlkmzpxwwwwupy.supabase.co/storage/v1/object/public/old_media/a5f142dc.Path.052612.avif" TargetMode="External"/><Relationship Id="rId469" Type="http://schemas.openxmlformats.org/officeDocument/2006/relationships/hyperlink" Target="https://ryycrdhlkmzpxwwwwupy.supabase.co/storage/v1/object/public/old_media/8bab462c.Path.072044.jpg" TargetMode="External"/><Relationship Id="rId468" Type="http://schemas.openxmlformats.org/officeDocument/2006/relationships/hyperlink" Target="https://ryycrdhlkmzpxwwwwupy.supabase.co/storage/v1/object/public/old_media/e6859946.Path.071947.jpg" TargetMode="External"/><Relationship Id="rId467" Type="http://schemas.openxmlformats.org/officeDocument/2006/relationships/hyperlink" Target="https://ryycrdhlkmzpxwwwwupy.supabase.co/storage/v1/object/public/old_media/56b72014.Path.064109.jpg" TargetMode="External"/><Relationship Id="rId1290" Type="http://schemas.openxmlformats.org/officeDocument/2006/relationships/hyperlink" Target="https://ryycrdhlkmzpxwwwwupy.supabase.co/storage/v1/object/public/old_media/75a0143d.Path.105004.webp" TargetMode="External"/><Relationship Id="rId1291" Type="http://schemas.openxmlformats.org/officeDocument/2006/relationships/hyperlink" Target="https://ryycrdhlkmzpxwwwwupy.supabase.co/storage/v1/object/public/old_media/8d737e0a.Path.105031.jpg" TargetMode="External"/><Relationship Id="rId1292" Type="http://schemas.openxmlformats.org/officeDocument/2006/relationships/hyperlink" Target="https://ryycrdhlkmzpxwwwwupy.supabase.co/storage/v1/object/public/old_media/a1c40f96.Path.105040.webp" TargetMode="External"/><Relationship Id="rId462" Type="http://schemas.openxmlformats.org/officeDocument/2006/relationships/hyperlink" Target="https://ryycrdhlkmzpxwwwwupy.supabase.co/storage/v1/object/public/old_media/a75c7404.Path.062706.jpg" TargetMode="External"/><Relationship Id="rId1293" Type="http://schemas.openxmlformats.org/officeDocument/2006/relationships/hyperlink" Target="https://ryycrdhlkmzpxwwwwupy.supabase.co/storage/v1/object/public/old_media/2cdef789.Path.105108.webp" TargetMode="External"/><Relationship Id="rId461" Type="http://schemas.openxmlformats.org/officeDocument/2006/relationships/hyperlink" Target="https://ryycrdhlkmzpxwwwwupy.supabase.co/storage/v1/object/public/old_media/4a2f681b.Path.062644.jpg" TargetMode="External"/><Relationship Id="rId1294" Type="http://schemas.openxmlformats.org/officeDocument/2006/relationships/hyperlink" Target="https://ryycrdhlkmzpxwwwwupy.supabase.co/storage/v1/object/public/old_media/09a52186.Path.105129.webp" TargetMode="External"/><Relationship Id="rId460" Type="http://schemas.openxmlformats.org/officeDocument/2006/relationships/hyperlink" Target="https://ryycrdhlkmzpxwwwwupy.supabase.co/storage/v1/object/public/old_media/0047a8f0.Path.062617.jpg" TargetMode="External"/><Relationship Id="rId1295" Type="http://schemas.openxmlformats.org/officeDocument/2006/relationships/hyperlink" Target="https://ryycrdhlkmzpxwwwwupy.supabase.co/storage/v1/object/public/old_media/318679bc.Path.105150.webp" TargetMode="External"/><Relationship Id="rId4321" Type="http://schemas.openxmlformats.org/officeDocument/2006/relationships/hyperlink" Target="https://ryycrdhlkmzpxwwwwupy.supabase.co/storage/v1/object/public/old_media/21b0c620.Path.102050.avif" TargetMode="External"/><Relationship Id="rId1296" Type="http://schemas.openxmlformats.org/officeDocument/2006/relationships/hyperlink" Target="https://ryycrdhlkmzpxwwwwupy.supabase.co/storage/v1/object/public/old_media/013d13d8.Path.105210.webp" TargetMode="External"/><Relationship Id="rId4320" Type="http://schemas.openxmlformats.org/officeDocument/2006/relationships/hyperlink" Target="https://ryycrdhlkmzpxwwwwupy.supabase.co/storage/v1/object/public/old_media/2c143caf.Path.101907.avif" TargetMode="External"/><Relationship Id="rId466" Type="http://schemas.openxmlformats.org/officeDocument/2006/relationships/hyperlink" Target="https://ryycrdhlkmzpxwwwwupy.supabase.co/storage/v1/object/public/old_media/af88694c.Path.064033.jpg" TargetMode="External"/><Relationship Id="rId1297" Type="http://schemas.openxmlformats.org/officeDocument/2006/relationships/hyperlink" Target="https://ryycrdhlkmzpxwwwwupy.supabase.co/storage/v1/object/public/old_media/f1ec01a8.Path.105257.webp" TargetMode="External"/><Relationship Id="rId4323" Type="http://schemas.openxmlformats.org/officeDocument/2006/relationships/hyperlink" Target="https://ryycrdhlkmzpxwwwwupy.supabase.co/storage/v1/object/public/old_media/e8b90ce7.Path.102151.avif" TargetMode="External"/><Relationship Id="rId465" Type="http://schemas.openxmlformats.org/officeDocument/2006/relationships/hyperlink" Target="https://ryycrdhlkmzpxwwwwupy.supabase.co/storage/v1/object/public/old_media/ef928559.Path.062737.jpg" TargetMode="External"/><Relationship Id="rId1298" Type="http://schemas.openxmlformats.org/officeDocument/2006/relationships/hyperlink" Target="https://ryycrdhlkmzpxwwwwupy.supabase.co/storage/v1/object/public/old_media/e27447a1.Path.105328.webp" TargetMode="External"/><Relationship Id="rId4322" Type="http://schemas.openxmlformats.org/officeDocument/2006/relationships/hyperlink" Target="https://ryycrdhlkmzpxwwwwupy.supabase.co/storage/v1/object/public/old_media/e2d4890b.Path.102114.avif" TargetMode="External"/><Relationship Id="rId464" Type="http://schemas.openxmlformats.org/officeDocument/2006/relationships/hyperlink" Target="https://ryycrdhlkmzpxwwwwupy.supabase.co/storage/v1/object/public/old_media/bbd05efa.Path.062730.jpg" TargetMode="External"/><Relationship Id="rId1299" Type="http://schemas.openxmlformats.org/officeDocument/2006/relationships/hyperlink" Target="https://ryycrdhlkmzpxwwwwupy.supabase.co/storage/v1/object/public/old_media/f363c79d.Path.105345.webp" TargetMode="External"/><Relationship Id="rId4325" Type="http://schemas.openxmlformats.org/officeDocument/2006/relationships/hyperlink" Target="https://ryycrdhlkmzpxwwwwupy.supabase.co/storage/v1/object/public/old_media/5c40eb53.Path.050554.webp" TargetMode="External"/><Relationship Id="rId463" Type="http://schemas.openxmlformats.org/officeDocument/2006/relationships/hyperlink" Target="https://ryycrdhlkmzpxwwwwupy.supabase.co/storage/v1/object/public/old_media/e7137b6f.Path.062712.jpg" TargetMode="External"/><Relationship Id="rId4324" Type="http://schemas.openxmlformats.org/officeDocument/2006/relationships/hyperlink" Target="https://ryycrdhlkmzpxwwwwupy.supabase.co/storage/v1/object/public/old_media/d9a849b5.Path.102216.avif" TargetMode="External"/><Relationship Id="rId4316" Type="http://schemas.openxmlformats.org/officeDocument/2006/relationships/hyperlink" Target="https://ryycrdhlkmzpxwwwwupy.supabase.co/storage/v1/object/public/old_media/b9727c38.Path.112254.jpg" TargetMode="External"/><Relationship Id="rId4315" Type="http://schemas.openxmlformats.org/officeDocument/2006/relationships/hyperlink" Target="https://ryycrdhlkmzpxwwwwupy.supabase.co/storage/v1/object/public/old_media/72a248be.Path.112110.jpg" TargetMode="External"/><Relationship Id="rId4318" Type="http://schemas.openxmlformats.org/officeDocument/2006/relationships/hyperlink" Target="https://ryycrdhlkmzpxwwwwupy.supabase.co/storage/v1/object/public/old_media/3ffdb8bf.Path.112411.jpg" TargetMode="External"/><Relationship Id="rId4317" Type="http://schemas.openxmlformats.org/officeDocument/2006/relationships/hyperlink" Target="https://ryycrdhlkmzpxwwwwupy.supabase.co/storage/v1/object/public/old_media/78f43e08.Path.112333.jpg" TargetMode="External"/><Relationship Id="rId4319" Type="http://schemas.openxmlformats.org/officeDocument/2006/relationships/hyperlink" Target="https://ryycrdhlkmzpxwwwwupy.supabase.co/storage/v1/object/public/old_media/d2df7544.Path.101507.avif" TargetMode="External"/><Relationship Id="rId459" Type="http://schemas.openxmlformats.org/officeDocument/2006/relationships/hyperlink" Target="https://ryycrdhlkmzpxwwwwupy.supabase.co/storage/v1/object/public/old_media/d070a925.Path.054729.webp" TargetMode="External"/><Relationship Id="rId458" Type="http://schemas.openxmlformats.org/officeDocument/2006/relationships/hyperlink" Target="https://ryycrdhlkmzpxwwwwupy.supabase.co/storage/v1/object/public/old_media/55b404fe.Path.054705.jpg" TargetMode="External"/><Relationship Id="rId457" Type="http://schemas.openxmlformats.org/officeDocument/2006/relationships/hyperlink" Target="https://ryycrdhlkmzpxwwwwupy.supabase.co/storage/v1/object/public/old_media/1ef01fe5.Path.054647.jpg" TargetMode="External"/><Relationship Id="rId456" Type="http://schemas.openxmlformats.org/officeDocument/2006/relationships/hyperlink" Target="https://ryycrdhlkmzpxwwwwupy.supabase.co/storage/v1/object/public/old_media/c310b285.Path.054632.jpg" TargetMode="External"/><Relationship Id="rId1280" Type="http://schemas.openxmlformats.org/officeDocument/2006/relationships/hyperlink" Target="https://ryycrdhlkmzpxwwwwupy.supabase.co/storage/v1/object/public/old_media/74ded7d2.Path.114741.webp" TargetMode="External"/><Relationship Id="rId1281" Type="http://schemas.openxmlformats.org/officeDocument/2006/relationships/hyperlink" Target="https://ryycrdhlkmzpxwwwwupy.supabase.co/storage/v1/object/public/old_media/cd445c6c.Path.114751.webp" TargetMode="External"/><Relationship Id="rId451" Type="http://schemas.openxmlformats.org/officeDocument/2006/relationships/hyperlink" Target="https://ryycrdhlkmzpxwwwwupy.supabase.co/storage/v1/object/public/old_media/ab0ac7a1.Path.110138.webp" TargetMode="External"/><Relationship Id="rId1282" Type="http://schemas.openxmlformats.org/officeDocument/2006/relationships/hyperlink" Target="https://ryycrdhlkmzpxwwwwupy.supabase.co/storage/v1/object/public/old_media/05f31d18.Path.114810.webp" TargetMode="External"/><Relationship Id="rId450" Type="http://schemas.openxmlformats.org/officeDocument/2006/relationships/hyperlink" Target="https://ryycrdhlkmzpxwwwwupy.supabase.co/storage/v1/object/public/old_media/428f0831.Path.085801.jpg" TargetMode="External"/><Relationship Id="rId1283" Type="http://schemas.openxmlformats.org/officeDocument/2006/relationships/hyperlink" Target="https://ryycrdhlkmzpxwwwwupy.supabase.co/storage/v1/object/public/old_media/245f3958.Path.114820.webp" TargetMode="External"/><Relationship Id="rId1284" Type="http://schemas.openxmlformats.org/officeDocument/2006/relationships/hyperlink" Target="https://ryycrdhlkmzpxwwwwupy.supabase.co/storage/v1/object/public/old_media/b30f11cc.Path.114843.webp" TargetMode="External"/><Relationship Id="rId4310" Type="http://schemas.openxmlformats.org/officeDocument/2006/relationships/hyperlink" Target="https://ryycrdhlkmzpxwwwwupy.supabase.co/storage/v1/object/public/old_media/e32a0733.Path.103834.jpg" TargetMode="External"/><Relationship Id="rId1285" Type="http://schemas.openxmlformats.org/officeDocument/2006/relationships/hyperlink" Target="https://ryycrdhlkmzpxwwwwupy.supabase.co/storage/v1/object/public/old_media/795b97d5.Path.114908.webp" TargetMode="External"/><Relationship Id="rId455" Type="http://schemas.openxmlformats.org/officeDocument/2006/relationships/hyperlink" Target="https://ryycrdhlkmzpxwwwwupy.supabase.co/storage/v1/object/public/old_media/069153de.Path.054614.jpg" TargetMode="External"/><Relationship Id="rId1286" Type="http://schemas.openxmlformats.org/officeDocument/2006/relationships/hyperlink" Target="https://ryycrdhlkmzpxwwwwupy.supabase.co/storage/v1/object/public/old_media/de715787.Path.104800.webp" TargetMode="External"/><Relationship Id="rId4312" Type="http://schemas.openxmlformats.org/officeDocument/2006/relationships/hyperlink" Target="https://ryycrdhlkmzpxwwwwupy.supabase.co/storage/v1/object/public/old_media/71a7f61f.Path.111858.jpg" TargetMode="External"/><Relationship Id="rId454" Type="http://schemas.openxmlformats.org/officeDocument/2006/relationships/hyperlink" Target="https://ryycrdhlkmzpxwwwwupy.supabase.co/storage/v1/object/public/old_media/bea3f0b3.Path.054556.jpg" TargetMode="External"/><Relationship Id="rId1287" Type="http://schemas.openxmlformats.org/officeDocument/2006/relationships/hyperlink" Target="https://ryycrdhlkmzpxwwwwupy.supabase.co/storage/v1/object/public/old_media/bf85e1dc.Path.104826.jpg" TargetMode="External"/><Relationship Id="rId4311" Type="http://schemas.openxmlformats.org/officeDocument/2006/relationships/hyperlink" Target="https://ryycrdhlkmzpxwwwwupy.supabase.co/storage/v1/object/public/old_media/339b2cf7.Path.111826.jpg" TargetMode="External"/><Relationship Id="rId453" Type="http://schemas.openxmlformats.org/officeDocument/2006/relationships/hyperlink" Target="https://ryycrdhlkmzpxwwwwupy.supabase.co/storage/v1/object/public/old_media/50a2b296.Path.054523.jpg" TargetMode="External"/><Relationship Id="rId1288" Type="http://schemas.openxmlformats.org/officeDocument/2006/relationships/hyperlink" Target="https://ryycrdhlkmzpxwwwwupy.supabase.co/storage/v1/object/public/old_media/75f81006.Path.104837.webp" TargetMode="External"/><Relationship Id="rId4314" Type="http://schemas.openxmlformats.org/officeDocument/2006/relationships/hyperlink" Target="https://ryycrdhlkmzpxwwwwupy.supabase.co/storage/v1/object/public/old_media/c30accbf.Path.112019.jpg" TargetMode="External"/><Relationship Id="rId452" Type="http://schemas.openxmlformats.org/officeDocument/2006/relationships/hyperlink" Target="https://ryycrdhlkmzpxwwwwupy.supabase.co/storage/v1/object/public/old_media/ffbc4f96.Path.044245.jpg" TargetMode="External"/><Relationship Id="rId1289" Type="http://schemas.openxmlformats.org/officeDocument/2006/relationships/hyperlink" Target="https://ryycrdhlkmzpxwwwwupy.supabase.co/storage/v1/object/public/old_media/56d9292e.Path.104952.webp" TargetMode="External"/><Relationship Id="rId4313" Type="http://schemas.openxmlformats.org/officeDocument/2006/relationships/hyperlink" Target="https://ryycrdhlkmzpxwwwwupy.supabase.co/storage/v1/object/public/old_media/8e46a3c1.Path.111937.jpg" TargetMode="External"/><Relationship Id="rId3018" Type="http://schemas.openxmlformats.org/officeDocument/2006/relationships/hyperlink" Target="https://ryycrdhlkmzpxwwwwupy.supabase.co/storage/v1/object/public/old_media/db62833e.Path.064218.jpg" TargetMode="External"/><Relationship Id="rId4349" Type="http://schemas.openxmlformats.org/officeDocument/2006/relationships/hyperlink" Target="https://ryycrdhlkmzpxwwwwupy.supabase.co/storage/v1/object/public/old_media/ce6f19ae.Path.070239.jpg" TargetMode="External"/><Relationship Id="rId3017" Type="http://schemas.openxmlformats.org/officeDocument/2006/relationships/hyperlink" Target="https://ryycrdhlkmzpxwwwwupy.supabase.co/storage/v1/object/public/old_media/3abc2b8e.Path.064207.jpg" TargetMode="External"/><Relationship Id="rId4348" Type="http://schemas.openxmlformats.org/officeDocument/2006/relationships/hyperlink" Target="https://ryycrdhlkmzpxwwwwupy.supabase.co/storage/v1/object/public/old_media/d901879a.Path.070130.jpg" TargetMode="External"/><Relationship Id="rId3019" Type="http://schemas.openxmlformats.org/officeDocument/2006/relationships/hyperlink" Target="https://ryycrdhlkmzpxwwwwupy.supabase.co/storage/v1/object/public/old_media/1f8c81b9.Path.064230.jpg" TargetMode="External"/><Relationship Id="rId491" Type="http://schemas.openxmlformats.org/officeDocument/2006/relationships/hyperlink" Target="https://ryycrdhlkmzpxwwwwupy.supabase.co/storage/v1/object/public/old_media/3bb9c552.Path.095758.jpg" TargetMode="External"/><Relationship Id="rId490" Type="http://schemas.openxmlformats.org/officeDocument/2006/relationships/hyperlink" Target="https://ryycrdhlkmzpxwwwwupy.supabase.co/storage/v1/object/public/old_media/474045bd.Path.095733.jpg" TargetMode="External"/><Relationship Id="rId489" Type="http://schemas.openxmlformats.org/officeDocument/2006/relationships/hyperlink" Target="https://ryycrdhlkmzpxwwwwupy.supabase.co/storage/v1/object/public/old_media/9da040f9.Path.093935.jpg" TargetMode="External"/><Relationship Id="rId484" Type="http://schemas.openxmlformats.org/officeDocument/2006/relationships/hyperlink" Target="https://ryycrdhlkmzpxwwwwupy.supabase.co/storage/v1/object/public/old_media/f5d73d13.Path.093829.jpg" TargetMode="External"/><Relationship Id="rId3010" Type="http://schemas.openxmlformats.org/officeDocument/2006/relationships/hyperlink" Target="https://ryycrdhlkmzpxwwwwupy.supabase.co/storage/v1/object/public/old_media/650251d9.Path.061615.webp" TargetMode="External"/><Relationship Id="rId4341" Type="http://schemas.openxmlformats.org/officeDocument/2006/relationships/hyperlink" Target="https://ryycrdhlkmzpxwwwwupy.supabase.co/storage/v1/object/public/old_media/08ade3d9.Path.073530.jpg" TargetMode="External"/><Relationship Id="rId483" Type="http://schemas.openxmlformats.org/officeDocument/2006/relationships/hyperlink" Target="https://ryycrdhlkmzpxwwwwupy.supabase.co/storage/v1/object/public/old_media/e4b7bb27.Path.093820.jpg" TargetMode="External"/><Relationship Id="rId4340" Type="http://schemas.openxmlformats.org/officeDocument/2006/relationships/hyperlink" Target="https://ryycrdhlkmzpxwwwwupy.supabase.co/storage/v1/object/public/old_media/683be400.Path.073504.jpg" TargetMode="External"/><Relationship Id="rId482" Type="http://schemas.openxmlformats.org/officeDocument/2006/relationships/hyperlink" Target="https://ryycrdhlkmzpxwwwwupy.supabase.co/storage/v1/object/public/old_media/e32cb660.Path.093802.jpg" TargetMode="External"/><Relationship Id="rId3012" Type="http://schemas.openxmlformats.org/officeDocument/2006/relationships/hyperlink" Target="https://ryycrdhlkmzpxwwwwupy.supabase.co/storage/v1/object/public/old_media/e7c6bd68.Path.061637.webp" TargetMode="External"/><Relationship Id="rId4343" Type="http://schemas.openxmlformats.org/officeDocument/2006/relationships/hyperlink" Target="https://ryycrdhlkmzpxwwwwupy.supabase.co/storage/v1/object/public/old_media/77b26fa8.Path.044253.jpg" TargetMode="External"/><Relationship Id="rId481" Type="http://schemas.openxmlformats.org/officeDocument/2006/relationships/hyperlink" Target="https://ryycrdhlkmzpxwwwwupy.supabase.co/storage/v1/object/public/old_media/465a10f9.Path.091813.png" TargetMode="External"/><Relationship Id="rId3011" Type="http://schemas.openxmlformats.org/officeDocument/2006/relationships/hyperlink" Target="https://ryycrdhlkmzpxwwwwupy.supabase.co/storage/v1/object/public/old_media/b7f452ac.Path.061625.webp" TargetMode="External"/><Relationship Id="rId4342" Type="http://schemas.openxmlformats.org/officeDocument/2006/relationships/hyperlink" Target="https://ryycrdhlkmzpxwwwwupy.supabase.co/storage/v1/object/public/old_media/c769fbe1.Path.044225.jpg" TargetMode="External"/><Relationship Id="rId488" Type="http://schemas.openxmlformats.org/officeDocument/2006/relationships/hyperlink" Target="https://ryycrdhlkmzpxwwwwupy.supabase.co/storage/v1/object/public/old_media/8854e18b.Path.093918.jpg" TargetMode="External"/><Relationship Id="rId3014" Type="http://schemas.openxmlformats.org/officeDocument/2006/relationships/hyperlink" Target="https://ryycrdhlkmzpxwwwwupy.supabase.co/storage/v1/object/public/old_media/14ae796c.Path.061714.webp" TargetMode="External"/><Relationship Id="rId4345" Type="http://schemas.openxmlformats.org/officeDocument/2006/relationships/hyperlink" Target="https://ryycrdhlkmzpxwwwwupy.supabase.co/storage/v1/object/public/old_media/fa798146.Path.065816.jpg" TargetMode="External"/><Relationship Id="rId487" Type="http://schemas.openxmlformats.org/officeDocument/2006/relationships/hyperlink" Target="https://ryycrdhlkmzpxwwwwupy.supabase.co/storage/v1/object/public/old_media/b5c9f224.Path.093902.jpg" TargetMode="External"/><Relationship Id="rId3013" Type="http://schemas.openxmlformats.org/officeDocument/2006/relationships/hyperlink" Target="https://ryycrdhlkmzpxwwwwupy.supabase.co/storage/v1/object/public/old_media/f6f8bfb5.Path.061650.webp" TargetMode="External"/><Relationship Id="rId4344" Type="http://schemas.openxmlformats.org/officeDocument/2006/relationships/hyperlink" Target="https://ryycrdhlkmzpxwwwwupy.supabase.co/storage/v1/object/public/old_media/86c007c2.Path.045725.jpg" TargetMode="External"/><Relationship Id="rId486" Type="http://schemas.openxmlformats.org/officeDocument/2006/relationships/hyperlink" Target="https://ryycrdhlkmzpxwwwwupy.supabase.co/storage/v1/object/public/old_media/116b350e.Path.093854.jpg" TargetMode="External"/><Relationship Id="rId3016" Type="http://schemas.openxmlformats.org/officeDocument/2006/relationships/hyperlink" Target="https://ryycrdhlkmzpxwwwwupy.supabase.co/storage/v1/object/public/old_media/311d155d.Path.061952.jpg" TargetMode="External"/><Relationship Id="rId4347" Type="http://schemas.openxmlformats.org/officeDocument/2006/relationships/hyperlink" Target="https://ryycrdhlkmzpxwwwwupy.supabase.co/storage/v1/object/public/old_media/cc810b28.Path.070024.jpg" TargetMode="External"/><Relationship Id="rId485" Type="http://schemas.openxmlformats.org/officeDocument/2006/relationships/hyperlink" Target="https://ryycrdhlkmzpxwwwwupy.supabase.co/storage/v1/object/public/old_media/88cd72a6.Path.093837.jpg" TargetMode="External"/><Relationship Id="rId3015" Type="http://schemas.openxmlformats.org/officeDocument/2006/relationships/hyperlink" Target="https://ryycrdhlkmzpxwwwwupy.supabase.co/storage/v1/object/public/old_media/dce4dee2.Path.061735.webp" TargetMode="External"/><Relationship Id="rId4346" Type="http://schemas.openxmlformats.org/officeDocument/2006/relationships/hyperlink" Target="https://ryycrdhlkmzpxwwwwupy.supabase.co/storage/v1/object/public/old_media/d34534d7.Path.065918.jpg" TargetMode="External"/><Relationship Id="rId3007" Type="http://schemas.openxmlformats.org/officeDocument/2006/relationships/hyperlink" Target="https://ryycrdhlkmzpxwwwwupy.supabase.co/storage/v1/object/public/old_media/26d5c411.Path.075930.jpg" TargetMode="External"/><Relationship Id="rId4338" Type="http://schemas.openxmlformats.org/officeDocument/2006/relationships/hyperlink" Target="https://ryycrdhlkmzpxwwwwupy.supabase.co/storage/v1/object/public/old_media/ae05c9ad.Path.072408.jpg" TargetMode="External"/><Relationship Id="rId3006" Type="http://schemas.openxmlformats.org/officeDocument/2006/relationships/hyperlink" Target="https://ryycrdhlkmzpxwwwwupy.supabase.co/storage/v1/object/public/old_media/1ab00139.Path.075921.jpg" TargetMode="External"/><Relationship Id="rId4337" Type="http://schemas.openxmlformats.org/officeDocument/2006/relationships/hyperlink" Target="https://ryycrdhlkmzpxwwwwupy.supabase.co/storage/v1/object/public/old_media/1eaad9cf.Path.072341.jpg" TargetMode="External"/><Relationship Id="rId3009" Type="http://schemas.openxmlformats.org/officeDocument/2006/relationships/hyperlink" Target="https://ryycrdhlkmzpxwwwwupy.supabase.co/storage/v1/object/public/old_media/0a98aeca.Path.075950.jpg" TargetMode="External"/><Relationship Id="rId3008" Type="http://schemas.openxmlformats.org/officeDocument/2006/relationships/hyperlink" Target="https://ryycrdhlkmzpxwwwwupy.supabase.co/storage/v1/object/public/old_media/2b705475.Path.075939.jpg" TargetMode="External"/><Relationship Id="rId4339" Type="http://schemas.openxmlformats.org/officeDocument/2006/relationships/hyperlink" Target="https://ryycrdhlkmzpxwwwwupy.supabase.co/storage/v1/object/public/old_media/8fc8d316.Path.072436.jpg" TargetMode="External"/><Relationship Id="rId480" Type="http://schemas.openxmlformats.org/officeDocument/2006/relationships/hyperlink" Target="https://ryycrdhlkmzpxwwwwupy.supabase.co/storage/v1/object/public/old_media/2a30f11f.Path.091806.jpg" TargetMode="External"/><Relationship Id="rId479" Type="http://schemas.openxmlformats.org/officeDocument/2006/relationships/hyperlink" Target="https://ryycrdhlkmzpxwwwwupy.supabase.co/storage/v1/object/public/old_media/6f489675.Path.091758.jpg" TargetMode="External"/><Relationship Id="rId478" Type="http://schemas.openxmlformats.org/officeDocument/2006/relationships/hyperlink" Target="https://ryycrdhlkmzpxwwwwupy.supabase.co/storage/v1/object/public/old_media/39b1fc44.Path.091731.jpg" TargetMode="External"/><Relationship Id="rId473" Type="http://schemas.openxmlformats.org/officeDocument/2006/relationships/hyperlink" Target="https://ryycrdhlkmzpxwwwwupy.supabase.co/storage/v1/object/public/old_media/74b07b47.Path.072315.jpg" TargetMode="External"/><Relationship Id="rId4330" Type="http://schemas.openxmlformats.org/officeDocument/2006/relationships/hyperlink" Target="https://ryycrdhlkmzpxwwwwupy.supabase.co/storage/v1/object/public/old_media/349ef548.Path.052700.avif" TargetMode="External"/><Relationship Id="rId472" Type="http://schemas.openxmlformats.org/officeDocument/2006/relationships/hyperlink" Target="https://ryycrdhlkmzpxwwwwupy.supabase.co/storage/v1/object/public/old_media/593ea3bf.Path.072249.jpg" TargetMode="External"/><Relationship Id="rId471" Type="http://schemas.openxmlformats.org/officeDocument/2006/relationships/hyperlink" Target="https://ryycrdhlkmzpxwwwwupy.supabase.co/storage/v1/object/public/old_media/9d55489c.Path.072143.jpg" TargetMode="External"/><Relationship Id="rId3001" Type="http://schemas.openxmlformats.org/officeDocument/2006/relationships/hyperlink" Target="https://ryycrdhlkmzpxwwwwupy.supabase.co/storage/v1/object/public/old_media/4bca2205.Path.064714.webp" TargetMode="External"/><Relationship Id="rId4332" Type="http://schemas.openxmlformats.org/officeDocument/2006/relationships/hyperlink" Target="https://ryycrdhlkmzpxwwwwupy.supabase.co/storage/v1/object/public/old_media/5029f123.Path.055547.webp" TargetMode="External"/><Relationship Id="rId470" Type="http://schemas.openxmlformats.org/officeDocument/2006/relationships/hyperlink" Target="https://ryycrdhlkmzpxwwwwupy.supabase.co/storage/v1/object/public/old_media/42fcdfb0.Path.072109.jpg" TargetMode="External"/><Relationship Id="rId3000" Type="http://schemas.openxmlformats.org/officeDocument/2006/relationships/hyperlink" Target="https://ryycrdhlkmzpxwwwwupy.supabase.co/storage/v1/object/public/old_media/e115bf17.Path.064706.webp" TargetMode="External"/><Relationship Id="rId4331" Type="http://schemas.openxmlformats.org/officeDocument/2006/relationships/hyperlink" Target="https://ryycrdhlkmzpxwwwwupy.supabase.co/storage/v1/object/public/old_media/b676a29a.Path.052728.avif" TargetMode="External"/><Relationship Id="rId477" Type="http://schemas.openxmlformats.org/officeDocument/2006/relationships/hyperlink" Target="https://ryycrdhlkmzpxwwwwupy.supabase.co/storage/v1/object/public/old_media/7f2ab567.Path.091712.jpg" TargetMode="External"/><Relationship Id="rId3003" Type="http://schemas.openxmlformats.org/officeDocument/2006/relationships/hyperlink" Target="https://ryycrdhlkmzpxwwwwupy.supabase.co/storage/v1/object/public/old_media/0b551abd.Path.072342.jpg" TargetMode="External"/><Relationship Id="rId4334" Type="http://schemas.openxmlformats.org/officeDocument/2006/relationships/hyperlink" Target="https://ryycrdhlkmzpxwwwwupy.supabase.co/storage/v1/object/public/old_media/66cb5685.Path.055636.avif" TargetMode="External"/><Relationship Id="rId476" Type="http://schemas.openxmlformats.org/officeDocument/2006/relationships/hyperlink" Target="https://ryycrdhlkmzpxwwwwupy.supabase.co/storage/v1/object/public/old_media/abc7ebd2.Path.091648.jpg" TargetMode="External"/><Relationship Id="rId3002" Type="http://schemas.openxmlformats.org/officeDocument/2006/relationships/hyperlink" Target="https://ryycrdhlkmzpxwwwwupy.supabase.co/storage/v1/object/public/old_media/fe05bd4f.Path.072332.jpg" TargetMode="External"/><Relationship Id="rId4333" Type="http://schemas.openxmlformats.org/officeDocument/2006/relationships/hyperlink" Target="https://ryycrdhlkmzpxwwwwupy.supabase.co/storage/v1/object/public/old_media/6ce9e7e7.Path.055612.avif" TargetMode="External"/><Relationship Id="rId475" Type="http://schemas.openxmlformats.org/officeDocument/2006/relationships/hyperlink" Target="https://ryycrdhlkmzpxwwwwupy.supabase.co/storage/v1/object/public/old_media/bdbd9da3.Path.072351.jpg" TargetMode="External"/><Relationship Id="rId3005" Type="http://schemas.openxmlformats.org/officeDocument/2006/relationships/hyperlink" Target="https://ryycrdhlkmzpxwwwwupy.supabase.co/storage/v1/object/public/old_media/d0d83ab0.Path.072411.png" TargetMode="External"/><Relationship Id="rId4336" Type="http://schemas.openxmlformats.org/officeDocument/2006/relationships/hyperlink" Target="https://ryycrdhlkmzpxwwwwupy.supabase.co/storage/v1/object/public/old_media/d04523ff.Path.055727.jpg" TargetMode="External"/><Relationship Id="rId474" Type="http://schemas.openxmlformats.org/officeDocument/2006/relationships/hyperlink" Target="https://ryycrdhlkmzpxwwwwupy.supabase.co/storage/v1/object/public/old_media/4649bad2.Path.072332.jpg" TargetMode="External"/><Relationship Id="rId3004" Type="http://schemas.openxmlformats.org/officeDocument/2006/relationships/hyperlink" Target="https://ryycrdhlkmzpxwwwwupy.supabase.co/storage/v1/object/public/old_media/d384ca0a.Path.072354.jpg" TargetMode="External"/><Relationship Id="rId4335" Type="http://schemas.openxmlformats.org/officeDocument/2006/relationships/hyperlink" Target="https://ryycrdhlkmzpxwwwwupy.supabase.co/storage/v1/object/public/old_media/ed9b2f0b.Path.055701.avif" TargetMode="External"/><Relationship Id="rId1257" Type="http://schemas.openxmlformats.org/officeDocument/2006/relationships/hyperlink" Target="https://ryycrdhlkmzpxwwwwupy.supabase.co/storage/v1/object/public/old_media/766293f4.Path.112424.jpg" TargetMode="External"/><Relationship Id="rId2588" Type="http://schemas.openxmlformats.org/officeDocument/2006/relationships/hyperlink" Target="https://ryycrdhlkmzpxwwwwupy.supabase.co/storage/v1/object/public/old_media/3ad376ae.Path.072530.jpg" TargetMode="External"/><Relationship Id="rId1258" Type="http://schemas.openxmlformats.org/officeDocument/2006/relationships/hyperlink" Target="https://ryycrdhlkmzpxwwwwupy.supabase.co/storage/v1/object/public/old_media/a95412b5.Path.112447.jpg" TargetMode="External"/><Relationship Id="rId2589" Type="http://schemas.openxmlformats.org/officeDocument/2006/relationships/hyperlink" Target="https://ryycrdhlkmzpxwwwwupy.supabase.co/storage/v1/object/public/old_media/b680677e.Path.072541.jpg" TargetMode="External"/><Relationship Id="rId1259" Type="http://schemas.openxmlformats.org/officeDocument/2006/relationships/hyperlink" Target="https://ryycrdhlkmzpxwwwwupy.supabase.co/storage/v1/object/public/old_media/3c82c208.Path.112513.jpg" TargetMode="External"/><Relationship Id="rId426" Type="http://schemas.openxmlformats.org/officeDocument/2006/relationships/hyperlink" Target="https://ryycrdhlkmzpxwwwwupy.supabase.co/storage/v1/object/public/old_media/b960be92.Path.151217.jpg" TargetMode="External"/><Relationship Id="rId425" Type="http://schemas.openxmlformats.org/officeDocument/2006/relationships/hyperlink" Target="https://ryycrdhlkmzpxwwwwupy.supabase.co/storage/v1/object/public/old_media/0374617e.Path.151133.jpg" TargetMode="External"/><Relationship Id="rId424" Type="http://schemas.openxmlformats.org/officeDocument/2006/relationships/hyperlink" Target="https://ryycrdhlkmzpxwwwwupy.supabase.co/storage/v1/object/public/old_media/5098de99.Path.151029.jpg" TargetMode="External"/><Relationship Id="rId423" Type="http://schemas.openxmlformats.org/officeDocument/2006/relationships/hyperlink" Target="https://ryycrdhlkmzpxwwwwupy.supabase.co/storage/v1/object/public/old_media/bf0f0925.Path.151004.jpg" TargetMode="External"/><Relationship Id="rId429" Type="http://schemas.openxmlformats.org/officeDocument/2006/relationships/hyperlink" Target="https://ryycrdhlkmzpxwwwwupy.supabase.co/storage/v1/object/public/old_media/041f70fe.Path.151409.jpg" TargetMode="External"/><Relationship Id="rId428" Type="http://schemas.openxmlformats.org/officeDocument/2006/relationships/hyperlink" Target="https://ryycrdhlkmzpxwwwwupy.supabase.co/storage/v1/object/public/old_media/02f9ab42.Path.151336.jpg" TargetMode="External"/><Relationship Id="rId427" Type="http://schemas.openxmlformats.org/officeDocument/2006/relationships/hyperlink" Target="https://ryycrdhlkmzpxwwwwupy.supabase.co/storage/v1/object/public/old_media/412230d5.Path.151302.jpg" TargetMode="External"/><Relationship Id="rId2580" Type="http://schemas.openxmlformats.org/officeDocument/2006/relationships/hyperlink" Target="https://ryycrdhlkmzpxwwwwupy.supabase.co/storage/v1/object/public/old_media/c2c95f4e.Path.101348.jpg" TargetMode="External"/><Relationship Id="rId1250" Type="http://schemas.openxmlformats.org/officeDocument/2006/relationships/hyperlink" Target="https://ryycrdhlkmzpxwwwwupy.supabase.co/storage/v1/object/public/old_media/2caf78a9.Path.103220.jpg" TargetMode="External"/><Relationship Id="rId2581" Type="http://schemas.openxmlformats.org/officeDocument/2006/relationships/hyperlink" Target="https://ryycrdhlkmzpxwwwwupy.supabase.co/storage/v1/object/public/old_media/157fdd59.Path.101403.jpg" TargetMode="External"/><Relationship Id="rId1251" Type="http://schemas.openxmlformats.org/officeDocument/2006/relationships/hyperlink" Target="https://ryycrdhlkmzpxwwwwupy.supabase.co/storage/v1/object/public/old_media/51a32672.Path.111727.jpg" TargetMode="External"/><Relationship Id="rId2582" Type="http://schemas.openxmlformats.org/officeDocument/2006/relationships/hyperlink" Target="https://ryycrdhlkmzpxwwwwupy.supabase.co/storage/v1/object/public/old_media/204078fa.Path.072412.jpg" TargetMode="External"/><Relationship Id="rId1252" Type="http://schemas.openxmlformats.org/officeDocument/2006/relationships/hyperlink" Target="https://ryycrdhlkmzpxwwwwupy.supabase.co/storage/v1/object/public/old_media/685663ee.Path.111805.webp" TargetMode="External"/><Relationship Id="rId2583" Type="http://schemas.openxmlformats.org/officeDocument/2006/relationships/hyperlink" Target="https://ryycrdhlkmzpxwwwwupy.supabase.co/storage/v1/object/public/old_media/b2a9578d.Path.072422.jpg" TargetMode="External"/><Relationship Id="rId422" Type="http://schemas.openxmlformats.org/officeDocument/2006/relationships/hyperlink" Target="https://ryycrdhlkmzpxwwwwupy.supabase.co/storage/v1/object/public/old_media/c4574712.Path.150942.jpg" TargetMode="External"/><Relationship Id="rId1253" Type="http://schemas.openxmlformats.org/officeDocument/2006/relationships/hyperlink" Target="https://ryycrdhlkmzpxwwwwupy.supabase.co/storage/v1/object/public/old_media/a87b6917.Path.111911.webp" TargetMode="External"/><Relationship Id="rId2584" Type="http://schemas.openxmlformats.org/officeDocument/2006/relationships/hyperlink" Target="https://ryycrdhlkmzpxwwwwupy.supabase.co/storage/v1/object/public/old_media/ef9e3a53.Path.072431.jpg" TargetMode="External"/><Relationship Id="rId421" Type="http://schemas.openxmlformats.org/officeDocument/2006/relationships/hyperlink" Target="https://ryycrdhlkmzpxwwwwupy.supabase.co/storage/v1/object/public/old_media/ba3958e6.Path.091343.jpg" TargetMode="External"/><Relationship Id="rId1254" Type="http://schemas.openxmlformats.org/officeDocument/2006/relationships/hyperlink" Target="https://ryycrdhlkmzpxwwwwupy.supabase.co/storage/v1/object/public/old_media/5f4187f7.Path.112312.jpg" TargetMode="External"/><Relationship Id="rId2585" Type="http://schemas.openxmlformats.org/officeDocument/2006/relationships/hyperlink" Target="https://ryycrdhlkmzpxwwwwupy.supabase.co/storage/v1/object/public/old_media/4267e74c.Path.072439.jpg" TargetMode="External"/><Relationship Id="rId420" Type="http://schemas.openxmlformats.org/officeDocument/2006/relationships/hyperlink" Target="https://ryycrdhlkmzpxwwwwupy.supabase.co/storage/v1/object/public/old_media/8daac296.Path.062720.jpg" TargetMode="External"/><Relationship Id="rId1255" Type="http://schemas.openxmlformats.org/officeDocument/2006/relationships/hyperlink" Target="https://ryycrdhlkmzpxwwwwupy.supabase.co/storage/v1/object/public/old_media/1c3b288e.Path.112343.jpg" TargetMode="External"/><Relationship Id="rId2586" Type="http://schemas.openxmlformats.org/officeDocument/2006/relationships/hyperlink" Target="https://ryycrdhlkmzpxwwwwupy.supabase.co/storage/v1/object/public/old_media/e9ce9ef3.Path.072448.jpg" TargetMode="External"/><Relationship Id="rId1256" Type="http://schemas.openxmlformats.org/officeDocument/2006/relationships/hyperlink" Target="https://ryycrdhlkmzpxwwwwupy.supabase.co/storage/v1/object/public/old_media/fe96de2c.Path.112405.jpg" TargetMode="External"/><Relationship Id="rId2587" Type="http://schemas.openxmlformats.org/officeDocument/2006/relationships/hyperlink" Target="https://ryycrdhlkmzpxwwwwupy.supabase.co/storage/v1/object/public/old_media/d9d9722d.Path.072512.jpg" TargetMode="External"/><Relationship Id="rId1246" Type="http://schemas.openxmlformats.org/officeDocument/2006/relationships/hyperlink" Target="https://ryycrdhlkmzpxwwwwupy.supabase.co/storage/v1/object/public/old_media/b791707e.Path.103109.jpg" TargetMode="External"/><Relationship Id="rId2577" Type="http://schemas.openxmlformats.org/officeDocument/2006/relationships/hyperlink" Target="https://ryycrdhlkmzpxwwwwupy.supabase.co/storage/v1/object/public/old_media/66b9337a.Path.114533.jpg" TargetMode="External"/><Relationship Id="rId1247" Type="http://schemas.openxmlformats.org/officeDocument/2006/relationships/hyperlink" Target="https://ryycrdhlkmzpxwwwwupy.supabase.co/storage/v1/object/public/old_media/464bacfc.Path.103127.jpg" TargetMode="External"/><Relationship Id="rId2578" Type="http://schemas.openxmlformats.org/officeDocument/2006/relationships/hyperlink" Target="https://ryycrdhlkmzpxwwwwupy.supabase.co/storage/v1/object/public/old_media/9362cd48.Path.101031.jpg" TargetMode="External"/><Relationship Id="rId1248" Type="http://schemas.openxmlformats.org/officeDocument/2006/relationships/hyperlink" Target="https://ryycrdhlkmzpxwwwwupy.supabase.co/storage/v1/object/public/old_media/cd53e566.Path.103144.jpg" TargetMode="External"/><Relationship Id="rId2579" Type="http://schemas.openxmlformats.org/officeDocument/2006/relationships/hyperlink" Target="https://ryycrdhlkmzpxwwwwupy.supabase.co/storage/v1/object/public/old_media/7eed6032.Path.101042.jpg" TargetMode="External"/><Relationship Id="rId1249" Type="http://schemas.openxmlformats.org/officeDocument/2006/relationships/hyperlink" Target="https://ryycrdhlkmzpxwwwwupy.supabase.co/storage/v1/object/public/old_media/786e615c.Path.103202.jpg" TargetMode="External"/><Relationship Id="rId415" Type="http://schemas.openxmlformats.org/officeDocument/2006/relationships/hyperlink" Target="https://ryycrdhlkmzpxwwwwupy.supabase.co/storage/v1/object/public/old_media/7211666e.Path.111946.jpg" TargetMode="External"/><Relationship Id="rId414" Type="http://schemas.openxmlformats.org/officeDocument/2006/relationships/hyperlink" Target="https://ryycrdhlkmzpxwwwwupy.supabase.co/storage/v1/object/public/old_media/7eded8a3.Path.111935.jpg" TargetMode="External"/><Relationship Id="rId413" Type="http://schemas.openxmlformats.org/officeDocument/2006/relationships/hyperlink" Target="https://ryycrdhlkmzpxwwwwupy.supabase.co/storage/v1/object/public/old_media/aac724e2.Path.111922.jpg" TargetMode="External"/><Relationship Id="rId412" Type="http://schemas.openxmlformats.org/officeDocument/2006/relationships/hyperlink" Target="https://ryycrdhlkmzpxwwwwupy.supabase.co/storage/v1/object/public/old_media/08f96171.Path.111904.jpg" TargetMode="External"/><Relationship Id="rId419" Type="http://schemas.openxmlformats.org/officeDocument/2006/relationships/hyperlink" Target="https://ryycrdhlkmzpxwwwwupy.supabase.co/storage/v1/object/public/old_media/1ead142b.Path.062446.jpg" TargetMode="External"/><Relationship Id="rId418" Type="http://schemas.openxmlformats.org/officeDocument/2006/relationships/hyperlink" Target="https://ryycrdhlkmzpxwwwwupy.supabase.co/storage/v1/object/public/old_media/425ad8ca.Path.112023.jpg" TargetMode="External"/><Relationship Id="rId417" Type="http://schemas.openxmlformats.org/officeDocument/2006/relationships/hyperlink" Target="https://ryycrdhlkmzpxwwwwupy.supabase.co/storage/v1/object/public/old_media/e797b5d7.Path.112009.jpg" TargetMode="External"/><Relationship Id="rId416" Type="http://schemas.openxmlformats.org/officeDocument/2006/relationships/hyperlink" Target="https://ryycrdhlkmzpxwwwwupy.supabase.co/storage/v1/object/public/old_media/a0390aac.Path.111958.jpg" TargetMode="External"/><Relationship Id="rId2570" Type="http://schemas.openxmlformats.org/officeDocument/2006/relationships/hyperlink" Target="https://ryycrdhlkmzpxwwwwupy.supabase.co/storage/v1/object/public/old_media/6bd2962c.Path.113652.jpg" TargetMode="External"/><Relationship Id="rId1240" Type="http://schemas.openxmlformats.org/officeDocument/2006/relationships/hyperlink" Target="https://ryycrdhlkmzpxwwwwupy.supabase.co/storage/v1/object/public/old_media/29ab6278.Path.054229.jpg" TargetMode="External"/><Relationship Id="rId2571" Type="http://schemas.openxmlformats.org/officeDocument/2006/relationships/hyperlink" Target="https://ryycrdhlkmzpxwwwwupy.supabase.co/storage/v1/object/public/old_media/36b0de47.Path.113708.jpg" TargetMode="External"/><Relationship Id="rId1241" Type="http://schemas.openxmlformats.org/officeDocument/2006/relationships/hyperlink" Target="https://ryycrdhlkmzpxwwwwupy.supabase.co/storage/v1/object/public/old_media/d3823621.Path.100632.jpg" TargetMode="External"/><Relationship Id="rId2572" Type="http://schemas.openxmlformats.org/officeDocument/2006/relationships/hyperlink" Target="https://ryycrdhlkmzpxwwwwupy.supabase.co/storage/v1/object/public/old_media/7bf93311.Path.113730.jpg" TargetMode="External"/><Relationship Id="rId411" Type="http://schemas.openxmlformats.org/officeDocument/2006/relationships/hyperlink" Target="https://ryycrdhlkmzpxwwwwupy.supabase.co/storage/v1/object/public/old_media/ed249452.Path.111834.jpg" TargetMode="External"/><Relationship Id="rId1242" Type="http://schemas.openxmlformats.org/officeDocument/2006/relationships/hyperlink" Target="https://ryycrdhlkmzpxwwwwupy.supabase.co/storage/v1/object/public/old_media/8f72f6a8.Path.101300.jpg" TargetMode="External"/><Relationship Id="rId2573" Type="http://schemas.openxmlformats.org/officeDocument/2006/relationships/hyperlink" Target="https://ryycrdhlkmzpxwwwwupy.supabase.co/storage/v1/object/public/old_media/88af260e.Path.113738.jpg" TargetMode="External"/><Relationship Id="rId410" Type="http://schemas.openxmlformats.org/officeDocument/2006/relationships/hyperlink" Target="https://ryycrdhlkmzpxwwwwupy.supabase.co/storage/v1/object/public/old_media/6793802f.Path.102912.jpg" TargetMode="External"/><Relationship Id="rId1243" Type="http://schemas.openxmlformats.org/officeDocument/2006/relationships/hyperlink" Target="https://ryycrdhlkmzpxwwwwupy.supabase.co/storage/v1/object/public/old_media/c1c0dfb8.Path.103020.jpg" TargetMode="External"/><Relationship Id="rId2574" Type="http://schemas.openxmlformats.org/officeDocument/2006/relationships/hyperlink" Target="https://ryycrdhlkmzpxwwwwupy.supabase.co/storage/v1/object/public/old_media/43e99a39.Path.113745.jpg" TargetMode="External"/><Relationship Id="rId1244" Type="http://schemas.openxmlformats.org/officeDocument/2006/relationships/hyperlink" Target="https://ryycrdhlkmzpxwwwwupy.supabase.co/storage/v1/object/public/old_media/d0bfe630.Path.103039.jpg" TargetMode="External"/><Relationship Id="rId2575" Type="http://schemas.openxmlformats.org/officeDocument/2006/relationships/hyperlink" Target="https://ryycrdhlkmzpxwwwwupy.supabase.co/storage/v1/object/public/old_media/13e01faf.Path.113758.jpg" TargetMode="External"/><Relationship Id="rId1245" Type="http://schemas.openxmlformats.org/officeDocument/2006/relationships/hyperlink" Target="https://ryycrdhlkmzpxwwwwupy.supabase.co/storage/v1/object/public/old_media/081d807d.Path.103048.jpg" TargetMode="External"/><Relationship Id="rId2576" Type="http://schemas.openxmlformats.org/officeDocument/2006/relationships/hyperlink" Target="https://ryycrdhlkmzpxwwwwupy.supabase.co/storage/v1/object/public/old_media/a8af97fc.Path.114510.jpg" TargetMode="External"/><Relationship Id="rId1279" Type="http://schemas.openxmlformats.org/officeDocument/2006/relationships/hyperlink" Target="https://ryycrdhlkmzpxwwwwupy.supabase.co/storage/v1/object/public/old_media/964a6f06.Path.114721.webp" TargetMode="External"/><Relationship Id="rId4305" Type="http://schemas.openxmlformats.org/officeDocument/2006/relationships/hyperlink" Target="https://ryycrdhlkmzpxwwwwupy.supabase.co/storage/v1/object/public/old_media/01be9f4b.Path.075643.jpg" TargetMode="External"/><Relationship Id="rId4304" Type="http://schemas.openxmlformats.org/officeDocument/2006/relationships/hyperlink" Target="https://ryycrdhlkmzpxwwwwupy.supabase.co/storage/v1/object/public/old_media/add278c2.Path.053011.jpg" TargetMode="External"/><Relationship Id="rId4307" Type="http://schemas.openxmlformats.org/officeDocument/2006/relationships/hyperlink" Target="https://ryycrdhlkmzpxwwwwupy.supabase.co/storage/v1/object/public/old_media/409c8baf.Path.103705.jpg" TargetMode="External"/><Relationship Id="rId4306" Type="http://schemas.openxmlformats.org/officeDocument/2006/relationships/hyperlink" Target="https://ryycrdhlkmzpxwwwwupy.supabase.co/storage/v1/object/public/old_media/ab1c9a90.Path.103459.jpg" TargetMode="External"/><Relationship Id="rId4309" Type="http://schemas.openxmlformats.org/officeDocument/2006/relationships/hyperlink" Target="https://ryycrdhlkmzpxwwwwupy.supabase.co/storage/v1/object/public/old_media/b6df26c2.Path.103805.jpg" TargetMode="External"/><Relationship Id="rId4308" Type="http://schemas.openxmlformats.org/officeDocument/2006/relationships/hyperlink" Target="https://ryycrdhlkmzpxwwwwupy.supabase.co/storage/v1/object/public/old_media/fd6b38b0.Path.103740.jpg" TargetMode="External"/><Relationship Id="rId448" Type="http://schemas.openxmlformats.org/officeDocument/2006/relationships/hyperlink" Target="https://ryycrdhlkmzpxwwwwupy.supabase.co/storage/v1/object/public/old_media/7a2f68a5.Path.041032.webp" TargetMode="External"/><Relationship Id="rId447" Type="http://schemas.openxmlformats.org/officeDocument/2006/relationships/hyperlink" Target="https://ryycrdhlkmzpxwwwwupy.supabase.co/storage/v1/object/public/old_media/2c5f7777.Path.041025.webp" TargetMode="External"/><Relationship Id="rId446" Type="http://schemas.openxmlformats.org/officeDocument/2006/relationships/hyperlink" Target="https://ryycrdhlkmzpxwwwwupy.supabase.co/storage/v1/object/public/old_media/b20d8d35.Path.041017.webp" TargetMode="External"/><Relationship Id="rId445" Type="http://schemas.openxmlformats.org/officeDocument/2006/relationships/hyperlink" Target="https://ryycrdhlkmzpxwwwwupy.supabase.co/storage/v1/object/public/old_media/ba4edc9a.Path.051149.jpg" TargetMode="External"/><Relationship Id="rId449" Type="http://schemas.openxmlformats.org/officeDocument/2006/relationships/hyperlink" Target="https://ryycrdhlkmzpxwwwwupy.supabase.co/storage/v1/object/public/old_media/ab5ab07c.Path.085726.jpg" TargetMode="External"/><Relationship Id="rId1270" Type="http://schemas.openxmlformats.org/officeDocument/2006/relationships/hyperlink" Target="https://ryycrdhlkmzpxwwwwupy.supabase.co/storage/v1/object/public/old_media/de9500e5.Path.072747.jpg" TargetMode="External"/><Relationship Id="rId440" Type="http://schemas.openxmlformats.org/officeDocument/2006/relationships/hyperlink" Target="https://ryycrdhlkmzpxwwwwupy.supabase.co/storage/v1/object/public/old_media/bcc5627f.Path.035800.jpg" TargetMode="External"/><Relationship Id="rId1271" Type="http://schemas.openxmlformats.org/officeDocument/2006/relationships/hyperlink" Target="https://ryycrdhlkmzpxwwwwupy.supabase.co/storage/v1/object/public/old_media/d450bcd7.Path.092542.png" TargetMode="External"/><Relationship Id="rId1272" Type="http://schemas.openxmlformats.org/officeDocument/2006/relationships/hyperlink" Target="https://ryycrdhlkmzpxwwwwupy.supabase.co/storage/v1/object/public/old_media/d0edd898.Path.092550.jpg" TargetMode="External"/><Relationship Id="rId1273" Type="http://schemas.openxmlformats.org/officeDocument/2006/relationships/hyperlink" Target="https://ryycrdhlkmzpxwwwwupy.supabase.co/storage/v1/object/public/old_media/ae71a5dc.Path.062256.jpg" TargetMode="External"/><Relationship Id="rId1274" Type="http://schemas.openxmlformats.org/officeDocument/2006/relationships/hyperlink" Target="https://ryycrdhlkmzpxwwwwupy.supabase.co/storage/v1/object/public/old_media/72f4171c.Path.114553.webp" TargetMode="External"/><Relationship Id="rId444" Type="http://schemas.openxmlformats.org/officeDocument/2006/relationships/hyperlink" Target="https://ryycrdhlkmzpxwwwwupy.supabase.co/storage/v1/object/public/old_media/29b69c1a.Path.051137.jpg" TargetMode="External"/><Relationship Id="rId1275" Type="http://schemas.openxmlformats.org/officeDocument/2006/relationships/hyperlink" Target="https://ryycrdhlkmzpxwwwwupy.supabase.co/storage/v1/object/public/old_media/68555baf.Path.114612.webp" TargetMode="External"/><Relationship Id="rId4301" Type="http://schemas.openxmlformats.org/officeDocument/2006/relationships/hyperlink" Target="https://ryycrdhlkmzpxwwwwupy.supabase.co/storage/v1/object/public/old_media/ef851690.Path.043738.jpg" TargetMode="External"/><Relationship Id="rId443" Type="http://schemas.openxmlformats.org/officeDocument/2006/relationships/hyperlink" Target="https://ryycrdhlkmzpxwwwwupy.supabase.co/storage/v1/object/public/old_media/ec1fc46f.Path.051124.jpg" TargetMode="External"/><Relationship Id="rId1276" Type="http://schemas.openxmlformats.org/officeDocument/2006/relationships/hyperlink" Target="https://ryycrdhlkmzpxwwwwupy.supabase.co/storage/v1/object/public/old_media/0e9f78c1.Path.114620.webp" TargetMode="External"/><Relationship Id="rId4300" Type="http://schemas.openxmlformats.org/officeDocument/2006/relationships/hyperlink" Target="https://ryycrdhlkmzpxwwwwupy.supabase.co/storage/v1/object/public/old_media/6effaa1e.Path.043710.jpg" TargetMode="External"/><Relationship Id="rId442" Type="http://schemas.openxmlformats.org/officeDocument/2006/relationships/hyperlink" Target="https://ryycrdhlkmzpxwwwwupy.supabase.co/storage/v1/object/public/old_media/5300875c.Path.051114.jpg" TargetMode="External"/><Relationship Id="rId1277" Type="http://schemas.openxmlformats.org/officeDocument/2006/relationships/hyperlink" Target="https://ryycrdhlkmzpxwwwwupy.supabase.co/storage/v1/object/public/old_media/dfdbbcc6.Path.114653.webp" TargetMode="External"/><Relationship Id="rId4303" Type="http://schemas.openxmlformats.org/officeDocument/2006/relationships/hyperlink" Target="https://ryycrdhlkmzpxwwwwupy.supabase.co/storage/v1/object/public/old_media/edeff2a9.Path.043851.jpg" TargetMode="External"/><Relationship Id="rId441" Type="http://schemas.openxmlformats.org/officeDocument/2006/relationships/hyperlink" Target="https://ryycrdhlkmzpxwwwwupy.supabase.co/storage/v1/object/public/old_media/4e7c290b.Path.051106.jpg" TargetMode="External"/><Relationship Id="rId1278" Type="http://schemas.openxmlformats.org/officeDocument/2006/relationships/hyperlink" Target="https://ryycrdhlkmzpxwwwwupy.supabase.co/storage/v1/object/public/old_media/787f58c4.Path.114702.webp" TargetMode="External"/><Relationship Id="rId4302" Type="http://schemas.openxmlformats.org/officeDocument/2006/relationships/hyperlink" Target="https://ryycrdhlkmzpxwwwwupy.supabase.co/storage/v1/object/public/old_media/4e1d37eb.Path.043817.jpg" TargetMode="External"/><Relationship Id="rId1268" Type="http://schemas.openxmlformats.org/officeDocument/2006/relationships/hyperlink" Target="https://ryycrdhlkmzpxwwwwupy.supabase.co/storage/v1/object/public/old_media/10896437.Path.104809.jpg" TargetMode="External"/><Relationship Id="rId2599" Type="http://schemas.openxmlformats.org/officeDocument/2006/relationships/hyperlink" Target="https://ryycrdhlkmzpxwwwwupy.supabase.co/storage/v1/object/public/old_media/88c5ad72.Path.102044.webp" TargetMode="External"/><Relationship Id="rId1269" Type="http://schemas.openxmlformats.org/officeDocument/2006/relationships/hyperlink" Target="https://ryycrdhlkmzpxwwwwupy.supabase.co/storage/v1/object/public/old_media/22bda6a5.Path.110941.jpg" TargetMode="External"/><Relationship Id="rId437" Type="http://schemas.openxmlformats.org/officeDocument/2006/relationships/hyperlink" Target="https://ryycrdhlkmzpxwwwwupy.supabase.co/storage/v1/object/public/old_media/bec1e84d.Path.113729.jpg" TargetMode="External"/><Relationship Id="rId436" Type="http://schemas.openxmlformats.org/officeDocument/2006/relationships/hyperlink" Target="https://ryycrdhlkmzpxwwwwupy.supabase.co/storage/v1/object/public/old_media/abd684a2.Path.102614.jpg" TargetMode="External"/><Relationship Id="rId435" Type="http://schemas.openxmlformats.org/officeDocument/2006/relationships/hyperlink" Target="https://ryycrdhlkmzpxwwwwupy.supabase.co/storage/v1/object/public/old_media/6d4e5d14.Path.102532.jpg" TargetMode="External"/><Relationship Id="rId434" Type="http://schemas.openxmlformats.org/officeDocument/2006/relationships/hyperlink" Target="https://ryycrdhlkmzpxwwwwupy.supabase.co/storage/v1/object/public/old_media/aade3aae.Path.151643.jpg" TargetMode="External"/><Relationship Id="rId439" Type="http://schemas.openxmlformats.org/officeDocument/2006/relationships/hyperlink" Target="https://ryycrdhlkmzpxwwwwupy.supabase.co/storage/v1/object/public/old_media/49b1d437.Path.095251.jpg" TargetMode="External"/><Relationship Id="rId438" Type="http://schemas.openxmlformats.org/officeDocument/2006/relationships/hyperlink" Target="https://ryycrdhlkmzpxwwwwupy.supabase.co/storage/v1/object/public/old_media/f4e351f5.Path.113755.jpg" TargetMode="External"/><Relationship Id="rId2590" Type="http://schemas.openxmlformats.org/officeDocument/2006/relationships/hyperlink" Target="https://ryycrdhlkmzpxwwwwupy.supabase.co/storage/v1/object/public/old_media/8968e2c1.Path.072608.jpg" TargetMode="External"/><Relationship Id="rId1260" Type="http://schemas.openxmlformats.org/officeDocument/2006/relationships/hyperlink" Target="https://ryycrdhlkmzpxwwwwupy.supabase.co/storage/v1/object/public/old_media/647190ae.Path.112610.jpg" TargetMode="External"/><Relationship Id="rId2591" Type="http://schemas.openxmlformats.org/officeDocument/2006/relationships/hyperlink" Target="https://ryycrdhlkmzpxwwwwupy.supabase.co/storage/v1/object/public/old_media/1cacdba5.Path.072631.jpg" TargetMode="External"/><Relationship Id="rId1261" Type="http://schemas.openxmlformats.org/officeDocument/2006/relationships/hyperlink" Target="https://ryycrdhlkmzpxwwwwupy.supabase.co/storage/v1/object/public/old_media/250a104b.Path.112656.jpg" TargetMode="External"/><Relationship Id="rId2592" Type="http://schemas.openxmlformats.org/officeDocument/2006/relationships/hyperlink" Target="https://ryycrdhlkmzpxwwwwupy.supabase.co/storage/v1/object/public/old_media/1dc52e52.Path.072653.jpg" TargetMode="External"/><Relationship Id="rId1262" Type="http://schemas.openxmlformats.org/officeDocument/2006/relationships/hyperlink" Target="https://ryycrdhlkmzpxwwwwupy.supabase.co/storage/v1/object/public/old_media/5118f286.Path.055401.jpg" TargetMode="External"/><Relationship Id="rId2593" Type="http://schemas.openxmlformats.org/officeDocument/2006/relationships/hyperlink" Target="https://ryycrdhlkmzpxwwwwupy.supabase.co/storage/v1/object/public/old_media/42f41676.Path.072704.jpg" TargetMode="External"/><Relationship Id="rId1263" Type="http://schemas.openxmlformats.org/officeDocument/2006/relationships/hyperlink" Target="https://ryycrdhlkmzpxwwwwupy.supabase.co/storage/v1/object/public/old_media/20e65e2a.Path.100046.jpg" TargetMode="External"/><Relationship Id="rId2594" Type="http://schemas.openxmlformats.org/officeDocument/2006/relationships/hyperlink" Target="https://ryycrdhlkmzpxwwwwupy.supabase.co/storage/v1/object/public/old_media/fbfc7918.Path.101916.jpg" TargetMode="External"/><Relationship Id="rId433" Type="http://schemas.openxmlformats.org/officeDocument/2006/relationships/hyperlink" Target="https://ryycrdhlkmzpxwwwwupy.supabase.co/storage/v1/object/public/old_media/5db8e893.Path.151614.jpg" TargetMode="External"/><Relationship Id="rId1264" Type="http://schemas.openxmlformats.org/officeDocument/2006/relationships/hyperlink" Target="https://ryycrdhlkmzpxwwwwupy.supabase.co/storage/v1/object/public/old_media/f192a9df.Path.102101.webp" TargetMode="External"/><Relationship Id="rId2595" Type="http://schemas.openxmlformats.org/officeDocument/2006/relationships/hyperlink" Target="https://ryycrdhlkmzpxwwwwupy.supabase.co/storage/v1/object/public/old_media/4e5f2f0a.Path.101949.jpg" TargetMode="External"/><Relationship Id="rId432" Type="http://schemas.openxmlformats.org/officeDocument/2006/relationships/hyperlink" Target="https://ryycrdhlkmzpxwwwwupy.supabase.co/storage/v1/object/public/old_media/e207cec8.Path.151544.jpg" TargetMode="External"/><Relationship Id="rId1265" Type="http://schemas.openxmlformats.org/officeDocument/2006/relationships/hyperlink" Target="https://ryycrdhlkmzpxwwwwupy.supabase.co/storage/v1/object/public/old_media/d87d68ad.Path.102108.jpg" TargetMode="External"/><Relationship Id="rId2596" Type="http://schemas.openxmlformats.org/officeDocument/2006/relationships/hyperlink" Target="https://ryycrdhlkmzpxwwwwupy.supabase.co/storage/v1/object/public/old_media/6fa3951b.Path.101959.jpg" TargetMode="External"/><Relationship Id="rId431" Type="http://schemas.openxmlformats.org/officeDocument/2006/relationships/hyperlink" Target="https://ryycrdhlkmzpxwwwwupy.supabase.co/storage/v1/object/public/old_media/4bdf444c.Path.151514.jpg" TargetMode="External"/><Relationship Id="rId1266" Type="http://schemas.openxmlformats.org/officeDocument/2006/relationships/hyperlink" Target="https://ryycrdhlkmzpxwwwwupy.supabase.co/storage/v1/object/public/old_media/b446e087.Path.102122.jpg" TargetMode="External"/><Relationship Id="rId2597" Type="http://schemas.openxmlformats.org/officeDocument/2006/relationships/hyperlink" Target="https://ryycrdhlkmzpxwwwwupy.supabase.co/storage/v1/object/public/old_media/9f7f52f6.Path.102015.jpg" TargetMode="External"/><Relationship Id="rId430" Type="http://schemas.openxmlformats.org/officeDocument/2006/relationships/hyperlink" Target="https://ryycrdhlkmzpxwwwwupy.supabase.co/storage/v1/object/public/old_media/a6f326b0.Path.151441.jpg" TargetMode="External"/><Relationship Id="rId1267" Type="http://schemas.openxmlformats.org/officeDocument/2006/relationships/hyperlink" Target="https://ryycrdhlkmzpxwwwwupy.supabase.co/storage/v1/object/public/old_media/e11e10ea.Path.104802.jpg" TargetMode="External"/><Relationship Id="rId2598" Type="http://schemas.openxmlformats.org/officeDocument/2006/relationships/hyperlink" Target="https://ryycrdhlkmzpxwwwwupy.supabase.co/storage/v1/object/public/old_media/ffe4c9b9.Path.102030.jpg" TargetMode="External"/><Relationship Id="rId3070" Type="http://schemas.openxmlformats.org/officeDocument/2006/relationships/hyperlink" Target="https://ryycrdhlkmzpxwwwwupy.supabase.co/storage/v1/object/public/old_media/ee223332.Path.105241.jpg" TargetMode="External"/><Relationship Id="rId3072" Type="http://schemas.openxmlformats.org/officeDocument/2006/relationships/hyperlink" Target="https://ryycrdhlkmzpxwwwwupy.supabase.co/storage/v1/object/public/old_media/f2e831ff.Path.105305.jpg" TargetMode="External"/><Relationship Id="rId3071" Type="http://schemas.openxmlformats.org/officeDocument/2006/relationships/hyperlink" Target="https://ryycrdhlkmzpxwwwwupy.supabase.co/storage/v1/object/public/old_media/179e256f.Path.105254.jpg" TargetMode="External"/><Relationship Id="rId3074" Type="http://schemas.openxmlformats.org/officeDocument/2006/relationships/hyperlink" Target="https://ryycrdhlkmzpxwwwwupy.supabase.co/storage/v1/object/public/old_media/79c14d47.Path.091117.jpg" TargetMode="External"/><Relationship Id="rId3073" Type="http://schemas.openxmlformats.org/officeDocument/2006/relationships/hyperlink" Target="https://ryycrdhlkmzpxwwwwupy.supabase.co/storage/v1/object/public/old_media/5c5d3183.Path.050405.jpg" TargetMode="External"/><Relationship Id="rId3076" Type="http://schemas.openxmlformats.org/officeDocument/2006/relationships/hyperlink" Target="https://ryycrdhlkmzpxwwwwupy.supabase.co/storage/v1/object/public/old_media/a8e22319.Path.091137.webp" TargetMode="External"/><Relationship Id="rId3075" Type="http://schemas.openxmlformats.org/officeDocument/2006/relationships/hyperlink" Target="https://ryycrdhlkmzpxwwwwupy.supabase.co/storage/v1/object/public/old_media/0df3ee20.Path.091127.jpg" TargetMode="External"/><Relationship Id="rId3078" Type="http://schemas.openxmlformats.org/officeDocument/2006/relationships/hyperlink" Target="https://ryycrdhlkmzpxwwwwupy.supabase.co/storage/v1/object/public/old_media/46a09a87.Path.091507.jpg" TargetMode="External"/><Relationship Id="rId3077" Type="http://schemas.openxmlformats.org/officeDocument/2006/relationships/hyperlink" Target="https://ryycrdhlkmzpxwwwwupy.supabase.co/storage/v1/object/public/old_media/f3ca59c2.Path.091152.webp" TargetMode="External"/><Relationship Id="rId3079" Type="http://schemas.openxmlformats.org/officeDocument/2006/relationships/hyperlink" Target="https://ryycrdhlkmzpxwwwwupy.supabase.co/storage/v1/object/public/old_media/ddf81e5f.Path.091516.jpg" TargetMode="External"/><Relationship Id="rId4390" Type="http://schemas.openxmlformats.org/officeDocument/2006/relationships/hyperlink" Target="https://ryycrdhlkmzpxwwwwupy.supabase.co/storage/v1/object/public/old_media/66e0b82c.Path.101121.avif" TargetMode="External"/><Relationship Id="rId3061" Type="http://schemas.openxmlformats.org/officeDocument/2006/relationships/hyperlink" Target="https://ryycrdhlkmzpxwwwwupy.supabase.co/storage/v1/object/public/old_media/fc812e95.Path.101811.jpg" TargetMode="External"/><Relationship Id="rId4392" Type="http://schemas.openxmlformats.org/officeDocument/2006/relationships/hyperlink" Target="https://ryycrdhlkmzpxwwwwupy.supabase.co/storage/v1/object/public/old_media/c840c58e.Path.101221.avif" TargetMode="External"/><Relationship Id="rId3060" Type="http://schemas.openxmlformats.org/officeDocument/2006/relationships/hyperlink" Target="https://ryycrdhlkmzpxwwwwupy.supabase.co/storage/v1/object/public/old_media/e9258cb6.Path.095133.jpg" TargetMode="External"/><Relationship Id="rId4391" Type="http://schemas.openxmlformats.org/officeDocument/2006/relationships/hyperlink" Target="https://ryycrdhlkmzpxwwwwupy.supabase.co/storage/v1/object/public/old_media/5db9f7ea.Path.101153.avif" TargetMode="External"/><Relationship Id="rId3063" Type="http://schemas.openxmlformats.org/officeDocument/2006/relationships/hyperlink" Target="https://ryycrdhlkmzpxwwwwupy.supabase.co/storage/v1/object/public/old_media/dd07ccc4.Path.101837.jpg" TargetMode="External"/><Relationship Id="rId4394" Type="http://schemas.openxmlformats.org/officeDocument/2006/relationships/hyperlink" Target="https://ryycrdhlkmzpxwwwwupy.supabase.co/storage/v1/object/public/old_media/0bafb328.Path.100628.jpg" TargetMode="External"/><Relationship Id="rId3062" Type="http://schemas.openxmlformats.org/officeDocument/2006/relationships/hyperlink" Target="https://ryycrdhlkmzpxwwwwupy.supabase.co/storage/v1/object/public/old_media/c2b88ef0.Path.101821.jpg" TargetMode="External"/><Relationship Id="rId4393" Type="http://schemas.openxmlformats.org/officeDocument/2006/relationships/hyperlink" Target="https://ryycrdhlkmzpxwwwwupy.supabase.co/storage/v1/object/public/old_media/60be8bc0.Path.100503.jpg" TargetMode="External"/><Relationship Id="rId3065" Type="http://schemas.openxmlformats.org/officeDocument/2006/relationships/hyperlink" Target="https://ryycrdhlkmzpxwwwwupy.supabase.co/storage/v1/object/public/old_media/d43a8177.Path.104941.jpg" TargetMode="External"/><Relationship Id="rId4396" Type="http://schemas.openxmlformats.org/officeDocument/2006/relationships/hyperlink" Target="https://ryycrdhlkmzpxwwwwupy.supabase.co/storage/v1/object/public/old_media/0db69cd5.Path.112814.jpg" TargetMode="External"/><Relationship Id="rId3064" Type="http://schemas.openxmlformats.org/officeDocument/2006/relationships/hyperlink" Target="https://ryycrdhlkmzpxwwwwupy.supabase.co/storage/v1/object/public/old_media/b9b80d0d.Path.104922.jpg" TargetMode="External"/><Relationship Id="rId4395" Type="http://schemas.openxmlformats.org/officeDocument/2006/relationships/hyperlink" Target="https://ryycrdhlkmzpxwwwwupy.supabase.co/storage/v1/object/public/old_media/cc1a6608.Path.100702.jpg" TargetMode="External"/><Relationship Id="rId3067" Type="http://schemas.openxmlformats.org/officeDocument/2006/relationships/hyperlink" Target="https://ryycrdhlkmzpxwwwwupy.supabase.co/storage/v1/object/public/old_media/1f380988.Path.105157.jpg" TargetMode="External"/><Relationship Id="rId4398" Type="http://schemas.openxmlformats.org/officeDocument/2006/relationships/hyperlink" Target="https://ryycrdhlkmzpxwwwwupy.supabase.co/storage/v1/object/public/old_media/d119d601.Path.112918.jpg" TargetMode="External"/><Relationship Id="rId3066" Type="http://schemas.openxmlformats.org/officeDocument/2006/relationships/hyperlink" Target="https://ryycrdhlkmzpxwwwwupy.supabase.co/storage/v1/object/public/old_media/08a1615c.Path.104954.jpg" TargetMode="External"/><Relationship Id="rId4397" Type="http://schemas.openxmlformats.org/officeDocument/2006/relationships/hyperlink" Target="https://ryycrdhlkmzpxwwwwupy.supabase.co/storage/v1/object/public/old_media/b8fd0574.Path.112843.jpg" TargetMode="External"/><Relationship Id="rId3069" Type="http://schemas.openxmlformats.org/officeDocument/2006/relationships/hyperlink" Target="https://ryycrdhlkmzpxwwwwupy.supabase.co/storage/v1/object/public/old_media/abe52be1.Path.105224.jpg" TargetMode="External"/><Relationship Id="rId3068" Type="http://schemas.openxmlformats.org/officeDocument/2006/relationships/hyperlink" Target="https://ryycrdhlkmzpxwwwwupy.supabase.co/storage/v1/object/public/old_media/8afe3840.Path.105209.jpg" TargetMode="External"/><Relationship Id="rId4399" Type="http://schemas.openxmlformats.org/officeDocument/2006/relationships/hyperlink" Target="https://ryycrdhlkmzpxwwwwupy.supabase.co/storage/v1/object/public/old_media/40102a4b.Path.112948.jpg" TargetMode="External"/><Relationship Id="rId3090" Type="http://schemas.openxmlformats.org/officeDocument/2006/relationships/hyperlink" Target="https://ryycrdhlkmzpxwwwwupy.supabase.co/storage/v1/object/public/old_media/e629ff0f.Path.055214.jpg" TargetMode="External"/><Relationship Id="rId3092" Type="http://schemas.openxmlformats.org/officeDocument/2006/relationships/hyperlink" Target="https://ryycrdhlkmzpxwwwwupy.supabase.co/storage/v1/object/public/old_media/5e22e79d.Path.055325.jpg" TargetMode="External"/><Relationship Id="rId3091" Type="http://schemas.openxmlformats.org/officeDocument/2006/relationships/hyperlink" Target="https://ryycrdhlkmzpxwwwwupy.supabase.co/storage/v1/object/public/old_media/07a40fea.Path.055249.jpg" TargetMode="External"/><Relationship Id="rId3094" Type="http://schemas.openxmlformats.org/officeDocument/2006/relationships/hyperlink" Target="https://ryycrdhlkmzpxwwwwupy.supabase.co/storage/v1/object/public/old_media/8ed9699c.Path.055444.jpg" TargetMode="External"/><Relationship Id="rId3093" Type="http://schemas.openxmlformats.org/officeDocument/2006/relationships/hyperlink" Target="https://ryycrdhlkmzpxwwwwupy.supabase.co/storage/v1/object/public/old_media/1c068ae7.Path.055405.jpg" TargetMode="External"/><Relationship Id="rId3096" Type="http://schemas.openxmlformats.org/officeDocument/2006/relationships/hyperlink" Target="https://ryycrdhlkmzpxwwwwupy.supabase.co/storage/v1/object/public/old_media/74560ce9.Path.055526.jpg" TargetMode="External"/><Relationship Id="rId3095" Type="http://schemas.openxmlformats.org/officeDocument/2006/relationships/hyperlink" Target="https://ryycrdhlkmzpxwwwwupy.supabase.co/storage/v1/object/public/old_media/203d81d4.Path.055514.jpg" TargetMode="External"/><Relationship Id="rId3098" Type="http://schemas.openxmlformats.org/officeDocument/2006/relationships/hyperlink" Target="https://ryycrdhlkmzpxwwwwupy.supabase.co/storage/v1/object/public/old_media/7398dca3.Path.053003.jpg" TargetMode="External"/><Relationship Id="rId3097" Type="http://schemas.openxmlformats.org/officeDocument/2006/relationships/hyperlink" Target="https://ryycrdhlkmzpxwwwwupy.supabase.co/storage/v1/object/public/old_media/c63865da.Path.052952.jpg" TargetMode="External"/><Relationship Id="rId3099" Type="http://schemas.openxmlformats.org/officeDocument/2006/relationships/hyperlink" Target="https://ryycrdhlkmzpxwwwwupy.supabase.co/storage/v1/object/public/old_media/1c916b57.Path.053019.jpg" TargetMode="External"/><Relationship Id="rId3081" Type="http://schemas.openxmlformats.org/officeDocument/2006/relationships/hyperlink" Target="https://ryycrdhlkmzpxwwwwupy.supabase.co/storage/v1/object/public/old_media/e6bcd431.Path.091535.jpg" TargetMode="External"/><Relationship Id="rId3080" Type="http://schemas.openxmlformats.org/officeDocument/2006/relationships/hyperlink" Target="https://ryycrdhlkmzpxwwwwupy.supabase.co/storage/v1/object/public/old_media/e4acc937.Path.091526.jpg" TargetMode="External"/><Relationship Id="rId3083" Type="http://schemas.openxmlformats.org/officeDocument/2006/relationships/hyperlink" Target="https://ryycrdhlkmzpxwwwwupy.supabase.co/storage/v1/object/public/old_media/358f919c.Path.102245.jpg" TargetMode="External"/><Relationship Id="rId3082" Type="http://schemas.openxmlformats.org/officeDocument/2006/relationships/hyperlink" Target="https://ryycrdhlkmzpxwwwwupy.supabase.co/storage/v1/object/public/old_media/a9d9ddbb.Path.091633.jpg" TargetMode="External"/><Relationship Id="rId3085" Type="http://schemas.openxmlformats.org/officeDocument/2006/relationships/hyperlink" Target="https://ryycrdhlkmzpxwwwwupy.supabase.co/storage/v1/object/public/old_media/3aa2c8a1.Path.055039.jpg" TargetMode="External"/><Relationship Id="rId3084" Type="http://schemas.openxmlformats.org/officeDocument/2006/relationships/hyperlink" Target="https://ryycrdhlkmzpxwwwwupy.supabase.co/storage/v1/object/public/old_media/5584af17.Path.102256.jpg" TargetMode="External"/><Relationship Id="rId3087" Type="http://schemas.openxmlformats.org/officeDocument/2006/relationships/hyperlink" Target="https://ryycrdhlkmzpxwwwwupy.supabase.co/storage/v1/object/public/old_media/7d07a101.Path.055114.jpg" TargetMode="External"/><Relationship Id="rId3086" Type="http://schemas.openxmlformats.org/officeDocument/2006/relationships/hyperlink" Target="https://ryycrdhlkmzpxwwwwupy.supabase.co/storage/v1/object/public/old_media/e264e8a0.Path.055057.jpg" TargetMode="External"/><Relationship Id="rId3089" Type="http://schemas.openxmlformats.org/officeDocument/2006/relationships/hyperlink" Target="https://ryycrdhlkmzpxwwwwupy.supabase.co/storage/v1/object/public/old_media/c040f413.Path.055154.jpg" TargetMode="External"/><Relationship Id="rId3088" Type="http://schemas.openxmlformats.org/officeDocument/2006/relationships/hyperlink" Target="https://ryycrdhlkmzpxwwwwupy.supabase.co/storage/v1/object/public/old_media/b17c94ee.Path.055131.jpg" TargetMode="External"/><Relationship Id="rId3039" Type="http://schemas.openxmlformats.org/officeDocument/2006/relationships/hyperlink" Target="https://ryycrdhlkmzpxwwwwupy.supabase.co/storage/v1/object/public/old_media/8316951c.Path.095131.jpg" TargetMode="External"/><Relationship Id="rId1" Type="http://schemas.openxmlformats.org/officeDocument/2006/relationships/hyperlink" Target="https://ryycrdhlkmzpxwwwwupy.supabase.co/storage/v1/object/public/old_media/dc9facdf.Path.220951.jpg" TargetMode="External"/><Relationship Id="rId2" Type="http://schemas.openxmlformats.org/officeDocument/2006/relationships/hyperlink" Target="https://ryycrdhlkmzpxwwwwupy.supabase.co/storage/v1/object/public/old_media/0dde0989.Path.221010.jpg" TargetMode="External"/><Relationship Id="rId3" Type="http://schemas.openxmlformats.org/officeDocument/2006/relationships/hyperlink" Target="https://ryycrdhlkmzpxwwwwupy.supabase.co/storage/v1/object/public/old_media/9d5e3aa0.Path.154505.jpg" TargetMode="External"/><Relationship Id="rId4" Type="http://schemas.openxmlformats.org/officeDocument/2006/relationships/hyperlink" Target="https://ryycrdhlkmzpxwwwwupy.supabase.co/storage/v1/object/public/old_media/826855f7.Path.161307.jpg" TargetMode="External"/><Relationship Id="rId3030" Type="http://schemas.openxmlformats.org/officeDocument/2006/relationships/hyperlink" Target="https://ryycrdhlkmzpxwwwwupy.supabase.co/storage/v1/object/public/old_media/119a8ad4.Path.074453.jpg" TargetMode="External"/><Relationship Id="rId4361" Type="http://schemas.openxmlformats.org/officeDocument/2006/relationships/hyperlink" Target="https://ryycrdhlkmzpxwwwwupy.supabase.co/storage/v1/object/public/old_media/b9111de7.Path.101211.jpg" TargetMode="External"/><Relationship Id="rId4360" Type="http://schemas.openxmlformats.org/officeDocument/2006/relationships/hyperlink" Target="https://ryycrdhlkmzpxwwwwupy.supabase.co/storage/v1/object/public/old_media/3089c6de.Path.101117.jpg" TargetMode="External"/><Relationship Id="rId9" Type="http://schemas.openxmlformats.org/officeDocument/2006/relationships/hyperlink" Target="https://ryycrdhlkmzpxwwwwupy.supabase.co/storage/v1/object/public/old_media/08efbe45.Path.055326.jpg" TargetMode="External"/><Relationship Id="rId3032" Type="http://schemas.openxmlformats.org/officeDocument/2006/relationships/hyperlink" Target="https://ryycrdhlkmzpxwwwwupy.supabase.co/storage/v1/object/public/old_media/6acc4986.Path.074837.jpg" TargetMode="External"/><Relationship Id="rId4363" Type="http://schemas.openxmlformats.org/officeDocument/2006/relationships/hyperlink" Target="https://ryycrdhlkmzpxwwwwupy.supabase.co/storage/v1/object/public/old_media/62ead3ed.Path.101330.jpg" TargetMode="External"/><Relationship Id="rId3031" Type="http://schemas.openxmlformats.org/officeDocument/2006/relationships/hyperlink" Target="https://ryycrdhlkmzpxwwwwupy.supabase.co/storage/v1/object/public/old_media/d12c1f37.Path.074503.jpg" TargetMode="External"/><Relationship Id="rId4362" Type="http://schemas.openxmlformats.org/officeDocument/2006/relationships/hyperlink" Target="https://ryycrdhlkmzpxwwwwupy.supabase.co/storage/v1/object/public/old_media/782e38da.Path.101253.jpg" TargetMode="External"/><Relationship Id="rId3034" Type="http://schemas.openxmlformats.org/officeDocument/2006/relationships/hyperlink" Target="https://ryycrdhlkmzpxwwwwupy.supabase.co/storage/v1/object/public/old_media/aad07944.Path.074855.jpg" TargetMode="External"/><Relationship Id="rId4365" Type="http://schemas.openxmlformats.org/officeDocument/2006/relationships/hyperlink" Target="https://ryycrdhlkmzpxwwwwupy.supabase.co/storage/v1/object/public/old_media/5177ea17.Path.101438.jpg" TargetMode="External"/><Relationship Id="rId3033" Type="http://schemas.openxmlformats.org/officeDocument/2006/relationships/hyperlink" Target="https://ryycrdhlkmzpxwwwwupy.supabase.co/storage/v1/object/public/old_media/7640d6d9.Path.074846.jpg" TargetMode="External"/><Relationship Id="rId4364" Type="http://schemas.openxmlformats.org/officeDocument/2006/relationships/hyperlink" Target="https://ryycrdhlkmzpxwwwwupy.supabase.co/storage/v1/object/public/old_media/78bf1e2e.Path.101405.jpg" TargetMode="External"/><Relationship Id="rId5" Type="http://schemas.openxmlformats.org/officeDocument/2006/relationships/hyperlink" Target="https://ryycrdhlkmzpxwwwwupy.supabase.co/storage/v1/object/public/old_media/3b663cce.Path.161344.jpg" TargetMode="External"/><Relationship Id="rId3036" Type="http://schemas.openxmlformats.org/officeDocument/2006/relationships/hyperlink" Target="https://ryycrdhlkmzpxwwwwupy.supabase.co/storage/v1/object/public/old_media/96431c5b.Path.074912.jpg" TargetMode="External"/><Relationship Id="rId4367" Type="http://schemas.openxmlformats.org/officeDocument/2006/relationships/hyperlink" Target="https://ryycrdhlkmzpxwwwwupy.supabase.co/storage/v1/object/public/old_media/365b57a0.Path.061629.jpg" TargetMode="External"/><Relationship Id="rId6" Type="http://schemas.openxmlformats.org/officeDocument/2006/relationships/hyperlink" Target="https://ryycrdhlkmzpxwwwwupy.supabase.co/storage/v1/object/public/old_media/3b0fafaa.Path.115610.jpg" TargetMode="External"/><Relationship Id="rId3035" Type="http://schemas.openxmlformats.org/officeDocument/2006/relationships/hyperlink" Target="https://ryycrdhlkmzpxwwwwupy.supabase.co/storage/v1/object/public/old_media/306535c6.Path.074904.jpg" TargetMode="External"/><Relationship Id="rId4366" Type="http://schemas.openxmlformats.org/officeDocument/2006/relationships/hyperlink" Target="https://ryycrdhlkmzpxwwwwupy.supabase.co/storage/v1/object/public/old_media/192ccf60.Path.101543.jpg" TargetMode="External"/><Relationship Id="rId7" Type="http://schemas.openxmlformats.org/officeDocument/2006/relationships/hyperlink" Target="https://ryycrdhlkmzpxwwwwupy.supabase.co/storage/v1/object/public/old_media/5d67c1e2.Path.055324.jpg" TargetMode="External"/><Relationship Id="rId3038" Type="http://schemas.openxmlformats.org/officeDocument/2006/relationships/hyperlink" Target="https://ryycrdhlkmzpxwwwwupy.supabase.co/storage/v1/object/public/old_media/afd5d5c9.Path.095122.jpg" TargetMode="External"/><Relationship Id="rId4369" Type="http://schemas.openxmlformats.org/officeDocument/2006/relationships/hyperlink" Target="https://ryycrdhlkmzpxwwwwupy.supabase.co/storage/v1/object/public/old_media/cd97e869.Path.095142.png" TargetMode="External"/><Relationship Id="rId8" Type="http://schemas.openxmlformats.org/officeDocument/2006/relationships/hyperlink" Target="https://ryycrdhlkmzpxwwwwupy.supabase.co/storage/v1/object/public/old_media/089c21da.Path.055352.jpg" TargetMode="External"/><Relationship Id="rId3037" Type="http://schemas.openxmlformats.org/officeDocument/2006/relationships/hyperlink" Target="https://ryycrdhlkmzpxwwwwupy.supabase.co/storage/v1/object/public/old_media/1f34e97b.Path.095114.jpg" TargetMode="External"/><Relationship Id="rId4368" Type="http://schemas.openxmlformats.org/officeDocument/2006/relationships/hyperlink" Target="https://ryycrdhlkmzpxwwwwupy.supabase.co/storage/v1/object/public/old_media/3658d894.Path.095059.png" TargetMode="External"/><Relationship Id="rId3029" Type="http://schemas.openxmlformats.org/officeDocument/2006/relationships/hyperlink" Target="https://ryycrdhlkmzpxwwwwupy.supabase.co/storage/v1/object/public/old_media/d318e291.Path.074444.jpg" TargetMode="External"/><Relationship Id="rId3028" Type="http://schemas.openxmlformats.org/officeDocument/2006/relationships/hyperlink" Target="https://ryycrdhlkmzpxwwwwupy.supabase.co/storage/v1/object/public/old_media/c8ffa572.Path.074436.jpg" TargetMode="External"/><Relationship Id="rId4359" Type="http://schemas.openxmlformats.org/officeDocument/2006/relationships/hyperlink" Target="https://ryycrdhlkmzpxwwwwupy.supabase.co/storage/v1/object/public/old_media/6cbcd5a1.Path.101036.jpg" TargetMode="External"/><Relationship Id="rId4350" Type="http://schemas.openxmlformats.org/officeDocument/2006/relationships/hyperlink" Target="https://ryycrdhlkmzpxwwwwupy.supabase.co/storage/v1/object/public/old_media/697ce58e.Path.070337.jpg" TargetMode="External"/><Relationship Id="rId3021" Type="http://schemas.openxmlformats.org/officeDocument/2006/relationships/hyperlink" Target="https://ryycrdhlkmzpxwwwwupy.supabase.co/storage/v1/object/public/old_media/1933ab60.Path.064249.jpg" TargetMode="External"/><Relationship Id="rId4352" Type="http://schemas.openxmlformats.org/officeDocument/2006/relationships/hyperlink" Target="https://ryycrdhlkmzpxwwwwupy.supabase.co/storage/v1/object/public/old_media/2151b27f.Path.071249.jpg" TargetMode="External"/><Relationship Id="rId3020" Type="http://schemas.openxmlformats.org/officeDocument/2006/relationships/hyperlink" Target="https://ryycrdhlkmzpxwwwwupy.supabase.co/storage/v1/object/public/old_media/44f0e2dd.Path.064240.jpg" TargetMode="External"/><Relationship Id="rId4351" Type="http://schemas.openxmlformats.org/officeDocument/2006/relationships/hyperlink" Target="https://ryycrdhlkmzpxwwwwupy.supabase.co/storage/v1/object/public/old_media/fa8cc064.Path.070755.jpg" TargetMode="External"/><Relationship Id="rId3023" Type="http://schemas.openxmlformats.org/officeDocument/2006/relationships/hyperlink" Target="https://ryycrdhlkmzpxwwwwupy.supabase.co/storage/v1/object/public/old_media/c01571d3.Path.065941.webp" TargetMode="External"/><Relationship Id="rId4354" Type="http://schemas.openxmlformats.org/officeDocument/2006/relationships/hyperlink" Target="https://ryycrdhlkmzpxwwwwupy.supabase.co/storage/v1/object/public/old_media/d19c7d9d.Path.092347.jpg" TargetMode="External"/><Relationship Id="rId3022" Type="http://schemas.openxmlformats.org/officeDocument/2006/relationships/hyperlink" Target="https://ryycrdhlkmzpxwwwwupy.supabase.co/storage/v1/object/public/old_media/73c732dd.Path.064320.jpg" TargetMode="External"/><Relationship Id="rId4353" Type="http://schemas.openxmlformats.org/officeDocument/2006/relationships/hyperlink" Target="https://ryycrdhlkmzpxwwwwupy.supabase.co/storage/v1/object/public/old_media/85f1f50b.Path.092320.jpg" TargetMode="External"/><Relationship Id="rId3025" Type="http://schemas.openxmlformats.org/officeDocument/2006/relationships/hyperlink" Target="https://ryycrdhlkmzpxwwwwupy.supabase.co/storage/v1/object/public/old_media/b7f3be4a.Path.065959.webp" TargetMode="External"/><Relationship Id="rId4356" Type="http://schemas.openxmlformats.org/officeDocument/2006/relationships/hyperlink" Target="https://ryycrdhlkmzpxwwwwupy.supabase.co/storage/v1/object/public/old_media/cdb05e1d.Path.092708.webp" TargetMode="External"/><Relationship Id="rId3024" Type="http://schemas.openxmlformats.org/officeDocument/2006/relationships/hyperlink" Target="https://ryycrdhlkmzpxwwwwupy.supabase.co/storage/v1/object/public/old_media/95ca70c8.Path.065951.webp" TargetMode="External"/><Relationship Id="rId4355" Type="http://schemas.openxmlformats.org/officeDocument/2006/relationships/hyperlink" Target="https://ryycrdhlkmzpxwwwwupy.supabase.co/storage/v1/object/public/old_media/cc8c5af2.Path.092414.jpg" TargetMode="External"/><Relationship Id="rId3027" Type="http://schemas.openxmlformats.org/officeDocument/2006/relationships/hyperlink" Target="https://ryycrdhlkmzpxwwwwupy.supabase.co/storage/v1/object/public/old_media/ed181215.Path.074418.jpg" TargetMode="External"/><Relationship Id="rId4358" Type="http://schemas.openxmlformats.org/officeDocument/2006/relationships/hyperlink" Target="https://ryycrdhlkmzpxwwwwupy.supabase.co/storage/v1/object/public/old_media/b570293f.Path.092758.webp" TargetMode="External"/><Relationship Id="rId3026" Type="http://schemas.openxmlformats.org/officeDocument/2006/relationships/hyperlink" Target="https://ryycrdhlkmzpxwwwwupy.supabase.co/storage/v1/object/public/old_media/681608eb.Path.070047.webp" TargetMode="External"/><Relationship Id="rId4357" Type="http://schemas.openxmlformats.org/officeDocument/2006/relationships/hyperlink" Target="https://ryycrdhlkmzpxwwwwupy.supabase.co/storage/v1/object/public/old_media/68ae4492.Path.092734.webp" TargetMode="External"/><Relationship Id="rId3050" Type="http://schemas.openxmlformats.org/officeDocument/2006/relationships/hyperlink" Target="https://ryycrdhlkmzpxwwwwupy.supabase.co/storage/v1/object/public/old_media/81ca9dbc.Path.075328.jpg" TargetMode="External"/><Relationship Id="rId4381" Type="http://schemas.openxmlformats.org/officeDocument/2006/relationships/hyperlink" Target="https://ryycrdhlkmzpxwwwwupy.supabase.co/storage/v1/object/public/old_media/58ff1d4d.Path.053216.jpg" TargetMode="External"/><Relationship Id="rId4380" Type="http://schemas.openxmlformats.org/officeDocument/2006/relationships/hyperlink" Target="https://ryycrdhlkmzpxwwwwupy.supabase.co/storage/v1/object/public/old_media/8b81eade.Path.053149.jpg" TargetMode="External"/><Relationship Id="rId3052" Type="http://schemas.openxmlformats.org/officeDocument/2006/relationships/hyperlink" Target="https://ryycrdhlkmzpxwwwwupy.supabase.co/storage/v1/object/public/old_media/0aa47688.Path.075351.jpg" TargetMode="External"/><Relationship Id="rId4383" Type="http://schemas.openxmlformats.org/officeDocument/2006/relationships/hyperlink" Target="https://ryycrdhlkmzpxwwwwupy.supabase.co/storage/v1/object/public/old_media/e07544df.Path.073519.jpg" TargetMode="External"/><Relationship Id="rId3051" Type="http://schemas.openxmlformats.org/officeDocument/2006/relationships/hyperlink" Target="https://ryycrdhlkmzpxwwwwupy.supabase.co/storage/v1/object/public/old_media/b4f26b76.Path.075340.jpg" TargetMode="External"/><Relationship Id="rId4382" Type="http://schemas.openxmlformats.org/officeDocument/2006/relationships/hyperlink" Target="https://ryycrdhlkmzpxwwwwupy.supabase.co/storage/v1/object/public/old_media/c4b5ac30.Path.073447.jpg" TargetMode="External"/><Relationship Id="rId3054" Type="http://schemas.openxmlformats.org/officeDocument/2006/relationships/hyperlink" Target="https://ryycrdhlkmzpxwwwwupy.supabase.co/storage/v1/object/public/old_media/fe270c65.Path.075425.jpg" TargetMode="External"/><Relationship Id="rId4385" Type="http://schemas.openxmlformats.org/officeDocument/2006/relationships/hyperlink" Target="https://ryycrdhlkmzpxwwwwupy.supabase.co/storage/v1/object/public/old_media/2a27f4b4.Path.073620.jpg" TargetMode="External"/><Relationship Id="rId3053" Type="http://schemas.openxmlformats.org/officeDocument/2006/relationships/hyperlink" Target="https://ryycrdhlkmzpxwwwwupy.supabase.co/storage/v1/object/public/old_media/38b6b32b.Path.075402.jpg" TargetMode="External"/><Relationship Id="rId4384" Type="http://schemas.openxmlformats.org/officeDocument/2006/relationships/hyperlink" Target="https://ryycrdhlkmzpxwwwwupy.supabase.co/storage/v1/object/public/old_media/233d69fa.Path.073551.jpg" TargetMode="External"/><Relationship Id="rId3056" Type="http://schemas.openxmlformats.org/officeDocument/2006/relationships/hyperlink" Target="https://ryycrdhlkmzpxwwwwupy.supabase.co/storage/v1/object/public/old_media/bcca7711.Path.095030.jpg" TargetMode="External"/><Relationship Id="rId4387" Type="http://schemas.openxmlformats.org/officeDocument/2006/relationships/hyperlink" Target="https://ryycrdhlkmzpxwwwwupy.supabase.co/storage/v1/object/public/old_media/da7a44c8.Path.073724.jpg" TargetMode="External"/><Relationship Id="rId3055" Type="http://schemas.openxmlformats.org/officeDocument/2006/relationships/hyperlink" Target="https://ryycrdhlkmzpxwwwwupy.supabase.co/storage/v1/object/public/old_media/aa8c0b78.Path.095013.jpg" TargetMode="External"/><Relationship Id="rId4386" Type="http://schemas.openxmlformats.org/officeDocument/2006/relationships/hyperlink" Target="https://ryycrdhlkmzpxwwwwupy.supabase.co/storage/v1/object/public/old_media/ca9a4086.Path.073651.jpg" TargetMode="External"/><Relationship Id="rId3058" Type="http://schemas.openxmlformats.org/officeDocument/2006/relationships/hyperlink" Target="https://ryycrdhlkmzpxwwwwupy.supabase.co/storage/v1/object/public/old_media/29737bb7.Path.095101.jpg" TargetMode="External"/><Relationship Id="rId4389" Type="http://schemas.openxmlformats.org/officeDocument/2006/relationships/hyperlink" Target="https://ryycrdhlkmzpxwwwwupy.supabase.co/storage/v1/object/public/old_media/0c894bd1.Path.101052.avif" TargetMode="External"/><Relationship Id="rId3057" Type="http://schemas.openxmlformats.org/officeDocument/2006/relationships/hyperlink" Target="https://ryycrdhlkmzpxwwwwupy.supabase.co/storage/v1/object/public/old_media/c6e8da24.Path.095047.jpg" TargetMode="External"/><Relationship Id="rId4388" Type="http://schemas.openxmlformats.org/officeDocument/2006/relationships/hyperlink" Target="https://ryycrdhlkmzpxwwwwupy.supabase.co/storage/v1/object/public/old_media/86723b5b.Path.101023.jpg" TargetMode="External"/><Relationship Id="rId3059" Type="http://schemas.openxmlformats.org/officeDocument/2006/relationships/hyperlink" Target="https://ryycrdhlkmzpxwwwwupy.supabase.co/storage/v1/object/public/old_media/8d60cb57.Path.095116.jpg" TargetMode="External"/><Relationship Id="rId4370" Type="http://schemas.openxmlformats.org/officeDocument/2006/relationships/hyperlink" Target="https://ryycrdhlkmzpxwwwwupy.supabase.co/storage/v1/object/public/old_media/d558038e.Path.095209.png" TargetMode="External"/><Relationship Id="rId3041" Type="http://schemas.openxmlformats.org/officeDocument/2006/relationships/hyperlink" Target="https://ryycrdhlkmzpxwwwwupy.supabase.co/storage/v1/object/public/old_media/79334d7a.Path.095152.jpg" TargetMode="External"/><Relationship Id="rId4372" Type="http://schemas.openxmlformats.org/officeDocument/2006/relationships/hyperlink" Target="https://ryycrdhlkmzpxwwwwupy.supabase.co/storage/v1/object/public/old_media/4d196c87.Path.105057.png" TargetMode="External"/><Relationship Id="rId3040" Type="http://schemas.openxmlformats.org/officeDocument/2006/relationships/hyperlink" Target="https://ryycrdhlkmzpxwwwwupy.supabase.co/storage/v1/object/public/old_media/885d5ae2.Path.095144.jpg" TargetMode="External"/><Relationship Id="rId4371" Type="http://schemas.openxmlformats.org/officeDocument/2006/relationships/hyperlink" Target="https://ryycrdhlkmzpxwwwwupy.supabase.co/storage/v1/object/public/old_media/d1d1c7fd.Path.095236.png" TargetMode="External"/><Relationship Id="rId3043" Type="http://schemas.openxmlformats.org/officeDocument/2006/relationships/hyperlink" Target="https://ryycrdhlkmzpxwwwwupy.supabase.co/storage/v1/object/public/old_media/dbfcb703.Path.105237.jpg" TargetMode="External"/><Relationship Id="rId4374" Type="http://schemas.openxmlformats.org/officeDocument/2006/relationships/hyperlink" Target="https://ryycrdhlkmzpxwwwwupy.supabase.co/storage/v1/object/public/old_media/19214541.Path.105222.png" TargetMode="External"/><Relationship Id="rId3042" Type="http://schemas.openxmlformats.org/officeDocument/2006/relationships/hyperlink" Target="https://ryycrdhlkmzpxwwwwupy.supabase.co/storage/v1/object/public/old_media/5afd00ff.Path.105225.jpg" TargetMode="External"/><Relationship Id="rId4373" Type="http://schemas.openxmlformats.org/officeDocument/2006/relationships/hyperlink" Target="https://ryycrdhlkmzpxwwwwupy.supabase.co/storage/v1/object/public/old_media/b8c15a7e.Path.105132.jpg" TargetMode="External"/><Relationship Id="rId3045" Type="http://schemas.openxmlformats.org/officeDocument/2006/relationships/hyperlink" Target="https://ryycrdhlkmzpxwwwwupy.supabase.co/storage/v1/object/public/old_media/a6542ae9.Path.105259.jpg" TargetMode="External"/><Relationship Id="rId4376" Type="http://schemas.openxmlformats.org/officeDocument/2006/relationships/hyperlink" Target="https://ryycrdhlkmzpxwwwwupy.supabase.co/storage/v1/object/public/old_media/9c661754.Path.105844.jpg" TargetMode="External"/><Relationship Id="rId3044" Type="http://schemas.openxmlformats.org/officeDocument/2006/relationships/hyperlink" Target="https://ryycrdhlkmzpxwwwwupy.supabase.co/storage/v1/object/public/old_media/42bb78e3.Path.105249.jpg" TargetMode="External"/><Relationship Id="rId4375" Type="http://schemas.openxmlformats.org/officeDocument/2006/relationships/hyperlink" Target="https://ryycrdhlkmzpxwwwwupy.supabase.co/storage/v1/object/public/old_media/cd085b33.Path.105320.jpg" TargetMode="External"/><Relationship Id="rId3047" Type="http://schemas.openxmlformats.org/officeDocument/2006/relationships/hyperlink" Target="https://ryycrdhlkmzpxwwwwupy.supabase.co/storage/v1/object/public/old_media/547446cd.Path.064935.jpg" TargetMode="External"/><Relationship Id="rId4378" Type="http://schemas.openxmlformats.org/officeDocument/2006/relationships/hyperlink" Target="https://ryycrdhlkmzpxwwwwupy.supabase.co/storage/v1/object/public/old_media/81dbad94.Path.053052.jpg" TargetMode="External"/><Relationship Id="rId3046" Type="http://schemas.openxmlformats.org/officeDocument/2006/relationships/hyperlink" Target="https://ryycrdhlkmzpxwwwwupy.supabase.co/storage/v1/object/public/old_media/c66c653a.Path.064853.jpg" TargetMode="External"/><Relationship Id="rId4377" Type="http://schemas.openxmlformats.org/officeDocument/2006/relationships/hyperlink" Target="https://ryycrdhlkmzpxwwwwupy.supabase.co/storage/v1/object/public/old_media/54f024f5.Path.053017.jpg" TargetMode="External"/><Relationship Id="rId3049" Type="http://schemas.openxmlformats.org/officeDocument/2006/relationships/hyperlink" Target="https://ryycrdhlkmzpxwwwwupy.supabase.co/storage/v1/object/public/old_media/4c98b5c8.Path.075313.jpg" TargetMode="External"/><Relationship Id="rId3048" Type="http://schemas.openxmlformats.org/officeDocument/2006/relationships/hyperlink" Target="https://ryycrdhlkmzpxwwwwupy.supabase.co/storage/v1/object/public/old_media/54a39996.Path.075259.jpg" TargetMode="External"/><Relationship Id="rId4379" Type="http://schemas.openxmlformats.org/officeDocument/2006/relationships/hyperlink" Target="https://ryycrdhlkmzpxwwwwupy.supabase.co/storage/v1/object/public/old_media/f30fd7ed.Path.053120.jpg" TargetMode="External"/><Relationship Id="rId3911" Type="http://schemas.openxmlformats.org/officeDocument/2006/relationships/hyperlink" Target="https://ryycrdhlkmzpxwwwwupy.supabase.co/storage/v1/object/public/old_media/89afff00.Path.113807.jpg" TargetMode="External"/><Relationship Id="rId3910" Type="http://schemas.openxmlformats.org/officeDocument/2006/relationships/hyperlink" Target="https://ryycrdhlkmzpxwwwwupy.supabase.co/storage/v1/object/public/old_media/8c278568.Path.113737.jpg" TargetMode="External"/><Relationship Id="rId3913" Type="http://schemas.openxmlformats.org/officeDocument/2006/relationships/hyperlink" Target="https://ryycrdhlkmzpxwwwwupy.supabase.co/storage/v1/object/public/old_media/9c68cfb2.Path.113907.jpg" TargetMode="External"/><Relationship Id="rId3912" Type="http://schemas.openxmlformats.org/officeDocument/2006/relationships/hyperlink" Target="https://ryycrdhlkmzpxwwwwupy.supabase.co/storage/v1/object/public/old_media/f74753d3.Path.113833.jpg" TargetMode="External"/><Relationship Id="rId3915" Type="http://schemas.openxmlformats.org/officeDocument/2006/relationships/hyperlink" Target="https://ryycrdhlkmzpxwwwwupy.supabase.co/storage/v1/object/public/old_media/78d91c91.Path.114713.jpg" TargetMode="External"/><Relationship Id="rId3914" Type="http://schemas.openxmlformats.org/officeDocument/2006/relationships/hyperlink" Target="https://ryycrdhlkmzpxwwwwupy.supabase.co/storage/v1/object/public/old_media/e0ef3507.Path.114328.jpg" TargetMode="External"/><Relationship Id="rId3917" Type="http://schemas.openxmlformats.org/officeDocument/2006/relationships/hyperlink" Target="https://ryycrdhlkmzpxwwwwupy.supabase.co/storage/v1/object/public/old_media/78b8d487.Path.055354.jpg" TargetMode="External"/><Relationship Id="rId3916" Type="http://schemas.openxmlformats.org/officeDocument/2006/relationships/hyperlink" Target="https://ryycrdhlkmzpxwwwwupy.supabase.co/storage/v1/object/public/old_media/b680ba19.Path.055324.jpg" TargetMode="External"/><Relationship Id="rId3919" Type="http://schemas.openxmlformats.org/officeDocument/2006/relationships/hyperlink" Target="https://ryycrdhlkmzpxwwwwupy.supabase.co/storage/v1/object/public/old_media/99a61baa.Path.103210.jpg" TargetMode="External"/><Relationship Id="rId3918" Type="http://schemas.openxmlformats.org/officeDocument/2006/relationships/hyperlink" Target="https://ryycrdhlkmzpxwwwwupy.supabase.co/storage/v1/object/public/old_media/c49bc9a5.Path.103139.jpg" TargetMode="External"/><Relationship Id="rId3900" Type="http://schemas.openxmlformats.org/officeDocument/2006/relationships/hyperlink" Target="https://ryycrdhlkmzpxwwwwupy.supabase.co/storage/v1/object/public/old_media/22f0c29e.Path.113151.jpg" TargetMode="External"/><Relationship Id="rId3902" Type="http://schemas.openxmlformats.org/officeDocument/2006/relationships/hyperlink" Target="https://ryycrdhlkmzpxwwwwupy.supabase.co/storage/v1/object/public/old_media/ac31c456.Path.113242.jpg" TargetMode="External"/><Relationship Id="rId3901" Type="http://schemas.openxmlformats.org/officeDocument/2006/relationships/hyperlink" Target="https://ryycrdhlkmzpxwwwwupy.supabase.co/storage/v1/object/public/old_media/e977fbdb.Path.113217.jpg" TargetMode="External"/><Relationship Id="rId3904" Type="http://schemas.openxmlformats.org/officeDocument/2006/relationships/hyperlink" Target="https://ryycrdhlkmzpxwwwwupy.supabase.co/storage/v1/object/public/old_media/768fea62.Path.113337.jpg" TargetMode="External"/><Relationship Id="rId3903" Type="http://schemas.openxmlformats.org/officeDocument/2006/relationships/hyperlink" Target="https://ryycrdhlkmzpxwwwwupy.supabase.co/storage/v1/object/public/old_media/4b4aaf07.Path.113310.jpg" TargetMode="External"/><Relationship Id="rId3906" Type="http://schemas.openxmlformats.org/officeDocument/2006/relationships/hyperlink" Target="https://ryycrdhlkmzpxwwwwupy.supabase.co/storage/v1/object/public/old_media/c48a24fd.Path.113440.jpg" TargetMode="External"/><Relationship Id="rId3905" Type="http://schemas.openxmlformats.org/officeDocument/2006/relationships/hyperlink" Target="https://ryycrdhlkmzpxwwwwupy.supabase.co/storage/v1/object/public/old_media/50f6afc8.Path.113409.jpg" TargetMode="External"/><Relationship Id="rId3908" Type="http://schemas.openxmlformats.org/officeDocument/2006/relationships/hyperlink" Target="https://ryycrdhlkmzpxwwwwupy.supabase.co/storage/v1/object/public/old_media/3d179f3c.Path.113542.jpg" TargetMode="External"/><Relationship Id="rId3907" Type="http://schemas.openxmlformats.org/officeDocument/2006/relationships/hyperlink" Target="https://ryycrdhlkmzpxwwwwupy.supabase.co/storage/v1/object/public/old_media/aa071aea.Path.113509.jpg" TargetMode="External"/><Relationship Id="rId3909" Type="http://schemas.openxmlformats.org/officeDocument/2006/relationships/hyperlink" Target="https://ryycrdhlkmzpxwwwwupy.supabase.co/storage/v1/object/public/old_media/f30c8b4c.Path.113708.jpg" TargetMode="External"/><Relationship Id="rId3931" Type="http://schemas.openxmlformats.org/officeDocument/2006/relationships/hyperlink" Target="https://ryycrdhlkmzpxwwwwupy.supabase.co/storage/v1/object/public/old_media/e1a0314b.Path.054107.jpg" TargetMode="External"/><Relationship Id="rId2600" Type="http://schemas.openxmlformats.org/officeDocument/2006/relationships/hyperlink" Target="https://ryycrdhlkmzpxwwwwupy.supabase.co/storage/v1/object/public/old_media/b624fa1a.Path.102058.webp" TargetMode="External"/><Relationship Id="rId3930" Type="http://schemas.openxmlformats.org/officeDocument/2006/relationships/hyperlink" Target="https://ryycrdhlkmzpxwwwwupy.supabase.co/storage/v1/object/public/old_media/e90cbad8.Path.054035.webp" TargetMode="External"/><Relationship Id="rId2601" Type="http://schemas.openxmlformats.org/officeDocument/2006/relationships/hyperlink" Target="https://ryycrdhlkmzpxwwwwupy.supabase.co/storage/v1/object/public/old_media/0e672e27.Path.102112.jpg" TargetMode="External"/><Relationship Id="rId3933" Type="http://schemas.openxmlformats.org/officeDocument/2006/relationships/hyperlink" Target="https://ryycrdhlkmzpxwwwwupy.supabase.co/storage/v1/object/public/old_media/b66c4423.Path.105455.jpg" TargetMode="External"/><Relationship Id="rId2602" Type="http://schemas.openxmlformats.org/officeDocument/2006/relationships/hyperlink" Target="https://ryycrdhlkmzpxwwwwupy.supabase.co/storage/v1/object/public/old_media/922943c5.Path.102124.jpg" TargetMode="External"/><Relationship Id="rId3932" Type="http://schemas.openxmlformats.org/officeDocument/2006/relationships/hyperlink" Target="https://ryycrdhlkmzpxwwwwupy.supabase.co/storage/v1/object/public/old_media/1ecd5e82.Path.064322.tiff" TargetMode="External"/><Relationship Id="rId2603" Type="http://schemas.openxmlformats.org/officeDocument/2006/relationships/hyperlink" Target="https://ryycrdhlkmzpxwwwwupy.supabase.co/storage/v1/object/public/old_media/c5fb2038.Path.102137.webp" TargetMode="External"/><Relationship Id="rId3935" Type="http://schemas.openxmlformats.org/officeDocument/2006/relationships/hyperlink" Target="https://ryycrdhlkmzpxwwwwupy.supabase.co/storage/v1/object/public/old_media/3891f546.Path.065257.webp" TargetMode="External"/><Relationship Id="rId2604" Type="http://schemas.openxmlformats.org/officeDocument/2006/relationships/hyperlink" Target="https://ryycrdhlkmzpxwwwwupy.supabase.co/storage/v1/object/public/old_media/e5a92bf3.Path.102156.webp" TargetMode="External"/><Relationship Id="rId3934" Type="http://schemas.openxmlformats.org/officeDocument/2006/relationships/hyperlink" Target="https://ryycrdhlkmzpxwwwwupy.supabase.co/storage/v1/object/public/old_media/ccb0d9ae.Path.105526.jpg" TargetMode="External"/><Relationship Id="rId2605" Type="http://schemas.openxmlformats.org/officeDocument/2006/relationships/hyperlink" Target="https://ryycrdhlkmzpxwwwwupy.supabase.co/storage/v1/object/public/old_media/77c6378e.Path.102205.webp" TargetMode="External"/><Relationship Id="rId3937" Type="http://schemas.openxmlformats.org/officeDocument/2006/relationships/hyperlink" Target="https://ryycrdhlkmzpxwwwwupy.supabase.co/storage/v1/object/public/old_media/a12f91fc.Path.065404.webp" TargetMode="External"/><Relationship Id="rId2606" Type="http://schemas.openxmlformats.org/officeDocument/2006/relationships/hyperlink" Target="https://ryycrdhlkmzpxwwwwupy.supabase.co/storage/v1/object/public/old_media/76d7697f.Path.095126.jpg" TargetMode="External"/><Relationship Id="rId3936" Type="http://schemas.openxmlformats.org/officeDocument/2006/relationships/hyperlink" Target="https://ryycrdhlkmzpxwwwwupy.supabase.co/storage/v1/object/public/old_media/d35adab4.Path.065335.webp" TargetMode="External"/><Relationship Id="rId808" Type="http://schemas.openxmlformats.org/officeDocument/2006/relationships/hyperlink" Target="https://ryycrdhlkmzpxwwwwupy.supabase.co/storage/v1/object/public/old_media/a4af7cb7.Path.093701.jpg" TargetMode="External"/><Relationship Id="rId2607" Type="http://schemas.openxmlformats.org/officeDocument/2006/relationships/hyperlink" Target="https://ryycrdhlkmzpxwwwwupy.supabase.co/storage/v1/object/public/old_media/fd0075c2.Path.095137.jpg" TargetMode="External"/><Relationship Id="rId3939" Type="http://schemas.openxmlformats.org/officeDocument/2006/relationships/hyperlink" Target="https://ryycrdhlkmzpxwwwwupy.supabase.co/storage/v1/object/public/old_media/0bf0a8e9.Path.065644.webp" TargetMode="External"/><Relationship Id="rId807" Type="http://schemas.openxmlformats.org/officeDocument/2006/relationships/hyperlink" Target="https://ryycrdhlkmzpxwwwwupy.supabase.co/storage/v1/object/public/old_media/f079fd63.Path.093640.jpg" TargetMode="External"/><Relationship Id="rId2608" Type="http://schemas.openxmlformats.org/officeDocument/2006/relationships/hyperlink" Target="https://ryycrdhlkmzpxwwwwupy.supabase.co/storage/v1/object/public/old_media/b14b16ff.Path.095145.jpg" TargetMode="External"/><Relationship Id="rId3938" Type="http://schemas.openxmlformats.org/officeDocument/2006/relationships/hyperlink" Target="https://ryycrdhlkmzpxwwwwupy.supabase.co/storage/v1/object/public/old_media/0c614e2d.Path.065439.webp" TargetMode="External"/><Relationship Id="rId806" Type="http://schemas.openxmlformats.org/officeDocument/2006/relationships/hyperlink" Target="https://ryycrdhlkmzpxwwwwupy.supabase.co/storage/v1/object/public/old_media/f736f787.Path.091800.jpg" TargetMode="External"/><Relationship Id="rId2609" Type="http://schemas.openxmlformats.org/officeDocument/2006/relationships/hyperlink" Target="https://ryycrdhlkmzpxwwwwupy.supabase.co/storage/v1/object/public/old_media/22d165d6.Path.095154.jpg" TargetMode="External"/><Relationship Id="rId805" Type="http://schemas.openxmlformats.org/officeDocument/2006/relationships/hyperlink" Target="https://ryycrdhlkmzpxwwwwupy.supabase.co/storage/v1/object/public/old_media/08e975f0.Path.091515.jpg" TargetMode="External"/><Relationship Id="rId809" Type="http://schemas.openxmlformats.org/officeDocument/2006/relationships/hyperlink" Target="https://ryycrdhlkmzpxwwwwupy.supabase.co/storage/v1/object/public/old_media/aa5d6659.Path.093751.jpg" TargetMode="External"/><Relationship Id="rId800" Type="http://schemas.openxmlformats.org/officeDocument/2006/relationships/hyperlink" Target="https://ryycrdhlkmzpxwwwwupy.supabase.co/storage/v1/object/public/old_media/040f4b08.Path.070136.jpg" TargetMode="External"/><Relationship Id="rId804" Type="http://schemas.openxmlformats.org/officeDocument/2006/relationships/hyperlink" Target="https://ryycrdhlkmzpxwwwwupy.supabase.co/storage/v1/object/public/old_media/4be5b708.Path.091310.jpg" TargetMode="External"/><Relationship Id="rId803" Type="http://schemas.openxmlformats.org/officeDocument/2006/relationships/hyperlink" Target="https://ryycrdhlkmzpxwwwwupy.supabase.co/storage/v1/object/public/old_media/88e2f523.Path.072645.jpg" TargetMode="External"/><Relationship Id="rId802" Type="http://schemas.openxmlformats.org/officeDocument/2006/relationships/hyperlink" Target="https://ryycrdhlkmzpxwwwwupy.supabase.co/storage/v1/object/public/old_media/8377edff.Path.072548.jpg" TargetMode="External"/><Relationship Id="rId801" Type="http://schemas.openxmlformats.org/officeDocument/2006/relationships/hyperlink" Target="https://ryycrdhlkmzpxwwwwupy.supabase.co/storage/v1/object/public/old_media/17870068.Path.070246.jpg" TargetMode="External"/><Relationship Id="rId3920" Type="http://schemas.openxmlformats.org/officeDocument/2006/relationships/hyperlink" Target="https://ryycrdhlkmzpxwwwwupy.supabase.co/storage/v1/object/public/old_media/cd08cce7.Path.103242.jpg" TargetMode="External"/><Relationship Id="rId3922" Type="http://schemas.openxmlformats.org/officeDocument/2006/relationships/hyperlink" Target="https://ryycrdhlkmzpxwwwwupy.supabase.co/storage/v1/object/public/old_media/a22ae347.Path.041213.jpg" TargetMode="External"/><Relationship Id="rId3921" Type="http://schemas.openxmlformats.org/officeDocument/2006/relationships/hyperlink" Target="https://ryycrdhlkmzpxwwwwupy.supabase.co/storage/v1/object/public/old_media/55614445.Path.041139.jpg" TargetMode="External"/><Relationship Id="rId3924" Type="http://schemas.openxmlformats.org/officeDocument/2006/relationships/hyperlink" Target="https://ryycrdhlkmzpxwwwwupy.supabase.co/storage/v1/object/public/old_media/fecd7070.Path.043250.jpg" TargetMode="External"/><Relationship Id="rId3923" Type="http://schemas.openxmlformats.org/officeDocument/2006/relationships/hyperlink" Target="https://ryycrdhlkmzpxwwwwupy.supabase.co/storage/v1/object/public/old_media/134440ce.Path.043218.jpg" TargetMode="External"/><Relationship Id="rId3926" Type="http://schemas.openxmlformats.org/officeDocument/2006/relationships/hyperlink" Target="https://ryycrdhlkmzpxwwwwupy.supabase.co/storage/v1/object/public/old_media/7ed2c846.Path.053836.jpg" TargetMode="External"/><Relationship Id="rId3925" Type="http://schemas.openxmlformats.org/officeDocument/2006/relationships/hyperlink" Target="https://ryycrdhlkmzpxwwwwupy.supabase.co/storage/v1/object/public/old_media/a90835c4.Path.043324.jpg" TargetMode="External"/><Relationship Id="rId3928" Type="http://schemas.openxmlformats.org/officeDocument/2006/relationships/hyperlink" Target="https://ryycrdhlkmzpxwwwwupy.supabase.co/storage/v1/object/public/old_media/08654d36.Path.053932.jpg" TargetMode="External"/><Relationship Id="rId3927" Type="http://schemas.openxmlformats.org/officeDocument/2006/relationships/hyperlink" Target="https://ryycrdhlkmzpxwwwwupy.supabase.co/storage/v1/object/public/old_media/4a6effc9.Path.053905.jpg" TargetMode="External"/><Relationship Id="rId3929" Type="http://schemas.openxmlformats.org/officeDocument/2006/relationships/hyperlink" Target="https://ryycrdhlkmzpxwwwwupy.supabase.co/storage/v1/object/public/old_media/759dcec0.Path.054004.jpg" TargetMode="External"/><Relationship Id="rId1334" Type="http://schemas.openxmlformats.org/officeDocument/2006/relationships/hyperlink" Target="https://ryycrdhlkmzpxwwwwupy.supabase.co/storage/v1/object/public/old_media/caca41ce.Path.100146.jpg" TargetMode="External"/><Relationship Id="rId2665" Type="http://schemas.openxmlformats.org/officeDocument/2006/relationships/hyperlink" Target="https://ryycrdhlkmzpxwwwwupy.supabase.co/storage/v1/object/public/old_media/f3f99f9d.Path.094021.jpg" TargetMode="External"/><Relationship Id="rId3997" Type="http://schemas.openxmlformats.org/officeDocument/2006/relationships/hyperlink" Target="https://ryycrdhlkmzpxwwwwupy.supabase.co/storage/v1/object/public/old_media/fe13e78e.Path.112059.jpg" TargetMode="External"/><Relationship Id="rId1335" Type="http://schemas.openxmlformats.org/officeDocument/2006/relationships/hyperlink" Target="https://ryycrdhlkmzpxwwwwupy.supabase.co/storage/v1/object/public/old_media/f688cf2f.Path.100157.jpg" TargetMode="External"/><Relationship Id="rId2666" Type="http://schemas.openxmlformats.org/officeDocument/2006/relationships/hyperlink" Target="https://ryycrdhlkmzpxwwwwupy.supabase.co/storage/v1/object/public/old_media/229ff411.Path.094034.jpg" TargetMode="External"/><Relationship Id="rId3996" Type="http://schemas.openxmlformats.org/officeDocument/2006/relationships/hyperlink" Target="https://ryycrdhlkmzpxwwwwupy.supabase.co/storage/v1/object/public/old_media/a9af9ed5.Path.111910.jpg" TargetMode="External"/><Relationship Id="rId1336" Type="http://schemas.openxmlformats.org/officeDocument/2006/relationships/hyperlink" Target="https://ryycrdhlkmzpxwwwwupy.supabase.co/storage/v1/object/public/old_media/0ab6b9af.Path.100220.jpg" TargetMode="External"/><Relationship Id="rId2667" Type="http://schemas.openxmlformats.org/officeDocument/2006/relationships/hyperlink" Target="https://ryycrdhlkmzpxwwwwupy.supabase.co/storage/v1/object/public/old_media/bb71a36f.Path.114833.jpg" TargetMode="External"/><Relationship Id="rId3999" Type="http://schemas.openxmlformats.org/officeDocument/2006/relationships/hyperlink" Target="https://ryycrdhlkmzpxwwwwupy.supabase.co/storage/v1/object/public/old_media/b25b2db2.Path.060241.jpg" TargetMode="External"/><Relationship Id="rId1337" Type="http://schemas.openxmlformats.org/officeDocument/2006/relationships/hyperlink" Target="https://ryycrdhlkmzpxwwwwupy.supabase.co/storage/v1/object/public/old_media/ec02aaf9.Path.100231.jpg" TargetMode="External"/><Relationship Id="rId2668" Type="http://schemas.openxmlformats.org/officeDocument/2006/relationships/hyperlink" Target="https://ryycrdhlkmzpxwwwwupy.supabase.co/storage/v1/object/public/old_media/67f6186b.Path.114842.jpg" TargetMode="External"/><Relationship Id="rId3998" Type="http://schemas.openxmlformats.org/officeDocument/2006/relationships/hyperlink" Target="https://ryycrdhlkmzpxwwwwupy.supabase.co/storage/v1/object/public/old_media/649f9842.Path.113131.jpg" TargetMode="External"/><Relationship Id="rId1338" Type="http://schemas.openxmlformats.org/officeDocument/2006/relationships/hyperlink" Target="https://ryycrdhlkmzpxwwwwupy.supabase.co/storage/v1/object/public/old_media/42e0955a.Path.100241.jpg" TargetMode="External"/><Relationship Id="rId2669" Type="http://schemas.openxmlformats.org/officeDocument/2006/relationships/hyperlink" Target="https://ryycrdhlkmzpxwwwwupy.supabase.co/storage/v1/object/public/old_media/3aca498d.Path.114850.jpg" TargetMode="External"/><Relationship Id="rId1339" Type="http://schemas.openxmlformats.org/officeDocument/2006/relationships/hyperlink" Target="https://ryycrdhlkmzpxwwwwupy.supabase.co/storage/v1/object/public/old_media/5da7387a.Path.065039.jpg" TargetMode="External"/><Relationship Id="rId745" Type="http://schemas.openxmlformats.org/officeDocument/2006/relationships/hyperlink" Target="https://ryycrdhlkmzpxwwwwupy.supabase.co/storage/v1/object/public/old_media/550011d8.Path.080214.jpg" TargetMode="External"/><Relationship Id="rId744" Type="http://schemas.openxmlformats.org/officeDocument/2006/relationships/hyperlink" Target="https://ryycrdhlkmzpxwwwwupy.supabase.co/storage/v1/object/public/old_media/d06501c1.Path.080159.jpg" TargetMode="External"/><Relationship Id="rId743" Type="http://schemas.openxmlformats.org/officeDocument/2006/relationships/hyperlink" Target="https://ryycrdhlkmzpxwwwwupy.supabase.co/storage/v1/object/public/old_media/eb90ffad.Path.080145.jpg" TargetMode="External"/><Relationship Id="rId742" Type="http://schemas.openxmlformats.org/officeDocument/2006/relationships/hyperlink" Target="https://ryycrdhlkmzpxwwwwupy.supabase.co/storage/v1/object/public/old_media/16a43282.Path.080120.jpg" TargetMode="External"/><Relationship Id="rId749" Type="http://schemas.openxmlformats.org/officeDocument/2006/relationships/hyperlink" Target="https://ryycrdhlkmzpxwwwwupy.supabase.co/storage/v1/object/public/old_media/d0c4f738.Path.080309.jpg" TargetMode="External"/><Relationship Id="rId748" Type="http://schemas.openxmlformats.org/officeDocument/2006/relationships/hyperlink" Target="https://ryycrdhlkmzpxwwwwupy.supabase.co/storage/v1/object/public/old_media/e0ddfe0a.Path.080253.jpg" TargetMode="External"/><Relationship Id="rId747" Type="http://schemas.openxmlformats.org/officeDocument/2006/relationships/hyperlink" Target="https://ryycrdhlkmzpxwwwwupy.supabase.co/storage/v1/object/public/old_media/0a2f9aba.Path.080239.jpg" TargetMode="External"/><Relationship Id="rId746" Type="http://schemas.openxmlformats.org/officeDocument/2006/relationships/hyperlink" Target="https://ryycrdhlkmzpxwwwwupy.supabase.co/storage/v1/object/public/old_media/0420d939.Path.080228.jpg" TargetMode="External"/><Relationship Id="rId3991" Type="http://schemas.openxmlformats.org/officeDocument/2006/relationships/hyperlink" Target="https://ryycrdhlkmzpxwwwwupy.supabase.co/storage/v1/object/public/old_media/c3ea6503.Path.101108.webp" TargetMode="External"/><Relationship Id="rId2660" Type="http://schemas.openxmlformats.org/officeDocument/2006/relationships/hyperlink" Target="https://ryycrdhlkmzpxwwwwupy.supabase.co/storage/v1/object/public/old_media/ee398d97.Path.112325.jpg" TargetMode="External"/><Relationship Id="rId3990" Type="http://schemas.openxmlformats.org/officeDocument/2006/relationships/hyperlink" Target="https://ryycrdhlkmzpxwwwwupy.supabase.co/storage/v1/object/public/old_media/f63f42a3.Path.063804.webp" TargetMode="External"/><Relationship Id="rId741" Type="http://schemas.openxmlformats.org/officeDocument/2006/relationships/hyperlink" Target="https://ryycrdhlkmzpxwwwwupy.supabase.co/storage/v1/object/public/old_media/61549a2c.Path.080015.jpg" TargetMode="External"/><Relationship Id="rId1330" Type="http://schemas.openxmlformats.org/officeDocument/2006/relationships/hyperlink" Target="https://ryycrdhlkmzpxwwwwupy.supabase.co/storage/v1/object/public/old_media/15a58b01.Path.073348.jpg" TargetMode="External"/><Relationship Id="rId2661" Type="http://schemas.openxmlformats.org/officeDocument/2006/relationships/hyperlink" Target="https://ryycrdhlkmzpxwwwwupy.supabase.co/storage/v1/object/public/old_media/9334582b.Path.112336.jpg" TargetMode="External"/><Relationship Id="rId3993" Type="http://schemas.openxmlformats.org/officeDocument/2006/relationships/hyperlink" Target="https://ryycrdhlkmzpxwwwwupy.supabase.co/storage/v1/object/public/old_media/f50b0232.Path.101214.webp" TargetMode="External"/><Relationship Id="rId740" Type="http://schemas.openxmlformats.org/officeDocument/2006/relationships/hyperlink" Target="https://ryycrdhlkmzpxwwwwupy.supabase.co/storage/v1/object/public/old_media/8f1e52f5.Path.044920.jpg" TargetMode="External"/><Relationship Id="rId1331" Type="http://schemas.openxmlformats.org/officeDocument/2006/relationships/hyperlink" Target="https://ryycrdhlkmzpxwwwwupy.supabase.co/storage/v1/object/public/old_media/7aee35ee.Path.100113.jpg" TargetMode="External"/><Relationship Id="rId2662" Type="http://schemas.openxmlformats.org/officeDocument/2006/relationships/hyperlink" Target="https://ryycrdhlkmzpxwwwwupy.supabase.co/storage/v1/object/public/old_media/80c22ff3.Path.093943.jpg" TargetMode="External"/><Relationship Id="rId3992" Type="http://schemas.openxmlformats.org/officeDocument/2006/relationships/hyperlink" Target="https://ryycrdhlkmzpxwwwwupy.supabase.co/storage/v1/object/public/old_media/1a8299d8.Path.101146.webp" TargetMode="External"/><Relationship Id="rId1332" Type="http://schemas.openxmlformats.org/officeDocument/2006/relationships/hyperlink" Target="https://ryycrdhlkmzpxwwwwupy.supabase.co/storage/v1/object/public/old_media/86e03d5a.Path.100126.jpg" TargetMode="External"/><Relationship Id="rId2663" Type="http://schemas.openxmlformats.org/officeDocument/2006/relationships/hyperlink" Target="https://ryycrdhlkmzpxwwwwupy.supabase.co/storage/v1/object/public/old_media/5ce274af.Path.093957.jpg" TargetMode="External"/><Relationship Id="rId3995" Type="http://schemas.openxmlformats.org/officeDocument/2006/relationships/hyperlink" Target="https://ryycrdhlkmzpxwwwwupy.supabase.co/storage/v1/object/public/old_media/4dde659a.Path.111829.jpg" TargetMode="External"/><Relationship Id="rId1333" Type="http://schemas.openxmlformats.org/officeDocument/2006/relationships/hyperlink" Target="https://ryycrdhlkmzpxwwwwupy.supabase.co/storage/v1/object/public/old_media/4a9bb822.Path.100136.jpg" TargetMode="External"/><Relationship Id="rId2664" Type="http://schemas.openxmlformats.org/officeDocument/2006/relationships/hyperlink" Target="https://ryycrdhlkmzpxwwwwupy.supabase.co/storage/v1/object/public/old_media/b5f90db2.Path.094009.jpg" TargetMode="External"/><Relationship Id="rId3994" Type="http://schemas.openxmlformats.org/officeDocument/2006/relationships/hyperlink" Target="https://ryycrdhlkmzpxwwwwupy.supabase.co/storage/v1/object/public/old_media/bedcbced.Path.101242.webp" TargetMode="External"/><Relationship Id="rId1323" Type="http://schemas.openxmlformats.org/officeDocument/2006/relationships/hyperlink" Target="https://ryycrdhlkmzpxwwwwupy.supabase.co/storage/v1/object/public/old_media/2f7873a3.Path.044131.jpg" TargetMode="External"/><Relationship Id="rId2654" Type="http://schemas.openxmlformats.org/officeDocument/2006/relationships/hyperlink" Target="https://ryycrdhlkmzpxwwwwupy.supabase.co/storage/v1/object/public/old_media/01368ffa.Path.064708.jpg" TargetMode="External"/><Relationship Id="rId3986" Type="http://schemas.openxmlformats.org/officeDocument/2006/relationships/hyperlink" Target="https://ryycrdhlkmzpxwwwwupy.supabase.co/storage/v1/object/public/old_media/77171c3f.Path.052345.webp" TargetMode="External"/><Relationship Id="rId1324" Type="http://schemas.openxmlformats.org/officeDocument/2006/relationships/hyperlink" Target="https://ryycrdhlkmzpxwwwwupy.supabase.co/storage/v1/object/public/old_media/d39014c3.Path.044158.jpg" TargetMode="External"/><Relationship Id="rId2655" Type="http://schemas.openxmlformats.org/officeDocument/2006/relationships/hyperlink" Target="https://ryycrdhlkmzpxwwwwupy.supabase.co/storage/v1/object/public/old_media/406ae58a.Path.064734.jpg" TargetMode="External"/><Relationship Id="rId3985" Type="http://schemas.openxmlformats.org/officeDocument/2006/relationships/hyperlink" Target="https://ryycrdhlkmzpxwwwwupy.supabase.co/storage/v1/object/public/old_media/7ee17230.Path.052313.webp" TargetMode="External"/><Relationship Id="rId1325" Type="http://schemas.openxmlformats.org/officeDocument/2006/relationships/hyperlink" Target="https://ryycrdhlkmzpxwwwwupy.supabase.co/storage/v1/object/public/old_media/e6f0de63.Path.073137.jpg" TargetMode="External"/><Relationship Id="rId2656" Type="http://schemas.openxmlformats.org/officeDocument/2006/relationships/hyperlink" Target="https://ryycrdhlkmzpxwwwwupy.supabase.co/storage/v1/object/public/old_media/fdd7cd82.Path.065519.jpg" TargetMode="External"/><Relationship Id="rId3988" Type="http://schemas.openxmlformats.org/officeDocument/2006/relationships/hyperlink" Target="https://ryycrdhlkmzpxwwwwupy.supabase.co/storage/v1/object/public/old_media/d0dfd39e.Path.063658.webp" TargetMode="External"/><Relationship Id="rId1326" Type="http://schemas.openxmlformats.org/officeDocument/2006/relationships/hyperlink" Target="https://ryycrdhlkmzpxwwwwupy.supabase.co/storage/v1/object/public/old_media/1a567c0e.Path.073147.jpg" TargetMode="External"/><Relationship Id="rId2657" Type="http://schemas.openxmlformats.org/officeDocument/2006/relationships/hyperlink" Target="https://ryycrdhlkmzpxwwwwupy.supabase.co/storage/v1/object/public/old_media/62fd9313.Path.065608.jpg" TargetMode="External"/><Relationship Id="rId3987" Type="http://schemas.openxmlformats.org/officeDocument/2006/relationships/hyperlink" Target="https://ryycrdhlkmzpxwwwwupy.supabase.co/storage/v1/object/public/old_media/30b97705.Path.063625.webp" TargetMode="External"/><Relationship Id="rId1327" Type="http://schemas.openxmlformats.org/officeDocument/2006/relationships/hyperlink" Target="https://ryycrdhlkmzpxwwwwupy.supabase.co/storage/v1/object/public/old_media/3db4be21.Path.073157.jpg" TargetMode="External"/><Relationship Id="rId2658" Type="http://schemas.openxmlformats.org/officeDocument/2006/relationships/hyperlink" Target="https://ryycrdhlkmzpxwwwwupy.supabase.co/storage/v1/object/public/old_media/75570e0e.Path.112305.jpg" TargetMode="External"/><Relationship Id="rId1328" Type="http://schemas.openxmlformats.org/officeDocument/2006/relationships/hyperlink" Target="https://ryycrdhlkmzpxwwwwupy.supabase.co/storage/v1/object/public/old_media/7222bee7.Path.073258.jpg" TargetMode="External"/><Relationship Id="rId2659" Type="http://schemas.openxmlformats.org/officeDocument/2006/relationships/hyperlink" Target="https://ryycrdhlkmzpxwwwwupy.supabase.co/storage/v1/object/public/old_media/e7d4d7df.Path.112315.jpg" TargetMode="External"/><Relationship Id="rId3989" Type="http://schemas.openxmlformats.org/officeDocument/2006/relationships/hyperlink" Target="https://ryycrdhlkmzpxwwwwupy.supabase.co/storage/v1/object/public/old_media/fe32ed17.Path.063735.webp" TargetMode="External"/><Relationship Id="rId1329" Type="http://schemas.openxmlformats.org/officeDocument/2006/relationships/hyperlink" Target="https://ryycrdhlkmzpxwwwwupy.supabase.co/storage/v1/object/public/old_media/bf6af7a8.Path.073338.jpg" TargetMode="External"/><Relationship Id="rId739" Type="http://schemas.openxmlformats.org/officeDocument/2006/relationships/hyperlink" Target="https://ryycrdhlkmzpxwwwwupy.supabase.co/storage/v1/object/public/old_media/717bbbdd.Path.044903.jpg" TargetMode="External"/><Relationship Id="rId734" Type="http://schemas.openxmlformats.org/officeDocument/2006/relationships/hyperlink" Target="https://ryycrdhlkmzpxwwwwupy.supabase.co/storage/v1/object/public/old_media/3082640e.Path.095502.jpg" TargetMode="External"/><Relationship Id="rId733" Type="http://schemas.openxmlformats.org/officeDocument/2006/relationships/hyperlink" Target="https://ryycrdhlkmzpxwwwwupy.supabase.co/storage/v1/object/public/old_media/c7d13015.Path.095456.jpg" TargetMode="External"/><Relationship Id="rId732" Type="http://schemas.openxmlformats.org/officeDocument/2006/relationships/hyperlink" Target="https://ryycrdhlkmzpxwwwwupy.supabase.co/storage/v1/object/public/old_media/e7969d99.Path.095449.jpg" TargetMode="External"/><Relationship Id="rId731" Type="http://schemas.openxmlformats.org/officeDocument/2006/relationships/hyperlink" Target="https://ryycrdhlkmzpxwwwwupy.supabase.co/storage/v1/object/public/old_media/2c707551.Path.093835.jpg" TargetMode="External"/><Relationship Id="rId738" Type="http://schemas.openxmlformats.org/officeDocument/2006/relationships/hyperlink" Target="https://ryycrdhlkmzpxwwwwupy.supabase.co/storage/v1/object/public/old_media/04989d0b.Path.044855.jpg" TargetMode="External"/><Relationship Id="rId737" Type="http://schemas.openxmlformats.org/officeDocument/2006/relationships/hyperlink" Target="https://ryycrdhlkmzpxwwwwupy.supabase.co/storage/v1/object/public/old_media/f7a5290f.Path.044838.jpg" TargetMode="External"/><Relationship Id="rId736" Type="http://schemas.openxmlformats.org/officeDocument/2006/relationships/hyperlink" Target="https://ryycrdhlkmzpxwwwwupy.supabase.co/storage/v1/object/public/old_media/1c0f00a4.Path.044832.jpg" TargetMode="External"/><Relationship Id="rId735" Type="http://schemas.openxmlformats.org/officeDocument/2006/relationships/hyperlink" Target="https://ryycrdhlkmzpxwwwwupy.supabase.co/storage/v1/object/public/old_media/eff40171.Path.044814.jpg" TargetMode="External"/><Relationship Id="rId3980" Type="http://schemas.openxmlformats.org/officeDocument/2006/relationships/hyperlink" Target="https://ryycrdhlkmzpxwwwwupy.supabase.co/storage/v1/object/public/old_media/0aa91d44.Path.044117.jpg" TargetMode="External"/><Relationship Id="rId730" Type="http://schemas.openxmlformats.org/officeDocument/2006/relationships/hyperlink" Target="https://ryycrdhlkmzpxwwwwupy.supabase.co/storage/v1/object/public/old_media/9f282b82.Path.093829.jpg" TargetMode="External"/><Relationship Id="rId2650" Type="http://schemas.openxmlformats.org/officeDocument/2006/relationships/hyperlink" Target="https://ryycrdhlkmzpxwwwwupy.supabase.co/storage/v1/object/public/old_media/6f85827d.Path.064241.jpg" TargetMode="External"/><Relationship Id="rId3982" Type="http://schemas.openxmlformats.org/officeDocument/2006/relationships/hyperlink" Target="https://ryycrdhlkmzpxwwwwupy.supabase.co/storage/v1/object/public/old_media/4d9dce2a.Path.051904.webp" TargetMode="External"/><Relationship Id="rId1320" Type="http://schemas.openxmlformats.org/officeDocument/2006/relationships/hyperlink" Target="https://ryycrdhlkmzpxwwwwupy.supabase.co/storage/v1/object/public/old_media/c0b858ca.Path.055248.jpg" TargetMode="External"/><Relationship Id="rId2651" Type="http://schemas.openxmlformats.org/officeDocument/2006/relationships/hyperlink" Target="https://ryycrdhlkmzpxwwwwupy.supabase.co/storage/v1/object/public/old_media/25b4777b.Path.064258.jpg" TargetMode="External"/><Relationship Id="rId3981" Type="http://schemas.openxmlformats.org/officeDocument/2006/relationships/hyperlink" Target="https://ryycrdhlkmzpxwwwwupy.supabase.co/storage/v1/object/public/old_media/6bfab3c7.Path.044238.jpg" TargetMode="External"/><Relationship Id="rId1321" Type="http://schemas.openxmlformats.org/officeDocument/2006/relationships/hyperlink" Target="https://ryycrdhlkmzpxwwwwupy.supabase.co/storage/v1/object/public/old_media/4a51c05c.Path.055314.jpg" TargetMode="External"/><Relationship Id="rId2652" Type="http://schemas.openxmlformats.org/officeDocument/2006/relationships/hyperlink" Target="https://ryycrdhlkmzpxwwwwupy.supabase.co/storage/v1/object/public/old_media/bd34d9b8.Path.064357.jpg" TargetMode="External"/><Relationship Id="rId3984" Type="http://schemas.openxmlformats.org/officeDocument/2006/relationships/hyperlink" Target="https://ryycrdhlkmzpxwwwwupy.supabase.co/storage/v1/object/public/old_media/74377d2e.Path.052237.webp" TargetMode="External"/><Relationship Id="rId1322" Type="http://schemas.openxmlformats.org/officeDocument/2006/relationships/hyperlink" Target="https://ryycrdhlkmzpxwwwwupy.supabase.co/storage/v1/object/public/old_media/e021b806.Path.044056.jpg" TargetMode="External"/><Relationship Id="rId2653" Type="http://schemas.openxmlformats.org/officeDocument/2006/relationships/hyperlink" Target="https://ryycrdhlkmzpxwwwwupy.supabase.co/storage/v1/object/public/old_media/6bd363bc.Path.064655.jpg" TargetMode="External"/><Relationship Id="rId3983" Type="http://schemas.openxmlformats.org/officeDocument/2006/relationships/hyperlink" Target="https://ryycrdhlkmzpxwwwwupy.supabase.co/storage/v1/object/public/old_media/02e5051c.Path.052207.webp" TargetMode="External"/><Relationship Id="rId1356" Type="http://schemas.openxmlformats.org/officeDocument/2006/relationships/hyperlink" Target="https://ryycrdhlkmzpxwwwwupy.supabase.co/storage/v1/object/public/old_media/6a82a2e5.Path.115351.jpg" TargetMode="External"/><Relationship Id="rId2687" Type="http://schemas.openxmlformats.org/officeDocument/2006/relationships/hyperlink" Target="https://ryycrdhlkmzpxwwwwupy.supabase.co/storage/v1/object/public/old_media/4f6d3b9a.Path.074555.jpg" TargetMode="External"/><Relationship Id="rId1357" Type="http://schemas.openxmlformats.org/officeDocument/2006/relationships/hyperlink" Target="https://ryycrdhlkmzpxwwwwupy.supabase.co/storage/v1/object/public/old_media/8e04bb08.Path.115403.jpg" TargetMode="External"/><Relationship Id="rId2688" Type="http://schemas.openxmlformats.org/officeDocument/2006/relationships/hyperlink" Target="https://ryycrdhlkmzpxwwwwupy.supabase.co/storage/v1/object/public/old_media/8255b6c1.Path.074615.jpg" TargetMode="External"/><Relationship Id="rId1358" Type="http://schemas.openxmlformats.org/officeDocument/2006/relationships/hyperlink" Target="https://ryycrdhlkmzpxwwwwupy.supabase.co/storage/v1/object/public/old_media/b1b6dfbc.Path.115418.jpg" TargetMode="External"/><Relationship Id="rId2689" Type="http://schemas.openxmlformats.org/officeDocument/2006/relationships/hyperlink" Target="https://ryycrdhlkmzpxwwwwupy.supabase.co/storage/v1/object/public/old_media/c1a752c2.Path.074626.jpg" TargetMode="External"/><Relationship Id="rId1359" Type="http://schemas.openxmlformats.org/officeDocument/2006/relationships/hyperlink" Target="https://ryycrdhlkmzpxwwwwupy.supabase.co/storage/v1/object/public/old_media/522ad7e5.Path.052302.jpg" TargetMode="External"/><Relationship Id="rId767" Type="http://schemas.openxmlformats.org/officeDocument/2006/relationships/hyperlink" Target="https://ryycrdhlkmzpxwwwwupy.supabase.co/storage/v1/object/public/old_media/62e92bb6.Path.072023.jpg" TargetMode="External"/><Relationship Id="rId766" Type="http://schemas.openxmlformats.org/officeDocument/2006/relationships/hyperlink" Target="https://ryycrdhlkmzpxwwwwupy.supabase.co/storage/v1/object/public/old_media/d6515316.Path.071942.jpg" TargetMode="External"/><Relationship Id="rId765" Type="http://schemas.openxmlformats.org/officeDocument/2006/relationships/hyperlink" Target="https://ryycrdhlkmzpxwwwwupy.supabase.co/storage/v1/object/public/old_media/5827098e.Path.062028.jpg" TargetMode="External"/><Relationship Id="rId764" Type="http://schemas.openxmlformats.org/officeDocument/2006/relationships/hyperlink" Target="https://ryycrdhlkmzpxwwwwupy.supabase.co/storage/v1/object/public/old_media/9da34b71.Path.061941.jpg" TargetMode="External"/><Relationship Id="rId769" Type="http://schemas.openxmlformats.org/officeDocument/2006/relationships/hyperlink" Target="https://ryycrdhlkmzpxwwwwupy.supabase.co/storage/v1/object/public/old_media/8645dcdf.Path.073652.jpg" TargetMode="External"/><Relationship Id="rId768" Type="http://schemas.openxmlformats.org/officeDocument/2006/relationships/hyperlink" Target="https://ryycrdhlkmzpxwwwwupy.supabase.co/storage/v1/object/public/old_media/138b619d.Path.073621.jpg" TargetMode="External"/><Relationship Id="rId2680" Type="http://schemas.openxmlformats.org/officeDocument/2006/relationships/hyperlink" Target="https://ryycrdhlkmzpxwwwwupy.supabase.co/storage/v1/object/public/old_media/71480047.Path.095738.jpg" TargetMode="External"/><Relationship Id="rId1350" Type="http://schemas.openxmlformats.org/officeDocument/2006/relationships/hyperlink" Target="https://ryycrdhlkmzpxwwwwupy.supabase.co/storage/v1/object/public/old_media/d4ab66f2.Path.112006.jpg" TargetMode="External"/><Relationship Id="rId2681" Type="http://schemas.openxmlformats.org/officeDocument/2006/relationships/hyperlink" Target="https://ryycrdhlkmzpxwwwwupy.supabase.co/storage/v1/object/public/old_media/65093dd5.Path.095809.jpg" TargetMode="External"/><Relationship Id="rId1351" Type="http://schemas.openxmlformats.org/officeDocument/2006/relationships/hyperlink" Target="https://ryycrdhlkmzpxwwwwupy.supabase.co/storage/v1/object/public/old_media/dbad8fe4.Path.115208.jpg" TargetMode="External"/><Relationship Id="rId2682" Type="http://schemas.openxmlformats.org/officeDocument/2006/relationships/hyperlink" Target="https://ryycrdhlkmzpxwwwwupy.supabase.co/storage/v1/object/public/old_media/f0a968e4.Path.100543.jpg" TargetMode="External"/><Relationship Id="rId763" Type="http://schemas.openxmlformats.org/officeDocument/2006/relationships/hyperlink" Target="https://ryycrdhlkmzpxwwwwupy.supabase.co/storage/v1/object/public/old_media/5228da98.Path.061804.jpg" TargetMode="External"/><Relationship Id="rId1352" Type="http://schemas.openxmlformats.org/officeDocument/2006/relationships/hyperlink" Target="https://ryycrdhlkmzpxwwwwupy.supabase.co/storage/v1/object/public/old_media/56b0c617.Path.115248.jpg" TargetMode="External"/><Relationship Id="rId2683" Type="http://schemas.openxmlformats.org/officeDocument/2006/relationships/hyperlink" Target="https://ryycrdhlkmzpxwwwwupy.supabase.co/storage/v1/object/public/old_media/24cfbad5.Path.100611.jpg" TargetMode="External"/><Relationship Id="rId762" Type="http://schemas.openxmlformats.org/officeDocument/2006/relationships/hyperlink" Target="https://ryycrdhlkmzpxwwwwupy.supabase.co/storage/v1/object/public/old_media/b52c6b0d.Path.060128.jpg" TargetMode="External"/><Relationship Id="rId1353" Type="http://schemas.openxmlformats.org/officeDocument/2006/relationships/hyperlink" Target="https://ryycrdhlkmzpxwwwwupy.supabase.co/storage/v1/object/public/old_media/b65e6281.Path.115258.jpg" TargetMode="External"/><Relationship Id="rId2684" Type="http://schemas.openxmlformats.org/officeDocument/2006/relationships/hyperlink" Target="https://ryycrdhlkmzpxwwwwupy.supabase.co/storage/v1/object/public/old_media/460d96d3.Path.100629.jpg" TargetMode="External"/><Relationship Id="rId761" Type="http://schemas.openxmlformats.org/officeDocument/2006/relationships/hyperlink" Target="https://ryycrdhlkmzpxwwwwupy.supabase.co/storage/v1/object/public/old_media/555e10a4.Path.052510.jpg" TargetMode="External"/><Relationship Id="rId1354" Type="http://schemas.openxmlformats.org/officeDocument/2006/relationships/hyperlink" Target="https://ryycrdhlkmzpxwwwwupy.supabase.co/storage/v1/object/public/old_media/f92c61ab.Path.115310.jpg" TargetMode="External"/><Relationship Id="rId2685" Type="http://schemas.openxmlformats.org/officeDocument/2006/relationships/hyperlink" Target="https://ryycrdhlkmzpxwwwwupy.supabase.co/storage/v1/object/public/old_media/2cedf85c.Path.091921.jpg" TargetMode="External"/><Relationship Id="rId760" Type="http://schemas.openxmlformats.org/officeDocument/2006/relationships/hyperlink" Target="https://ryycrdhlkmzpxwwwwupy.supabase.co/storage/v1/object/public/old_media/525f7c2c.Path.111016.jpg" TargetMode="External"/><Relationship Id="rId1355" Type="http://schemas.openxmlformats.org/officeDocument/2006/relationships/hyperlink" Target="https://ryycrdhlkmzpxwwwwupy.supabase.co/storage/v1/object/public/old_media/e0aa0696.Path.115331.jpg" TargetMode="External"/><Relationship Id="rId2686" Type="http://schemas.openxmlformats.org/officeDocument/2006/relationships/hyperlink" Target="https://ryycrdhlkmzpxwwwwupy.supabase.co/storage/v1/object/public/old_media/72373394.Path.074530.jpg" TargetMode="External"/><Relationship Id="rId1345" Type="http://schemas.openxmlformats.org/officeDocument/2006/relationships/hyperlink" Target="https://ryycrdhlkmzpxwwwwupy.supabase.co/storage/v1/object/public/old_media/7b745616.Path.111811.jpg" TargetMode="External"/><Relationship Id="rId2676" Type="http://schemas.openxmlformats.org/officeDocument/2006/relationships/hyperlink" Target="https://ryycrdhlkmzpxwwwwupy.supabase.co/storage/v1/object/public/old_media/b446cd61.Path.095556.jpg" TargetMode="External"/><Relationship Id="rId1346" Type="http://schemas.openxmlformats.org/officeDocument/2006/relationships/hyperlink" Target="https://ryycrdhlkmzpxwwwwupy.supabase.co/storage/v1/object/public/old_media/14b5511d.Path.111820.jpg" TargetMode="External"/><Relationship Id="rId2677" Type="http://schemas.openxmlformats.org/officeDocument/2006/relationships/hyperlink" Target="https://ryycrdhlkmzpxwwwwupy.supabase.co/storage/v1/object/public/old_media/c179823c.Path.095626.jpg" TargetMode="External"/><Relationship Id="rId1347" Type="http://schemas.openxmlformats.org/officeDocument/2006/relationships/hyperlink" Target="https://ryycrdhlkmzpxwwwwupy.supabase.co/storage/v1/object/public/old_media/9645219c.Path.111844.jpg" TargetMode="External"/><Relationship Id="rId2678" Type="http://schemas.openxmlformats.org/officeDocument/2006/relationships/hyperlink" Target="https://ryycrdhlkmzpxwwwwupy.supabase.co/storage/v1/object/public/old_media/baa5161d.Path.095700.jpg" TargetMode="External"/><Relationship Id="rId1348" Type="http://schemas.openxmlformats.org/officeDocument/2006/relationships/hyperlink" Target="https://ryycrdhlkmzpxwwwwupy.supabase.co/storage/v1/object/public/old_media/553ff84f.Path.111907.jpg" TargetMode="External"/><Relationship Id="rId2679" Type="http://schemas.openxmlformats.org/officeDocument/2006/relationships/hyperlink" Target="https://ryycrdhlkmzpxwwwwupy.supabase.co/storage/v1/object/public/old_media/0a72dc9c.Path.095723.jpg" TargetMode="External"/><Relationship Id="rId1349" Type="http://schemas.openxmlformats.org/officeDocument/2006/relationships/hyperlink" Target="https://ryycrdhlkmzpxwwwwupy.supabase.co/storage/v1/object/public/old_media/6da6dabe.Path.111956.jpg" TargetMode="External"/><Relationship Id="rId756" Type="http://schemas.openxmlformats.org/officeDocument/2006/relationships/hyperlink" Target="https://ryycrdhlkmzpxwwwwupy.supabase.co/storage/v1/object/public/old_media/ebbc2369.Path.110917.jpg" TargetMode="External"/><Relationship Id="rId755" Type="http://schemas.openxmlformats.org/officeDocument/2006/relationships/hyperlink" Target="https://ryycrdhlkmzpxwwwwupy.supabase.co/storage/v1/object/public/old_media/1d384f9d.Path.110910.jpg" TargetMode="External"/><Relationship Id="rId754" Type="http://schemas.openxmlformats.org/officeDocument/2006/relationships/hyperlink" Target="https://ryycrdhlkmzpxwwwwupy.supabase.co/storage/v1/object/public/old_media/e3499466.Path.080421.jpg" TargetMode="External"/><Relationship Id="rId753" Type="http://schemas.openxmlformats.org/officeDocument/2006/relationships/hyperlink" Target="https://ryycrdhlkmzpxwwwwupy.supabase.co/storage/v1/object/public/old_media/d8ce3df9.Path.080408.jpg" TargetMode="External"/><Relationship Id="rId759" Type="http://schemas.openxmlformats.org/officeDocument/2006/relationships/hyperlink" Target="https://ryycrdhlkmzpxwwwwupy.supabase.co/storage/v1/object/public/old_media/5a94bfd6.Path.110959.jpg" TargetMode="External"/><Relationship Id="rId758" Type="http://schemas.openxmlformats.org/officeDocument/2006/relationships/hyperlink" Target="https://ryycrdhlkmzpxwwwwupy.supabase.co/storage/v1/object/public/old_media/8fb27323.Path.110952.jpg" TargetMode="External"/><Relationship Id="rId757" Type="http://schemas.openxmlformats.org/officeDocument/2006/relationships/hyperlink" Target="https://ryycrdhlkmzpxwwwwupy.supabase.co/storage/v1/object/public/" TargetMode="External"/><Relationship Id="rId2670" Type="http://schemas.openxmlformats.org/officeDocument/2006/relationships/hyperlink" Target="https://ryycrdhlkmzpxwwwwupy.supabase.co/storage/v1/object/public/old_media/5c3b211e.Path.114858.jpg" TargetMode="External"/><Relationship Id="rId1340" Type="http://schemas.openxmlformats.org/officeDocument/2006/relationships/hyperlink" Target="https://ryycrdhlkmzpxwwwwupy.supabase.co/storage/v1/object/public/old_media/696e149f.Path.111624.jpg" TargetMode="External"/><Relationship Id="rId2671" Type="http://schemas.openxmlformats.org/officeDocument/2006/relationships/hyperlink" Target="https://ryycrdhlkmzpxwwwwupy.supabase.co/storage/v1/object/public/old_media/d39de519.Path.114905.jpg" TargetMode="External"/><Relationship Id="rId752" Type="http://schemas.openxmlformats.org/officeDocument/2006/relationships/hyperlink" Target="https://ryycrdhlkmzpxwwwwupy.supabase.co/storage/v1/object/public/old_media/16367fbd.Path.080356.jpg" TargetMode="External"/><Relationship Id="rId1341" Type="http://schemas.openxmlformats.org/officeDocument/2006/relationships/hyperlink" Target="https://ryycrdhlkmzpxwwwwupy.supabase.co/storage/v1/object/public/old_media/a2f82925.Path.111636.jpg" TargetMode="External"/><Relationship Id="rId2672" Type="http://schemas.openxmlformats.org/officeDocument/2006/relationships/hyperlink" Target="https://ryycrdhlkmzpxwwwwupy.supabase.co/storage/v1/object/public/old_media/b172a59b.Path.114914.jpg" TargetMode="External"/><Relationship Id="rId751" Type="http://schemas.openxmlformats.org/officeDocument/2006/relationships/hyperlink" Target="https://ryycrdhlkmzpxwwwwupy.supabase.co/storage/v1/object/public/old_media/feacf8fc.Path.080344.jpg" TargetMode="External"/><Relationship Id="rId1342" Type="http://schemas.openxmlformats.org/officeDocument/2006/relationships/hyperlink" Target="https://ryycrdhlkmzpxwwwwupy.supabase.co/storage/v1/object/public/old_media/77313362.Path.111657.jpg" TargetMode="External"/><Relationship Id="rId2673" Type="http://schemas.openxmlformats.org/officeDocument/2006/relationships/hyperlink" Target="https://ryycrdhlkmzpxwwwwupy.supabase.co/storage/v1/object/public/old_media/7120b793.Path.114930.jpg" TargetMode="External"/><Relationship Id="rId750" Type="http://schemas.openxmlformats.org/officeDocument/2006/relationships/hyperlink" Target="https://ryycrdhlkmzpxwwwwupy.supabase.co/storage/v1/object/public/old_media/9ee8e8c8.Path.080326.jpg" TargetMode="External"/><Relationship Id="rId1343" Type="http://schemas.openxmlformats.org/officeDocument/2006/relationships/hyperlink" Target="https://ryycrdhlkmzpxwwwwupy.supabase.co/storage/v1/object/public/old_media/a69389e9.Path.111723.jpg" TargetMode="External"/><Relationship Id="rId2674" Type="http://schemas.openxmlformats.org/officeDocument/2006/relationships/hyperlink" Target="https://ryycrdhlkmzpxwwwwupy.supabase.co/storage/v1/object/public/old_media/de3d561f.Path.114938.jpg" TargetMode="External"/><Relationship Id="rId1344" Type="http://schemas.openxmlformats.org/officeDocument/2006/relationships/hyperlink" Target="https://ryycrdhlkmzpxwwwwupy.supabase.co/storage/v1/object/public/old_media/944fd816.Path.111737.jpg" TargetMode="External"/><Relationship Id="rId2675" Type="http://schemas.openxmlformats.org/officeDocument/2006/relationships/hyperlink" Target="https://ryycrdhlkmzpxwwwwupy.supabase.co/storage/v1/object/public/old_media/204700d4.Path.095527.jpg" TargetMode="External"/><Relationship Id="rId2621" Type="http://schemas.openxmlformats.org/officeDocument/2006/relationships/hyperlink" Target="https://ryycrdhlkmzpxwwwwupy.supabase.co/storage/v1/object/public/old_media/bccf9bd5.Path.053928.jpg" TargetMode="External"/><Relationship Id="rId3953" Type="http://schemas.openxmlformats.org/officeDocument/2006/relationships/hyperlink" Target="https://ryycrdhlkmzpxwwwwupy.supabase.co/storage/v1/object/public/old_media/13ebade0.Path.105410.jpg" TargetMode="External"/><Relationship Id="rId2622" Type="http://schemas.openxmlformats.org/officeDocument/2006/relationships/hyperlink" Target="https://ryycrdhlkmzpxwwwwupy.supabase.co/storage/v1/object/public/old_media/3ce929b9.Path.053941.jpg" TargetMode="External"/><Relationship Id="rId3952" Type="http://schemas.openxmlformats.org/officeDocument/2006/relationships/hyperlink" Target="https://ryycrdhlkmzpxwwwwupy.supabase.co/storage/v1/object/public/old_media/50768951.Path.105342.jpg" TargetMode="External"/><Relationship Id="rId2623" Type="http://schemas.openxmlformats.org/officeDocument/2006/relationships/hyperlink" Target="https://ryycrdhlkmzpxwwwwupy.supabase.co/storage/v1/object/public/old_media/2397898c.Path.053950.jpg" TargetMode="External"/><Relationship Id="rId3955" Type="http://schemas.openxmlformats.org/officeDocument/2006/relationships/hyperlink" Target="https://ryycrdhlkmzpxwwwwupy.supabase.co/storage/v1/object/public/old_media/1912ff13.Path.105508.jpg" TargetMode="External"/><Relationship Id="rId2624" Type="http://schemas.openxmlformats.org/officeDocument/2006/relationships/hyperlink" Target="https://ryycrdhlkmzpxwwwwupy.supabase.co/storage/v1/object/public/old_media/625a39f6.Path.062014.jpg" TargetMode="External"/><Relationship Id="rId3954" Type="http://schemas.openxmlformats.org/officeDocument/2006/relationships/hyperlink" Target="https://ryycrdhlkmzpxwwwwupy.supabase.co/storage/v1/object/public/old_media/bfdc92b3.Path.105439.jpg" TargetMode="External"/><Relationship Id="rId2625" Type="http://schemas.openxmlformats.org/officeDocument/2006/relationships/hyperlink" Target="https://ryycrdhlkmzpxwwwwupy.supabase.co/storage/v1/object/public/old_media/d9964d18.Path.062025.jpg" TargetMode="External"/><Relationship Id="rId3957" Type="http://schemas.openxmlformats.org/officeDocument/2006/relationships/hyperlink" Target="https://ryycrdhlkmzpxwwwwupy.supabase.co/storage/v1/object/public/old_media/023f8189.Path.105605.jpg" TargetMode="External"/><Relationship Id="rId2626" Type="http://schemas.openxmlformats.org/officeDocument/2006/relationships/hyperlink" Target="https://ryycrdhlkmzpxwwwwupy.supabase.co/storage/v1/object/public/old_media/bfea8054.Path.062109.jpg" TargetMode="External"/><Relationship Id="rId3956" Type="http://schemas.openxmlformats.org/officeDocument/2006/relationships/hyperlink" Target="https://ryycrdhlkmzpxwwwwupy.supabase.co/storage/v1/object/public/old_media/d67e01d4.Path.105536.jpg" TargetMode="External"/><Relationship Id="rId2627" Type="http://schemas.openxmlformats.org/officeDocument/2006/relationships/hyperlink" Target="https://ryycrdhlkmzpxwwwwupy.supabase.co/storage/v1/object/public/old_media/ce1c4f6f.Path.062127.jpg" TargetMode="External"/><Relationship Id="rId3959" Type="http://schemas.openxmlformats.org/officeDocument/2006/relationships/hyperlink" Target="https://ryycrdhlkmzpxwwwwupy.supabase.co/storage/v1/object/public/old_media/ef7800d4.Path.105701.jpg" TargetMode="External"/><Relationship Id="rId2628" Type="http://schemas.openxmlformats.org/officeDocument/2006/relationships/hyperlink" Target="https://ryycrdhlkmzpxwwwwupy.supabase.co/storage/v1/object/public/old_media/fa9b1e66.Path.062137.jpg" TargetMode="External"/><Relationship Id="rId3958" Type="http://schemas.openxmlformats.org/officeDocument/2006/relationships/hyperlink" Target="https://ryycrdhlkmzpxwwwwupy.supabase.co/storage/v1/object/public/old_media/38d2fa57.Path.105632.jpg" TargetMode="External"/><Relationship Id="rId709" Type="http://schemas.openxmlformats.org/officeDocument/2006/relationships/hyperlink" Target="https://ryycrdhlkmzpxwwwwupy.supabase.co/storage/v1/object/public/old_media/e264ec5d.Path.092524.jpg" TargetMode="External"/><Relationship Id="rId2629" Type="http://schemas.openxmlformats.org/officeDocument/2006/relationships/hyperlink" Target="https://ryycrdhlkmzpxwwwwupy.supabase.co/storage/v1/object/public/old_media/7738888b.Path.062145.jpg" TargetMode="External"/><Relationship Id="rId708" Type="http://schemas.openxmlformats.org/officeDocument/2006/relationships/hyperlink" Target="https://ryycrdhlkmzpxwwwwupy.supabase.co/storage/v1/object/public/old_media/826a873a.Path.092517.jpg" TargetMode="External"/><Relationship Id="rId707" Type="http://schemas.openxmlformats.org/officeDocument/2006/relationships/hyperlink" Target="https://ryycrdhlkmzpxwwwwupy.supabase.co/storage/v1/object/public/old_media/7e085c6c.Path.074655.jpg" TargetMode="External"/><Relationship Id="rId706" Type="http://schemas.openxmlformats.org/officeDocument/2006/relationships/hyperlink" Target="https://ryycrdhlkmzpxwwwwupy.supabase.co/storage/v1/object/public/old_media/b21b7890.Path.074650.jpg" TargetMode="External"/><Relationship Id="rId701" Type="http://schemas.openxmlformats.org/officeDocument/2006/relationships/hyperlink" Target="https://ryycrdhlkmzpxwwwwupy.supabase.co/storage/v1/object/public/old_media/00484d58.Path.065909.jpg" TargetMode="External"/><Relationship Id="rId700" Type="http://schemas.openxmlformats.org/officeDocument/2006/relationships/hyperlink" Target="https://ryycrdhlkmzpxwwwwupy.supabase.co/storage/v1/object/public/old_media/df35ea7c.Path.065902.jpg" TargetMode="External"/><Relationship Id="rId705" Type="http://schemas.openxmlformats.org/officeDocument/2006/relationships/hyperlink" Target="https://ryycrdhlkmzpxwwwwupy.supabase.co/storage/v1/object/public/old_media/93b9388f.Path.074642.jpg" TargetMode="External"/><Relationship Id="rId704" Type="http://schemas.openxmlformats.org/officeDocument/2006/relationships/hyperlink" Target="https://ryycrdhlkmzpxwwwwupy.supabase.co/storage/v1/object/public/old_media/24d86dee.Path.074634.jpg" TargetMode="External"/><Relationship Id="rId703" Type="http://schemas.openxmlformats.org/officeDocument/2006/relationships/hyperlink" Target="https://ryycrdhlkmzpxwwwwupy.supabase.co/storage/v1/object/public/old_media/3b1d929f.Path.065930.jpg" TargetMode="External"/><Relationship Id="rId702" Type="http://schemas.openxmlformats.org/officeDocument/2006/relationships/hyperlink" Target="https://ryycrdhlkmzpxwwwwupy.supabase.co/storage/v1/object/public/old_media/88afd18c.Path.065914.jpg" TargetMode="External"/><Relationship Id="rId3951" Type="http://schemas.openxmlformats.org/officeDocument/2006/relationships/hyperlink" Target="https://ryycrdhlkmzpxwwwwupy.supabase.co/storage/v1/object/public/old_media/9969e5d9.Path.105311.jpg" TargetMode="External"/><Relationship Id="rId2620" Type="http://schemas.openxmlformats.org/officeDocument/2006/relationships/hyperlink" Target="https://ryycrdhlkmzpxwwwwupy.supabase.co/storage/v1/object/public/old_media/0a99ac61.Path.053900.jpg" TargetMode="External"/><Relationship Id="rId3950" Type="http://schemas.openxmlformats.org/officeDocument/2006/relationships/hyperlink" Target="https://ryycrdhlkmzpxwwwwupy.supabase.co/storage/v1/object/public/old_media/216551f0.Path.105243.jpg" TargetMode="External"/><Relationship Id="rId2610" Type="http://schemas.openxmlformats.org/officeDocument/2006/relationships/hyperlink" Target="https://ryycrdhlkmzpxwwwwupy.supabase.co/storage/v1/object/public/old_media/fbf988cc.Path.095203.jpg" TargetMode="External"/><Relationship Id="rId3942" Type="http://schemas.openxmlformats.org/officeDocument/2006/relationships/hyperlink" Target="https://ryycrdhlkmzpxwwwwupy.supabase.co/storage/v1/object/public/old_media/2e66b325.Path.065814.webp" TargetMode="External"/><Relationship Id="rId2611" Type="http://schemas.openxmlformats.org/officeDocument/2006/relationships/hyperlink" Target="https://ryycrdhlkmzpxwwwwupy.supabase.co/storage/v1/object/public/old_media/7b0c8f0c.Path.095211.jpg" TargetMode="External"/><Relationship Id="rId3941" Type="http://schemas.openxmlformats.org/officeDocument/2006/relationships/hyperlink" Target="https://ryycrdhlkmzpxwwwwupy.supabase.co/storage/v1/object/public/old_media/f428e249.Path.065748.webp" TargetMode="External"/><Relationship Id="rId2612" Type="http://schemas.openxmlformats.org/officeDocument/2006/relationships/hyperlink" Target="https://ryycrdhlkmzpxwwwwupy.supabase.co/storage/v1/object/public/old_media/7cb1a86c.Path.053736.jpg" TargetMode="External"/><Relationship Id="rId3944" Type="http://schemas.openxmlformats.org/officeDocument/2006/relationships/hyperlink" Target="https://ryycrdhlkmzpxwwwwupy.supabase.co/storage/v1/object/public/old_media/ae3cac86.Path.070644.webp" TargetMode="External"/><Relationship Id="rId2613" Type="http://schemas.openxmlformats.org/officeDocument/2006/relationships/hyperlink" Target="https://ryycrdhlkmzpxwwwwupy.supabase.co/storage/v1/object/public/old_media/c2748ecc.Path.053746.jpg" TargetMode="External"/><Relationship Id="rId3943" Type="http://schemas.openxmlformats.org/officeDocument/2006/relationships/hyperlink" Target="https://ryycrdhlkmzpxwwwwupy.supabase.co/storage/v1/object/public/old_media/663339d4.Path.070615.webp" TargetMode="External"/><Relationship Id="rId2614" Type="http://schemas.openxmlformats.org/officeDocument/2006/relationships/hyperlink" Target="https://ryycrdhlkmzpxwwwwupy.supabase.co/storage/v1/object/public/old_media/3f762eaa.Path.053756.jpg" TargetMode="External"/><Relationship Id="rId3946" Type="http://schemas.openxmlformats.org/officeDocument/2006/relationships/hyperlink" Target="https://ryycrdhlkmzpxwwwwupy.supabase.co/storage/v1/object/public/old_media/0efcb8ee.Path.104924.jpg" TargetMode="External"/><Relationship Id="rId2615" Type="http://schemas.openxmlformats.org/officeDocument/2006/relationships/hyperlink" Target="https://ryycrdhlkmzpxwwwwupy.supabase.co/storage/v1/object/public/old_media/92a1eae8.Path.053807.jpg" TargetMode="External"/><Relationship Id="rId3945" Type="http://schemas.openxmlformats.org/officeDocument/2006/relationships/hyperlink" Target="https://ryycrdhlkmzpxwwwwupy.supabase.co/storage/v1/object/public/old_media/eb50b37b.Path.104856.jpg" TargetMode="External"/><Relationship Id="rId2616" Type="http://schemas.openxmlformats.org/officeDocument/2006/relationships/hyperlink" Target="https://ryycrdhlkmzpxwwwwupy.supabase.co/storage/v1/object/public/old_media/4cf5f667.Path.053817.jpg" TargetMode="External"/><Relationship Id="rId3948" Type="http://schemas.openxmlformats.org/officeDocument/2006/relationships/hyperlink" Target="https://ryycrdhlkmzpxwwwwupy.supabase.co/storage/v1/object/public/old_media/75b785f8.Path.105035.jpg" TargetMode="External"/><Relationship Id="rId2617" Type="http://schemas.openxmlformats.org/officeDocument/2006/relationships/hyperlink" Target="https://ryycrdhlkmzpxwwwwupy.supabase.co/storage/v1/object/public/old_media/6aca5c5a.Path.053826.jpg" TargetMode="External"/><Relationship Id="rId3947" Type="http://schemas.openxmlformats.org/officeDocument/2006/relationships/hyperlink" Target="https://ryycrdhlkmzpxwwwwupy.supabase.co/storage/v1/object/public/old_media/9e2dbd13.Path.105000.jpg" TargetMode="External"/><Relationship Id="rId2618" Type="http://schemas.openxmlformats.org/officeDocument/2006/relationships/hyperlink" Target="https://ryycrdhlkmzpxwwwwupy.supabase.co/storage/v1/object/public/old_media/f3d0d893.Path.053837.jpg" TargetMode="External"/><Relationship Id="rId2619" Type="http://schemas.openxmlformats.org/officeDocument/2006/relationships/hyperlink" Target="https://ryycrdhlkmzpxwwwwupy.supabase.co/storage/v1/object/public/old_media/b87af400.Path.053848.jpg" TargetMode="External"/><Relationship Id="rId3949" Type="http://schemas.openxmlformats.org/officeDocument/2006/relationships/hyperlink" Target="https://ryycrdhlkmzpxwwwwupy.supabase.co/storage/v1/object/public/old_media/f810dd85.Path.105214.jpg" TargetMode="External"/><Relationship Id="rId3940" Type="http://schemas.openxmlformats.org/officeDocument/2006/relationships/hyperlink" Target="https://ryycrdhlkmzpxwwwwupy.supabase.co/storage/v1/object/public/old_media/2fbec344.Path.065717.webp" TargetMode="External"/><Relationship Id="rId1312" Type="http://schemas.openxmlformats.org/officeDocument/2006/relationships/hyperlink" Target="https://ryycrdhlkmzpxwwwwupy.supabase.co/storage/v1/object/public/old_media/bd41038b.Path.051036.jpg" TargetMode="External"/><Relationship Id="rId2643" Type="http://schemas.openxmlformats.org/officeDocument/2006/relationships/hyperlink" Target="https://ryycrdhlkmzpxwwwwupy.supabase.co/storage/v1/object/public/old_media/f4f6541d.Path.114444.jpg" TargetMode="External"/><Relationship Id="rId3975" Type="http://schemas.openxmlformats.org/officeDocument/2006/relationships/hyperlink" Target="https://ryycrdhlkmzpxwwwwupy.supabase.co/storage/v1/object/public/old_media/b70fb3a0.Path.073200.jpg" TargetMode="External"/><Relationship Id="rId1313" Type="http://schemas.openxmlformats.org/officeDocument/2006/relationships/hyperlink" Target="https://ryycrdhlkmzpxwwwwupy.supabase.co/storage/v1/object/public/old_media/573de25b.Path.051046.jpg" TargetMode="External"/><Relationship Id="rId2644" Type="http://schemas.openxmlformats.org/officeDocument/2006/relationships/hyperlink" Target="https://ryycrdhlkmzpxwwwwupy.supabase.co/storage/v1/object/public/old_media/7d2ebd77.Path.114515.jpg" TargetMode="External"/><Relationship Id="rId3974" Type="http://schemas.openxmlformats.org/officeDocument/2006/relationships/hyperlink" Target="https://ryycrdhlkmzpxwwwwupy.supabase.co/storage/v1/object/public/old_media/18d744a9.Path.073119.jpg" TargetMode="External"/><Relationship Id="rId1314" Type="http://schemas.openxmlformats.org/officeDocument/2006/relationships/hyperlink" Target="https://ryycrdhlkmzpxwwwwupy.supabase.co/storage/v1/object/public/old_media/f53b5e01.Path.051055.jpg" TargetMode="External"/><Relationship Id="rId2645" Type="http://schemas.openxmlformats.org/officeDocument/2006/relationships/hyperlink" Target="https://ryycrdhlkmzpxwwwwupy.supabase.co/storage/v1/object/public/old_media/45693839.Path.114544.jpg" TargetMode="External"/><Relationship Id="rId3977" Type="http://schemas.openxmlformats.org/officeDocument/2006/relationships/hyperlink" Target="https://ryycrdhlkmzpxwwwwupy.supabase.co/storage/v1/object/public/old_media/bd8ed9b8.Path.073327.jpg" TargetMode="External"/><Relationship Id="rId1315" Type="http://schemas.openxmlformats.org/officeDocument/2006/relationships/hyperlink" Target="https://ryycrdhlkmzpxwwwwupy.supabase.co/storage/v1/object/public/old_media/ca947243.Path.051104.jpg" TargetMode="External"/><Relationship Id="rId2646" Type="http://schemas.openxmlformats.org/officeDocument/2006/relationships/hyperlink" Target="https://ryycrdhlkmzpxwwwwupy.supabase.co/storage/v1/object/public/old_media/65c11f88.Path.114620.jpg" TargetMode="External"/><Relationship Id="rId3976" Type="http://schemas.openxmlformats.org/officeDocument/2006/relationships/hyperlink" Target="https://ryycrdhlkmzpxwwwwupy.supabase.co/storage/v1/object/public/old_media/f6f4ba4c.Path.073254.jpg" TargetMode="External"/><Relationship Id="rId1316" Type="http://schemas.openxmlformats.org/officeDocument/2006/relationships/hyperlink" Target="https://ryycrdhlkmzpxwwwwupy.supabase.co/storage/v1/object/public/old_media/6b411110.Path.051114.jpg" TargetMode="External"/><Relationship Id="rId2647" Type="http://schemas.openxmlformats.org/officeDocument/2006/relationships/hyperlink" Target="https://ryycrdhlkmzpxwwwwupy.supabase.co/storage/v1/object/public/old_media/4bbe2282.Path.043044.jpg" TargetMode="External"/><Relationship Id="rId3979" Type="http://schemas.openxmlformats.org/officeDocument/2006/relationships/hyperlink" Target="https://ryycrdhlkmzpxwwwwupy.supabase.co/storage/v1/object/public/old_media/3ab858a0.Path.043956.jpg" TargetMode="External"/><Relationship Id="rId1317" Type="http://schemas.openxmlformats.org/officeDocument/2006/relationships/hyperlink" Target="https://ryycrdhlkmzpxwwwwupy.supabase.co/storage/v1/object/public/old_media/b9bffcdc.Path.055125.jpg" TargetMode="External"/><Relationship Id="rId2648" Type="http://schemas.openxmlformats.org/officeDocument/2006/relationships/hyperlink" Target="https://ryycrdhlkmzpxwwwwupy.supabase.co/storage/v1/object/public/old_media/665fe61a.Path.043110.jpg" TargetMode="External"/><Relationship Id="rId3978" Type="http://schemas.openxmlformats.org/officeDocument/2006/relationships/hyperlink" Target="https://ryycrdhlkmzpxwwwwupy.supabase.co/storage/v1/object/public/old_media/a43e0ba5.Path.073355.jpg" TargetMode="External"/><Relationship Id="rId1318" Type="http://schemas.openxmlformats.org/officeDocument/2006/relationships/hyperlink" Target="https://ryycrdhlkmzpxwwwwupy.supabase.co/storage/v1/object/public/old_media/f9db82b4.Path.055148.jpg" TargetMode="External"/><Relationship Id="rId2649" Type="http://schemas.openxmlformats.org/officeDocument/2006/relationships/hyperlink" Target="https://ryycrdhlkmzpxwwwwupy.supabase.co/storage/v1/object/public/old_media/6b2ce76b.Path.064213.jpg" TargetMode="External"/><Relationship Id="rId1319" Type="http://schemas.openxmlformats.org/officeDocument/2006/relationships/hyperlink" Target="https://ryycrdhlkmzpxwwwwupy.supabase.co/storage/v1/object/public/old_media/e0ba8343.Path.055216.jpg" TargetMode="External"/><Relationship Id="rId729" Type="http://schemas.openxmlformats.org/officeDocument/2006/relationships/hyperlink" Target="https://ryycrdhlkmzpxwwwwupy.supabase.co/storage/v1/object/public/old_media/0ad581a1.Path.093822.jpg" TargetMode="External"/><Relationship Id="rId728" Type="http://schemas.openxmlformats.org/officeDocument/2006/relationships/hyperlink" Target="https://ryycrdhlkmzpxwwwwupy.supabase.co/storage/v1/object/public/old_media/d4a09f28.Path.093815.jpg" TargetMode="External"/><Relationship Id="rId723" Type="http://schemas.openxmlformats.org/officeDocument/2006/relationships/hyperlink" Target="https://ryycrdhlkmzpxwwwwupy.supabase.co/storage/v1/object/public/old_media/9ab7b6a5.Path.060248.jpg" TargetMode="External"/><Relationship Id="rId722" Type="http://schemas.openxmlformats.org/officeDocument/2006/relationships/hyperlink" Target="https://ryycrdhlkmzpxwwwwupy.supabase.co/storage/v1/object/public/old_media/485420da.Path.060241.jpg" TargetMode="External"/><Relationship Id="rId721" Type="http://schemas.openxmlformats.org/officeDocument/2006/relationships/hyperlink" Target="https://ryycrdhlkmzpxwwwwupy.supabase.co/storage/v1/object/public/old_media/aee136e4.Path.060225.jpg" TargetMode="External"/><Relationship Id="rId720" Type="http://schemas.openxmlformats.org/officeDocument/2006/relationships/hyperlink" Target="https://ryycrdhlkmzpxwwwwupy.supabase.co/storage/v1/object/public/old_media/bc454d7d.Path.060218.jpg" TargetMode="External"/><Relationship Id="rId727" Type="http://schemas.openxmlformats.org/officeDocument/2006/relationships/hyperlink" Target="https://ryycrdhlkmzpxwwwwupy.supabase.co/storage/v1/object/public/old_media/897459c4.Path.093808.jpg" TargetMode="External"/><Relationship Id="rId726" Type="http://schemas.openxmlformats.org/officeDocument/2006/relationships/hyperlink" Target="https://ryycrdhlkmzpxwwwwupy.supabase.co/storage/v1/object/public/old_media/6ca2b193.Path.091832.jpg" TargetMode="External"/><Relationship Id="rId725" Type="http://schemas.openxmlformats.org/officeDocument/2006/relationships/hyperlink" Target="https://ryycrdhlkmzpxwwwwupy.supabase.co/storage/v1/object/public/old_media/4df32f63.Path.091825.jpg" TargetMode="External"/><Relationship Id="rId724" Type="http://schemas.openxmlformats.org/officeDocument/2006/relationships/hyperlink" Target="https://ryycrdhlkmzpxwwwwupy.supabase.co/storage/v1/object/public/old_media/9986b0ef.Path.060313.jpg" TargetMode="External"/><Relationship Id="rId3971" Type="http://schemas.openxmlformats.org/officeDocument/2006/relationships/hyperlink" Target="https://ryycrdhlkmzpxwwwwupy.supabase.co/storage/v1/object/public/old_media/5e42928e.Path.041916.jpg" TargetMode="External"/><Relationship Id="rId2640" Type="http://schemas.openxmlformats.org/officeDocument/2006/relationships/hyperlink" Target="https://ryycrdhlkmzpxwwwwupy.supabase.co/storage/v1/object/public/old_media/ec492675.Path.114322.jpg" TargetMode="External"/><Relationship Id="rId3970" Type="http://schemas.openxmlformats.org/officeDocument/2006/relationships/hyperlink" Target="https://ryycrdhlkmzpxwwwwupy.supabase.co/storage/v1/object/public/old_media/8ed52b8f.Path.040955.jpg" TargetMode="External"/><Relationship Id="rId1310" Type="http://schemas.openxmlformats.org/officeDocument/2006/relationships/hyperlink" Target="https://ryycrdhlkmzpxwwwwupy.supabase.co/storage/v1/object/public/old_media/5e5869be.Path.051019.jpg" TargetMode="External"/><Relationship Id="rId2641" Type="http://schemas.openxmlformats.org/officeDocument/2006/relationships/hyperlink" Target="https://ryycrdhlkmzpxwwwwupy.supabase.co/storage/v1/object/public/old_media/0d3f065d.Path.114353.jpg" TargetMode="External"/><Relationship Id="rId3973" Type="http://schemas.openxmlformats.org/officeDocument/2006/relationships/hyperlink" Target="https://ryycrdhlkmzpxwwwwupy.supabase.co/storage/v1/object/public/old_media/3ed0cf53.Path.073048.jpg" TargetMode="External"/><Relationship Id="rId1311" Type="http://schemas.openxmlformats.org/officeDocument/2006/relationships/hyperlink" Target="https://ryycrdhlkmzpxwwwwupy.supabase.co/storage/v1/object/public/old_media/3d2e5f95.Path.051027.jpg" TargetMode="External"/><Relationship Id="rId2642" Type="http://schemas.openxmlformats.org/officeDocument/2006/relationships/hyperlink" Target="https://ryycrdhlkmzpxwwwwupy.supabase.co/storage/v1/object/public/old_media/91d56446.Path.114418.jpg" TargetMode="External"/><Relationship Id="rId3972" Type="http://schemas.openxmlformats.org/officeDocument/2006/relationships/hyperlink" Target="https://ryycrdhlkmzpxwwwwupy.supabase.co/storage/v1/object/public/old_media/87a2f09c.Path.041946.jpg" TargetMode="External"/><Relationship Id="rId1301" Type="http://schemas.openxmlformats.org/officeDocument/2006/relationships/hyperlink" Target="https://ryycrdhlkmzpxwwwwupy.supabase.co/storage/v1/object/public/old_media/c2037c19.Path.105556.webp" TargetMode="External"/><Relationship Id="rId2632" Type="http://schemas.openxmlformats.org/officeDocument/2006/relationships/hyperlink" Target="https://ryycrdhlkmzpxwwwwupy.supabase.co/storage/v1/object/public/old_media/12296373.Path.063238.jpg" TargetMode="External"/><Relationship Id="rId3964" Type="http://schemas.openxmlformats.org/officeDocument/2006/relationships/hyperlink" Target="https://ryycrdhlkmzpxwwwwupy.supabase.co/storage/v1/object/public/old_media/6541995c.Path.105936.jpg" TargetMode="External"/><Relationship Id="rId1302" Type="http://schemas.openxmlformats.org/officeDocument/2006/relationships/hyperlink" Target="https://ryycrdhlkmzpxwwwwupy.supabase.co/storage/v1/object/public/old_media/46020926.Path.105617.webp" TargetMode="External"/><Relationship Id="rId2633" Type="http://schemas.openxmlformats.org/officeDocument/2006/relationships/hyperlink" Target="https://ryycrdhlkmzpxwwwwupy.supabase.co/storage/v1/object/public/old_media/4d4f245e.Path.063249.jpg" TargetMode="External"/><Relationship Id="rId3963" Type="http://schemas.openxmlformats.org/officeDocument/2006/relationships/hyperlink" Target="https://ryycrdhlkmzpxwwwwupy.supabase.co/storage/v1/object/public/old_media/e6f3d482.Path.105905.jpg" TargetMode="External"/><Relationship Id="rId1303" Type="http://schemas.openxmlformats.org/officeDocument/2006/relationships/hyperlink" Target="https://ryycrdhlkmzpxwwwwupy.supabase.co/storage/v1/object/public/old_media/67a07c2c.Path.105641.webp" TargetMode="External"/><Relationship Id="rId2634" Type="http://schemas.openxmlformats.org/officeDocument/2006/relationships/hyperlink" Target="https://ryycrdhlkmzpxwwwwupy.supabase.co/storage/v1/object/public/old_media/b289f4c3.Path.063312.jpg" TargetMode="External"/><Relationship Id="rId3966" Type="http://schemas.openxmlformats.org/officeDocument/2006/relationships/hyperlink" Target="https://ryycrdhlkmzpxwwwwupy.supabase.co/storage/v1/object/public/old_media/76a77261.Path.110058.jpg" TargetMode="External"/><Relationship Id="rId1304" Type="http://schemas.openxmlformats.org/officeDocument/2006/relationships/hyperlink" Target="https://ryycrdhlkmzpxwwwwupy.supabase.co/storage/v1/object/public/old_media/ce841b0b.Path.105653.webp" TargetMode="External"/><Relationship Id="rId2635" Type="http://schemas.openxmlformats.org/officeDocument/2006/relationships/hyperlink" Target="https://ryycrdhlkmzpxwwwwupy.supabase.co/storage/v1/object/public/old_media/4899cd7b.Path.063321.jpg" TargetMode="External"/><Relationship Id="rId3965" Type="http://schemas.openxmlformats.org/officeDocument/2006/relationships/hyperlink" Target="https://ryycrdhlkmzpxwwwwupy.supabase.co/storage/v1/object/public/old_media/142a93d6.Path.110027.jpg" TargetMode="External"/><Relationship Id="rId1305" Type="http://schemas.openxmlformats.org/officeDocument/2006/relationships/hyperlink" Target="https://ryycrdhlkmzpxwwwwupy.supabase.co/storage/v1/object/public/old_media/47adb657.Path.050825.jpg" TargetMode="External"/><Relationship Id="rId2636" Type="http://schemas.openxmlformats.org/officeDocument/2006/relationships/hyperlink" Target="https://ryycrdhlkmzpxwwwwupy.supabase.co/storage/v1/object/public/old_media/eaf0e3f4.Path.114149.jpg" TargetMode="External"/><Relationship Id="rId3968" Type="http://schemas.openxmlformats.org/officeDocument/2006/relationships/hyperlink" Target="https://ryycrdhlkmzpxwwwwupy.supabase.co/storage/v1/object/public/old_media/631efd66.Path.110519.jpg" TargetMode="External"/><Relationship Id="rId1306" Type="http://schemas.openxmlformats.org/officeDocument/2006/relationships/hyperlink" Target="https://ryycrdhlkmzpxwwwwupy.supabase.co/storage/v1/object/public/old_media/d293d515.Path.050856.jpg" TargetMode="External"/><Relationship Id="rId2637" Type="http://schemas.openxmlformats.org/officeDocument/2006/relationships/hyperlink" Target="https://ryycrdhlkmzpxwwwwupy.supabase.co/storage/v1/object/public/old_media/c2050af5.Path.114214.jpg" TargetMode="External"/><Relationship Id="rId3967" Type="http://schemas.openxmlformats.org/officeDocument/2006/relationships/hyperlink" Target="https://ryycrdhlkmzpxwwwwupy.supabase.co/storage/v1/object/public/old_media/58112d58.Path.110129.jpg" TargetMode="External"/><Relationship Id="rId1307" Type="http://schemas.openxmlformats.org/officeDocument/2006/relationships/hyperlink" Target="https://ryycrdhlkmzpxwwwwupy.supabase.co/storage/v1/object/public/old_media/89d346a8.Path.050935.jpg" TargetMode="External"/><Relationship Id="rId2638" Type="http://schemas.openxmlformats.org/officeDocument/2006/relationships/hyperlink" Target="https://ryycrdhlkmzpxwwwwupy.supabase.co/storage/v1/object/public/old_media/81bad68c.Path.114236.jpg" TargetMode="External"/><Relationship Id="rId1308" Type="http://schemas.openxmlformats.org/officeDocument/2006/relationships/hyperlink" Target="https://ryycrdhlkmzpxwwwwupy.supabase.co/storage/v1/object/public/old_media/7a3de38b.Path.050958.jpg" TargetMode="External"/><Relationship Id="rId2639" Type="http://schemas.openxmlformats.org/officeDocument/2006/relationships/hyperlink" Target="https://ryycrdhlkmzpxwwwwupy.supabase.co/storage/v1/object/public/old_media/ca2cc440.Path.114251.jpg" TargetMode="External"/><Relationship Id="rId3969" Type="http://schemas.openxmlformats.org/officeDocument/2006/relationships/hyperlink" Target="https://ryycrdhlkmzpxwwwwupy.supabase.co/storage/v1/object/public/old_media/35a1821f.Path.110918.webp" TargetMode="External"/><Relationship Id="rId1309" Type="http://schemas.openxmlformats.org/officeDocument/2006/relationships/hyperlink" Target="https://ryycrdhlkmzpxwwwwupy.supabase.co/storage/v1/object/public/old_media/afe7deb4.Path.051009.jpg" TargetMode="External"/><Relationship Id="rId719" Type="http://schemas.openxmlformats.org/officeDocument/2006/relationships/hyperlink" Target="https://ryycrdhlkmzpxwwwwupy.supabase.co/storage/v1/object/public/old_media/dcdaa5cb.Path.053959.jpg" TargetMode="External"/><Relationship Id="rId718" Type="http://schemas.openxmlformats.org/officeDocument/2006/relationships/hyperlink" Target="https://ryycrdhlkmzpxwwwwupy.supabase.co/storage/v1/object/public/old_media/98940ba0.Path.053953.jpg" TargetMode="External"/><Relationship Id="rId717" Type="http://schemas.openxmlformats.org/officeDocument/2006/relationships/hyperlink" Target="https://ryycrdhlkmzpxwwwwupy.supabase.co/storage/v1/object/public/old_media/4f6d928f.Path.053935.jpg" TargetMode="External"/><Relationship Id="rId712" Type="http://schemas.openxmlformats.org/officeDocument/2006/relationships/hyperlink" Target="https://ryycrdhlkmzpxwwwwupy.supabase.co/storage/v1/object/public/old_media/1164f15a.Path.053833.jpg" TargetMode="External"/><Relationship Id="rId711" Type="http://schemas.openxmlformats.org/officeDocument/2006/relationships/hyperlink" Target="https://ryycrdhlkmzpxwwwwupy.supabase.co/storage/v1/object/public/old_media/93e2c640.Path.053815.jpg" TargetMode="External"/><Relationship Id="rId710" Type="http://schemas.openxmlformats.org/officeDocument/2006/relationships/hyperlink" Target="https://ryycrdhlkmzpxwwwwupy.supabase.co/storage/v1/object/public/old_media/8a8213ee.Path.092530.jpg" TargetMode="External"/><Relationship Id="rId716" Type="http://schemas.openxmlformats.org/officeDocument/2006/relationships/hyperlink" Target="https://ryycrdhlkmzpxwwwwupy.supabase.co/storage/v1/object/public/old_media/7c917f7d.Path.053928.jpg" TargetMode="External"/><Relationship Id="rId715" Type="http://schemas.openxmlformats.org/officeDocument/2006/relationships/hyperlink" Target="https://ryycrdhlkmzpxwwwwupy.supabase.co/storage/v1/object/public/old_media/e12db2c9.Path.053912.jpg" TargetMode="External"/><Relationship Id="rId714" Type="http://schemas.openxmlformats.org/officeDocument/2006/relationships/hyperlink" Target="https://ryycrdhlkmzpxwwwwupy.supabase.co/storage/v1/object/public/old_media/8b219ba4.Path.053856.jpg" TargetMode="External"/><Relationship Id="rId713" Type="http://schemas.openxmlformats.org/officeDocument/2006/relationships/hyperlink" Target="https://ryycrdhlkmzpxwwwwupy.supabase.co/storage/v1/object/public/old_media/c7062b96.Path.053840.jpg" TargetMode="External"/><Relationship Id="rId3960" Type="http://schemas.openxmlformats.org/officeDocument/2006/relationships/hyperlink" Target="https://ryycrdhlkmzpxwwwwupy.supabase.co/storage/v1/object/public/old_media/4340644d.Path.105731.jpg" TargetMode="External"/><Relationship Id="rId2630" Type="http://schemas.openxmlformats.org/officeDocument/2006/relationships/hyperlink" Target="https://ryycrdhlkmzpxwwwwupy.supabase.co/storage/v1/object/public/old_media/5475f52d.Path.063200.jpg" TargetMode="External"/><Relationship Id="rId3962" Type="http://schemas.openxmlformats.org/officeDocument/2006/relationships/hyperlink" Target="https://ryycrdhlkmzpxwwwwupy.supabase.co/storage/v1/object/public/old_media/7cdd56b1.Path.105831.jpg" TargetMode="External"/><Relationship Id="rId1300" Type="http://schemas.openxmlformats.org/officeDocument/2006/relationships/hyperlink" Target="https://ryycrdhlkmzpxwwwwupy.supabase.co/storage/v1/object/public/old_media/7e3f873e.Path.105442.webp" TargetMode="External"/><Relationship Id="rId2631" Type="http://schemas.openxmlformats.org/officeDocument/2006/relationships/hyperlink" Target="https://ryycrdhlkmzpxwwwwupy.supabase.co/storage/v1/object/public/old_media/1d36cdb8.Path.063227.jpg" TargetMode="External"/><Relationship Id="rId3961" Type="http://schemas.openxmlformats.org/officeDocument/2006/relationships/hyperlink" Target="https://ryycrdhlkmzpxwwwwupy.supabase.co/storage/v1/object/public/old_media/47dd0769.Path.105800.jpg" TargetMode="External"/><Relationship Id="rId3117" Type="http://schemas.openxmlformats.org/officeDocument/2006/relationships/hyperlink" Target="https://ryycrdhlkmzpxwwwwupy.supabase.co/storage/v1/object/public/old_media/81c0ca92.Path.050221.jpg" TargetMode="External"/><Relationship Id="rId4448" Type="http://schemas.openxmlformats.org/officeDocument/2006/relationships/hyperlink" Target="https://ryycrdhlkmzpxwwwwupy.supabase.co/storage/v1/object/public/old_media/a387ffbe.Path.045039.jpg" TargetMode="External"/><Relationship Id="rId3116" Type="http://schemas.openxmlformats.org/officeDocument/2006/relationships/hyperlink" Target="https://ryycrdhlkmzpxwwwwupy.supabase.co/storage/v1/object/public/old_media/4c0a6a23.Path.050212.jpg" TargetMode="External"/><Relationship Id="rId4447" Type="http://schemas.openxmlformats.org/officeDocument/2006/relationships/hyperlink" Target="https://ryycrdhlkmzpxwwwwupy.supabase.co/storage/v1/object/public/old_media/4e6a2213.Path.045005.jpg" TargetMode="External"/><Relationship Id="rId3119" Type="http://schemas.openxmlformats.org/officeDocument/2006/relationships/hyperlink" Target="https://ryycrdhlkmzpxwwwwupy.supabase.co/storage/v1/object/public/old_media/b83b69be.Path.050243.jpg" TargetMode="External"/><Relationship Id="rId3118" Type="http://schemas.openxmlformats.org/officeDocument/2006/relationships/hyperlink" Target="https://ryycrdhlkmzpxwwwwupy.supabase.co/storage/v1/object/public/old_media/5c5a280a.Path.050230.jpg" TargetMode="External"/><Relationship Id="rId4449" Type="http://schemas.openxmlformats.org/officeDocument/2006/relationships/hyperlink" Target="https://ryycrdhlkmzpxwwwwupy.supabase.co/storage/v1/object/public/old_media/39d1f643.Path.045616.jpg" TargetMode="External"/><Relationship Id="rId4440" Type="http://schemas.openxmlformats.org/officeDocument/2006/relationships/hyperlink" Target="https://ryycrdhlkmzpxwwwwupy.supabase.co/storage/v1/object/public/old_media/3cab883e.Path.074416.jpg" TargetMode="External"/><Relationship Id="rId3111" Type="http://schemas.openxmlformats.org/officeDocument/2006/relationships/hyperlink" Target="https://ryycrdhlkmzpxwwwwupy.supabase.co/storage/v1/object/public/old_media/ddbcbc82.Path.074605.jpg" TargetMode="External"/><Relationship Id="rId4442" Type="http://schemas.openxmlformats.org/officeDocument/2006/relationships/hyperlink" Target="https://ryycrdhlkmzpxwwwwupy.supabase.co/storage/v1/object/public/old_media/474f02c5.Path.074517.jpg" TargetMode="External"/><Relationship Id="rId3110" Type="http://schemas.openxmlformats.org/officeDocument/2006/relationships/hyperlink" Target="https://ryycrdhlkmzpxwwwwupy.supabase.co/storage/v1/object/public/old_media/f600a2cb.Path.074552.jpg" TargetMode="External"/><Relationship Id="rId4441" Type="http://schemas.openxmlformats.org/officeDocument/2006/relationships/hyperlink" Target="https://ryycrdhlkmzpxwwwwupy.supabase.co/storage/v1/object/public/old_media/f826f17e.Path.074447.jpg" TargetMode="External"/><Relationship Id="rId3113" Type="http://schemas.openxmlformats.org/officeDocument/2006/relationships/hyperlink" Target="https://ryycrdhlkmzpxwwwwupy.supabase.co/storage/v1/object/public/old_media/437c6681.Path.100929.jpg" TargetMode="External"/><Relationship Id="rId4444" Type="http://schemas.openxmlformats.org/officeDocument/2006/relationships/hyperlink" Target="https://ryycrdhlkmzpxwwwwupy.supabase.co/storage/v1/object/public/old_media/375a1a8d.Path.074614.jpg" TargetMode="External"/><Relationship Id="rId3112" Type="http://schemas.openxmlformats.org/officeDocument/2006/relationships/hyperlink" Target="https://ryycrdhlkmzpxwwwwupy.supabase.co/storage/v1/object/public/old_media/889ea2a1.Path.100913.jpg" TargetMode="External"/><Relationship Id="rId4443" Type="http://schemas.openxmlformats.org/officeDocument/2006/relationships/hyperlink" Target="https://ryycrdhlkmzpxwwwwupy.supabase.co/storage/v1/object/public/old_media/0166da33.Path.074545.jpg" TargetMode="External"/><Relationship Id="rId3115" Type="http://schemas.openxmlformats.org/officeDocument/2006/relationships/hyperlink" Target="https://ryycrdhlkmzpxwwwwupy.supabase.co/storage/v1/object/public/old_media/83708150.Path.050201.jpg" TargetMode="External"/><Relationship Id="rId4446" Type="http://schemas.openxmlformats.org/officeDocument/2006/relationships/hyperlink" Target="https://ryycrdhlkmzpxwwwwupy.supabase.co/storage/v1/object/public/old_media/091eee33.Path.044934.jpg" TargetMode="External"/><Relationship Id="rId3114" Type="http://schemas.openxmlformats.org/officeDocument/2006/relationships/hyperlink" Target="https://ryycrdhlkmzpxwwwwupy.supabase.co/storage/v1/object/public/old_media/5c7c9ce8.Path.100946.jpg" TargetMode="External"/><Relationship Id="rId4445" Type="http://schemas.openxmlformats.org/officeDocument/2006/relationships/hyperlink" Target="https://ryycrdhlkmzpxwwwwupy.supabase.co/storage/v1/object/public/old_media/38013b4a.Path.053949.jpg" TargetMode="External"/><Relationship Id="rId3106" Type="http://schemas.openxmlformats.org/officeDocument/2006/relationships/hyperlink" Target="https://ryycrdhlkmzpxwwwwupy.supabase.co/storage/v1/object/public/old_media/56742d1f.Path.053219.jpg" TargetMode="External"/><Relationship Id="rId4437" Type="http://schemas.openxmlformats.org/officeDocument/2006/relationships/hyperlink" Target="https://ryycrdhlkmzpxwwwwupy.supabase.co/storage/v1/object/public/old_media/0a667c7b.Path.073813.jpg" TargetMode="External"/><Relationship Id="rId3105" Type="http://schemas.openxmlformats.org/officeDocument/2006/relationships/hyperlink" Target="https://ryycrdhlkmzpxwwwwupy.supabase.co/storage/v1/object/public/old_media/b40013e9.Path.053202.jpg" TargetMode="External"/><Relationship Id="rId4436" Type="http://schemas.openxmlformats.org/officeDocument/2006/relationships/hyperlink" Target="https://ryycrdhlkmzpxwwwwupy.supabase.co/storage/v1/object/public/old_media/6495d63b.Path.053423.jpg" TargetMode="External"/><Relationship Id="rId3108" Type="http://schemas.openxmlformats.org/officeDocument/2006/relationships/hyperlink" Target="https://ryycrdhlkmzpxwwwwupy.supabase.co/storage/v1/object/public/old_media/4dccbdb1.Path.074531.jpg" TargetMode="External"/><Relationship Id="rId4439" Type="http://schemas.openxmlformats.org/officeDocument/2006/relationships/hyperlink" Target="https://ryycrdhlkmzpxwwwwupy.supabase.co/storage/v1/object/public/old_media/ca381d4c.Path.074348.jpg" TargetMode="External"/><Relationship Id="rId3107" Type="http://schemas.openxmlformats.org/officeDocument/2006/relationships/hyperlink" Target="https://ryycrdhlkmzpxwwwwupy.supabase.co/storage/v1/object/public/old_media/be712002.Path.074523.jpg" TargetMode="External"/><Relationship Id="rId4438" Type="http://schemas.openxmlformats.org/officeDocument/2006/relationships/hyperlink" Target="https://ryycrdhlkmzpxwwwwupy.supabase.co/storage/v1/object/public/old_media/05399d9a.Path.074315.jpg" TargetMode="External"/><Relationship Id="rId3109" Type="http://schemas.openxmlformats.org/officeDocument/2006/relationships/hyperlink" Target="https://ryycrdhlkmzpxwwwwupy.supabase.co/storage/v1/object/public/old_media/32aea10d.Path.074539.jpg" TargetMode="External"/><Relationship Id="rId3100" Type="http://schemas.openxmlformats.org/officeDocument/2006/relationships/hyperlink" Target="https://ryycrdhlkmzpxwwwwupy.supabase.co/storage/v1/object/public/old_media/a86dc257.Path.053029.jpg" TargetMode="External"/><Relationship Id="rId4431" Type="http://schemas.openxmlformats.org/officeDocument/2006/relationships/hyperlink" Target="https://ryycrdhlkmzpxwwwwupy.supabase.co/storage/v1/object/public/old_media/be81672a.Path.053146.jpg" TargetMode="External"/><Relationship Id="rId4430" Type="http://schemas.openxmlformats.org/officeDocument/2006/relationships/hyperlink" Target="https://ryycrdhlkmzpxwwwwupy.supabase.co/storage/v1/object/public/old_media/8e0f7a8e.Path.053119.jpg" TargetMode="External"/><Relationship Id="rId3102" Type="http://schemas.openxmlformats.org/officeDocument/2006/relationships/hyperlink" Target="https://ryycrdhlkmzpxwwwwupy.supabase.co/storage/v1/object/public/old_media/f9ec66b1.Path.053100.jpg" TargetMode="External"/><Relationship Id="rId4433" Type="http://schemas.openxmlformats.org/officeDocument/2006/relationships/hyperlink" Target="https://ryycrdhlkmzpxwwwwupy.supabase.co/storage/v1/object/public/old_media/68d36431.Path.053252.jpg" TargetMode="External"/><Relationship Id="rId3101" Type="http://schemas.openxmlformats.org/officeDocument/2006/relationships/hyperlink" Target="https://ryycrdhlkmzpxwwwwupy.supabase.co/storage/v1/object/public/old_media/2dc49537.Path.053042.jpg" TargetMode="External"/><Relationship Id="rId4432" Type="http://schemas.openxmlformats.org/officeDocument/2006/relationships/hyperlink" Target="https://ryycrdhlkmzpxwwwwupy.supabase.co/storage/v1/object/public/old_media/c211ee8e.Path.053218.jpg" TargetMode="External"/><Relationship Id="rId3104" Type="http://schemas.openxmlformats.org/officeDocument/2006/relationships/hyperlink" Target="https://ryycrdhlkmzpxwwwwupy.supabase.co/storage/v1/object/public/old_media/d96fda89.Path.053141.jpg" TargetMode="External"/><Relationship Id="rId4435" Type="http://schemas.openxmlformats.org/officeDocument/2006/relationships/hyperlink" Target="https://ryycrdhlkmzpxwwwwupy.supabase.co/storage/v1/object/public/old_media/69dcba79.Path.053354.jpg" TargetMode="External"/><Relationship Id="rId3103" Type="http://schemas.openxmlformats.org/officeDocument/2006/relationships/hyperlink" Target="https://ryycrdhlkmzpxwwwwupy.supabase.co/storage/v1/object/public/old_media/e43008b0.Path.053120.jpg" TargetMode="External"/><Relationship Id="rId4434" Type="http://schemas.openxmlformats.org/officeDocument/2006/relationships/hyperlink" Target="https://ryycrdhlkmzpxwwwwupy.supabase.co/storage/v1/object/public/old_media/b56adc22.Path.053323.jpg" TargetMode="External"/><Relationship Id="rId3139" Type="http://schemas.openxmlformats.org/officeDocument/2006/relationships/hyperlink" Target="https://ryycrdhlkmzpxwwwwupy.supabase.co/storage/v1/object/public/old_media/1e0659bb.Path.110944.webp" TargetMode="External"/><Relationship Id="rId3138" Type="http://schemas.openxmlformats.org/officeDocument/2006/relationships/hyperlink" Target="https://ryycrdhlkmzpxwwwwupy.supabase.co/storage/v1/object/public/old_media/c13c8d73.Path.110933.webp" TargetMode="External"/><Relationship Id="rId4469" Type="http://schemas.openxmlformats.org/officeDocument/2006/relationships/hyperlink" Target="https://ryycrdhlkmzpxwwwwupy.supabase.co/storage/v1/object/public/old_media/d16a455a.Path.061229.jpg" TargetMode="External"/><Relationship Id="rId4460" Type="http://schemas.openxmlformats.org/officeDocument/2006/relationships/hyperlink" Target="https://ryycrdhlkmzpxwwwwupy.supabase.co/storage/v1/object/public/old_media/d219852a.Path.071601.png" TargetMode="External"/><Relationship Id="rId3131" Type="http://schemas.openxmlformats.org/officeDocument/2006/relationships/hyperlink" Target="https://ryycrdhlkmzpxwwwwupy.supabase.co/storage/v1/object/public/old_media/8a8866a6.Path.050114.webp" TargetMode="External"/><Relationship Id="rId4462" Type="http://schemas.openxmlformats.org/officeDocument/2006/relationships/hyperlink" Target="https://ryycrdhlkmzpxwwwwupy.supabase.co/storage/v1/object/public/old_media/e4d6104f.Path.041814.png" TargetMode="External"/><Relationship Id="rId3130" Type="http://schemas.openxmlformats.org/officeDocument/2006/relationships/hyperlink" Target="https://ryycrdhlkmzpxwwwwupy.supabase.co/storage/v1/object/public/old_media/2bab541e.Path.050105.webp" TargetMode="External"/><Relationship Id="rId4461" Type="http://schemas.openxmlformats.org/officeDocument/2006/relationships/hyperlink" Target="https://ryycrdhlkmzpxwwwwupy.supabase.co/storage/v1/object/public/old_media/f36fd8c7.Path.071634.png" TargetMode="External"/><Relationship Id="rId3133" Type="http://schemas.openxmlformats.org/officeDocument/2006/relationships/hyperlink" Target="https://ryycrdhlkmzpxwwwwupy.supabase.co/storage/v1/object/public/old_media/d0f24703.Path.050131.webp" TargetMode="External"/><Relationship Id="rId4464" Type="http://schemas.openxmlformats.org/officeDocument/2006/relationships/hyperlink" Target="https://ryycrdhlkmzpxwwwwupy.supabase.co/storage/v1/object/public/old_media/9a0937d7.Path.041916.png" TargetMode="External"/><Relationship Id="rId3132" Type="http://schemas.openxmlformats.org/officeDocument/2006/relationships/hyperlink" Target="https://ryycrdhlkmzpxwwwwupy.supabase.co/storage/v1/object/public/old_media/a33549ba.Path.050122.webp" TargetMode="External"/><Relationship Id="rId4463" Type="http://schemas.openxmlformats.org/officeDocument/2006/relationships/hyperlink" Target="https://ryycrdhlkmzpxwwwwupy.supabase.co/storage/v1/object/public/old_media/53d8f4e9.Path.041847.png" TargetMode="External"/><Relationship Id="rId3135" Type="http://schemas.openxmlformats.org/officeDocument/2006/relationships/hyperlink" Target="https://ryycrdhlkmzpxwwwwupy.supabase.co/storage/v1/object/public/old_media/9ae8fc96.Path.062710.jpg" TargetMode="External"/><Relationship Id="rId4466" Type="http://schemas.openxmlformats.org/officeDocument/2006/relationships/hyperlink" Target="https://ryycrdhlkmzpxwwwwupy.supabase.co/storage/v1/object/public/old_media/9ebbc310.Path.062843.jpg" TargetMode="External"/><Relationship Id="rId3134" Type="http://schemas.openxmlformats.org/officeDocument/2006/relationships/hyperlink" Target="https://ryycrdhlkmzpxwwwwupy.supabase.co/storage/v1/object/public/old_media/e9d7926d.Path.062654.jpg" TargetMode="External"/><Relationship Id="rId4465" Type="http://schemas.openxmlformats.org/officeDocument/2006/relationships/hyperlink" Target="https://ryycrdhlkmzpxwwwwupy.supabase.co/storage/v1/object/public/old_media/56f2da83.Path.041944.png" TargetMode="External"/><Relationship Id="rId3137" Type="http://schemas.openxmlformats.org/officeDocument/2006/relationships/hyperlink" Target="https://ryycrdhlkmzpxwwwwupy.supabase.co/storage/v1/object/public/old_media/c41c5498.Path.062748.jpg" TargetMode="External"/><Relationship Id="rId4468" Type="http://schemas.openxmlformats.org/officeDocument/2006/relationships/hyperlink" Target="https://ryycrdhlkmzpxwwwwupy.supabase.co/storage/v1/object/public/old_media/09b336ac.Path.062952.jpg" TargetMode="External"/><Relationship Id="rId3136" Type="http://schemas.openxmlformats.org/officeDocument/2006/relationships/hyperlink" Target="https://ryycrdhlkmzpxwwwwupy.supabase.co/storage/v1/object/public/old_media/9a72435b.Path.062718.jpg" TargetMode="External"/><Relationship Id="rId4467" Type="http://schemas.openxmlformats.org/officeDocument/2006/relationships/hyperlink" Target="https://ryycrdhlkmzpxwwwwupy.supabase.co/storage/v1/object/public/old_media/3852e1b9.Path.062915.jpg" TargetMode="External"/><Relationship Id="rId3128" Type="http://schemas.openxmlformats.org/officeDocument/2006/relationships/hyperlink" Target="https://ryycrdhlkmzpxwwwwupy.supabase.co/storage/v1/object/public/old_media/0c5df6e7.Path.050043.webp" TargetMode="External"/><Relationship Id="rId4459" Type="http://schemas.openxmlformats.org/officeDocument/2006/relationships/hyperlink" Target="https://ryycrdhlkmzpxwwwwupy.supabase.co/storage/v1/object/public/old_media/b84eb8f8.Path.071526.png" TargetMode="External"/><Relationship Id="rId3127" Type="http://schemas.openxmlformats.org/officeDocument/2006/relationships/hyperlink" Target="https://ryycrdhlkmzpxwwwwupy.supabase.co/storage/v1/object/public/old_media/10f67d59.Path.050032.webp" TargetMode="External"/><Relationship Id="rId4458" Type="http://schemas.openxmlformats.org/officeDocument/2006/relationships/hyperlink" Target="https://ryycrdhlkmzpxwwwwupy.supabase.co/storage/v1/object/public/old_media/a3dbd5a4.Path.071458.png" TargetMode="External"/><Relationship Id="rId3129" Type="http://schemas.openxmlformats.org/officeDocument/2006/relationships/hyperlink" Target="https://ryycrdhlkmzpxwwwwupy.supabase.co/storage/v1/object/public/old_media/71a746b6.Path.050054.webp" TargetMode="External"/><Relationship Id="rId3120" Type="http://schemas.openxmlformats.org/officeDocument/2006/relationships/hyperlink" Target="https://ryycrdhlkmzpxwwwwupy.supabase.co/storage/v1/object/public/old_media/4ba974d2.Path.050254.jpg" TargetMode="External"/><Relationship Id="rId4451" Type="http://schemas.openxmlformats.org/officeDocument/2006/relationships/hyperlink" Target="https://ryycrdhlkmzpxwwwwupy.supabase.co/storage/v1/object/public/old_media/2a798fbe.Path.054709.jpg" TargetMode="External"/><Relationship Id="rId4450" Type="http://schemas.openxmlformats.org/officeDocument/2006/relationships/hyperlink" Target="https://ryycrdhlkmzpxwwwwupy.supabase.co/storage/v1/object/public/old_media/d10dcfcb.Path.054638.jpg" TargetMode="External"/><Relationship Id="rId3122" Type="http://schemas.openxmlformats.org/officeDocument/2006/relationships/hyperlink" Target="https://ryycrdhlkmzpxwwwwupy.supabase.co/storage/v1/object/public/old_media/657dfaa4.Path.055249.jpg" TargetMode="External"/><Relationship Id="rId4453" Type="http://schemas.openxmlformats.org/officeDocument/2006/relationships/hyperlink" Target="https://ryycrdhlkmzpxwwwwupy.supabase.co/storage/v1/object/public/old_media/c0fc890e.Path.054803.jpg" TargetMode="External"/><Relationship Id="rId3121" Type="http://schemas.openxmlformats.org/officeDocument/2006/relationships/hyperlink" Target="https://ryycrdhlkmzpxwwwwupy.supabase.co/storage/v1/object/public/old_media/bd88942b.Path.050304.jpg" TargetMode="External"/><Relationship Id="rId4452" Type="http://schemas.openxmlformats.org/officeDocument/2006/relationships/hyperlink" Target="https://ryycrdhlkmzpxwwwwupy.supabase.co/storage/v1/object/public/old_media/1700ccfd.Path.054736.jpg" TargetMode="External"/><Relationship Id="rId3124" Type="http://schemas.openxmlformats.org/officeDocument/2006/relationships/hyperlink" Target="https://ryycrdhlkmzpxwwwwupy.supabase.co/storage/v1/object/public/old_media/401d8aca.Path.055402.jpg" TargetMode="External"/><Relationship Id="rId4455" Type="http://schemas.openxmlformats.org/officeDocument/2006/relationships/hyperlink" Target="https://ryycrdhlkmzpxwwwwupy.supabase.co/storage/v1/object/public/old_media/f11b12ae.Path.071021.jpg" TargetMode="External"/><Relationship Id="rId3123" Type="http://schemas.openxmlformats.org/officeDocument/2006/relationships/hyperlink" Target="https://ryycrdhlkmzpxwwwwupy.supabase.co/storage/v1/object/public/old_media/53b6605b.Path.055335.jpg" TargetMode="External"/><Relationship Id="rId4454" Type="http://schemas.openxmlformats.org/officeDocument/2006/relationships/hyperlink" Target="https://ryycrdhlkmzpxwwwwupy.supabase.co/storage/v1/object/public/old_media/c7cf3e36.Path.070952.jpg" TargetMode="External"/><Relationship Id="rId3126" Type="http://schemas.openxmlformats.org/officeDocument/2006/relationships/hyperlink" Target="https://ryycrdhlkmzpxwwwwupy.supabase.co/storage/v1/object/public/old_media/dd5433d2.Path.050019.webp" TargetMode="External"/><Relationship Id="rId4457" Type="http://schemas.openxmlformats.org/officeDocument/2006/relationships/hyperlink" Target="https://ryycrdhlkmzpxwwwwupy.supabase.co/storage/v1/object/public/old_media/286a0cea.Path.071422.png" TargetMode="External"/><Relationship Id="rId3125" Type="http://schemas.openxmlformats.org/officeDocument/2006/relationships/hyperlink" Target="https://ryycrdhlkmzpxwwwwupy.supabase.co/storage/v1/object/public/old_media/8c97e5ea.Path.055423.jpg" TargetMode="External"/><Relationship Id="rId4456" Type="http://schemas.openxmlformats.org/officeDocument/2006/relationships/hyperlink" Target="https://ryycrdhlkmzpxwwwwupy.supabase.co/storage/v1/object/public/old_media/fcedc42e.Path.071352.png" TargetMode="External"/><Relationship Id="rId1378" Type="http://schemas.openxmlformats.org/officeDocument/2006/relationships/hyperlink" Target="https://ryycrdhlkmzpxwwwwupy.supabase.co/storage/v1/object/public/old_media/d2acbb7d.Path.114015.jpg" TargetMode="External"/><Relationship Id="rId4404" Type="http://schemas.openxmlformats.org/officeDocument/2006/relationships/hyperlink" Target="https://ryycrdhlkmzpxwwwwupy.supabase.co/storage/v1/object/public/old_media/ff39a6a0.Path.043427.jpg" TargetMode="External"/><Relationship Id="rId1379" Type="http://schemas.openxmlformats.org/officeDocument/2006/relationships/hyperlink" Target="https://ryycrdhlkmzpxwwwwupy.supabase.co/storage/v1/object/public/old_media/40d3fadb.Path.114134.jpg" TargetMode="External"/><Relationship Id="rId4403" Type="http://schemas.openxmlformats.org/officeDocument/2006/relationships/hyperlink" Target="https://ryycrdhlkmzpxwwwwupy.supabase.co/storage/v1/object/public/old_media/c690ded0.Path.043344.jpg" TargetMode="External"/><Relationship Id="rId4406" Type="http://schemas.openxmlformats.org/officeDocument/2006/relationships/hyperlink" Target="https://ryycrdhlkmzpxwwwwupy.supabase.co/storage/v1/object/public/old_media/0b6eea76.Path.100848.jpg" TargetMode="External"/><Relationship Id="rId4405" Type="http://schemas.openxmlformats.org/officeDocument/2006/relationships/hyperlink" Target="https://ryycrdhlkmzpxwwwwupy.supabase.co/storage/v1/object/public/old_media/cb1c8b0b.Path.072355.jpg" TargetMode="External"/><Relationship Id="rId4408" Type="http://schemas.openxmlformats.org/officeDocument/2006/relationships/hyperlink" Target="https://ryycrdhlkmzpxwwwwupy.supabase.co/storage/v1/object/public/old_media/49908ca7.Path.064641.jpg" TargetMode="External"/><Relationship Id="rId4407" Type="http://schemas.openxmlformats.org/officeDocument/2006/relationships/hyperlink" Target="https://ryycrdhlkmzpxwwwwupy.supabase.co/storage/v1/object/public/old_media/fce8fd33.Path.064530.jpg" TargetMode="External"/><Relationship Id="rId4409" Type="http://schemas.openxmlformats.org/officeDocument/2006/relationships/hyperlink" Target="https://ryycrdhlkmzpxwwwwupy.supabase.co/storage/v1/object/public/old_media/815cc6ce.Path.064816.jpg" TargetMode="External"/><Relationship Id="rId789" Type="http://schemas.openxmlformats.org/officeDocument/2006/relationships/hyperlink" Target="https://ryycrdhlkmzpxwwwwupy.supabase.co/storage/v1/object/public/old_media/85705b2d.Path.054604.jpg" TargetMode="External"/><Relationship Id="rId788" Type="http://schemas.openxmlformats.org/officeDocument/2006/relationships/hyperlink" Target="https://ryycrdhlkmzpxwwwwupy.supabase.co/storage/v1/object/public/old_media/815ca095.Path.054247.jpg" TargetMode="External"/><Relationship Id="rId787" Type="http://schemas.openxmlformats.org/officeDocument/2006/relationships/hyperlink" Target="https://ryycrdhlkmzpxwwwwupy.supabase.co/storage/v1/object/public/old_media/0a95d4c6.Path.112749.jpg" TargetMode="External"/><Relationship Id="rId786" Type="http://schemas.openxmlformats.org/officeDocument/2006/relationships/hyperlink" Target="https://ryycrdhlkmzpxwwwwupy.supabase.co/storage/v1/object/public/old_media/11b3a1ee.Path.112708.jpg" TargetMode="External"/><Relationship Id="rId781" Type="http://schemas.openxmlformats.org/officeDocument/2006/relationships/hyperlink" Target="https://ryycrdhlkmzpxwwwwupy.supabase.co/storage/v1/object/public/old_media/1eb78041.Path.105841.jpg" TargetMode="External"/><Relationship Id="rId1370" Type="http://schemas.openxmlformats.org/officeDocument/2006/relationships/hyperlink" Target="https://ryycrdhlkmzpxwwwwupy.supabase.co/storage/v1/object/public/old_media/0cd8ce46.Path.052717.jpg" TargetMode="External"/><Relationship Id="rId780" Type="http://schemas.openxmlformats.org/officeDocument/2006/relationships/hyperlink" Target="https://ryycrdhlkmzpxwwwwupy.supabase.co/storage/v1/object/public/old_media/d54a77c8.Path.103023.jpg" TargetMode="External"/><Relationship Id="rId1371" Type="http://schemas.openxmlformats.org/officeDocument/2006/relationships/hyperlink" Target="https://ryycrdhlkmzpxwwwwupy.supabase.co/storage/v1/object/public/old_media/5dbeabc9.Path.052743.jpg" TargetMode="External"/><Relationship Id="rId1372" Type="http://schemas.openxmlformats.org/officeDocument/2006/relationships/hyperlink" Target="https://ryycrdhlkmzpxwwwwupy.supabase.co/storage/v1/object/public/old_media/5d679432.Path.052810.jpg" TargetMode="External"/><Relationship Id="rId1373" Type="http://schemas.openxmlformats.org/officeDocument/2006/relationships/hyperlink" Target="https://ryycrdhlkmzpxwwwwupy.supabase.co/storage/v1/object/public/old_media/714d27c2.Path.052838.jpg" TargetMode="External"/><Relationship Id="rId785" Type="http://schemas.openxmlformats.org/officeDocument/2006/relationships/hyperlink" Target="https://ryycrdhlkmzpxwwwwupy.supabase.co/storage/v1/object/public/old_media/b30cc9f0.Path.112619.jpg" TargetMode="External"/><Relationship Id="rId1374" Type="http://schemas.openxmlformats.org/officeDocument/2006/relationships/hyperlink" Target="https://ryycrdhlkmzpxwwwwupy.supabase.co/storage/v1/object/public/old_media/84d9fd87.Path.052902.jpg" TargetMode="External"/><Relationship Id="rId4400" Type="http://schemas.openxmlformats.org/officeDocument/2006/relationships/hyperlink" Target="https://ryycrdhlkmzpxwwwwupy.supabase.co/storage/v1/object/public/old_media/ef34e9c2.Path.113115.jpg" TargetMode="External"/><Relationship Id="rId784" Type="http://schemas.openxmlformats.org/officeDocument/2006/relationships/hyperlink" Target="https://ryycrdhlkmzpxwwwwupy.supabase.co/storage/v1/object/public/old_media/88634cdd.Path.112525.jpg" TargetMode="External"/><Relationship Id="rId1375" Type="http://schemas.openxmlformats.org/officeDocument/2006/relationships/hyperlink" Target="https://ryycrdhlkmzpxwwwwupy.supabase.co/storage/v1/object/public/old_media/903c5b8f.Path.113454.jpg" TargetMode="External"/><Relationship Id="rId783" Type="http://schemas.openxmlformats.org/officeDocument/2006/relationships/hyperlink" Target="https://ryycrdhlkmzpxwwwwupy.supabase.co/storage/v1/object/public/old_media/3e74035c.Path.112428.jpg" TargetMode="External"/><Relationship Id="rId1376" Type="http://schemas.openxmlformats.org/officeDocument/2006/relationships/hyperlink" Target="https://ryycrdhlkmzpxwwwwupy.supabase.co/storage/v1/object/public/old_media/168c5bba.Path.113703.jpg" TargetMode="External"/><Relationship Id="rId4402" Type="http://schemas.openxmlformats.org/officeDocument/2006/relationships/hyperlink" Target="https://ryycrdhlkmzpxwwwwupy.supabase.co/storage/v1/object/public/old_media/ab43af8f.Path.113218.jpg" TargetMode="External"/><Relationship Id="rId782" Type="http://schemas.openxmlformats.org/officeDocument/2006/relationships/hyperlink" Target="https://ryycrdhlkmzpxwwwwupy.supabase.co/storage/v1/object/public/old_media/a0493978.Path.112337.jpg" TargetMode="External"/><Relationship Id="rId1377" Type="http://schemas.openxmlformats.org/officeDocument/2006/relationships/hyperlink" Target="https://ryycrdhlkmzpxwwwwupy.supabase.co/storage/v1/object/public/old_media/69e77c69.Path.113856.jpg" TargetMode="External"/><Relationship Id="rId4401" Type="http://schemas.openxmlformats.org/officeDocument/2006/relationships/hyperlink" Target="https://ryycrdhlkmzpxwwwwupy.supabase.co/storage/v1/object/public/old_media/33c5655b.Path.113146.jpg" TargetMode="External"/><Relationship Id="rId1367" Type="http://schemas.openxmlformats.org/officeDocument/2006/relationships/hyperlink" Target="https://ryycrdhlkmzpxwwwwupy.supabase.co/storage/v1/object/public/old_media/517aaf11.Path.052600.jpg" TargetMode="External"/><Relationship Id="rId2698" Type="http://schemas.openxmlformats.org/officeDocument/2006/relationships/hyperlink" Target="https://ryycrdhlkmzpxwwwwupy.supabase.co/storage/v1/object/public/old_media/1a178ad6.Path.122405.jpg" TargetMode="External"/><Relationship Id="rId1368" Type="http://schemas.openxmlformats.org/officeDocument/2006/relationships/hyperlink" Target="https://ryycrdhlkmzpxwwwwupy.supabase.co/storage/v1/object/public/old_media/e0e74a77.Path.052625.jpg" TargetMode="External"/><Relationship Id="rId2699" Type="http://schemas.openxmlformats.org/officeDocument/2006/relationships/hyperlink" Target="https://ryycrdhlkmzpxwwwwupy.supabase.co/storage/v1/object/public/old_media/a1ad78a5.Path.044357.jpg" TargetMode="External"/><Relationship Id="rId1369" Type="http://schemas.openxmlformats.org/officeDocument/2006/relationships/hyperlink" Target="https://ryycrdhlkmzpxwwwwupy.supabase.co/storage/v1/object/public/old_media/97738871.Path.052653.jpg" TargetMode="External"/><Relationship Id="rId778" Type="http://schemas.openxmlformats.org/officeDocument/2006/relationships/hyperlink" Target="https://ryycrdhlkmzpxwwwwupy.supabase.co/storage/v1/object/public/old_media/de85ad83.Path.102912.jpg" TargetMode="External"/><Relationship Id="rId777" Type="http://schemas.openxmlformats.org/officeDocument/2006/relationships/hyperlink" Target="https://ryycrdhlkmzpxwwwwupy.supabase.co/storage/v1/object/public/old_media/987bf016.Path.102825.jpg" TargetMode="External"/><Relationship Id="rId776" Type="http://schemas.openxmlformats.org/officeDocument/2006/relationships/hyperlink" Target="https://ryycrdhlkmzpxwwwwupy.supabase.co/storage/v1/object/public/old_media/bf87b393.Path.101008.jpg" TargetMode="External"/><Relationship Id="rId775" Type="http://schemas.openxmlformats.org/officeDocument/2006/relationships/hyperlink" Target="https://ryycrdhlkmzpxwwwwupy.supabase.co/storage/v1/object/public/old_media/9dd902ad.Path.100928.jpg" TargetMode="External"/><Relationship Id="rId779" Type="http://schemas.openxmlformats.org/officeDocument/2006/relationships/hyperlink" Target="https://ryycrdhlkmzpxwwwwupy.supabase.co/storage/v1/object/public/old_media/e5514553.Path.102951.jpg" TargetMode="External"/><Relationship Id="rId770" Type="http://schemas.openxmlformats.org/officeDocument/2006/relationships/hyperlink" Target="https://ryycrdhlkmzpxwwwwupy.supabase.co/storage/v1/object/public/old_media/634850f7.Path.093651.jpg" TargetMode="External"/><Relationship Id="rId2690" Type="http://schemas.openxmlformats.org/officeDocument/2006/relationships/hyperlink" Target="https://ryycrdhlkmzpxwwwwupy.supabase.co/storage/v1/object/public/old_media/8cc0461b.Path.074649.jpg" TargetMode="External"/><Relationship Id="rId1360" Type="http://schemas.openxmlformats.org/officeDocument/2006/relationships/hyperlink" Target="https://ryycrdhlkmzpxwwwwupy.supabase.co/storage/v1/object/public/old_media/b5872acd.Path.052328.jpg" TargetMode="External"/><Relationship Id="rId2691" Type="http://schemas.openxmlformats.org/officeDocument/2006/relationships/hyperlink" Target="https://ryycrdhlkmzpxwwwwupy.supabase.co/storage/v1/object/public/old_media/7cb6e7da.Path.074710.jpg" TargetMode="External"/><Relationship Id="rId1361" Type="http://schemas.openxmlformats.org/officeDocument/2006/relationships/hyperlink" Target="https://ryycrdhlkmzpxwwwwupy.supabase.co/storage/v1/object/public/old_media/f858359e.Path.052353.jpg" TargetMode="External"/><Relationship Id="rId2692" Type="http://schemas.openxmlformats.org/officeDocument/2006/relationships/hyperlink" Target="https://ryycrdhlkmzpxwwwwupy.supabase.co/storage/v1/object/public/old_media/26727902.Path.074751.jpg" TargetMode="External"/><Relationship Id="rId1362" Type="http://schemas.openxmlformats.org/officeDocument/2006/relationships/hyperlink" Target="https://ryycrdhlkmzpxwwwwupy.supabase.co/storage/v1/object/public/old_media/2776a608.Path.052415.jpg" TargetMode="External"/><Relationship Id="rId2693" Type="http://schemas.openxmlformats.org/officeDocument/2006/relationships/hyperlink" Target="https://ryycrdhlkmzpxwwwwupy.supabase.co/storage/v1/object/public/old_media/95f95e5f.Path.092817.jpg" TargetMode="External"/><Relationship Id="rId774" Type="http://schemas.openxmlformats.org/officeDocument/2006/relationships/hyperlink" Target="https://ryycrdhlkmzpxwwwwupy.supabase.co/storage/v1/object/public/old_media/b3e6c01e.Path.100802.jpg" TargetMode="External"/><Relationship Id="rId1363" Type="http://schemas.openxmlformats.org/officeDocument/2006/relationships/hyperlink" Target="https://ryycrdhlkmzpxwwwwupy.supabase.co/storage/v1/object/public/old_media/de2d089f.Path.052439.jpg" TargetMode="External"/><Relationship Id="rId2694" Type="http://schemas.openxmlformats.org/officeDocument/2006/relationships/hyperlink" Target="https://ryycrdhlkmzpxwwwwupy.supabase.co/storage/v1/object/public/old_media/f641331d.Path.094527.jpg" TargetMode="External"/><Relationship Id="rId773" Type="http://schemas.openxmlformats.org/officeDocument/2006/relationships/hyperlink" Target="https://ryycrdhlkmzpxwwwwupy.supabase.co/storage/v1/object/public/old_media/ce64c40a.Path.100216.jpg" TargetMode="External"/><Relationship Id="rId1364" Type="http://schemas.openxmlformats.org/officeDocument/2006/relationships/hyperlink" Target="https://ryycrdhlkmzpxwwwwupy.supabase.co/storage/v1/object/public/old_media/85b2314e.Path.052502.jpg" TargetMode="External"/><Relationship Id="rId2695" Type="http://schemas.openxmlformats.org/officeDocument/2006/relationships/hyperlink" Target="https://ryycrdhlkmzpxwwwwupy.supabase.co/storage/v1/object/public/old_media/4db5963b.Path.095331.jpg" TargetMode="External"/><Relationship Id="rId772" Type="http://schemas.openxmlformats.org/officeDocument/2006/relationships/hyperlink" Target="https://ryycrdhlkmzpxwwwwupy.supabase.co/storage/v1/object/public/old_media/c60fb4d3.Path.100158.jpg" TargetMode="External"/><Relationship Id="rId1365" Type="http://schemas.openxmlformats.org/officeDocument/2006/relationships/hyperlink" Target="https://ryycrdhlkmzpxwwwwupy.supabase.co/storage/v1/object/public/old_media/92ba31e6.Path.052528.jpg" TargetMode="External"/><Relationship Id="rId2696" Type="http://schemas.openxmlformats.org/officeDocument/2006/relationships/hyperlink" Target="https://ryycrdhlkmzpxwwwwupy.supabase.co/storage/v1/object/public/old_media/006a3bec.Path.104625.jpg" TargetMode="External"/><Relationship Id="rId771" Type="http://schemas.openxmlformats.org/officeDocument/2006/relationships/hyperlink" Target="https://ryycrdhlkmzpxwwwwupy.supabase.co/storage/v1/object/public/old_media/84c16128.Path.093755.jpg" TargetMode="External"/><Relationship Id="rId1366" Type="http://schemas.openxmlformats.org/officeDocument/2006/relationships/hyperlink" Target="https://ryycrdhlkmzpxwwwwupy.supabase.co/storage/v1/object/public/old_media/cf6f05e0.Path.052537.jpg" TargetMode="External"/><Relationship Id="rId2697" Type="http://schemas.openxmlformats.org/officeDocument/2006/relationships/hyperlink" Target="https://ryycrdhlkmzpxwwwwupy.supabase.co/storage/v1/object/public/old_media/86ff18b6.Path.120933.jpg" TargetMode="External"/><Relationship Id="rId4426" Type="http://schemas.openxmlformats.org/officeDocument/2006/relationships/hyperlink" Target="https://ryycrdhlkmzpxwwwwupy.supabase.co/storage/v1/object/public/old_media/6c4597f5.Path.105003.jpg" TargetMode="External"/><Relationship Id="rId4425" Type="http://schemas.openxmlformats.org/officeDocument/2006/relationships/hyperlink" Target="https://ryycrdhlkmzpxwwwwupy.supabase.co/storage/v1/object/public/old_media/c4418f16.Path.103410.avif" TargetMode="External"/><Relationship Id="rId4428" Type="http://schemas.openxmlformats.org/officeDocument/2006/relationships/hyperlink" Target="https://ryycrdhlkmzpxwwwwupy.supabase.co/storage/v1/object/public/old_media/8f3fa180.Path.105102.jpg" TargetMode="External"/><Relationship Id="rId4427" Type="http://schemas.openxmlformats.org/officeDocument/2006/relationships/hyperlink" Target="https://ryycrdhlkmzpxwwwwupy.supabase.co/storage/v1/object/public/old_media/a78f49d1.Path.105032.jpg" TargetMode="External"/><Relationship Id="rId4429" Type="http://schemas.openxmlformats.org/officeDocument/2006/relationships/hyperlink" Target="https://ryycrdhlkmzpxwwwwupy.supabase.co/storage/v1/object/public/old_media/33193047.Path.053050.jpg" TargetMode="External"/><Relationship Id="rId1390" Type="http://schemas.openxmlformats.org/officeDocument/2006/relationships/hyperlink" Target="https://ryycrdhlkmzpxwwwwupy.supabase.co/storage/v1/object/public/old_media/42c881cb.Path.120537.png" TargetMode="External"/><Relationship Id="rId1391" Type="http://schemas.openxmlformats.org/officeDocument/2006/relationships/hyperlink" Target="https://ryycrdhlkmzpxwwwwupy.supabase.co/storage/v1/object/public/old_media/9a94af4e.Path.050421.jpg" TargetMode="External"/><Relationship Id="rId1392" Type="http://schemas.openxmlformats.org/officeDocument/2006/relationships/hyperlink" Target="https://ryycrdhlkmzpxwwwwupy.supabase.co/storage/v1/object/public/old_media/2735b1c2.Path.050517.jpg" TargetMode="External"/><Relationship Id="rId1393" Type="http://schemas.openxmlformats.org/officeDocument/2006/relationships/hyperlink" Target="https://ryycrdhlkmzpxwwwwupy.supabase.co/storage/v1/object/public/old_media/c9849f9d.Path.050538.jpg" TargetMode="External"/><Relationship Id="rId1394" Type="http://schemas.openxmlformats.org/officeDocument/2006/relationships/hyperlink" Target="https://ryycrdhlkmzpxwwwwupy.supabase.co/storage/v1/object/public/old_media/e29a2824.Path.050546.jpg" TargetMode="External"/><Relationship Id="rId4420" Type="http://schemas.openxmlformats.org/officeDocument/2006/relationships/hyperlink" Target="https://ryycrdhlkmzpxwwwwupy.supabase.co/storage/v1/object/public/old_media/f17f92eb.Path.061003.avif" TargetMode="External"/><Relationship Id="rId1395" Type="http://schemas.openxmlformats.org/officeDocument/2006/relationships/hyperlink" Target="https://ryycrdhlkmzpxwwwwupy.supabase.co/storage/v1/object/public/old_media/a8d59be9.Path.050555.jpg" TargetMode="External"/><Relationship Id="rId1396" Type="http://schemas.openxmlformats.org/officeDocument/2006/relationships/hyperlink" Target="https://ryycrdhlkmzpxwwwwupy.supabase.co/storage/v1/object/public/old_media/98e3f840.Path.050616.jpg" TargetMode="External"/><Relationship Id="rId4422" Type="http://schemas.openxmlformats.org/officeDocument/2006/relationships/hyperlink" Target="https://ryycrdhlkmzpxwwwwupy.supabase.co/storage/v1/object/public/old_media/ba2b9d26.Path.061103.jpg" TargetMode="External"/><Relationship Id="rId1397" Type="http://schemas.openxmlformats.org/officeDocument/2006/relationships/hyperlink" Target="https://ryycrdhlkmzpxwwwwupy.supabase.co/storage/v1/object/public/old_media/91fdeeb7.Path.095155.jpg" TargetMode="External"/><Relationship Id="rId4421" Type="http://schemas.openxmlformats.org/officeDocument/2006/relationships/hyperlink" Target="https://ryycrdhlkmzpxwwwwupy.supabase.co/storage/v1/object/public/old_media/2a119d1d.Path.061032.avif" TargetMode="External"/><Relationship Id="rId1398" Type="http://schemas.openxmlformats.org/officeDocument/2006/relationships/hyperlink" Target="https://ryycrdhlkmzpxwwwwupy.supabase.co/storage/v1/object/public/old_media/de16dc01.Path.053649.jpg" TargetMode="External"/><Relationship Id="rId4424" Type="http://schemas.openxmlformats.org/officeDocument/2006/relationships/hyperlink" Target="https://ryycrdhlkmzpxwwwwupy.supabase.co/storage/v1/object/public/old_media/3697f6d8.Path.103229.avif" TargetMode="External"/><Relationship Id="rId1399" Type="http://schemas.openxmlformats.org/officeDocument/2006/relationships/hyperlink" Target="https://ryycrdhlkmzpxwwwwupy.supabase.co/storage/v1/object/public/old_media/54e96c41.Path.053715.jpg" TargetMode="External"/><Relationship Id="rId4423" Type="http://schemas.openxmlformats.org/officeDocument/2006/relationships/hyperlink" Target="https://ryycrdhlkmzpxwwwwupy.supabase.co/storage/v1/object/public/old_media/a188f45d.Path.103131.avif" TargetMode="External"/><Relationship Id="rId1389" Type="http://schemas.openxmlformats.org/officeDocument/2006/relationships/hyperlink" Target="https://ryycrdhlkmzpxwwwwupy.supabase.co/storage/v1/object/public/old_media/60f5e85a.Path.120511.png" TargetMode="External"/><Relationship Id="rId4415" Type="http://schemas.openxmlformats.org/officeDocument/2006/relationships/hyperlink" Target="https://ryycrdhlkmzpxwwwwupy.supabase.co/storage/v1/object/public/old_media/96687824.Path.070203.jpg" TargetMode="External"/><Relationship Id="rId4414" Type="http://schemas.openxmlformats.org/officeDocument/2006/relationships/hyperlink" Target="https://ryycrdhlkmzpxwwwwupy.supabase.co/storage/v1/object/public/old_media/8c55f779.Path.104841.jpg" TargetMode="External"/><Relationship Id="rId4417" Type="http://schemas.openxmlformats.org/officeDocument/2006/relationships/hyperlink" Target="https://ryycrdhlkmzpxwwwwupy.supabase.co/storage/v1/object/public/old_media/1f5f760d.Path.070351.jpg" TargetMode="External"/><Relationship Id="rId4416" Type="http://schemas.openxmlformats.org/officeDocument/2006/relationships/hyperlink" Target="https://ryycrdhlkmzpxwwwwupy.supabase.co/storage/v1/object/public/old_media/5405194a.Path.070334.webp" TargetMode="External"/><Relationship Id="rId4419" Type="http://schemas.openxmlformats.org/officeDocument/2006/relationships/hyperlink" Target="https://ryycrdhlkmzpxwwwwupy.supabase.co/storage/v1/object/public/old_media/1cb12f1f.Path.070422.jpg" TargetMode="External"/><Relationship Id="rId4418" Type="http://schemas.openxmlformats.org/officeDocument/2006/relationships/hyperlink" Target="https://ryycrdhlkmzpxwwwwupy.supabase.co/storage/v1/object/public/old_media/d0df5a3b.Path.070404.webp" TargetMode="External"/><Relationship Id="rId799" Type="http://schemas.openxmlformats.org/officeDocument/2006/relationships/hyperlink" Target="https://ryycrdhlkmzpxwwwwupy.supabase.co/storage/v1/object/public/old_media/e907b816.Path.070018.jpg" TargetMode="External"/><Relationship Id="rId798" Type="http://schemas.openxmlformats.org/officeDocument/2006/relationships/hyperlink" Target="https://ryycrdhlkmzpxwwwwupy.supabase.co/storage/v1/object/public/old_media/0055dc2d.Path.065940.jpg" TargetMode="External"/><Relationship Id="rId797" Type="http://schemas.openxmlformats.org/officeDocument/2006/relationships/hyperlink" Target="https://ryycrdhlkmzpxwwwwupy.supabase.co/storage/v1/object/public/old_media/21122176.Path.063226.jpg" TargetMode="External"/><Relationship Id="rId1380" Type="http://schemas.openxmlformats.org/officeDocument/2006/relationships/hyperlink" Target="https://ryycrdhlkmzpxwwwwupy.supabase.co/storage/v1/object/public/old_media/8740d857.Path.114306.jpg" TargetMode="External"/><Relationship Id="rId792" Type="http://schemas.openxmlformats.org/officeDocument/2006/relationships/hyperlink" Target="https://ryycrdhlkmzpxwwwwupy.supabase.co/storage/v1/object/public/old_media/549f5351.Path.055626.jpg" TargetMode="External"/><Relationship Id="rId1381" Type="http://schemas.openxmlformats.org/officeDocument/2006/relationships/hyperlink" Target="https://ryycrdhlkmzpxwwwwupy.supabase.co/storage/v1/object/public/old_media/b62293e1.Path.114421.jpg" TargetMode="External"/><Relationship Id="rId791" Type="http://schemas.openxmlformats.org/officeDocument/2006/relationships/hyperlink" Target="https://ryycrdhlkmzpxwwwwupy.supabase.co/storage/v1/object/public/old_media/061d3423.Path.055547.jpg" TargetMode="External"/><Relationship Id="rId1382" Type="http://schemas.openxmlformats.org/officeDocument/2006/relationships/hyperlink" Target="https://ryycrdhlkmzpxwwwwupy.supabase.co/storage/v1/object/public/old_media/f9710951.Path.114520.jpg" TargetMode="External"/><Relationship Id="rId790" Type="http://schemas.openxmlformats.org/officeDocument/2006/relationships/hyperlink" Target="https://ryycrdhlkmzpxwwwwupy.supabase.co/storage/v1/object/public/old_media/13fa8f35.Path.055502.jpg" TargetMode="External"/><Relationship Id="rId1383" Type="http://schemas.openxmlformats.org/officeDocument/2006/relationships/hyperlink" Target="https://ryycrdhlkmzpxwwwwupy.supabase.co/storage/v1/object/public/old_media/69b48885.Path.114622.jpg" TargetMode="External"/><Relationship Id="rId1384" Type="http://schemas.openxmlformats.org/officeDocument/2006/relationships/hyperlink" Target="https://ryycrdhlkmzpxwwwwupy.supabase.co/storage/v1/object/public/old_media/529bd159.Path.114719.jpg" TargetMode="External"/><Relationship Id="rId796" Type="http://schemas.openxmlformats.org/officeDocument/2006/relationships/hyperlink" Target="https://ryycrdhlkmzpxwwwwupy.supabase.co/storage/v1/object/public/old_media/f0c9a2b9.Path.063001.jpg" TargetMode="External"/><Relationship Id="rId1385" Type="http://schemas.openxmlformats.org/officeDocument/2006/relationships/hyperlink" Target="https://ryycrdhlkmzpxwwwwupy.supabase.co/storage/v1/object/public/old_media/c1c0565e.Path.114807.jpg" TargetMode="External"/><Relationship Id="rId4411" Type="http://schemas.openxmlformats.org/officeDocument/2006/relationships/hyperlink" Target="https://ryycrdhlkmzpxwwwwupy.supabase.co/storage/v1/object/public/old_media/61ca7b02.Path.071233.jpg" TargetMode="External"/><Relationship Id="rId795" Type="http://schemas.openxmlformats.org/officeDocument/2006/relationships/hyperlink" Target="https://ryycrdhlkmzpxwwwwupy.supabase.co/storage/v1/object/public/old_media/d1b85c79.Path.062907.jpg" TargetMode="External"/><Relationship Id="rId1386" Type="http://schemas.openxmlformats.org/officeDocument/2006/relationships/hyperlink" Target="https://ryycrdhlkmzpxwwwwupy.supabase.co/storage/v1/object/public/old_media/23db123f.Path.120316.png" TargetMode="External"/><Relationship Id="rId4410" Type="http://schemas.openxmlformats.org/officeDocument/2006/relationships/hyperlink" Target="https://ryycrdhlkmzpxwwwwupy.supabase.co/storage/v1/object/public/old_media/f6502cf0.Path.071204.jpg" TargetMode="External"/><Relationship Id="rId794" Type="http://schemas.openxmlformats.org/officeDocument/2006/relationships/hyperlink" Target="https://ryycrdhlkmzpxwwwwupy.supabase.co/storage/v1/object/public/old_media/7a165910.Path.062809.jpg" TargetMode="External"/><Relationship Id="rId1387" Type="http://schemas.openxmlformats.org/officeDocument/2006/relationships/hyperlink" Target="https://ryycrdhlkmzpxwwwwupy.supabase.co/storage/v1/object/public/old_media/668c9e81.Path.120401.png" TargetMode="External"/><Relationship Id="rId4413" Type="http://schemas.openxmlformats.org/officeDocument/2006/relationships/hyperlink" Target="https://ryycrdhlkmzpxwwwwupy.supabase.co/storage/v1/object/public/old_media/dcafc09f.Path.104813.jpg" TargetMode="External"/><Relationship Id="rId793" Type="http://schemas.openxmlformats.org/officeDocument/2006/relationships/hyperlink" Target="https://ryycrdhlkmzpxwwwwupy.supabase.co/storage/v1/object/public/old_media/e13e18dc.Path.062735.jpg" TargetMode="External"/><Relationship Id="rId1388" Type="http://schemas.openxmlformats.org/officeDocument/2006/relationships/hyperlink" Target="https://ryycrdhlkmzpxwwwwupy.supabase.co/storage/v1/object/public/old_media/f12a82eb.Path.120439.png" TargetMode="External"/><Relationship Id="rId4412" Type="http://schemas.openxmlformats.org/officeDocument/2006/relationships/hyperlink" Target="https://ryycrdhlkmzpxwwwwupy.supabase.co/storage/v1/object/public/old_media/66cb1cad.Path.071300.jpg" TargetMode="External"/><Relationship Id="rId3191" Type="http://schemas.openxmlformats.org/officeDocument/2006/relationships/hyperlink" Target="https://ryycrdhlkmzpxwwwwupy.supabase.co/storage/v1/object/public/old_media/40c6f7f1.Path.111809.webp" TargetMode="External"/><Relationship Id="rId3190" Type="http://schemas.openxmlformats.org/officeDocument/2006/relationships/hyperlink" Target="https://ryycrdhlkmzpxwwwwupy.supabase.co/storage/v1/object/public/old_media/d8a40e68.Path.111800.jpg" TargetMode="External"/><Relationship Id="rId3193" Type="http://schemas.openxmlformats.org/officeDocument/2006/relationships/hyperlink" Target="https://ryycrdhlkmzpxwwwwupy.supabase.co/storage/v1/object/public/old_media/44acb582.Path.111827.webp" TargetMode="External"/><Relationship Id="rId3192" Type="http://schemas.openxmlformats.org/officeDocument/2006/relationships/hyperlink" Target="https://ryycrdhlkmzpxwwwwupy.supabase.co/storage/v1/object/public/old_media/cc8dd24b.Path.111817.webp" TargetMode="External"/><Relationship Id="rId3195" Type="http://schemas.openxmlformats.org/officeDocument/2006/relationships/hyperlink" Target="https://ryycrdhlkmzpxwwwwupy.supabase.co/storage/v1/object/public/old_media/35686186.Path.111847.webp" TargetMode="External"/><Relationship Id="rId3194" Type="http://schemas.openxmlformats.org/officeDocument/2006/relationships/hyperlink" Target="https://ryycrdhlkmzpxwwwwupy.supabase.co/storage/v1/object/public/old_media/bc39d7e3.Path.111837.webp" TargetMode="External"/><Relationship Id="rId3197" Type="http://schemas.openxmlformats.org/officeDocument/2006/relationships/hyperlink" Target="https://ryycrdhlkmzpxwwwwupy.supabase.co/storage/v1/object/public/old_media/621f723a.Path.115535.jpg" TargetMode="External"/><Relationship Id="rId3196" Type="http://schemas.openxmlformats.org/officeDocument/2006/relationships/hyperlink" Target="https://ryycrdhlkmzpxwwwwupy.supabase.co/storage/v1/object/public/old_media/c62833d8.Path.115519.jpg" TargetMode="External"/><Relationship Id="rId3199" Type="http://schemas.openxmlformats.org/officeDocument/2006/relationships/hyperlink" Target="https://ryycrdhlkmzpxwwwwupy.supabase.co/storage/v1/object/public/old_media/bf855f02.Path.115553.jpg" TargetMode="External"/><Relationship Id="rId3198" Type="http://schemas.openxmlformats.org/officeDocument/2006/relationships/hyperlink" Target="https://ryycrdhlkmzpxwwwwupy.supabase.co/storage/v1/object/public/old_media/44dada08.Path.115544.jpg" TargetMode="External"/><Relationship Id="rId3180" Type="http://schemas.openxmlformats.org/officeDocument/2006/relationships/hyperlink" Target="https://ryycrdhlkmzpxwwwwupy.supabase.co/storage/v1/object/public/old_media/70b803f9.Path.104458.jpg" TargetMode="External"/><Relationship Id="rId3182" Type="http://schemas.openxmlformats.org/officeDocument/2006/relationships/hyperlink" Target="https://ryycrdhlkmzpxwwwwupy.supabase.co/storage/v1/object/public/old_media/bc7088b6.Path.063849.webp" TargetMode="External"/><Relationship Id="rId3181" Type="http://schemas.openxmlformats.org/officeDocument/2006/relationships/hyperlink" Target="https://ryycrdhlkmzpxwwwwupy.supabase.co/storage/v1/object/public/old_media/fa7c0bd5.Path.104509.jpg" TargetMode="External"/><Relationship Id="rId3184" Type="http://schemas.openxmlformats.org/officeDocument/2006/relationships/hyperlink" Target="https://ryycrdhlkmzpxwwwwupy.supabase.co/storage/v1/object/public/old_media/be6a4a05.Path.063933.webp" TargetMode="External"/><Relationship Id="rId3183" Type="http://schemas.openxmlformats.org/officeDocument/2006/relationships/hyperlink" Target="https://ryycrdhlkmzpxwwwwupy.supabase.co/storage/v1/object/public/old_media/76637638.Path.063900.webp" TargetMode="External"/><Relationship Id="rId3186" Type="http://schemas.openxmlformats.org/officeDocument/2006/relationships/hyperlink" Target="https://ryycrdhlkmzpxwwwwupy.supabase.co/storage/v1/object/public/old_media/2ec4d302.Path.064021.webp" TargetMode="External"/><Relationship Id="rId3185" Type="http://schemas.openxmlformats.org/officeDocument/2006/relationships/hyperlink" Target="https://ryycrdhlkmzpxwwwwupy.supabase.co/storage/v1/object/public/old_media/de3052cd.Path.064008.webp" TargetMode="External"/><Relationship Id="rId3188" Type="http://schemas.openxmlformats.org/officeDocument/2006/relationships/hyperlink" Target="https://ryycrdhlkmzpxwwwwupy.supabase.co/storage/v1/object/public/old_media/cbd89e10.Path.064043.webp" TargetMode="External"/><Relationship Id="rId3187" Type="http://schemas.openxmlformats.org/officeDocument/2006/relationships/hyperlink" Target="https://ryycrdhlkmzpxwwwwupy.supabase.co/storage/v1/object/public/old_media/91a98b96.Path.064035.webp" TargetMode="External"/><Relationship Id="rId3189" Type="http://schemas.openxmlformats.org/officeDocument/2006/relationships/hyperlink" Target="https://ryycrdhlkmzpxwwwwupy.supabase.co/storage/v1/object/public/old_media/5b181125.Path.111751.webp" TargetMode="External"/><Relationship Id="rId4480" Type="http://schemas.openxmlformats.org/officeDocument/2006/relationships/hyperlink" Target="https://ryycrdhlkmzpxwwwwupy.supabase.co/storage/v1/object/public/old_media/0e1c07ff.Path.044451.avif" TargetMode="External"/><Relationship Id="rId3151" Type="http://schemas.openxmlformats.org/officeDocument/2006/relationships/hyperlink" Target="https://ryycrdhlkmzpxwwwwupy.supabase.co/storage/v1/object/public/old_media/bdc9fe36.Path.061736.jpg" TargetMode="External"/><Relationship Id="rId4482" Type="http://schemas.openxmlformats.org/officeDocument/2006/relationships/hyperlink" Target="https://ryycrdhlkmzpxwwwwupy.supabase.co/storage/v1/object/public/old_media/d0550d8b.Path.044548.avif" TargetMode="External"/><Relationship Id="rId3150" Type="http://schemas.openxmlformats.org/officeDocument/2006/relationships/hyperlink" Target="https://ryycrdhlkmzpxwwwwupy.supabase.co/storage/v1/object/public/old_media/968f2298.Path.061726.jpg" TargetMode="External"/><Relationship Id="rId4481" Type="http://schemas.openxmlformats.org/officeDocument/2006/relationships/hyperlink" Target="https://ryycrdhlkmzpxwwwwupy.supabase.co/storage/v1/object/public/old_media/b4565c3f.Path.044520.avif" TargetMode="External"/><Relationship Id="rId3153" Type="http://schemas.openxmlformats.org/officeDocument/2006/relationships/hyperlink" Target="https://ryycrdhlkmzpxwwwwupy.supabase.co/storage/v1/object/public/old_media/6b195a1f.Path.062317.jpg" TargetMode="External"/><Relationship Id="rId4484" Type="http://schemas.openxmlformats.org/officeDocument/2006/relationships/hyperlink" Target="https://ryycrdhlkmzpxwwwwupy.supabase.co/storage/v1/object/public/old_media/15c62759.Path.044644.avif" TargetMode="External"/><Relationship Id="rId3152" Type="http://schemas.openxmlformats.org/officeDocument/2006/relationships/hyperlink" Target="https://ryycrdhlkmzpxwwwwupy.supabase.co/storage/v1/object/public/old_media/4dbcbbcd.Path.062151.jpg" TargetMode="External"/><Relationship Id="rId4483" Type="http://schemas.openxmlformats.org/officeDocument/2006/relationships/hyperlink" Target="https://ryycrdhlkmzpxwwwwupy.supabase.co/storage/v1/object/public/old_media/f4c4200a.Path.044617.avif" TargetMode="External"/><Relationship Id="rId3155" Type="http://schemas.openxmlformats.org/officeDocument/2006/relationships/hyperlink" Target="https://ryycrdhlkmzpxwwwwupy.supabase.co/storage/v1/object/public/old_media/f25bc29c.Path.055353.png" TargetMode="External"/><Relationship Id="rId4486" Type="http://schemas.openxmlformats.org/officeDocument/2006/relationships/hyperlink" Target="https://ryycrdhlkmzpxwwwwupy.supabase.co/storage/v1/object/public/old_media/22f98b64.Path.050349.png" TargetMode="External"/><Relationship Id="rId3154" Type="http://schemas.openxmlformats.org/officeDocument/2006/relationships/hyperlink" Target="https://ryycrdhlkmzpxwwwwupy.supabase.co/storage/v1/object/public/old_media/6ebccfb0.Path.062326.jpg" TargetMode="External"/><Relationship Id="rId4485" Type="http://schemas.openxmlformats.org/officeDocument/2006/relationships/hyperlink" Target="https://ryycrdhlkmzpxwwwwupy.supabase.co/storage/v1/object/public/old_media/4d917d66.Path.044712.avif" TargetMode="External"/><Relationship Id="rId3157" Type="http://schemas.openxmlformats.org/officeDocument/2006/relationships/hyperlink" Target="https://ryycrdhlkmzpxwwwwupy.supabase.co/storage/v1/object/public/old_media/026627bc.Path.060146.jpg" TargetMode="External"/><Relationship Id="rId4488" Type="http://schemas.openxmlformats.org/officeDocument/2006/relationships/hyperlink" Target="https://ryycrdhlkmzpxwwwwupy.supabase.co/storage/v1/object/public/old_media/fffaba07.Path.050628.png" TargetMode="External"/><Relationship Id="rId3156" Type="http://schemas.openxmlformats.org/officeDocument/2006/relationships/hyperlink" Target="https://ryycrdhlkmzpxwwwwupy.supabase.co/storage/v1/object/public/old_media/aea4d2bd.Path.055842.png" TargetMode="External"/><Relationship Id="rId4487" Type="http://schemas.openxmlformats.org/officeDocument/2006/relationships/hyperlink" Target="https://ryycrdhlkmzpxwwwwupy.supabase.co/storage/v1/object/public/old_media/052573a7.Path.050545.png" TargetMode="External"/><Relationship Id="rId3159" Type="http://schemas.openxmlformats.org/officeDocument/2006/relationships/hyperlink" Target="https://ryycrdhlkmzpxwwwwupy.supabase.co/storage/v1/object/public/old_media/034f8a0d.Path.061533.png" TargetMode="External"/><Relationship Id="rId3158" Type="http://schemas.openxmlformats.org/officeDocument/2006/relationships/hyperlink" Target="https://ryycrdhlkmzpxwwwwupy.supabase.co/storage/v1/object/public/old_media/f3611d9c.Path.061150.jpg" TargetMode="External"/><Relationship Id="rId4489" Type="http://schemas.openxmlformats.org/officeDocument/2006/relationships/hyperlink" Target="https://ryycrdhlkmzpxwwwwupy.supabase.co/storage/v1/object/public/old_media/d02389b5.Path.050731.png" TargetMode="External"/><Relationship Id="rId3149" Type="http://schemas.openxmlformats.org/officeDocument/2006/relationships/hyperlink" Target="https://ryycrdhlkmzpxwwwwupy.supabase.co/storage/v1/object/public/old_media/f3e5607d.Path.061715.jpg" TargetMode="External"/><Relationship Id="rId3140" Type="http://schemas.openxmlformats.org/officeDocument/2006/relationships/hyperlink" Target="https://ryycrdhlkmzpxwwwwupy.supabase.co/storage/v1/object/public/old_media/9defff9b.Path.111006.webp" TargetMode="External"/><Relationship Id="rId4471" Type="http://schemas.openxmlformats.org/officeDocument/2006/relationships/hyperlink" Target="https://ryycrdhlkmzpxwwwwupy.supabase.co/storage/v1/object/public/old_media/f47196b5.Path.061323.jpg" TargetMode="External"/><Relationship Id="rId4470" Type="http://schemas.openxmlformats.org/officeDocument/2006/relationships/hyperlink" Target="https://ryycrdhlkmzpxwwwwupy.supabase.co/storage/v1/object/public/old_media/7e27c73e.Path.061257.jpg" TargetMode="External"/><Relationship Id="rId3142" Type="http://schemas.openxmlformats.org/officeDocument/2006/relationships/hyperlink" Target="https://ryycrdhlkmzpxwwwwupy.supabase.co/storage/v1/object/public/old_media/bf706060.Path.111106.webp" TargetMode="External"/><Relationship Id="rId4473" Type="http://schemas.openxmlformats.org/officeDocument/2006/relationships/hyperlink" Target="https://ryycrdhlkmzpxwwwwupy.supabase.co/storage/v1/object/public/old_media/1c419fdd.Path.061415.jpg" TargetMode="External"/><Relationship Id="rId3141" Type="http://schemas.openxmlformats.org/officeDocument/2006/relationships/hyperlink" Target="https://ryycrdhlkmzpxwwwwupy.supabase.co/storage/v1/object/public/old_media/7a8d415f.Path.111057.webp" TargetMode="External"/><Relationship Id="rId4472" Type="http://schemas.openxmlformats.org/officeDocument/2006/relationships/hyperlink" Target="https://ryycrdhlkmzpxwwwwupy.supabase.co/storage/v1/object/public/old_media/3be685f5.Path.061349.jpg" TargetMode="External"/><Relationship Id="rId3144" Type="http://schemas.openxmlformats.org/officeDocument/2006/relationships/hyperlink" Target="https://ryycrdhlkmzpxwwwwupy.supabase.co/storage/v1/object/public/old_media/b2ee52f0.Path.111313.jpg" TargetMode="External"/><Relationship Id="rId4475" Type="http://schemas.openxmlformats.org/officeDocument/2006/relationships/hyperlink" Target="https://ryycrdhlkmzpxwwwwupy.supabase.co/storage/v1/object/public/old_media/f4be1029.Path.061730.jpg" TargetMode="External"/><Relationship Id="rId3143" Type="http://schemas.openxmlformats.org/officeDocument/2006/relationships/hyperlink" Target="https://ryycrdhlkmzpxwwwwupy.supabase.co/storage/v1/object/public/old_media/95bad7a8.Path.111214.webp" TargetMode="External"/><Relationship Id="rId4474" Type="http://schemas.openxmlformats.org/officeDocument/2006/relationships/hyperlink" Target="https://ryycrdhlkmzpxwwwwupy.supabase.co/storage/v1/object/public/old_media/28f76ef2.Path.061445.jpg" TargetMode="External"/><Relationship Id="rId3146" Type="http://schemas.openxmlformats.org/officeDocument/2006/relationships/hyperlink" Target="https://ryycrdhlkmzpxwwwwupy.supabase.co/storage/v1/object/public/old_media/1578fac4.Path.053200.jpg" TargetMode="External"/><Relationship Id="rId4477" Type="http://schemas.openxmlformats.org/officeDocument/2006/relationships/hyperlink" Target="https://ryycrdhlkmzpxwwwwupy.supabase.co/storage/v1/object/public/old_media/a8759e97.Path.092402.jpg" TargetMode="External"/><Relationship Id="rId3145" Type="http://schemas.openxmlformats.org/officeDocument/2006/relationships/hyperlink" Target="https://ryycrdhlkmzpxwwwwupy.supabase.co/storage/v1/object/public/old_media/31976884.Path.053147.jpg" TargetMode="External"/><Relationship Id="rId4476" Type="http://schemas.openxmlformats.org/officeDocument/2006/relationships/hyperlink" Target="https://ryycrdhlkmzpxwwwwupy.supabase.co/storage/v1/object/public/old_media/e0783eec.Path.092334.jpg" TargetMode="External"/><Relationship Id="rId3148" Type="http://schemas.openxmlformats.org/officeDocument/2006/relationships/hyperlink" Target="https://ryycrdhlkmzpxwwwwupy.supabase.co/storage/v1/object/public/old_media/970514b9.Path.053230.jpg" TargetMode="External"/><Relationship Id="rId4479" Type="http://schemas.openxmlformats.org/officeDocument/2006/relationships/hyperlink" Target="https://ryycrdhlkmzpxwwwwupy.supabase.co/storage/v1/object/public/old_media/641f1161.Path.044424.avif" TargetMode="External"/><Relationship Id="rId3147" Type="http://schemas.openxmlformats.org/officeDocument/2006/relationships/hyperlink" Target="https://ryycrdhlkmzpxwwwwupy.supabase.co/storage/v1/object/public/old_media/377bf07d.Path.053212.jpg" TargetMode="External"/><Relationship Id="rId4478" Type="http://schemas.openxmlformats.org/officeDocument/2006/relationships/hyperlink" Target="https://ryycrdhlkmzpxwwwwupy.supabase.co/storage/v1/object/public/old_media/0b75c1ba.Path.044354.avif" TargetMode="External"/><Relationship Id="rId3171" Type="http://schemas.openxmlformats.org/officeDocument/2006/relationships/hyperlink" Target="https://ryycrdhlkmzpxwwwwupy.supabase.co/storage/v1/object/public/old_media/41b0ce6b.Path.042210.jpg" TargetMode="External"/><Relationship Id="rId3170" Type="http://schemas.openxmlformats.org/officeDocument/2006/relationships/hyperlink" Target="https://ryycrdhlkmzpxwwwwupy.supabase.co/storage/v1/object/public/old_media/acf600f1.Path.042054.jpg" TargetMode="External"/><Relationship Id="rId3173" Type="http://schemas.openxmlformats.org/officeDocument/2006/relationships/hyperlink" Target="https://ryycrdhlkmzpxwwwwupy.supabase.co/storage/v1/object/public/old_media/a76d3189.Path.042930.jpg" TargetMode="External"/><Relationship Id="rId3172" Type="http://schemas.openxmlformats.org/officeDocument/2006/relationships/hyperlink" Target="https://ryycrdhlkmzpxwwwwupy.supabase.co/storage/v1/object/public/old_media/0a7128da.Path.042232.jpg" TargetMode="External"/><Relationship Id="rId3175" Type="http://schemas.openxmlformats.org/officeDocument/2006/relationships/hyperlink" Target="https://ryycrdhlkmzpxwwwwupy.supabase.co/storage/v1/object/public/old_media/abd1c074.Path.052844.webp" TargetMode="External"/><Relationship Id="rId3174" Type="http://schemas.openxmlformats.org/officeDocument/2006/relationships/hyperlink" Target="https://ryycrdhlkmzpxwwwwupy.supabase.co/storage/v1/object/public/old_media/4f13116e.Path.050144.jpg" TargetMode="External"/><Relationship Id="rId3177" Type="http://schemas.openxmlformats.org/officeDocument/2006/relationships/hyperlink" Target="https://ryycrdhlkmzpxwwwwupy.supabase.co/storage/v1/object/public/old_media/7d6d4ce0.Path.060207.jpg" TargetMode="External"/><Relationship Id="rId3176" Type="http://schemas.openxmlformats.org/officeDocument/2006/relationships/hyperlink" Target="https://ryycrdhlkmzpxwwwwupy.supabase.co/storage/v1/object/public/old_media/d12b3558.Path.055055.png" TargetMode="External"/><Relationship Id="rId3179" Type="http://schemas.openxmlformats.org/officeDocument/2006/relationships/hyperlink" Target="https://ryycrdhlkmzpxwwwwupy.supabase.co/storage/v1/object/public/old_media/4892e7fe.Path.095520.jpg" TargetMode="External"/><Relationship Id="rId3178" Type="http://schemas.openxmlformats.org/officeDocument/2006/relationships/hyperlink" Target="https://ryycrdhlkmzpxwwwwupy.supabase.co/storage/v1/object/public/old_media/e038e029.Path.093015.jpg" TargetMode="External"/><Relationship Id="rId3160" Type="http://schemas.openxmlformats.org/officeDocument/2006/relationships/hyperlink" Target="https://ryycrdhlkmzpxwwwwupy.supabase.co/storage/v1/object/public/old_media/039de009.Path.061731.jpg" TargetMode="External"/><Relationship Id="rId4491" Type="http://schemas.openxmlformats.org/officeDocument/2006/relationships/hyperlink" Target="https://ryycrdhlkmzpxwwwwupy.supabase.co/storage/v1/object/public/old_media/576ff7c6.Path.070701.jpg" TargetMode="External"/><Relationship Id="rId4490" Type="http://schemas.openxmlformats.org/officeDocument/2006/relationships/hyperlink" Target="https://ryycrdhlkmzpxwwwwupy.supabase.co/storage/v1/object/public/old_media/aaedc6c2.Path.050812.png" TargetMode="External"/><Relationship Id="rId3162" Type="http://schemas.openxmlformats.org/officeDocument/2006/relationships/hyperlink" Target="https://ryycrdhlkmzpxwwwwupy.supabase.co/storage/v1/object/public/old_media/1659d06d.Path.062433.webp" TargetMode="External"/><Relationship Id="rId4493" Type="http://schemas.openxmlformats.org/officeDocument/2006/relationships/hyperlink" Target="https://ryycrdhlkmzpxwwwwupy.supabase.co/storage/v1/object/public/old_media/faefa29c.Path.070809.jpg" TargetMode="External"/><Relationship Id="rId3161" Type="http://schemas.openxmlformats.org/officeDocument/2006/relationships/hyperlink" Target="https://ryycrdhlkmzpxwwwwupy.supabase.co/storage/v1/object/public/old_media/0e118e50.Path.062018.png" TargetMode="External"/><Relationship Id="rId4492" Type="http://schemas.openxmlformats.org/officeDocument/2006/relationships/hyperlink" Target="https://ryycrdhlkmzpxwwwwupy.supabase.co/storage/v1/object/public/old_media/18b40466.Path.070738.jpg" TargetMode="External"/><Relationship Id="rId3164" Type="http://schemas.openxmlformats.org/officeDocument/2006/relationships/hyperlink" Target="https://ryycrdhlkmzpxwwwwupy.supabase.co/storage/v1/object/public/old_media/1240d0f0.Path.093418.jpg" TargetMode="External"/><Relationship Id="rId4495" Type="http://schemas.openxmlformats.org/officeDocument/2006/relationships/hyperlink" Target="https://ryycrdhlkmzpxwwwwupy.supabase.co/storage/v1/object/public/old_media/84af58ed.Path.070914.jpg" TargetMode="External"/><Relationship Id="rId3163" Type="http://schemas.openxmlformats.org/officeDocument/2006/relationships/hyperlink" Target="https://ryycrdhlkmzpxwwwwupy.supabase.co/storage/v1/object/public/old_media/3f25d9da.Path.062633.jpg" TargetMode="External"/><Relationship Id="rId4494" Type="http://schemas.openxmlformats.org/officeDocument/2006/relationships/hyperlink" Target="https://ryycrdhlkmzpxwwwwupy.supabase.co/storage/v1/object/public/old_media/4a40906a.Path.070842.jpg" TargetMode="External"/><Relationship Id="rId3166" Type="http://schemas.openxmlformats.org/officeDocument/2006/relationships/hyperlink" Target="https://ryycrdhlkmzpxwwwwupy.supabase.co/storage/v1/object/public/old_media/3e82d2b0.Path.093514.jpg" TargetMode="External"/><Relationship Id="rId4497" Type="http://schemas.openxmlformats.org/officeDocument/2006/relationships/hyperlink" Target="https://ryycrdhlkmzpxwwwwupy.supabase.co/storage/v1/object/public/old_media/c154c6f4.Path.111658.jpg" TargetMode="External"/><Relationship Id="rId3165" Type="http://schemas.openxmlformats.org/officeDocument/2006/relationships/hyperlink" Target="https://ryycrdhlkmzpxwwwwupy.supabase.co/storage/v1/object/public/old_media/af0a7c9c.Path.093504.jpg" TargetMode="External"/><Relationship Id="rId4496" Type="http://schemas.openxmlformats.org/officeDocument/2006/relationships/hyperlink" Target="https://ryycrdhlkmzpxwwwwupy.supabase.co/storage/v1/object/public/old_media/782a1991.Path.070948.jpg" TargetMode="External"/><Relationship Id="rId3168" Type="http://schemas.openxmlformats.org/officeDocument/2006/relationships/hyperlink" Target="https://ryycrdhlkmzpxwwwwupy.supabase.co/storage/v1/object/public/old_media/4775721e.Path.093559.jpg" TargetMode="External"/><Relationship Id="rId4499" Type="http://schemas.openxmlformats.org/officeDocument/2006/relationships/hyperlink" Target="https://ryycrdhlkmzpxwwwwupy.supabase.co/storage/v1/object/public/old_media/6e2d6795.Path.111801.jpg" TargetMode="External"/><Relationship Id="rId3167" Type="http://schemas.openxmlformats.org/officeDocument/2006/relationships/hyperlink" Target="https://ryycrdhlkmzpxwwwwupy.supabase.co/storage/v1/object/public/old_media/514914d7.Path.093525.jpg" TargetMode="External"/><Relationship Id="rId4498" Type="http://schemas.openxmlformats.org/officeDocument/2006/relationships/hyperlink" Target="https://ryycrdhlkmzpxwwwwupy.supabase.co/storage/v1/object/public/old_media/1f12ef41.Path.111729.jpg" TargetMode="External"/><Relationship Id="rId3169" Type="http://schemas.openxmlformats.org/officeDocument/2006/relationships/hyperlink" Target="https://ryycrdhlkmzpxwwwwupy.supabase.co/storage/v1/object/public/old_media/f823ec48.Path.070810.webp" TargetMode="External"/><Relationship Id="rId2700" Type="http://schemas.openxmlformats.org/officeDocument/2006/relationships/hyperlink" Target="https://ryycrdhlkmzpxwwwwupy.supabase.co/storage/v1/object/public/old_media/17d5e443.Path.053031.jpg" TargetMode="External"/><Relationship Id="rId2701" Type="http://schemas.openxmlformats.org/officeDocument/2006/relationships/hyperlink" Target="https://ryycrdhlkmzpxwwwwupy.supabase.co/storage/v1/object/public/old_media/5f9a8646.Path.053047.jpg" TargetMode="External"/><Relationship Id="rId2702" Type="http://schemas.openxmlformats.org/officeDocument/2006/relationships/hyperlink" Target="https://ryycrdhlkmzpxwwwwupy.supabase.co/storage/v1/object/public/old_media/45241d81.Path.053145.jpg" TargetMode="External"/><Relationship Id="rId2703" Type="http://schemas.openxmlformats.org/officeDocument/2006/relationships/hyperlink" Target="https://ryycrdhlkmzpxwwwwupy.supabase.co/storage/v1/object/public/old_media/bab68c66.Path.053204.jpg" TargetMode="External"/><Relationship Id="rId2704" Type="http://schemas.openxmlformats.org/officeDocument/2006/relationships/hyperlink" Target="https://ryycrdhlkmzpxwwwwupy.supabase.co/storage/v1/object/public/old_media/841fcb37.Path.071059.jpg" TargetMode="External"/><Relationship Id="rId2705" Type="http://schemas.openxmlformats.org/officeDocument/2006/relationships/hyperlink" Target="https://ryycrdhlkmzpxwwwwupy.supabase.co/storage/v1/object/public/old_media/41ad5fcd.Path.061018.jpg" TargetMode="External"/><Relationship Id="rId2706" Type="http://schemas.openxmlformats.org/officeDocument/2006/relationships/hyperlink" Target="https://ryycrdhlkmzpxwwwwupy.supabase.co/storage/v1/object/public/old_media/bbba67fa.Path.094643.jpg" TargetMode="External"/><Relationship Id="rId2707" Type="http://schemas.openxmlformats.org/officeDocument/2006/relationships/hyperlink" Target="https://ryycrdhlkmzpxwwwwupy.supabase.co/storage/v1/object/public/old_media/fbf631dd.Path.094702.jpg" TargetMode="External"/><Relationship Id="rId2708" Type="http://schemas.openxmlformats.org/officeDocument/2006/relationships/hyperlink" Target="https://ryycrdhlkmzpxwwwwupy.supabase.co/storage/v1/object/public/old_media/08d84eeb.Path.094741.jpg" TargetMode="External"/><Relationship Id="rId2709" Type="http://schemas.openxmlformats.org/officeDocument/2006/relationships/hyperlink" Target="https://ryycrdhlkmzpxwwwwupy.supabase.co/storage/v1/object/public/old_media/d11272e6.Path.094804.jpg" TargetMode="External"/><Relationship Id="rId2720" Type="http://schemas.openxmlformats.org/officeDocument/2006/relationships/hyperlink" Target="https://ryycrdhlkmzpxwwwwupy.supabase.co/storage/v1/object/public/old_media/99bcfa4d.Path.104621.webp" TargetMode="External"/><Relationship Id="rId2721" Type="http://schemas.openxmlformats.org/officeDocument/2006/relationships/hyperlink" Target="https://ryycrdhlkmzpxwwwwupy.supabase.co/storage/v1/object/public/old_media/d4bfeb03.Path.052822.jpg" TargetMode="External"/><Relationship Id="rId2722" Type="http://schemas.openxmlformats.org/officeDocument/2006/relationships/hyperlink" Target="https://ryycrdhlkmzpxwwwwupy.supabase.co/storage/v1/object/public/old_media/6365b688.Path.052945.jpg" TargetMode="External"/><Relationship Id="rId2723" Type="http://schemas.openxmlformats.org/officeDocument/2006/relationships/hyperlink" Target="https://ryycrdhlkmzpxwwwwupy.supabase.co/storage/v1/object/public/old_media/15410aa1.Path.053030.jpg" TargetMode="External"/><Relationship Id="rId2724" Type="http://schemas.openxmlformats.org/officeDocument/2006/relationships/hyperlink" Target="https://ryycrdhlkmzpxwwwwupy.supabase.co/storage/v1/object/public/old_media/b594e5af.Path.053109.jpg" TargetMode="External"/><Relationship Id="rId2725" Type="http://schemas.openxmlformats.org/officeDocument/2006/relationships/hyperlink" Target="https://ryycrdhlkmzpxwwwwupy.supabase.co/storage/v1/object/public/old_media/177cff8e.Path.053150.jpg" TargetMode="External"/><Relationship Id="rId2726" Type="http://schemas.openxmlformats.org/officeDocument/2006/relationships/hyperlink" Target="https://ryycrdhlkmzpxwwwwupy.supabase.co/storage/v1/object/public/old_media/6d2e99f0.Path.053327.jpg" TargetMode="External"/><Relationship Id="rId2727" Type="http://schemas.openxmlformats.org/officeDocument/2006/relationships/hyperlink" Target="https://ryycrdhlkmzpxwwwwupy.supabase.co/storage/v1/object/public/old_media/47599047.Path.053451.jpg" TargetMode="External"/><Relationship Id="rId2728" Type="http://schemas.openxmlformats.org/officeDocument/2006/relationships/hyperlink" Target="https://ryycrdhlkmzpxwwwwupy.supabase.co/storage/v1/object/public/old_media/d6ef6dc6.Path.061458.jpg" TargetMode="External"/><Relationship Id="rId2729" Type="http://schemas.openxmlformats.org/officeDocument/2006/relationships/hyperlink" Target="https://ryycrdhlkmzpxwwwwupy.supabase.co/storage/v1/object/public/old_media/4a8193c6.Path.061511.jpg" TargetMode="External"/><Relationship Id="rId2710" Type="http://schemas.openxmlformats.org/officeDocument/2006/relationships/hyperlink" Target="https://ryycrdhlkmzpxwwwwupy.supabase.co/storage/v1/object/public/old_media/5bae6712.Path.094838.jpg" TargetMode="External"/><Relationship Id="rId2711" Type="http://schemas.openxmlformats.org/officeDocument/2006/relationships/hyperlink" Target="https://ryycrdhlkmzpxwwwwupy.supabase.co/storage/v1/object/public/old_media/168a7714.Path.094925.jpg" TargetMode="External"/><Relationship Id="rId2712" Type="http://schemas.openxmlformats.org/officeDocument/2006/relationships/hyperlink" Target="https://ryycrdhlkmzpxwwwwupy.supabase.co/storage/v1/object/public/old_media/0ee84a74.Path.094953.jpg" TargetMode="External"/><Relationship Id="rId2713" Type="http://schemas.openxmlformats.org/officeDocument/2006/relationships/hyperlink" Target="https://ryycrdhlkmzpxwwwwupy.supabase.co/storage/v1/object/public/old_media/457ca055.Path.095131.jpg" TargetMode="External"/><Relationship Id="rId2714" Type="http://schemas.openxmlformats.org/officeDocument/2006/relationships/hyperlink" Target="https://ryycrdhlkmzpxwwwwupy.supabase.co/storage/v1/object/public/old_media/e8318b7b.Path.095246.jpg" TargetMode="External"/><Relationship Id="rId2715" Type="http://schemas.openxmlformats.org/officeDocument/2006/relationships/hyperlink" Target="https://ryycrdhlkmzpxwwwwupy.supabase.co/storage/v1/object/public/old_media/3f8fd203.Path.095325.jpg" TargetMode="External"/><Relationship Id="rId2716" Type="http://schemas.openxmlformats.org/officeDocument/2006/relationships/hyperlink" Target="https://ryycrdhlkmzpxwwwwupy.supabase.co/storage/v1/object/public/old_media/e695a323.Path.104534.webp" TargetMode="External"/><Relationship Id="rId2717" Type="http://schemas.openxmlformats.org/officeDocument/2006/relationships/hyperlink" Target="https://ryycrdhlkmzpxwwwwupy.supabase.co/storage/v1/object/public/old_media/64415886.Path.104551.jpg" TargetMode="External"/><Relationship Id="rId2718" Type="http://schemas.openxmlformats.org/officeDocument/2006/relationships/hyperlink" Target="https://ryycrdhlkmzpxwwwwupy.supabase.co/storage/v1/object/public/old_media/886ad596.Path.104605.jpg" TargetMode="External"/><Relationship Id="rId2719" Type="http://schemas.openxmlformats.org/officeDocument/2006/relationships/hyperlink" Target="https://ryycrdhlkmzpxwwwwupy.supabase.co/storage/v1/object/public/old_media/2e8e4c54.Path.104613.webp" TargetMode="External"/><Relationship Id="rId1455" Type="http://schemas.openxmlformats.org/officeDocument/2006/relationships/hyperlink" Target="https://ryycrdhlkmzpxwwwwupy.supabase.co/storage/v1/object/public/old_media/06cbe133.Path.095508.jpg" TargetMode="External"/><Relationship Id="rId2786" Type="http://schemas.openxmlformats.org/officeDocument/2006/relationships/hyperlink" Target="https://ryycrdhlkmzpxwwwwupy.supabase.co/storage/v1/object/public/old_media/63ce4535.Path.070354.jpg" TargetMode="External"/><Relationship Id="rId1456" Type="http://schemas.openxmlformats.org/officeDocument/2006/relationships/hyperlink" Target="https://ryycrdhlkmzpxwwwwupy.supabase.co/storage/v1/object/public/old_media/841022b9.Path.095520.jpg" TargetMode="External"/><Relationship Id="rId2787" Type="http://schemas.openxmlformats.org/officeDocument/2006/relationships/hyperlink" Target="https://ryycrdhlkmzpxwwwwupy.supabase.co/storage/v1/object/public/old_media/3305f966.Path.070408.jpg" TargetMode="External"/><Relationship Id="rId1457" Type="http://schemas.openxmlformats.org/officeDocument/2006/relationships/hyperlink" Target="https://ryycrdhlkmzpxwwwwupy.supabase.co/storage/v1/object/public/old_media/4c79c7ee.Path.095530.jpg" TargetMode="External"/><Relationship Id="rId2788" Type="http://schemas.openxmlformats.org/officeDocument/2006/relationships/hyperlink" Target="https://ryycrdhlkmzpxwwwwupy.supabase.co/storage/v1/object/public/old_media/4c3a69d9.Path.071157.jpg" TargetMode="External"/><Relationship Id="rId1458" Type="http://schemas.openxmlformats.org/officeDocument/2006/relationships/hyperlink" Target="https://ryycrdhlkmzpxwwwwupy.supabase.co/storage/v1/object/public/old_media/d575a340.Path.104945.jpg" TargetMode="External"/><Relationship Id="rId2789" Type="http://schemas.openxmlformats.org/officeDocument/2006/relationships/hyperlink" Target="https://ryycrdhlkmzpxwwwwupy.supabase.co/storage/v1/object/public/old_media/0032f66f.Path.071207.jpg" TargetMode="External"/><Relationship Id="rId1459" Type="http://schemas.openxmlformats.org/officeDocument/2006/relationships/hyperlink" Target="https://ryycrdhlkmzpxwwwwupy.supabase.co/storage/v1/object/public/old_media/76c306d0.Path.104955.jpg" TargetMode="External"/><Relationship Id="rId629" Type="http://schemas.openxmlformats.org/officeDocument/2006/relationships/hyperlink" Target="https://ryycrdhlkmzpxwwwwupy.supabase.co/storage/v1/object/public/old_media/12af4b36.Path.111410.webp" TargetMode="External"/><Relationship Id="rId624" Type="http://schemas.openxmlformats.org/officeDocument/2006/relationships/hyperlink" Target="https://ryycrdhlkmzpxwwwwupy.supabase.co/storage/v1/object/public/old_media/a3a5eaf5.Path.110714.jpg" TargetMode="External"/><Relationship Id="rId623" Type="http://schemas.openxmlformats.org/officeDocument/2006/relationships/hyperlink" Target="https://ryycrdhlkmzpxwwwwupy.supabase.co/storage/v1/object/public/old_media/fbcfb68f.Path.110707.jpg" TargetMode="External"/><Relationship Id="rId622" Type="http://schemas.openxmlformats.org/officeDocument/2006/relationships/hyperlink" Target="https://ryycrdhlkmzpxwwwwupy.supabase.co/storage/v1/object/public/old_media/d3887695.Path.103807.png" TargetMode="External"/><Relationship Id="rId621" Type="http://schemas.openxmlformats.org/officeDocument/2006/relationships/hyperlink" Target="https://ryycrdhlkmzpxwwwwupy.supabase.co/storage/v1/object/public/old_media/9f4190c9.Path.102818.jpg" TargetMode="External"/><Relationship Id="rId628" Type="http://schemas.openxmlformats.org/officeDocument/2006/relationships/hyperlink" Target="https://ryycrdhlkmzpxwwwwupy.supabase.co/storage/v1/object/public/old_media/f923bc89.Path.111353.webp" TargetMode="External"/><Relationship Id="rId627" Type="http://schemas.openxmlformats.org/officeDocument/2006/relationships/hyperlink" Target="https://ryycrdhlkmzpxwwwwupy.supabase.co/storage/v1/object/public/old_media/f2661b0a.Path.110733.jpg" TargetMode="External"/><Relationship Id="rId626" Type="http://schemas.openxmlformats.org/officeDocument/2006/relationships/hyperlink" Target="https://ryycrdhlkmzpxwwwwupy.supabase.co/storage/v1/object/public/old_media/ac50a662.Path.110727.jpg" TargetMode="External"/><Relationship Id="rId625" Type="http://schemas.openxmlformats.org/officeDocument/2006/relationships/hyperlink" Target="https://ryycrdhlkmzpxwwwwupy.supabase.co/storage/v1/object/public/old_media/72152c09.Path.110721.jpg" TargetMode="External"/><Relationship Id="rId2780" Type="http://schemas.openxmlformats.org/officeDocument/2006/relationships/hyperlink" Target="https://ryycrdhlkmzpxwwwwupy.supabase.co/storage/v1/object/public/old_media/86576fbc.Path.113440.jpg" TargetMode="External"/><Relationship Id="rId1450" Type="http://schemas.openxmlformats.org/officeDocument/2006/relationships/hyperlink" Target="https://ryycrdhlkmzpxwwwwupy.supabase.co/storage/v1/object/public/old_media/386b7715.Path.051651.jpg" TargetMode="External"/><Relationship Id="rId2781" Type="http://schemas.openxmlformats.org/officeDocument/2006/relationships/hyperlink" Target="https://ryycrdhlkmzpxwwwwupy.supabase.co/storage/v1/object/public/old_media/a20af7fc.Path.051710.jpg" TargetMode="External"/><Relationship Id="rId620" Type="http://schemas.openxmlformats.org/officeDocument/2006/relationships/hyperlink" Target="https://ryycrdhlkmzpxwwwwupy.supabase.co/storage/v1/object/public/old_media/ec61cce1.Path.102801.jpg" TargetMode="External"/><Relationship Id="rId1451" Type="http://schemas.openxmlformats.org/officeDocument/2006/relationships/hyperlink" Target="https://ryycrdhlkmzpxwwwwupy.supabase.co/storage/v1/object/public/old_media/e5f5931a.Path.051726.jpg" TargetMode="External"/><Relationship Id="rId2782" Type="http://schemas.openxmlformats.org/officeDocument/2006/relationships/hyperlink" Target="https://ryycrdhlkmzpxwwwwupy.supabase.co/storage/v1/object/public/old_media/5d6e5d99.Path.051719.jpg" TargetMode="External"/><Relationship Id="rId1452" Type="http://schemas.openxmlformats.org/officeDocument/2006/relationships/hyperlink" Target="https://ryycrdhlkmzpxwwwwupy.supabase.co/storage/v1/object/public/old_media/017987c6.Path.051810.jpg" TargetMode="External"/><Relationship Id="rId2783" Type="http://schemas.openxmlformats.org/officeDocument/2006/relationships/hyperlink" Target="https://ryycrdhlkmzpxwwwwupy.supabase.co/storage/v1/object/public/old_media/664d3815.Path.051732.jpg" TargetMode="External"/><Relationship Id="rId1453" Type="http://schemas.openxmlformats.org/officeDocument/2006/relationships/hyperlink" Target="https://ryycrdhlkmzpxwwwwupy.supabase.co/storage/v1/object/public/old_media/369b458b.Path.095437.jpg" TargetMode="External"/><Relationship Id="rId2784" Type="http://schemas.openxmlformats.org/officeDocument/2006/relationships/hyperlink" Target="https://ryycrdhlkmzpxwwwwupy.supabase.co/storage/v1/object/public/old_media/a8897609.Path.051804.jpg" TargetMode="External"/><Relationship Id="rId1454" Type="http://schemas.openxmlformats.org/officeDocument/2006/relationships/hyperlink" Target="https://ryycrdhlkmzpxwwwwupy.supabase.co/storage/v1/object/public/old_media/31f8e04c.Path.095448.jpg" TargetMode="External"/><Relationship Id="rId2785" Type="http://schemas.openxmlformats.org/officeDocument/2006/relationships/hyperlink" Target="https://ryycrdhlkmzpxwwwwupy.supabase.co/storage/v1/object/public/old_media/a8819582.Path.051816.jpg" TargetMode="External"/><Relationship Id="rId1444" Type="http://schemas.openxmlformats.org/officeDocument/2006/relationships/hyperlink" Target="https://ryycrdhlkmzpxwwwwupy.supabase.co/storage/v1/object/public/old_media/beae4a8e.Path.113059.jpg" TargetMode="External"/><Relationship Id="rId2775" Type="http://schemas.openxmlformats.org/officeDocument/2006/relationships/hyperlink" Target="https://ryycrdhlkmzpxwwwwupy.supabase.co/storage/v1/object/public/old_media/e2fbfe1d.Path.062601.jpg" TargetMode="External"/><Relationship Id="rId1445" Type="http://schemas.openxmlformats.org/officeDocument/2006/relationships/hyperlink" Target="https://ryycrdhlkmzpxwwwwupy.supabase.co/storage/v1/object/public/old_media/830c2b1b.Path.113132.jpg" TargetMode="External"/><Relationship Id="rId2776" Type="http://schemas.openxmlformats.org/officeDocument/2006/relationships/hyperlink" Target="https://ryycrdhlkmzpxwwwwupy.supabase.co/storage/v1/object/public/old_media/e36adb33.Path.073639.jpg" TargetMode="External"/><Relationship Id="rId1446" Type="http://schemas.openxmlformats.org/officeDocument/2006/relationships/hyperlink" Target="https://ryycrdhlkmzpxwwwwupy.supabase.co/storage/v1/object/public/old_media/9f70911a.Path.113433.jpg" TargetMode="External"/><Relationship Id="rId2777" Type="http://schemas.openxmlformats.org/officeDocument/2006/relationships/hyperlink" Target="https://ryycrdhlkmzpxwwwwupy.supabase.co/storage/v1/object/public/old_media/14ab5c00.Path.103720.jpg" TargetMode="External"/><Relationship Id="rId1447" Type="http://schemas.openxmlformats.org/officeDocument/2006/relationships/hyperlink" Target="https://ryycrdhlkmzpxwwwwupy.supabase.co/storage/v1/object/public/old_media/7461c2d0.Path.113451.jpg" TargetMode="External"/><Relationship Id="rId2778" Type="http://schemas.openxmlformats.org/officeDocument/2006/relationships/hyperlink" Target="https://ryycrdhlkmzpxwwwwupy.supabase.co/storage/v1/object/public/old_media/e5d96490.Path.103855.jpg" TargetMode="External"/><Relationship Id="rId1448" Type="http://schemas.openxmlformats.org/officeDocument/2006/relationships/hyperlink" Target="https://ryycrdhlkmzpxwwwwupy.supabase.co/storage/v1/object/public/old_media/43565317.Path.113505.jpg" TargetMode="External"/><Relationship Id="rId2779" Type="http://schemas.openxmlformats.org/officeDocument/2006/relationships/hyperlink" Target="https://ryycrdhlkmzpxwwwwupy.supabase.co/storage/v1/object/public/old_media/76fca7c4.Path.103911.jpg" TargetMode="External"/><Relationship Id="rId1449" Type="http://schemas.openxmlformats.org/officeDocument/2006/relationships/hyperlink" Target="https://ryycrdhlkmzpxwwwwupy.supabase.co/storage/v1/object/public/old_media/e1a301df.Path.113758.jpg" TargetMode="External"/><Relationship Id="rId619" Type="http://schemas.openxmlformats.org/officeDocument/2006/relationships/hyperlink" Target="https://ryycrdhlkmzpxwwwwupy.supabase.co/storage/v1/object/public/old_media/122608fe.Path.102756.jpg" TargetMode="External"/><Relationship Id="rId618" Type="http://schemas.openxmlformats.org/officeDocument/2006/relationships/hyperlink" Target="https://ryycrdhlkmzpxwwwwupy.supabase.co/storage/v1/object/public/old_media/db1f43c5.Path.102748.jpg" TargetMode="External"/><Relationship Id="rId613" Type="http://schemas.openxmlformats.org/officeDocument/2006/relationships/hyperlink" Target="https://ryycrdhlkmzpxwwwwupy.supabase.co/storage/v1/object/public/old_media/13febd73.Path.100905.jpg" TargetMode="External"/><Relationship Id="rId612" Type="http://schemas.openxmlformats.org/officeDocument/2006/relationships/hyperlink" Target="https://ryycrdhlkmzpxwwwwupy.supabase.co/storage/v1/object/public/old_media/1338d252.Path.100857.jpg" TargetMode="External"/><Relationship Id="rId611" Type="http://schemas.openxmlformats.org/officeDocument/2006/relationships/hyperlink" Target="https://ryycrdhlkmzpxwwwwupy.supabase.co/storage/v1/object/public/old_media/d4086503.Path.100848.jpg" TargetMode="External"/><Relationship Id="rId610" Type="http://schemas.openxmlformats.org/officeDocument/2006/relationships/hyperlink" Target="https://ryycrdhlkmzpxwwwwupy.supabase.co/storage/v1/object/public/old_media/6a6b3e74.Path.094412.jpg" TargetMode="External"/><Relationship Id="rId617" Type="http://schemas.openxmlformats.org/officeDocument/2006/relationships/hyperlink" Target="https://ryycrdhlkmzpxwwwwupy.supabase.co/storage/v1/object/public/old_media/380abd1b.Path.101852.jpg" TargetMode="External"/><Relationship Id="rId616" Type="http://schemas.openxmlformats.org/officeDocument/2006/relationships/hyperlink" Target="https://ryycrdhlkmzpxwwwwupy.supabase.co/storage/v1/object/public/old_media/7127b821.Path.101846.jpg" TargetMode="External"/><Relationship Id="rId615" Type="http://schemas.openxmlformats.org/officeDocument/2006/relationships/hyperlink" Target="https://ryycrdhlkmzpxwwwwupy.supabase.co/storage/v1/object/public/old_media/ee99f1db.Path.101830.png" TargetMode="External"/><Relationship Id="rId614" Type="http://schemas.openxmlformats.org/officeDocument/2006/relationships/hyperlink" Target="https://ryycrdhlkmzpxwwwwupy.supabase.co/storage/v1/object/public/old_media/1ae9c04d.Path.100912.jpg" TargetMode="External"/><Relationship Id="rId2770" Type="http://schemas.openxmlformats.org/officeDocument/2006/relationships/hyperlink" Target="https://ryycrdhlkmzpxwwwwupy.supabase.co/storage/v1/object/public/old_media/5197646d.Path.102435.jpg" TargetMode="External"/><Relationship Id="rId1440" Type="http://schemas.openxmlformats.org/officeDocument/2006/relationships/hyperlink" Target="https://ryycrdhlkmzpxwwwwupy.supabase.co/storage/v1/object/public/old_media/e51a59e2.Path.112833.jpg" TargetMode="External"/><Relationship Id="rId2771" Type="http://schemas.openxmlformats.org/officeDocument/2006/relationships/hyperlink" Target="https://ryycrdhlkmzpxwwwwupy.supabase.co/storage/v1/object/public/old_media/da7a0942.Path.062423.webp" TargetMode="External"/><Relationship Id="rId1441" Type="http://schemas.openxmlformats.org/officeDocument/2006/relationships/hyperlink" Target="https://ryycrdhlkmzpxwwwwupy.supabase.co/storage/v1/object/public/old_media/8c85927a.Path.112930.jpg" TargetMode="External"/><Relationship Id="rId2772" Type="http://schemas.openxmlformats.org/officeDocument/2006/relationships/hyperlink" Target="https://ryycrdhlkmzpxwwwwupy.supabase.co/storage/v1/object/public/old_media/15926c89.Path.062432.webp" TargetMode="External"/><Relationship Id="rId1442" Type="http://schemas.openxmlformats.org/officeDocument/2006/relationships/hyperlink" Target="https://ryycrdhlkmzpxwwwwupy.supabase.co/storage/v1/object/public/old_media/bbcaf2e1.Path.112944.jpg" TargetMode="External"/><Relationship Id="rId2773" Type="http://schemas.openxmlformats.org/officeDocument/2006/relationships/hyperlink" Target="https://ryycrdhlkmzpxwwwwupy.supabase.co/storage/v1/object/public/old_media/022df6a1.Path.062541.jpg" TargetMode="External"/><Relationship Id="rId1443" Type="http://schemas.openxmlformats.org/officeDocument/2006/relationships/hyperlink" Target="https://ryycrdhlkmzpxwwwwupy.supabase.co/storage/v1/object/public/old_media/020eaa86.Path.113032.jpg" TargetMode="External"/><Relationship Id="rId2774" Type="http://schemas.openxmlformats.org/officeDocument/2006/relationships/hyperlink" Target="https://ryycrdhlkmzpxwwwwupy.supabase.co/storage/v1/object/public/old_media/2d5ba466.Path.062554.jpg" TargetMode="External"/><Relationship Id="rId1477" Type="http://schemas.openxmlformats.org/officeDocument/2006/relationships/hyperlink" Target="https://ryycrdhlkmzpxwwwwupy.supabase.co/storage/v1/object/public/old_media/609b004f.Path.052128.jpg" TargetMode="External"/><Relationship Id="rId4503" Type="http://schemas.openxmlformats.org/officeDocument/2006/relationships/hyperlink" Target="https://ryycrdhlkmzpxwwwwupy.supabase.co/storage/v1/object/public/old_media/b2f438ff.Path.112641.jpg" TargetMode="External"/><Relationship Id="rId1478" Type="http://schemas.openxmlformats.org/officeDocument/2006/relationships/hyperlink" Target="https://ryycrdhlkmzpxwwwwupy.supabase.co/storage/v1/object/public/old_media/3d5eedcd.Path.052138.jpg" TargetMode="External"/><Relationship Id="rId4502" Type="http://schemas.openxmlformats.org/officeDocument/2006/relationships/hyperlink" Target="https://ryycrdhlkmzpxwwwwupy.supabase.co/storage/v1/object/public/old_media/01f0cbc6.Path.112309.jpg" TargetMode="External"/><Relationship Id="rId1479" Type="http://schemas.openxmlformats.org/officeDocument/2006/relationships/hyperlink" Target="https://ryycrdhlkmzpxwwwwupy.supabase.co/storage/v1/object/public/old_media/476ff750.Path.052147.webp" TargetMode="External"/><Relationship Id="rId4505" Type="http://schemas.openxmlformats.org/officeDocument/2006/relationships/hyperlink" Target="https://ryycrdhlkmzpxwwwwupy.supabase.co/storage/v1/object/public/old_media/d434aa60.Path.050456.avif" TargetMode="External"/><Relationship Id="rId4504" Type="http://schemas.openxmlformats.org/officeDocument/2006/relationships/hyperlink" Target="https://ryycrdhlkmzpxwwwwupy.supabase.co/storage/v1/object/public/old_media/3697a239.Path.050425.avif" TargetMode="External"/><Relationship Id="rId4507" Type="http://schemas.openxmlformats.org/officeDocument/2006/relationships/hyperlink" Target="https://ryycrdhlkmzpxwwwwupy.supabase.co/storage/v1/object/public/old_media/464f1eed.Path.050607.avif" TargetMode="External"/><Relationship Id="rId4506" Type="http://schemas.openxmlformats.org/officeDocument/2006/relationships/hyperlink" Target="https://ryycrdhlkmzpxwwwwupy.supabase.co/storage/v1/object/public/old_media/6d95cb2b.Path.050530.avif" TargetMode="External"/><Relationship Id="rId4509" Type="http://schemas.openxmlformats.org/officeDocument/2006/relationships/hyperlink" Target="https://ryycrdhlkmzpxwwwwupy.supabase.co/storage/v1/object/public/old_media/35c7cb53.Path.075338.avif" TargetMode="External"/><Relationship Id="rId4508" Type="http://schemas.openxmlformats.org/officeDocument/2006/relationships/hyperlink" Target="https://ryycrdhlkmzpxwwwwupy.supabase.co/storage/v1/object/public/old_media/e9cf1b04.Path.050643.jpg" TargetMode="External"/><Relationship Id="rId646" Type="http://schemas.openxmlformats.org/officeDocument/2006/relationships/hyperlink" Target="https://ryycrdhlkmzpxwwwwupy.supabase.co/storage/v1/object/public/old_media/15861035.Path.120901.webp" TargetMode="External"/><Relationship Id="rId645" Type="http://schemas.openxmlformats.org/officeDocument/2006/relationships/hyperlink" Target="https://ryycrdhlkmzpxwwwwupy.supabase.co/storage/v1/object/public/old_media/b294dae3.Path.120843.webp" TargetMode="External"/><Relationship Id="rId644" Type="http://schemas.openxmlformats.org/officeDocument/2006/relationships/hyperlink" Target="https://ryycrdhlkmzpxwwwwupy.supabase.co/storage/v1/object/public/old_media/a562991c.Path.120836.webp" TargetMode="External"/><Relationship Id="rId643" Type="http://schemas.openxmlformats.org/officeDocument/2006/relationships/hyperlink" Target="https://ryycrdhlkmzpxwwwwupy.supabase.co/storage/v1/object/public/old_media/56cb69ce.Path.120829.webp" TargetMode="External"/><Relationship Id="rId649" Type="http://schemas.openxmlformats.org/officeDocument/2006/relationships/hyperlink" Target="https://ryycrdhlkmzpxwwwwupy.supabase.co/storage/v1/object/public/old_media/10ee6c4c.Path.120936.webp" TargetMode="External"/><Relationship Id="rId648" Type="http://schemas.openxmlformats.org/officeDocument/2006/relationships/hyperlink" Target="https://ryycrdhlkmzpxwwwwupy.supabase.co/storage/v1/object/public/old_media/beec8c62.Path.120914.webp" TargetMode="External"/><Relationship Id="rId647" Type="http://schemas.openxmlformats.org/officeDocument/2006/relationships/hyperlink" Target="https://ryycrdhlkmzpxwwwwupy.supabase.co/storage/v1/object/public/old_media/a04a0217.Path.120907.webp" TargetMode="External"/><Relationship Id="rId1470" Type="http://schemas.openxmlformats.org/officeDocument/2006/relationships/hyperlink" Target="https://ryycrdhlkmzpxwwwwupy.supabase.co/storage/v1/object/public/old_media/3dba8e8f.Path.105135.jpg" TargetMode="External"/><Relationship Id="rId1471" Type="http://schemas.openxmlformats.org/officeDocument/2006/relationships/hyperlink" Target="https://ryycrdhlkmzpxwwwwupy.supabase.co/storage/v1/object/public/old_media/e14921de.Path.105143.jpg" TargetMode="External"/><Relationship Id="rId1472" Type="http://schemas.openxmlformats.org/officeDocument/2006/relationships/hyperlink" Target="https://ryycrdhlkmzpxwwwwupy.supabase.co/storage/v1/object/public/old_media/ddd03d3e.Path.105204.jpg" TargetMode="External"/><Relationship Id="rId642" Type="http://schemas.openxmlformats.org/officeDocument/2006/relationships/hyperlink" Target="https://ryycrdhlkmzpxwwwwupy.supabase.co/storage/v1/object/public/old_media/a69f8ea2.Path.115408.jpg" TargetMode="External"/><Relationship Id="rId1473" Type="http://schemas.openxmlformats.org/officeDocument/2006/relationships/hyperlink" Target="https://ryycrdhlkmzpxwwwwupy.supabase.co/storage/v1/object/public/old_media/db425f5b.Path.073455.png" TargetMode="External"/><Relationship Id="rId641" Type="http://schemas.openxmlformats.org/officeDocument/2006/relationships/hyperlink" Target="https://ryycrdhlkmzpxwwwwupy.supabase.co/storage/v1/object/public/old_media/883356a7.Path.115402.jpg" TargetMode="External"/><Relationship Id="rId1474" Type="http://schemas.openxmlformats.org/officeDocument/2006/relationships/hyperlink" Target="https://ryycrdhlkmzpxwwwwupy.supabase.co/storage/v1/object/public/old_media/13e6c000.Path.073510.png" TargetMode="External"/><Relationship Id="rId640" Type="http://schemas.openxmlformats.org/officeDocument/2006/relationships/hyperlink" Target="https://ryycrdhlkmzpxwwwwupy.supabase.co/storage/v1/object/public/old_media/f67220ee.Path.115356.jpg" TargetMode="External"/><Relationship Id="rId1475" Type="http://schemas.openxmlformats.org/officeDocument/2006/relationships/hyperlink" Target="https://ryycrdhlkmzpxwwwwupy.supabase.co/storage/v1/object/public/old_media/81d14beb.Path.052055.jpg" TargetMode="External"/><Relationship Id="rId4501" Type="http://schemas.openxmlformats.org/officeDocument/2006/relationships/hyperlink" Target="https://ryycrdhlkmzpxwwwwupy.supabase.co/storage/v1/object/public/old_media/92e7c290.Path.111905.jpg" TargetMode="External"/><Relationship Id="rId1476" Type="http://schemas.openxmlformats.org/officeDocument/2006/relationships/hyperlink" Target="https://ryycrdhlkmzpxwwwwupy.supabase.co/storage/v1/object/public/old_media/56bc23d5.Path.052106.webp" TargetMode="External"/><Relationship Id="rId4500" Type="http://schemas.openxmlformats.org/officeDocument/2006/relationships/hyperlink" Target="https://ryycrdhlkmzpxwwwwupy.supabase.co/storage/v1/object/public/old_media/ba304648.Path.111834.jpg" TargetMode="External"/><Relationship Id="rId1466" Type="http://schemas.openxmlformats.org/officeDocument/2006/relationships/hyperlink" Target="https://ryycrdhlkmzpxwwwwupy.supabase.co/storage/v1/object/public/old_media/711d7bd8.Path.105102.jpg" TargetMode="External"/><Relationship Id="rId2797" Type="http://schemas.openxmlformats.org/officeDocument/2006/relationships/hyperlink" Target="https://ryycrdhlkmzpxwwwwupy.supabase.co/storage/v1/object/public/old_media/22cd9a51.Path.041317.jpg" TargetMode="External"/><Relationship Id="rId1467" Type="http://schemas.openxmlformats.org/officeDocument/2006/relationships/hyperlink" Target="https://ryycrdhlkmzpxwwwwupy.supabase.co/storage/v1/object/public/old_media/e848fef4.Path.105111.jpg" TargetMode="External"/><Relationship Id="rId2798" Type="http://schemas.openxmlformats.org/officeDocument/2006/relationships/hyperlink" Target="https://ryycrdhlkmzpxwwwwupy.supabase.co/storage/v1/object/public/old_media/c07b189f.Path.091923.jpg" TargetMode="External"/><Relationship Id="rId1468" Type="http://schemas.openxmlformats.org/officeDocument/2006/relationships/hyperlink" Target="https://ryycrdhlkmzpxwwwwupy.supabase.co/storage/v1/object/public/old_media/fbfb0c53.Path.105119.jpg" TargetMode="External"/><Relationship Id="rId2799" Type="http://schemas.openxmlformats.org/officeDocument/2006/relationships/hyperlink" Target="https://ryycrdhlkmzpxwwwwupy.supabase.co/storage/v1/object/public/old_media/c3d985af.Path.093250.jpg" TargetMode="External"/><Relationship Id="rId1469" Type="http://schemas.openxmlformats.org/officeDocument/2006/relationships/hyperlink" Target="https://ryycrdhlkmzpxwwwwupy.supabase.co/storage/v1/object/public/old_media/d36a50be.Path.105128.jpg" TargetMode="External"/><Relationship Id="rId635" Type="http://schemas.openxmlformats.org/officeDocument/2006/relationships/hyperlink" Target="https://ryycrdhlkmzpxwwwwupy.supabase.co/storage/v1/object/public/old_media/65e4a842.Path.112527.jpg" TargetMode="External"/><Relationship Id="rId634" Type="http://schemas.openxmlformats.org/officeDocument/2006/relationships/hyperlink" Target="https://ryycrdhlkmzpxwwwwupy.supabase.co/storage/v1/object/public/old_media/7702922c.Path.111500.webp" TargetMode="External"/><Relationship Id="rId633" Type="http://schemas.openxmlformats.org/officeDocument/2006/relationships/hyperlink" Target="https://ryycrdhlkmzpxwwwwupy.supabase.co/storage/v1/object/public/old_media/cd1588d3.Path.111454.webp" TargetMode="External"/><Relationship Id="rId632" Type="http://schemas.openxmlformats.org/officeDocument/2006/relationships/hyperlink" Target="https://ryycrdhlkmzpxwwwwupy.supabase.co/storage/v1/object/public/old_media/46ad9aca.Path.111438.webp" TargetMode="External"/><Relationship Id="rId639" Type="http://schemas.openxmlformats.org/officeDocument/2006/relationships/hyperlink" Target="https://ryycrdhlkmzpxwwwwupy.supabase.co/storage/v1/object/public/old_media/bcf8d2ae.Path.115349.jpg" TargetMode="External"/><Relationship Id="rId638" Type="http://schemas.openxmlformats.org/officeDocument/2006/relationships/hyperlink" Target="https://ryycrdhlkmzpxwwwwupy.supabase.co/storage/v1/object/public/old_media/4f27020a.Path.112555.jpg" TargetMode="External"/><Relationship Id="rId637" Type="http://schemas.openxmlformats.org/officeDocument/2006/relationships/hyperlink" Target="https://ryycrdhlkmzpxwwwwupy.supabase.co/storage/v1/object/public/old_media/20dd68a4.Path.112549.jpg" TargetMode="External"/><Relationship Id="rId636" Type="http://schemas.openxmlformats.org/officeDocument/2006/relationships/hyperlink" Target="https://ryycrdhlkmzpxwwwwupy.supabase.co/storage/v1/object/public/old_media/57be798b.Path.112533.jpg" TargetMode="External"/><Relationship Id="rId2790" Type="http://schemas.openxmlformats.org/officeDocument/2006/relationships/hyperlink" Target="https://ryycrdhlkmzpxwwwwupy.supabase.co/storage/v1/object/public/old_media/57924301.Path.071216.jpg" TargetMode="External"/><Relationship Id="rId1460" Type="http://schemas.openxmlformats.org/officeDocument/2006/relationships/hyperlink" Target="https://ryycrdhlkmzpxwwwwupy.supabase.co/storage/v1/object/public/old_media/5243fb99.Path.105004.jpg" TargetMode="External"/><Relationship Id="rId2791" Type="http://schemas.openxmlformats.org/officeDocument/2006/relationships/hyperlink" Target="https://ryycrdhlkmzpxwwwwupy.supabase.co/storage/v1/object/public/old_media/95337b17.Path.051043.jpg" TargetMode="External"/><Relationship Id="rId1461" Type="http://schemas.openxmlformats.org/officeDocument/2006/relationships/hyperlink" Target="https://ryycrdhlkmzpxwwwwupy.supabase.co/storage/v1/object/public/old_media/9864d09f.Path.105012.jpg" TargetMode="External"/><Relationship Id="rId2792" Type="http://schemas.openxmlformats.org/officeDocument/2006/relationships/hyperlink" Target="https://ryycrdhlkmzpxwwwwupy.supabase.co/storage/v1/object/public/old_media/256124cf.Path.051110.jpg" TargetMode="External"/><Relationship Id="rId631" Type="http://schemas.openxmlformats.org/officeDocument/2006/relationships/hyperlink" Target="https://ryycrdhlkmzpxwwwwupy.supabase.co/storage/v1/object/public/old_media/5c79fe4a.Path.111432.webp" TargetMode="External"/><Relationship Id="rId1462" Type="http://schemas.openxmlformats.org/officeDocument/2006/relationships/hyperlink" Target="https://ryycrdhlkmzpxwwwwupy.supabase.co/storage/v1/object/public/old_media/a8bb307a.Path.105020.jpg" TargetMode="External"/><Relationship Id="rId2793" Type="http://schemas.openxmlformats.org/officeDocument/2006/relationships/hyperlink" Target="https://ryycrdhlkmzpxwwwwupy.supabase.co/storage/v1/object/public/old_media/d433730c.Path.051152.jpg" TargetMode="External"/><Relationship Id="rId630" Type="http://schemas.openxmlformats.org/officeDocument/2006/relationships/hyperlink" Target="https://ryycrdhlkmzpxwwwwupy.supabase.co/storage/v1/object/public/old_media/94fc6086.Path.111416.webp" TargetMode="External"/><Relationship Id="rId1463" Type="http://schemas.openxmlformats.org/officeDocument/2006/relationships/hyperlink" Target="https://ryycrdhlkmzpxwwwwupy.supabase.co/storage/v1/object/public/old_media/9fb21dc2.Path.105029.jpg" TargetMode="External"/><Relationship Id="rId2794" Type="http://schemas.openxmlformats.org/officeDocument/2006/relationships/hyperlink" Target="https://ryycrdhlkmzpxwwwwupy.supabase.co/storage/v1/object/public/old_media/7ee9843a.Path.051200.jpg" TargetMode="External"/><Relationship Id="rId1464" Type="http://schemas.openxmlformats.org/officeDocument/2006/relationships/hyperlink" Target="https://ryycrdhlkmzpxwwwwupy.supabase.co/storage/v1/object/public/old_media/7730a5da.Path.105038.jpg" TargetMode="External"/><Relationship Id="rId2795" Type="http://schemas.openxmlformats.org/officeDocument/2006/relationships/hyperlink" Target="https://ryycrdhlkmzpxwwwwupy.supabase.co/storage/v1/object/public/old_media/fc038910.Path.041253.jpg" TargetMode="External"/><Relationship Id="rId1465" Type="http://schemas.openxmlformats.org/officeDocument/2006/relationships/hyperlink" Target="https://ryycrdhlkmzpxwwwwupy.supabase.co/storage/v1/object/public/old_media/78c8a0ec.Path.105053.jpg" TargetMode="External"/><Relationship Id="rId2796" Type="http://schemas.openxmlformats.org/officeDocument/2006/relationships/hyperlink" Target="https://ryycrdhlkmzpxwwwwupy.supabase.co/storage/v1/object/public/old_media/37941a7d.Path.041306.jpg" TargetMode="External"/><Relationship Id="rId1411" Type="http://schemas.openxmlformats.org/officeDocument/2006/relationships/hyperlink" Target="https://ryycrdhlkmzpxwwwwupy.supabase.co/storage/v1/object/public/old_media/5ce9fee1.Path.093048.jpg" TargetMode="External"/><Relationship Id="rId2742" Type="http://schemas.openxmlformats.org/officeDocument/2006/relationships/hyperlink" Target="https://ryycrdhlkmzpxwwwwupy.supabase.co/storage/v1/object/public/old_media/89a051fe.Path.101531.jpg" TargetMode="External"/><Relationship Id="rId1412" Type="http://schemas.openxmlformats.org/officeDocument/2006/relationships/hyperlink" Target="https://ryycrdhlkmzpxwwwwupy.supabase.co/storage/v1/object/public/old_media/54324b1d.Path.093111.jpg" TargetMode="External"/><Relationship Id="rId2743" Type="http://schemas.openxmlformats.org/officeDocument/2006/relationships/hyperlink" Target="https://ryycrdhlkmzpxwwwwupy.supabase.co/storage/v1/object/public/old_media/e0a411dc.Path.101545.jpg" TargetMode="External"/><Relationship Id="rId1413" Type="http://schemas.openxmlformats.org/officeDocument/2006/relationships/hyperlink" Target="https://ryycrdhlkmzpxwwwwupy.supabase.co/storage/v1/object/public/old_media/7890f819.Path.104450.jpg" TargetMode="External"/><Relationship Id="rId2744" Type="http://schemas.openxmlformats.org/officeDocument/2006/relationships/hyperlink" Target="https://ryycrdhlkmzpxwwwwupy.supabase.co/storage/v1/object/public/old_media/0af9cd69.Path.101559.jpg" TargetMode="External"/><Relationship Id="rId1414" Type="http://schemas.openxmlformats.org/officeDocument/2006/relationships/hyperlink" Target="https://ryycrdhlkmzpxwwwwupy.supabase.co/storage/v1/object/public/old_media/5caad4ab.Path.111928.png" TargetMode="External"/><Relationship Id="rId2745" Type="http://schemas.openxmlformats.org/officeDocument/2006/relationships/hyperlink" Target="https://ryycrdhlkmzpxwwwwupy.supabase.co/storage/v1/object/public/old_media/f0b94afa.Path.101611.jpg" TargetMode="External"/><Relationship Id="rId1415" Type="http://schemas.openxmlformats.org/officeDocument/2006/relationships/hyperlink" Target="https://ryycrdhlkmzpxwwwwupy.supabase.co/storage/v1/object/public/old_media/18011b6d.Path.111943.png" TargetMode="External"/><Relationship Id="rId2746" Type="http://schemas.openxmlformats.org/officeDocument/2006/relationships/hyperlink" Target="https://ryycrdhlkmzpxwwwwupy.supabase.co/storage/v1/object/public/old_media/78c19d78.Path.101843.jpg" TargetMode="External"/><Relationship Id="rId1416" Type="http://schemas.openxmlformats.org/officeDocument/2006/relationships/hyperlink" Target="https://ryycrdhlkmzpxwwwwupy.supabase.co/storage/v1/object/public/old_media/2cd0147a.Path.112004.png" TargetMode="External"/><Relationship Id="rId2747" Type="http://schemas.openxmlformats.org/officeDocument/2006/relationships/hyperlink" Target="https://ryycrdhlkmzpxwwwwupy.supabase.co/storage/v1/object/public/old_media/b665dd94.Path.101854.jpg" TargetMode="External"/><Relationship Id="rId1417" Type="http://schemas.openxmlformats.org/officeDocument/2006/relationships/hyperlink" Target="https://ryycrdhlkmzpxwwwwupy.supabase.co/storage/v1/object/public/old_media/7a94242f.Path.051931.png" TargetMode="External"/><Relationship Id="rId2748" Type="http://schemas.openxmlformats.org/officeDocument/2006/relationships/hyperlink" Target="https://ryycrdhlkmzpxwwwwupy.supabase.co/storage/v1/object/public/old_media/9b687d50.Path.101904.jpg" TargetMode="External"/><Relationship Id="rId1418" Type="http://schemas.openxmlformats.org/officeDocument/2006/relationships/hyperlink" Target="https://ryycrdhlkmzpxwwwwupy.supabase.co/storage/v1/object/public/old_media/4b901436.Path.052004.jpg" TargetMode="External"/><Relationship Id="rId2749" Type="http://schemas.openxmlformats.org/officeDocument/2006/relationships/hyperlink" Target="https://ryycrdhlkmzpxwwwwupy.supabase.co/storage/v1/object/public/old_media/58373bf1.Path.101914.jpg" TargetMode="External"/><Relationship Id="rId1419" Type="http://schemas.openxmlformats.org/officeDocument/2006/relationships/hyperlink" Target="https://ryycrdhlkmzpxwwwwupy.supabase.co/storage/v1/object/public/old_media/b4af1a5d.Path.110828.jpg" TargetMode="External"/><Relationship Id="rId2740" Type="http://schemas.openxmlformats.org/officeDocument/2006/relationships/hyperlink" Target="https://ryycrdhlkmzpxwwwwupy.supabase.co/storage/v1/object/public/old_media/c701fb95.Path.101509.jpg" TargetMode="External"/><Relationship Id="rId1410" Type="http://schemas.openxmlformats.org/officeDocument/2006/relationships/hyperlink" Target="https://ryycrdhlkmzpxwwwwupy.supabase.co/storage/v1/object/public/old_media/1aa30381.Path.093033.jpg" TargetMode="External"/><Relationship Id="rId2741" Type="http://schemas.openxmlformats.org/officeDocument/2006/relationships/hyperlink" Target="https://ryycrdhlkmzpxwwwwupy.supabase.co/storage/v1/object/public/old_media/efc73510.Path.101519.jpg" TargetMode="External"/><Relationship Id="rId1400" Type="http://schemas.openxmlformats.org/officeDocument/2006/relationships/hyperlink" Target="https://ryycrdhlkmzpxwwwwupy.supabase.co/storage/v1/object/public/old_media/47784b28.Path.053752.jpg" TargetMode="External"/><Relationship Id="rId2731" Type="http://schemas.openxmlformats.org/officeDocument/2006/relationships/hyperlink" Target="https://ryycrdhlkmzpxwwwwupy.supabase.co/storage/v1/object/public/old_media/b74637c0.Path.061610.jpg" TargetMode="External"/><Relationship Id="rId1401" Type="http://schemas.openxmlformats.org/officeDocument/2006/relationships/hyperlink" Target="https://ryycrdhlkmzpxwwwwupy.supabase.co/storage/v1/object/public/old_media/69c2fbf5.Path.053824.jpg" TargetMode="External"/><Relationship Id="rId2732" Type="http://schemas.openxmlformats.org/officeDocument/2006/relationships/hyperlink" Target="https://ryycrdhlkmzpxwwwwupy.supabase.co/storage/v1/object/public/old_media/4e3c7d76.Path.061631.jpg" TargetMode="External"/><Relationship Id="rId1402" Type="http://schemas.openxmlformats.org/officeDocument/2006/relationships/hyperlink" Target="https://ryycrdhlkmzpxwwwwupy.supabase.co/storage/v1/object/public/old_media/130e255b.Path.053850.jpg" TargetMode="External"/><Relationship Id="rId2733" Type="http://schemas.openxmlformats.org/officeDocument/2006/relationships/hyperlink" Target="https://ryycrdhlkmzpxwwwwupy.supabase.co/storage/v1/object/public/old_media/56e9372a.Path.071353.jpg" TargetMode="External"/><Relationship Id="rId1403" Type="http://schemas.openxmlformats.org/officeDocument/2006/relationships/hyperlink" Target="https://ryycrdhlkmzpxwwwwupy.supabase.co/storage/v1/object/public/old_media/83c7cba6.Path.053914.jpg" TargetMode="External"/><Relationship Id="rId2734" Type="http://schemas.openxmlformats.org/officeDocument/2006/relationships/hyperlink" Target="https://ryycrdhlkmzpxwwwwupy.supabase.co/storage/v1/object/public/old_media/c817e0e9.Path.071404.jpg" TargetMode="External"/><Relationship Id="rId1404" Type="http://schemas.openxmlformats.org/officeDocument/2006/relationships/hyperlink" Target="https://ryycrdhlkmzpxwwwwupy.supabase.co/storage/v1/object/public/old_media/27782030.Path.053948.jpg" TargetMode="External"/><Relationship Id="rId2735" Type="http://schemas.openxmlformats.org/officeDocument/2006/relationships/hyperlink" Target="https://ryycrdhlkmzpxwwwwupy.supabase.co/storage/v1/object/public/old_media/5f7ace70.Path.071452.jpg" TargetMode="External"/><Relationship Id="rId1405" Type="http://schemas.openxmlformats.org/officeDocument/2006/relationships/hyperlink" Target="https://ryycrdhlkmzpxwwwwupy.supabase.co/storage/v1/object/public/old_media/faa74a75.Path.054003.jpg" TargetMode="External"/><Relationship Id="rId2736" Type="http://schemas.openxmlformats.org/officeDocument/2006/relationships/hyperlink" Target="https://ryycrdhlkmzpxwwwwupy.supabase.co/storage/v1/object/public/old_media/6cbaae9c.Path.071508.jpg" TargetMode="External"/><Relationship Id="rId1406" Type="http://schemas.openxmlformats.org/officeDocument/2006/relationships/hyperlink" Target="https://ryycrdhlkmzpxwwwwupy.supabase.co/storage/v1/object/public/old_media/389bf7fd.Path.054019.jpg" TargetMode="External"/><Relationship Id="rId2737" Type="http://schemas.openxmlformats.org/officeDocument/2006/relationships/hyperlink" Target="https://ryycrdhlkmzpxwwwwupy.supabase.co/storage/v1/object/public/old_media/8b45cfe2.Path.071532.jpg" TargetMode="External"/><Relationship Id="rId1407" Type="http://schemas.openxmlformats.org/officeDocument/2006/relationships/hyperlink" Target="https://ryycrdhlkmzpxwwwwupy.supabase.co/storage/v1/object/public/old_media/8b10c29a.Path.054043.jpg" TargetMode="External"/><Relationship Id="rId2738" Type="http://schemas.openxmlformats.org/officeDocument/2006/relationships/hyperlink" Target="https://ryycrdhlkmzpxwwwwupy.supabase.co/storage/v1/object/public/old_media/bce1bf86.Path.101438.jpg" TargetMode="External"/><Relationship Id="rId1408" Type="http://schemas.openxmlformats.org/officeDocument/2006/relationships/hyperlink" Target="https://ryycrdhlkmzpxwwwwupy.supabase.co/storage/v1/object/public/old_media/e9a26bc6.Path.070556.png" TargetMode="External"/><Relationship Id="rId2739" Type="http://schemas.openxmlformats.org/officeDocument/2006/relationships/hyperlink" Target="https://ryycrdhlkmzpxwwwwupy.supabase.co/storage/v1/object/public/old_media/384fec35.Path.101458.jpg" TargetMode="External"/><Relationship Id="rId1409" Type="http://schemas.openxmlformats.org/officeDocument/2006/relationships/hyperlink" Target="https://ryycrdhlkmzpxwwwwupy.supabase.co/storage/v1/object/public/old_media/61fa34bc.Path.092956.jpg" TargetMode="External"/><Relationship Id="rId2730" Type="http://schemas.openxmlformats.org/officeDocument/2006/relationships/hyperlink" Target="https://ryycrdhlkmzpxwwwwupy.supabase.co/storage/v1/object/public/old_media/11249518.Path.061523.jpg" TargetMode="External"/><Relationship Id="rId1433" Type="http://schemas.openxmlformats.org/officeDocument/2006/relationships/hyperlink" Target="https://ryycrdhlkmzpxwwwwupy.supabase.co/storage/v1/object/public/old_media/f61eded2.Path.102754.jpg" TargetMode="External"/><Relationship Id="rId2764" Type="http://schemas.openxmlformats.org/officeDocument/2006/relationships/hyperlink" Target="https://ryycrdhlkmzpxwwwwupy.supabase.co/storage/v1/object/public/old_media/3289db28.Path.102312.jpg" TargetMode="External"/><Relationship Id="rId1434" Type="http://schemas.openxmlformats.org/officeDocument/2006/relationships/hyperlink" Target="https://ryycrdhlkmzpxwwwwupy.supabase.co/storage/v1/object/public/old_media/ded2b4fa.Path.102907.jpg" TargetMode="External"/><Relationship Id="rId2765" Type="http://schemas.openxmlformats.org/officeDocument/2006/relationships/hyperlink" Target="https://ryycrdhlkmzpxwwwwupy.supabase.co/storage/v1/object/public/old_media/40c26561.Path.102325.jpg" TargetMode="External"/><Relationship Id="rId1435" Type="http://schemas.openxmlformats.org/officeDocument/2006/relationships/hyperlink" Target="https://ryycrdhlkmzpxwwwwupy.supabase.co/storage/v1/object/public/old_media/3fea185e.Path.102929.jpg" TargetMode="External"/><Relationship Id="rId2766" Type="http://schemas.openxmlformats.org/officeDocument/2006/relationships/hyperlink" Target="https://ryycrdhlkmzpxwwwwupy.supabase.co/storage/v1/object/public/old_media/fffaf6c8.Path.102339.jpg" TargetMode="External"/><Relationship Id="rId1436" Type="http://schemas.openxmlformats.org/officeDocument/2006/relationships/hyperlink" Target="https://ryycrdhlkmzpxwwwwupy.supabase.co/storage/v1/object/public/old_media/4c3cb466.Path.102957.jpg" TargetMode="External"/><Relationship Id="rId2767" Type="http://schemas.openxmlformats.org/officeDocument/2006/relationships/hyperlink" Target="https://ryycrdhlkmzpxwwwwupy.supabase.co/storage/v1/object/public/old_media/d8f94f6f.Path.102351.jpg" TargetMode="External"/><Relationship Id="rId1437" Type="http://schemas.openxmlformats.org/officeDocument/2006/relationships/hyperlink" Target="https://ryycrdhlkmzpxwwwwupy.supabase.co/storage/v1/object/public/old_media/0c9c2173.Path.112646.jpg" TargetMode="External"/><Relationship Id="rId2768" Type="http://schemas.openxmlformats.org/officeDocument/2006/relationships/hyperlink" Target="https://ryycrdhlkmzpxwwwwupy.supabase.co/storage/v1/object/public/old_media/4a0bffec.Path.102404.jpg" TargetMode="External"/><Relationship Id="rId1438" Type="http://schemas.openxmlformats.org/officeDocument/2006/relationships/hyperlink" Target="https://ryycrdhlkmzpxwwwwupy.supabase.co/storage/v1/object/public/old_media/67202eea.Path.112754.jpg" TargetMode="External"/><Relationship Id="rId2769" Type="http://schemas.openxmlformats.org/officeDocument/2006/relationships/hyperlink" Target="https://ryycrdhlkmzpxwwwwupy.supabase.co/storage/v1/object/public/old_media/1a1b90f5.Path.102419.jpg" TargetMode="External"/><Relationship Id="rId1439" Type="http://schemas.openxmlformats.org/officeDocument/2006/relationships/hyperlink" Target="https://ryycrdhlkmzpxwwwwupy.supabase.co/storage/v1/object/public/old_media/07eb5622.Path.112814.jpg" TargetMode="External"/><Relationship Id="rId609" Type="http://schemas.openxmlformats.org/officeDocument/2006/relationships/hyperlink" Target="https://ryycrdhlkmzpxwwwwupy.supabase.co/storage/v1/object/public/old_media/197836f8.Path.094406.jpg" TargetMode="External"/><Relationship Id="rId608" Type="http://schemas.openxmlformats.org/officeDocument/2006/relationships/hyperlink" Target="https://ryycrdhlkmzpxwwwwupy.supabase.co/storage/v1/object/public/old_media/0ee959cd.Path.094350.jpg" TargetMode="External"/><Relationship Id="rId607" Type="http://schemas.openxmlformats.org/officeDocument/2006/relationships/hyperlink" Target="https://ryycrdhlkmzpxwwwwupy.supabase.co/storage/v1/object/public/old_media/40bb349d.Path.094344.jpg" TargetMode="External"/><Relationship Id="rId602" Type="http://schemas.openxmlformats.org/officeDocument/2006/relationships/hyperlink" Target="https://ryycrdhlkmzpxwwwwupy.supabase.co/storage/v1/object/public/old_media/f0439c26.Path.092316.jpg" TargetMode="External"/><Relationship Id="rId601" Type="http://schemas.openxmlformats.org/officeDocument/2006/relationships/hyperlink" Target="https://ryycrdhlkmzpxwwwwupy.supabase.co/storage/v1/object/public/old_media/e186eee2.Path.092310.jpg" TargetMode="External"/><Relationship Id="rId600" Type="http://schemas.openxmlformats.org/officeDocument/2006/relationships/hyperlink" Target="https://ryycrdhlkmzpxwwwwupy.supabase.co/storage/v1/object/public/old_media/91fb463d.Path.091320.jpg" TargetMode="External"/><Relationship Id="rId606" Type="http://schemas.openxmlformats.org/officeDocument/2006/relationships/hyperlink" Target="https://ryycrdhlkmzpxwwwwupy.supabase.co/storage/v1/object/public/old_media/50cd4bc4.Path.094327.jpg" TargetMode="External"/><Relationship Id="rId605" Type="http://schemas.openxmlformats.org/officeDocument/2006/relationships/hyperlink" Target="https://ryycrdhlkmzpxwwwwupy.supabase.co/storage/v1/object/public/old_media/85ea7099.Path.092355.jpg" TargetMode="External"/><Relationship Id="rId604" Type="http://schemas.openxmlformats.org/officeDocument/2006/relationships/hyperlink" Target="https://ryycrdhlkmzpxwwwwupy.supabase.co/storage/v1/object/public/old_media/e466cf98.Path.092349.jpg" TargetMode="External"/><Relationship Id="rId603" Type="http://schemas.openxmlformats.org/officeDocument/2006/relationships/hyperlink" Target="https://ryycrdhlkmzpxwwwwupy.supabase.co/storage/v1/object/public/old_media/3f4cca01.Path.092333.jpg" TargetMode="External"/><Relationship Id="rId2760" Type="http://schemas.openxmlformats.org/officeDocument/2006/relationships/hyperlink" Target="https://ryycrdhlkmzpxwwwwupy.supabase.co/storage/v1/object/public/old_media/56089795.Path.102208.jpg" TargetMode="External"/><Relationship Id="rId1430" Type="http://schemas.openxmlformats.org/officeDocument/2006/relationships/hyperlink" Target="https://ryycrdhlkmzpxwwwwupy.supabase.co/storage/v1/object/public/old_media/502d025b.Path.102617.jpg" TargetMode="External"/><Relationship Id="rId2761" Type="http://schemas.openxmlformats.org/officeDocument/2006/relationships/hyperlink" Target="https://ryycrdhlkmzpxwwwwupy.supabase.co/storage/v1/object/public/old_media/50c010bc.Path.102222.jpg" TargetMode="External"/><Relationship Id="rId1431" Type="http://schemas.openxmlformats.org/officeDocument/2006/relationships/hyperlink" Target="https://ryycrdhlkmzpxwwwwupy.supabase.co/storage/v1/object/public/old_media/5210a0e6.Path.102723.jpg" TargetMode="External"/><Relationship Id="rId2762" Type="http://schemas.openxmlformats.org/officeDocument/2006/relationships/hyperlink" Target="https://ryycrdhlkmzpxwwwwupy.supabase.co/storage/v1/object/public/old_media/08a843ea.Path.102234.jpg" TargetMode="External"/><Relationship Id="rId1432" Type="http://schemas.openxmlformats.org/officeDocument/2006/relationships/hyperlink" Target="https://ryycrdhlkmzpxwwwwupy.supabase.co/storage/v1/object/public/old_media/a6e0a606.Path.102734.jpg" TargetMode="External"/><Relationship Id="rId2763" Type="http://schemas.openxmlformats.org/officeDocument/2006/relationships/hyperlink" Target="https://ryycrdhlkmzpxwwwwupy.supabase.co/storage/v1/object/public/old_media/31dc07c7.Path.102249.jpg" TargetMode="External"/><Relationship Id="rId1422" Type="http://schemas.openxmlformats.org/officeDocument/2006/relationships/hyperlink" Target="https://ryycrdhlkmzpxwwwwupy.supabase.co/storage/v1/object/public/old_media/c3ac7526.Path.111021.jpg" TargetMode="External"/><Relationship Id="rId2753" Type="http://schemas.openxmlformats.org/officeDocument/2006/relationships/hyperlink" Target="https://ryycrdhlkmzpxwwwwupy.supabase.co/storage/v1/object/public/old_media/0103248d.Path.102022.jpg" TargetMode="External"/><Relationship Id="rId1423" Type="http://schemas.openxmlformats.org/officeDocument/2006/relationships/hyperlink" Target="https://ryycrdhlkmzpxwwwwupy.supabase.co/storage/v1/object/public/old_media/5f12c61f.Path.111055.jpg" TargetMode="External"/><Relationship Id="rId2754" Type="http://schemas.openxmlformats.org/officeDocument/2006/relationships/hyperlink" Target="https://ryycrdhlkmzpxwwwwupy.supabase.co/storage/v1/object/public/old_media/3aad3a9d.Path.102037.jpg" TargetMode="External"/><Relationship Id="rId1424" Type="http://schemas.openxmlformats.org/officeDocument/2006/relationships/hyperlink" Target="https://ryycrdhlkmzpxwwwwupy.supabase.co/storage/v1/object/public/old_media/d5d469cf.Path.094423.jpg" TargetMode="External"/><Relationship Id="rId2755" Type="http://schemas.openxmlformats.org/officeDocument/2006/relationships/hyperlink" Target="https://ryycrdhlkmzpxwwwwupy.supabase.co/storage/v1/object/public/old_media/63026410.Path.102047.jpg" TargetMode="External"/><Relationship Id="rId1425" Type="http://schemas.openxmlformats.org/officeDocument/2006/relationships/hyperlink" Target="https://ryycrdhlkmzpxwwwwupy.supabase.co/storage/v1/object/public/old_media/2a7b28a8.Path.101615.jpg" TargetMode="External"/><Relationship Id="rId2756" Type="http://schemas.openxmlformats.org/officeDocument/2006/relationships/hyperlink" Target="https://ryycrdhlkmzpxwwwwupy.supabase.co/storage/v1/object/public/old_media/ef7b1dfd.Path.102114.jpg" TargetMode="External"/><Relationship Id="rId1426" Type="http://schemas.openxmlformats.org/officeDocument/2006/relationships/hyperlink" Target="https://ryycrdhlkmzpxwwwwupy.supabase.co/storage/v1/object/public/old_media/028ce134.Path.101748.jpg" TargetMode="External"/><Relationship Id="rId2757" Type="http://schemas.openxmlformats.org/officeDocument/2006/relationships/hyperlink" Target="https://ryycrdhlkmzpxwwwwupy.supabase.co/storage/v1/object/public/old_media/23347611.Path.102129.jpg" TargetMode="External"/><Relationship Id="rId1427" Type="http://schemas.openxmlformats.org/officeDocument/2006/relationships/hyperlink" Target="https://ryycrdhlkmzpxwwwwupy.supabase.co/storage/v1/object/public/old_media/b54c2d8b.Path.101800.jpg" TargetMode="External"/><Relationship Id="rId2758" Type="http://schemas.openxmlformats.org/officeDocument/2006/relationships/hyperlink" Target="https://ryycrdhlkmzpxwwwwupy.supabase.co/storage/v1/object/public/old_media/90662030.Path.102140.jpg" TargetMode="External"/><Relationship Id="rId1428" Type="http://schemas.openxmlformats.org/officeDocument/2006/relationships/hyperlink" Target="https://ryycrdhlkmzpxwwwwupy.supabase.co/storage/v1/object/public/old_media/337aaedd.Path.101813.jpg" TargetMode="External"/><Relationship Id="rId2759" Type="http://schemas.openxmlformats.org/officeDocument/2006/relationships/hyperlink" Target="https://ryycrdhlkmzpxwwwwupy.supabase.co/storage/v1/object/public/old_media/0f6be718.Path.102154.jpg" TargetMode="External"/><Relationship Id="rId1429" Type="http://schemas.openxmlformats.org/officeDocument/2006/relationships/hyperlink" Target="https://ryycrdhlkmzpxwwwwupy.supabase.co/storage/v1/object/public/old_media/d2a763f6.Path.101833.jpg" TargetMode="External"/><Relationship Id="rId2750" Type="http://schemas.openxmlformats.org/officeDocument/2006/relationships/hyperlink" Target="https://ryycrdhlkmzpxwwwwupy.supabase.co/storage/v1/object/public/old_media/ba207579.Path.101925.jpg" TargetMode="External"/><Relationship Id="rId1420" Type="http://schemas.openxmlformats.org/officeDocument/2006/relationships/hyperlink" Target="https://ryycrdhlkmzpxwwwwupy.supabase.co/storage/v1/object/public/old_media/d9ff444a.Path.110900.jpg" TargetMode="External"/><Relationship Id="rId2751" Type="http://schemas.openxmlformats.org/officeDocument/2006/relationships/hyperlink" Target="https://ryycrdhlkmzpxwwwwupy.supabase.co/storage/v1/object/public/old_media/93df15d1.Path.101948.jpg" TargetMode="External"/><Relationship Id="rId1421" Type="http://schemas.openxmlformats.org/officeDocument/2006/relationships/hyperlink" Target="https://ryycrdhlkmzpxwwwwupy.supabase.co/storage/v1/object/public/old_media/e152ff47.Path.110945.jpg" TargetMode="External"/><Relationship Id="rId2752" Type="http://schemas.openxmlformats.org/officeDocument/2006/relationships/hyperlink" Target="https://ryycrdhlkmzpxwwwwupy.supabase.co/storage/v1/object/public/old_media/22597080.Path.101958.jpg" TargetMode="External"/><Relationship Id="rId3238" Type="http://schemas.openxmlformats.org/officeDocument/2006/relationships/hyperlink" Target="https://ryycrdhlkmzpxwwwwupy.supabase.co/storage/v1/object/public/old_media/ca68d0cc.Path.044022.jpg" TargetMode="External"/><Relationship Id="rId4569" Type="http://schemas.openxmlformats.org/officeDocument/2006/relationships/hyperlink" Target="https://ryycrdhlkmzpxwwwwupy.supabase.co/storage/v1/object/public/old_media/59ed013f.Path.050707.png" TargetMode="External"/><Relationship Id="rId3237" Type="http://schemas.openxmlformats.org/officeDocument/2006/relationships/hyperlink" Target="https://ryycrdhlkmzpxwwwwupy.supabase.co/storage/v1/object/public/old_media/851fc62c.Path.044002.jpg" TargetMode="External"/><Relationship Id="rId4568" Type="http://schemas.openxmlformats.org/officeDocument/2006/relationships/hyperlink" Target="https://ryycrdhlkmzpxwwwwupy.supabase.co/storage/v1/object/public/old_media/a56030fd.Path.050558.jpg" TargetMode="External"/><Relationship Id="rId3239" Type="http://schemas.openxmlformats.org/officeDocument/2006/relationships/hyperlink" Target="https://ryycrdhlkmzpxwwwwupy.supabase.co/storage/v1/object/public/old_media/9a88c416.Path.070628.jpg" TargetMode="External"/><Relationship Id="rId3230" Type="http://schemas.openxmlformats.org/officeDocument/2006/relationships/hyperlink" Target="https://ryycrdhlkmzpxwwwwupy.supabase.co/storage/v1/object/public/old_media/c70ee7c8.Path.110136.jpg" TargetMode="External"/><Relationship Id="rId4561" Type="http://schemas.openxmlformats.org/officeDocument/2006/relationships/hyperlink" Target="https://ryycrdhlkmzpxwwwwupy.supabase.co/storage/v1/object/public/old_media/f86c99e8.Path.120219.jpg" TargetMode="External"/><Relationship Id="rId4560" Type="http://schemas.openxmlformats.org/officeDocument/2006/relationships/hyperlink" Target="https://ryycrdhlkmzpxwwwwupy.supabase.co/storage/v1/object/public/old_media/2af6ac51.Path.115921.jpg" TargetMode="External"/><Relationship Id="rId3232" Type="http://schemas.openxmlformats.org/officeDocument/2006/relationships/hyperlink" Target="https://ryycrdhlkmzpxwwwwupy.supabase.co/storage/v1/object/public/" TargetMode="External"/><Relationship Id="rId4563" Type="http://schemas.openxmlformats.org/officeDocument/2006/relationships/hyperlink" Target="https://ryycrdhlkmzpxwwwwupy.supabase.co/storage/v1/object/public/old_media/75e84e17.Path.121020.jpg" TargetMode="External"/><Relationship Id="rId3231" Type="http://schemas.openxmlformats.org/officeDocument/2006/relationships/hyperlink" Target="https://ryycrdhlkmzpxwwwwupy.supabase.co/storage/v1/object/public/old_media/80cafc94.Path.043905.jpg" TargetMode="External"/><Relationship Id="rId4562" Type="http://schemas.openxmlformats.org/officeDocument/2006/relationships/hyperlink" Target="https://ryycrdhlkmzpxwwwwupy.supabase.co/storage/v1/object/public/old_media/7db23a8a.Path.120619.jpg" TargetMode="External"/><Relationship Id="rId3234" Type="http://schemas.openxmlformats.org/officeDocument/2006/relationships/hyperlink" Target="https://ryycrdhlkmzpxwwwwupy.supabase.co/storage/v1/object/public/old_media/b1dafa83.Path.043934.jpg" TargetMode="External"/><Relationship Id="rId4565" Type="http://schemas.openxmlformats.org/officeDocument/2006/relationships/hyperlink" Target="https://ryycrdhlkmzpxwwwwupy.supabase.co/storage/v1/object/public/old_media/eb1d6a9e.Path.121820.jpg" TargetMode="External"/><Relationship Id="rId3233" Type="http://schemas.openxmlformats.org/officeDocument/2006/relationships/hyperlink" Target="https://ryycrdhlkmzpxwwwwupy.supabase.co/storage/v1/object/public/old_media/249762ee.Path.043925.jpg" TargetMode="External"/><Relationship Id="rId4564" Type="http://schemas.openxmlformats.org/officeDocument/2006/relationships/hyperlink" Target="https://ryycrdhlkmzpxwwwwupy.supabase.co/storage/v1/object/public/old_media/c2b28d9a.Path.121423.jpg" TargetMode="External"/><Relationship Id="rId3236" Type="http://schemas.openxmlformats.org/officeDocument/2006/relationships/hyperlink" Target="https://ryycrdhlkmzpxwwwwupy.supabase.co/storage/v1/object/public/old_media/6ff228c5.Path.043953.jpg" TargetMode="External"/><Relationship Id="rId4567" Type="http://schemas.openxmlformats.org/officeDocument/2006/relationships/hyperlink" Target="https://ryycrdhlkmzpxwwwwupy.supabase.co/storage/v1/object/public/old_media/d79ac0a6.Path.050501.jpg" TargetMode="External"/><Relationship Id="rId3235" Type="http://schemas.openxmlformats.org/officeDocument/2006/relationships/hyperlink" Target="https://ryycrdhlkmzpxwwwwupy.supabase.co/storage/v1/object/public/old_media/163c9cab.Path.043943.jpg" TargetMode="External"/><Relationship Id="rId4566" Type="http://schemas.openxmlformats.org/officeDocument/2006/relationships/hyperlink" Target="https://ryycrdhlkmzpxwwwwupy.supabase.co/storage/v1/object/public/old_media/39525170.Path.050346.jpg" TargetMode="External"/><Relationship Id="rId3227" Type="http://schemas.openxmlformats.org/officeDocument/2006/relationships/hyperlink" Target="https://ryycrdhlkmzpxwwwwupy.supabase.co/storage/v1/object/public/old_media/b6a04829.Path.055608.jpg" TargetMode="External"/><Relationship Id="rId4558" Type="http://schemas.openxmlformats.org/officeDocument/2006/relationships/hyperlink" Target="https://ryycrdhlkmzpxwwwwupy.supabase.co/storage/v1/object/public/old_media/6378cc16.Path.111528.jpg" TargetMode="External"/><Relationship Id="rId3226" Type="http://schemas.openxmlformats.org/officeDocument/2006/relationships/hyperlink" Target="https://ryycrdhlkmzpxwwwwupy.supabase.co/storage/v1/object/public/old_media/2912a160.Path.094415.jpg" TargetMode="External"/><Relationship Id="rId4557" Type="http://schemas.openxmlformats.org/officeDocument/2006/relationships/hyperlink" Target="https://ryycrdhlkmzpxwwwwupy.supabase.co/storage/v1/object/public/old_media/bb87dc33.Path.111129.jpg" TargetMode="External"/><Relationship Id="rId3229" Type="http://schemas.openxmlformats.org/officeDocument/2006/relationships/hyperlink" Target="https://ryycrdhlkmzpxwwwwupy.supabase.co/storage/v1/object/public/old_media/5e29d817.Path.055751.jpg" TargetMode="External"/><Relationship Id="rId3228" Type="http://schemas.openxmlformats.org/officeDocument/2006/relationships/hyperlink" Target="https://ryycrdhlkmzpxwwwwupy.supabase.co/storage/v1/object/public/old_media/d17532fb.Path.055725.jpg" TargetMode="External"/><Relationship Id="rId4559" Type="http://schemas.openxmlformats.org/officeDocument/2006/relationships/hyperlink" Target="https://ryycrdhlkmzpxwwwwupy.supabase.co/storage/v1/object/public/old_media/0aa452dd.Path.115843.jpg" TargetMode="External"/><Relationship Id="rId699" Type="http://schemas.openxmlformats.org/officeDocument/2006/relationships/hyperlink" Target="https://ryycrdhlkmzpxwwwwupy.supabase.co/storage/v1/object/public/old_media/55c87224.Path.065855.jpg" TargetMode="External"/><Relationship Id="rId698" Type="http://schemas.openxmlformats.org/officeDocument/2006/relationships/hyperlink" Target="https://ryycrdhlkmzpxwwwwupy.supabase.co/storage/v1/object/public/old_media/66d3fec9.Path.065849.jpg" TargetMode="External"/><Relationship Id="rId693" Type="http://schemas.openxmlformats.org/officeDocument/2006/relationships/hyperlink" Target="https://ryycrdhlkmzpxwwwwupy.supabase.co/storage/v1/object/public/old_media/645a4fde.Path.060913.jpg" TargetMode="External"/><Relationship Id="rId4550" Type="http://schemas.openxmlformats.org/officeDocument/2006/relationships/hyperlink" Target="https://ryycrdhlkmzpxwwwwupy.supabase.co/storage/v1/object/public/old_media/66ad796f.Path.044437.jpg" TargetMode="External"/><Relationship Id="rId692" Type="http://schemas.openxmlformats.org/officeDocument/2006/relationships/hyperlink" Target="https://ryycrdhlkmzpxwwwwupy.supabase.co/storage/v1/object/public/old_media/76cfd634.Path.060857.jpg" TargetMode="External"/><Relationship Id="rId691" Type="http://schemas.openxmlformats.org/officeDocument/2006/relationships/hyperlink" Target="https://ryycrdhlkmzpxwwwwupy.supabase.co/storage/v1/object/public/old_media/5f18c505.Path.055734.jpg" TargetMode="External"/><Relationship Id="rId3221" Type="http://schemas.openxmlformats.org/officeDocument/2006/relationships/hyperlink" Target="https://ryycrdhlkmzpxwwwwupy.supabase.co/storage/v1/object/public/old_media/77e3fafd.Path.051040.jpg" TargetMode="External"/><Relationship Id="rId4552" Type="http://schemas.openxmlformats.org/officeDocument/2006/relationships/hyperlink" Target="https://ryycrdhlkmzpxwwwwupy.supabase.co/storage/v1/object/public/old_media/123f2d6b.Path.044940.jpg" TargetMode="External"/><Relationship Id="rId690" Type="http://schemas.openxmlformats.org/officeDocument/2006/relationships/hyperlink" Target="https://ryycrdhlkmzpxwwwwupy.supabase.co/storage/v1/object/public/old_media/47f85c67.Path.055727.jpg" TargetMode="External"/><Relationship Id="rId3220" Type="http://schemas.openxmlformats.org/officeDocument/2006/relationships/hyperlink" Target="https://ryycrdhlkmzpxwwwwupy.supabase.co/storage/v1/object/public/old_media/3652010c.Path.051032.jpg" TargetMode="External"/><Relationship Id="rId4551" Type="http://schemas.openxmlformats.org/officeDocument/2006/relationships/hyperlink" Target="https://ryycrdhlkmzpxwwwwupy.supabase.co/storage/v1/object/public/old_media/967ddccf.Path.044848.jpg" TargetMode="External"/><Relationship Id="rId697" Type="http://schemas.openxmlformats.org/officeDocument/2006/relationships/hyperlink" Target="https://ryycrdhlkmzpxwwwwupy.supabase.co/storage/v1/object/public/old_media/282412f2.Path.061011.jpg" TargetMode="External"/><Relationship Id="rId3223" Type="http://schemas.openxmlformats.org/officeDocument/2006/relationships/hyperlink" Target="https://ryycrdhlkmzpxwwwwupy.supabase.co/storage/v1/object/public/old_media/1e7b14fb.Path.094327.jpg" TargetMode="External"/><Relationship Id="rId4554" Type="http://schemas.openxmlformats.org/officeDocument/2006/relationships/hyperlink" Target="https://ryycrdhlkmzpxwwwwupy.supabase.co/storage/v1/object/public/old_media/89f53307.Path.110555.jpg" TargetMode="External"/><Relationship Id="rId696" Type="http://schemas.openxmlformats.org/officeDocument/2006/relationships/hyperlink" Target="https://ryycrdhlkmzpxwwwwupy.supabase.co/storage/v1/object/public/old_media/0e51bf2f.Path.060953.jpg" TargetMode="External"/><Relationship Id="rId3222" Type="http://schemas.openxmlformats.org/officeDocument/2006/relationships/hyperlink" Target="https://ryycrdhlkmzpxwwwwupy.supabase.co/storage/v1/object/public/old_media/495a410b.Path.111011.jpg" TargetMode="External"/><Relationship Id="rId4553" Type="http://schemas.openxmlformats.org/officeDocument/2006/relationships/hyperlink" Target="https://ryycrdhlkmzpxwwwwupy.supabase.co/storage/v1/object/public/old_media/735356ce.Path.110522.jpg" TargetMode="External"/><Relationship Id="rId695" Type="http://schemas.openxmlformats.org/officeDocument/2006/relationships/hyperlink" Target="https://ryycrdhlkmzpxwwwwupy.supabase.co/storage/v1/object/public/old_media/e04eb404.Path.060936.jpg" TargetMode="External"/><Relationship Id="rId3225" Type="http://schemas.openxmlformats.org/officeDocument/2006/relationships/hyperlink" Target="https://ryycrdhlkmzpxwwwwupy.supabase.co/storage/v1/object/public/old_media/e3042a2f.Path.094354.jpg" TargetMode="External"/><Relationship Id="rId4556" Type="http://schemas.openxmlformats.org/officeDocument/2006/relationships/hyperlink" Target="https://ryycrdhlkmzpxwwwwupy.supabase.co/storage/v1/object/public/old_media/751c3092.Path.110701.jpg" TargetMode="External"/><Relationship Id="rId694" Type="http://schemas.openxmlformats.org/officeDocument/2006/relationships/hyperlink" Target="https://ryycrdhlkmzpxwwwwupy.supabase.co/storage/v1/object/public/old_media/3e92b6d6.Path.060930.jpg" TargetMode="External"/><Relationship Id="rId3224" Type="http://schemas.openxmlformats.org/officeDocument/2006/relationships/hyperlink" Target="https://ryycrdhlkmzpxwwwwupy.supabase.co/storage/v1/object/public/old_media/596d621f.Path.094338.jpg" TargetMode="External"/><Relationship Id="rId4555" Type="http://schemas.openxmlformats.org/officeDocument/2006/relationships/hyperlink" Target="https://ryycrdhlkmzpxwwwwupy.supabase.co/storage/v1/object/public/old_media/29f73f0a.Path.110630.jpg" TargetMode="External"/><Relationship Id="rId3259" Type="http://schemas.openxmlformats.org/officeDocument/2006/relationships/hyperlink" Target="https://ryycrdhlkmzpxwwwwupy.supabase.co/storage/v1/object/public/old_media/afd45d17.Path.110521.jpg" TargetMode="External"/><Relationship Id="rId3250" Type="http://schemas.openxmlformats.org/officeDocument/2006/relationships/hyperlink" Target="https://ryycrdhlkmzpxwwwwupy.supabase.co/storage/v1/object/public/old_media/1ab25351.Path.070819.jpg" TargetMode="External"/><Relationship Id="rId4581" Type="http://schemas.openxmlformats.org/officeDocument/2006/relationships/hyperlink" Target="https://ryycrdhlkmzpxwwwwupy.supabase.co/storage/v1/object/public/old_media/c62ba392.Path.073721.jpg" TargetMode="External"/><Relationship Id="rId4580" Type="http://schemas.openxmlformats.org/officeDocument/2006/relationships/hyperlink" Target="https://ryycrdhlkmzpxwwwwupy.supabase.co/storage/v1/object/public/old_media/553a6372.Path.073648.jpg" TargetMode="External"/><Relationship Id="rId3252" Type="http://schemas.openxmlformats.org/officeDocument/2006/relationships/hyperlink" Target="https://ryycrdhlkmzpxwwwwupy.supabase.co/storage/v1/object/public/old_media/62593f07.Path.070846.jpg" TargetMode="External"/><Relationship Id="rId4583" Type="http://schemas.openxmlformats.org/officeDocument/2006/relationships/hyperlink" Target="https://ryycrdhlkmzpxwwwwupy.supabase.co/storage/v1/object/public/old_media/8e4a359f.Path.073850.png" TargetMode="External"/><Relationship Id="rId3251" Type="http://schemas.openxmlformats.org/officeDocument/2006/relationships/hyperlink" Target="https://ryycrdhlkmzpxwwwwupy.supabase.co/storage/v1/object/public/old_media/90774792.Path.070834.jpg" TargetMode="External"/><Relationship Id="rId4582" Type="http://schemas.openxmlformats.org/officeDocument/2006/relationships/hyperlink" Target="https://ryycrdhlkmzpxwwwwupy.supabase.co/storage/v1/object/public/old_media/55e0367f.Path.073753.jpg" TargetMode="External"/><Relationship Id="rId3254" Type="http://schemas.openxmlformats.org/officeDocument/2006/relationships/hyperlink" Target="https://ryycrdhlkmzpxwwwwupy.supabase.co/storage/v1/object/public/old_media/bf201323.Path.065722.jpg" TargetMode="External"/><Relationship Id="rId4585" Type="http://schemas.openxmlformats.org/officeDocument/2006/relationships/hyperlink" Target="https://ryycrdhlkmzpxwwwwupy.supabase.co/storage/v1/object/public/old_media/e76d5991.Path.100309.avif" TargetMode="External"/><Relationship Id="rId3253" Type="http://schemas.openxmlformats.org/officeDocument/2006/relationships/hyperlink" Target="https://ryycrdhlkmzpxwwwwupy.supabase.co/storage/v1/object/public/old_media/c1c2f129.Path.065013.jpg" TargetMode="External"/><Relationship Id="rId4584" Type="http://schemas.openxmlformats.org/officeDocument/2006/relationships/hyperlink" Target="https://ryycrdhlkmzpxwwwwupy.supabase.co/storage/v1/object/public/old_media/4cc8bce6.Path.073939.jpg" TargetMode="External"/><Relationship Id="rId3256" Type="http://schemas.openxmlformats.org/officeDocument/2006/relationships/hyperlink" Target="https://ryycrdhlkmzpxwwwwupy.supabase.co/storage/v1/object/public/old_media/c25c2479.Path.110232.jpg" TargetMode="External"/><Relationship Id="rId4587" Type="http://schemas.openxmlformats.org/officeDocument/2006/relationships/hyperlink" Target="https://ryycrdhlkmzpxwwwwupy.supabase.co/storage/v1/object/public/old_media/b6165756.Path.100406.avif" TargetMode="External"/><Relationship Id="rId3255" Type="http://schemas.openxmlformats.org/officeDocument/2006/relationships/hyperlink" Target="https://ryycrdhlkmzpxwwwwupy.supabase.co/storage/v1/object/public/old_media/7e08eda2.Path.110112.jpg" TargetMode="External"/><Relationship Id="rId4586" Type="http://schemas.openxmlformats.org/officeDocument/2006/relationships/hyperlink" Target="https://ryycrdhlkmzpxwwwwupy.supabase.co/storage/v1/object/public/old_media/ade09625.Path.100338.avif" TargetMode="External"/><Relationship Id="rId3258" Type="http://schemas.openxmlformats.org/officeDocument/2006/relationships/hyperlink" Target="https://ryycrdhlkmzpxwwwwupy.supabase.co/storage/v1/object/public/old_media/80c52a46.Path.110358.jpg" TargetMode="External"/><Relationship Id="rId4589" Type="http://schemas.openxmlformats.org/officeDocument/2006/relationships/hyperlink" Target="https://ryycrdhlkmzpxwwwwupy.supabase.co/storage/v1/object/public/old_media/337df16b.Path.100503.jpg" TargetMode="External"/><Relationship Id="rId3257" Type="http://schemas.openxmlformats.org/officeDocument/2006/relationships/hyperlink" Target="https://ryycrdhlkmzpxwwwwupy.supabase.co/storage/v1/object/public/old_media/0edcf40f.Path.053001.jpg" TargetMode="External"/><Relationship Id="rId4588" Type="http://schemas.openxmlformats.org/officeDocument/2006/relationships/hyperlink" Target="https://ryycrdhlkmzpxwwwwupy.supabase.co/storage/v1/object/public/old_media/13f42d94.Path.100432.jpg" TargetMode="External"/><Relationship Id="rId3249" Type="http://schemas.openxmlformats.org/officeDocument/2006/relationships/hyperlink" Target="https://ryycrdhlkmzpxwwwwupy.supabase.co/storage/v1/object/public/old_media/a5335e5c.Path.070810.jpg" TargetMode="External"/><Relationship Id="rId3248" Type="http://schemas.openxmlformats.org/officeDocument/2006/relationships/hyperlink" Target="https://ryycrdhlkmzpxwwwwupy.supabase.co/storage/v1/object/public/old_media/25406fa2.Path.070801.jpg" TargetMode="External"/><Relationship Id="rId4579" Type="http://schemas.openxmlformats.org/officeDocument/2006/relationships/hyperlink" Target="https://ryycrdhlkmzpxwwwwupy.supabase.co/storage/v1/object/public/old_media/c3b1ed10.Path.062358.png" TargetMode="External"/><Relationship Id="rId4570" Type="http://schemas.openxmlformats.org/officeDocument/2006/relationships/hyperlink" Target="https://ryycrdhlkmzpxwwwwupy.supabase.co/storage/v1/object/public/old_media/b64e2573.Path.051129.png" TargetMode="External"/><Relationship Id="rId3241" Type="http://schemas.openxmlformats.org/officeDocument/2006/relationships/hyperlink" Target="https://ryycrdhlkmzpxwwwwupy.supabase.co/storage/v1/object/public/old_media/c3ead5b3.Path.070649.jpg" TargetMode="External"/><Relationship Id="rId4572" Type="http://schemas.openxmlformats.org/officeDocument/2006/relationships/hyperlink" Target="https://ryycrdhlkmzpxwwwwupy.supabase.co/storage/v1/object/public/old_media/15c82254.Path.051610.png" TargetMode="External"/><Relationship Id="rId3240" Type="http://schemas.openxmlformats.org/officeDocument/2006/relationships/hyperlink" Target="https://ryycrdhlkmzpxwwwwupy.supabase.co/storage/v1/object/public/old_media/23fc4ef4.Path.070640.jpg" TargetMode="External"/><Relationship Id="rId4571" Type="http://schemas.openxmlformats.org/officeDocument/2006/relationships/hyperlink" Target="https://ryycrdhlkmzpxwwwwupy.supabase.co/storage/v1/object/public/old_media/fb3c1883.Path.051533.jpg" TargetMode="External"/><Relationship Id="rId3243" Type="http://schemas.openxmlformats.org/officeDocument/2006/relationships/hyperlink" Target="https://ryycrdhlkmzpxwwwwupy.supabase.co/storage/v1/object/public/old_media/9b3a8123.Path.070709.webp" TargetMode="External"/><Relationship Id="rId4574" Type="http://schemas.openxmlformats.org/officeDocument/2006/relationships/hyperlink" Target="https://ryycrdhlkmzpxwwwwupy.supabase.co/storage/v1/object/public/old_media/0bd7e8ef.Path.062134.jpg" TargetMode="External"/><Relationship Id="rId3242" Type="http://schemas.openxmlformats.org/officeDocument/2006/relationships/hyperlink" Target="https://ryycrdhlkmzpxwwwwupy.supabase.co/storage/v1/object/public/old_media/cc6b7fb1.Path.070659.jpg" TargetMode="External"/><Relationship Id="rId4573" Type="http://schemas.openxmlformats.org/officeDocument/2006/relationships/hyperlink" Target="https://ryycrdhlkmzpxwwwwupy.supabase.co/storage/v1/object/public/old_media/38dc130c.Path.051650.png" TargetMode="External"/><Relationship Id="rId3245" Type="http://schemas.openxmlformats.org/officeDocument/2006/relationships/hyperlink" Target="https://ryycrdhlkmzpxwwwwupy.supabase.co/storage/v1/object/public/old_media/d8638e13.Path.070728.jpg" TargetMode="External"/><Relationship Id="rId4576" Type="http://schemas.openxmlformats.org/officeDocument/2006/relationships/hyperlink" Target="https://ryycrdhlkmzpxwwwwupy.supabase.co/storage/v1/object/public/old_media/9e1679d5.Path.062234.jpg" TargetMode="External"/><Relationship Id="rId3244" Type="http://schemas.openxmlformats.org/officeDocument/2006/relationships/hyperlink" Target="https://ryycrdhlkmzpxwwwwupy.supabase.co/storage/v1/object/public/old_media/dd2ed38a.Path.070719.jpg" TargetMode="External"/><Relationship Id="rId4575" Type="http://schemas.openxmlformats.org/officeDocument/2006/relationships/hyperlink" Target="https://ryycrdhlkmzpxwwwwupy.supabase.co/storage/v1/object/public/old_media/186c05b6.Path.062205.jpg" TargetMode="External"/><Relationship Id="rId3247" Type="http://schemas.openxmlformats.org/officeDocument/2006/relationships/hyperlink" Target="https://ryycrdhlkmzpxwwwwupy.supabase.co/storage/v1/object/public/old_media/1212463a.Path.070749.jpg" TargetMode="External"/><Relationship Id="rId4578" Type="http://schemas.openxmlformats.org/officeDocument/2006/relationships/hyperlink" Target="https://ryycrdhlkmzpxwwwwupy.supabase.co/storage/v1/object/public/old_media/9d06fb51.Path.062333.jpg" TargetMode="External"/><Relationship Id="rId3246" Type="http://schemas.openxmlformats.org/officeDocument/2006/relationships/hyperlink" Target="https://ryycrdhlkmzpxwwwwupy.supabase.co/storage/v1/object/public/old_media/b226c241.Path.070738.jpg" TargetMode="External"/><Relationship Id="rId4577" Type="http://schemas.openxmlformats.org/officeDocument/2006/relationships/hyperlink" Target="https://ryycrdhlkmzpxwwwwupy.supabase.co/storage/v1/object/public/old_media/ba84a0ed.Path.062307.jpg" TargetMode="External"/><Relationship Id="rId1499" Type="http://schemas.openxmlformats.org/officeDocument/2006/relationships/hyperlink" Target="https://ryycrdhlkmzpxwwwwupy.supabase.co/storage/v1/object/public/old_media/95b1d69d.Path.044910.jpg" TargetMode="External"/><Relationship Id="rId4525" Type="http://schemas.openxmlformats.org/officeDocument/2006/relationships/hyperlink" Target="https://ryycrdhlkmzpxwwwwupy.supabase.co/storage/v1/object/public/old_media/9052e94d.Path.053354.avif" TargetMode="External"/><Relationship Id="rId4524" Type="http://schemas.openxmlformats.org/officeDocument/2006/relationships/hyperlink" Target="https://ryycrdhlkmzpxwwwwupy.supabase.co/storage/v1/object/public/old_media/d47cae81.Path.053323.avif" TargetMode="External"/><Relationship Id="rId4527" Type="http://schemas.openxmlformats.org/officeDocument/2006/relationships/hyperlink" Target="https://ryycrdhlkmzpxwwwwupy.supabase.co/storage/v1/object/public/old_media/cc04c969.Path.053839.avif" TargetMode="External"/><Relationship Id="rId4526" Type="http://schemas.openxmlformats.org/officeDocument/2006/relationships/hyperlink" Target="https://ryycrdhlkmzpxwwwwupy.supabase.co/storage/v1/object/public/old_media/c26eae62.Path.053804.avif" TargetMode="External"/><Relationship Id="rId4529" Type="http://schemas.openxmlformats.org/officeDocument/2006/relationships/hyperlink" Target="https://ryycrdhlkmzpxwwwwupy.supabase.co/storage/v1/object/public/old_media/bb28ad9d.Path.105734.jpg" TargetMode="External"/><Relationship Id="rId4528" Type="http://schemas.openxmlformats.org/officeDocument/2006/relationships/hyperlink" Target="https://ryycrdhlkmzpxwwwwupy.supabase.co/storage/v1/object/public/old_media/bc204577.Path.105658.jpg" TargetMode="External"/><Relationship Id="rId668" Type="http://schemas.openxmlformats.org/officeDocument/2006/relationships/hyperlink" Target="https://ryycrdhlkmzpxwwwwupy.supabase.co/storage/v1/object/public/old_media/bec56aa6.Path.060425.jpg" TargetMode="External"/><Relationship Id="rId667" Type="http://schemas.openxmlformats.org/officeDocument/2006/relationships/hyperlink" Target="https://ryycrdhlkmzpxwwwwupy.supabase.co/storage/v1/object/public/old_media/093a8ac7.Path.060408.jpg" TargetMode="External"/><Relationship Id="rId666" Type="http://schemas.openxmlformats.org/officeDocument/2006/relationships/hyperlink" Target="https://ryycrdhlkmzpxwwwwupy.supabase.co/storage/v1/object/public/old_media/d28ac2be.Path.060357.jpg" TargetMode="External"/><Relationship Id="rId665" Type="http://schemas.openxmlformats.org/officeDocument/2006/relationships/hyperlink" Target="https://ryycrdhlkmzpxwwwwupy.supabase.co/storage/v1/object/public/old_media/a2172bba.Path.054956.jpg" TargetMode="External"/><Relationship Id="rId669" Type="http://schemas.openxmlformats.org/officeDocument/2006/relationships/hyperlink" Target="https://ryycrdhlkmzpxwwwwupy.supabase.co/storage/v1/object/public/old_media/b9504d70.Path.060431.jpg" TargetMode="External"/><Relationship Id="rId1490" Type="http://schemas.openxmlformats.org/officeDocument/2006/relationships/hyperlink" Target="https://ryycrdhlkmzpxwwwwupy.supabase.co/storage/v1/object/public/old_media/bdfa7b2c.Path.055914.jpg" TargetMode="External"/><Relationship Id="rId660" Type="http://schemas.openxmlformats.org/officeDocument/2006/relationships/hyperlink" Target="https://ryycrdhlkmzpxwwwwupy.supabase.co/storage/v1/object/public/old_media/c8e1297d.Path.060343.jpg" TargetMode="External"/><Relationship Id="rId1491" Type="http://schemas.openxmlformats.org/officeDocument/2006/relationships/hyperlink" Target="https://ryycrdhlkmzpxwwwwupy.supabase.co/storage/v1/object/public/old_media/3f4299f5.Path.055931.jpg" TargetMode="External"/><Relationship Id="rId1492" Type="http://schemas.openxmlformats.org/officeDocument/2006/relationships/hyperlink" Target="https://ryycrdhlkmzpxwwwwupy.supabase.co/storage/v1/object/public/old_media/67935dc9.Path.055943.jpg" TargetMode="External"/><Relationship Id="rId1493" Type="http://schemas.openxmlformats.org/officeDocument/2006/relationships/hyperlink" Target="https://ryycrdhlkmzpxwwwwupy.supabase.co/storage/v1/object/public/old_media/01df3b7c.Path.055957.jpg" TargetMode="External"/><Relationship Id="rId1494" Type="http://schemas.openxmlformats.org/officeDocument/2006/relationships/hyperlink" Target="https://ryycrdhlkmzpxwwwwupy.supabase.co/storage/v1/object/public/old_media/5c7d78e4.Path.060013.jpg" TargetMode="External"/><Relationship Id="rId664" Type="http://schemas.openxmlformats.org/officeDocument/2006/relationships/hyperlink" Target="https://ryycrdhlkmzpxwwwwupy.supabase.co/storage/v1/object/public/old_media/b16e9fac.Path.054938.jpg" TargetMode="External"/><Relationship Id="rId1495" Type="http://schemas.openxmlformats.org/officeDocument/2006/relationships/hyperlink" Target="https://ryycrdhlkmzpxwwwwupy.supabase.co/storage/v1/object/public/old_media/88b4d980.Path.044754.jpg" TargetMode="External"/><Relationship Id="rId4521" Type="http://schemas.openxmlformats.org/officeDocument/2006/relationships/hyperlink" Target="https://ryycrdhlkmzpxwwwwupy.supabase.co/storage/v1/object/public/old_media/663cd01f.Path.053142.avif" TargetMode="External"/><Relationship Id="rId663" Type="http://schemas.openxmlformats.org/officeDocument/2006/relationships/hyperlink" Target="https://ryycrdhlkmzpxwwwwupy.supabase.co/storage/v1/object/public/old_media/254060db.Path.054931.jpg" TargetMode="External"/><Relationship Id="rId1496" Type="http://schemas.openxmlformats.org/officeDocument/2006/relationships/hyperlink" Target="https://ryycrdhlkmzpxwwwwupy.supabase.co/storage/v1/object/public/old_media/0926ae9c.Path.044815.jpg" TargetMode="External"/><Relationship Id="rId4520" Type="http://schemas.openxmlformats.org/officeDocument/2006/relationships/hyperlink" Target="https://ryycrdhlkmzpxwwwwupy.supabase.co/storage/v1/object/public/old_media/8b7d5ccc.Path.053038.avif" TargetMode="External"/><Relationship Id="rId662" Type="http://schemas.openxmlformats.org/officeDocument/2006/relationships/hyperlink" Target="https://ryycrdhlkmzpxwwwwupy.supabase.co/storage/v1/object/public/old_media/b12efb2c.Path.053828.jpg" TargetMode="External"/><Relationship Id="rId1497" Type="http://schemas.openxmlformats.org/officeDocument/2006/relationships/hyperlink" Target="https://ryycrdhlkmzpxwwwwupy.supabase.co/storage/v1/object/public/old_media/56b49393.Path.044830.jpg" TargetMode="External"/><Relationship Id="rId4523" Type="http://schemas.openxmlformats.org/officeDocument/2006/relationships/hyperlink" Target="https://ryycrdhlkmzpxwwwwupy.supabase.co/storage/v1/object/public/old_media/11b19e05.Path.053252.avif" TargetMode="External"/><Relationship Id="rId661" Type="http://schemas.openxmlformats.org/officeDocument/2006/relationships/hyperlink" Target="https://ryycrdhlkmzpxwwwwupy.supabase.co/storage/v1/object/public/old_media/a112239b.Path.060446.jpg" TargetMode="External"/><Relationship Id="rId1498" Type="http://schemas.openxmlformats.org/officeDocument/2006/relationships/hyperlink" Target="https://ryycrdhlkmzpxwwwwupy.supabase.co/storage/v1/object/public/old_media/875d92cb.Path.044849.jpg" TargetMode="External"/><Relationship Id="rId4522" Type="http://schemas.openxmlformats.org/officeDocument/2006/relationships/hyperlink" Target="https://ryycrdhlkmzpxwwwwupy.supabase.co/storage/v1/object/public/old_media/08d42d80.Path.053220.avif" TargetMode="External"/><Relationship Id="rId1488" Type="http://schemas.openxmlformats.org/officeDocument/2006/relationships/hyperlink" Target="https://ryycrdhlkmzpxwwwwupy.supabase.co/storage/v1/object/public/old_media/ccd9eec9.Path.055854.jpg" TargetMode="External"/><Relationship Id="rId4514" Type="http://schemas.openxmlformats.org/officeDocument/2006/relationships/hyperlink" Target="https://ryycrdhlkmzpxwwwwupy.supabase.co/storage/v1/object/public/old_media/00069eb6.Path.075603.avif" TargetMode="External"/><Relationship Id="rId1489" Type="http://schemas.openxmlformats.org/officeDocument/2006/relationships/hyperlink" Target="https://ryycrdhlkmzpxwwwwupy.supabase.co/storage/v1/object/public/old_media/8955c03c.Path.055905.jpg" TargetMode="External"/><Relationship Id="rId4513" Type="http://schemas.openxmlformats.org/officeDocument/2006/relationships/hyperlink" Target="https://ryycrdhlkmzpxwwwwupy.supabase.co/storage/v1/object/public/old_media/45b361f1.Path.075532.avif" TargetMode="External"/><Relationship Id="rId4516" Type="http://schemas.openxmlformats.org/officeDocument/2006/relationships/hyperlink" Target="https://ryycrdhlkmzpxwwwwupy.supabase.co/storage/v1/object/public/old_media/a9713cfb.Path.051427.jpg" TargetMode="External"/><Relationship Id="rId4515" Type="http://schemas.openxmlformats.org/officeDocument/2006/relationships/hyperlink" Target="https://ryycrdhlkmzpxwwwwupy.supabase.co/storage/v1/object/public/old_media/4c8e90dc.Path.075637.avif" TargetMode="External"/><Relationship Id="rId4518" Type="http://schemas.openxmlformats.org/officeDocument/2006/relationships/hyperlink" Target="https://ryycrdhlkmzpxwwwwupy.supabase.co/storage/v1/object/public/old_media/ef7b323d.Path.051528.jpg" TargetMode="External"/><Relationship Id="rId4517" Type="http://schemas.openxmlformats.org/officeDocument/2006/relationships/hyperlink" Target="https://ryycrdhlkmzpxwwwwupy.supabase.co/storage/v1/object/public/old_media/d8f6301b.Path.051456.jpg" TargetMode="External"/><Relationship Id="rId4519" Type="http://schemas.openxmlformats.org/officeDocument/2006/relationships/hyperlink" Target="https://ryycrdhlkmzpxwwwwupy.supabase.co/storage/v1/object/public/old_media/101d79d9.Path.051916.jpg" TargetMode="External"/><Relationship Id="rId657" Type="http://schemas.openxmlformats.org/officeDocument/2006/relationships/hyperlink" Target="https://ryycrdhlkmzpxwwwwupy.supabase.co/storage/v1/object/public/old_media/e838c9be.Path.053101.jpg" TargetMode="External"/><Relationship Id="rId656" Type="http://schemas.openxmlformats.org/officeDocument/2006/relationships/hyperlink" Target="https://ryycrdhlkmzpxwwwwupy.supabase.co/storage/v1/object/public/old_media/b9d170ab.Path.053045.jpg" TargetMode="External"/><Relationship Id="rId655" Type="http://schemas.openxmlformats.org/officeDocument/2006/relationships/hyperlink" Target="https://ryycrdhlkmzpxwwwwupy.supabase.co/storage/v1/object/public/old_media/ea0beb40.Path.053029.jpg" TargetMode="External"/><Relationship Id="rId654" Type="http://schemas.openxmlformats.org/officeDocument/2006/relationships/hyperlink" Target="https://ryycrdhlkmzpxwwwwupy.supabase.co/storage/v1/object/public/old_media/399e06db.Path.053023.jpg" TargetMode="External"/><Relationship Id="rId659" Type="http://schemas.openxmlformats.org/officeDocument/2006/relationships/hyperlink" Target="https://ryycrdhlkmzpxwwwwupy.supabase.co/storage/v1/object/public/old_media/ae6ce11c.Path.060314.jpg" TargetMode="External"/><Relationship Id="rId658" Type="http://schemas.openxmlformats.org/officeDocument/2006/relationships/hyperlink" Target="https://ryycrdhlkmzpxwwwwupy.supabase.co/storage/v1/object/public/old_media/9a36ac78.Path.053106.jpg" TargetMode="External"/><Relationship Id="rId1480" Type="http://schemas.openxmlformats.org/officeDocument/2006/relationships/hyperlink" Target="https://ryycrdhlkmzpxwwwwupy.supabase.co/storage/v1/object/public/old_media/6f6f1b60.Path.074005.jpg" TargetMode="External"/><Relationship Id="rId1481" Type="http://schemas.openxmlformats.org/officeDocument/2006/relationships/hyperlink" Target="https://ryycrdhlkmzpxwwwwupy.supabase.co/storage/v1/object/public/old_media/4d9dd7b0.Path.074025.jpg" TargetMode="External"/><Relationship Id="rId1482" Type="http://schemas.openxmlformats.org/officeDocument/2006/relationships/hyperlink" Target="https://ryycrdhlkmzpxwwwwupy.supabase.co/storage/v1/object/public/old_media/6b3ce68b.Path.074037.jpg" TargetMode="External"/><Relationship Id="rId1483" Type="http://schemas.openxmlformats.org/officeDocument/2006/relationships/hyperlink" Target="https://ryycrdhlkmzpxwwwwupy.supabase.co/storage/v1/object/public/old_media/f79466f4.Path.074051.jpg" TargetMode="External"/><Relationship Id="rId653" Type="http://schemas.openxmlformats.org/officeDocument/2006/relationships/hyperlink" Target="https://ryycrdhlkmzpxwwwwupy.supabase.co/storage/v1/object/public/old_media/7983408b.Path.053007.jpg" TargetMode="External"/><Relationship Id="rId1484" Type="http://schemas.openxmlformats.org/officeDocument/2006/relationships/hyperlink" Target="https://ryycrdhlkmzpxwwwwupy.supabase.co/storage/v1/object/public/old_media/e729dd59.Path.074102.jpg" TargetMode="External"/><Relationship Id="rId4510" Type="http://schemas.openxmlformats.org/officeDocument/2006/relationships/hyperlink" Target="https://ryycrdhlkmzpxwwwwupy.supabase.co/storage/v1/object/public/old_media/f9627c19.Path.075407.avif" TargetMode="External"/><Relationship Id="rId652" Type="http://schemas.openxmlformats.org/officeDocument/2006/relationships/hyperlink" Target="https://ryycrdhlkmzpxwwwwupy.supabase.co/storage/v1/object/public/old_media/6e83c3bd.Path.052950.jpg" TargetMode="External"/><Relationship Id="rId1485" Type="http://schemas.openxmlformats.org/officeDocument/2006/relationships/hyperlink" Target="https://ryycrdhlkmzpxwwwwupy.supabase.co/storage/v1/object/public/old_media/a69f65c2.Path.074118.jpg" TargetMode="External"/><Relationship Id="rId651" Type="http://schemas.openxmlformats.org/officeDocument/2006/relationships/hyperlink" Target="https://ryycrdhlkmzpxwwwwupy.supabase.co/storage/v1/object/public/old_media/c8157f1d.Path.052943.jpg" TargetMode="External"/><Relationship Id="rId1486" Type="http://schemas.openxmlformats.org/officeDocument/2006/relationships/hyperlink" Target="https://ryycrdhlkmzpxwwwwupy.supabase.co/storage/v1/object/public/old_media/b3b92d31.Path.074133.jpg" TargetMode="External"/><Relationship Id="rId4512" Type="http://schemas.openxmlformats.org/officeDocument/2006/relationships/hyperlink" Target="https://ryycrdhlkmzpxwwwwupy.supabase.co/storage/v1/object/public/old_media/b1c26c85.Path.075503.avif" TargetMode="External"/><Relationship Id="rId650" Type="http://schemas.openxmlformats.org/officeDocument/2006/relationships/hyperlink" Target="https://ryycrdhlkmzpxwwwwupy.supabase.co/storage/v1/object/public/old_media/e60d1728.Path.120952.webp" TargetMode="External"/><Relationship Id="rId1487" Type="http://schemas.openxmlformats.org/officeDocument/2006/relationships/hyperlink" Target="https://ryycrdhlkmzpxwwwwupy.supabase.co/storage/v1/object/public/old_media/2df06263.Path.114044.jpg" TargetMode="External"/><Relationship Id="rId4511" Type="http://schemas.openxmlformats.org/officeDocument/2006/relationships/hyperlink" Target="https://ryycrdhlkmzpxwwwwupy.supabase.co/storage/v1/object/public/old_media/e65009cc.Path.075434.avif" TargetMode="External"/><Relationship Id="rId3216" Type="http://schemas.openxmlformats.org/officeDocument/2006/relationships/hyperlink" Target="https://ryycrdhlkmzpxwwwwupy.supabase.co/storage/v1/object/public/old_media/8dc27a13.Path.120211.jpg" TargetMode="External"/><Relationship Id="rId4547" Type="http://schemas.openxmlformats.org/officeDocument/2006/relationships/hyperlink" Target="https://ryycrdhlkmzpxwwwwupy.supabase.co/storage/v1/object/public/old_media/c945bf8f.Path.044200.jpg" TargetMode="External"/><Relationship Id="rId3215" Type="http://schemas.openxmlformats.org/officeDocument/2006/relationships/hyperlink" Target="https://ryycrdhlkmzpxwwwwupy.supabase.co/storage/v1/object/public/old_media/1693f6a4.Path.120203.jpg" TargetMode="External"/><Relationship Id="rId4546" Type="http://schemas.openxmlformats.org/officeDocument/2006/relationships/hyperlink" Target="https://ryycrdhlkmzpxwwwwupy.supabase.co/storage/v1/object/public/old_media/7569b90c.Path.111358.jpg" TargetMode="External"/><Relationship Id="rId3218" Type="http://schemas.openxmlformats.org/officeDocument/2006/relationships/hyperlink" Target="https://ryycrdhlkmzpxwwwwupy.supabase.co/storage/v1/object/public/old_media/b9a39ba3.Path.050708.jpg" TargetMode="External"/><Relationship Id="rId4549" Type="http://schemas.openxmlformats.org/officeDocument/2006/relationships/hyperlink" Target="https://ryycrdhlkmzpxwwwwupy.supabase.co/storage/v1/object/public/old_media/107c52f4.Path.044344.jpg" TargetMode="External"/><Relationship Id="rId3217" Type="http://schemas.openxmlformats.org/officeDocument/2006/relationships/hyperlink" Target="https://ryycrdhlkmzpxwwwwupy.supabase.co/storage/v1/object/public/old_media/3cf5bba6.Path.120223.jpg" TargetMode="External"/><Relationship Id="rId4548" Type="http://schemas.openxmlformats.org/officeDocument/2006/relationships/hyperlink" Target="https://ryycrdhlkmzpxwwwwupy.supabase.co/storage/v1/object/public/old_media/840669dc.Path.044249.jpg" TargetMode="External"/><Relationship Id="rId3219" Type="http://schemas.openxmlformats.org/officeDocument/2006/relationships/hyperlink" Target="https://ryycrdhlkmzpxwwwwupy.supabase.co/storage/v1/object/public/old_media/f054fed6.Path.051023.jpg" TargetMode="External"/><Relationship Id="rId689" Type="http://schemas.openxmlformats.org/officeDocument/2006/relationships/hyperlink" Target="https://ryycrdhlkmzpxwwwwupy.supabase.co/storage/v1/object/public/old_media/f0bb6beb.Path.055711.jpg" TargetMode="External"/><Relationship Id="rId688" Type="http://schemas.openxmlformats.org/officeDocument/2006/relationships/hyperlink" Target="https://ryycrdhlkmzpxwwwwupy.supabase.co/storage/v1/object/public/old_media/58bc1ba6.Path.055705.jpg" TargetMode="External"/><Relationship Id="rId687" Type="http://schemas.openxmlformats.org/officeDocument/2006/relationships/hyperlink" Target="https://ryycrdhlkmzpxwwwwupy.supabase.co/storage/v1/object/public/old_media/3fe83411.Path.055650.jpg" TargetMode="External"/><Relationship Id="rId682" Type="http://schemas.openxmlformats.org/officeDocument/2006/relationships/hyperlink" Target="https://ryycrdhlkmzpxwwwwupy.supabase.co/storage/v1/object/public/old_media/3192767b.Path.075645.jpg" TargetMode="External"/><Relationship Id="rId681" Type="http://schemas.openxmlformats.org/officeDocument/2006/relationships/hyperlink" Target="https://ryycrdhlkmzpxwwwwupy.supabase.co/storage/v1/object/public/old_media/de182b1d.Path.075637.jpg" TargetMode="External"/><Relationship Id="rId680" Type="http://schemas.openxmlformats.org/officeDocument/2006/relationships/hyperlink" Target="https://ryycrdhlkmzpxwwwwupy.supabase.co/storage/v1/object/public/old_media/7794f00b.Path.075629.jpg" TargetMode="External"/><Relationship Id="rId3210" Type="http://schemas.openxmlformats.org/officeDocument/2006/relationships/hyperlink" Target="https://ryycrdhlkmzpxwwwwupy.supabase.co/storage/v1/object/public/old_media/f778f2f5.Path.102047.jpg" TargetMode="External"/><Relationship Id="rId4541" Type="http://schemas.openxmlformats.org/officeDocument/2006/relationships/hyperlink" Target="https://ryycrdhlkmzpxwwwwupy.supabase.co/storage/v1/object/public/old_media/7956c880.Path.111124.jpg" TargetMode="External"/><Relationship Id="rId4540" Type="http://schemas.openxmlformats.org/officeDocument/2006/relationships/hyperlink" Target="https://ryycrdhlkmzpxwwwwupy.supabase.co/storage/v1/object/public/old_media/796c73b3.Path.111055.jpg" TargetMode="External"/><Relationship Id="rId686" Type="http://schemas.openxmlformats.org/officeDocument/2006/relationships/hyperlink" Target="https://ryycrdhlkmzpxwwwwupy.supabase.co/storage/v1/object/public/old_media/54aab6fd.Path.055634.jpg" TargetMode="External"/><Relationship Id="rId3212" Type="http://schemas.openxmlformats.org/officeDocument/2006/relationships/hyperlink" Target="https://ryycrdhlkmzpxwwwwupy.supabase.co/storage/v1/object/public/old_media/25a7345c.Path.102110.jpg" TargetMode="External"/><Relationship Id="rId4543" Type="http://schemas.openxmlformats.org/officeDocument/2006/relationships/hyperlink" Target="https://ryycrdhlkmzpxwwwwupy.supabase.co/storage/v1/object/public/old_media/0a5f9e61.Path.111225.jpg" TargetMode="External"/><Relationship Id="rId685" Type="http://schemas.openxmlformats.org/officeDocument/2006/relationships/hyperlink" Target="https://ryycrdhlkmzpxwwwwupy.supabase.co/storage/v1/object/public/old_media/61b24241.Path.055629.jpg" TargetMode="External"/><Relationship Id="rId3211" Type="http://schemas.openxmlformats.org/officeDocument/2006/relationships/hyperlink" Target="https://ryycrdhlkmzpxwwwwupy.supabase.co/storage/v1/object/public/old_media/aa7c80c3.Path.102056.jpg" TargetMode="External"/><Relationship Id="rId4542" Type="http://schemas.openxmlformats.org/officeDocument/2006/relationships/hyperlink" Target="https://ryycrdhlkmzpxwwwwupy.supabase.co/storage/v1/object/public/old_media/f2947d69.Path.111155.jpg" TargetMode="External"/><Relationship Id="rId684" Type="http://schemas.openxmlformats.org/officeDocument/2006/relationships/hyperlink" Target="https://ryycrdhlkmzpxwwwwupy.supabase.co/storage/v1/object/public/old_media/6952efe0.Path.055601.jpg" TargetMode="External"/><Relationship Id="rId3214" Type="http://schemas.openxmlformats.org/officeDocument/2006/relationships/hyperlink" Target="https://ryycrdhlkmzpxwwwwupy.supabase.co/storage/v1/object/public/old_media/851eeb96.Path.120151.jpg" TargetMode="External"/><Relationship Id="rId4545" Type="http://schemas.openxmlformats.org/officeDocument/2006/relationships/hyperlink" Target="https://ryycrdhlkmzpxwwwwupy.supabase.co/storage/v1/object/public/old_media/255f52c3.Path.111326.jpg" TargetMode="External"/><Relationship Id="rId683" Type="http://schemas.openxmlformats.org/officeDocument/2006/relationships/hyperlink" Target="https://ryycrdhlkmzpxwwwwupy.supabase.co/storage/v1/object/public/old_media/93978a2f.Path.055537.jpg" TargetMode="External"/><Relationship Id="rId3213" Type="http://schemas.openxmlformats.org/officeDocument/2006/relationships/hyperlink" Target="https://ryycrdhlkmzpxwwwwupy.supabase.co/storage/v1/object/public/old_media/8221a8b2.Path.104232.jpg" TargetMode="External"/><Relationship Id="rId4544" Type="http://schemas.openxmlformats.org/officeDocument/2006/relationships/hyperlink" Target="https://ryycrdhlkmzpxwwwwupy.supabase.co/storage/v1/object/public/old_media/36ee7a75.Path.111255.jpg" TargetMode="External"/><Relationship Id="rId3205" Type="http://schemas.openxmlformats.org/officeDocument/2006/relationships/hyperlink" Target="https://ryycrdhlkmzpxwwwwupy.supabase.co/storage/v1/object/public/old_media/2876108d.Path.095948.jpg" TargetMode="External"/><Relationship Id="rId4536" Type="http://schemas.openxmlformats.org/officeDocument/2006/relationships/hyperlink" Target="https://ryycrdhlkmzpxwwwwupy.supabase.co/storage/v1/object/public/old_media/df5bd467.Path.071856.png" TargetMode="External"/><Relationship Id="rId3204" Type="http://schemas.openxmlformats.org/officeDocument/2006/relationships/hyperlink" Target="https://ryycrdhlkmzpxwwwwupy.supabase.co/storage/v1/object/public/old_media/d47df915.Path.095939.jpg" TargetMode="External"/><Relationship Id="rId4535" Type="http://schemas.openxmlformats.org/officeDocument/2006/relationships/hyperlink" Target="https://ryycrdhlkmzpxwwwwupy.supabase.co/storage/v1/object/public/old_media/5057099b.Path.071826.png" TargetMode="External"/><Relationship Id="rId3207" Type="http://schemas.openxmlformats.org/officeDocument/2006/relationships/hyperlink" Target="https://ryycrdhlkmzpxwwwwupy.supabase.co/storage/v1/object/public/old_media/fb4ae179.Path.100006.jpg" TargetMode="External"/><Relationship Id="rId4538" Type="http://schemas.openxmlformats.org/officeDocument/2006/relationships/hyperlink" Target="https://ryycrdhlkmzpxwwwwupy.supabase.co/storage/v1/object/public/old_media/c52efa71.Path.110504.jpg" TargetMode="External"/><Relationship Id="rId3206" Type="http://schemas.openxmlformats.org/officeDocument/2006/relationships/hyperlink" Target="https://ryycrdhlkmzpxwwwwupy.supabase.co/storage/v1/object/public/old_media/cac9e34f.Path.095956.jpg" TargetMode="External"/><Relationship Id="rId4537" Type="http://schemas.openxmlformats.org/officeDocument/2006/relationships/hyperlink" Target="https://ryycrdhlkmzpxwwwwupy.supabase.co/storage/v1/object/public/old_media/9cc89ae5.Path.071928.png" TargetMode="External"/><Relationship Id="rId3209" Type="http://schemas.openxmlformats.org/officeDocument/2006/relationships/hyperlink" Target="https://ryycrdhlkmzpxwwwwupy.supabase.co/storage/v1/object/public/old_media/5c13721d.Path.102039.jpg" TargetMode="External"/><Relationship Id="rId3208" Type="http://schemas.openxmlformats.org/officeDocument/2006/relationships/hyperlink" Target="https://ryycrdhlkmzpxwwwwupy.supabase.co/storage/v1/object/public/old_media/c753b67e.Path.102027.jpg" TargetMode="External"/><Relationship Id="rId4539" Type="http://schemas.openxmlformats.org/officeDocument/2006/relationships/hyperlink" Target="https://ryycrdhlkmzpxwwwwupy.supabase.co/storage/v1/object/public/old_media/2ada49ec.Path.110537.jpg" TargetMode="External"/><Relationship Id="rId679" Type="http://schemas.openxmlformats.org/officeDocument/2006/relationships/hyperlink" Target="https://ryycrdhlkmzpxwwwwupy.supabase.co/storage/v1/object/public/old_media/a9146289.Path.075611.jpg" TargetMode="External"/><Relationship Id="rId678" Type="http://schemas.openxmlformats.org/officeDocument/2006/relationships/hyperlink" Target="https://ryycrdhlkmzpxwwwwupy.supabase.co/storage/v1/object/public/old_media/13860fd7.Path.074221.jpg" TargetMode="External"/><Relationship Id="rId677" Type="http://schemas.openxmlformats.org/officeDocument/2006/relationships/hyperlink" Target="https://ryycrdhlkmzpxwwwwupy.supabase.co/storage/v1/object/public/old_media/d80e278e.Path.074150.jpg" TargetMode="External"/><Relationship Id="rId676" Type="http://schemas.openxmlformats.org/officeDocument/2006/relationships/hyperlink" Target="https://ryycrdhlkmzpxwwwwupy.supabase.co/storage/v1/object/public/old_media/4bfcdf97.Path.074132.jpg" TargetMode="External"/><Relationship Id="rId671" Type="http://schemas.openxmlformats.org/officeDocument/2006/relationships/hyperlink" Target="https://ryycrdhlkmzpxwwwwupy.supabase.co/storage/v1/object/public/old_media/19f126ef.Path.061404.jpg" TargetMode="External"/><Relationship Id="rId670" Type="http://schemas.openxmlformats.org/officeDocument/2006/relationships/hyperlink" Target="https://ryycrdhlkmzpxwwwwupy.supabase.co/storage/v1/object/public/old_media/2d36f7d2.Path.061357.jpg" TargetMode="External"/><Relationship Id="rId4530" Type="http://schemas.openxmlformats.org/officeDocument/2006/relationships/hyperlink" Target="https://ryycrdhlkmzpxwwwwupy.supabase.co/storage/v1/object/public/old_media/121ff0e7.Path.105805.jpg" TargetMode="External"/><Relationship Id="rId675" Type="http://schemas.openxmlformats.org/officeDocument/2006/relationships/hyperlink" Target="https://ryycrdhlkmzpxwwwwupy.supabase.co/storage/v1/object/public/old_media/44d9b8c8.Path.093534.jpg" TargetMode="External"/><Relationship Id="rId3201" Type="http://schemas.openxmlformats.org/officeDocument/2006/relationships/hyperlink" Target="https://ryycrdhlkmzpxwwwwupy.supabase.co/storage/v1/object/public/old_media/66385a57.Path.115613.jpg" TargetMode="External"/><Relationship Id="rId4532" Type="http://schemas.openxmlformats.org/officeDocument/2006/relationships/hyperlink" Target="https://ryycrdhlkmzpxwwwwupy.supabase.co/storage/v1/object/public/old_media/c8ed7a39.Path.110012.jpg" TargetMode="External"/><Relationship Id="rId674" Type="http://schemas.openxmlformats.org/officeDocument/2006/relationships/hyperlink" Target="https://ryycrdhlkmzpxwwwwupy.supabase.co/storage/v1/object/public/old_media/01f114f3.Path.093518.jpg" TargetMode="External"/><Relationship Id="rId3200" Type="http://schemas.openxmlformats.org/officeDocument/2006/relationships/hyperlink" Target="https://ryycrdhlkmzpxwwwwupy.supabase.co/storage/v1/object/public/old_media/a67e3def.Path.115602.jpg" TargetMode="External"/><Relationship Id="rId4531" Type="http://schemas.openxmlformats.org/officeDocument/2006/relationships/hyperlink" Target="https://ryycrdhlkmzpxwwwwupy.supabase.co/storage/v1/object/public/old_media/1fab22a3.Path.105838.jpg" TargetMode="External"/><Relationship Id="rId673" Type="http://schemas.openxmlformats.org/officeDocument/2006/relationships/hyperlink" Target="https://ryycrdhlkmzpxwwwwupy.supabase.co/storage/v1/object/public/old_media/23a49ba9.Path.093512.jpg" TargetMode="External"/><Relationship Id="rId3203" Type="http://schemas.openxmlformats.org/officeDocument/2006/relationships/hyperlink" Target="https://ryycrdhlkmzpxwwwwupy.supabase.co/storage/v1/object/public/old_media/4f214a93.Path.115638.jpg" TargetMode="External"/><Relationship Id="rId4534" Type="http://schemas.openxmlformats.org/officeDocument/2006/relationships/hyperlink" Target="https://ryycrdhlkmzpxwwwwupy.supabase.co/storage/v1/object/public/old_media/3c8f2cc5.Path.063022.jpg" TargetMode="External"/><Relationship Id="rId672" Type="http://schemas.openxmlformats.org/officeDocument/2006/relationships/hyperlink" Target="https://ryycrdhlkmzpxwwwwupy.supabase.co/storage/v1/object/public/old_media/213e4ff7.Path.061410.jpg" TargetMode="External"/><Relationship Id="rId3202" Type="http://schemas.openxmlformats.org/officeDocument/2006/relationships/hyperlink" Target="https://ryycrdhlkmzpxwwwwupy.supabase.co/storage/v1/object/public/old_media/c5c69bd1.Path.115624.jpg" TargetMode="External"/><Relationship Id="rId4533" Type="http://schemas.openxmlformats.org/officeDocument/2006/relationships/hyperlink" Target="https://ryycrdhlkmzpxwwwwupy.supabase.co/storage/v1/object/public/old_media/1e18d90a.Path.110625.jpg" TargetMode="External"/><Relationship Id="rId190" Type="http://schemas.openxmlformats.org/officeDocument/2006/relationships/hyperlink" Target="https://ryycrdhlkmzpxwwwwupy.supabase.co/storage/v1/object/public/old_media/03bebd36.Path.092816.jpg" TargetMode="External"/><Relationship Id="rId5019" Type="http://schemas.openxmlformats.org/officeDocument/2006/relationships/hyperlink" Target="https://ryycrdhlkmzpxwwwwupy.supabase.co/storage/v1/object/public/old_media/4d8f95f8.Path.095003.jpg" TargetMode="External"/><Relationship Id="rId194" Type="http://schemas.openxmlformats.org/officeDocument/2006/relationships/hyperlink" Target="https://ryycrdhlkmzpxwwwwupy.supabase.co/storage/v1/object/public/old_media/83eef16b.Path.085036.jpg" TargetMode="External"/><Relationship Id="rId193" Type="http://schemas.openxmlformats.org/officeDocument/2006/relationships/hyperlink" Target="https://ryycrdhlkmzpxwwwwupy.supabase.co/storage/v1/object/public/old_media/b99a582b.Path.084947.jpg" TargetMode="External"/><Relationship Id="rId192" Type="http://schemas.openxmlformats.org/officeDocument/2006/relationships/hyperlink" Target="https://ryycrdhlkmzpxwwwwupy.supabase.co/storage/v1/object/public/old_media/b97c858f.Path.105826.jpg" TargetMode="External"/><Relationship Id="rId191" Type="http://schemas.openxmlformats.org/officeDocument/2006/relationships/hyperlink" Target="https://ryycrdhlkmzpxwwwwupy.supabase.co/storage/v1/object/public/old_media/6bf75db0.Path.092822.jpg" TargetMode="External"/><Relationship Id="rId5010" Type="http://schemas.openxmlformats.org/officeDocument/2006/relationships/hyperlink" Target="https://ryycrdhlkmzpxwwwwupy.supabase.co/storage/v1/object/public/old_media/40e39eaf.Path.053732.webp" TargetMode="External"/><Relationship Id="rId187" Type="http://schemas.openxmlformats.org/officeDocument/2006/relationships/hyperlink" Target="https://ryycrdhlkmzpxwwwwupy.supabase.co/storage/v1/object/public/old_media/194503cd.Path.092745.jpg" TargetMode="External"/><Relationship Id="rId5013" Type="http://schemas.openxmlformats.org/officeDocument/2006/relationships/hyperlink" Target="https://ryycrdhlkmzpxwwwwupy.supabase.co/storage/v1/object/public/old_media/b1beb95e.Path.050611.jpg" TargetMode="External"/><Relationship Id="rId186" Type="http://schemas.openxmlformats.org/officeDocument/2006/relationships/hyperlink" Target="https://ryycrdhlkmzpxwwwwupy.supabase.co/storage/v1/object/public/old_media/3db5a5b6.Path.092726.jpg" TargetMode="External"/><Relationship Id="rId5014" Type="http://schemas.openxmlformats.org/officeDocument/2006/relationships/hyperlink" Target="https://ryycrdhlkmzpxwwwwupy.supabase.co/storage/v1/object/public/old_media/10f90afe.Path.050646.jpg" TargetMode="External"/><Relationship Id="rId185" Type="http://schemas.openxmlformats.org/officeDocument/2006/relationships/hyperlink" Target="https://ryycrdhlkmzpxwwwwupy.supabase.co/storage/v1/object/public/old_media/e274eb1f.Path.092718.jpg" TargetMode="External"/><Relationship Id="rId5011" Type="http://schemas.openxmlformats.org/officeDocument/2006/relationships/hyperlink" Target="https://ryycrdhlkmzpxwwwwupy.supabase.co/storage/v1/object/public/old_media/429a2f91.Path.050500.jpg" TargetMode="External"/><Relationship Id="rId184" Type="http://schemas.openxmlformats.org/officeDocument/2006/relationships/hyperlink" Target="https://ryycrdhlkmzpxwwwwupy.supabase.co/storage/v1/object/public/old_media/e93819ff.Path.092711.jpg" TargetMode="External"/><Relationship Id="rId5012" Type="http://schemas.openxmlformats.org/officeDocument/2006/relationships/hyperlink" Target="https://ryycrdhlkmzpxwwwwupy.supabase.co/storage/v1/object/public/old_media/e5422a8d.Path.050535.jpg" TargetMode="External"/><Relationship Id="rId5017" Type="http://schemas.openxmlformats.org/officeDocument/2006/relationships/hyperlink" Target="https://ryycrdhlkmzpxwwwwupy.supabase.co/storage/v1/object/public/old_media/4426aebb.Path.061146.jpg" TargetMode="External"/><Relationship Id="rId5018" Type="http://schemas.openxmlformats.org/officeDocument/2006/relationships/hyperlink" Target="https://ryycrdhlkmzpxwwwwupy.supabase.co/storage/v1/object/public/old_media/fa865b5c.Path.061216.jpg" TargetMode="External"/><Relationship Id="rId189" Type="http://schemas.openxmlformats.org/officeDocument/2006/relationships/hyperlink" Target="https://ryycrdhlkmzpxwwwwupy.supabase.co/storage/v1/object/public/old_media/3ef45333.Path.092759.jpg" TargetMode="External"/><Relationship Id="rId5015" Type="http://schemas.openxmlformats.org/officeDocument/2006/relationships/hyperlink" Target="https://ryycrdhlkmzpxwwwwupy.supabase.co/storage/v1/object/public/old_media/b5586c7e.Path.054958.jpg" TargetMode="External"/><Relationship Id="rId188" Type="http://schemas.openxmlformats.org/officeDocument/2006/relationships/hyperlink" Target="https://ryycrdhlkmzpxwwwwupy.supabase.co/storage/v1/object/public/old_media/5a2a1ea3.Path.092752.jpg" TargetMode="External"/><Relationship Id="rId5016" Type="http://schemas.openxmlformats.org/officeDocument/2006/relationships/hyperlink" Target="https://ryycrdhlkmzpxwwwwupy.supabase.co/storage/v1/object/public/old_media/1c324088.Path.061118.jpg" TargetMode="External"/><Relationship Id="rId5008" Type="http://schemas.openxmlformats.org/officeDocument/2006/relationships/hyperlink" Target="https://ryycrdhlkmzpxwwwwupy.supabase.co/storage/v1/object/public/old_media/c6da5a4c.Path.053418.webp" TargetMode="External"/><Relationship Id="rId5009" Type="http://schemas.openxmlformats.org/officeDocument/2006/relationships/hyperlink" Target="https://ryycrdhlkmzpxwwwwupy.supabase.co/storage/v1/object/public/old_media/70d385c2.Path.053455.webp" TargetMode="External"/><Relationship Id="rId183" Type="http://schemas.openxmlformats.org/officeDocument/2006/relationships/hyperlink" Target="https://ryycrdhlkmzpxwwwwupy.supabase.co/storage/v1/object/public/old_media/2b7e99aa.Path.092701.jpg" TargetMode="External"/><Relationship Id="rId182" Type="http://schemas.openxmlformats.org/officeDocument/2006/relationships/hyperlink" Target="https://ryycrdhlkmzpxwwwwupy.supabase.co/storage/v1/object/public/old_media/ff1f3535.Path.092640.jpg" TargetMode="External"/><Relationship Id="rId181" Type="http://schemas.openxmlformats.org/officeDocument/2006/relationships/hyperlink" Target="https://ryycrdhlkmzpxwwwwupy.supabase.co/storage/v1/object/public/old_media/a45ca32b.Path.092623.jpg" TargetMode="External"/><Relationship Id="rId180" Type="http://schemas.openxmlformats.org/officeDocument/2006/relationships/hyperlink" Target="https://ryycrdhlkmzpxwwwwupy.supabase.co/storage/v1/object/public/old_media/4edc0c76.Path.092617.jpg" TargetMode="External"/><Relationship Id="rId176" Type="http://schemas.openxmlformats.org/officeDocument/2006/relationships/hyperlink" Target="https://ryycrdhlkmzpxwwwwupy.supabase.co/storage/v1/object/public/old_media/90dd26b2.Path.072622.jpg" TargetMode="External"/><Relationship Id="rId5002" Type="http://schemas.openxmlformats.org/officeDocument/2006/relationships/hyperlink" Target="https://ryycrdhlkmzpxwwwwupy.supabase.co/storage/v1/object/public/old_media/c50e6e79.Path.055356.jpg" TargetMode="External"/><Relationship Id="rId175" Type="http://schemas.openxmlformats.org/officeDocument/2006/relationships/hyperlink" Target="https://ryycrdhlkmzpxwwwwupy.supabase.co/storage/v1/object/public/old_media/8dde3fd0.Path.072534.jpg" TargetMode="External"/><Relationship Id="rId5003" Type="http://schemas.openxmlformats.org/officeDocument/2006/relationships/hyperlink" Target="https://ryycrdhlkmzpxwwwwupy.supabase.co/storage/v1/object/public/old_media/2d90ae10.Path.055423.jpg" TargetMode="External"/><Relationship Id="rId174" Type="http://schemas.openxmlformats.org/officeDocument/2006/relationships/hyperlink" Target="https://ryycrdhlkmzpxwwwwupy.supabase.co/storage/v1/object/public/old_media/b1c0dbfc.Path.041548.jpg" TargetMode="External"/><Relationship Id="rId5000" Type="http://schemas.openxmlformats.org/officeDocument/2006/relationships/hyperlink" Target="https://ryycrdhlkmzpxwwwwupy.supabase.co/storage/v1/object/public/old_media/02a3cbbc.Path.055256.avif" TargetMode="External"/><Relationship Id="rId173" Type="http://schemas.openxmlformats.org/officeDocument/2006/relationships/hyperlink" Target="https://ryycrdhlkmzpxwwwwupy.supabase.co/storage/v1/object/public/old_media/3e09bb50.Path.041537.jpg" TargetMode="External"/><Relationship Id="rId5001" Type="http://schemas.openxmlformats.org/officeDocument/2006/relationships/hyperlink" Target="https://ryycrdhlkmzpxwwwwupy.supabase.co/storage/v1/object/public/old_media/bca69a58.Path.055328.jpg" TargetMode="External"/><Relationship Id="rId5006" Type="http://schemas.openxmlformats.org/officeDocument/2006/relationships/hyperlink" Target="https://ryycrdhlkmzpxwwwwupy.supabase.co/storage/v1/object/public/old_media/c5217d83.Path.053314.webp" TargetMode="External"/><Relationship Id="rId179" Type="http://schemas.openxmlformats.org/officeDocument/2006/relationships/hyperlink" Target="https://ryycrdhlkmzpxwwwwupy.supabase.co/storage/v1/object/public/old_media/b8f7721a.Path.092559.jpg" TargetMode="External"/><Relationship Id="rId5007" Type="http://schemas.openxmlformats.org/officeDocument/2006/relationships/hyperlink" Target="https://ryycrdhlkmzpxwwwwupy.supabase.co/storage/v1/object/public/old_media/5d16d424.Path.053347.webp" TargetMode="External"/><Relationship Id="rId178" Type="http://schemas.openxmlformats.org/officeDocument/2006/relationships/hyperlink" Target="https://ryycrdhlkmzpxwwwwupy.supabase.co/storage/v1/object/public/old_media/0f9ca053.Path.072939.jpg" TargetMode="External"/><Relationship Id="rId5004" Type="http://schemas.openxmlformats.org/officeDocument/2006/relationships/hyperlink" Target="https://ryycrdhlkmzpxwwwwupy.supabase.co/storage/v1/object/public/old_media/58b91740.Path.053217.jpg" TargetMode="External"/><Relationship Id="rId177" Type="http://schemas.openxmlformats.org/officeDocument/2006/relationships/hyperlink" Target="https://ryycrdhlkmzpxwwwwupy.supabase.co/storage/v1/object/public/old_media/c10608db.Path.072716.jpg" TargetMode="External"/><Relationship Id="rId5005" Type="http://schemas.openxmlformats.org/officeDocument/2006/relationships/hyperlink" Target="https://ryycrdhlkmzpxwwwwupy.supabase.co/storage/v1/object/public/old_media/a4048ada.Path.053245.webp" TargetMode="External"/><Relationship Id="rId5031" Type="http://schemas.openxmlformats.org/officeDocument/2006/relationships/hyperlink" Target="https://ryycrdhlkmzpxwwwwupy.supabase.co/storage/v1/object/public/old_media/274024c7.Path.050247.png" TargetMode="External"/><Relationship Id="rId5032" Type="http://schemas.openxmlformats.org/officeDocument/2006/relationships/hyperlink" Target="https://ryycrdhlkmzpxwwwwupy.supabase.co/storage/v1/object/public/old_media/2b53b3c2.Path.055005.avif" TargetMode="External"/><Relationship Id="rId5030" Type="http://schemas.openxmlformats.org/officeDocument/2006/relationships/hyperlink" Target="https://ryycrdhlkmzpxwwwwupy.supabase.co/storage/v1/object/public/old_media/96183229.Path.060637.avif" TargetMode="External"/><Relationship Id="rId5035" Type="http://schemas.openxmlformats.org/officeDocument/2006/relationships/hyperlink" Target="https://ryycrdhlkmzpxwwwwupy.supabase.co/storage/v1/object/public/old_media/899b4157.Path.055144.avif" TargetMode="External"/><Relationship Id="rId5036" Type="http://schemas.openxmlformats.org/officeDocument/2006/relationships/hyperlink" Target="https://ryycrdhlkmzpxwwwwupy.supabase.co/storage/v1/object/public/old_media/07f61a9f.Path.055214.avif" TargetMode="External"/><Relationship Id="rId5033" Type="http://schemas.openxmlformats.org/officeDocument/2006/relationships/hyperlink" Target="https://ryycrdhlkmzpxwwwwupy.supabase.co/storage/v1/object/public/old_media/805d512d.Path.055040.avif" TargetMode="External"/><Relationship Id="rId5034" Type="http://schemas.openxmlformats.org/officeDocument/2006/relationships/hyperlink" Target="https://ryycrdhlkmzpxwwwwupy.supabase.co/storage/v1/object/public/old_media/7b6eede7.Path.055112.avif" TargetMode="External"/><Relationship Id="rId5039" Type="http://schemas.openxmlformats.org/officeDocument/2006/relationships/hyperlink" Target="https://ryycrdhlkmzpxwwwwupy.supabase.co/storage/v1/object/public/old_media/51cb7a34.Path.055447.avif" TargetMode="External"/><Relationship Id="rId5037" Type="http://schemas.openxmlformats.org/officeDocument/2006/relationships/hyperlink" Target="https://ryycrdhlkmzpxwwwwupy.supabase.co/storage/v1/object/public/old_media/6b592bfa.Path.055247.avif" TargetMode="External"/><Relationship Id="rId5038" Type="http://schemas.openxmlformats.org/officeDocument/2006/relationships/hyperlink" Target="https://ryycrdhlkmzpxwwwwupy.supabase.co/storage/v1/object/public/old_media/ee1a0e09.Path.055327.jpg" TargetMode="External"/><Relationship Id="rId5020" Type="http://schemas.openxmlformats.org/officeDocument/2006/relationships/hyperlink" Target="https://ryycrdhlkmzpxwwwwupy.supabase.co/storage/v1/object/public/old_media/2f5785b8.Path.095112.jpg" TargetMode="External"/><Relationship Id="rId5021" Type="http://schemas.openxmlformats.org/officeDocument/2006/relationships/hyperlink" Target="https://ryycrdhlkmzpxwwwwupy.supabase.co/storage/v1/object/public/old_media/d4ee0968.Path.095213.jpg" TargetMode="External"/><Relationship Id="rId198" Type="http://schemas.openxmlformats.org/officeDocument/2006/relationships/hyperlink" Target="https://ryycrdhlkmzpxwwwwupy.supabase.co/storage/v1/object/public/old_media/1162ed64.Path.071857.jpg" TargetMode="External"/><Relationship Id="rId5024" Type="http://schemas.openxmlformats.org/officeDocument/2006/relationships/hyperlink" Target="https://ryycrdhlkmzpxwwwwupy.supabase.co/storage/v1/object/public/old_media/d6dd400a.Path.060151.avif" TargetMode="External"/><Relationship Id="rId197" Type="http://schemas.openxmlformats.org/officeDocument/2006/relationships/hyperlink" Target="https://ryycrdhlkmzpxwwwwupy.supabase.co/storage/v1/object/public/old_media/6e9efb4d.Path.071837.jpg" TargetMode="External"/><Relationship Id="rId5025" Type="http://schemas.openxmlformats.org/officeDocument/2006/relationships/hyperlink" Target="https://ryycrdhlkmzpxwwwwupy.supabase.co/storage/v1/object/public/old_media/349f7ed1.Path.060218.avif" TargetMode="External"/><Relationship Id="rId196" Type="http://schemas.openxmlformats.org/officeDocument/2006/relationships/hyperlink" Target="https://ryycrdhlkmzpxwwwwupy.supabase.co/storage/v1/object/public/old_media/ac496f0d.Path.085143.jpg" TargetMode="External"/><Relationship Id="rId5022" Type="http://schemas.openxmlformats.org/officeDocument/2006/relationships/hyperlink" Target="https://ryycrdhlkmzpxwwwwupy.supabase.co/storage/v1/object/public/old_media/554c427c.Path.060055.avif" TargetMode="External"/><Relationship Id="rId195" Type="http://schemas.openxmlformats.org/officeDocument/2006/relationships/hyperlink" Target="https://ryycrdhlkmzpxwwwwupy.supabase.co/storage/v1/object/public/old_media/b5a25fd3.Path.085108.jpg" TargetMode="External"/><Relationship Id="rId5023" Type="http://schemas.openxmlformats.org/officeDocument/2006/relationships/hyperlink" Target="https://ryycrdhlkmzpxwwwwupy.supabase.co/storage/v1/object/public/old_media/27b4330e.Path.060124.avif" TargetMode="External"/><Relationship Id="rId5028" Type="http://schemas.openxmlformats.org/officeDocument/2006/relationships/hyperlink" Target="https://ryycrdhlkmzpxwwwwupy.supabase.co/storage/v1/object/public/old_media/57089904.Path.060507.avif" TargetMode="External"/><Relationship Id="rId5029" Type="http://schemas.openxmlformats.org/officeDocument/2006/relationships/hyperlink" Target="https://ryycrdhlkmzpxwwwwupy.supabase.co/storage/v1/object/public/old_media/6b8ae43b.Path.060606.avif" TargetMode="External"/><Relationship Id="rId5026" Type="http://schemas.openxmlformats.org/officeDocument/2006/relationships/hyperlink" Target="https://ryycrdhlkmzpxwwwwupy.supabase.co/storage/v1/object/public/old_media/1ff55ef6.Path.060408.avif" TargetMode="External"/><Relationship Id="rId199" Type="http://schemas.openxmlformats.org/officeDocument/2006/relationships/hyperlink" Target="https://ryycrdhlkmzpxwwwwupy.supabase.co/storage/v1/object/public/old_media/e36f8565.Path.071920.jpg" TargetMode="External"/><Relationship Id="rId5027" Type="http://schemas.openxmlformats.org/officeDocument/2006/relationships/hyperlink" Target="https://ryycrdhlkmzpxwwwwupy.supabase.co/storage/v1/object/public/old_media/310bb451.Path.060437.avif" TargetMode="External"/><Relationship Id="rId150" Type="http://schemas.openxmlformats.org/officeDocument/2006/relationships/hyperlink" Target="https://ryycrdhlkmzpxwwwwupy.supabase.co/storage/v1/object/public/old_media/e63ba052.Path.092940.jpg" TargetMode="External"/><Relationship Id="rId149" Type="http://schemas.openxmlformats.org/officeDocument/2006/relationships/hyperlink" Target="https://ryycrdhlkmzpxwwwwupy.supabase.co/storage/v1/object/public/old_media/17f6b362.Path.092842.jpg" TargetMode="External"/><Relationship Id="rId148" Type="http://schemas.openxmlformats.org/officeDocument/2006/relationships/hyperlink" Target="https://ryycrdhlkmzpxwwwwupy.supabase.co/storage/v1/object/public/old_media/2ab4a15e.Path.161844.jpg" TargetMode="External"/><Relationship Id="rId3270" Type="http://schemas.openxmlformats.org/officeDocument/2006/relationships/hyperlink" Target="https://ryycrdhlkmzpxwwwwupy.supabase.co/storage/v1/object/public/old_media/322e4b03.Path.113440.jpg" TargetMode="External"/><Relationship Id="rId3272" Type="http://schemas.openxmlformats.org/officeDocument/2006/relationships/hyperlink" Target="https://ryycrdhlkmzpxwwwwupy.supabase.co/storage/v1/object/public/old_media/e5a0b9b3.Path.113612.jpg" TargetMode="External"/><Relationship Id="rId3271" Type="http://schemas.openxmlformats.org/officeDocument/2006/relationships/hyperlink" Target="https://ryycrdhlkmzpxwwwwupy.supabase.co/storage/v1/object/public/old_media/88529760.Path.113530.jpg" TargetMode="External"/><Relationship Id="rId143" Type="http://schemas.openxmlformats.org/officeDocument/2006/relationships/hyperlink" Target="https://ryycrdhlkmzpxwwwwupy.supabase.co/storage/v1/object/public/old_media/18ee09b0.Path.174852.jpg" TargetMode="External"/><Relationship Id="rId3274" Type="http://schemas.openxmlformats.org/officeDocument/2006/relationships/hyperlink" Target="https://ryycrdhlkmzpxwwwwupy.supabase.co/storage/v1/object/public/old_media/442ac392.Path.113834.jpg" TargetMode="External"/><Relationship Id="rId142" Type="http://schemas.openxmlformats.org/officeDocument/2006/relationships/hyperlink" Target="https://ryycrdhlkmzpxwwwwupy.supabase.co/storage/v1/object/public/old_media/741f595e.Path.174729.jpg" TargetMode="External"/><Relationship Id="rId3273" Type="http://schemas.openxmlformats.org/officeDocument/2006/relationships/hyperlink" Target="https://ryycrdhlkmzpxwwwwupy.supabase.co/storage/v1/object/public/old_media/6fc79953.Path.113719.jpg" TargetMode="External"/><Relationship Id="rId141" Type="http://schemas.openxmlformats.org/officeDocument/2006/relationships/hyperlink" Target="https://ryycrdhlkmzpxwwwwupy.supabase.co/storage/v1/object/public/old_media/456257b7.Path.174623.jpg" TargetMode="External"/><Relationship Id="rId3276" Type="http://schemas.openxmlformats.org/officeDocument/2006/relationships/hyperlink" Target="https://ryycrdhlkmzpxwwwwupy.supabase.co/storage/v1/object/public/old_media/3c8e0623.Path.114015.jpg" TargetMode="External"/><Relationship Id="rId140" Type="http://schemas.openxmlformats.org/officeDocument/2006/relationships/hyperlink" Target="https://ryycrdhlkmzpxwwwwupy.supabase.co/storage/v1/object/public/old_media/ca240445.Path.174521.jpg" TargetMode="External"/><Relationship Id="rId3275" Type="http://schemas.openxmlformats.org/officeDocument/2006/relationships/hyperlink" Target="https://ryycrdhlkmzpxwwwwupy.supabase.co/storage/v1/object/public/old_media/03307a69.Path.113932.jpg" TargetMode="External"/><Relationship Id="rId147" Type="http://schemas.openxmlformats.org/officeDocument/2006/relationships/hyperlink" Target="https://ryycrdhlkmzpxwwwwupy.supabase.co/storage/v1/object/public/old_media/4e971bf4.Path.161744.jpg" TargetMode="External"/><Relationship Id="rId3278" Type="http://schemas.openxmlformats.org/officeDocument/2006/relationships/hyperlink" Target="https://ryycrdhlkmzpxwwwwupy.supabase.co/storage/v1/object/public/old_media/3a447be4.Path.114147.jpg" TargetMode="External"/><Relationship Id="rId146" Type="http://schemas.openxmlformats.org/officeDocument/2006/relationships/hyperlink" Target="https://ryycrdhlkmzpxwwwwupy.supabase.co/storage/v1/object/public/old_media/1b94736a.Path.161702.jpg" TargetMode="External"/><Relationship Id="rId3277" Type="http://schemas.openxmlformats.org/officeDocument/2006/relationships/hyperlink" Target="https://ryycrdhlkmzpxwwwwupy.supabase.co/storage/v1/object/public/old_media/af76e58c.Path.114105.jpg" TargetMode="External"/><Relationship Id="rId145" Type="http://schemas.openxmlformats.org/officeDocument/2006/relationships/hyperlink" Target="https://ryycrdhlkmzpxwwwwupy.supabase.co/storage/v1/object/public/old_media/8a4691f2.Path.161613.jpg" TargetMode="External"/><Relationship Id="rId144" Type="http://schemas.openxmlformats.org/officeDocument/2006/relationships/hyperlink" Target="https://ryycrdhlkmzpxwwwwupy.supabase.co/storage/v1/object/public/old_media/fcc9a6ac.Path.175003.jpg" TargetMode="External"/><Relationship Id="rId3279" Type="http://schemas.openxmlformats.org/officeDocument/2006/relationships/hyperlink" Target="https://ryycrdhlkmzpxwwwwupy.supabase.co/storage/v1/object/public/old_media/2cf1a984.Path.053148.jpg" TargetMode="External"/><Relationship Id="rId139" Type="http://schemas.openxmlformats.org/officeDocument/2006/relationships/hyperlink" Target="https://ryycrdhlkmzpxwwwwupy.supabase.co/storage/v1/object/public/old_media/e321ada6.Path.174352.jpg" TargetMode="External"/><Relationship Id="rId138" Type="http://schemas.openxmlformats.org/officeDocument/2006/relationships/hyperlink" Target="https://ryycrdhlkmzpxwwwwupy.supabase.co/storage/v1/object/public/old_media/3537a835.Path.174221.jpg" TargetMode="External"/><Relationship Id="rId137" Type="http://schemas.openxmlformats.org/officeDocument/2006/relationships/hyperlink" Target="https://ryycrdhlkmzpxwwwwupy.supabase.co/storage/v1/object/public/old_media/3935f824.Path.163231.jpg" TargetMode="External"/><Relationship Id="rId4590" Type="http://schemas.openxmlformats.org/officeDocument/2006/relationships/hyperlink" Target="https://ryycrdhlkmzpxwwwwupy.supabase.co/storage/v1/object/public/old_media/036b2b61.Path.045712.jpg" TargetMode="External"/><Relationship Id="rId3261" Type="http://schemas.openxmlformats.org/officeDocument/2006/relationships/hyperlink" Target="https://ryycrdhlkmzpxwwwwupy.supabase.co/storage/v1/object/public/old_media/245b4e99.Path.110900.jpg" TargetMode="External"/><Relationship Id="rId4592" Type="http://schemas.openxmlformats.org/officeDocument/2006/relationships/hyperlink" Target="https://ryycrdhlkmzpxwwwwupy.supabase.co/storage/v1/object/public/old_media/913ca711.Path.045812.jpg" TargetMode="External"/><Relationship Id="rId3260" Type="http://schemas.openxmlformats.org/officeDocument/2006/relationships/hyperlink" Target="https://ryycrdhlkmzpxwwwwupy.supabase.co/storage/v1/object/public/old_media/9ca2a54b.Path.110702.jpg" TargetMode="External"/><Relationship Id="rId4591" Type="http://schemas.openxmlformats.org/officeDocument/2006/relationships/hyperlink" Target="https://ryycrdhlkmzpxwwwwupy.supabase.co/storage/v1/object/public/old_media/dba50b73.Path.045743.jpg" TargetMode="External"/><Relationship Id="rId132" Type="http://schemas.openxmlformats.org/officeDocument/2006/relationships/hyperlink" Target="https://ryycrdhlkmzpxwwwwupy.supabase.co/storage/v1/object/public/old_media/d7c3323b.Path.163056.jpg" TargetMode="External"/><Relationship Id="rId3263" Type="http://schemas.openxmlformats.org/officeDocument/2006/relationships/hyperlink" Target="https://ryycrdhlkmzpxwwwwupy.supabase.co/storage/v1/object/public/old_media/334bb4d9.Path.111243.jpg" TargetMode="External"/><Relationship Id="rId4594" Type="http://schemas.openxmlformats.org/officeDocument/2006/relationships/hyperlink" Target="https://ryycrdhlkmzpxwwwwupy.supabase.co/storage/v1/object/public/old_media/35bf128f.Path.045911.jpg" TargetMode="External"/><Relationship Id="rId131" Type="http://schemas.openxmlformats.org/officeDocument/2006/relationships/hyperlink" Target="https://ryycrdhlkmzpxwwwwupy.supabase.co/storage/v1/object/public/old_media/91cb7b4e.Path.163047.jpg" TargetMode="External"/><Relationship Id="rId3262" Type="http://schemas.openxmlformats.org/officeDocument/2006/relationships/hyperlink" Target="https://ryycrdhlkmzpxwwwwupy.supabase.co/storage/v1/object/public/old_media/30b0eaa1.Path.111048.jpg" TargetMode="External"/><Relationship Id="rId4593" Type="http://schemas.openxmlformats.org/officeDocument/2006/relationships/hyperlink" Target="https://ryycrdhlkmzpxwwwwupy.supabase.co/storage/v1/object/public/old_media/5f41041d.Path.045841.jpg" TargetMode="External"/><Relationship Id="rId130" Type="http://schemas.openxmlformats.org/officeDocument/2006/relationships/hyperlink" Target="https://ryycrdhlkmzpxwwwwupy.supabase.co/storage/v1/object/public/old_media/29daf50a.Path.070902.png" TargetMode="External"/><Relationship Id="rId3265" Type="http://schemas.openxmlformats.org/officeDocument/2006/relationships/hyperlink" Target="https://ryycrdhlkmzpxwwwwupy.supabase.co/storage/v1/object/public/old_media/fd84eccd.Path.111512.jpg" TargetMode="External"/><Relationship Id="rId4596" Type="http://schemas.openxmlformats.org/officeDocument/2006/relationships/hyperlink" Target="https://ryycrdhlkmzpxwwwwupy.supabase.co/storage/v1/object/public/old_media/dc7238a0.Path.051544.jpg" TargetMode="External"/><Relationship Id="rId3264" Type="http://schemas.openxmlformats.org/officeDocument/2006/relationships/hyperlink" Target="https://ryycrdhlkmzpxwwwwupy.supabase.co/storage/v1/object/public/old_media/7edc8b87.Path.111400.jpg" TargetMode="External"/><Relationship Id="rId4595" Type="http://schemas.openxmlformats.org/officeDocument/2006/relationships/hyperlink" Target="https://ryycrdhlkmzpxwwwwupy.supabase.co/storage/v1/object/public/old_media/f4f2cf5e.Path.050913.jpg" TargetMode="External"/><Relationship Id="rId136" Type="http://schemas.openxmlformats.org/officeDocument/2006/relationships/hyperlink" Target="https://ryycrdhlkmzpxwwwwupy.supabase.co/storage/v1/object/public/old_media/f69f4596.Path.163224.jpg" TargetMode="External"/><Relationship Id="rId3267" Type="http://schemas.openxmlformats.org/officeDocument/2006/relationships/hyperlink" Target="https://ryycrdhlkmzpxwwwwupy.supabase.co/storage/v1/object/public/old_media/18b70bac.Path.111929.jpg" TargetMode="External"/><Relationship Id="rId4598" Type="http://schemas.openxmlformats.org/officeDocument/2006/relationships/hyperlink" Target="https://ryycrdhlkmzpxwwwwupy.supabase.co/storage/v1/object/public/old_media/ac9b3614.Path.051636.jpg" TargetMode="External"/><Relationship Id="rId135" Type="http://schemas.openxmlformats.org/officeDocument/2006/relationships/hyperlink" Target="https://ryycrdhlkmzpxwwwwupy.supabase.co/storage/v1/object/public/old_media/c186a8e4.Path.163205.jpg" TargetMode="External"/><Relationship Id="rId3266" Type="http://schemas.openxmlformats.org/officeDocument/2006/relationships/hyperlink" Target="https://ryycrdhlkmzpxwwwwupy.supabase.co/storage/v1/object/public/old_media/f63a008a.Path.111617.jpg" TargetMode="External"/><Relationship Id="rId4597" Type="http://schemas.openxmlformats.org/officeDocument/2006/relationships/hyperlink" Target="https://ryycrdhlkmzpxwwwwupy.supabase.co/storage/v1/object/public/old_media/ce5571f5.Path.051610.jpg" TargetMode="External"/><Relationship Id="rId134" Type="http://schemas.openxmlformats.org/officeDocument/2006/relationships/hyperlink" Target="https://ryycrdhlkmzpxwwwwupy.supabase.co/storage/v1/object/public/old_media/0b9389df.Path.163119.jpg" TargetMode="External"/><Relationship Id="rId3269" Type="http://schemas.openxmlformats.org/officeDocument/2006/relationships/hyperlink" Target="https://ryycrdhlkmzpxwwwwupy.supabase.co/storage/v1/object/public/old_media/fbe5dcd0.Path.113316.jpg" TargetMode="External"/><Relationship Id="rId133" Type="http://schemas.openxmlformats.org/officeDocument/2006/relationships/hyperlink" Target="https://ryycrdhlkmzpxwwwwupy.supabase.co/storage/v1/object/public/old_media/a02386bc.Path.163110.jpg" TargetMode="External"/><Relationship Id="rId3268" Type="http://schemas.openxmlformats.org/officeDocument/2006/relationships/hyperlink" Target="https://ryycrdhlkmzpxwwwwupy.supabase.co/storage/v1/object/public/old_media/9f6b6ab7.Path.112204.jpg" TargetMode="External"/><Relationship Id="rId4599" Type="http://schemas.openxmlformats.org/officeDocument/2006/relationships/hyperlink" Target="https://ryycrdhlkmzpxwwwwupy.supabase.co/storage/v1/object/public/old_media/6aa5a43d.Path.051705.jpg" TargetMode="External"/><Relationship Id="rId172" Type="http://schemas.openxmlformats.org/officeDocument/2006/relationships/hyperlink" Target="https://ryycrdhlkmzpxwwwwupy.supabase.co/storage/v1/object/public/old_media/afd00edf.Path.041521.jpg" TargetMode="External"/><Relationship Id="rId171" Type="http://schemas.openxmlformats.org/officeDocument/2006/relationships/hyperlink" Target="https://ryycrdhlkmzpxwwwwupy.supabase.co/storage/v1/object/public/old_media/1130b664.Path.041507.jpg" TargetMode="External"/><Relationship Id="rId170" Type="http://schemas.openxmlformats.org/officeDocument/2006/relationships/hyperlink" Target="https://ryycrdhlkmzpxwwwwupy.supabase.co/storage/v1/object/public/old_media/5bec6ef2.Path.110802.png" TargetMode="External"/><Relationship Id="rId3290" Type="http://schemas.openxmlformats.org/officeDocument/2006/relationships/hyperlink" Target="https://ryycrdhlkmzpxwwwwupy.supabase.co/storage/v1/object/public/old_media/4c226fb2.Path.102423.jpg" TargetMode="External"/><Relationship Id="rId3292" Type="http://schemas.openxmlformats.org/officeDocument/2006/relationships/hyperlink" Target="https://ryycrdhlkmzpxwwwwupy.supabase.co/storage/v1/object/public/old_media/5533cce7.Path.102538.jpg" TargetMode="External"/><Relationship Id="rId3291" Type="http://schemas.openxmlformats.org/officeDocument/2006/relationships/hyperlink" Target="https://ryycrdhlkmzpxwwwwupy.supabase.co/storage/v1/object/public/old_media/36792b6f.Path.102525.jpg" TargetMode="External"/><Relationship Id="rId3294" Type="http://schemas.openxmlformats.org/officeDocument/2006/relationships/hyperlink" Target="https://ryycrdhlkmzpxwwwwupy.supabase.co/storage/v1/object/public/old_media/ae0c8509.Path.061104.jpg" TargetMode="External"/><Relationship Id="rId3293" Type="http://schemas.openxmlformats.org/officeDocument/2006/relationships/hyperlink" Target="https://ryycrdhlkmzpxwwwwupy.supabase.co/storage/v1/object/public/old_media/24a316fe.Path.105536.jpg" TargetMode="External"/><Relationship Id="rId165" Type="http://schemas.openxmlformats.org/officeDocument/2006/relationships/hyperlink" Target="https://ryycrdhlkmzpxwwwwupy.supabase.co/storage/v1/object/public/old_media/78ff0fdf.Path.062559.jpg" TargetMode="External"/><Relationship Id="rId3296" Type="http://schemas.openxmlformats.org/officeDocument/2006/relationships/hyperlink" Target="https://ryycrdhlkmzpxwwwwupy.supabase.co/storage/v1/object/public/old_media/4de3e76e.Path.061123.jpg" TargetMode="External"/><Relationship Id="rId164" Type="http://schemas.openxmlformats.org/officeDocument/2006/relationships/hyperlink" Target="https://ryycrdhlkmzpxwwwwupy.supabase.co/storage/v1/object/public/old_media/f070f4dc.Path.062551.jpg" TargetMode="External"/><Relationship Id="rId3295" Type="http://schemas.openxmlformats.org/officeDocument/2006/relationships/hyperlink" Target="https://ryycrdhlkmzpxwwwwupy.supabase.co/storage/v1/object/public/old_media/5bfef7c9.Path.061116.jpg" TargetMode="External"/><Relationship Id="rId163" Type="http://schemas.openxmlformats.org/officeDocument/2006/relationships/hyperlink" Target="https://ryycrdhlkmzpxwwwwupy.supabase.co/storage/v1/object/public/old_media/8f47b85c.Path.062542.jpg" TargetMode="External"/><Relationship Id="rId3298" Type="http://schemas.openxmlformats.org/officeDocument/2006/relationships/hyperlink" Target="https://ryycrdhlkmzpxwwwwupy.supabase.co/storage/v1/object/public/old_media/0ed6cb72.Path.061143.jpg" TargetMode="External"/><Relationship Id="rId162" Type="http://schemas.openxmlformats.org/officeDocument/2006/relationships/hyperlink" Target="https://ryycrdhlkmzpxwwwwupy.supabase.co/storage/v1/object/public/old_media/e3779ae8.Path.062534.jpg" TargetMode="External"/><Relationship Id="rId3297" Type="http://schemas.openxmlformats.org/officeDocument/2006/relationships/hyperlink" Target="https://ryycrdhlkmzpxwwwwupy.supabase.co/storage/v1/object/public/old_media/801d975c.Path.061131.jpg" TargetMode="External"/><Relationship Id="rId169" Type="http://schemas.openxmlformats.org/officeDocument/2006/relationships/hyperlink" Target="https://ryycrdhlkmzpxwwwwupy.supabase.co/storage/v1/object/public/old_media/b66f273b.Path.110744.png" TargetMode="External"/><Relationship Id="rId168" Type="http://schemas.openxmlformats.org/officeDocument/2006/relationships/hyperlink" Target="https://ryycrdhlkmzpxwwwwupy.supabase.co/storage/v1/object/public/old_media/301a178b.Path.110723.png" TargetMode="External"/><Relationship Id="rId3299" Type="http://schemas.openxmlformats.org/officeDocument/2006/relationships/hyperlink" Target="https://ryycrdhlkmzpxwwwwupy.supabase.co/storage/v1/object/public/old_media/de8f7428.Path.061156.jpg" TargetMode="External"/><Relationship Id="rId167" Type="http://schemas.openxmlformats.org/officeDocument/2006/relationships/hyperlink" Target="https://ryycrdhlkmzpxwwwwupy.supabase.co/storage/v1/object/public/old_media/fd5d9685.Path.110710.png" TargetMode="External"/><Relationship Id="rId166" Type="http://schemas.openxmlformats.org/officeDocument/2006/relationships/hyperlink" Target="https://ryycrdhlkmzpxwwwwupy.supabase.co/storage/v1/object/public/old_media/452ddedf.Path.110655.png" TargetMode="External"/><Relationship Id="rId161" Type="http://schemas.openxmlformats.org/officeDocument/2006/relationships/hyperlink" Target="https://ryycrdhlkmzpxwwwwupy.supabase.co/storage/v1/object/public/old_media/0b61a4dd.Path.062517.jpg" TargetMode="External"/><Relationship Id="rId160" Type="http://schemas.openxmlformats.org/officeDocument/2006/relationships/hyperlink" Target="https://ryycrdhlkmzpxwwwwupy.supabase.co/storage/v1/object/public/old_media/04859e2f.Path.170400.jpg" TargetMode="External"/><Relationship Id="rId159" Type="http://schemas.openxmlformats.org/officeDocument/2006/relationships/hyperlink" Target="https://ryycrdhlkmzpxwwwwupy.supabase.co/storage/v1/object/public/old_media/0a3eefcb.Path.170350.jpg" TargetMode="External"/><Relationship Id="rId3281" Type="http://schemas.openxmlformats.org/officeDocument/2006/relationships/hyperlink" Target="https://ryycrdhlkmzpxwwwwupy.supabase.co/storage/v1/object/public/old_media/ea379ae6.Path.053300.jpg" TargetMode="External"/><Relationship Id="rId3280" Type="http://schemas.openxmlformats.org/officeDocument/2006/relationships/hyperlink" Target="https://ryycrdhlkmzpxwwwwupy.supabase.co/storage/v1/object/public/old_media/cc4d74ed.Path.053159.jpg" TargetMode="External"/><Relationship Id="rId3283" Type="http://schemas.openxmlformats.org/officeDocument/2006/relationships/hyperlink" Target="https://ryycrdhlkmzpxwwwwupy.supabase.co/storage/v1/object/public/old_media/06cf9ee6.Path.093146.jpg" TargetMode="External"/><Relationship Id="rId3282" Type="http://schemas.openxmlformats.org/officeDocument/2006/relationships/hyperlink" Target="https://ryycrdhlkmzpxwwwwupy.supabase.co/storage/v1/object/public/old_media/2dd5cf60.Path.093126.jpg" TargetMode="External"/><Relationship Id="rId154" Type="http://schemas.openxmlformats.org/officeDocument/2006/relationships/hyperlink" Target="https://ryycrdhlkmzpxwwwwupy.supabase.co/storage/v1/object/public/old_media/a0781cb4.Path.093144.jpg" TargetMode="External"/><Relationship Id="rId3285" Type="http://schemas.openxmlformats.org/officeDocument/2006/relationships/hyperlink" Target="https://ryycrdhlkmzpxwwwwupy.supabase.co/storage/v1/object/public/old_media/f5688e0a.Path.093214.jpg" TargetMode="External"/><Relationship Id="rId153" Type="http://schemas.openxmlformats.org/officeDocument/2006/relationships/hyperlink" Target="https://ryycrdhlkmzpxwwwwupy.supabase.co/storage/v1/object/public/old_media/a86dd7ef.Path.093049.png" TargetMode="External"/><Relationship Id="rId3284" Type="http://schemas.openxmlformats.org/officeDocument/2006/relationships/hyperlink" Target="https://ryycrdhlkmzpxwwwwupy.supabase.co/storage/v1/object/public/old_media/b72982d7.Path.093159.jpg" TargetMode="External"/><Relationship Id="rId152" Type="http://schemas.openxmlformats.org/officeDocument/2006/relationships/hyperlink" Target="https://ryycrdhlkmzpxwwwwupy.supabase.co/storage/v1/object/public/old_media/481c3fd6.Path.093035.png" TargetMode="External"/><Relationship Id="rId3287" Type="http://schemas.openxmlformats.org/officeDocument/2006/relationships/hyperlink" Target="https://ryycrdhlkmzpxwwwwupy.supabase.co/storage/v1/object/public/old_media/d7fcbc8f.Path.060150.jpg" TargetMode="External"/><Relationship Id="rId151" Type="http://schemas.openxmlformats.org/officeDocument/2006/relationships/hyperlink" Target="https://ryycrdhlkmzpxwwwwupy.supabase.co/storage/v1/object/public/old_media/f24c263a.Path.093007.png" TargetMode="External"/><Relationship Id="rId3286" Type="http://schemas.openxmlformats.org/officeDocument/2006/relationships/hyperlink" Target="https://ryycrdhlkmzpxwwwwupy.supabase.co/storage/v1/object/public/old_media/78c4a1f2.Path.060138.jpg" TargetMode="External"/><Relationship Id="rId158" Type="http://schemas.openxmlformats.org/officeDocument/2006/relationships/hyperlink" Target="https://ryycrdhlkmzpxwwwwupy.supabase.co/storage/v1/object/public/old_media/967eb491.Path.170255.jpg" TargetMode="External"/><Relationship Id="rId3289" Type="http://schemas.openxmlformats.org/officeDocument/2006/relationships/hyperlink" Target="https://ryycrdhlkmzpxwwwwupy.supabase.co/storage/v1/object/public/old_media/8666f550.Path.060226.jpg" TargetMode="External"/><Relationship Id="rId157" Type="http://schemas.openxmlformats.org/officeDocument/2006/relationships/hyperlink" Target="https://ryycrdhlkmzpxwwwwupy.supabase.co/storage/v1/object/public/old_media/6ea7fa58.Path.164139.png" TargetMode="External"/><Relationship Id="rId3288" Type="http://schemas.openxmlformats.org/officeDocument/2006/relationships/hyperlink" Target="https://ryycrdhlkmzpxwwwwupy.supabase.co/storage/v1/object/public/old_media/b1d4c87c.Path.060203.jpg" TargetMode="External"/><Relationship Id="rId156" Type="http://schemas.openxmlformats.org/officeDocument/2006/relationships/hyperlink" Target="https://ryycrdhlkmzpxwwwwupy.supabase.co/storage/v1/object/public/old_media/c8d51cda.Path.164119.jpg" TargetMode="External"/><Relationship Id="rId155" Type="http://schemas.openxmlformats.org/officeDocument/2006/relationships/hyperlink" Target="https://ryycrdhlkmzpxwwwwupy.supabase.co/storage/v1/object/public/old_media/fea097d8.Path.093153.jpg" TargetMode="External"/><Relationship Id="rId2820" Type="http://schemas.openxmlformats.org/officeDocument/2006/relationships/hyperlink" Target="https://ryycrdhlkmzpxwwwwupy.supabase.co/storage/v1/object/public/old_media/c88cd9df.Path.075323.jpg" TargetMode="External"/><Relationship Id="rId2821" Type="http://schemas.openxmlformats.org/officeDocument/2006/relationships/hyperlink" Target="https://ryycrdhlkmzpxwwwwupy.supabase.co/storage/v1/object/public/old_media/e5581ca2.Path.075335.jpg" TargetMode="External"/><Relationship Id="rId2822" Type="http://schemas.openxmlformats.org/officeDocument/2006/relationships/hyperlink" Target="https://ryycrdhlkmzpxwwwwupy.supabase.co/storage/v1/object/public/old_media/37bf3e66.Path.075347.jpg" TargetMode="External"/><Relationship Id="rId2823" Type="http://schemas.openxmlformats.org/officeDocument/2006/relationships/hyperlink" Target="https://ryycrdhlkmzpxwwwwupy.supabase.co/storage/v1/object/public/old_media/f9766a9f.Path.075423.jpg" TargetMode="External"/><Relationship Id="rId2824" Type="http://schemas.openxmlformats.org/officeDocument/2006/relationships/hyperlink" Target="https://ryycrdhlkmzpxwwwwupy.supabase.co/storage/v1/object/public/old_media/8aa0a7a0.Path.075450.jpg" TargetMode="External"/><Relationship Id="rId2825" Type="http://schemas.openxmlformats.org/officeDocument/2006/relationships/hyperlink" Target="https://ryycrdhlkmzpxwwwwupy.supabase.co/storage/v1/object/public/old_media/f472336e.Path.042341.jpg" TargetMode="External"/><Relationship Id="rId2826" Type="http://schemas.openxmlformats.org/officeDocument/2006/relationships/hyperlink" Target="https://ryycrdhlkmzpxwwwwupy.supabase.co/storage/v1/object/public/old_media/18ab1f0b.Path.111914.webp" TargetMode="External"/><Relationship Id="rId2827" Type="http://schemas.openxmlformats.org/officeDocument/2006/relationships/hyperlink" Target="https://ryycrdhlkmzpxwwwwupy.supabase.co/storage/v1/object/public/old_media/179d696d.Path.111923.webp" TargetMode="External"/><Relationship Id="rId2828" Type="http://schemas.openxmlformats.org/officeDocument/2006/relationships/hyperlink" Target="https://ryycrdhlkmzpxwwwwupy.supabase.co/storage/v1/object/public/old_media/49903440.Path.111932.webp" TargetMode="External"/><Relationship Id="rId2829" Type="http://schemas.openxmlformats.org/officeDocument/2006/relationships/hyperlink" Target="https://ryycrdhlkmzpxwwwwupy.supabase.co/storage/v1/object/public/old_media/8e94ed06.Path.111941.webp" TargetMode="External"/><Relationship Id="rId2810" Type="http://schemas.openxmlformats.org/officeDocument/2006/relationships/hyperlink" Target="https://ryycrdhlkmzpxwwwwupy.supabase.co/storage/v1/object/public/old_media/fa8b438d.Path.095053.jpg" TargetMode="External"/><Relationship Id="rId2811" Type="http://schemas.openxmlformats.org/officeDocument/2006/relationships/hyperlink" Target="https://ryycrdhlkmzpxwwwwupy.supabase.co/storage/v1/object/public/old_media/0498d1b3.Path.095112.jpg" TargetMode="External"/><Relationship Id="rId2812" Type="http://schemas.openxmlformats.org/officeDocument/2006/relationships/hyperlink" Target="https://ryycrdhlkmzpxwwwwupy.supabase.co/storage/v1/object/public/old_media/171113d4.Path.095133.jpg" TargetMode="External"/><Relationship Id="rId2813" Type="http://schemas.openxmlformats.org/officeDocument/2006/relationships/hyperlink" Target="https://ryycrdhlkmzpxwwwwupy.supabase.co/storage/v1/object/public/old_media/da1b73e1.Path.095205.jpg" TargetMode="External"/><Relationship Id="rId2814" Type="http://schemas.openxmlformats.org/officeDocument/2006/relationships/hyperlink" Target="https://ryycrdhlkmzpxwwwwupy.supabase.co/storage/v1/object/public/old_media/b4c41e56.Path.095240.jpg" TargetMode="External"/><Relationship Id="rId2815" Type="http://schemas.openxmlformats.org/officeDocument/2006/relationships/hyperlink" Target="https://ryycrdhlkmzpxwwwwupy.supabase.co/storage/v1/object/public/old_media/5fed739b.Path.095404.jpg" TargetMode="External"/><Relationship Id="rId2816" Type="http://schemas.openxmlformats.org/officeDocument/2006/relationships/hyperlink" Target="https://ryycrdhlkmzpxwwwwupy.supabase.co/storage/v1/object/public/old_media/bc6ab571.Path.095418.jpg" TargetMode="External"/><Relationship Id="rId2817" Type="http://schemas.openxmlformats.org/officeDocument/2006/relationships/hyperlink" Target="https://ryycrdhlkmzpxwwwwupy.supabase.co/storage/v1/object/public/old_media/07fd523d.Path.095454.jpg" TargetMode="External"/><Relationship Id="rId2818" Type="http://schemas.openxmlformats.org/officeDocument/2006/relationships/hyperlink" Target="https://ryycrdhlkmzpxwwwwupy.supabase.co/storage/v1/object/public/old_media/3ac4e981.Path.095519.jpg" TargetMode="External"/><Relationship Id="rId2819" Type="http://schemas.openxmlformats.org/officeDocument/2006/relationships/hyperlink" Target="https://ryycrdhlkmzpxwwwwupy.supabase.co/storage/v1/object/public/old_media/ee5b382c.Path.095547.jpg" TargetMode="External"/><Relationship Id="rId5082" Type="http://schemas.openxmlformats.org/officeDocument/2006/relationships/hyperlink" Target="https://ryycrdhlkmzpxwwwwupy.supabase.co/storage/v1/object/public/old_media/4429cead.Path.091406.avif" TargetMode="External"/><Relationship Id="rId5083" Type="http://schemas.openxmlformats.org/officeDocument/2006/relationships/hyperlink" Target="https://ryycrdhlkmzpxwwwwupy.supabase.co/storage/v1/object/public/old_media/433a0717.Path.091437.avif" TargetMode="External"/><Relationship Id="rId5080" Type="http://schemas.openxmlformats.org/officeDocument/2006/relationships/hyperlink" Target="https://ryycrdhlkmzpxwwwwupy.supabase.co/storage/v1/object/public/old_media/1473f06e.Path.045208.jpg" TargetMode="External"/><Relationship Id="rId5081" Type="http://schemas.openxmlformats.org/officeDocument/2006/relationships/hyperlink" Target="https://ryycrdhlkmzpxwwwwupy.supabase.co/storage/v1/object/public/old_media/070cfaee.Path.045609.jpg" TargetMode="External"/><Relationship Id="rId5086" Type="http://schemas.openxmlformats.org/officeDocument/2006/relationships/hyperlink" Target="https://ryycrdhlkmzpxwwwwupy.supabase.co/storage/v1/object/public/old_media/f9493429.Path.091610.avif" TargetMode="External"/><Relationship Id="rId5087" Type="http://schemas.openxmlformats.org/officeDocument/2006/relationships/hyperlink" Target="https://ryycrdhlkmzpxwwwwupy.supabase.co/storage/v1/object/public/old_media/fa01afd8.Path.091639.avif" TargetMode="External"/><Relationship Id="rId5084" Type="http://schemas.openxmlformats.org/officeDocument/2006/relationships/hyperlink" Target="https://ryycrdhlkmzpxwwwwupy.supabase.co/storage/v1/object/public/old_media/3b77adb3.Path.091509.avif" TargetMode="External"/><Relationship Id="rId5085" Type="http://schemas.openxmlformats.org/officeDocument/2006/relationships/hyperlink" Target="https://ryycrdhlkmzpxwwwwupy.supabase.co/storage/v1/object/public/old_media/bb75f6cf.Path.091540.avif" TargetMode="External"/><Relationship Id="rId5088" Type="http://schemas.openxmlformats.org/officeDocument/2006/relationships/hyperlink" Target="https://ryycrdhlkmzpxwwwwupy.supabase.co/storage/v1/object/public/old_media/37fe2e71.Path.091709.avif" TargetMode="External"/><Relationship Id="rId5089" Type="http://schemas.openxmlformats.org/officeDocument/2006/relationships/drawing" Target="../drawings/drawing14.xml"/><Relationship Id="rId1510" Type="http://schemas.openxmlformats.org/officeDocument/2006/relationships/hyperlink" Target="https://ryycrdhlkmzpxwwwwupy.supabase.co/storage/v1/object/public/old_media/8e9f19f6.Path.091324.jpg" TargetMode="External"/><Relationship Id="rId2841" Type="http://schemas.openxmlformats.org/officeDocument/2006/relationships/hyperlink" Target="https://ryycrdhlkmzpxwwwwupy.supabase.co/storage/v1/object/public/old_media/4b0ad9bc.Path.073805.jpg" TargetMode="External"/><Relationship Id="rId1511" Type="http://schemas.openxmlformats.org/officeDocument/2006/relationships/hyperlink" Target="https://ryycrdhlkmzpxwwwwupy.supabase.co/storage/v1/object/public/old_media/a74835eb.Path.091427.jpg" TargetMode="External"/><Relationship Id="rId2842" Type="http://schemas.openxmlformats.org/officeDocument/2006/relationships/hyperlink" Target="https://ryycrdhlkmzpxwwwwupy.supabase.co/storage/v1/object/public/old_media/bd830461.Path.105328.jpg" TargetMode="External"/><Relationship Id="rId1512" Type="http://schemas.openxmlformats.org/officeDocument/2006/relationships/hyperlink" Target="https://ryycrdhlkmzpxwwwwupy.supabase.co/storage/v1/object/public/old_media/24b71993.Path.091639.jpg" TargetMode="External"/><Relationship Id="rId2843" Type="http://schemas.openxmlformats.org/officeDocument/2006/relationships/hyperlink" Target="https://ryycrdhlkmzpxwwwwupy.supabase.co/storage/v1/object/public/old_media/e1f1ed21.Path.105402.jpg" TargetMode="External"/><Relationship Id="rId1513" Type="http://schemas.openxmlformats.org/officeDocument/2006/relationships/hyperlink" Target="https://ryycrdhlkmzpxwwwwupy.supabase.co/storage/v1/object/public/old_media/ed2346c5.Path.091843.jpg" TargetMode="External"/><Relationship Id="rId2844" Type="http://schemas.openxmlformats.org/officeDocument/2006/relationships/hyperlink" Target="https://ryycrdhlkmzpxwwwwupy.supabase.co/storage/v1/object/public/old_media/f77d89ec.Path.105413.jpg" TargetMode="External"/><Relationship Id="rId1514" Type="http://schemas.openxmlformats.org/officeDocument/2006/relationships/hyperlink" Target="https://ryycrdhlkmzpxwwwwupy.supabase.co/storage/v1/object/public/old_media/ace65cb7.Path.092105.jpg" TargetMode="External"/><Relationship Id="rId2845" Type="http://schemas.openxmlformats.org/officeDocument/2006/relationships/hyperlink" Target="https://ryycrdhlkmzpxwwwwupy.supabase.co/storage/v1/object/public/old_media/f686e402.Path.113817.jpg" TargetMode="External"/><Relationship Id="rId1515" Type="http://schemas.openxmlformats.org/officeDocument/2006/relationships/hyperlink" Target="https://ryycrdhlkmzpxwwwwupy.supabase.co/storage/v1/object/public/old_media/4e8db5de.Path.092251.jpg" TargetMode="External"/><Relationship Id="rId2846" Type="http://schemas.openxmlformats.org/officeDocument/2006/relationships/hyperlink" Target="https://ryycrdhlkmzpxwwwwupy.supabase.co/storage/v1/object/public/old_media/f93eef71.Path.113829.jpg" TargetMode="External"/><Relationship Id="rId1516" Type="http://schemas.openxmlformats.org/officeDocument/2006/relationships/hyperlink" Target="https://ryycrdhlkmzpxwwwwupy.supabase.co/storage/v1/object/public/old_media/95ced675.Path.092513.jpg" TargetMode="External"/><Relationship Id="rId2847" Type="http://schemas.openxmlformats.org/officeDocument/2006/relationships/hyperlink" Target="https://ryycrdhlkmzpxwwwwupy.supabase.co/storage/v1/object/public/old_media/fca9466a.Path.074800.jpg" TargetMode="External"/><Relationship Id="rId1517" Type="http://schemas.openxmlformats.org/officeDocument/2006/relationships/hyperlink" Target="https://ryycrdhlkmzpxwwwwupy.supabase.co/storage/v1/object/public/old_media/6aa57645.Path.092714.jpg" TargetMode="External"/><Relationship Id="rId2848" Type="http://schemas.openxmlformats.org/officeDocument/2006/relationships/hyperlink" Target="https://ryycrdhlkmzpxwwwwupy.supabase.co/storage/v1/object/public/old_media/82312283.Path.074812.jpg" TargetMode="External"/><Relationship Id="rId1518" Type="http://schemas.openxmlformats.org/officeDocument/2006/relationships/hyperlink" Target="https://ryycrdhlkmzpxwwwwupy.supabase.co/storage/v1/object/public/old_media/809d5b40.Path.092831.jpg" TargetMode="External"/><Relationship Id="rId2849" Type="http://schemas.openxmlformats.org/officeDocument/2006/relationships/hyperlink" Target="https://ryycrdhlkmzpxwwwwupy.supabase.co/storage/v1/object/public/old_media/4d2f2ece.Path.074822.jpg" TargetMode="External"/><Relationship Id="rId1519" Type="http://schemas.openxmlformats.org/officeDocument/2006/relationships/hyperlink" Target="https://ryycrdhlkmzpxwwwwupy.supabase.co/storage/v1/object/public/old_media/0515f049.Path.093012.jpg" TargetMode="External"/><Relationship Id="rId2840" Type="http://schemas.openxmlformats.org/officeDocument/2006/relationships/hyperlink" Target="https://ryycrdhlkmzpxwwwwupy.supabase.co/storage/v1/object/public/old_media/ffe59f55.Path.073754.jpg" TargetMode="External"/><Relationship Id="rId2830" Type="http://schemas.openxmlformats.org/officeDocument/2006/relationships/hyperlink" Target="https://ryycrdhlkmzpxwwwwupy.supabase.co/storage/v1/object/public/old_media/e8707083.Path.111955.webp" TargetMode="External"/><Relationship Id="rId1500" Type="http://schemas.openxmlformats.org/officeDocument/2006/relationships/hyperlink" Target="https://ryycrdhlkmzpxwwwwupy.supabase.co/storage/v1/object/public/old_media/56204efc.Path.044938.jpg" TargetMode="External"/><Relationship Id="rId2831" Type="http://schemas.openxmlformats.org/officeDocument/2006/relationships/hyperlink" Target="https://ryycrdhlkmzpxwwwwupy.supabase.co/storage/v1/object/public/old_media/cca17327.Path.112006.webp" TargetMode="External"/><Relationship Id="rId1501" Type="http://schemas.openxmlformats.org/officeDocument/2006/relationships/hyperlink" Target="https://ryycrdhlkmzpxwwwwupy.supabase.co/storage/v1/object/public/old_media/669ad42b.Path.062007.jpg" TargetMode="External"/><Relationship Id="rId2832" Type="http://schemas.openxmlformats.org/officeDocument/2006/relationships/hyperlink" Target="https://ryycrdhlkmzpxwwwwupy.supabase.co/storage/v1/object/public/old_media/6d1f2d77.Path.112016.webp" TargetMode="External"/><Relationship Id="rId1502" Type="http://schemas.openxmlformats.org/officeDocument/2006/relationships/hyperlink" Target="https://ryycrdhlkmzpxwwwwupy.supabase.co/storage/v1/object/public/old_media/ff0c7162.Path.062017.jpg" TargetMode="External"/><Relationship Id="rId2833" Type="http://schemas.openxmlformats.org/officeDocument/2006/relationships/hyperlink" Target="https://ryycrdhlkmzpxwwwwupy.supabase.co/storage/v1/object/public/old_media/9e0b1d26.Path.055404.webp" TargetMode="External"/><Relationship Id="rId1503" Type="http://schemas.openxmlformats.org/officeDocument/2006/relationships/hyperlink" Target="https://ryycrdhlkmzpxwwwwupy.supabase.co/storage/v1/object/public/old_media/33d6d28f.Path.062032.jpg" TargetMode="External"/><Relationship Id="rId2834" Type="http://schemas.openxmlformats.org/officeDocument/2006/relationships/hyperlink" Target="https://ryycrdhlkmzpxwwwwupy.supabase.co/storage/v1/object/public/old_media/df8336f6.Path.055418.webp" TargetMode="External"/><Relationship Id="rId1504" Type="http://schemas.openxmlformats.org/officeDocument/2006/relationships/hyperlink" Target="https://ryycrdhlkmzpxwwwwupy.supabase.co/storage/v1/object/public/old_media/c1f7eb5f.Path.070051.jpg" TargetMode="External"/><Relationship Id="rId2835" Type="http://schemas.openxmlformats.org/officeDocument/2006/relationships/hyperlink" Target="https://ryycrdhlkmzpxwwwwupy.supabase.co/storage/v1/object/public/old_media/cfdb9404.Path.055427.webp" TargetMode="External"/><Relationship Id="rId1505" Type="http://schemas.openxmlformats.org/officeDocument/2006/relationships/hyperlink" Target="https://ryycrdhlkmzpxwwwwupy.supabase.co/storage/v1/object/public/old_media/ab40c599.Path.072441.jpg" TargetMode="External"/><Relationship Id="rId2836" Type="http://schemas.openxmlformats.org/officeDocument/2006/relationships/hyperlink" Target="https://ryycrdhlkmzpxwwwwupy.supabase.co/storage/v1/object/public/old_media/f089fd25.Path.055436.webp" TargetMode="External"/><Relationship Id="rId1506" Type="http://schemas.openxmlformats.org/officeDocument/2006/relationships/hyperlink" Target="https://ryycrdhlkmzpxwwwwupy.supabase.co/storage/v1/object/public/old_media/d0d78e60.Path.072455.jpg" TargetMode="External"/><Relationship Id="rId2837" Type="http://schemas.openxmlformats.org/officeDocument/2006/relationships/hyperlink" Target="https://ryycrdhlkmzpxwwwwupy.supabase.co/storage/v1/object/public/old_media/9590bb87.Path.055444.jpg" TargetMode="External"/><Relationship Id="rId1507" Type="http://schemas.openxmlformats.org/officeDocument/2006/relationships/hyperlink" Target="https://ryycrdhlkmzpxwwwwupy.supabase.co/storage/v1/object/public/old_media/a26069c0.Path.072507.jpg" TargetMode="External"/><Relationship Id="rId2838" Type="http://schemas.openxmlformats.org/officeDocument/2006/relationships/hyperlink" Target="https://ryycrdhlkmzpxwwwwupy.supabase.co/storage/v1/object/public/old_media/efdfa19e.Path.073736.jpg" TargetMode="External"/><Relationship Id="rId1508" Type="http://schemas.openxmlformats.org/officeDocument/2006/relationships/hyperlink" Target="https://ryycrdhlkmzpxwwwwupy.supabase.co/storage/v1/object/public/old_media/f4d3656e.Path.072518.jpg" TargetMode="External"/><Relationship Id="rId2839" Type="http://schemas.openxmlformats.org/officeDocument/2006/relationships/hyperlink" Target="https://ryycrdhlkmzpxwwwwupy.supabase.co/storage/v1/object/public/old_media/76eb8cf5.Path.073746.jpg" TargetMode="External"/><Relationship Id="rId1509" Type="http://schemas.openxmlformats.org/officeDocument/2006/relationships/hyperlink" Target="https://ryycrdhlkmzpxwwwwupy.supabase.co/storage/v1/object/public/old_media/62be0ef6.Path.091139.jpg" TargetMode="External"/><Relationship Id="rId5050" Type="http://schemas.openxmlformats.org/officeDocument/2006/relationships/hyperlink" Target="https://ryycrdhlkmzpxwwwwupy.supabase.co/storage/v1/object/public/old_media/906ccbc8.Path.072424.avif" TargetMode="External"/><Relationship Id="rId5053" Type="http://schemas.openxmlformats.org/officeDocument/2006/relationships/hyperlink" Target="https://ryycrdhlkmzpxwwwwupy.supabase.co/storage/v1/object/public/old_media/c4ba0cf6.Path.043214.jpg" TargetMode="External"/><Relationship Id="rId5054" Type="http://schemas.openxmlformats.org/officeDocument/2006/relationships/hyperlink" Target="https://ryycrdhlkmzpxwwwwupy.supabase.co/storage/v1/object/public/old_media/6ac8dce2.Path.043243.jpg" TargetMode="External"/><Relationship Id="rId5051" Type="http://schemas.openxmlformats.org/officeDocument/2006/relationships/hyperlink" Target="https://ryycrdhlkmzpxwwwwupy.supabase.co/storage/v1/object/public/old_media/72fc72ec.Path.072456.avif" TargetMode="External"/><Relationship Id="rId5052" Type="http://schemas.openxmlformats.org/officeDocument/2006/relationships/hyperlink" Target="https://ryycrdhlkmzpxwwwwupy.supabase.co/storage/v1/object/public/old_media/41a7f080.Path.072525.avif" TargetMode="External"/><Relationship Id="rId5057" Type="http://schemas.openxmlformats.org/officeDocument/2006/relationships/hyperlink" Target="https://ryycrdhlkmzpxwwwwupy.supabase.co/storage/v1/object/public/old_media/2ecda983.Path.043410.jpg" TargetMode="External"/><Relationship Id="rId5058" Type="http://schemas.openxmlformats.org/officeDocument/2006/relationships/hyperlink" Target="https://ryycrdhlkmzpxwwwwupy.supabase.co/storage/v1/object/public/old_media/3cfcc4bf.Path.043439.png" TargetMode="External"/><Relationship Id="rId5055" Type="http://schemas.openxmlformats.org/officeDocument/2006/relationships/hyperlink" Target="https://ryycrdhlkmzpxwwwwupy.supabase.co/storage/v1/object/public/old_media/9343f5d1.Path.043313.jpg" TargetMode="External"/><Relationship Id="rId5056" Type="http://schemas.openxmlformats.org/officeDocument/2006/relationships/hyperlink" Target="https://ryycrdhlkmzpxwwwwupy.supabase.co/storage/v1/object/public/old_media/60e3cf7b.Path.043342.jpg" TargetMode="External"/><Relationship Id="rId5059" Type="http://schemas.openxmlformats.org/officeDocument/2006/relationships/hyperlink" Target="https://ryycrdhlkmzpxwwwwupy.supabase.co/storage/v1/object/public/old_media/a4fe6589.Path.043508.png" TargetMode="External"/><Relationship Id="rId5042" Type="http://schemas.openxmlformats.org/officeDocument/2006/relationships/hyperlink" Target="https://ryycrdhlkmzpxwwwwupy.supabase.co/storage/v1/object/public/old_media/507fe056.Path.065434.avif" TargetMode="External"/><Relationship Id="rId5043" Type="http://schemas.openxmlformats.org/officeDocument/2006/relationships/hyperlink" Target="https://ryycrdhlkmzpxwwwwupy.supabase.co/storage/v1/object/public/old_media/2433077d.Path.065505.avif" TargetMode="External"/><Relationship Id="rId5040" Type="http://schemas.openxmlformats.org/officeDocument/2006/relationships/hyperlink" Target="https://ryycrdhlkmzpxwwwwupy.supabase.co/storage/v1/object/public/old_media/b5c8e8df.Path.055523.jpg" TargetMode="External"/><Relationship Id="rId5041" Type="http://schemas.openxmlformats.org/officeDocument/2006/relationships/hyperlink" Target="https://ryycrdhlkmzpxwwwwupy.supabase.co/storage/v1/object/public/old_media/81b1a7c8.Path.041930.webp" TargetMode="External"/><Relationship Id="rId5046" Type="http://schemas.openxmlformats.org/officeDocument/2006/relationships/hyperlink" Target="https://ryycrdhlkmzpxwwwwupy.supabase.co/storage/v1/object/public/old_media/fb6dc5e5.Path.070207.avif" TargetMode="External"/><Relationship Id="rId5047" Type="http://schemas.openxmlformats.org/officeDocument/2006/relationships/hyperlink" Target="https://ryycrdhlkmzpxwwwwupy.supabase.co/storage/v1/object/public/old_media/9565e3d4.Path.070237.avif" TargetMode="External"/><Relationship Id="rId5044" Type="http://schemas.openxmlformats.org/officeDocument/2006/relationships/hyperlink" Target="https://ryycrdhlkmzpxwwwwupy.supabase.co/storage/v1/object/public/old_media/e4182872.Path.065533.avif" TargetMode="External"/><Relationship Id="rId5045" Type="http://schemas.openxmlformats.org/officeDocument/2006/relationships/hyperlink" Target="https://ryycrdhlkmzpxwwwwupy.supabase.co/storage/v1/object/public/old_media/13b0ffbf.Path.070107.avif" TargetMode="External"/><Relationship Id="rId5048" Type="http://schemas.openxmlformats.org/officeDocument/2006/relationships/hyperlink" Target="https://ryycrdhlkmzpxwwwwupy.supabase.co/storage/v1/object/public/old_media/2b82cbd8.Path.072321.avif" TargetMode="External"/><Relationship Id="rId5049" Type="http://schemas.openxmlformats.org/officeDocument/2006/relationships/hyperlink" Target="https://ryycrdhlkmzpxwwwwupy.supabase.co/storage/v1/object/public/old_media/b3dfae59.Path.072351.avif" TargetMode="External"/><Relationship Id="rId2800" Type="http://schemas.openxmlformats.org/officeDocument/2006/relationships/hyperlink" Target="https://ryycrdhlkmzpxwwwwupy.supabase.co/storage/v1/object/public/old_media/5f835759.Path.093259.jpg" TargetMode="External"/><Relationship Id="rId2801" Type="http://schemas.openxmlformats.org/officeDocument/2006/relationships/hyperlink" Target="https://ryycrdhlkmzpxwwwwupy.supabase.co/storage/v1/object/public/old_media/a9f5964c.Path.093313.jpg" TargetMode="External"/><Relationship Id="rId2802" Type="http://schemas.openxmlformats.org/officeDocument/2006/relationships/hyperlink" Target="https://ryycrdhlkmzpxwwwwupy.supabase.co/storage/v1/object/public/old_media/4ffa09ce.Path.093326.jpg" TargetMode="External"/><Relationship Id="rId2803" Type="http://schemas.openxmlformats.org/officeDocument/2006/relationships/hyperlink" Target="https://ryycrdhlkmzpxwwwwupy.supabase.co/storage/v1/object/public/old_media/a20eaf2b.Path.093338.jpg" TargetMode="External"/><Relationship Id="rId2804" Type="http://schemas.openxmlformats.org/officeDocument/2006/relationships/hyperlink" Target="https://ryycrdhlkmzpxwwwwupy.supabase.co/storage/v1/object/public/old_media/dd38a240.Path.063451.jpg" TargetMode="External"/><Relationship Id="rId2805" Type="http://schemas.openxmlformats.org/officeDocument/2006/relationships/hyperlink" Target="https://ryycrdhlkmzpxwwwwupy.supabase.co/storage/v1/object/public/old_media/c50acdf9.Path.073316.jpg" TargetMode="External"/><Relationship Id="rId2806" Type="http://schemas.openxmlformats.org/officeDocument/2006/relationships/hyperlink" Target="https://ryycrdhlkmzpxwwwwupy.supabase.co/storage/v1/object/public/old_media/11716fe0.Path.073537.jpg" TargetMode="External"/><Relationship Id="rId2807" Type="http://schemas.openxmlformats.org/officeDocument/2006/relationships/hyperlink" Target="https://ryycrdhlkmzpxwwwwupy.supabase.co/storage/v1/object/public/old_media/399855fd.Path.073550.jpg" TargetMode="External"/><Relationship Id="rId2808" Type="http://schemas.openxmlformats.org/officeDocument/2006/relationships/hyperlink" Target="https://ryycrdhlkmzpxwwwwupy.supabase.co/storage/v1/object/public/old_media/8a166579.Path.073603.jpg" TargetMode="External"/><Relationship Id="rId2809" Type="http://schemas.openxmlformats.org/officeDocument/2006/relationships/hyperlink" Target="https://ryycrdhlkmzpxwwwwupy.supabase.co/storage/v1/object/public/old_media/eea353b7.Path.095036.jpg" TargetMode="External"/><Relationship Id="rId5071" Type="http://schemas.openxmlformats.org/officeDocument/2006/relationships/hyperlink" Target="https://ryycrdhlkmzpxwwwwupy.supabase.co/storage/v1/object/public/old_media/607599b5.Path.054657.avif" TargetMode="External"/><Relationship Id="rId5072" Type="http://schemas.openxmlformats.org/officeDocument/2006/relationships/hyperlink" Target="https://ryycrdhlkmzpxwwwwupy.supabase.co/storage/v1/object/public/old_media/a8d7c0df.Path.054729.avif" TargetMode="External"/><Relationship Id="rId5070" Type="http://schemas.openxmlformats.org/officeDocument/2006/relationships/hyperlink" Target="https://ryycrdhlkmzpxwwwwupy.supabase.co/storage/v1/object/public/old_media/5fae5ece.Path.054625.avif" TargetMode="External"/><Relationship Id="rId5075" Type="http://schemas.openxmlformats.org/officeDocument/2006/relationships/hyperlink" Target="https://ryycrdhlkmzpxwwwwupy.supabase.co/storage/v1/object/public/old_media/f7c1b481.Path.044259.jpg" TargetMode="External"/><Relationship Id="rId5076" Type="http://schemas.openxmlformats.org/officeDocument/2006/relationships/hyperlink" Target="https://ryycrdhlkmzpxwwwwupy.supabase.co/storage/v1/object/public/old_media/e9c2f113.Path.044330.jpg" TargetMode="External"/><Relationship Id="rId5073" Type="http://schemas.openxmlformats.org/officeDocument/2006/relationships/hyperlink" Target="https://ryycrdhlkmzpxwwwwupy.supabase.co/storage/v1/object/public/old_media/9bb10fbb.Path.054810.jpg" TargetMode="External"/><Relationship Id="rId5074" Type="http://schemas.openxmlformats.org/officeDocument/2006/relationships/hyperlink" Target="https://ryycrdhlkmzpxwwwwupy.supabase.co/storage/v1/object/public/old_media/9b59e6fd.Path.055034.jpg" TargetMode="External"/><Relationship Id="rId5079" Type="http://schemas.openxmlformats.org/officeDocument/2006/relationships/hyperlink" Target="https://ryycrdhlkmzpxwwwwupy.supabase.co/storage/v1/object/public/old_media/fed3b2a8.Path.044808.jpg" TargetMode="External"/><Relationship Id="rId5077" Type="http://schemas.openxmlformats.org/officeDocument/2006/relationships/hyperlink" Target="https://ryycrdhlkmzpxwwwwupy.supabase.co/storage/v1/object/public/old_media/eb1e05c4.Path.044403.jpg" TargetMode="External"/><Relationship Id="rId5078" Type="http://schemas.openxmlformats.org/officeDocument/2006/relationships/hyperlink" Target="https://ryycrdhlkmzpxwwwwupy.supabase.co/storage/v1/object/public/old_media/f97798fc.Path.044438.jpg" TargetMode="External"/><Relationship Id="rId5060" Type="http://schemas.openxmlformats.org/officeDocument/2006/relationships/hyperlink" Target="https://ryycrdhlkmzpxwwwwupy.supabase.co/storage/v1/object/public/old_media/8ad945d3.Path.043537.jpg" TargetMode="External"/><Relationship Id="rId5061" Type="http://schemas.openxmlformats.org/officeDocument/2006/relationships/hyperlink" Target="https://ryycrdhlkmzpxwwwwupy.supabase.co/storage/v1/object/public/old_media/80788245.Path.043605.jpg" TargetMode="External"/><Relationship Id="rId5064" Type="http://schemas.openxmlformats.org/officeDocument/2006/relationships/hyperlink" Target="https://ryycrdhlkmzpxwwwwupy.supabase.co/storage/v1/object/public/old_media/59638e7b.Path.043806.jpg" TargetMode="External"/><Relationship Id="rId5065" Type="http://schemas.openxmlformats.org/officeDocument/2006/relationships/hyperlink" Target="https://ryycrdhlkmzpxwwwwupy.supabase.co/storage/v1/object/public/old_media/d877a13d.Path.053045.jpg" TargetMode="External"/><Relationship Id="rId5062" Type="http://schemas.openxmlformats.org/officeDocument/2006/relationships/hyperlink" Target="https://ryycrdhlkmzpxwwwwupy.supabase.co/storage/v1/object/public/old_media/6a69e11d.Path.043633.jpg" TargetMode="External"/><Relationship Id="rId5063" Type="http://schemas.openxmlformats.org/officeDocument/2006/relationships/hyperlink" Target="https://ryycrdhlkmzpxwwwwupy.supabase.co/storage/v1/object/public/old_media/c365fad2.Path.043704.jpg" TargetMode="External"/><Relationship Id="rId5068" Type="http://schemas.openxmlformats.org/officeDocument/2006/relationships/hyperlink" Target="https://ryycrdhlkmzpxwwwwupy.supabase.co/storage/v1/object/public/old_media/90995784.Path.054529.avif" TargetMode="External"/><Relationship Id="rId5069" Type="http://schemas.openxmlformats.org/officeDocument/2006/relationships/hyperlink" Target="https://ryycrdhlkmzpxwwwwupy.supabase.co/storage/v1/object/public/old_media/0c782c9f.Path.054557.avif" TargetMode="External"/><Relationship Id="rId5066" Type="http://schemas.openxmlformats.org/officeDocument/2006/relationships/hyperlink" Target="https://ryycrdhlkmzpxwwwwupy.supabase.co/storage/v1/object/public/old_media/ed63ec5e.Path.053116.jpg" TargetMode="External"/><Relationship Id="rId5067" Type="http://schemas.openxmlformats.org/officeDocument/2006/relationships/hyperlink" Target="https://ryycrdhlkmzpxwwwwupy.supabase.co/storage/v1/object/public/old_media/c9f26da6.Path.053217.jpg" TargetMode="External"/><Relationship Id="rId1576" Type="http://schemas.openxmlformats.org/officeDocument/2006/relationships/hyperlink" Target="https://ryycrdhlkmzpxwwwwupy.supabase.co/storage/v1/object/public/old_media/29ce3121.Path.054019.jpg" TargetMode="External"/><Relationship Id="rId4602" Type="http://schemas.openxmlformats.org/officeDocument/2006/relationships/hyperlink" Target="https://ryycrdhlkmzpxwwwwupy.supabase.co/storage/v1/object/public/old_media/49977abc.Path.110010.jpg" TargetMode="External"/><Relationship Id="rId1577" Type="http://schemas.openxmlformats.org/officeDocument/2006/relationships/hyperlink" Target="https://ryycrdhlkmzpxwwwwupy.supabase.co/storage/v1/object/public/old_media/e3cf4b8c.Path.055741.jpg" TargetMode="External"/><Relationship Id="rId4601" Type="http://schemas.openxmlformats.org/officeDocument/2006/relationships/hyperlink" Target="https://ryycrdhlkmzpxwwwwupy.supabase.co/storage/v1/object/public/old_media/dd63c45f.Path.051804.jpg" TargetMode="External"/><Relationship Id="rId1578" Type="http://schemas.openxmlformats.org/officeDocument/2006/relationships/hyperlink" Target="https://ryycrdhlkmzpxwwwwupy.supabase.co/storage/v1/object/public/old_media/5691334c.Path.055753.jpg" TargetMode="External"/><Relationship Id="rId4604" Type="http://schemas.openxmlformats.org/officeDocument/2006/relationships/hyperlink" Target="https://ryycrdhlkmzpxwwwwupy.supabase.co/storage/v1/object/public/old_media/cc38526d.Path.110111.jpg" TargetMode="External"/><Relationship Id="rId1579" Type="http://schemas.openxmlformats.org/officeDocument/2006/relationships/hyperlink" Target="https://ryycrdhlkmzpxwwwwupy.supabase.co/storage/v1/object/public/old_media/5f6c121f.Path.055811.jpg" TargetMode="External"/><Relationship Id="rId4603" Type="http://schemas.openxmlformats.org/officeDocument/2006/relationships/hyperlink" Target="https://ryycrdhlkmzpxwwwwupy.supabase.co/storage/v1/object/public/old_media/e4c1c96a.Path.110039.jpg" TargetMode="External"/><Relationship Id="rId4606" Type="http://schemas.openxmlformats.org/officeDocument/2006/relationships/hyperlink" Target="https://ryycrdhlkmzpxwwwwupy.supabase.co/storage/v1/object/public/old_media/9ae24826.Path.110206.jpg" TargetMode="External"/><Relationship Id="rId4605" Type="http://schemas.openxmlformats.org/officeDocument/2006/relationships/hyperlink" Target="https://ryycrdhlkmzpxwwwwupy.supabase.co/storage/v1/object/public/old_media/bcb3d4e2.Path.110136.jpg" TargetMode="External"/><Relationship Id="rId4608" Type="http://schemas.openxmlformats.org/officeDocument/2006/relationships/hyperlink" Target="https://ryycrdhlkmzpxwwwwupy.supabase.co/storage/v1/object/public/old_media/d30ce708.Path.050225.jpg" TargetMode="External"/><Relationship Id="rId4607" Type="http://schemas.openxmlformats.org/officeDocument/2006/relationships/hyperlink" Target="https://ryycrdhlkmzpxwwwwupy.supabase.co/storage/v1/object/public/old_media/50977598.Path.050155.jpg" TargetMode="External"/><Relationship Id="rId4609" Type="http://schemas.openxmlformats.org/officeDocument/2006/relationships/hyperlink" Target="https://ryycrdhlkmzpxwwwwupy.supabase.co/storage/v1/object/public/old_media/b39173e7.Path.050253.jpg" TargetMode="External"/><Relationship Id="rId987" Type="http://schemas.openxmlformats.org/officeDocument/2006/relationships/hyperlink" Target="https://ryycrdhlkmzpxwwwwupy.supabase.co/storage/v1/object/public/old_media/550d2b47.Path.044929.jpg" TargetMode="External"/><Relationship Id="rId986" Type="http://schemas.openxmlformats.org/officeDocument/2006/relationships/hyperlink" Target="https://ryycrdhlkmzpxwwwwupy.supabase.co/storage/v1/object/public/old_media/529cec9a.Path.120010.jpg" TargetMode="External"/><Relationship Id="rId985" Type="http://schemas.openxmlformats.org/officeDocument/2006/relationships/hyperlink" Target="https://ryycrdhlkmzpxwwwwupy.supabase.co/storage/v1/object/public/old_media/ae62fd98.Path.115953.jpg" TargetMode="External"/><Relationship Id="rId984" Type="http://schemas.openxmlformats.org/officeDocument/2006/relationships/hyperlink" Target="https://ryycrdhlkmzpxwwwwupy.supabase.co/storage/v1/object/public/old_media/5b20edaf.Path.115935.jpg" TargetMode="External"/><Relationship Id="rId989" Type="http://schemas.openxmlformats.org/officeDocument/2006/relationships/hyperlink" Target="https://ryycrdhlkmzpxwwwwupy.supabase.co/storage/v1/object/public/old_media/34f40cfc.Path.044954.jpg" TargetMode="External"/><Relationship Id="rId988" Type="http://schemas.openxmlformats.org/officeDocument/2006/relationships/hyperlink" Target="https://ryycrdhlkmzpxwwwwupy.supabase.co/storage/v1/object/public/old_media/68eb6624.Path.044947.jpg" TargetMode="External"/><Relationship Id="rId1570" Type="http://schemas.openxmlformats.org/officeDocument/2006/relationships/hyperlink" Target="https://ryycrdhlkmzpxwwwwupy.supabase.co/storage/v1/object/public/old_media/514fa305.Path.053721.jpg" TargetMode="External"/><Relationship Id="rId1571" Type="http://schemas.openxmlformats.org/officeDocument/2006/relationships/hyperlink" Target="https://ryycrdhlkmzpxwwwwupy.supabase.co/storage/v1/object/public/old_media/0fe5077f.Path.053736.jpg" TargetMode="External"/><Relationship Id="rId983" Type="http://schemas.openxmlformats.org/officeDocument/2006/relationships/hyperlink" Target="https://ryycrdhlkmzpxwwwwupy.supabase.co/storage/v1/object/public/old_media/586ed3d1.Path.115927.jpg" TargetMode="External"/><Relationship Id="rId1572" Type="http://schemas.openxmlformats.org/officeDocument/2006/relationships/hyperlink" Target="https://ryycrdhlkmzpxwwwwupy.supabase.co/storage/v1/object/public/old_media/c3a9a0f8.Path.053745.jpg" TargetMode="External"/><Relationship Id="rId982" Type="http://schemas.openxmlformats.org/officeDocument/2006/relationships/hyperlink" Target="https://ryycrdhlkmzpxwwwwupy.supabase.co/storage/v1/object/public/old_media/bd73c662.Path.115908.jpg" TargetMode="External"/><Relationship Id="rId1573" Type="http://schemas.openxmlformats.org/officeDocument/2006/relationships/hyperlink" Target="https://ryycrdhlkmzpxwwwwupy.supabase.co/storage/v1/object/public/old_media/d3cba220.Path.053756.jpg" TargetMode="External"/><Relationship Id="rId981" Type="http://schemas.openxmlformats.org/officeDocument/2006/relationships/hyperlink" Target="https://ryycrdhlkmzpxwwwwupy.supabase.co/storage/v1/object/public/old_media/5755684c.Path.115900.jpg" TargetMode="External"/><Relationship Id="rId1574" Type="http://schemas.openxmlformats.org/officeDocument/2006/relationships/hyperlink" Target="https://ryycrdhlkmzpxwwwwupy.supabase.co/storage/v1/object/public/old_media/1354080a.Path.053809.jpg" TargetMode="External"/><Relationship Id="rId4600" Type="http://schemas.openxmlformats.org/officeDocument/2006/relationships/hyperlink" Target="https://ryycrdhlkmzpxwwwwupy.supabase.co/storage/v1/object/public/old_media/3b43bb81.Path.051734.jpg" TargetMode="External"/><Relationship Id="rId980" Type="http://schemas.openxmlformats.org/officeDocument/2006/relationships/hyperlink" Target="https://ryycrdhlkmzpxwwwwupy.supabase.co/storage/v1/object/public/old_media/998b4254.Path.115608.jpg" TargetMode="External"/><Relationship Id="rId1575" Type="http://schemas.openxmlformats.org/officeDocument/2006/relationships/hyperlink" Target="https://ryycrdhlkmzpxwwwwupy.supabase.co/storage/v1/object/public/old_media/ff06a488.Path.053817.jpg" TargetMode="External"/><Relationship Id="rId1565" Type="http://schemas.openxmlformats.org/officeDocument/2006/relationships/hyperlink" Target="https://ryycrdhlkmzpxwwwwupy.supabase.co/storage/v1/object/public/old_media/d07e9ab3.Path.051947.jpg" TargetMode="External"/><Relationship Id="rId2896" Type="http://schemas.openxmlformats.org/officeDocument/2006/relationships/hyperlink" Target="https://ryycrdhlkmzpxwwwwupy.supabase.co/storage/v1/object/public/old_media/85724c5c.Path.105637.jpg" TargetMode="External"/><Relationship Id="rId1566" Type="http://schemas.openxmlformats.org/officeDocument/2006/relationships/hyperlink" Target="https://ryycrdhlkmzpxwwwwupy.supabase.co/storage/v1/object/public/old_media/36db6a62.Path.052004.jpg" TargetMode="External"/><Relationship Id="rId2897" Type="http://schemas.openxmlformats.org/officeDocument/2006/relationships/hyperlink" Target="https://ryycrdhlkmzpxwwwwupy.supabase.co/storage/v1/object/public/old_media/79f21660.Path.103534.jpg" TargetMode="External"/><Relationship Id="rId1567" Type="http://schemas.openxmlformats.org/officeDocument/2006/relationships/hyperlink" Target="https://ryycrdhlkmzpxwwwwupy.supabase.co/storage/v1/object/public/old_media/e3321859.Path.052019.jpg" TargetMode="External"/><Relationship Id="rId2898" Type="http://schemas.openxmlformats.org/officeDocument/2006/relationships/hyperlink" Target="https://ryycrdhlkmzpxwwwwupy.supabase.co/storage/v1/object/public/old_media/e6387e5a.Path.114500.webp" TargetMode="External"/><Relationship Id="rId1568" Type="http://schemas.openxmlformats.org/officeDocument/2006/relationships/hyperlink" Target="https://ryycrdhlkmzpxwwwwupy.supabase.co/storage/v1/object/public/old_media/4b87c495.Path.052032.jpg" TargetMode="External"/><Relationship Id="rId2899" Type="http://schemas.openxmlformats.org/officeDocument/2006/relationships/hyperlink" Target="https://ryycrdhlkmzpxwwwwupy.supabase.co/storage/v1/object/public/old_media/74a3c8ba.Path.115244.jpg" TargetMode="External"/><Relationship Id="rId1569" Type="http://schemas.openxmlformats.org/officeDocument/2006/relationships/hyperlink" Target="https://ryycrdhlkmzpxwwwwupy.supabase.co/storage/v1/object/public/old_media/a0304536.Path.052042.jpg" TargetMode="External"/><Relationship Id="rId976" Type="http://schemas.openxmlformats.org/officeDocument/2006/relationships/hyperlink" Target="https://ryycrdhlkmzpxwwwwupy.supabase.co/storage/v1/object/public/old_media/e85e488e.Path.115457.jpg" TargetMode="External"/><Relationship Id="rId975" Type="http://schemas.openxmlformats.org/officeDocument/2006/relationships/hyperlink" Target="https://ryycrdhlkmzpxwwwwupy.supabase.co/storage/v1/object/public/old_media/c07b9ec0.Path.115441.jpg" TargetMode="External"/><Relationship Id="rId974" Type="http://schemas.openxmlformats.org/officeDocument/2006/relationships/hyperlink" Target="https://ryycrdhlkmzpxwwwwupy.supabase.co/storage/v1/object/public/old_media/95d8a813.Path.073713.webp" TargetMode="External"/><Relationship Id="rId973" Type="http://schemas.openxmlformats.org/officeDocument/2006/relationships/hyperlink" Target="https://ryycrdhlkmzpxwwwwupy.supabase.co/storage/v1/object/public/old_media/340ea01f.Path.073650.webp" TargetMode="External"/><Relationship Id="rId979" Type="http://schemas.openxmlformats.org/officeDocument/2006/relationships/hyperlink" Target="https://ryycrdhlkmzpxwwwwupy.supabase.co/storage/v1/object/public/old_media/28c37995.Path.115550.jpg" TargetMode="External"/><Relationship Id="rId978" Type="http://schemas.openxmlformats.org/officeDocument/2006/relationships/hyperlink" Target="https://ryycrdhlkmzpxwwwwupy.supabase.co/storage/v1/object/public/old_media/84d598f5.Path.115532.jpg" TargetMode="External"/><Relationship Id="rId977" Type="http://schemas.openxmlformats.org/officeDocument/2006/relationships/hyperlink" Target="https://ryycrdhlkmzpxwwwwupy.supabase.co/storage/v1/object/public/old_media/26bed498.Path.115504.jpg" TargetMode="External"/><Relationship Id="rId2890" Type="http://schemas.openxmlformats.org/officeDocument/2006/relationships/hyperlink" Target="https://ryycrdhlkmzpxwwwwupy.supabase.co/storage/v1/object/public/old_media/a89b04aa.Path.101819.webp" TargetMode="External"/><Relationship Id="rId1560" Type="http://schemas.openxmlformats.org/officeDocument/2006/relationships/hyperlink" Target="https://ryycrdhlkmzpxwwwwupy.supabase.co/storage/v1/object/public/old_media/387213a4.Path.051842.jpg" TargetMode="External"/><Relationship Id="rId2891" Type="http://schemas.openxmlformats.org/officeDocument/2006/relationships/hyperlink" Target="https://ryycrdhlkmzpxwwwwupy.supabase.co/storage/v1/object/public/old_media/e0dfd0d1.Path.105418.jpg" TargetMode="External"/><Relationship Id="rId972" Type="http://schemas.openxmlformats.org/officeDocument/2006/relationships/hyperlink" Target="https://ryycrdhlkmzpxwwwwupy.supabase.co/storage/v1/object/public/old_media/81225b67.Path.073529.jpg" TargetMode="External"/><Relationship Id="rId1561" Type="http://schemas.openxmlformats.org/officeDocument/2006/relationships/hyperlink" Target="https://ryycrdhlkmzpxwwwwupy.supabase.co/storage/v1/object/public/old_media/cb042d93.Path.051859.jpg" TargetMode="External"/><Relationship Id="rId2892" Type="http://schemas.openxmlformats.org/officeDocument/2006/relationships/hyperlink" Target="https://ryycrdhlkmzpxwwwwupy.supabase.co/storage/v1/object/public/old_media/24884c88.Path.105433.jpg" TargetMode="External"/><Relationship Id="rId971" Type="http://schemas.openxmlformats.org/officeDocument/2006/relationships/hyperlink" Target="https://ryycrdhlkmzpxwwwwupy.supabase.co/storage/v1/object/public/old_media/8f51f3dd.Path.073510.jpg" TargetMode="External"/><Relationship Id="rId1562" Type="http://schemas.openxmlformats.org/officeDocument/2006/relationships/hyperlink" Target="https://ryycrdhlkmzpxwwwwupy.supabase.co/storage/v1/object/public/old_media/a7911def.Path.051909.jpg" TargetMode="External"/><Relationship Id="rId2893" Type="http://schemas.openxmlformats.org/officeDocument/2006/relationships/hyperlink" Target="https://ryycrdhlkmzpxwwwwupy.supabase.co/storage/v1/object/public/old_media/914bc267.Path.105506.jpg" TargetMode="External"/><Relationship Id="rId970" Type="http://schemas.openxmlformats.org/officeDocument/2006/relationships/hyperlink" Target="https://ryycrdhlkmzpxwwwwupy.supabase.co/storage/v1/object/public/old_media/828bc4d0.Path.073449.webp" TargetMode="External"/><Relationship Id="rId1563" Type="http://schemas.openxmlformats.org/officeDocument/2006/relationships/hyperlink" Target="https://ryycrdhlkmzpxwwwwupy.supabase.co/storage/v1/object/public/old_media/a9014383.Path.051921.jpg" TargetMode="External"/><Relationship Id="rId2894" Type="http://schemas.openxmlformats.org/officeDocument/2006/relationships/hyperlink" Target="https://ryycrdhlkmzpxwwwwupy.supabase.co/storage/v1/object/public/old_media/443102d9.Path.105546.jpg" TargetMode="External"/><Relationship Id="rId1564" Type="http://schemas.openxmlformats.org/officeDocument/2006/relationships/hyperlink" Target="https://ryycrdhlkmzpxwwwwupy.supabase.co/storage/v1/object/public/old_media/b344bb97.Path.051933.jpg" TargetMode="External"/><Relationship Id="rId2895" Type="http://schemas.openxmlformats.org/officeDocument/2006/relationships/hyperlink" Target="https://ryycrdhlkmzpxwwwwupy.supabase.co/storage/v1/object/public/old_media/d18b3ee3.Path.105615.jpg" TargetMode="External"/><Relationship Id="rId1598" Type="http://schemas.openxmlformats.org/officeDocument/2006/relationships/hyperlink" Target="https://ryycrdhlkmzpxwwwwupy.supabase.co/storage/v1/object/public/old_media/e0b11270.Path.052210.jpg" TargetMode="External"/><Relationship Id="rId4624" Type="http://schemas.openxmlformats.org/officeDocument/2006/relationships/hyperlink" Target="https://ryycrdhlkmzpxwwwwupy.supabase.co/storage/v1/object/public/old_media/c014db17.Path.110431.jpg" TargetMode="External"/><Relationship Id="rId1599" Type="http://schemas.openxmlformats.org/officeDocument/2006/relationships/hyperlink" Target="https://ryycrdhlkmzpxwwwwupy.supabase.co/storage/v1/object/public/old_media/51132c33.Path.052225.jpg" TargetMode="External"/><Relationship Id="rId4623" Type="http://schemas.openxmlformats.org/officeDocument/2006/relationships/hyperlink" Target="https://ryycrdhlkmzpxwwwwupy.supabase.co/storage/v1/object/public/old_media/55b24600.Path.060723.jpg" TargetMode="External"/><Relationship Id="rId4626" Type="http://schemas.openxmlformats.org/officeDocument/2006/relationships/hyperlink" Target="https://ryycrdhlkmzpxwwwwupy.supabase.co/storage/v1/object/public/old_media/77f7968a.Path.110541.jpg" TargetMode="External"/><Relationship Id="rId4625" Type="http://schemas.openxmlformats.org/officeDocument/2006/relationships/hyperlink" Target="https://ryycrdhlkmzpxwwwwupy.supabase.co/storage/v1/object/public/old_media/4ccfc439.Path.110507.jpg" TargetMode="External"/><Relationship Id="rId4628" Type="http://schemas.openxmlformats.org/officeDocument/2006/relationships/hyperlink" Target="https://ryycrdhlkmzpxwwwwupy.supabase.co/storage/v1/object/public/old_media/f4ed09c8.Path.110650.jpg" TargetMode="External"/><Relationship Id="rId4627" Type="http://schemas.openxmlformats.org/officeDocument/2006/relationships/hyperlink" Target="https://ryycrdhlkmzpxwwwwupy.supabase.co/storage/v1/object/public/old_media/265ec147.Path.110614.jpg" TargetMode="External"/><Relationship Id="rId4629" Type="http://schemas.openxmlformats.org/officeDocument/2006/relationships/hyperlink" Target="https://ryycrdhlkmzpxwwwwupy.supabase.co/storage/v1/object/public/old_media/b221a56f.Path.110724.jpg" TargetMode="External"/><Relationship Id="rId1590" Type="http://schemas.openxmlformats.org/officeDocument/2006/relationships/hyperlink" Target="https://ryycrdhlkmzpxwwwwupy.supabase.co/storage/v1/object/public/old_media/55f18737.Path.110640.jpg" TargetMode="External"/><Relationship Id="rId1591" Type="http://schemas.openxmlformats.org/officeDocument/2006/relationships/hyperlink" Target="https://ryycrdhlkmzpxwwwwupy.supabase.co/storage/v1/object/public/old_media/c426bfa4.Path.110651.jpg" TargetMode="External"/><Relationship Id="rId1592" Type="http://schemas.openxmlformats.org/officeDocument/2006/relationships/hyperlink" Target="https://ryycrdhlkmzpxwwwwupy.supabase.co/storage/v1/object/public/old_media/67202004.Path.110701.jpg" TargetMode="External"/><Relationship Id="rId1593" Type="http://schemas.openxmlformats.org/officeDocument/2006/relationships/hyperlink" Target="https://ryycrdhlkmzpxwwwwupy.supabase.co/storage/v1/object/public/old_media/a1042ad9.Path.110712.jpg" TargetMode="External"/><Relationship Id="rId1594" Type="http://schemas.openxmlformats.org/officeDocument/2006/relationships/hyperlink" Target="https://ryycrdhlkmzpxwwwwupy.supabase.co/storage/v1/object/public/old_media/b5b2e6d5.Path.110722.jpg" TargetMode="External"/><Relationship Id="rId4620" Type="http://schemas.openxmlformats.org/officeDocument/2006/relationships/hyperlink" Target="https://ryycrdhlkmzpxwwwwupy.supabase.co/storage/v1/object/public/old_media/e412e5cd.Path.060552.jpg" TargetMode="External"/><Relationship Id="rId1595" Type="http://schemas.openxmlformats.org/officeDocument/2006/relationships/hyperlink" Target="https://ryycrdhlkmzpxwwwwupy.supabase.co/storage/v1/object/public/old_media/b12a0fdc.Path.100714.png" TargetMode="External"/><Relationship Id="rId1596" Type="http://schemas.openxmlformats.org/officeDocument/2006/relationships/hyperlink" Target="https://ryycrdhlkmzpxwwwwupy.supabase.co/storage/v1/object/public/old_media/931ac895.Path.100759.png" TargetMode="External"/><Relationship Id="rId4622" Type="http://schemas.openxmlformats.org/officeDocument/2006/relationships/hyperlink" Target="https://ryycrdhlkmzpxwwwwupy.supabase.co/storage/v1/object/public/old_media/ed9632c8.Path.060652.jpg" TargetMode="External"/><Relationship Id="rId1597" Type="http://schemas.openxmlformats.org/officeDocument/2006/relationships/hyperlink" Target="https://ryycrdhlkmzpxwwwwupy.supabase.co/storage/v1/object/public/old_media/f37eb159.Path.100916.jpg" TargetMode="External"/><Relationship Id="rId4621" Type="http://schemas.openxmlformats.org/officeDocument/2006/relationships/hyperlink" Target="https://ryycrdhlkmzpxwwwwupy.supabase.co/storage/v1/object/public/old_media/e19d7f4e.Path.060619.jpg" TargetMode="External"/><Relationship Id="rId1587" Type="http://schemas.openxmlformats.org/officeDocument/2006/relationships/hyperlink" Target="https://ryycrdhlkmzpxwwwwupy.supabase.co/storage/v1/object/public/old_media/b4842be9.Path.093212.jpg" TargetMode="External"/><Relationship Id="rId4613" Type="http://schemas.openxmlformats.org/officeDocument/2006/relationships/hyperlink" Target="https://ryycrdhlkmzpxwwwwupy.supabase.co/storage/v1/object/public/old_media/088cb05a.Path.111937.jpg" TargetMode="External"/><Relationship Id="rId1588" Type="http://schemas.openxmlformats.org/officeDocument/2006/relationships/hyperlink" Target="https://ryycrdhlkmzpxwwwwupy.supabase.co/storage/v1/object/public/old_media/23516ca6.Path.093236.jpg" TargetMode="External"/><Relationship Id="rId4612" Type="http://schemas.openxmlformats.org/officeDocument/2006/relationships/hyperlink" Target="https://ryycrdhlkmzpxwwwwupy.supabase.co/storage/v1/object/public/old_media/6edf476a.Path.050418.jpg" TargetMode="External"/><Relationship Id="rId1589" Type="http://schemas.openxmlformats.org/officeDocument/2006/relationships/hyperlink" Target="https://ryycrdhlkmzpxwwwwupy.supabase.co/storage/v1/object/public/old_media/75d6291b.Path.093253.jpg" TargetMode="External"/><Relationship Id="rId4615" Type="http://schemas.openxmlformats.org/officeDocument/2006/relationships/hyperlink" Target="https://ryycrdhlkmzpxwwwwupy.supabase.co/storage/v1/object/public/old_media/893da8a4.Path.112431.jpg" TargetMode="External"/><Relationship Id="rId4614" Type="http://schemas.openxmlformats.org/officeDocument/2006/relationships/hyperlink" Target="https://ryycrdhlkmzpxwwwwupy.supabase.co/storage/v1/object/public/old_media/84707c5d.Path.112102.jpg" TargetMode="External"/><Relationship Id="rId4617" Type="http://schemas.openxmlformats.org/officeDocument/2006/relationships/hyperlink" Target="https://ryycrdhlkmzpxwwwwupy.supabase.co/storage/v1/object/public/old_media/86d4c87e.Path.112623.jpg" TargetMode="External"/><Relationship Id="rId4616" Type="http://schemas.openxmlformats.org/officeDocument/2006/relationships/hyperlink" Target="https://ryycrdhlkmzpxwwwwupy.supabase.co/storage/v1/object/public/old_media/cf500385.Path.112512.jpg" TargetMode="External"/><Relationship Id="rId4619" Type="http://schemas.openxmlformats.org/officeDocument/2006/relationships/hyperlink" Target="https://ryycrdhlkmzpxwwwwupy.supabase.co/storage/v1/object/public/old_media/1c5c39e2.Path.060524.jpg" TargetMode="External"/><Relationship Id="rId4618" Type="http://schemas.openxmlformats.org/officeDocument/2006/relationships/hyperlink" Target="https://ryycrdhlkmzpxwwwwupy.supabase.co/storage/v1/object/public/old_media/e99c2ee0.Path.060455.jpg" TargetMode="External"/><Relationship Id="rId998" Type="http://schemas.openxmlformats.org/officeDocument/2006/relationships/hyperlink" Target="https://ryycrdhlkmzpxwwwwupy.supabase.co/storage/v1/object/public/old_media/225ac4fa.Path.054037.jpg" TargetMode="External"/><Relationship Id="rId997" Type="http://schemas.openxmlformats.org/officeDocument/2006/relationships/hyperlink" Target="https://ryycrdhlkmzpxwwwwupy.supabase.co/storage/v1/object/public/old_media/3000b9c9.Path.054029.jpg" TargetMode="External"/><Relationship Id="rId996" Type="http://schemas.openxmlformats.org/officeDocument/2006/relationships/hyperlink" Target="https://ryycrdhlkmzpxwwwwupy.supabase.co/storage/v1/object/public/old_media/551a95e1.Path.053449.jpg" TargetMode="External"/><Relationship Id="rId995" Type="http://schemas.openxmlformats.org/officeDocument/2006/relationships/hyperlink" Target="https://ryycrdhlkmzpxwwwwupy.supabase.co/storage/v1/object/public/old_media/b875241c.Path.053441.jpg" TargetMode="External"/><Relationship Id="rId999" Type="http://schemas.openxmlformats.org/officeDocument/2006/relationships/hyperlink" Target="https://ryycrdhlkmzpxwwwwupy.supabase.co/storage/v1/object/public/old_media/cfad7a3d.Path.054044.jpg" TargetMode="External"/><Relationship Id="rId990" Type="http://schemas.openxmlformats.org/officeDocument/2006/relationships/hyperlink" Target="https://ryycrdhlkmzpxwwwwupy.supabase.co/storage/v1/object/public/old_media/f7c88312.Path.045013.jpg" TargetMode="External"/><Relationship Id="rId1580" Type="http://schemas.openxmlformats.org/officeDocument/2006/relationships/hyperlink" Target="https://ryycrdhlkmzpxwwwwupy.supabase.co/storage/v1/object/public/old_media/42ccd0a5.Path.060712.jpg" TargetMode="External"/><Relationship Id="rId1581" Type="http://schemas.openxmlformats.org/officeDocument/2006/relationships/hyperlink" Target="https://ryycrdhlkmzpxwwwwupy.supabase.co/storage/v1/object/public/old_media/4eb3af33.Path.060726.jpg" TargetMode="External"/><Relationship Id="rId1582" Type="http://schemas.openxmlformats.org/officeDocument/2006/relationships/hyperlink" Target="https://ryycrdhlkmzpxwwwwupy.supabase.co/storage/v1/object/public/old_media/74b98750.Path.060736.jpg" TargetMode="External"/><Relationship Id="rId994" Type="http://schemas.openxmlformats.org/officeDocument/2006/relationships/hyperlink" Target="https://ryycrdhlkmzpxwwwwupy.supabase.co/storage/v1/object/public/old_media/1d826060.Path.063946.jpg" TargetMode="External"/><Relationship Id="rId1583" Type="http://schemas.openxmlformats.org/officeDocument/2006/relationships/hyperlink" Target="https://ryycrdhlkmzpxwwwwupy.supabase.co/storage/v1/object/public/old_media/72c378c2.Path.093055.jpg" TargetMode="External"/><Relationship Id="rId993" Type="http://schemas.openxmlformats.org/officeDocument/2006/relationships/hyperlink" Target="https://ryycrdhlkmzpxwwwwupy.supabase.co/storage/v1/object/public/old_media/8d65b2f0.Path.045103.jpg" TargetMode="External"/><Relationship Id="rId1584" Type="http://schemas.openxmlformats.org/officeDocument/2006/relationships/hyperlink" Target="https://ryycrdhlkmzpxwwwwupy.supabase.co/storage/v1/object/public/old_media/78b7df4d.Path.093106.jpg" TargetMode="External"/><Relationship Id="rId992" Type="http://schemas.openxmlformats.org/officeDocument/2006/relationships/hyperlink" Target="https://ryycrdhlkmzpxwwwwupy.supabase.co/storage/v1/object/public/old_media/3e638ab9.Path.045056.jpg" TargetMode="External"/><Relationship Id="rId1585" Type="http://schemas.openxmlformats.org/officeDocument/2006/relationships/hyperlink" Target="https://ryycrdhlkmzpxwwwwupy.supabase.co/storage/v1/object/public/old_media/07e2ae07.Path.093119.jpg" TargetMode="External"/><Relationship Id="rId4611" Type="http://schemas.openxmlformats.org/officeDocument/2006/relationships/hyperlink" Target="https://ryycrdhlkmzpxwwwwupy.supabase.co/storage/v1/object/public/old_media/a4bd89a9.Path.050346.jpg" TargetMode="External"/><Relationship Id="rId991" Type="http://schemas.openxmlformats.org/officeDocument/2006/relationships/hyperlink" Target="https://ryycrdhlkmzpxwwwwupy.supabase.co/storage/v1/object/public/old_media/da32729a.Path.045029.jpg" TargetMode="External"/><Relationship Id="rId1586" Type="http://schemas.openxmlformats.org/officeDocument/2006/relationships/hyperlink" Target="https://ryycrdhlkmzpxwwwwupy.supabase.co/storage/v1/object/public/old_media/5b7626df.Path.093130.jpg" TargetMode="External"/><Relationship Id="rId4610" Type="http://schemas.openxmlformats.org/officeDocument/2006/relationships/hyperlink" Target="https://ryycrdhlkmzpxwwwwupy.supabase.co/storage/v1/object/public/old_media/f5d22daf.Path.050318.jpg" TargetMode="External"/><Relationship Id="rId1532" Type="http://schemas.openxmlformats.org/officeDocument/2006/relationships/hyperlink" Target="https://ryycrdhlkmzpxwwwwupy.supabase.co/storage/v1/object/public/old_media/8ce0e601.Path.060426.jpg" TargetMode="External"/><Relationship Id="rId2863" Type="http://schemas.openxmlformats.org/officeDocument/2006/relationships/hyperlink" Target="https://ryycrdhlkmzpxwwwwupy.supabase.co/storage/v1/object/public/old_media/74319bf8.Path.073138.webp" TargetMode="External"/><Relationship Id="rId1533" Type="http://schemas.openxmlformats.org/officeDocument/2006/relationships/hyperlink" Target="https://ryycrdhlkmzpxwwwwupy.supabase.co/storage/v1/object/public/old_media/e8ea533c.Path.060440.jpg" TargetMode="External"/><Relationship Id="rId2864" Type="http://schemas.openxmlformats.org/officeDocument/2006/relationships/hyperlink" Target="https://ryycrdhlkmzpxwwwwupy.supabase.co/storage/v1/object/public/old_media/a47c2015.Path.073157.webp" TargetMode="External"/><Relationship Id="rId1534" Type="http://schemas.openxmlformats.org/officeDocument/2006/relationships/hyperlink" Target="https://ryycrdhlkmzpxwwwwupy.supabase.co/storage/v1/object/public/old_media/b930028a.Path.060458.jpg" TargetMode="External"/><Relationship Id="rId2865" Type="http://schemas.openxmlformats.org/officeDocument/2006/relationships/hyperlink" Target="https://ryycrdhlkmzpxwwwwupy.supabase.co/storage/v1/object/public/old_media/ca213674.Path.054613.jpg" TargetMode="External"/><Relationship Id="rId1535" Type="http://schemas.openxmlformats.org/officeDocument/2006/relationships/hyperlink" Target="https://ryycrdhlkmzpxwwwwupy.supabase.co/storage/v1/object/public/old_media/8fae3da4.Path.060511.jpg" TargetMode="External"/><Relationship Id="rId2866" Type="http://schemas.openxmlformats.org/officeDocument/2006/relationships/hyperlink" Target="https://ryycrdhlkmzpxwwwwupy.supabase.co/storage/v1/object/public/old_media/7dffd719.Path.054622.jpg" TargetMode="External"/><Relationship Id="rId1536" Type="http://schemas.openxmlformats.org/officeDocument/2006/relationships/hyperlink" Target="https://ryycrdhlkmzpxwwwwupy.supabase.co/storage/v1/object/public/old_media/46f9ca20.Path.060524.jpg" TargetMode="External"/><Relationship Id="rId2867" Type="http://schemas.openxmlformats.org/officeDocument/2006/relationships/hyperlink" Target="https://ryycrdhlkmzpxwwwwupy.supabase.co/storage/v1/object/public/old_media/2d798f71.Path.054642.jpg" TargetMode="External"/><Relationship Id="rId1537" Type="http://schemas.openxmlformats.org/officeDocument/2006/relationships/hyperlink" Target="https://ryycrdhlkmzpxwwwwupy.supabase.co/storage/v1/object/public/old_media/979a66ee.Path.060540.jpg" TargetMode="External"/><Relationship Id="rId2868" Type="http://schemas.openxmlformats.org/officeDocument/2006/relationships/hyperlink" Target="https://ryycrdhlkmzpxwwwwupy.supabase.co/storage/v1/object/public/old_media/3173ba44.Path.054706.jpg" TargetMode="External"/><Relationship Id="rId1538" Type="http://schemas.openxmlformats.org/officeDocument/2006/relationships/hyperlink" Target="https://ryycrdhlkmzpxwwwwupy.supabase.co/storage/v1/object/public/old_media/4e22afba.Path.060623.jpg" TargetMode="External"/><Relationship Id="rId2869" Type="http://schemas.openxmlformats.org/officeDocument/2006/relationships/hyperlink" Target="https://ryycrdhlkmzpxwwwwupy.supabase.co/storage/v1/object/public/old_media/357b9b47.Path.071643.jpg" TargetMode="External"/><Relationship Id="rId1539" Type="http://schemas.openxmlformats.org/officeDocument/2006/relationships/hyperlink" Target="https://ryycrdhlkmzpxwwwwupy.supabase.co/storage/v1/object/public/old_media/1fb8170a.Path.060636.jpg" TargetMode="External"/><Relationship Id="rId949" Type="http://schemas.openxmlformats.org/officeDocument/2006/relationships/hyperlink" Target="https://ryycrdhlkmzpxwwwwupy.supabase.co/storage/v1/object/public/old_media/5f99ffb8.Path.100659.webp" TargetMode="External"/><Relationship Id="rId948" Type="http://schemas.openxmlformats.org/officeDocument/2006/relationships/hyperlink" Target="https://ryycrdhlkmzpxwwwwupy.supabase.co/storage/v1/object/public/old_media/6750d167.Path.100640.webp" TargetMode="External"/><Relationship Id="rId943" Type="http://schemas.openxmlformats.org/officeDocument/2006/relationships/hyperlink" Target="https://ryycrdhlkmzpxwwwwupy.supabase.co/storage/v1/object/public/old_media/690aa849.Path.075646.jpg" TargetMode="External"/><Relationship Id="rId942" Type="http://schemas.openxmlformats.org/officeDocument/2006/relationships/hyperlink" Target="https://ryycrdhlkmzpxwwwwupy.supabase.co/storage/v1/object/public/old_media/76a8fcdf.Path.075639.jpg" TargetMode="External"/><Relationship Id="rId941" Type="http://schemas.openxmlformats.org/officeDocument/2006/relationships/hyperlink" Target="https://ryycrdhlkmzpxwwwwupy.supabase.co/storage/v1/object/public/old_media/912b787a.Path.075620.jpg" TargetMode="External"/><Relationship Id="rId940" Type="http://schemas.openxmlformats.org/officeDocument/2006/relationships/hyperlink" Target="https://ryycrdhlkmzpxwwwwupy.supabase.co/storage/v1/object/public/old_media/838d324d.Path.075603.jpg" TargetMode="External"/><Relationship Id="rId947" Type="http://schemas.openxmlformats.org/officeDocument/2006/relationships/hyperlink" Target="https://ryycrdhlkmzpxwwwwupy.supabase.co/storage/v1/object/public/old_media/a5611f9c.Path.100621.webp" TargetMode="External"/><Relationship Id="rId946" Type="http://schemas.openxmlformats.org/officeDocument/2006/relationships/hyperlink" Target="https://ryycrdhlkmzpxwwwwupy.supabase.co/storage/v1/object/public/old_media/97bc9cf3.Path.100426.webp" TargetMode="External"/><Relationship Id="rId945" Type="http://schemas.openxmlformats.org/officeDocument/2006/relationships/hyperlink" Target="https://ryycrdhlkmzpxwwwwupy.supabase.co/storage/v1/object/public/old_media/e6363eb3.Path.100404.jpg" TargetMode="External"/><Relationship Id="rId944" Type="http://schemas.openxmlformats.org/officeDocument/2006/relationships/hyperlink" Target="https://ryycrdhlkmzpxwwwwupy.supabase.co/storage/v1/object/public/old_media/a4faf629.Path.100354.jpg" TargetMode="External"/><Relationship Id="rId2860" Type="http://schemas.openxmlformats.org/officeDocument/2006/relationships/hyperlink" Target="https://ryycrdhlkmzpxwwwwupy.supabase.co/storage/v1/object/public/old_media/456c93df.Path.073100.webp" TargetMode="External"/><Relationship Id="rId1530" Type="http://schemas.openxmlformats.org/officeDocument/2006/relationships/hyperlink" Target="https://ryycrdhlkmzpxwwwwupy.supabase.co/storage/v1/object/public/old_media/51dbe89a.Path.060356.jpg" TargetMode="External"/><Relationship Id="rId2861" Type="http://schemas.openxmlformats.org/officeDocument/2006/relationships/hyperlink" Target="https://ryycrdhlkmzpxwwwwupy.supabase.co/storage/v1/object/public/old_media/6841c209.Path.073111.webp" TargetMode="External"/><Relationship Id="rId1531" Type="http://schemas.openxmlformats.org/officeDocument/2006/relationships/hyperlink" Target="https://ryycrdhlkmzpxwwwwupy.supabase.co/storage/v1/object/public/old_media/073002f9.Path.060413.jpg" TargetMode="External"/><Relationship Id="rId2862" Type="http://schemas.openxmlformats.org/officeDocument/2006/relationships/hyperlink" Target="https://ryycrdhlkmzpxwwwwupy.supabase.co/storage/v1/object/public/old_media/7070c2e4.Path.073122.webp" TargetMode="External"/><Relationship Id="rId1521" Type="http://schemas.openxmlformats.org/officeDocument/2006/relationships/hyperlink" Target="https://ryycrdhlkmzpxwwwwupy.supabase.co/storage/v1/object/public/old_media/4c42cc61.Path.093645.jpg" TargetMode="External"/><Relationship Id="rId2852" Type="http://schemas.openxmlformats.org/officeDocument/2006/relationships/hyperlink" Target="https://ryycrdhlkmzpxwwwwupy.supabase.co/storage/v1/object/public/old_media/5082365a.Path.103035.jpg" TargetMode="External"/><Relationship Id="rId1522" Type="http://schemas.openxmlformats.org/officeDocument/2006/relationships/hyperlink" Target="https://ryycrdhlkmzpxwwwwupy.supabase.co/storage/v1/object/public/old_media/ce94ba87.Path.093828.jpg" TargetMode="External"/><Relationship Id="rId2853" Type="http://schemas.openxmlformats.org/officeDocument/2006/relationships/hyperlink" Target="https://ryycrdhlkmzpxwwwwupy.supabase.co/storage/v1/object/public/old_media/7f42be44.Path.103049.jpg" TargetMode="External"/><Relationship Id="rId1523" Type="http://schemas.openxmlformats.org/officeDocument/2006/relationships/hyperlink" Target="https://ryycrdhlkmzpxwwwwupy.supabase.co/storage/v1/object/public/old_media/a86fbcab.Path.055948.jpg" TargetMode="External"/><Relationship Id="rId2854" Type="http://schemas.openxmlformats.org/officeDocument/2006/relationships/hyperlink" Target="https://ryycrdhlkmzpxwwwwupy.supabase.co/storage/v1/object/public/old_media/42e0aaa9.Path.061105.webp" TargetMode="External"/><Relationship Id="rId1524" Type="http://schemas.openxmlformats.org/officeDocument/2006/relationships/hyperlink" Target="https://ryycrdhlkmzpxwwwwupy.supabase.co/storage/v1/object/public/old_media/cefa2e55.Path.060000.jpg" TargetMode="External"/><Relationship Id="rId2855" Type="http://schemas.openxmlformats.org/officeDocument/2006/relationships/hyperlink" Target="https://ryycrdhlkmzpxwwwwupy.supabase.co/storage/v1/object/public/old_media/5b45d563.Path.061116.webp" TargetMode="External"/><Relationship Id="rId1525" Type="http://schemas.openxmlformats.org/officeDocument/2006/relationships/hyperlink" Target="https://ryycrdhlkmzpxwwwwupy.supabase.co/storage/v1/object/public/old_media/e259246e.Path.060200.jpg" TargetMode="External"/><Relationship Id="rId2856" Type="http://schemas.openxmlformats.org/officeDocument/2006/relationships/hyperlink" Target="https://ryycrdhlkmzpxwwwwupy.supabase.co/storage/v1/object/public/old_media/e7291b53.Path.061140.webp" TargetMode="External"/><Relationship Id="rId1526" Type="http://schemas.openxmlformats.org/officeDocument/2006/relationships/hyperlink" Target="https://ryycrdhlkmzpxwwwwupy.supabase.co/storage/v1/object/public/old_media/51cf7cff.Path.060249.jpg" TargetMode="External"/><Relationship Id="rId2857" Type="http://schemas.openxmlformats.org/officeDocument/2006/relationships/hyperlink" Target="https://ryycrdhlkmzpxwwwwupy.supabase.co/storage/v1/object/public/old_media/0a481031.Path.061153.webp" TargetMode="External"/><Relationship Id="rId1527" Type="http://schemas.openxmlformats.org/officeDocument/2006/relationships/hyperlink" Target="https://ryycrdhlkmzpxwwwwupy.supabase.co/storage/v1/object/public/old_media/1fffd1ce.Path.060313.jpg" TargetMode="External"/><Relationship Id="rId2858" Type="http://schemas.openxmlformats.org/officeDocument/2006/relationships/hyperlink" Target="https://ryycrdhlkmzpxwwwwupy.supabase.co/storage/v1/object/public/old_media/9639bdcf.Path.061251.webp" TargetMode="External"/><Relationship Id="rId1528" Type="http://schemas.openxmlformats.org/officeDocument/2006/relationships/hyperlink" Target="https://ryycrdhlkmzpxwwwwupy.supabase.co/storage/v1/object/public/old_media/7017f59f.Path.060328.jpg" TargetMode="External"/><Relationship Id="rId2859" Type="http://schemas.openxmlformats.org/officeDocument/2006/relationships/hyperlink" Target="https://ryycrdhlkmzpxwwwwupy.supabase.co/storage/v1/object/public/old_media/e2aacc3f.Path.073048.webp" TargetMode="External"/><Relationship Id="rId1529" Type="http://schemas.openxmlformats.org/officeDocument/2006/relationships/hyperlink" Target="https://ryycrdhlkmzpxwwwwupy.supabase.co/storage/v1/object/public/old_media/fa5bdc39.Path.060344.jpg" TargetMode="External"/><Relationship Id="rId939" Type="http://schemas.openxmlformats.org/officeDocument/2006/relationships/hyperlink" Target="https://ryycrdhlkmzpxwwwwupy.supabase.co/storage/v1/object/public/old_media/75526010.Path.091252.jpg" TargetMode="External"/><Relationship Id="rId938" Type="http://schemas.openxmlformats.org/officeDocument/2006/relationships/hyperlink" Target="https://ryycrdhlkmzpxwwwwupy.supabase.co/storage/v1/object/public/old_media/c60c38bc.Path.091241.jpg" TargetMode="External"/><Relationship Id="rId937" Type="http://schemas.openxmlformats.org/officeDocument/2006/relationships/hyperlink" Target="https://ryycrdhlkmzpxwwwwupy.supabase.co/storage/v1/object/public/old_media/3e6dfeba.Path.091230.jpg" TargetMode="External"/><Relationship Id="rId932" Type="http://schemas.openxmlformats.org/officeDocument/2006/relationships/hyperlink" Target="https://ryycrdhlkmzpxwwwwupy.supabase.co/storage/v1/object/public/old_media/217bc0b6.Path.141421.jpg" TargetMode="External"/><Relationship Id="rId931" Type="http://schemas.openxmlformats.org/officeDocument/2006/relationships/hyperlink" Target="https://ryycrdhlkmzpxwwwwupy.supabase.co/storage/v1/object/public/old_media/e3634914.Path.141401.jpg" TargetMode="External"/><Relationship Id="rId930" Type="http://schemas.openxmlformats.org/officeDocument/2006/relationships/hyperlink" Target="https://ryycrdhlkmzpxwwwwupy.supabase.co/storage/v1/object/public/old_media/beae3325.Path.141329.jpg" TargetMode="External"/><Relationship Id="rId936" Type="http://schemas.openxmlformats.org/officeDocument/2006/relationships/hyperlink" Target="https://ryycrdhlkmzpxwwwwupy.supabase.co/storage/v1/object/public/old_media/19599999.Path.091218.jpg" TargetMode="External"/><Relationship Id="rId935" Type="http://schemas.openxmlformats.org/officeDocument/2006/relationships/hyperlink" Target="https://ryycrdhlkmzpxwwwwupy.supabase.co/storage/v1/object/public/old_media/99d2f92b.Path.091207.jpg" TargetMode="External"/><Relationship Id="rId934" Type="http://schemas.openxmlformats.org/officeDocument/2006/relationships/hyperlink" Target="https://ryycrdhlkmzpxwwwwupy.supabase.co/storage/v1/object/public/old_media/97102386.Path.141527.jpg" TargetMode="External"/><Relationship Id="rId933" Type="http://schemas.openxmlformats.org/officeDocument/2006/relationships/hyperlink" Target="https://ryycrdhlkmzpxwwwwupy.supabase.co/storage/v1/object/public/old_media/ec60ce68.Path.141452.jpg" TargetMode="External"/><Relationship Id="rId2850" Type="http://schemas.openxmlformats.org/officeDocument/2006/relationships/hyperlink" Target="https://ryycrdhlkmzpxwwwwupy.supabase.co/storage/v1/object/public/old_media/4bc0ea42.Path.074833.jpg" TargetMode="External"/><Relationship Id="rId1520" Type="http://schemas.openxmlformats.org/officeDocument/2006/relationships/hyperlink" Target="https://ryycrdhlkmzpxwwwwupy.supabase.co/storage/v1/object/public/old_media/21cea67a.Path.093515.jpg" TargetMode="External"/><Relationship Id="rId2851" Type="http://schemas.openxmlformats.org/officeDocument/2006/relationships/hyperlink" Target="https://ryycrdhlkmzpxwwwwupy.supabase.co/storage/v1/object/public/old_media/7b3a321d.Path.103019.jpg" TargetMode="External"/><Relationship Id="rId1554" Type="http://schemas.openxmlformats.org/officeDocument/2006/relationships/hyperlink" Target="https://ryycrdhlkmzpxwwwwupy.supabase.co/storage/v1/object/public/old_media/77fb5865.Path.042005.jpg" TargetMode="External"/><Relationship Id="rId2885" Type="http://schemas.openxmlformats.org/officeDocument/2006/relationships/hyperlink" Target="https://ryycrdhlkmzpxwwwwupy.supabase.co/storage/v1/object/public/old_media/dcbba063.Path.103539.jpg" TargetMode="External"/><Relationship Id="rId1555" Type="http://schemas.openxmlformats.org/officeDocument/2006/relationships/hyperlink" Target="https://ryycrdhlkmzpxwwwwupy.supabase.co/storage/v1/object/public/old_media/a205f3bc.Path.042015.jpg" TargetMode="External"/><Relationship Id="rId2886" Type="http://schemas.openxmlformats.org/officeDocument/2006/relationships/hyperlink" Target="https://ryycrdhlkmzpxwwwwupy.supabase.co/storage/v1/object/public/old_media/57282c06.Path.103548.jpg" TargetMode="External"/><Relationship Id="rId1556" Type="http://schemas.openxmlformats.org/officeDocument/2006/relationships/hyperlink" Target="https://ryycrdhlkmzpxwwwwupy.supabase.co/storage/v1/object/public/old_media/4ef65cdb.Path.042026.jpg" TargetMode="External"/><Relationship Id="rId2887" Type="http://schemas.openxmlformats.org/officeDocument/2006/relationships/hyperlink" Target="https://ryycrdhlkmzpxwwwwupy.supabase.co/storage/v1/object/public/old_media/be0c4966.Path.103557.jpg" TargetMode="External"/><Relationship Id="rId1557" Type="http://schemas.openxmlformats.org/officeDocument/2006/relationships/hyperlink" Target="https://ryycrdhlkmzpxwwwwupy.supabase.co/storage/v1/object/public/old_media/3a29e6d0.Path.051805.jpg" TargetMode="External"/><Relationship Id="rId2888" Type="http://schemas.openxmlformats.org/officeDocument/2006/relationships/hyperlink" Target="https://ryycrdhlkmzpxwwwwupy.supabase.co/storage/v1/object/public/old_media/aae1b9c5.Path.103606.jpg" TargetMode="External"/><Relationship Id="rId1558" Type="http://schemas.openxmlformats.org/officeDocument/2006/relationships/hyperlink" Target="https://ryycrdhlkmzpxwwwwupy.supabase.co/storage/v1/object/public/old_media/55e7f580.Path.051820.jpg" TargetMode="External"/><Relationship Id="rId2889" Type="http://schemas.openxmlformats.org/officeDocument/2006/relationships/hyperlink" Target="https://ryycrdhlkmzpxwwwwupy.supabase.co/storage/v1/object/public/old_media/d92321fb.Path.103619.jpg" TargetMode="External"/><Relationship Id="rId1559" Type="http://schemas.openxmlformats.org/officeDocument/2006/relationships/hyperlink" Target="https://ryycrdhlkmzpxwwwwupy.supabase.co/storage/v1/object/public/old_media/4b66c15a.Path.051832.jpg" TargetMode="External"/><Relationship Id="rId965" Type="http://schemas.openxmlformats.org/officeDocument/2006/relationships/hyperlink" Target="https://ryycrdhlkmzpxwwwwupy.supabase.co/storage/v1/object/public/old_media/1bcd9de7.Path.072931.webp" TargetMode="External"/><Relationship Id="rId964" Type="http://schemas.openxmlformats.org/officeDocument/2006/relationships/hyperlink" Target="https://ryycrdhlkmzpxwwwwupy.supabase.co/storage/v1/object/public/old_media/4535152c.Path.072921.webp" TargetMode="External"/><Relationship Id="rId963" Type="http://schemas.openxmlformats.org/officeDocument/2006/relationships/hyperlink" Target="https://ryycrdhlkmzpxwwwwupy.supabase.co/storage/v1/object/public/old_media/44c9b733.Path.072914.jpg" TargetMode="External"/><Relationship Id="rId962" Type="http://schemas.openxmlformats.org/officeDocument/2006/relationships/hyperlink" Target="https://ryycrdhlkmzpxwwwwupy.supabase.co/storage/v1/object/public/old_media/9b9cbee0.Path.072905.webp" TargetMode="External"/><Relationship Id="rId969" Type="http://schemas.openxmlformats.org/officeDocument/2006/relationships/hyperlink" Target="https://ryycrdhlkmzpxwwwwupy.supabase.co/storage/v1/object/public/old_media/6ea34e3f.Path.073422.webp" TargetMode="External"/><Relationship Id="rId968" Type="http://schemas.openxmlformats.org/officeDocument/2006/relationships/hyperlink" Target="https://ryycrdhlkmzpxwwwwupy.supabase.co/storage/v1/object/public/old_media/e1b46750.Path.073413.webp" TargetMode="External"/><Relationship Id="rId967" Type="http://schemas.openxmlformats.org/officeDocument/2006/relationships/hyperlink" Target="https://ryycrdhlkmzpxwwwwupy.supabase.co/storage/v1/object/public/old_media/9257b493.Path.073344.jpg" TargetMode="External"/><Relationship Id="rId966" Type="http://schemas.openxmlformats.org/officeDocument/2006/relationships/hyperlink" Target="https://ryycrdhlkmzpxwwwwupy.supabase.co/storage/v1/object/public/old_media/e947ea82.Path.072940.webp" TargetMode="External"/><Relationship Id="rId2880" Type="http://schemas.openxmlformats.org/officeDocument/2006/relationships/hyperlink" Target="https://ryycrdhlkmzpxwwwwupy.supabase.co/storage/v1/object/public/old_media/7273d064.Path.075645.jpg" TargetMode="External"/><Relationship Id="rId961" Type="http://schemas.openxmlformats.org/officeDocument/2006/relationships/hyperlink" Target="https://ryycrdhlkmzpxwwwwupy.supabase.co/storage/v1/object/public/old_media/d411ba88.Path.072857.webp" TargetMode="External"/><Relationship Id="rId1550" Type="http://schemas.openxmlformats.org/officeDocument/2006/relationships/hyperlink" Target="https://ryycrdhlkmzpxwwwwupy.supabase.co/storage/v1/object/public/old_media/e979ebec.Path.041924.jpg" TargetMode="External"/><Relationship Id="rId2881" Type="http://schemas.openxmlformats.org/officeDocument/2006/relationships/hyperlink" Target="https://ryycrdhlkmzpxwwwwupy.supabase.co/storage/v1/object/public/old_media/2066b6cc.Path.050719.jpg" TargetMode="External"/><Relationship Id="rId960" Type="http://schemas.openxmlformats.org/officeDocument/2006/relationships/hyperlink" Target="https://ryycrdhlkmzpxwwwwupy.supabase.co/storage/v1/object/public/old_media/7ffad81d.Path.072850.jpg" TargetMode="External"/><Relationship Id="rId1551" Type="http://schemas.openxmlformats.org/officeDocument/2006/relationships/hyperlink" Target="https://ryycrdhlkmzpxwwwwupy.supabase.co/storage/v1/object/public/old_media/f62312ad.Path.041932.jpg" TargetMode="External"/><Relationship Id="rId2882" Type="http://schemas.openxmlformats.org/officeDocument/2006/relationships/hyperlink" Target="https://ryycrdhlkmzpxwwwwupy.supabase.co/storage/v1/object/public/old_media/eebc9dc4.Path.050731.jpg" TargetMode="External"/><Relationship Id="rId1552" Type="http://schemas.openxmlformats.org/officeDocument/2006/relationships/hyperlink" Target="https://ryycrdhlkmzpxwwwwupy.supabase.co/storage/v1/object/public/old_media/d7184dfa.Path.041940.jpg" TargetMode="External"/><Relationship Id="rId2883" Type="http://schemas.openxmlformats.org/officeDocument/2006/relationships/hyperlink" Target="https://ryycrdhlkmzpxwwwwupy.supabase.co/storage/v1/object/public/old_media/47d52aee.Path.103515.jpg" TargetMode="External"/><Relationship Id="rId1553" Type="http://schemas.openxmlformats.org/officeDocument/2006/relationships/hyperlink" Target="https://ryycrdhlkmzpxwwwwupy.supabase.co/storage/v1/object/public/old_media/e8eb9c6c.Path.041952.jpg" TargetMode="External"/><Relationship Id="rId2884" Type="http://schemas.openxmlformats.org/officeDocument/2006/relationships/hyperlink" Target="https://ryycrdhlkmzpxwwwwupy.supabase.co/storage/v1/object/public/old_media/71bc96d5.Path.103524.jpg" TargetMode="External"/><Relationship Id="rId1543" Type="http://schemas.openxmlformats.org/officeDocument/2006/relationships/hyperlink" Target="https://ryycrdhlkmzpxwwwwupy.supabase.co/storage/v1/object/public/old_media/3452ba40.Path.112242.jpg" TargetMode="External"/><Relationship Id="rId2874" Type="http://schemas.openxmlformats.org/officeDocument/2006/relationships/hyperlink" Target="https://ryycrdhlkmzpxwwwwupy.supabase.co/storage/v1/object/public/old_media/557db9e7.Path.074148.jpg" TargetMode="External"/><Relationship Id="rId1544" Type="http://schemas.openxmlformats.org/officeDocument/2006/relationships/hyperlink" Target="https://ryycrdhlkmzpxwwwwupy.supabase.co/storage/v1/object/public/old_media/7e738a94.Path.112253.jpg" TargetMode="External"/><Relationship Id="rId2875" Type="http://schemas.openxmlformats.org/officeDocument/2006/relationships/hyperlink" Target="https://ryycrdhlkmzpxwwwwupy.supabase.co/storage/v1/object/public/old_media/3ddef42a.Path.074329.jpg" TargetMode="External"/><Relationship Id="rId1545" Type="http://schemas.openxmlformats.org/officeDocument/2006/relationships/hyperlink" Target="https://ryycrdhlkmzpxwwwwupy.supabase.co/storage/v1/object/public/old_media/1122f0c8.Path.112303.jpg" TargetMode="External"/><Relationship Id="rId2876" Type="http://schemas.openxmlformats.org/officeDocument/2006/relationships/hyperlink" Target="https://ryycrdhlkmzpxwwwwupy.supabase.co/storage/v1/object/public/old_media/21420b2c.Path.074347.jpg" TargetMode="External"/><Relationship Id="rId1546" Type="http://schemas.openxmlformats.org/officeDocument/2006/relationships/hyperlink" Target="https://ryycrdhlkmzpxwwwwupy.supabase.co/storage/v1/object/public/old_media/49a3b36f.Path.112310.jpg" TargetMode="External"/><Relationship Id="rId2877" Type="http://schemas.openxmlformats.org/officeDocument/2006/relationships/hyperlink" Target="https://ryycrdhlkmzpxwwwwupy.supabase.co/storage/v1/object/public/old_media/bc711cbf.Path.074407.jpg" TargetMode="External"/><Relationship Id="rId1547" Type="http://schemas.openxmlformats.org/officeDocument/2006/relationships/hyperlink" Target="https://ryycrdhlkmzpxwwwwupy.supabase.co/storage/v1/object/public/old_media/bb73ce45.Path.112319.jpg" TargetMode="External"/><Relationship Id="rId2878" Type="http://schemas.openxmlformats.org/officeDocument/2006/relationships/hyperlink" Target="https://ryycrdhlkmzpxwwwwupy.supabase.co/storage/v1/object/public/old_media/8b82e070.Path.074435.jpg" TargetMode="External"/><Relationship Id="rId1548" Type="http://schemas.openxmlformats.org/officeDocument/2006/relationships/hyperlink" Target="https://ryycrdhlkmzpxwwwwupy.supabase.co/storage/v1/object/public/old_media/f898f8c1.Path.041804.jpg" TargetMode="External"/><Relationship Id="rId2879" Type="http://schemas.openxmlformats.org/officeDocument/2006/relationships/hyperlink" Target="https://ryycrdhlkmzpxwwwwupy.supabase.co/storage/v1/object/public/old_media/3f7e222d.Path.074530.jpg" TargetMode="External"/><Relationship Id="rId1549" Type="http://schemas.openxmlformats.org/officeDocument/2006/relationships/hyperlink" Target="https://ryycrdhlkmzpxwwwwupy.supabase.co/storage/v1/object/public/old_media/f2a31736.Path.041815.jpg" TargetMode="External"/><Relationship Id="rId959" Type="http://schemas.openxmlformats.org/officeDocument/2006/relationships/hyperlink" Target="https://ryycrdhlkmzpxwwwwupy.supabase.co/storage/v1/object/public/old_media/6624dfa4.Path.072701.jpg" TargetMode="External"/><Relationship Id="rId954" Type="http://schemas.openxmlformats.org/officeDocument/2006/relationships/hyperlink" Target="https://ryycrdhlkmzpxwwwwupy.supabase.co/storage/v1/object/public/old_media/076ef374.Path.100843.webp" TargetMode="External"/><Relationship Id="rId953" Type="http://schemas.openxmlformats.org/officeDocument/2006/relationships/hyperlink" Target="https://ryycrdhlkmzpxwwwwupy.supabase.co/storage/v1/object/public/old_media/07c22e8d.Path.100821.webp" TargetMode="External"/><Relationship Id="rId952" Type="http://schemas.openxmlformats.org/officeDocument/2006/relationships/hyperlink" Target="https://ryycrdhlkmzpxwwwwupy.supabase.co/storage/v1/object/public/old_media/69c73e8f.Path.100802.webp" TargetMode="External"/><Relationship Id="rId951" Type="http://schemas.openxmlformats.org/officeDocument/2006/relationships/hyperlink" Target="https://ryycrdhlkmzpxwwwwupy.supabase.co/storage/v1/object/public/old_media/0c8dcde8.Path.100734.webp" TargetMode="External"/><Relationship Id="rId958" Type="http://schemas.openxmlformats.org/officeDocument/2006/relationships/hyperlink" Target="https://ryycrdhlkmzpxwwwwupy.supabase.co/storage/v1/object/public/old_media/e3dbce22.Path.072159.jpg" TargetMode="External"/><Relationship Id="rId957" Type="http://schemas.openxmlformats.org/officeDocument/2006/relationships/hyperlink" Target="https://ryycrdhlkmzpxwwwwupy.supabase.co/storage/v1/object/public/old_media/460d9a34.Path.100947.webp" TargetMode="External"/><Relationship Id="rId956" Type="http://schemas.openxmlformats.org/officeDocument/2006/relationships/hyperlink" Target="https://ryycrdhlkmzpxwwwwupy.supabase.co/storage/v1/object/public/old_media/f06c89c0.Path.100929.webp" TargetMode="External"/><Relationship Id="rId955" Type="http://schemas.openxmlformats.org/officeDocument/2006/relationships/hyperlink" Target="https://ryycrdhlkmzpxwwwwupy.supabase.co/storage/v1/object/public/old_media/dc449762.Path.100901.webp" TargetMode="External"/><Relationship Id="rId950" Type="http://schemas.openxmlformats.org/officeDocument/2006/relationships/hyperlink" Target="https://ryycrdhlkmzpxwwwwupy.supabase.co/storage/v1/object/public/old_media/04d3f403.Path.100716.webp" TargetMode="External"/><Relationship Id="rId2870" Type="http://schemas.openxmlformats.org/officeDocument/2006/relationships/hyperlink" Target="https://ryycrdhlkmzpxwwwwupy.supabase.co/storage/v1/object/public/old_media/3efee823.Path.071656.jpg" TargetMode="External"/><Relationship Id="rId1540" Type="http://schemas.openxmlformats.org/officeDocument/2006/relationships/hyperlink" Target="https://ryycrdhlkmzpxwwwwupy.supabase.co/storage/v1/object/public/old_media/7473b01e.Path.112142.jpg" TargetMode="External"/><Relationship Id="rId2871" Type="http://schemas.openxmlformats.org/officeDocument/2006/relationships/hyperlink" Target="https://ryycrdhlkmzpxwwwwupy.supabase.co/storage/v1/object/public/old_media/1510342d.Path.071708.jpg" TargetMode="External"/><Relationship Id="rId1541" Type="http://schemas.openxmlformats.org/officeDocument/2006/relationships/hyperlink" Target="https://ryycrdhlkmzpxwwwwupy.supabase.co/storage/v1/object/public/old_media/ade4fca7.Path.112216.jpg" TargetMode="External"/><Relationship Id="rId2872" Type="http://schemas.openxmlformats.org/officeDocument/2006/relationships/hyperlink" Target="https://ryycrdhlkmzpxwwwwupy.supabase.co/storage/v1/object/public/old_media/49608d77.Path.071717.jpg" TargetMode="External"/><Relationship Id="rId1542" Type="http://schemas.openxmlformats.org/officeDocument/2006/relationships/hyperlink" Target="https://ryycrdhlkmzpxwwwwupy.supabase.co/storage/v1/object/public/old_media/e5551faf.Path.112231.jpg" TargetMode="External"/><Relationship Id="rId2873" Type="http://schemas.openxmlformats.org/officeDocument/2006/relationships/hyperlink" Target="https://ryycrdhlkmzpxwwwwupy.supabase.co/storage/v1/object/public/old_media/683193c0.Path.110131.jpg" TargetMode="External"/><Relationship Id="rId2027" Type="http://schemas.openxmlformats.org/officeDocument/2006/relationships/hyperlink" Target="https://ryycrdhlkmzpxwwwwupy.supabase.co/storage/v1/object/public/old_media/271fce73.Path.080359.jpg" TargetMode="External"/><Relationship Id="rId3359" Type="http://schemas.openxmlformats.org/officeDocument/2006/relationships/hyperlink" Target="https://ryycrdhlkmzpxwwwwupy.supabase.co/storage/v1/object/public/old_media/b42434b7.Path.075355.jpg" TargetMode="External"/><Relationship Id="rId2028" Type="http://schemas.openxmlformats.org/officeDocument/2006/relationships/hyperlink" Target="https://ryycrdhlkmzpxwwwwupy.supabase.co/storage/v1/object/public/old_media/f89a51cb.Path.080421.jpg" TargetMode="External"/><Relationship Id="rId3358" Type="http://schemas.openxmlformats.org/officeDocument/2006/relationships/hyperlink" Target="https://ryycrdhlkmzpxwwwwupy.supabase.co/storage/v1/object/public/old_media/17a4dd7d.Path.075319.jpg" TargetMode="External"/><Relationship Id="rId4689" Type="http://schemas.openxmlformats.org/officeDocument/2006/relationships/hyperlink" Target="https://ryycrdhlkmzpxwwwwupy.supabase.co/storage/v1/object/public/old_media/7fafba34.Path.053605.png" TargetMode="External"/><Relationship Id="rId2029" Type="http://schemas.openxmlformats.org/officeDocument/2006/relationships/hyperlink" Target="https://ryycrdhlkmzpxwwwwupy.supabase.co/storage/v1/object/public/old_media/efc1a70e.Path.080435.jpg" TargetMode="External"/><Relationship Id="rId107" Type="http://schemas.openxmlformats.org/officeDocument/2006/relationships/hyperlink" Target="https://ryycrdhlkmzpxwwwwupy.supabase.co/storage/v1/object/public/old_media/8349cddb.Path.101510.jpg" TargetMode="External"/><Relationship Id="rId106" Type="http://schemas.openxmlformats.org/officeDocument/2006/relationships/hyperlink" Target="https://ryycrdhlkmzpxwwwwupy.supabase.co/storage/v1/object/public/old_media/fe3b49f1.Path.101501.jpg" TargetMode="External"/><Relationship Id="rId105" Type="http://schemas.openxmlformats.org/officeDocument/2006/relationships/hyperlink" Target="https://ryycrdhlkmzpxwwwwupy.supabase.co/storage/v1/object/public/old_media/7b3927e6.Path.101139.jpg" TargetMode="External"/><Relationship Id="rId104" Type="http://schemas.openxmlformats.org/officeDocument/2006/relationships/hyperlink" Target="https://ryycrdhlkmzpxwwwwupy.supabase.co/storage/v1/object/public/old_media/27865fec.Path.101132.jpg" TargetMode="External"/><Relationship Id="rId109" Type="http://schemas.openxmlformats.org/officeDocument/2006/relationships/hyperlink" Target="https://ryycrdhlkmzpxwwwwupy.supabase.co/storage/v1/object/public/old_media/81aa1267.Path.100030.png" TargetMode="External"/><Relationship Id="rId4680" Type="http://schemas.openxmlformats.org/officeDocument/2006/relationships/hyperlink" Target="https://ryycrdhlkmzpxwwwwupy.supabase.co/storage/v1/object/public/old_media/4314527d.Path.074734.jpg" TargetMode="External"/><Relationship Id="rId108" Type="http://schemas.openxmlformats.org/officeDocument/2006/relationships/hyperlink" Target="https://ryycrdhlkmzpxwwwwupy.supabase.co/storage/v1/object/public/old_media/be441890.Path.101518.jpg" TargetMode="External"/><Relationship Id="rId3351" Type="http://schemas.openxmlformats.org/officeDocument/2006/relationships/hyperlink" Target="https://ryycrdhlkmzpxwwwwupy.supabase.co/storage/v1/object/public/old_media/f42f1924.Path.074137.jpg" TargetMode="External"/><Relationship Id="rId4682" Type="http://schemas.openxmlformats.org/officeDocument/2006/relationships/hyperlink" Target="https://ryycrdhlkmzpxwwwwupy.supabase.co/storage/v1/object/public/old_media/322d0b9a.Path.074840.jpg" TargetMode="External"/><Relationship Id="rId2020" Type="http://schemas.openxmlformats.org/officeDocument/2006/relationships/hyperlink" Target="https://ryycrdhlkmzpxwwwwupy.supabase.co/storage/v1/object/public/old_media/d7398827.Path.092416.jpg" TargetMode="External"/><Relationship Id="rId3350" Type="http://schemas.openxmlformats.org/officeDocument/2006/relationships/hyperlink" Target="https://ryycrdhlkmzpxwwwwupy.supabase.co/storage/v1/object/public/old_media/f706849d.Path.074054.jpg" TargetMode="External"/><Relationship Id="rId4681" Type="http://schemas.openxmlformats.org/officeDocument/2006/relationships/hyperlink" Target="https://ryycrdhlkmzpxwwwwupy.supabase.co/storage/v1/object/public/old_media/5143473a.Path.074806.jpg" TargetMode="External"/><Relationship Id="rId2021" Type="http://schemas.openxmlformats.org/officeDocument/2006/relationships/hyperlink" Target="https://ryycrdhlkmzpxwwwwupy.supabase.co/storage/v1/object/public/old_media/76e688b5.Path.092441.jpg" TargetMode="External"/><Relationship Id="rId3353" Type="http://schemas.openxmlformats.org/officeDocument/2006/relationships/hyperlink" Target="https://ryycrdhlkmzpxwwwwupy.supabase.co/storage/v1/object/public/old_media/1510981e.Path.074243.jpg" TargetMode="External"/><Relationship Id="rId4684" Type="http://schemas.openxmlformats.org/officeDocument/2006/relationships/hyperlink" Target="https://ryycrdhlkmzpxwwwwupy.supabase.co/storage/v1/object/public/old_media/ba0a437c.Path.042804.png" TargetMode="External"/><Relationship Id="rId2022" Type="http://schemas.openxmlformats.org/officeDocument/2006/relationships/hyperlink" Target="https://ryycrdhlkmzpxwwwwupy.supabase.co/storage/v1/object/public/old_media/53012c40.Path.092530.jpg" TargetMode="External"/><Relationship Id="rId3352" Type="http://schemas.openxmlformats.org/officeDocument/2006/relationships/hyperlink" Target="https://ryycrdhlkmzpxwwwwupy.supabase.co/storage/v1/object/public/old_media/50f4eb11.Path.074209.jpg" TargetMode="External"/><Relationship Id="rId4683" Type="http://schemas.openxmlformats.org/officeDocument/2006/relationships/hyperlink" Target="https://ryycrdhlkmzpxwwwwupy.supabase.co/storage/v1/object/public/old_media/9ad8843d.Path.042729.png" TargetMode="External"/><Relationship Id="rId103" Type="http://schemas.openxmlformats.org/officeDocument/2006/relationships/hyperlink" Target="https://ryycrdhlkmzpxwwwwupy.supabase.co/storage/v1/object/public/old_media/607a735c.Path.101124.jpg" TargetMode="External"/><Relationship Id="rId2023" Type="http://schemas.openxmlformats.org/officeDocument/2006/relationships/hyperlink" Target="https://ryycrdhlkmzpxwwwwupy.supabase.co/storage/v1/object/public/old_media/2f8a973c.Path.092703.jpg" TargetMode="External"/><Relationship Id="rId3355" Type="http://schemas.openxmlformats.org/officeDocument/2006/relationships/hyperlink" Target="https://ryycrdhlkmzpxwwwwupy.supabase.co/storage/v1/object/public/old_media/42143017.Path.075148.jpg" TargetMode="External"/><Relationship Id="rId4686" Type="http://schemas.openxmlformats.org/officeDocument/2006/relationships/hyperlink" Target="https://ryycrdhlkmzpxwwwwupy.supabase.co/storage/v1/object/public/old_media/bcbcfd1a.Path.053014.jpg" TargetMode="External"/><Relationship Id="rId102" Type="http://schemas.openxmlformats.org/officeDocument/2006/relationships/hyperlink" Target="https://ryycrdhlkmzpxwwwwupy.supabase.co/storage/v1/object/public/old_media/e067dadc.Path.101054.jpg" TargetMode="External"/><Relationship Id="rId2024" Type="http://schemas.openxmlformats.org/officeDocument/2006/relationships/hyperlink" Target="https://ryycrdhlkmzpxwwwwupy.supabase.co/storage/v1/object/public/old_media/4272a24a.Path.093753.jpg" TargetMode="External"/><Relationship Id="rId3354" Type="http://schemas.openxmlformats.org/officeDocument/2006/relationships/hyperlink" Target="https://ryycrdhlkmzpxwwwwupy.supabase.co/storage/v1/object/public/old_media/da5539c8.Path.075113.jpg" TargetMode="External"/><Relationship Id="rId4685" Type="http://schemas.openxmlformats.org/officeDocument/2006/relationships/hyperlink" Target="https://ryycrdhlkmzpxwwwwupy.supabase.co/storage/v1/object/public/old_media/aa83de8e.Path.052942.jpg" TargetMode="External"/><Relationship Id="rId101" Type="http://schemas.openxmlformats.org/officeDocument/2006/relationships/hyperlink" Target="https://ryycrdhlkmzpxwwwwupy.supabase.co/storage/v1/object/public/old_media/119cef51.Path.101026.jpg" TargetMode="External"/><Relationship Id="rId2025" Type="http://schemas.openxmlformats.org/officeDocument/2006/relationships/hyperlink" Target="https://ryycrdhlkmzpxwwwwupy.supabase.co/storage/v1/object/public/old_media/f6a30445.Path.093815.jpg" TargetMode="External"/><Relationship Id="rId3357" Type="http://schemas.openxmlformats.org/officeDocument/2006/relationships/hyperlink" Target="https://ryycrdhlkmzpxwwwwupy.supabase.co/storage/v1/object/public/old_media/babee1e2.Path.075250.jpg" TargetMode="External"/><Relationship Id="rId4688" Type="http://schemas.openxmlformats.org/officeDocument/2006/relationships/hyperlink" Target="https://ryycrdhlkmzpxwwwwupy.supabase.co/storage/v1/object/public/old_media/0123bfd5.Path.053533.png" TargetMode="External"/><Relationship Id="rId100" Type="http://schemas.openxmlformats.org/officeDocument/2006/relationships/hyperlink" Target="https://ryycrdhlkmzpxwwwwupy.supabase.co/storage/v1/object/public/old_media/deee63f6.Path.094338.jpg" TargetMode="External"/><Relationship Id="rId2026" Type="http://schemas.openxmlformats.org/officeDocument/2006/relationships/hyperlink" Target="https://ryycrdhlkmzpxwwwwupy.supabase.co/storage/v1/object/public/old_media/793d488b.Path.093857.jpg" TargetMode="External"/><Relationship Id="rId3356" Type="http://schemas.openxmlformats.org/officeDocument/2006/relationships/hyperlink" Target="https://ryycrdhlkmzpxwwwwupy.supabase.co/storage/v1/object/public/old_media/75c1ed64.Path.075219.jpg" TargetMode="External"/><Relationship Id="rId4687" Type="http://schemas.openxmlformats.org/officeDocument/2006/relationships/hyperlink" Target="https://ryycrdhlkmzpxwwwwupy.supabase.co/storage/v1/object/public/old_media/5f69bfaa.Path.053300.jpg" TargetMode="External"/><Relationship Id="rId2016" Type="http://schemas.openxmlformats.org/officeDocument/2006/relationships/hyperlink" Target="https://ryycrdhlkmzpxwwwwupy.supabase.co/storage/v1/object/public/old_media/202eb3b7.Path.062713.jpg" TargetMode="External"/><Relationship Id="rId3348" Type="http://schemas.openxmlformats.org/officeDocument/2006/relationships/hyperlink" Target="https://ryycrdhlkmzpxwwwwupy.supabase.co/storage/v1/object/public/old_media/111f0846.Path.073847.jpg" TargetMode="External"/><Relationship Id="rId4679" Type="http://schemas.openxmlformats.org/officeDocument/2006/relationships/hyperlink" Target="https://ryycrdhlkmzpxwwwwupy.supabase.co/storage/v1/object/public/old_media/29d815ec.Path.074706.jpg" TargetMode="External"/><Relationship Id="rId2017" Type="http://schemas.openxmlformats.org/officeDocument/2006/relationships/hyperlink" Target="https://ryycrdhlkmzpxwwwwupy.supabase.co/storage/v1/object/public/old_media/5d3422d3.Path.062734.jpg" TargetMode="External"/><Relationship Id="rId3347" Type="http://schemas.openxmlformats.org/officeDocument/2006/relationships/hyperlink" Target="https://ryycrdhlkmzpxwwwwupy.supabase.co/storage/v1/object/public/old_media/0b5b019d.Path.073808.jpg" TargetMode="External"/><Relationship Id="rId4678" Type="http://schemas.openxmlformats.org/officeDocument/2006/relationships/hyperlink" Target="https://ryycrdhlkmzpxwwwwupy.supabase.co/storage/v1/object/public/old_media/93462cbd.Path.074634.jpg" TargetMode="External"/><Relationship Id="rId2018" Type="http://schemas.openxmlformats.org/officeDocument/2006/relationships/hyperlink" Target="https://ryycrdhlkmzpxwwwwupy.supabase.co/storage/v1/object/public/old_media/ef5e3a3f.Path.053103.jpg" TargetMode="External"/><Relationship Id="rId2019" Type="http://schemas.openxmlformats.org/officeDocument/2006/relationships/hyperlink" Target="https://ryycrdhlkmzpxwwwwupy.supabase.co/storage/v1/object/public/old_media/b62a78ef.Path.053118.jpg" TargetMode="External"/><Relationship Id="rId3349" Type="http://schemas.openxmlformats.org/officeDocument/2006/relationships/hyperlink" Target="https://ryycrdhlkmzpxwwwwupy.supabase.co/storage/v1/object/public/old_media/3f7d4fec.Path.074017.jpg" TargetMode="External"/><Relationship Id="rId3340" Type="http://schemas.openxmlformats.org/officeDocument/2006/relationships/hyperlink" Target="https://ryycrdhlkmzpxwwwwupy.supabase.co/storage/v1/object/public/old_media/1cb87086.Path.073419.jpg" TargetMode="External"/><Relationship Id="rId4671" Type="http://schemas.openxmlformats.org/officeDocument/2006/relationships/hyperlink" Target="https://ryycrdhlkmzpxwwwwupy.supabase.co/storage/v1/object/public/old_media/9782a503.Path.052633.jpg" TargetMode="External"/><Relationship Id="rId4670" Type="http://schemas.openxmlformats.org/officeDocument/2006/relationships/hyperlink" Target="https://ryycrdhlkmzpxwwwwupy.supabase.co/storage/v1/object/public/old_media/b3bda706.Path.091333.jpg" TargetMode="External"/><Relationship Id="rId2010" Type="http://schemas.openxmlformats.org/officeDocument/2006/relationships/hyperlink" Target="https://ryycrdhlkmzpxwwwwupy.supabase.co/storage/v1/object/public/old_media/d9e79fcd.Path.111929.jpg" TargetMode="External"/><Relationship Id="rId3342" Type="http://schemas.openxmlformats.org/officeDocument/2006/relationships/hyperlink" Target="https://ryycrdhlkmzpxwwwwupy.supabase.co/storage/v1/object/public/old_media/17b180ce.Path.073524.jpg" TargetMode="External"/><Relationship Id="rId4673" Type="http://schemas.openxmlformats.org/officeDocument/2006/relationships/hyperlink" Target="https://ryycrdhlkmzpxwwwwupy.supabase.co/storage/v1/object/public/old_media/d72ea843.Path.052734.jpg" TargetMode="External"/><Relationship Id="rId2011" Type="http://schemas.openxmlformats.org/officeDocument/2006/relationships/hyperlink" Target="https://ryycrdhlkmzpxwwwwupy.supabase.co/storage/v1/object/public/old_media/1ada5b8c.Path.061813.jpg" TargetMode="External"/><Relationship Id="rId3341" Type="http://schemas.openxmlformats.org/officeDocument/2006/relationships/hyperlink" Target="https://ryycrdhlkmzpxwwwwupy.supabase.co/storage/v1/object/public/old_media/52cacbe7.Path.073451.jpg" TargetMode="External"/><Relationship Id="rId4672" Type="http://schemas.openxmlformats.org/officeDocument/2006/relationships/hyperlink" Target="https://ryycrdhlkmzpxwwwwupy.supabase.co/storage/v1/object/public/old_media/6057f4fa.Path.052705.jpg" TargetMode="External"/><Relationship Id="rId2012" Type="http://schemas.openxmlformats.org/officeDocument/2006/relationships/hyperlink" Target="https://ryycrdhlkmzpxwwwwupy.supabase.co/storage/v1/object/public/old_media/6fb44bb2.Path.061825.jpg" TargetMode="External"/><Relationship Id="rId3344" Type="http://schemas.openxmlformats.org/officeDocument/2006/relationships/hyperlink" Target="https://ryycrdhlkmzpxwwwwupy.supabase.co/storage/v1/object/public/old_media/b7f0f7be.Path.073625.jpg" TargetMode="External"/><Relationship Id="rId4675" Type="http://schemas.openxmlformats.org/officeDocument/2006/relationships/hyperlink" Target="https://ryycrdhlkmzpxwwwwupy.supabase.co/storage/v1/object/public/old_media/8979630e.Path.052836.jpg" TargetMode="External"/><Relationship Id="rId2013" Type="http://schemas.openxmlformats.org/officeDocument/2006/relationships/hyperlink" Target="https://ryycrdhlkmzpxwwwwupy.supabase.co/storage/v1/object/public/old_media/af419a1e.Path.062139.jpg" TargetMode="External"/><Relationship Id="rId3343" Type="http://schemas.openxmlformats.org/officeDocument/2006/relationships/hyperlink" Target="https://ryycrdhlkmzpxwwwwupy.supabase.co/storage/v1/object/public/old_media/d7897b2d.Path.073553.jpg" TargetMode="External"/><Relationship Id="rId4674" Type="http://schemas.openxmlformats.org/officeDocument/2006/relationships/hyperlink" Target="https://ryycrdhlkmzpxwwwwupy.supabase.co/storage/v1/object/public/old_media/f7453931.Path.052805.jpg" TargetMode="External"/><Relationship Id="rId2014" Type="http://schemas.openxmlformats.org/officeDocument/2006/relationships/hyperlink" Target="https://ryycrdhlkmzpxwwwwupy.supabase.co/storage/v1/object/public/old_media/24dd2503.Path.062151.jpg" TargetMode="External"/><Relationship Id="rId3346" Type="http://schemas.openxmlformats.org/officeDocument/2006/relationships/hyperlink" Target="https://ryycrdhlkmzpxwwwwupy.supabase.co/storage/v1/object/public/old_media/3bb2b945.Path.073732.jpg" TargetMode="External"/><Relationship Id="rId4677" Type="http://schemas.openxmlformats.org/officeDocument/2006/relationships/hyperlink" Target="https://ryycrdhlkmzpxwwwwupy.supabase.co/storage/v1/object/public/old_media/b53f7fb5.Path.074604.jpg" TargetMode="External"/><Relationship Id="rId2015" Type="http://schemas.openxmlformats.org/officeDocument/2006/relationships/hyperlink" Target="https://ryycrdhlkmzpxwwwwupy.supabase.co/storage/v1/object/public/old_media/317b2f53.Path.062206.jpg" TargetMode="External"/><Relationship Id="rId3345" Type="http://schemas.openxmlformats.org/officeDocument/2006/relationships/hyperlink" Target="https://ryycrdhlkmzpxwwwwupy.supabase.co/storage/v1/object/public/old_media/1e48319d.Path.073656.jpg" TargetMode="External"/><Relationship Id="rId4676" Type="http://schemas.openxmlformats.org/officeDocument/2006/relationships/hyperlink" Target="https://ryycrdhlkmzpxwwwwupy.supabase.co/storage/v1/object/public/old_media/2b606456.Path.052907.jpg" TargetMode="External"/><Relationship Id="rId2049" Type="http://schemas.openxmlformats.org/officeDocument/2006/relationships/hyperlink" Target="https://ryycrdhlkmzpxwwwwupy.supabase.co/storage/v1/object/public/old_media/0d9c87be.Path.092535.jpg" TargetMode="External"/><Relationship Id="rId129" Type="http://schemas.openxmlformats.org/officeDocument/2006/relationships/hyperlink" Target="https://ryycrdhlkmzpxwwwwupy.supabase.co/storage/v1/object/public/old_media/790b999a.Path.070834.png" TargetMode="External"/><Relationship Id="rId128" Type="http://schemas.openxmlformats.org/officeDocument/2006/relationships/hyperlink" Target="https://ryycrdhlkmzpxwwwwupy.supabase.co/storage/v1/object/public/old_media/35080874.Path.070151.png" TargetMode="External"/><Relationship Id="rId127" Type="http://schemas.openxmlformats.org/officeDocument/2006/relationships/hyperlink" Target="https://ryycrdhlkmzpxwwwwupy.supabase.co/storage/v1/object/public/old_media/a24f67dd.Path.070142.png" TargetMode="External"/><Relationship Id="rId126" Type="http://schemas.openxmlformats.org/officeDocument/2006/relationships/hyperlink" Target="https://ryycrdhlkmzpxwwwwupy.supabase.co/storage/v1/object/public/old_media/6ff1207e.Path.070128.png" TargetMode="External"/><Relationship Id="rId3371" Type="http://schemas.openxmlformats.org/officeDocument/2006/relationships/hyperlink" Target="https://ryycrdhlkmzpxwwwwupy.supabase.co/storage/v1/object/public/old_media/a679bab6.Path.110551.webp" TargetMode="External"/><Relationship Id="rId2040" Type="http://schemas.openxmlformats.org/officeDocument/2006/relationships/hyperlink" Target="https://ryycrdhlkmzpxwwwwupy.supabase.co/storage/v1/object/public/old_media/3fca9c83.Path.072540.jpg" TargetMode="External"/><Relationship Id="rId3370" Type="http://schemas.openxmlformats.org/officeDocument/2006/relationships/hyperlink" Target="https://ryycrdhlkmzpxwwwwupy.supabase.co/storage/v1/object/public/old_media/3afabf96.Path.110519.webp" TargetMode="External"/><Relationship Id="rId121" Type="http://schemas.openxmlformats.org/officeDocument/2006/relationships/hyperlink" Target="https://ryycrdhlkmzpxwwwwupy.supabase.co/storage/v1/object/public/old_media/7ed92638.Path.104856.jpg" TargetMode="External"/><Relationship Id="rId2041" Type="http://schemas.openxmlformats.org/officeDocument/2006/relationships/hyperlink" Target="https://ryycrdhlkmzpxwwwwupy.supabase.co/storage/v1/object/public/old_media/3f74c9ce.Path.113637.jpg" TargetMode="External"/><Relationship Id="rId3373" Type="http://schemas.openxmlformats.org/officeDocument/2006/relationships/hyperlink" Target="https://ryycrdhlkmzpxwwwwupy.supabase.co/storage/v1/object/public/old_media/428351d0.Path.110654.webp" TargetMode="External"/><Relationship Id="rId120" Type="http://schemas.openxmlformats.org/officeDocument/2006/relationships/hyperlink" Target="https://ryycrdhlkmzpxwwwwupy.supabase.co/storage/v1/object/public/old_media/4b2e407e.Path.095432.jpg" TargetMode="External"/><Relationship Id="rId2042" Type="http://schemas.openxmlformats.org/officeDocument/2006/relationships/hyperlink" Target="https://ryycrdhlkmzpxwwwwupy.supabase.co/storage/v1/object/public/old_media/46222360.Path.112848.png" TargetMode="External"/><Relationship Id="rId3372" Type="http://schemas.openxmlformats.org/officeDocument/2006/relationships/hyperlink" Target="https://ryycrdhlkmzpxwwwwupy.supabase.co/storage/v1/object/public/old_media/9fe3f6f8.Path.110622.webp" TargetMode="External"/><Relationship Id="rId2043" Type="http://schemas.openxmlformats.org/officeDocument/2006/relationships/hyperlink" Target="https://ryycrdhlkmzpxwwwwupy.supabase.co/storage/v1/object/public/old_media/618d7d13.Path.112937.jpg" TargetMode="External"/><Relationship Id="rId3375" Type="http://schemas.openxmlformats.org/officeDocument/2006/relationships/hyperlink" Target="https://ryycrdhlkmzpxwwwwupy.supabase.co/storage/v1/object/public/old_media/73c96d39.Path.110752.webp" TargetMode="External"/><Relationship Id="rId2044" Type="http://schemas.openxmlformats.org/officeDocument/2006/relationships/hyperlink" Target="https://ryycrdhlkmzpxwwwwupy.supabase.co/storage/v1/object/public/old_media/6076368a.Path.113021.jpg" TargetMode="External"/><Relationship Id="rId3374" Type="http://schemas.openxmlformats.org/officeDocument/2006/relationships/hyperlink" Target="https://ryycrdhlkmzpxwwwwupy.supabase.co/storage/v1/object/public/old_media/9f3296f7.Path.110725.webp" TargetMode="External"/><Relationship Id="rId125" Type="http://schemas.openxmlformats.org/officeDocument/2006/relationships/hyperlink" Target="https://ryycrdhlkmzpxwwwwupy.supabase.co/storage/v1/object/public/old_media/75f7b940.Path.105054.jpg" TargetMode="External"/><Relationship Id="rId2045" Type="http://schemas.openxmlformats.org/officeDocument/2006/relationships/hyperlink" Target="https://ryycrdhlkmzpxwwwwupy.supabase.co/storage/v1/object/public/old_media/08533b4d.Path.114019.jpg" TargetMode="External"/><Relationship Id="rId3377" Type="http://schemas.openxmlformats.org/officeDocument/2006/relationships/hyperlink" Target="https://ryycrdhlkmzpxwwwwupy.supabase.co/storage/v1/object/public/old_media/fa82436b.Path.110855.webp" TargetMode="External"/><Relationship Id="rId124" Type="http://schemas.openxmlformats.org/officeDocument/2006/relationships/hyperlink" Target="https://ryycrdhlkmzpxwwwwupy.supabase.co/storage/v1/object/public/old_media/ac3163ce.Path.104956.jpg" TargetMode="External"/><Relationship Id="rId2046" Type="http://schemas.openxmlformats.org/officeDocument/2006/relationships/hyperlink" Target="https://ryycrdhlkmzpxwwwwupy.supabase.co/storage/v1/object/public/old_media/1fef26be.Path.114047.jpg" TargetMode="External"/><Relationship Id="rId3376" Type="http://schemas.openxmlformats.org/officeDocument/2006/relationships/hyperlink" Target="https://ryycrdhlkmzpxwwwwupy.supabase.co/storage/v1/object/public/old_media/34f1c1ac.Path.110824.webp" TargetMode="External"/><Relationship Id="rId123" Type="http://schemas.openxmlformats.org/officeDocument/2006/relationships/hyperlink" Target="https://ryycrdhlkmzpxwwwwupy.supabase.co/storage/v1/object/public/old_media/b3d6eee0.Path.104940.jpg" TargetMode="External"/><Relationship Id="rId2047" Type="http://schemas.openxmlformats.org/officeDocument/2006/relationships/hyperlink" Target="https://ryycrdhlkmzpxwwwwupy.supabase.co/storage/v1/object/public/old_media/b8a395da.Path.114112.jpg" TargetMode="External"/><Relationship Id="rId3379" Type="http://schemas.openxmlformats.org/officeDocument/2006/relationships/hyperlink" Target="https://ryycrdhlkmzpxwwwwupy.supabase.co/storage/v1/object/public/old_media/a1abe7e7.Path.110954.webp" TargetMode="External"/><Relationship Id="rId122" Type="http://schemas.openxmlformats.org/officeDocument/2006/relationships/hyperlink" Target="https://ryycrdhlkmzpxwwwwupy.supabase.co/storage/v1/object/public/old_media/37497b16.Path.104907.png" TargetMode="External"/><Relationship Id="rId2048" Type="http://schemas.openxmlformats.org/officeDocument/2006/relationships/hyperlink" Target="https://ryycrdhlkmzpxwwwwupy.supabase.co/storage/v1/object/public/old_media/92b46b7c.Path.092525.jpg" TargetMode="External"/><Relationship Id="rId3378" Type="http://schemas.openxmlformats.org/officeDocument/2006/relationships/hyperlink" Target="https://ryycrdhlkmzpxwwwwupy.supabase.co/storage/v1/object/public/old_media/7fe3c69c.Path.110925.webp" TargetMode="External"/><Relationship Id="rId2038" Type="http://schemas.openxmlformats.org/officeDocument/2006/relationships/hyperlink" Target="https://ryycrdhlkmzpxwwwwupy.supabase.co/storage/v1/object/public/old_media/3a8ccd36.Path.072446.jpg" TargetMode="External"/><Relationship Id="rId2039" Type="http://schemas.openxmlformats.org/officeDocument/2006/relationships/hyperlink" Target="https://ryycrdhlkmzpxwwwwupy.supabase.co/storage/v1/object/public/old_media/28d72b61.Path.072510.jpg" TargetMode="External"/><Relationship Id="rId3369" Type="http://schemas.openxmlformats.org/officeDocument/2006/relationships/hyperlink" Target="https://ryycrdhlkmzpxwwwwupy.supabase.co/storage/v1/object/public/old_media/11af8ed7.Path.110446.webp" TargetMode="External"/><Relationship Id="rId118" Type="http://schemas.openxmlformats.org/officeDocument/2006/relationships/hyperlink" Target="https://ryycrdhlkmzpxwwwwupy.supabase.co/storage/v1/object/public/old_media/1cf393f2.Path.095203.jpg" TargetMode="External"/><Relationship Id="rId117" Type="http://schemas.openxmlformats.org/officeDocument/2006/relationships/hyperlink" Target="https://ryycrdhlkmzpxwwwwupy.supabase.co/storage/v1/object/public/old_media/9199492c.Path.104720.jpg" TargetMode="External"/><Relationship Id="rId116" Type="http://schemas.openxmlformats.org/officeDocument/2006/relationships/hyperlink" Target="https://ryycrdhlkmzpxwwwwupy.supabase.co/storage/v1/object/public/old_media/e1034db6.Path.104602.jpg" TargetMode="External"/><Relationship Id="rId115" Type="http://schemas.openxmlformats.org/officeDocument/2006/relationships/hyperlink" Target="https://ryycrdhlkmzpxwwwwupy.supabase.co/storage/v1/object/public/old_media/c4daffa6.Path.104534.jpg" TargetMode="External"/><Relationship Id="rId3360" Type="http://schemas.openxmlformats.org/officeDocument/2006/relationships/hyperlink" Target="https://ryycrdhlkmzpxwwwwupy.supabase.co/storage/v1/object/public/old_media/a99697ae.Path.075436.jpg" TargetMode="External"/><Relationship Id="rId4691" Type="http://schemas.openxmlformats.org/officeDocument/2006/relationships/hyperlink" Target="https://ryycrdhlkmzpxwwwwupy.supabase.co/storage/v1/object/public/old_media/fdfe509c.Path.073757.jpg" TargetMode="External"/><Relationship Id="rId119" Type="http://schemas.openxmlformats.org/officeDocument/2006/relationships/hyperlink" Target="https://ryycrdhlkmzpxwwwwupy.supabase.co/storage/v1/object/public/old_media/bfb99c3b.Path.095324.jpg" TargetMode="External"/><Relationship Id="rId4690" Type="http://schemas.openxmlformats.org/officeDocument/2006/relationships/hyperlink" Target="https://ryycrdhlkmzpxwwwwupy.supabase.co/storage/v1/object/public/old_media/fbe91327.Path.053736.jpg" TargetMode="External"/><Relationship Id="rId110" Type="http://schemas.openxmlformats.org/officeDocument/2006/relationships/hyperlink" Target="https://ryycrdhlkmzpxwwwwupy.supabase.co/storage/v1/object/public/old_media/121f9313.Path.100106.png" TargetMode="External"/><Relationship Id="rId2030" Type="http://schemas.openxmlformats.org/officeDocument/2006/relationships/hyperlink" Target="https://ryycrdhlkmzpxwwwwupy.supabase.co/storage/v1/object/public/old_media/95953c2f.Path.080454.jpg" TargetMode="External"/><Relationship Id="rId3362" Type="http://schemas.openxmlformats.org/officeDocument/2006/relationships/hyperlink" Target="https://ryycrdhlkmzpxwwwwupy.supabase.co/storage/v1/object/public/old_media/7fdccd93.Path.084145.jpg" TargetMode="External"/><Relationship Id="rId4693" Type="http://schemas.openxmlformats.org/officeDocument/2006/relationships/hyperlink" Target="https://ryycrdhlkmzpxwwwwupy.supabase.co/storage/v1/object/public/old_media/0c65c544.Path.073911.jpg" TargetMode="External"/><Relationship Id="rId2031" Type="http://schemas.openxmlformats.org/officeDocument/2006/relationships/hyperlink" Target="https://ryycrdhlkmzpxwwwwupy.supabase.co/storage/v1/object/public/old_media/f592d5f7.Path.092851.jpg" TargetMode="External"/><Relationship Id="rId3361" Type="http://schemas.openxmlformats.org/officeDocument/2006/relationships/hyperlink" Target="https://ryycrdhlkmzpxwwwwupy.supabase.co/storage/v1/object/public/old_media/f0f44b7c.Path.075510.jpg" TargetMode="External"/><Relationship Id="rId4692" Type="http://schemas.openxmlformats.org/officeDocument/2006/relationships/hyperlink" Target="https://ryycrdhlkmzpxwwwwupy.supabase.co/storage/v1/object/public/old_media/98d86daf.Path.073835.jpg" TargetMode="External"/><Relationship Id="rId2032" Type="http://schemas.openxmlformats.org/officeDocument/2006/relationships/hyperlink" Target="https://ryycrdhlkmzpxwwwwupy.supabase.co/storage/v1/object/public/old_media/13593dcc.Path.071942.jpg" TargetMode="External"/><Relationship Id="rId3364" Type="http://schemas.openxmlformats.org/officeDocument/2006/relationships/hyperlink" Target="https://ryycrdhlkmzpxwwwwupy.supabase.co/storage/v1/object/public/old_media/411fd4da.Path.110205.webp" TargetMode="External"/><Relationship Id="rId4695" Type="http://schemas.openxmlformats.org/officeDocument/2006/relationships/hyperlink" Target="https://ryycrdhlkmzpxwwwwupy.supabase.co/storage/v1/object/public/old_media/6c2a4a54.Path.074022.jpg" TargetMode="External"/><Relationship Id="rId2033" Type="http://schemas.openxmlformats.org/officeDocument/2006/relationships/hyperlink" Target="https://ryycrdhlkmzpxwwwwupy.supabase.co/storage/v1/object/public/old_media/74ff4d7f.Path.072115.jpg" TargetMode="External"/><Relationship Id="rId3363" Type="http://schemas.openxmlformats.org/officeDocument/2006/relationships/hyperlink" Target="https://ryycrdhlkmzpxwwwwupy.supabase.co/storage/v1/object/public/old_media/ae7f3377.Path.084546.jpg" TargetMode="External"/><Relationship Id="rId4694" Type="http://schemas.openxmlformats.org/officeDocument/2006/relationships/hyperlink" Target="https://ryycrdhlkmzpxwwwwupy.supabase.co/storage/v1/object/public/old_media/486e555f.Path.073945.jpg" TargetMode="External"/><Relationship Id="rId114" Type="http://schemas.openxmlformats.org/officeDocument/2006/relationships/hyperlink" Target="https://ryycrdhlkmzpxwwwwupy.supabase.co/storage/v1/object/public/old_media/d6edca37.Path.104454.jpg" TargetMode="External"/><Relationship Id="rId2034" Type="http://schemas.openxmlformats.org/officeDocument/2006/relationships/hyperlink" Target="https://ryycrdhlkmzpxwwwwupy.supabase.co/storage/v1/object/public/old_media/aa6964b3.Path.072228.jpg" TargetMode="External"/><Relationship Id="rId3366" Type="http://schemas.openxmlformats.org/officeDocument/2006/relationships/hyperlink" Target="https://ryycrdhlkmzpxwwwwupy.supabase.co/storage/v1/object/public/old_media/2ecbe9a6.Path.110313.jpg" TargetMode="External"/><Relationship Id="rId4697" Type="http://schemas.openxmlformats.org/officeDocument/2006/relationships/hyperlink" Target="https://ryycrdhlkmzpxwwwwupy.supabase.co/storage/v1/object/public/old_media/0ce1c311.Path.074125.jpg" TargetMode="External"/><Relationship Id="rId113" Type="http://schemas.openxmlformats.org/officeDocument/2006/relationships/hyperlink" Target="https://ryycrdhlkmzpxwwwwupy.supabase.co/storage/v1/object/public/old_media/a12853c5.Path.100425.png" TargetMode="External"/><Relationship Id="rId2035" Type="http://schemas.openxmlformats.org/officeDocument/2006/relationships/hyperlink" Target="https://ryycrdhlkmzpxwwwwupy.supabase.co/storage/v1/object/public/old_media/3985979a.Path.072304.jpg" TargetMode="External"/><Relationship Id="rId3365" Type="http://schemas.openxmlformats.org/officeDocument/2006/relationships/hyperlink" Target="https://ryycrdhlkmzpxwwwwupy.supabase.co/storage/v1/object/public/old_media/768a1400.Path.110240.webp" TargetMode="External"/><Relationship Id="rId4696" Type="http://schemas.openxmlformats.org/officeDocument/2006/relationships/hyperlink" Target="https://ryycrdhlkmzpxwwwwupy.supabase.co/storage/v1/object/public/old_media/86cfa824.Path.074055.jpg" TargetMode="External"/><Relationship Id="rId112" Type="http://schemas.openxmlformats.org/officeDocument/2006/relationships/hyperlink" Target="https://ryycrdhlkmzpxwwwwupy.supabase.co/storage/v1/object/public/old_media/60ec26d5.Path.100211.png" TargetMode="External"/><Relationship Id="rId2036" Type="http://schemas.openxmlformats.org/officeDocument/2006/relationships/hyperlink" Target="https://ryycrdhlkmzpxwwwwupy.supabase.co/storage/v1/object/public/old_media/4aa71428.Path.072344.jpg" TargetMode="External"/><Relationship Id="rId3368" Type="http://schemas.openxmlformats.org/officeDocument/2006/relationships/hyperlink" Target="https://ryycrdhlkmzpxwwwwupy.supabase.co/storage/v1/object/public/old_media/8997c6df.Path.110416.webp" TargetMode="External"/><Relationship Id="rId4699" Type="http://schemas.openxmlformats.org/officeDocument/2006/relationships/hyperlink" Target="https://ryycrdhlkmzpxwwwwupy.supabase.co/storage/v1/object/public/old_media/36d7e61d.Path.045747.jpg" TargetMode="External"/><Relationship Id="rId111" Type="http://schemas.openxmlformats.org/officeDocument/2006/relationships/hyperlink" Target="https://ryycrdhlkmzpxwwwwupy.supabase.co/storage/v1/object/public/old_media/b60114ce.Path.100139.png" TargetMode="External"/><Relationship Id="rId2037" Type="http://schemas.openxmlformats.org/officeDocument/2006/relationships/hyperlink" Target="https://ryycrdhlkmzpxwwwwupy.supabase.co/storage/v1/object/public/old_media/047aa0a7.Path.072408.jpg" TargetMode="External"/><Relationship Id="rId3367" Type="http://schemas.openxmlformats.org/officeDocument/2006/relationships/hyperlink" Target="https://ryycrdhlkmzpxwwwwupy.supabase.co/storage/v1/object/public/old_media/d6730fd4.Path.110345.webp" TargetMode="External"/><Relationship Id="rId4698" Type="http://schemas.openxmlformats.org/officeDocument/2006/relationships/hyperlink" Target="https://ryycrdhlkmzpxwwwwupy.supabase.co/storage/v1/object/public/old_media/939c194b.Path.045703.png" TargetMode="External"/><Relationship Id="rId3315" Type="http://schemas.openxmlformats.org/officeDocument/2006/relationships/hyperlink" Target="https://ryycrdhlkmzpxwwwwupy.supabase.co/storage/v1/object/public/old_media/8c27a603.Path.062055.jpg" TargetMode="External"/><Relationship Id="rId4646" Type="http://schemas.openxmlformats.org/officeDocument/2006/relationships/hyperlink" Target="https://ryycrdhlkmzpxwwwwupy.supabase.co/storage/v1/object/public/old_media/fd924823.Path.053901.jpg" TargetMode="External"/><Relationship Id="rId3314" Type="http://schemas.openxmlformats.org/officeDocument/2006/relationships/hyperlink" Target="https://ryycrdhlkmzpxwwwwupy.supabase.co/storage/v1/object/public/old_media/7fb7fc3c.Path.074124.jpg" TargetMode="External"/><Relationship Id="rId4645" Type="http://schemas.openxmlformats.org/officeDocument/2006/relationships/hyperlink" Target="https://ryycrdhlkmzpxwwwwupy.supabase.co/storage/v1/object/public/old_media/c5163a84.Path.053837.jpg" TargetMode="External"/><Relationship Id="rId3317" Type="http://schemas.openxmlformats.org/officeDocument/2006/relationships/hyperlink" Target="https://ryycrdhlkmzpxwwwwupy.supabase.co/storage/v1/object/public/old_media/ffa2d6f3.Path.062121.jpg" TargetMode="External"/><Relationship Id="rId4648" Type="http://schemas.openxmlformats.org/officeDocument/2006/relationships/hyperlink" Target="https://ryycrdhlkmzpxwwwwupy.supabase.co/storage/v1/object/public/old_media/3c60253e.Path.053951.jpg" TargetMode="External"/><Relationship Id="rId3316" Type="http://schemas.openxmlformats.org/officeDocument/2006/relationships/hyperlink" Target="https://ryycrdhlkmzpxwwwwupy.supabase.co/storage/v1/object/public/old_media/dde67b5d.Path.062112.jpg" TargetMode="External"/><Relationship Id="rId4647" Type="http://schemas.openxmlformats.org/officeDocument/2006/relationships/hyperlink" Target="https://ryycrdhlkmzpxwwwwupy.supabase.co/storage/v1/object/public/old_media/3c55de9b.Path.053925.jpg" TargetMode="External"/><Relationship Id="rId3319" Type="http://schemas.openxmlformats.org/officeDocument/2006/relationships/hyperlink" Target="https://ryycrdhlkmzpxwwwwupy.supabase.co/storage/v1/object/public/old_media/0fc02aae.Path.092124.jpg" TargetMode="External"/><Relationship Id="rId3318" Type="http://schemas.openxmlformats.org/officeDocument/2006/relationships/hyperlink" Target="https://ryycrdhlkmzpxwwwwupy.supabase.co/storage/v1/object/public/old_media/e852c2c3.Path.095620.jpg" TargetMode="External"/><Relationship Id="rId4649" Type="http://schemas.openxmlformats.org/officeDocument/2006/relationships/hyperlink" Target="https://ryycrdhlkmzpxwwwwupy.supabase.co/storage/v1/object/public/old_media/a8a2193a.Path.054015.jpg" TargetMode="External"/><Relationship Id="rId4640" Type="http://schemas.openxmlformats.org/officeDocument/2006/relationships/hyperlink" Target="https://ryycrdhlkmzpxwwwwupy.supabase.co/storage/v1/object/public/old_media/9956fa8a.Path.042448.jpg" TargetMode="External"/><Relationship Id="rId3311" Type="http://schemas.openxmlformats.org/officeDocument/2006/relationships/hyperlink" Target="https://ryycrdhlkmzpxwwwwupy.supabase.co/storage/v1/object/public/old_media/384dc5d5.Path.073551.jpg" TargetMode="External"/><Relationship Id="rId4642" Type="http://schemas.openxmlformats.org/officeDocument/2006/relationships/hyperlink" Target="https://ryycrdhlkmzpxwwwwupy.supabase.co/storage/v1/object/public/old_media/1f9de88e.Path.053720.jpg" TargetMode="External"/><Relationship Id="rId3310" Type="http://schemas.openxmlformats.org/officeDocument/2006/relationships/hyperlink" Target="https://ryycrdhlkmzpxwwwwupy.supabase.co/storage/v1/object/public/old_media/e36703cb.Path.073541.jpg" TargetMode="External"/><Relationship Id="rId4641" Type="http://schemas.openxmlformats.org/officeDocument/2006/relationships/hyperlink" Target="https://ryycrdhlkmzpxwwwwupy.supabase.co/storage/v1/object/public/old_media/2df1ac25.Path.042531.png" TargetMode="External"/><Relationship Id="rId3313" Type="http://schemas.openxmlformats.org/officeDocument/2006/relationships/hyperlink" Target="https://ryycrdhlkmzpxwwwwupy.supabase.co/storage/v1/object/public/old_media/4423b0f9.Path.073627.jpg" TargetMode="External"/><Relationship Id="rId4644" Type="http://schemas.openxmlformats.org/officeDocument/2006/relationships/hyperlink" Target="https://ryycrdhlkmzpxwwwwupy.supabase.co/storage/v1/object/public/old_media/e4575799.Path.053811.jpg" TargetMode="External"/><Relationship Id="rId3312" Type="http://schemas.openxmlformats.org/officeDocument/2006/relationships/hyperlink" Target="https://ryycrdhlkmzpxwwwwupy.supabase.co/storage/v1/object/public/old_media/4e60b864.Path.073559.jpg" TargetMode="External"/><Relationship Id="rId4643" Type="http://schemas.openxmlformats.org/officeDocument/2006/relationships/hyperlink" Target="https://ryycrdhlkmzpxwwwwupy.supabase.co/storage/v1/object/public/old_media/fb35de33.Path.053745.jpg" TargetMode="External"/><Relationship Id="rId3304" Type="http://schemas.openxmlformats.org/officeDocument/2006/relationships/hyperlink" Target="https://ryycrdhlkmzpxwwwwupy.supabase.co/storage/v1/object/public/old_media/62573c14.Path.061316.jpg" TargetMode="External"/><Relationship Id="rId4635" Type="http://schemas.openxmlformats.org/officeDocument/2006/relationships/hyperlink" Target="https://ryycrdhlkmzpxwwwwupy.supabase.co/storage/v1/object/public/old_media/d72dc305.Path.042228.jpg" TargetMode="External"/><Relationship Id="rId3303" Type="http://schemas.openxmlformats.org/officeDocument/2006/relationships/hyperlink" Target="https://ryycrdhlkmzpxwwwwupy.supabase.co/storage/v1/object/public/old_media/9484d1bb.Path.061238.jpg" TargetMode="External"/><Relationship Id="rId4634" Type="http://schemas.openxmlformats.org/officeDocument/2006/relationships/hyperlink" Target="https://ryycrdhlkmzpxwwwwupy.supabase.co/storage/v1/object/public/old_media/c628a369.Path.042200.jpg" TargetMode="External"/><Relationship Id="rId3306" Type="http://schemas.openxmlformats.org/officeDocument/2006/relationships/hyperlink" Target="https://ryycrdhlkmzpxwwwwupy.supabase.co/storage/v1/object/public/old_media/367a3528.Path.061353.jpg" TargetMode="External"/><Relationship Id="rId4637" Type="http://schemas.openxmlformats.org/officeDocument/2006/relationships/hyperlink" Target="https://ryycrdhlkmzpxwwwwupy.supabase.co/storage/v1/object/public/old_media/e0b95da8.Path.042322.jpg" TargetMode="External"/><Relationship Id="rId3305" Type="http://schemas.openxmlformats.org/officeDocument/2006/relationships/hyperlink" Target="https://ryycrdhlkmzpxwwwwupy.supabase.co/storage/v1/object/public/old_media/fcf6f441.Path.061334.jpg" TargetMode="External"/><Relationship Id="rId4636" Type="http://schemas.openxmlformats.org/officeDocument/2006/relationships/hyperlink" Target="https://ryycrdhlkmzpxwwwwupy.supabase.co/storage/v1/object/public/old_media/94b54f5d.Path.042254.jpg" TargetMode="External"/><Relationship Id="rId3308" Type="http://schemas.openxmlformats.org/officeDocument/2006/relationships/hyperlink" Target="https://ryycrdhlkmzpxwwwwupy.supabase.co/storage/v1/object/public/old_media/c27c08ef.Path.073420.jpg" TargetMode="External"/><Relationship Id="rId4639" Type="http://schemas.openxmlformats.org/officeDocument/2006/relationships/hyperlink" Target="https://ryycrdhlkmzpxwwwwupy.supabase.co/storage/v1/object/public/old_media/c3c2ce3a.Path.042418.jpg" TargetMode="External"/><Relationship Id="rId3307" Type="http://schemas.openxmlformats.org/officeDocument/2006/relationships/hyperlink" Target="https://ryycrdhlkmzpxwwwwupy.supabase.co/storage/v1/object/public/old_media/ff999a9c.Path.073412.jpg" TargetMode="External"/><Relationship Id="rId4638" Type="http://schemas.openxmlformats.org/officeDocument/2006/relationships/hyperlink" Target="https://ryycrdhlkmzpxwwwwupy.supabase.co/storage/v1/object/public/old_media/c40f5ba9.Path.042351.jpg" TargetMode="External"/><Relationship Id="rId3309" Type="http://schemas.openxmlformats.org/officeDocument/2006/relationships/hyperlink" Target="https://ryycrdhlkmzpxwwwwupy.supabase.co/storage/v1/object/public/old_media/b249489f.Path.073527.jpg" TargetMode="External"/><Relationship Id="rId3300" Type="http://schemas.openxmlformats.org/officeDocument/2006/relationships/hyperlink" Target="https://ryycrdhlkmzpxwwwwupy.supabase.co/storage/v1/object/public/old_media/6e8ad272.Path.061229.jpg" TargetMode="External"/><Relationship Id="rId4631" Type="http://schemas.openxmlformats.org/officeDocument/2006/relationships/hyperlink" Target="https://ryycrdhlkmzpxwwwwupy.supabase.co/storage/v1/object/public/old_media/6ae1d70c.Path.111507.jpg" TargetMode="External"/><Relationship Id="rId4630" Type="http://schemas.openxmlformats.org/officeDocument/2006/relationships/hyperlink" Target="https://ryycrdhlkmzpxwwwwupy.supabase.co/storage/v1/object/public/old_media/de7cf09a.Path.111105.jpg" TargetMode="External"/><Relationship Id="rId3302" Type="http://schemas.openxmlformats.org/officeDocument/2006/relationships/hyperlink" Target="https://ryycrdhlkmzpxwwwwupy.supabase.co/storage/v1/object/public/old_media/78c6c090.Path.061154.jpg" TargetMode="External"/><Relationship Id="rId4633" Type="http://schemas.openxmlformats.org/officeDocument/2006/relationships/hyperlink" Target="https://ryycrdhlkmzpxwwwwupy.supabase.co/storage/v1/object/public/old_media/e01580b6.Path.042133.jpg" TargetMode="External"/><Relationship Id="rId3301" Type="http://schemas.openxmlformats.org/officeDocument/2006/relationships/hyperlink" Target="https://ryycrdhlkmzpxwwwwupy.supabase.co/storage/v1/object/public/old_media/47ac4ecf.Path.061237.jpg" TargetMode="External"/><Relationship Id="rId4632" Type="http://schemas.openxmlformats.org/officeDocument/2006/relationships/hyperlink" Target="https://ryycrdhlkmzpxwwwwupy.supabase.co/storage/v1/object/public/old_media/5fe00042.Path.111905.jpg" TargetMode="External"/><Relationship Id="rId2005" Type="http://schemas.openxmlformats.org/officeDocument/2006/relationships/hyperlink" Target="https://ryycrdhlkmzpxwwwwupy.supabase.co/storage/v1/object/public/old_media/2719ab97.Path.111623.jpg" TargetMode="External"/><Relationship Id="rId3337" Type="http://schemas.openxmlformats.org/officeDocument/2006/relationships/hyperlink" Target="https://ryycrdhlkmzpxwwwwupy.supabase.co/storage/v1/object/public/old_media/8ce20759.Path.063607.jpg" TargetMode="External"/><Relationship Id="rId4668" Type="http://schemas.openxmlformats.org/officeDocument/2006/relationships/hyperlink" Target="https://ryycrdhlkmzpxwwwwupy.supabase.co/storage/v1/object/public/old_media/208fdcd6.Path.045509.avif" TargetMode="External"/><Relationship Id="rId2006" Type="http://schemas.openxmlformats.org/officeDocument/2006/relationships/hyperlink" Target="https://ryycrdhlkmzpxwwwwupy.supabase.co/storage/v1/object/public/old_media/95c729e4.Path.111701.jpg" TargetMode="External"/><Relationship Id="rId3336" Type="http://schemas.openxmlformats.org/officeDocument/2006/relationships/hyperlink" Target="https://ryycrdhlkmzpxwwwwupy.supabase.co/storage/v1/object/public/old_media/126e81eb.Path.063536.jpg" TargetMode="External"/><Relationship Id="rId4667" Type="http://schemas.openxmlformats.org/officeDocument/2006/relationships/hyperlink" Target="https://ryycrdhlkmzpxwwwwupy.supabase.co/storage/v1/object/public/old_media/6c2c653e.Path.045441.avif" TargetMode="External"/><Relationship Id="rId2007" Type="http://schemas.openxmlformats.org/officeDocument/2006/relationships/hyperlink" Target="https://ryycrdhlkmzpxwwwwupy.supabase.co/storage/v1/object/public/old_media/8f75d18b.Path.111751.jpg" TargetMode="External"/><Relationship Id="rId3339" Type="http://schemas.openxmlformats.org/officeDocument/2006/relationships/hyperlink" Target="https://ryycrdhlkmzpxwwwwupy.supabase.co/storage/v1/object/public/old_media/4c4a79de.Path.073346.jpg" TargetMode="External"/><Relationship Id="rId2008" Type="http://schemas.openxmlformats.org/officeDocument/2006/relationships/hyperlink" Target="https://ryycrdhlkmzpxwwwwupy.supabase.co/storage/v1/object/public/old_media/e699fb6b.Path.111804.jpg" TargetMode="External"/><Relationship Id="rId3338" Type="http://schemas.openxmlformats.org/officeDocument/2006/relationships/hyperlink" Target="https://ryycrdhlkmzpxwwwwupy.supabase.co/storage/v1/object/public/old_media/b6ea94b4.Path.063650.png" TargetMode="External"/><Relationship Id="rId4669" Type="http://schemas.openxmlformats.org/officeDocument/2006/relationships/hyperlink" Target="https://ryycrdhlkmzpxwwwwupy.supabase.co/storage/v1/object/public/old_media/e396c09c.Path.091300.jpg" TargetMode="External"/><Relationship Id="rId2009" Type="http://schemas.openxmlformats.org/officeDocument/2006/relationships/hyperlink" Target="https://ryycrdhlkmzpxwwwwupy.supabase.co/storage/v1/object/public/old_media/1851d0cf.Path.111900.jpg" TargetMode="External"/><Relationship Id="rId4660" Type="http://schemas.openxmlformats.org/officeDocument/2006/relationships/hyperlink" Target="https://ryycrdhlkmzpxwwwwupy.supabase.co/storage/v1/object/public/old_media/81e8b83c.Path.113736.jpg" TargetMode="External"/><Relationship Id="rId3331" Type="http://schemas.openxmlformats.org/officeDocument/2006/relationships/hyperlink" Target="https://ryycrdhlkmzpxwwwwupy.supabase.co/storage/v1/object/public/old_media/710bd264.Path.063029.jpg" TargetMode="External"/><Relationship Id="rId4662" Type="http://schemas.openxmlformats.org/officeDocument/2006/relationships/hyperlink" Target="https://ryycrdhlkmzpxwwwwupy.supabase.co/storage/v1/object/public/old_media/8dbe19ea.Path.113841.jpg" TargetMode="External"/><Relationship Id="rId2000" Type="http://schemas.openxmlformats.org/officeDocument/2006/relationships/hyperlink" Target="https://ryycrdhlkmzpxwwwwupy.supabase.co/storage/v1/object/public/old_media/39d6ed88.Path.055515.jpg" TargetMode="External"/><Relationship Id="rId3330" Type="http://schemas.openxmlformats.org/officeDocument/2006/relationships/hyperlink" Target="https://ryycrdhlkmzpxwwwwupy.supabase.co/storage/v1/object/public/old_media/ca138482.Path.062958.jpg" TargetMode="External"/><Relationship Id="rId4661" Type="http://schemas.openxmlformats.org/officeDocument/2006/relationships/hyperlink" Target="https://ryycrdhlkmzpxwwwwupy.supabase.co/storage/v1/object/public/old_media/b9bb0564.Path.113812.jpg" TargetMode="External"/><Relationship Id="rId2001" Type="http://schemas.openxmlformats.org/officeDocument/2006/relationships/hyperlink" Target="https://ryycrdhlkmzpxwwwwupy.supabase.co/storage/v1/object/public/old_media/7b754468.Path.055525.jpg" TargetMode="External"/><Relationship Id="rId3333" Type="http://schemas.openxmlformats.org/officeDocument/2006/relationships/hyperlink" Target="https://ryycrdhlkmzpxwwwwupy.supabase.co/storage/v1/object/public/old_media/bde8f336.Path.063323.jpg" TargetMode="External"/><Relationship Id="rId4664" Type="http://schemas.openxmlformats.org/officeDocument/2006/relationships/hyperlink" Target="https://ryycrdhlkmzpxwwwwupy.supabase.co/storage/v1/object/public/old_media/029f0bf1.Path.053411.jpg" TargetMode="External"/><Relationship Id="rId2002" Type="http://schemas.openxmlformats.org/officeDocument/2006/relationships/hyperlink" Target="https://ryycrdhlkmzpxwwwwupy.supabase.co/storage/v1/object/public/old_media/56e48c1e.Path.111446.jpg" TargetMode="External"/><Relationship Id="rId3332" Type="http://schemas.openxmlformats.org/officeDocument/2006/relationships/hyperlink" Target="https://ryycrdhlkmzpxwwwwupy.supabase.co/storage/v1/object/public/old_media/78b2c0fc.Path.063154.jpg" TargetMode="External"/><Relationship Id="rId4663" Type="http://schemas.openxmlformats.org/officeDocument/2006/relationships/hyperlink" Target="https://ryycrdhlkmzpxwwwwupy.supabase.co/storage/v1/object/public/old_media/384c4929.Path.113918.jpg" TargetMode="External"/><Relationship Id="rId2003" Type="http://schemas.openxmlformats.org/officeDocument/2006/relationships/hyperlink" Target="https://ryycrdhlkmzpxwwwwupy.supabase.co/storage/v1/object/public/old_media/1f104fab.Path.111511.jpg" TargetMode="External"/><Relationship Id="rId3335" Type="http://schemas.openxmlformats.org/officeDocument/2006/relationships/hyperlink" Target="https://ryycrdhlkmzpxwwwwupy.supabase.co/storage/v1/object/public/old_media/18b59c2e.Path.063441.jpg" TargetMode="External"/><Relationship Id="rId4666" Type="http://schemas.openxmlformats.org/officeDocument/2006/relationships/hyperlink" Target="https://ryycrdhlkmzpxwwwwupy.supabase.co/storage/v1/object/public/old_media/81d667cf.Path.045416.avif" TargetMode="External"/><Relationship Id="rId2004" Type="http://schemas.openxmlformats.org/officeDocument/2006/relationships/hyperlink" Target="https://ryycrdhlkmzpxwwwwupy.supabase.co/storage/v1/object/public/old_media/72d44a99.Path.111546.jpg" TargetMode="External"/><Relationship Id="rId3334" Type="http://schemas.openxmlformats.org/officeDocument/2006/relationships/hyperlink" Target="https://ryycrdhlkmzpxwwwwupy.supabase.co/storage/v1/object/public/old_media/313b7843.Path.063358.jpg" TargetMode="External"/><Relationship Id="rId4665" Type="http://schemas.openxmlformats.org/officeDocument/2006/relationships/hyperlink" Target="https://ryycrdhlkmzpxwwwwupy.supabase.co/storage/v1/object/public/old_media/e195c784.Path.045348.avif" TargetMode="External"/><Relationship Id="rId3326" Type="http://schemas.openxmlformats.org/officeDocument/2006/relationships/hyperlink" Target="https://ryycrdhlkmzpxwwwwupy.supabase.co/storage/v1/object/public/old_media/e63a1311.Path.100138.png" TargetMode="External"/><Relationship Id="rId4657" Type="http://schemas.openxmlformats.org/officeDocument/2006/relationships/hyperlink" Target="https://ryycrdhlkmzpxwwwwupy.supabase.co/storage/v1/object/public/old_media/50c9561b.Path.095153.png" TargetMode="External"/><Relationship Id="rId3325" Type="http://schemas.openxmlformats.org/officeDocument/2006/relationships/hyperlink" Target="https://ryycrdhlkmzpxwwwwupy.supabase.co/storage/v1/object/public/old_media/ab4faa6c.Path.100102.png" TargetMode="External"/><Relationship Id="rId4656" Type="http://schemas.openxmlformats.org/officeDocument/2006/relationships/hyperlink" Target="https://ryycrdhlkmzpxwwwwupy.supabase.co/storage/v1/object/public/old_media/fcf98f3a.Path.095124.jpg" TargetMode="External"/><Relationship Id="rId3328" Type="http://schemas.openxmlformats.org/officeDocument/2006/relationships/hyperlink" Target="https://ryycrdhlkmzpxwwwwupy.supabase.co/storage/v1/object/public/old_media/5f6e2244.Path.062850.jpg" TargetMode="External"/><Relationship Id="rId4659" Type="http://schemas.openxmlformats.org/officeDocument/2006/relationships/hyperlink" Target="https://ryycrdhlkmzpxwwwwupy.supabase.co/storage/v1/object/public/old_media/33a26454.Path.113707.jpg" TargetMode="External"/><Relationship Id="rId3327" Type="http://schemas.openxmlformats.org/officeDocument/2006/relationships/hyperlink" Target="https://ryycrdhlkmzpxwwwwupy.supabase.co/storage/v1/object/public/old_media/fb4ab2fb.Path.100213.png" TargetMode="External"/><Relationship Id="rId4658" Type="http://schemas.openxmlformats.org/officeDocument/2006/relationships/hyperlink" Target="https://ryycrdhlkmzpxwwwwupy.supabase.co/storage/v1/object/public/old_media/5a33f9ac.Path.113620.jpg" TargetMode="External"/><Relationship Id="rId3329" Type="http://schemas.openxmlformats.org/officeDocument/2006/relationships/hyperlink" Target="https://ryycrdhlkmzpxwwwwupy.supabase.co/storage/v1/object/public/old_media/30147b96.Path.062925.jpg" TargetMode="External"/><Relationship Id="rId3320" Type="http://schemas.openxmlformats.org/officeDocument/2006/relationships/hyperlink" Target="https://ryycrdhlkmzpxwwwwupy.supabase.co/storage/v1/object/public/old_media/9d9ae8cd.Path.072132.jpg" TargetMode="External"/><Relationship Id="rId4651" Type="http://schemas.openxmlformats.org/officeDocument/2006/relationships/hyperlink" Target="https://ryycrdhlkmzpxwwwwupy.supabase.co/storage/v1/object/public/old_media/597bb7b5.Path.054106.jpg" TargetMode="External"/><Relationship Id="rId4650" Type="http://schemas.openxmlformats.org/officeDocument/2006/relationships/hyperlink" Target="https://ryycrdhlkmzpxwwwwupy.supabase.co/storage/v1/object/public/old_media/6d4f56b7.Path.054042.jpg" TargetMode="External"/><Relationship Id="rId3322" Type="http://schemas.openxmlformats.org/officeDocument/2006/relationships/hyperlink" Target="https://ryycrdhlkmzpxwwwwupy.supabase.co/storage/v1/object/public/old_media/e3320f90.Path.134200.jpg" TargetMode="External"/><Relationship Id="rId4653" Type="http://schemas.openxmlformats.org/officeDocument/2006/relationships/hyperlink" Target="https://ryycrdhlkmzpxwwwwupy.supabase.co/storage/v1/object/public/old_media/a1be02f1.Path.102558.jpg" TargetMode="External"/><Relationship Id="rId3321" Type="http://schemas.openxmlformats.org/officeDocument/2006/relationships/hyperlink" Target="https://ryycrdhlkmzpxwwwwupy.supabase.co/storage/v1/object/public/old_media/27819f3a.Path.072518.jpg" TargetMode="External"/><Relationship Id="rId4652" Type="http://schemas.openxmlformats.org/officeDocument/2006/relationships/hyperlink" Target="https://ryycrdhlkmzpxwwwwupy.supabase.co/storage/v1/object/public/old_media/9cc755cc.Path.102507.jpg" TargetMode="External"/><Relationship Id="rId3324" Type="http://schemas.openxmlformats.org/officeDocument/2006/relationships/hyperlink" Target="https://ryycrdhlkmzpxwwwwupy.supabase.co/storage/v1/object/public/old_media/8f03c5ea.Path.100027.png" TargetMode="External"/><Relationship Id="rId4655" Type="http://schemas.openxmlformats.org/officeDocument/2006/relationships/hyperlink" Target="https://ryycrdhlkmzpxwwwwupy.supabase.co/storage/v1/object/public/old_media/bf0ef2c7.Path.095053.jpg" TargetMode="External"/><Relationship Id="rId3323" Type="http://schemas.openxmlformats.org/officeDocument/2006/relationships/hyperlink" Target="https://ryycrdhlkmzpxwwwwupy.supabase.co/storage/v1/object/public/old_media/30816445.Path.073257.jpg" TargetMode="External"/><Relationship Id="rId4654" Type="http://schemas.openxmlformats.org/officeDocument/2006/relationships/hyperlink" Target="https://ryycrdhlkmzpxwwwwupy.supabase.co/storage/v1/object/public/old_media/b1f6b11f.Path.102950.jpg" TargetMode="External"/><Relationship Id="rId2090" Type="http://schemas.openxmlformats.org/officeDocument/2006/relationships/hyperlink" Target="https://ryycrdhlkmzpxwwwwupy.supabase.co/storage/v1/object/public/old_media/cccc558e.Path.092248.webp" TargetMode="External"/><Relationship Id="rId2091" Type="http://schemas.openxmlformats.org/officeDocument/2006/relationships/hyperlink" Target="https://ryycrdhlkmzpxwwwwupy.supabase.co/storage/v1/object/public/old_media/836fed45.Path.092307.webp" TargetMode="External"/><Relationship Id="rId2092" Type="http://schemas.openxmlformats.org/officeDocument/2006/relationships/hyperlink" Target="https://ryycrdhlkmzpxwwwwupy.supabase.co/storage/v1/object/public/old_media/6c9701ec.Path.092323.webp" TargetMode="External"/><Relationship Id="rId2093" Type="http://schemas.openxmlformats.org/officeDocument/2006/relationships/hyperlink" Target="https://ryycrdhlkmzpxwwwwupy.supabase.co/storage/v1/object/public/old_media/633d04dd.Path.092343.jpg" TargetMode="External"/><Relationship Id="rId2094" Type="http://schemas.openxmlformats.org/officeDocument/2006/relationships/hyperlink" Target="https://ryycrdhlkmzpxwwwwupy.supabase.co/storage/v1/object/public/old_media/bd7f0359.Path.092356.webp" TargetMode="External"/><Relationship Id="rId2095" Type="http://schemas.openxmlformats.org/officeDocument/2006/relationships/hyperlink" Target="https://ryycrdhlkmzpxwwwwupy.supabase.co/storage/v1/object/public/old_media/552e533a.Path.092410.webp" TargetMode="External"/><Relationship Id="rId2096" Type="http://schemas.openxmlformats.org/officeDocument/2006/relationships/hyperlink" Target="https://ryycrdhlkmzpxwwwwupy.supabase.co/storage/v1/object/public/old_media/2f94ea16.Path.092429.webp" TargetMode="External"/><Relationship Id="rId2097" Type="http://schemas.openxmlformats.org/officeDocument/2006/relationships/hyperlink" Target="https://ryycrdhlkmzpxwwwwupy.supabase.co/storage/v1/object/public/old_media/8981cabb.Path.092518.jpg" TargetMode="External"/><Relationship Id="rId2098" Type="http://schemas.openxmlformats.org/officeDocument/2006/relationships/hyperlink" Target="https://ryycrdhlkmzpxwwwwupy.supabase.co/storage/v1/object/public/old_media/dd1c807d.Path.092532.jpg" TargetMode="External"/><Relationship Id="rId2099" Type="http://schemas.openxmlformats.org/officeDocument/2006/relationships/hyperlink" Target="https://ryycrdhlkmzpxwwwwupy.supabase.co/storage/v1/object/public/old_media/1aae3cd7.Path.054036.jpg" TargetMode="External"/><Relationship Id="rId3391" Type="http://schemas.openxmlformats.org/officeDocument/2006/relationships/hyperlink" Target="https://ryycrdhlkmzpxwwwwupy.supabase.co/storage/v1/object/public/old_media/43ef2b40.Path.070249.jpg" TargetMode="External"/><Relationship Id="rId2060" Type="http://schemas.openxmlformats.org/officeDocument/2006/relationships/hyperlink" Target="https://ryycrdhlkmzpxwwwwupy.supabase.co/storage/v1/object/public/old_media/81f266ba.Path.072711.jpg" TargetMode="External"/><Relationship Id="rId3390" Type="http://schemas.openxmlformats.org/officeDocument/2006/relationships/hyperlink" Target="https://ryycrdhlkmzpxwwwwupy.supabase.co/storage/v1/object/public/old_media/9f51539e.Path.070218.jpg" TargetMode="External"/><Relationship Id="rId2061" Type="http://schemas.openxmlformats.org/officeDocument/2006/relationships/hyperlink" Target="https://ryycrdhlkmzpxwwwwupy.supabase.co/storage/v1/object/public/old_media/c97311d2.Path.072753.jpg" TargetMode="External"/><Relationship Id="rId3393" Type="http://schemas.openxmlformats.org/officeDocument/2006/relationships/hyperlink" Target="https://ryycrdhlkmzpxwwwwupy.supabase.co/storage/v1/object/public/old_media/5a17590f.Path.070356.jpg" TargetMode="External"/><Relationship Id="rId2062" Type="http://schemas.openxmlformats.org/officeDocument/2006/relationships/hyperlink" Target="https://ryycrdhlkmzpxwwwwupy.supabase.co/storage/v1/object/public/old_media/68f73104.Path.072834.jpg" TargetMode="External"/><Relationship Id="rId3392" Type="http://schemas.openxmlformats.org/officeDocument/2006/relationships/hyperlink" Target="https://ryycrdhlkmzpxwwwwupy.supabase.co/storage/v1/object/public/old_media/6b5127d1.Path.070322.jpg" TargetMode="External"/><Relationship Id="rId2063" Type="http://schemas.openxmlformats.org/officeDocument/2006/relationships/hyperlink" Target="https://ryycrdhlkmzpxwwwwupy.supabase.co/storage/v1/object/public/old_media/a9db375b.Path.061018.jpg" TargetMode="External"/><Relationship Id="rId3395" Type="http://schemas.openxmlformats.org/officeDocument/2006/relationships/hyperlink" Target="https://ryycrdhlkmzpxwwwwupy.supabase.co/storage/v1/object/public/old_media/7c368190.Path.070458.jpg" TargetMode="External"/><Relationship Id="rId2064" Type="http://schemas.openxmlformats.org/officeDocument/2006/relationships/hyperlink" Target="https://ryycrdhlkmzpxwwwwupy.supabase.co/storage/v1/object/public/old_media/4d7bd6b0.Path.061036.jpg" TargetMode="External"/><Relationship Id="rId3394" Type="http://schemas.openxmlformats.org/officeDocument/2006/relationships/hyperlink" Target="https://ryycrdhlkmzpxwwwwupy.supabase.co/storage/v1/object/public/old_media/8dc97b4f.Path.070426.jpg" TargetMode="External"/><Relationship Id="rId2065" Type="http://schemas.openxmlformats.org/officeDocument/2006/relationships/hyperlink" Target="https://ryycrdhlkmzpxwwwwupy.supabase.co/storage/v1/object/public/old_media/cdd8336c.Path.061057.jpg" TargetMode="External"/><Relationship Id="rId3397" Type="http://schemas.openxmlformats.org/officeDocument/2006/relationships/hyperlink" Target="https://ryycrdhlkmzpxwwwwupy.supabase.co/storage/v1/object/public/old_media/63d4cefa.Path.070004.jpg" TargetMode="External"/><Relationship Id="rId2066" Type="http://schemas.openxmlformats.org/officeDocument/2006/relationships/hyperlink" Target="https://ryycrdhlkmzpxwwwwupy.supabase.co/storage/v1/object/public/old_media/c2c9dc11.Path.061113.jpg" TargetMode="External"/><Relationship Id="rId3396" Type="http://schemas.openxmlformats.org/officeDocument/2006/relationships/hyperlink" Target="https://ryycrdhlkmzpxwwwwupy.supabase.co/storage/v1/object/public/old_media/0abaa5a4.Path.070840.jpg" TargetMode="External"/><Relationship Id="rId2067" Type="http://schemas.openxmlformats.org/officeDocument/2006/relationships/hyperlink" Target="https://ryycrdhlkmzpxwwwwupy.supabase.co/storage/v1/object/public/old_media/c1bc5132.Path.061130.jpg" TargetMode="External"/><Relationship Id="rId3399" Type="http://schemas.openxmlformats.org/officeDocument/2006/relationships/hyperlink" Target="https://ryycrdhlkmzpxwwwwupy.supabase.co/storage/v1/object/public/old_media/25cc7cce.Path.064827.jpg" TargetMode="External"/><Relationship Id="rId2068" Type="http://schemas.openxmlformats.org/officeDocument/2006/relationships/hyperlink" Target="https://ryycrdhlkmzpxwwwwupy.supabase.co/storage/v1/object/public/old_media/d649e9c6.Path.061215.jpg" TargetMode="External"/><Relationship Id="rId3398" Type="http://schemas.openxmlformats.org/officeDocument/2006/relationships/hyperlink" Target="https://ryycrdhlkmzpxwwwwupy.supabase.co/storage/v1/object/public/old_media/f9f1f237.Path.095724.jpg" TargetMode="External"/><Relationship Id="rId2069" Type="http://schemas.openxmlformats.org/officeDocument/2006/relationships/hyperlink" Target="https://ryycrdhlkmzpxwwwwupy.supabase.co/storage/v1/object/public/old_media/0df76d0b.Path.062336.jpg" TargetMode="External"/><Relationship Id="rId3380" Type="http://schemas.openxmlformats.org/officeDocument/2006/relationships/hyperlink" Target="https://ryycrdhlkmzpxwwwwupy.supabase.co/storage/v1/object/public/old_media/d8660e51.Path.111024.webp" TargetMode="External"/><Relationship Id="rId2050" Type="http://schemas.openxmlformats.org/officeDocument/2006/relationships/hyperlink" Target="https://ryycrdhlkmzpxwwwwupy.supabase.co/storage/v1/object/public/old_media/4d53967e.Path.092547.jpg" TargetMode="External"/><Relationship Id="rId3382" Type="http://schemas.openxmlformats.org/officeDocument/2006/relationships/hyperlink" Target="https://ryycrdhlkmzpxwwwwupy.supabase.co/storage/v1/object/public/old_media/a9313387.Path.111302.webp" TargetMode="External"/><Relationship Id="rId2051" Type="http://schemas.openxmlformats.org/officeDocument/2006/relationships/hyperlink" Target="https://ryycrdhlkmzpxwwwwupy.supabase.co/storage/v1/object/public/old_media/bea3f7d7.Path.092558.jpg" TargetMode="External"/><Relationship Id="rId3381" Type="http://schemas.openxmlformats.org/officeDocument/2006/relationships/hyperlink" Target="https://ryycrdhlkmzpxwwwwupy.supabase.co/storage/v1/object/public/old_media/1ecddc28.Path.111058.webp" TargetMode="External"/><Relationship Id="rId2052" Type="http://schemas.openxmlformats.org/officeDocument/2006/relationships/hyperlink" Target="https://ryycrdhlkmzpxwwwwupy.supabase.co/storage/v1/object/public/old_media/8686ee42.Path.092609.jpg" TargetMode="External"/><Relationship Id="rId3384" Type="http://schemas.openxmlformats.org/officeDocument/2006/relationships/hyperlink" Target="https://ryycrdhlkmzpxwwwwupy.supabase.co/storage/v1/object/public/old_media/0cacaea1.Path.065910.jpg" TargetMode="External"/><Relationship Id="rId2053" Type="http://schemas.openxmlformats.org/officeDocument/2006/relationships/hyperlink" Target="https://ryycrdhlkmzpxwwwwupy.supabase.co/storage/v1/object/public/old_media/229c28f6.Path.092619.jpg" TargetMode="External"/><Relationship Id="rId3383" Type="http://schemas.openxmlformats.org/officeDocument/2006/relationships/hyperlink" Target="https://ryycrdhlkmzpxwwwwupy.supabase.co/storage/v1/object/public/old_media/19595b9b.Path.065836.jpg" TargetMode="External"/><Relationship Id="rId2054" Type="http://schemas.openxmlformats.org/officeDocument/2006/relationships/hyperlink" Target="https://ryycrdhlkmzpxwwwwupy.supabase.co/storage/v1/object/public/old_media/72baff45.Path.072222.jpg" TargetMode="External"/><Relationship Id="rId3386" Type="http://schemas.openxmlformats.org/officeDocument/2006/relationships/hyperlink" Target="https://ryycrdhlkmzpxwwwwupy.supabase.co/storage/v1/object/public/old_media/55908eee.Path.070022.jpg" TargetMode="External"/><Relationship Id="rId2055" Type="http://schemas.openxmlformats.org/officeDocument/2006/relationships/hyperlink" Target="https://ryycrdhlkmzpxwwwwupy.supabase.co/storage/v1/object/public/old_media/de77e928.Path.072250.jpg" TargetMode="External"/><Relationship Id="rId3385" Type="http://schemas.openxmlformats.org/officeDocument/2006/relationships/hyperlink" Target="https://ryycrdhlkmzpxwwwwupy.supabase.co/storage/v1/object/public/old_media/2a82ee75.Path.065944.jpg" TargetMode="External"/><Relationship Id="rId2056" Type="http://schemas.openxmlformats.org/officeDocument/2006/relationships/hyperlink" Target="https://ryycrdhlkmzpxwwwwupy.supabase.co/storage/v1/object/public/old_media/667009f4.Path.072322.jpg" TargetMode="External"/><Relationship Id="rId3388" Type="http://schemas.openxmlformats.org/officeDocument/2006/relationships/hyperlink" Target="https://ryycrdhlkmzpxwwwwupy.supabase.co/storage/v1/object/public/old_media/51436b3f.Path.070119.jpg" TargetMode="External"/><Relationship Id="rId2057" Type="http://schemas.openxmlformats.org/officeDocument/2006/relationships/hyperlink" Target="https://ryycrdhlkmzpxwwwwupy.supabase.co/storage/v1/object/public/old_media/5da1bd04.Path.072436.jpg" TargetMode="External"/><Relationship Id="rId3387" Type="http://schemas.openxmlformats.org/officeDocument/2006/relationships/hyperlink" Target="https://ryycrdhlkmzpxwwwwupy.supabase.co/storage/v1/object/public/old_media/f3e8823e.Path.070051.jpg" TargetMode="External"/><Relationship Id="rId2058" Type="http://schemas.openxmlformats.org/officeDocument/2006/relationships/hyperlink" Target="https://ryycrdhlkmzpxwwwwupy.supabase.co/storage/v1/object/public/old_media/f887c044.Path.072508.jpg" TargetMode="External"/><Relationship Id="rId2059" Type="http://schemas.openxmlformats.org/officeDocument/2006/relationships/hyperlink" Target="https://ryycrdhlkmzpxwwwwupy.supabase.co/storage/v1/object/public/old_media/58115dc0.Path.072638.jpg" TargetMode="External"/><Relationship Id="rId3389" Type="http://schemas.openxmlformats.org/officeDocument/2006/relationships/hyperlink" Target="https://ryycrdhlkmzpxwwwwupy.supabase.co/storage/v1/object/public/old_media/f3f8497a.Path.070150.jpg" TargetMode="External"/><Relationship Id="rId2080" Type="http://schemas.openxmlformats.org/officeDocument/2006/relationships/hyperlink" Target="https://ryycrdhlkmzpxwwwwupy.supabase.co/storage/v1/object/public/old_media/8cf067d5.Path.064740.jpg" TargetMode="External"/><Relationship Id="rId2081" Type="http://schemas.openxmlformats.org/officeDocument/2006/relationships/hyperlink" Target="https://ryycrdhlkmzpxwwwwupy.supabase.co/storage/v1/object/public/old_media/1db17300.Path.064752.jpg" TargetMode="External"/><Relationship Id="rId2082" Type="http://schemas.openxmlformats.org/officeDocument/2006/relationships/hyperlink" Target="https://ryycrdhlkmzpxwwwwupy.supabase.co/storage/v1/object/public/old_media/5fc46b0c.Path.064900.jpg" TargetMode="External"/><Relationship Id="rId2083" Type="http://schemas.openxmlformats.org/officeDocument/2006/relationships/hyperlink" Target="https://ryycrdhlkmzpxwwwwupy.supabase.co/storage/v1/object/public/old_media/2a030be9.Path.064916.jpg" TargetMode="External"/><Relationship Id="rId2084" Type="http://schemas.openxmlformats.org/officeDocument/2006/relationships/hyperlink" Target="https://ryycrdhlkmzpxwwwwupy.supabase.co/storage/v1/object/public/old_media/79f7aa91.Path.035802.jpg" TargetMode="External"/><Relationship Id="rId2085" Type="http://schemas.openxmlformats.org/officeDocument/2006/relationships/hyperlink" Target="https://ryycrdhlkmzpxwwwwupy.supabase.co/storage/v1/object/public/old_media/7143301a.Path.074416.jpg" TargetMode="External"/><Relationship Id="rId2086" Type="http://schemas.openxmlformats.org/officeDocument/2006/relationships/hyperlink" Target="https://ryycrdhlkmzpxwwwwupy.supabase.co/storage/v1/object/public/old_media/f748b923.Path.074446.webp" TargetMode="External"/><Relationship Id="rId2087" Type="http://schemas.openxmlformats.org/officeDocument/2006/relationships/hyperlink" Target="https://ryycrdhlkmzpxwwwwupy.supabase.co/storage/v1/object/public/old_media/c016d154.Path.074457.webp" TargetMode="External"/><Relationship Id="rId2088" Type="http://schemas.openxmlformats.org/officeDocument/2006/relationships/hyperlink" Target="https://ryycrdhlkmzpxwwwwupy.supabase.co/storage/v1/object/public/old_media/781fae43.Path.074513.webp" TargetMode="External"/><Relationship Id="rId2089" Type="http://schemas.openxmlformats.org/officeDocument/2006/relationships/hyperlink" Target="https://ryycrdhlkmzpxwwwwupy.supabase.co/storage/v1/object/public/old_media/764a0e8a.Path.092234.jpg" TargetMode="External"/><Relationship Id="rId2070" Type="http://schemas.openxmlformats.org/officeDocument/2006/relationships/hyperlink" Target="https://ryycrdhlkmzpxwwwwupy.supabase.co/storage/v1/object/public/old_media/58bcaa40.Path.062353.jpg" TargetMode="External"/><Relationship Id="rId2071" Type="http://schemas.openxmlformats.org/officeDocument/2006/relationships/hyperlink" Target="https://ryycrdhlkmzpxwwwwupy.supabase.co/storage/v1/object/public/old_media/b6f5a3f7.Path.062413.jpg" TargetMode="External"/><Relationship Id="rId2072" Type="http://schemas.openxmlformats.org/officeDocument/2006/relationships/hyperlink" Target="https://ryycrdhlkmzpxwwwwupy.supabase.co/storage/v1/object/public/old_media/3c84e26e.Path.062434.jpg" TargetMode="External"/><Relationship Id="rId2073" Type="http://schemas.openxmlformats.org/officeDocument/2006/relationships/hyperlink" Target="https://ryycrdhlkmzpxwwwwupy.supabase.co/storage/v1/object/public/old_media/6806ef84.Path.062449.jpg" TargetMode="External"/><Relationship Id="rId2074" Type="http://schemas.openxmlformats.org/officeDocument/2006/relationships/hyperlink" Target="https://ryycrdhlkmzpxwwwwupy.supabase.co/storage/v1/object/public/old_media/372804ad.Path.062501.jpg" TargetMode="External"/><Relationship Id="rId2075" Type="http://schemas.openxmlformats.org/officeDocument/2006/relationships/hyperlink" Target="https://ryycrdhlkmzpxwwwwupy.supabase.co/storage/v1/object/public/old_media/3bc79310.Path.062556.jpg" TargetMode="External"/><Relationship Id="rId2076" Type="http://schemas.openxmlformats.org/officeDocument/2006/relationships/hyperlink" Target="https://ryycrdhlkmzpxwwwwupy.supabase.co/storage/v1/object/public/old_media/c4842e11.Path.062644.jpg" TargetMode="External"/><Relationship Id="rId2077" Type="http://schemas.openxmlformats.org/officeDocument/2006/relationships/hyperlink" Target="https://ryycrdhlkmzpxwwwwupy.supabase.co/storage/v1/object/public/old_media/96f5e40b.Path.062705.jpg" TargetMode="External"/><Relationship Id="rId2078" Type="http://schemas.openxmlformats.org/officeDocument/2006/relationships/hyperlink" Target="https://ryycrdhlkmzpxwwwwupy.supabase.co/storage/v1/object/public/old_media/98d3b8d3.Path.062849.jpg" TargetMode="External"/><Relationship Id="rId2079" Type="http://schemas.openxmlformats.org/officeDocument/2006/relationships/hyperlink" Target="https://ryycrdhlkmzpxwwwwupy.supabase.co/storage/v1/object/public/old_media/b2843b0d.Path.064714.jpg" TargetMode="External"/><Relationship Id="rId2940" Type="http://schemas.openxmlformats.org/officeDocument/2006/relationships/hyperlink" Target="https://ryycrdhlkmzpxwwwwupy.supabase.co/storage/v1/object/public/old_media/9b609812.Path.053058.jpg" TargetMode="External"/><Relationship Id="rId1610" Type="http://schemas.openxmlformats.org/officeDocument/2006/relationships/hyperlink" Target="https://ryycrdhlkmzpxwwwwupy.supabase.co/storage/v1/object/public/old_media/dc3c1a79.Path.071605.jpg" TargetMode="External"/><Relationship Id="rId2941" Type="http://schemas.openxmlformats.org/officeDocument/2006/relationships/hyperlink" Target="https://ryycrdhlkmzpxwwwwupy.supabase.co/storage/v1/object/public/old_media/e28ad141.Path.053119.jpg" TargetMode="External"/><Relationship Id="rId1611" Type="http://schemas.openxmlformats.org/officeDocument/2006/relationships/hyperlink" Target="https://ryycrdhlkmzpxwwwwupy.supabase.co/storage/v1/object/public/old_media/4402c8f2.Path.071642.jpg" TargetMode="External"/><Relationship Id="rId2942" Type="http://schemas.openxmlformats.org/officeDocument/2006/relationships/hyperlink" Target="https://ryycrdhlkmzpxwwwwupy.supabase.co/storage/v1/object/public/old_media/883b71b8.Path.053135.jpg" TargetMode="External"/><Relationship Id="rId1612" Type="http://schemas.openxmlformats.org/officeDocument/2006/relationships/hyperlink" Target="https://ryycrdhlkmzpxwwwwupy.supabase.co/storage/v1/object/public/old_media/261f7a03.Path.073307.jpg" TargetMode="External"/><Relationship Id="rId2943" Type="http://schemas.openxmlformats.org/officeDocument/2006/relationships/hyperlink" Target="https://ryycrdhlkmzpxwwwwupy.supabase.co/storage/v1/object/public/old_media/ff0e7395.Path.053151.jpg" TargetMode="External"/><Relationship Id="rId1613" Type="http://schemas.openxmlformats.org/officeDocument/2006/relationships/hyperlink" Target="https://ryycrdhlkmzpxwwwwupy.supabase.co/storage/v1/object/public/old_media/2808bfa9.Path.073343.jpg" TargetMode="External"/><Relationship Id="rId2944" Type="http://schemas.openxmlformats.org/officeDocument/2006/relationships/hyperlink" Target="https://ryycrdhlkmzpxwwwwupy.supabase.co/storage/v1/object/public/old_media/fd094328.Path.053204.jpg" TargetMode="External"/><Relationship Id="rId1614" Type="http://schemas.openxmlformats.org/officeDocument/2006/relationships/hyperlink" Target="https://ryycrdhlkmzpxwwwwupy.supabase.co/storage/v1/object/public/old_media/93cfdb2b.Path.073427.jpg" TargetMode="External"/><Relationship Id="rId2945" Type="http://schemas.openxmlformats.org/officeDocument/2006/relationships/hyperlink" Target="https://ryycrdhlkmzpxwwwwupy.supabase.co/storage/v1/object/public/old_media/4e8ea6cf.Path.053218.jpg" TargetMode="External"/><Relationship Id="rId1615" Type="http://schemas.openxmlformats.org/officeDocument/2006/relationships/hyperlink" Target="https://ryycrdhlkmzpxwwwwupy.supabase.co/storage/v1/object/public/old_media/317372b6.Path.073459.jpg" TargetMode="External"/><Relationship Id="rId2946" Type="http://schemas.openxmlformats.org/officeDocument/2006/relationships/hyperlink" Target="https://ryycrdhlkmzpxwwwwupy.supabase.co/storage/v1/object/public/old_media/b45b24bb.Path.053235.jpg" TargetMode="External"/><Relationship Id="rId1616" Type="http://schemas.openxmlformats.org/officeDocument/2006/relationships/hyperlink" Target="https://ryycrdhlkmzpxwwwwupy.supabase.co/storage/v1/object/public/old_media/b82e4855.Path.073520.jpg" TargetMode="External"/><Relationship Id="rId2947" Type="http://schemas.openxmlformats.org/officeDocument/2006/relationships/hyperlink" Target="https://ryycrdhlkmzpxwwwwupy.supabase.co/storage/v1/object/public/old_media/b924cec6.Path.053633.jpg" TargetMode="External"/><Relationship Id="rId907" Type="http://schemas.openxmlformats.org/officeDocument/2006/relationships/hyperlink" Target="https://ryycrdhlkmzpxwwwwupy.supabase.co/storage/v1/object/public/old_media/c76bb1b2.Path.074342.jpg" TargetMode="External"/><Relationship Id="rId1617" Type="http://schemas.openxmlformats.org/officeDocument/2006/relationships/hyperlink" Target="https://ryycrdhlkmzpxwwwwupy.supabase.co/storage/v1/object/public/old_media/b8c13aee.Path.073556.jpg" TargetMode="External"/><Relationship Id="rId2948" Type="http://schemas.openxmlformats.org/officeDocument/2006/relationships/hyperlink" Target="https://ryycrdhlkmzpxwwwwupy.supabase.co/storage/v1/object/public/old_media/3b5f8af9.Path.053645.jpg" TargetMode="External"/><Relationship Id="rId906" Type="http://schemas.openxmlformats.org/officeDocument/2006/relationships/hyperlink" Target="https://ryycrdhlkmzpxwwwwupy.supabase.co/storage/v1/object/public/old_media/db9791fd.Path.073207.jpg" TargetMode="External"/><Relationship Id="rId1618" Type="http://schemas.openxmlformats.org/officeDocument/2006/relationships/hyperlink" Target="https://ryycrdhlkmzpxwwwwupy.supabase.co/storage/v1/object/public/old_media/05632faa.Path.073619.jpg" TargetMode="External"/><Relationship Id="rId2949" Type="http://schemas.openxmlformats.org/officeDocument/2006/relationships/hyperlink" Target="https://ryycrdhlkmzpxwwwwupy.supabase.co/storage/v1/object/public/old_media/84b9527f.Path.053705.jpg" TargetMode="External"/><Relationship Id="rId905" Type="http://schemas.openxmlformats.org/officeDocument/2006/relationships/hyperlink" Target="https://ryycrdhlkmzpxwwwwupy.supabase.co/storage/v1/object/public/old_media/d27eb8c9.Path.073148.jpg" TargetMode="External"/><Relationship Id="rId1619" Type="http://schemas.openxmlformats.org/officeDocument/2006/relationships/hyperlink" Target="https://ryycrdhlkmzpxwwwwupy.supabase.co/storage/v1/object/public/old_media/cba84a48.Path.090850.jpg" TargetMode="External"/><Relationship Id="rId904" Type="http://schemas.openxmlformats.org/officeDocument/2006/relationships/hyperlink" Target="https://ryycrdhlkmzpxwwwwupy.supabase.co/storage/v1/object/public/old_media/1c7ea712.Path.073141.jpg" TargetMode="External"/><Relationship Id="rId909" Type="http://schemas.openxmlformats.org/officeDocument/2006/relationships/hyperlink" Target="https://ryycrdhlkmzpxwwwwupy.supabase.co/storage/v1/object/public/old_media/de1551cf.Path.094143.jpg" TargetMode="External"/><Relationship Id="rId908" Type="http://schemas.openxmlformats.org/officeDocument/2006/relationships/hyperlink" Target="https://ryycrdhlkmzpxwwwwupy.supabase.co/storage/v1/object/public/old_media/2af9b852.Path.074656.jpg" TargetMode="External"/><Relationship Id="rId903" Type="http://schemas.openxmlformats.org/officeDocument/2006/relationships/hyperlink" Target="https://ryycrdhlkmzpxwwwwupy.supabase.co/storage/v1/object/public/old_media/fa2cae38.Path.055511.jpg" TargetMode="External"/><Relationship Id="rId902" Type="http://schemas.openxmlformats.org/officeDocument/2006/relationships/hyperlink" Target="https://ryycrdhlkmzpxwwwwupy.supabase.co/storage/v1/object/public/old_media/892d2c1b.Path.055448.jpg" TargetMode="External"/><Relationship Id="rId901" Type="http://schemas.openxmlformats.org/officeDocument/2006/relationships/hyperlink" Target="https://ryycrdhlkmzpxwwwwupy.supabase.co/storage/v1/object/public/old_media/bc52c782.Path.044919.jpg" TargetMode="External"/><Relationship Id="rId900" Type="http://schemas.openxmlformats.org/officeDocument/2006/relationships/hyperlink" Target="https://ryycrdhlkmzpxwwwwupy.supabase.co/storage/v1/object/public/old_media/6d90bc87.Path.044901.jpg" TargetMode="External"/><Relationship Id="rId2930" Type="http://schemas.openxmlformats.org/officeDocument/2006/relationships/hyperlink" Target="https://ryycrdhlkmzpxwwwwupy.supabase.co/storage/v1/object/public/old_media/fe32e16f.Path.052825.jpg" TargetMode="External"/><Relationship Id="rId1600" Type="http://schemas.openxmlformats.org/officeDocument/2006/relationships/hyperlink" Target="https://ryycrdhlkmzpxwwwwupy.supabase.co/storage/v1/object/public/old_media/b712845f.Path.052232.jpg" TargetMode="External"/><Relationship Id="rId2931" Type="http://schemas.openxmlformats.org/officeDocument/2006/relationships/hyperlink" Target="https://ryycrdhlkmzpxwwwwupy.supabase.co/storage/v1/object/public/old_media/fb210343.Path.052836.jpg" TargetMode="External"/><Relationship Id="rId1601" Type="http://schemas.openxmlformats.org/officeDocument/2006/relationships/hyperlink" Target="https://ryycrdhlkmzpxwwwwupy.supabase.co/storage/v1/object/public/old_media/4eecea7b.Path.071106.jpg" TargetMode="External"/><Relationship Id="rId2932" Type="http://schemas.openxmlformats.org/officeDocument/2006/relationships/hyperlink" Target="https://ryycrdhlkmzpxwwwwupy.supabase.co/storage/v1/object/public/old_media/f32c0102.Path.052847.jpg" TargetMode="External"/><Relationship Id="rId1602" Type="http://schemas.openxmlformats.org/officeDocument/2006/relationships/hyperlink" Target="https://ryycrdhlkmzpxwwwwupy.supabase.co/storage/v1/object/public/old_media/bec9f295.Path.071138.jpg" TargetMode="External"/><Relationship Id="rId2933" Type="http://schemas.openxmlformats.org/officeDocument/2006/relationships/hyperlink" Target="https://ryycrdhlkmzpxwwwwupy.supabase.co/storage/v1/object/public/old_media/39a3d962.Path.052856.jpg" TargetMode="External"/><Relationship Id="rId1603" Type="http://schemas.openxmlformats.org/officeDocument/2006/relationships/hyperlink" Target="https://ryycrdhlkmzpxwwwwupy.supabase.co/storage/v1/object/public/old_media/c5a5b3ff.Path.071207.jpg" TargetMode="External"/><Relationship Id="rId2934" Type="http://schemas.openxmlformats.org/officeDocument/2006/relationships/hyperlink" Target="https://ryycrdhlkmzpxwwwwupy.supabase.co/storage/v1/object/public/old_media/1be210b2.Path.052903.jpg" TargetMode="External"/><Relationship Id="rId1604" Type="http://schemas.openxmlformats.org/officeDocument/2006/relationships/hyperlink" Target="https://ryycrdhlkmzpxwwwwupy.supabase.co/storage/v1/object/public/old_media/1c35fba7.Path.071236.jpg" TargetMode="External"/><Relationship Id="rId2935" Type="http://schemas.openxmlformats.org/officeDocument/2006/relationships/hyperlink" Target="https://ryycrdhlkmzpxwwwwupy.supabase.co/storage/v1/object/public/old_media/e8632153.Path.052925.jpg" TargetMode="External"/><Relationship Id="rId1605" Type="http://schemas.openxmlformats.org/officeDocument/2006/relationships/hyperlink" Target="https://ryycrdhlkmzpxwwwwupy.supabase.co/storage/v1/object/public/old_media/e83a9a97.Path.071305.jpg" TargetMode="External"/><Relationship Id="rId2936" Type="http://schemas.openxmlformats.org/officeDocument/2006/relationships/hyperlink" Target="https://ryycrdhlkmzpxwwwwupy.supabase.co/storage/v1/object/public/old_media/cc6d26b7.Path.052946.jpg" TargetMode="External"/><Relationship Id="rId1606" Type="http://schemas.openxmlformats.org/officeDocument/2006/relationships/hyperlink" Target="https://ryycrdhlkmzpxwwwwupy.supabase.co/storage/v1/object/public/old_media/be831807.Path.071336.jpg" TargetMode="External"/><Relationship Id="rId2937" Type="http://schemas.openxmlformats.org/officeDocument/2006/relationships/hyperlink" Target="https://ryycrdhlkmzpxwwwwupy.supabase.co/storage/v1/object/public/old_media/a6891994.Path.053004.jpg" TargetMode="External"/><Relationship Id="rId1607" Type="http://schemas.openxmlformats.org/officeDocument/2006/relationships/hyperlink" Target="https://ryycrdhlkmzpxwwwwupy.supabase.co/storage/v1/object/public/old_media/a3fc5030.Path.071412.jpg" TargetMode="External"/><Relationship Id="rId2938" Type="http://schemas.openxmlformats.org/officeDocument/2006/relationships/hyperlink" Target="https://ryycrdhlkmzpxwwwwupy.supabase.co/storage/v1/object/public/old_media/0567e9e0.Path.053015.jpg" TargetMode="External"/><Relationship Id="rId1608" Type="http://schemas.openxmlformats.org/officeDocument/2006/relationships/hyperlink" Target="https://ryycrdhlkmzpxwwwwupy.supabase.co/storage/v1/object/public/old_media/831d6443.Path.071456.jpg" TargetMode="External"/><Relationship Id="rId2939" Type="http://schemas.openxmlformats.org/officeDocument/2006/relationships/hyperlink" Target="https://ryycrdhlkmzpxwwwwupy.supabase.co/storage/v1/object/public/old_media/d0a6e96e.Path.053034.jpg" TargetMode="External"/><Relationship Id="rId1609" Type="http://schemas.openxmlformats.org/officeDocument/2006/relationships/hyperlink" Target="https://ryycrdhlkmzpxwwwwupy.supabase.co/storage/v1/object/public/old_media/edc1cecb.Path.071528.jpg" TargetMode="External"/><Relationship Id="rId1631" Type="http://schemas.openxmlformats.org/officeDocument/2006/relationships/hyperlink" Target="https://ryycrdhlkmzpxwwwwupy.supabase.co/storage/v1/object/public/old_media/f1f07ee0.Path.104132.jpg" TargetMode="External"/><Relationship Id="rId2962" Type="http://schemas.openxmlformats.org/officeDocument/2006/relationships/hyperlink" Target="https://ryycrdhlkmzpxwwwwupy.supabase.co/storage/v1/object/public/old_media/67211c9e.Path.101625.jpg" TargetMode="External"/><Relationship Id="rId1632" Type="http://schemas.openxmlformats.org/officeDocument/2006/relationships/hyperlink" Target="https://ryycrdhlkmzpxwwwwupy.supabase.co/storage/v1/object/public/old_media/fec41e6e.Path.104302.jpg" TargetMode="External"/><Relationship Id="rId2963" Type="http://schemas.openxmlformats.org/officeDocument/2006/relationships/hyperlink" Target="https://ryycrdhlkmzpxwwwwupy.supabase.co/storage/v1/object/public/old_media/5c10a58c.Path.101647.jpg" TargetMode="External"/><Relationship Id="rId1633" Type="http://schemas.openxmlformats.org/officeDocument/2006/relationships/hyperlink" Target="https://ryycrdhlkmzpxwwwwupy.supabase.co/storage/v1/object/public/old_media/6d399e48.Path.105153.png" TargetMode="External"/><Relationship Id="rId2964" Type="http://schemas.openxmlformats.org/officeDocument/2006/relationships/hyperlink" Target="https://ryycrdhlkmzpxwwwwupy.supabase.co/storage/v1/object/public/old_media/3647d3e5.Path.101704.jpg" TargetMode="External"/><Relationship Id="rId1634" Type="http://schemas.openxmlformats.org/officeDocument/2006/relationships/hyperlink" Target="https://ryycrdhlkmzpxwwwwupy.supabase.co/storage/v1/object/public/old_media/95c0cadd.Path.105228.png" TargetMode="External"/><Relationship Id="rId2965" Type="http://schemas.openxmlformats.org/officeDocument/2006/relationships/hyperlink" Target="https://ryycrdhlkmzpxwwwwupy.supabase.co/storage/v1/object/public/old_media/33c96110.Path.104948.jpg" TargetMode="External"/><Relationship Id="rId1635" Type="http://schemas.openxmlformats.org/officeDocument/2006/relationships/hyperlink" Target="https://ryycrdhlkmzpxwwwwupy.supabase.co/storage/v1/object/public/old_media/f65e7aec.Path.105259.png" TargetMode="External"/><Relationship Id="rId2966" Type="http://schemas.openxmlformats.org/officeDocument/2006/relationships/hyperlink" Target="https://ryycrdhlkmzpxwwwwupy.supabase.co/storage/v1/object/public/old_media/2788efd1.Path.105002.jpg" TargetMode="External"/><Relationship Id="rId1636" Type="http://schemas.openxmlformats.org/officeDocument/2006/relationships/hyperlink" Target="https://ryycrdhlkmzpxwwwwupy.supabase.co/storage/v1/object/public/old_media/48be46fb.Path.105337.png" TargetMode="External"/><Relationship Id="rId2967" Type="http://schemas.openxmlformats.org/officeDocument/2006/relationships/hyperlink" Target="https://ryycrdhlkmzpxwwwwupy.supabase.co/storage/v1/object/public/old_media/0fef3a11.Path.105012.jpg" TargetMode="External"/><Relationship Id="rId1637" Type="http://schemas.openxmlformats.org/officeDocument/2006/relationships/hyperlink" Target="https://ryycrdhlkmzpxwwwwupy.supabase.co/storage/v1/object/public/old_media/e5635756.Path.105410.png" TargetMode="External"/><Relationship Id="rId2968" Type="http://schemas.openxmlformats.org/officeDocument/2006/relationships/hyperlink" Target="https://ryycrdhlkmzpxwwwwupy.supabase.co/storage/v1/object/public/old_media/8400f82e.Path.105032.jpg" TargetMode="External"/><Relationship Id="rId1638" Type="http://schemas.openxmlformats.org/officeDocument/2006/relationships/hyperlink" Target="https://ryycrdhlkmzpxwwwwupy.supabase.co/storage/v1/object/public/old_media/e21fba1f.Path.105447.png" TargetMode="External"/><Relationship Id="rId2969" Type="http://schemas.openxmlformats.org/officeDocument/2006/relationships/hyperlink" Target="https://ryycrdhlkmzpxwwwwupy.supabase.co/storage/v1/object/public/old_media/6c97c5ca.Path.105051.jpg" TargetMode="External"/><Relationship Id="rId929" Type="http://schemas.openxmlformats.org/officeDocument/2006/relationships/hyperlink" Target="https://ryycrdhlkmzpxwwwwupy.supabase.co/storage/v1/object/public/old_media/d0a1fdaa.Path.141310.jpg" TargetMode="External"/><Relationship Id="rId1639" Type="http://schemas.openxmlformats.org/officeDocument/2006/relationships/hyperlink" Target="https://ryycrdhlkmzpxwwwwupy.supabase.co/storage/v1/object/public/old_media/e4e14a97.Path.105513.png" TargetMode="External"/><Relationship Id="rId928" Type="http://schemas.openxmlformats.org/officeDocument/2006/relationships/hyperlink" Target="https://ryycrdhlkmzpxwwwwupy.supabase.co/storage/v1/object/public/old_media/c1ff075c.Path.141244.jpg" TargetMode="External"/><Relationship Id="rId927" Type="http://schemas.openxmlformats.org/officeDocument/2006/relationships/hyperlink" Target="https://ryycrdhlkmzpxwwwwupy.supabase.co/storage/v1/object/public/old_media/44ba8791.Path.141222.jpg" TargetMode="External"/><Relationship Id="rId926" Type="http://schemas.openxmlformats.org/officeDocument/2006/relationships/hyperlink" Target="https://ryycrdhlkmzpxwwwwupy.supabase.co/storage/v1/object/public/old_media/533ec1f7.Path.120117.jpg" TargetMode="External"/><Relationship Id="rId921" Type="http://schemas.openxmlformats.org/officeDocument/2006/relationships/hyperlink" Target="https://ryycrdhlkmzpxwwwwupy.supabase.co/storage/v1/object/public/old_media/312e93b8.Path.120003.jpg" TargetMode="External"/><Relationship Id="rId920" Type="http://schemas.openxmlformats.org/officeDocument/2006/relationships/hyperlink" Target="https://ryycrdhlkmzpxwwwwupy.supabase.co/storage/v1/object/public/old_media/917a3969.Path.115945.jpg" TargetMode="External"/><Relationship Id="rId925" Type="http://schemas.openxmlformats.org/officeDocument/2006/relationships/hyperlink" Target="https://ryycrdhlkmzpxwwwwupy.supabase.co/storage/v1/object/public/old_media/c6b01eec.Path.120101.jpg" TargetMode="External"/><Relationship Id="rId924" Type="http://schemas.openxmlformats.org/officeDocument/2006/relationships/hyperlink" Target="https://ryycrdhlkmzpxwwwwupy.supabase.co/storage/v1/object/public/old_media/475e6f20.Path.120044.jpg" TargetMode="External"/><Relationship Id="rId923" Type="http://schemas.openxmlformats.org/officeDocument/2006/relationships/hyperlink" Target="https://ryycrdhlkmzpxwwwwupy.supabase.co/storage/v1/object/public/old_media/e224c228.Path.120033.jpg" TargetMode="External"/><Relationship Id="rId922" Type="http://schemas.openxmlformats.org/officeDocument/2006/relationships/hyperlink" Target="https://ryycrdhlkmzpxwwwwupy.supabase.co/storage/v1/object/public/old_media/237580b1.Path.120021.jpg" TargetMode="External"/><Relationship Id="rId2960" Type="http://schemas.openxmlformats.org/officeDocument/2006/relationships/hyperlink" Target="https://ryycrdhlkmzpxwwwwupy.supabase.co/storage/v1/object/public/old_media/0a1cd890.Path.050439.jpg" TargetMode="External"/><Relationship Id="rId1630" Type="http://schemas.openxmlformats.org/officeDocument/2006/relationships/hyperlink" Target="https://ryycrdhlkmzpxwwwwupy.supabase.co/storage/v1/object/public/old_media/fefe9cdf.Path.104122.jpg" TargetMode="External"/><Relationship Id="rId2961" Type="http://schemas.openxmlformats.org/officeDocument/2006/relationships/hyperlink" Target="https://ryycrdhlkmzpxwwwwupy.supabase.co/storage/v1/object/public/old_media/2ba7f105.Path.101527.jpg" TargetMode="External"/><Relationship Id="rId1620" Type="http://schemas.openxmlformats.org/officeDocument/2006/relationships/hyperlink" Target="https://ryycrdhlkmzpxwwwwupy.supabase.co/storage/v1/object/public/old_media/5cc7391d.Path.091010.jpg" TargetMode="External"/><Relationship Id="rId2951" Type="http://schemas.openxmlformats.org/officeDocument/2006/relationships/hyperlink" Target="https://ryycrdhlkmzpxwwwwupy.supabase.co/storage/v1/object/public/old_media/8c49e9e8.Path.053945.jpg" TargetMode="External"/><Relationship Id="rId1621" Type="http://schemas.openxmlformats.org/officeDocument/2006/relationships/hyperlink" Target="https://ryycrdhlkmzpxwwwwupy.supabase.co/storage/v1/object/public/old_media/8388fda9.Path.091039.jpg" TargetMode="External"/><Relationship Id="rId2952" Type="http://schemas.openxmlformats.org/officeDocument/2006/relationships/hyperlink" Target="https://ryycrdhlkmzpxwwwwupy.supabase.co/storage/v1/object/public/old_media/f7e0131f.Path.054008.jpg" TargetMode="External"/><Relationship Id="rId1622" Type="http://schemas.openxmlformats.org/officeDocument/2006/relationships/hyperlink" Target="https://ryycrdhlkmzpxwwwwupy.supabase.co/storage/v1/object/public/old_media/a589db58.Path.091116.jpg" TargetMode="External"/><Relationship Id="rId2953" Type="http://schemas.openxmlformats.org/officeDocument/2006/relationships/hyperlink" Target="https://ryycrdhlkmzpxwwwwupy.supabase.co/storage/v1/object/public/old_media/ad7a895d.Path.044644.jpg" TargetMode="External"/><Relationship Id="rId1623" Type="http://schemas.openxmlformats.org/officeDocument/2006/relationships/hyperlink" Target="https://ryycrdhlkmzpxwwwwupy.supabase.co/storage/v1/object/public/old_media/212f0c1c.Path.091144.jpg" TargetMode="External"/><Relationship Id="rId2954" Type="http://schemas.openxmlformats.org/officeDocument/2006/relationships/hyperlink" Target="https://ryycrdhlkmzpxwwwwupy.supabase.co/storage/v1/object/public/old_media/2e86540b.Path.044655.jpg" TargetMode="External"/><Relationship Id="rId1624" Type="http://schemas.openxmlformats.org/officeDocument/2006/relationships/hyperlink" Target="https://ryycrdhlkmzpxwwwwupy.supabase.co/storage/v1/object/public/old_media/f391845b.Path.091220.jpg" TargetMode="External"/><Relationship Id="rId2955" Type="http://schemas.openxmlformats.org/officeDocument/2006/relationships/hyperlink" Target="https://ryycrdhlkmzpxwwwwupy.supabase.co/storage/v1/object/public/old_media/2ef46db0.Path.050335.jpg" TargetMode="External"/><Relationship Id="rId1625" Type="http://schemas.openxmlformats.org/officeDocument/2006/relationships/hyperlink" Target="https://ryycrdhlkmzpxwwwwupy.supabase.co/storage/v1/object/public/old_media/787b273e.Path.091309.jpg" TargetMode="External"/><Relationship Id="rId2956" Type="http://schemas.openxmlformats.org/officeDocument/2006/relationships/hyperlink" Target="https://ryycrdhlkmzpxwwwwupy.supabase.co/storage/v1/object/public/old_media/d5c5d0f5.Path.050345.jpg" TargetMode="External"/><Relationship Id="rId1626" Type="http://schemas.openxmlformats.org/officeDocument/2006/relationships/hyperlink" Target="https://ryycrdhlkmzpxwwwwupy.supabase.co/storage/v1/object/public/old_media/2f436e3d.Path.091344.jpg" TargetMode="External"/><Relationship Id="rId2957" Type="http://schemas.openxmlformats.org/officeDocument/2006/relationships/hyperlink" Target="https://ryycrdhlkmzpxwwwwupy.supabase.co/storage/v1/object/public/old_media/ed6ae626.Path.050357.jpg" TargetMode="External"/><Relationship Id="rId1627" Type="http://schemas.openxmlformats.org/officeDocument/2006/relationships/hyperlink" Target="https://ryycrdhlkmzpxwwwwupy.supabase.co/storage/v1/object/public/old_media/7cb5e0c2.Path.091416.jpg" TargetMode="External"/><Relationship Id="rId2958" Type="http://schemas.openxmlformats.org/officeDocument/2006/relationships/hyperlink" Target="https://ryycrdhlkmzpxwwwwupy.supabase.co/storage/v1/object/public/old_media/99f12439.Path.050408.jpg" TargetMode="External"/><Relationship Id="rId918" Type="http://schemas.openxmlformats.org/officeDocument/2006/relationships/hyperlink" Target="https://ryycrdhlkmzpxwwwwupy.supabase.co/storage/v1/object/public/old_media/7c227ab2.Path.101813.jpg" TargetMode="External"/><Relationship Id="rId1628" Type="http://schemas.openxmlformats.org/officeDocument/2006/relationships/hyperlink" Target="https://ryycrdhlkmzpxwwwwupy.supabase.co/storage/v1/object/public/old_media/b70e3b68.Path.091437.jpg" TargetMode="External"/><Relationship Id="rId2959" Type="http://schemas.openxmlformats.org/officeDocument/2006/relationships/hyperlink" Target="https://ryycrdhlkmzpxwwwwupy.supabase.co/storage/v1/object/public/old_media/87e6403c.Path.050427.jpg" TargetMode="External"/><Relationship Id="rId917" Type="http://schemas.openxmlformats.org/officeDocument/2006/relationships/hyperlink" Target="https://ryycrdhlkmzpxwwwwupy.supabase.co/storage/v1/object/public/old_media/947285d5.Path.101435.jpg" TargetMode="External"/><Relationship Id="rId1629" Type="http://schemas.openxmlformats.org/officeDocument/2006/relationships/hyperlink" Target="https://ryycrdhlkmzpxwwwwupy.supabase.co/storage/v1/object/public/old_media/0197e9a6.Path.091509.jpg" TargetMode="External"/><Relationship Id="rId916" Type="http://schemas.openxmlformats.org/officeDocument/2006/relationships/hyperlink" Target="https://ryycrdhlkmzpxwwwwupy.supabase.co/storage/v1/object/public/old_media/88911bfa.Path.100609.jpg" TargetMode="External"/><Relationship Id="rId915" Type="http://schemas.openxmlformats.org/officeDocument/2006/relationships/hyperlink" Target="https://ryycrdhlkmzpxwwwwupy.supabase.co/storage/v1/object/public/old_media/8156f59c.Path.100551.jpg" TargetMode="External"/><Relationship Id="rId919" Type="http://schemas.openxmlformats.org/officeDocument/2006/relationships/hyperlink" Target="https://ryycrdhlkmzpxwwwwupy.supabase.co/storage/v1/object/public/old_media/f5028e06.Path.101832.jpg" TargetMode="External"/><Relationship Id="rId910" Type="http://schemas.openxmlformats.org/officeDocument/2006/relationships/hyperlink" Target="https://ryycrdhlkmzpxwwwwupy.supabase.co/storage/v1/object/public/old_media/e4c3e46f.Path.094150.jpg" TargetMode="External"/><Relationship Id="rId914" Type="http://schemas.openxmlformats.org/officeDocument/2006/relationships/hyperlink" Target="https://ryycrdhlkmzpxwwwwupy.supabase.co/storage/v1/object/public/old_media/7ee166e4.Path.100543.jpg" TargetMode="External"/><Relationship Id="rId913" Type="http://schemas.openxmlformats.org/officeDocument/2006/relationships/hyperlink" Target="https://ryycrdhlkmzpxwwwwupy.supabase.co/storage/v1/object/public/old_media/16743f9c.Path.100221.jpg" TargetMode="External"/><Relationship Id="rId912" Type="http://schemas.openxmlformats.org/officeDocument/2006/relationships/hyperlink" Target="https://ryycrdhlkmzpxwwwwupy.supabase.co/storage/v1/object/public/old_media/fdca8506.Path.094755.jpg" TargetMode="External"/><Relationship Id="rId911" Type="http://schemas.openxmlformats.org/officeDocument/2006/relationships/hyperlink" Target="https://ryycrdhlkmzpxwwwwupy.supabase.co/storage/v1/object/public/old_media/66780435.Path.094736.jpg" TargetMode="External"/><Relationship Id="rId2950" Type="http://schemas.openxmlformats.org/officeDocument/2006/relationships/hyperlink" Target="https://ryycrdhlkmzpxwwwwupy.supabase.co/storage/v1/object/public/old_media/0ccda859.Path.053721.jpg" TargetMode="External"/><Relationship Id="rId2900" Type="http://schemas.openxmlformats.org/officeDocument/2006/relationships/hyperlink" Target="https://ryycrdhlkmzpxwwwwupy.supabase.co/storage/v1/object/public/old_media/cc382729.Path.100556.jpg" TargetMode="External"/><Relationship Id="rId2901" Type="http://schemas.openxmlformats.org/officeDocument/2006/relationships/hyperlink" Target="https://ryycrdhlkmzpxwwwwupy.supabase.co/storage/v1/object/public/old_media/9a98a9a0.Path.100619.jpg" TargetMode="External"/><Relationship Id="rId2902" Type="http://schemas.openxmlformats.org/officeDocument/2006/relationships/hyperlink" Target="https://ryycrdhlkmzpxwwwwupy.supabase.co/storage/v1/object/public/old_media/ec5d7e0e.Path.100638.jpg" TargetMode="External"/><Relationship Id="rId2903" Type="http://schemas.openxmlformats.org/officeDocument/2006/relationships/hyperlink" Target="https://ryycrdhlkmzpxwwwwupy.supabase.co/storage/v1/object/public/old_media/0e88d61a.Path.100654.jpg" TargetMode="External"/><Relationship Id="rId2904" Type="http://schemas.openxmlformats.org/officeDocument/2006/relationships/hyperlink" Target="https://ryycrdhlkmzpxwwwwupy.supabase.co/storage/v1/object/public/old_media/efc0d758.Path.100709.jpg" TargetMode="External"/><Relationship Id="rId2905" Type="http://schemas.openxmlformats.org/officeDocument/2006/relationships/hyperlink" Target="https://ryycrdhlkmzpxwwwwupy.supabase.co/storage/v1/object/public/old_media/9e7dca25.Path.100724.jpg" TargetMode="External"/><Relationship Id="rId2906" Type="http://schemas.openxmlformats.org/officeDocument/2006/relationships/hyperlink" Target="https://ryycrdhlkmzpxwwwwupy.supabase.co/storage/v1/object/public/old_media/6e1a6e22.Path.100742.jpg" TargetMode="External"/><Relationship Id="rId2907" Type="http://schemas.openxmlformats.org/officeDocument/2006/relationships/hyperlink" Target="https://ryycrdhlkmzpxwwwwupy.supabase.co/storage/v1/object/public/old_media/c29f328b.Path.100754.jpg" TargetMode="External"/><Relationship Id="rId2908" Type="http://schemas.openxmlformats.org/officeDocument/2006/relationships/hyperlink" Target="https://ryycrdhlkmzpxwwwwupy.supabase.co/storage/v1/object/public/old_media/a8681525.Path.102823.png" TargetMode="External"/><Relationship Id="rId2909" Type="http://schemas.openxmlformats.org/officeDocument/2006/relationships/hyperlink" Target="https://ryycrdhlkmzpxwwwwupy.supabase.co/storage/v1/object/public/old_media/b3c64ea4.Path.110708.jpg" TargetMode="External"/><Relationship Id="rId2920" Type="http://schemas.openxmlformats.org/officeDocument/2006/relationships/hyperlink" Target="https://ryycrdhlkmzpxwwwwupy.supabase.co/storage/v1/object/public/old_media/1f625fab.Path.072852.jpg" TargetMode="External"/><Relationship Id="rId2921" Type="http://schemas.openxmlformats.org/officeDocument/2006/relationships/hyperlink" Target="https://ryycrdhlkmzpxwwwwupy.supabase.co/storage/v1/object/public/old_media/5c7d48f7.Path.072924.jpg" TargetMode="External"/><Relationship Id="rId2922" Type="http://schemas.openxmlformats.org/officeDocument/2006/relationships/hyperlink" Target="https://ryycrdhlkmzpxwwwwupy.supabase.co/storage/v1/object/public/old_media/df3ca07b.Path.073007.jpg" TargetMode="External"/><Relationship Id="rId2923" Type="http://schemas.openxmlformats.org/officeDocument/2006/relationships/hyperlink" Target="https://ryycrdhlkmzpxwwwwupy.supabase.co/storage/v1/object/public/old_media/60807ed6.Path.073031.jpg" TargetMode="External"/><Relationship Id="rId2924" Type="http://schemas.openxmlformats.org/officeDocument/2006/relationships/hyperlink" Target="https://ryycrdhlkmzpxwwwwupy.supabase.co/storage/v1/object/public/old_media/105eff05.Path.104533.jpg" TargetMode="External"/><Relationship Id="rId2925" Type="http://schemas.openxmlformats.org/officeDocument/2006/relationships/hyperlink" Target="https://ryycrdhlkmzpxwwwwupy.supabase.co/storage/v1/object/public/old_media/28879a14.Path.104548.jpg" TargetMode="External"/><Relationship Id="rId2926" Type="http://schemas.openxmlformats.org/officeDocument/2006/relationships/hyperlink" Target="https://ryycrdhlkmzpxwwwwupy.supabase.co/storage/v1/object/public/old_media/835e54df.Path.052629.jpg" TargetMode="External"/><Relationship Id="rId2927" Type="http://schemas.openxmlformats.org/officeDocument/2006/relationships/hyperlink" Target="https://ryycrdhlkmzpxwwwwupy.supabase.co/storage/v1/object/public/old_media/b273bbe0.Path.052651.jpg" TargetMode="External"/><Relationship Id="rId2928" Type="http://schemas.openxmlformats.org/officeDocument/2006/relationships/hyperlink" Target="https://ryycrdhlkmzpxwwwwupy.supabase.co/storage/v1/object/public/old_media/8d396598.Path.052757.jpg" TargetMode="External"/><Relationship Id="rId2929" Type="http://schemas.openxmlformats.org/officeDocument/2006/relationships/hyperlink" Target="https://ryycrdhlkmzpxwwwwupy.supabase.co/storage/v1/object/public/old_media/95f2b31e.Path.052815.jpg" TargetMode="External"/><Relationship Id="rId2910" Type="http://schemas.openxmlformats.org/officeDocument/2006/relationships/hyperlink" Target="https://ryycrdhlkmzpxwwwwupy.supabase.co/storage/v1/object/public/old_media/788ef89d.Path.112347.jpg" TargetMode="External"/><Relationship Id="rId2911" Type="http://schemas.openxmlformats.org/officeDocument/2006/relationships/hyperlink" Target="https://ryycrdhlkmzpxwwwwupy.supabase.co/storage/v1/object/public/old_media/9e7ddb2c.Path.045910.webp" TargetMode="External"/><Relationship Id="rId2912" Type="http://schemas.openxmlformats.org/officeDocument/2006/relationships/hyperlink" Target="https://ryycrdhlkmzpxwwwwupy.supabase.co/storage/v1/object/public/old_media/fc49d833.Path.045929.webp" TargetMode="External"/><Relationship Id="rId2913" Type="http://schemas.openxmlformats.org/officeDocument/2006/relationships/hyperlink" Target="https://ryycrdhlkmzpxwwwwupy.supabase.co/storage/v1/object/public/old_media/54240409.Path.045942.webp" TargetMode="External"/><Relationship Id="rId2914" Type="http://schemas.openxmlformats.org/officeDocument/2006/relationships/hyperlink" Target="https://ryycrdhlkmzpxwwwwupy.supabase.co/storage/v1/object/public/old_media/81dcce6c.Path.045951.webp" TargetMode="External"/><Relationship Id="rId2915" Type="http://schemas.openxmlformats.org/officeDocument/2006/relationships/hyperlink" Target="https://ryycrdhlkmzpxwwwwupy.supabase.co/storage/v1/object/public/old_media/5f0b19ac.Path.050000.webp" TargetMode="External"/><Relationship Id="rId2916" Type="http://schemas.openxmlformats.org/officeDocument/2006/relationships/hyperlink" Target="https://ryycrdhlkmzpxwwwwupy.supabase.co/storage/v1/object/public/old_media/0101f4f5.Path.050010.webp" TargetMode="External"/><Relationship Id="rId2917" Type="http://schemas.openxmlformats.org/officeDocument/2006/relationships/hyperlink" Target="https://ryycrdhlkmzpxwwwwupy.supabase.co/storage/v1/object/public/old_media/820b8c6e.Path.050019.webp" TargetMode="External"/><Relationship Id="rId2918" Type="http://schemas.openxmlformats.org/officeDocument/2006/relationships/hyperlink" Target="https://ryycrdhlkmzpxwwwwupy.supabase.co/storage/v1/object/public/old_media/bf029d98.Path.050033.webp" TargetMode="External"/><Relationship Id="rId2919" Type="http://schemas.openxmlformats.org/officeDocument/2006/relationships/hyperlink" Target="https://ryycrdhlkmzpxwwwwupy.supabase.co/storage/v1/object/public/old_media/4cc8a9b9.Path.072744.jpg" TargetMode="External"/><Relationship Id="rId1697" Type="http://schemas.openxmlformats.org/officeDocument/2006/relationships/hyperlink" Target="https://ryycrdhlkmzpxwwwwupy.supabase.co/storage/v1/object/public/old_media/7aeef016.Path.104424.jpg" TargetMode="External"/><Relationship Id="rId4723" Type="http://schemas.openxmlformats.org/officeDocument/2006/relationships/hyperlink" Target="https://ryycrdhlkmzpxwwwwupy.supabase.co/storage/v1/object/public/old_media/65b6fc86.Path.113633.jpg" TargetMode="External"/><Relationship Id="rId1698" Type="http://schemas.openxmlformats.org/officeDocument/2006/relationships/hyperlink" Target="https://ryycrdhlkmzpxwwwwupy.supabase.co/storage/v1/object/public/old_media/54b60d2d.Path.104449.jpg" TargetMode="External"/><Relationship Id="rId4722" Type="http://schemas.openxmlformats.org/officeDocument/2006/relationships/hyperlink" Target="https://ryycrdhlkmzpxwwwwupy.supabase.co/storage/v1/object/public/old_media/dd7adbd4.Path.113003.jpg" TargetMode="External"/><Relationship Id="rId1699" Type="http://schemas.openxmlformats.org/officeDocument/2006/relationships/hyperlink" Target="https://ryycrdhlkmzpxwwwwupy.supabase.co/storage/v1/object/public/old_media/60391c35.Path.104511.jpg" TargetMode="External"/><Relationship Id="rId4725" Type="http://schemas.openxmlformats.org/officeDocument/2006/relationships/hyperlink" Target="https://ryycrdhlkmzpxwwwwupy.supabase.co/storage/v1/object/public/old_media/eac2ec06.Path.113744.jpg" TargetMode="External"/><Relationship Id="rId4724" Type="http://schemas.openxmlformats.org/officeDocument/2006/relationships/hyperlink" Target="https://ryycrdhlkmzpxwwwwupy.supabase.co/storage/v1/object/public/old_media/051836eb.Path.113709.jpg" TargetMode="External"/><Relationship Id="rId4727" Type="http://schemas.openxmlformats.org/officeDocument/2006/relationships/hyperlink" Target="https://ryycrdhlkmzpxwwwwupy.supabase.co/storage/v1/object/public/old_media/e62a500d.Path.113902.jpg" TargetMode="External"/><Relationship Id="rId4726" Type="http://schemas.openxmlformats.org/officeDocument/2006/relationships/hyperlink" Target="https://ryycrdhlkmzpxwwwwupy.supabase.co/storage/v1/object/public/old_media/e929fbe5.Path.113827.jpg" TargetMode="External"/><Relationship Id="rId4729" Type="http://schemas.openxmlformats.org/officeDocument/2006/relationships/hyperlink" Target="https://ryycrdhlkmzpxwwwwupy.supabase.co/storage/v1/object/public/old_media/02ff84d4.Path.102409.jpg" TargetMode="External"/><Relationship Id="rId4728" Type="http://schemas.openxmlformats.org/officeDocument/2006/relationships/hyperlink" Target="https://ryycrdhlkmzpxwwwwupy.supabase.co/storage/v1/object/public/old_media/32ec46cf.Path.102328.jpg" TargetMode="External"/><Relationship Id="rId866" Type="http://schemas.openxmlformats.org/officeDocument/2006/relationships/hyperlink" Target="https://ryycrdhlkmzpxwwwwupy.supabase.co/storage/v1/object/public/old_media/b44be45a.Path.105205.jpg" TargetMode="External"/><Relationship Id="rId865" Type="http://schemas.openxmlformats.org/officeDocument/2006/relationships/hyperlink" Target="https://ryycrdhlkmzpxwwwwupy.supabase.co/storage/v1/object/public/old_media/1c1a483a.Path.101945.png" TargetMode="External"/><Relationship Id="rId864" Type="http://schemas.openxmlformats.org/officeDocument/2006/relationships/hyperlink" Target="https://ryycrdhlkmzpxwwwwupy.supabase.co/storage/v1/object/public/old_media/45c03e5b.Path.101105.jpg" TargetMode="External"/><Relationship Id="rId863" Type="http://schemas.openxmlformats.org/officeDocument/2006/relationships/hyperlink" Target="https://ryycrdhlkmzpxwwwwupy.supabase.co/storage/v1/object/public/old_media/cd8f74fb.Path.101037.jpg" TargetMode="External"/><Relationship Id="rId869" Type="http://schemas.openxmlformats.org/officeDocument/2006/relationships/hyperlink" Target="https://ryycrdhlkmzpxwwwwupy.supabase.co/storage/v1/object/public/old_media/dd11a645.Path.143615.jpg" TargetMode="External"/><Relationship Id="rId868" Type="http://schemas.openxmlformats.org/officeDocument/2006/relationships/hyperlink" Target="https://ryycrdhlkmzpxwwwwupy.supabase.co/storage/v1/object/public/old_media/bd441555.Path.143553.jpg" TargetMode="External"/><Relationship Id="rId867" Type="http://schemas.openxmlformats.org/officeDocument/2006/relationships/hyperlink" Target="https://ryycrdhlkmzpxwwwwupy.supabase.co/storage/v1/object/public/old_media/3b5cbc13.Path.143536.jpg" TargetMode="External"/><Relationship Id="rId1690" Type="http://schemas.openxmlformats.org/officeDocument/2006/relationships/hyperlink" Target="https://ryycrdhlkmzpxwwwwupy.supabase.co/storage/v1/object/public/old_media/60560fed.Path.093751.webp" TargetMode="External"/><Relationship Id="rId1691" Type="http://schemas.openxmlformats.org/officeDocument/2006/relationships/hyperlink" Target="https://ryycrdhlkmzpxwwwwupy.supabase.co/storage/v1/object/public/old_media/36675de6.Path.095521.jpg" TargetMode="External"/><Relationship Id="rId1692" Type="http://schemas.openxmlformats.org/officeDocument/2006/relationships/hyperlink" Target="https://ryycrdhlkmzpxwwwwupy.supabase.co/storage/v1/object/public/old_media/9d87792c.Path.095543.jpg" TargetMode="External"/><Relationship Id="rId862" Type="http://schemas.openxmlformats.org/officeDocument/2006/relationships/hyperlink" Target="https://ryycrdhlkmzpxwwwwupy.supabase.co/storage/v1/object/public/old_media/3044262f.Path.074700.jpg" TargetMode="External"/><Relationship Id="rId1693" Type="http://schemas.openxmlformats.org/officeDocument/2006/relationships/hyperlink" Target="https://ryycrdhlkmzpxwwwwupy.supabase.co/storage/v1/object/public/old_media/8a71e5bf.Path.095723.jpg" TargetMode="External"/><Relationship Id="rId861" Type="http://schemas.openxmlformats.org/officeDocument/2006/relationships/hyperlink" Target="https://ryycrdhlkmzpxwwwwupy.supabase.co/storage/v1/object/public/old_media/11bc613c.Path.074647.jpg" TargetMode="External"/><Relationship Id="rId1694" Type="http://schemas.openxmlformats.org/officeDocument/2006/relationships/hyperlink" Target="https://ryycrdhlkmzpxwwwwupy.supabase.co/storage/v1/object/public/old_media/61b9c6bb.Path.095854.jpg" TargetMode="External"/><Relationship Id="rId860" Type="http://schemas.openxmlformats.org/officeDocument/2006/relationships/hyperlink" Target="https://ryycrdhlkmzpxwwwwupy.supabase.co/storage/v1/object/public/old_media/675c1556.Path.074638.jpg" TargetMode="External"/><Relationship Id="rId1695" Type="http://schemas.openxmlformats.org/officeDocument/2006/relationships/hyperlink" Target="https://ryycrdhlkmzpxwwwwupy.supabase.co/storage/v1/object/public/old_media/72d2a3eb.Path.104215.jpg" TargetMode="External"/><Relationship Id="rId4721" Type="http://schemas.openxmlformats.org/officeDocument/2006/relationships/hyperlink" Target="https://ryycrdhlkmzpxwwwwupy.supabase.co/storage/v1/object/public/old_media/e8e57740.Path.112930.jpg" TargetMode="External"/><Relationship Id="rId1696" Type="http://schemas.openxmlformats.org/officeDocument/2006/relationships/hyperlink" Target="https://ryycrdhlkmzpxwwwwupy.supabase.co/storage/v1/object/public/old_media/c4456120.Path.104336.jpg" TargetMode="External"/><Relationship Id="rId4720" Type="http://schemas.openxmlformats.org/officeDocument/2006/relationships/hyperlink" Target="https://ryycrdhlkmzpxwwwwupy.supabase.co/storage/v1/object/public/old_media/9b3f3b37.Path.112855.jpg" TargetMode="External"/><Relationship Id="rId1686" Type="http://schemas.openxmlformats.org/officeDocument/2006/relationships/hyperlink" Target="https://ryycrdhlkmzpxwwwwupy.supabase.co/storage/v1/object/public/old_media/40ac826d.Path.093631.webp" TargetMode="External"/><Relationship Id="rId4712" Type="http://schemas.openxmlformats.org/officeDocument/2006/relationships/hyperlink" Target="https://ryycrdhlkmzpxwwwwupy.supabase.co/storage/v1/object/public/old_media/4f522179.Path.044552.jpg" TargetMode="External"/><Relationship Id="rId1687" Type="http://schemas.openxmlformats.org/officeDocument/2006/relationships/hyperlink" Target="https://ryycrdhlkmzpxwwwwupy.supabase.co/storage/v1/object/public/old_media/8a62d897.Path.093647.webp" TargetMode="External"/><Relationship Id="rId4711" Type="http://schemas.openxmlformats.org/officeDocument/2006/relationships/hyperlink" Target="https://ryycrdhlkmzpxwwwwupy.supabase.co/storage/v1/object/public/old_media/d6b1fc07.Path.044517.jpg" TargetMode="External"/><Relationship Id="rId1688" Type="http://schemas.openxmlformats.org/officeDocument/2006/relationships/hyperlink" Target="https://ryycrdhlkmzpxwwwwupy.supabase.co/storage/v1/object/public/old_media/2696b36d.Path.093713.webp" TargetMode="External"/><Relationship Id="rId4714" Type="http://schemas.openxmlformats.org/officeDocument/2006/relationships/hyperlink" Target="https://ryycrdhlkmzpxwwwwupy.supabase.co/storage/v1/object/public/old_media/b0a2af54.Path.044837.jpg" TargetMode="External"/><Relationship Id="rId1689" Type="http://schemas.openxmlformats.org/officeDocument/2006/relationships/hyperlink" Target="https://ryycrdhlkmzpxwwwwupy.supabase.co/storage/v1/object/public/old_media/b95af159.Path.093735.webp" TargetMode="External"/><Relationship Id="rId4713" Type="http://schemas.openxmlformats.org/officeDocument/2006/relationships/hyperlink" Target="https://ryycrdhlkmzpxwwwwupy.supabase.co/storage/v1/object/public/old_media/0bc04c3e.Path.044623.jpg" TargetMode="External"/><Relationship Id="rId4716" Type="http://schemas.openxmlformats.org/officeDocument/2006/relationships/hyperlink" Target="https://ryycrdhlkmzpxwwwwupy.supabase.co/storage/v1/object/public/old_media/8c6e2100.Path.045150.jpg" TargetMode="External"/><Relationship Id="rId4715" Type="http://schemas.openxmlformats.org/officeDocument/2006/relationships/hyperlink" Target="https://ryycrdhlkmzpxwwwwupy.supabase.co/storage/v1/object/public/old_media/fc33b110.Path.045117.jpg" TargetMode="External"/><Relationship Id="rId4718" Type="http://schemas.openxmlformats.org/officeDocument/2006/relationships/hyperlink" Target="https://ryycrdhlkmzpxwwwwupy.supabase.co/storage/v1/object/public/old_media/0f5ca79d.Path.112732.jpg" TargetMode="External"/><Relationship Id="rId4717" Type="http://schemas.openxmlformats.org/officeDocument/2006/relationships/hyperlink" Target="https://ryycrdhlkmzpxwwwwupy.supabase.co/storage/v1/object/public/old_media/4a706680.Path.045223.jpg" TargetMode="External"/><Relationship Id="rId4719" Type="http://schemas.openxmlformats.org/officeDocument/2006/relationships/hyperlink" Target="https://ryycrdhlkmzpxwwwwupy.supabase.co/storage/v1/object/public/old_media/17aefdc4.Path.112808.jpg" TargetMode="External"/><Relationship Id="rId855" Type="http://schemas.openxmlformats.org/officeDocument/2006/relationships/hyperlink" Target="https://ryycrdhlkmzpxwwwwupy.supabase.co/storage/v1/object/public/old_media/9a6dedb7.Path.061549.jpg" TargetMode="External"/><Relationship Id="rId854" Type="http://schemas.openxmlformats.org/officeDocument/2006/relationships/hyperlink" Target="https://ryycrdhlkmzpxwwwwupy.supabase.co/storage/v1/object/public/old_media/a4c08b28.Path.061041.jpg" TargetMode="External"/><Relationship Id="rId853" Type="http://schemas.openxmlformats.org/officeDocument/2006/relationships/hyperlink" Target="https://ryycrdhlkmzpxwwwwupy.supabase.co/storage/v1/object/public/old_media/9f0abd2b.Path.061022.jpg" TargetMode="External"/><Relationship Id="rId852" Type="http://schemas.openxmlformats.org/officeDocument/2006/relationships/hyperlink" Target="https://ryycrdhlkmzpxwwwwupy.supabase.co/storage/v1/object/public/old_media/6e9cc7d3.Path.061016.jpg" TargetMode="External"/><Relationship Id="rId859" Type="http://schemas.openxmlformats.org/officeDocument/2006/relationships/hyperlink" Target="https://ryycrdhlkmzpxwwwwupy.supabase.co/storage/v1/object/public/old_media/c2f38555.Path.061647.jpg" TargetMode="External"/><Relationship Id="rId858" Type="http://schemas.openxmlformats.org/officeDocument/2006/relationships/hyperlink" Target="https://ryycrdhlkmzpxwwwwupy.supabase.co/storage/v1/object/public/old_media/529af689.Path.061630.jpg" TargetMode="External"/><Relationship Id="rId857" Type="http://schemas.openxmlformats.org/officeDocument/2006/relationships/hyperlink" Target="https://ryycrdhlkmzpxwwwwupy.supabase.co/storage/v1/object/public/old_media/fda3581a.Path.061614.jpg" TargetMode="External"/><Relationship Id="rId856" Type="http://schemas.openxmlformats.org/officeDocument/2006/relationships/hyperlink" Target="https://ryycrdhlkmzpxwwwwupy.supabase.co/storage/v1/object/public/old_media/dd74af73.Path.061558.jpg" TargetMode="External"/><Relationship Id="rId1680" Type="http://schemas.openxmlformats.org/officeDocument/2006/relationships/hyperlink" Target="https://ryycrdhlkmzpxwwwwupy.supabase.co/storage/v1/object/public/old_media/80058c3f.Path.071404.jpg" TargetMode="External"/><Relationship Id="rId1681" Type="http://schemas.openxmlformats.org/officeDocument/2006/relationships/hyperlink" Target="https://ryycrdhlkmzpxwwwwupy.supabase.co/storage/v1/object/public/old_media/2ea7bb50.Path.071416.jpg" TargetMode="External"/><Relationship Id="rId851" Type="http://schemas.openxmlformats.org/officeDocument/2006/relationships/hyperlink" Target="https://ryycrdhlkmzpxwwwwupy.supabase.co/storage/v1/object/public/old_media/b0f593ef.Path.045632.jpg" TargetMode="External"/><Relationship Id="rId1682" Type="http://schemas.openxmlformats.org/officeDocument/2006/relationships/hyperlink" Target="https://ryycrdhlkmzpxwwwwupy.supabase.co/storage/v1/object/public/old_media/cf883439.Path.071426.jpg" TargetMode="External"/><Relationship Id="rId850" Type="http://schemas.openxmlformats.org/officeDocument/2006/relationships/hyperlink" Target="https://ryycrdhlkmzpxwwwwupy.supabase.co/storage/v1/object/public/old_media/3e19c406.Path.160335.jpg" TargetMode="External"/><Relationship Id="rId1683" Type="http://schemas.openxmlformats.org/officeDocument/2006/relationships/hyperlink" Target="https://ryycrdhlkmzpxwwwwupy.supabase.co/storage/v1/object/public/old_media/fb8ab76e.Path.071436.webp" TargetMode="External"/><Relationship Id="rId1684" Type="http://schemas.openxmlformats.org/officeDocument/2006/relationships/hyperlink" Target="https://ryycrdhlkmzpxwwwwupy.supabase.co/storage/v1/object/public/old_media/eabf0a87.Path.093559.webp" TargetMode="External"/><Relationship Id="rId4710" Type="http://schemas.openxmlformats.org/officeDocument/2006/relationships/hyperlink" Target="https://ryycrdhlkmzpxwwwwupy.supabase.co/storage/v1/object/public/old_media/7fae8384.Path.042252.jpg" TargetMode="External"/><Relationship Id="rId1685" Type="http://schemas.openxmlformats.org/officeDocument/2006/relationships/hyperlink" Target="https://ryycrdhlkmzpxwwwwupy.supabase.co/storage/v1/object/public/old_media/8d2dd6ce.Path.093616.webp" TargetMode="External"/><Relationship Id="rId3414" Type="http://schemas.openxmlformats.org/officeDocument/2006/relationships/hyperlink" Target="https://ryycrdhlkmzpxwwwwupy.supabase.co/storage/v1/object/public/old_media/9e70e90f.Path.094440.jpg" TargetMode="External"/><Relationship Id="rId4745" Type="http://schemas.openxmlformats.org/officeDocument/2006/relationships/hyperlink" Target="https://ryycrdhlkmzpxwwwwupy.supabase.co/storage/v1/object/public/old_media/4ef77ec9.Path.061729.jpg" TargetMode="External"/><Relationship Id="rId3413" Type="http://schemas.openxmlformats.org/officeDocument/2006/relationships/hyperlink" Target="https://ryycrdhlkmzpxwwwwupy.supabase.co/storage/v1/object/public/old_media/ebaa260e.Path.094414.webp" TargetMode="External"/><Relationship Id="rId4744" Type="http://schemas.openxmlformats.org/officeDocument/2006/relationships/hyperlink" Target="https://ryycrdhlkmzpxwwwwupy.supabase.co/storage/v1/object/public/old_media/6bdf5b71.Path.061124.jpg" TargetMode="External"/><Relationship Id="rId3416" Type="http://schemas.openxmlformats.org/officeDocument/2006/relationships/hyperlink" Target="https://ryycrdhlkmzpxwwwwupy.supabase.co/storage/v1/object/public/old_media/10fa7f43.Path.105339.webp" TargetMode="External"/><Relationship Id="rId4747" Type="http://schemas.openxmlformats.org/officeDocument/2006/relationships/hyperlink" Target="https://ryycrdhlkmzpxwwwwupy.supabase.co/storage/v1/object/public/old_media/3a6e9ae2.Path.065643.jpg" TargetMode="External"/><Relationship Id="rId3415" Type="http://schemas.openxmlformats.org/officeDocument/2006/relationships/hyperlink" Target="https://ryycrdhlkmzpxwwwwupy.supabase.co/storage/v1/object/public/old_media/e4d387ca.Path.094516.jpg" TargetMode="External"/><Relationship Id="rId4746" Type="http://schemas.openxmlformats.org/officeDocument/2006/relationships/hyperlink" Target="https://ryycrdhlkmzpxwwwwupy.supabase.co/storage/v1/object/public/old_media/feef6545.Path.065606.jpg" TargetMode="External"/><Relationship Id="rId3418" Type="http://schemas.openxmlformats.org/officeDocument/2006/relationships/hyperlink" Target="https://ryycrdhlkmzpxwwwwupy.supabase.co/storage/v1/object/public/old_media/f45fbfbe.Path.105453.jpg" TargetMode="External"/><Relationship Id="rId4749" Type="http://schemas.openxmlformats.org/officeDocument/2006/relationships/hyperlink" Target="https://ryycrdhlkmzpxwwwwupy.supabase.co/storage/v1/object/public/old_media/d39559c4.Path.111503.avif" TargetMode="External"/><Relationship Id="rId3417" Type="http://schemas.openxmlformats.org/officeDocument/2006/relationships/hyperlink" Target="https://ryycrdhlkmzpxwwwwupy.supabase.co/storage/v1/object/public/old_media/1e724abc.Path.105418.jpg" TargetMode="External"/><Relationship Id="rId4748" Type="http://schemas.openxmlformats.org/officeDocument/2006/relationships/hyperlink" Target="https://ryycrdhlkmzpxwwwwupy.supabase.co/storage/v1/object/public/old_media/306a8d95.Path.065721.jpg" TargetMode="External"/><Relationship Id="rId3419" Type="http://schemas.openxmlformats.org/officeDocument/2006/relationships/hyperlink" Target="https://ryycrdhlkmzpxwwwwupy.supabase.co/storage/v1/object/public/old_media/aa679fd1.Path.105526.jpg" TargetMode="External"/><Relationship Id="rId888" Type="http://schemas.openxmlformats.org/officeDocument/2006/relationships/hyperlink" Target="https://ryycrdhlkmzpxwwwwupy.supabase.co/storage/v1/object/public/old_media/a79d85bb.Path.114130.jpg" TargetMode="External"/><Relationship Id="rId887" Type="http://schemas.openxmlformats.org/officeDocument/2006/relationships/hyperlink" Target="https://ryycrdhlkmzpxwwwwupy.supabase.co/storage/v1/object/public/old_media/66a5eb18.Path.114122.jpg" TargetMode="External"/><Relationship Id="rId886" Type="http://schemas.openxmlformats.org/officeDocument/2006/relationships/hyperlink" Target="https://ryycrdhlkmzpxwwwwupy.supabase.co/storage/v1/object/public/old_media/cdd13e86.Path.114115.jpg" TargetMode="External"/><Relationship Id="rId885" Type="http://schemas.openxmlformats.org/officeDocument/2006/relationships/hyperlink" Target="https://ryycrdhlkmzpxwwwwupy.supabase.co/storage/v1/object/public/old_media/89b75b65.Path.114058.jpg" TargetMode="External"/><Relationship Id="rId889" Type="http://schemas.openxmlformats.org/officeDocument/2006/relationships/hyperlink" Target="https://ryycrdhlkmzpxwwwwupy.supabase.co/storage/v1/object/public/old_media/b1af3ccd.Path.114137.jpg" TargetMode="External"/><Relationship Id="rId880" Type="http://schemas.openxmlformats.org/officeDocument/2006/relationships/hyperlink" Target="https://ryycrdhlkmzpxwwwwupy.supabase.co/storage/v1/object/public/old_media/b8088dcb.Path.143940.jpg" TargetMode="External"/><Relationship Id="rId884" Type="http://schemas.openxmlformats.org/officeDocument/2006/relationships/hyperlink" Target="https://ryycrdhlkmzpxwwwwupy.supabase.co/storage/v1/object/public/old_media/80801355.Path.114050.jpg" TargetMode="External"/><Relationship Id="rId3410" Type="http://schemas.openxmlformats.org/officeDocument/2006/relationships/hyperlink" Target="https://ryycrdhlkmzpxwwwwupy.supabase.co/storage/v1/object/public/old_media/e1affb64.Path.094240.webp" TargetMode="External"/><Relationship Id="rId4741" Type="http://schemas.openxmlformats.org/officeDocument/2006/relationships/hyperlink" Target="https://ryycrdhlkmzpxwwwwupy.supabase.co/storage/v1/object/public/old_media/abe727f5.Path.060638.jpg" TargetMode="External"/><Relationship Id="rId883" Type="http://schemas.openxmlformats.org/officeDocument/2006/relationships/hyperlink" Target="https://ryycrdhlkmzpxwwwwupy.supabase.co/storage/v1/object/public/old_media/b661cb7c.Path.144054.jpg" TargetMode="External"/><Relationship Id="rId4740" Type="http://schemas.openxmlformats.org/officeDocument/2006/relationships/hyperlink" Target="https://ryycrdhlkmzpxwwwwupy.supabase.co/storage/v1/object/public/old_media/71bd30b0.Path.060606.jpg" TargetMode="External"/><Relationship Id="rId882" Type="http://schemas.openxmlformats.org/officeDocument/2006/relationships/hyperlink" Target="https://ryycrdhlkmzpxwwwwupy.supabase.co/storage/v1/object/public/old_media/c105480a.Path.144031.jpg" TargetMode="External"/><Relationship Id="rId3412" Type="http://schemas.openxmlformats.org/officeDocument/2006/relationships/hyperlink" Target="https://ryycrdhlkmzpxwwwwupy.supabase.co/storage/v1/object/public/old_media/b11acd0d.Path.094345.webp" TargetMode="External"/><Relationship Id="rId4743" Type="http://schemas.openxmlformats.org/officeDocument/2006/relationships/hyperlink" Target="https://ryycrdhlkmzpxwwwwupy.supabase.co/storage/v1/object/public/old_media/8cf532af.Path.060752.jpg" TargetMode="External"/><Relationship Id="rId881" Type="http://schemas.openxmlformats.org/officeDocument/2006/relationships/hyperlink" Target="https://ryycrdhlkmzpxwwwwupy.supabase.co/storage/v1/object/public/old_media/e4d3630e.Path.144009.jpg" TargetMode="External"/><Relationship Id="rId3411" Type="http://schemas.openxmlformats.org/officeDocument/2006/relationships/hyperlink" Target="https://ryycrdhlkmzpxwwwwupy.supabase.co/storage/v1/object/public/old_media/0f48e503.Path.094313.webp" TargetMode="External"/><Relationship Id="rId4742" Type="http://schemas.openxmlformats.org/officeDocument/2006/relationships/hyperlink" Target="https://ryycrdhlkmzpxwwwwupy.supabase.co/storage/v1/object/public/old_media/0d8d7ec6.Path.060715.jpg" TargetMode="External"/><Relationship Id="rId3403" Type="http://schemas.openxmlformats.org/officeDocument/2006/relationships/hyperlink" Target="https://ryycrdhlkmzpxwwwwupy.supabase.co/storage/v1/object/public/old_media/64d438b0.Path.065258.jpg" TargetMode="External"/><Relationship Id="rId4734" Type="http://schemas.openxmlformats.org/officeDocument/2006/relationships/hyperlink" Target="https://ryycrdhlkmzpxwwwwupy.supabase.co/storage/v1/object/public/old_media/6420e1b1.Path.054431.jpg" TargetMode="External"/><Relationship Id="rId3402" Type="http://schemas.openxmlformats.org/officeDocument/2006/relationships/hyperlink" Target="https://ryycrdhlkmzpxwwwwupy.supabase.co/storage/v1/object/public/old_media/4eb58a8d.Path.065224.jpg" TargetMode="External"/><Relationship Id="rId4733" Type="http://schemas.openxmlformats.org/officeDocument/2006/relationships/hyperlink" Target="https://ryycrdhlkmzpxwwwwupy.supabase.co/storage/v1/object/public/old_media/60e35fea.Path.102701.jpg" TargetMode="External"/><Relationship Id="rId3405" Type="http://schemas.openxmlformats.org/officeDocument/2006/relationships/hyperlink" Target="https://ryycrdhlkmzpxwwwwupy.supabase.co/storage/v1/object/public/old_media/8257a4d5.Path.093109.png" TargetMode="External"/><Relationship Id="rId4736" Type="http://schemas.openxmlformats.org/officeDocument/2006/relationships/hyperlink" Target="https://ryycrdhlkmzpxwwwwupy.supabase.co/storage/v1/object/public/old_media/6d5b98d7.Path.054542.jpg" TargetMode="External"/><Relationship Id="rId3404" Type="http://schemas.openxmlformats.org/officeDocument/2006/relationships/hyperlink" Target="https://ryycrdhlkmzpxwwwwupy.supabase.co/storage/v1/object/public/old_media/e82a45d9.Path.092857.jpg" TargetMode="External"/><Relationship Id="rId4735" Type="http://schemas.openxmlformats.org/officeDocument/2006/relationships/hyperlink" Target="https://ryycrdhlkmzpxwwwwupy.supabase.co/storage/v1/object/public/old_media/ebbe0362.Path.054508.jpg" TargetMode="External"/><Relationship Id="rId3407" Type="http://schemas.openxmlformats.org/officeDocument/2006/relationships/hyperlink" Target="https://ryycrdhlkmzpxwwwwupy.supabase.co/storage/v1/object/public/old_media/c6868595.Path.055900.jpg" TargetMode="External"/><Relationship Id="rId4738" Type="http://schemas.openxmlformats.org/officeDocument/2006/relationships/hyperlink" Target="https://ryycrdhlkmzpxwwwwupy.supabase.co/storage/v1/object/public/old_media/bae41a4a.Path.054655.jpg" TargetMode="External"/><Relationship Id="rId3406" Type="http://schemas.openxmlformats.org/officeDocument/2006/relationships/hyperlink" Target="https://ryycrdhlkmzpxwwwwupy.supabase.co/storage/v1/object/public/old_media/fe964d2c.Path.054529.jpg" TargetMode="External"/><Relationship Id="rId4737" Type="http://schemas.openxmlformats.org/officeDocument/2006/relationships/hyperlink" Target="https://ryycrdhlkmzpxwwwwupy.supabase.co/storage/v1/object/public/old_media/19a6d4b2.Path.054616.jpg" TargetMode="External"/><Relationship Id="rId3409" Type="http://schemas.openxmlformats.org/officeDocument/2006/relationships/hyperlink" Target="https://ryycrdhlkmzpxwwwwupy.supabase.co/storage/v1/object/public/old_media/16bfc8fa.Path.094206.webp" TargetMode="External"/><Relationship Id="rId3408" Type="http://schemas.openxmlformats.org/officeDocument/2006/relationships/hyperlink" Target="https://ryycrdhlkmzpxwwwwupy.supabase.co/storage/v1/object/public/old_media/831b8dff.Path.064023.jpg" TargetMode="External"/><Relationship Id="rId4739" Type="http://schemas.openxmlformats.org/officeDocument/2006/relationships/hyperlink" Target="https://ryycrdhlkmzpxwwwwupy.supabase.co/storage/v1/object/public/old_media/8a443310.Path.060533.jpg" TargetMode="External"/><Relationship Id="rId877" Type="http://schemas.openxmlformats.org/officeDocument/2006/relationships/hyperlink" Target="https://ryycrdhlkmzpxwwwwupy.supabase.co/storage/v1/object/public/old_media/55c7fd3a.Path.143846.jpg" TargetMode="External"/><Relationship Id="rId876" Type="http://schemas.openxmlformats.org/officeDocument/2006/relationships/hyperlink" Target="https://ryycrdhlkmzpxwwwwupy.supabase.co/storage/v1/object/public/old_media/6331cff6.Path.143828.jpg" TargetMode="External"/><Relationship Id="rId875" Type="http://schemas.openxmlformats.org/officeDocument/2006/relationships/hyperlink" Target="https://ryycrdhlkmzpxwwwwupy.supabase.co/storage/v1/object/public/old_media/2477dd23.Path.143811.jpg" TargetMode="External"/><Relationship Id="rId874" Type="http://schemas.openxmlformats.org/officeDocument/2006/relationships/hyperlink" Target="https://ryycrdhlkmzpxwwwwupy.supabase.co/storage/v1/object/public/old_media/c5be4229.Path.143744.jpg" TargetMode="External"/><Relationship Id="rId879" Type="http://schemas.openxmlformats.org/officeDocument/2006/relationships/hyperlink" Target="https://ryycrdhlkmzpxwwwwupy.supabase.co/storage/v1/object/public/old_media/b360d944.Path.143922.jpg" TargetMode="External"/><Relationship Id="rId878" Type="http://schemas.openxmlformats.org/officeDocument/2006/relationships/hyperlink" Target="https://ryycrdhlkmzpxwwwwupy.supabase.co/storage/v1/object/public/old_media/94d864f6.Path.143914.jpg" TargetMode="External"/><Relationship Id="rId873" Type="http://schemas.openxmlformats.org/officeDocument/2006/relationships/hyperlink" Target="https://ryycrdhlkmzpxwwwwupy.supabase.co/storage/v1/object/public/old_media/a42ffdd6.Path.143725.jpg" TargetMode="External"/><Relationship Id="rId4730" Type="http://schemas.openxmlformats.org/officeDocument/2006/relationships/hyperlink" Target="https://ryycrdhlkmzpxwwwwupy.supabase.co/storage/v1/object/public/old_media/70a0de50.Path.102449.jpg" TargetMode="External"/><Relationship Id="rId872" Type="http://schemas.openxmlformats.org/officeDocument/2006/relationships/hyperlink" Target="https://ryycrdhlkmzpxwwwwupy.supabase.co/storage/v1/object/public/old_media/c07e4dcc.Path.143708.jpg" TargetMode="External"/><Relationship Id="rId871" Type="http://schemas.openxmlformats.org/officeDocument/2006/relationships/hyperlink" Target="https://ryycrdhlkmzpxwwwwupy.supabase.co/storage/v1/object/public/old_media/4fd682e2.Path.143650.jpg" TargetMode="External"/><Relationship Id="rId3401" Type="http://schemas.openxmlformats.org/officeDocument/2006/relationships/hyperlink" Target="https://ryycrdhlkmzpxwwwwupy.supabase.co/storage/v1/object/public/old_media/c57f1ea9.Path.065153.jpg" TargetMode="External"/><Relationship Id="rId4732" Type="http://schemas.openxmlformats.org/officeDocument/2006/relationships/hyperlink" Target="https://ryycrdhlkmzpxwwwwupy.supabase.co/storage/v1/object/public/old_media/c5a9f126.Path.102614.jpg" TargetMode="External"/><Relationship Id="rId870" Type="http://schemas.openxmlformats.org/officeDocument/2006/relationships/hyperlink" Target="https://ryycrdhlkmzpxwwwwupy.supabase.co/storage/v1/object/public/old_media/603359cd.Path.143631.jpg" TargetMode="External"/><Relationship Id="rId3400" Type="http://schemas.openxmlformats.org/officeDocument/2006/relationships/hyperlink" Target="https://ryycrdhlkmzpxwwwwupy.supabase.co/storage/v1/object/public/old_media/8b2c75e2.Path.065122.jpg" TargetMode="External"/><Relationship Id="rId4731" Type="http://schemas.openxmlformats.org/officeDocument/2006/relationships/hyperlink" Target="https://ryycrdhlkmzpxwwwwupy.supabase.co/storage/v1/object/public/old_media/c3cb8e31.Path.102523.jpg" TargetMode="External"/><Relationship Id="rId1653" Type="http://schemas.openxmlformats.org/officeDocument/2006/relationships/hyperlink" Target="https://ryycrdhlkmzpxwwwwupy.supabase.co/storage/v1/object/public/old_media/7785bafe.Path.111337.jpg" TargetMode="External"/><Relationship Id="rId2984" Type="http://schemas.openxmlformats.org/officeDocument/2006/relationships/hyperlink" Target="https://ryycrdhlkmzpxwwwwupy.supabase.co/storage/v1/object/public/old_media/ace2ee53.Path.055822.jpg" TargetMode="External"/><Relationship Id="rId1654" Type="http://schemas.openxmlformats.org/officeDocument/2006/relationships/hyperlink" Target="https://ryycrdhlkmzpxwwwwupy.supabase.co/storage/v1/object/public/old_media/4f225c86.Path.053253.png" TargetMode="External"/><Relationship Id="rId2985" Type="http://schemas.openxmlformats.org/officeDocument/2006/relationships/hyperlink" Target="https://ryycrdhlkmzpxwwwwupy.supabase.co/storage/v1/object/public/old_media/8acca6c0.Path.055832.jpg" TargetMode="External"/><Relationship Id="rId1655" Type="http://schemas.openxmlformats.org/officeDocument/2006/relationships/hyperlink" Target="https://ryycrdhlkmzpxwwwwupy.supabase.co/storage/v1/object/public/old_media/e36afe3d.Path.074327.webp" TargetMode="External"/><Relationship Id="rId2986" Type="http://schemas.openxmlformats.org/officeDocument/2006/relationships/hyperlink" Target="https://ryycrdhlkmzpxwwwwupy.supabase.co/storage/v1/object/public/old_media/4f7670ef.Path.055842.jpg" TargetMode="External"/><Relationship Id="rId1656" Type="http://schemas.openxmlformats.org/officeDocument/2006/relationships/hyperlink" Target="https://ryycrdhlkmzpxwwwwupy.supabase.co/storage/v1/object/public/old_media/531cdf61.Path.074342.webp" TargetMode="External"/><Relationship Id="rId2987" Type="http://schemas.openxmlformats.org/officeDocument/2006/relationships/hyperlink" Target="https://ryycrdhlkmzpxwwwwupy.supabase.co/storage/v1/object/public/old_media/86415700.Path.055926.jpg" TargetMode="External"/><Relationship Id="rId1657" Type="http://schemas.openxmlformats.org/officeDocument/2006/relationships/hyperlink" Target="https://ryycrdhlkmzpxwwwwupy.supabase.co/storage/v1/object/public/old_media/687a536d.Path.074420.webp" TargetMode="External"/><Relationship Id="rId2988" Type="http://schemas.openxmlformats.org/officeDocument/2006/relationships/hyperlink" Target="https://ryycrdhlkmzpxwwwwupy.supabase.co/storage/v1/object/public/old_media/668e9d1f.Path.055943.jpg" TargetMode="External"/><Relationship Id="rId1658" Type="http://schemas.openxmlformats.org/officeDocument/2006/relationships/hyperlink" Target="https://ryycrdhlkmzpxwwwwupy.supabase.co/storage/v1/object/public/old_media/1b4a9325.Path.074431.webp" TargetMode="External"/><Relationship Id="rId2989" Type="http://schemas.openxmlformats.org/officeDocument/2006/relationships/hyperlink" Target="https://ryycrdhlkmzpxwwwwupy.supabase.co/storage/v1/object/public/old_media/6886faaa.Path.055956.jpg" TargetMode="External"/><Relationship Id="rId1659" Type="http://schemas.openxmlformats.org/officeDocument/2006/relationships/hyperlink" Target="https://ryycrdhlkmzpxwwwwupy.supabase.co/storage/v1/object/public/old_media/22a2f5d2.Path.074444.webp" TargetMode="External"/><Relationship Id="rId829" Type="http://schemas.openxmlformats.org/officeDocument/2006/relationships/hyperlink" Target="https://ryycrdhlkmzpxwwwwupy.supabase.co/storage/v1/object/public/old_media/0cec8ecf.Path.082423.jpg" TargetMode="External"/><Relationship Id="rId828" Type="http://schemas.openxmlformats.org/officeDocument/2006/relationships/hyperlink" Target="https://ryycrdhlkmzpxwwwwupy.supabase.co/storage/v1/object/public/old_media/c5b27ff0.Path.082406.jpg" TargetMode="External"/><Relationship Id="rId827" Type="http://schemas.openxmlformats.org/officeDocument/2006/relationships/hyperlink" Target="https://ryycrdhlkmzpxwwwwupy.supabase.co/storage/v1/object/public/old_media/69808acb.Path.082347.jpg" TargetMode="External"/><Relationship Id="rId822" Type="http://schemas.openxmlformats.org/officeDocument/2006/relationships/hyperlink" Target="https://ryycrdhlkmzpxwwwwupy.supabase.co/storage/v1/object/public/old_media/c5b5d681.Path.050734.jpg" TargetMode="External"/><Relationship Id="rId821" Type="http://schemas.openxmlformats.org/officeDocument/2006/relationships/hyperlink" Target="https://ryycrdhlkmzpxwwwwupy.supabase.co/storage/v1/object/public/old_media/5587a2a5.Path.044225.jpg" TargetMode="External"/><Relationship Id="rId820" Type="http://schemas.openxmlformats.org/officeDocument/2006/relationships/hyperlink" Target="https://ryycrdhlkmzpxwwwwupy.supabase.co/storage/v1/object/public/old_media/0bf84470.Path.044202.jpg" TargetMode="External"/><Relationship Id="rId826" Type="http://schemas.openxmlformats.org/officeDocument/2006/relationships/hyperlink" Target="https://ryycrdhlkmzpxwwwwupy.supabase.co/storage/v1/object/public/old_media/4e272b54.Path.073936.jpg" TargetMode="External"/><Relationship Id="rId825" Type="http://schemas.openxmlformats.org/officeDocument/2006/relationships/hyperlink" Target="https://ryycrdhlkmzpxwwwwupy.supabase.co/storage/v1/object/public/old_media/b8b75bf4.Path.072813.png" TargetMode="External"/><Relationship Id="rId824" Type="http://schemas.openxmlformats.org/officeDocument/2006/relationships/hyperlink" Target="https://ryycrdhlkmzpxwwwwupy.supabase.co/storage/v1/object/public/old_media/e4cb8a66.Path.061141.jpg" TargetMode="External"/><Relationship Id="rId823" Type="http://schemas.openxmlformats.org/officeDocument/2006/relationships/hyperlink" Target="https://ryycrdhlkmzpxwwwwupy.supabase.co/storage/v1/object/public/old_media/173413d0.Path.061134.jpg" TargetMode="External"/><Relationship Id="rId2980" Type="http://schemas.openxmlformats.org/officeDocument/2006/relationships/hyperlink" Target="https://ryycrdhlkmzpxwwwwupy.supabase.co/storage/v1/object/public/old_media/c5283edf.Path.051807.jpg" TargetMode="External"/><Relationship Id="rId1650" Type="http://schemas.openxmlformats.org/officeDocument/2006/relationships/hyperlink" Target="https://ryycrdhlkmzpxwwwwupy.supabase.co/storage/v1/object/public/old_media/aecf6c20.Path.110159.png" TargetMode="External"/><Relationship Id="rId2981" Type="http://schemas.openxmlformats.org/officeDocument/2006/relationships/hyperlink" Target="https://ryycrdhlkmzpxwwwwupy.supabase.co/storage/v1/object/public/old_media/3fec0c45.Path.053756.jpg" TargetMode="External"/><Relationship Id="rId1651" Type="http://schemas.openxmlformats.org/officeDocument/2006/relationships/hyperlink" Target="https://ryycrdhlkmzpxwwwwupy.supabase.co/storage/v1/object/public/old_media/49fd8319.Path.110248.png" TargetMode="External"/><Relationship Id="rId2982" Type="http://schemas.openxmlformats.org/officeDocument/2006/relationships/hyperlink" Target="https://ryycrdhlkmzpxwwwwupy.supabase.co/storage/v1/object/public/old_media/5d8e6e2f.Path.055737.jpg" TargetMode="External"/><Relationship Id="rId1652" Type="http://schemas.openxmlformats.org/officeDocument/2006/relationships/hyperlink" Target="https://ryycrdhlkmzpxwwwwupy.supabase.co/storage/v1/object/public/old_media/84944e2f.Path.110323.png" TargetMode="External"/><Relationship Id="rId2983" Type="http://schemas.openxmlformats.org/officeDocument/2006/relationships/hyperlink" Target="https://ryycrdhlkmzpxwwwwupy.supabase.co/storage/v1/object/public/old_media/f677bb20.Path.055807.jpg" TargetMode="External"/><Relationship Id="rId1642" Type="http://schemas.openxmlformats.org/officeDocument/2006/relationships/hyperlink" Target="https://ryycrdhlkmzpxwwwwupy.supabase.co/storage/v1/object/public/old_media/4c878b8f.Path.105715.png" TargetMode="External"/><Relationship Id="rId2973" Type="http://schemas.openxmlformats.org/officeDocument/2006/relationships/hyperlink" Target="https://ryycrdhlkmzpxwwwwupy.supabase.co/storage/v1/object/public/old_media/d3b03299.Path.111754.jpg" TargetMode="External"/><Relationship Id="rId1643" Type="http://schemas.openxmlformats.org/officeDocument/2006/relationships/hyperlink" Target="https://ryycrdhlkmzpxwwwwupy.supabase.co/storage/v1/object/public/old_media/9a294a0a.Path.105754.png" TargetMode="External"/><Relationship Id="rId2974" Type="http://schemas.openxmlformats.org/officeDocument/2006/relationships/hyperlink" Target="https://ryycrdhlkmzpxwwwwupy.supabase.co/storage/v1/object/public/old_media/531b0f51.Path.111811.jpg" TargetMode="External"/><Relationship Id="rId1644" Type="http://schemas.openxmlformats.org/officeDocument/2006/relationships/hyperlink" Target="https://ryycrdhlkmzpxwwwwupy.supabase.co/storage/v1/object/public/old_media/d56f3b68.Path.105833.png" TargetMode="External"/><Relationship Id="rId2975" Type="http://schemas.openxmlformats.org/officeDocument/2006/relationships/hyperlink" Target="https://ryycrdhlkmzpxwwwwupy.supabase.co/storage/v1/object/public/old_media/9b5c7c91.Path.111840.jpg" TargetMode="External"/><Relationship Id="rId1645" Type="http://schemas.openxmlformats.org/officeDocument/2006/relationships/hyperlink" Target="https://ryycrdhlkmzpxwwwwupy.supabase.co/storage/v1/object/public/old_media/e310be9b.Path.105911.png" TargetMode="External"/><Relationship Id="rId2976" Type="http://schemas.openxmlformats.org/officeDocument/2006/relationships/hyperlink" Target="https://ryycrdhlkmzpxwwwwupy.supabase.co/storage/v1/object/public/old_media/f157af58.Path.111902.jpg" TargetMode="External"/><Relationship Id="rId1646" Type="http://schemas.openxmlformats.org/officeDocument/2006/relationships/hyperlink" Target="https://ryycrdhlkmzpxwwwwupy.supabase.co/storage/v1/object/public/old_media/c1195e33.Path.105948.png" TargetMode="External"/><Relationship Id="rId2977" Type="http://schemas.openxmlformats.org/officeDocument/2006/relationships/hyperlink" Target="https://ryycrdhlkmzpxwwwwupy.supabase.co/storage/v1/object/public/old_media/e2d97f05.Path.111918.jpg" TargetMode="External"/><Relationship Id="rId1647" Type="http://schemas.openxmlformats.org/officeDocument/2006/relationships/hyperlink" Target="https://ryycrdhlkmzpxwwwwupy.supabase.co/storage/v1/object/public/old_media/cc3484a1.Path.110027.png" TargetMode="External"/><Relationship Id="rId2978" Type="http://schemas.openxmlformats.org/officeDocument/2006/relationships/hyperlink" Target="https://ryycrdhlkmzpxwwwwupy.supabase.co/storage/v1/object/public/old_media/e6a7628c.Path.051733.jpg" TargetMode="External"/><Relationship Id="rId1648" Type="http://schemas.openxmlformats.org/officeDocument/2006/relationships/hyperlink" Target="https://ryycrdhlkmzpxwwwwupy.supabase.co/storage/v1/object/public/old_media/6833a924.Path.110100.png" TargetMode="External"/><Relationship Id="rId2979" Type="http://schemas.openxmlformats.org/officeDocument/2006/relationships/hyperlink" Target="https://ryycrdhlkmzpxwwwwupy.supabase.co/storage/v1/object/public/old_media/24a6008a.Path.051758.jpg" TargetMode="External"/><Relationship Id="rId1649" Type="http://schemas.openxmlformats.org/officeDocument/2006/relationships/hyperlink" Target="https://ryycrdhlkmzpxwwwwupy.supabase.co/storage/v1/object/public/old_media/f1141807.Path.110131.png" TargetMode="External"/><Relationship Id="rId819" Type="http://schemas.openxmlformats.org/officeDocument/2006/relationships/hyperlink" Target="https://ryycrdhlkmzpxwwwwupy.supabase.co/storage/v1/object/public/old_media/6a112e39.Path.044106.jpg" TargetMode="External"/><Relationship Id="rId818" Type="http://schemas.openxmlformats.org/officeDocument/2006/relationships/hyperlink" Target="https://ryycrdhlkmzpxwwwwupy.supabase.co/storage/v1/object/public/old_media/9d3a3d34.Path.103827.avif" TargetMode="External"/><Relationship Id="rId817" Type="http://schemas.openxmlformats.org/officeDocument/2006/relationships/hyperlink" Target="https://ryycrdhlkmzpxwwwwupy.supabase.co/storage/v1/object/public/old_media/210b5741.Path.103740.avif" TargetMode="External"/><Relationship Id="rId816" Type="http://schemas.openxmlformats.org/officeDocument/2006/relationships/hyperlink" Target="https://ryycrdhlkmzpxwwwwupy.supabase.co/storage/v1/object/public/old_media/f2c23408.Path.103644.avif" TargetMode="External"/><Relationship Id="rId811" Type="http://schemas.openxmlformats.org/officeDocument/2006/relationships/hyperlink" Target="https://ryycrdhlkmzpxwwwwupy.supabase.co/storage/v1/object/public/old_media/b5323d4f.Path.095405.jpg" TargetMode="External"/><Relationship Id="rId810" Type="http://schemas.openxmlformats.org/officeDocument/2006/relationships/hyperlink" Target="https://ryycrdhlkmzpxwwwwupy.supabase.co/storage/v1/object/public/old_media/7e2af9c6.Path.095238.jpg" TargetMode="External"/><Relationship Id="rId815" Type="http://schemas.openxmlformats.org/officeDocument/2006/relationships/hyperlink" Target="https://ryycrdhlkmzpxwwwwupy.supabase.co/storage/v1/object/public/old_media/3d293abc.Path.101742.jpg" TargetMode="External"/><Relationship Id="rId814" Type="http://schemas.openxmlformats.org/officeDocument/2006/relationships/hyperlink" Target="https://ryycrdhlkmzpxwwwwupy.supabase.co/storage/v1/object/public/old_media/4a4c3b2b.Path.101152.jpg" TargetMode="External"/><Relationship Id="rId813" Type="http://schemas.openxmlformats.org/officeDocument/2006/relationships/hyperlink" Target="https://ryycrdhlkmzpxwwwwupy.supabase.co/storage/v1/object/public/old_media/353cfdbf.Path.095514.jpg" TargetMode="External"/><Relationship Id="rId812" Type="http://schemas.openxmlformats.org/officeDocument/2006/relationships/hyperlink" Target="https://ryycrdhlkmzpxwwwwupy.supabase.co/storage/v1/object/public/old_media/c7e5d056.Path.095439.jpg" TargetMode="External"/><Relationship Id="rId2970" Type="http://schemas.openxmlformats.org/officeDocument/2006/relationships/hyperlink" Target="https://ryycrdhlkmzpxwwwwupy.supabase.co/storage/v1/object/public/old_media/3ef7b824.Path.105101.jpg" TargetMode="External"/><Relationship Id="rId1640" Type="http://schemas.openxmlformats.org/officeDocument/2006/relationships/hyperlink" Target="https://ryycrdhlkmzpxwwwwupy.supabase.co/storage/v1/object/public/old_media/df3fbdea.Path.105552.png" TargetMode="External"/><Relationship Id="rId2971" Type="http://schemas.openxmlformats.org/officeDocument/2006/relationships/hyperlink" Target="https://ryycrdhlkmzpxwwwwupy.supabase.co/storage/v1/object/public/old_media/79b5db4c.Path.105117.jpg" TargetMode="External"/><Relationship Id="rId1641" Type="http://schemas.openxmlformats.org/officeDocument/2006/relationships/hyperlink" Target="https://ryycrdhlkmzpxwwwwupy.supabase.co/storage/v1/object/public/old_media/92dc69db.Path.105632.png" TargetMode="External"/><Relationship Id="rId2972" Type="http://schemas.openxmlformats.org/officeDocument/2006/relationships/hyperlink" Target="https://ryycrdhlkmzpxwwwwupy.supabase.co/storage/v1/object/public/old_media/438fd088.Path.115001.jpg" TargetMode="External"/><Relationship Id="rId1675" Type="http://schemas.openxmlformats.org/officeDocument/2006/relationships/hyperlink" Target="https://ryycrdhlkmzpxwwwwupy.supabase.co/storage/v1/object/public/old_media/8b23c837.Path.074032.jpg" TargetMode="External"/><Relationship Id="rId4701" Type="http://schemas.openxmlformats.org/officeDocument/2006/relationships/hyperlink" Target="https://ryycrdhlkmzpxwwwwupy.supabase.co/storage/v1/object/public/old_media/7049c431.Path.045854.jpg" TargetMode="External"/><Relationship Id="rId1676" Type="http://schemas.openxmlformats.org/officeDocument/2006/relationships/hyperlink" Target="https://ryycrdhlkmzpxwwwwupy.supabase.co/storage/v1/object/public/old_media/6e215d36.Path.071315.webp" TargetMode="External"/><Relationship Id="rId4700" Type="http://schemas.openxmlformats.org/officeDocument/2006/relationships/hyperlink" Target="https://ryycrdhlkmzpxwwwwupy.supabase.co/storage/v1/object/public/old_media/0bc3f5a0.Path.045818.jpg" TargetMode="External"/><Relationship Id="rId1677" Type="http://schemas.openxmlformats.org/officeDocument/2006/relationships/hyperlink" Target="https://ryycrdhlkmzpxwwwwupy.supabase.co/storage/v1/object/public/old_media/304afc85.Path.071331.webp" TargetMode="External"/><Relationship Id="rId4703" Type="http://schemas.openxmlformats.org/officeDocument/2006/relationships/hyperlink" Target="https://ryycrdhlkmzpxwwwwupy.supabase.co/storage/v1/object/public/old_media/9e4a4fab.Path.050109.jpg" TargetMode="External"/><Relationship Id="rId1678" Type="http://schemas.openxmlformats.org/officeDocument/2006/relationships/hyperlink" Target="https://ryycrdhlkmzpxwwwwupy.supabase.co/storage/v1/object/public/old_media/dcc3aa66.Path.071342.webp" TargetMode="External"/><Relationship Id="rId4702" Type="http://schemas.openxmlformats.org/officeDocument/2006/relationships/hyperlink" Target="https://ryycrdhlkmzpxwwwwupy.supabase.co/storage/v1/object/public/old_media/d22ffac8.Path.050032.png" TargetMode="External"/><Relationship Id="rId1679" Type="http://schemas.openxmlformats.org/officeDocument/2006/relationships/hyperlink" Target="https://ryycrdhlkmzpxwwwwupy.supabase.co/storage/v1/object/public/old_media/72569edc.Path.071352.jpg" TargetMode="External"/><Relationship Id="rId4705" Type="http://schemas.openxmlformats.org/officeDocument/2006/relationships/hyperlink" Target="https://ryycrdhlkmzpxwwwwupy.supabase.co/storage/v1/object/public/old_media/73d6f486.Path.075151.jpg" TargetMode="External"/><Relationship Id="rId4704" Type="http://schemas.openxmlformats.org/officeDocument/2006/relationships/hyperlink" Target="https://ryycrdhlkmzpxwwwwupy.supabase.co/storage/v1/object/public/old_media/d5168a0c.Path.074643.jpg" TargetMode="External"/><Relationship Id="rId4707" Type="http://schemas.openxmlformats.org/officeDocument/2006/relationships/hyperlink" Target="https://ryycrdhlkmzpxwwwwupy.supabase.co/storage/v1/object/public/old_media/eea19ba3.Path.075304.jpg" TargetMode="External"/><Relationship Id="rId4706" Type="http://schemas.openxmlformats.org/officeDocument/2006/relationships/hyperlink" Target="https://ryycrdhlkmzpxwwwwupy.supabase.co/storage/v1/object/public/old_media/b22edb7e.Path.075228.jpg" TargetMode="External"/><Relationship Id="rId4709" Type="http://schemas.openxmlformats.org/officeDocument/2006/relationships/hyperlink" Target="https://ryycrdhlkmzpxwwwwupy.supabase.co/storage/v1/object/public/old_media/08afca07.Path.093718.jpg" TargetMode="External"/><Relationship Id="rId4708" Type="http://schemas.openxmlformats.org/officeDocument/2006/relationships/hyperlink" Target="https://ryycrdhlkmzpxwwwwupy.supabase.co/storage/v1/object/public/old_media/d60ba327.Path.075718.jpg" TargetMode="External"/><Relationship Id="rId849" Type="http://schemas.openxmlformats.org/officeDocument/2006/relationships/hyperlink" Target="https://ryycrdhlkmzpxwwwwupy.supabase.co/storage/v1/object/public/old_media/85c16aa0.Path.060554.jpg" TargetMode="External"/><Relationship Id="rId844" Type="http://schemas.openxmlformats.org/officeDocument/2006/relationships/hyperlink" Target="https://ryycrdhlkmzpxwwwwupy.supabase.co/storage/v1/object/public/old_media/d83ecd7b.Path.045902.png" TargetMode="External"/><Relationship Id="rId843" Type="http://schemas.openxmlformats.org/officeDocument/2006/relationships/hyperlink" Target="https://ryycrdhlkmzpxwwwwupy.supabase.co/storage/v1/object/public/old_media/68d4a8ec.Path.045839.png" TargetMode="External"/><Relationship Id="rId842" Type="http://schemas.openxmlformats.org/officeDocument/2006/relationships/hyperlink" Target="https://ryycrdhlkmzpxwwwwupy.supabase.co/storage/v1/object/public/old_media/912b21d2.Path.045831.png" TargetMode="External"/><Relationship Id="rId841" Type="http://schemas.openxmlformats.org/officeDocument/2006/relationships/hyperlink" Target="https://ryycrdhlkmzpxwwwwupy.supabase.co/storage/v1/object/public/old_media/e6f2455f.Path.045813.png" TargetMode="External"/><Relationship Id="rId848" Type="http://schemas.openxmlformats.org/officeDocument/2006/relationships/hyperlink" Target="https://ryycrdhlkmzpxwwwwupy.supabase.co/storage/v1/object/public/old_media/579b162c.Path.060545.jpg" TargetMode="External"/><Relationship Id="rId847" Type="http://schemas.openxmlformats.org/officeDocument/2006/relationships/hyperlink" Target="https://ryycrdhlkmzpxwwwwupy.supabase.co/storage/v1/object/public/old_media/07515d5c.Path.060527.jpg" TargetMode="External"/><Relationship Id="rId846" Type="http://schemas.openxmlformats.org/officeDocument/2006/relationships/hyperlink" Target="https://ryycrdhlkmzpxwwwwupy.supabase.co/storage/v1/object/public/old_media/ae94b337.Path.054949.jpg" TargetMode="External"/><Relationship Id="rId845" Type="http://schemas.openxmlformats.org/officeDocument/2006/relationships/hyperlink" Target="https://ryycrdhlkmzpxwwwwupy.supabase.co/storage/v1/object/public/old_media/9a587bb9.Path.054929.jpg" TargetMode="External"/><Relationship Id="rId1670" Type="http://schemas.openxmlformats.org/officeDocument/2006/relationships/hyperlink" Target="https://ryycrdhlkmzpxwwwwupy.supabase.co/storage/v1/object/public/old_media/ff27151e.Path.043952.jpg" TargetMode="External"/><Relationship Id="rId840" Type="http://schemas.openxmlformats.org/officeDocument/2006/relationships/hyperlink" Target="https://ryycrdhlkmzpxwwwwupy.supabase.co/storage/v1/object/public/old_media/db6b665b.Path.045805.png" TargetMode="External"/><Relationship Id="rId1671" Type="http://schemas.openxmlformats.org/officeDocument/2006/relationships/hyperlink" Target="https://ryycrdhlkmzpxwwwwupy.supabase.co/storage/v1/object/public/old_media/46d7a7c2.Path.044052.jpg" TargetMode="External"/><Relationship Id="rId1672" Type="http://schemas.openxmlformats.org/officeDocument/2006/relationships/hyperlink" Target="https://ryycrdhlkmzpxwwwwupy.supabase.co/storage/v1/object/public/old_media/23c8183d.Path.044120.jpg" TargetMode="External"/><Relationship Id="rId1673" Type="http://schemas.openxmlformats.org/officeDocument/2006/relationships/hyperlink" Target="https://ryycrdhlkmzpxwwwwupy.supabase.co/storage/v1/object/public/old_media/f1b6bcb9.Path.073954.jpg" TargetMode="External"/><Relationship Id="rId1674" Type="http://schemas.openxmlformats.org/officeDocument/2006/relationships/hyperlink" Target="https://ryycrdhlkmzpxwwwwupy.supabase.co/storage/v1/object/public/old_media/16fa6c51.Path.074017.jpg" TargetMode="External"/><Relationship Id="rId1664" Type="http://schemas.openxmlformats.org/officeDocument/2006/relationships/hyperlink" Target="https://ryycrdhlkmzpxwwwwupy.supabase.co/storage/v1/object/public/old_media/6e33ec46.Path.043714.jpg" TargetMode="External"/><Relationship Id="rId2995" Type="http://schemas.openxmlformats.org/officeDocument/2006/relationships/hyperlink" Target="https://ryycrdhlkmzpxwwwwupy.supabase.co/storage/v1/object/public/old_media/0875f213.Path.062156.jpg" TargetMode="External"/><Relationship Id="rId1665" Type="http://schemas.openxmlformats.org/officeDocument/2006/relationships/hyperlink" Target="https://ryycrdhlkmzpxwwwwupy.supabase.co/storage/v1/object/public/old_media/e7432b22.Path.043747.jpg" TargetMode="External"/><Relationship Id="rId2996" Type="http://schemas.openxmlformats.org/officeDocument/2006/relationships/hyperlink" Target="https://ryycrdhlkmzpxwwwwupy.supabase.co/storage/v1/object/public/old_media/8321481d.Path.062405.jpg" TargetMode="External"/><Relationship Id="rId1666" Type="http://schemas.openxmlformats.org/officeDocument/2006/relationships/hyperlink" Target="https://ryycrdhlkmzpxwwwwupy.supabase.co/storage/v1/object/public/old_media/d80e15e0.Path.043811.jpg" TargetMode="External"/><Relationship Id="rId2997" Type="http://schemas.openxmlformats.org/officeDocument/2006/relationships/hyperlink" Target="https://ryycrdhlkmzpxwwwwupy.supabase.co/storage/v1/object/public/old_media/312a9399.Path.062414.jpg" TargetMode="External"/><Relationship Id="rId1667" Type="http://schemas.openxmlformats.org/officeDocument/2006/relationships/hyperlink" Target="https://ryycrdhlkmzpxwwwwupy.supabase.co/storage/v1/object/public/old_media/d12d955a.Path.043840.jpg" TargetMode="External"/><Relationship Id="rId2998" Type="http://schemas.openxmlformats.org/officeDocument/2006/relationships/hyperlink" Target="https://ryycrdhlkmzpxwwwwupy.supabase.co/storage/v1/object/public/old_media/bea17c8f.Path.062424.jpg" TargetMode="External"/><Relationship Id="rId1668" Type="http://schemas.openxmlformats.org/officeDocument/2006/relationships/hyperlink" Target="https://ryycrdhlkmzpxwwwwupy.supabase.co/storage/v1/object/public/old_media/bf67bb8e.Path.043901.jpg" TargetMode="External"/><Relationship Id="rId2999" Type="http://schemas.openxmlformats.org/officeDocument/2006/relationships/hyperlink" Target="https://ryycrdhlkmzpxwwwwupy.supabase.co/storage/v1/object/public/old_media/1bb36f17.Path.062437.jpg" TargetMode="External"/><Relationship Id="rId1669" Type="http://schemas.openxmlformats.org/officeDocument/2006/relationships/hyperlink" Target="https://ryycrdhlkmzpxwwwwupy.supabase.co/storage/v1/object/public/old_media/2000ca13.Path.043923.jpg" TargetMode="External"/><Relationship Id="rId839" Type="http://schemas.openxmlformats.org/officeDocument/2006/relationships/hyperlink" Target="https://ryycrdhlkmzpxwwwwupy.supabase.co/storage/v1/object/public/old_media/ec0ec065.Path.055946.jpg" TargetMode="External"/><Relationship Id="rId838" Type="http://schemas.openxmlformats.org/officeDocument/2006/relationships/hyperlink" Target="https://ryycrdhlkmzpxwwwwupy.supabase.co/storage/v1/object/public/old_media/3774c628.Path.054122.jpg" TargetMode="External"/><Relationship Id="rId833" Type="http://schemas.openxmlformats.org/officeDocument/2006/relationships/hyperlink" Target="https://ryycrdhlkmzpxwwwwupy.supabase.co/storage/v1/object/public/old_media/de8dc0a2.Path.053718.jpg" TargetMode="External"/><Relationship Id="rId832" Type="http://schemas.openxmlformats.org/officeDocument/2006/relationships/hyperlink" Target="https://ryycrdhlkmzpxwwwwupy.supabase.co/storage/v1/object/public/old_media/23c79f34.Path.053609.jpg" TargetMode="External"/><Relationship Id="rId831" Type="http://schemas.openxmlformats.org/officeDocument/2006/relationships/hyperlink" Target="https://ryycrdhlkmzpxwwwwupy.supabase.co/storage/v1/object/public/old_media/f05a19af.Path.103859.jpg" TargetMode="External"/><Relationship Id="rId830" Type="http://schemas.openxmlformats.org/officeDocument/2006/relationships/hyperlink" Target="https://ryycrdhlkmzpxwwwwupy.supabase.co/storage/v1/object/public/old_media/7891e40e.Path.082440.jpg" TargetMode="External"/><Relationship Id="rId837" Type="http://schemas.openxmlformats.org/officeDocument/2006/relationships/hyperlink" Target="https://ryycrdhlkmzpxwwwwupy.supabase.co/storage/v1/object/public/old_media/a17fae6d.Path.054045.jpg" TargetMode="External"/><Relationship Id="rId836" Type="http://schemas.openxmlformats.org/officeDocument/2006/relationships/hyperlink" Target="https://ryycrdhlkmzpxwwwwupy.supabase.co/storage/v1/object/public/old_media/f8ebe9a7.Path.054006.jpg" TargetMode="External"/><Relationship Id="rId835" Type="http://schemas.openxmlformats.org/officeDocument/2006/relationships/hyperlink" Target="https://ryycrdhlkmzpxwwwwupy.supabase.co/storage/v1/object/public/old_media/def0d2b3.Path.053903.jpg" TargetMode="External"/><Relationship Id="rId834" Type="http://schemas.openxmlformats.org/officeDocument/2006/relationships/hyperlink" Target="https://ryycrdhlkmzpxwwwwupy.supabase.co/storage/v1/object/public/old_media/9e70be63.Path.053752.jpg" TargetMode="External"/><Relationship Id="rId2990" Type="http://schemas.openxmlformats.org/officeDocument/2006/relationships/hyperlink" Target="https://ryycrdhlkmzpxwwwwupy.supabase.co/storage/v1/object/public/old_media/92b83d51.Path.061823.jpg" TargetMode="External"/><Relationship Id="rId1660" Type="http://schemas.openxmlformats.org/officeDocument/2006/relationships/hyperlink" Target="https://ryycrdhlkmzpxwwwwupy.supabase.co/storage/v1/object/public/old_media/2f4b3a09.Path.074458.webp" TargetMode="External"/><Relationship Id="rId2991" Type="http://schemas.openxmlformats.org/officeDocument/2006/relationships/hyperlink" Target="https://ryycrdhlkmzpxwwwwupy.supabase.co/storage/v1/object/public/old_media/db39cc2d.Path.061848.jpg" TargetMode="External"/><Relationship Id="rId1661" Type="http://schemas.openxmlformats.org/officeDocument/2006/relationships/hyperlink" Target="https://ryycrdhlkmzpxwwwwupy.supabase.co/storage/v1/object/public/old_media/4c80ac2d.Path.074509.webp" TargetMode="External"/><Relationship Id="rId2992" Type="http://schemas.openxmlformats.org/officeDocument/2006/relationships/hyperlink" Target="https://ryycrdhlkmzpxwwwwupy.supabase.co/storage/v1/object/public/old_media/e0339c23.Path.062037.jpg" TargetMode="External"/><Relationship Id="rId1662" Type="http://schemas.openxmlformats.org/officeDocument/2006/relationships/hyperlink" Target="https://ryycrdhlkmzpxwwwwupy.supabase.co/storage/v1/object/public/old_media/dfa4075a.Path.055030.webp" TargetMode="External"/><Relationship Id="rId2993" Type="http://schemas.openxmlformats.org/officeDocument/2006/relationships/hyperlink" Target="https://ryycrdhlkmzpxwwwwupy.supabase.co/storage/v1/object/public/old_media/8fc6c158.Path.062058.jpg" TargetMode="External"/><Relationship Id="rId1663" Type="http://schemas.openxmlformats.org/officeDocument/2006/relationships/hyperlink" Target="https://ryycrdhlkmzpxwwwwupy.supabase.co/storage/v1/object/public/old_media/d7c9b644.Path.055041.webp" TargetMode="External"/><Relationship Id="rId2994" Type="http://schemas.openxmlformats.org/officeDocument/2006/relationships/hyperlink" Target="https://ryycrdhlkmzpxwwwwupy.supabase.co/storage/v1/object/public/old_media/7a6267d5.Path.062135.jpg" TargetMode="External"/><Relationship Id="rId2148" Type="http://schemas.openxmlformats.org/officeDocument/2006/relationships/hyperlink" Target="https://ryycrdhlkmzpxwwwwupy.supabase.co/storage/v1/object/public/old_media/c17bc100.Path.035517.png" TargetMode="External"/><Relationship Id="rId2149" Type="http://schemas.openxmlformats.org/officeDocument/2006/relationships/hyperlink" Target="https://ryycrdhlkmzpxwwwwupy.supabase.co/storage/v1/object/public/old_media/6da76d52.Path.035530.png" TargetMode="External"/><Relationship Id="rId3479" Type="http://schemas.openxmlformats.org/officeDocument/2006/relationships/hyperlink" Target="https://ryycrdhlkmzpxwwwwupy.supabase.co/storage/v1/object/public/old_media/d37d486e.Path.050443.jpg" TargetMode="External"/><Relationship Id="rId3470" Type="http://schemas.openxmlformats.org/officeDocument/2006/relationships/hyperlink" Target="https://ryycrdhlkmzpxwwwwupy.supabase.co/storage/v1/object/public/old_media/6d7fa594.Path.090832.jpg" TargetMode="External"/><Relationship Id="rId2140" Type="http://schemas.openxmlformats.org/officeDocument/2006/relationships/hyperlink" Target="https://ryycrdhlkmzpxwwwwupy.supabase.co/storage/v1/object/public/old_media/d4d9e517.Path.102657.jpg" TargetMode="External"/><Relationship Id="rId3472" Type="http://schemas.openxmlformats.org/officeDocument/2006/relationships/hyperlink" Target="https://ryycrdhlkmzpxwwwwupy.supabase.co/storage/v1/object/public/old_media/6beb23b9.Path.090934.jpg" TargetMode="External"/><Relationship Id="rId2141" Type="http://schemas.openxmlformats.org/officeDocument/2006/relationships/hyperlink" Target="https://ryycrdhlkmzpxwwwwupy.supabase.co/storage/v1/object/public/old_media/4696ac0e.Path.065206.jpg" TargetMode="External"/><Relationship Id="rId3471" Type="http://schemas.openxmlformats.org/officeDocument/2006/relationships/hyperlink" Target="https://ryycrdhlkmzpxwwwwupy.supabase.co/storage/v1/object/public/old_media/480c6d0d.Path.090902.jpg" TargetMode="External"/><Relationship Id="rId2142" Type="http://schemas.openxmlformats.org/officeDocument/2006/relationships/hyperlink" Target="https://ryycrdhlkmzpxwwwwupy.supabase.co/storage/v1/object/public/old_media/680ab0ee.Path.065222.jpg" TargetMode="External"/><Relationship Id="rId3474" Type="http://schemas.openxmlformats.org/officeDocument/2006/relationships/hyperlink" Target="https://ryycrdhlkmzpxwwwwupy.supabase.co/storage/v1/object/public/old_media/6684ca56.Path.045044.jpg" TargetMode="External"/><Relationship Id="rId2143" Type="http://schemas.openxmlformats.org/officeDocument/2006/relationships/hyperlink" Target="https://ryycrdhlkmzpxwwwwupy.supabase.co/storage/v1/object/public/old_media/0fa401a1.Path.065243.jpg" TargetMode="External"/><Relationship Id="rId3473" Type="http://schemas.openxmlformats.org/officeDocument/2006/relationships/hyperlink" Target="https://ryycrdhlkmzpxwwwwupy.supabase.co/storage/v1/object/public/old_media/db09fd0c.Path.091006.jpg" TargetMode="External"/><Relationship Id="rId2144" Type="http://schemas.openxmlformats.org/officeDocument/2006/relationships/hyperlink" Target="https://ryycrdhlkmzpxwwwwupy.supabase.co/storage/v1/object/public/old_media/b1befda0.Path.065255.jpg" TargetMode="External"/><Relationship Id="rId3476" Type="http://schemas.openxmlformats.org/officeDocument/2006/relationships/hyperlink" Target="https://ryycrdhlkmzpxwwwwupy.supabase.co/storage/v1/object/public/old_media/d9657fd6.Path.045148.jpg" TargetMode="External"/><Relationship Id="rId2145" Type="http://schemas.openxmlformats.org/officeDocument/2006/relationships/hyperlink" Target="https://ryycrdhlkmzpxwwwwupy.supabase.co/storage/v1/object/public/old_media/42e52ee3.Path.065501.jpg" TargetMode="External"/><Relationship Id="rId3475" Type="http://schemas.openxmlformats.org/officeDocument/2006/relationships/hyperlink" Target="https://ryycrdhlkmzpxwwwwupy.supabase.co/storage/v1/object/public/old_media/d7733211.Path.045117.jpg" TargetMode="External"/><Relationship Id="rId2146" Type="http://schemas.openxmlformats.org/officeDocument/2006/relationships/hyperlink" Target="https://ryycrdhlkmzpxwwwwupy.supabase.co/storage/v1/object/public/old_media/7b811426.Path.070328.jpg" TargetMode="External"/><Relationship Id="rId3478" Type="http://schemas.openxmlformats.org/officeDocument/2006/relationships/hyperlink" Target="https://ryycrdhlkmzpxwwwwupy.supabase.co/storage/v1/object/public/old_media/e936ee75.Path.045239.jpg" TargetMode="External"/><Relationship Id="rId2147" Type="http://schemas.openxmlformats.org/officeDocument/2006/relationships/hyperlink" Target="https://ryycrdhlkmzpxwwwwupy.supabase.co/storage/v1/object/public/old_media/f022036e.Path.070534.jpg" TargetMode="External"/><Relationship Id="rId3477" Type="http://schemas.openxmlformats.org/officeDocument/2006/relationships/hyperlink" Target="https://ryycrdhlkmzpxwwwwupy.supabase.co/storage/v1/object/public/old_media/13f45e3b.Path.045213.jpg" TargetMode="External"/><Relationship Id="rId2137" Type="http://schemas.openxmlformats.org/officeDocument/2006/relationships/hyperlink" Target="https://ryycrdhlkmzpxwwwwupy.supabase.co/storage/v1/object/public/old_media/3518aa47.Path.095810.jpg" TargetMode="External"/><Relationship Id="rId3469" Type="http://schemas.openxmlformats.org/officeDocument/2006/relationships/hyperlink" Target="https://ryycrdhlkmzpxwwwwupy.supabase.co/storage/v1/object/public/old_media/3529a56b.Path.112740.png" TargetMode="External"/><Relationship Id="rId2138" Type="http://schemas.openxmlformats.org/officeDocument/2006/relationships/hyperlink" Target="https://ryycrdhlkmzpxwwwwupy.supabase.co/storage/v1/object/public/old_media/f8b7fdfb.Path.095830.jpg" TargetMode="External"/><Relationship Id="rId3468" Type="http://schemas.openxmlformats.org/officeDocument/2006/relationships/hyperlink" Target="https://ryycrdhlkmzpxwwwwupy.supabase.co/storage/v1/object/public/old_media/9c33062b.Path.112400.jpg" TargetMode="External"/><Relationship Id="rId4799" Type="http://schemas.openxmlformats.org/officeDocument/2006/relationships/hyperlink" Target="https://ryycrdhlkmzpxwwwwupy.supabase.co/storage/v1/object/public/old_media/782dc0bf.Path.065921.jpg" TargetMode="External"/><Relationship Id="rId2139" Type="http://schemas.openxmlformats.org/officeDocument/2006/relationships/hyperlink" Target="https://ryycrdhlkmzpxwwwwupy.supabase.co/storage/v1/object/public/old_media/d12d18a2.Path.102631.jpg" TargetMode="External"/><Relationship Id="rId4790" Type="http://schemas.openxmlformats.org/officeDocument/2006/relationships/hyperlink" Target="https://ryycrdhlkmzpxwwwwupy.supabase.co/storage/v1/object/public/old_media/120b3f3b.Path.042400.jpg" TargetMode="External"/><Relationship Id="rId3461" Type="http://schemas.openxmlformats.org/officeDocument/2006/relationships/hyperlink" Target="https://ryycrdhlkmzpxwwwwupy.supabase.co/storage/v1/object/public/old_media/7c029b96.Path.065311.webp" TargetMode="External"/><Relationship Id="rId4792" Type="http://schemas.openxmlformats.org/officeDocument/2006/relationships/hyperlink" Target="https://ryycrdhlkmzpxwwwwupy.supabase.co/storage/v1/object/public/old_media/bb6f1299.Path.042512.jpg" TargetMode="External"/><Relationship Id="rId2130" Type="http://schemas.openxmlformats.org/officeDocument/2006/relationships/hyperlink" Target="https://ryycrdhlkmzpxwwwwupy.supabase.co/storage/v1/object/public/old_media/57dd8c9c.Path.062443.jpg" TargetMode="External"/><Relationship Id="rId3460" Type="http://schemas.openxmlformats.org/officeDocument/2006/relationships/hyperlink" Target="https://ryycrdhlkmzpxwwwwupy.supabase.co/storage/v1/object/public/old_media/11276fd7.Path.065242.jpg" TargetMode="External"/><Relationship Id="rId4791" Type="http://schemas.openxmlformats.org/officeDocument/2006/relationships/hyperlink" Target="https://ryycrdhlkmzpxwwwwupy.supabase.co/storage/v1/object/public/old_media/2e3136ea.Path.042433.jpg" TargetMode="External"/><Relationship Id="rId2131" Type="http://schemas.openxmlformats.org/officeDocument/2006/relationships/hyperlink" Target="https://ryycrdhlkmzpxwwwwupy.supabase.co/storage/v1/object/public/old_media/88d0e487.Path.062454.jpg" TargetMode="External"/><Relationship Id="rId3463" Type="http://schemas.openxmlformats.org/officeDocument/2006/relationships/hyperlink" Target="https://ryycrdhlkmzpxwwwwupy.supabase.co/storage/v1/object/public/old_media/5f3cda21.Path.065415.webp" TargetMode="External"/><Relationship Id="rId4794" Type="http://schemas.openxmlformats.org/officeDocument/2006/relationships/hyperlink" Target="https://ryycrdhlkmzpxwwwwupy.supabase.co/storage/v1/object/public/old_media/81e3cb09.Path.043110.jpg" TargetMode="External"/><Relationship Id="rId2132" Type="http://schemas.openxmlformats.org/officeDocument/2006/relationships/hyperlink" Target="https://ryycrdhlkmzpxwwwwupy.supabase.co/storage/v1/object/public/old_media/4fc08875.Path.062514.jpg" TargetMode="External"/><Relationship Id="rId3462" Type="http://schemas.openxmlformats.org/officeDocument/2006/relationships/hyperlink" Target="https://ryycrdhlkmzpxwwwwupy.supabase.co/storage/v1/object/public/old_media/792cac61.Path.065340.webp" TargetMode="External"/><Relationship Id="rId4793" Type="http://schemas.openxmlformats.org/officeDocument/2006/relationships/hyperlink" Target="https://ryycrdhlkmzpxwwwwupy.supabase.co/storage/v1/object/public/old_media/bbb0164e.Path.042939.jpg" TargetMode="External"/><Relationship Id="rId2133" Type="http://schemas.openxmlformats.org/officeDocument/2006/relationships/hyperlink" Target="https://ryycrdhlkmzpxwwwwupy.supabase.co/storage/v1/object/public/old_media/b8c2af3b.Path.094234.jpg" TargetMode="External"/><Relationship Id="rId3465" Type="http://schemas.openxmlformats.org/officeDocument/2006/relationships/hyperlink" Target="https://ryycrdhlkmzpxwwwwupy.supabase.co/storage/v1/object/public/old_media/eb30c7c2.Path.075106.jpg" TargetMode="External"/><Relationship Id="rId4796" Type="http://schemas.openxmlformats.org/officeDocument/2006/relationships/hyperlink" Target="https://ryycrdhlkmzpxwwwwupy.supabase.co/storage/v1/object/public/old_media/b0a31543.Path.065747.jpg" TargetMode="External"/><Relationship Id="rId2134" Type="http://schemas.openxmlformats.org/officeDocument/2006/relationships/hyperlink" Target="https://ryycrdhlkmzpxwwwwupy.supabase.co/storage/v1/object/public/old_media/240ad3d9.Path.094255.jpg" TargetMode="External"/><Relationship Id="rId3464" Type="http://schemas.openxmlformats.org/officeDocument/2006/relationships/hyperlink" Target="https://ryycrdhlkmzpxwwwwupy.supabase.co/storage/v1/object/public/old_media/a651c3b9.Path.065504.webp" TargetMode="External"/><Relationship Id="rId4795" Type="http://schemas.openxmlformats.org/officeDocument/2006/relationships/hyperlink" Target="https://ryycrdhlkmzpxwwwwupy.supabase.co/storage/v1/object/public/old_media/14d0afbe.Path.043143.jpg" TargetMode="External"/><Relationship Id="rId2135" Type="http://schemas.openxmlformats.org/officeDocument/2006/relationships/hyperlink" Target="https://ryycrdhlkmzpxwwwwupy.supabase.co/storage/v1/object/public/old_media/8f438928.Path.094331.jpg" TargetMode="External"/><Relationship Id="rId3467" Type="http://schemas.openxmlformats.org/officeDocument/2006/relationships/hyperlink" Target="https://ryycrdhlkmzpxwwwwupy.supabase.co/storage/v1/object/public/old_media/7db3235b.Path.075211.jpg" TargetMode="External"/><Relationship Id="rId4798" Type="http://schemas.openxmlformats.org/officeDocument/2006/relationships/hyperlink" Target="https://ryycrdhlkmzpxwwwwupy.supabase.co/storage/v1/object/public/old_media/7f356a2a.Path.065848.jpg" TargetMode="External"/><Relationship Id="rId2136" Type="http://schemas.openxmlformats.org/officeDocument/2006/relationships/hyperlink" Target="https://ryycrdhlkmzpxwwwwupy.supabase.co/storage/v1/object/public/old_media/9964f239.Path.094401.jpg" TargetMode="External"/><Relationship Id="rId3466" Type="http://schemas.openxmlformats.org/officeDocument/2006/relationships/hyperlink" Target="https://ryycrdhlkmzpxwwwwupy.supabase.co/storage/v1/object/public/old_media/bb006cb6.Path.075140.jpg" TargetMode="External"/><Relationship Id="rId4797" Type="http://schemas.openxmlformats.org/officeDocument/2006/relationships/hyperlink" Target="https://ryycrdhlkmzpxwwwwupy.supabase.co/storage/v1/object/public/old_media/90903ced.Path.065818.jpg" TargetMode="External"/><Relationship Id="rId3490" Type="http://schemas.openxmlformats.org/officeDocument/2006/relationships/hyperlink" Target="https://ryycrdhlkmzpxwwwwupy.supabase.co/storage/v1/object/public/old_media/506108a4.Path.064732.jpg" TargetMode="External"/><Relationship Id="rId2160" Type="http://schemas.openxmlformats.org/officeDocument/2006/relationships/hyperlink" Target="https://ryycrdhlkmzpxwwwwupy.supabase.co/storage/v1/object/public/old_media/bf69ce79.Path.035848.png" TargetMode="External"/><Relationship Id="rId3492" Type="http://schemas.openxmlformats.org/officeDocument/2006/relationships/hyperlink" Target="https://ryycrdhlkmzpxwwwwupy.supabase.co/storage/v1/object/public/old_media/a8ea8689.Path.070709.jpg" TargetMode="External"/><Relationship Id="rId2161" Type="http://schemas.openxmlformats.org/officeDocument/2006/relationships/hyperlink" Target="https://ryycrdhlkmzpxwwwwupy.supabase.co/storage/v1/object/public/old_media/fb6bc2de.Path.035902.png" TargetMode="External"/><Relationship Id="rId3491" Type="http://schemas.openxmlformats.org/officeDocument/2006/relationships/hyperlink" Target="https://ryycrdhlkmzpxwwwwupy.supabase.co/storage/v1/object/public/old_media/b7ac0370.Path.070642.jpg" TargetMode="External"/><Relationship Id="rId2162" Type="http://schemas.openxmlformats.org/officeDocument/2006/relationships/hyperlink" Target="https://ryycrdhlkmzpxwwwwupy.supabase.co/storage/v1/object/public/old_media/655fa756.Path.035916.png" TargetMode="External"/><Relationship Id="rId3494" Type="http://schemas.openxmlformats.org/officeDocument/2006/relationships/hyperlink" Target="https://ryycrdhlkmzpxwwwwupy.supabase.co/storage/v1/object/public/old_media/b0bcf16d.Path.072817.jpg" TargetMode="External"/><Relationship Id="rId2163" Type="http://schemas.openxmlformats.org/officeDocument/2006/relationships/hyperlink" Target="https://ryycrdhlkmzpxwwwwupy.supabase.co/storage/v1/object/public/old_media/785e90f9.Path.040030.png" TargetMode="External"/><Relationship Id="rId3493" Type="http://schemas.openxmlformats.org/officeDocument/2006/relationships/hyperlink" Target="https://ryycrdhlkmzpxwwwwupy.supabase.co/storage/v1/object/public/old_media/a2d822c2.Path.070738.jpg" TargetMode="External"/><Relationship Id="rId2164" Type="http://schemas.openxmlformats.org/officeDocument/2006/relationships/hyperlink" Target="https://ryycrdhlkmzpxwwwwupy.supabase.co/storage/v1/object/public/old_media/27a1cc19.Path.040117.png" TargetMode="External"/><Relationship Id="rId3496" Type="http://schemas.openxmlformats.org/officeDocument/2006/relationships/hyperlink" Target="https://ryycrdhlkmzpxwwwwupy.supabase.co/storage/v1/object/public/old_media/7dc18947.Path.072918.jpg" TargetMode="External"/><Relationship Id="rId2165" Type="http://schemas.openxmlformats.org/officeDocument/2006/relationships/hyperlink" Target="https://ryycrdhlkmzpxwwwwupy.supabase.co/storage/v1/object/public/old_media/9db1c977.Path.050158.jpg" TargetMode="External"/><Relationship Id="rId3495" Type="http://schemas.openxmlformats.org/officeDocument/2006/relationships/hyperlink" Target="https://ryycrdhlkmzpxwwwwupy.supabase.co/storage/v1/object/public/old_media/0d6a8b93.Path.072849.jpg" TargetMode="External"/><Relationship Id="rId2166" Type="http://schemas.openxmlformats.org/officeDocument/2006/relationships/hyperlink" Target="https://ryycrdhlkmzpxwwwwupy.supabase.co/storage/v1/object/public/old_media/a3da4132.Path.050207.jpg" TargetMode="External"/><Relationship Id="rId3498" Type="http://schemas.openxmlformats.org/officeDocument/2006/relationships/hyperlink" Target="https://ryycrdhlkmzpxwwwwupy.supabase.co/storage/v1/object/public/old_media/2927524f.Path.073027.jpg" TargetMode="External"/><Relationship Id="rId2167" Type="http://schemas.openxmlformats.org/officeDocument/2006/relationships/hyperlink" Target="https://ryycrdhlkmzpxwwwwupy.supabase.co/storage/v1/object/public/old_media/14bd61ca.Path.050216.jpg" TargetMode="External"/><Relationship Id="rId3497" Type="http://schemas.openxmlformats.org/officeDocument/2006/relationships/hyperlink" Target="https://ryycrdhlkmzpxwwwwupy.supabase.co/storage/v1/object/public/old_media/5c4d3085.Path.072952.jpg" TargetMode="External"/><Relationship Id="rId2168" Type="http://schemas.openxmlformats.org/officeDocument/2006/relationships/hyperlink" Target="https://ryycrdhlkmzpxwwwwupy.supabase.co/storage/v1/object/public/old_media/3342afb2.Path.050227.jpg" TargetMode="External"/><Relationship Id="rId2169" Type="http://schemas.openxmlformats.org/officeDocument/2006/relationships/hyperlink" Target="https://ryycrdhlkmzpxwwwwupy.supabase.co/storage/v1/object/public/old_media/c20ed781.Path.062919.jpg" TargetMode="External"/><Relationship Id="rId3499" Type="http://schemas.openxmlformats.org/officeDocument/2006/relationships/hyperlink" Target="https://ryycrdhlkmzpxwwwwupy.supabase.co/storage/v1/object/public/old_media/27d8323e.Path.074832.jpg" TargetMode="External"/><Relationship Id="rId2159" Type="http://schemas.openxmlformats.org/officeDocument/2006/relationships/hyperlink" Target="https://ryycrdhlkmzpxwwwwupy.supabase.co/storage/v1/object/public/old_media/4918b716.Path.035834.png" TargetMode="External"/><Relationship Id="rId3481" Type="http://schemas.openxmlformats.org/officeDocument/2006/relationships/hyperlink" Target="https://ryycrdhlkmzpxwwwwupy.supabase.co/storage/v1/object/public/old_media/cc00a61a.Path.050536.jpg" TargetMode="External"/><Relationship Id="rId2150" Type="http://schemas.openxmlformats.org/officeDocument/2006/relationships/hyperlink" Target="https://ryycrdhlkmzpxwwwwupy.supabase.co/storage/v1/object/public/old_media/5506b2bd.Path.035546.png" TargetMode="External"/><Relationship Id="rId3480" Type="http://schemas.openxmlformats.org/officeDocument/2006/relationships/hyperlink" Target="https://ryycrdhlkmzpxwwwwupy.supabase.co/storage/v1/object/public/old_media/ca6a2ae9.Path.050510.jpg" TargetMode="External"/><Relationship Id="rId2151" Type="http://schemas.openxmlformats.org/officeDocument/2006/relationships/hyperlink" Target="https://ryycrdhlkmzpxwwwwupy.supabase.co/storage/v1/object/public/old_media/757aca21.Path.035604.png" TargetMode="External"/><Relationship Id="rId3483" Type="http://schemas.openxmlformats.org/officeDocument/2006/relationships/hyperlink" Target="https://ryycrdhlkmzpxwwwwupy.supabase.co/storage/v1/object/public/old_media/bbe4e572.Path.053655.jpg" TargetMode="External"/><Relationship Id="rId2152" Type="http://schemas.openxmlformats.org/officeDocument/2006/relationships/hyperlink" Target="https://ryycrdhlkmzpxwwwwupy.supabase.co/storage/v1/object/public/old_media/6f3aa374.Path.035623.png" TargetMode="External"/><Relationship Id="rId3482" Type="http://schemas.openxmlformats.org/officeDocument/2006/relationships/hyperlink" Target="https://ryycrdhlkmzpxwwwwupy.supabase.co/storage/v1/object/public/old_media/c2afa7c0.Path.051115.jpg" TargetMode="External"/><Relationship Id="rId2153" Type="http://schemas.openxmlformats.org/officeDocument/2006/relationships/hyperlink" Target="https://ryycrdhlkmzpxwwwwupy.supabase.co/storage/v1/object/public/old_media/2bbbd4fa.Path.035637.png" TargetMode="External"/><Relationship Id="rId3485" Type="http://schemas.openxmlformats.org/officeDocument/2006/relationships/hyperlink" Target="https://ryycrdhlkmzpxwwwwupy.supabase.co/storage/v1/object/public/old_media/19868a6a.Path.053753.jpg" TargetMode="External"/><Relationship Id="rId2154" Type="http://schemas.openxmlformats.org/officeDocument/2006/relationships/hyperlink" Target="https://ryycrdhlkmzpxwwwwupy.supabase.co/storage/v1/object/public/old_media/934eb140.Path.035650.png" TargetMode="External"/><Relationship Id="rId3484" Type="http://schemas.openxmlformats.org/officeDocument/2006/relationships/hyperlink" Target="https://ryycrdhlkmzpxwwwwupy.supabase.co/storage/v1/object/public/old_media/c8527231.Path.053727.jpg" TargetMode="External"/><Relationship Id="rId2155" Type="http://schemas.openxmlformats.org/officeDocument/2006/relationships/hyperlink" Target="https://ryycrdhlkmzpxwwwwupy.supabase.co/storage/v1/object/public/old_media/0a01b6d4.Path.035707.png" TargetMode="External"/><Relationship Id="rId3487" Type="http://schemas.openxmlformats.org/officeDocument/2006/relationships/hyperlink" Target="https://ryycrdhlkmzpxwwwwupy.supabase.co/storage/v1/object/public/old_media/85dc1a67.Path.053850.jpg" TargetMode="External"/><Relationship Id="rId2156" Type="http://schemas.openxmlformats.org/officeDocument/2006/relationships/hyperlink" Target="https://ryycrdhlkmzpxwwwwupy.supabase.co/storage/v1/object/public/old_media/aca63b2f.Path.035738.png" TargetMode="External"/><Relationship Id="rId3486" Type="http://schemas.openxmlformats.org/officeDocument/2006/relationships/hyperlink" Target="https://ryycrdhlkmzpxwwwwupy.supabase.co/storage/v1/object/public/old_media/7a86db65.Path.053821.jpg" TargetMode="External"/><Relationship Id="rId2157" Type="http://schemas.openxmlformats.org/officeDocument/2006/relationships/hyperlink" Target="https://ryycrdhlkmzpxwwwwupy.supabase.co/storage/v1/object/public/old_media/12d7a309.Path.035753.png" TargetMode="External"/><Relationship Id="rId3489" Type="http://schemas.openxmlformats.org/officeDocument/2006/relationships/hyperlink" Target="https://ryycrdhlkmzpxwwwwupy.supabase.co/storage/v1/object/public/old_media/65016e2a.Path.064701.jpg" TargetMode="External"/><Relationship Id="rId2158" Type="http://schemas.openxmlformats.org/officeDocument/2006/relationships/hyperlink" Target="https://ryycrdhlkmzpxwwwwupy.supabase.co/storage/v1/object/public/old_media/e5523af4.Path.035811.png" TargetMode="External"/><Relationship Id="rId3488" Type="http://schemas.openxmlformats.org/officeDocument/2006/relationships/hyperlink" Target="https://ryycrdhlkmzpxwwwwupy.supabase.co/storage/v1/object/public/old_media/f3ac3db7.Path.064635.jpg" TargetMode="External"/><Relationship Id="rId2104" Type="http://schemas.openxmlformats.org/officeDocument/2006/relationships/hyperlink" Target="https://ryycrdhlkmzpxwwwwupy.supabase.co/storage/v1/object/public/old_media/d50326f6.Path.054747.png" TargetMode="External"/><Relationship Id="rId3436" Type="http://schemas.openxmlformats.org/officeDocument/2006/relationships/hyperlink" Target="https://ryycrdhlkmzpxwwwwupy.supabase.co/storage/v1/object/public/old_media/8969f353.Path.072009.jpg" TargetMode="External"/><Relationship Id="rId4767" Type="http://schemas.openxmlformats.org/officeDocument/2006/relationships/hyperlink" Target="https://ryycrdhlkmzpxwwwwupy.supabase.co/storage/v1/object/public/old_media/b2aed771.Path.115843.jpg" TargetMode="External"/><Relationship Id="rId2105" Type="http://schemas.openxmlformats.org/officeDocument/2006/relationships/hyperlink" Target="https://ryycrdhlkmzpxwwwwupy.supabase.co/storage/v1/object/public/old_media/cc5e1ef0.Path.055342.png" TargetMode="External"/><Relationship Id="rId3435" Type="http://schemas.openxmlformats.org/officeDocument/2006/relationships/hyperlink" Target="https://ryycrdhlkmzpxwwwwupy.supabase.co/storage/v1/object/public/old_media/253d223d.Path.071944.jpg" TargetMode="External"/><Relationship Id="rId4766" Type="http://schemas.openxmlformats.org/officeDocument/2006/relationships/hyperlink" Target="https://ryycrdhlkmzpxwwwwupy.supabase.co/storage/v1/object/public/old_media/2c2f74b9.Path.071811.jpg" TargetMode="External"/><Relationship Id="rId2106" Type="http://schemas.openxmlformats.org/officeDocument/2006/relationships/hyperlink" Target="https://ryycrdhlkmzpxwwwwupy.supabase.co/storage/v1/object/public/old_media/77ca70b3.Path.055650.jpg" TargetMode="External"/><Relationship Id="rId3438" Type="http://schemas.openxmlformats.org/officeDocument/2006/relationships/hyperlink" Target="https://ryycrdhlkmzpxwwwwupy.supabase.co/storage/v1/object/public/old_media/c1882cfb.Path.072109.jpg" TargetMode="External"/><Relationship Id="rId4769" Type="http://schemas.openxmlformats.org/officeDocument/2006/relationships/hyperlink" Target="https://ryycrdhlkmzpxwwwwupy.supabase.co/storage/v1/object/public/old_media/4e44074d.Path.051525.png" TargetMode="External"/><Relationship Id="rId2107" Type="http://schemas.openxmlformats.org/officeDocument/2006/relationships/hyperlink" Target="https://ryycrdhlkmzpxwwwwupy.supabase.co/storage/v1/object/public/old_media/83bba18b.Path.055741.jpg" TargetMode="External"/><Relationship Id="rId3437" Type="http://schemas.openxmlformats.org/officeDocument/2006/relationships/hyperlink" Target="https://ryycrdhlkmzpxwwwwupy.supabase.co/storage/v1/object/public/old_media/f56cbf7d.Path.072038.jpg" TargetMode="External"/><Relationship Id="rId4768" Type="http://schemas.openxmlformats.org/officeDocument/2006/relationships/hyperlink" Target="https://ryycrdhlkmzpxwwwwupy.supabase.co/storage/v1/object/public/old_media/23075ae5.Path.115944.jpg" TargetMode="External"/><Relationship Id="rId2108" Type="http://schemas.openxmlformats.org/officeDocument/2006/relationships/hyperlink" Target="https://ryycrdhlkmzpxwwwwupy.supabase.co/storage/v1/object/public/old_media/50fb9989.Path.055758.jpg" TargetMode="External"/><Relationship Id="rId2109" Type="http://schemas.openxmlformats.org/officeDocument/2006/relationships/hyperlink" Target="https://ryycrdhlkmzpxwwwwupy.supabase.co/storage/v1/object/public/old_media/a29ca768.Path.055812.jpg" TargetMode="External"/><Relationship Id="rId3439" Type="http://schemas.openxmlformats.org/officeDocument/2006/relationships/hyperlink" Target="https://ryycrdhlkmzpxwwwwupy.supabase.co/storage/v1/object/public/old_media/1f8c4313.Path.072137.jpg" TargetMode="External"/><Relationship Id="rId3430" Type="http://schemas.openxmlformats.org/officeDocument/2006/relationships/hyperlink" Target="https://ryycrdhlkmzpxwwwwupy.supabase.co/storage/v1/object/public/old_media/6dff3aa3.Path.114922.jpg" TargetMode="External"/><Relationship Id="rId4761" Type="http://schemas.openxmlformats.org/officeDocument/2006/relationships/hyperlink" Target="https://ryycrdhlkmzpxwwwwupy.supabase.co/storage/v1/object/public/old_media/e8564eb0.Path.071535.avif" TargetMode="External"/><Relationship Id="rId4760" Type="http://schemas.openxmlformats.org/officeDocument/2006/relationships/hyperlink" Target="https://ryycrdhlkmzpxwwwwupy.supabase.co/storage/v1/object/public/old_media/22c2a437.Path.071315.jpg" TargetMode="External"/><Relationship Id="rId2100" Type="http://schemas.openxmlformats.org/officeDocument/2006/relationships/hyperlink" Target="https://ryycrdhlkmzpxwwwwupy.supabase.co/storage/v1/object/public/old_media/3451f56c.Path.054052.jpg" TargetMode="External"/><Relationship Id="rId3432" Type="http://schemas.openxmlformats.org/officeDocument/2006/relationships/hyperlink" Target="https://ryycrdhlkmzpxwwwwupy.supabase.co/storage/v1/object/public/old_media/5ac21300.Path.071814.jpg" TargetMode="External"/><Relationship Id="rId4763" Type="http://schemas.openxmlformats.org/officeDocument/2006/relationships/hyperlink" Target="https://ryycrdhlkmzpxwwwwupy.supabase.co/storage/v1/object/public/old_media/85e0b6fb.Path.071632.jpg" TargetMode="External"/><Relationship Id="rId2101" Type="http://schemas.openxmlformats.org/officeDocument/2006/relationships/hyperlink" Target="https://ryycrdhlkmzpxwwwwupy.supabase.co/storage/v1/object/public/old_media/433147d4.Path.054110.jpg" TargetMode="External"/><Relationship Id="rId3431" Type="http://schemas.openxmlformats.org/officeDocument/2006/relationships/hyperlink" Target="https://ryycrdhlkmzpxwwwwupy.supabase.co/storage/v1/object/public/old_media/91db1f40.Path.092643.png" TargetMode="External"/><Relationship Id="rId4762" Type="http://schemas.openxmlformats.org/officeDocument/2006/relationships/hyperlink" Target="https://ryycrdhlkmzpxwwwwupy.supabase.co/storage/v1/object/public/old_media/109bd66a.Path.071603.jpg" TargetMode="External"/><Relationship Id="rId2102" Type="http://schemas.openxmlformats.org/officeDocument/2006/relationships/hyperlink" Target="https://ryycrdhlkmzpxwwwwupy.supabase.co/storage/v1/object/public/old_media/8e54dbf8.Path.054136.jpg" TargetMode="External"/><Relationship Id="rId3434" Type="http://schemas.openxmlformats.org/officeDocument/2006/relationships/hyperlink" Target="https://ryycrdhlkmzpxwwwwupy.supabase.co/storage/v1/object/public/old_media/90f14d66.Path.071911.jpg" TargetMode="External"/><Relationship Id="rId4765" Type="http://schemas.openxmlformats.org/officeDocument/2006/relationships/hyperlink" Target="https://ryycrdhlkmzpxwwwwupy.supabase.co/storage/v1/object/public/old_media/8445c80b.Path.071737.avif" TargetMode="External"/><Relationship Id="rId2103" Type="http://schemas.openxmlformats.org/officeDocument/2006/relationships/hyperlink" Target="https://ryycrdhlkmzpxwwwwupy.supabase.co/storage/v1/object/public/old_media/b13531db.Path.054151.jpg" TargetMode="External"/><Relationship Id="rId3433" Type="http://schemas.openxmlformats.org/officeDocument/2006/relationships/hyperlink" Target="https://ryycrdhlkmzpxwwwwupy.supabase.co/storage/v1/object/public/old_media/ced36251.Path.071842.jpg" TargetMode="External"/><Relationship Id="rId4764" Type="http://schemas.openxmlformats.org/officeDocument/2006/relationships/hyperlink" Target="https://ryycrdhlkmzpxwwwwupy.supabase.co/storage/v1/object/public/old_media/a583b294.Path.071704.webp" TargetMode="External"/><Relationship Id="rId3425" Type="http://schemas.openxmlformats.org/officeDocument/2006/relationships/hyperlink" Target="https://ryycrdhlkmzpxwwwwupy.supabase.co/storage/v1/object/public/old_media/3e1a6830.Path.105935.jpg" TargetMode="External"/><Relationship Id="rId4756" Type="http://schemas.openxmlformats.org/officeDocument/2006/relationships/hyperlink" Target="https://ryycrdhlkmzpxwwwwupy.supabase.co/storage/v1/object/public/old_media/442c0a6d.Path.044811.png" TargetMode="External"/><Relationship Id="rId3424" Type="http://schemas.openxmlformats.org/officeDocument/2006/relationships/hyperlink" Target="https://ryycrdhlkmzpxwwwwupy.supabase.co/storage/v1/object/public/old_media/8f761b7f.Path.105904.webp" TargetMode="External"/><Relationship Id="rId4755" Type="http://schemas.openxmlformats.org/officeDocument/2006/relationships/hyperlink" Target="https://ryycrdhlkmzpxwwwwupy.supabase.co/storage/v1/object/public/old_media/9a1ec9f7.Path.044741.png" TargetMode="External"/><Relationship Id="rId3427" Type="http://schemas.openxmlformats.org/officeDocument/2006/relationships/hyperlink" Target="https://ryycrdhlkmzpxwwwwupy.supabase.co/storage/v1/object/public/old_media/f36107c8.Path.110052.webp" TargetMode="External"/><Relationship Id="rId4758" Type="http://schemas.openxmlformats.org/officeDocument/2006/relationships/hyperlink" Target="https://ryycrdhlkmzpxwwwwupy.supabase.co/storage/v1/object/public/old_media/3584ff37.Path.060121.jpg" TargetMode="External"/><Relationship Id="rId3426" Type="http://schemas.openxmlformats.org/officeDocument/2006/relationships/hyperlink" Target="https://ryycrdhlkmzpxwwwwupy.supabase.co/storage/v1/object/public/old_media/afa447c3.Path.110015.jpg" TargetMode="External"/><Relationship Id="rId4757" Type="http://schemas.openxmlformats.org/officeDocument/2006/relationships/hyperlink" Target="https://ryycrdhlkmzpxwwwwupy.supabase.co/storage/v1/object/public/old_media/a0412a5d.Path.060027.jpg" TargetMode="External"/><Relationship Id="rId3429" Type="http://schemas.openxmlformats.org/officeDocument/2006/relationships/hyperlink" Target="https://ryycrdhlkmzpxwwwwupy.supabase.co/storage/v1/object/public/old_media/153d57d2.Path.110156.webp" TargetMode="External"/><Relationship Id="rId3428" Type="http://schemas.openxmlformats.org/officeDocument/2006/relationships/hyperlink" Target="https://ryycrdhlkmzpxwwwwupy.supabase.co/storage/v1/object/public/old_media/738b7196.Path.110126.jpg" TargetMode="External"/><Relationship Id="rId4759" Type="http://schemas.openxmlformats.org/officeDocument/2006/relationships/hyperlink" Target="https://ryycrdhlkmzpxwwwwupy.supabase.co/storage/v1/object/public/old_media/0291a094.Path.060208.jpg" TargetMode="External"/><Relationship Id="rId899" Type="http://schemas.openxmlformats.org/officeDocument/2006/relationships/hyperlink" Target="https://ryycrdhlkmzpxwwwwupy.supabase.co/storage/v1/object/public/old_media/79b298a2.Path.044844.jpg" TargetMode="External"/><Relationship Id="rId898" Type="http://schemas.openxmlformats.org/officeDocument/2006/relationships/hyperlink" Target="https://ryycrdhlkmzpxwwwwupy.supabase.co/storage/v1/object/public/old_media/6bac1b34.Path.044837.jpg" TargetMode="External"/><Relationship Id="rId897" Type="http://schemas.openxmlformats.org/officeDocument/2006/relationships/hyperlink" Target="https://ryycrdhlkmzpxwwwwupy.supabase.co/storage/v1/object/public/old_media/667d0d2f.Path.093346.jpg" TargetMode="External"/><Relationship Id="rId896" Type="http://schemas.openxmlformats.org/officeDocument/2006/relationships/hyperlink" Target="https://ryycrdhlkmzpxwwwwupy.supabase.co/storage/v1/object/public/old_media/d5a1fe86.Path.062501.jpg" TargetMode="External"/><Relationship Id="rId891" Type="http://schemas.openxmlformats.org/officeDocument/2006/relationships/hyperlink" Target="https://ryycrdhlkmzpxwwwwupy.supabase.co/storage/v1/object/public/old_media/b1e5a152.Path.114202.jpg" TargetMode="External"/><Relationship Id="rId890" Type="http://schemas.openxmlformats.org/officeDocument/2006/relationships/hyperlink" Target="https://ryycrdhlkmzpxwwwwupy.supabase.co/storage/v1/object/public/old_media/98c193d5.Path.114154.jpg" TargetMode="External"/><Relationship Id="rId4750" Type="http://schemas.openxmlformats.org/officeDocument/2006/relationships/hyperlink" Target="https://ryycrdhlkmzpxwwwwupy.supabase.co/storage/v1/object/public/old_media/fceb0469.Path.111537.jpg" TargetMode="External"/><Relationship Id="rId895" Type="http://schemas.openxmlformats.org/officeDocument/2006/relationships/hyperlink" Target="https://ryycrdhlkmzpxwwwwupy.supabase.co/storage/v1/object/public/old_media/89af3dc2.Path.062436.jpg" TargetMode="External"/><Relationship Id="rId3421" Type="http://schemas.openxmlformats.org/officeDocument/2006/relationships/hyperlink" Target="https://ryycrdhlkmzpxwwwwupy.supabase.co/storage/v1/object/public/old_media/7288dd41.Path.105631.webp" TargetMode="External"/><Relationship Id="rId4752" Type="http://schemas.openxmlformats.org/officeDocument/2006/relationships/hyperlink" Target="https://ryycrdhlkmzpxwwwwupy.supabase.co/storage/v1/object/public/old_media/033f8eba.Path.111650.jpg" TargetMode="External"/><Relationship Id="rId894" Type="http://schemas.openxmlformats.org/officeDocument/2006/relationships/hyperlink" Target="https://ryycrdhlkmzpxwwwwupy.supabase.co/storage/v1/object/public/old_media/badb93f4.Path.114233.jpg" TargetMode="External"/><Relationship Id="rId3420" Type="http://schemas.openxmlformats.org/officeDocument/2006/relationships/hyperlink" Target="https://ryycrdhlkmzpxwwwwupy.supabase.co/storage/v1/object/public/old_media/b1d6b863.Path.105600.jpg" TargetMode="External"/><Relationship Id="rId4751" Type="http://schemas.openxmlformats.org/officeDocument/2006/relationships/hyperlink" Target="https://ryycrdhlkmzpxwwwwupy.supabase.co/storage/v1/object/public/old_media/e5ea873b.Path.111611.jpg" TargetMode="External"/><Relationship Id="rId893" Type="http://schemas.openxmlformats.org/officeDocument/2006/relationships/hyperlink" Target="https://ryycrdhlkmzpxwwwwupy.supabase.co/storage/v1/object/public/old_media/8bc5d5db.Path.114226.jpg" TargetMode="External"/><Relationship Id="rId3423" Type="http://schemas.openxmlformats.org/officeDocument/2006/relationships/hyperlink" Target="https://ryycrdhlkmzpxwwwwupy.supabase.co/storage/v1/object/public/old_media/578d07a4.Path.105828.jpg" TargetMode="External"/><Relationship Id="rId4754" Type="http://schemas.openxmlformats.org/officeDocument/2006/relationships/hyperlink" Target="https://ryycrdhlkmzpxwwwwupy.supabase.co/storage/v1/object/public/old_media/39e668b9.Path.044710.jpg" TargetMode="External"/><Relationship Id="rId892" Type="http://schemas.openxmlformats.org/officeDocument/2006/relationships/hyperlink" Target="https://ryycrdhlkmzpxwwwwupy.supabase.co/storage/v1/object/public/old_media/2b98a69a.Path.114209.jpg" TargetMode="External"/><Relationship Id="rId3422" Type="http://schemas.openxmlformats.org/officeDocument/2006/relationships/hyperlink" Target="https://ryycrdhlkmzpxwwwwupy.supabase.co/storage/v1/object/public/old_media/b912b92d.Path.105702.webp" TargetMode="External"/><Relationship Id="rId4753" Type="http://schemas.openxmlformats.org/officeDocument/2006/relationships/hyperlink" Target="https://ryycrdhlkmzpxwwwwupy.supabase.co/storage/v1/object/public/old_media/123323f2.Path.111721.avif" TargetMode="External"/><Relationship Id="rId2126" Type="http://schemas.openxmlformats.org/officeDocument/2006/relationships/hyperlink" Target="https://ryycrdhlkmzpxwwwwupy.supabase.co/storage/v1/object/public/old_media/af3f644a.Path.062345.jpg" TargetMode="External"/><Relationship Id="rId3458" Type="http://schemas.openxmlformats.org/officeDocument/2006/relationships/hyperlink" Target="https://ryycrdhlkmzpxwwwwupy.supabase.co/storage/v1/object/public/old_media/3b6366be.Path.065148.webp" TargetMode="External"/><Relationship Id="rId4789" Type="http://schemas.openxmlformats.org/officeDocument/2006/relationships/hyperlink" Target="https://ryycrdhlkmzpxwwwwupy.supabase.co/storage/v1/object/public/old_media/8248f891.Path.042328.jpg" TargetMode="External"/><Relationship Id="rId2127" Type="http://schemas.openxmlformats.org/officeDocument/2006/relationships/hyperlink" Target="https://ryycrdhlkmzpxwwwwupy.supabase.co/storage/v1/object/public/old_media/2e58e8c4.Path.062403.jpg" TargetMode="External"/><Relationship Id="rId3457" Type="http://schemas.openxmlformats.org/officeDocument/2006/relationships/hyperlink" Target="https://ryycrdhlkmzpxwwwwupy.supabase.co/storage/v1/object/public/old_media/3cd48932.Path.044454.jpg" TargetMode="External"/><Relationship Id="rId4788" Type="http://schemas.openxmlformats.org/officeDocument/2006/relationships/hyperlink" Target="https://ryycrdhlkmzpxwwwwupy.supabase.co/storage/v1/object/public/old_media/a80fd625.Path.055823.jpg" TargetMode="External"/><Relationship Id="rId2128" Type="http://schemas.openxmlformats.org/officeDocument/2006/relationships/hyperlink" Target="https://ryycrdhlkmzpxwwwwupy.supabase.co/storage/v1/object/public/old_media/32e3a2a8.Path.062416.jpg" TargetMode="External"/><Relationship Id="rId2129" Type="http://schemas.openxmlformats.org/officeDocument/2006/relationships/hyperlink" Target="https://ryycrdhlkmzpxwwwwupy.supabase.co/storage/v1/object/public/old_media/3abf8025.Path.062432.jpg" TargetMode="External"/><Relationship Id="rId3459" Type="http://schemas.openxmlformats.org/officeDocument/2006/relationships/hyperlink" Target="https://ryycrdhlkmzpxwwwwupy.supabase.co/storage/v1/object/public/old_media/60cebc37.Path.065215.webp" TargetMode="External"/><Relationship Id="rId3450" Type="http://schemas.openxmlformats.org/officeDocument/2006/relationships/hyperlink" Target="https://ryycrdhlkmzpxwwwwupy.supabase.co/storage/v1/object/public/old_media/d514b4e4.Path.072759.jpg" TargetMode="External"/><Relationship Id="rId4781" Type="http://schemas.openxmlformats.org/officeDocument/2006/relationships/hyperlink" Target="https://ryycrdhlkmzpxwwwwupy.supabase.co/storage/v1/object/public/old_media/e096268e.Path.110927.jpg" TargetMode="External"/><Relationship Id="rId4780" Type="http://schemas.openxmlformats.org/officeDocument/2006/relationships/hyperlink" Target="https://ryycrdhlkmzpxwwwwupy.supabase.co/storage/v1/object/public/old_media/1c517822.Path.110854.jpg" TargetMode="External"/><Relationship Id="rId2120" Type="http://schemas.openxmlformats.org/officeDocument/2006/relationships/hyperlink" Target="https://ryycrdhlkmzpxwwwwupy.supabase.co/storage/v1/object/public/old_media/4c4aac04.Path.073550.webp" TargetMode="External"/><Relationship Id="rId3452" Type="http://schemas.openxmlformats.org/officeDocument/2006/relationships/hyperlink" Target="https://ryycrdhlkmzpxwwwwupy.supabase.co/storage/v1/object/public/old_media/ea11e5d0.Path.044312.jpg" TargetMode="External"/><Relationship Id="rId4783" Type="http://schemas.openxmlformats.org/officeDocument/2006/relationships/hyperlink" Target="https://ryycrdhlkmzpxwwwwupy.supabase.co/storage/v1/object/public/old_media/95091b6b.Path.111027.jpg" TargetMode="External"/><Relationship Id="rId2121" Type="http://schemas.openxmlformats.org/officeDocument/2006/relationships/hyperlink" Target="https://ryycrdhlkmzpxwwwwupy.supabase.co/storage/v1/object/public/old_media/4bbd6f49.Path.092419.jpg" TargetMode="External"/><Relationship Id="rId3451" Type="http://schemas.openxmlformats.org/officeDocument/2006/relationships/hyperlink" Target="https://ryycrdhlkmzpxwwwwupy.supabase.co/storage/v1/object/public/old_media/3b87e596.Path.073229.jpg" TargetMode="External"/><Relationship Id="rId4782" Type="http://schemas.openxmlformats.org/officeDocument/2006/relationships/hyperlink" Target="https://ryycrdhlkmzpxwwwwupy.supabase.co/storage/v1/object/public/old_media/84ed2753.Path.110957.jpg" TargetMode="External"/><Relationship Id="rId2122" Type="http://schemas.openxmlformats.org/officeDocument/2006/relationships/hyperlink" Target="https://ryycrdhlkmzpxwwwwupy.supabase.co/storage/v1/object/public/old_media/d316db80.Path.092438.jpg" TargetMode="External"/><Relationship Id="rId3454" Type="http://schemas.openxmlformats.org/officeDocument/2006/relationships/hyperlink" Target="https://ryycrdhlkmzpxwwwwupy.supabase.co/storage/v1/object/public/old_media/36c1ffcd.Path.064616.jpg" TargetMode="External"/><Relationship Id="rId4785" Type="http://schemas.openxmlformats.org/officeDocument/2006/relationships/hyperlink" Target="https://ryycrdhlkmzpxwwwwupy.supabase.co/storage/v1/object/public/old_media/b43d83d4.Path.111127.jpg" TargetMode="External"/><Relationship Id="rId2123" Type="http://schemas.openxmlformats.org/officeDocument/2006/relationships/hyperlink" Target="https://ryycrdhlkmzpxwwwwupy.supabase.co/storage/v1/object/public/old_media/e9bd1035.Path.092509.jpg" TargetMode="External"/><Relationship Id="rId3453" Type="http://schemas.openxmlformats.org/officeDocument/2006/relationships/hyperlink" Target="https://ryycrdhlkmzpxwwwwupy.supabase.co/storage/v1/object/public/old_media/4527d86e.Path.102224.jpg" TargetMode="External"/><Relationship Id="rId4784" Type="http://schemas.openxmlformats.org/officeDocument/2006/relationships/hyperlink" Target="https://ryycrdhlkmzpxwwwwupy.supabase.co/storage/v1/object/public/old_media/4fee07c0.Path.111058.jpg" TargetMode="External"/><Relationship Id="rId2124" Type="http://schemas.openxmlformats.org/officeDocument/2006/relationships/hyperlink" Target="https://ryycrdhlkmzpxwwwwupy.supabase.co/storage/v1/object/public/old_media/75c60e83.Path.092548.jpg" TargetMode="External"/><Relationship Id="rId3456" Type="http://schemas.openxmlformats.org/officeDocument/2006/relationships/hyperlink" Target="https://ryycrdhlkmzpxwwwwupy.supabase.co/storage/v1/object/public/old_media/9d8913a7.Path.104900.jpg" TargetMode="External"/><Relationship Id="rId4787" Type="http://schemas.openxmlformats.org/officeDocument/2006/relationships/hyperlink" Target="https://ryycrdhlkmzpxwwwwupy.supabase.co/storage/v1/object/public/old_media/53d1598e.Path.055752.jpg" TargetMode="External"/><Relationship Id="rId2125" Type="http://schemas.openxmlformats.org/officeDocument/2006/relationships/hyperlink" Target="https://ryycrdhlkmzpxwwwwupy.supabase.co/storage/v1/object/public/old_media/f25392b4.Path.100415.jpg" TargetMode="External"/><Relationship Id="rId3455" Type="http://schemas.openxmlformats.org/officeDocument/2006/relationships/hyperlink" Target="https://ryycrdhlkmzpxwwwwupy.supabase.co/storage/v1/object/public/old_media/95099a73.Path.075218.png" TargetMode="External"/><Relationship Id="rId4786" Type="http://schemas.openxmlformats.org/officeDocument/2006/relationships/hyperlink" Target="https://ryycrdhlkmzpxwwwwupy.supabase.co/storage/v1/object/public/old_media/d1c097ed.Path.055713.jpg" TargetMode="External"/><Relationship Id="rId2115" Type="http://schemas.openxmlformats.org/officeDocument/2006/relationships/hyperlink" Target="https://ryycrdhlkmzpxwwwwupy.supabase.co/storage/v1/object/public/old_media/02bfd502.Path.073448.webp" TargetMode="External"/><Relationship Id="rId3447" Type="http://schemas.openxmlformats.org/officeDocument/2006/relationships/hyperlink" Target="https://ryycrdhlkmzpxwwwwupy.supabase.co/storage/v1/object/public/old_media/40d2a79e.Path.072530.jpg" TargetMode="External"/><Relationship Id="rId4778" Type="http://schemas.openxmlformats.org/officeDocument/2006/relationships/hyperlink" Target="https://ryycrdhlkmzpxwwwwupy.supabase.co/storage/v1/object/public/old_media/931b3001.Path.063745.jpg" TargetMode="External"/><Relationship Id="rId2116" Type="http://schemas.openxmlformats.org/officeDocument/2006/relationships/hyperlink" Target="https://ryycrdhlkmzpxwwwwupy.supabase.co/storage/v1/object/public/old_media/876d0c8a.Path.073457.webp" TargetMode="External"/><Relationship Id="rId3446" Type="http://schemas.openxmlformats.org/officeDocument/2006/relationships/hyperlink" Target="https://ryycrdhlkmzpxwwwwupy.supabase.co/storage/v1/object/public/old_media/8c4211f6.Path.072453.jpg" TargetMode="External"/><Relationship Id="rId4777" Type="http://schemas.openxmlformats.org/officeDocument/2006/relationships/hyperlink" Target="https://ryycrdhlkmzpxwwwwupy.supabase.co/storage/v1/object/public/old_media/01d64206.Path.063713.jpg" TargetMode="External"/><Relationship Id="rId2117" Type="http://schemas.openxmlformats.org/officeDocument/2006/relationships/hyperlink" Target="https://ryycrdhlkmzpxwwwwupy.supabase.co/storage/v1/object/public/old_media/b799c4af.Path.073507.webp" TargetMode="External"/><Relationship Id="rId3449" Type="http://schemas.openxmlformats.org/officeDocument/2006/relationships/hyperlink" Target="https://ryycrdhlkmzpxwwwwupy.supabase.co/storage/v1/object/public/old_media/712fc640.Path.072723.jpg" TargetMode="External"/><Relationship Id="rId2118" Type="http://schemas.openxmlformats.org/officeDocument/2006/relationships/hyperlink" Target="https://ryycrdhlkmzpxwwwwupy.supabase.co/storage/v1/object/public/old_media/b9f25313.Path.073521.webp" TargetMode="External"/><Relationship Id="rId3448" Type="http://schemas.openxmlformats.org/officeDocument/2006/relationships/hyperlink" Target="https://ryycrdhlkmzpxwwwwupy.supabase.co/storage/v1/object/public/old_media/73080416.Path.072601.jpg" TargetMode="External"/><Relationship Id="rId4779" Type="http://schemas.openxmlformats.org/officeDocument/2006/relationships/hyperlink" Target="https://ryycrdhlkmzpxwwwwupy.supabase.co/storage/v1/object/public/old_media/93688734.Path.063813.jpg" TargetMode="External"/><Relationship Id="rId2119" Type="http://schemas.openxmlformats.org/officeDocument/2006/relationships/hyperlink" Target="https://ryycrdhlkmzpxwwwwupy.supabase.co/storage/v1/object/public/old_media/69e53c85.Path.073535.jpg" TargetMode="External"/><Relationship Id="rId4770" Type="http://schemas.openxmlformats.org/officeDocument/2006/relationships/hyperlink" Target="https://ryycrdhlkmzpxwwwwupy.supabase.co/storage/v1/object/public/old_media/3b1f383b.Path.051602.jpg" TargetMode="External"/><Relationship Id="rId3441" Type="http://schemas.openxmlformats.org/officeDocument/2006/relationships/hyperlink" Target="https://ryycrdhlkmzpxwwwwupy.supabase.co/storage/v1/object/public/old_media/21158ba2.Path.072228.jpg" TargetMode="External"/><Relationship Id="rId4772" Type="http://schemas.openxmlformats.org/officeDocument/2006/relationships/hyperlink" Target="https://ryycrdhlkmzpxwwwwupy.supabase.co/storage/v1/object/public/old_media/23b39e68.Path.115108.jpg" TargetMode="External"/><Relationship Id="rId2110" Type="http://schemas.openxmlformats.org/officeDocument/2006/relationships/hyperlink" Target="https://ryycrdhlkmzpxwwwwupy.supabase.co/storage/v1/object/public/old_media/3c1964ce.Path.062307.jpg" TargetMode="External"/><Relationship Id="rId3440" Type="http://schemas.openxmlformats.org/officeDocument/2006/relationships/hyperlink" Target="https://ryycrdhlkmzpxwwwwupy.supabase.co/storage/v1/object/public/old_media/27b83bee.Path.072203.jpg" TargetMode="External"/><Relationship Id="rId4771" Type="http://schemas.openxmlformats.org/officeDocument/2006/relationships/hyperlink" Target="https://ryycrdhlkmzpxwwwwupy.supabase.co/storage/v1/object/public/old_media/a9e3644c.Path.075208.jpg" TargetMode="External"/><Relationship Id="rId2111" Type="http://schemas.openxmlformats.org/officeDocument/2006/relationships/hyperlink" Target="https://ryycrdhlkmzpxwwwwupy.supabase.co/storage/v1/object/public/old_media/1f44646c.Path.062514.jpg" TargetMode="External"/><Relationship Id="rId3443" Type="http://schemas.openxmlformats.org/officeDocument/2006/relationships/hyperlink" Target="https://ryycrdhlkmzpxwwwwupy.supabase.co/storage/v1/object/public/old_media/18f9401b.Path.072327.jpg" TargetMode="External"/><Relationship Id="rId4774" Type="http://schemas.openxmlformats.org/officeDocument/2006/relationships/hyperlink" Target="https://ryycrdhlkmzpxwwwwupy.supabase.co/storage/v1/object/public/old_media/d63b634e.Path.063541.jpg" TargetMode="External"/><Relationship Id="rId2112" Type="http://schemas.openxmlformats.org/officeDocument/2006/relationships/hyperlink" Target="https://ryycrdhlkmzpxwwwwupy.supabase.co/storage/v1/object/public/old_media/a8499561.Path.062528.jpg" TargetMode="External"/><Relationship Id="rId3442" Type="http://schemas.openxmlformats.org/officeDocument/2006/relationships/hyperlink" Target="https://ryycrdhlkmzpxwwwwupy.supabase.co/storage/v1/object/public/old_media/36dc722f.Path.072258.jpg" TargetMode="External"/><Relationship Id="rId4773" Type="http://schemas.openxmlformats.org/officeDocument/2006/relationships/hyperlink" Target="https://ryycrdhlkmzpxwwwwupy.supabase.co/storage/v1/object/public/old_media/798ef072.Path.063511.jpg" TargetMode="External"/><Relationship Id="rId2113" Type="http://schemas.openxmlformats.org/officeDocument/2006/relationships/hyperlink" Target="https://ryycrdhlkmzpxwwwwupy.supabase.co/storage/v1/object/public/old_media/04f8f4cf.Path.062545.jpg" TargetMode="External"/><Relationship Id="rId3445" Type="http://schemas.openxmlformats.org/officeDocument/2006/relationships/hyperlink" Target="https://ryycrdhlkmzpxwwwwupy.supabase.co/storage/v1/object/public/old_media/4f6f060a.Path.072422.jpg" TargetMode="External"/><Relationship Id="rId4776" Type="http://schemas.openxmlformats.org/officeDocument/2006/relationships/hyperlink" Target="https://ryycrdhlkmzpxwwwwupy.supabase.co/storage/v1/object/public/old_media/48221168.Path.063640.jpg" TargetMode="External"/><Relationship Id="rId2114" Type="http://schemas.openxmlformats.org/officeDocument/2006/relationships/hyperlink" Target="https://ryycrdhlkmzpxwwwwupy.supabase.co/storage/v1/object/public/old_media/cbefc3b2.Path.062557.jpg" TargetMode="External"/><Relationship Id="rId3444" Type="http://schemas.openxmlformats.org/officeDocument/2006/relationships/hyperlink" Target="https://ryycrdhlkmzpxwwwwupy.supabase.co/storage/v1/object/public/old_media/54b7c41b.Path.072354.jpg" TargetMode="External"/><Relationship Id="rId4775" Type="http://schemas.openxmlformats.org/officeDocument/2006/relationships/hyperlink" Target="https://ryycrdhlkmzpxwwwwupy.supabase.co/storage/v1/object/public/old_media/1320e3b0.Path.063611.jpg" TargetMode="External"/></Relationships>
</file>

<file path=xl/worksheets/_rels/sheet15.xml.rels><?xml version="1.0" encoding="UTF-8" standalone="yes"?><Relationships xmlns="http://schemas.openxmlformats.org/package/2006/relationships"><Relationship Id="rId392" Type="http://schemas.openxmlformats.org/officeDocument/2006/relationships/hyperlink" Target="https://ryycrdhlkmzpxwwwwupy.supabase.co/storage/v1/object/public/old_media/fb8ab76e.Path.071436.webp" TargetMode="External"/><Relationship Id="rId391" Type="http://schemas.openxmlformats.org/officeDocument/2006/relationships/hyperlink" Target="https://ryycrdhlkmzpxwwwwupy.supabase.co/storage/v1/object/public/old_media/cf883439.Path.071426.jpg" TargetMode="External"/><Relationship Id="rId390" Type="http://schemas.openxmlformats.org/officeDocument/2006/relationships/hyperlink" Target="https://ryycrdhlkmzpxwwwwupy.supabase.co/storage/v1/object/public/old_media/2ea7bb50.Path.071416.jpg" TargetMode="External"/><Relationship Id="rId385" Type="http://schemas.openxmlformats.org/officeDocument/2006/relationships/hyperlink" Target="https://ryycrdhlkmzpxwwwwupy.supabase.co/storage/v1/object/public/old_media/6e215d36.Path.071315.webp" TargetMode="External"/><Relationship Id="rId384" Type="http://schemas.openxmlformats.org/officeDocument/2006/relationships/hyperlink" Target="https://ryycrdhlkmzpxwwwwupy.supabase.co/storage/v1/object/public/old_media/7785bafe.Path.111337.jpg" TargetMode="External"/><Relationship Id="rId383" Type="http://schemas.openxmlformats.org/officeDocument/2006/relationships/hyperlink" Target="https://ryycrdhlkmzpxwwwwupy.supabase.co/storage/v1/object/public/old_media/fec41e6e.Path.104302.jpg" TargetMode="External"/><Relationship Id="rId382" Type="http://schemas.openxmlformats.org/officeDocument/2006/relationships/hyperlink" Target="https://ryycrdhlkmzpxwwwwupy.supabase.co/storage/v1/object/public/old_media/f1f07ee0.Path.104132.jpg" TargetMode="External"/><Relationship Id="rId389" Type="http://schemas.openxmlformats.org/officeDocument/2006/relationships/hyperlink" Target="https://ryycrdhlkmzpxwwwwupy.supabase.co/storage/v1/object/public/old_media/80058c3f.Path.071404.jpg" TargetMode="External"/><Relationship Id="rId388" Type="http://schemas.openxmlformats.org/officeDocument/2006/relationships/hyperlink" Target="https://ryycrdhlkmzpxwwwwupy.supabase.co/storage/v1/object/public/old_media/72569edc.Path.071352.jpg" TargetMode="External"/><Relationship Id="rId387" Type="http://schemas.openxmlformats.org/officeDocument/2006/relationships/hyperlink" Target="https://ryycrdhlkmzpxwwwwupy.supabase.co/storage/v1/object/public/old_media/dcc3aa66.Path.071342.webp" TargetMode="External"/><Relationship Id="rId386" Type="http://schemas.openxmlformats.org/officeDocument/2006/relationships/hyperlink" Target="https://ryycrdhlkmzpxwwwwupy.supabase.co/storage/v1/object/public/old_media/304afc85.Path.071331.webp" TargetMode="External"/><Relationship Id="rId381" Type="http://schemas.openxmlformats.org/officeDocument/2006/relationships/hyperlink" Target="https://ryycrdhlkmzpxwwwwupy.supabase.co/storage/v1/object/public/old_media/fefe9cdf.Path.104122.jpg" TargetMode="External"/><Relationship Id="rId380" Type="http://schemas.openxmlformats.org/officeDocument/2006/relationships/hyperlink" Target="https://ryycrdhlkmzpxwwwwupy.supabase.co/storage/v1/object/public/old_media/05632faa.Path.073619.jpg" TargetMode="External"/><Relationship Id="rId379" Type="http://schemas.openxmlformats.org/officeDocument/2006/relationships/hyperlink" Target="https://ryycrdhlkmzpxwwwwupy.supabase.co/storage/v1/object/public/old_media/b8c13aee.Path.073556.jpg" TargetMode="External"/><Relationship Id="rId374" Type="http://schemas.openxmlformats.org/officeDocument/2006/relationships/hyperlink" Target="https://ryycrdhlkmzpxwwwwupy.supabase.co/storage/v1/object/public/old_media/261f7a03.Path.073307.jpg" TargetMode="External"/><Relationship Id="rId373" Type="http://schemas.openxmlformats.org/officeDocument/2006/relationships/hyperlink" Target="https://ryycrdhlkmzpxwwwwupy.supabase.co/storage/v1/object/public/old_media/4402c8f2.Path.071642.jpg" TargetMode="External"/><Relationship Id="rId372" Type="http://schemas.openxmlformats.org/officeDocument/2006/relationships/hyperlink" Target="https://ryycrdhlkmzpxwwwwupy.supabase.co/storage/v1/object/public/old_media/dc3c1a79.Path.071605.jpg" TargetMode="External"/><Relationship Id="rId371" Type="http://schemas.openxmlformats.org/officeDocument/2006/relationships/hyperlink" Target="https://ryycrdhlkmzpxwwwwupy.supabase.co/storage/v1/object/public/old_media/edc1cecb.Path.071528.jpg" TargetMode="External"/><Relationship Id="rId378" Type="http://schemas.openxmlformats.org/officeDocument/2006/relationships/hyperlink" Target="https://ryycrdhlkmzpxwwwwupy.supabase.co/storage/v1/object/public/old_media/b82e4855.Path.073520.jpg" TargetMode="External"/><Relationship Id="rId377" Type="http://schemas.openxmlformats.org/officeDocument/2006/relationships/hyperlink" Target="https://ryycrdhlkmzpxwwwwupy.supabase.co/storage/v1/object/public/old_media/317372b6.Path.073459.jpg" TargetMode="External"/><Relationship Id="rId376" Type="http://schemas.openxmlformats.org/officeDocument/2006/relationships/hyperlink" Target="https://ryycrdhlkmzpxwwwwupy.supabase.co/storage/v1/object/public/old_media/93cfdb2b.Path.073427.jpg" TargetMode="External"/><Relationship Id="rId375" Type="http://schemas.openxmlformats.org/officeDocument/2006/relationships/hyperlink" Target="https://ryycrdhlkmzpxwwwwupy.supabase.co/storage/v1/object/public/old_media/2808bfa9.Path.073343.jpg" TargetMode="External"/><Relationship Id="rId396" Type="http://schemas.openxmlformats.org/officeDocument/2006/relationships/hyperlink" Target="https://ryycrdhlkmzpxwwwwupy.supabase.co/storage/v1/object/public/old_media/cc59e0cc.Path.101016.jpg" TargetMode="External"/><Relationship Id="rId395" Type="http://schemas.openxmlformats.org/officeDocument/2006/relationships/hyperlink" Target="https://ryycrdhlkmzpxwwwwupy.supabase.co/storage/v1/object/public/old_media/17db6043.Path.100946.jpg" TargetMode="External"/><Relationship Id="rId394" Type="http://schemas.openxmlformats.org/officeDocument/2006/relationships/hyperlink" Target="https://ryycrdhlkmzpxwwwwupy.supabase.co/storage/v1/object/public/old_media/61b9c6bb.Path.095854.jpg" TargetMode="External"/><Relationship Id="rId393" Type="http://schemas.openxmlformats.org/officeDocument/2006/relationships/hyperlink" Target="https://ryycrdhlkmzpxwwwwupy.supabase.co/storage/v1/object/public/old_media/8a71e5bf.Path.095723.jpg" TargetMode="External"/><Relationship Id="rId399" Type="http://schemas.openxmlformats.org/officeDocument/2006/relationships/hyperlink" Target="https://ryycrdhlkmzpxwwwwupy.supabase.co/storage/v1/object/public/old_media/157bd840.Path.101142.jpg" TargetMode="External"/><Relationship Id="rId398" Type="http://schemas.openxmlformats.org/officeDocument/2006/relationships/hyperlink" Target="https://ryycrdhlkmzpxwwwwupy.supabase.co/storage/v1/object/public/old_media/2f6e0aad.Path.101124.jpg" TargetMode="External"/><Relationship Id="rId397" Type="http://schemas.openxmlformats.org/officeDocument/2006/relationships/hyperlink" Target="https://ryycrdhlkmzpxwwwwupy.supabase.co/storage/v1/object/public/old_media/9dc905e8.Path.101043.jpg" TargetMode="External"/><Relationship Id="rId40" Type="http://schemas.openxmlformats.org/officeDocument/2006/relationships/hyperlink" Target="https://ryycrdhlkmzpxwwwwupy.supabase.co/storage/v1/object/public/old_media/800e17c4.Path.045800.jpg" TargetMode="External"/><Relationship Id="rId42" Type="http://schemas.openxmlformats.org/officeDocument/2006/relationships/hyperlink" Target="https://ryycrdhlkmzpxwwwwupy.supabase.co/storage/v1/object/public/old_media/77c8160a.Path.063107.jpg" TargetMode="External"/><Relationship Id="rId41" Type="http://schemas.openxmlformats.org/officeDocument/2006/relationships/hyperlink" Target="https://ryycrdhlkmzpxwwwwupy.supabase.co/storage/v1/object/public/old_media/e3699285.Path.063053.jpg" TargetMode="External"/><Relationship Id="rId44" Type="http://schemas.openxmlformats.org/officeDocument/2006/relationships/hyperlink" Target="https://ryycrdhlkmzpxwwwwupy.supabase.co/storage/v1/object/public/old_media/dd0f2939.Path.063224.jpg" TargetMode="External"/><Relationship Id="rId43" Type="http://schemas.openxmlformats.org/officeDocument/2006/relationships/hyperlink" Target="https://ryycrdhlkmzpxwwwwupy.supabase.co/storage/v1/object/public/old_media/9f0c0ccf.Path.063209.jpg" TargetMode="External"/><Relationship Id="rId46" Type="http://schemas.openxmlformats.org/officeDocument/2006/relationships/hyperlink" Target="https://ryycrdhlkmzpxwwwwupy.supabase.co/storage/v1/object/public/old_media/a6c24a9e.Path.063307.jpg" TargetMode="External"/><Relationship Id="rId45" Type="http://schemas.openxmlformats.org/officeDocument/2006/relationships/hyperlink" Target="https://ryycrdhlkmzpxwwwwupy.supabase.co/storage/v1/object/public/old_media/c22e0b0a.Path.063252.png" TargetMode="External"/><Relationship Id="rId48" Type="http://schemas.openxmlformats.org/officeDocument/2006/relationships/hyperlink" Target="https://ryycrdhlkmzpxwwwwupy.supabase.co/storage/v1/object/public/old_media/9636c3a4.Path.063331.jpg" TargetMode="External"/><Relationship Id="rId47" Type="http://schemas.openxmlformats.org/officeDocument/2006/relationships/hyperlink" Target="https://ryycrdhlkmzpxwwwwupy.supabase.co/storage/v1/object/public/old_media/3adab538.Path.063318.jpg" TargetMode="External"/><Relationship Id="rId49" Type="http://schemas.openxmlformats.org/officeDocument/2006/relationships/hyperlink" Target="https://ryycrdhlkmzpxwwwwupy.supabase.co/storage/v1/object/public/old_media/b3a945a0.Path.072913.jpg" TargetMode="External"/><Relationship Id="rId31" Type="http://schemas.openxmlformats.org/officeDocument/2006/relationships/hyperlink" Target="https://ryycrdhlkmzpxwwwwupy.supabase.co/storage/v1/object/public/old_media/7b3927e6.Path.101139.jpg" TargetMode="External"/><Relationship Id="rId30" Type="http://schemas.openxmlformats.org/officeDocument/2006/relationships/hyperlink" Target="https://ryycrdhlkmzpxwwwwupy.supabase.co/storage/v1/object/public/old_media/27865fec.Path.101132.jpg" TargetMode="External"/><Relationship Id="rId33" Type="http://schemas.openxmlformats.org/officeDocument/2006/relationships/hyperlink" Target="https://ryycrdhlkmzpxwwwwupy.supabase.co/storage/v1/object/public/old_media/8349cddb.Path.101510.jpg" TargetMode="External"/><Relationship Id="rId32" Type="http://schemas.openxmlformats.org/officeDocument/2006/relationships/hyperlink" Target="https://ryycrdhlkmzpxwwwwupy.supabase.co/storage/v1/object/public/old_media/fe3b49f1.Path.101501.jpg" TargetMode="External"/><Relationship Id="rId35" Type="http://schemas.openxmlformats.org/officeDocument/2006/relationships/hyperlink" Target="https://ryycrdhlkmzpxwwwwupy.supabase.co/storage/v1/object/public/old_media/bc33840c.Path.045658.jpg" TargetMode="External"/><Relationship Id="rId34" Type="http://schemas.openxmlformats.org/officeDocument/2006/relationships/hyperlink" Target="https://ryycrdhlkmzpxwwwwupy.supabase.co/storage/v1/object/public/old_media/be441890.Path.101518.jpg" TargetMode="External"/><Relationship Id="rId37" Type="http://schemas.openxmlformats.org/officeDocument/2006/relationships/hyperlink" Target="https://ryycrdhlkmzpxwwwwupy.supabase.co/storage/v1/object/public/old_media/aba86ee8.Path.045724.jpg" TargetMode="External"/><Relationship Id="rId36" Type="http://schemas.openxmlformats.org/officeDocument/2006/relationships/hyperlink" Target="https://ryycrdhlkmzpxwwwwupy.supabase.co/storage/v1/object/public/old_media/4fd8d054.Path.045712.jpg" TargetMode="External"/><Relationship Id="rId39" Type="http://schemas.openxmlformats.org/officeDocument/2006/relationships/hyperlink" Target="https://ryycrdhlkmzpxwwwwupy.supabase.co/storage/v1/object/public/old_media/72593083.Path.045747.jpg" TargetMode="External"/><Relationship Id="rId38" Type="http://schemas.openxmlformats.org/officeDocument/2006/relationships/hyperlink" Target="https://ryycrdhlkmzpxwwwwupy.supabase.co/storage/v1/object/public/old_media/9850aaf9.Path.045735.jpg" TargetMode="External"/><Relationship Id="rId20" Type="http://schemas.openxmlformats.org/officeDocument/2006/relationships/hyperlink" Target="https://ryycrdhlkmzpxwwwwupy.supabase.co/storage/v1/object/public/old_media/5936911f.Path.053145.jpg" TargetMode="External"/><Relationship Id="rId22" Type="http://schemas.openxmlformats.org/officeDocument/2006/relationships/hyperlink" Target="https://ryycrdhlkmzpxwwwwupy.supabase.co/storage/v1/object/public/old_media/5e44f3bb.Path.094216.jpg" TargetMode="External"/><Relationship Id="rId21" Type="http://schemas.openxmlformats.org/officeDocument/2006/relationships/hyperlink" Target="https://ryycrdhlkmzpxwwwwupy.supabase.co/storage/v1/object/public/old_media/07fe660c.Path.055826.png" TargetMode="External"/><Relationship Id="rId24" Type="http://schemas.openxmlformats.org/officeDocument/2006/relationships/hyperlink" Target="https://ryycrdhlkmzpxwwwwupy.supabase.co/storage/v1/object/public/old_media/8a654c64.Path.094313.jpg" TargetMode="External"/><Relationship Id="rId23" Type="http://schemas.openxmlformats.org/officeDocument/2006/relationships/hyperlink" Target="https://ryycrdhlkmzpxwwwwupy.supabase.co/storage/v1/object/public/old_media/98c4e7dd.Path.094303.jpg" TargetMode="External"/><Relationship Id="rId26" Type="http://schemas.openxmlformats.org/officeDocument/2006/relationships/hyperlink" Target="https://ryycrdhlkmzpxwwwwupy.supabase.co/storage/v1/object/public/old_media/deee63f6.Path.094338.jpg" TargetMode="External"/><Relationship Id="rId25" Type="http://schemas.openxmlformats.org/officeDocument/2006/relationships/hyperlink" Target="https://ryycrdhlkmzpxwwwwupy.supabase.co/storage/v1/object/public/old_media/6ae9d0b0.Path.094320.jpg" TargetMode="External"/><Relationship Id="rId28" Type="http://schemas.openxmlformats.org/officeDocument/2006/relationships/hyperlink" Target="https://ryycrdhlkmzpxwwwwupy.supabase.co/storage/v1/object/public/old_media/e067dadc.Path.101054.jpg" TargetMode="External"/><Relationship Id="rId27" Type="http://schemas.openxmlformats.org/officeDocument/2006/relationships/hyperlink" Target="https://ryycrdhlkmzpxwwwwupy.supabase.co/storage/v1/object/public/old_media/119cef51.Path.101026.jpg" TargetMode="External"/><Relationship Id="rId29" Type="http://schemas.openxmlformats.org/officeDocument/2006/relationships/hyperlink" Target="https://ryycrdhlkmzpxwwwwupy.supabase.co/storage/v1/object/public/old_media/607a735c.Path.101124.jpg" TargetMode="External"/><Relationship Id="rId11" Type="http://schemas.openxmlformats.org/officeDocument/2006/relationships/hyperlink" Target="https://ryycrdhlkmzpxwwwwupy.supabase.co/storage/v1/object/public/old_media/dd788e5a.Path.060836.jpg" TargetMode="External"/><Relationship Id="rId10" Type="http://schemas.openxmlformats.org/officeDocument/2006/relationships/hyperlink" Target="https://ryycrdhlkmzpxwwwwupy.supabase.co/storage/v1/object/public/old_media/39cb45c1.Path.060701.jpg" TargetMode="External"/><Relationship Id="rId13" Type="http://schemas.openxmlformats.org/officeDocument/2006/relationships/hyperlink" Target="https://ryycrdhlkmzpxwwwwupy.supabase.co/storage/v1/object/public/old_media/b2de3eb7.Path.070150.jpg" TargetMode="External"/><Relationship Id="rId12" Type="http://schemas.openxmlformats.org/officeDocument/2006/relationships/hyperlink" Target="https://ryycrdhlkmzpxwwwwupy.supabase.co/storage/v1/object/public/old_media/d2e147da.Path.065929.jpg" TargetMode="External"/><Relationship Id="rId15" Type="http://schemas.openxmlformats.org/officeDocument/2006/relationships/hyperlink" Target="https://ryycrdhlkmzpxwwwwupy.supabase.co/storage/v1/object/public/old_media/450bca95.Path.082758.jpg" TargetMode="External"/><Relationship Id="rId14" Type="http://schemas.openxmlformats.org/officeDocument/2006/relationships/hyperlink" Target="https://ryycrdhlkmzpxwwwwupy.supabase.co/storage/v1/object/public/old_media/8b3efa52.Path.070322.jpg" TargetMode="External"/><Relationship Id="rId17" Type="http://schemas.openxmlformats.org/officeDocument/2006/relationships/hyperlink" Target="https://ryycrdhlkmzpxwwwwupy.supabase.co/storage/v1/object/public/old_media/a254fb3c.Path.053053.jpg" TargetMode="External"/><Relationship Id="rId16" Type="http://schemas.openxmlformats.org/officeDocument/2006/relationships/hyperlink" Target="https://ryycrdhlkmzpxwwwwupy.supabase.co/storage/v1/object/public/old_media/3e8b82f6.Path.082856.jpg" TargetMode="External"/><Relationship Id="rId19" Type="http://schemas.openxmlformats.org/officeDocument/2006/relationships/hyperlink" Target="https://ryycrdhlkmzpxwwwwupy.supabase.co/storage/v1/object/public/old_media/e49c4c49.Path.053128.jpg" TargetMode="External"/><Relationship Id="rId18" Type="http://schemas.openxmlformats.org/officeDocument/2006/relationships/hyperlink" Target="https://ryycrdhlkmzpxwwwwupy.supabase.co/storage/v1/object/public/old_media/6c8e61cc.Path.053112.jpg" TargetMode="External"/><Relationship Id="rId84" Type="http://schemas.openxmlformats.org/officeDocument/2006/relationships/hyperlink" Target="https://ryycrdhlkmzpxwwwwupy.supabase.co/storage/v1/object/public/old_media/c4574712.Path.150942.jpg" TargetMode="External"/><Relationship Id="rId83" Type="http://schemas.openxmlformats.org/officeDocument/2006/relationships/hyperlink" Target="https://ryycrdhlkmzpxwwwwupy.supabase.co/storage/v1/object/public/old_media/898fdab8.Path.063301.jpg" TargetMode="External"/><Relationship Id="rId86" Type="http://schemas.openxmlformats.org/officeDocument/2006/relationships/hyperlink" Target="https://ryycrdhlkmzpxwwwwupy.supabase.co/storage/v1/object/public/old_media/5098de99.Path.151029.jpg" TargetMode="External"/><Relationship Id="rId85" Type="http://schemas.openxmlformats.org/officeDocument/2006/relationships/hyperlink" Target="https://ryycrdhlkmzpxwwwwupy.supabase.co/storage/v1/object/public/old_media/bf0f0925.Path.151004.jpg" TargetMode="External"/><Relationship Id="rId88" Type="http://schemas.openxmlformats.org/officeDocument/2006/relationships/hyperlink" Target="https://ryycrdhlkmzpxwwwwupy.supabase.co/storage/v1/object/public/old_media/b960be92.Path.151217.jpg" TargetMode="External"/><Relationship Id="rId87" Type="http://schemas.openxmlformats.org/officeDocument/2006/relationships/hyperlink" Target="https://ryycrdhlkmzpxwwwwupy.supabase.co/storage/v1/object/public/old_media/0374617e.Path.151133.jpg" TargetMode="External"/><Relationship Id="rId89" Type="http://schemas.openxmlformats.org/officeDocument/2006/relationships/hyperlink" Target="https://ryycrdhlkmzpxwwwwupy.supabase.co/storage/v1/object/public/old_media/412230d5.Path.151302.jpg" TargetMode="External"/><Relationship Id="rId80" Type="http://schemas.openxmlformats.org/officeDocument/2006/relationships/hyperlink" Target="https://ryycrdhlkmzpxwwwwupy.supabase.co/storage/v1/object/public/old_media/78e5b283.Path.070138.jpg" TargetMode="External"/><Relationship Id="rId82" Type="http://schemas.openxmlformats.org/officeDocument/2006/relationships/hyperlink" Target="https://ryycrdhlkmzpxwwwwupy.supabase.co/storage/v1/object/public/old_media/39815e3e.Path.063231.jpg" TargetMode="External"/><Relationship Id="rId81" Type="http://schemas.openxmlformats.org/officeDocument/2006/relationships/hyperlink" Target="https://ryycrdhlkmzpxwwwwupy.supabase.co/storage/v1/object/public/old_media/985c0b06.Path.063157.jpg" TargetMode="External"/><Relationship Id="rId73" Type="http://schemas.openxmlformats.org/officeDocument/2006/relationships/hyperlink" Target="https://ryycrdhlkmzpxwwwwupy.supabase.co/storage/v1/object/public/old_media/122ef640.Path.065552.jpg" TargetMode="External"/><Relationship Id="rId72" Type="http://schemas.openxmlformats.org/officeDocument/2006/relationships/hyperlink" Target="https://ryycrdhlkmzpxwwwwupy.supabase.co/storage/v1/object/public/old_media/c7cc750f.Path.065529.jpg" TargetMode="External"/><Relationship Id="rId75" Type="http://schemas.openxmlformats.org/officeDocument/2006/relationships/hyperlink" Target="https://ryycrdhlkmzpxwwwwupy.supabase.co/storage/v1/object/public/old_media/6c185876.Path.065628.jpg" TargetMode="External"/><Relationship Id="rId74" Type="http://schemas.openxmlformats.org/officeDocument/2006/relationships/hyperlink" Target="https://ryycrdhlkmzpxwwwwupy.supabase.co/storage/v1/object/public/old_media/b598775c.Path.065606.jpg" TargetMode="External"/><Relationship Id="rId77" Type="http://schemas.openxmlformats.org/officeDocument/2006/relationships/hyperlink" Target="https://ryycrdhlkmzpxwwwwupy.supabase.co/storage/v1/object/public/old_media/00f64e0e.Path.065710.jpg" TargetMode="External"/><Relationship Id="rId76" Type="http://schemas.openxmlformats.org/officeDocument/2006/relationships/hyperlink" Target="https://ryycrdhlkmzpxwwwwupy.supabase.co/storage/v1/object/public/old_media/baa501ab.Path.065641.jpg" TargetMode="External"/><Relationship Id="rId79" Type="http://schemas.openxmlformats.org/officeDocument/2006/relationships/hyperlink" Target="https://ryycrdhlkmzpxwwwwupy.supabase.co/storage/v1/object/public/old_media/5c516300.Path.065853.jpg" TargetMode="External"/><Relationship Id="rId78" Type="http://schemas.openxmlformats.org/officeDocument/2006/relationships/hyperlink" Target="https://ryycrdhlkmzpxwwwwupy.supabase.co/storage/v1/object/public/old_media/e3ee28bf.Path.065752.jpg" TargetMode="External"/><Relationship Id="rId71" Type="http://schemas.openxmlformats.org/officeDocument/2006/relationships/hyperlink" Target="https://ryycrdhlkmzpxwwwwupy.supabase.co/storage/v1/object/public/old_media/145f6a72.Path.111610.jpg" TargetMode="External"/><Relationship Id="rId70" Type="http://schemas.openxmlformats.org/officeDocument/2006/relationships/hyperlink" Target="https://ryycrdhlkmzpxwwwwupy.supabase.co/storage/v1/object/public/old_media/9904a54d.Path.111556.png" TargetMode="External"/><Relationship Id="rId62" Type="http://schemas.openxmlformats.org/officeDocument/2006/relationships/hyperlink" Target="https://ryycrdhlkmzpxwwwwupy.supabase.co/storage/v1/object/public/old_media/01e56ce0.Path.075029.jpg" TargetMode="External"/><Relationship Id="rId61" Type="http://schemas.openxmlformats.org/officeDocument/2006/relationships/hyperlink" Target="https://ryycrdhlkmzpxwwwwupy.supabase.co/storage/v1/object/public/old_media/0d159f30.Path.073441.jpg" TargetMode="External"/><Relationship Id="rId64" Type="http://schemas.openxmlformats.org/officeDocument/2006/relationships/hyperlink" Target="https://ryycrdhlkmzpxwwwwupy.supabase.co/storage/v1/object/public/old_media/3c85ea62.Path.075105.jpg" TargetMode="External"/><Relationship Id="rId63" Type="http://schemas.openxmlformats.org/officeDocument/2006/relationships/hyperlink" Target="https://ryycrdhlkmzpxwwwwupy.supabase.co/storage/v1/object/public/old_media/ba11412b.Path.075047.jpg" TargetMode="External"/><Relationship Id="rId66" Type="http://schemas.openxmlformats.org/officeDocument/2006/relationships/hyperlink" Target="https://ryycrdhlkmzpxwwwwupy.supabase.co/storage/v1/object/public/old_media/3cf06bc1.Path.075142.jpg" TargetMode="External"/><Relationship Id="rId65" Type="http://schemas.openxmlformats.org/officeDocument/2006/relationships/hyperlink" Target="https://ryycrdhlkmzpxwwwwupy.supabase.co/storage/v1/object/public/old_media/eaab66ba.Path.075123.jpg" TargetMode="External"/><Relationship Id="rId68" Type="http://schemas.openxmlformats.org/officeDocument/2006/relationships/hyperlink" Target="https://ryycrdhlkmzpxwwwwupy.supabase.co/storage/v1/object/public/old_media/ec496a29.Path.075214.jpg" TargetMode="External"/><Relationship Id="rId67" Type="http://schemas.openxmlformats.org/officeDocument/2006/relationships/hyperlink" Target="https://ryycrdhlkmzpxwwwwupy.supabase.co/storage/v1/object/public/old_media/7c06640a.Path.075149.jpg" TargetMode="External"/><Relationship Id="rId60" Type="http://schemas.openxmlformats.org/officeDocument/2006/relationships/hyperlink" Target="https://ryycrdhlkmzpxwwwwupy.supabase.co/storage/v1/object/public/old_media/f401ecf9.Path.073419.jpg" TargetMode="External"/><Relationship Id="rId69" Type="http://schemas.openxmlformats.org/officeDocument/2006/relationships/hyperlink" Target="https://ryycrdhlkmzpxwwwwupy.supabase.co/storage/v1/object/public/old_media/d1f16fc0.Path.075223.jpg" TargetMode="External"/><Relationship Id="rId51" Type="http://schemas.openxmlformats.org/officeDocument/2006/relationships/hyperlink" Target="https://ryycrdhlkmzpxwwwwupy.supabase.co/storage/v1/object/public/old_media/4fecbd5d.Path.073014.jpg" TargetMode="External"/><Relationship Id="rId50" Type="http://schemas.openxmlformats.org/officeDocument/2006/relationships/hyperlink" Target="https://ryycrdhlkmzpxwwwwupy.supabase.co/storage/v1/object/public/old_media/ff201ae9.Path.072941.jpg" TargetMode="External"/><Relationship Id="rId53" Type="http://schemas.openxmlformats.org/officeDocument/2006/relationships/hyperlink" Target="https://ryycrdhlkmzpxwwwwupy.supabase.co/storage/v1/object/public/old_media/a9bcf077.Path.073056.jpg" TargetMode="External"/><Relationship Id="rId52" Type="http://schemas.openxmlformats.org/officeDocument/2006/relationships/hyperlink" Target="https://ryycrdhlkmzpxwwwwupy.supabase.co/storage/v1/object/public/old_media/658cf0cd.Path.073031.jpg" TargetMode="External"/><Relationship Id="rId55" Type="http://schemas.openxmlformats.org/officeDocument/2006/relationships/hyperlink" Target="https://ryycrdhlkmzpxwwwwupy.supabase.co/storage/v1/object/public/old_media/d370dfcf.Path.073229.jpg" TargetMode="External"/><Relationship Id="rId54" Type="http://schemas.openxmlformats.org/officeDocument/2006/relationships/hyperlink" Target="https://ryycrdhlkmzpxwwwwupy.supabase.co/storage/v1/object/public/old_media/5114c245.Path.073209.jpg" TargetMode="External"/><Relationship Id="rId57" Type="http://schemas.openxmlformats.org/officeDocument/2006/relationships/hyperlink" Target="https://ryycrdhlkmzpxwwwwupy.supabase.co/storage/v1/object/public/old_media/d67878fa.Path.073331.jpg" TargetMode="External"/><Relationship Id="rId56" Type="http://schemas.openxmlformats.org/officeDocument/2006/relationships/hyperlink" Target="https://ryycrdhlkmzpxwwwwupy.supabase.co/storage/v1/object/public/old_media/e59f0582.Path.073303.jpg" TargetMode="External"/><Relationship Id="rId59" Type="http://schemas.openxmlformats.org/officeDocument/2006/relationships/hyperlink" Target="https://ryycrdhlkmzpxwwwwupy.supabase.co/storage/v1/object/public/old_media/68706ef8.Path.073410.jpg" TargetMode="External"/><Relationship Id="rId58" Type="http://schemas.openxmlformats.org/officeDocument/2006/relationships/hyperlink" Target="https://ryycrdhlkmzpxwwwwupy.supabase.co/storage/v1/object/public/old_media/66d1a3be.Path.073400.jpg" TargetMode="External"/><Relationship Id="rId349" Type="http://schemas.openxmlformats.org/officeDocument/2006/relationships/hyperlink" Target="https://ryycrdhlkmzpxwwwwupy.supabase.co/storage/v1/object/public/old_media/f2a31736.Path.041815.jpg" TargetMode="External"/><Relationship Id="rId348" Type="http://schemas.openxmlformats.org/officeDocument/2006/relationships/hyperlink" Target="https://ryycrdhlkmzpxwwwwupy.supabase.co/storage/v1/object/public/old_media/f898f8c1.Path.041804.jpg" TargetMode="External"/><Relationship Id="rId347" Type="http://schemas.openxmlformats.org/officeDocument/2006/relationships/hyperlink" Target="https://ryycrdhlkmzpxwwwwupy.supabase.co/storage/v1/object/public/old_media/1fb8170a.Path.060636.jpg" TargetMode="External"/><Relationship Id="rId346" Type="http://schemas.openxmlformats.org/officeDocument/2006/relationships/hyperlink" Target="https://ryycrdhlkmzpxwwwwupy.supabase.co/storage/v1/object/public/old_media/4e22afba.Path.060623.jpg" TargetMode="External"/><Relationship Id="rId341" Type="http://schemas.openxmlformats.org/officeDocument/2006/relationships/hyperlink" Target="https://ryycrdhlkmzpxwwwwupy.supabase.co/storage/v1/object/public/old_media/e8ea533c.Path.060440.jpg" TargetMode="External"/><Relationship Id="rId340" Type="http://schemas.openxmlformats.org/officeDocument/2006/relationships/hyperlink" Target="https://ryycrdhlkmzpxwwwwupy.supabase.co/storage/v1/object/public/old_media/8ce0e601.Path.060426.jpg" TargetMode="External"/><Relationship Id="rId345" Type="http://schemas.openxmlformats.org/officeDocument/2006/relationships/hyperlink" Target="https://ryycrdhlkmzpxwwwwupy.supabase.co/storage/v1/object/public/old_media/979a66ee.Path.060540.jpg" TargetMode="External"/><Relationship Id="rId344" Type="http://schemas.openxmlformats.org/officeDocument/2006/relationships/hyperlink" Target="https://ryycrdhlkmzpxwwwwupy.supabase.co/storage/v1/object/public/old_media/46f9ca20.Path.060524.jpg" TargetMode="External"/><Relationship Id="rId343" Type="http://schemas.openxmlformats.org/officeDocument/2006/relationships/hyperlink" Target="https://ryycrdhlkmzpxwwwwupy.supabase.co/storage/v1/object/public/old_media/8fae3da4.Path.060511.jpg" TargetMode="External"/><Relationship Id="rId342" Type="http://schemas.openxmlformats.org/officeDocument/2006/relationships/hyperlink" Target="https://ryycrdhlkmzpxwwwwupy.supabase.co/storage/v1/object/public/old_media/b930028a.Path.060458.jpg" TargetMode="External"/><Relationship Id="rId338" Type="http://schemas.openxmlformats.org/officeDocument/2006/relationships/hyperlink" Target="https://ryycrdhlkmzpxwwwwupy.supabase.co/storage/v1/object/public/old_media/51dbe89a.Path.060356.jpg" TargetMode="External"/><Relationship Id="rId337" Type="http://schemas.openxmlformats.org/officeDocument/2006/relationships/hyperlink" Target="https://ryycrdhlkmzpxwwwwupy.supabase.co/storage/v1/object/public/old_media/fa5bdc39.Path.060344.jpg" TargetMode="External"/><Relationship Id="rId336" Type="http://schemas.openxmlformats.org/officeDocument/2006/relationships/hyperlink" Target="https://ryycrdhlkmzpxwwwwupy.supabase.co/storage/v1/object/public/old_media/7017f59f.Path.060328.jpg" TargetMode="External"/><Relationship Id="rId335" Type="http://schemas.openxmlformats.org/officeDocument/2006/relationships/hyperlink" Target="https://ryycrdhlkmzpxwwwwupy.supabase.co/storage/v1/object/public/old_media/1fffd1ce.Path.060313.jpg" TargetMode="External"/><Relationship Id="rId339" Type="http://schemas.openxmlformats.org/officeDocument/2006/relationships/hyperlink" Target="https://ryycrdhlkmzpxwwwwupy.supabase.co/storage/v1/object/public/old_media/073002f9.Path.060413.jpg" TargetMode="External"/><Relationship Id="rId330" Type="http://schemas.openxmlformats.org/officeDocument/2006/relationships/hyperlink" Target="https://ryycrdhlkmzpxwwwwupy.supabase.co/storage/v1/object/public/old_media/a26069c0.Path.072507.jpg" TargetMode="External"/><Relationship Id="rId334" Type="http://schemas.openxmlformats.org/officeDocument/2006/relationships/hyperlink" Target="https://ryycrdhlkmzpxwwwwupy.supabase.co/storage/v1/object/public/old_media/51cf7cff.Path.060249.jpg" TargetMode="External"/><Relationship Id="rId333" Type="http://schemas.openxmlformats.org/officeDocument/2006/relationships/hyperlink" Target="https://ryycrdhlkmzpxwwwwupy.supabase.co/storage/v1/object/public/old_media/cefa2e55.Path.060000.jpg" TargetMode="External"/><Relationship Id="rId332" Type="http://schemas.openxmlformats.org/officeDocument/2006/relationships/hyperlink" Target="https://ryycrdhlkmzpxwwwwupy.supabase.co/storage/v1/object/public/old_media/a86fbcab.Path.055948.jpg" TargetMode="External"/><Relationship Id="rId331" Type="http://schemas.openxmlformats.org/officeDocument/2006/relationships/hyperlink" Target="https://ryycrdhlkmzpxwwwwupy.supabase.co/storage/v1/object/public/old_media/f4d3656e.Path.072518.jpg" TargetMode="External"/><Relationship Id="rId370" Type="http://schemas.openxmlformats.org/officeDocument/2006/relationships/hyperlink" Target="https://ryycrdhlkmzpxwwwwupy.supabase.co/storage/v1/object/public/old_media/831d6443.Path.071456.jpg" TargetMode="External"/><Relationship Id="rId369" Type="http://schemas.openxmlformats.org/officeDocument/2006/relationships/hyperlink" Target="https://ryycrdhlkmzpxwwwwupy.supabase.co/storage/v1/object/public/old_media/a3fc5030.Path.071412.jpg" TargetMode="External"/><Relationship Id="rId368" Type="http://schemas.openxmlformats.org/officeDocument/2006/relationships/hyperlink" Target="https://ryycrdhlkmzpxwwwwupy.supabase.co/storage/v1/object/public/old_media/be831807.Path.071336.jpg" TargetMode="External"/><Relationship Id="rId363" Type="http://schemas.openxmlformats.org/officeDocument/2006/relationships/hyperlink" Target="https://ryycrdhlkmzpxwwwwupy.supabase.co/storage/v1/object/public/old_media/4eecea7b.Path.071106.jpg" TargetMode="External"/><Relationship Id="rId362" Type="http://schemas.openxmlformats.org/officeDocument/2006/relationships/hyperlink" Target="https://ryycrdhlkmzpxwwwwupy.supabase.co/storage/v1/object/public/old_media/74b98750.Path.060736.jpg" TargetMode="External"/><Relationship Id="rId361" Type="http://schemas.openxmlformats.org/officeDocument/2006/relationships/hyperlink" Target="https://ryycrdhlkmzpxwwwwupy.supabase.co/storage/v1/object/public/old_media/4eb3af33.Path.060726.jpg" TargetMode="External"/><Relationship Id="rId360" Type="http://schemas.openxmlformats.org/officeDocument/2006/relationships/hyperlink" Target="https://ryycrdhlkmzpxwwwwupy.supabase.co/storage/v1/object/public/old_media/42ccd0a5.Path.060712.jpg" TargetMode="External"/><Relationship Id="rId367" Type="http://schemas.openxmlformats.org/officeDocument/2006/relationships/hyperlink" Target="https://ryycrdhlkmzpxwwwwupy.supabase.co/storage/v1/object/public/old_media/e83a9a97.Path.071305.jpg" TargetMode="External"/><Relationship Id="rId366" Type="http://schemas.openxmlformats.org/officeDocument/2006/relationships/hyperlink" Target="https://ryycrdhlkmzpxwwwwupy.supabase.co/storage/v1/object/public/old_media/1c35fba7.Path.071236.jpg" TargetMode="External"/><Relationship Id="rId365" Type="http://schemas.openxmlformats.org/officeDocument/2006/relationships/hyperlink" Target="https://ryycrdhlkmzpxwwwwupy.supabase.co/storage/v1/object/public/old_media/c5a5b3ff.Path.071207.jpg" TargetMode="External"/><Relationship Id="rId364" Type="http://schemas.openxmlformats.org/officeDocument/2006/relationships/hyperlink" Target="https://ryycrdhlkmzpxwwwwupy.supabase.co/storage/v1/object/public/old_media/bec9f295.Path.071138.jpg" TargetMode="External"/><Relationship Id="rId95" Type="http://schemas.openxmlformats.org/officeDocument/2006/relationships/hyperlink" Target="https://ryycrdhlkmzpxwwwwupy.supabase.co/storage/v1/object/public/old_media/5db8e893.Path.151614.jpg" TargetMode="External"/><Relationship Id="rId94" Type="http://schemas.openxmlformats.org/officeDocument/2006/relationships/hyperlink" Target="https://ryycrdhlkmzpxwwwwupy.supabase.co/storage/v1/object/public/old_media/e207cec8.Path.151544.jpg" TargetMode="External"/><Relationship Id="rId97" Type="http://schemas.openxmlformats.org/officeDocument/2006/relationships/hyperlink" Target="https://ryycrdhlkmzpxwwwwupy.supabase.co/storage/v1/object/public/old_media/6d4e5d14.Path.102532.jpg" TargetMode="External"/><Relationship Id="rId96" Type="http://schemas.openxmlformats.org/officeDocument/2006/relationships/hyperlink" Target="https://ryycrdhlkmzpxwwwwupy.supabase.co/storage/v1/object/public/old_media/aade3aae.Path.151643.jpg" TargetMode="External"/><Relationship Id="rId99" Type="http://schemas.openxmlformats.org/officeDocument/2006/relationships/hyperlink" Target="https://ryycrdhlkmzpxwwwwupy.supabase.co/storage/v1/object/public/old_media/ffbc4f96.Path.044245.jpg" TargetMode="External"/><Relationship Id="rId98" Type="http://schemas.openxmlformats.org/officeDocument/2006/relationships/hyperlink" Target="https://ryycrdhlkmzpxwwwwupy.supabase.co/storage/v1/object/public/old_media/abd684a2.Path.102614.jpg" TargetMode="External"/><Relationship Id="rId91" Type="http://schemas.openxmlformats.org/officeDocument/2006/relationships/hyperlink" Target="https://ryycrdhlkmzpxwwwwupy.supabase.co/storage/v1/object/public/old_media/041f70fe.Path.151409.jpg" TargetMode="External"/><Relationship Id="rId90" Type="http://schemas.openxmlformats.org/officeDocument/2006/relationships/hyperlink" Target="https://ryycrdhlkmzpxwwwwupy.supabase.co/storage/v1/object/public/old_media/02f9ab42.Path.151336.jpg" TargetMode="External"/><Relationship Id="rId93" Type="http://schemas.openxmlformats.org/officeDocument/2006/relationships/hyperlink" Target="https://ryycrdhlkmzpxwwwwupy.supabase.co/storage/v1/object/public/old_media/4bdf444c.Path.151514.jpg" TargetMode="External"/><Relationship Id="rId92" Type="http://schemas.openxmlformats.org/officeDocument/2006/relationships/hyperlink" Target="https://ryycrdhlkmzpxwwwwupy.supabase.co/storage/v1/object/public/old_media/a6f326b0.Path.151441.jpg" TargetMode="External"/><Relationship Id="rId359" Type="http://schemas.openxmlformats.org/officeDocument/2006/relationships/hyperlink" Target="https://ryycrdhlkmzpxwwwwupy.supabase.co/storage/v1/object/public/old_media/5f6c121f.Path.055811.jpg" TargetMode="External"/><Relationship Id="rId358" Type="http://schemas.openxmlformats.org/officeDocument/2006/relationships/hyperlink" Target="https://ryycrdhlkmzpxwwwwupy.supabase.co/storage/v1/object/public/old_media/5691334c.Path.055753.jpg" TargetMode="External"/><Relationship Id="rId357" Type="http://schemas.openxmlformats.org/officeDocument/2006/relationships/hyperlink" Target="https://ryycrdhlkmzpxwwwwupy.supabase.co/storage/v1/object/public/old_media/e3cf4b8c.Path.055741.jpg" TargetMode="External"/><Relationship Id="rId352" Type="http://schemas.openxmlformats.org/officeDocument/2006/relationships/hyperlink" Target="https://ryycrdhlkmzpxwwwwupy.supabase.co/storage/v1/object/public/old_media/d7184dfa.Path.041940.jpg" TargetMode="External"/><Relationship Id="rId351" Type="http://schemas.openxmlformats.org/officeDocument/2006/relationships/hyperlink" Target="https://ryycrdhlkmzpxwwwwupy.supabase.co/storage/v1/object/public/old_media/f62312ad.Path.041932.jpg" TargetMode="External"/><Relationship Id="rId350" Type="http://schemas.openxmlformats.org/officeDocument/2006/relationships/hyperlink" Target="https://ryycrdhlkmzpxwwwwupy.supabase.co/storage/v1/object/public/old_media/e979ebec.Path.041924.jpg" TargetMode="External"/><Relationship Id="rId356" Type="http://schemas.openxmlformats.org/officeDocument/2006/relationships/hyperlink" Target="https://ryycrdhlkmzpxwwwwupy.supabase.co/storage/v1/object/public/old_media/4ef65cdb.Path.042026.jpg" TargetMode="External"/><Relationship Id="rId355" Type="http://schemas.openxmlformats.org/officeDocument/2006/relationships/hyperlink" Target="https://ryycrdhlkmzpxwwwwupy.supabase.co/storage/v1/object/public/old_media/a205f3bc.Path.042015.jpg" TargetMode="External"/><Relationship Id="rId354" Type="http://schemas.openxmlformats.org/officeDocument/2006/relationships/hyperlink" Target="https://ryycrdhlkmzpxwwwwupy.supabase.co/storage/v1/object/public/old_media/77fb5865.Path.042005.jpg" TargetMode="External"/><Relationship Id="rId353" Type="http://schemas.openxmlformats.org/officeDocument/2006/relationships/hyperlink" Target="https://ryycrdhlkmzpxwwwwupy.supabase.co/storage/v1/object/public/old_media/e8eb9c6c.Path.041952.jpg" TargetMode="External"/><Relationship Id="rId305" Type="http://schemas.openxmlformats.org/officeDocument/2006/relationships/hyperlink" Target="https://ryycrdhlkmzpxwwwwupy.supabase.co/storage/v1/object/public/old_media/9864d09f.Path.105012.jpg" TargetMode="External"/><Relationship Id="rId304" Type="http://schemas.openxmlformats.org/officeDocument/2006/relationships/hyperlink" Target="https://ryycrdhlkmzpxwwwwupy.supabase.co/storage/v1/object/public/old_media/5243fb99.Path.105004.jpg" TargetMode="External"/><Relationship Id="rId303" Type="http://schemas.openxmlformats.org/officeDocument/2006/relationships/hyperlink" Target="https://ryycrdhlkmzpxwwwwupy.supabase.co/storage/v1/object/public/old_media/76c306d0.Path.104955.jpg" TargetMode="External"/><Relationship Id="rId302" Type="http://schemas.openxmlformats.org/officeDocument/2006/relationships/hyperlink" Target="https://ryycrdhlkmzpxwwwwupy.supabase.co/storage/v1/object/public/old_media/d575a340.Path.104945.jpg" TargetMode="External"/><Relationship Id="rId309" Type="http://schemas.openxmlformats.org/officeDocument/2006/relationships/hyperlink" Target="https://ryycrdhlkmzpxwwwwupy.supabase.co/storage/v1/object/public/old_media/78c8a0ec.Path.105053.jpg" TargetMode="External"/><Relationship Id="rId308" Type="http://schemas.openxmlformats.org/officeDocument/2006/relationships/hyperlink" Target="https://ryycrdhlkmzpxwwwwupy.supabase.co/storage/v1/object/public/old_media/7730a5da.Path.105038.jpg" TargetMode="External"/><Relationship Id="rId307" Type="http://schemas.openxmlformats.org/officeDocument/2006/relationships/hyperlink" Target="https://ryycrdhlkmzpxwwwwupy.supabase.co/storage/v1/object/public/old_media/9fb21dc2.Path.105029.jpg" TargetMode="External"/><Relationship Id="rId306" Type="http://schemas.openxmlformats.org/officeDocument/2006/relationships/hyperlink" Target="https://ryycrdhlkmzpxwwwwupy.supabase.co/storage/v1/object/public/old_media/a8bb307a.Path.105020.jpg" TargetMode="External"/><Relationship Id="rId301" Type="http://schemas.openxmlformats.org/officeDocument/2006/relationships/hyperlink" Target="https://ryycrdhlkmzpxwwwwupy.supabase.co/storage/v1/object/public/old_media/4c79c7ee.Path.095530.jpg" TargetMode="External"/><Relationship Id="rId300" Type="http://schemas.openxmlformats.org/officeDocument/2006/relationships/hyperlink" Target="https://ryycrdhlkmzpxwwwwupy.supabase.co/storage/v1/object/public/old_media/841022b9.Path.095520.jpg" TargetMode="External"/><Relationship Id="rId327" Type="http://schemas.openxmlformats.org/officeDocument/2006/relationships/hyperlink" Target="https://ryycrdhlkmzpxwwwwupy.supabase.co/storage/v1/object/public/old_media/c1f7eb5f.Path.070051.jpg" TargetMode="External"/><Relationship Id="rId326" Type="http://schemas.openxmlformats.org/officeDocument/2006/relationships/hyperlink" Target="https://ryycrdhlkmzpxwwwwupy.supabase.co/storage/v1/object/public/old_media/33d6d28f.Path.062032.jpg" TargetMode="External"/><Relationship Id="rId325" Type="http://schemas.openxmlformats.org/officeDocument/2006/relationships/hyperlink" Target="https://ryycrdhlkmzpxwwwwupy.supabase.co/storage/v1/object/public/old_media/ff0c7162.Path.062017.jpg" TargetMode="External"/><Relationship Id="rId324" Type="http://schemas.openxmlformats.org/officeDocument/2006/relationships/hyperlink" Target="https://ryycrdhlkmzpxwwwwupy.supabase.co/storage/v1/object/public/old_media/669ad42b.Path.062007.jpg" TargetMode="External"/><Relationship Id="rId329" Type="http://schemas.openxmlformats.org/officeDocument/2006/relationships/hyperlink" Target="https://ryycrdhlkmzpxwwwwupy.supabase.co/storage/v1/object/public/old_media/d0d78e60.Path.072455.jpg" TargetMode="External"/><Relationship Id="rId328" Type="http://schemas.openxmlformats.org/officeDocument/2006/relationships/hyperlink" Target="https://ryycrdhlkmzpxwwwwupy.supabase.co/storage/v1/object/public/old_media/ab40c599.Path.072441.jpg" TargetMode="External"/><Relationship Id="rId323" Type="http://schemas.openxmlformats.org/officeDocument/2006/relationships/hyperlink" Target="https://ryycrdhlkmzpxwwwwupy.supabase.co/storage/v1/object/public/old_media/5c7d78e4.Path.060013.jpg" TargetMode="External"/><Relationship Id="rId322" Type="http://schemas.openxmlformats.org/officeDocument/2006/relationships/hyperlink" Target="https://ryycrdhlkmzpxwwwwupy.supabase.co/storage/v1/object/public/old_media/01df3b7c.Path.055957.jpg" TargetMode="External"/><Relationship Id="rId321" Type="http://schemas.openxmlformats.org/officeDocument/2006/relationships/hyperlink" Target="https://ryycrdhlkmzpxwwwwupy.supabase.co/storage/v1/object/public/old_media/67935dc9.Path.055943.jpg" TargetMode="External"/><Relationship Id="rId320" Type="http://schemas.openxmlformats.org/officeDocument/2006/relationships/hyperlink" Target="https://ryycrdhlkmzpxwwwwupy.supabase.co/storage/v1/object/public/old_media/3f4299f5.Path.055931.jpg" TargetMode="External"/><Relationship Id="rId316" Type="http://schemas.openxmlformats.org/officeDocument/2006/relationships/hyperlink" Target="https://ryycrdhlkmzpxwwwwupy.supabase.co/storage/v1/object/public/old_media/ddd03d3e.Path.105204.jpg" TargetMode="External"/><Relationship Id="rId315" Type="http://schemas.openxmlformats.org/officeDocument/2006/relationships/hyperlink" Target="https://ryycrdhlkmzpxwwwwupy.supabase.co/storage/v1/object/public/old_media/e14921de.Path.105143.jpg" TargetMode="External"/><Relationship Id="rId314" Type="http://schemas.openxmlformats.org/officeDocument/2006/relationships/hyperlink" Target="https://ryycrdhlkmzpxwwwwupy.supabase.co/storage/v1/object/public/old_media/3dba8e8f.Path.105135.jpg" TargetMode="External"/><Relationship Id="rId313" Type="http://schemas.openxmlformats.org/officeDocument/2006/relationships/hyperlink" Target="https://ryycrdhlkmzpxwwwwupy.supabase.co/storage/v1/object/public/old_media/d36a50be.Path.105128.jpg" TargetMode="External"/><Relationship Id="rId319" Type="http://schemas.openxmlformats.org/officeDocument/2006/relationships/hyperlink" Target="https://ryycrdhlkmzpxwwwwupy.supabase.co/storage/v1/object/public/old_media/bdfa7b2c.Path.055914.jpg" TargetMode="External"/><Relationship Id="rId318" Type="http://schemas.openxmlformats.org/officeDocument/2006/relationships/hyperlink" Target="https://ryycrdhlkmzpxwwwwupy.supabase.co/storage/v1/object/public/old_media/8955c03c.Path.055905.jpg" TargetMode="External"/><Relationship Id="rId317" Type="http://schemas.openxmlformats.org/officeDocument/2006/relationships/hyperlink" Target="https://ryycrdhlkmzpxwwwwupy.supabase.co/storage/v1/object/public/old_media/ccd9eec9.Path.055854.jpg" TargetMode="External"/><Relationship Id="rId312" Type="http://schemas.openxmlformats.org/officeDocument/2006/relationships/hyperlink" Target="https://ryycrdhlkmzpxwwwwupy.supabase.co/storage/v1/object/public/old_media/fbfb0c53.Path.105119.jpg" TargetMode="External"/><Relationship Id="rId311" Type="http://schemas.openxmlformats.org/officeDocument/2006/relationships/hyperlink" Target="https://ryycrdhlkmzpxwwwwupy.supabase.co/storage/v1/object/public/old_media/e848fef4.Path.105111.jpg" TargetMode="External"/><Relationship Id="rId310" Type="http://schemas.openxmlformats.org/officeDocument/2006/relationships/hyperlink" Target="https://ryycrdhlkmzpxwwwwupy.supabase.co/storage/v1/object/public/old_media/711d7bd8.Path.105102.jpg" TargetMode="External"/><Relationship Id="rId297" Type="http://schemas.openxmlformats.org/officeDocument/2006/relationships/hyperlink" Target="https://ryycrdhlkmzpxwwwwupy.supabase.co/storage/v1/object/public/old_media/369b458b.Path.095437.jpg" TargetMode="External"/><Relationship Id="rId296" Type="http://schemas.openxmlformats.org/officeDocument/2006/relationships/hyperlink" Target="https://ryycrdhlkmzpxwwwwupy.supabase.co/storage/v1/object/public/old_media/017987c6.Path.051810.jpg" TargetMode="External"/><Relationship Id="rId295" Type="http://schemas.openxmlformats.org/officeDocument/2006/relationships/hyperlink" Target="https://ryycrdhlkmzpxwwwwupy.supabase.co/storage/v1/object/public/old_media/e5f5931a.Path.051726.jpg" TargetMode="External"/><Relationship Id="rId294" Type="http://schemas.openxmlformats.org/officeDocument/2006/relationships/hyperlink" Target="https://ryycrdhlkmzpxwwwwupy.supabase.co/storage/v1/object/public/old_media/386b7715.Path.051651.jpg" TargetMode="External"/><Relationship Id="rId299" Type="http://schemas.openxmlformats.org/officeDocument/2006/relationships/hyperlink" Target="https://ryycrdhlkmzpxwwwwupy.supabase.co/storage/v1/object/public/old_media/06cbe133.Path.095508.jpg" TargetMode="External"/><Relationship Id="rId298" Type="http://schemas.openxmlformats.org/officeDocument/2006/relationships/hyperlink" Target="https://ryycrdhlkmzpxwwwwupy.supabase.co/storage/v1/object/public/old_media/31f8e04c.Path.095448.jpg" TargetMode="External"/><Relationship Id="rId271" Type="http://schemas.openxmlformats.org/officeDocument/2006/relationships/hyperlink" Target="https://ryycrdhlkmzpxwwwwupy.supabase.co/storage/v1/object/public/old_media/c9849f9d.Path.050538.jpg" TargetMode="External"/><Relationship Id="rId270" Type="http://schemas.openxmlformats.org/officeDocument/2006/relationships/hyperlink" Target="https://ryycrdhlkmzpxwwwwupy.supabase.co/storage/v1/object/public/old_media/2735b1c2.Path.050517.jpg" TargetMode="External"/><Relationship Id="rId269" Type="http://schemas.openxmlformats.org/officeDocument/2006/relationships/hyperlink" Target="https://ryycrdhlkmzpxwwwwupy.supabase.co/storage/v1/object/public/old_media/9a94af4e.Path.050421.jpg" TargetMode="External"/><Relationship Id="rId264" Type="http://schemas.openxmlformats.org/officeDocument/2006/relationships/hyperlink" Target="https://ryycrdhlkmzpxwwwwupy.supabase.co/storage/v1/object/public/old_media/23db123f.Path.120316.png" TargetMode="External"/><Relationship Id="rId263" Type="http://schemas.openxmlformats.org/officeDocument/2006/relationships/hyperlink" Target="https://ryycrdhlkmzpxwwwwupy.supabase.co/storage/v1/object/public/old_media/c1c0565e.Path.114807.jpg" TargetMode="External"/><Relationship Id="rId262" Type="http://schemas.openxmlformats.org/officeDocument/2006/relationships/hyperlink" Target="https://ryycrdhlkmzpxwwwwupy.supabase.co/storage/v1/object/public/old_media/529bd159.Path.114719.jpg" TargetMode="External"/><Relationship Id="rId261" Type="http://schemas.openxmlformats.org/officeDocument/2006/relationships/hyperlink" Target="https://ryycrdhlkmzpxwwwwupy.supabase.co/storage/v1/object/public/old_media/69b48885.Path.114622.jpg" TargetMode="External"/><Relationship Id="rId268" Type="http://schemas.openxmlformats.org/officeDocument/2006/relationships/hyperlink" Target="https://ryycrdhlkmzpxwwwwupy.supabase.co/storage/v1/object/public/old_media/42c881cb.Path.120537.png" TargetMode="External"/><Relationship Id="rId267" Type="http://schemas.openxmlformats.org/officeDocument/2006/relationships/hyperlink" Target="https://ryycrdhlkmzpxwwwwupy.supabase.co/storage/v1/object/public/old_media/60f5e85a.Path.120511.png" TargetMode="External"/><Relationship Id="rId266" Type="http://schemas.openxmlformats.org/officeDocument/2006/relationships/hyperlink" Target="https://ryycrdhlkmzpxwwwwupy.supabase.co/storage/v1/object/public/old_media/f12a82eb.Path.120439.png" TargetMode="External"/><Relationship Id="rId265" Type="http://schemas.openxmlformats.org/officeDocument/2006/relationships/hyperlink" Target="https://ryycrdhlkmzpxwwwwupy.supabase.co/storage/v1/object/public/old_media/668c9e81.Path.120401.png" TargetMode="External"/><Relationship Id="rId260" Type="http://schemas.openxmlformats.org/officeDocument/2006/relationships/hyperlink" Target="https://ryycrdhlkmzpxwwwwupy.supabase.co/storage/v1/object/public/old_media/f9710951.Path.114520.jpg" TargetMode="External"/><Relationship Id="rId259" Type="http://schemas.openxmlformats.org/officeDocument/2006/relationships/hyperlink" Target="https://ryycrdhlkmzpxwwwwupy.supabase.co/storage/v1/object/public/old_media/b62293e1.Path.114421.jpg" TargetMode="External"/><Relationship Id="rId258" Type="http://schemas.openxmlformats.org/officeDocument/2006/relationships/hyperlink" Target="https://ryycrdhlkmzpxwwwwupy.supabase.co/storage/v1/object/public/old_media/8740d857.Path.114306.jpg" TargetMode="External"/><Relationship Id="rId253" Type="http://schemas.openxmlformats.org/officeDocument/2006/relationships/hyperlink" Target="https://ryycrdhlkmzpxwwwwupy.supabase.co/storage/v1/object/public/old_media/903c5b8f.Path.113454.jpg" TargetMode="External"/><Relationship Id="rId252" Type="http://schemas.openxmlformats.org/officeDocument/2006/relationships/hyperlink" Target="https://ryycrdhlkmzpxwwwwupy.supabase.co/storage/v1/object/public/old_media/a40e5f4b.Path.111219.jpg" TargetMode="External"/><Relationship Id="rId251" Type="http://schemas.openxmlformats.org/officeDocument/2006/relationships/hyperlink" Target="https://ryycrdhlkmzpxwwwwupy.supabase.co/storage/v1/object/public/old_media/2557c0f9.Path.111100.jpg" TargetMode="External"/><Relationship Id="rId250" Type="http://schemas.openxmlformats.org/officeDocument/2006/relationships/hyperlink" Target="https://ryycrdhlkmzpxwwwwupy.supabase.co/storage/v1/object/public/old_media/2015d545.Path.111047.jpg" TargetMode="External"/><Relationship Id="rId257" Type="http://schemas.openxmlformats.org/officeDocument/2006/relationships/hyperlink" Target="https://ryycrdhlkmzpxwwwwupy.supabase.co/storage/v1/object/public/old_media/40d3fadb.Path.114134.jpg" TargetMode="External"/><Relationship Id="rId256" Type="http://schemas.openxmlformats.org/officeDocument/2006/relationships/hyperlink" Target="https://ryycrdhlkmzpxwwwwupy.supabase.co/storage/v1/object/public/old_media/d2acbb7d.Path.114015.jpg" TargetMode="External"/><Relationship Id="rId255" Type="http://schemas.openxmlformats.org/officeDocument/2006/relationships/hyperlink" Target="https://ryycrdhlkmzpxwwwwupy.supabase.co/storage/v1/object/public/old_media/69e77c69.Path.113856.jpg" TargetMode="External"/><Relationship Id="rId254" Type="http://schemas.openxmlformats.org/officeDocument/2006/relationships/hyperlink" Target="https://ryycrdhlkmzpxwwwwupy.supabase.co/storage/v1/object/public/old_media/168c5bba.Path.113703.jpg" TargetMode="External"/><Relationship Id="rId293" Type="http://schemas.openxmlformats.org/officeDocument/2006/relationships/hyperlink" Target="https://ryycrdhlkmzpxwwwwupy.supabase.co/storage/v1/object/public/old_media/e1a301df.Path.113758.jpg" TargetMode="External"/><Relationship Id="rId292" Type="http://schemas.openxmlformats.org/officeDocument/2006/relationships/hyperlink" Target="https://ryycrdhlkmzpxwwwwupy.supabase.co/storage/v1/object/public/old_media/43565317.Path.113505.jpg" TargetMode="External"/><Relationship Id="rId291" Type="http://schemas.openxmlformats.org/officeDocument/2006/relationships/hyperlink" Target="https://ryycrdhlkmzpxwwwwupy.supabase.co/storage/v1/object/public/old_media/7461c2d0.Path.113451.jpg" TargetMode="External"/><Relationship Id="rId290" Type="http://schemas.openxmlformats.org/officeDocument/2006/relationships/hyperlink" Target="https://ryycrdhlkmzpxwwwwupy.supabase.co/storage/v1/object/public/old_media/9f70911a.Path.113433.jpg" TargetMode="External"/><Relationship Id="rId286" Type="http://schemas.openxmlformats.org/officeDocument/2006/relationships/hyperlink" Target="https://ryycrdhlkmzpxwwwwupy.supabase.co/storage/v1/object/public/old_media/bbcaf2e1.Path.112944.jpg" TargetMode="External"/><Relationship Id="rId285" Type="http://schemas.openxmlformats.org/officeDocument/2006/relationships/hyperlink" Target="https://ryycrdhlkmzpxwwwwupy.supabase.co/storage/v1/object/public/old_media/8c85927a.Path.112930.jpg" TargetMode="External"/><Relationship Id="rId284" Type="http://schemas.openxmlformats.org/officeDocument/2006/relationships/hyperlink" Target="https://ryycrdhlkmzpxwwwwupy.supabase.co/storage/v1/object/public/old_media/e51a59e2.Path.112833.jpg" TargetMode="External"/><Relationship Id="rId283" Type="http://schemas.openxmlformats.org/officeDocument/2006/relationships/hyperlink" Target="https://ryycrdhlkmzpxwwwwupy.supabase.co/storage/v1/object/public/old_media/07eb5622.Path.112814.jpg" TargetMode="External"/><Relationship Id="rId289" Type="http://schemas.openxmlformats.org/officeDocument/2006/relationships/hyperlink" Target="https://ryycrdhlkmzpxwwwwupy.supabase.co/storage/v1/object/public/old_media/830c2b1b.Path.113132.jpg" TargetMode="External"/><Relationship Id="rId288" Type="http://schemas.openxmlformats.org/officeDocument/2006/relationships/hyperlink" Target="https://ryycrdhlkmzpxwwwwupy.supabase.co/storage/v1/object/public/old_media/beae4a8e.Path.113059.jpg" TargetMode="External"/><Relationship Id="rId287" Type="http://schemas.openxmlformats.org/officeDocument/2006/relationships/hyperlink" Target="https://ryycrdhlkmzpxwwwwupy.supabase.co/storage/v1/object/public/old_media/020eaa86.Path.113032.jpg" TargetMode="External"/><Relationship Id="rId282" Type="http://schemas.openxmlformats.org/officeDocument/2006/relationships/hyperlink" Target="https://ryycrdhlkmzpxwwwwupy.supabase.co/storage/v1/object/public/old_media/67202eea.Path.112754.jpg" TargetMode="External"/><Relationship Id="rId281" Type="http://schemas.openxmlformats.org/officeDocument/2006/relationships/hyperlink" Target="https://ryycrdhlkmzpxwwwwupy.supabase.co/storage/v1/object/public/old_media/0c9c2173.Path.112646.jpg" TargetMode="External"/><Relationship Id="rId280" Type="http://schemas.openxmlformats.org/officeDocument/2006/relationships/hyperlink" Target="https://ryycrdhlkmzpxwwwwupy.supabase.co/storage/v1/object/public/old_media/5f12c61f.Path.111055.jpg" TargetMode="External"/><Relationship Id="rId275" Type="http://schemas.openxmlformats.org/officeDocument/2006/relationships/hyperlink" Target="https://ryycrdhlkmzpxwwwwupy.supabase.co/storage/v1/object/public/old_media/7890f819.Path.104450.jpg" TargetMode="External"/><Relationship Id="rId274" Type="http://schemas.openxmlformats.org/officeDocument/2006/relationships/hyperlink" Target="https://ryycrdhlkmzpxwwwwupy.supabase.co/storage/v1/object/public/old_media/98e3f840.Path.050616.jpg" TargetMode="External"/><Relationship Id="rId273" Type="http://schemas.openxmlformats.org/officeDocument/2006/relationships/hyperlink" Target="https://ryycrdhlkmzpxwwwwupy.supabase.co/storage/v1/object/public/old_media/a8d59be9.Path.050555.jpg" TargetMode="External"/><Relationship Id="rId272" Type="http://schemas.openxmlformats.org/officeDocument/2006/relationships/hyperlink" Target="https://ryycrdhlkmzpxwwwwupy.supabase.co/storage/v1/object/public/old_media/e29a2824.Path.050546.jpg" TargetMode="External"/><Relationship Id="rId279" Type="http://schemas.openxmlformats.org/officeDocument/2006/relationships/hyperlink" Target="https://ryycrdhlkmzpxwwwwupy.supabase.co/storage/v1/object/public/old_media/c3ac7526.Path.111021.jpg" TargetMode="External"/><Relationship Id="rId278" Type="http://schemas.openxmlformats.org/officeDocument/2006/relationships/hyperlink" Target="https://ryycrdhlkmzpxwwwwupy.supabase.co/storage/v1/object/public/old_media/e152ff47.Path.110945.jpg" TargetMode="External"/><Relationship Id="rId277" Type="http://schemas.openxmlformats.org/officeDocument/2006/relationships/hyperlink" Target="https://ryycrdhlkmzpxwwwwupy.supabase.co/storage/v1/object/public/old_media/d9ff444a.Path.110900.jpg" TargetMode="External"/><Relationship Id="rId276" Type="http://schemas.openxmlformats.org/officeDocument/2006/relationships/hyperlink" Target="https://ryycrdhlkmzpxwwwwupy.supabase.co/storage/v1/object/public/old_media/b4af1a5d.Path.110828.jpg" TargetMode="External"/><Relationship Id="rId228" Type="http://schemas.openxmlformats.org/officeDocument/2006/relationships/hyperlink" Target="https://ryycrdhlkmzpxwwwwupy.supabase.co/storage/v1/object/public/old_media/a7389ae7.Path.091511.jpg" TargetMode="External"/><Relationship Id="rId227" Type="http://schemas.openxmlformats.org/officeDocument/2006/relationships/hyperlink" Target="https://ryycrdhlkmzpxwwwwupy.supabase.co/storage/v1/object/public/old_media/2fc32219.Path.091457.jpg" TargetMode="External"/><Relationship Id="rId226" Type="http://schemas.openxmlformats.org/officeDocument/2006/relationships/hyperlink" Target="https://ryycrdhlkmzpxwwwwupy.supabase.co/storage/v1/object/public/old_media/f25f85c9.Path.091432.png" TargetMode="External"/><Relationship Id="rId225" Type="http://schemas.openxmlformats.org/officeDocument/2006/relationships/hyperlink" Target="https://ryycrdhlkmzpxwwwwupy.supabase.co/storage/v1/object/public/old_media/625474ac.Path.063429.webp" TargetMode="External"/><Relationship Id="rId229" Type="http://schemas.openxmlformats.org/officeDocument/2006/relationships/hyperlink" Target="https://ryycrdhlkmzpxwwwwupy.supabase.co/storage/v1/object/public/old_media/fb253c59.Path.091552.png" TargetMode="External"/><Relationship Id="rId220" Type="http://schemas.openxmlformats.org/officeDocument/2006/relationships/hyperlink" Target="https://ryycrdhlkmzpxwwwwupy.supabase.co/storage/v1/object/public/old_media/f1b879dd.Path.063308.jpg" TargetMode="External"/><Relationship Id="rId224" Type="http://schemas.openxmlformats.org/officeDocument/2006/relationships/hyperlink" Target="https://ryycrdhlkmzpxwwwwupy.supabase.co/storage/v1/object/public/old_media/91b178fa.Path.063412.jpg" TargetMode="External"/><Relationship Id="rId223" Type="http://schemas.openxmlformats.org/officeDocument/2006/relationships/hyperlink" Target="https://ryycrdhlkmzpxwwwwupy.supabase.co/storage/v1/object/public/old_media/754a59f8.Path.063353.jpg" TargetMode="External"/><Relationship Id="rId222" Type="http://schemas.openxmlformats.org/officeDocument/2006/relationships/hyperlink" Target="https://ryycrdhlkmzpxwwwwupy.supabase.co/storage/v1/object/public/old_media/539222a0.Path.063332.png" TargetMode="External"/><Relationship Id="rId221" Type="http://schemas.openxmlformats.org/officeDocument/2006/relationships/hyperlink" Target="https://ryycrdhlkmzpxwwwwupy.supabase.co/storage/v1/object/public/old_media/7b49b5c1.Path.064447.jpg" TargetMode="External"/><Relationship Id="rId217" Type="http://schemas.openxmlformats.org/officeDocument/2006/relationships/hyperlink" Target="https://ryycrdhlkmzpxwwwwupy.supabase.co/storage/v1/object/public/old_media/1047fa31.Path.063117.jpg" TargetMode="External"/><Relationship Id="rId216" Type="http://schemas.openxmlformats.org/officeDocument/2006/relationships/hyperlink" Target="https://ryycrdhlkmzpxwwwwupy.supabase.co/storage/v1/object/public/old_media/f0fa7d8e.Path.063108.jpg" TargetMode="External"/><Relationship Id="rId215" Type="http://schemas.openxmlformats.org/officeDocument/2006/relationships/hyperlink" Target="https://ryycrdhlkmzpxwwwwupy.supabase.co/storage/v1/object/public/old_media/5fa6a90d.Path.063047.jpg" TargetMode="External"/><Relationship Id="rId214" Type="http://schemas.openxmlformats.org/officeDocument/2006/relationships/hyperlink" Target="https://ryycrdhlkmzpxwwwwupy.supabase.co/storage/v1/object/public/old_media/efc54c7f.Path.063025.jpg" TargetMode="External"/><Relationship Id="rId219" Type="http://schemas.openxmlformats.org/officeDocument/2006/relationships/hyperlink" Target="https://ryycrdhlkmzpxwwwwupy.supabase.co/storage/v1/object/public/old_media/fe27ad33.Path.063249.jpg" TargetMode="External"/><Relationship Id="rId218" Type="http://schemas.openxmlformats.org/officeDocument/2006/relationships/hyperlink" Target="https://ryycrdhlkmzpxwwwwupy.supabase.co/storage/v1/object/public/old_media/a19eeec6.Path.063136.jpg" TargetMode="External"/><Relationship Id="rId213" Type="http://schemas.openxmlformats.org/officeDocument/2006/relationships/hyperlink" Target="https://ryycrdhlkmzpxwwwwupy.supabase.co/storage/v1/object/public/old_media/78aa2e78.Path.063005.jpg" TargetMode="External"/><Relationship Id="rId212" Type="http://schemas.openxmlformats.org/officeDocument/2006/relationships/hyperlink" Target="https://ryycrdhlkmzpxwwwwupy.supabase.co/storage/v1/object/public/old_media/01a41ef9.Path.043543.jpg" TargetMode="External"/><Relationship Id="rId211" Type="http://schemas.openxmlformats.org/officeDocument/2006/relationships/hyperlink" Target="https://ryycrdhlkmzpxwwwwupy.supabase.co/storage/v1/object/public/old_media/0cec7573.Path.043502.jpg" TargetMode="External"/><Relationship Id="rId210" Type="http://schemas.openxmlformats.org/officeDocument/2006/relationships/hyperlink" Target="https://ryycrdhlkmzpxwwwwupy.supabase.co/storage/v1/object/public/old_media/ed4004c3.Path.043444.jpg" TargetMode="External"/><Relationship Id="rId249" Type="http://schemas.openxmlformats.org/officeDocument/2006/relationships/hyperlink" Target="https://ryycrdhlkmzpxwwwwupy.supabase.co/storage/v1/object/public/old_media/de43be34.Path.111033.jpg" TargetMode="External"/><Relationship Id="rId248" Type="http://schemas.openxmlformats.org/officeDocument/2006/relationships/hyperlink" Target="https://ryycrdhlkmzpxwwwwupy.supabase.co/storage/v1/object/public/old_media/bb36ea28.Path.111021.jpg" TargetMode="External"/><Relationship Id="rId247" Type="http://schemas.openxmlformats.org/officeDocument/2006/relationships/hyperlink" Target="https://ryycrdhlkmzpxwwwwupy.supabase.co/storage/v1/object/public/old_media/d8c34193.Path.111008.jpg" TargetMode="External"/><Relationship Id="rId242" Type="http://schemas.openxmlformats.org/officeDocument/2006/relationships/hyperlink" Target="https://ryycrdhlkmzpxwwwwupy.supabase.co/storage/v1/object/public/old_media/3ef51f8e.Path.102041.jpg" TargetMode="External"/><Relationship Id="rId241" Type="http://schemas.openxmlformats.org/officeDocument/2006/relationships/hyperlink" Target="https://ryycrdhlkmzpxwwwwupy.supabase.co/storage/v1/object/public/old_media/1882dd47.Path.102031.jpg" TargetMode="External"/><Relationship Id="rId240" Type="http://schemas.openxmlformats.org/officeDocument/2006/relationships/hyperlink" Target="https://ryycrdhlkmzpxwwwwupy.supabase.co/storage/v1/object/public/old_media/1af33d9f.Path.102013.jpg" TargetMode="External"/><Relationship Id="rId246" Type="http://schemas.openxmlformats.org/officeDocument/2006/relationships/hyperlink" Target="https://ryycrdhlkmzpxwwwwupy.supabase.co/storage/v1/object/public/old_media/13ca7f83.Path.110950.jpg" TargetMode="External"/><Relationship Id="rId245" Type="http://schemas.openxmlformats.org/officeDocument/2006/relationships/hyperlink" Target="https://ryycrdhlkmzpxwwwwupy.supabase.co/storage/v1/object/public/old_media/7307b4a2.Path.102718.jpg" TargetMode="External"/><Relationship Id="rId244" Type="http://schemas.openxmlformats.org/officeDocument/2006/relationships/hyperlink" Target="https://ryycrdhlkmzpxwwwwupy.supabase.co/storage/v1/object/public/old_media/e080f429.Path.102710.jpg" TargetMode="External"/><Relationship Id="rId243" Type="http://schemas.openxmlformats.org/officeDocument/2006/relationships/hyperlink" Target="https://ryycrdhlkmzpxwwwwupy.supabase.co/storage/v1/object/public/old_media/67578e9d.Path.102112.jpg" TargetMode="External"/><Relationship Id="rId239" Type="http://schemas.openxmlformats.org/officeDocument/2006/relationships/hyperlink" Target="https://ryycrdhlkmzpxwwwwupy.supabase.co/storage/v1/object/public/old_media/e9b528cf.Path.091904.png" TargetMode="External"/><Relationship Id="rId238" Type="http://schemas.openxmlformats.org/officeDocument/2006/relationships/hyperlink" Target="https://ryycrdhlkmzpxwwwwupy.supabase.co/storage/v1/object/public/old_media/67f2ea25.Path.091843.png" TargetMode="External"/><Relationship Id="rId237" Type="http://schemas.openxmlformats.org/officeDocument/2006/relationships/hyperlink" Target="https://ryycrdhlkmzpxwwwwupy.supabase.co/storage/v1/object/public/old_media/08314c6a.Path.091831.png" TargetMode="External"/><Relationship Id="rId236" Type="http://schemas.openxmlformats.org/officeDocument/2006/relationships/hyperlink" Target="https://ryycrdhlkmzpxwwwwupy.supabase.co/storage/v1/object/public/old_media/27065cf4.Path.091802.jpg" TargetMode="External"/><Relationship Id="rId231" Type="http://schemas.openxmlformats.org/officeDocument/2006/relationships/hyperlink" Target="https://ryycrdhlkmzpxwwwwupy.supabase.co/storage/v1/object/public/old_media/6ef467c0.Path.091635.png" TargetMode="External"/><Relationship Id="rId230" Type="http://schemas.openxmlformats.org/officeDocument/2006/relationships/hyperlink" Target="https://ryycrdhlkmzpxwwwwupy.supabase.co/storage/v1/object/public/old_media/95f43714.Path.091613.png" TargetMode="External"/><Relationship Id="rId235" Type="http://schemas.openxmlformats.org/officeDocument/2006/relationships/hyperlink" Target="https://ryycrdhlkmzpxwwwwupy.supabase.co/storage/v1/object/public/old_media/86a7dc98.Path.091754.jpg" TargetMode="External"/><Relationship Id="rId234" Type="http://schemas.openxmlformats.org/officeDocument/2006/relationships/hyperlink" Target="https://ryycrdhlkmzpxwwwwupy.supabase.co/storage/v1/object/public/old_media/0980c6d0.Path.091733.jpg" TargetMode="External"/><Relationship Id="rId233" Type="http://schemas.openxmlformats.org/officeDocument/2006/relationships/hyperlink" Target="https://ryycrdhlkmzpxwwwwupy.supabase.co/storage/v1/object/public/old_media/2e83fbda.Path.091702.jpg" TargetMode="External"/><Relationship Id="rId232" Type="http://schemas.openxmlformats.org/officeDocument/2006/relationships/hyperlink" Target="https://ryycrdhlkmzpxwwwwupy.supabase.co/storage/v1/object/public/old_media/6016dd3f.Path.091644.png" TargetMode="External"/><Relationship Id="rId206" Type="http://schemas.openxmlformats.org/officeDocument/2006/relationships/hyperlink" Target="https://ryycrdhlkmzpxwwwwupy.supabase.co/storage/v1/object/public/old_media/7d8d04df.Path.041826.jpg" TargetMode="External"/><Relationship Id="rId205" Type="http://schemas.openxmlformats.org/officeDocument/2006/relationships/hyperlink" Target="https://ryycrdhlkmzpxwwwwupy.supabase.co/storage/v1/object/public/old_media/82b8ad20.Path.041818.jpg" TargetMode="External"/><Relationship Id="rId204" Type="http://schemas.openxmlformats.org/officeDocument/2006/relationships/hyperlink" Target="https://ryycrdhlkmzpxwwwwupy.supabase.co/storage/v1/object/public/old_media/67c02273.Path.041758.jpg" TargetMode="External"/><Relationship Id="rId203" Type="http://schemas.openxmlformats.org/officeDocument/2006/relationships/hyperlink" Target="https://ryycrdhlkmzpxwwwwupy.supabase.co/storage/v1/object/public/old_media/dfc332e3.Path.041739.jpg" TargetMode="External"/><Relationship Id="rId209" Type="http://schemas.openxmlformats.org/officeDocument/2006/relationships/hyperlink" Target="https://ryycrdhlkmzpxwwwwupy.supabase.co/storage/v1/object/public/old_media/8338c80c.Path.043427.jpg" TargetMode="External"/><Relationship Id="rId208" Type="http://schemas.openxmlformats.org/officeDocument/2006/relationships/hyperlink" Target="https://ryycrdhlkmzpxwwwwupy.supabase.co/storage/v1/object/public/old_media/01c7bcb7.Path.043402.jpg" TargetMode="External"/><Relationship Id="rId207" Type="http://schemas.openxmlformats.org/officeDocument/2006/relationships/hyperlink" Target="https://ryycrdhlkmzpxwwwwupy.supabase.co/storage/v1/object/public/old_media/a8afecec.Path.041845.jpg" TargetMode="External"/><Relationship Id="rId202" Type="http://schemas.openxmlformats.org/officeDocument/2006/relationships/hyperlink" Target="https://ryycrdhlkmzpxwwwwupy.supabase.co/storage/v1/object/public/old_media/d194e630.Path.041715.jpg" TargetMode="External"/><Relationship Id="rId201" Type="http://schemas.openxmlformats.org/officeDocument/2006/relationships/hyperlink" Target="https://ryycrdhlkmzpxwwwwupy.supabase.co/storage/v1/object/public/old_media/387cd8c9.Path.114625.jpg" TargetMode="External"/><Relationship Id="rId200" Type="http://schemas.openxmlformats.org/officeDocument/2006/relationships/hyperlink" Target="https://ryycrdhlkmzpxwwwwupy.supabase.co/storage/v1/object/public/old_media/08bf2265.Path.051754.jpg" TargetMode="External"/><Relationship Id="rId509" Type="http://schemas.openxmlformats.org/officeDocument/2006/relationships/hyperlink" Target="https://ryycrdhlkmzpxwwwwupy.supabase.co/storage/v1/object/public/old_media/e7d4d7df.Path.112315.jpg" TargetMode="External"/><Relationship Id="rId508" Type="http://schemas.openxmlformats.org/officeDocument/2006/relationships/hyperlink" Target="https://ryycrdhlkmzpxwwwwupy.supabase.co/storage/v1/object/public/old_media/75570e0e.Path.112305.jpg" TargetMode="External"/><Relationship Id="rId503" Type="http://schemas.openxmlformats.org/officeDocument/2006/relationships/hyperlink" Target="https://ryycrdhlkmzpxwwwwupy.supabase.co/storage/v1/object/public/old_media/041d4102.Path.093218.jpg" TargetMode="External"/><Relationship Id="rId502" Type="http://schemas.openxmlformats.org/officeDocument/2006/relationships/hyperlink" Target="https://ryycrdhlkmzpxwwwwupy.supabase.co/storage/v1/object/public/old_media/03f9753d.Path.093205.jpg" TargetMode="External"/><Relationship Id="rId501" Type="http://schemas.openxmlformats.org/officeDocument/2006/relationships/hyperlink" Target="https://ryycrdhlkmzpxwwwwupy.supabase.co/storage/v1/object/public/old_media/10d9f617.Path.093152.jpg" TargetMode="External"/><Relationship Id="rId500" Type="http://schemas.openxmlformats.org/officeDocument/2006/relationships/hyperlink" Target="https://ryycrdhlkmzpxwwwwupy.supabase.co/storage/v1/object/public/old_media/83735996.Path.093134.jpg" TargetMode="External"/><Relationship Id="rId507" Type="http://schemas.openxmlformats.org/officeDocument/2006/relationships/hyperlink" Target="https://ryycrdhlkmzpxwwwwupy.supabase.co/storage/v1/object/public/old_media/29a25436.Path.094702.jpg" TargetMode="External"/><Relationship Id="rId506" Type="http://schemas.openxmlformats.org/officeDocument/2006/relationships/hyperlink" Target="https://ryycrdhlkmzpxwwwwupy.supabase.co/storage/v1/object/public/old_media/bfde5cdc.Path.094654.jpg" TargetMode="External"/><Relationship Id="rId505" Type="http://schemas.openxmlformats.org/officeDocument/2006/relationships/hyperlink" Target="https://ryycrdhlkmzpxwwwwupy.supabase.co/storage/v1/object/public/old_media/b5702dba.Path.094645.jpg" TargetMode="External"/><Relationship Id="rId504" Type="http://schemas.openxmlformats.org/officeDocument/2006/relationships/hyperlink" Target="https://ryycrdhlkmzpxwwwwupy.supabase.co/storage/v1/object/public/old_media/bd2ae4e7.Path.093411.jpg" TargetMode="External"/><Relationship Id="rId525" Type="http://schemas.openxmlformats.org/officeDocument/2006/relationships/hyperlink" Target="https://ryycrdhlkmzpxwwwwupy.supabase.co/storage/v1/object/public/old_media/1a178ad6.Path.122405.jpg" TargetMode="External"/><Relationship Id="rId524" Type="http://schemas.openxmlformats.org/officeDocument/2006/relationships/hyperlink" Target="https://ryycrdhlkmzpxwwwwupy.supabase.co/storage/v1/object/public/old_media/86ff18b6.Path.120933.jpg" TargetMode="External"/><Relationship Id="rId523" Type="http://schemas.openxmlformats.org/officeDocument/2006/relationships/hyperlink" Target="https://ryycrdhlkmzpxwwwwupy.supabase.co/storage/v1/object/public/old_media/006a3bec.Path.104625.jpg" TargetMode="External"/><Relationship Id="rId522" Type="http://schemas.openxmlformats.org/officeDocument/2006/relationships/hyperlink" Target="https://ryycrdhlkmzpxwwwwupy.supabase.co/storage/v1/object/public/old_media/4db5963b.Path.095331.jpg" TargetMode="External"/><Relationship Id="rId529" Type="http://schemas.openxmlformats.org/officeDocument/2006/relationships/hyperlink" Target="https://ryycrdhlkmzpxwwwwupy.supabase.co/storage/v1/object/public/old_media/15410aa1.Path.053030.jpg" TargetMode="External"/><Relationship Id="rId528" Type="http://schemas.openxmlformats.org/officeDocument/2006/relationships/hyperlink" Target="https://ryycrdhlkmzpxwwwwupy.supabase.co/storage/v1/object/public/old_media/6365b688.Path.052945.jpg" TargetMode="External"/><Relationship Id="rId527" Type="http://schemas.openxmlformats.org/officeDocument/2006/relationships/hyperlink" Target="https://ryycrdhlkmzpxwwwwupy.supabase.co/storage/v1/object/public/old_media/d4bfeb03.Path.052822.jpg" TargetMode="External"/><Relationship Id="rId526" Type="http://schemas.openxmlformats.org/officeDocument/2006/relationships/hyperlink" Target="https://ryycrdhlkmzpxwwwwupy.supabase.co/storage/v1/object/public/old_media/41ad5fcd.Path.061018.jpg" TargetMode="External"/><Relationship Id="rId521" Type="http://schemas.openxmlformats.org/officeDocument/2006/relationships/hyperlink" Target="https://ryycrdhlkmzpxwwwwupy.supabase.co/storage/v1/object/public/old_media/f641331d.Path.094527.jpg" TargetMode="External"/><Relationship Id="rId520" Type="http://schemas.openxmlformats.org/officeDocument/2006/relationships/hyperlink" Target="https://ryycrdhlkmzpxwwwwupy.supabase.co/storage/v1/object/public/old_media/95f95e5f.Path.092817.jpg" TargetMode="External"/><Relationship Id="rId519" Type="http://schemas.openxmlformats.org/officeDocument/2006/relationships/hyperlink" Target="https://ryycrdhlkmzpxwwwwupy.supabase.co/storage/v1/object/public/old_media/26727902.Path.074751.jpg" TargetMode="External"/><Relationship Id="rId514" Type="http://schemas.openxmlformats.org/officeDocument/2006/relationships/hyperlink" Target="https://ryycrdhlkmzpxwwwwupy.supabase.co/storage/v1/object/public/old_media/4f6d3b9a.Path.074555.jpg" TargetMode="External"/><Relationship Id="rId513" Type="http://schemas.openxmlformats.org/officeDocument/2006/relationships/hyperlink" Target="https://ryycrdhlkmzpxwwwwupy.supabase.co/storage/v1/object/public/old_media/72373394.Path.074530.jpg" TargetMode="External"/><Relationship Id="rId512" Type="http://schemas.openxmlformats.org/officeDocument/2006/relationships/hyperlink" Target="https://ryycrdhlkmzpxwwwwupy.supabase.co/storage/v1/object/public/old_media/2cedf85c.Path.091921.jpg" TargetMode="External"/><Relationship Id="rId511" Type="http://schemas.openxmlformats.org/officeDocument/2006/relationships/hyperlink" Target="https://ryycrdhlkmzpxwwwwupy.supabase.co/storage/v1/object/public/old_media/9334582b.Path.112336.jpg" TargetMode="External"/><Relationship Id="rId518" Type="http://schemas.openxmlformats.org/officeDocument/2006/relationships/hyperlink" Target="https://ryycrdhlkmzpxwwwwupy.supabase.co/storage/v1/object/public/old_media/7cb6e7da.Path.074710.jpg" TargetMode="External"/><Relationship Id="rId517" Type="http://schemas.openxmlformats.org/officeDocument/2006/relationships/hyperlink" Target="https://ryycrdhlkmzpxwwwwupy.supabase.co/storage/v1/object/public/old_media/8cc0461b.Path.074649.jpg" TargetMode="External"/><Relationship Id="rId516" Type="http://schemas.openxmlformats.org/officeDocument/2006/relationships/hyperlink" Target="https://ryycrdhlkmzpxwwwwupy.supabase.co/storage/v1/object/public/old_media/c1a752c2.Path.074626.jpg" TargetMode="External"/><Relationship Id="rId515" Type="http://schemas.openxmlformats.org/officeDocument/2006/relationships/hyperlink" Target="https://ryycrdhlkmzpxwwwwupy.supabase.co/storage/v1/object/public/old_media/8255b6c1.Path.074615.jpg" TargetMode="External"/><Relationship Id="rId510" Type="http://schemas.openxmlformats.org/officeDocument/2006/relationships/hyperlink" Target="https://ryycrdhlkmzpxwwwwupy.supabase.co/storage/v1/object/public/old_media/ee398d97.Path.112325.jpg" TargetMode="External"/><Relationship Id="rId590" Type="http://schemas.openxmlformats.org/officeDocument/2006/relationships/hyperlink" Target="https://ryycrdhlkmzpxwwwwupy.supabase.co/storage/v1/object/public/old_media/2bab541e.Path.050105.webp" TargetMode="External"/><Relationship Id="rId589" Type="http://schemas.openxmlformats.org/officeDocument/2006/relationships/hyperlink" Target="https://ryycrdhlkmzpxwwwwupy.supabase.co/storage/v1/object/public/old_media/71a746b6.Path.050054.webp" TargetMode="External"/><Relationship Id="rId588" Type="http://schemas.openxmlformats.org/officeDocument/2006/relationships/hyperlink" Target="https://ryycrdhlkmzpxwwwwupy.supabase.co/storage/v1/object/public/old_media/0c5df6e7.Path.050043.webp" TargetMode="External"/><Relationship Id="rId583" Type="http://schemas.openxmlformats.org/officeDocument/2006/relationships/hyperlink" Target="https://ryycrdhlkmzpxwwwwupy.supabase.co/storage/v1/object/public/old_media/b83b69be.Path.050243.jpg" TargetMode="External"/><Relationship Id="rId582" Type="http://schemas.openxmlformats.org/officeDocument/2006/relationships/hyperlink" Target="https://ryycrdhlkmzpxwwwwupy.supabase.co/storage/v1/object/public/old_media/5c5a280a.Path.050230.jpg" TargetMode="External"/><Relationship Id="rId581" Type="http://schemas.openxmlformats.org/officeDocument/2006/relationships/hyperlink" Target="https://ryycrdhlkmzpxwwwwupy.supabase.co/storage/v1/object/public/old_media/81c0ca92.Path.050221.jpg" TargetMode="External"/><Relationship Id="rId580" Type="http://schemas.openxmlformats.org/officeDocument/2006/relationships/hyperlink" Target="https://ryycrdhlkmzpxwwwwupy.supabase.co/storage/v1/object/public/old_media/4c0a6a23.Path.050212.jpg" TargetMode="External"/><Relationship Id="rId587" Type="http://schemas.openxmlformats.org/officeDocument/2006/relationships/hyperlink" Target="https://ryycrdhlkmzpxwwwwupy.supabase.co/storage/v1/object/public/old_media/10f67d59.Path.050032.webp" TargetMode="External"/><Relationship Id="rId586" Type="http://schemas.openxmlformats.org/officeDocument/2006/relationships/hyperlink" Target="https://ryycrdhlkmzpxwwwwupy.supabase.co/storage/v1/object/public/old_media/dd5433d2.Path.050019.webp" TargetMode="External"/><Relationship Id="rId585" Type="http://schemas.openxmlformats.org/officeDocument/2006/relationships/hyperlink" Target="https://ryycrdhlkmzpxwwwwupy.supabase.co/storage/v1/object/public/old_media/bd88942b.Path.050304.jpg" TargetMode="External"/><Relationship Id="rId584" Type="http://schemas.openxmlformats.org/officeDocument/2006/relationships/hyperlink" Target="https://ryycrdhlkmzpxwwwwupy.supabase.co/storage/v1/object/public/old_media/4ba974d2.Path.050254.jpg" TargetMode="External"/><Relationship Id="rId579" Type="http://schemas.openxmlformats.org/officeDocument/2006/relationships/hyperlink" Target="https://ryycrdhlkmzpxwwwwupy.supabase.co/storage/v1/object/public/old_media/83708150.Path.050201.jpg" TargetMode="External"/><Relationship Id="rId578" Type="http://schemas.openxmlformats.org/officeDocument/2006/relationships/hyperlink" Target="https://ryycrdhlkmzpxwwwwupy.supabase.co/storage/v1/object/public/old_media/ddbcbc82.Path.074605.jpg" TargetMode="External"/><Relationship Id="rId577" Type="http://schemas.openxmlformats.org/officeDocument/2006/relationships/hyperlink" Target="https://ryycrdhlkmzpxwwwwupy.supabase.co/storage/v1/object/public/old_media/f600a2cb.Path.074552.jpg" TargetMode="External"/><Relationship Id="rId572" Type="http://schemas.openxmlformats.org/officeDocument/2006/relationships/hyperlink" Target="https://ryycrdhlkmzpxwwwwupy.supabase.co/storage/v1/object/public/old_media/e6bcd431.Path.091535.jpg" TargetMode="External"/><Relationship Id="rId571" Type="http://schemas.openxmlformats.org/officeDocument/2006/relationships/hyperlink" Target="https://ryycrdhlkmzpxwwwwupy.supabase.co/storage/v1/object/public/old_media/e4acc937.Path.091526.jpg" TargetMode="External"/><Relationship Id="rId570" Type="http://schemas.openxmlformats.org/officeDocument/2006/relationships/hyperlink" Target="https://ryycrdhlkmzpxwwwwupy.supabase.co/storage/v1/object/public/old_media/ddf81e5f.Path.091516.jpg" TargetMode="External"/><Relationship Id="rId576" Type="http://schemas.openxmlformats.org/officeDocument/2006/relationships/hyperlink" Target="https://ryycrdhlkmzpxwwwwupy.supabase.co/storage/v1/object/public/old_media/32aea10d.Path.074539.jpg" TargetMode="External"/><Relationship Id="rId575" Type="http://schemas.openxmlformats.org/officeDocument/2006/relationships/hyperlink" Target="https://ryycrdhlkmzpxwwwwupy.supabase.co/storage/v1/object/public/old_media/4dccbdb1.Path.074531.jpg" TargetMode="External"/><Relationship Id="rId574" Type="http://schemas.openxmlformats.org/officeDocument/2006/relationships/hyperlink" Target="https://ryycrdhlkmzpxwwwwupy.supabase.co/storage/v1/object/public/old_media/be712002.Path.074523.jpg" TargetMode="External"/><Relationship Id="rId573" Type="http://schemas.openxmlformats.org/officeDocument/2006/relationships/hyperlink" Target="https://ryycrdhlkmzpxwwwwupy.supabase.co/storage/v1/object/public/old_media/a9d9ddbb.Path.091633.jpg" TargetMode="External"/><Relationship Id="rId599" Type="http://schemas.openxmlformats.org/officeDocument/2006/relationships/hyperlink" Target="https://ryycrdhlkmzpxwwwwupy.supabase.co/storage/v1/object/public/old_media/95bad7a8.Path.111214.webp" TargetMode="External"/><Relationship Id="rId594" Type="http://schemas.openxmlformats.org/officeDocument/2006/relationships/hyperlink" Target="https://ryycrdhlkmzpxwwwwupy.supabase.co/storage/v1/object/public/old_media/c13c8d73.Path.110933.webp" TargetMode="External"/><Relationship Id="rId593" Type="http://schemas.openxmlformats.org/officeDocument/2006/relationships/hyperlink" Target="https://ryycrdhlkmzpxwwwwupy.supabase.co/storage/v1/object/public/old_media/d0f24703.Path.050131.webp" TargetMode="External"/><Relationship Id="rId592" Type="http://schemas.openxmlformats.org/officeDocument/2006/relationships/hyperlink" Target="https://ryycrdhlkmzpxwwwwupy.supabase.co/storage/v1/object/public/old_media/a33549ba.Path.050122.webp" TargetMode="External"/><Relationship Id="rId591" Type="http://schemas.openxmlformats.org/officeDocument/2006/relationships/hyperlink" Target="https://ryycrdhlkmzpxwwwwupy.supabase.co/storage/v1/object/public/old_media/8a8866a6.Path.050114.webp" TargetMode="External"/><Relationship Id="rId598" Type="http://schemas.openxmlformats.org/officeDocument/2006/relationships/hyperlink" Target="https://ryycrdhlkmzpxwwwwupy.supabase.co/storage/v1/object/public/old_media/bf706060.Path.111106.webp" TargetMode="External"/><Relationship Id="rId597" Type="http://schemas.openxmlformats.org/officeDocument/2006/relationships/hyperlink" Target="https://ryycrdhlkmzpxwwwwupy.supabase.co/storage/v1/object/public/old_media/7a8d415f.Path.111057.webp" TargetMode="External"/><Relationship Id="rId596" Type="http://schemas.openxmlformats.org/officeDocument/2006/relationships/hyperlink" Target="https://ryycrdhlkmzpxwwwwupy.supabase.co/storage/v1/object/public/old_media/9defff9b.Path.111006.webp" TargetMode="External"/><Relationship Id="rId595" Type="http://schemas.openxmlformats.org/officeDocument/2006/relationships/hyperlink" Target="https://ryycrdhlkmzpxwwwwupy.supabase.co/storage/v1/object/public/old_media/1e0659bb.Path.110944.webp" TargetMode="External"/><Relationship Id="rId547" Type="http://schemas.openxmlformats.org/officeDocument/2006/relationships/hyperlink" Target="https://ryycrdhlkmzpxwwwwupy.supabase.co/storage/v1/object/public/old_media/4b0ad9bc.Path.073805.jpg" TargetMode="External"/><Relationship Id="rId546" Type="http://schemas.openxmlformats.org/officeDocument/2006/relationships/hyperlink" Target="https://ryycrdhlkmzpxwwwwupy.supabase.co/storage/v1/object/public/old_media/ffe59f55.Path.073754.jpg" TargetMode="External"/><Relationship Id="rId545" Type="http://schemas.openxmlformats.org/officeDocument/2006/relationships/hyperlink" Target="https://ryycrdhlkmzpxwwwwupy.supabase.co/storage/v1/object/public/old_media/76eb8cf5.Path.073746.jpg" TargetMode="External"/><Relationship Id="rId544" Type="http://schemas.openxmlformats.org/officeDocument/2006/relationships/hyperlink" Target="https://ryycrdhlkmzpxwwwwupy.supabase.co/storage/v1/object/public/old_media/efdfa19e.Path.073736.jpg" TargetMode="External"/><Relationship Id="rId549" Type="http://schemas.openxmlformats.org/officeDocument/2006/relationships/hyperlink" Target="https://ryycrdhlkmzpxwwwwupy.supabase.co/storage/v1/object/public/old_media/3efee823.Path.071656.jpg" TargetMode="External"/><Relationship Id="rId548" Type="http://schemas.openxmlformats.org/officeDocument/2006/relationships/hyperlink" Target="https://ryycrdhlkmzpxwwwwupy.supabase.co/storage/v1/object/public/old_media/357b9b47.Path.071643.jpg" TargetMode="External"/><Relationship Id="rId543" Type="http://schemas.openxmlformats.org/officeDocument/2006/relationships/hyperlink" Target="https://ryycrdhlkmzpxwwwwupy.supabase.co/storage/v1/object/public/old_media/9590bb87.Path.055444.jpg" TargetMode="External"/><Relationship Id="rId542" Type="http://schemas.openxmlformats.org/officeDocument/2006/relationships/hyperlink" Target="https://ryycrdhlkmzpxwwwwupy.supabase.co/storage/v1/object/public/old_media/f089fd25.Path.055436.webp" TargetMode="External"/><Relationship Id="rId541" Type="http://schemas.openxmlformats.org/officeDocument/2006/relationships/hyperlink" Target="https://ryycrdhlkmzpxwwwwupy.supabase.co/storage/v1/object/public/old_media/cfdb9404.Path.055427.webp" TargetMode="External"/><Relationship Id="rId540" Type="http://schemas.openxmlformats.org/officeDocument/2006/relationships/hyperlink" Target="https://ryycrdhlkmzpxwwwwupy.supabase.co/storage/v1/object/public/old_media/df8336f6.Path.055418.webp" TargetMode="External"/><Relationship Id="rId536" Type="http://schemas.openxmlformats.org/officeDocument/2006/relationships/hyperlink" Target="https://ryycrdhlkmzpxwwwwupy.supabase.co/storage/v1/object/public/old_media/11249518.Path.061523.jpg" TargetMode="External"/><Relationship Id="rId535" Type="http://schemas.openxmlformats.org/officeDocument/2006/relationships/hyperlink" Target="https://ryycrdhlkmzpxwwwwupy.supabase.co/storage/v1/object/public/old_media/4a8193c6.Path.061511.jpg" TargetMode="External"/><Relationship Id="rId534" Type="http://schemas.openxmlformats.org/officeDocument/2006/relationships/hyperlink" Target="https://ryycrdhlkmzpxwwwwupy.supabase.co/storage/v1/object/public/old_media/d6ef6dc6.Path.061458.jpg" TargetMode="External"/><Relationship Id="rId533" Type="http://schemas.openxmlformats.org/officeDocument/2006/relationships/hyperlink" Target="https://ryycrdhlkmzpxwwwwupy.supabase.co/storage/v1/object/public/old_media/47599047.Path.053451.jpg" TargetMode="External"/><Relationship Id="rId539" Type="http://schemas.openxmlformats.org/officeDocument/2006/relationships/hyperlink" Target="https://ryycrdhlkmzpxwwwwupy.supabase.co/storage/v1/object/public/old_media/9e0b1d26.Path.055404.webp" TargetMode="External"/><Relationship Id="rId538" Type="http://schemas.openxmlformats.org/officeDocument/2006/relationships/hyperlink" Target="https://ryycrdhlkmzpxwwwwupy.supabase.co/storage/v1/object/public/old_media/4e3c7d76.Path.061631.jpg" TargetMode="External"/><Relationship Id="rId537" Type="http://schemas.openxmlformats.org/officeDocument/2006/relationships/hyperlink" Target="https://ryycrdhlkmzpxwwwwupy.supabase.co/storage/v1/object/public/old_media/b74637c0.Path.061610.jpg" TargetMode="External"/><Relationship Id="rId532" Type="http://schemas.openxmlformats.org/officeDocument/2006/relationships/hyperlink" Target="https://ryycrdhlkmzpxwwwwupy.supabase.co/storage/v1/object/public/old_media/6d2e99f0.Path.053327.jpg" TargetMode="External"/><Relationship Id="rId531" Type="http://schemas.openxmlformats.org/officeDocument/2006/relationships/hyperlink" Target="https://ryycrdhlkmzpxwwwwupy.supabase.co/storage/v1/object/public/old_media/177cff8e.Path.053150.jpg" TargetMode="External"/><Relationship Id="rId530" Type="http://schemas.openxmlformats.org/officeDocument/2006/relationships/hyperlink" Target="https://ryycrdhlkmzpxwwwwupy.supabase.co/storage/v1/object/public/old_media/b594e5af.Path.053109.jpg" TargetMode="External"/><Relationship Id="rId569" Type="http://schemas.openxmlformats.org/officeDocument/2006/relationships/hyperlink" Target="https://ryycrdhlkmzpxwwwwupy.supabase.co/storage/v1/object/public/old_media/46a09a87.Path.091507.jpg" TargetMode="External"/><Relationship Id="rId568" Type="http://schemas.openxmlformats.org/officeDocument/2006/relationships/hyperlink" Target="https://ryycrdhlkmzpxwwwwupy.supabase.co/storage/v1/object/public/old_media/5c5d3183.Path.050405.jpg" TargetMode="External"/><Relationship Id="rId567" Type="http://schemas.openxmlformats.org/officeDocument/2006/relationships/hyperlink" Target="https://ryycrdhlkmzpxwwwwupy.supabase.co/storage/v1/object/public/old_media/681608eb.Path.070047.webp" TargetMode="External"/><Relationship Id="rId566" Type="http://schemas.openxmlformats.org/officeDocument/2006/relationships/hyperlink" Target="https://ryycrdhlkmzpxwwwwupy.supabase.co/storage/v1/object/public/old_media/b7f3be4a.Path.065959.webp" TargetMode="External"/><Relationship Id="rId561" Type="http://schemas.openxmlformats.org/officeDocument/2006/relationships/hyperlink" Target="https://ryycrdhlkmzpxwwwwupy.supabase.co/storage/v1/object/public/old_media/e6a7628c.Path.051733.jpg" TargetMode="External"/><Relationship Id="rId560" Type="http://schemas.openxmlformats.org/officeDocument/2006/relationships/hyperlink" Target="https://ryycrdhlkmzpxwwwwupy.supabase.co/storage/v1/object/public/old_media/bf029d98.Path.050033.webp" TargetMode="External"/><Relationship Id="rId565" Type="http://schemas.openxmlformats.org/officeDocument/2006/relationships/hyperlink" Target="https://ryycrdhlkmzpxwwwwupy.supabase.co/storage/v1/object/public/old_media/95ca70c8.Path.065951.webp" TargetMode="External"/><Relationship Id="rId564" Type="http://schemas.openxmlformats.org/officeDocument/2006/relationships/hyperlink" Target="https://ryycrdhlkmzpxwwwwupy.supabase.co/storage/v1/object/public/old_media/c01571d3.Path.065941.webp" TargetMode="External"/><Relationship Id="rId563" Type="http://schemas.openxmlformats.org/officeDocument/2006/relationships/hyperlink" Target="https://ryycrdhlkmzpxwwwwupy.supabase.co/storage/v1/object/public/old_media/c5283edf.Path.051807.jpg" TargetMode="External"/><Relationship Id="rId562" Type="http://schemas.openxmlformats.org/officeDocument/2006/relationships/hyperlink" Target="https://ryycrdhlkmzpxwwwwupy.supabase.co/storage/v1/object/public/old_media/24a6008a.Path.051758.jpg" TargetMode="External"/><Relationship Id="rId558" Type="http://schemas.openxmlformats.org/officeDocument/2006/relationships/hyperlink" Target="https://ryycrdhlkmzpxwwwwupy.supabase.co/storage/v1/object/public/old_media/0101f4f5.Path.050010.webp" TargetMode="External"/><Relationship Id="rId557" Type="http://schemas.openxmlformats.org/officeDocument/2006/relationships/hyperlink" Target="https://ryycrdhlkmzpxwwwwupy.supabase.co/storage/v1/object/public/old_media/5f0b19ac.Path.050000.webp" TargetMode="External"/><Relationship Id="rId556" Type="http://schemas.openxmlformats.org/officeDocument/2006/relationships/hyperlink" Target="https://ryycrdhlkmzpxwwwwupy.supabase.co/storage/v1/object/public/old_media/81dcce6c.Path.045951.webp" TargetMode="External"/><Relationship Id="rId555" Type="http://schemas.openxmlformats.org/officeDocument/2006/relationships/hyperlink" Target="https://ryycrdhlkmzpxwwwwupy.supabase.co/storage/v1/object/public/old_media/54240409.Path.045942.webp" TargetMode="External"/><Relationship Id="rId559" Type="http://schemas.openxmlformats.org/officeDocument/2006/relationships/hyperlink" Target="https://ryycrdhlkmzpxwwwwupy.supabase.co/storage/v1/object/public/old_media/820b8c6e.Path.050019.webp" TargetMode="External"/><Relationship Id="rId550" Type="http://schemas.openxmlformats.org/officeDocument/2006/relationships/hyperlink" Target="https://ryycrdhlkmzpxwwwwupy.supabase.co/storage/v1/object/public/old_media/1510342d.Path.071708.jpg" TargetMode="External"/><Relationship Id="rId554" Type="http://schemas.openxmlformats.org/officeDocument/2006/relationships/hyperlink" Target="https://ryycrdhlkmzpxwwwwupy.supabase.co/storage/v1/object/public/old_media/fc49d833.Path.045929.webp" TargetMode="External"/><Relationship Id="rId553" Type="http://schemas.openxmlformats.org/officeDocument/2006/relationships/hyperlink" Target="https://ryycrdhlkmzpxwwwwupy.supabase.co/storage/v1/object/public/old_media/9e7ddb2c.Path.045910.webp" TargetMode="External"/><Relationship Id="rId552" Type="http://schemas.openxmlformats.org/officeDocument/2006/relationships/hyperlink" Target="https://ryycrdhlkmzpxwwwwupy.supabase.co/storage/v1/object/public/old_media/683193c0.Path.110131.jpg" TargetMode="External"/><Relationship Id="rId551" Type="http://schemas.openxmlformats.org/officeDocument/2006/relationships/hyperlink" Target="https://ryycrdhlkmzpxwwwwupy.supabase.co/storage/v1/object/public/old_media/49608d77.Path.071717.jpg" TargetMode="External"/><Relationship Id="rId495" Type="http://schemas.openxmlformats.org/officeDocument/2006/relationships/hyperlink" Target="https://ryycrdhlkmzpxwwwwupy.supabase.co/storage/v1/object/public/old_media/c7e8a711.Path.093050.jpg" TargetMode="External"/><Relationship Id="rId494" Type="http://schemas.openxmlformats.org/officeDocument/2006/relationships/hyperlink" Target="https://ryycrdhlkmzpxwwwwupy.supabase.co/storage/v1/object/public/old_media/0896e4e8.Path.093040.jpg" TargetMode="External"/><Relationship Id="rId493" Type="http://schemas.openxmlformats.org/officeDocument/2006/relationships/hyperlink" Target="https://ryycrdhlkmzpxwwwwupy.supabase.co/storage/v1/object/public/old_media/028b28a3.Path.073309.jpg" TargetMode="External"/><Relationship Id="rId492" Type="http://schemas.openxmlformats.org/officeDocument/2006/relationships/hyperlink" Target="https://ryycrdhlkmzpxwwwwupy.supabase.co/storage/v1/object/public/old_media/43d600c9.Path.073254.jpg" TargetMode="External"/><Relationship Id="rId499" Type="http://schemas.openxmlformats.org/officeDocument/2006/relationships/hyperlink" Target="https://ryycrdhlkmzpxwwwwupy.supabase.co/storage/v1/object/public/old_media/a731385c.Path.093125.jpg" TargetMode="External"/><Relationship Id="rId498" Type="http://schemas.openxmlformats.org/officeDocument/2006/relationships/hyperlink" Target="https://ryycrdhlkmzpxwwwwupy.supabase.co/storage/v1/object/public/old_media/4ed4d187.Path.093117.jpg" TargetMode="External"/><Relationship Id="rId497" Type="http://schemas.openxmlformats.org/officeDocument/2006/relationships/hyperlink" Target="https://ryycrdhlkmzpxwwwwupy.supabase.co/storage/v1/object/public/old_media/5ea080d7.Path.093107.jpg" TargetMode="External"/><Relationship Id="rId496" Type="http://schemas.openxmlformats.org/officeDocument/2006/relationships/hyperlink" Target="https://ryycrdhlkmzpxwwwwupy.supabase.co/storage/v1/object/public/old_media/9c210f87.Path.093057.jpg" TargetMode="External"/><Relationship Id="rId409" Type="http://schemas.openxmlformats.org/officeDocument/2006/relationships/hyperlink" Target="https://ryycrdhlkmzpxwwwwupy.supabase.co/storage/v1/object/public/old_media/4d16f41b.Path.070559.jpg" TargetMode="External"/><Relationship Id="rId404" Type="http://schemas.openxmlformats.org/officeDocument/2006/relationships/hyperlink" Target="https://ryycrdhlkmzpxwwwwupy.supabase.co/storage/v1/object/public/old_media/631b45e2.Path.175215.png" TargetMode="External"/><Relationship Id="rId403" Type="http://schemas.openxmlformats.org/officeDocument/2006/relationships/hyperlink" Target="https://ryycrdhlkmzpxwwwwupy.supabase.co/storage/v1/object/public/old_media/aa0048d4.Path.175205.png" TargetMode="External"/><Relationship Id="rId402" Type="http://schemas.openxmlformats.org/officeDocument/2006/relationships/hyperlink" Target="https://ryycrdhlkmzpxwwwwupy.supabase.co/storage/v1/object/public/old_media/07494f0f.Path.101222.jpg" TargetMode="External"/><Relationship Id="rId401" Type="http://schemas.openxmlformats.org/officeDocument/2006/relationships/hyperlink" Target="https://ryycrdhlkmzpxwwwwupy.supabase.co/storage/v1/object/public/old_media/deed9b08.Path.101211.jpg" TargetMode="External"/><Relationship Id="rId408" Type="http://schemas.openxmlformats.org/officeDocument/2006/relationships/hyperlink" Target="https://ryycrdhlkmzpxwwwwupy.supabase.co/storage/v1/object/public/old_media/290c0bf6.Path.062648.png" TargetMode="External"/><Relationship Id="rId407" Type="http://schemas.openxmlformats.org/officeDocument/2006/relationships/hyperlink" Target="https://ryycrdhlkmzpxwwwwupy.supabase.co/storage/v1/object/public/old_media/6040d272.Path.044549.jpg" TargetMode="External"/><Relationship Id="rId406" Type="http://schemas.openxmlformats.org/officeDocument/2006/relationships/hyperlink" Target="https://ryycrdhlkmzpxwwwwupy.supabase.co/storage/v1/object/public/old_media/b498d095.Path.044524.jpg" TargetMode="External"/><Relationship Id="rId405" Type="http://schemas.openxmlformats.org/officeDocument/2006/relationships/hyperlink" Target="https://ryycrdhlkmzpxwwwwupy.supabase.co/storage/v1/object/public/old_media/3e3e3c1f.Path.044512.jpg" TargetMode="External"/><Relationship Id="rId400" Type="http://schemas.openxmlformats.org/officeDocument/2006/relationships/hyperlink" Target="https://ryycrdhlkmzpxwwwwupy.supabase.co/storage/v1/object/public/old_media/30a2384f.Path.101201.jpg" TargetMode="External"/><Relationship Id="rId469" Type="http://schemas.openxmlformats.org/officeDocument/2006/relationships/hyperlink" Target="https://ryycrdhlkmzpxwwwwupy.supabase.co/storage/v1/object/public/old_media/b6102ebc.Path.053116.jpg" TargetMode="External"/><Relationship Id="rId468" Type="http://schemas.openxmlformats.org/officeDocument/2006/relationships/hyperlink" Target="https://ryycrdhlkmzpxwwwwupy.supabase.co/storage/v1/object/public/old_media/21ffe47b.Path.053010.jpg" TargetMode="External"/><Relationship Id="rId467" Type="http://schemas.openxmlformats.org/officeDocument/2006/relationships/hyperlink" Target="https://ryycrdhlkmzpxwwwwupy.supabase.co/storage/v1/object/public/old_media/66257e7f.Path.052944.jpg" TargetMode="External"/><Relationship Id="rId462" Type="http://schemas.openxmlformats.org/officeDocument/2006/relationships/hyperlink" Target="https://ryycrdhlkmzpxwwwwupy.supabase.co/storage/v1/object/public/old_media/795794d4.Path.101247.jpg" TargetMode="External"/><Relationship Id="rId461" Type="http://schemas.openxmlformats.org/officeDocument/2006/relationships/hyperlink" Target="https://ryycrdhlkmzpxwwwwupy.supabase.co/storage/v1/object/public/old_media/b6380295.Path.100638.jpg" TargetMode="External"/><Relationship Id="rId460" Type="http://schemas.openxmlformats.org/officeDocument/2006/relationships/hyperlink" Target="https://ryycrdhlkmzpxwwwwupy.supabase.co/storage/v1/object/public/old_media/66bacf3e.Path.100618.jpg" TargetMode="External"/><Relationship Id="rId466" Type="http://schemas.openxmlformats.org/officeDocument/2006/relationships/hyperlink" Target="https://ryycrdhlkmzpxwwwwupy.supabase.co/storage/v1/object/public/old_media/6b37e16f.Path.052912.jpg" TargetMode="External"/><Relationship Id="rId465" Type="http://schemas.openxmlformats.org/officeDocument/2006/relationships/hyperlink" Target="https://ryycrdhlkmzpxwwwwupy.supabase.co/storage/v1/object/public/old_media/f890ae9f.Path.101402.jpg" TargetMode="External"/><Relationship Id="rId464" Type="http://schemas.openxmlformats.org/officeDocument/2006/relationships/hyperlink" Target="https://ryycrdhlkmzpxwwwwupy.supabase.co/storage/v1/object/public/old_media/33418ed4.Path.101320.jpg" TargetMode="External"/><Relationship Id="rId463" Type="http://schemas.openxmlformats.org/officeDocument/2006/relationships/hyperlink" Target="https://ryycrdhlkmzpxwwwwupy.supabase.co/storage/v1/object/public/old_media/bf37717c.Path.101300.jpg" TargetMode="External"/><Relationship Id="rId459" Type="http://schemas.openxmlformats.org/officeDocument/2006/relationships/hyperlink" Target="https://ryycrdhlkmzpxwwwwupy.supabase.co/storage/v1/object/public/old_media/0d56b43a.Path.100555.jpg" TargetMode="External"/><Relationship Id="rId458" Type="http://schemas.openxmlformats.org/officeDocument/2006/relationships/hyperlink" Target="https://ryycrdhlkmzpxwwwwupy.supabase.co/storage/v1/object/public/old_media/dfc007a1.Path.072443.jpg" TargetMode="External"/><Relationship Id="rId457" Type="http://schemas.openxmlformats.org/officeDocument/2006/relationships/hyperlink" Target="https://ryycrdhlkmzpxwwwwupy.supabase.co/storage/v1/object/public/old_media/e01ebd23.Path.072408.jpg" TargetMode="External"/><Relationship Id="rId456" Type="http://schemas.openxmlformats.org/officeDocument/2006/relationships/hyperlink" Target="https://ryycrdhlkmzpxwwwwupy.supabase.co/storage/v1/object/public/old_media/8e3c2a81.Path.072354.jpg" TargetMode="External"/><Relationship Id="rId451" Type="http://schemas.openxmlformats.org/officeDocument/2006/relationships/hyperlink" Target="https://ryycrdhlkmzpxwwwwupy.supabase.co/storage/v1/object/public/old_media/be69efa6.Path.074224.jpg" TargetMode="External"/><Relationship Id="rId450" Type="http://schemas.openxmlformats.org/officeDocument/2006/relationships/hyperlink" Target="https://ryycrdhlkmzpxwwwwupy.supabase.co/storage/v1/object/public/old_media/44c23d50.Path.074214.jpg" TargetMode="External"/><Relationship Id="rId455" Type="http://schemas.openxmlformats.org/officeDocument/2006/relationships/hyperlink" Target="https://ryycrdhlkmzpxwwwwupy.supabase.co/storage/v1/object/public/old_media/75b7ccc1.Path.070922.jpg" TargetMode="External"/><Relationship Id="rId454" Type="http://schemas.openxmlformats.org/officeDocument/2006/relationships/hyperlink" Target="https://ryycrdhlkmzpxwwwwupy.supabase.co/storage/v1/object/public/old_media/e793b3c2.Path.070907.jpg" TargetMode="External"/><Relationship Id="rId453" Type="http://schemas.openxmlformats.org/officeDocument/2006/relationships/hyperlink" Target="https://ryycrdhlkmzpxwwwwupy.supabase.co/storage/v1/object/public/old_media/dfdd7259.Path.070824.jpg" TargetMode="External"/><Relationship Id="rId452" Type="http://schemas.openxmlformats.org/officeDocument/2006/relationships/hyperlink" Target="https://ryycrdhlkmzpxwwwwupy.supabase.co/storage/v1/object/public/old_media/bda29e09.Path.074236.jpg" TargetMode="External"/><Relationship Id="rId491" Type="http://schemas.openxmlformats.org/officeDocument/2006/relationships/hyperlink" Target="https://ryycrdhlkmzpxwwwwupy.supabase.co/storage/v1/object/public/old_media/9282ef79.Path.073236.jpg" TargetMode="External"/><Relationship Id="rId490" Type="http://schemas.openxmlformats.org/officeDocument/2006/relationships/hyperlink" Target="https://ryycrdhlkmzpxwwwwupy.supabase.co/storage/v1/object/public/old_media/91e1837b.Path.073225.jpg" TargetMode="External"/><Relationship Id="rId489" Type="http://schemas.openxmlformats.org/officeDocument/2006/relationships/hyperlink" Target="https://ryycrdhlkmzpxwwwwupy.supabase.co/storage/v1/object/public/old_media/630f7fb1.Path.073216.jpg" TargetMode="External"/><Relationship Id="rId484" Type="http://schemas.openxmlformats.org/officeDocument/2006/relationships/hyperlink" Target="https://ryycrdhlkmzpxwwwwupy.supabase.co/storage/v1/object/public/old_media/dfc2df2d.Path.073122.jpg" TargetMode="External"/><Relationship Id="rId483" Type="http://schemas.openxmlformats.org/officeDocument/2006/relationships/hyperlink" Target="https://ryycrdhlkmzpxwwwwupy.supabase.co/storage/v1/object/public/old_media/f56175d0.Path.073112.jpg" TargetMode="External"/><Relationship Id="rId482" Type="http://schemas.openxmlformats.org/officeDocument/2006/relationships/hyperlink" Target="https://ryycrdhlkmzpxwwwwupy.supabase.co/storage/v1/object/public/old_media/6adc89a4.Path.073900.jpg" TargetMode="External"/><Relationship Id="rId481" Type="http://schemas.openxmlformats.org/officeDocument/2006/relationships/hyperlink" Target="https://ryycrdhlkmzpxwwwwupy.supabase.co/storage/v1/object/public/old_media/1bb0ad0c.Path.073853.jpg" TargetMode="External"/><Relationship Id="rId488" Type="http://schemas.openxmlformats.org/officeDocument/2006/relationships/hyperlink" Target="https://ryycrdhlkmzpxwwwwupy.supabase.co/storage/v1/object/public/old_media/0b4c0f07.Path.073201.jpg" TargetMode="External"/><Relationship Id="rId487" Type="http://schemas.openxmlformats.org/officeDocument/2006/relationships/hyperlink" Target="https://ryycrdhlkmzpxwwwwupy.supabase.co/storage/v1/object/public/old_media/3738a926.Path.073149.jpg" TargetMode="External"/><Relationship Id="rId486" Type="http://schemas.openxmlformats.org/officeDocument/2006/relationships/hyperlink" Target="https://ryycrdhlkmzpxwwwwupy.supabase.co/storage/v1/object/public/old_media/c1479748.Path.073139.jpg" TargetMode="External"/><Relationship Id="rId485" Type="http://schemas.openxmlformats.org/officeDocument/2006/relationships/hyperlink" Target="https://ryycrdhlkmzpxwwwwupy.supabase.co/storage/v1/object/public/old_media/d372d5f9.Path.073130.jpg" TargetMode="External"/><Relationship Id="rId480" Type="http://schemas.openxmlformats.org/officeDocument/2006/relationships/hyperlink" Target="https://ryycrdhlkmzpxwwwwupy.supabase.co/storage/v1/object/public/old_media/d66a5961.Path.073844.jpg" TargetMode="External"/><Relationship Id="rId479" Type="http://schemas.openxmlformats.org/officeDocument/2006/relationships/hyperlink" Target="https://ryycrdhlkmzpxwwwwupy.supabase.co/storage/v1/object/public/old_media/271ca4f7.Path.073835.jpg" TargetMode="External"/><Relationship Id="rId478" Type="http://schemas.openxmlformats.org/officeDocument/2006/relationships/hyperlink" Target="https://ryycrdhlkmzpxwwwwupy.supabase.co/storage/v1/object/public/old_media/8130d75c.Path.073826.jpg" TargetMode="External"/><Relationship Id="rId473" Type="http://schemas.openxmlformats.org/officeDocument/2006/relationships/hyperlink" Target="https://ryycrdhlkmzpxwwwwupy.supabase.co/storage/v1/object/public/old_media/4b2f8061.Path.065832.jpg" TargetMode="External"/><Relationship Id="rId472" Type="http://schemas.openxmlformats.org/officeDocument/2006/relationships/hyperlink" Target="https://ryycrdhlkmzpxwwwwupy.supabase.co/storage/v1/object/public/old_media/144a5ea8.Path.065815.jpg" TargetMode="External"/><Relationship Id="rId471" Type="http://schemas.openxmlformats.org/officeDocument/2006/relationships/hyperlink" Target="https://ryycrdhlkmzpxwwwwupy.supabase.co/storage/v1/object/public/old_media/405841fa.Path.065800.jpg" TargetMode="External"/><Relationship Id="rId470" Type="http://schemas.openxmlformats.org/officeDocument/2006/relationships/hyperlink" Target="https://ryycrdhlkmzpxwwwwupy.supabase.co/storage/v1/object/public/old_media/8d29e7ec.Path.045626.jpg" TargetMode="External"/><Relationship Id="rId477" Type="http://schemas.openxmlformats.org/officeDocument/2006/relationships/hyperlink" Target="https://ryycrdhlkmzpxwwwwupy.supabase.co/storage/v1/object/public/old_media/386c7e92.Path.073816.jpg" TargetMode="External"/><Relationship Id="rId476" Type="http://schemas.openxmlformats.org/officeDocument/2006/relationships/hyperlink" Target="https://ryycrdhlkmzpxwwwwupy.supabase.co/storage/v1/object/public/old_media/bfb7419e.Path.073807.jpg" TargetMode="External"/><Relationship Id="rId475" Type="http://schemas.openxmlformats.org/officeDocument/2006/relationships/hyperlink" Target="https://ryycrdhlkmzpxwwwwupy.supabase.co/storage/v1/object/public/old_media/be8ba158.Path.070036.jpg" TargetMode="External"/><Relationship Id="rId474" Type="http://schemas.openxmlformats.org/officeDocument/2006/relationships/hyperlink" Target="https://ryycrdhlkmzpxwwwwupy.supabase.co/storage/v1/object/public/old_media/aa3379f8.Path.070028.jpg" TargetMode="External"/><Relationship Id="rId426" Type="http://schemas.openxmlformats.org/officeDocument/2006/relationships/hyperlink" Target="https://ryycrdhlkmzpxwwwwupy.supabase.co/storage/v1/object/public/old_media/93ea3310.Path.052639.jpg" TargetMode="External"/><Relationship Id="rId425" Type="http://schemas.openxmlformats.org/officeDocument/2006/relationships/hyperlink" Target="https://ryycrdhlkmzpxwwwwupy.supabase.co/storage/v1/object/public/old_media/8e6c73b0.Path.052531.jpg" TargetMode="External"/><Relationship Id="rId424" Type="http://schemas.openxmlformats.org/officeDocument/2006/relationships/hyperlink" Target="https://ryycrdhlkmzpxwwwwupy.supabase.co/storage/v1/object/public/old_media/c5cdef42.Path.052520.jpg" TargetMode="External"/><Relationship Id="rId423" Type="http://schemas.openxmlformats.org/officeDocument/2006/relationships/hyperlink" Target="https://ryycrdhlkmzpxwwwwupy.supabase.co/storage/v1/object/public/old_media/ba5950f4.Path.075738.jpg" TargetMode="External"/><Relationship Id="rId429" Type="http://schemas.openxmlformats.org/officeDocument/2006/relationships/hyperlink" Target="https://ryycrdhlkmzpxwwwwupy.supabase.co/storage/v1/object/public/old_media/3c4851a2.Path.052706.jpg" TargetMode="External"/><Relationship Id="rId428" Type="http://schemas.openxmlformats.org/officeDocument/2006/relationships/hyperlink" Target="https://ryycrdhlkmzpxwwwwupy.supabase.co/storage/v1/object/public/old_media/aa0320ad.Path.052656.jpg" TargetMode="External"/><Relationship Id="rId427" Type="http://schemas.openxmlformats.org/officeDocument/2006/relationships/hyperlink" Target="https://ryycrdhlkmzpxwwwwupy.supabase.co/storage/v1/object/public/old_media/889b532c.Path.052648.jpg" TargetMode="External"/><Relationship Id="rId422" Type="http://schemas.openxmlformats.org/officeDocument/2006/relationships/hyperlink" Target="https://ryycrdhlkmzpxwwwwupy.supabase.co/storage/v1/object/public/old_media/c087adac.Path.075720.jpg" TargetMode="External"/><Relationship Id="rId421" Type="http://schemas.openxmlformats.org/officeDocument/2006/relationships/hyperlink" Target="https://ryycrdhlkmzpxwwwwupy.supabase.co/storage/v1/object/public/old_media/c3a7d94f.Path.075639.jpg" TargetMode="External"/><Relationship Id="rId420" Type="http://schemas.openxmlformats.org/officeDocument/2006/relationships/hyperlink" Target="https://ryycrdhlkmzpxwwwwupy.supabase.co/storage/v1/object/public/old_media/cee42f20.Path.075626.jpg" TargetMode="External"/><Relationship Id="rId415" Type="http://schemas.openxmlformats.org/officeDocument/2006/relationships/hyperlink" Target="https://ryycrdhlkmzpxwwwwupy.supabase.co/storage/v1/object/public/old_media/a5ce4e2c.Path.072847.jpg" TargetMode="External"/><Relationship Id="rId414" Type="http://schemas.openxmlformats.org/officeDocument/2006/relationships/hyperlink" Target="https://ryycrdhlkmzpxwwwwupy.supabase.co/storage/v1/object/public/old_media/76bf3ac7.Path.065019.jpg" TargetMode="External"/><Relationship Id="rId413" Type="http://schemas.openxmlformats.org/officeDocument/2006/relationships/hyperlink" Target="https://ryycrdhlkmzpxwwwwupy.supabase.co/storage/v1/object/public/old_media/8c80734c.Path.065003.jpg" TargetMode="External"/><Relationship Id="rId412" Type="http://schemas.openxmlformats.org/officeDocument/2006/relationships/hyperlink" Target="https://ryycrdhlkmzpxwwwwupy.supabase.co/storage/v1/object/public/old_media/919fe07b.Path.064936.jpg" TargetMode="External"/><Relationship Id="rId419" Type="http://schemas.openxmlformats.org/officeDocument/2006/relationships/hyperlink" Target="https://ryycrdhlkmzpxwwwwupy.supabase.co/storage/v1/object/public/old_media/72f692a6.Path.075609.jpg" TargetMode="External"/><Relationship Id="rId418" Type="http://schemas.openxmlformats.org/officeDocument/2006/relationships/hyperlink" Target="https://ryycrdhlkmzpxwwwwupy.supabase.co/storage/v1/object/public/old_media/93cca66d.Path.072916.jpg" TargetMode="External"/><Relationship Id="rId417" Type="http://schemas.openxmlformats.org/officeDocument/2006/relationships/hyperlink" Target="https://ryycrdhlkmzpxwwwwupy.supabase.co/storage/v1/object/public/old_media/17098fd3.Path.072905.jpg" TargetMode="External"/><Relationship Id="rId416" Type="http://schemas.openxmlformats.org/officeDocument/2006/relationships/hyperlink" Target="https://ryycrdhlkmzpxwwwwupy.supabase.co/storage/v1/object/public/old_media/b6a8e280.Path.072857.jpg" TargetMode="External"/><Relationship Id="rId411" Type="http://schemas.openxmlformats.org/officeDocument/2006/relationships/hyperlink" Target="https://ryycrdhlkmzpxwwwwupy.supabase.co/storage/v1/object/public/old_media/46b2fe8d.Path.064920.jpg" TargetMode="External"/><Relationship Id="rId410" Type="http://schemas.openxmlformats.org/officeDocument/2006/relationships/hyperlink" Target="https://ryycrdhlkmzpxwwwwupy.supabase.co/storage/v1/object/public/old_media/0542e3d0.Path.070608.jpg" TargetMode="External"/><Relationship Id="rId448" Type="http://schemas.openxmlformats.org/officeDocument/2006/relationships/hyperlink" Target="https://ryycrdhlkmzpxwwwwupy.supabase.co/storage/v1/object/public/old_media/a60c95d3.Path.074156.jpg" TargetMode="External"/><Relationship Id="rId447" Type="http://schemas.openxmlformats.org/officeDocument/2006/relationships/hyperlink" Target="https://ryycrdhlkmzpxwwwwupy.supabase.co/storage/v1/object/public/old_media/9ec66981.Path.074145.jpg" TargetMode="External"/><Relationship Id="rId446" Type="http://schemas.openxmlformats.org/officeDocument/2006/relationships/hyperlink" Target="https://ryycrdhlkmzpxwwwwupy.supabase.co/storage/v1/object/public/old_media/489a648f.Path.074136.jpg" TargetMode="External"/><Relationship Id="rId445" Type="http://schemas.openxmlformats.org/officeDocument/2006/relationships/hyperlink" Target="https://ryycrdhlkmzpxwwwwupy.supabase.co/storage/v1/object/public/old_media/848d764b.Path.064739.jpg" TargetMode="External"/><Relationship Id="rId449" Type="http://schemas.openxmlformats.org/officeDocument/2006/relationships/hyperlink" Target="https://ryycrdhlkmzpxwwwwupy.supabase.co/storage/v1/object/public/old_media/07554ebb.Path.074207.jpg" TargetMode="External"/><Relationship Id="rId440" Type="http://schemas.openxmlformats.org/officeDocument/2006/relationships/hyperlink" Target="https://ryycrdhlkmzpxwwwwupy.supabase.co/storage/v1/object/public/old_media/9a8253bf.Path.064630.jpg" TargetMode="External"/><Relationship Id="rId444" Type="http://schemas.openxmlformats.org/officeDocument/2006/relationships/hyperlink" Target="https://ryycrdhlkmzpxwwwwupy.supabase.co/storage/v1/object/public/old_media/d240b34d.Path.064729.jpg" TargetMode="External"/><Relationship Id="rId443" Type="http://schemas.openxmlformats.org/officeDocument/2006/relationships/hyperlink" Target="https://ryycrdhlkmzpxwwwwupy.supabase.co/storage/v1/object/public/old_media/1242a53a.Path.064714.jpg" TargetMode="External"/><Relationship Id="rId442" Type="http://schemas.openxmlformats.org/officeDocument/2006/relationships/hyperlink" Target="https://ryycrdhlkmzpxwwwwupy.supabase.co/storage/v1/object/public/old_media/70be03e1.Path.064700.jpg" TargetMode="External"/><Relationship Id="rId441" Type="http://schemas.openxmlformats.org/officeDocument/2006/relationships/hyperlink" Target="https://ryycrdhlkmzpxwwwwupy.supabase.co/storage/v1/object/public/old_media/25aade70.Path.064646.jpg" TargetMode="External"/><Relationship Id="rId437" Type="http://schemas.openxmlformats.org/officeDocument/2006/relationships/hyperlink" Target="https://ryycrdhlkmzpxwwwwupy.supabase.co/storage/v1/object/public/old_media/3ba6def3.Path.073913.jpg" TargetMode="External"/><Relationship Id="rId436" Type="http://schemas.openxmlformats.org/officeDocument/2006/relationships/hyperlink" Target="https://ryycrdhlkmzpxwwwwupy.supabase.co/storage/v1/object/public/old_media/fe6138a2.Path.072511.jpg" TargetMode="External"/><Relationship Id="rId435" Type="http://schemas.openxmlformats.org/officeDocument/2006/relationships/hyperlink" Target="https://ryycrdhlkmzpxwwwwupy.supabase.co/storage/v1/object/public/old_media/8202b1fb.Path.072504.jpg" TargetMode="External"/><Relationship Id="rId434" Type="http://schemas.openxmlformats.org/officeDocument/2006/relationships/hyperlink" Target="https://ryycrdhlkmzpxwwwwupy.supabase.co/storage/v1/object/public/old_media/bbc3694e.Path.071443.jpg" TargetMode="External"/><Relationship Id="rId439" Type="http://schemas.openxmlformats.org/officeDocument/2006/relationships/hyperlink" Target="https://ryycrdhlkmzpxwwwwupy.supabase.co/storage/v1/object/public/old_media/7947df3f.Path.073937.jpg" TargetMode="External"/><Relationship Id="rId438" Type="http://schemas.openxmlformats.org/officeDocument/2006/relationships/hyperlink" Target="https://ryycrdhlkmzpxwwwwupy.supabase.co/storage/v1/object/public/old_media/03acd2f3.Path.073925.jpg" TargetMode="External"/><Relationship Id="rId433" Type="http://schemas.openxmlformats.org/officeDocument/2006/relationships/hyperlink" Target="https://ryycrdhlkmzpxwwwwupy.supabase.co/storage/v1/object/public/old_media/e6ae25a3.Path.071414.jpg" TargetMode="External"/><Relationship Id="rId432" Type="http://schemas.openxmlformats.org/officeDocument/2006/relationships/hyperlink" Target="https://ryycrdhlkmzpxwwwwupy.supabase.co/storage/v1/object/public/old_media/ddb8dc91.Path.052738.jpg" TargetMode="External"/><Relationship Id="rId431" Type="http://schemas.openxmlformats.org/officeDocument/2006/relationships/hyperlink" Target="https://ryycrdhlkmzpxwwwwupy.supabase.co/storage/v1/object/public/old_media/37de1cad.Path.052728.jpg" TargetMode="External"/><Relationship Id="rId430" Type="http://schemas.openxmlformats.org/officeDocument/2006/relationships/hyperlink" Target="https://ryycrdhlkmzpxwwwwupy.supabase.co/storage/v1/object/public/old_media/1d58d312.Path.052718.jpg" TargetMode="External"/><Relationship Id="rId1" Type="http://schemas.openxmlformats.org/officeDocument/2006/relationships/hyperlink" Target="https://ryycrdhlkmzpxwwwwupy.supabase.co/storage/v1/object/public/old_media/5d67c1e2.Path.055324.jpg" TargetMode="External"/><Relationship Id="rId2" Type="http://schemas.openxmlformats.org/officeDocument/2006/relationships/hyperlink" Target="https://ryycrdhlkmzpxwwwwupy.supabase.co/storage/v1/object/public/old_media/089c21da.Path.055352.jpg" TargetMode="External"/><Relationship Id="rId3" Type="http://schemas.openxmlformats.org/officeDocument/2006/relationships/hyperlink" Target="https://ryycrdhlkmzpxwwwwupy.supabase.co/storage/v1/object/public/old_media/740456d9.Path.050355.jpg" TargetMode="External"/><Relationship Id="rId4" Type="http://schemas.openxmlformats.org/officeDocument/2006/relationships/hyperlink" Target="https://ryycrdhlkmzpxwwwwupy.supabase.co/storage/v1/object/public/old_media/c985f1d4.Path.050534.jpg" TargetMode="External"/><Relationship Id="rId9" Type="http://schemas.openxmlformats.org/officeDocument/2006/relationships/hyperlink" Target="https://ryycrdhlkmzpxwwwwupy.supabase.co/storage/v1/object/public/old_media/a87af688.Path.091954.jpg" TargetMode="External"/><Relationship Id="rId5" Type="http://schemas.openxmlformats.org/officeDocument/2006/relationships/hyperlink" Target="https://ryycrdhlkmzpxwwwwupy.supabase.co/storage/v1/object/public/old_media/bd0d8832.Path.050551.jpg" TargetMode="External"/><Relationship Id="rId6" Type="http://schemas.openxmlformats.org/officeDocument/2006/relationships/hyperlink" Target="https://ryycrdhlkmzpxwwwwupy.supabase.co/storage/v1/object/public/old_media/d50314b7.Path.075251.jpg" TargetMode="External"/><Relationship Id="rId7" Type="http://schemas.openxmlformats.org/officeDocument/2006/relationships/hyperlink" Target="https://ryycrdhlkmzpxwwwwupy.supabase.co/storage/v1/object/public/old_media/9d587442.Path.064712.jpg" TargetMode="External"/><Relationship Id="rId8" Type="http://schemas.openxmlformats.org/officeDocument/2006/relationships/hyperlink" Target="https://ryycrdhlkmzpxwwwwupy.supabase.co/storage/v1/object/public/old_media/639d60bc.Path.064721.jpg" TargetMode="External"/><Relationship Id="rId745" Type="http://schemas.openxmlformats.org/officeDocument/2006/relationships/hyperlink" Target="https://ryycrdhlkmzpxwwwwupy.supabase.co/storage/v1/object/public/old_media/5626ca70.Path.104533.jpg" TargetMode="External"/><Relationship Id="rId744" Type="http://schemas.openxmlformats.org/officeDocument/2006/relationships/hyperlink" Target="https://ryycrdhlkmzpxwwwwupy.supabase.co/storage/v1/object/public/old_media/5638f194.Path.080344.jpg" TargetMode="External"/><Relationship Id="rId743" Type="http://schemas.openxmlformats.org/officeDocument/2006/relationships/hyperlink" Target="https://ryycrdhlkmzpxwwwwupy.supabase.co/storage/v1/object/public/old_media/a6f8c6e8.Path.075444.jpg" TargetMode="External"/><Relationship Id="rId742" Type="http://schemas.openxmlformats.org/officeDocument/2006/relationships/hyperlink" Target="https://ryycrdhlkmzpxwwwwupy.supabase.co/storage/v1/object/public/old_media/6a260676.Path.075044.jpg" TargetMode="External"/><Relationship Id="rId749" Type="http://schemas.openxmlformats.org/officeDocument/2006/relationships/hyperlink" Target="https://ryycrdhlkmzpxwwwwupy.supabase.co/storage/v1/object/public/old_media/c7c60468.Path.105022.jpg" TargetMode="External"/><Relationship Id="rId748" Type="http://schemas.openxmlformats.org/officeDocument/2006/relationships/hyperlink" Target="https://ryycrdhlkmzpxwwwwupy.supabase.co/storage/v1/object/public/old_media/68aa7674.Path.104954.jpg" TargetMode="External"/><Relationship Id="rId747" Type="http://schemas.openxmlformats.org/officeDocument/2006/relationships/hyperlink" Target="https://ryycrdhlkmzpxwwwwupy.supabase.co/storage/v1/object/public/old_media/b6ce0ef3.Path.104928.jpg" TargetMode="External"/><Relationship Id="rId746" Type="http://schemas.openxmlformats.org/officeDocument/2006/relationships/hyperlink" Target="https://ryycrdhlkmzpxwwwwupy.supabase.co/storage/v1/object/public/old_media/634754b5.Path.104902.jpg" TargetMode="External"/><Relationship Id="rId741" Type="http://schemas.openxmlformats.org/officeDocument/2006/relationships/hyperlink" Target="https://ryycrdhlkmzpxwwwwupy.supabase.co/storage/v1/object/public/old_media/c19a5883.Path.074642.jpg" TargetMode="External"/><Relationship Id="rId740" Type="http://schemas.openxmlformats.org/officeDocument/2006/relationships/hyperlink" Target="https://ryycrdhlkmzpxwwwwupy.supabase.co/storage/v1/object/public/old_media/dbf0da9f.Path.074243.jpg" TargetMode="External"/><Relationship Id="rId739" Type="http://schemas.openxmlformats.org/officeDocument/2006/relationships/hyperlink" Target="https://ryycrdhlkmzpxwwwwupy.supabase.co/storage/v1/object/public/old_media/60686e8d.Path.074152.jpg" TargetMode="External"/><Relationship Id="rId734" Type="http://schemas.openxmlformats.org/officeDocument/2006/relationships/hyperlink" Target="https://ryycrdhlkmzpxwwwwupy.supabase.co/storage/v1/object/public/old_media/c86f9ef8.Path.064110.jpg" TargetMode="External"/><Relationship Id="rId733" Type="http://schemas.openxmlformats.org/officeDocument/2006/relationships/hyperlink" Target="https://ryycrdhlkmzpxwwwwupy.supabase.co/storage/v1/object/public/old_media/c08816a0.Path.063958.jpg" TargetMode="External"/><Relationship Id="rId732" Type="http://schemas.openxmlformats.org/officeDocument/2006/relationships/hyperlink" Target="https://ryycrdhlkmzpxwwwwupy.supabase.co/storage/v1/object/public/old_media/f5561045.Path.063608.jpg" TargetMode="External"/><Relationship Id="rId731" Type="http://schemas.openxmlformats.org/officeDocument/2006/relationships/hyperlink" Target="https://ryycrdhlkmzpxwwwwupy.supabase.co/storage/v1/object/public/old_media/f3f601ac.Path.063532.jpg" TargetMode="External"/><Relationship Id="rId738" Type="http://schemas.openxmlformats.org/officeDocument/2006/relationships/hyperlink" Target="https://ryycrdhlkmzpxwwwwupy.supabase.co/storage/v1/object/public/old_media/91729b78.Path.074012.jpg" TargetMode="External"/><Relationship Id="rId737" Type="http://schemas.openxmlformats.org/officeDocument/2006/relationships/hyperlink" Target="https://ryycrdhlkmzpxwwwwupy.supabase.co/storage/v1/object/public/old_media/1617e43a.Path.073422.jpg" TargetMode="External"/><Relationship Id="rId736" Type="http://schemas.openxmlformats.org/officeDocument/2006/relationships/hyperlink" Target="https://ryycrdhlkmzpxwwwwupy.supabase.co/storage/v1/object/public/old_media/a10e2663.Path.095740.jpg" TargetMode="External"/><Relationship Id="rId735" Type="http://schemas.openxmlformats.org/officeDocument/2006/relationships/hyperlink" Target="https://ryycrdhlkmzpxwwwwupy.supabase.co/storage/v1/object/public/old_media/13a07905.Path.095626.jpg" TargetMode="External"/><Relationship Id="rId730" Type="http://schemas.openxmlformats.org/officeDocument/2006/relationships/hyperlink" Target="https://ryycrdhlkmzpxwwwwupy.supabase.co/storage/v1/object/public/old_media/6be04152.Path.063500.jpg" TargetMode="External"/><Relationship Id="rId767" Type="http://schemas.openxmlformats.org/officeDocument/2006/relationships/hyperlink" Target="https://ryycrdhlkmzpxwwwwupy.supabase.co/storage/v1/object/public/old_media/1345f0f8.Path.075104.jpg" TargetMode="External"/><Relationship Id="rId766" Type="http://schemas.openxmlformats.org/officeDocument/2006/relationships/hyperlink" Target="https://ryycrdhlkmzpxwwwwupy.supabase.co/storage/v1/object/public/old_media/1befea7c.Path.070453.jpg" TargetMode="External"/><Relationship Id="rId765" Type="http://schemas.openxmlformats.org/officeDocument/2006/relationships/hyperlink" Target="https://ryycrdhlkmzpxwwwwupy.supabase.co/storage/v1/object/public/old_media/f329143c.Path.063251.jpg" TargetMode="External"/><Relationship Id="rId764" Type="http://schemas.openxmlformats.org/officeDocument/2006/relationships/hyperlink" Target="https://ryycrdhlkmzpxwwwwupy.supabase.co/storage/v1/object/public/old_media/63789e3a.Path.105722.jpg" TargetMode="External"/><Relationship Id="rId769" Type="http://schemas.openxmlformats.org/officeDocument/2006/relationships/drawing" Target="../drawings/drawing15.xml"/><Relationship Id="rId768" Type="http://schemas.openxmlformats.org/officeDocument/2006/relationships/hyperlink" Target="https://ryycrdhlkmzpxwwwwupy.supabase.co/storage/v1/object/public/old_media/e4e00ce1.Path.075138.jpg" TargetMode="External"/><Relationship Id="rId763" Type="http://schemas.openxmlformats.org/officeDocument/2006/relationships/hyperlink" Target="https://ryycrdhlkmzpxwwwwupy.supabase.co/storage/v1/object/public/old_media/81aea789.Path.105644.jpg" TargetMode="External"/><Relationship Id="rId762" Type="http://schemas.openxmlformats.org/officeDocument/2006/relationships/hyperlink" Target="https://ryycrdhlkmzpxwwwwupy.supabase.co/storage/v1/object/public/old_media/9e064ad0.Path.105615.jpg" TargetMode="External"/><Relationship Id="rId761" Type="http://schemas.openxmlformats.org/officeDocument/2006/relationships/hyperlink" Target="https://ryycrdhlkmzpxwwwwupy.supabase.co/storage/v1/object/public/old_media/e298d4ed.Path.105546.jpg" TargetMode="External"/><Relationship Id="rId760" Type="http://schemas.openxmlformats.org/officeDocument/2006/relationships/hyperlink" Target="https://ryycrdhlkmzpxwwwwupy.supabase.co/storage/v1/object/public/old_media/caa359e3.Path.105519.jpg" TargetMode="External"/><Relationship Id="rId756" Type="http://schemas.openxmlformats.org/officeDocument/2006/relationships/hyperlink" Target="https://ryycrdhlkmzpxwwwwupy.supabase.co/storage/v1/object/public/old_media/d592a6c9.Path.105329.jpg" TargetMode="External"/><Relationship Id="rId755" Type="http://schemas.openxmlformats.org/officeDocument/2006/relationships/hyperlink" Target="https://ryycrdhlkmzpxwwwwupy.supabase.co/storage/v1/object/public/old_media/3190955f.Path.105302.jpg" TargetMode="External"/><Relationship Id="rId754" Type="http://schemas.openxmlformats.org/officeDocument/2006/relationships/hyperlink" Target="https://ryycrdhlkmzpxwwwwupy.supabase.co/storage/v1/object/public/old_media/4ec67a3c.Path.105235.jpg" TargetMode="External"/><Relationship Id="rId753" Type="http://schemas.openxmlformats.org/officeDocument/2006/relationships/hyperlink" Target="https://ryycrdhlkmzpxwwwwupy.supabase.co/storage/v1/object/public/old_media/0cf00f2f.Path.105208.jpg" TargetMode="External"/><Relationship Id="rId759" Type="http://schemas.openxmlformats.org/officeDocument/2006/relationships/hyperlink" Target="https://ryycrdhlkmzpxwwwwupy.supabase.co/storage/v1/object/public/old_media/70a6e8f2.Path.105451.jpg" TargetMode="External"/><Relationship Id="rId758" Type="http://schemas.openxmlformats.org/officeDocument/2006/relationships/hyperlink" Target="https://ryycrdhlkmzpxwwwwupy.supabase.co/storage/v1/object/public/old_media/3bcbad7b.Path.105422.jpg" TargetMode="External"/><Relationship Id="rId757" Type="http://schemas.openxmlformats.org/officeDocument/2006/relationships/hyperlink" Target="https://ryycrdhlkmzpxwwwwupy.supabase.co/storage/v1/object/public/old_media/a46d6b1f.Path.105356.jpg" TargetMode="External"/><Relationship Id="rId752" Type="http://schemas.openxmlformats.org/officeDocument/2006/relationships/hyperlink" Target="https://ryycrdhlkmzpxwwwwupy.supabase.co/storage/v1/object/public/old_media/25ff456e.Path.105139.jpg" TargetMode="External"/><Relationship Id="rId751" Type="http://schemas.openxmlformats.org/officeDocument/2006/relationships/hyperlink" Target="https://ryycrdhlkmzpxwwwwupy.supabase.co/storage/v1/object/public/old_media/9f811b5a.Path.105114.jpg" TargetMode="External"/><Relationship Id="rId750" Type="http://schemas.openxmlformats.org/officeDocument/2006/relationships/hyperlink" Target="https://ryycrdhlkmzpxwwwwupy.supabase.co/storage/v1/object/public/old_media/6ca56597.Path.105048.jpg" TargetMode="External"/><Relationship Id="rId709" Type="http://schemas.openxmlformats.org/officeDocument/2006/relationships/hyperlink" Target="https://ryycrdhlkmzpxwwwwupy.supabase.co/storage/v1/object/public/old_media/c0eb2655.Path.082315.jpg" TargetMode="External"/><Relationship Id="rId708" Type="http://schemas.openxmlformats.org/officeDocument/2006/relationships/hyperlink" Target="https://ryycrdhlkmzpxwwwwupy.supabase.co/storage/v1/object/public/old_media/abd68442.Path.080414.jpg" TargetMode="External"/><Relationship Id="rId707" Type="http://schemas.openxmlformats.org/officeDocument/2006/relationships/hyperlink" Target="https://ryycrdhlkmzpxwwwwupy.supabase.co/storage/v1/object/public/old_media/f6c46686.Path.080129.jpg" TargetMode="External"/><Relationship Id="rId706" Type="http://schemas.openxmlformats.org/officeDocument/2006/relationships/hyperlink" Target="https://ryycrdhlkmzpxwwwwupy.supabase.co/storage/v1/object/public/old_media/6aede0f8.Path.071519.webp" TargetMode="External"/><Relationship Id="rId701" Type="http://schemas.openxmlformats.org/officeDocument/2006/relationships/hyperlink" Target="https://ryycrdhlkmzpxwwwwupy.supabase.co/storage/v1/object/public/old_media/72faab2f.Path.062838.webp" TargetMode="External"/><Relationship Id="rId700" Type="http://schemas.openxmlformats.org/officeDocument/2006/relationships/hyperlink" Target="https://ryycrdhlkmzpxwwwwupy.supabase.co/storage/v1/object/public/old_media/4cfd3a73.Path.062813.jpg" TargetMode="External"/><Relationship Id="rId705" Type="http://schemas.openxmlformats.org/officeDocument/2006/relationships/hyperlink" Target="https://ryycrdhlkmzpxwwwwupy.supabase.co/storage/v1/object/public/old_media/5513bf92.Path.050226.jpg" TargetMode="External"/><Relationship Id="rId704" Type="http://schemas.openxmlformats.org/officeDocument/2006/relationships/hyperlink" Target="https://ryycrdhlkmzpxwwwwupy.supabase.co/storage/v1/object/public/old_media/05f60c6a.Path.124922.jpg" TargetMode="External"/><Relationship Id="rId703" Type="http://schemas.openxmlformats.org/officeDocument/2006/relationships/hyperlink" Target="https://ryycrdhlkmzpxwwwwupy.supabase.co/storage/v1/object/public/old_media/d231a73f.Path.083749.jpg" TargetMode="External"/><Relationship Id="rId702" Type="http://schemas.openxmlformats.org/officeDocument/2006/relationships/hyperlink" Target="https://ryycrdhlkmzpxwwwwupy.supabase.co/storage/v1/object/public/old_media/e19cfcbe.Path.064847.png" TargetMode="External"/><Relationship Id="rId729" Type="http://schemas.openxmlformats.org/officeDocument/2006/relationships/hyperlink" Target="https://ryycrdhlkmzpxwwwwupy.supabase.co/storage/v1/object/public/old_media/75d5e22d.Path.063430.jpg" TargetMode="External"/><Relationship Id="rId728" Type="http://schemas.openxmlformats.org/officeDocument/2006/relationships/hyperlink" Target="https://ryycrdhlkmzpxwwwwupy.supabase.co/storage/v1/object/public/old_media/e1a0314b.Path.054107.jpg" TargetMode="External"/><Relationship Id="rId723" Type="http://schemas.openxmlformats.org/officeDocument/2006/relationships/hyperlink" Target="https://ryycrdhlkmzpxwwwwupy.supabase.co/storage/v1/object/public/old_media/7ed2c846.Path.053836.jpg" TargetMode="External"/><Relationship Id="rId722" Type="http://schemas.openxmlformats.org/officeDocument/2006/relationships/hyperlink" Target="https://ryycrdhlkmzpxwwwwupy.supabase.co/storage/v1/object/public/old_media/566142fb.Path.142305.jpg" TargetMode="External"/><Relationship Id="rId721" Type="http://schemas.openxmlformats.org/officeDocument/2006/relationships/hyperlink" Target="https://ryycrdhlkmzpxwwwwupy.supabase.co/storage/v1/object/public/old_media/101a1117.Path.125206.jpg" TargetMode="External"/><Relationship Id="rId720" Type="http://schemas.openxmlformats.org/officeDocument/2006/relationships/hyperlink" Target="https://ryycrdhlkmzpxwwwwupy.supabase.co/storage/v1/object/public/old_media/11ed52b0.Path.124535.jpg" TargetMode="External"/><Relationship Id="rId727" Type="http://schemas.openxmlformats.org/officeDocument/2006/relationships/hyperlink" Target="https://ryycrdhlkmzpxwwwwupy.supabase.co/storage/v1/object/public/old_media/e90cbad8.Path.054035.webp" TargetMode="External"/><Relationship Id="rId726" Type="http://schemas.openxmlformats.org/officeDocument/2006/relationships/hyperlink" Target="https://ryycrdhlkmzpxwwwwupy.supabase.co/storage/v1/object/public/old_media/759dcec0.Path.054004.jpg" TargetMode="External"/><Relationship Id="rId725" Type="http://schemas.openxmlformats.org/officeDocument/2006/relationships/hyperlink" Target="https://ryycrdhlkmzpxwwwwupy.supabase.co/storage/v1/object/public/old_media/08654d36.Path.053932.jpg" TargetMode="External"/><Relationship Id="rId724" Type="http://schemas.openxmlformats.org/officeDocument/2006/relationships/hyperlink" Target="https://ryycrdhlkmzpxwwwwupy.supabase.co/storage/v1/object/public/old_media/4a6effc9.Path.053905.jpg" TargetMode="External"/><Relationship Id="rId719" Type="http://schemas.openxmlformats.org/officeDocument/2006/relationships/hyperlink" Target="https://ryycrdhlkmzpxwwwwupy.supabase.co/storage/v1/object/public/old_media/670c0f48.Path.123904.jpg" TargetMode="External"/><Relationship Id="rId718" Type="http://schemas.openxmlformats.org/officeDocument/2006/relationships/hyperlink" Target="https://ryycrdhlkmzpxwwwwupy.supabase.co/storage/v1/object/public/old_media/36b343a1.Path.122557.jpg" TargetMode="External"/><Relationship Id="rId717" Type="http://schemas.openxmlformats.org/officeDocument/2006/relationships/hyperlink" Target="https://ryycrdhlkmzpxwwwwupy.supabase.co/storage/v1/object/public/old_media/fb52acbe.Path.121808.jpg" TargetMode="External"/><Relationship Id="rId712" Type="http://schemas.openxmlformats.org/officeDocument/2006/relationships/hyperlink" Target="https://ryycrdhlkmzpxwwwwupy.supabase.co/storage/v1/object/public/old_media/f3639900.Path.101004.jpg" TargetMode="External"/><Relationship Id="rId711" Type="http://schemas.openxmlformats.org/officeDocument/2006/relationships/hyperlink" Target="https://ryycrdhlkmzpxwwwwupy.supabase.co/storage/v1/object/public/old_media/09b407a2.Path.084050.jpg" TargetMode="External"/><Relationship Id="rId710" Type="http://schemas.openxmlformats.org/officeDocument/2006/relationships/hyperlink" Target="https://ryycrdhlkmzpxwwwwupy.supabase.co/storage/v1/object/public/old_media/890dfc9e.Path.082748.jpg" TargetMode="External"/><Relationship Id="rId716" Type="http://schemas.openxmlformats.org/officeDocument/2006/relationships/hyperlink" Target="https://ryycrdhlkmzpxwwwwupy.supabase.co/storage/v1/object/public/old_media/efdb3d37.Path.120401.jpg" TargetMode="External"/><Relationship Id="rId715" Type="http://schemas.openxmlformats.org/officeDocument/2006/relationships/hyperlink" Target="https://ryycrdhlkmzpxwwwwupy.supabase.co/storage/v1/object/public/old_media/6794c794.Path.113843.jpg" TargetMode="External"/><Relationship Id="rId714" Type="http://schemas.openxmlformats.org/officeDocument/2006/relationships/hyperlink" Target="https://ryycrdhlkmzpxwwwwupy.supabase.co/storage/v1/object/public/old_media/428424dd.Path.113756.jpg" TargetMode="External"/><Relationship Id="rId713" Type="http://schemas.openxmlformats.org/officeDocument/2006/relationships/hyperlink" Target="https://ryycrdhlkmzpxwwwwupy.supabase.co/storage/v1/object/public/old_media/4016afbe.Path.101445.png" TargetMode="External"/><Relationship Id="rId629" Type="http://schemas.openxmlformats.org/officeDocument/2006/relationships/hyperlink" Target="https://ryycrdhlkmzpxwwwwupy.supabase.co/storage/v1/object/public/old_media/768a1400.Path.110240.webp" TargetMode="External"/><Relationship Id="rId624" Type="http://schemas.openxmlformats.org/officeDocument/2006/relationships/hyperlink" Target="https://ryycrdhlkmzpxwwwwupy.supabase.co/storage/v1/object/public/old_media/18b59c2e.Path.063441.jpg" TargetMode="External"/><Relationship Id="rId623" Type="http://schemas.openxmlformats.org/officeDocument/2006/relationships/hyperlink" Target="https://ryycrdhlkmzpxwwwwupy.supabase.co/storage/v1/object/public/old_media/313b7843.Path.063358.jpg" TargetMode="External"/><Relationship Id="rId622" Type="http://schemas.openxmlformats.org/officeDocument/2006/relationships/hyperlink" Target="https://ryycrdhlkmzpxwwwwupy.supabase.co/storage/v1/object/public/old_media/bde8f336.Path.063323.jpg" TargetMode="External"/><Relationship Id="rId621" Type="http://schemas.openxmlformats.org/officeDocument/2006/relationships/hyperlink" Target="https://ryycrdhlkmzpxwwwwupy.supabase.co/storage/v1/object/public/old_media/78b2c0fc.Path.063154.jpg" TargetMode="External"/><Relationship Id="rId628" Type="http://schemas.openxmlformats.org/officeDocument/2006/relationships/hyperlink" Target="https://ryycrdhlkmzpxwwwwupy.supabase.co/storage/v1/object/public/old_media/411fd4da.Path.110205.webp" TargetMode="External"/><Relationship Id="rId627" Type="http://schemas.openxmlformats.org/officeDocument/2006/relationships/hyperlink" Target="https://ryycrdhlkmzpxwwwwupy.supabase.co/storage/v1/object/public/old_media/b6ea94b4.Path.063650.png" TargetMode="External"/><Relationship Id="rId626" Type="http://schemas.openxmlformats.org/officeDocument/2006/relationships/hyperlink" Target="https://ryycrdhlkmzpxwwwwupy.supabase.co/storage/v1/object/public/old_media/8ce20759.Path.063607.jpg" TargetMode="External"/><Relationship Id="rId625" Type="http://schemas.openxmlformats.org/officeDocument/2006/relationships/hyperlink" Target="https://ryycrdhlkmzpxwwwwupy.supabase.co/storage/v1/object/public/old_media/126e81eb.Path.063536.jpg" TargetMode="External"/><Relationship Id="rId620" Type="http://schemas.openxmlformats.org/officeDocument/2006/relationships/hyperlink" Target="https://ryycrdhlkmzpxwwwwupy.supabase.co/storage/v1/object/public/old_media/ca68d0cc.Path.044022.jpg" TargetMode="External"/><Relationship Id="rId619" Type="http://schemas.openxmlformats.org/officeDocument/2006/relationships/hyperlink" Target="https://ryycrdhlkmzpxwwwwupy.supabase.co/storage/v1/object/public/old_media/851fc62c.Path.044002.jpg" TargetMode="External"/><Relationship Id="rId618" Type="http://schemas.openxmlformats.org/officeDocument/2006/relationships/hyperlink" Target="https://ryycrdhlkmzpxwwwwupy.supabase.co/storage/v1/object/public/old_media/6ff228c5.Path.043953.jpg" TargetMode="External"/><Relationship Id="rId613" Type="http://schemas.openxmlformats.org/officeDocument/2006/relationships/hyperlink" Target="https://ryycrdhlkmzpxwwwwupy.supabase.co/storage/v1/object/public/old_media/80cafc94.Path.043905.jpg" TargetMode="External"/><Relationship Id="rId612" Type="http://schemas.openxmlformats.org/officeDocument/2006/relationships/hyperlink" Target="https://ryycrdhlkmzpxwwwwupy.supabase.co/storage/v1/object/public/old_media/5e29d817.Path.055751.jpg" TargetMode="External"/><Relationship Id="rId611" Type="http://schemas.openxmlformats.org/officeDocument/2006/relationships/hyperlink" Target="https://ryycrdhlkmzpxwwwwupy.supabase.co/storage/v1/object/public/old_media/d17532fb.Path.055725.jpg" TargetMode="External"/><Relationship Id="rId610" Type="http://schemas.openxmlformats.org/officeDocument/2006/relationships/hyperlink" Target="https://ryycrdhlkmzpxwwwwupy.supabase.co/storage/v1/object/public/old_media/b6a04829.Path.055608.jpg" TargetMode="External"/><Relationship Id="rId617" Type="http://schemas.openxmlformats.org/officeDocument/2006/relationships/hyperlink" Target="https://ryycrdhlkmzpxwwwwupy.supabase.co/storage/v1/object/public/old_media/163c9cab.Path.043943.jpg" TargetMode="External"/><Relationship Id="rId616" Type="http://schemas.openxmlformats.org/officeDocument/2006/relationships/hyperlink" Target="https://ryycrdhlkmzpxwwwwupy.supabase.co/storage/v1/object/public/old_media/b1dafa83.Path.043934.jpg" TargetMode="External"/><Relationship Id="rId615" Type="http://schemas.openxmlformats.org/officeDocument/2006/relationships/hyperlink" Target="https://ryycrdhlkmzpxwwwwupy.supabase.co/storage/v1/object/public/old_media/249762ee.Path.043925.jpg" TargetMode="External"/><Relationship Id="rId614" Type="http://schemas.openxmlformats.org/officeDocument/2006/relationships/hyperlink" Target="https://ryycrdhlkmzpxwwwwupy.supabase.co/storage/v1/object/public/" TargetMode="External"/><Relationship Id="rId646" Type="http://schemas.openxmlformats.org/officeDocument/2006/relationships/hyperlink" Target="https://ryycrdhlkmzpxwwwwupy.supabase.co/storage/v1/object/public/old_media/a9313387.Path.111302.webp" TargetMode="External"/><Relationship Id="rId645" Type="http://schemas.openxmlformats.org/officeDocument/2006/relationships/hyperlink" Target="https://ryycrdhlkmzpxwwwwupy.supabase.co/storage/v1/object/public/old_media/1ecddc28.Path.111058.webp" TargetMode="External"/><Relationship Id="rId644" Type="http://schemas.openxmlformats.org/officeDocument/2006/relationships/hyperlink" Target="https://ryycrdhlkmzpxwwwwupy.supabase.co/storage/v1/object/public/old_media/d8660e51.Path.111024.webp" TargetMode="External"/><Relationship Id="rId643" Type="http://schemas.openxmlformats.org/officeDocument/2006/relationships/hyperlink" Target="https://ryycrdhlkmzpxwwwwupy.supabase.co/storage/v1/object/public/old_media/a1abe7e7.Path.110954.webp" TargetMode="External"/><Relationship Id="rId649" Type="http://schemas.openxmlformats.org/officeDocument/2006/relationships/hyperlink" Target="https://ryycrdhlkmzpxwwwwupy.supabase.co/storage/v1/object/public/old_media/2a82ee75.Path.065944.jpg" TargetMode="External"/><Relationship Id="rId648" Type="http://schemas.openxmlformats.org/officeDocument/2006/relationships/hyperlink" Target="https://ryycrdhlkmzpxwwwwupy.supabase.co/storage/v1/object/public/old_media/0cacaea1.Path.065910.jpg" TargetMode="External"/><Relationship Id="rId647" Type="http://schemas.openxmlformats.org/officeDocument/2006/relationships/hyperlink" Target="https://ryycrdhlkmzpxwwwwupy.supabase.co/storage/v1/object/public/old_media/19595b9b.Path.065836.jpg" TargetMode="External"/><Relationship Id="rId642" Type="http://schemas.openxmlformats.org/officeDocument/2006/relationships/hyperlink" Target="https://ryycrdhlkmzpxwwwwupy.supabase.co/storage/v1/object/public/old_media/7fe3c69c.Path.110925.webp" TargetMode="External"/><Relationship Id="rId641" Type="http://schemas.openxmlformats.org/officeDocument/2006/relationships/hyperlink" Target="https://ryycrdhlkmzpxwwwwupy.supabase.co/storage/v1/object/public/old_media/fa82436b.Path.110855.webp" TargetMode="External"/><Relationship Id="rId640" Type="http://schemas.openxmlformats.org/officeDocument/2006/relationships/hyperlink" Target="https://ryycrdhlkmzpxwwwwupy.supabase.co/storage/v1/object/public/old_media/34f1c1ac.Path.110824.webp" TargetMode="External"/><Relationship Id="rId635" Type="http://schemas.openxmlformats.org/officeDocument/2006/relationships/hyperlink" Target="https://ryycrdhlkmzpxwwwwupy.supabase.co/storage/v1/object/public/old_media/a679bab6.Path.110551.webp" TargetMode="External"/><Relationship Id="rId634" Type="http://schemas.openxmlformats.org/officeDocument/2006/relationships/hyperlink" Target="https://ryycrdhlkmzpxwwwwupy.supabase.co/storage/v1/object/public/old_media/3afabf96.Path.110519.webp" TargetMode="External"/><Relationship Id="rId633" Type="http://schemas.openxmlformats.org/officeDocument/2006/relationships/hyperlink" Target="https://ryycrdhlkmzpxwwwwupy.supabase.co/storage/v1/object/public/old_media/11af8ed7.Path.110446.webp" TargetMode="External"/><Relationship Id="rId632" Type="http://schemas.openxmlformats.org/officeDocument/2006/relationships/hyperlink" Target="https://ryycrdhlkmzpxwwwwupy.supabase.co/storage/v1/object/public/old_media/8997c6df.Path.110416.webp" TargetMode="External"/><Relationship Id="rId639" Type="http://schemas.openxmlformats.org/officeDocument/2006/relationships/hyperlink" Target="https://ryycrdhlkmzpxwwwwupy.supabase.co/storage/v1/object/public/old_media/73c96d39.Path.110752.webp" TargetMode="External"/><Relationship Id="rId638" Type="http://schemas.openxmlformats.org/officeDocument/2006/relationships/hyperlink" Target="https://ryycrdhlkmzpxwwwwupy.supabase.co/storage/v1/object/public/old_media/9f3296f7.Path.110725.webp" TargetMode="External"/><Relationship Id="rId637" Type="http://schemas.openxmlformats.org/officeDocument/2006/relationships/hyperlink" Target="https://ryycrdhlkmzpxwwwwupy.supabase.co/storage/v1/object/public/old_media/428351d0.Path.110654.webp" TargetMode="External"/><Relationship Id="rId636" Type="http://schemas.openxmlformats.org/officeDocument/2006/relationships/hyperlink" Target="https://ryycrdhlkmzpxwwwwupy.supabase.co/storage/v1/object/public/old_media/9fe3f6f8.Path.110622.webp" TargetMode="External"/><Relationship Id="rId631" Type="http://schemas.openxmlformats.org/officeDocument/2006/relationships/hyperlink" Target="https://ryycrdhlkmzpxwwwwupy.supabase.co/storage/v1/object/public/old_media/d6730fd4.Path.110345.webp" TargetMode="External"/><Relationship Id="rId630" Type="http://schemas.openxmlformats.org/officeDocument/2006/relationships/hyperlink" Target="https://ryycrdhlkmzpxwwwwupy.supabase.co/storage/v1/object/public/old_media/2ecbe9a6.Path.110313.jpg" TargetMode="External"/><Relationship Id="rId609" Type="http://schemas.openxmlformats.org/officeDocument/2006/relationships/hyperlink" Target="https://ryycrdhlkmzpxwwwwupy.supabase.co/storage/v1/object/public/old_media/3cf5bba6.Path.120223.jpg" TargetMode="External"/><Relationship Id="rId608" Type="http://schemas.openxmlformats.org/officeDocument/2006/relationships/hyperlink" Target="https://ryycrdhlkmzpxwwwwupy.supabase.co/storage/v1/object/public/old_media/8dc27a13.Path.120211.jpg" TargetMode="External"/><Relationship Id="rId607" Type="http://schemas.openxmlformats.org/officeDocument/2006/relationships/hyperlink" Target="https://ryycrdhlkmzpxwwwwupy.supabase.co/storage/v1/object/public/old_media/1693f6a4.Path.120203.jpg" TargetMode="External"/><Relationship Id="rId602" Type="http://schemas.openxmlformats.org/officeDocument/2006/relationships/hyperlink" Target="https://ryycrdhlkmzpxwwwwupy.supabase.co/storage/v1/object/public/old_media/acf600f1.Path.042054.jpg" TargetMode="External"/><Relationship Id="rId601" Type="http://schemas.openxmlformats.org/officeDocument/2006/relationships/hyperlink" Target="https://ryycrdhlkmzpxwwwwupy.supabase.co/storage/v1/object/public/old_media/0e118e50.Path.062018.png" TargetMode="External"/><Relationship Id="rId600" Type="http://schemas.openxmlformats.org/officeDocument/2006/relationships/hyperlink" Target="https://ryycrdhlkmzpxwwwwupy.supabase.co/storage/v1/object/public/old_media/b2ee52f0.Path.111313.jpg" TargetMode="External"/><Relationship Id="rId606" Type="http://schemas.openxmlformats.org/officeDocument/2006/relationships/hyperlink" Target="https://ryycrdhlkmzpxwwwwupy.supabase.co/storage/v1/object/public/old_media/851eeb96.Path.120151.jpg" TargetMode="External"/><Relationship Id="rId605" Type="http://schemas.openxmlformats.org/officeDocument/2006/relationships/hyperlink" Target="https://ryycrdhlkmzpxwwwwupy.supabase.co/storage/v1/object/public/old_media/a76d3189.Path.042930.jpg" TargetMode="External"/><Relationship Id="rId604" Type="http://schemas.openxmlformats.org/officeDocument/2006/relationships/hyperlink" Target="https://ryycrdhlkmzpxwwwwupy.supabase.co/storage/v1/object/public/old_media/0a7128da.Path.042232.jpg" TargetMode="External"/><Relationship Id="rId603" Type="http://schemas.openxmlformats.org/officeDocument/2006/relationships/hyperlink" Target="https://ryycrdhlkmzpxwwwwupy.supabase.co/storage/v1/object/public/old_media/41b0ce6b.Path.042210.jpg" TargetMode="External"/><Relationship Id="rId699" Type="http://schemas.openxmlformats.org/officeDocument/2006/relationships/hyperlink" Target="https://ryycrdhlkmzpxwwwwupy.supabase.co/storage/v1/object/public/old_media/3a724ab2.Path.062747.webp" TargetMode="External"/><Relationship Id="rId698" Type="http://schemas.openxmlformats.org/officeDocument/2006/relationships/hyperlink" Target="https://ryycrdhlkmzpxwwwwupy.supabase.co/storage/v1/object/public/old_media/1baf7875.Path.062722.webp" TargetMode="External"/><Relationship Id="rId693" Type="http://schemas.openxmlformats.org/officeDocument/2006/relationships/hyperlink" Target="https://ryycrdhlkmzpxwwwwupy.supabase.co/storage/v1/object/public/old_media/c7e9c4a0.Path.054038.jpg" TargetMode="External"/><Relationship Id="rId692" Type="http://schemas.openxmlformats.org/officeDocument/2006/relationships/hyperlink" Target="https://ryycrdhlkmzpxwwwwupy.supabase.co/storage/v1/object/public/old_media/f697ce76.Path.054005.jpg" TargetMode="External"/><Relationship Id="rId691" Type="http://schemas.openxmlformats.org/officeDocument/2006/relationships/hyperlink" Target="https://ryycrdhlkmzpxwwwwupy.supabase.co/storage/v1/object/public/old_media/dd6f127d.Path.053933.jpg" TargetMode="External"/><Relationship Id="rId690" Type="http://schemas.openxmlformats.org/officeDocument/2006/relationships/hyperlink" Target="https://ryycrdhlkmzpxwwwwupy.supabase.co/storage/v1/object/public/old_media/b9f25fec.Path.053859.jpg" TargetMode="External"/><Relationship Id="rId697" Type="http://schemas.openxmlformats.org/officeDocument/2006/relationships/hyperlink" Target="https://ryycrdhlkmzpxwwwwupy.supabase.co/storage/v1/object/public/old_media/1cead37a.Path.062652.jpg" TargetMode="External"/><Relationship Id="rId696" Type="http://schemas.openxmlformats.org/officeDocument/2006/relationships/hyperlink" Target="https://ryycrdhlkmzpxwwwwupy.supabase.co/storage/v1/object/public/old_media/5f722673.Path.062623.webp" TargetMode="External"/><Relationship Id="rId695" Type="http://schemas.openxmlformats.org/officeDocument/2006/relationships/hyperlink" Target="https://ryycrdhlkmzpxwwwwupy.supabase.co/storage/v1/object/public/old_media/d653133f.Path.054139.png" TargetMode="External"/><Relationship Id="rId694" Type="http://schemas.openxmlformats.org/officeDocument/2006/relationships/hyperlink" Target="https://ryycrdhlkmzpxwwwwupy.supabase.co/storage/v1/object/public/old_media/bbdee1c3.Path.054110.jpg" TargetMode="External"/><Relationship Id="rId668" Type="http://schemas.openxmlformats.org/officeDocument/2006/relationships/hyperlink" Target="https://ryycrdhlkmzpxwwwwupy.supabase.co/storage/v1/object/public/old_media/f45fbfbe.Path.105453.jpg" TargetMode="External"/><Relationship Id="rId667" Type="http://schemas.openxmlformats.org/officeDocument/2006/relationships/hyperlink" Target="https://ryycrdhlkmzpxwwwwupy.supabase.co/storage/v1/object/public/old_media/1e724abc.Path.105418.jpg" TargetMode="External"/><Relationship Id="rId666" Type="http://schemas.openxmlformats.org/officeDocument/2006/relationships/hyperlink" Target="https://ryycrdhlkmzpxwwwwupy.supabase.co/storage/v1/object/public/old_media/10fa7f43.Path.105339.webp" TargetMode="External"/><Relationship Id="rId665" Type="http://schemas.openxmlformats.org/officeDocument/2006/relationships/hyperlink" Target="https://ryycrdhlkmzpxwwwwupy.supabase.co/storage/v1/object/public/old_media/64d438b0.Path.065258.jpg" TargetMode="External"/><Relationship Id="rId669" Type="http://schemas.openxmlformats.org/officeDocument/2006/relationships/hyperlink" Target="https://ryycrdhlkmzpxwwwwupy.supabase.co/storage/v1/object/public/old_media/aa679fd1.Path.105526.jpg" TargetMode="External"/><Relationship Id="rId660" Type="http://schemas.openxmlformats.org/officeDocument/2006/relationships/hyperlink" Target="https://ryycrdhlkmzpxwwwwupy.supabase.co/storage/v1/object/public/old_media/0abaa5a4.Path.070840.jpg" TargetMode="External"/><Relationship Id="rId664" Type="http://schemas.openxmlformats.org/officeDocument/2006/relationships/hyperlink" Target="https://ryycrdhlkmzpxwwwwupy.supabase.co/storage/v1/object/public/old_media/4eb58a8d.Path.065224.jpg" TargetMode="External"/><Relationship Id="rId663" Type="http://schemas.openxmlformats.org/officeDocument/2006/relationships/hyperlink" Target="https://ryycrdhlkmzpxwwwwupy.supabase.co/storage/v1/object/public/old_media/c57f1ea9.Path.065153.jpg" TargetMode="External"/><Relationship Id="rId662" Type="http://schemas.openxmlformats.org/officeDocument/2006/relationships/hyperlink" Target="https://ryycrdhlkmzpxwwwwupy.supabase.co/storage/v1/object/public/old_media/8b2c75e2.Path.065122.jpg" TargetMode="External"/><Relationship Id="rId661" Type="http://schemas.openxmlformats.org/officeDocument/2006/relationships/hyperlink" Target="https://ryycrdhlkmzpxwwwwupy.supabase.co/storage/v1/object/public/old_media/25cc7cce.Path.064827.jpg" TargetMode="External"/><Relationship Id="rId657" Type="http://schemas.openxmlformats.org/officeDocument/2006/relationships/hyperlink" Target="https://ryycrdhlkmzpxwwwwupy.supabase.co/storage/v1/object/public/old_media/5a17590f.Path.070356.jpg" TargetMode="External"/><Relationship Id="rId656" Type="http://schemas.openxmlformats.org/officeDocument/2006/relationships/hyperlink" Target="https://ryycrdhlkmzpxwwwwupy.supabase.co/storage/v1/object/public/old_media/6b5127d1.Path.070322.jpg" TargetMode="External"/><Relationship Id="rId655" Type="http://schemas.openxmlformats.org/officeDocument/2006/relationships/hyperlink" Target="https://ryycrdhlkmzpxwwwwupy.supabase.co/storage/v1/object/public/old_media/43ef2b40.Path.070249.jpg" TargetMode="External"/><Relationship Id="rId654" Type="http://schemas.openxmlformats.org/officeDocument/2006/relationships/hyperlink" Target="https://ryycrdhlkmzpxwwwwupy.supabase.co/storage/v1/object/public/old_media/9f51539e.Path.070218.jpg" TargetMode="External"/><Relationship Id="rId659" Type="http://schemas.openxmlformats.org/officeDocument/2006/relationships/hyperlink" Target="https://ryycrdhlkmzpxwwwwupy.supabase.co/storage/v1/object/public/old_media/7c368190.Path.070458.jpg" TargetMode="External"/><Relationship Id="rId658" Type="http://schemas.openxmlformats.org/officeDocument/2006/relationships/hyperlink" Target="https://ryycrdhlkmzpxwwwwupy.supabase.co/storage/v1/object/public/old_media/8dc97b4f.Path.070426.jpg" TargetMode="External"/><Relationship Id="rId653" Type="http://schemas.openxmlformats.org/officeDocument/2006/relationships/hyperlink" Target="https://ryycrdhlkmzpxwwwwupy.supabase.co/storage/v1/object/public/old_media/f3f8497a.Path.070150.jpg" TargetMode="External"/><Relationship Id="rId652" Type="http://schemas.openxmlformats.org/officeDocument/2006/relationships/hyperlink" Target="https://ryycrdhlkmzpxwwwwupy.supabase.co/storage/v1/object/public/old_media/51436b3f.Path.070119.jpg" TargetMode="External"/><Relationship Id="rId651" Type="http://schemas.openxmlformats.org/officeDocument/2006/relationships/hyperlink" Target="https://ryycrdhlkmzpxwwwwupy.supabase.co/storage/v1/object/public/old_media/f3e8823e.Path.070051.jpg" TargetMode="External"/><Relationship Id="rId650" Type="http://schemas.openxmlformats.org/officeDocument/2006/relationships/hyperlink" Target="https://ryycrdhlkmzpxwwwwupy.supabase.co/storage/v1/object/public/old_media/55908eee.Path.070022.jpg" TargetMode="External"/><Relationship Id="rId689" Type="http://schemas.openxmlformats.org/officeDocument/2006/relationships/hyperlink" Target="https://ryycrdhlkmzpxwwwwupy.supabase.co/storage/v1/object/public/old_media/093b6723.Path.053825.jpg" TargetMode="External"/><Relationship Id="rId688" Type="http://schemas.openxmlformats.org/officeDocument/2006/relationships/hyperlink" Target="https://ryycrdhlkmzpxwwwwupy.supabase.co/storage/v1/object/public/old_media/07e2c745.Path.073334.webp" TargetMode="External"/><Relationship Id="rId687" Type="http://schemas.openxmlformats.org/officeDocument/2006/relationships/hyperlink" Target="https://ryycrdhlkmzpxwwwwupy.supabase.co/storage/v1/object/public/old_media/e541e318.Path.073307.jpg" TargetMode="External"/><Relationship Id="rId682" Type="http://schemas.openxmlformats.org/officeDocument/2006/relationships/hyperlink" Target="https://ryycrdhlkmzpxwwwwupy.supabase.co/storage/v1/object/public/old_media/36f17428.Path.091859.jpg" TargetMode="External"/><Relationship Id="rId681" Type="http://schemas.openxmlformats.org/officeDocument/2006/relationships/hyperlink" Target="https://ryycrdhlkmzpxwwwwupy.supabase.co/storage/v1/object/public/old_media/3376675f.Path.091830.jpg" TargetMode="External"/><Relationship Id="rId680" Type="http://schemas.openxmlformats.org/officeDocument/2006/relationships/hyperlink" Target="https://ryycrdhlkmzpxwwwwupy.supabase.co/storage/v1/object/public/old_media/83b2fccc.Path.091801.jpg" TargetMode="External"/><Relationship Id="rId686" Type="http://schemas.openxmlformats.org/officeDocument/2006/relationships/hyperlink" Target="https://ryycrdhlkmzpxwwwwupy.supabase.co/storage/v1/object/public/old_media/6c9942b2.Path.073240.jpg" TargetMode="External"/><Relationship Id="rId685" Type="http://schemas.openxmlformats.org/officeDocument/2006/relationships/hyperlink" Target="https://ryycrdhlkmzpxwwwwupy.supabase.co/storage/v1/object/public/old_media/9a9a0973.Path.073211.jpg" TargetMode="External"/><Relationship Id="rId684" Type="http://schemas.openxmlformats.org/officeDocument/2006/relationships/hyperlink" Target="https://ryycrdhlkmzpxwwwwupy.supabase.co/storage/v1/object/public/old_media/e1506863.Path.073138.jpg" TargetMode="External"/><Relationship Id="rId683" Type="http://schemas.openxmlformats.org/officeDocument/2006/relationships/hyperlink" Target="https://ryycrdhlkmzpxwwwwupy.supabase.co/storage/v1/object/public/old_media/397ff627.Path.073103.webp" TargetMode="External"/><Relationship Id="rId679" Type="http://schemas.openxmlformats.org/officeDocument/2006/relationships/hyperlink" Target="https://ryycrdhlkmzpxwwwwupy.supabase.co/storage/v1/object/public/old_media/6f330b6d.Path.091731.jpg" TargetMode="External"/><Relationship Id="rId678" Type="http://schemas.openxmlformats.org/officeDocument/2006/relationships/hyperlink" Target="https://ryycrdhlkmzpxwwwwupy.supabase.co/storage/v1/object/public/old_media/9e60d3f3.Path.091653.jpg" TargetMode="External"/><Relationship Id="rId677" Type="http://schemas.openxmlformats.org/officeDocument/2006/relationships/hyperlink" Target="https://ryycrdhlkmzpxwwwwupy.supabase.co/storage/v1/object/public/old_media/87d03b72.Path.091625.jpg" TargetMode="External"/><Relationship Id="rId676" Type="http://schemas.openxmlformats.org/officeDocument/2006/relationships/hyperlink" Target="https://ryycrdhlkmzpxwwwwupy.supabase.co/storage/v1/object/public/old_media/b4663357.Path.091557.jpg" TargetMode="External"/><Relationship Id="rId671" Type="http://schemas.openxmlformats.org/officeDocument/2006/relationships/hyperlink" Target="https://ryycrdhlkmzpxwwwwupy.supabase.co/storage/v1/object/public/old_media/7288dd41.Path.105631.webp" TargetMode="External"/><Relationship Id="rId670" Type="http://schemas.openxmlformats.org/officeDocument/2006/relationships/hyperlink" Target="https://ryycrdhlkmzpxwwwwupy.supabase.co/storage/v1/object/public/old_media/b1d6b863.Path.105600.jpg" TargetMode="External"/><Relationship Id="rId675" Type="http://schemas.openxmlformats.org/officeDocument/2006/relationships/hyperlink" Target="https://ryycrdhlkmzpxwwwwupy.supabase.co/storage/v1/object/public/old_media/32b07df6.Path.091527.jpg" TargetMode="External"/><Relationship Id="rId674" Type="http://schemas.openxmlformats.org/officeDocument/2006/relationships/hyperlink" Target="https://ryycrdhlkmzpxwwwwupy.supabase.co/storage/v1/object/public/old_media/dddac529.Path.091449.jpg" TargetMode="External"/><Relationship Id="rId673" Type="http://schemas.openxmlformats.org/officeDocument/2006/relationships/hyperlink" Target="https://ryycrdhlkmzpxwwwwupy.supabase.co/storage/v1/object/public/old_media/91db1f40.Path.092643.png" TargetMode="External"/><Relationship Id="rId672" Type="http://schemas.openxmlformats.org/officeDocument/2006/relationships/hyperlink" Target="https://ryycrdhlkmzpxwwwwupy.supabase.co/storage/v1/object/public/old_media/b912b92d.Path.105702.webp" TargetMode="External"/><Relationship Id="rId190" Type="http://schemas.openxmlformats.org/officeDocument/2006/relationships/hyperlink" Target="https://ryycrdhlkmzpxwwwwupy.supabase.co/storage/v1/object/public/old_media/e55627a9.Path.060452.jpg" TargetMode="External"/><Relationship Id="rId194" Type="http://schemas.openxmlformats.org/officeDocument/2006/relationships/hyperlink" Target="https://ryycrdhlkmzpxwwwwupy.supabase.co/storage/v1/object/public/old_media/4b9eb2d7.Path.060538.jpg" TargetMode="External"/><Relationship Id="rId193" Type="http://schemas.openxmlformats.org/officeDocument/2006/relationships/hyperlink" Target="https://ryycrdhlkmzpxwwwwupy.supabase.co/storage/v1/object/public/old_media/c2267734.Path.060530.jpg" TargetMode="External"/><Relationship Id="rId192" Type="http://schemas.openxmlformats.org/officeDocument/2006/relationships/hyperlink" Target="https://ryycrdhlkmzpxwwwwupy.supabase.co/storage/v1/object/public/old_media/49c85dd5.Path.060510.jpg" TargetMode="External"/><Relationship Id="rId191" Type="http://schemas.openxmlformats.org/officeDocument/2006/relationships/hyperlink" Target="https://ryycrdhlkmzpxwwwwupy.supabase.co/storage/v1/object/public/old_media/d91c9425.Path.060502.jpg" TargetMode="External"/><Relationship Id="rId187" Type="http://schemas.openxmlformats.org/officeDocument/2006/relationships/hyperlink" Target="https://ryycrdhlkmzpxwwwwupy.supabase.co/storage/v1/object/public/old_media/7ff8a591.Path.060359.jpg" TargetMode="External"/><Relationship Id="rId186" Type="http://schemas.openxmlformats.org/officeDocument/2006/relationships/hyperlink" Target="https://ryycrdhlkmzpxwwwwupy.supabase.co/storage/v1/object/public/old_media/17ad7740.Path.060348.jpg" TargetMode="External"/><Relationship Id="rId185" Type="http://schemas.openxmlformats.org/officeDocument/2006/relationships/hyperlink" Target="https://ryycrdhlkmzpxwwwwupy.supabase.co/storage/v1/object/public/old_media/27b0edb6.Path.060339.jpg" TargetMode="External"/><Relationship Id="rId184" Type="http://schemas.openxmlformats.org/officeDocument/2006/relationships/hyperlink" Target="https://ryycrdhlkmzpxwwwwupy.supabase.co/storage/v1/object/public/old_media/fe59da06.Path.060330.jpg" TargetMode="External"/><Relationship Id="rId189" Type="http://schemas.openxmlformats.org/officeDocument/2006/relationships/hyperlink" Target="https://ryycrdhlkmzpxwwwwupy.supabase.co/storage/v1/object/public/old_media/0c068d68.Path.060422.jpg" TargetMode="External"/><Relationship Id="rId188" Type="http://schemas.openxmlformats.org/officeDocument/2006/relationships/hyperlink" Target="https://ryycrdhlkmzpxwwwwupy.supabase.co/storage/v1/object/public/old_media/2d57e15d.Path.060412.jpg" TargetMode="External"/><Relationship Id="rId183" Type="http://schemas.openxmlformats.org/officeDocument/2006/relationships/hyperlink" Target="https://ryycrdhlkmzpxwwwwupy.supabase.co/storage/v1/object/public/old_media/8d65b2f0.Path.045103.jpg" TargetMode="External"/><Relationship Id="rId182" Type="http://schemas.openxmlformats.org/officeDocument/2006/relationships/hyperlink" Target="https://ryycrdhlkmzpxwwwwupy.supabase.co/storage/v1/object/public/old_media/3e638ab9.Path.045056.jpg" TargetMode="External"/><Relationship Id="rId181" Type="http://schemas.openxmlformats.org/officeDocument/2006/relationships/hyperlink" Target="https://ryycrdhlkmzpxwwwwupy.supabase.co/storage/v1/object/public/old_media/da32729a.Path.045029.jpg" TargetMode="External"/><Relationship Id="rId180" Type="http://schemas.openxmlformats.org/officeDocument/2006/relationships/hyperlink" Target="https://ryycrdhlkmzpxwwwwupy.supabase.co/storage/v1/object/public/old_media/f7c88312.Path.045013.jpg" TargetMode="External"/><Relationship Id="rId176" Type="http://schemas.openxmlformats.org/officeDocument/2006/relationships/hyperlink" Target="https://ryycrdhlkmzpxwwwwupy.supabase.co/storage/v1/object/public/old_media/529cec9a.Path.120010.jpg" TargetMode="External"/><Relationship Id="rId175" Type="http://schemas.openxmlformats.org/officeDocument/2006/relationships/hyperlink" Target="https://ryycrdhlkmzpxwwwwupy.supabase.co/storage/v1/object/public/old_media/ae62fd98.Path.115953.jpg" TargetMode="External"/><Relationship Id="rId174" Type="http://schemas.openxmlformats.org/officeDocument/2006/relationships/hyperlink" Target="https://ryycrdhlkmzpxwwwwupy.supabase.co/storage/v1/object/public/old_media/5b20edaf.Path.115935.jpg" TargetMode="External"/><Relationship Id="rId173" Type="http://schemas.openxmlformats.org/officeDocument/2006/relationships/hyperlink" Target="https://ryycrdhlkmzpxwwwwupy.supabase.co/storage/v1/object/public/old_media/586ed3d1.Path.115927.jpg" TargetMode="External"/><Relationship Id="rId179" Type="http://schemas.openxmlformats.org/officeDocument/2006/relationships/hyperlink" Target="https://ryycrdhlkmzpxwwwwupy.supabase.co/storage/v1/object/public/old_media/34f40cfc.Path.044954.jpg" TargetMode="External"/><Relationship Id="rId178" Type="http://schemas.openxmlformats.org/officeDocument/2006/relationships/hyperlink" Target="https://ryycrdhlkmzpxwwwwupy.supabase.co/storage/v1/object/public/old_media/68eb6624.Path.044947.jpg" TargetMode="External"/><Relationship Id="rId177" Type="http://schemas.openxmlformats.org/officeDocument/2006/relationships/hyperlink" Target="https://ryycrdhlkmzpxwwwwupy.supabase.co/storage/v1/object/public/old_media/550d2b47.Path.044929.jpg" TargetMode="External"/><Relationship Id="rId198" Type="http://schemas.openxmlformats.org/officeDocument/2006/relationships/hyperlink" Target="https://ryycrdhlkmzpxwwwwupy.supabase.co/storage/v1/object/public/old_media/c97d2222.Path.051708.jpg" TargetMode="External"/><Relationship Id="rId197" Type="http://schemas.openxmlformats.org/officeDocument/2006/relationships/hyperlink" Target="https://ryycrdhlkmzpxwwwwupy.supabase.co/storage/v1/object/public/old_media/7d894b82.Path.050855.jpg" TargetMode="External"/><Relationship Id="rId196" Type="http://schemas.openxmlformats.org/officeDocument/2006/relationships/hyperlink" Target="https://ryycrdhlkmzpxwwwwupy.supabase.co/storage/v1/object/public/old_media/bca504ec.Path.050836.jpg" TargetMode="External"/><Relationship Id="rId195" Type="http://schemas.openxmlformats.org/officeDocument/2006/relationships/hyperlink" Target="https://ryycrdhlkmzpxwwwwupy.supabase.co/storage/v1/object/public/old_media/8867a26e.Path.050745.jpg" TargetMode="External"/><Relationship Id="rId199" Type="http://schemas.openxmlformats.org/officeDocument/2006/relationships/hyperlink" Target="https://ryycrdhlkmzpxwwwwupy.supabase.co/storage/v1/object/public/old_media/6c04b6fa.Path.051721.jpg" TargetMode="External"/><Relationship Id="rId150" Type="http://schemas.openxmlformats.org/officeDocument/2006/relationships/hyperlink" Target="https://ryycrdhlkmzpxwwwwupy.supabase.co/storage/v1/object/public/old_media/3774c628.Path.054122.jpg" TargetMode="External"/><Relationship Id="rId149" Type="http://schemas.openxmlformats.org/officeDocument/2006/relationships/hyperlink" Target="https://ryycrdhlkmzpxwwwwupy.supabase.co/storage/v1/object/public/old_media/a17fae6d.Path.054045.jpg" TargetMode="External"/><Relationship Id="rId148" Type="http://schemas.openxmlformats.org/officeDocument/2006/relationships/hyperlink" Target="https://ryycrdhlkmzpxwwwwupy.supabase.co/storage/v1/object/public/old_media/f8ebe9a7.Path.054006.jpg" TargetMode="External"/><Relationship Id="rId143" Type="http://schemas.openxmlformats.org/officeDocument/2006/relationships/hyperlink" Target="https://ryycrdhlkmzpxwwwwupy.supabase.co/storage/v1/object/public/old_media/4e272b54.Path.073936.jpg" TargetMode="External"/><Relationship Id="rId142" Type="http://schemas.openxmlformats.org/officeDocument/2006/relationships/hyperlink" Target="https://ryycrdhlkmzpxwwwwupy.supabase.co/storage/v1/object/public/old_media/549f5351.Path.055626.jpg" TargetMode="External"/><Relationship Id="rId141" Type="http://schemas.openxmlformats.org/officeDocument/2006/relationships/hyperlink" Target="https://ryycrdhlkmzpxwwwwupy.supabase.co/storage/v1/object/public/old_media/061d3423.Path.055547.jpg" TargetMode="External"/><Relationship Id="rId140" Type="http://schemas.openxmlformats.org/officeDocument/2006/relationships/hyperlink" Target="https://ryycrdhlkmzpxwwwwupy.supabase.co/storage/v1/object/public/old_media/13fa8f35.Path.055502.jpg" TargetMode="External"/><Relationship Id="rId147" Type="http://schemas.openxmlformats.org/officeDocument/2006/relationships/hyperlink" Target="https://ryycrdhlkmzpxwwwwupy.supabase.co/storage/v1/object/public/old_media/def0d2b3.Path.053903.jpg" TargetMode="External"/><Relationship Id="rId146" Type="http://schemas.openxmlformats.org/officeDocument/2006/relationships/hyperlink" Target="https://ryycrdhlkmzpxwwwwupy.supabase.co/storage/v1/object/public/old_media/9e70be63.Path.053752.jpg" TargetMode="External"/><Relationship Id="rId145" Type="http://schemas.openxmlformats.org/officeDocument/2006/relationships/hyperlink" Target="https://ryycrdhlkmzpxwwwwupy.supabase.co/storage/v1/object/public/old_media/de8dc0a2.Path.053718.jpg" TargetMode="External"/><Relationship Id="rId144" Type="http://schemas.openxmlformats.org/officeDocument/2006/relationships/hyperlink" Target="https://ryycrdhlkmzpxwwwwupy.supabase.co/storage/v1/object/public/old_media/23c79f34.Path.053609.jpg" TargetMode="External"/><Relationship Id="rId139" Type="http://schemas.openxmlformats.org/officeDocument/2006/relationships/hyperlink" Target="https://ryycrdhlkmzpxwwwwupy.supabase.co/storage/v1/object/public/old_media/e3499466.Path.080421.jpg" TargetMode="External"/><Relationship Id="rId138" Type="http://schemas.openxmlformats.org/officeDocument/2006/relationships/hyperlink" Target="https://ryycrdhlkmzpxwwwwupy.supabase.co/storage/v1/object/public/old_media/d8ce3df9.Path.080408.jpg" TargetMode="External"/><Relationship Id="rId137" Type="http://schemas.openxmlformats.org/officeDocument/2006/relationships/hyperlink" Target="https://ryycrdhlkmzpxwwwwupy.supabase.co/storage/v1/object/public/old_media/16367fbd.Path.080356.jpg" TargetMode="External"/><Relationship Id="rId132" Type="http://schemas.openxmlformats.org/officeDocument/2006/relationships/hyperlink" Target="https://ryycrdhlkmzpxwwwwupy.supabase.co/storage/v1/object/public/old_media/0a2f9aba.Path.080239.jpg" TargetMode="External"/><Relationship Id="rId131" Type="http://schemas.openxmlformats.org/officeDocument/2006/relationships/hyperlink" Target="https://ryycrdhlkmzpxwwwwupy.supabase.co/storage/v1/object/public/old_media/0420d939.Path.080228.jpg" TargetMode="External"/><Relationship Id="rId130" Type="http://schemas.openxmlformats.org/officeDocument/2006/relationships/hyperlink" Target="https://ryycrdhlkmzpxwwwwupy.supabase.co/storage/v1/object/public/old_media/550011d8.Path.080214.jpg" TargetMode="External"/><Relationship Id="rId136" Type="http://schemas.openxmlformats.org/officeDocument/2006/relationships/hyperlink" Target="https://ryycrdhlkmzpxwwwwupy.supabase.co/storage/v1/object/public/old_media/feacf8fc.Path.080344.jpg" TargetMode="External"/><Relationship Id="rId135" Type="http://schemas.openxmlformats.org/officeDocument/2006/relationships/hyperlink" Target="https://ryycrdhlkmzpxwwwwupy.supabase.co/storage/v1/object/public/old_media/9ee8e8c8.Path.080326.jpg" TargetMode="External"/><Relationship Id="rId134" Type="http://schemas.openxmlformats.org/officeDocument/2006/relationships/hyperlink" Target="https://ryycrdhlkmzpxwwwwupy.supabase.co/storage/v1/object/public/old_media/d0c4f738.Path.080309.jpg" TargetMode="External"/><Relationship Id="rId133" Type="http://schemas.openxmlformats.org/officeDocument/2006/relationships/hyperlink" Target="https://ryycrdhlkmzpxwwwwupy.supabase.co/storage/v1/object/public/old_media/e0ddfe0a.Path.080253.jpg" TargetMode="External"/><Relationship Id="rId172" Type="http://schemas.openxmlformats.org/officeDocument/2006/relationships/hyperlink" Target="https://ryycrdhlkmzpxwwwwupy.supabase.co/storage/v1/object/public/old_media/bd73c662.Path.115908.jpg" TargetMode="External"/><Relationship Id="rId171" Type="http://schemas.openxmlformats.org/officeDocument/2006/relationships/hyperlink" Target="https://ryycrdhlkmzpxwwwwupy.supabase.co/storage/v1/object/public/old_media/5755684c.Path.115900.jpg" TargetMode="External"/><Relationship Id="rId170" Type="http://schemas.openxmlformats.org/officeDocument/2006/relationships/hyperlink" Target="https://ryycrdhlkmzpxwwwwupy.supabase.co/storage/v1/object/public/old_media/998b4254.Path.115608.jpg" TargetMode="External"/><Relationship Id="rId165" Type="http://schemas.openxmlformats.org/officeDocument/2006/relationships/hyperlink" Target="https://ryycrdhlkmzpxwwwwupy.supabase.co/storage/v1/object/public/old_media/c07b9ec0.Path.115441.jpg" TargetMode="External"/><Relationship Id="rId164" Type="http://schemas.openxmlformats.org/officeDocument/2006/relationships/hyperlink" Target="https://ryycrdhlkmzpxwwwwupy.supabase.co/storage/v1/object/public/old_media/e3dbce22.Path.072159.jpg" TargetMode="External"/><Relationship Id="rId163" Type="http://schemas.openxmlformats.org/officeDocument/2006/relationships/hyperlink" Target="https://ryycrdhlkmzpxwwwwupy.supabase.co/storage/v1/object/public/old_media/75526010.Path.091252.jpg" TargetMode="External"/><Relationship Id="rId162" Type="http://schemas.openxmlformats.org/officeDocument/2006/relationships/hyperlink" Target="https://ryycrdhlkmzpxwwwwupy.supabase.co/storage/v1/object/public/old_media/c60c38bc.Path.091241.jpg" TargetMode="External"/><Relationship Id="rId169" Type="http://schemas.openxmlformats.org/officeDocument/2006/relationships/hyperlink" Target="https://ryycrdhlkmzpxwwwwupy.supabase.co/storage/v1/object/public/old_media/28c37995.Path.115550.jpg" TargetMode="External"/><Relationship Id="rId168" Type="http://schemas.openxmlformats.org/officeDocument/2006/relationships/hyperlink" Target="https://ryycrdhlkmzpxwwwwupy.supabase.co/storage/v1/object/public/old_media/84d598f5.Path.115532.jpg" TargetMode="External"/><Relationship Id="rId167" Type="http://schemas.openxmlformats.org/officeDocument/2006/relationships/hyperlink" Target="https://ryycrdhlkmzpxwwwwupy.supabase.co/storage/v1/object/public/old_media/26bed498.Path.115504.jpg" TargetMode="External"/><Relationship Id="rId166" Type="http://schemas.openxmlformats.org/officeDocument/2006/relationships/hyperlink" Target="https://ryycrdhlkmzpxwwwwupy.supabase.co/storage/v1/object/public/old_media/e85e488e.Path.115457.jpg" TargetMode="External"/><Relationship Id="rId161" Type="http://schemas.openxmlformats.org/officeDocument/2006/relationships/hyperlink" Target="https://ryycrdhlkmzpxwwwwupy.supabase.co/storage/v1/object/public/old_media/3e6dfeba.Path.091230.jpg" TargetMode="External"/><Relationship Id="rId160" Type="http://schemas.openxmlformats.org/officeDocument/2006/relationships/hyperlink" Target="https://ryycrdhlkmzpxwwwwupy.supabase.co/storage/v1/object/public/old_media/19599999.Path.091218.jpg" TargetMode="External"/><Relationship Id="rId159" Type="http://schemas.openxmlformats.org/officeDocument/2006/relationships/hyperlink" Target="https://ryycrdhlkmzpxwwwwupy.supabase.co/storage/v1/object/public/old_media/99d2f92b.Path.091207.jpg" TargetMode="External"/><Relationship Id="rId154" Type="http://schemas.openxmlformats.org/officeDocument/2006/relationships/hyperlink" Target="https://ryycrdhlkmzpxwwwwupy.supabase.co/storage/v1/object/public/old_media/89af3dc2.Path.062436.jpg" TargetMode="External"/><Relationship Id="rId153" Type="http://schemas.openxmlformats.org/officeDocument/2006/relationships/hyperlink" Target="https://ryycrdhlkmzpxwwwwupy.supabase.co/storage/v1/object/public/old_media/ae94b337.Path.054949.jpg" TargetMode="External"/><Relationship Id="rId152" Type="http://schemas.openxmlformats.org/officeDocument/2006/relationships/hyperlink" Target="https://ryycrdhlkmzpxwwwwupy.supabase.co/storage/v1/object/public/old_media/9a587bb9.Path.054929.jpg" TargetMode="External"/><Relationship Id="rId151" Type="http://schemas.openxmlformats.org/officeDocument/2006/relationships/hyperlink" Target="https://ryycrdhlkmzpxwwwwupy.supabase.co/storage/v1/object/public/old_media/ec0ec065.Path.055946.jpg" TargetMode="External"/><Relationship Id="rId158" Type="http://schemas.openxmlformats.org/officeDocument/2006/relationships/hyperlink" Target="https://ryycrdhlkmzpxwwwwupy.supabase.co/storage/v1/object/public/old_media/e4c3e46f.Path.094150.jpg" TargetMode="External"/><Relationship Id="rId157" Type="http://schemas.openxmlformats.org/officeDocument/2006/relationships/hyperlink" Target="https://ryycrdhlkmzpxwwwwupy.supabase.co/storage/v1/object/public/old_media/de1551cf.Path.094143.jpg" TargetMode="External"/><Relationship Id="rId156" Type="http://schemas.openxmlformats.org/officeDocument/2006/relationships/hyperlink" Target="https://ryycrdhlkmzpxwwwwupy.supabase.co/storage/v1/object/public/old_media/667d0d2f.Path.093346.jpg" TargetMode="External"/><Relationship Id="rId155" Type="http://schemas.openxmlformats.org/officeDocument/2006/relationships/hyperlink" Target="https://ryycrdhlkmzpxwwwwupy.supabase.co/storage/v1/object/public/old_media/d5a1fe86.Path.062501.jpg" TargetMode="External"/><Relationship Id="rId107" Type="http://schemas.openxmlformats.org/officeDocument/2006/relationships/hyperlink" Target="https://ryycrdhlkmzpxwwwwupy.supabase.co/storage/v1/object/public/old_media/56b72014.Path.064109.jpg" TargetMode="External"/><Relationship Id="rId106" Type="http://schemas.openxmlformats.org/officeDocument/2006/relationships/hyperlink" Target="https://ryycrdhlkmzpxwwwwupy.supabase.co/storage/v1/object/public/old_media/af88694c.Path.064033.jpg" TargetMode="External"/><Relationship Id="rId105" Type="http://schemas.openxmlformats.org/officeDocument/2006/relationships/hyperlink" Target="https://ryycrdhlkmzpxwwwwupy.supabase.co/storage/v1/object/public/old_media/ef928559.Path.062737.jpg" TargetMode="External"/><Relationship Id="rId104" Type="http://schemas.openxmlformats.org/officeDocument/2006/relationships/hyperlink" Target="https://ryycrdhlkmzpxwwwwupy.supabase.co/storage/v1/object/public/old_media/bbd05efa.Path.062730.jpg" TargetMode="External"/><Relationship Id="rId109" Type="http://schemas.openxmlformats.org/officeDocument/2006/relationships/hyperlink" Target="https://ryycrdhlkmzpxwwwwupy.supabase.co/storage/v1/object/public/old_media/b1ead03e.Path.120407.jpg" TargetMode="External"/><Relationship Id="rId108" Type="http://schemas.openxmlformats.org/officeDocument/2006/relationships/hyperlink" Target="https://ryycrdhlkmzpxwwwwupy.supabase.co/storage/v1/object/public/old_media/5b214baf.Path.120358.jpg" TargetMode="External"/><Relationship Id="rId103" Type="http://schemas.openxmlformats.org/officeDocument/2006/relationships/hyperlink" Target="https://ryycrdhlkmzpxwwwwupy.supabase.co/storage/v1/object/public/old_media/e7137b6f.Path.062712.jpg" TargetMode="External"/><Relationship Id="rId102" Type="http://schemas.openxmlformats.org/officeDocument/2006/relationships/hyperlink" Target="https://ryycrdhlkmzpxwwwwupy.supabase.co/storage/v1/object/public/old_media/a75c7404.Path.062706.jpg" TargetMode="External"/><Relationship Id="rId101" Type="http://schemas.openxmlformats.org/officeDocument/2006/relationships/hyperlink" Target="https://ryycrdhlkmzpxwwwwupy.supabase.co/storage/v1/object/public/old_media/4a2f681b.Path.062644.jpg" TargetMode="External"/><Relationship Id="rId100" Type="http://schemas.openxmlformats.org/officeDocument/2006/relationships/hyperlink" Target="https://ryycrdhlkmzpxwwwwupy.supabase.co/storage/v1/object/public/old_media/0047a8f0.Path.062617.jpg" TargetMode="External"/><Relationship Id="rId129" Type="http://schemas.openxmlformats.org/officeDocument/2006/relationships/hyperlink" Target="https://ryycrdhlkmzpxwwwwupy.supabase.co/storage/v1/object/public/old_media/d06501c1.Path.080159.jpg" TargetMode="External"/><Relationship Id="rId128" Type="http://schemas.openxmlformats.org/officeDocument/2006/relationships/hyperlink" Target="https://ryycrdhlkmzpxwwwwupy.supabase.co/storage/v1/object/public/old_media/eb90ffad.Path.080145.jpg" TargetMode="External"/><Relationship Id="rId127" Type="http://schemas.openxmlformats.org/officeDocument/2006/relationships/hyperlink" Target="https://ryycrdhlkmzpxwwwwupy.supabase.co/storage/v1/object/public/old_media/16a43282.Path.080120.jpg" TargetMode="External"/><Relationship Id="rId126" Type="http://schemas.openxmlformats.org/officeDocument/2006/relationships/hyperlink" Target="https://ryycrdhlkmzpxwwwwupy.supabase.co/storage/v1/object/public/old_media/61549a2c.Path.080015.jpg" TargetMode="External"/><Relationship Id="rId121" Type="http://schemas.openxmlformats.org/officeDocument/2006/relationships/hyperlink" Target="https://ryycrdhlkmzpxwwwwupy.supabase.co/storage/v1/object/public/old_media/97d39575.Path.054942.jpg" TargetMode="External"/><Relationship Id="rId120" Type="http://schemas.openxmlformats.org/officeDocument/2006/relationships/hyperlink" Target="https://ryycrdhlkmzpxwwwwupy.supabase.co/storage/v1/object/public/old_media/733aa66c.Path.050532.jpg" TargetMode="External"/><Relationship Id="rId125" Type="http://schemas.openxmlformats.org/officeDocument/2006/relationships/hyperlink" Target="https://ryycrdhlkmzpxwwwwupy.supabase.co/storage/v1/object/public/old_media/6ca2b193.Path.091832.jpg" TargetMode="External"/><Relationship Id="rId124" Type="http://schemas.openxmlformats.org/officeDocument/2006/relationships/hyperlink" Target="https://ryycrdhlkmzpxwwwwupy.supabase.co/storage/v1/object/public/old_media/4df32f63.Path.091825.jpg" TargetMode="External"/><Relationship Id="rId123" Type="http://schemas.openxmlformats.org/officeDocument/2006/relationships/hyperlink" Target="https://ryycrdhlkmzpxwwwwupy.supabase.co/storage/v1/object/public/old_media/2665c3e7.Path.055002.jpg" TargetMode="External"/><Relationship Id="rId122" Type="http://schemas.openxmlformats.org/officeDocument/2006/relationships/hyperlink" Target="https://ryycrdhlkmzpxwwwwupy.supabase.co/storage/v1/object/public/old_media/8a112f21.Path.054955.jpg" TargetMode="External"/><Relationship Id="rId118" Type="http://schemas.openxmlformats.org/officeDocument/2006/relationships/hyperlink" Target="https://ryycrdhlkmzpxwwwwupy.supabase.co/storage/v1/object/public/old_media/61431e7a.Path.050517.jpg" TargetMode="External"/><Relationship Id="rId117" Type="http://schemas.openxmlformats.org/officeDocument/2006/relationships/hyperlink" Target="https://ryycrdhlkmzpxwwwwupy.supabase.co/storage/v1/object/public/old_media/ba23534f.Path.050510.jpg" TargetMode="External"/><Relationship Id="rId116" Type="http://schemas.openxmlformats.org/officeDocument/2006/relationships/hyperlink" Target="https://ryycrdhlkmzpxwwwwupy.supabase.co/storage/v1/object/public/old_media/88c1f74d.Path.050503.jpg" TargetMode="External"/><Relationship Id="rId115" Type="http://schemas.openxmlformats.org/officeDocument/2006/relationships/hyperlink" Target="https://ryycrdhlkmzpxwwwwupy.supabase.co/storage/v1/object/public/old_media/a7f419de.Path.050456.jpg" TargetMode="External"/><Relationship Id="rId119" Type="http://schemas.openxmlformats.org/officeDocument/2006/relationships/hyperlink" Target="https://ryycrdhlkmzpxwwwwupy.supabase.co/storage/v1/object/public/old_media/6a3c9352.Path.050525.jpg" TargetMode="External"/><Relationship Id="rId110" Type="http://schemas.openxmlformats.org/officeDocument/2006/relationships/hyperlink" Target="https://ryycrdhlkmzpxwwwwupy.supabase.co/storage/v1/object/public/old_media/46b486e6.Path.120414.jpg" TargetMode="External"/><Relationship Id="rId114" Type="http://schemas.openxmlformats.org/officeDocument/2006/relationships/hyperlink" Target="https://ryycrdhlkmzpxwwwwupy.supabase.co/storage/v1/object/public/old_media/4e4b571d.Path.050447.jpg" TargetMode="External"/><Relationship Id="rId113" Type="http://schemas.openxmlformats.org/officeDocument/2006/relationships/hyperlink" Target="https://ryycrdhlkmzpxwwwwupy.supabase.co/storage/v1/object/public/old_media/64433208.Path.055101.jpg" TargetMode="External"/><Relationship Id="rId112" Type="http://schemas.openxmlformats.org/officeDocument/2006/relationships/hyperlink" Target="https://ryycrdhlkmzpxwwwwupy.supabase.co/storage/v1/object/public/old_media/35a6103a.Path.055044.jpg" TargetMode="External"/><Relationship Id="rId111" Type="http://schemas.openxmlformats.org/officeDocument/2006/relationships/hyperlink" Target="https://ryycrdhlkmzpxwwwwupy.supabase.co/storage/v1/object/public/old_media/609c3d77.Path.054946.jp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www.lareunionpourtous.re/" TargetMode="External"/><Relationship Id="rId10" Type="http://schemas.openxmlformats.org/officeDocument/2006/relationships/hyperlink" Target="https://www.espritparcnational.com/destination-parc-national/reunion" TargetMode="External"/><Relationship Id="rId13" Type="http://schemas.openxmlformats.org/officeDocument/2006/relationships/hyperlink" Target="https://www.ecolabels.fr/" TargetMode="External"/><Relationship Id="rId12" Type="http://schemas.openxmlformats.org/officeDocument/2006/relationships/hyperlink" Target="https://100pour100reunion.fr/" TargetMode="External"/><Relationship Id="rId14" Type="http://schemas.openxmlformats.org/officeDocument/2006/relationships/drawing" Target="../drawings/drawing17.xml"/><Relationship Id="rId1" Type="http://schemas.openxmlformats.org/officeDocument/2006/relationships/hyperlink" Target="https://www.clevacances.com/fr/label-clevacances" TargetMode="External"/><Relationship Id="rId2" Type="http://schemas.openxmlformats.org/officeDocument/2006/relationships/hyperlink" Target="https://www.bienvenue-a-la-ferme.com/" TargetMode="External"/><Relationship Id="rId3" Type="http://schemas.openxmlformats.org/officeDocument/2006/relationships/hyperlink" Target="https://www.ffe.com/tourisme/Label-Centre-de-Tourisme-Equestre" TargetMode="External"/><Relationship Id="rId4" Type="http://schemas.openxmlformats.org/officeDocument/2006/relationships/hyperlink" Target="https://www.gites-de-france.com/fr" TargetMode="External"/><Relationship Id="rId9" Type="http://schemas.openxmlformats.org/officeDocument/2006/relationships/hyperlink" Target="https://www.agencebio.org/" TargetMode="External"/><Relationship Id="rId5" Type="http://schemas.openxmlformats.org/officeDocument/2006/relationships/hyperlink" Target="https://www.reunion.fr/organisez/conseils-de-voyage/labels-a-la-reunion/qualite-tourisme-ile-de-la-reunion/" TargetMode="External"/><Relationship Id="rId6" Type="http://schemas.openxmlformats.org/officeDocument/2006/relationships/hyperlink" Target="https://www.maitresrestaurateurs.fr/histoire/le-titre-de-maitre-restaurateur-591" TargetMode="External"/><Relationship Id="rId7" Type="http://schemas.openxmlformats.org/officeDocument/2006/relationships/hyperlink" Target="https://www.qualite-tourisme.gouv.fr/fr" TargetMode="External"/><Relationship Id="rId8" Type="http://schemas.openxmlformats.org/officeDocument/2006/relationships/hyperlink" Target="https://ec.europa.eu/info/food-farming-fisheries/food-safety-and-quality/certification/quality-labels/geographical-indications-register/"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facebook.com/" TargetMode="External"/><Relationship Id="rId2" Type="http://schemas.openxmlformats.org/officeDocument/2006/relationships/hyperlink" Target="https://www.airbnb.fr/" TargetMode="External"/><Relationship Id="rId3" Type="http://schemas.openxmlformats.org/officeDocument/2006/relationships/hyperlink" Target="https://www.booking.com/" TargetMode="External"/><Relationship Id="rId4" Type="http://schemas.openxmlformats.org/officeDocument/2006/relationships/hyperlink" Target="https://www.abritel.fr/" TargetMode="External"/><Relationship Id="rId9" Type="http://schemas.openxmlformats.org/officeDocument/2006/relationships/drawing" Target="../drawings/drawing18.xml"/><Relationship Id="rId5" Type="http://schemas.openxmlformats.org/officeDocument/2006/relationships/hyperlink" Target="https://www.instagram.com/?hl=fr" TargetMode="External"/><Relationship Id="rId6" Type="http://schemas.openxmlformats.org/officeDocument/2006/relationships/hyperlink" Target="https://www.leboncoin.fr/" TargetMode="External"/><Relationship Id="rId7" Type="http://schemas.openxmlformats.org/officeDocument/2006/relationships/hyperlink" Target="https://www.tripadvisor.fr/" TargetMode="External"/><Relationship Id="rId8" Type="http://schemas.openxmlformats.org/officeDocument/2006/relationships/hyperlink" Target="https://www.tiktok.com/fr/"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sudreuniontourisme.fr/fiche-etablissement/entre-deux/location-saisonniere/o-lodge-des-rameaux-eta_5756.html"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hotel-ledimitile.com/"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92" Type="http://schemas.openxmlformats.org/officeDocument/2006/relationships/hyperlink" Target="https://www.facebook.com/profile.php?id=100063721502528" TargetMode="External"/><Relationship Id="rId391" Type="http://schemas.openxmlformats.org/officeDocument/2006/relationships/hyperlink" Target="https://www.facebook.com/bouillondaventures/" TargetMode="External"/><Relationship Id="rId390" Type="http://schemas.openxmlformats.org/officeDocument/2006/relationships/hyperlink" Target="https://www.booking.com/hotel/re/les-nouveaux-sauvages.fr.html?aid=318615&amp;label=New_French_FR_RE_26394819985-5KMfyMgIYi7RF9Cd6ZNX9wS100087090705%3Apl%3Ata%3Ap1%3Ap2%3Aac%3Aap%3Aneg%3Afi%3Atidsa-194594581705%3Alp9075843%3Ali%3Adec%3Adm&amp;sid=44bdeab9f079af531f9d48cd7b717e90&amp;all_sr_blocks=170230803_335453903_2_1_0;checkin=2022-10-02;checkout=2022-10-03;dest_id=-1331399;dest_type=city;dist=0;group_adults=2;group_children=0;hapos=1;highlighted_blocks=170230803_335453903_2_1_0;hpos=1;matching_block_id=170230803_335453903_2_1_0;no_rooms=1;req_adults=2;req_children=0;room1=A%2CA;sb_price_type=total;sr_order=popularity;sr_pri_blocks=170230803_335453903_2_1_0__8752;srepoch=1663070555;srpvid=b99654ad93f50405;type=total;ucfs=1&amp;" TargetMode="External"/><Relationship Id="rId385" Type="http://schemas.openxmlformats.org/officeDocument/2006/relationships/hyperlink" Target="https://www.facebook.com/scadubrascreux/" TargetMode="External"/><Relationship Id="rId384" Type="http://schemas.openxmlformats.org/officeDocument/2006/relationships/hyperlink" Target="https://www.instagram.com/paintball_grand_coude974/" TargetMode="External"/><Relationship Id="rId383" Type="http://schemas.openxmlformats.org/officeDocument/2006/relationships/hyperlink" Target="https://www.facebook.com/Paintballgrandcoude974/" TargetMode="External"/><Relationship Id="rId382" Type="http://schemas.openxmlformats.org/officeDocument/2006/relationships/hyperlink" Target="https://www.facebook.com/ericperot974/" TargetMode="External"/><Relationship Id="rId389" Type="http://schemas.openxmlformats.org/officeDocument/2006/relationships/hyperlink" Target="https://www.facebook.com/LarbreDeVie974" TargetMode="External"/><Relationship Id="rId388" Type="http://schemas.openxmlformats.org/officeDocument/2006/relationships/hyperlink" Target="https://www.instagram.com/adrenalile/" TargetMode="External"/><Relationship Id="rId387" Type="http://schemas.openxmlformats.org/officeDocument/2006/relationships/hyperlink" Target="https://www.tripadvisor.fr/Attraction_Review-g480229-d7160660-Reviews-Adrenal_ile-Cilaos_Arrondissement_of_Saint_Pierre.html" TargetMode="External"/><Relationship Id="rId386" Type="http://schemas.openxmlformats.org/officeDocument/2006/relationships/hyperlink" Target="https://www.facebook.com/adrenalile/" TargetMode="External"/><Relationship Id="rId381" Type="http://schemas.openxmlformats.org/officeDocument/2006/relationships/hyperlink" Target="https://www.tripadvisor.fr/Attraction_Review-g790521-d12510771-Reviews-Bugg_s_Buggy_974-La_Plaine_des_Cafres_Arrondissement_of_Saint_Pierre.html" TargetMode="External"/><Relationship Id="rId380" Type="http://schemas.openxmlformats.org/officeDocument/2006/relationships/hyperlink" Target="https://www.facebook.com/974BUGGSBUGGY/" TargetMode="External"/><Relationship Id="rId379" Type="http://schemas.openxmlformats.org/officeDocument/2006/relationships/hyperlink" Target="https://www.leboncoin.fr/offre/locations_gites/2066087684" TargetMode="External"/><Relationship Id="rId374" Type="http://schemas.openxmlformats.org/officeDocument/2006/relationships/hyperlink" Target="https://www.facebook.com/Dimitile-g%C3%AEte-au-coin-tranquille-103539058825143" TargetMode="External"/><Relationship Id="rId373" Type="http://schemas.openxmlformats.org/officeDocument/2006/relationships/hyperlink" Target="https://www.facebook.com/Dimitile-g%C3%AEte-au-coin-tranquille-103539058825143" TargetMode="External"/><Relationship Id="rId372" Type="http://schemas.openxmlformats.org/officeDocument/2006/relationships/hyperlink" Target="https://www.abritel.fr/location-vacances/p1079756?noDates=true&amp;uni_id=1244341" TargetMode="External"/><Relationship Id="rId371" Type="http://schemas.openxmlformats.org/officeDocument/2006/relationships/hyperlink" Target="https://www.facebook.com/DomainedelaLouise/" TargetMode="External"/><Relationship Id="rId378" Type="http://schemas.openxmlformats.org/officeDocument/2006/relationships/hyperlink" Target="https://www.facebook.com/profile.php?id=100064958022271" TargetMode="External"/><Relationship Id="rId377" Type="http://schemas.openxmlformats.org/officeDocument/2006/relationships/hyperlink" Target="https://www.facebook.com/pages/Chalet-Bourg-Murat-27eme/402689336852998" TargetMode="External"/><Relationship Id="rId376" Type="http://schemas.openxmlformats.org/officeDocument/2006/relationships/hyperlink" Target="https://www.facebook.com/location.lenideo" TargetMode="External"/><Relationship Id="rId375" Type="http://schemas.openxmlformats.org/officeDocument/2006/relationships/hyperlink" Target="https://www.facebook.com/bungalowcorossol" TargetMode="External"/><Relationship Id="rId396" Type="http://schemas.openxmlformats.org/officeDocument/2006/relationships/hyperlink" Target="https://www.facebook.com/lesfrangipaniers/photos" TargetMode="External"/><Relationship Id="rId395" Type="http://schemas.openxmlformats.org/officeDocument/2006/relationships/hyperlink" Target="https://www.tripadvisor.fr/Hotel_Review-g668283-d3610644-Reviews-Les_Frangipaniers-Entre_Deux_Arrondissement_of_Saint_Pierre.html" TargetMode="External"/><Relationship Id="rId394" Type="http://schemas.openxmlformats.org/officeDocument/2006/relationships/hyperlink" Target="https://www.facebook.com/lesfrangipaniers/" TargetMode="External"/><Relationship Id="rId393" Type="http://schemas.openxmlformats.org/officeDocument/2006/relationships/hyperlink" Target="https://www.facebook.com/profile.php?id=100056814836098" TargetMode="External"/><Relationship Id="rId399" Type="http://schemas.openxmlformats.org/officeDocument/2006/relationships/hyperlink" Target="https://www.instagram.com/le_monde_d_elsa_et_fred/" TargetMode="External"/><Relationship Id="rId398" Type="http://schemas.openxmlformats.org/officeDocument/2006/relationships/hyperlink" Target="https://www.airbnb.fr/rooms/551869610198753238?source_impression_id=p3_1663223226_wLoiHL0p7jzOBA9F" TargetMode="External"/><Relationship Id="rId397" Type="http://schemas.openxmlformats.org/officeDocument/2006/relationships/hyperlink" Target="https://www.airbnb.fr/rooms/541947491225326419?source_impression_id=p3_1663223046_6iSqqNTtyw6pZqHg&amp;_set_bev_on_new_domain=1663222967_NDA0ZDMxMjE4MjUw" TargetMode="External"/><Relationship Id="rId40" Type="http://schemas.openxmlformats.org/officeDocument/2006/relationships/hyperlink" Target="https://www.booking.com/hotel/re/liane-de-jade-location.fr.html?aid=318615&amp;label=New_French_FR_RE_26394819985-5KMfyMgIYi7RF9Cd6ZNX9wS100087090705%3Apl%3Ata%3Ap1%3Ap2%3Aac%3Aap%3Aneg%3Afi%3Atidsa-194594581705%3Alp9075843%3Ali%3Adec%3Adm&amp;sid=219fa3bd56adbb433c24d7abded56101&amp;dest_id=-1331043;dest_type=city;dist=0;group_adults=2;group_children=0;hapos=1;hpos=1;no_rooms=1;req_adults=2;req_children=0;room1=A%2CA;sb_price_type=total;sr_order=popularity;srepoch=1690955744;srpvid=7b3d29ae957001a9;type=total;ucfs=1&amp;" TargetMode="External"/><Relationship Id="rId42" Type="http://schemas.openxmlformats.org/officeDocument/2006/relationships/hyperlink" Target="https://www.facebook.com/Alain-Beaudemoulin-Artisan-Chocolatier-110471383711504" TargetMode="External"/><Relationship Id="rId41" Type="http://schemas.openxmlformats.org/officeDocument/2006/relationships/hyperlink" Target="https://www.facebook.com/artsud" TargetMode="External"/><Relationship Id="rId44" Type="http://schemas.openxmlformats.org/officeDocument/2006/relationships/hyperlink" Target="https://www.facebook.com/lebretonfrancema/photos/?ref=page_internal" TargetMode="External"/><Relationship Id="rId43" Type="http://schemas.openxmlformats.org/officeDocument/2006/relationships/hyperlink" Target="https://www.booking.com/hotel/re/locations-vert-eden.fr.html?aid=1630418;sid=3686fddff533fab9b2e00bc41df0fc71;dist=0;keep_landing=1;sb_price_type=total;type=total;sig=v1GppkWJX3&amp;" TargetMode="External"/><Relationship Id="rId46" Type="http://schemas.openxmlformats.org/officeDocument/2006/relationships/hyperlink" Target="https://www.facebook.com/RaoulTrail/" TargetMode="External"/><Relationship Id="rId45" Type="http://schemas.openxmlformats.org/officeDocument/2006/relationships/hyperlink" Target="https://www.facebook.com/L%C3%A9-Yabar-687587201665405" TargetMode="External"/><Relationship Id="rId48" Type="http://schemas.openxmlformats.org/officeDocument/2006/relationships/hyperlink" Target="https://www.facebook.com/Aquasensreunion/" TargetMode="External"/><Relationship Id="rId47" Type="http://schemas.openxmlformats.org/officeDocument/2006/relationships/hyperlink" Target="https://www.booking.com/hotel/re/la-villa-pitaya-entre-deux.fr.html" TargetMode="External"/><Relationship Id="rId49" Type="http://schemas.openxmlformats.org/officeDocument/2006/relationships/hyperlink" Target="https://www.facebook.com/L%C3%A9-Yabar-687587201665405" TargetMode="External"/><Relationship Id="rId31" Type="http://schemas.openxmlformats.org/officeDocument/2006/relationships/hyperlink" Target="https://www.airbnb.fr/rooms/16758460?source_impression_id=p3_1635400410_Nazi%2FZRkPCRg19vw" TargetMode="External"/><Relationship Id="rId30" Type="http://schemas.openxmlformats.org/officeDocument/2006/relationships/hyperlink" Target="https://www.facebook.com/" TargetMode="External"/><Relationship Id="rId33" Type="http://schemas.openxmlformats.org/officeDocument/2006/relationships/hyperlink" Target="https://www.facebook.com/profile.php?id=100067432697104" TargetMode="External"/><Relationship Id="rId32" Type="http://schemas.openxmlformats.org/officeDocument/2006/relationships/hyperlink" Target="https://www.booking.com/hotel/re/ti-kaz-martin-de-o-la-reunion.fr.html" TargetMode="External"/><Relationship Id="rId35" Type="http://schemas.openxmlformats.org/officeDocument/2006/relationships/hyperlink" Target="https://www.airbnb.fr/rooms/10275955?source_impression_id=p3_1635400243_D7TbZD0rjpOvOYYe" TargetMode="External"/><Relationship Id="rId34" Type="http://schemas.openxmlformats.org/officeDocument/2006/relationships/hyperlink" Target="https://www.facebook.com/profile.php?id=100067432697104" TargetMode="External"/><Relationship Id="rId37" Type="http://schemas.openxmlformats.org/officeDocument/2006/relationships/hyperlink" Target="https://www.facebook.com/La-Villa-L%C3%A9a-%C3%A0-Saint-Joseph-244024276135500" TargetMode="External"/><Relationship Id="rId36" Type="http://schemas.openxmlformats.org/officeDocument/2006/relationships/hyperlink" Target="https://www.booking.com/hotel/re/ti-kaz-papang.fr.html" TargetMode="External"/><Relationship Id="rId39" Type="http://schemas.openxmlformats.org/officeDocument/2006/relationships/hyperlink" Target="https://www.airbnb.fr/rooms/33431854" TargetMode="External"/><Relationship Id="rId38" Type="http://schemas.openxmlformats.org/officeDocument/2006/relationships/hyperlink" Target="https://m.facebook.com/profile.php?id=100057611282053" TargetMode="External"/><Relationship Id="rId20" Type="http://schemas.openxmlformats.org/officeDocument/2006/relationships/hyperlink" Target="https://www.facebook.com/La-Kaz-%C3%A0-M%C3%A9lina-224740427964064/?ref=page_internal" TargetMode="External"/><Relationship Id="rId22" Type="http://schemas.openxmlformats.org/officeDocument/2006/relationships/hyperlink" Target="https://www.facebook.com/G%C3%AEte-de-la-cascade-a-grand-bassin-690124011122868" TargetMode="External"/><Relationship Id="rId21" Type="http://schemas.openxmlformats.org/officeDocument/2006/relationships/hyperlink" Target="https://www.airbnb.fr/rooms/14377835?source_impression_id=p3_1633947775_xyVZYDTxDbIxywRo&amp;guests=1&amp;adults=1&amp;_set_bev_on_new_domain=1633947774_MWYyN2I0MWVmYjdm" TargetMode="External"/><Relationship Id="rId24" Type="http://schemas.openxmlformats.org/officeDocument/2006/relationships/hyperlink" Target="https://www.facebook.com/profile.php?id=100057137722831" TargetMode="External"/><Relationship Id="rId23" Type="http://schemas.openxmlformats.org/officeDocument/2006/relationships/hyperlink" Target="https://www.facebook.com/pages/Le%20Crabe%20Sous%20La%20Varangue/598059850284357/" TargetMode="External"/><Relationship Id="rId26" Type="http://schemas.openxmlformats.org/officeDocument/2006/relationships/hyperlink" Target="https://www.facebook.com/VILLA-PABLO-107369297437895/?ref=page_internal" TargetMode="External"/><Relationship Id="rId25" Type="http://schemas.openxmlformats.org/officeDocument/2006/relationships/hyperlink" Target="https://www.airbnb.fr/rooms/43571680?source_impression_id=p3_1634034765_Di%2BkgP38XeqWbSFx&amp;guests=1&amp;adults=1" TargetMode="External"/><Relationship Id="rId28" Type="http://schemas.openxmlformats.org/officeDocument/2006/relationships/hyperlink" Target="https://www.facebook.com/Lacasecardinale/?ref=page_internal" TargetMode="External"/><Relationship Id="rId27" Type="http://schemas.openxmlformats.org/officeDocument/2006/relationships/hyperlink" Target="https://www.booking.com/hotel/re/la-villa-juliette-manapany-les-bains.fr.html" TargetMode="External"/><Relationship Id="rId29" Type="http://schemas.openxmlformats.org/officeDocument/2006/relationships/hyperlink" Target="https://www.booking.com/hotel/re/ti-kaz-hoareau.fr.html" TargetMode="External"/><Relationship Id="rId11" Type="http://schemas.openxmlformats.org/officeDocument/2006/relationships/hyperlink" Target="https://www.facebook.com/Cap-Vanisa-104255208002710" TargetMode="External"/><Relationship Id="rId10" Type="http://schemas.openxmlformats.org/officeDocument/2006/relationships/hyperlink" Target="https://www.facebook.com/Villa-Bambou-336255814280454" TargetMode="External"/><Relationship Id="rId13" Type="http://schemas.openxmlformats.org/officeDocument/2006/relationships/hyperlink" Target="https://www.facebook.com/lakazanou97480/" TargetMode="External"/><Relationship Id="rId12" Type="http://schemas.openxmlformats.org/officeDocument/2006/relationships/hyperlink" Target="https://www.facebook.com/Tiplanterre" TargetMode="External"/><Relationship Id="rId15" Type="http://schemas.openxmlformats.org/officeDocument/2006/relationships/hyperlink" Target="https://www.facebook.com/Restole57" TargetMode="External"/><Relationship Id="rId14" Type="http://schemas.openxmlformats.org/officeDocument/2006/relationships/hyperlink" Target="https://www.facebook.com/profile.php?id=100013637648883" TargetMode="External"/><Relationship Id="rId17" Type="http://schemas.openxmlformats.org/officeDocument/2006/relationships/hyperlink" Target="https://www.facebook.com/bungalowlavulao" TargetMode="External"/><Relationship Id="rId16" Type="http://schemas.openxmlformats.org/officeDocument/2006/relationships/hyperlink" Target="https://www.facebook.com/chalet.cogite" TargetMode="External"/><Relationship Id="rId19" Type="http://schemas.openxmlformats.org/officeDocument/2006/relationships/hyperlink" Target="https://www.instagram.com/leskalya_974/" TargetMode="External"/><Relationship Id="rId18" Type="http://schemas.openxmlformats.org/officeDocument/2006/relationships/hyperlink" Target="https://www.facebook.com/leskalya/" TargetMode="External"/><Relationship Id="rId84" Type="http://schemas.openxmlformats.org/officeDocument/2006/relationships/hyperlink" Target="https://www.facebook.com/pages/Auberge-Paysanne-Le-Palmier/314065658690148" TargetMode="External"/><Relationship Id="rId83" Type="http://schemas.openxmlformats.org/officeDocument/2006/relationships/hyperlink" Target="https://www.facebook.com/Anna97442" TargetMode="External"/><Relationship Id="rId86" Type="http://schemas.openxmlformats.org/officeDocument/2006/relationships/hyperlink" Target="https://www.facebook.com/tikazfontaine/" TargetMode="External"/><Relationship Id="rId85" Type="http://schemas.openxmlformats.org/officeDocument/2006/relationships/hyperlink" Target="https://www.facebook.com/latabledesrandonneurs" TargetMode="External"/><Relationship Id="rId88" Type="http://schemas.openxmlformats.org/officeDocument/2006/relationships/hyperlink" Target="https://www.facebook.com/Les-Sens-Ciel-by-GM-101030041815024" TargetMode="External"/><Relationship Id="rId87" Type="http://schemas.openxmlformats.org/officeDocument/2006/relationships/hyperlink" Target="https://www.facebook.com/tikazfontaine/" TargetMode="External"/><Relationship Id="rId89" Type="http://schemas.openxmlformats.org/officeDocument/2006/relationships/hyperlink" Target="https://www.facebook.com/Cabane-Robinson-1790328107730318/" TargetMode="External"/><Relationship Id="rId80" Type="http://schemas.openxmlformats.org/officeDocument/2006/relationships/hyperlink" Target="https://www.facebook.com/Leronddebassevallee" TargetMode="External"/><Relationship Id="rId82" Type="http://schemas.openxmlformats.org/officeDocument/2006/relationships/hyperlink" Target="https://www.facebook.com/Ferme-Auberge-Desprairies-520083278094211" TargetMode="External"/><Relationship Id="rId81" Type="http://schemas.openxmlformats.org/officeDocument/2006/relationships/hyperlink" Target="https://www.facebook.com/Auberge-le-bel-air-371022739764083" TargetMode="External"/><Relationship Id="rId73" Type="http://schemas.openxmlformats.org/officeDocument/2006/relationships/hyperlink" Target="https://www.instagram.com/legitelahaut/" TargetMode="External"/><Relationship Id="rId72" Type="http://schemas.openxmlformats.org/officeDocument/2006/relationships/hyperlink" Target="https://www.facebook.com/legitelahaut/" TargetMode="External"/><Relationship Id="rId75" Type="http://schemas.openxmlformats.org/officeDocument/2006/relationships/hyperlink" Target="https://www.abritel.fr/location-vacances/p1850474" TargetMode="External"/><Relationship Id="rId74" Type="http://schemas.openxmlformats.org/officeDocument/2006/relationships/hyperlink" Target="https://www.airbnb.fr/rooms/39477731?federated_search_id=82e9cd1c-5ae1-4d58-8405-42f42697dbb2&amp;source_impression_id=p3_1640167109_ArBm94Idgix6nq41" TargetMode="External"/><Relationship Id="rId77" Type="http://schemas.openxmlformats.org/officeDocument/2006/relationships/hyperlink" Target="https://www.facebook.com/Chez-Narvam-table-dh%C3%B4tes-101914314760216" TargetMode="External"/><Relationship Id="rId76" Type="http://schemas.openxmlformats.org/officeDocument/2006/relationships/hyperlink" Target="https://www.facebook.com/lebonpapillonferme" TargetMode="External"/><Relationship Id="rId79" Type="http://schemas.openxmlformats.org/officeDocument/2006/relationships/hyperlink" Target="https://www.facebook.com/profile.php?id=100054258170105" TargetMode="External"/><Relationship Id="rId78" Type="http://schemas.openxmlformats.org/officeDocument/2006/relationships/hyperlink" Target="https://www.facebook.com/Auberge-de-Campagne-Sarasvathy-102305141962580" TargetMode="External"/><Relationship Id="rId71" Type="http://schemas.openxmlformats.org/officeDocument/2006/relationships/hyperlink" Target="https://www.facebook.com/happytimerun" TargetMode="External"/><Relationship Id="rId70" Type="http://schemas.openxmlformats.org/officeDocument/2006/relationships/hyperlink" Target="https://www.facebook.com/perlesauvage.filaumart" TargetMode="External"/><Relationship Id="rId62" Type="http://schemas.openxmlformats.org/officeDocument/2006/relationships/hyperlink" Target="https://www.facebook.com/locationsVertEden" TargetMode="External"/><Relationship Id="rId61" Type="http://schemas.openxmlformats.org/officeDocument/2006/relationships/hyperlink" Target="https://www.facebook.com/entredeuxdelices" TargetMode="External"/><Relationship Id="rId64" Type="http://schemas.openxmlformats.org/officeDocument/2006/relationships/hyperlink" Target="https://fr.airbnb.com/rooms/45647926?_set_bev_on_new_domain=1639631767_YWZhZDYxNDViMjYw&amp;source_impression_id=p3_1639631768_gwTHmUlS6RSC3QuF" TargetMode="External"/><Relationship Id="rId63" Type="http://schemas.openxmlformats.org/officeDocument/2006/relationships/hyperlink" Target="https://www.facebook.com/m97418" TargetMode="External"/><Relationship Id="rId66" Type="http://schemas.openxmlformats.org/officeDocument/2006/relationships/hyperlink" Target="https://fr-fr.facebook.com/LeLabyrintheEnChampThe/" TargetMode="External"/><Relationship Id="rId65" Type="http://schemas.openxmlformats.org/officeDocument/2006/relationships/hyperlink" Target="https://www.facebook.com/Fabien480DLG/" TargetMode="External"/><Relationship Id="rId68" Type="http://schemas.openxmlformats.org/officeDocument/2006/relationships/hyperlink" Target="https://www.facebook.com/Manapany-Team-102384948530138" TargetMode="External"/><Relationship Id="rId67" Type="http://schemas.openxmlformats.org/officeDocument/2006/relationships/hyperlink" Target="https://www.tripadvisor.fr/Attraction_Review-g635742-d5524040-Reviews-Le_Labyrinthe_En_Champ_The-Saint_Joseph_Arrondissement_of_Saint_Pierre.html" TargetMode="External"/><Relationship Id="rId60" Type="http://schemas.openxmlformats.org/officeDocument/2006/relationships/hyperlink" Target="https://www.facebook.com/Paintball-club-de-St-Jo-1608993145980920/" TargetMode="External"/><Relationship Id="rId69" Type="http://schemas.openxmlformats.org/officeDocument/2006/relationships/hyperlink" Target="https://www.booking.com/hotel/re/manapany-team.fr.html" TargetMode="External"/><Relationship Id="rId51" Type="http://schemas.openxmlformats.org/officeDocument/2006/relationships/hyperlink" Target="https://www.facebook.com/lesgrandsmonts" TargetMode="External"/><Relationship Id="rId50" Type="http://schemas.openxmlformats.org/officeDocument/2006/relationships/hyperlink" Target="https://www.instagram.com/leyabar974/?hl=fr" TargetMode="External"/><Relationship Id="rId53" Type="http://schemas.openxmlformats.org/officeDocument/2006/relationships/hyperlink" Target="https://www.facebook.com/lesgrandsmonts" TargetMode="External"/><Relationship Id="rId52" Type="http://schemas.openxmlformats.org/officeDocument/2006/relationships/hyperlink" Target="https://www.airbnb.fr/rooms/53103526?source_impression_id=p3_1638252531_SnVsazPnbjUkRUHw&amp;guests=1&amp;adults=1" TargetMode="External"/><Relationship Id="rId55" Type="http://schemas.openxmlformats.org/officeDocument/2006/relationships/hyperlink" Target="https://www.booking.com/hotel/re/la-maison-des-hotes-saint-joseph.fr.html?aid=318615;label=New_French_FR_RE_26394819985-5KMfyMgIYi7RF9Cd6ZNX9wS100087090825%3Apl%3Ata%3Ap1%3Ap2%3Aac%3Aap%3Aneg%3Afi%3Atidsa-194594581705%3Alp9075843%3Ali%3Adec%3Adm;sid=21593314fc7017a1607f0303cc70a00c;dest_id=-1331399;dest_type=city;dist=0;group_adults=2;group_children=0;hapos=0;hpos=0;no_rooms=1;req_adults=2;req_children=0;room1=A%2CA;sb_price_type=total;sr_order=popularity;srepoch=1638342139;srpvid=2977317d769d000f;type=total;ucfs=1&amp;" TargetMode="External"/><Relationship Id="rId54" Type="http://schemas.openxmlformats.org/officeDocument/2006/relationships/hyperlink" Target="https://www.booking.com/hotel/re/le-gecko-vert.fr.html?aid=318615;label=New_French_FR_RE_26394819985-5KMfyMgIYi7RF9Cd6ZNX9wS100087090705%3Apl%3Ata%3Ap1%3Ap2%3Aac%3Aap%3Aneg%3Afi%3Atidsa-194594581705%3Alp9075843%3Ali%3Adec%3Adm;sid=21593314fc7017a1607f0303cc70a00c;dest_id=-1331091;dest_type=city;dist=0;group_adults=2;group_children=0;hapos=0;hpos=0;no_rooms=1;req_adults=2;req_children=0;room1=A%2CA;sb_price_type=total;sr_order=popularity;srepoch=1638340661;srpvid=dc572e9906af0038;type=total;ucfs=1&amp;" TargetMode="External"/><Relationship Id="rId57" Type="http://schemas.openxmlformats.org/officeDocument/2006/relationships/hyperlink" Target="https://fr.airbnb.be/rooms/50261275?source_impression_id=p3_1638875201_Na3xlkcjHj3aq%2BZB" TargetMode="External"/><Relationship Id="rId56" Type="http://schemas.openxmlformats.org/officeDocument/2006/relationships/hyperlink" Target="https://www.booking.com/hotel/re/la-case-o-zoizos.fr.html" TargetMode="External"/><Relationship Id="rId59" Type="http://schemas.openxmlformats.org/officeDocument/2006/relationships/hyperlink" Target="https://www.abritel.fr/location-vacances/p1712040" TargetMode="External"/><Relationship Id="rId58" Type="http://schemas.openxmlformats.org/officeDocument/2006/relationships/hyperlink" Target="https://www.abritel.fr/location-vacances/p976807" TargetMode="External"/><Relationship Id="rId349" Type="http://schemas.openxmlformats.org/officeDocument/2006/relationships/hyperlink" Target="https://www.airbnb.fr/rooms/619472439729358749?preview_for_ml=true&amp;source_impression_id=p3_1657793481_kyLyWqtNbSOeudxK" TargetMode="External"/><Relationship Id="rId348" Type="http://schemas.openxmlformats.org/officeDocument/2006/relationships/hyperlink" Target="https://www.facebook.com/TiKazAnanasEntreDeux/" TargetMode="External"/><Relationship Id="rId347" Type="http://schemas.openxmlformats.org/officeDocument/2006/relationships/hyperlink" Target="https://www.booking.com/hotel/re/villa-jacqueline.fr.html?aid=318615&amp;label=New_French_FR_RE_26394819985-5KMfyMgIYi7RF9Cd6ZNX9wS100087090705%3Apl%3Ata%3Ap1%3Ap2%3Aac%3Aap%3Aneg%3Afi%3Atidsa-194594581705%3Alp9075843%3Ali%3Adec%3Adm&amp;sid=c1202f84f5d7f16925c4be7839e0c918&amp;dest_id=-1331399;dest_type=city;dist=0;group_adults=2;group_children=0;hapos=1;hpos=1;no_rooms=1;req_adults=2;req_children=0;room1=A%2CA;sb_price_type=total;sr_order=popularity;srepoch=1656672926;srpvid=b13d4cce4dba0233;type=total;ucfs=1&amp;" TargetMode="External"/><Relationship Id="rId346" Type="http://schemas.openxmlformats.org/officeDocument/2006/relationships/hyperlink" Target="https://www.instagram.com/le_jardin_des_bestioles/" TargetMode="External"/><Relationship Id="rId341" Type="http://schemas.openxmlformats.org/officeDocument/2006/relationships/hyperlink" Target="https://www.booking.com/hotel/re/les-terrasses-du-volcan.fr.html?aid=318615&amp;label=New_French_FR_RE_26394819985-5KMfyMgIYi7RF9Cd6ZNX9wS100087090705%3Apl%3Ata%3Ap1%3Ap2%3Aac%3Aap%3Aneg%3Afi%3Atidsa-194594581705%3Alp9075843%3Ali%3Adec%3Adm&amp;sid=a41b685001a6706976ec9cfe55baed53&amp;dest_id=-1331043;dest_type=city;dist=0;group_adults=2;group_children=0;hapos=1;hpos=1;no_rooms=1;req_adults=2;req_children=0;room1=A%2CA;sb_price_type=total;sr_order=popularity;srepoch=1655449453;srpvid=53ad31b6f2f90196;type=total;ucfs=1&amp;" TargetMode="External"/><Relationship Id="rId340" Type="http://schemas.openxmlformats.org/officeDocument/2006/relationships/hyperlink" Target="https://www.facebook.com/chambres.caloupile" TargetMode="External"/><Relationship Id="rId345" Type="http://schemas.openxmlformats.org/officeDocument/2006/relationships/hyperlink" Target="https://www.facebook.com/lejardindesbestioles/" TargetMode="External"/><Relationship Id="rId344" Type="http://schemas.openxmlformats.org/officeDocument/2006/relationships/hyperlink" Target="https://www.facebook.com/billikerslocation" TargetMode="External"/><Relationship Id="rId343" Type="http://schemas.openxmlformats.org/officeDocument/2006/relationships/hyperlink" Target="https://www.booking.com/hotel/re/bungalow-tillandsia.fr.html?aid=397594&amp;label=gog235jc-1DCAEoggI46AdIDVgDaL8BiAEBmAENuAEXyAEM2AED6AEB-AECiAIBqAIDuAL21LCVBsACAdICJGY1NzhjNmQ1LTZmNzUtNDQ0MS05MWZjLTc4MTZjNjg4MjU4ONgCBOACAQ&amp;sid=0d633162bbd5c1debe711478c4362c59&amp;dest_id=8170539;dest_type=hotel;dist=0;group_adults=2;group_children=0;hapos=1;hpos=1;no_rooms=1;req_adults=2;req_children=0;room1=A%2CA;sb_price_type=total;sr_order=popularity;srepoch=1655450261;srpvid=e19c3349408f0013;type=total;ucfs=1&amp;" TargetMode="External"/><Relationship Id="rId342" Type="http://schemas.openxmlformats.org/officeDocument/2006/relationships/hyperlink" Target="https://www.airbnb.fr/rooms/37518986?source_impression_id=p3_1655449491_oVsxQBrewK6xr28v" TargetMode="External"/><Relationship Id="rId338" Type="http://schemas.openxmlformats.org/officeDocument/2006/relationships/hyperlink" Target="https://www.facebook.com/chambres.dhotes.les.quatre.saisons/" TargetMode="External"/><Relationship Id="rId337" Type="http://schemas.openxmlformats.org/officeDocument/2006/relationships/hyperlink" Target="https://www.facebook.com/CoteVolcan" TargetMode="External"/><Relationship Id="rId336" Type="http://schemas.openxmlformats.org/officeDocument/2006/relationships/hyperlink" Target="https://www.facebook.com/detentecreole" TargetMode="External"/><Relationship Id="rId335" Type="http://schemas.openxmlformats.org/officeDocument/2006/relationships/hyperlink" Target="https://www.facebook.com/lestagnon" TargetMode="External"/><Relationship Id="rId339" Type="http://schemas.openxmlformats.org/officeDocument/2006/relationships/hyperlink" Target="https://www.facebook.com/La-R%C3%A9sidence-des-Caf%C3%A9iers-237264300020902" TargetMode="External"/><Relationship Id="rId330" Type="http://schemas.openxmlformats.org/officeDocument/2006/relationships/hyperlink" Target="https://www.facebook.com/LePtiCorailDeVincendo" TargetMode="External"/><Relationship Id="rId334" Type="http://schemas.openxmlformats.org/officeDocument/2006/relationships/hyperlink" Target="https://www.facebook.com/Auberge-de-Campagne-Sarasvathy-102305141962580" TargetMode="External"/><Relationship Id="rId333" Type="http://schemas.openxmlformats.org/officeDocument/2006/relationships/hyperlink" Target="https://www.facebook.com/billikerslocation" TargetMode="External"/><Relationship Id="rId332" Type="http://schemas.openxmlformats.org/officeDocument/2006/relationships/hyperlink" Target="https://www.instagram.com/lmcv974/?hl=fr" TargetMode="External"/><Relationship Id="rId331" Type="http://schemas.openxmlformats.org/officeDocument/2006/relationships/hyperlink" Target="https://www.booking.com/hotel/re/le-p-tit-corail-de-vincendo.fr.html?aid=318615&amp;label=New_French_FR_RE_26394819985-5KMfyMgIYi7RF9Cd6ZNX9wS100087090705%3Apl%3Ata%3Ap1%3Ap2%3Aac%3Aap%3Aneg%3Afi%3Atidsa-194594581705%3Alp9075843%3Ali%3Adec%3Adm&amp;sid=c3879394e6138e84e000cd27b1f495eb&amp;dest_id=-1331399;dest_type=city;dist=0;group_adults=2;group_children=0;hapos=1;hpos=1;no_rooms=1;req_adults=2;req_children=0;room1=A%2CA;sb_price_type=total;sr_order=popularity;srepoch=1655288890;srpvid=0b98499c700d03ee;type=total;ucfs=1&amp;" TargetMode="External"/><Relationship Id="rId370" Type="http://schemas.openxmlformats.org/officeDocument/2006/relationships/hyperlink" Target="https://www.booking.com/hotel/re/villas-manapany.fr.html?aid=311089&amp;label=villas-manapany-ZoeyqjzqqzEgvxpoJ9AoswS474285026314%3Apl%3Ata%3Ap1%3Ap2%3Aac%3Aap%3Aneg%3Afi%3Atikwd-593432347320%3Alp9075843%3Ali%3Adec%3Adm%3Appccp%3DUmFuZG9tSVYkc2RlIyh9YfNeh-lbHkPZZDrBVOcopBI&amp;sid=9b7942f2b40b06f63f8950fa797472f8&amp;dest_id=-1331399;dest_type=city;dist=0;group_adults=2;group_children=0;hapos=1;hpos=1;no_rooms=1;req_adults=2;req_children=0;room1=A%2CA;sb_price_type=total;sr_order=popularity;srepoch=1661933777;srpvid=36283a28a89102d6;type=total;ucfs=1&amp;" TargetMode="External"/><Relationship Id="rId369" Type="http://schemas.openxmlformats.org/officeDocument/2006/relationships/hyperlink" Target="https://www.leboncoin.fr/offre/locations_gites/2087490309" TargetMode="External"/><Relationship Id="rId368" Type="http://schemas.openxmlformats.org/officeDocument/2006/relationships/hyperlink" Target="https://www.facebook.com/profile.php?id=100076628432020" TargetMode="External"/><Relationship Id="rId363" Type="http://schemas.openxmlformats.org/officeDocument/2006/relationships/hyperlink" Target="https://www.facebook.com/hydrangea97418/?ref=page_internal" TargetMode="External"/><Relationship Id="rId362" Type="http://schemas.openxmlformats.org/officeDocument/2006/relationships/hyperlink" Target="https://www.instagram.com/hydrangea97418/?hl=fr" TargetMode="External"/><Relationship Id="rId361" Type="http://schemas.openxmlformats.org/officeDocument/2006/relationships/hyperlink" Target="https://www.facebook.com/Oasis.GrandBassin" TargetMode="External"/><Relationship Id="rId360" Type="http://schemas.openxmlformats.org/officeDocument/2006/relationships/hyperlink" Target="https://www.booking.com/hotel/re/l-39-an-dormi-vacances.fr.html?aid=318615&amp;label=New_French_FR_RE_26394819985-5KMfyMgIYi7RF9Cd6ZNX9wS217286598214%3Apl%3Ata%3Ap1%3Ap2%3Aac%3Aap%3Aneg%3Afi%3Atidsa-194594581705%3Alp9075843%3Ali%3Adec%3Adm&amp;sid=6b752762f9c7916ad4b26f85b66139ce&amp;dest_id=-1330930;dest_type=city;dist=0;group_adults=2;group_children=0;hapos=1;hpos=1;no_rooms=1;req_adults=2;req_children=0;room1=A%2CA;sb_price_type=total;sr_order=popularity;srepoch=1659526057;srpvid=065450945a42025d;type=total;ucfs=1&amp;" TargetMode="External"/><Relationship Id="rId367" Type="http://schemas.openxmlformats.org/officeDocument/2006/relationships/hyperlink" Target="https://www.facebook.com/profile.php?id=100076628432020" TargetMode="External"/><Relationship Id="rId366" Type="http://schemas.openxmlformats.org/officeDocument/2006/relationships/hyperlink" Target="https://www.leboncoin.fr/offre/locations_gites/2087490309" TargetMode="External"/><Relationship Id="rId365" Type="http://schemas.openxmlformats.org/officeDocument/2006/relationships/hyperlink" Target="https://www.facebook.com/Gou-l%C3%A9-o-Resto-105734148908023/" TargetMode="External"/><Relationship Id="rId364" Type="http://schemas.openxmlformats.org/officeDocument/2006/relationships/hyperlink" Target="https://www.facebook.com/Les-Palmiers-305542896655655" TargetMode="External"/><Relationship Id="rId95" Type="http://schemas.openxmlformats.org/officeDocument/2006/relationships/hyperlink" Target="https://www.facebook.com/La-Bicyclette-Gourmande-104050835458666/" TargetMode="External"/><Relationship Id="rId94" Type="http://schemas.openxmlformats.org/officeDocument/2006/relationships/hyperlink" Target="https://www.facebook.com/aar974lareunion/" TargetMode="External"/><Relationship Id="rId97" Type="http://schemas.openxmlformats.org/officeDocument/2006/relationships/hyperlink" Target="https://fr-fr.facebook.com/sudhotelletampon/" TargetMode="External"/><Relationship Id="rId96" Type="http://schemas.openxmlformats.org/officeDocument/2006/relationships/hyperlink" Target="https://www.facebook.com/Le-Bismarckia-1582541735223393" TargetMode="External"/><Relationship Id="rId99" Type="http://schemas.openxmlformats.org/officeDocument/2006/relationships/hyperlink" Target="https://www.facebook.com/cotesauvagerestaurant/" TargetMode="External"/><Relationship Id="rId98" Type="http://schemas.openxmlformats.org/officeDocument/2006/relationships/hyperlink" Target="https://fr-fr.facebook.com/sudhotelletampon/" TargetMode="External"/><Relationship Id="rId91" Type="http://schemas.openxmlformats.org/officeDocument/2006/relationships/hyperlink" Target="https://www.facebook.com/Thereserm21" TargetMode="External"/><Relationship Id="rId90" Type="http://schemas.openxmlformats.org/officeDocument/2006/relationships/hyperlink" Target="https://www.facebook.com/Leau-Forte-561278923952056/" TargetMode="External"/><Relationship Id="rId93" Type="http://schemas.openxmlformats.org/officeDocument/2006/relationships/hyperlink" Target="https://linktr.ee/residence_tiktik" TargetMode="External"/><Relationship Id="rId92" Type="http://schemas.openxmlformats.org/officeDocument/2006/relationships/hyperlink" Target="https://www.facebook.com/R%C3%A9sidence-Tiktik-100566465596729/?ref=py_c" TargetMode="External"/><Relationship Id="rId359" Type="http://schemas.openxmlformats.org/officeDocument/2006/relationships/hyperlink" Target="https://www.facebook.com/chamantini.re" TargetMode="External"/><Relationship Id="rId358" Type="http://schemas.openxmlformats.org/officeDocument/2006/relationships/hyperlink" Target="https://www.facebook.com/lileovert97442/" TargetMode="External"/><Relationship Id="rId357" Type="http://schemas.openxmlformats.org/officeDocument/2006/relationships/hyperlink" Target="https://fr-fr.facebook.com/echappeebelle974/" TargetMode="External"/><Relationship Id="rId352" Type="http://schemas.openxmlformats.org/officeDocument/2006/relationships/hyperlink" Target="https://www.abritel.fr/location-vacances/p6349693a" TargetMode="External"/><Relationship Id="rId351" Type="http://schemas.openxmlformats.org/officeDocument/2006/relationships/hyperlink" Target="https://www.airbnb.co.nz/rooms/22844775?source_impression_id=p3_1658743251_UzF12jS%2BFBs%2BF4iQ" TargetMode="External"/><Relationship Id="rId350" Type="http://schemas.openxmlformats.org/officeDocument/2006/relationships/hyperlink" Target="https://fr.airbnb.com/rooms/636658771128912652?_set_bev_on_new_domain=1658481534_MTVjZDdhYjE2N2I1&amp;source_impression_id=p3_1658481494_ejDW4sG2LDaRyFY1" TargetMode="External"/><Relationship Id="rId356" Type="http://schemas.openxmlformats.org/officeDocument/2006/relationships/hyperlink" Target="https://www.tripadvisor.fr/Hotel_Review-g668283-d1967656-Reviews-L_Echappee_Belle-Entre_Deux_Arrondissement_of_Saint_Pierre.html" TargetMode="External"/><Relationship Id="rId355" Type="http://schemas.openxmlformats.org/officeDocument/2006/relationships/hyperlink" Target="https://www.tripadvisor.fr/VacationRentalReview-g675133-d12704461-Kazanoo-Le_Tampon_Arrondissement_of_Saint_Pierre.html" TargetMode="External"/><Relationship Id="rId354" Type="http://schemas.openxmlformats.org/officeDocument/2006/relationships/hyperlink" Target="https://www.leboncoin.fr/offre/locations_gites/2090584059" TargetMode="External"/><Relationship Id="rId353" Type="http://schemas.openxmlformats.org/officeDocument/2006/relationships/hyperlink" Target="https://www.airbnb.fr/rooms/52364274?source_impression_id=p3_1658830645_5jjmxBrcZsJAqhC9" TargetMode="External"/><Relationship Id="rId305" Type="http://schemas.openxmlformats.org/officeDocument/2006/relationships/hyperlink" Target="https://www.facebook.com/Le-Multipliant-101910985413691" TargetMode="External"/><Relationship Id="rId304" Type="http://schemas.openxmlformats.org/officeDocument/2006/relationships/hyperlink" Target="https://www.booking.com/hotel/re/le-four-a-pain.fr.html?aid=311089&amp;label=le-four-a-pain-T%2AZG4BVjidZ9bDoc%2A642EwS442462650702%3Apl%3Ata%3Ap1%3Ap2%3Aac%3Aap%3Aneg%3Afi%3Atikwd-343967915980%3Alp9075843%3Ali%3Adec%3Adm%3Appccp%3DUmFuZG9tSVYkc2RlIyh9YVcLb15uXY9dObSb2laNmOc&amp;sid=0321f735a3745fc1860e69443dcf6585&amp;dest_id=-1331411;dest_type=city;dist=0;group_adults=2;group_children=0;hapos=1;hpos=1;no_rooms=1;req_adults=2;req_children=0;room1=A%2CA;sb_price_type=total;sr_order=popularity;srepoch=1654670798;srpvid=69a42fa61d840278;type=total;ucfs=1&amp;" TargetMode="External"/><Relationship Id="rId303" Type="http://schemas.openxmlformats.org/officeDocument/2006/relationships/hyperlink" Target="https://www.booking.com/hotel/re/le-four-a-pain.fr.html?aid=311089&amp;label=le-four-a-pain-T%2AZG4BVjidZ9bDoc%2A642EwS442462650702%3Apl%3Ata%3Ap1%3Ap2%3Aac%3Aap%3Aneg%3Afi%3Atikwd-343967915980%3Alp9075843%3Ali%3Adec%3Adm%3Appccp%3DUmFuZG9tSVYkc2RlIyh9YVcLb15uXY9dObSb2laNmOc&amp;sid=0321f735a3745fc1860e69443dcf6585&amp;dest_id=-1331411;dest_type=city;dist=0;group_adults=2;group_children=0;hapos=1;hpos=1;no_rooms=1;req_adults=2;req_children=0;room1=A%2CA;sb_price_type=total;sr_order=popularity;srepoch=1654670798;srpvid=69a42fa61d840278;type=total;ucfs=1&amp;" TargetMode="External"/><Relationship Id="rId302" Type="http://schemas.openxmlformats.org/officeDocument/2006/relationships/hyperlink" Target="https://www.facebook.com/sejour2reve" TargetMode="External"/><Relationship Id="rId309" Type="http://schemas.openxmlformats.org/officeDocument/2006/relationships/hyperlink" Target="https://www.booking.com/hotel/re/kom-une-evidence-974.fr.html" TargetMode="External"/><Relationship Id="rId308" Type="http://schemas.openxmlformats.org/officeDocument/2006/relationships/hyperlink" Target="https://www.facebook.com/sejour2reve" TargetMode="External"/><Relationship Id="rId307" Type="http://schemas.openxmlformats.org/officeDocument/2006/relationships/hyperlink" Target="https://www.facebook.com/Ti-Natte-107275804974982/" TargetMode="External"/><Relationship Id="rId306" Type="http://schemas.openxmlformats.org/officeDocument/2006/relationships/hyperlink" Target="https://fr.airbnb.com/rooms/53265821?_set_bev_on_new_domain=1654672479_NDBkZWM1MWIzYTRk&amp;source_impression_id=p3_1654672489_JAQN7UA47SmPyU8f" TargetMode="External"/><Relationship Id="rId301" Type="http://schemas.openxmlformats.org/officeDocument/2006/relationships/hyperlink" Target="https://www.tripadvisor.fr/Hotel_Review-g2140646-d3459911-Reviews-Crabe_Sous_la_Varangue-Saint_Philippe_Arrondissement_of_Saint_Pierre.html" TargetMode="External"/><Relationship Id="rId300" Type="http://schemas.openxmlformats.org/officeDocument/2006/relationships/hyperlink" Target="https://www.facebook.com/cocovanille974/?ref=page_internal" TargetMode="External"/><Relationship Id="rId327" Type="http://schemas.openxmlformats.org/officeDocument/2006/relationships/hyperlink" Target="https://www.facebook.com/VEKApeintre" TargetMode="External"/><Relationship Id="rId326" Type="http://schemas.openxmlformats.org/officeDocument/2006/relationships/hyperlink" Target="https://www.facebook.com/lestourterelles974" TargetMode="External"/><Relationship Id="rId325" Type="http://schemas.openxmlformats.org/officeDocument/2006/relationships/hyperlink" Target="https://www.instagram.com/une_escale_enchantee/" TargetMode="External"/><Relationship Id="rId324" Type="http://schemas.openxmlformats.org/officeDocument/2006/relationships/hyperlink" Target="https://www.facebook.com/Benoit.venturini.masseurbienetre" TargetMode="External"/><Relationship Id="rId329" Type="http://schemas.openxmlformats.org/officeDocument/2006/relationships/hyperlink" Target="https://fr.airbnb.com/rooms/53900128?_set_bev_on_new_domain=1655276847_NDBmMjk1NDczMzg1&amp;source_impression_id=p3_1655276813_1W5fVFsgrkxgNBKj" TargetMode="External"/><Relationship Id="rId328" Type="http://schemas.openxmlformats.org/officeDocument/2006/relationships/hyperlink" Target="https://www.facebook.com/profile.php?id=100071334105067" TargetMode="External"/><Relationship Id="rId323" Type="http://schemas.openxmlformats.org/officeDocument/2006/relationships/hyperlink" Target="https://www.facebook.com/Cr%C3%A9ation-de-Lilie-343019783076255" TargetMode="External"/><Relationship Id="rId322" Type="http://schemas.openxmlformats.org/officeDocument/2006/relationships/hyperlink" Target="https://www.booking.com/hotel/re/charmant-studio-en-plein-coeur-du-centre-ville.fr.html" TargetMode="External"/><Relationship Id="rId321" Type="http://schemas.openxmlformats.org/officeDocument/2006/relationships/hyperlink" Target="https://www.airbnb.fr/rooms/633691413548085988?check_in=2022-06-09&amp;check_out=2022-06-16&amp;guests=1&amp;adults=1&amp;s=67&amp;unique_share_id=e7104a73-91fb-4568-b48f-cdb42c6e6926&amp;source_impression_id=p3_1655114359_9OxSt1V3dj%2BTkTOc" TargetMode="External"/><Relationship Id="rId320" Type="http://schemas.openxmlformats.org/officeDocument/2006/relationships/hyperlink" Target="https://www.abritel.fr/location-vacances/p2122437?oc=lD8wQXSq0lmPE6ZT8e0lc&amp;uni_id=2298361&amp;utm_campaign=earned%3Aabritel%3Asharecopylink%3AFRA&amp;utm_content=2122437&amp;utm_medium=social&amp;utm_source=direct" TargetMode="External"/><Relationship Id="rId316" Type="http://schemas.openxmlformats.org/officeDocument/2006/relationships/hyperlink" Target="https://www.instagram.com/entredeuxcases/?igshid=YmMyMTA2M2Y=" TargetMode="External"/><Relationship Id="rId315" Type="http://schemas.openxmlformats.org/officeDocument/2006/relationships/hyperlink" Target="https://www.facebook.com/entredeuxcases/?hc_ref=ARSsyhV41E_gXQnKk0Xseoy3r0Vj2NyFuH6nK2S5GefTsFKqKAItG15J2_M4i-JkgXY&amp;fref=nf&amp;__xts__%5B0%5D=68.ARDRsi_7um8Q441Pi0VGigIc7lST8W5rzhAVLzZA-misRIFeDiBqRL_mE6I-kgKJththw-e6S3py0_YUQyFfwy8-huOhGC8V9ibK-FBQJgg680pnF8TDPC9EP6YlGQShNiKKLIC1QeaBGasjNuWPj70JrSeEYRoTPgui8ZCWI_h4nSj-uCSILYcku7EbrxtvTCwxISjiHVP5fH5G-w5RDJaXGNcZrJbZxXipCv61E_dF5BcagQhUODAk8EYUs_zDG_oLVmAQ7DIi7WLyqUA1Ux-99QiO43y--X8N5iLgW2_bnOAFNhU" TargetMode="External"/><Relationship Id="rId314" Type="http://schemas.openxmlformats.org/officeDocument/2006/relationships/hyperlink" Target="https://www.facebook.com/Fontaine97442" TargetMode="External"/><Relationship Id="rId313" Type="http://schemas.openxmlformats.org/officeDocument/2006/relationships/hyperlink" Target="https://www.facebook.com/sejour2reve" TargetMode="External"/><Relationship Id="rId319" Type="http://schemas.openxmlformats.org/officeDocument/2006/relationships/hyperlink" Target="https://www.facebook.com/sejour2reve" TargetMode="External"/><Relationship Id="rId318" Type="http://schemas.openxmlformats.org/officeDocument/2006/relationships/hyperlink" Target="https://www.facebook.com/pages/Jardin-des-parfums-et-des-%C3%A9pices/1436393906591403" TargetMode="External"/><Relationship Id="rId317" Type="http://schemas.openxmlformats.org/officeDocument/2006/relationships/hyperlink" Target="https://www.facebook.com/Nancy-Boutique-106750160851891" TargetMode="External"/><Relationship Id="rId312" Type="http://schemas.openxmlformats.org/officeDocument/2006/relationships/hyperlink" Target="https://www.booking.com/hotel/re/le-palmier.fr.html?aid=318615&amp;label=New_French_FR_RE_26394819985-5KMfyMgIYi7RF9Cd6ZNX9wS217272236396%3Apl%3Ata%3Ap1%3Ap2%3Aac%3Aap%3Aneg%3Afi%3Atidsa-194594581705%3Alp9075843%3Ali%3Adec%3Adm&amp;sid=0321f735a3745fc1860e69443dcf6585&amp;dest_id=-1331411;dest_type=city;dist=0;group_adults=2;group_children=0;hapos=1;hpos=1;no_rooms=1;req_adults=2;req_children=0;room1=A%2CA;sb_price_type=total;sr_order=popularity;srepoch=1654682002;srpvid=79a2458894e9019d;type=total;ucfs=1&amp;" TargetMode="External"/><Relationship Id="rId311" Type="http://schemas.openxmlformats.org/officeDocument/2006/relationships/hyperlink" Target="https://www.tripadvisor.fr/Hotel_Review-g2140646-d2253645-Reviews-Gite_Theophane_et_Yoleine-Saint_Philippe_Arrondissement_of_Saint_Pierre.html" TargetMode="External"/><Relationship Id="rId310" Type="http://schemas.openxmlformats.org/officeDocument/2006/relationships/hyperlink" Target="https://www.facebook.com/giteteophaneetyoleine" TargetMode="External"/><Relationship Id="rId297" Type="http://schemas.openxmlformats.org/officeDocument/2006/relationships/hyperlink" Target="https://www.tripadvisor.fr/Hotel_Review-g2140646-d4453842-Reviews-Au_Domaine_du_Vacoa-Saint_Philippe_Arrondissement_of_Saint_Pierre.html" TargetMode="External"/><Relationship Id="rId296" Type="http://schemas.openxmlformats.org/officeDocument/2006/relationships/hyperlink" Target="https://www.tripadvisor.fr/Hotel_Review-g2140646-d13323762-Reviews-Le_Puit_des_Francais-Saint_Philippe_Arrondissement_of_Saint_Pierre.html" TargetMode="External"/><Relationship Id="rId295" Type="http://schemas.openxmlformats.org/officeDocument/2006/relationships/hyperlink" Target="https://www.facebook.com/profile.php?id=100057077634918" TargetMode="External"/><Relationship Id="rId294" Type="http://schemas.openxmlformats.org/officeDocument/2006/relationships/hyperlink" Target="https://www.facebook.com/Ferme-auberge-le-ti-planteur-122093121567184" TargetMode="External"/><Relationship Id="rId299" Type="http://schemas.openxmlformats.org/officeDocument/2006/relationships/hyperlink" Target="https://www.tripadvisor.fr/Hotel_Review-g2140646-d5569320-Reviews-Coco_Vanille-Saint_Philippe_Arrondissement_of_Saint_Pierre.html" TargetMode="External"/><Relationship Id="rId298" Type="http://schemas.openxmlformats.org/officeDocument/2006/relationships/hyperlink" Target="https://www.facebook.com/Anna97442" TargetMode="External"/><Relationship Id="rId271" Type="http://schemas.openxmlformats.org/officeDocument/2006/relationships/hyperlink" Target="https://www.instagram.com/happy_time.run/" TargetMode="External"/><Relationship Id="rId270" Type="http://schemas.openxmlformats.org/officeDocument/2006/relationships/hyperlink" Target="https://www.tripadvisor.fr/Restaurant_Review-g675133-d19774170-Reviews-La_Paillote-Le_Tampon_Arrondissement_of_Saint_Pierre.html" TargetMode="External"/><Relationship Id="rId269" Type="http://schemas.openxmlformats.org/officeDocument/2006/relationships/hyperlink" Target="https://www.facebook.com/groups/100884030248847" TargetMode="External"/><Relationship Id="rId264" Type="http://schemas.openxmlformats.org/officeDocument/2006/relationships/hyperlink" Target="https://www.facebook.com/orchidea.salledereception" TargetMode="External"/><Relationship Id="rId263" Type="http://schemas.openxmlformats.org/officeDocument/2006/relationships/hyperlink" Target="https://www.facebook.com/KAZMAURICIEN974" TargetMode="External"/><Relationship Id="rId262" Type="http://schemas.openxmlformats.org/officeDocument/2006/relationships/hyperlink" Target="https://www.tripadvisor.fr/Restaurant_Review-g675133-d5508127-Reviews-Le_Bongo-Le_Tampon_Arrondissement_of_Saint_Pierre.html" TargetMode="External"/><Relationship Id="rId261" Type="http://schemas.openxmlformats.org/officeDocument/2006/relationships/hyperlink" Target="https://www.facebook.com/profile.php?id=100063694414099" TargetMode="External"/><Relationship Id="rId268" Type="http://schemas.openxmlformats.org/officeDocument/2006/relationships/hyperlink" Target="https://www.instagram.com/legrillanoo/" TargetMode="External"/><Relationship Id="rId267" Type="http://schemas.openxmlformats.org/officeDocument/2006/relationships/hyperlink" Target="https://www.facebook.com/grillanoo" TargetMode="External"/><Relationship Id="rId266" Type="http://schemas.openxmlformats.org/officeDocument/2006/relationships/hyperlink" Target="https://www.tripadvisor.fr/Restaurant_Review-g667223-d7132796-Reviews-Le_Grillanoo-Bourg_Murat_Arrondissement_of_Saint_Pierre.html" TargetMode="External"/><Relationship Id="rId265" Type="http://schemas.openxmlformats.org/officeDocument/2006/relationships/hyperlink" Target="https://www.facebook.com/restaurantlepanoramic974/" TargetMode="External"/><Relationship Id="rId260" Type="http://schemas.openxmlformats.org/officeDocument/2006/relationships/hyperlink" Target="https://www.tripadvisor.fr/Restaurant_Review-g675133-d6901751-Reviews-Chez_Manman-Le_Tampon_Arrondissement_of_Saint_Pierre.html" TargetMode="External"/><Relationship Id="rId259" Type="http://schemas.openxmlformats.org/officeDocument/2006/relationships/hyperlink" Target="https://www.facebook.com/CHEZ-Guilaine-1603333213321079" TargetMode="External"/><Relationship Id="rId258" Type="http://schemas.openxmlformats.org/officeDocument/2006/relationships/hyperlink" Target="https://www.tripadvisor.fr/Restaurant_Review-g790521-d8825297-Reviews-Restaurant_Chez_Guilaine-La_Plaine_des_Cafres_Arrondissement_of_Saint_Pierre.html" TargetMode="External"/><Relationship Id="rId253" Type="http://schemas.openxmlformats.org/officeDocument/2006/relationships/hyperlink" Target="https://www.facebook.com/diablesothym/?ref=page_internal" TargetMode="External"/><Relationship Id="rId252" Type="http://schemas.openxmlformats.org/officeDocument/2006/relationships/hyperlink" Target="https://www.tripadvisor.fr/Hotel_Review-g675133-d1725023-Reviews-Sud_Hotel-Le_Tampon_Arrondissement_of_Saint_Pierre.html" TargetMode="External"/><Relationship Id="rId251" Type="http://schemas.openxmlformats.org/officeDocument/2006/relationships/hyperlink" Target="https://www.instagram.com/sudhotel974/" TargetMode="External"/><Relationship Id="rId250" Type="http://schemas.openxmlformats.org/officeDocument/2006/relationships/hyperlink" Target="https://www.tripadvisor.fr/Restaurant_Review-g667223-d4162877-Reviews-Le_ti_kan-Bourg_Murat_Arrondissement_of_Saint_Pierre.html" TargetMode="External"/><Relationship Id="rId257" Type="http://schemas.openxmlformats.org/officeDocument/2006/relationships/hyperlink" Target="https://www.facebook.com/assiettefleurie" TargetMode="External"/><Relationship Id="rId256" Type="http://schemas.openxmlformats.org/officeDocument/2006/relationships/hyperlink" Target="https://www.facebook.com/Au-20-C%C5%93urs-346798595781291" TargetMode="External"/><Relationship Id="rId255" Type="http://schemas.openxmlformats.org/officeDocument/2006/relationships/hyperlink" Target="https://www.tripadvisor.fr/Restaurant_Review-g675133-d17082823-Reviews-Diables_o_Thym-Le_Tampon_Arrondissement_of_Saint_Pierre.html" TargetMode="External"/><Relationship Id="rId254" Type="http://schemas.openxmlformats.org/officeDocument/2006/relationships/hyperlink" Target="https://www.instagram.com/diablesothym/" TargetMode="External"/><Relationship Id="rId293" Type="http://schemas.openxmlformats.org/officeDocument/2006/relationships/hyperlink" Target="https://www.airbnb.fr/rooms/45243732?source_impression_id=p3_1654662867_ZJcF8MzPcFmPnUGB" TargetMode="External"/><Relationship Id="rId292" Type="http://schemas.openxmlformats.org/officeDocument/2006/relationships/hyperlink" Target="https://www.booking.com/hotel/re/chez-malou-saint-philippe.fr.html" TargetMode="External"/><Relationship Id="rId291" Type="http://schemas.openxmlformats.org/officeDocument/2006/relationships/hyperlink" Target="https://www.facebook.com/Au-QG-JJ-101606198379019" TargetMode="External"/><Relationship Id="rId290" Type="http://schemas.openxmlformats.org/officeDocument/2006/relationships/hyperlink" Target="https://www.facebook.com/AltiRun" TargetMode="External"/><Relationship Id="rId286" Type="http://schemas.openxmlformats.org/officeDocument/2006/relationships/hyperlink" Target="https://www.tripadvisor.fr/Restaurant_Review-g2140646-d2656647-Reviews-La_Mer_Cassee-Saint_Philippe_Arrondissement_of_Saint_Pierre.html" TargetMode="External"/><Relationship Id="rId285" Type="http://schemas.openxmlformats.org/officeDocument/2006/relationships/hyperlink" Target="https://www.tripadvisor.fr/Restaurant_Review-g2140646-d5960960-Reviews-Le_Palmier_auberge_paysanne-Saint_Philippe_Arrondissement_of_Saint_Pierre.html" TargetMode="External"/><Relationship Id="rId284" Type="http://schemas.openxmlformats.org/officeDocument/2006/relationships/hyperlink" Target="https://www.tripadvisor.fr/Restaurant_Review-g2140646-d6742820-Reviews-La_Case_Volcan-Saint_Philippe_Arrondissement_of_Saint_Pierre.html" TargetMode="External"/><Relationship Id="rId283" Type="http://schemas.openxmlformats.org/officeDocument/2006/relationships/hyperlink" Target="https://www.facebook.com/pages/Restaurant-La-Case-Volcan/547318852117670" TargetMode="External"/><Relationship Id="rId289" Type="http://schemas.openxmlformats.org/officeDocument/2006/relationships/hyperlink" Target="https://fr.tripadvisor.ch/Restaurant_Review-g2140646-d23868128-Reviews-L_atelier_Palmiste_Rouge-Saint_Philippe_Arrondissement_of_Saint_Pierre.html" TargetMode="External"/><Relationship Id="rId288" Type="http://schemas.openxmlformats.org/officeDocument/2006/relationships/hyperlink" Target="https://www.tripadvisor.fr/Restaurant_Review-g2140646-d3737411-Reviews-Chez_Moustache-Saint_Philippe_Arrondissement_of_Saint_Pierre.html" TargetMode="External"/><Relationship Id="rId287" Type="http://schemas.openxmlformats.org/officeDocument/2006/relationships/hyperlink" Target="https://www.facebook.com/ChezMoustache" TargetMode="External"/><Relationship Id="rId282" Type="http://schemas.openxmlformats.org/officeDocument/2006/relationships/hyperlink" Target="https://www.tripadvisor.fr/Restaurant_Review-g2140646-d7212426-Reviews-Auberge_Guimard-Saint_Philippe_Arrondissement_of_Saint_Pierre.html" TargetMode="External"/><Relationship Id="rId281" Type="http://schemas.openxmlformats.org/officeDocument/2006/relationships/hyperlink" Target="https://www.facebook.com/aubergeguimard" TargetMode="External"/><Relationship Id="rId280" Type="http://schemas.openxmlformats.org/officeDocument/2006/relationships/hyperlink" Target="https://www.facebook.com/Restaurant-Le-Mascarin-102566977783090" TargetMode="External"/><Relationship Id="rId275" Type="http://schemas.openxmlformats.org/officeDocument/2006/relationships/hyperlink" Target="https://www.tripadvisor.fr/Restaurant_Review-g2140646-d3309198-Reviews-Le_Vieux_Port-Saint_Philippe_Arrondissement_of_Saint_Pierre.html" TargetMode="External"/><Relationship Id="rId274" Type="http://schemas.openxmlformats.org/officeDocument/2006/relationships/hyperlink" Target="https://www.facebook.com/La-Guinguette-103444018327064" TargetMode="External"/><Relationship Id="rId273" Type="http://schemas.openxmlformats.org/officeDocument/2006/relationships/hyperlink" Target="https://www.facebook.com/Meubledetourismevillareunion/?ref=bookmarks" TargetMode="External"/><Relationship Id="rId272" Type="http://schemas.openxmlformats.org/officeDocument/2006/relationships/hyperlink" Target="https://www.facebook.com/pages/Auberge-du-Volcan/357358737993871" TargetMode="External"/><Relationship Id="rId279" Type="http://schemas.openxmlformats.org/officeDocument/2006/relationships/hyperlink" Target="https://www.tripadvisor.fr/Restaurant_Review-g2140646-d8454328-Reviews-Restaurant_des_Laves-Saint_Philippe_Arrondissement_of_Saint_Pierre.html" TargetMode="External"/><Relationship Id="rId278" Type="http://schemas.openxmlformats.org/officeDocument/2006/relationships/hyperlink" Target="https://www.facebook.com/barilandco" TargetMode="External"/><Relationship Id="rId277" Type="http://schemas.openxmlformats.org/officeDocument/2006/relationships/hyperlink" Target="https://www.instagram.com/baril_and_co_974/" TargetMode="External"/><Relationship Id="rId276" Type="http://schemas.openxmlformats.org/officeDocument/2006/relationships/hyperlink" Target="https://www.tripadvisor.fr/Restaurant_Review-g2140646-d8483202-Reviews-La_Bicyclette_Gourmande-Saint_Philippe_Arrondissement_of_Saint_Pierre.html" TargetMode="External"/><Relationship Id="rId1059" Type="http://schemas.openxmlformats.org/officeDocument/2006/relationships/hyperlink" Target="https://www.facebook.com/ledimitilehotel" TargetMode="External"/><Relationship Id="rId228" Type="http://schemas.openxmlformats.org/officeDocument/2006/relationships/hyperlink" Target="https://www.facebook.com/pages/Le-ti-resto-Lontan-Plaine-des-Cafres/150819332204133" TargetMode="External"/><Relationship Id="rId227" Type="http://schemas.openxmlformats.org/officeDocument/2006/relationships/hyperlink" Target="https://www.facebook.com/leboizoly" TargetMode="External"/><Relationship Id="rId226" Type="http://schemas.openxmlformats.org/officeDocument/2006/relationships/hyperlink" Target="https://www.instagram.com/restaurant_lelongboard/" TargetMode="External"/><Relationship Id="rId225" Type="http://schemas.openxmlformats.org/officeDocument/2006/relationships/hyperlink" Target="https://www.instagram.com/ferme.lebonpapillon.1/" TargetMode="External"/><Relationship Id="rId229" Type="http://schemas.openxmlformats.org/officeDocument/2006/relationships/hyperlink" Target="https://www.facebook.com/pages/Le-Tinto/155015571262203" TargetMode="External"/><Relationship Id="rId1050" Type="http://schemas.openxmlformats.org/officeDocument/2006/relationships/hyperlink" Target="https://www.facebook.com/MobilboardLaReunion" TargetMode="External"/><Relationship Id="rId220" Type="http://schemas.openxmlformats.org/officeDocument/2006/relationships/hyperlink" Target="https://www.airbnb.fr/rooms/35102090?source_impression_id=p3_1652160801_AUP%2FJFS8f6WcdmWO" TargetMode="External"/><Relationship Id="rId1051" Type="http://schemas.openxmlformats.org/officeDocument/2006/relationships/hyperlink" Target="https://www.facebook.com/profile.php?id=100063576242513" TargetMode="External"/><Relationship Id="rId1052" Type="http://schemas.openxmlformats.org/officeDocument/2006/relationships/hyperlink" Target="https://www.booking.com/hotel/re/quot-entre-mer-et-montagne-quot.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18779558;srpvid=ca3b2f8dc66404f5;type=total;ucfs=1&amp;" TargetMode="External"/><Relationship Id="rId1053" Type="http://schemas.openxmlformats.org/officeDocument/2006/relationships/hyperlink" Target="https://www.booking.com/hotel/re/quot-entre-mer-et-montagne-quot.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18779558;srpvid=ca3b2f8dc66404f5;type=total;ucfs=1&amp;" TargetMode="External"/><Relationship Id="rId1054" Type="http://schemas.openxmlformats.org/officeDocument/2006/relationships/hyperlink" Target="https://www.booking.com/hotel/re/quot-entre-mer-et-montagne-quot.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18779558;srpvid=ca3b2f8dc66404f5;type=total;ucfs=1&amp;" TargetMode="External"/><Relationship Id="rId224" Type="http://schemas.openxmlformats.org/officeDocument/2006/relationships/hyperlink" Target="https://www.airbnb.fr/rooms/15351503?source_impression_id=p3_1653041232_MVSh6U4Cqv%2FyH7BY" TargetMode="External"/><Relationship Id="rId1055" Type="http://schemas.openxmlformats.org/officeDocument/2006/relationships/hyperlink" Target="https://www.facebook.com/ledimitilehotel" TargetMode="External"/><Relationship Id="rId223" Type="http://schemas.openxmlformats.org/officeDocument/2006/relationships/hyperlink" Target="https://www.tripadvisor.fr/Restaurant_Review-g668283-d23714748-Reviews-Le_Bardeau-Entre_Deux_Arrondissement_of_Saint_Pierre.html" TargetMode="External"/><Relationship Id="rId1056" Type="http://schemas.openxmlformats.org/officeDocument/2006/relationships/hyperlink" Target="https://www.instagram.com/ledimitilehotelspa/" TargetMode="External"/><Relationship Id="rId222" Type="http://schemas.openxmlformats.org/officeDocument/2006/relationships/hyperlink" Target="https://www.facebook.com/pages/category/Restaurant/Le-Bardeau-108051214396276/" TargetMode="External"/><Relationship Id="rId1057" Type="http://schemas.openxmlformats.org/officeDocument/2006/relationships/hyperlink" Target="https://www.booking.com/hotel/re/dimitile-hotel.fr.html?aid=356980&amp;label=gog235jc-1DCAsovwFCDmRpbWl0aWxlLWhvdGVsSDNYA2i_AYgBAZgBDbgBF8gBDNgBA-gBAfgBBIgCAagCA7gCq4TKswbAAgHSAiQ3NTAxNTM0Ni03MzE3LTQ0Y2UtOTg3ZC03YzI3YWE5MDNkZTnYAgTgAgE&amp;sid=ba4e4e680180124b9e08f6acfb274803&amp;dist=0&amp;keep_landing=1&amp;sb_price_type=total&amp;type=total&amp;" TargetMode="External"/><Relationship Id="rId221" Type="http://schemas.openxmlformats.org/officeDocument/2006/relationships/hyperlink" Target="https://www.facebook.com/pages/category/Shopping---retail/Ti-brin-nature-114898620339890/" TargetMode="External"/><Relationship Id="rId1058" Type="http://schemas.openxmlformats.org/officeDocument/2006/relationships/hyperlink" Target="https://www.tripadvisor.fr/Hotel_Review-g668283-d667647-Reviews-Le_Dimitile_Hotel_Spa-Entre_Deux_Arrondissement_of_Saint_Pierre.html" TargetMode="External"/><Relationship Id="rId1048" Type="http://schemas.openxmlformats.org/officeDocument/2006/relationships/hyperlink" Target="https://www.airbnb.fr/rooms/38842889?source_impression_id=p3_1718604226_P3VBxOBofZjl5ehQ" TargetMode="External"/><Relationship Id="rId1049" Type="http://schemas.openxmlformats.org/officeDocument/2006/relationships/hyperlink" Target="https://www.instagram.com/mobilboard_la_reunion/" TargetMode="External"/><Relationship Id="rId217" Type="http://schemas.openxmlformats.org/officeDocument/2006/relationships/hyperlink" Target="https://fr-fr.facebook.com/lemillepertuis/" TargetMode="External"/><Relationship Id="rId216" Type="http://schemas.openxmlformats.org/officeDocument/2006/relationships/hyperlink" Target="https://www.facebook.com/pages/category/Restaurant/Ti-pany-110900266144888/" TargetMode="External"/><Relationship Id="rId215" Type="http://schemas.openxmlformats.org/officeDocument/2006/relationships/hyperlink" Target="https://www.tripadvisor.fr/Restaurant_Review-g635742-d12963391-Reviews-Ti_Pany-Saint_Joseph_Arrondissement_of_Saint_Pierre.html" TargetMode="External"/><Relationship Id="rId214" Type="http://schemas.openxmlformats.org/officeDocument/2006/relationships/hyperlink" Target="https://fr-fr.facebook.com/bigdilnessamatnana/" TargetMode="External"/><Relationship Id="rId219" Type="http://schemas.openxmlformats.org/officeDocument/2006/relationships/hyperlink" Target="https://www.facebook.com/pages/category/Vacation-Home-Rental/Case-au-pied-du-volcan-111380103685326/" TargetMode="External"/><Relationship Id="rId218" Type="http://schemas.openxmlformats.org/officeDocument/2006/relationships/hyperlink" Target="https://www.facebook.com/biensfeesdegraziella/" TargetMode="External"/><Relationship Id="rId1040" Type="http://schemas.openxmlformats.org/officeDocument/2006/relationships/hyperlink" Target="https://www.facebook.com/profile.php?id=61556279190822&amp;rdid=hiGou0asnsUiPMSY" TargetMode="External"/><Relationship Id="rId1041" Type="http://schemas.openxmlformats.org/officeDocument/2006/relationships/hyperlink" Target="https://www.instagram.com/janma_gaelleyoga?igsh=OTAwenU4c3ZxYWFt" TargetMode="External"/><Relationship Id="rId1042" Type="http://schemas.openxmlformats.org/officeDocument/2006/relationships/hyperlink" Target="https://www.booking.com/hotel/re/meuble-chez-gilbert.fr.html?msockid=35390d1322bb644c3708194723fc65b3" TargetMode="External"/><Relationship Id="rId1043" Type="http://schemas.openxmlformats.org/officeDocument/2006/relationships/hyperlink" Target="https://www.facebook.com/restojim" TargetMode="External"/><Relationship Id="rId213" Type="http://schemas.openxmlformats.org/officeDocument/2006/relationships/hyperlink" Target="https://www.tripadvisor.fr/Restaurant_Review-g635742-d13434608-Reviews-Orient_Express-Saint_Joseph_Arrondissement_of_Saint_Pierre.html" TargetMode="External"/><Relationship Id="rId1044" Type="http://schemas.openxmlformats.org/officeDocument/2006/relationships/hyperlink" Target="https://www.facebook.com/lebluesoleilappart/" TargetMode="External"/><Relationship Id="rId212" Type="http://schemas.openxmlformats.org/officeDocument/2006/relationships/hyperlink" Target="https://fr-fr.facebook.com/pages/category/Just-For-Fun/G%C3%AEte-cascade-les-3-galets-142104323363187/" TargetMode="External"/><Relationship Id="rId1045" Type="http://schemas.openxmlformats.org/officeDocument/2006/relationships/hyperlink" Target="https://www.airbnb.fr/rooms/51933547?source_impression_id=p3_1718339001_P3Z-bV89lNyphZNB" TargetMode="External"/><Relationship Id="rId211" Type="http://schemas.openxmlformats.org/officeDocument/2006/relationships/hyperlink" Target="https://www.facebook.com/Restaurant-Le-Longboard-838436569505805/?__cft__%5B0%5D=AZUlo6oyIRvUKWWegU4BeVdMsfCwsGroc1uThrXC-L9bBp-aAeL7Br9wfM4YPIqEsBki7lcns4PcAb5E_eiQmF2AJYzMvCsh3p9IPJy_GWZbxVAmrLcD5r0BMDf5CRlV63CR13Dn8ninMvwspDNrZG2n&amp;__tn__=-UK-R" TargetMode="External"/><Relationship Id="rId1046" Type="http://schemas.openxmlformats.org/officeDocument/2006/relationships/hyperlink" Target="https://fr.airbnb.be/rooms/1087333463099861662?source_impression_id=p3_1718599153_P342RFpqinIu23Ua" TargetMode="External"/><Relationship Id="rId210" Type="http://schemas.openxmlformats.org/officeDocument/2006/relationships/hyperlink" Target="https://m.facebook.com/permalink.php?story_fbid=123560085680148&amp;id=107136697322487&amp;comment_id=123610285675128&amp;reply_comment_id=123724878997002" TargetMode="External"/><Relationship Id="rId1047" Type="http://schemas.openxmlformats.org/officeDocument/2006/relationships/hyperlink" Target="https://www.booking.com/hotel/re/havre-de-verdure-2-personnes.fr.html" TargetMode="External"/><Relationship Id="rId249" Type="http://schemas.openxmlformats.org/officeDocument/2006/relationships/hyperlink" Target="https://www.facebook.com/people/Ticasemetyss/100057549335378/" TargetMode="External"/><Relationship Id="rId248" Type="http://schemas.openxmlformats.org/officeDocument/2006/relationships/hyperlink" Target="https://www.facebook.com/OQGresto" TargetMode="External"/><Relationship Id="rId247" Type="http://schemas.openxmlformats.org/officeDocument/2006/relationships/hyperlink" Target="https://www.tripadvisor.fr/Restaurant_Review-g790521-d2094219-Reviews-Le_QG-La_Plaine_des_Cafres_Arrondissement_of_Saint_Pierre.html" TargetMode="External"/><Relationship Id="rId1070" Type="http://schemas.openxmlformats.org/officeDocument/2006/relationships/hyperlink" Target="https://www.facebook.com/ledimitilehotel" TargetMode="External"/><Relationship Id="rId1071" Type="http://schemas.openxmlformats.org/officeDocument/2006/relationships/hyperlink" Target="https://www.instagram.com/ledimitilehotelspa/" TargetMode="External"/><Relationship Id="rId1072" Type="http://schemas.openxmlformats.org/officeDocument/2006/relationships/hyperlink" Target="https://www.facebook.com/hotelecrin" TargetMode="External"/><Relationship Id="rId242" Type="http://schemas.openxmlformats.org/officeDocument/2006/relationships/hyperlink" Target="https://www.tripadvisor.fr/Restaurant_Review-g675133-d2526663-Reviews-L_Amberic-Le_Tampon_Arrondissement_of_Saint_Pierre.html" TargetMode="External"/><Relationship Id="rId1073" Type="http://schemas.openxmlformats.org/officeDocument/2006/relationships/hyperlink" Target="https://www.booking.com/hotel/re/ha-tel-l-ecrin.fr.html?aid=311089&amp;label=ha-tel-l-ecrin-YS7QLygvYdD%2AHjzGRqWE3wS161720941869%3Apl%3Ata%3Ap1%3Ap2%3Aac%3Aap%3Aneg%3Afi%3Atikwd-569870619112%3Alp9075843%3Ali%3Adec%3Adm%3Appccp%3DUmFuZG9tSVYkc2RlIyh9Yf23yREhrOV9DIzdQnby_R8&amp;sid=ba4e4e680180124b9e08f6acfb274803&amp;dest_id=-1330930;dest_type=city;dist=0;group_adults=2;group_children=0;hapos=1;hpos=1;no_rooms=1;req_adults=2;req_children=0;room1=A%2CA;sb_price_type=total;sr_order=popularity;srepoch=1719825889;srpvid=4fee41914a9102e4;type=total;ucfs=1&amp;" TargetMode="External"/><Relationship Id="rId241" Type="http://schemas.openxmlformats.org/officeDocument/2006/relationships/hyperlink" Target="https://www.tripadvisor.fr/Restaurant_Review-g675133-d10161844-Reviews-L_Olivier-Le_Tampon_Arrondissement_of_Saint_Pierre.html" TargetMode="External"/><Relationship Id="rId1074" Type="http://schemas.openxmlformats.org/officeDocument/2006/relationships/hyperlink" Target="https://www.tripadvisor.fr/Hotel_Review-g667223-d666127-Reviews-Hotel_L_Ecrin-Bourg_Murat_Arrondissement_of_Saint_Pierre.html" TargetMode="External"/><Relationship Id="rId240" Type="http://schemas.openxmlformats.org/officeDocument/2006/relationships/hyperlink" Target="https://www.facebook.com/restaurantlolivier974" TargetMode="External"/><Relationship Id="rId1075" Type="http://schemas.openxmlformats.org/officeDocument/2006/relationships/hyperlink" Target="https://www.booking.com/hotel/re/les-geraniums-la-plaine-des-cafres1.fr.html?aid=311089&amp;label=les-geraniums-la-plaine-des-cafres1-TiDw9%2AEEh1R%2AnuprJFU5eAS506064731882%3Apl%3Ata%3Ap1%3Ap2%3Aac%3Aap%3Aneg%3Afi%3Atikwd-1237786656714%3Alp9075843%3Ali%3Adec%3Adm&amp;sid=a6005a8579cbe0ef9a3e444120cd0aa6&amp;dest_id=-1330930;dest_type=city;dist=0;group_adults=2;group_children=0;hapos=1;hpos=1;no_rooms=1;req_adults=2;req_children=0;room1=A%2CA;sb_price_type=total;sr_order=popularity;srepoch=1719833405;srpvid=e10050d3ba9a0401;type=total;ucfs=1&amp;" TargetMode="External"/><Relationship Id="rId1076" Type="http://schemas.openxmlformats.org/officeDocument/2006/relationships/hyperlink" Target="https://www.booking.com/hotel/re/meuble-touristique-le-ti-son-39-dort.fr.html" TargetMode="External"/><Relationship Id="rId246" Type="http://schemas.openxmlformats.org/officeDocument/2006/relationships/hyperlink" Target="https://www.instagram.com/oqgresto/" TargetMode="External"/><Relationship Id="rId1077" Type="http://schemas.openxmlformats.org/officeDocument/2006/relationships/hyperlink" Target="https://www.facebook.com/profile.php?id=100013639093308&amp;locale=tl_PH" TargetMode="External"/><Relationship Id="rId245" Type="http://schemas.openxmlformats.org/officeDocument/2006/relationships/hyperlink" Target="https://www.tripadvisor.fr/Hotel_Review-g790521-d1876595-Reviews-Ferme_du_Pecher_Gourmand-La_Plaine_des_Cafres_Arrondissement_of_Saint_Pierre.html" TargetMode="External"/><Relationship Id="rId1078" Type="http://schemas.openxmlformats.org/officeDocument/2006/relationships/hyperlink" Target="https://www.booking.com/hotel/re/les-embruns-du-baril.fr.html?aid=2378099&amp;label=olr-bing%3Af2e7a5e4ca291e0a6064c3675287915a&amp;sid=a6005a8579cbe0ef9a3e444120cd0aa6&amp;all_sr_blocks=396044810_194407416_2_1_0;checkin=2024-07-09;checkout=2024-07-10;dest_id=-1330478;dest_type=city;dist=0;group_adults=2;group_children=0;hapos=1;highlighted_blocks=396044810_194407416_2_1_0;hpos=1;matching_block_id=396044810_194407416_2_1_0;no_rooms=1;req_adults=2;req_children=0;room1=A%2CA;sb_price_type=total;sr_order=popularity;sr_pri_blocks=396044810_194407416_2_1_0__15700;srepoch=1719900466;srpvid=f25c2af2540f0166;type=total;ucfs=1&amp;" TargetMode="External"/><Relationship Id="rId244" Type="http://schemas.openxmlformats.org/officeDocument/2006/relationships/hyperlink" Target="https://www.facebook.com/pages/La-Ferme-Du-P%C3%AAcher-Gourmand/368946193145543" TargetMode="External"/><Relationship Id="rId1079" Type="http://schemas.openxmlformats.org/officeDocument/2006/relationships/hyperlink" Target="https://www.booking.com/hotel/re/lodge-de-grand-coude.fr.html?aid=356980&amp;label=gog235jc-1FCAsovwFCFGxvZGdlLWRlLWdyYW5kLWNvdWRlSA1YA2i_AYgBAZgBDbgBF8gBDNgBAegBAfgBAogCAagCA7gCnLmOtAbAAgHSAiQyYmZkODgyNy0yMjkzLTQ4YzQtODA2Ni0xNjVkOTdlOWYwZWHYAgXgAgE&amp;sid=88f348dbdd7c1429de2cd782de1d05a0&amp;checkin=2024-09-04;checkout=2024-09-07;dest_id=-1331399;dest_type=city;dist=0;group_adults=2;group_children=0;hapos=1;hpos=1;no_rooms=1;req_adults=2;req_children=0;room1=A%2CA;sb_price_type=total;soh=1;sr_order=popularity;srepoch=1719901385;srpvid=427d2ccf75b0038b;type=total;ucfs=1&amp;" TargetMode="External"/><Relationship Id="rId243" Type="http://schemas.openxmlformats.org/officeDocument/2006/relationships/hyperlink" Target="https://www.facebook.com/pages/Restaurant-lAmberic/407951182916548" TargetMode="External"/><Relationship Id="rId239" Type="http://schemas.openxmlformats.org/officeDocument/2006/relationships/hyperlink" Target="https://www.tripadvisor.fr/Restaurant_Review-g790521-d12059741-Reviews-La_Kaz-La_Plaine_des_Cafres_Arrondissement_of_Saint_Pierre.html" TargetMode="External"/><Relationship Id="rId238" Type="http://schemas.openxmlformats.org/officeDocument/2006/relationships/hyperlink" Target="https://www.facebook.com/Restaurant-la-kaz-458846967634186" TargetMode="External"/><Relationship Id="rId237" Type="http://schemas.openxmlformats.org/officeDocument/2006/relationships/hyperlink" Target="https://www.tripadvisor.fr/Restaurant_Review-g675133-d7231074-Reviews-Le_Canard_Bourbon-Le_Tampon_Arrondissement_of_Saint_Pierre.html" TargetMode="External"/><Relationship Id="rId236" Type="http://schemas.openxmlformats.org/officeDocument/2006/relationships/hyperlink" Target="https://www.facebook.com/Le-Canard-Bourbon-904580412892628/" TargetMode="External"/><Relationship Id="rId1060" Type="http://schemas.openxmlformats.org/officeDocument/2006/relationships/hyperlink" Target="https://www.instagram.com/ledimitilehotelspa/" TargetMode="External"/><Relationship Id="rId1061" Type="http://schemas.openxmlformats.org/officeDocument/2006/relationships/hyperlink" Target="https://www.facebook.com/profile.php?id=61559874247160" TargetMode="External"/><Relationship Id="rId231" Type="http://schemas.openxmlformats.org/officeDocument/2006/relationships/hyperlink" Target="https://www.facebook.com/TourneBrocheOfficiel" TargetMode="External"/><Relationship Id="rId1062" Type="http://schemas.openxmlformats.org/officeDocument/2006/relationships/hyperlink" Target="https://www.booking.com/hotel/re/magnolia.fr.html" TargetMode="External"/><Relationship Id="rId230" Type="http://schemas.openxmlformats.org/officeDocument/2006/relationships/hyperlink" Target="https://www.tripadvisor.fr/Restaurant_Review-g790521-d12804712-Reviews-Restaurant_Le_Tourne_Broche-La_Plaine_des_Cafres_Arrondissement_of_Saint_Pierre.html" TargetMode="External"/><Relationship Id="rId1063" Type="http://schemas.openxmlformats.org/officeDocument/2006/relationships/hyperlink" Target="https://www.facebook.com/profile.php?id=100068562438528" TargetMode="External"/><Relationship Id="rId1064" Type="http://schemas.openxmlformats.org/officeDocument/2006/relationships/hyperlink" Target="https://www.facebook.com/entre.deux.zi.cann" TargetMode="External"/><Relationship Id="rId1065" Type="http://schemas.openxmlformats.org/officeDocument/2006/relationships/hyperlink" Target="https://www.leboncoin.fr/ad/locations_saisonnieres/1330385421" TargetMode="External"/><Relationship Id="rId235" Type="http://schemas.openxmlformats.org/officeDocument/2006/relationships/hyperlink" Target="https://www.instagram.com/les_sens_ciel_by_gm/" TargetMode="External"/><Relationship Id="rId1066" Type="http://schemas.openxmlformats.org/officeDocument/2006/relationships/hyperlink" Target="https://www.facebook.com/reunionboutik/?locale=fr_FR" TargetMode="External"/><Relationship Id="rId234" Type="http://schemas.openxmlformats.org/officeDocument/2006/relationships/hyperlink" Target="https://www.instagram.com/levieuxbardeau/" TargetMode="External"/><Relationship Id="rId1067" Type="http://schemas.openxmlformats.org/officeDocument/2006/relationships/hyperlink" Target="https://www.airbnb.fr/rooms/741699295235127690?source_impression_id=p3_1719211855_P3HzgAhX10hw4nCG" TargetMode="External"/><Relationship Id="rId233" Type="http://schemas.openxmlformats.org/officeDocument/2006/relationships/hyperlink" Target="https://www.facebook.com/profile.php?id=100042098606707" TargetMode="External"/><Relationship Id="rId1068" Type="http://schemas.openxmlformats.org/officeDocument/2006/relationships/hyperlink" Target="https://lamaisondesremparts.fr/?fbclid=IwZXh0bgNhZW0CMTAAAR2wo1fuFLh1uSOmRozgVWpQIw-E7zC3Kl0Vu_gVbgDOSpUcYxPvHEAkdy8_aem_Nmxvbgp__b2lt1gSE8lYtA" TargetMode="External"/><Relationship Id="rId232" Type="http://schemas.openxmlformats.org/officeDocument/2006/relationships/hyperlink" Target="https://www.tripadvisor.fr/Restaurant_Review-g790521-d6429322-Reviews-Le_Vieux_Bardeau-La_Plaine_des_Cafres_Arrondissement_of_Saint_Pierre.html" TargetMode="External"/><Relationship Id="rId1069" Type="http://schemas.openxmlformats.org/officeDocument/2006/relationships/hyperlink" Target="https://www.tripadvisor.fr/Hotel_Review-g668283-d667647-Reviews-Le_Dimitile_Hotel_Spa-Entre_Deux_Arrondissement_of_Saint_Pierre.html" TargetMode="External"/><Relationship Id="rId1015" Type="http://schemas.openxmlformats.org/officeDocument/2006/relationships/hyperlink" Target="https://www.facebook.com/profile.php?id=100084209261092" TargetMode="External"/><Relationship Id="rId1016" Type="http://schemas.openxmlformats.org/officeDocument/2006/relationships/hyperlink" Target="https://www.facebook.com/LesVillasTropicales?paipv=0&amp;eav=AfbESJMVwHBEqUx7L9GX_wFBmJNod4_g4lpuo4s8VN1Yctwxn8g6d6JEgNsag0SozZA&amp;_rdr" TargetMode="External"/><Relationship Id="rId1017" Type="http://schemas.openxmlformats.org/officeDocument/2006/relationships/hyperlink" Target="https://www.facebook.com/LesVillasTropicales?paipv=0&amp;eav=AfbESJMVwHBEqUx7L9GX_wFBmJNod4_g4lpuo4s8VN1Yctwxn8g6d6JEgNsag0SozZA&amp;_rdr" TargetMode="External"/><Relationship Id="rId1018" Type="http://schemas.openxmlformats.org/officeDocument/2006/relationships/hyperlink" Target="https://www.facebook.com/leconevolcanique/?locale=fr_FR" TargetMode="External"/><Relationship Id="rId1019" Type="http://schemas.openxmlformats.org/officeDocument/2006/relationships/hyperlink" Target="https://www.facebook.com/profile.php?id=61557758137636" TargetMode="External"/><Relationship Id="rId1010" Type="http://schemas.openxmlformats.org/officeDocument/2006/relationships/hyperlink" Target="https://www.tripadvisor.fr/Hotel_Review-g667223-d2587378-Reviews-Gite_de_La_Fournaise-Bourg_Murat_Arrondissement_of_Saint_Pierre.html" TargetMode="External"/><Relationship Id="rId1011" Type="http://schemas.openxmlformats.org/officeDocument/2006/relationships/hyperlink" Target="https://www.airbnb.fr/rooms/42637483?source_impression_id=p3_1715598402_WGY1UuWxhVXFtzj1" TargetMode="External"/><Relationship Id="rId1012" Type="http://schemas.openxmlformats.org/officeDocument/2006/relationships/hyperlink" Target="https://www.facebook.com/myhomevolcan974/" TargetMode="External"/><Relationship Id="rId1013" Type="http://schemas.openxmlformats.org/officeDocument/2006/relationships/hyperlink" Target="https://www.facebook.com/Lavilladany/" TargetMode="External"/><Relationship Id="rId1014" Type="http://schemas.openxmlformats.org/officeDocument/2006/relationships/hyperlink" Target="https://www.facebook.com/TiKazTrankil" TargetMode="External"/><Relationship Id="rId1004" Type="http://schemas.openxmlformats.org/officeDocument/2006/relationships/hyperlink" Target="https://www.facebook.com/profile.php?id=100063913485839" TargetMode="External"/><Relationship Id="rId1005" Type="http://schemas.openxmlformats.org/officeDocument/2006/relationships/hyperlink" Target="https://www.airbnb.fr/rooms/1124678093321071874?source_impression_id=p3_1714629737_dPcHuLkz2AcDaIl0" TargetMode="External"/><Relationship Id="rId1006" Type="http://schemas.openxmlformats.org/officeDocument/2006/relationships/hyperlink" Target="https://www.tripadvisor.fr/Hotel_Review-g675133-d2302060-Reviews-Fleur_de_vanille-Le_Tampon_Arrondissement_of_Saint_Pierre.html" TargetMode="External"/><Relationship Id="rId1007" Type="http://schemas.openxmlformats.org/officeDocument/2006/relationships/hyperlink" Target="https://www.tripadvisor.fr/Hotel_Review-g2140646-d4453842-Reviews-Au_Domaine_du_Vacoa-Saint_Philippe_Arrondissement_of_Saint_Pierre.html" TargetMode="External"/><Relationship Id="rId1008" Type="http://schemas.openxmlformats.org/officeDocument/2006/relationships/hyperlink" Target="https://www.facebook.com/profile.php?id=100088880542215&amp;locale=fr_FR" TargetMode="External"/><Relationship Id="rId1009" Type="http://schemas.openxmlformats.org/officeDocument/2006/relationships/hyperlink" Target="https://www.tripadvisor.fr/Hotel_Review-g790521-d2199663-Reviews-L_Auberge_du_Volcan-La_Plaine_des_Cafres_Arrondissement_of_Saint_Pierre.html" TargetMode="External"/><Relationship Id="rId1000" Type="http://schemas.openxmlformats.org/officeDocument/2006/relationships/hyperlink" Target="https://www.facebook.com/vavangart" TargetMode="External"/><Relationship Id="rId1001" Type="http://schemas.openxmlformats.org/officeDocument/2006/relationships/hyperlink" Target="https://www.tripadvisor.fr/Restaurant_Review-g668283-d12621050-Reviews-Vavang_Art-Entre_Deux_Arrondissement_of_Saint_Pierre.html" TargetMode="External"/><Relationship Id="rId1002" Type="http://schemas.openxmlformats.org/officeDocument/2006/relationships/hyperlink" Target="https://www.booking.com/hotel/re/jolie-maison-de-la-plaine-des-cafres-pour-10-personnes.fr.html" TargetMode="External"/><Relationship Id="rId1003" Type="http://schemas.openxmlformats.org/officeDocument/2006/relationships/hyperlink" Target="https://www.facebook.com/profile.php?id=100063577750930" TargetMode="External"/><Relationship Id="rId1037" Type="http://schemas.openxmlformats.org/officeDocument/2006/relationships/hyperlink" Target="https://www.facebook.com/people/La-villa-vetyvers/100068731720377/" TargetMode="External"/><Relationship Id="rId1038" Type="http://schemas.openxmlformats.org/officeDocument/2006/relationships/hyperlink" Target="https://fr.airbnb.com/rooms/835301762196167732?_set_bev_on_new_domain=1717670436_MGMwNTgxMDI1ZmM2&amp;source_impression_id=p3_1717670438_P3grxcXcYdTEjUV1" TargetMode="External"/><Relationship Id="rId1039" Type="http://schemas.openxmlformats.org/officeDocument/2006/relationships/hyperlink" Target="https://www.instagram.com/vanilleetgoyavier/" TargetMode="External"/><Relationship Id="rId206" Type="http://schemas.openxmlformats.org/officeDocument/2006/relationships/hyperlink" Target="https://fr-fr.facebook.com/EvasionKreol974/" TargetMode="External"/><Relationship Id="rId205" Type="http://schemas.openxmlformats.org/officeDocument/2006/relationships/hyperlink" Target="https://www.instagram.com/canyoning_evasion_kreol/?hl=fr" TargetMode="External"/><Relationship Id="rId204" Type="http://schemas.openxmlformats.org/officeDocument/2006/relationships/hyperlink" Target="https://fr-fr.facebook.com/people/Restaurant-le-Saint-Hilaire/100063476656214/" TargetMode="External"/><Relationship Id="rId203" Type="http://schemas.openxmlformats.org/officeDocument/2006/relationships/hyperlink" Target="https://www.facebook.com/Ti-kaz-gingembre-101101125109222" TargetMode="External"/><Relationship Id="rId209" Type="http://schemas.openxmlformats.org/officeDocument/2006/relationships/hyperlink" Target="https://www.tripadvisor.fr/Hotel_Review-g675133-d16658564-Reviews-Les_jardins_de_Le_o-Le_Tampon_Arrondissement_of_Saint_Pierre.html" TargetMode="External"/><Relationship Id="rId208" Type="http://schemas.openxmlformats.org/officeDocument/2006/relationships/hyperlink" Target="https://www.facebook.com/pages/category/Restaurant/Le-Gr%C3%A9guois-294279934054834/" TargetMode="External"/><Relationship Id="rId207" Type="http://schemas.openxmlformats.org/officeDocument/2006/relationships/hyperlink" Target="https://www.tripadvisor.fr/Attraction_Review-g3442308-d5101139-Reviews-Evasion_Kreol-Bras_Panon_Arrondissement_of_Saint_Benoit.html" TargetMode="External"/><Relationship Id="rId1030" Type="http://schemas.openxmlformats.org/officeDocument/2006/relationships/hyperlink" Target="https://www.tripadvisor.fr/Restaurant_Review-g668283-d26258062-Reviews-Label_Fourchette-Entre_Deux_Arrondissement_of_Saint_Pierre.html" TargetMode="External"/><Relationship Id="rId1031" Type="http://schemas.openxmlformats.org/officeDocument/2006/relationships/hyperlink" Target="https://www.instagram.com/nana.barket/p/C3rcwcxNaAB/" TargetMode="External"/><Relationship Id="rId1032" Type="http://schemas.openxmlformats.org/officeDocument/2006/relationships/hyperlink" Target="https://www.facebook.com/rodolphe97414/?locale=fr_FR" TargetMode="External"/><Relationship Id="rId202" Type="http://schemas.openxmlformats.org/officeDocument/2006/relationships/hyperlink" Target="https://fr.tripadvisor.be/Restaurant_Review-g675133-d20300773-Reviews-El_Latino-Le_Tampon_Arrondissement_of_Saint_Pierre.html" TargetMode="External"/><Relationship Id="rId1033" Type="http://schemas.openxmlformats.org/officeDocument/2006/relationships/hyperlink" Target="https://www.facebook.com/profile.php?id=100090849732589" TargetMode="External"/><Relationship Id="rId201" Type="http://schemas.openxmlformats.org/officeDocument/2006/relationships/hyperlink" Target="https://www.facebook.com/ellatinobar" TargetMode="External"/><Relationship Id="rId1034" Type="http://schemas.openxmlformats.org/officeDocument/2006/relationships/hyperlink" Target="https://www.instagram.com/explore/locations/590325343/boulangerie-patisserie-artisanale-lentredeusienne/" TargetMode="External"/><Relationship Id="rId200" Type="http://schemas.openxmlformats.org/officeDocument/2006/relationships/hyperlink" Target="https://www.tripadvisor.fr/Restaurant_Review-g635742-d10214686-Reviews-La_Caz_a_Eva-Saint_Joseph_Arrondissement_of_Saint_Pierre.html" TargetMode="External"/><Relationship Id="rId1035" Type="http://schemas.openxmlformats.org/officeDocument/2006/relationships/hyperlink" Target="https://www.booking.com/hotel/re/la-villa-germaine-entre-mer-et-riviere.fr.html?label=New_French_FR_RE_26394819985-5KMfyMgIYi7RF9Cd6ZNX9wS217246948707%3Apl%3Ata%3Ap1%3Ap2%3Aac%3Aap%3Aneg%3Afi%3Atidsa-194594581705%3Alp9075843%3Ali%3Adec%3Adm&amp;sid=14625ccd85d49e4bbd2758c13d295105&amp;gclid=CjwKCAiAopuvBhBCEiwAm8jaMbl2mWHLLdz33FWhPytJ64zrHl2HIfmPSRLYRIhBlU6Py3uhLXdS6xoCHHUQAvD_BwE&amp;aid=318615&amp;ucfs=1&amp;arphpl=1&amp;checkin=2024-06-06&amp;checkout=2024-06-07&amp;dest_id=-1331399&amp;dest_type=city&amp;group_adults=2&amp;req_adults=2&amp;no_rooms=1&amp;group_children=0&amp;req_children=0&amp;hpos=1&amp;hapos=1&amp;sr_order=popularity&amp;srpvid=c77d4e52aa2e0451&amp;srepoch=1717499317&amp;soh=1&amp;from_sustainable_property_sr=1&amp;from=searchresults" TargetMode="External"/><Relationship Id="rId1036" Type="http://schemas.openxmlformats.org/officeDocument/2006/relationships/hyperlink" Target="https://www.booking.com/hotel/re/la-kaz-lily.fr.html" TargetMode="External"/><Relationship Id="rId1026" Type="http://schemas.openxmlformats.org/officeDocument/2006/relationships/hyperlink" Target="https://www.booking.com/hotel/re/chalet-tikaz-sandjo-entre-deux.en-gb.html" TargetMode="External"/><Relationship Id="rId1027" Type="http://schemas.openxmlformats.org/officeDocument/2006/relationships/hyperlink" Target="https://www.airbnb.fr/rooms/1036876481552456171?source_impression_id=p3_1716959523_FzL8ri93T5UNX6Uf" TargetMode="External"/><Relationship Id="rId1028" Type="http://schemas.openxmlformats.org/officeDocument/2006/relationships/hyperlink" Target="https://www.booking.com/hotel/re/mon-chez-moi.fr.html" TargetMode="External"/><Relationship Id="rId1029" Type="http://schemas.openxmlformats.org/officeDocument/2006/relationships/hyperlink" Target="https://www.leboncoin.fr/ad/locations_saisonnieres/2433112343" TargetMode="External"/><Relationship Id="rId1020" Type="http://schemas.openxmlformats.org/officeDocument/2006/relationships/hyperlink" Target="https://www.booking.com/hotel/re/vanille-amp-goyavier.fr.html" TargetMode="External"/><Relationship Id="rId1021" Type="http://schemas.openxmlformats.org/officeDocument/2006/relationships/hyperlink" Target="https://www.tripadvisor.fr/Restaurant_Review-g668283-d15196026-Reviews-Entre_Deux_Delices-Entre_Deux_Arrondissement_of_Saint_Pierre.html" TargetMode="External"/><Relationship Id="rId1022" Type="http://schemas.openxmlformats.org/officeDocument/2006/relationships/hyperlink" Target="https://www.facebook.com/profile.php?id=100063043219181" TargetMode="External"/><Relationship Id="rId1023" Type="http://schemas.openxmlformats.org/officeDocument/2006/relationships/hyperlink" Target="https://www.instagram.com/aar_reunion/" TargetMode="External"/><Relationship Id="rId1024" Type="http://schemas.openxmlformats.org/officeDocument/2006/relationships/hyperlink" Target="https://www.facebook.com/Margoz974" TargetMode="External"/><Relationship Id="rId1025" Type="http://schemas.openxmlformats.org/officeDocument/2006/relationships/hyperlink" Target="https://fr.airbnb.be/rooms/1120180119513019259?source_impression_id=p3_1716892292_VAYEWkoe6owrysuO" TargetMode="External"/><Relationship Id="rId1090" Type="http://schemas.openxmlformats.org/officeDocument/2006/relationships/hyperlink" Target="https://www.airbnb.fr/rooms/1183927821534640531?source_impression_id=p3_1721194263_P3T7CsfOJXiAq7p5" TargetMode="External"/><Relationship Id="rId1091" Type="http://schemas.openxmlformats.org/officeDocument/2006/relationships/hyperlink" Target="https://www.leboncoin.fr/ad/locations_saisonnieres/2759275160" TargetMode="External"/><Relationship Id="rId1092" Type="http://schemas.openxmlformats.org/officeDocument/2006/relationships/hyperlink" Target="https://www.instagram.com/prenez_soin_de_vous_by_cg/" TargetMode="External"/><Relationship Id="rId1093" Type="http://schemas.openxmlformats.org/officeDocument/2006/relationships/hyperlink" Target="https://www.facebook.com/christelle974.dlgworld.info" TargetMode="External"/><Relationship Id="rId1094" Type="http://schemas.openxmlformats.org/officeDocument/2006/relationships/hyperlink" Target="https://www.facebook.com/profile.php?id=61562872794015" TargetMode="External"/><Relationship Id="rId1095" Type="http://schemas.openxmlformats.org/officeDocument/2006/relationships/hyperlink" Target="https://www.abritel.fr/location-vacances/p2432772?dateless=true&amp;x_pwa=1&amp;rfrr=HSR&amp;pwa_ts=1721385736311&amp;referrerUrl=aHR0cHM6Ly93d3cuYWJyaXRlbC5mci9Ib3RlbC1TZWFyY2g%3D&amp;useRewards=true&amp;adults=2&amp;regionId=553248624408265275&amp;destination=Lieu-dit+Trois+Mares%2C+Le+Tampon%2C+Arrondissement+of+Saint-Pierre%2C+La+R%C3%A9union&amp;destType=BOUNDING_BOX&amp;neighborhoodId=553248624408265275&amp;latLong=-21.25368%2C55.49267&amp;privacyTrackingState=CAN_TRACK&amp;searchId=40564517-b409-42b5-b0d2-7a4f4529531b&amp;sort=RECOMMENDED&amp;userIntent=&amp;expediaPropertyId=106405339" TargetMode="External"/><Relationship Id="rId1096" Type="http://schemas.openxmlformats.org/officeDocument/2006/relationships/hyperlink" Target="https://www.booking.com/hotel/re/villa-volcan.fr.html" TargetMode="External"/><Relationship Id="rId1097" Type="http://schemas.openxmlformats.org/officeDocument/2006/relationships/hyperlink" Target="https://www.facebook.com/villavolcanreunion/?locale=fr_FR" TargetMode="External"/><Relationship Id="rId1098" Type="http://schemas.openxmlformats.org/officeDocument/2006/relationships/hyperlink" Target="https://www.instagram.com/cote.volcan/" TargetMode="External"/><Relationship Id="rId1099" Type="http://schemas.openxmlformats.org/officeDocument/2006/relationships/hyperlink" Target="https://www.facebook.com/choubidouxkreation" TargetMode="External"/><Relationship Id="rId1080" Type="http://schemas.openxmlformats.org/officeDocument/2006/relationships/hyperlink" Target="https://www.airbnb.fr/rooms/33214217?source_impression_id=p3_1719918199_P3Enn0zAPbZ4-PjC" TargetMode="External"/><Relationship Id="rId1081" Type="http://schemas.openxmlformats.org/officeDocument/2006/relationships/hyperlink" Target="https://www.booking.com/hotel/re/case-taapuna.fr.html" TargetMode="External"/><Relationship Id="rId1082" Type="http://schemas.openxmlformats.org/officeDocument/2006/relationships/hyperlink" Target="https://www.booking.com/hotel/re/les-irish-du-bois-noir-la-prairie.fr.html" TargetMode="External"/><Relationship Id="rId1083" Type="http://schemas.openxmlformats.org/officeDocument/2006/relationships/hyperlink" Target="https://www.facebook.com/profile.php?id=100057433090245" TargetMode="External"/><Relationship Id="rId1084" Type="http://schemas.openxmlformats.org/officeDocument/2006/relationships/hyperlink" Target="https://www.tripadvisor.fr/Restaurant_Review-g790521-d7620355-Reviews-Resto_Self_la_Fournaise-La_Plaine_des_Cafres_Arrondissement_of_Saint_Pierre.html" TargetMode="External"/><Relationship Id="rId1085" Type="http://schemas.openxmlformats.org/officeDocument/2006/relationships/hyperlink" Target="https://www.facebook.com/profile.php?id=100067198208853" TargetMode="External"/><Relationship Id="rId1086" Type="http://schemas.openxmlformats.org/officeDocument/2006/relationships/hyperlink" Target="https://www.facebook.com/profile.php?id=100014781817209" TargetMode="External"/><Relationship Id="rId1087" Type="http://schemas.openxmlformats.org/officeDocument/2006/relationships/hyperlink" Target="https://www.airbnb.fr/rooms/1185822324787710430?adults=1&amp;category_tag=Tag%3A8678&amp;children=0&amp;enable_m3_private_room=true&amp;infants=0&amp;pets=0&amp;photo_id=1937384521&amp;search_mode=regular_search&amp;check_in=2024-07-21&amp;check_out=2024-07-26&amp;source_impression_id=p3_1721108809_P3M540WM9vbnXiRS&amp;previous_page_section_name=1000&amp;federated_search_id=03133598-3862-4e30-b776-ae867d6a1f79" TargetMode="External"/><Relationship Id="rId1088" Type="http://schemas.openxmlformats.org/officeDocument/2006/relationships/hyperlink" Target="https://www.airbnb.fr/rooms/54137720?source_impression_id=p3_1721110255_P3uKBswNwGdPcgse" TargetMode="External"/><Relationship Id="rId1089" Type="http://schemas.openxmlformats.org/officeDocument/2006/relationships/hyperlink" Target="https://www.airbnb.fr/rooms/740395449879303481?source_impression_id=p3_1721110283_P3rfhitIln7tyca3" TargetMode="External"/><Relationship Id="rId509" Type="http://schemas.openxmlformats.org/officeDocument/2006/relationships/hyperlink" Target="https://www.instagram.com/laterrassepei/" TargetMode="External"/><Relationship Id="rId508" Type="http://schemas.openxmlformats.org/officeDocument/2006/relationships/hyperlink" Target="https://www.booking.com/hotel/re/ouverture-la-terrasse-pei.fr.html" TargetMode="External"/><Relationship Id="rId503" Type="http://schemas.openxmlformats.org/officeDocument/2006/relationships/hyperlink" Target="https://www.facebook.com/kahema974" TargetMode="External"/><Relationship Id="rId502" Type="http://schemas.openxmlformats.org/officeDocument/2006/relationships/hyperlink" Target="https://www.booking.com/hotel/re/ka-hema.fr.html?age=6&amp;aid=337862&amp;app_hotel_id=8888839&amp;checkin=2022-09-22&amp;checkout=2022-09-25&amp;from_sn=android&amp;group_adults=4&amp;group_children=1&amp;label=Share-YR4Ha6%401662977979&amp;no_rooms=1&amp;req_adults=4&amp;req_age=6&amp;req_children=1&amp;room1=A%2CA%2CA%2CA%2C6" TargetMode="External"/><Relationship Id="rId501" Type="http://schemas.openxmlformats.org/officeDocument/2006/relationships/hyperlink" Target="https://www.airbnb.fr/rooms/662743092826027667?check_out=2023-01-08&amp;children=1&amp;check_in=2023-01-02&amp;adults=5&amp;guests=6&amp;s=42&amp;unique_share_id=bfc53280-d64b-444e-9302-780feec6e60f&amp;_branch_match_id=1121380517906973837&amp;_branch_referrer=H4sIAAAAAAAAA8soKSkottLXT0zKS9LLTdUPDsss9zBwcUwvSQIAfING1xsAAAA%3D&amp;source_impression_id=p3_1670225105_xhEKhVAMJY%2FXgif%2B" TargetMode="External"/><Relationship Id="rId500" Type="http://schemas.openxmlformats.org/officeDocument/2006/relationships/hyperlink" Target="https://www.abritel.fr/location-vacances/p663710?arrival=2023-01-16&amp;departure=2023-01-22&amp;uni_id=663710" TargetMode="External"/><Relationship Id="rId507" Type="http://schemas.openxmlformats.org/officeDocument/2006/relationships/hyperlink" Target="https://www.facebook.com/profile.php?id=100087578979542" TargetMode="External"/><Relationship Id="rId506" Type="http://schemas.openxmlformats.org/officeDocument/2006/relationships/hyperlink" Target="https://www.leboncoin.fr/profil/ea54e055-45e9-4cd7-9c62-da88eff046ed" TargetMode="External"/><Relationship Id="rId505" Type="http://schemas.openxmlformats.org/officeDocument/2006/relationships/hyperlink" Target="https://fr.airbnb.com/rooms/723875649607882601?_set_bev_on_new_domain=1663222967_NDA0ZDMxMjE4MjUw&amp;source_impression_id=p3_1670819076_6MCK0xqrHSYWg1Ll" TargetMode="External"/><Relationship Id="rId504" Type="http://schemas.openxmlformats.org/officeDocument/2006/relationships/hyperlink" Target="https://www.instagram.com/terre_et_feu_creation/" TargetMode="External"/><Relationship Id="rId1114" Type="http://schemas.openxmlformats.org/officeDocument/2006/relationships/hyperlink" Target="https://www.airbnb.fr/users/show/94349458" TargetMode="External"/><Relationship Id="rId1115" Type="http://schemas.openxmlformats.org/officeDocument/2006/relationships/hyperlink" Target="https://www.tripadvisor.fr/VacationRentalReview-g2140646-d4507737-Dan_n_Tan_Lontan_Kaz_Fleurs-Saint_Philippe_Arrondissement_of_Saint_Pierre.html" TargetMode="External"/><Relationship Id="rId1116" Type="http://schemas.openxmlformats.org/officeDocument/2006/relationships/hyperlink" Target="https://www.facebook.com/danntanlontan/?locale=fr_FR" TargetMode="External"/><Relationship Id="rId1117" Type="http://schemas.openxmlformats.org/officeDocument/2006/relationships/hyperlink" Target="https://www.booking.com/hotel/re/damaniel-ze-detente-jacuzzi.fr.html" TargetMode="External"/><Relationship Id="rId1118" Type="http://schemas.openxmlformats.org/officeDocument/2006/relationships/hyperlink" Target="https://www.facebook.com/profile.php?id=61552770452652" TargetMode="External"/><Relationship Id="rId1119" Type="http://schemas.openxmlformats.org/officeDocument/2006/relationships/hyperlink" Target="https://fr.airbnb.com/rooms/1006314759318185428?_set_bev_on_new_domain=1663222967_NDA0ZDMxMjE4MjUw&amp;source_impression_id=p3_1724826165_P3tmo4B6n1W7O7mO" TargetMode="External"/><Relationship Id="rId525" Type="http://schemas.openxmlformats.org/officeDocument/2006/relationships/hyperlink" Target="https://www.booking.com/hotel/re/les-cormorans-studio-corail.fr.html?aid=318615&amp;label=New_French_FR_RE_26394819985-5KMfyMgIYi7RF9Cd6ZNX9wS217246948707%3Apl%3Ata%3Ap1%3Ap2%3Aac%3Aap%3Aneg%3Afi%3Atidsa-194594581705%3Alp9075843%3Ali%3Adec%3Adm&amp;sid=ab4a5d80bbdc9cc28e85f449874713d0&amp;dest_id=-1331399;dest_type=city;dist=0;group_adults=2;group_children=0;hapos=1;hpos=1;no_rooms=1;req_adults=2;req_children=0;room1=A%2CA;sb_price_type=total;sr_order=popularity;srepoch=1672998673;srpvid=b2834548ad4d00f4;type=total;ucfs=1&amp;" TargetMode="External"/><Relationship Id="rId524" Type="http://schemas.openxmlformats.org/officeDocument/2006/relationships/hyperlink" Target="https://www.facebook.com/marie.nadege.1656" TargetMode="External"/><Relationship Id="rId523" Type="http://schemas.openxmlformats.org/officeDocument/2006/relationships/hyperlink" Target="https://www.facebook.com/profile.php?id=100083432316738" TargetMode="External"/><Relationship Id="rId522" Type="http://schemas.openxmlformats.org/officeDocument/2006/relationships/hyperlink" Target="https://fr.airbnb.be/rooms/638822747696448483?source_impression_id=p3_1672740155_jRgiJKWf8B7Bwox%2B" TargetMode="External"/><Relationship Id="rId529" Type="http://schemas.openxmlformats.org/officeDocument/2006/relationships/hyperlink" Target="https://www.booking.com/hotel/re/ty-lodge-la-reunion.fr.html" TargetMode="External"/><Relationship Id="rId528" Type="http://schemas.openxmlformats.org/officeDocument/2006/relationships/hyperlink" Target="https://www.facebook.com/profile.php?id=100083029245793" TargetMode="External"/><Relationship Id="rId527" Type="http://schemas.openxmlformats.org/officeDocument/2006/relationships/hyperlink" Target="https://www.facebook.com/GiteDesCormoransManapanyLesBains" TargetMode="External"/><Relationship Id="rId526" Type="http://schemas.openxmlformats.org/officeDocument/2006/relationships/hyperlink" Target="https://www.airbnb.fr/rooms/5971221?adults=1&amp;children=0&amp;infants=0&amp;check_in=2023-01-14&amp;check_out=2023-01-20&amp;source_impression_id=p3_1672998732_0CceFbE6sqszXisO" TargetMode="External"/><Relationship Id="rId521" Type="http://schemas.openxmlformats.org/officeDocument/2006/relationships/hyperlink" Target="https://www.leboncoin.fr/offre/locations_gites/2166377314" TargetMode="External"/><Relationship Id="rId1110" Type="http://schemas.openxmlformats.org/officeDocument/2006/relationships/hyperlink" Target="https://www.instagram.com/heritage.ecolodge/" TargetMode="External"/><Relationship Id="rId520" Type="http://schemas.openxmlformats.org/officeDocument/2006/relationships/hyperlink" Target="https://www.booking.com/hotel/re/le-liseron-creole-entre-terre-mer-et-riviere.fr.html" TargetMode="External"/><Relationship Id="rId1111" Type="http://schemas.openxmlformats.org/officeDocument/2006/relationships/hyperlink" Target="https://www.booking.com/hotel/re/le-lodge-bel-air.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24049113;srpvid=3ca62dc296980179;type=total;ucfs=1&amp;" TargetMode="External"/><Relationship Id="rId1112" Type="http://schemas.openxmlformats.org/officeDocument/2006/relationships/hyperlink" Target="https://www.airbnb.fr/rooms/1151126560066702087?adults=1&amp;children=0&amp;enable_m3_private_room=true&amp;infants=0&amp;pets=0&amp;search_mode=regular_search&amp;check_in=2024-08-19&amp;check_out=2024-08-24&amp;source_impression_id=p3_1724049392_P38ctB6ITiNyHPs5&amp;previous_page_section_name=1000&amp;federated_search_id=3f7fb842-0b61-41f9-b914-7b6e3ea2d0cd" TargetMode="External"/><Relationship Id="rId1113" Type="http://schemas.openxmlformats.org/officeDocument/2006/relationships/hyperlink" Target="https://www.facebook.com/soignerparlesplanteskakoukdevoile/?locale=fr_FR" TargetMode="External"/><Relationship Id="rId1103" Type="http://schemas.openxmlformats.org/officeDocument/2006/relationships/hyperlink" Target="https://www.tripadvisor.fr/Restaurant_Review-g675133-d17660062-Reviews-Ferme_Lebon_Papillon-Le_Tampon_Arrondissement_of_Saint_Pierre.html" TargetMode="External"/><Relationship Id="rId1104" Type="http://schemas.openxmlformats.org/officeDocument/2006/relationships/hyperlink" Target="https://www.booking.com/hotel/re/la-roulotte-le-tampon.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22943415;srpvid=725b50130f8f06f2;type=total;ucfs=1&amp;" TargetMode="External"/><Relationship Id="rId1105" Type="http://schemas.openxmlformats.org/officeDocument/2006/relationships/hyperlink" Target="https://www.tripadvisor.fr/Restaurant_Review-g675133-d17660062-Reviews-Ferme_Lebon_Papillon-Le_Tampon_Arrondissement_of_Saint_Pierre.html" TargetMode="External"/><Relationship Id="rId1106" Type="http://schemas.openxmlformats.org/officeDocument/2006/relationships/hyperlink" Target="https://www.instagram.com/les_mains_dadrienne?fbclid=IwY2xjawEhR8JleHRuA2FlbQIxMAABHRGGG_CncEHgv6nW6idQEBOuXvXZLSsBe7XT_DknNCruBDZeOmmXc59llQ_aem_7NnXKs7XH5p6OU1M8eiirA" TargetMode="External"/><Relationship Id="rId1107" Type="http://schemas.openxmlformats.org/officeDocument/2006/relationships/hyperlink" Target="https://www.facebook.com/lesmainsdadrienne/" TargetMode="External"/><Relationship Id="rId1108" Type="http://schemas.openxmlformats.org/officeDocument/2006/relationships/hyperlink" Target="https://www.booking.com/hotel/re/chez-ti-karl.fr.html" TargetMode="External"/><Relationship Id="rId1109" Type="http://schemas.openxmlformats.org/officeDocument/2006/relationships/hyperlink" Target="https://www.booking.com/hotel/re/o-palmiers-511.fr.html?aid=356980&amp;label=gog235jc-1FCAsovwFCDm8tcGFsbWllcnMtNTExSA1YA2i_AYgBAZgBDbgBF8gBDNgBAegBAfgBAogCAagCA7gCw_LxtQbAAgHSAiRkNTM1ODBmMC1kNDIxLTQ0YjQtYjJiZC0wZjJkOTI3M2I3ODPYAgXgAgE&amp;sid=ba4e4e680180124b9e08f6acfb274803&amp;checkin=2024-08-16&amp;checkout=2024-08-18&amp;dest_id=-1331399&amp;dest_type=city&amp;dist=0&amp;group_adults=2&amp;group_children=0&amp;hapos=1&amp;hpos=1&amp;no_rooms=1&amp;req_adults=2&amp;req_children=0&amp;room1=A%2CA&amp;sb_price_type=total&amp;soh=1&amp;sr_order=popularity&amp;srepoch=1723627854&amp;srpvid=bbff42e2248c022c&amp;type=total&amp;ucfs=1&amp;activeTab=main" TargetMode="External"/><Relationship Id="rId519" Type="http://schemas.openxmlformats.org/officeDocument/2006/relationships/hyperlink" Target="https://www.instagram.com/sudhotel974/" TargetMode="External"/><Relationship Id="rId514" Type="http://schemas.openxmlformats.org/officeDocument/2006/relationships/hyperlink" Target="https://www.facebook.com/profile.php?id=100087202017835" TargetMode="External"/><Relationship Id="rId513" Type="http://schemas.openxmlformats.org/officeDocument/2006/relationships/hyperlink" Target="https://www.booking.com/hotel/re/villa-de-3-chambres-avec-piscine-privee-jardin-clos-et-wifi-a-saint-joseph.fr.html?aid=816135&amp;room1=A%2CA%2CA%2CA&amp;sid=2b89d1ce7aa826b6638f6e1425e7cd8e&amp;dist=0&amp;atlas_src=sr_iw_btn&amp;type=total&amp;group_children=0&amp;ucfs=1&amp;group_adults=4&amp;sb_price_type=total&amp;checkin=2023-01-25&amp;dest_id=-1331399&amp;checkout=2023-01-31&amp;label=saint-joseph-H5JtHKebugKSHg3pyBiJZgS626025034986%3Apl%3Ata%3Ap1%3Ap2%3Aac%3Aap%3Aneg%3Afi%3Atikwd-1209196034343%3Alp9075843%3Ali%3Adec%3Adm&amp;no_rooms=1&amp;dest_type=city" TargetMode="External"/><Relationship Id="rId512" Type="http://schemas.openxmlformats.org/officeDocument/2006/relationships/hyperlink" Target="http://airbnb.fr/rooms/35746173?adults=1&amp;children=0&amp;infants=0&amp;check_in=2023-01-03&amp;check_out=2023-01-10&amp;source_impression_id=p3_1671441690_eCo2NW6Kzm6PG3IE" TargetMode="External"/><Relationship Id="rId511" Type="http://schemas.openxmlformats.org/officeDocument/2006/relationships/hyperlink" Target="https://www.facebook.com/SudBungalow/" TargetMode="External"/><Relationship Id="rId518" Type="http://schemas.openxmlformats.org/officeDocument/2006/relationships/hyperlink" Target="https://www.instagram.com/clarisse.littleyogini/?igshid=ZDdkNTZiNTM" TargetMode="External"/><Relationship Id="rId517" Type="http://schemas.openxmlformats.org/officeDocument/2006/relationships/hyperlink" Target="https://www.facebook.com/clarisse.littleyogini" TargetMode="External"/><Relationship Id="rId516" Type="http://schemas.openxmlformats.org/officeDocument/2006/relationships/hyperlink" Target="https://www.instagram.com/le_monde_d_elsa_et_fred/" TargetMode="External"/><Relationship Id="rId515" Type="http://schemas.openxmlformats.org/officeDocument/2006/relationships/hyperlink" Target="https://www.airbnb.fr/rooms/699449512033310780?source_impression_id=p3_1671774771_OwBA2SJ3dTeFXBvc" TargetMode="External"/><Relationship Id="rId510" Type="http://schemas.openxmlformats.org/officeDocument/2006/relationships/hyperlink" Target="https://fr.airbnb.com/rooms/750496980651506946?_set_bev_on_new_domain=1663222967_NDA0ZDMxMjE4MjUw&amp;source_impression_id=p3_1671432217_RwDtYkZQAT2ssTE0" TargetMode="External"/><Relationship Id="rId1100" Type="http://schemas.openxmlformats.org/officeDocument/2006/relationships/hyperlink" Target="https://www.airbnb.fr/rooms/53780545?guests=1&amp;adults=1&amp;s=67&amp;unique_share_id=c8884321-eba4-4b53-8848-f8c67eb27b0c&amp;source_impression_id=p3_1722410973_P3KimswrLzPPJsk-" TargetMode="External"/><Relationship Id="rId1101" Type="http://schemas.openxmlformats.org/officeDocument/2006/relationships/hyperlink" Target="https://www.facebook.com/profile.php?id=61559497793818" TargetMode="External"/><Relationship Id="rId1102" Type="http://schemas.openxmlformats.org/officeDocument/2006/relationships/hyperlink" Target="https://www.booking.com/hotel/re/ferme-lebon-papillon.fr.html?aid=318615&amp;label=New_French_FR_RE_26394819985-5KMfyMgIYi7RF9Cd6ZNX9wS217246948707%3Apl%3Ata%3Ap1%3Ap2%3Aac%3Aap%3Aneg%3Afi%3Atidsa-194594581705%3Alp9075843%3Ali%3Adec%3Adm&amp;sid=f2db896984a0049b10289cc46ffd39ce&amp;dest_id=-1331043;dest_type=city;dist=0;group_adults=2;group_children=0;hapos=1;hpos=1;no_rooms=1;req_adults=2;req_children=0;room1=A%2CA;sb_price_type=total;sr_order=popularity;srepoch=1722941946;srpvid=44714d1964360072;type=total;ucfs=1&amp;" TargetMode="External"/><Relationship Id="rId590" Type="http://schemas.openxmlformats.org/officeDocument/2006/relationships/hyperlink" Target="https://www.booking.com/hotel/re/vel-hauts-run.fr.html?sr_order=popularity&amp;dest_id=174&amp;group_children=0&amp;type=total&amp;dist=0&amp;no_rooms=1&amp;hapos=1&amp;sid=4ff373d5aed3b2145a891a27680657e6&amp;ucfs=1&amp;dest_type=country&amp;req_adults=2&amp;req_children=0&amp;srepoch=1648823374&amp;srpvid=8e9965e6152e00b9&amp;group_adults=2&amp;hpos=1&amp;room1=A%2CA&amp;label=gen173nr-1FCAEoggI46AdIM1gEaL8BiAEBmAENuAEYyAEM2AEB6AEB-AELiAIBqAIEuAKrmJySBsACAdICJDgyMTZhODYzLWJkYTMtNGVmMS1iODA3LTE4N2QwZTA3ZmEyNNgCBuACAQ&amp;aid=304142&amp;sb_price_type=total&amp;activeTab=main" TargetMode="External"/><Relationship Id="rId589" Type="http://schemas.openxmlformats.org/officeDocument/2006/relationships/hyperlink" Target="https://www.leboncoin.fr/locations_gites/2138061425.htm" TargetMode="External"/><Relationship Id="rId588" Type="http://schemas.openxmlformats.org/officeDocument/2006/relationships/hyperlink" Target="https://www.facebook.com/velhautsrun" TargetMode="External"/><Relationship Id="rId1170" Type="http://schemas.openxmlformats.org/officeDocument/2006/relationships/hyperlink" Target="https://www.instagram.com/maisonducurcuma/" TargetMode="External"/><Relationship Id="rId1171" Type="http://schemas.openxmlformats.org/officeDocument/2006/relationships/hyperlink" Target="https://www.facebook.com/cuisinepei974/?locale=fr_FR" TargetMode="External"/><Relationship Id="rId583" Type="http://schemas.openxmlformats.org/officeDocument/2006/relationships/hyperlink" Target="https://www.facebook.com/profile.php?id=100089650550962" TargetMode="External"/><Relationship Id="rId1172" Type="http://schemas.openxmlformats.org/officeDocument/2006/relationships/hyperlink" Target="https://www.facebook.com/profile.php?id=100084892642923" TargetMode="External"/><Relationship Id="rId582" Type="http://schemas.openxmlformats.org/officeDocument/2006/relationships/hyperlink" Target="https://www.instagram.com/latabledelvina/?fbclid=IwAR2wGH77OOtbuhC1-rwilkWTGCGkzphMnfl6yZ3V8h64xiiirpJNI-tWrzU" TargetMode="External"/><Relationship Id="rId1173" Type="http://schemas.openxmlformats.org/officeDocument/2006/relationships/hyperlink" Target="https://www.instagram.com/synergiesdamandine/" TargetMode="External"/><Relationship Id="rId581" Type="http://schemas.openxmlformats.org/officeDocument/2006/relationships/hyperlink" Target="https://www.booking.com/hotel/re/manapescale.fr.html?sb_price_type=total&amp;type=total&amp;fbclid=IwAR21NXXk25GIVT0dkcC2y7zCT9g8t3ObxD_gK2eYN4hpT6vt9UY_wq4LUSY&amp;label=gen173nr-1DCAsovwFCC21hbmFwZXNjYWxlSA1YBGi_AYgBAZgBDbgBGMgBD9gBA-gBAfgBA4gCAagCBLgC28v1nQbAAgHSAiQxYTc5MTVmOS0wMzZkLTQ2ZDQtYjg5YS1iM2FhZTkwZDQyZDLYAgTgAgE&amp;dist=0&amp;=&amp;sid=303a5ae962da920815b9c2559aa1a29e&amp;keep_landing=1" TargetMode="External"/><Relationship Id="rId1174" Type="http://schemas.openxmlformats.org/officeDocument/2006/relationships/hyperlink" Target="https://www.facebook.com/profile.php?id=61552557241060" TargetMode="External"/><Relationship Id="rId580" Type="http://schemas.openxmlformats.org/officeDocument/2006/relationships/hyperlink" Target="https://www.facebook.com/manapescale" TargetMode="External"/><Relationship Id="rId1175" Type="http://schemas.openxmlformats.org/officeDocument/2006/relationships/hyperlink" Target="https://www.tiktok.com/@auditmaximone?fbclid=IwZXh0bgNhZW0CMTAAAR0pJpWVSXjsQYyub6I2dW2ZigNkcHrylSM4ujsQ_LLY1DjHCkrRXcg5VRU_aem_oFlVEgELYrRJD1tmhvSE_g" TargetMode="External"/><Relationship Id="rId587" Type="http://schemas.openxmlformats.org/officeDocument/2006/relationships/hyperlink" Target="https://www.facebook.com/villaote" TargetMode="External"/><Relationship Id="rId1176" Type="http://schemas.openxmlformats.org/officeDocument/2006/relationships/hyperlink" Target="https://www.tiktok.com/@tinat_pepiniere_reunion" TargetMode="External"/><Relationship Id="rId586" Type="http://schemas.openxmlformats.org/officeDocument/2006/relationships/hyperlink" Target="https://www.instagram.com/villa_ote/" TargetMode="External"/><Relationship Id="rId1177" Type="http://schemas.openxmlformats.org/officeDocument/2006/relationships/hyperlink" Target="https://www.facebook.com/TiNAT.Bio" TargetMode="External"/><Relationship Id="rId585" Type="http://schemas.openxmlformats.org/officeDocument/2006/relationships/hyperlink" Target="https://www.facebook.com/lamaisondeshotesreunion" TargetMode="External"/><Relationship Id="rId1178" Type="http://schemas.openxmlformats.org/officeDocument/2006/relationships/hyperlink" Target="https://www.instagram.com/tinat_pepiniere_endemique_974" TargetMode="External"/><Relationship Id="rId584" Type="http://schemas.openxmlformats.org/officeDocument/2006/relationships/hyperlink" Target="https://www.instagram.com/lacaseanona/?igshid=YmMyMTA2M2Y%3D" TargetMode="External"/><Relationship Id="rId1179" Type="http://schemas.openxmlformats.org/officeDocument/2006/relationships/hyperlink" Target="https://fr.airbnb.be/rooms/1273828125308409393?source_impression_id=p3_1735877403_P3iQgBHCzBWIkYrn" TargetMode="External"/><Relationship Id="rId1169" Type="http://schemas.openxmlformats.org/officeDocument/2006/relationships/hyperlink" Target="https://www.facebook.com/profile.php?id=100072520896038" TargetMode="External"/><Relationship Id="rId579" Type="http://schemas.openxmlformats.org/officeDocument/2006/relationships/hyperlink" Target="https://www.facebook.com/canyonaventure974" TargetMode="External"/><Relationship Id="rId578" Type="http://schemas.openxmlformats.org/officeDocument/2006/relationships/hyperlink" Target="https://www.instagram.com/canyonaventure/" TargetMode="External"/><Relationship Id="rId577" Type="http://schemas.openxmlformats.org/officeDocument/2006/relationships/hyperlink" Target="https://www.facebook.com/people/Blue-Papangue/100077399511199/?hc_ref=ARThQGIRg2jReSOFwXjePgr5PDQDypG0H9tQXkCRtWhjCkJqyqu_vGTb4H3zYBLZ7H8&amp;fref=nf&amp;__xts__%5B0%5D=68.ARB_PQsPEQDbS06IOeHRuOr26RZ0xtPgg1ZJUcGzYb91ZUSVORm0heJc9ye4CiMwYI_g4G8QAn_0Ul9J_XsqnObrZPP3mbBT00nCnAB3IjHprlUQGwg2hPJ3COxoCXePY3AcqJN-gko2v9aDwSvU8cAsKwCo8WMfaWbjzMAfxTRaxlSFulnnXiUPivsYXboBQSkyXVKLLLpIE7pChomPncEa0Gq7qfxEQNHcBRGfDEgtU5NVNU70OakxVuBVyQ6ciwvLTLOhfMGj2JA6SkvbAlH9N8RmS3mOxA27aoCuWgQX5D6i8a8" TargetMode="External"/><Relationship Id="rId1160" Type="http://schemas.openxmlformats.org/officeDocument/2006/relationships/hyperlink" Target="https://www.airbnb.fr/rooms/1282591804198314160?guests=1&amp;adults=1&amp;s=13&amp;unique_share_id=6886986a-d7e3-444f-9d09-1f0813611a11&amp;source_impression_id=p3_1732181530_P3jK5vgh7PDyzCGK" TargetMode="External"/><Relationship Id="rId572" Type="http://schemas.openxmlformats.org/officeDocument/2006/relationships/hyperlink" Target="https://www.leboncoin.fr/offre/locations_gites/2310696768" TargetMode="External"/><Relationship Id="rId1161" Type="http://schemas.openxmlformats.org/officeDocument/2006/relationships/hyperlink" Target="https://www.airbnb.fr/rooms/40969477?source_impression_id=p3_1732599735_P3RWfifQ96W6_hGA" TargetMode="External"/><Relationship Id="rId571" Type="http://schemas.openxmlformats.org/officeDocument/2006/relationships/hyperlink" Target="https://www.facebook.com/TikazSauvage" TargetMode="External"/><Relationship Id="rId1162" Type="http://schemas.openxmlformats.org/officeDocument/2006/relationships/hyperlink" Target="https://www.facebook.com/profile.php?id=100088677273944" TargetMode="External"/><Relationship Id="rId570" Type="http://schemas.openxmlformats.org/officeDocument/2006/relationships/hyperlink" Target="https://www.abritel.fr/location-vacances/p2169749" TargetMode="External"/><Relationship Id="rId1163" Type="http://schemas.openxmlformats.org/officeDocument/2006/relationships/hyperlink" Target="https://www.abritel.fr/location-vacances/p1877696?chkin=2025-2-4&amp;chkout=2025-2-7&amp;rm1=a2&amp;searchId=31431c29-fc52-4d24-9394-8952d8ee44c2" TargetMode="External"/><Relationship Id="rId1164" Type="http://schemas.openxmlformats.org/officeDocument/2006/relationships/hyperlink" Target="https://www.airbnb.fr/rooms/835420580275009276?source_impression_id=p3_1732605975_P3QdbuRyPSpMVtbc" TargetMode="External"/><Relationship Id="rId576" Type="http://schemas.openxmlformats.org/officeDocument/2006/relationships/hyperlink" Target="https://www.leboncoin.fr/offre/locations_gites/2276232500" TargetMode="External"/><Relationship Id="rId1165" Type="http://schemas.openxmlformats.org/officeDocument/2006/relationships/hyperlink" Target="https://www.tripadvisor.com/Hotel_Review-g790521-d1910333-Reviews-Le_Millepertuis-La_Plaine_des_Cafres_Arrondissement_of_Saint_Pierre.html" TargetMode="External"/><Relationship Id="rId575" Type="http://schemas.openxmlformats.org/officeDocument/2006/relationships/hyperlink" Target="https://www.facebook.com/people/D%C3%A9couvertes-en-Terres-Sign%C3%A9es/100083149067871/" TargetMode="External"/><Relationship Id="rId1166" Type="http://schemas.openxmlformats.org/officeDocument/2006/relationships/hyperlink" Target="https://www.facebook.com/people/Coeur-de-caf%C3%A9/100035478081570/?sk=photos&amp;locale=fr_FR" TargetMode="External"/><Relationship Id="rId574" Type="http://schemas.openxmlformats.org/officeDocument/2006/relationships/hyperlink" Target="https://fr.airbnb.com/rooms/44726147?_set_bev_on_new_domain=1633606169_N2U5MTg1OTAzYTNj&amp;source_impression_id=p3_1678429877_WIHhtq6QfKY1WQAP" TargetMode="External"/><Relationship Id="rId1167" Type="http://schemas.openxmlformats.org/officeDocument/2006/relationships/hyperlink" Target="https://www.airbnb.fr/rooms/1291700740845563053?guests=1&amp;adults=1&amp;s=67&amp;unique_share_id=4bba42e8-eb7d-4b06-a3e1-37a51c1f0770" TargetMode="External"/><Relationship Id="rId573" Type="http://schemas.openxmlformats.org/officeDocument/2006/relationships/hyperlink" Target="https://www.booking.com/hotel/re/ti-kaz-sauvage.fr.html" TargetMode="External"/><Relationship Id="rId1168" Type="http://schemas.openxmlformats.org/officeDocument/2006/relationships/hyperlink" Target="https://www.facebook.com/ti.kaz.misouk" TargetMode="External"/><Relationship Id="rId1190" Type="http://schemas.openxmlformats.org/officeDocument/2006/relationships/hyperlink" Target="https://www.leboncoin.fr/ad/locations_saisonnieres/2826851341" TargetMode="External"/><Relationship Id="rId1191" Type="http://schemas.openxmlformats.org/officeDocument/2006/relationships/hyperlink" Target="https://airbnb.fr/rooms/1321499694443415336" TargetMode="External"/><Relationship Id="rId1192" Type="http://schemas.openxmlformats.org/officeDocument/2006/relationships/hyperlink" Target="https://booking.com/Share-QPcPJf" TargetMode="External"/><Relationship Id="rId1193" Type="http://schemas.openxmlformats.org/officeDocument/2006/relationships/hyperlink" Target="https://www.facebook.com/share/14w18urL5w/?mibextid=wwXIfr" TargetMode="External"/><Relationship Id="rId1194" Type="http://schemas.openxmlformats.org/officeDocument/2006/relationships/hyperlink" Target="https://www.instagram.com/coeur_de_ville_airbnb?igsh=MXNqNTFyb3hsdXk3Yg%3D%3D&amp;utm_source=qr" TargetMode="External"/><Relationship Id="rId1195" Type="http://schemas.openxmlformats.org/officeDocument/2006/relationships/hyperlink" Target="https://www.facebook.com/isdrawing97430" TargetMode="External"/><Relationship Id="rId1196" Type="http://schemas.openxmlformats.org/officeDocument/2006/relationships/hyperlink" Target="https://www.booking.com/hotel/re/appartement-a-vincendo-lumineux-avec-netflix.fr.html" TargetMode="External"/><Relationship Id="rId1197" Type="http://schemas.openxmlformats.org/officeDocument/2006/relationships/hyperlink" Target="https://www.facebook.com/people/Sophrologie-et-sylvioth%C3%A9rapie-Change-%C3%A9corce/61571887383899/?mibextid=wwXIfr&amp;rdid=bkKZWGcdf3SdpGir&amp;share_url=https%3A%2F%2Fwww.facebook.com%2Fshare%2F1FDJ1zAy3Z%2F%3Fmibextid%3DwwXIfr" TargetMode="External"/><Relationship Id="rId1198" Type="http://schemas.openxmlformats.org/officeDocument/2006/relationships/hyperlink" Target="https://www.facebook.com/profile.php?id=61555475886550" TargetMode="External"/><Relationship Id="rId1199" Type="http://schemas.openxmlformats.org/officeDocument/2006/relationships/hyperlink" Target="https://www.leboncoin.fr/ad/locations_saisonnieres/2838010872" TargetMode="External"/><Relationship Id="rId599" Type="http://schemas.openxmlformats.org/officeDocument/2006/relationships/hyperlink" Target="https://www.facebook.com/lacavernedeshirondelles/?locale=fr_FR" TargetMode="External"/><Relationship Id="rId1180" Type="http://schemas.openxmlformats.org/officeDocument/2006/relationships/hyperlink" Target="https://www.facebook.com/people/Villa-Tropicale-D%C3%A9tente-Spa/61567039001925/?_rdr" TargetMode="External"/><Relationship Id="rId1181" Type="http://schemas.openxmlformats.org/officeDocument/2006/relationships/hyperlink" Target="https://www.booking.com/hotel/re/chez-margot.fr.html?aid=356980&amp;label=gog235jc-1FCAsovwFCC2NoZXotbWFyZ290SA1YA2i_AYgBAZgBDbgBGMgBDNgBAegBAfgBAogCAagCBLgC9cb-uwbAAgHSAiRkY2Y5ZTE3My1lNWRhLTQyYzktYTMxMS1mZWU3MDI0MGI1ZTXYAgXgAgE&amp;sid=ba4e4e680180124b9e08f6acfb274803&amp;checkin=2025-01-09&amp;checkout=2025-01-10&amp;dest_id=-1331043&amp;dest_type=city&amp;dist=0&amp;group_adults=2&amp;group_children=0&amp;hapos=1&amp;hpos=1&amp;no_rooms=1&amp;req_adults=2&amp;req_children=0&amp;room1=A%2CA&amp;sb_price_type=total&amp;soh=1&amp;sr_order=popularity&amp;srepoch=1736418172&amp;srpvid=a07148fba0d001d5&amp;type=total&amp;ucfs=1&amp;" TargetMode="External"/><Relationship Id="rId1182" Type="http://schemas.openxmlformats.org/officeDocument/2006/relationships/hyperlink" Target="https://www.airbnb.fr/rooms/1255573989364106266?source_impression_id=p3_1736743405_P3m_OrWFd9APchZD" TargetMode="External"/><Relationship Id="rId594" Type="http://schemas.openxmlformats.org/officeDocument/2006/relationships/hyperlink" Target="https://www.facebook.com/profile.php?id=100086472046194" TargetMode="External"/><Relationship Id="rId1183" Type="http://schemas.openxmlformats.org/officeDocument/2006/relationships/hyperlink" Target="https://www.booking.com/hotel/re/la-terrasse-vanillee.fr.html?aid=356980&amp;label=gog235jc-1FCAsovwFCFGxhLXRlcnJhc3NlLXZhbmlsbGVlSA1YA2i_AYgBAZgBDbgBF8gBDNgBAegBAfgBAogCAagCA7gC5LOSvAbAAgHSAiRiOTU2NWQ1Yi0yMTgyLTQ5NDMtOWFlYy01NGRmYzgwNWQ5YjDYAgXgAgE&amp;sid=f2db896984a0049b10289cc46ffd39ce&amp;checkin=2025-01-13&amp;checkout=2025-01-14&amp;dest_id=-1331451&amp;dest_type=city&amp;dist=0&amp;group_adults=2&amp;group_children=0&amp;hapos=1&amp;hpos=1&amp;no_rooms=1&amp;req_adults=2&amp;req_children=0&amp;room1=A%2CA&amp;sb_price_type=total&amp;soh=1&amp;sr_order=popularity&amp;srepoch=1736743585&amp;srpvid=6f0a2132c93102bf&amp;type=total&amp;ucfs=1&amp;" TargetMode="External"/><Relationship Id="rId593" Type="http://schemas.openxmlformats.org/officeDocument/2006/relationships/hyperlink" Target="https://www.booking.com/hotel/re/baril-o-thentik-saint-philippe.fr.html" TargetMode="External"/><Relationship Id="rId1184" Type="http://schemas.openxmlformats.org/officeDocument/2006/relationships/hyperlink" Target="https://www.facebook.com/profile.php?id=61567159958544" TargetMode="External"/><Relationship Id="rId592" Type="http://schemas.openxmlformats.org/officeDocument/2006/relationships/hyperlink" Target="https://www.airbnb.fr/rooms/52486413?adults=1&amp;federated_search_id=d64701f2-0b98-4e19-9119-44bb94a204b0&amp;source_impression_id=p3_1658993697_waAwxMMMusGO8w2w&amp;guests=1" TargetMode="External"/><Relationship Id="rId1185" Type="http://schemas.openxmlformats.org/officeDocument/2006/relationships/hyperlink" Target="https://www.airbnb.fr/rooms/1047898351693255805?viralityEntryPoint=1&amp;s=76&amp;source_impression_id=p3_1736761203_P3Pq8SUnApQ9PXDY" TargetMode="External"/><Relationship Id="rId591" Type="http://schemas.openxmlformats.org/officeDocument/2006/relationships/hyperlink" Target="https://www.airbnb.fr/rooms/580208704549551854?adults=1&amp;location=La%20Reunion%2C%20R%C3%A9union&amp;federated_search_id=0a59043d-ee50-4eb3-a0da-deb2ecea7140&amp;source_impression_id=p3_1648823136_C9oCUswqCdf9PyA9&amp;guests=1" TargetMode="External"/><Relationship Id="rId1186" Type="http://schemas.openxmlformats.org/officeDocument/2006/relationships/hyperlink" Target="https://www.booking.com/hotel/re/villa-kote-shandel.fr.html?aid=356980&amp;label=gog235jc-1FCAsovwFCEnZpbGxhLWtvdGUtc2hhbmRlbEgzWANovwGIAQGYAQ24ARfIAQzYAQHoAQH4AQyIAgGoAgO4AvifnbwGwAIB0gIkMzdmNjE0N2ItNGVjYS00M2Y4LThkMWUtNDQ3ZmVmZDMxOGE12AIG4AIB&amp;sid=f2db896984a0049b10289cc46ffd39ce&amp;all_sr_blocks=1313909801_404168332_2_0_0&amp;checkin=2025-01-27&amp;checkout=2025-02-02&amp;dest_id=13139098&amp;dest_type=hotel&amp;dist=0&amp;group_adults=2&amp;group_children=0&amp;hapos=1&amp;highlighted_blocks=1313909801_404168332_2_0_0&amp;hpos=1&amp;matching_block_id=1313909801_404168332_2_0_0&amp;no_rooms=1&amp;req_adults=2&amp;req_children=0&amp;room1=A%2CA&amp;sb_price_type=total&amp;sr_order=popularity&amp;sr_pri_blocks=1313909801_404168332_2_0_0__123200&amp;srepoch=1736921185&amp;srpvid=c47b2aee93e90066&amp;type=total&amp;ucfs=1&amp;" TargetMode="External"/><Relationship Id="rId598" Type="http://schemas.openxmlformats.org/officeDocument/2006/relationships/hyperlink" Target="https://www.booking.com/hotel/re/holiday-home-la-caverne-des-hirondelles-saint-joseph.fr.html?aid=311089&amp;label=holiday-home-la-caverne-des-hirondelles-saint-joseph-ou_mZnlM02D4d9EI4jBFkgS647568116549%3Apl%3Ata%3Ap1%3Ap2%3Aac%3Aap%3Aneg%3Afi%3Atikwd-22137914198%3Alp9075843%3Ali%3Adec%3Adm%3Appccp%3DUmFuZG9tSVYkc2RlIyh9YVcLb15uXY9dObSb2laNmOc&amp;sid=9c98e3a93fda3bde7d1e95de4dd1cd4e&amp;dest_id=-1331399&amp;dest_type=city&amp;dist=0&amp;group_adults=2&amp;group_children=0&amp;hapos=1&amp;hpos=1&amp;no_rooms=1&amp;req_adults=2&amp;req_children=0&amp;room1=A%2CA&amp;sb_price_type=total&amp;sr_order=popularity&amp;srepoch=1679390463&amp;srpvid=d2d341bf37900296&amp;type=total&amp;ucfs=1&amp;activeTab=main" TargetMode="External"/><Relationship Id="rId1187" Type="http://schemas.openxmlformats.org/officeDocument/2006/relationships/hyperlink" Target="https://www.booking.com/hotel/re/bras-lontan.fr.html?aid=356980&amp;label=gog235jc-1FCAsovwFCC2JyYXMtbG9udGFuSA1YA2i_AYgBAZgBDbgBF8gBDNgBAegBAfgBAogCAagCA7gC74mevAbAAgHSAiQ5OGQ4ZDUwMi05NmJhLTQxZTEtOTMyNy00NGI1NjU5ZmQ3YTTYAgXgAgE&amp;sid=f2db896984a0049b10289cc46ffd39ce&amp;all_sr_blocks=1316311101_404383479_3_0_0&amp;checkin=2025-02-13&amp;checkout=2025-02-16&amp;dest_id=-1331043&amp;dest_type=city&amp;dist=0&amp;group_adults=2&amp;group_children=0&amp;hapos=1&amp;highlighted_blocks=1316311101_404383479_3_0_0&amp;hpos=1&amp;matching_block_id=1316311101_404383479_3_0_0&amp;no_rooms=1&amp;req_adults=2&amp;req_children=0&amp;room1=A%2CA&amp;sb_price_type=total&amp;sr_order=popularity&amp;sr_pri_blocks=1316311101_404383479_3_0_0__29925&amp;srepoch=1736934645&amp;srpvid=14f84538140611f6&amp;type=total&amp;ucfs=1&amp;" TargetMode="External"/><Relationship Id="rId597" Type="http://schemas.openxmlformats.org/officeDocument/2006/relationships/hyperlink" Target="https://www.facebook.com/profile.php?id=100041276475856" TargetMode="External"/><Relationship Id="rId1188" Type="http://schemas.openxmlformats.org/officeDocument/2006/relationships/hyperlink" Target="https://www.facebook.com/profile.php?id=61571789441194" TargetMode="External"/><Relationship Id="rId596" Type="http://schemas.openxmlformats.org/officeDocument/2006/relationships/hyperlink" Target="https://www.facebook.com/profile.php?id=100054321229104" TargetMode="External"/><Relationship Id="rId1189" Type="http://schemas.openxmlformats.org/officeDocument/2006/relationships/hyperlink" Target="https://www.facebook.com/profile.php?id=61564916455641" TargetMode="External"/><Relationship Id="rId595" Type="http://schemas.openxmlformats.org/officeDocument/2006/relationships/hyperlink" Target="https://www.booking.com/hotel/re/villa-ote.fr.html?aid=318615&amp;label=New_French_FR_RE_26394819985-5KMfyMgIYi7RF9Cd6ZNX9wS217246948707%3Apl%3Ata%3Ap1%3Ap2%3Aac%3Aap%3Aneg%3Afi55772946061%3Atidsa-320131990260%3Alp9075843%3Ali%3Adec%3Adm&amp;sid=ab4a5d80bbdc9cc28e85f449874713d0&amp;dest_id=-1330710;dest_type=city;dist=0;group_adults=2;group_children=0;hapos=1;hpos=1;no_rooms=1;req_adults=2;req_children=0;room1=A%2CA;sb_price_type=total;sr_order=popularity;srepoch=1679375940;srpvid=ab812561d90a002a;type=total;ucfs=1&amp;" TargetMode="External"/><Relationship Id="rId1136" Type="http://schemas.openxmlformats.org/officeDocument/2006/relationships/hyperlink" Target="https://www.instagram.com/tikazsandjo/" TargetMode="External"/><Relationship Id="rId1137" Type="http://schemas.openxmlformats.org/officeDocument/2006/relationships/hyperlink" Target="https://www.facebook.com/profile.php?id=61565443453216" TargetMode="External"/><Relationship Id="rId1138" Type="http://schemas.openxmlformats.org/officeDocument/2006/relationships/hyperlink" Target="https://www.facebook.com/profile.php?id=100092214512847" TargetMode="External"/><Relationship Id="rId1139" Type="http://schemas.openxmlformats.org/officeDocument/2006/relationships/hyperlink" Target="https://www.tripadvisor.fr/Hotel_Review-g668283-d17519055-Reviews-La_Villa_Pitaya-Entre_Deux_Arrondissement_of_Saint_Pierre.html" TargetMode="External"/><Relationship Id="rId547" Type="http://schemas.openxmlformats.org/officeDocument/2006/relationships/hyperlink" Target="https://www.instagram.com/lada.falco/?hl=fr" TargetMode="External"/><Relationship Id="rId546" Type="http://schemas.openxmlformats.org/officeDocument/2006/relationships/hyperlink" Target="https://www.leboncoin.fr/offre/locations_gites/2104177317" TargetMode="External"/><Relationship Id="rId545" Type="http://schemas.openxmlformats.org/officeDocument/2006/relationships/hyperlink" Target="https://fr.airbnb.com/rooms/644453555558432780?_set_bev_on_new_domain=1663222967_NDA0ZDMxMjE4MjUw&amp;source_impression_id=p3_1675675934_ys6yI2o3IRAAGU%2B4" TargetMode="External"/><Relationship Id="rId544" Type="http://schemas.openxmlformats.org/officeDocument/2006/relationships/hyperlink" Target="https://www.facebook.com/people/Le-Sunset/100089963375070/" TargetMode="External"/><Relationship Id="rId549" Type="http://schemas.openxmlformats.org/officeDocument/2006/relationships/hyperlink" Target="https://www.facebook.com/GayoArtiste/" TargetMode="External"/><Relationship Id="rId548" Type="http://schemas.openxmlformats.org/officeDocument/2006/relationships/hyperlink" Target="https://www.facebook.com/TYLodgeLaReunion" TargetMode="External"/><Relationship Id="rId1130" Type="http://schemas.openxmlformats.org/officeDocument/2006/relationships/hyperlink" Target="https://www.instagram.com/la_case_o_gecko/" TargetMode="External"/><Relationship Id="rId1131" Type="http://schemas.openxmlformats.org/officeDocument/2006/relationships/hyperlink" Target="https://www.booking.com/hotel/re/ti-caz-meme.fr.html" TargetMode="External"/><Relationship Id="rId543" Type="http://schemas.openxmlformats.org/officeDocument/2006/relationships/hyperlink" Target="https://www.instagram.com/villa.tourmaline/?hl=fr" TargetMode="External"/><Relationship Id="rId1132" Type="http://schemas.openxmlformats.org/officeDocument/2006/relationships/hyperlink" Target="https://fr.airbnb.ca/rooms/1217194335985874383?source_impression_id=p3_1727174489_P3hta5TZvj7zqOGE" TargetMode="External"/><Relationship Id="rId542" Type="http://schemas.openxmlformats.org/officeDocument/2006/relationships/hyperlink" Target="https://www.facebook.com/profile.php?id=100076043282751" TargetMode="External"/><Relationship Id="rId1133" Type="http://schemas.openxmlformats.org/officeDocument/2006/relationships/hyperlink" Target="https://www.tiktok.com/@les_caze_dela_mer_casse_" TargetMode="External"/><Relationship Id="rId541" Type="http://schemas.openxmlformats.org/officeDocument/2006/relationships/hyperlink" Target="https://www.facebook.com/profile.php?id=100063576242513" TargetMode="External"/><Relationship Id="rId1134" Type="http://schemas.openxmlformats.org/officeDocument/2006/relationships/hyperlink" Target="https://www.facebook.com/profile.php?id=61565510801369" TargetMode="External"/><Relationship Id="rId540" Type="http://schemas.openxmlformats.org/officeDocument/2006/relationships/hyperlink" Target="https://www.facebook.com/Coeur-Cr%C3%A8ole-112741640517897/" TargetMode="External"/><Relationship Id="rId1135" Type="http://schemas.openxmlformats.org/officeDocument/2006/relationships/hyperlink" Target="https://www.booking.com/hotel/re/les-caze-de-la-mer-cassee-avec-piscine.fr.html?aid=356980&amp;label=gog235jc-1DCAsovwFCJmxlcy1jYXplLWRlLWxhLW1lci1jYXNzZWUtYXZlYy1waXNjaW5lSDNYA2i_AYgBAZgBDbgBGMgBDNgBA-gBAfgBBIgCAagCBLgCsq7KtwbAAgHSAiQyODA4MmZhYy0wMDRlLTRiZWUtOWE2My02MTU2ZWMwOWM4NmHYAgTgAgE&amp;sid=ba4e4e680180124b9e08f6acfb274803&amp;dist=0&amp;keep_landing=1&amp;sb_price_type=total&amp;type=total&amp;" TargetMode="External"/><Relationship Id="rId1125" Type="http://schemas.openxmlformats.org/officeDocument/2006/relationships/hyperlink" Target="https://www.facebook.com/profile.php?id=61564911118250" TargetMode="External"/><Relationship Id="rId1126" Type="http://schemas.openxmlformats.org/officeDocument/2006/relationships/hyperlink" Target="https://www.facebook.com/profile.php?id=61556646376492" TargetMode="External"/><Relationship Id="rId1127" Type="http://schemas.openxmlformats.org/officeDocument/2006/relationships/hyperlink" Target="https://www.facebook.com/profile.php?id=61563817528210" TargetMode="External"/><Relationship Id="rId1128" Type="http://schemas.openxmlformats.org/officeDocument/2006/relationships/hyperlink" Target="https://www.booking.com/hotel/re/ti-caz-desir.fr.html" TargetMode="External"/><Relationship Id="rId1129" Type="http://schemas.openxmlformats.org/officeDocument/2006/relationships/hyperlink" Target="https://www.instagram.com/tikazananas/" TargetMode="External"/><Relationship Id="rId536" Type="http://schemas.openxmlformats.org/officeDocument/2006/relationships/hyperlink" Target="https://www.instagram.com/la.kaz.leo/" TargetMode="External"/><Relationship Id="rId535" Type="http://schemas.openxmlformats.org/officeDocument/2006/relationships/hyperlink" Target="https://www.facebook.com/lakazleo/" TargetMode="External"/><Relationship Id="rId534" Type="http://schemas.openxmlformats.org/officeDocument/2006/relationships/hyperlink" Target="https://www.facebook.com/profile.php?id=100086265786273" TargetMode="External"/><Relationship Id="rId533" Type="http://schemas.openxmlformats.org/officeDocument/2006/relationships/hyperlink" Target="https://www.booking.com/hotel/re/le-colibri.fr.html" TargetMode="External"/><Relationship Id="rId539" Type="http://schemas.openxmlformats.org/officeDocument/2006/relationships/hyperlink" Target="https://fr.airbnb.ca/rooms/37698000?source_impression_id=p3_1674731159_J0axoT4Ek4V8XUdN" TargetMode="External"/><Relationship Id="rId538" Type="http://schemas.openxmlformats.org/officeDocument/2006/relationships/hyperlink" Target="https://www.facebook.com/aucocondadeli/" TargetMode="External"/><Relationship Id="rId537" Type="http://schemas.openxmlformats.org/officeDocument/2006/relationships/hyperlink" Target="https://www.airbnb.fr/rooms/26795527?source_impression_id=p3_1674555875_VvpgMsHcndxA3Gll" TargetMode="External"/><Relationship Id="rId1120" Type="http://schemas.openxmlformats.org/officeDocument/2006/relationships/hyperlink" Target="https://www.facebook.com/profile.php?id=61560853276297" TargetMode="External"/><Relationship Id="rId532" Type="http://schemas.openxmlformats.org/officeDocument/2006/relationships/hyperlink" Target="https://www.facebook.com/restaurantlepinpin" TargetMode="External"/><Relationship Id="rId1121" Type="http://schemas.openxmlformats.org/officeDocument/2006/relationships/hyperlink" Target="https://www.instagram.com/timelanz974/" TargetMode="External"/><Relationship Id="rId531" Type="http://schemas.openxmlformats.org/officeDocument/2006/relationships/hyperlink" Target="https://www.booking.com/hotel/re/entre-deux-reves.fr.html?aid=1630418" TargetMode="External"/><Relationship Id="rId1122" Type="http://schemas.openxmlformats.org/officeDocument/2006/relationships/hyperlink" Target="https://www.facebook.com/profile.php?id=61558180466674" TargetMode="External"/><Relationship Id="rId530" Type="http://schemas.openxmlformats.org/officeDocument/2006/relationships/hyperlink" Target="https://www.tripadvisor.fr/VacationRentalReview-g675133-d25009009-Ty_Lodge_La_Reunion-Le_Tampon_Arrondissement_of_Saint_Pierre.html" TargetMode="External"/><Relationship Id="rId1123" Type="http://schemas.openxmlformats.org/officeDocument/2006/relationships/hyperlink" Target="https://www.airbnb.fr/users/show/313543132" TargetMode="External"/><Relationship Id="rId1124" Type="http://schemas.openxmlformats.org/officeDocument/2006/relationships/hyperlink" Target="https://www.tiktok.com/@omeublesdes2bois" TargetMode="External"/><Relationship Id="rId1158" Type="http://schemas.openxmlformats.org/officeDocument/2006/relationships/hyperlink" Target="https://www.facebook.com/profile.php?id=61558899822341" TargetMode="External"/><Relationship Id="rId1159" Type="http://schemas.openxmlformats.org/officeDocument/2006/relationships/hyperlink" Target="https://www.facebook.com/ticaseleshaut/?locale=fr_FR" TargetMode="External"/><Relationship Id="rId569" Type="http://schemas.openxmlformats.org/officeDocument/2006/relationships/hyperlink" Target="https://fr.tripadvisor.ca/VacationRentalReview-g19887023-d25225322-Ti_Kaz_Sauvage_3_Etoiles_avec_piscine-Vincendo_Arrondissement_of_Saint_Pierre.html" TargetMode="External"/><Relationship Id="rId568" Type="http://schemas.openxmlformats.org/officeDocument/2006/relationships/hyperlink" Target="https://instagram.com/margayillat?igshid=YmMyMTA2M2Y=" TargetMode="External"/><Relationship Id="rId567" Type="http://schemas.openxmlformats.org/officeDocument/2006/relationships/hyperlink" Target="https://instagram.com/terrerougeguesthouse?igshid=YmMyMTA2M2Y=" TargetMode="External"/><Relationship Id="rId566" Type="http://schemas.openxmlformats.org/officeDocument/2006/relationships/hyperlink" Target="https://www.facebook.com/linstantdevasion97418" TargetMode="External"/><Relationship Id="rId561" Type="http://schemas.openxmlformats.org/officeDocument/2006/relationships/hyperlink" Target="https://www.facebook.com/profile.php?id=100087896956984" TargetMode="External"/><Relationship Id="rId1150" Type="http://schemas.openxmlformats.org/officeDocument/2006/relationships/hyperlink" Target="https://www.facebook.com/rosalie.olivier.flp/?_rdr" TargetMode="External"/><Relationship Id="rId560" Type="http://schemas.openxmlformats.org/officeDocument/2006/relationships/hyperlink" Target="https://www.booking.com/hotel/re/chalet-de-notre-dame.fr.html" TargetMode="External"/><Relationship Id="rId1151" Type="http://schemas.openxmlformats.org/officeDocument/2006/relationships/hyperlink" Target="https://www.facebook.com/friends/requests/?profile_id=100048515286686&amp;notif_id=1731666715797453&amp;notif_t=friend&amp;ref=notif" TargetMode="External"/><Relationship Id="rId1152" Type="http://schemas.openxmlformats.org/officeDocument/2006/relationships/hyperlink" Target="https://www.facebook.com/profile.php?id=61567687756448" TargetMode="External"/><Relationship Id="rId1153" Type="http://schemas.openxmlformats.org/officeDocument/2006/relationships/hyperlink" Target="https://fr.airbnb.com/rooms/1281285273984446999?source_impression_id=p3_1731905881_P34ULjBsax6Ea2wa" TargetMode="External"/><Relationship Id="rId565" Type="http://schemas.openxmlformats.org/officeDocument/2006/relationships/hyperlink" Target="https://www.facebook.com/linstantdevasion97418" TargetMode="External"/><Relationship Id="rId1154" Type="http://schemas.openxmlformats.org/officeDocument/2006/relationships/hyperlink" Target="https://www.tripadvisor.fr/VacationRentalReview-g675133-d5256388-GITES_LOISIRS_BRAS_LONTAN-Le_Tampon_Arrondissement_of_Saint_Pierre.html" TargetMode="External"/><Relationship Id="rId564" Type="http://schemas.openxmlformats.org/officeDocument/2006/relationships/hyperlink" Target="https://www.facebook.com/profile.php?id=100090024696990" TargetMode="External"/><Relationship Id="rId1155" Type="http://schemas.openxmlformats.org/officeDocument/2006/relationships/hyperlink" Target="https://www.facebook.com/profile.php?id=100086472046194" TargetMode="External"/><Relationship Id="rId563" Type="http://schemas.openxmlformats.org/officeDocument/2006/relationships/hyperlink" Target="https://www.facebook.com/pages/Resto-Regal-des-Hauts/344992775626515" TargetMode="External"/><Relationship Id="rId1156" Type="http://schemas.openxmlformats.org/officeDocument/2006/relationships/hyperlink" Target="https://www.facebook.com/lempreinte.re/" TargetMode="External"/><Relationship Id="rId562" Type="http://schemas.openxmlformats.org/officeDocument/2006/relationships/hyperlink" Target="https://www.leboncoin.fr/locations_gites/2257799920.htm?fbclid=IwAR0yRbcGIlkjZLeUGXs2S-_zxVvYpWXRbDuycw3uQdch3O1yUnpMUAHDFyw" TargetMode="External"/><Relationship Id="rId1157" Type="http://schemas.openxmlformats.org/officeDocument/2006/relationships/hyperlink" Target="https://www.leboncoin.fr/ad/locations_saisonnieres/2673577333" TargetMode="External"/><Relationship Id="rId1147" Type="http://schemas.openxmlformats.org/officeDocument/2006/relationships/hyperlink" Target="https://www.instagram.com/petit_paradis_location/" TargetMode="External"/><Relationship Id="rId1148" Type="http://schemas.openxmlformats.org/officeDocument/2006/relationships/hyperlink" Target="https://www.booking.com/hotel/re/villa-petit-paradis.fr.html?aid=318615&amp;label=New_French_FR_RE_26394819985-5KMfyMgIYi7RF9Cd6ZNX9wS217246948707%3Apl%3Ata%3Ap1%3Ap2%3Aac%3Aap%3Aneg%3Afi%3Atidsa-194594581705%3Alp9075843%3Ali%3Adec%3Adm&amp;sid=ba4e4e680180124b9e08f6acfb274803&amp;checkin=2024-11-04;checkout=2024-11-09;dest_id=-1331399;dest_type=city;dist=0;group_adults=2;group_children=0;hapos=1;hpos=1;no_rooms=1;req_adults=2;req_children=0;room1=A%2CA;sb_price_type=total;soh=1;sr_order=popularity;srepoch=1730719208;srpvid=96f34fa5ba0a0e6e;type=total;ucfs=1&amp;" TargetMode="External"/><Relationship Id="rId1149" Type="http://schemas.openxmlformats.org/officeDocument/2006/relationships/hyperlink" Target="https://www.facebook.com/people/Villa-Petit-Paradis/61553893463144/" TargetMode="External"/><Relationship Id="rId558" Type="http://schemas.openxmlformats.org/officeDocument/2006/relationships/hyperlink" Target="https://www.facebook.com/pages/%C3%89toile-Des-Mers-Saint-Philippe/1800125053332074" TargetMode="External"/><Relationship Id="rId557" Type="http://schemas.openxmlformats.org/officeDocument/2006/relationships/hyperlink" Target="https://www.airbnb.fr/rooms/678167262902331214?adults=1&amp;guests=1&amp;s=42&amp;unique_share_id=86eb2cd6-4ab2-402b-a5b1-590c9ce922c0&amp;fbclid=IwAR0lHUqN2squsPb9N4KNqkauXHRaMR5IU5LFutH0mp9wuImlvlh88y6Zh-8&amp;source_impression_id=p3_1677488597_1oREB1SZQaiIOLAs" TargetMode="External"/><Relationship Id="rId556" Type="http://schemas.openxmlformats.org/officeDocument/2006/relationships/hyperlink" Target="https://www.facebook.com/profile.php?id=100057721117297" TargetMode="External"/><Relationship Id="rId555" Type="http://schemas.openxmlformats.org/officeDocument/2006/relationships/hyperlink" Target="https://www.facebook.com/profile.php?id=100086786245915" TargetMode="External"/><Relationship Id="rId559" Type="http://schemas.openxmlformats.org/officeDocument/2006/relationships/hyperlink" Target="https://www.facebook.com/people/Les-Jardins-de-Nicole/100076200070301/?ref=page_internal" TargetMode="External"/><Relationship Id="rId550" Type="http://schemas.openxmlformats.org/officeDocument/2006/relationships/hyperlink" Target="https://www.facebook.com/RestaurantLaMarmiteDuPecheur/?locale=fr_FR" TargetMode="External"/><Relationship Id="rId1140" Type="http://schemas.openxmlformats.org/officeDocument/2006/relationships/hyperlink" Target="https://www.facebook.com/profile.php?id=61560738571826" TargetMode="External"/><Relationship Id="rId1141" Type="http://schemas.openxmlformats.org/officeDocument/2006/relationships/hyperlink" Target="https://www.booking.com/hotel/re/la-roulotte-geante-le-tampon.fr.html?aid=318615&amp;label=New_French_FR_RE_26394819985-5KMfyMgIYi7RF9Cd6ZNX9wS217246948707%3Apl%3Ata%3Ap1%3Ap2%3Aac%3Aap%3Aneg%3Afi%3Atidsa-194594581705%3Alp9075843%3Ali%3Adec%3Adm&amp;sid=ba4e4e680180124b9e08f6acfb274803&amp;all_sr_blocks=891419501_367501064_2_0_0;checkin=2024-11-04;checkout=2024-11-09;dest_id=-1331043;dest_type=city;dist=0;group_adults=2;group_children=0;hapos=1;highlighted_blocks=891419501_367501064_2_0_0;hpos=1;matching_block_id=891419501_367501064_2_0_0;no_rooms=1;req_adults=2;req_children=0;room1=A%2CA;sb_price_type=total;sr_order=popularity;sr_pri_blocks=891419501_367501064_2_0_0__69700;srepoch=1729245824;srpvid=6dd645ee77ec0161;type=total;ucfs=1&amp;" TargetMode="External"/><Relationship Id="rId1142" Type="http://schemas.openxmlformats.org/officeDocument/2006/relationships/hyperlink" Target="https://www.instagram.com/tikrater974/" TargetMode="External"/><Relationship Id="rId554" Type="http://schemas.openxmlformats.org/officeDocument/2006/relationships/hyperlink" Target="https://www.facebook.com/profile.php?id=100069804773338" TargetMode="External"/><Relationship Id="rId1143" Type="http://schemas.openxmlformats.org/officeDocument/2006/relationships/hyperlink" Target="https://www.airbnb.fr/users/show/110593405" TargetMode="External"/><Relationship Id="rId553" Type="http://schemas.openxmlformats.org/officeDocument/2006/relationships/hyperlink" Target="https://www.facebook.com/profile.php?id=100069804773338" TargetMode="External"/><Relationship Id="rId1144" Type="http://schemas.openxmlformats.org/officeDocument/2006/relationships/hyperlink" Target="https://www.facebook.com/profile.php?id=61566624114271" TargetMode="External"/><Relationship Id="rId552" Type="http://schemas.openxmlformats.org/officeDocument/2006/relationships/hyperlink" Target="https://www.facebook.com/tisanerie" TargetMode="External"/><Relationship Id="rId1145" Type="http://schemas.openxmlformats.org/officeDocument/2006/relationships/hyperlink" Target="https://fr.airbnb.com/rooms/1188255576364854191?_set_bev_on_new_domain=1663222967_NDA0ZDMxMjE4MjUw&amp;source_impression_id=p3_1730714956_P3QjXm-49t6nBbGJ" TargetMode="External"/><Relationship Id="rId551" Type="http://schemas.openxmlformats.org/officeDocument/2006/relationships/hyperlink" Target="https://www.facebook.com/marie.monique.sery" TargetMode="External"/><Relationship Id="rId1146" Type="http://schemas.openxmlformats.org/officeDocument/2006/relationships/hyperlink" Target="https://www.leboncoin.fr/ad/locations_saisonnieres/2829209105" TargetMode="External"/><Relationship Id="rId495" Type="http://schemas.openxmlformats.org/officeDocument/2006/relationships/hyperlink" Target="https://www.instagram.com/djoossys_stjoseph/" TargetMode="External"/><Relationship Id="rId494" Type="http://schemas.openxmlformats.org/officeDocument/2006/relationships/hyperlink" Target="https://www.facebook.com/djoossys/" TargetMode="External"/><Relationship Id="rId493" Type="http://schemas.openxmlformats.org/officeDocument/2006/relationships/hyperlink" Target="https://fr.airbnb.ch/rooms/744022382865520002?source_impression_id=p3_1669284852_u1jVyZO34yF362Cu" TargetMode="External"/><Relationship Id="rId492" Type="http://schemas.openxmlformats.org/officeDocument/2006/relationships/hyperlink" Target="https://www.airbnb.fr/rooms/51759450?source_impression_id=p3_1669270522_rw5RxvSaJ09W1U2o" TargetMode="External"/><Relationship Id="rId499" Type="http://schemas.openxmlformats.org/officeDocument/2006/relationships/hyperlink" Target="https://www.abritel.fr/location-vacances/p663710?arrival=2023-01-16&amp;departure=2023-01-22&amp;uni_id=663710" TargetMode="External"/><Relationship Id="rId498" Type="http://schemas.openxmlformats.org/officeDocument/2006/relationships/hyperlink" Target="https://www.abritel.fr/location-vacances/p663710?arrival=2023-01-16&amp;departure=2023-01-22&amp;uni_id=663710" TargetMode="External"/><Relationship Id="rId497" Type="http://schemas.openxmlformats.org/officeDocument/2006/relationships/hyperlink" Target="https://www.booking.com/hotel/re/les-agapanthes-le-tampon12.fr.html" TargetMode="External"/><Relationship Id="rId496" Type="http://schemas.openxmlformats.org/officeDocument/2006/relationships/hyperlink" Target="https://www.airbnb.fr/rooms/52342506?adults=1&amp;guests=1&amp;s=42&amp;unique_share_id=f32777fb-20e8-447c-a3ff-9e6dc05906d8&amp;source_impression_id=p3_1669361792_go%2BhMDAcWk4oburo" TargetMode="External"/><Relationship Id="rId1213" Type="http://schemas.openxmlformats.org/officeDocument/2006/relationships/hyperlink" Target="https://www.airbnb.fr/rooms/1031403970855590861?source_impression_id=p3_1737983394_P3qAvaCtuc-JorWD" TargetMode="External"/><Relationship Id="rId1214" Type="http://schemas.openxmlformats.org/officeDocument/2006/relationships/hyperlink" Target="https://www.booking.com/hotel/re/bungalow-java.fr.html?aid=356980&amp;label=gog235jc-1FCAsovwFCDWJ1bmdhbG93LWphdmFIDVgDaL8BiAEBmAENuAEXyAEM2AEB6AEB-AECiAIBqAIDuAKmo9y8BsACAdICJGU3OTc5ZWU4LTNiNzUtNGU0Ny05MmNiLTQ2ZTViMzMxNGEyYdgCBeACAQ&amp;sid=f2db896984a0049b10289cc46ffd39ce&amp;age=0&amp;checkin=2025-01-27&amp;checkout=2025-01-28&amp;dest_id=-1331399&amp;dest_type=city&amp;dist=0&amp;group_adults=2&amp;group_children=0&amp;hapos=1&amp;hpos=1&amp;no_rooms=1&amp;req_adults=2&amp;req_children=0&amp;room1=A%2CA&amp;sb_price_type=total&amp;soh=1&amp;sr_order=popularity&amp;srepoch=1737953705&amp;srpvid=1702229407bc0018&amp;type=total&amp;ucfs=1&amp;" TargetMode="External"/><Relationship Id="rId1215" Type="http://schemas.openxmlformats.org/officeDocument/2006/relationships/hyperlink" Target="https://www.facebook.com/p/Gkomo-residence-61553202575209/" TargetMode="External"/><Relationship Id="rId1216" Type="http://schemas.openxmlformats.org/officeDocument/2006/relationships/hyperlink" Target="https://www.airbnb.fr/rooms/1029646558583456674?source_impression_id=p3_1737984914_P3B3Wi0A0rqatZhc" TargetMode="External"/><Relationship Id="rId1217" Type="http://schemas.openxmlformats.org/officeDocument/2006/relationships/hyperlink" Target="https://www.booking.com/hotel/re/ti-caz-marley.fr.html?aid=357028&amp;label=bin859jc-1FCAsovwFCDXRpLWNhei1tYXJsZXlIDVgDaL8BiAEBmAENuAEXyAEM2AEB6AEB-AEDiAIBqAIDuAKPx928BsACAdICJDhjZmQyMDM5LTZlYTQtNGZlOS1hOWRlLWI2YWQ4MjA1ZTA1NdgCBeACAQ&amp;sid=65a9e8e7d74c6bbf9259d16ca71bddc3&amp;age=0&amp;checkin=2025-03-11&amp;checkout=2025-03-12&amp;dest_id=-1331399&amp;dest_type=city&amp;dist=0&amp;group_adults=2&amp;group_children=1&amp;hapos=1&amp;hpos=1&amp;no_rooms=1&amp;req_adults=2&amp;req_age=0&amp;req_children=1&amp;room1=A%2CA%2C0&amp;sb_price_type=total&amp;soh=1&amp;sr_order=popularity&amp;srepoch=1737974673&amp;srpvid=9a3a4b88630c03bf&amp;type=total&amp;ucfs=1&amp;" TargetMode="External"/><Relationship Id="rId1218" Type="http://schemas.openxmlformats.org/officeDocument/2006/relationships/hyperlink" Target="https://www.instagram.com/gkomo_residence?fbclid=IwY2xjawIENIhleHRuA2FlbQIxMAABHRkeHG4MCWbU068Eg3wdGMbdtJfFS9CUUezD_qaq01I09vIHVd_hGwrXxA_aem_LTkDu0iavzrYDWINqQ17Jg" TargetMode="External"/><Relationship Id="rId1219" Type="http://schemas.openxmlformats.org/officeDocument/2006/relationships/hyperlink" Target="https://www.booking.com/hotel/re/bungalow-jazz-saint-joseph.fr.html?aid=357028&amp;label=bin859jc-1FCAsovwFCGmJ1bmdhbG93LWphenotc2FpbnQtam9zZXBoSA1YA2i_AYgBAZgBDbgBF8gBDNgBAegBAfgBA4gCAagCA7gCot_dvAbAAgHSAiRhNzdjZmI4MS0wNWNiLTQ3MDctOTM1MC1mODBiMDFjZDZmYjPYAgXgAgE&amp;sid=65a9e8e7d74c6bbf9259d16ca71bddc3&amp;age=1&amp;checkin=2025-03-11&amp;checkout=2025-03-12&amp;dest_id=-1331399&amp;dest_type=city&amp;dist=0&amp;group_adults=2&amp;group_children=1&amp;hapos=1&amp;hpos=1&amp;no_rooms=1&amp;req_adults=2&amp;req_age=1&amp;req_children=1&amp;room1=A%2CA%2C1&amp;sb_price_type=total&amp;soh=1&amp;sr_order=popularity&amp;srepoch=1737988550&amp;srpvid=8e0a5192cd810267&amp;type=total&amp;ucfs=1&amp;" TargetMode="External"/><Relationship Id="rId1210" Type="http://schemas.openxmlformats.org/officeDocument/2006/relationships/hyperlink" Target="https://www.facebook.com/Igesa/" TargetMode="External"/><Relationship Id="rId1211" Type="http://schemas.openxmlformats.org/officeDocument/2006/relationships/hyperlink" Target="https://www.facebook.com/p/Gkomo-residence-61553202575209/" TargetMode="External"/><Relationship Id="rId1212" Type="http://schemas.openxmlformats.org/officeDocument/2006/relationships/hyperlink" Target="https://www.airbnb.fr/rooms/1029972631234866769?source_impression_id=p3_1737983544_P3UJtWQWsH8RkBhX" TargetMode="External"/><Relationship Id="rId1202" Type="http://schemas.openxmlformats.org/officeDocument/2006/relationships/hyperlink" Target="https://www.facebook.com/profile.php?id=100090533899164" TargetMode="External"/><Relationship Id="rId1203" Type="http://schemas.openxmlformats.org/officeDocument/2006/relationships/hyperlink" Target="https://www.facebook.com/jacky.rifosta" TargetMode="External"/><Relationship Id="rId1204" Type="http://schemas.openxmlformats.org/officeDocument/2006/relationships/hyperlink" Target="https://www.facebook.com/profile.php?id=61570137843175" TargetMode="External"/><Relationship Id="rId1205" Type="http://schemas.openxmlformats.org/officeDocument/2006/relationships/hyperlink" Target="https://www.instagram.com/isdrawing97430?fbclid=IwY2xjawH-vHtleHRuA2FlbQIxMAABHXkU51uHmbGEdOq7BIATqaAYV-2nZc2BWDMmijS9bxOkXbluxA9fXCSYIQ_aem_vF6NXEM29q_l2iru8zVVHg" TargetMode="External"/><Relationship Id="rId1206" Type="http://schemas.openxmlformats.org/officeDocument/2006/relationships/hyperlink" Target="https://www.instagram.com/domaine_kmzero/" TargetMode="External"/><Relationship Id="rId1207" Type="http://schemas.openxmlformats.org/officeDocument/2006/relationships/hyperlink" Target="https://www.facebook.com/domaine.kmzero" TargetMode="External"/><Relationship Id="rId1208" Type="http://schemas.openxmlformats.org/officeDocument/2006/relationships/hyperlink" Target="https://www.facebook.com/profile.php?id=100095228364390" TargetMode="External"/><Relationship Id="rId1209" Type="http://schemas.openxmlformats.org/officeDocument/2006/relationships/hyperlink" Target="https://www.instagram.com/altimerens_centreequestre/?fbclid=IwZXh0bgNhZW0CMTEAAR25bXijufrWJwfwUH_fOP4d3D_Q5v5GpV0-84CxoeyBqwaB4d0rs702sdA_aem_j4TKcLZR78BFCV97mTBI8A" TargetMode="External"/><Relationship Id="rId1200" Type="http://schemas.openxmlformats.org/officeDocument/2006/relationships/hyperlink" Target="https://www.booking.com/hotel/re/villa-arbre-du-voyageur.fr.html?aid=357028&amp;label=bin859jc-1FCAsovwFCF3ZpbGxhLWFyYnJlLWR1LXZveWFnZXVySDNYA2i_AYgBAZgBDbgBF8gBDNgBAegBAfgBA4gCAagCA7gC7sTCvAbAAgHSAiRmMzBkOTlhMS1iM2ExLTRiMmMtYWYxNy1jZmMzNGZhNDE3ZWTYAgXgAgE&amp;sid=65a9e8e7d74c6bbf9259d16ca71bddc3&amp;dest_id=-1330710&amp;dest_type=city&amp;dist=0&amp;group_adults=2&amp;group_children=0&amp;hapos=1&amp;hpos=1&amp;no_rooms=1&amp;req_adults=2&amp;req_children=0&amp;room1=A%2CA&amp;sb_price_type=total&amp;sr_order=popularity&amp;srepoch=1737542813&amp;srpvid=8c9d36b8421500b1&amp;type=total&amp;ucfs=1&amp;" TargetMode="External"/><Relationship Id="rId1201" Type="http://schemas.openxmlformats.org/officeDocument/2006/relationships/hyperlink" Target="https://www.instagram.com/change.ecorce?fbclid=IwY2xjawH9qV5leHRuA2FlbQIxMAABHdVuqu-FOTWrTu4uOSaX86eU3DNnv26bQev5qVz3rWhSR5aHpzQYy3H-lA_aem_xSF0LWF2bWFWD24gVNMqjQ" TargetMode="External"/><Relationship Id="rId1235" Type="http://schemas.openxmlformats.org/officeDocument/2006/relationships/hyperlink" Target="https://www.tripadvisor.fr/Attraction_Review-g635742-d23975284-Reviews-RodbikeLoc-Saint_Joseph_Arrondissement_of_Saint_Pierre.html" TargetMode="External"/><Relationship Id="rId1236" Type="http://schemas.openxmlformats.org/officeDocument/2006/relationships/hyperlink" Target="https://www.instagram.com/tisaneduvolcan/" TargetMode="External"/><Relationship Id="rId1237" Type="http://schemas.openxmlformats.org/officeDocument/2006/relationships/hyperlink" Target="https://www.booking.com/hotel/re/instant-d-evasion-2-plaine-des-cafres.fr.html?aid=356980&amp;label=gog235jc-1FCAsovwFCJWluc3RhbnQtZC1ldmFzaW9uLTItcGxhaW5lLWRlcy1jYWZyZXNIDVgDaL8BiAEBmAENuAEXyAEM2AEB6AEB-AECiAIBqAIDuALQirG9BsACAdICJDc3MWUwOTUyLTViZjMtNGE3My04YjE4LWVlMTNjYTAyZjE2ZNgCBeACAQ&amp;sid=f2db896984a0049b10289cc46ffd39ce&amp;age=0&amp;checkin=2025-02-12&amp;checkout=2025-02-13&amp;dest_id=-1330930&amp;dest_type=city&amp;dist=0&amp;group_adults=2&amp;group_children=0&amp;hapos=1&amp;hpos=1&amp;no_rooms=1&amp;req_adults=2&amp;req_children=0&amp;room1=A%2CA&amp;sb_price_type=total&amp;soh=1&amp;sr_order=popularity&amp;srepoch=1739343192&amp;srpvid=b5fd3068ea6500d3&amp;type=total&amp;ucfs=1&amp;" TargetMode="External"/><Relationship Id="rId1238" Type="http://schemas.openxmlformats.org/officeDocument/2006/relationships/hyperlink" Target="https://www.instagram.com/villatropicaledetenteandspa/" TargetMode="External"/><Relationship Id="rId1239" Type="http://schemas.openxmlformats.org/officeDocument/2006/relationships/hyperlink" Target="https://www.facebook.com/profile.php?id=61565072347110" TargetMode="External"/><Relationship Id="rId409" Type="http://schemas.openxmlformats.org/officeDocument/2006/relationships/hyperlink" Target="https://www.facebook.com/Ecuriesduvolcan/" TargetMode="External"/><Relationship Id="rId404" Type="http://schemas.openxmlformats.org/officeDocument/2006/relationships/hyperlink" Target="https://www.airbnb.fr/rooms/33763073?adults=1&amp;children=0&amp;infants=0&amp;check_in=2022-09-18&amp;check_out=2022-09-23&amp;federated_search_id=31346009-3fdd-48fa-b8d7-68677e7e132d&amp;source_impression_id=p3_1663410536_nuf%2FXDuoAYEMqHyB" TargetMode="External"/><Relationship Id="rId403" Type="http://schemas.openxmlformats.org/officeDocument/2006/relationships/hyperlink" Target="https://www.instagram.com/lann_mariah/" TargetMode="External"/><Relationship Id="rId402" Type="http://schemas.openxmlformats.org/officeDocument/2006/relationships/hyperlink" Target="https://www.instagram.com/le_monde_d_elsa_et_fred/" TargetMode="External"/><Relationship Id="rId401" Type="http://schemas.openxmlformats.org/officeDocument/2006/relationships/hyperlink" Target="https://www.airbnb.fr/rooms/4027207?source_impression_id=p3_1663240478_WGwZdh26%2BMUih4Ug" TargetMode="External"/><Relationship Id="rId408" Type="http://schemas.openxmlformats.org/officeDocument/2006/relationships/hyperlink" Target="https://www.leboncoin.fr/offre/locations_gites/2198205024" TargetMode="External"/><Relationship Id="rId407" Type="http://schemas.openxmlformats.org/officeDocument/2006/relationships/hyperlink" Target="https://www.booking.com/hotel/re/bungalow-le-corossol.fr.html" TargetMode="External"/><Relationship Id="rId406" Type="http://schemas.openxmlformats.org/officeDocument/2006/relationships/hyperlink" Target="https://www.facebook.com/dgtrot/" TargetMode="External"/><Relationship Id="rId405" Type="http://schemas.openxmlformats.org/officeDocument/2006/relationships/hyperlink" Target="https://www.facebook.com/people/TamarINN/100077419616814/" TargetMode="External"/><Relationship Id="rId1230" Type="http://schemas.openxmlformats.org/officeDocument/2006/relationships/hyperlink" Target="https://www.instagram.com/p/DEfmlJnNRsr/" TargetMode="External"/><Relationship Id="rId400" Type="http://schemas.openxmlformats.org/officeDocument/2006/relationships/hyperlink" Target="https://www.airbnb.fr/rooms/8597081?source_impression_id=p3_1663238269_3Ivwvl02BIFpvP77" TargetMode="External"/><Relationship Id="rId1231" Type="http://schemas.openxmlformats.org/officeDocument/2006/relationships/hyperlink" Target="https://www.facebook.com/profile.php?id=61564897120088" TargetMode="External"/><Relationship Id="rId1232" Type="http://schemas.openxmlformats.org/officeDocument/2006/relationships/hyperlink" Target="https://www.instagram.com/lagourmandisedesmoches?fbclid=IwY2xjawIP17RleHRuA2FlbQIxMAABHQnED1mBRceCMU5IUGc1BnAdbs2tcRBHmZgs8M1n6WskPFm55SayGbfBHg_aem_cjPCi9tDKpFiwX8egfwhHg" TargetMode="External"/><Relationship Id="rId1233" Type="http://schemas.openxmlformats.org/officeDocument/2006/relationships/hyperlink" Target="https://www.facebook.com/p/RodbikeLoc-100076044858114/" TargetMode="External"/><Relationship Id="rId1234" Type="http://schemas.openxmlformats.org/officeDocument/2006/relationships/hyperlink" Target="https://www.instagram.com/rodbikeloc/" TargetMode="External"/><Relationship Id="rId1224" Type="http://schemas.openxmlformats.org/officeDocument/2006/relationships/hyperlink" Target="https://www.booking.com/hotel/re/douceur-du-sud.fr.html" TargetMode="External"/><Relationship Id="rId1225" Type="http://schemas.openxmlformats.org/officeDocument/2006/relationships/hyperlink" Target="https://www.airbnb.fr/rooms/1289727765171316977?source_impression_id=p3_1738567568_P3Zu4Bcjjl_-B2uf" TargetMode="External"/><Relationship Id="rId1226" Type="http://schemas.openxmlformats.org/officeDocument/2006/relationships/hyperlink" Target="https://www.facebook.com/profile.php?id=61567086906858" TargetMode="External"/><Relationship Id="rId1227" Type="http://schemas.openxmlformats.org/officeDocument/2006/relationships/hyperlink" Target="https://www.airbnb.fr/rooms/1268043814108370337?source_impression_id=p3_1738569540_P3gLp_xytrkK_dAX" TargetMode="External"/><Relationship Id="rId1228" Type="http://schemas.openxmlformats.org/officeDocument/2006/relationships/hyperlink" Target="https://www.booking.com/hotel/re/villa-baril-sucre.fr.html?label=gen173nr-1BCAsovwFCEXZpbGxhLWJhcmlsLXN1Y3JlSDNYBGi_AYgBAZgBDbgBF8gBDNgBAegBAYgCAagCA7gCi5qBvQbAAgHSAiRiMGY2OTIwNC05YzhiLTQ0NWMtOTZlYy0xODRhOGUzMmU5MmPYAgXgAgE&amp;sid=65a9e8e7d74c6bbf9259d16ca71bddc3&amp;dist=0&amp;group_adults=2&amp;group_children=0&amp;keep_landing=1&amp;no_rooms=1&amp;sb_price_type=total&amp;type=total&amp;" TargetMode="External"/><Relationship Id="rId1229" Type="http://schemas.openxmlformats.org/officeDocument/2006/relationships/hyperlink" Target="https://www.facebook.com/SisterHome.conciergerie" TargetMode="External"/><Relationship Id="rId1220" Type="http://schemas.openxmlformats.org/officeDocument/2006/relationships/hyperlink" Target="https://www.airbnb.fr/rooms/49881151?source_impression_id=p3_1738046708_P3g2uE8h5Gfn8lq_" TargetMode="External"/><Relationship Id="rId1221" Type="http://schemas.openxmlformats.org/officeDocument/2006/relationships/hyperlink" Target="https://www.tiktok.com/@fe.gadiamb" TargetMode="External"/><Relationship Id="rId1222" Type="http://schemas.openxmlformats.org/officeDocument/2006/relationships/hyperlink" Target="https://www.instagram.com/feegadiamb/" TargetMode="External"/><Relationship Id="rId1223" Type="http://schemas.openxmlformats.org/officeDocument/2006/relationships/hyperlink" Target="https://www.leboncoin.fr/ad/locations_saisonnieres/2908424117" TargetMode="External"/><Relationship Id="rId469" Type="http://schemas.openxmlformats.org/officeDocument/2006/relationships/hyperlink" Target="https://www.instagram.com/veroniquekraemer/" TargetMode="External"/><Relationship Id="rId468" Type="http://schemas.openxmlformats.org/officeDocument/2006/relationships/hyperlink" Target="https://www.instagram.com/la_foret_du_rempart/" TargetMode="External"/><Relationship Id="rId467" Type="http://schemas.openxmlformats.org/officeDocument/2006/relationships/hyperlink" Target="https://www.facebook.com/people/La-For%C3%AAt-du-Rempart/100065518088543/" TargetMode="External"/><Relationship Id="rId1290" Type="http://schemas.openxmlformats.org/officeDocument/2006/relationships/hyperlink" Target="https://www.instagram.com/casevido/" TargetMode="External"/><Relationship Id="rId1291" Type="http://schemas.openxmlformats.org/officeDocument/2006/relationships/hyperlink" Target="https://www.facebook.com/profile.php?id=100091253297492" TargetMode="External"/><Relationship Id="rId1292" Type="http://schemas.openxmlformats.org/officeDocument/2006/relationships/hyperlink" Target="https://www.airbnb.fr/rooms/1359881013423668464?source_impression_id=p3_1747889515_P3QTVAAOytCy3eCB&amp;check_in=2025-05-23&amp;guests=1&amp;adults=1&amp;check_out=2025-05-24" TargetMode="External"/><Relationship Id="rId462" Type="http://schemas.openxmlformats.org/officeDocument/2006/relationships/hyperlink" Target="https://www.facebook.com/RicaricReunion/" TargetMode="External"/><Relationship Id="rId1293" Type="http://schemas.openxmlformats.org/officeDocument/2006/relationships/hyperlink" Target="https://www.booking.com/hotel/re/ti-case-louise-petit-coin-charmant-a-manapany.fr.html?aid=356980&amp;label=gog235jc-1FCAsovwFCLXRpLWNhc2UtbG91aXNlLXBldGl0LWNvaW4tY2hhcm1hbnQtYS1tYW5hcGFueUgNWANovwGIAQGYAQ24ARjIAQzYAQHoAQH4AQKIAgGoAgS4ArHl9cEGwAIB0gIkYzRmMWUyMzAtNWMyNS00MTZkLTgyOGQtNGJlM2Y1NGRlZTE12AIF4AIB&amp;sid=ba4e4e680180124b9e08f6acfb274803&amp;dest_id=-1331399&amp;dest_type=city&amp;dist=0&amp;group_adults=2&amp;group_children=0&amp;hapos=1&amp;hpos=1&amp;no_rooms=1&amp;req_adults=2&amp;req_children=0&amp;room1=A%2CA&amp;sb_price_type=total&amp;sr_order=popularity&amp;srepoch=1748857550&amp;srpvid=bd404499b0620212&amp;type=total&amp;ucfs=1&amp;" TargetMode="External"/><Relationship Id="rId461" Type="http://schemas.openxmlformats.org/officeDocument/2006/relationships/hyperlink" Target="https://www.facebook.com/croisieresaustralesbellile" TargetMode="External"/><Relationship Id="rId1294" Type="http://schemas.openxmlformats.org/officeDocument/2006/relationships/hyperlink" Target="https://fr.airbnb.com/rooms/1084778510054082125?_set_bev_on_new_domain=1708588246_Nzk5YzdhMWExNTVj&amp;source_impression_id=p3_1748857580_P3d0EUnxnKQV4rRv" TargetMode="External"/><Relationship Id="rId460" Type="http://schemas.openxmlformats.org/officeDocument/2006/relationships/hyperlink" Target="https://www.facebook.com/sejour2reve" TargetMode="External"/><Relationship Id="rId1295" Type="http://schemas.openxmlformats.org/officeDocument/2006/relationships/hyperlink" Target="https://www.facebook.com/people/Ti-Case-Louise/61566819491175/" TargetMode="External"/><Relationship Id="rId1296" Type="http://schemas.openxmlformats.org/officeDocument/2006/relationships/hyperlink" Target="https://www.airbnb.fr/rooms/1390527531197036458?source_impression_id=p3_1748855884_P3ibjwXggC7bNiox" TargetMode="External"/><Relationship Id="rId466" Type="http://schemas.openxmlformats.org/officeDocument/2006/relationships/hyperlink" Target="https://www.facebook.com/auxsenteursdejasmin/" TargetMode="External"/><Relationship Id="rId1297" Type="http://schemas.openxmlformats.org/officeDocument/2006/relationships/hyperlink" Target="https://www.instagram.com/lafabrik974/" TargetMode="External"/><Relationship Id="rId465" Type="http://schemas.openxmlformats.org/officeDocument/2006/relationships/hyperlink" Target="https://www.abritel.fr/location-vacances/p1860994" TargetMode="External"/><Relationship Id="rId1298" Type="http://schemas.openxmlformats.org/officeDocument/2006/relationships/hyperlink" Target="https://www.facebook.com/profile.php?id=61569846470434" TargetMode="External"/><Relationship Id="rId464" Type="http://schemas.openxmlformats.org/officeDocument/2006/relationships/hyperlink" Target="https://www.airbnb.fr/rooms/39794562?source_impression_id=p3_1665740529_c8ML1yYHFWa1x5kv" TargetMode="External"/><Relationship Id="rId1299" Type="http://schemas.openxmlformats.org/officeDocument/2006/relationships/hyperlink" Target="https://www.booking.com/hotel/re/la-fabrik-le-tampon1.fr.html?aid=304142&amp;label=gen173nr-1BCAsovwFCFGxhLWZhYnJpay1sZS10YW1wb24xSDNYBGi_AYgBAZgBDbgBGMgBDNgBAegBAYgCAagCBLgC_u7fwQbAAgHSAiQxMmI3MTI4Ny00MTY5LTQ3NDQtODQ4Zi0wMmY4NWYxY2Y3YTLYAgXgAgE-Share-jxr7mA%401748498310" TargetMode="External"/><Relationship Id="rId463" Type="http://schemas.openxmlformats.org/officeDocument/2006/relationships/hyperlink" Target="https://www.instagram.com/ricaric.tv/?fbclid=IwAR1bcKpshwl2VH7AEYJYldF9v-5WRqDiSilrQDY_bDUB0ZQdA4fLOZ3ukd8" TargetMode="External"/><Relationship Id="rId459" Type="http://schemas.openxmlformats.org/officeDocument/2006/relationships/hyperlink" Target="https://www.facebook.com/LeCapitaineDimitile" TargetMode="External"/><Relationship Id="rId458" Type="http://schemas.openxmlformats.org/officeDocument/2006/relationships/hyperlink" Target="https://www.facebook.com/Australopitrek" TargetMode="External"/><Relationship Id="rId457" Type="http://schemas.openxmlformats.org/officeDocument/2006/relationships/hyperlink" Target="https://www.facebook.com/lonbrazvolkan97442" TargetMode="External"/><Relationship Id="rId456" Type="http://schemas.openxmlformats.org/officeDocument/2006/relationships/hyperlink" Target="https://www.instagram.com/lonbrazvolkan/" TargetMode="External"/><Relationship Id="rId1280" Type="http://schemas.openxmlformats.org/officeDocument/2006/relationships/hyperlink" Target="https://www.booking.com/hotel/re/entr-deux-gones-chambres-d-hotes.fr.html?aid=356980&amp;label=gog235jc-1FCAsovwFCIGVudHItZGV1eC1nb25lcy1jaGFtYnJlcy1kLWhvdGVzSAlYA2i_AYgBAZgBDbgBF8gBDNgBAegBAfgBDIgCAagCA7gC9YHnwAbAAgHSAiRiNGMxNjllYy1jOGRlLTQzNTMtYjAyYS00OTM3ZDZlNmMwMjbYAgbgAgE&amp;sid=f2db896984a0049b10289cc46ffd39ce&amp;dest_id=-1330710&amp;dest_type=city&amp;dist=0&amp;group_adults=2&amp;group_children=0&amp;hapos=1&amp;hpos=1&amp;no_rooms=1&amp;req_adults=2&amp;req_children=0&amp;room1=A%2CA&amp;sb_price_type=total&amp;sr_order=popularity&amp;srepoch=1746518318&amp;srpvid=e21137fb607315dd&amp;type=total&amp;ucfs=1&amp;" TargetMode="External"/><Relationship Id="rId1281" Type="http://schemas.openxmlformats.org/officeDocument/2006/relationships/hyperlink" Target="https://www.tripadvisor.fr/VacationRentalReview-g675133-d29156602-Duplex_Bellevue_Entre_Mer_et_Montagne-Le_Tampon_Arrondissement_of_Saint_Pierre.html" TargetMode="External"/><Relationship Id="rId451" Type="http://schemas.openxmlformats.org/officeDocument/2006/relationships/hyperlink" Target="https://www.facebook.com/profile.php?id=100086089607898" TargetMode="External"/><Relationship Id="rId1282" Type="http://schemas.openxmlformats.org/officeDocument/2006/relationships/hyperlink" Target="https://cocoonr.fr/location-court-sejour/le-tampon-974/duplex-bellevue-entre-mer-et-montagne-8767/?arrival=&amp;departure=&amp;nb_persons=1&amp;nb_children=0" TargetMode="External"/><Relationship Id="rId450" Type="http://schemas.openxmlformats.org/officeDocument/2006/relationships/hyperlink" Target="https://www.airbnb.fr/rooms/36040665?source_impression_id=p3_1665382171_rvDaFHVuNBCrIuSz" TargetMode="External"/><Relationship Id="rId1283" Type="http://schemas.openxmlformats.org/officeDocument/2006/relationships/hyperlink" Target="https://www.booking.com/hotel/re/duplex-bellevue-entre-mer-et-montagne.fr.html?aid=356980&amp;label=gog235jc-1FCAsovwFCJWR1cGxleC1iZWxsZXZ1ZS1lbnRyZS1tZXItZXQtbW9udGFnbmVIDVgDaL8BiAEBmAENuAEXyAEM2AEB6AEB-AECiAIBqAIDuAKmjPbABsACAdICJGQ4MzZiNTE0LTI2NmMtNGJlMy1iNTYwLTEzNTg1ZDVmY2VmNNgCBeACAQ&amp;sid=f2db896984a0049b10289cc46ffd39ce&amp;dest_id=-1331043&amp;dest_type=city&amp;dist=0&amp;group_adults=2&amp;group_children=0&amp;hapos=1&amp;hpos=1&amp;no_rooms=1&amp;req_adults=2&amp;req_children=0&amp;room1=A%2CA&amp;sb_price_type=total&amp;sr_order=popularity&amp;srepoch=1746765471&amp;srpvid=dae62054950b0255&amp;type=total&amp;ucfs=1&amp;" TargetMode="External"/><Relationship Id="rId1284" Type="http://schemas.openxmlformats.org/officeDocument/2006/relationships/hyperlink" Target="https://www.airbnb.fr/rooms/1233888305809462045?source_impression_id=p3_1746765356_P3CMSGOIDH2GlbAj" TargetMode="External"/><Relationship Id="rId1285" Type="http://schemas.openxmlformats.org/officeDocument/2006/relationships/hyperlink" Target="https://www.facebook.com/profile.php?id=61571959379871&amp;rdid=PTfP0badq3URgb0V" TargetMode="External"/><Relationship Id="rId455" Type="http://schemas.openxmlformats.org/officeDocument/2006/relationships/hyperlink" Target="https://www.booking.com/hotel/re/magnifique-villa-avec-jacuzzi-proximite-mer.fr.html?label=gen173nr-1FCAsovwFCK21hZ25pZmlxdWUtdmlsbGEtYXZlYy1qYWN1enppLXByb3hpbWl0ZS1tZXJIDVgEaL8BiAEBmAENuAEXyAEM2AEB6AEB-AECiAIBqAIDuALDipWaBsACAdICJDk3ZTAyNjRmLWIwNGItNGNiMi1hN2I0LWNkMWM3YTAwMWMxN9gCBeACAQ&amp;sid=378e3d714e04f8fd14668882234a570b&amp;dist=0&amp;lang=fr&amp;room1=A%2CA&amp;sb_price_type=total&amp;soz=1&amp;type=total&amp;lang_click=other&amp;cdl=fr&amp;lang_changed=1" TargetMode="External"/><Relationship Id="rId1286" Type="http://schemas.openxmlformats.org/officeDocument/2006/relationships/hyperlink" Target="https://www.instagram.com/waterfallscanyoning?igsh=b2RyemJlOHBuaDM2" TargetMode="External"/><Relationship Id="rId454" Type="http://schemas.openxmlformats.org/officeDocument/2006/relationships/hyperlink" Target="https://www.facebook.com/lilie97480" TargetMode="External"/><Relationship Id="rId1287" Type="http://schemas.openxmlformats.org/officeDocument/2006/relationships/hyperlink" Target="https://www.airbnb.fr/rooms/1411486868281575007?adults=1&amp;search_mode=regular_search&amp;check_in=2025-05-25&amp;check_out=2025-05-30&amp;children=0&amp;infants=0&amp;pets=0&amp;source_impression_id=p3_1747036695_P3idRBTLbSW579fk&amp;previous_page_section_name=1000&amp;federated_search_id=a8f9c8e7-e43c-4f6d-a16a-3f2c72ae9fa3" TargetMode="External"/><Relationship Id="rId453" Type="http://schemas.openxmlformats.org/officeDocument/2006/relationships/hyperlink" Target="https://www.facebook.com/lilielocation97418" TargetMode="External"/><Relationship Id="rId1288" Type="http://schemas.openxmlformats.org/officeDocument/2006/relationships/hyperlink" Target="https://www.facebook.com/p/Le-Repos-dor-100042395544503/" TargetMode="External"/><Relationship Id="rId452" Type="http://schemas.openxmlformats.org/officeDocument/2006/relationships/hyperlink" Target="https://www.facebook.com/profile.php?id=100064454091524" TargetMode="External"/><Relationship Id="rId1289" Type="http://schemas.openxmlformats.org/officeDocument/2006/relationships/hyperlink" Target="https://es-l.airbnb.com/rooms/805612487396795649?source_impression_id=p3_1747305065_P3U0KlxdrJYWHOKE" TargetMode="External"/><Relationship Id="rId491" Type="http://schemas.openxmlformats.org/officeDocument/2006/relationships/hyperlink" Target="https://www.facebook.com/profile.php?id=100077497460285" TargetMode="External"/><Relationship Id="rId490" Type="http://schemas.openxmlformats.org/officeDocument/2006/relationships/hyperlink" Target="https://www.facebook.com/leptitcoindeszabitants/" TargetMode="External"/><Relationship Id="rId489" Type="http://schemas.openxmlformats.org/officeDocument/2006/relationships/hyperlink" Target="https://www.facebook.com/CocoDream974" TargetMode="External"/><Relationship Id="rId484" Type="http://schemas.openxmlformats.org/officeDocument/2006/relationships/hyperlink" Target="https://www.instagram.com/lmcv974/?hl=fr" TargetMode="External"/><Relationship Id="rId483" Type="http://schemas.openxmlformats.org/officeDocument/2006/relationships/hyperlink" Target="https://www.facebook.com/people/Peggy-Auger/100071334105067/" TargetMode="External"/><Relationship Id="rId482" Type="http://schemas.openxmlformats.org/officeDocument/2006/relationships/hyperlink" Target="https://www.instagram.com/fabien480/" TargetMode="External"/><Relationship Id="rId481" Type="http://schemas.openxmlformats.org/officeDocument/2006/relationships/hyperlink" Target="https://www.instagram.com/olodgedesrameaux/" TargetMode="External"/><Relationship Id="rId488" Type="http://schemas.openxmlformats.org/officeDocument/2006/relationships/hyperlink" Target="https://www.facebook.com/profile.php?id=100054257810448" TargetMode="External"/><Relationship Id="rId487" Type="http://schemas.openxmlformats.org/officeDocument/2006/relationships/hyperlink" Target="https://www.facebook.com/loiseauduparadislangevin" TargetMode="External"/><Relationship Id="rId486" Type="http://schemas.openxmlformats.org/officeDocument/2006/relationships/hyperlink" Target="https://www.booking.com/hotel/re/les-alizes.fr.html" TargetMode="External"/><Relationship Id="rId485" Type="http://schemas.openxmlformats.org/officeDocument/2006/relationships/hyperlink" Target="https://www.airbnb.fr/rooms/38635445?source_impression_id=p3_1669096693_nU7R1dbCWXGk3Imc" TargetMode="External"/><Relationship Id="rId480" Type="http://schemas.openxmlformats.org/officeDocument/2006/relationships/hyperlink" Target="https://www.facebook.com/profile.php?id=100073318998521" TargetMode="External"/><Relationship Id="rId479" Type="http://schemas.openxmlformats.org/officeDocument/2006/relationships/hyperlink" Target="https://www.tripadvisor.fr/Restaurant_Review-g675133-d16726503-Reviews-Aux_Delices_des_Iles-Le_Tampon_Arrondissement_of_Saint_Pierre.html" TargetMode="External"/><Relationship Id="rId478" Type="http://schemas.openxmlformats.org/officeDocument/2006/relationships/hyperlink" Target="https://www.airbnb.fr/rooms/676521444738811185?source_impression_id=p3_1667978768_H0pRGnXJ0NnXVlV1&amp;_set_bev_on_new_domain=1663222967_NDA0ZDMxMjE4MjUw" TargetMode="External"/><Relationship Id="rId473" Type="http://schemas.openxmlformats.org/officeDocument/2006/relationships/hyperlink" Target="https://www.airbnb.fr/rooms/706238054968762138?source_impression_id=p3_1666955976_UJ2zScszTLzi5UJU&amp;_set_bev_on_new_domain=1666955974_MmFlMTE2ZTBmODc5" TargetMode="External"/><Relationship Id="rId472" Type="http://schemas.openxmlformats.org/officeDocument/2006/relationships/hyperlink" Target="https://www.facebook.com/profile.php?id=100085177374899" TargetMode="External"/><Relationship Id="rId471" Type="http://schemas.openxmlformats.org/officeDocument/2006/relationships/hyperlink" Target="https://www.facebook.com/LechaletdeNoel974" TargetMode="External"/><Relationship Id="rId470" Type="http://schemas.openxmlformats.org/officeDocument/2006/relationships/hyperlink" Target="https://www.leboncoin.fr/offre/hebergements_insolites/2221506175" TargetMode="External"/><Relationship Id="rId477" Type="http://schemas.openxmlformats.org/officeDocument/2006/relationships/hyperlink" Target="https://www.instagram.com/kaz_emara/" TargetMode="External"/><Relationship Id="rId476" Type="http://schemas.openxmlformats.org/officeDocument/2006/relationships/hyperlink" Target="https://www.facebook.com/profile.php?id=100083366581622" TargetMode="External"/><Relationship Id="rId475" Type="http://schemas.openxmlformats.org/officeDocument/2006/relationships/hyperlink" Target="https://www.booking.com/hotel/re/chambre-commerson.fr.html" TargetMode="External"/><Relationship Id="rId474" Type="http://schemas.openxmlformats.org/officeDocument/2006/relationships/hyperlink" Target="https://www.facebook.com/profile.php?id=100082558283942" TargetMode="External"/><Relationship Id="rId1257" Type="http://schemas.openxmlformats.org/officeDocument/2006/relationships/hyperlink" Target="https://www.instagram.com/villaotipailleenqueue?fbclid=IwY2xjawJNyrtleHRuA2FlbQIxMAABHX-13k6Dmjq6pybB7VqpFj7vSIpTzk4Ggal8eDTsrTIurvYdqIx4tOOcEA_aem_2niV23UTI2b0RtO21dKpEw" TargetMode="External"/><Relationship Id="rId1258" Type="http://schemas.openxmlformats.org/officeDocument/2006/relationships/hyperlink" Target="https://www.facebook.com/profile.php?id=100090014266295" TargetMode="External"/><Relationship Id="rId1259" Type="http://schemas.openxmlformats.org/officeDocument/2006/relationships/hyperlink" Target="https://www.booking.com/hotel/re/aquilegia.fr.html?aid=356980&amp;label=gog235jc-1FCAsovwFCCWFxdWlsZWdpYUgNWANovwGIAQGYAQ24ARjIAQzYAQHoAQH4AQKIAgGoAgS4AoX8s78GwAIB0gIkNGU5Zjk5NjYtMWFmYS00ZDEwLTkzNDctNGVhMzI1MGMwMGE12AIF4AIB&amp;sid=ba4e4e680180124b9e08f6acfb274803&amp;dest_id=-1331399&amp;dest_type=city&amp;dist=0&amp;group_adults=2&amp;group_children=0&amp;hapos=1&amp;hpos=1&amp;no_rooms=1&amp;req_adults=2&amp;req_children=0&amp;room1=A%2CA&amp;sb_price_type=total&amp;sr_order=popularity&amp;srepoch=1743584781&amp;srpvid=3a5940032d210801&amp;type=total&amp;ucfs=1&amp;" TargetMode="External"/><Relationship Id="rId426" Type="http://schemas.openxmlformats.org/officeDocument/2006/relationships/hyperlink" Target="https://www.tripadvisor.fr/VacationRentalReview-g675133-d9808733-La_kaz_a_melina_02-Le_Tampon_Arrondissement_of_Saint_Pierre.html" TargetMode="External"/><Relationship Id="rId425" Type="http://schemas.openxmlformats.org/officeDocument/2006/relationships/hyperlink" Target="https://www.booking.com/hotel/re/la-kaz-a-melina.fr.html" TargetMode="External"/><Relationship Id="rId424" Type="http://schemas.openxmlformats.org/officeDocument/2006/relationships/hyperlink" Target="https://www.booking.com/hotel/re/jasmin-de-nuit.fr.html" TargetMode="External"/><Relationship Id="rId423" Type="http://schemas.openxmlformats.org/officeDocument/2006/relationships/hyperlink" Target="https://www.facebook.com/Jasmin-de-nuit-107610581636233" TargetMode="External"/><Relationship Id="rId429" Type="http://schemas.openxmlformats.org/officeDocument/2006/relationships/hyperlink" Target="https://www.booking.com/hotel/re/sud-ha-tel.fr.html?aid=318615&amp;label=New_French_FR_RE_26394819985-5KMfyMgIYi7RF9Cd6ZNX9wS100087090705%3Apl%3Ata%3Ap1%3Ap2%3Aac%3Aap%3Aneg%3Afi%3Atidsa-194594581705%3Alp9075843%3Ali%3Adec%3Adm&amp;sid=6809b13e7ff478c830cb2eea67e3b37d&amp;dest_id=-1331043;dest_type=city;dist=0;group_adults=2;group_children=0;hapos=1;hpos=1;no_rooms=1;req_adults=2;req_children=0;room1=A%2CA;sb_price_type=total;sr_order=popularity;srepoch=1663930212;srpvid=a1aa4c3176f9021a;type=total;ucfs=1&amp;" TargetMode="External"/><Relationship Id="rId428" Type="http://schemas.openxmlformats.org/officeDocument/2006/relationships/hyperlink" Target="https://www.facebook.com/La-ferme-du-Kilimandjaro-242832062839593" TargetMode="External"/><Relationship Id="rId427" Type="http://schemas.openxmlformats.org/officeDocument/2006/relationships/hyperlink" Target="https://www.booking.com/hotel/re/la-kaz-a-melina.fr.html" TargetMode="External"/><Relationship Id="rId1250" Type="http://schemas.openxmlformats.org/officeDocument/2006/relationships/hyperlink" Target="https://www.facebook.com/profile.php?id=100086249172435" TargetMode="External"/><Relationship Id="rId1251" Type="http://schemas.openxmlformats.org/officeDocument/2006/relationships/hyperlink" Target="https://www.booking.com/hotel/re/la-villa-vetiver.fr.html?aid=304142&amp;label=gen173nr-1BCAsovwFCEGxhLXZpbGxhLXZldGl2ZXJIM1gEaE2IAQGYAQ24ARjIAQ3YAQHoAQGIAgGoAgS4Avu38rwGwAIB0gIkZGM5Y2I5ZjktMjdmMi00NTg1LTkwOGMtMmU4ZDJkZWE3ZmNl2AIF4AIB-Share-iZMau5b%401738316803" TargetMode="External"/><Relationship Id="rId1252" Type="http://schemas.openxmlformats.org/officeDocument/2006/relationships/hyperlink" Target="https://www.airbnb.fr/rooms/1015687688557016452?guests=1&amp;adults=1&amp;s=67&amp;unique_share_id=15b4c6ce-6764-4a26-8130-58fefe31476d&amp;source_impression_id=p3_1742792486_P3C-_S2xxctVMgwe" TargetMode="External"/><Relationship Id="rId422" Type="http://schemas.openxmlformats.org/officeDocument/2006/relationships/hyperlink" Target="https://www.facebook.com/Fran%C3%A7ois-Nicolle-Sculpteur-102503294767717" TargetMode="External"/><Relationship Id="rId1253" Type="http://schemas.openxmlformats.org/officeDocument/2006/relationships/hyperlink" Target="https://www.facebook.com/profile.php?id=61553245162029" TargetMode="External"/><Relationship Id="rId421" Type="http://schemas.openxmlformats.org/officeDocument/2006/relationships/hyperlink" Target="https://www.facebook.com/profile.php?id=100067494674393" TargetMode="External"/><Relationship Id="rId1254" Type="http://schemas.openxmlformats.org/officeDocument/2006/relationships/hyperlink" Target="https://www.instagram.com/villavetiver?fbclid=IwY2xjawJNxUtleHRuA2FlbQIxMAABHXjIMI2smQz5fG6Btg_SF3RPnPKVl5KXJb6pRi6yc1diXntDMz9q8aHGpg_aem_zDnupz3QESuJF-p3B1KIPA" TargetMode="External"/><Relationship Id="rId420" Type="http://schemas.openxmlformats.org/officeDocument/2006/relationships/hyperlink" Target="https://www.facebook.com/pages/Restaurant-Warren-Hasting/835806513218852" TargetMode="External"/><Relationship Id="rId1255" Type="http://schemas.openxmlformats.org/officeDocument/2006/relationships/hyperlink" Target="https://www.booking.com/hotel/re/villa-o-ti-paille-en-queue.fr.html?aid=304142&amp;label=gen173nr-1BCAsovwFCGnZpbGxhLW8tdGktcGFpbGxlLWVuLXF1ZXVlSDNYBGhNiAEBmAENuAEYyAEN2AEB6AEBiAIBqAIEuALpuu-8BsACAdICJDUzODA2ZWZhLTAzZTktNGM1OC1iYTkzLTkwNTY1YzhjYzNkMdgCBeACAQ-Share-VGZPwP%401738268012" TargetMode="External"/><Relationship Id="rId1256" Type="http://schemas.openxmlformats.org/officeDocument/2006/relationships/hyperlink" Target="https://www.airbnb.fr/rooms/821444321996433767?guests=1&amp;adults=1&amp;s=67&amp;unique_share_id=972af798-4382-463f-9f23-6762cb9def23&amp;source_impression_id=p3_1742793646_P3dgYrXAq0wBYjJV" TargetMode="External"/><Relationship Id="rId1246" Type="http://schemas.openxmlformats.org/officeDocument/2006/relationships/hyperlink" Target="https://www.facebook.com/5aTransports.Vtc" TargetMode="External"/><Relationship Id="rId1247" Type="http://schemas.openxmlformats.org/officeDocument/2006/relationships/hyperlink" Target="https://www.facebook.com/people/Villa-%C3%B6-nature-sauvage/61564867726753/?_rdr" TargetMode="External"/><Relationship Id="rId1248" Type="http://schemas.openxmlformats.org/officeDocument/2006/relationships/hyperlink" Target="https://fr.airbnb.com/rooms/1259645264838788680?fbclid=IwY2xjawJI1UFleHRuA2FlbQIxMAABHXdX_kjFRa9nnGhhjcZRNlO5nP83woGzUnCy0GpXQDpyqIUmoSwxi0JkqA_aem_k4Sij9RDhSYRr5Me2MOFdA&amp;_set_bev_on_new_domain=1663222967_NDA0ZDMxMjE4MjUw&amp;source_impression_id=p3_1742468611_P3-DDNxpC_RHIlN5" TargetMode="External"/><Relationship Id="rId1249" Type="http://schemas.openxmlformats.org/officeDocument/2006/relationships/hyperlink" Target="https://www.instagram.com/villa_o_nature_sauvage?fbclid=IwY2xjawJI1T9leHRuA2FlbQIxMAABHXOMV22Y9YfUAJLgRN8Sh3NpGr18j8dWhRjUn6W1AjY5qud-SLLf3Uoh1Q_aem_Bc9kJArR8YiF_QdCrfEYyA" TargetMode="External"/><Relationship Id="rId415" Type="http://schemas.openxmlformats.org/officeDocument/2006/relationships/hyperlink" Target="https://www.facebook.com/Le-figuier-100575541812719" TargetMode="External"/><Relationship Id="rId414" Type="http://schemas.openxmlformats.org/officeDocument/2006/relationships/hyperlink" Target="https://www.facebook.com/La-CAHEB-559541437711818/" TargetMode="External"/><Relationship Id="rId413" Type="http://schemas.openxmlformats.org/officeDocument/2006/relationships/hyperlink" Target="https://www.instagram.com/leyabar974/?hl=fr" TargetMode="External"/><Relationship Id="rId412" Type="http://schemas.openxmlformats.org/officeDocument/2006/relationships/hyperlink" Target="https://www.facebook.com/couteauxbourbon97430/" TargetMode="External"/><Relationship Id="rId419" Type="http://schemas.openxmlformats.org/officeDocument/2006/relationships/hyperlink" Target="https://www.tripadvisor.fr/Restaurant_Review-g2140646-d8669492-Reviews-Warren_Hasting-Saint_Philippe_Arrondissement_of_Saint_Pierre.html" TargetMode="External"/><Relationship Id="rId418" Type="http://schemas.openxmlformats.org/officeDocument/2006/relationships/hyperlink" Target="https://www.facebook.com/velia.location.saisonniere.Reunion.Sud.974" TargetMode="External"/><Relationship Id="rId417" Type="http://schemas.openxmlformats.org/officeDocument/2006/relationships/hyperlink" Target="https://www.tripadvisor.fr/Restaurant_Review-g2140646-d12712119-Reviews-Le_mascarin-Saint_Philippe_Arrondissement_of_Saint_Pierre.html" TargetMode="External"/><Relationship Id="rId416" Type="http://schemas.openxmlformats.org/officeDocument/2006/relationships/hyperlink" Target="https://www.instagram.com/le_monde_d_elsa_et_fred/" TargetMode="External"/><Relationship Id="rId1240" Type="http://schemas.openxmlformats.org/officeDocument/2006/relationships/hyperlink" Target="https://www.instagram.com/linstantdevasion97418/" TargetMode="External"/><Relationship Id="rId1241" Type="http://schemas.openxmlformats.org/officeDocument/2006/relationships/hyperlink" Target="https://www.facebook.com/leplatgarni/" TargetMode="External"/><Relationship Id="rId411" Type="http://schemas.openxmlformats.org/officeDocument/2006/relationships/hyperlink" Target="https://www.facebook.com/speleolave" TargetMode="External"/><Relationship Id="rId1242" Type="http://schemas.openxmlformats.org/officeDocument/2006/relationships/hyperlink" Target="https://www.instagram.com/leplatgarni?fbclid=IwY2xjawI3mKNleHRuA2FlbQIxMAABHf-qO0UdGNOrMaXjoCrQAXu4SRLewxoQMPESxCWgenlv6TIXAvMbTsBMxw_aem_U1be9EOsYk1EGG8MEoF-EQ" TargetMode="External"/><Relationship Id="rId410" Type="http://schemas.openxmlformats.org/officeDocument/2006/relationships/hyperlink" Target="https://www.instagram.com/speleolave/?hl=fr" TargetMode="External"/><Relationship Id="rId1243" Type="http://schemas.openxmlformats.org/officeDocument/2006/relationships/hyperlink" Target="https://www.airbnb.fr/rooms/1300733389512470174?source_impression_id=p3_1742358162_P3gMSrwPRf1MtMqe" TargetMode="External"/><Relationship Id="rId1244" Type="http://schemas.openxmlformats.org/officeDocument/2006/relationships/hyperlink" Target="https://www.facebook.com/profile.php?id=61571379835498" TargetMode="External"/><Relationship Id="rId1245" Type="http://schemas.openxmlformats.org/officeDocument/2006/relationships/hyperlink" Target="https://www.instagram.com/5atransports/" TargetMode="External"/><Relationship Id="rId1279" Type="http://schemas.openxmlformats.org/officeDocument/2006/relationships/hyperlink" Target="https://www.airbnb.fr/rooms/1408571909086383076?adults=1&amp;guests=1&amp;search_mode=regular_search&amp;check_in=2025-05-11&amp;check_out=2025-05-16&amp;children=0&amp;infants=0&amp;pets=0&amp;source_impression_id=p3_1746517901_P3Zh8FKuKTzuum92&amp;previous_page_section_name=1000&amp;federated_search_id=ffce2d2c-0a80-42a2-8777-2c881938721f" TargetMode="External"/><Relationship Id="rId448" Type="http://schemas.openxmlformats.org/officeDocument/2006/relationships/hyperlink" Target="https://planetofhotels.com/fr/la-reunion/entre-deux/villa-taaj-palace-100m2-piscine-nature-entre-deux" TargetMode="External"/><Relationship Id="rId447" Type="http://schemas.openxmlformats.org/officeDocument/2006/relationships/hyperlink" Target="https://fr.airbnb.ch/rooms/640267299165635751?source_impression_id=p3_1665040221_wcmh1%2Fd3I1RKBM5n" TargetMode="External"/><Relationship Id="rId446" Type="http://schemas.openxmlformats.org/officeDocument/2006/relationships/hyperlink" Target="https://www.booking.com/hotel/re/lonbraz-volkan-meuble-avec-jacuzzi-privatif.fr.html" TargetMode="External"/><Relationship Id="rId445" Type="http://schemas.openxmlformats.org/officeDocument/2006/relationships/hyperlink" Target="https://www.airbnb.fr/rooms/51240950?adults=1&amp;children=0&amp;infants=0&amp;check_in=2022-10-07&amp;check_out=2022-10-12&amp;federated_search_id=6771101a-7361-4d74-8f2b-b98b29579c47&amp;source_impression_id=p3_1664603872_n2dsWGtDBkxFSGbQ" TargetMode="External"/><Relationship Id="rId449" Type="http://schemas.openxmlformats.org/officeDocument/2006/relationships/hyperlink" Target="https://www.airbnb.fr/rooms/46883273?source_impression_id=p3_1665382069_hqY6rbm94saxjDWy" TargetMode="External"/><Relationship Id="rId1270" Type="http://schemas.openxmlformats.org/officeDocument/2006/relationships/hyperlink" Target="https://www.facebook.com/profile.php?id=61574009975552" TargetMode="External"/><Relationship Id="rId440" Type="http://schemas.openxmlformats.org/officeDocument/2006/relationships/hyperlink" Target="https://www.facebook.com/mechant974" TargetMode="External"/><Relationship Id="rId1271" Type="http://schemas.openxmlformats.org/officeDocument/2006/relationships/hyperlink" Target="https://www.airbnb.fr/rooms/1257069119596993061?adults=1&amp;search_mode=regular_search&amp;check_in=2025-05-01&amp;check_out=2025-05-06&amp;children=0&amp;infants=0&amp;pets=0&amp;source_impression_id=p3_1745481028_P3Yzr1YvuZhTniAc&amp;previous_page_section_name=1000&amp;federated_search_id=e4c3227d-f5e7-4f90-a892-62334c96c47f" TargetMode="External"/><Relationship Id="rId1272" Type="http://schemas.openxmlformats.org/officeDocument/2006/relationships/hyperlink" Target="https://www.facebook.com/profile.php?id=61567887686131" TargetMode="External"/><Relationship Id="rId1273" Type="http://schemas.openxmlformats.org/officeDocument/2006/relationships/hyperlink" Target="https://www.tripadvisor.fr/Restaurant_Review-g2140646-d32769046-Reviews-Restaurant_Le_Ti_Recif-Saint_Philippe_Arrondissement_of_Saint_Pierre.html" TargetMode="External"/><Relationship Id="rId1274" Type="http://schemas.openxmlformats.org/officeDocument/2006/relationships/hyperlink" Target="https://www.airbnb.fr/rooms/1407688840338982787?adults=1&amp;search_mode=regular_search&amp;check_in=2025-05-02&amp;check_out=2025-05-07&amp;children=0&amp;infants=0&amp;pets=0&amp;source_impression_id=p3_1745999719_P3KXvy8PkBad3KK9&amp;previous_page_section_name=1000&amp;federated_search_id=16dec6c1-b15e-45df-9946-2e5e685e5a59" TargetMode="External"/><Relationship Id="rId444" Type="http://schemas.openxmlformats.org/officeDocument/2006/relationships/hyperlink" Target="https://www.booking.com/hotel/re/a-la-kaz-ti-zozeff-saint-joseph.fr.html?aid=318615&amp;label=New_French_FR_TN_27027044065-bvXnm9gzTkientvdFEK2VAS217291950652%3Apl%3Ata%3Ap1%3Ap2%3Aac%3Aap%3Aneg%3Afi%3Atidsa-64415224945%3Alp9075843%3Ali9075843%3Adec%3Adm&amp;sid=60c6a39ae5b5bfd1618f63b17c4fc92f&amp;dest_id=-1331399;dest_type=city;dist=0;group_adults=2;group_children=0;hapos=1;hpos=1;no_rooms=1;req_adults=2;req_children=0;room1=A%2CA;sb_price_type=total;sr_order=popularity;srepoch=1664603907;srpvid=9fc22a015fac0259;type=total;ucfs=1&amp;" TargetMode="External"/><Relationship Id="rId1275" Type="http://schemas.openxmlformats.org/officeDocument/2006/relationships/hyperlink" Target="https://www.booking.com/hotel/re/chez-francine.fr.html?aid=356980&amp;label=gog235jc-1FCAsovwFCDWNoZXotZnJhbmNpbmVICVgDaL8BiAEBmAENuAEXyAEM2AEB6AEB-AEMiAIBqAIDuALcr8fABsACAdICJDJlYzZjYzVjLWQyYjUtNDI0MC1hYWQ4LWE4MjVjMjYxZmYyNtgCBuACAQ&amp;sid=f2db896984a0049b10289cc46ffd39ce&amp;dest_id=-1331043&amp;dest_type=city&amp;dist=0&amp;group_adults=2&amp;group_children=0&amp;hapos=1&amp;hpos=1&amp;no_rooms=1&amp;req_adults=2&amp;req_children=0&amp;room1=A%2CA&amp;sb_price_type=total&amp;sr_order=popularity&amp;srepoch=1745999846&amp;srpvid=5f4c37efce040053&amp;type=total&amp;ucfs=1&amp;" TargetMode="External"/><Relationship Id="rId443" Type="http://schemas.openxmlformats.org/officeDocument/2006/relationships/hyperlink" Target="https://www.booking.com/hotel/re/incroyable-maison-de-mamie-mechant.fr.html" TargetMode="External"/><Relationship Id="rId1276" Type="http://schemas.openxmlformats.org/officeDocument/2006/relationships/hyperlink" Target="https://www.facebook.com/profile.php?id=61575216812517" TargetMode="External"/><Relationship Id="rId442" Type="http://schemas.openxmlformats.org/officeDocument/2006/relationships/hyperlink" Target="https://www.facebook.com/terrerouge974" TargetMode="External"/><Relationship Id="rId1277" Type="http://schemas.openxmlformats.org/officeDocument/2006/relationships/hyperlink" Target="https://www.booking.com/hotel/re/nou-dor-ter-la.fr.html?label=gen173nr-1BCAEoggI46AdIM1gEaL8BiAEBmAENuAEXyAEM2AEB6AEBiAIBqAIDuAL1m9HABsACAdICJGM5MWJlNWYxLTdiZmItNGFmNi1iYmM5LTk3OTQ0MmI2YTVkNtgCBeACAQ&amp;sid=f2db896984a0049b10289cc46ffd39ce&amp;aid=304142&amp;ucfs=1&amp;dest_id=-1330710&amp;dest_type=city&amp;group_adults=2&amp;no_rooms=1&amp;group_children=0&amp;srpvid=190c218698ad04e3&amp;srepoch=1746161212&amp;atlas_src=sr_iw_title" TargetMode="External"/><Relationship Id="rId441" Type="http://schemas.openxmlformats.org/officeDocument/2006/relationships/hyperlink" Target="https://www.instagram.com/mechant974/" TargetMode="External"/><Relationship Id="rId1278" Type="http://schemas.openxmlformats.org/officeDocument/2006/relationships/hyperlink" Target="https://www.booking.com/hotel/re/le-muguet-sauvage.fr.html?aid=356980&amp;label=gog235jc-1FCAsovwFCEWxlLW11Z3VldC1zYXV2YWdlSDNYA2i_AYgBAZgBDbgBF8gBDNgBAegBAfgBDIgCAagCA7gCwPW_rwbAAgHSAiRhZDhlZjI1My05ZTBhLTQyMGEtOWExMy01MWI3OWY0NTExMzDYAgbgAgE&amp;sid=f2db896984a0049b10289cc46ffd39ce&amp;dest_id=-1331043&amp;dest_type=city&amp;dist=0&amp;group_adults=2&amp;group_children=0&amp;hapos=1&amp;hpos=1&amp;no_rooms=1&amp;req_adults=2&amp;req_children=0&amp;room1=A%2CA&amp;sb_price_type=total&amp;sr_order=popularity&amp;srepoch=1746440395&amp;srpvid=7c9c48a35d6201eb&amp;type=total&amp;ucfs=1&amp;" TargetMode="External"/><Relationship Id="rId1268" Type="http://schemas.openxmlformats.org/officeDocument/2006/relationships/hyperlink" Target="https://www.instagram.com/labibreunion/" TargetMode="External"/><Relationship Id="rId1269" Type="http://schemas.openxmlformats.org/officeDocument/2006/relationships/hyperlink" Target="https://www.facebook.com/labibreunion" TargetMode="External"/><Relationship Id="rId437" Type="http://schemas.openxmlformats.org/officeDocument/2006/relationships/hyperlink" Target="https://www.facebook.com/bleudusud974" TargetMode="External"/><Relationship Id="rId436" Type="http://schemas.openxmlformats.org/officeDocument/2006/relationships/hyperlink" Target="https://www.facebook.com/gigitecoco/" TargetMode="External"/><Relationship Id="rId435" Type="http://schemas.openxmlformats.org/officeDocument/2006/relationships/hyperlink" Target="https://www.facebook.com/Jasmin-de-nuit-107610581636233" TargetMode="External"/><Relationship Id="rId434" Type="http://schemas.openxmlformats.org/officeDocument/2006/relationships/hyperlink" Target="https://www.airbnb.fr/rooms/52746482?source_impression_id=p3_1664188161_KvoNQdFAMyuikkJr" TargetMode="External"/><Relationship Id="rId439" Type="http://schemas.openxmlformats.org/officeDocument/2006/relationships/hyperlink" Target="https://www.facebook.com/people/Lannmariah/100085175454788/" TargetMode="External"/><Relationship Id="rId438" Type="http://schemas.openxmlformats.org/officeDocument/2006/relationships/hyperlink" Target="https://www.booking.com/hotel/re/gigite-coco.fr.html" TargetMode="External"/><Relationship Id="rId1260" Type="http://schemas.openxmlformats.org/officeDocument/2006/relationships/hyperlink" Target="https://www.airbnb.fr/rooms/1333872540388562288?source_impression_id=p3_1743675319_P3XhTyhQwc7F4Ykh" TargetMode="External"/><Relationship Id="rId1261" Type="http://schemas.openxmlformats.org/officeDocument/2006/relationships/hyperlink" Target="https://www.instagram.com/ceramika_re/" TargetMode="External"/><Relationship Id="rId1262" Type="http://schemas.openxmlformats.org/officeDocument/2006/relationships/hyperlink" Target="https://www.facebook.com/marika.sergeat" TargetMode="External"/><Relationship Id="rId1263" Type="http://schemas.openxmlformats.org/officeDocument/2006/relationships/hyperlink" Target="https://www.facebook.com/entrefleursetplantes" TargetMode="External"/><Relationship Id="rId433" Type="http://schemas.openxmlformats.org/officeDocument/2006/relationships/hyperlink" Target="https://www.booking.com/hotel/re/songe.fr.html?aid=304142&amp;label=gen173nr-1DCAsovwFCDmphc21pbi1kZS1udWl0SA1YBGi_AYgBAZgBDbgBF8gBD9gBA-gBAfgBAogCAagCA7gC36_FmQbAAgHSAiQ3NzY0NWU2MS0zZWFiLTRmZWItYWMyNS1jY2M3NzVmZDgzODLYAgTgAgE&amp;sid=3686fddff533fab9b2e00bc41df0fc71&amp;dest_id=-1331043&amp;dest_type=city&amp;dist=0&amp;group_adults=2&amp;group_children=0&amp;no_rooms=1&amp;sb_price_type=total&amp;type=total&amp;ucfac=151&amp;" TargetMode="External"/><Relationship Id="rId1264" Type="http://schemas.openxmlformats.org/officeDocument/2006/relationships/hyperlink" Target="https://www.facebook.com/profile.php?id=100007894426932" TargetMode="External"/><Relationship Id="rId432" Type="http://schemas.openxmlformats.org/officeDocument/2006/relationships/hyperlink" Target="https://www.leboncoin.fr/offre/locations_gites/2200353679" TargetMode="External"/><Relationship Id="rId1265" Type="http://schemas.openxmlformats.org/officeDocument/2006/relationships/hyperlink" Target="https://www.facebook.com/profile.php?id=61565929853862" TargetMode="External"/><Relationship Id="rId431" Type="http://schemas.openxmlformats.org/officeDocument/2006/relationships/hyperlink" Target="https://www.airbnb.fr/rooms/52747087?source_impression_id=p3_1663933289_LxV%2Fe6n%2B9QD%2B7sWS" TargetMode="External"/><Relationship Id="rId1266" Type="http://schemas.openxmlformats.org/officeDocument/2006/relationships/hyperlink" Target="https://www.instagram.com/leszaventuriers.re/" TargetMode="External"/><Relationship Id="rId430" Type="http://schemas.openxmlformats.org/officeDocument/2006/relationships/hyperlink" Target="https://www.tripadvisor.fr/Hotel_Review-g675133-d1725023-Reviews-Sud_Hotel-Le_Tampon_Arrondissement_of_Saint_Pierre.html" TargetMode="External"/><Relationship Id="rId1267" Type="http://schemas.openxmlformats.org/officeDocument/2006/relationships/hyperlink" Target="https://www.facebook.com/p/Les-Zaventuriers-61556083888209/" TargetMode="External"/><Relationship Id="rId1" Type="http://schemas.openxmlformats.org/officeDocument/2006/relationships/hyperlink" Target="https://www.facebook.com/ledimitile/" TargetMode="External"/><Relationship Id="rId2" Type="http://schemas.openxmlformats.org/officeDocument/2006/relationships/hyperlink" Target="https://www.facebook.com/people/Les-milles-et-une-nuit-du-gecko/100063198881246/" TargetMode="External"/><Relationship Id="rId3" Type="http://schemas.openxmlformats.org/officeDocument/2006/relationships/hyperlink" Target="https://www.facebook.com/people/Pizza-DEric-Grande-Ferme/100057371721451/" TargetMode="External"/><Relationship Id="rId4" Type="http://schemas.openxmlformats.org/officeDocument/2006/relationships/hyperlink" Target="https://www.facebook.com/La-Kaz-Jaune-104691421903353/" TargetMode="External"/><Relationship Id="rId9" Type="http://schemas.openxmlformats.org/officeDocument/2006/relationships/hyperlink" Target="https://www.facebook.com/Les-savons-de-sarah-343090719128276" TargetMode="External"/><Relationship Id="rId5" Type="http://schemas.openxmlformats.org/officeDocument/2006/relationships/hyperlink" Target="https://www.facebook.com/Lodges-Les-Vanilliers-126612897395240/" TargetMode="External"/><Relationship Id="rId6" Type="http://schemas.openxmlformats.org/officeDocument/2006/relationships/hyperlink" Target="https://www.facebook.com/lelonganis/?ref=page_internal" TargetMode="External"/><Relationship Id="rId7" Type="http://schemas.openxmlformats.org/officeDocument/2006/relationships/hyperlink" Target="https://www.facebook.com/Association-Des-Petits-M%C3%A9tiers-1466122896945870" TargetMode="External"/><Relationship Id="rId8" Type="http://schemas.openxmlformats.org/officeDocument/2006/relationships/hyperlink" Target="https://www.facebook.com/LAtelierDeCoccinelle" TargetMode="External"/><Relationship Id="rId808" Type="http://schemas.openxmlformats.org/officeDocument/2006/relationships/hyperlink" Target="https://www.tripadvisor.fr/Hotel_Review-g635742-d25733391-Reviews-Villa_Couleurs_Du_Sud_Sauvage-Saint_Joseph_Arrondissement_of_Saint_Pierre.html" TargetMode="External"/><Relationship Id="rId807" Type="http://schemas.openxmlformats.org/officeDocument/2006/relationships/hyperlink" Target="https://www.facebook.com/couleursdusudsauvage" TargetMode="External"/><Relationship Id="rId806" Type="http://schemas.openxmlformats.org/officeDocument/2006/relationships/hyperlink" Target="https://www.facebook.com/ericlavalleproduitsrarespei" TargetMode="External"/><Relationship Id="rId805" Type="http://schemas.openxmlformats.org/officeDocument/2006/relationships/hyperlink" Target="https://www.facebook.com/marketplace/item/331699286210112/?ref=search&amp;referral_code=null&amp;referral_story_type=post&amp;tracking=browse_serp%3A9721ed7d-b49c-4dd4-80ce-95f61204b824" TargetMode="External"/><Relationship Id="rId809" Type="http://schemas.openxmlformats.org/officeDocument/2006/relationships/hyperlink" Target="https://www.booking.com/hotel/re/villa-couleurs-du-sud-sauvage.fr.html" TargetMode="External"/><Relationship Id="rId800" Type="http://schemas.openxmlformats.org/officeDocument/2006/relationships/hyperlink" Target="https://www.booking.com/hotel/re/le-belvedere.fr.html" TargetMode="External"/><Relationship Id="rId804" Type="http://schemas.openxmlformats.org/officeDocument/2006/relationships/hyperlink" Target="https://www.facebook.com/iletauxpalmistes" TargetMode="External"/><Relationship Id="rId803" Type="http://schemas.openxmlformats.org/officeDocument/2006/relationships/hyperlink" Target="https://www.facebook.com/p/LEscala-Vincendo-100063655172729/?paipv=0&amp;eav=AfZzarl6oIx1e-qXBu7-vV2ZQNuslqlBc2jLLG_z0KCFimE-AnZpgWPSgjicdCvXwGo&amp;_rdr" TargetMode="External"/><Relationship Id="rId802" Type="http://schemas.openxmlformats.org/officeDocument/2006/relationships/hyperlink" Target="https://www.facebook.com/profile.php?id=100057148462137&amp;paipv=0&amp;eav=AfblOrUtI5JNWqvaXqsXtjCI3FclCiJwaA8nRYd3F93AGMtKhqLkNRY-Y_93TnfP3_Q" TargetMode="External"/><Relationship Id="rId801" Type="http://schemas.openxmlformats.org/officeDocument/2006/relationships/hyperlink" Target="https://www.facebook.com/profile.php?id=100042485576130" TargetMode="External"/><Relationship Id="rId1334" Type="http://schemas.openxmlformats.org/officeDocument/2006/relationships/hyperlink" Target="https://www.facebook.com/profile.php?id=61576432205467" TargetMode="External"/><Relationship Id="rId1335" Type="http://schemas.openxmlformats.org/officeDocument/2006/relationships/hyperlink" Target="https://www.facebook.com/people/Les-Chalets-du-Morne/61577934212680/" TargetMode="External"/><Relationship Id="rId1336" Type="http://schemas.openxmlformats.org/officeDocument/2006/relationships/hyperlink" Target="https://www.facebook.com/people/Les-Chalets-du-Morne/61577934212680/" TargetMode="External"/><Relationship Id="rId1337" Type="http://schemas.openxmlformats.org/officeDocument/2006/relationships/hyperlink" Target="https://www.instagram.com/cocovanille97442/" TargetMode="External"/><Relationship Id="rId1338" Type="http://schemas.openxmlformats.org/officeDocument/2006/relationships/hyperlink" Target="https://www.facebook.com/profile.php?id=61575227956449" TargetMode="External"/><Relationship Id="rId1339" Type="http://schemas.openxmlformats.org/officeDocument/2006/relationships/hyperlink" Target="https://www.facebook.com/profile.php?id=100073130676299" TargetMode="External"/><Relationship Id="rId745" Type="http://schemas.openxmlformats.org/officeDocument/2006/relationships/hyperlink" Target="https://www.leboncoin.fr/offre/locations_gites/2395644192" TargetMode="External"/><Relationship Id="rId744" Type="http://schemas.openxmlformats.org/officeDocument/2006/relationships/hyperlink" Target="https://fr.airbnb.com/rooms/53563100?_set_bev_on_new_domain=1663222967_NDA0ZDMxMjE4MjUw&amp;source_impression_id=p3_1692941157_Dl8jN3iUdTM3deDC" TargetMode="External"/><Relationship Id="rId743" Type="http://schemas.openxmlformats.org/officeDocument/2006/relationships/hyperlink" Target="https://www.booking.com/hotel/re/le-quelea-une-case-creole-de-charme.fr.html?aid=356980&amp;label=gog235jc-1FCAsovwFCI2xlLXF1ZWxlYS11bmUtY2FzZS1jcmVvbGUtZGUtY2hhcm1lSA1YA2i_AYgBAZgBDbgBF8gBDNgBAegBAfgBAogCAagCA7gC2smcpwbAAgHSAiRjZGNlZGRkMS1iZTA5LTQ4ODUtODFhNi01MjE3YzliYTAzMGTYAgXgAgE&amp;sid=1d91ab27864dc9721d26f0ceffa99ed5&amp;checkin=2023-08-26;checkout=2023-08-27;dest_id=-1330710;dest_type=city;dist=0;group_adults=2;group_children=0;hapos=1;hpos=1;no_rooms=1;req_adults=2;req_children=0;room1=A%2CA;sb_price_type=total;soh=1;sr_order=popularity;srepoch=1692869961;srpvid=2b1743e18e0301cc;type=total;ucfs=1&amp;" TargetMode="External"/><Relationship Id="rId742" Type="http://schemas.openxmlformats.org/officeDocument/2006/relationships/hyperlink" Target="https://www.abritel.fr/location-vacances/p2260080?noDates=true&amp;uni_id=2437011" TargetMode="External"/><Relationship Id="rId749" Type="http://schemas.openxmlformats.org/officeDocument/2006/relationships/hyperlink" Target="https://www.tripadvisor.fr/Restaurant_Review-g17157705-d20120506-Reviews-Restaurant_Chez_Reine_Lys-Langevin_Arrondissement_of_Saint_Pierre.html" TargetMode="External"/><Relationship Id="rId748" Type="http://schemas.openxmlformats.org/officeDocument/2006/relationships/hyperlink" Target="https://www.facebook.com/restaurantbassindinan97480/" TargetMode="External"/><Relationship Id="rId747" Type="http://schemas.openxmlformats.org/officeDocument/2006/relationships/hyperlink" Target="https://www.booking.com/hotel/re/villa-spacieuse-avec-piscine-debordement-et-vue-exceptionnelle.fr.html" TargetMode="External"/><Relationship Id="rId746" Type="http://schemas.openxmlformats.org/officeDocument/2006/relationships/hyperlink" Target="https://www.booking.com/hotel/re/cote-volcan.fr.html?aid=318615&amp;label=French_Reunion_FR_RE_29562101905-PWLXEH4QApQRABXOF9JAXwS634186710607%3Apl%3Ata%3Ap1%3Ap2%3Aac%3Aap%3Aneg%3Afi55772692243%3Atidsa-320131989100%3Alp9075843%3Ali%3Adec%3Adm%3Aag29562101905%3Acmp392730865&amp;sid=1d91ab27864dc9721d26f0ceffa99ed5&amp;dest_id=-1330930;dest_type=city;dist=0;group_adults=2;group_children=0;hapos=1;hpos=1;no_rooms=1;req_adults=2;req_children=0;room1=A%2CA;sb_price_type=total;sr_order=popularity;srepoch=1709121191;srpvid=03ce538d879501ed;type=total;ucfs=1&amp;" TargetMode="External"/><Relationship Id="rId741" Type="http://schemas.openxmlformats.org/officeDocument/2006/relationships/hyperlink" Target="https://www.facebook.com/MadamePayet/?locale=fr_FR" TargetMode="External"/><Relationship Id="rId1330" Type="http://schemas.openxmlformats.org/officeDocument/2006/relationships/hyperlink" Target="https://www.facebook.com/profile.php?id=61576432205467" TargetMode="External"/><Relationship Id="rId740" Type="http://schemas.openxmlformats.org/officeDocument/2006/relationships/hyperlink" Target="https://www.facebook.com/MadamePayet/?locale=fr_FR" TargetMode="External"/><Relationship Id="rId1331" Type="http://schemas.openxmlformats.org/officeDocument/2006/relationships/hyperlink" Target="https://www.booking.com/hotel/re/gite-hydrangea974-studio-le-dalia.fr.html?aid=304142&amp;label=gen173nr-10CAEoggI46AdIM1gEaL8BiAEBmAEzuAEXyAEM2AED6AEB-AEBiAIBqAIBuALXpubEBsACAdICJGYwMGY1MjRjLWE2MjctNDFiMy1hYTA2LWQ0ZTNiNjdkZmE2ONgCAeACAQ&amp;sid=37721eb7e608b6a6b863a3b88fe0e287&amp;dest_id=-1330930&amp;dest_type=city&amp;dist=0&amp;group_adults=2&amp;group_children=0&amp;hapos=6&amp;hpos=6&amp;nflt=class%3D3&amp;no_rooms=1&amp;req_adults=2&amp;req_children=0&amp;room1=A%2CA&amp;sb_price_type=total&amp;sr_order=popularity&amp;srepoch=1754895369&amp;srpvid=1b743805b77ed24c0693ab5580524a63&amp;type=total&amp;ucfs=1&amp;" TargetMode="External"/><Relationship Id="rId1332" Type="http://schemas.openxmlformats.org/officeDocument/2006/relationships/hyperlink" Target="https://www.airbnb.fr/rooms/673468865437244569?search_mode=regular_search&amp;adults=1&amp;check_in=2025-08-12&amp;check_out=2025-08-17&amp;children=0&amp;infants=0&amp;pets=0&amp;source_impression_id=p3_1754894410_P3PnboBAhQKITnUE&amp;previous_page_section_name=1000&amp;federated_search_id=71ef8206-3b14-42f8-b3cc-f004a4eb2ba5" TargetMode="External"/><Relationship Id="rId1333" Type="http://schemas.openxmlformats.org/officeDocument/2006/relationships/hyperlink" Target="https://www.airbnb.fr/rooms/1251457176753024810?source_impression_id=p3_1754895205_P3wbvTHObrxbwsFU" TargetMode="External"/><Relationship Id="rId1323" Type="http://schemas.openxmlformats.org/officeDocument/2006/relationships/hyperlink" Target="https://www.tripadvisor.fr/Hotel_Review-g2140646-d8768656-Reviews-Le_Four_a_Pain-Saint_Philippe_Arrondissement_of_Saint_Pierre.html" TargetMode="External"/><Relationship Id="rId1324" Type="http://schemas.openxmlformats.org/officeDocument/2006/relationships/hyperlink" Target="https://www.instagram.com/kreol_tours_reunion/" TargetMode="External"/><Relationship Id="rId1325" Type="http://schemas.openxmlformats.org/officeDocument/2006/relationships/hyperlink" Target="https://www.facebook.com/profile.php?id=100088385438075" TargetMode="External"/><Relationship Id="rId1326" Type="http://schemas.openxmlformats.org/officeDocument/2006/relationships/hyperlink" Target="https://www.facebook.com/thomas.schulze.reunion" TargetMode="External"/><Relationship Id="rId1327" Type="http://schemas.openxmlformats.org/officeDocument/2006/relationships/hyperlink" Target="https://www.instagram.com/gitehydrangea974?igsh=ZGI0d2gwam5rZmY%3D&amp;utm_source=qr" TargetMode="External"/><Relationship Id="rId1328" Type="http://schemas.openxmlformats.org/officeDocument/2006/relationships/hyperlink" Target="https://www.facebook.com/profile.php?id=61576432205467" TargetMode="External"/><Relationship Id="rId1329" Type="http://schemas.openxmlformats.org/officeDocument/2006/relationships/hyperlink" Target="https://www.booking.com/hotel/re/gite-hydrangea-974.fr.html?label=gen173nr-10CAsovwFCEmdpdGUtaHlkcmFuZ2VhLTk3NEgzWARovwGIAQGYATO4ARfIAQzYAQPoAQH4AQGIAgGoAgG4AqeHxsQGwAIB0gIkMzQwYzY2MjItZTE3Ni00ZTlmLTlhMzgtNGU1MzAwNTYwNmY22AIB4AIB&amp;sid=2f4e9ade64653e30e3dee97d0d47e370&amp;dist=0&amp;group_adults=2&amp;group_children=0&amp;keep_landing=1&amp;no_rooms=1&amp;sb_price_type=total&amp;type=total&amp;" TargetMode="External"/><Relationship Id="rId739" Type="http://schemas.openxmlformats.org/officeDocument/2006/relationships/hyperlink" Target="https://www.instagram.com/ban_verte/" TargetMode="External"/><Relationship Id="rId734" Type="http://schemas.openxmlformats.org/officeDocument/2006/relationships/hyperlink" Target="https://www.facebook.com/profile.php?id=100064082080654" TargetMode="External"/><Relationship Id="rId733" Type="http://schemas.openxmlformats.org/officeDocument/2006/relationships/hyperlink" Target="https://www.airbnb.fr/rooms/931134941652726599?source_impression_id=p3_1688839585_PiXcIpLdvSy0b9yI" TargetMode="External"/><Relationship Id="rId732" Type="http://schemas.openxmlformats.org/officeDocument/2006/relationships/hyperlink" Target="https://www.airbnb.fr/rooms/12555427?source_impression_id=p3_1690952273_OxpyssZjXo74ziDr" TargetMode="External"/><Relationship Id="rId731" Type="http://schemas.openxmlformats.org/officeDocument/2006/relationships/hyperlink" Target="https://www.airbnb.fr/rooms/11261533?adults=1&amp;children=0&amp;infants=0&amp;check_in=2023-08-05&amp;check_out=2023-08-11&amp;source_impression_id=p3_1690952161_%2BDNSzy3NEYWF5XRL&amp;previous_page_section_name=1000&amp;federated_search_id=48ea4162-f6b9-4749-98eb-9e19dcbc4537" TargetMode="External"/><Relationship Id="rId738" Type="http://schemas.openxmlformats.org/officeDocument/2006/relationships/hyperlink" Target="https://www.facebook.com/profile.php?id=100094735541351" TargetMode="External"/><Relationship Id="rId737" Type="http://schemas.openxmlformats.org/officeDocument/2006/relationships/hyperlink" Target="https://www.instagram.com/nout_ti_larranze/" TargetMode="External"/><Relationship Id="rId736" Type="http://schemas.openxmlformats.org/officeDocument/2006/relationships/hyperlink" Target="https://www.facebook.com/chezalyreetsylvette" TargetMode="External"/><Relationship Id="rId735" Type="http://schemas.openxmlformats.org/officeDocument/2006/relationships/hyperlink" Target="https://www.airbnb.fr/rooms/926622351693862104?check_in=2023-09-01&amp;check_out=2023-09-03&amp;source_impression_id=p3_1691660549_zll7muyd%2F3LesE4Y&amp;previous_page_section_name=1000&amp;federated_search_id=9c142618-76ba-4ccf-b4cb-34f1631e8284" TargetMode="External"/><Relationship Id="rId730" Type="http://schemas.openxmlformats.org/officeDocument/2006/relationships/hyperlink" Target="https://fr.airbnb.be/rooms/28120771?source_impression_id=p3_1690785638_%2FfkGNHfu1qN%2FWpM0" TargetMode="External"/><Relationship Id="rId1320" Type="http://schemas.openxmlformats.org/officeDocument/2006/relationships/hyperlink" Target="https://www.abritel.fr/location-vacances/p2050400" TargetMode="External"/><Relationship Id="rId1321" Type="http://schemas.openxmlformats.org/officeDocument/2006/relationships/hyperlink" Target="https://www.booking.com/hotel/re/ferme-auberge-le-ti-planteur.fr.html?aid=356980&amp;label=gog235jc-1FCAsovwFCHGZlcm1lLWF1YmVyZ2UtbGUtdGktcGxhbnRldXJIDVgDaL8BiAEBmAENuAEXyAEM2AEB6AEB-AECiAIBqAIDuAK5l43EBsACAdICJGY5MzU4YzkwLTI4ZGEtNDk1MC05MzdiLTRhOTFiYjIyMGM2MdgCBeACAQ&amp;sid=f2db896984a0049b10289cc46ffd39ce&amp;age=0&amp;dest_id=-1331411&amp;dest_type=city&amp;dist=0&amp;group_adults=2&amp;group_children=1&amp;hapos=1&amp;hpos=1&amp;no_rooms=1&amp;req_adults=2&amp;req_age=0&amp;req_children=1&amp;room1=A%2CA%2C0&amp;sb_price_type=total&amp;sr_order=popularity&amp;srepoch=1753435072&amp;srpvid=fc417f0e6d5e757e58789f922bb02a3d&amp;type=total&amp;ucfs=1&amp;" TargetMode="External"/><Relationship Id="rId1322" Type="http://schemas.openxmlformats.org/officeDocument/2006/relationships/hyperlink" Target="https://www.instagram.com/letiplanteur/" TargetMode="External"/><Relationship Id="rId1356" Type="http://schemas.openxmlformats.org/officeDocument/2006/relationships/hyperlink" Target="https://www.booking.com/hotel/re/entre-volcan-et-montagnes.fr.html?aid=318615&amp;label=New_French_FR_RE_26394819985-5KMfyMgIYi7RF9Cd6ZNX9wS217246948707%3Apl%3Ata%3Ap1%3Ap2%3Aac%3Aap%3Aneg%3Afi%3Atidsa-194594581705%3Alp9075843%3Ali%3Adec%3Adm&amp;sid=f2db896984a0049b10289cc46ffd39ce&amp;age=1&amp;checkin=2025-10-30&amp;checkout=2025-10-31&amp;dest_id=-1330930&amp;dest_type=city&amp;dist=0&amp;group_adults=2&amp;group_children=0&amp;hapos=1&amp;hpos=1&amp;map=1&amp;no_rooms=1&amp;req_adults=2&amp;req_children=0&amp;room1=A%2CA&amp;sb_price_type=total&amp;soh=1&amp;sr_order=popularity&amp;srepoch=1757923707&amp;srpvid=b3c93927142101a2&amp;type=total&amp;ucfs=1&amp;" TargetMode="External"/><Relationship Id="rId1357" Type="http://schemas.openxmlformats.org/officeDocument/2006/relationships/hyperlink" Target="https://www.facebook.com/profile.php?id=100089626664911" TargetMode="External"/><Relationship Id="rId1358" Type="http://schemas.openxmlformats.org/officeDocument/2006/relationships/hyperlink" Target="https://www.facebook.com/lamaisoncouleurvolcan" TargetMode="External"/><Relationship Id="rId1359" Type="http://schemas.openxmlformats.org/officeDocument/2006/relationships/hyperlink" Target="https://www.instagram.com/lamaisoncouleurvolcan" TargetMode="External"/><Relationship Id="rId767" Type="http://schemas.openxmlformats.org/officeDocument/2006/relationships/hyperlink" Target="https://www.leboncoin.fr/offre/locations_gites/2281192297" TargetMode="External"/><Relationship Id="rId766" Type="http://schemas.openxmlformats.org/officeDocument/2006/relationships/hyperlink" Target="https://www.facebook.com/profile.php?id=100063909348579" TargetMode="External"/><Relationship Id="rId765" Type="http://schemas.openxmlformats.org/officeDocument/2006/relationships/hyperlink" Target="https://www.facebook.com/pages/La-Vieille-Tonnelle/462560374307901" TargetMode="External"/><Relationship Id="rId764" Type="http://schemas.openxmlformats.org/officeDocument/2006/relationships/hyperlink" Target="https://www.leboncoin.fr/locations_gites/2364517405.htm" TargetMode="External"/><Relationship Id="rId769" Type="http://schemas.openxmlformats.org/officeDocument/2006/relationships/hyperlink" Target="https://www.facebook.com/villabeausoleil974/" TargetMode="External"/><Relationship Id="rId768" Type="http://schemas.openxmlformats.org/officeDocument/2006/relationships/hyperlink" Target="https://www.booking.com/hotel/re/case-vi-d-o.fr.html" TargetMode="External"/><Relationship Id="rId1350" Type="http://schemas.openxmlformats.org/officeDocument/2006/relationships/hyperlink" Target="https://www.airbnb.fr/rooms/1251939567081674574?source_impression_id=p3_1757570209_P3UU7N4qmZ7fbxaW" TargetMode="External"/><Relationship Id="rId1351" Type="http://schemas.openxmlformats.org/officeDocument/2006/relationships/hyperlink" Target="https://www.tripadvisor.fr/Hotel_Review-g790521-d28248827-Reviews-L_enclos_Du_Volcan-La_Plaine_des_Cafres_Arrondissement_of_Saint_Pierre.html" TargetMode="External"/><Relationship Id="rId763" Type="http://schemas.openxmlformats.org/officeDocument/2006/relationships/hyperlink" Target="https://www.airbnb.fr/rooms/960653479301290966?adults=4&amp;location=Le%20Tampon%2C%20R%C3%A9union&amp;check_in=2023-12-29&amp;check_out=2023-12-31&amp;source_impression_id=p3_1694068047_51UHJONJdONdNZwD&amp;previous_page_section_name=1001" TargetMode="External"/><Relationship Id="rId1352" Type="http://schemas.openxmlformats.org/officeDocument/2006/relationships/hyperlink" Target="https://www.facebook.com/p/Lenclos-du-volcan-61565695993348/" TargetMode="External"/><Relationship Id="rId762" Type="http://schemas.openxmlformats.org/officeDocument/2006/relationships/hyperlink" Target="https://www.facebook.com/Myris974?locale=fr_FR" TargetMode="External"/><Relationship Id="rId1353" Type="http://schemas.openxmlformats.org/officeDocument/2006/relationships/hyperlink" Target="https://www.facebook.com/auxchaletsdutourneur" TargetMode="External"/><Relationship Id="rId761" Type="http://schemas.openxmlformats.org/officeDocument/2006/relationships/hyperlink" Target="https://www.airbnb.fr/rooms/789488813705561127?source_impression_id=p3_1693549999_WgG5KIbq27CIYpjR" TargetMode="External"/><Relationship Id="rId1354" Type="http://schemas.openxmlformats.org/officeDocument/2006/relationships/hyperlink" Target="https://www.instagram.com/auxchaletsdutourneur" TargetMode="External"/><Relationship Id="rId760" Type="http://schemas.openxmlformats.org/officeDocument/2006/relationships/hyperlink" Target="https://www.facebook.com/profile.php?id=100093583369024" TargetMode="External"/><Relationship Id="rId1355" Type="http://schemas.openxmlformats.org/officeDocument/2006/relationships/hyperlink" Target="https://www.facebook.com/chezjorestaurant" TargetMode="External"/><Relationship Id="rId1345" Type="http://schemas.openxmlformats.org/officeDocument/2006/relationships/hyperlink" Target="https://www.airbnb.fr/rooms/1490496647125773834?source_impression_id=p3_1756362344_P3GLy0n922tHF3IM" TargetMode="External"/><Relationship Id="rId1346" Type="http://schemas.openxmlformats.org/officeDocument/2006/relationships/hyperlink" Target="https://www.instagram.com/naturrun974/" TargetMode="External"/><Relationship Id="rId1347" Type="http://schemas.openxmlformats.org/officeDocument/2006/relationships/hyperlink" Target="https://www.instagram.com/dalonlakour/?hl=fr" TargetMode="External"/><Relationship Id="rId1348" Type="http://schemas.openxmlformats.org/officeDocument/2006/relationships/hyperlink" Target="https://www.facebook.com/dalon.la.kour/" TargetMode="External"/><Relationship Id="rId1349" Type="http://schemas.openxmlformats.org/officeDocument/2006/relationships/hyperlink" Target="https://www.booking.com/hotel/re/enclos-du-volcan.fr.html?aid=356980&amp;label=gog235jc-10CAsovwFCEGVuY2xvcy1kdS12b2xjYW5IDVgDaL8BiAEBmAEzuAEXyAEM2AED6AEB-AEBiAIBqAIBuAKQyYnGBsACAdICJGQzNzgzZGY5LWUwOGMtNGQ1Ny05YzcxLTc4OTYyYTNkZDkwYtgCAeACAQ&amp;sid=f2db896984a0049b10289cc46ffd39ce&amp;dest_id=-1330930&amp;dest_type=city&amp;dist=0&amp;group_adults=2&amp;group_children=0&amp;hapos=1&amp;hpos=1&amp;no_rooms=1&amp;req_adults=2&amp;req_children=0&amp;room1=A%2CA&amp;sb_price_type=total&amp;sr_order=popularity&amp;srepoch=1757570286&amp;srpvid=d7cd29c83217006b&amp;type=total&amp;ucfs=1&amp;" TargetMode="External"/><Relationship Id="rId756" Type="http://schemas.openxmlformats.org/officeDocument/2006/relationships/hyperlink" Target="https://www.facebook.com/profile.php?id=100093583369024" TargetMode="External"/><Relationship Id="rId755" Type="http://schemas.openxmlformats.org/officeDocument/2006/relationships/hyperlink" Target="https://www.leboncoin.fr/offre/locations_gites/2301038919" TargetMode="External"/><Relationship Id="rId754" Type="http://schemas.openxmlformats.org/officeDocument/2006/relationships/hyperlink" Target="https://mt.airbnb.com.mt/rooms/742535653511556233?source_impression_id=p3_1693477641_mLVskAvw6xZoZfh%2B" TargetMode="External"/><Relationship Id="rId753" Type="http://schemas.openxmlformats.org/officeDocument/2006/relationships/hyperlink" Target="https://www.facebook.com/profile.php?id=100087833543169" TargetMode="External"/><Relationship Id="rId759" Type="http://schemas.openxmlformats.org/officeDocument/2006/relationships/hyperlink" Target="https://www.booking.com/hotel/re/bungalow-ti-moon.fr.html?aid=356980&amp;label=gog235jc-1FCAMYlAQovwFCCmVudHJlLWRldXhIDVgDaL8BiAEBmAENuAEXyAEM2AEB6AEB-AECiAIBqAIDuAL29sWnBsACAdICJDg3ZWY5ZTY1LWY2YzctNGU4NS04MTI1LTIxZTQyNTk1MmQ5ZNgCBeACAQ&amp;sid=1d91ab27864dc9721d26f0ceffa99ed5&amp;dest_id=-1330710;dest_type=city;dist=0;group_adults=2;group_children=0;hapos=1;hpos=1;nflt=sth%3D2;no_rooms=1;req_adults=2;req_children=0;room1=A%2CA;sb_price_type=total;sr_order=popularity;srepoch=1693547412;srpvid=b39229080dd30133;type=total;ucfs=1&amp;" TargetMode="External"/><Relationship Id="rId758" Type="http://schemas.openxmlformats.org/officeDocument/2006/relationships/hyperlink" Target="https://www.booking.com/hotel/re/bungalow-ti-moon.fr.html?aid=356980&amp;label=gog235jc-1FCAMYlAQovwFCCmVudHJlLWRldXhIDVgDaL8BiAEBmAENuAEXyAEM2AEB6AEB-AECiAIBqAIDuALA8MGnBsACAdICJDJjNjMzMzBkLTJlM2MtNGY0NS1hMDM0LTBmYzU4MWIzZTZhNtgCBeACAQ&amp;sid=1d91ab27864dc9721d26f0ceffa99ed5&amp;dest_id=-1330710;dest_type=city;dist=0;group_adults=2;group_children=0;hapos=2;hpos=2;nflt=sth%3D2;no_rooms=1;req_adults=2;req_children=0;room1=A%2CA;sb_price_type=total;sr_order=popularity;srepoch=1693481034;srpvid=93de5023c5fe0372;type=total;ucfs=1&amp;" TargetMode="External"/><Relationship Id="rId757" Type="http://schemas.openxmlformats.org/officeDocument/2006/relationships/hyperlink" Target="https://www.airbnb.fr/rooms/918560933421543043?source_impression_id=p3_1693480818_CDnN0uZTBPVdmPU8" TargetMode="External"/><Relationship Id="rId1340" Type="http://schemas.openxmlformats.org/officeDocument/2006/relationships/hyperlink" Target="https://www.facebook.com/profile.php?id=61566433853576" TargetMode="External"/><Relationship Id="rId752" Type="http://schemas.openxmlformats.org/officeDocument/2006/relationships/hyperlink" Target="https://www.facebook.com/profile.php?id=100064007746849" TargetMode="External"/><Relationship Id="rId1341" Type="http://schemas.openxmlformats.org/officeDocument/2006/relationships/hyperlink" Target="https://www.facebook.com/profile.php?id=61571641221202" TargetMode="External"/><Relationship Id="rId751" Type="http://schemas.openxmlformats.org/officeDocument/2006/relationships/hyperlink" Target="https://www.booking.com/hotel/re/villa-sud-sauvage-saint-philippe.fr.html" TargetMode="External"/><Relationship Id="rId1342" Type="http://schemas.openxmlformats.org/officeDocument/2006/relationships/hyperlink" Target="https://www.booking.com/hotel/re/la-tit-kaz-begonia-vue-montagne.fr.html" TargetMode="External"/><Relationship Id="rId750" Type="http://schemas.openxmlformats.org/officeDocument/2006/relationships/hyperlink" Target="https://www.facebook.com/profile.php?id=100092180347653" TargetMode="External"/><Relationship Id="rId1343" Type="http://schemas.openxmlformats.org/officeDocument/2006/relationships/hyperlink" Target="https://www.abritel.fr/location-vacances/p2351363" TargetMode="External"/><Relationship Id="rId1344" Type="http://schemas.openxmlformats.org/officeDocument/2006/relationships/hyperlink" Target="https://www.airbnb.fr/rooms/1063658789953379551?source_impression_id=p3_1755772290_P3JlUBKa59ubjf9-" TargetMode="External"/><Relationship Id="rId709" Type="http://schemas.openxmlformats.org/officeDocument/2006/relationships/hyperlink" Target="https://www.instagram.com/lonbrazvolkan/" TargetMode="External"/><Relationship Id="rId708" Type="http://schemas.openxmlformats.org/officeDocument/2006/relationships/hyperlink" Target="https://www.facebook.com/lonbrazvolkan97442" TargetMode="External"/><Relationship Id="rId707" Type="http://schemas.openxmlformats.org/officeDocument/2006/relationships/hyperlink" Target="https://www.booking.com/hotel/re/lonbraz-volkan.fr.html?aid=318615&amp;label=New_French_FR_RE_26394819985-5KMfyMgIYi7RF9Cd6ZNX9wS640938625631%3Apl%3Ata%3Ap1%3Ap2%3Aac%3Aap%3Aneg%3Afi%3Atidsa-194594581705%3Alp9075843%3Ali%3Adec%3Adm%3Aag26394819985%3Acmp392730865&amp;sid=219fa3bd56adbb433c24d7abded56101&amp;dest_id=-1331411;dest_type=city;dist=0;group_adults=2;group_children=0;hapos=12;hpos=12;no_rooms=1;req_adults=2;req_children=0;room1=A%2CA;sb_price_type=total;sr_order=popularity;srepoch=1688105361;srpvid=ad5a2b47115a01bc;type=total;ucfs=1&amp;" TargetMode="External"/><Relationship Id="rId706" Type="http://schemas.openxmlformats.org/officeDocument/2006/relationships/hyperlink" Target="https://www.instagram.com/l.eclat.tente.creation/" TargetMode="External"/><Relationship Id="rId701" Type="http://schemas.openxmlformats.org/officeDocument/2006/relationships/hyperlink" Target="https://fr.airbnb.ca/rooms/16048775?source_impression_id=p3_1687949588_RzM9o0XdnJWduDx3" TargetMode="External"/><Relationship Id="rId700" Type="http://schemas.openxmlformats.org/officeDocument/2006/relationships/hyperlink" Target="https://www.booking.com/hotel/re/les-casses-de-la-mer-cassee.fr.html?aid=1630418" TargetMode="External"/><Relationship Id="rId705" Type="http://schemas.openxmlformats.org/officeDocument/2006/relationships/hyperlink" Target="https://www.facebook.com/l.eclat.tente.Creation" TargetMode="External"/><Relationship Id="rId704" Type="http://schemas.openxmlformats.org/officeDocument/2006/relationships/hyperlink" Target="https://www.booking.com/hotel/re/les-jardins-de-nicole.fr.html?aid=318615&amp;label=New_French_FR_RE_26394819985-5KMfyMgIYi7RF9Cd6ZNX9wS640938625631%3Apl%3Ata%3Ap1%3Ap2%3Aac%3Aap%3Aneg%3Afi%3Atidsa-194594581705%3Alp9075843%3Ali%3Adec%3Adm%3Aag26394819985%3Acmp392730865&amp;sid=219fa3bd56adbb433c24d7abded56101&amp;dest_id=-1330930;dest_type=city;dist=0;group_adults=2;group_children=0;hapos=1;hpos=1;no_rooms=1;req_adults=2;req_children=0;room1=A%2CA;sb_price_type=total;sr_order=popularity;srepoch=1688032393;srpvid=e0a14584212602b3;type=total;ucfs=1&amp;" TargetMode="External"/><Relationship Id="rId703" Type="http://schemas.openxmlformats.org/officeDocument/2006/relationships/hyperlink" Target="https://www.tripadvisor.fr/Restaurant_Review-g668283-d24143268-Reviews-Restaurant_Le_Chocas-Entre_Deux_Arrondissement_of_Saint_Pierre.html" TargetMode="External"/><Relationship Id="rId702" Type="http://schemas.openxmlformats.org/officeDocument/2006/relationships/hyperlink" Target="https://www.booking.com/hotel/re/bleu-du-sud.fr.html" TargetMode="External"/><Relationship Id="rId1312" Type="http://schemas.openxmlformats.org/officeDocument/2006/relationships/hyperlink" Target="https://www.booking.com/hotel/re/ti-kaz-dede-6-voyageurs.fr.html?age=6&amp;age=12&amp;age=15&amp;aid=2198091&amp;app_hotel_id=14512174&amp;checkin=2025-07-18&amp;checkout=2025-07-27&amp;from_sn=android&amp;group_adults=2&amp;group_children=3&amp;label=entre-deux-wh6BvOxIOHVBtxBYuRNldQSM631957778827%3Apl%3Ata%3Ap1%3Ap2%3Aac%3Aap%3Aneg%3Afi%3Atikwd-950206672242%3Alp9108766%3Ali%3Adem%3Adm-KV3Vkd%401752246192&amp;no_rooms=3&amp;req_adults=2&amp;req_age=6&amp;req_age=12&amp;req_age=15&amp;req_children=3&amp;room1=A%2CA%2C6%2C12%2C15" TargetMode="External"/><Relationship Id="rId1313" Type="http://schemas.openxmlformats.org/officeDocument/2006/relationships/hyperlink" Target="https://www.facebook.com/patisseriehomemade/" TargetMode="External"/><Relationship Id="rId1314" Type="http://schemas.openxmlformats.org/officeDocument/2006/relationships/hyperlink" Target="https://www.instagram.com/la_caze_a_manoue_by_resiste/" TargetMode="External"/><Relationship Id="rId1315" Type="http://schemas.openxmlformats.org/officeDocument/2006/relationships/hyperlink" Target="https://www.facebook.com/profile.php?id=100092523409341" TargetMode="External"/><Relationship Id="rId1316" Type="http://schemas.openxmlformats.org/officeDocument/2006/relationships/hyperlink" Target="https://www.instagram.com/sabrinart974/" TargetMode="External"/><Relationship Id="rId1317" Type="http://schemas.openxmlformats.org/officeDocument/2006/relationships/hyperlink" Target="https://www.booking.com/hotel/re/chambres-d-hotes-le-puits-des-francais.fr.html?aid=356980&amp;label=gog235jc-1FCAsovwFCJmNoYW1icmVzLWQtaG90ZXMtbGUtcHVpdHMtZGVzLWZyYW5jYWlzSA1YA2i_AYgBAZgBDbgBF8gBDNgBAegBAfgBAogCAagCA7gC-tmMxAbAAgHSAiQ5ZmRiMWU0ZC1hMmE2LTRhNWMtOTdjOS1jNzYyZmM5Mjc1M2TYAgXgAgE&amp;sid=f2db896984a0049b10289cc46ffd39ce&amp;age=0&amp;dest_id=-1331411&amp;dest_type=city&amp;dist=0&amp;group_adults=2&amp;group_children=1&amp;hapos=1&amp;hpos=1&amp;no_rooms=1&amp;req_adults=2&amp;req_age=0&amp;req_children=1&amp;room1=A%2CA%2C0&amp;sb_price_type=total&amp;sr_order=popularity&amp;srepoch=1753427213&amp;srpvid=bb4c5fec6553182d3b34b3ca846397b4&amp;type=total&amp;ucfs=1&amp;" TargetMode="External"/><Relationship Id="rId1318" Type="http://schemas.openxmlformats.org/officeDocument/2006/relationships/hyperlink" Target="https://www.tripadvisor.fr/Hotel_Review-g2140646-d12438101-Reviews-Le_Palmier-Saint_Philippe_Arrondissement_of_Saint_Pierre.html" TargetMode="External"/><Relationship Id="rId1319" Type="http://schemas.openxmlformats.org/officeDocument/2006/relationships/hyperlink" Target="https://www.booking.com/hotel/re/le-palmier.fr.html?aid=311089&amp;label=le-palmier-_ZtnMO6HGenR4jN6TaVB0QS589864285092%3Apl%3Ata%3Ap1%3Ap2%3Aac%3Aap%3Aneg%3Afi%3Atikwd-948860319250%3Alp9218685%3Ali%3Adec%3Adm%3Appccp%3DUmFuZG9tSVYkc2RlIyh9Yf23yREhrOV9DIzdQnby_R8&amp;sid=f2db896984a0049b10289cc46ffd39ce&amp;age=0&amp;dest_id=-1331411&amp;dest_type=city&amp;dist=0&amp;group_adults=2&amp;group_children=1&amp;hapos=1&amp;hpos=1&amp;no_rooms=1&amp;req_adults=2&amp;req_age=0&amp;req_children=1&amp;room1=A%2CA%2C0&amp;sb_price_type=total&amp;sr_order=popularity&amp;srepoch=1753430385&amp;srpvid=c8c50633285460372bd3ff9693a9ed20&amp;type=total&amp;ucfs=1&amp;" TargetMode="External"/><Relationship Id="rId729" Type="http://schemas.openxmlformats.org/officeDocument/2006/relationships/hyperlink" Target="https://www.leboncoin.fr/offre/locations_gites/2099739760" TargetMode="External"/><Relationship Id="rId728" Type="http://schemas.openxmlformats.org/officeDocument/2006/relationships/hyperlink" Target="https://www.leboncoin.fr/offre/locations_gites/2050895047" TargetMode="External"/><Relationship Id="rId723" Type="http://schemas.openxmlformats.org/officeDocument/2006/relationships/hyperlink" Target="https://fr.airbnb.com/rooms/893189637306358886?source_impression_id=p3_1689924845_PBgRnGLPGYXZ7zpf" TargetMode="External"/><Relationship Id="rId722" Type="http://schemas.openxmlformats.org/officeDocument/2006/relationships/hyperlink" Target="https://www.facebook.com/people/Les-Hibiscus/100093237810458/" TargetMode="External"/><Relationship Id="rId721" Type="http://schemas.openxmlformats.org/officeDocument/2006/relationships/hyperlink" Target="https://fr.airbnb.com/rooms/893200478560619955?source_impression_id=p3_1689924845_xmdUA8jIQs1xj3g%2F" TargetMode="External"/><Relationship Id="rId720" Type="http://schemas.openxmlformats.org/officeDocument/2006/relationships/hyperlink" Target="https://fr.airbnb.com/rooms/891678209337470420?_set_bev_on_new_domain=1633606169_N2U5MTg1OTAzYTNj&amp;source_impression_id=p3_1689923493_paARszm41iFEa01n" TargetMode="External"/><Relationship Id="rId727" Type="http://schemas.openxmlformats.org/officeDocument/2006/relationships/hyperlink" Target="https://www.facebook.com/profile.php?id=100094707300614" TargetMode="External"/><Relationship Id="rId726" Type="http://schemas.openxmlformats.org/officeDocument/2006/relationships/hyperlink" Target="https://www.airbnb.fr/rooms/21615253?source_impression_id=p3_1690177102_ax990fOTdLvnAfP1" TargetMode="External"/><Relationship Id="rId725" Type="http://schemas.openxmlformats.org/officeDocument/2006/relationships/hyperlink" Target="https://www.airbnb.fr/rooms/853971746359457021?source_impression_id=p3_1689933687_wJvMbO%2FFY0rEPppS&amp;_set_bev_on_new_domain=1689933687_ZTExNGVmOWZjOWEz" TargetMode="External"/><Relationship Id="rId724" Type="http://schemas.openxmlformats.org/officeDocument/2006/relationships/hyperlink" Target="https://www.facebook.com/larosedusudstephaneetlaurie" TargetMode="External"/><Relationship Id="rId1310" Type="http://schemas.openxmlformats.org/officeDocument/2006/relationships/hyperlink" Target="https://www.facebook.com/profile.php?id=61577691673795" TargetMode="External"/><Relationship Id="rId1311" Type="http://schemas.openxmlformats.org/officeDocument/2006/relationships/hyperlink" Target="https://www.airbnb.fr/rooms/1457513572988076922?viralityEntryPoint=1&amp;s=76&amp;source_impression_id=p3_1752219858_P3Xsn8_XTiJWGNlM" TargetMode="External"/><Relationship Id="rId1301" Type="http://schemas.openxmlformats.org/officeDocument/2006/relationships/hyperlink" Target="https://www.airbnb.fr/rooms/1381608398432824139?check_in=2025-05-13&amp;check_out=2025-05-16&amp;search_mode=regular_search&amp;source_impression_id=p3_1747045548_P3-HnUQVs5o7tolF&amp;previous_page_section_name=1000&amp;federated_search_id=304ed614-aa20-4936-aa6c-84eb254651ee" TargetMode="External"/><Relationship Id="rId1302" Type="http://schemas.openxmlformats.org/officeDocument/2006/relationships/hyperlink" Target="https://www.facebook.com/rucherdupetitpiton" TargetMode="External"/><Relationship Id="rId1303" Type="http://schemas.openxmlformats.org/officeDocument/2006/relationships/hyperlink" Target="https://www.facebook.com/people/PatJaune/100063494593534/?locale=fr_FR" TargetMode="External"/><Relationship Id="rId1304" Type="http://schemas.openxmlformats.org/officeDocument/2006/relationships/hyperlink" Target="https://www.airbnb.fr/rooms/1151167212688197296?source_impression_id=p3_1749633979_P3FlRAIu2C96gHTq" TargetMode="External"/><Relationship Id="rId1305" Type="http://schemas.openxmlformats.org/officeDocument/2006/relationships/hyperlink" Target="https://www.facebook.com/sucettepei" TargetMode="External"/><Relationship Id="rId1306" Type="http://schemas.openxmlformats.org/officeDocument/2006/relationships/hyperlink" Target="https://www.tripadvisor.fr/Hotel_Review-g635742-d1598831-Reviews-La_Plantation-Saint_Joseph_Arrondissement_of_Saint_Pierre.html" TargetMode="External"/><Relationship Id="rId1307" Type="http://schemas.openxmlformats.org/officeDocument/2006/relationships/hyperlink" Target="https://fr.airbnb.ch/rooms/1243390707402264697?source_impression_id=p3_1750228324_P3_6iF_EfcZtyDf8" TargetMode="External"/><Relationship Id="rId1308" Type="http://schemas.openxmlformats.org/officeDocument/2006/relationships/hyperlink" Target="https://www.facebook.com/Papillon.97430LeTampon" TargetMode="External"/><Relationship Id="rId1309" Type="http://schemas.openxmlformats.org/officeDocument/2006/relationships/hyperlink" Target="https://www.airbnb.fr/rooms/1404971228890782493?check_in=2025-07-24&amp;check_out=2025-07-29&amp;guests=1&amp;adults=1&amp;s=67&amp;unique_share_id=3b9f02c0-7e4a-44d5-9ab0-b6d4aabda509&amp;source_impression_id=p3_1751966971_P3eycAdZ9fG2ouJG" TargetMode="External"/><Relationship Id="rId719" Type="http://schemas.openxmlformats.org/officeDocument/2006/relationships/hyperlink" Target="https://www.facebook.com/vtcreunion/" TargetMode="External"/><Relationship Id="rId718" Type="http://schemas.openxmlformats.org/officeDocument/2006/relationships/hyperlink" Target="https://www.facebook.com/profile.php?id=100069944031459" TargetMode="External"/><Relationship Id="rId717" Type="http://schemas.openxmlformats.org/officeDocument/2006/relationships/hyperlink" Target="https://www.instagram.com/lalibellulequiroule/?igshid=YmMyMTA2M2Y%3D&amp;fbclid=IwAR2_fLO6QMK4tYIvfiPfaZ5nosMPhsYlzv_0vgHggpo1IHoiWTa1Wz0nsbo" TargetMode="External"/><Relationship Id="rId712" Type="http://schemas.openxmlformats.org/officeDocument/2006/relationships/hyperlink" Target="https://www.tripadvisor.fr/VacationRentalReview-g635742-d19937891-L_Eskalya-Saint_Joseph_Arrondissement_of_Saint_Pierre.html" TargetMode="External"/><Relationship Id="rId711" Type="http://schemas.openxmlformats.org/officeDocument/2006/relationships/hyperlink" Target="https://www.booking.com/hotel/re/kaz-a-olymp-maison-de-vacances-a-l-entre-deux.fr.html?aid=318615&amp;label=New_French_FR_RE_26394819985-5KMfyMgIYi7RF9Cd6ZNX9wS217246948707%3Apl%3Ata%3Ap1%3Ap2%3Aac%3Aap%3Aneg%3Afi%3Atidsa-194594581705%3Alp9075843%3Ali%3Adec%3Adm&amp;sid=62c97b66b82cbbc4b63c2b97f04d9876&amp;dest_id=-1330710;dest_type=city;dist=0;group_adults=2;group_children=0;hapos=1;hpos=1;no_rooms=1;req_adults=2;req_children=0;room1=A%2CA;sb_price_type=total;sr_order=popularity;srepoch=1688553843;srpvid=00004b784dfe03b6;type=total;ucfs=1&amp;" TargetMode="External"/><Relationship Id="rId710" Type="http://schemas.openxmlformats.org/officeDocument/2006/relationships/hyperlink" Target="https://fr.airbnb.ch/rooms/881895542546535024?source_impression_id=p3_1688104650_0k1TCAITRuCCdLj4" TargetMode="External"/><Relationship Id="rId716" Type="http://schemas.openxmlformats.org/officeDocument/2006/relationships/hyperlink" Target="https://www.facebook.com/lalibellulequiroule" TargetMode="External"/><Relationship Id="rId715" Type="http://schemas.openxmlformats.org/officeDocument/2006/relationships/hyperlink" Target="https://fr.tripadvisor.ch/Restaurant_Review-g2140646-d25065175-Reviews-La_Libellule_Qui_Roule-Saint_Philippe_Arrondissement_of_Saint_Pierre.html" TargetMode="External"/><Relationship Id="rId714" Type="http://schemas.openxmlformats.org/officeDocument/2006/relationships/hyperlink" Target="https://www.facebook.com/people/KMila-pizza-Vincendo/100069336330450/" TargetMode="External"/><Relationship Id="rId713" Type="http://schemas.openxmlformats.org/officeDocument/2006/relationships/hyperlink" Target="https://www.booking.com/hotel/re/eskalya.fr.html" TargetMode="External"/><Relationship Id="rId1300" Type="http://schemas.openxmlformats.org/officeDocument/2006/relationships/hyperlink" Target="https://www.facebook.com/people/Villa-Romana/61570986955333/?_rdr" TargetMode="External"/><Relationship Id="rId1378" Type="http://schemas.openxmlformats.org/officeDocument/2006/relationships/hyperlink" Target="https://www.booking.com/hotel/re/villa-ti-gargoulette.fr.html?aid=304142&amp;label=gen173nr-10CAEoggI46AdIM1gEaL8BiAEBmAEzuAEXyAEP2AED6AEB-AEBiAIBqAIBuAKexPTGBsACAdICJDc2ODNlMTYzLWMxNDEtNDYxYi04ZjdhLTljN2QzNmQ1MDQwMdgCAeACAQ&amp;sid=ba4e4e680180124b9e08f6acfb274803&amp;all_sr_blocks=1490576901_421595844_4_0_0&amp;checkin=2025-11-07&amp;checkout=2025-11-10&amp;dest_id=-1331399&amp;dest_type=city&amp;dist=0&amp;group_adults=4&amp;group_children=0&amp;hapos=1&amp;highlighted_blocks=1490576901_421595844_4_0_0&amp;hpos=1&amp;matching_block_id=1490576901_421595844_4_0_0&amp;no_rooms=1&amp;req_adults=4&amp;req_children=0&amp;room1=A%2CA%2CA%2CA&amp;sb_price_type=total&amp;sr_order=popularity&amp;sr_pri_blocks=1490576901_421595844_4_0_0__26325&amp;srepoch=1759322663&amp;srpvid=190c59926f6d04b3&amp;type=total&amp;ucfs=1&amp;" TargetMode="External"/><Relationship Id="rId1379" Type="http://schemas.openxmlformats.org/officeDocument/2006/relationships/hyperlink" Target="https://fr.airbnb.com/rooms/1505709526358452176?_set_bev_on_new_domain=1756182618_EAYTZiMTA2MTE0Mj&amp;source_impression_id=p3_1759322389_P3hJOyLI6kifj00F" TargetMode="External"/><Relationship Id="rId789" Type="http://schemas.openxmlformats.org/officeDocument/2006/relationships/hyperlink" Target="https://www.facebook.com/profile.php?id=100094506781974" TargetMode="External"/><Relationship Id="rId788" Type="http://schemas.openxmlformats.org/officeDocument/2006/relationships/hyperlink" Target="https://www.tripadvisor.fr/Hotel_Review-g635742-d3847322-Reviews-La_Rose_du_Sud-Saint_Joseph_Arrondissement_of_Saint_Pierre.html" TargetMode="External"/><Relationship Id="rId787" Type="http://schemas.openxmlformats.org/officeDocument/2006/relationships/hyperlink" Target="https://www.tripadvisor.fr/Hotel_Review-g635742-d3847322-Reviews-La_Rose_du_Sud-Saint_Joseph_Arrondissement_of_Saint_Pierre.html" TargetMode="External"/><Relationship Id="rId786" Type="http://schemas.openxmlformats.org/officeDocument/2006/relationships/hyperlink" Target="https://www.booking.com/hotel/re/la-rose-du-sud.fr.html" TargetMode="External"/><Relationship Id="rId781" Type="http://schemas.openxmlformats.org/officeDocument/2006/relationships/hyperlink" Target="https://www.instagram.com/bellilecroisieresaustrales/" TargetMode="External"/><Relationship Id="rId1370" Type="http://schemas.openxmlformats.org/officeDocument/2006/relationships/hyperlink" Target="https://www.facebook.com/p/VAKOA-distillerie-100093222946441/" TargetMode="External"/><Relationship Id="rId780" Type="http://schemas.openxmlformats.org/officeDocument/2006/relationships/hyperlink" Target="https://www.facebook.com/profile.php?id=61551362265916" TargetMode="External"/><Relationship Id="rId1371" Type="http://schemas.openxmlformats.org/officeDocument/2006/relationships/hyperlink" Target="https://www.tiktok.com/@vakoadistillerie" TargetMode="External"/><Relationship Id="rId1372" Type="http://schemas.openxmlformats.org/officeDocument/2006/relationships/hyperlink" Target="https://www.facebook.com/profile.php?id=61561887603927&amp;locale=fr_FR" TargetMode="External"/><Relationship Id="rId1373" Type="http://schemas.openxmlformats.org/officeDocument/2006/relationships/hyperlink" Target="http://airbnb.com/h/entre2bulles" TargetMode="External"/><Relationship Id="rId785" Type="http://schemas.openxmlformats.org/officeDocument/2006/relationships/hyperlink" Target="https://www.booking.com/hotel/re/la-rose-du-sud.fr.html" TargetMode="External"/><Relationship Id="rId1374" Type="http://schemas.openxmlformats.org/officeDocument/2006/relationships/hyperlink" Target="https://www.facebook.com/profile.php?id=61572737681858" TargetMode="External"/><Relationship Id="rId784" Type="http://schemas.openxmlformats.org/officeDocument/2006/relationships/hyperlink" Target="https://www.booking.com/hotel/re/la-villa-tikalikata.fr.html?aid=1630418&amp;ycadu=" TargetMode="External"/><Relationship Id="rId1375" Type="http://schemas.openxmlformats.org/officeDocument/2006/relationships/hyperlink" Target="https://www.tiktok.com/@entre2bulles2" TargetMode="External"/><Relationship Id="rId783" Type="http://schemas.openxmlformats.org/officeDocument/2006/relationships/hyperlink" Target="https://www.facebook.com/profile.php?id=100082995387749" TargetMode="External"/><Relationship Id="rId1376" Type="http://schemas.openxmlformats.org/officeDocument/2006/relationships/hyperlink" Target="https://www.instagram.com/entre.2.bulles/" TargetMode="External"/><Relationship Id="rId782" Type="http://schemas.openxmlformats.org/officeDocument/2006/relationships/hyperlink" Target="https://fr.airbnb.com/rooms/896709198272479087?_set_bev_on_new_domain=1663222967_NDA0ZDMxMjE4MjUw&amp;source_impression_id=p3_1696245919_shfOdC2jiOGfXdX3" TargetMode="External"/><Relationship Id="rId1377" Type="http://schemas.openxmlformats.org/officeDocument/2006/relationships/hyperlink" Target="https://www.airbnb.fr/rooms/1383172986534312508?source_impression_id=p3_1760596052_P3aknsEFV8tf5IVw&amp;check_in=2025-11-13&amp;guests=2&amp;adults=2&amp;check_out=2025-11-14" TargetMode="External"/><Relationship Id="rId1367" Type="http://schemas.openxmlformats.org/officeDocument/2006/relationships/hyperlink" Target="https://www.booking.com/hotel/re/autour-des-palmiers.fr.html" TargetMode="External"/><Relationship Id="rId1368" Type="http://schemas.openxmlformats.org/officeDocument/2006/relationships/hyperlink" Target="https://www.booking.com/hotel/re/entre-deux-reves.fr.html?aid=1630418&amp;chal_t=1759726662001&amp;force_referer=" TargetMode="External"/><Relationship Id="rId1369" Type="http://schemas.openxmlformats.org/officeDocument/2006/relationships/hyperlink" Target="https://www.instagram.com/vakoa.gin/" TargetMode="External"/><Relationship Id="rId778" Type="http://schemas.openxmlformats.org/officeDocument/2006/relationships/hyperlink" Target="https://fr.airbnb.com/rooms/678929227578305507?adults=2&amp;children=0&amp;infants=0&amp;check_in=2022-09-19&amp;check_out=2022-09-24&amp;federated_search_id=49fa2205-2d89-4101-944b-c959bab9f649&amp;source_impression_id=p3_1663574739_gys%2FRE7HSl7neIkB" TargetMode="External"/><Relationship Id="rId777" Type="http://schemas.openxmlformats.org/officeDocument/2006/relationships/hyperlink" Target="https://www.instagram.com/olangevin.974/?igshid=MWZjMTM2ODFkZg%3D%3D&amp;fbclid=IwAR1CYHKlgLyII294dLRxB3LIYMSFr05sHcayvxETNMJuPu1EjWefwdrk_oc" TargetMode="External"/><Relationship Id="rId776" Type="http://schemas.openxmlformats.org/officeDocument/2006/relationships/hyperlink" Target="https://www.instagram.com/o422_reunion/" TargetMode="External"/><Relationship Id="rId775" Type="http://schemas.openxmlformats.org/officeDocument/2006/relationships/hyperlink" Target="https://www.facebook.com/profile.php?id=100093309836138" TargetMode="External"/><Relationship Id="rId779" Type="http://schemas.openxmlformats.org/officeDocument/2006/relationships/hyperlink" Target="https://www.booking.com/hotel/re/o-langevin-logement-avec-vehicule.fr.html?srpvid=fb8955ea313e0040&amp;sb_price_type=total&amp;soh=1&amp;label=New_French_FR_FR_21427169905-YP8jtirKV%252AkzSzTpDnHYDwS640938627539%253Apl%253Ata%253Ap1%253Ap2%253Aac%253Aap%253Aneg&amp;srepoch=1695643993&amp;dest_id=-1331399&amp;hpos=1&amp;dist=0&amp;ucfs=1&amp;aid=318615&amp;checkout=2023-10-15&amp;req_children=0&amp;group_children=0&amp;sr_order=popularity&amp;dest_type=city&amp;req_adults=2&amp;type=total&amp;room1=A%2CA&amp;hapos=1&amp;checkin=2023-10-09&amp;no_rooms=1&amp;group_adults=2&amp;sid=541fce24b1e9d59195c76b7345f0b334" TargetMode="External"/><Relationship Id="rId770" Type="http://schemas.openxmlformats.org/officeDocument/2006/relationships/hyperlink" Target="https://www.airbnb.fr/rooms/49202514?source_impression_id=p3_1694513074_qmoCGzmO1wxbdf4v" TargetMode="External"/><Relationship Id="rId1360" Type="http://schemas.openxmlformats.org/officeDocument/2006/relationships/hyperlink" Target="https://www.booking.com/hotel/re/la-maison-couleur-volcan-la-plaine-des-cafres.fr.html?aid=311089&amp;label=la-maison-couleur-volcan-la-plaine-des-cafres-Ir%2AJKXBa5%2AqZIcsG8cfsnAS711119147677%3Apl%3Ata%3Ap1%3Ap2%3Aac%3Aap%3Aneg%3Afi%3Atikwd-1713647218446%3Alp9075843%3Ali%3Adec%3Adm%3Appccp%3DUmFuZG9tSVYkc2RlIyh9YfNeh-lbHkPZZDrBVOcopBI&amp;sid=f2db896984a0049b10289cc46ffd39ce&amp;age=0&amp;all_sr_blocks=1261364603_420845952_2_33_0&amp;checkin=2025-11-12&amp;checkout=2025-11-14&amp;dest_id=-1331043&amp;dest_type=city&amp;dist=0&amp;group_adults=2&amp;group_children=0&amp;hapos=1&amp;highlighted_blocks=1261364603_420845952_2_33_0&amp;hpos=1&amp;matching_block_id=1261364603_420845952_2_33_0&amp;no_rooms=1&amp;req_adults=2&amp;req_children=0&amp;room1=A%2CA&amp;sb_price_type=total&amp;sr_order=popularity&amp;sr_pri_blocks=1261364603_420845952_2_33_0__13005&amp;srepoch=1758178511&amp;srpvid=d82130a4070f0572&amp;type=total&amp;ucfs=1&amp;" TargetMode="External"/><Relationship Id="rId1361" Type="http://schemas.openxmlformats.org/officeDocument/2006/relationships/hyperlink" Target="https://www.booking.com/hotel/re/la-maison-des-camelias.fr.html?aid=318615&amp;label=New_French_FR_RE_26394819985-5KMfyMgIYi7RF9Cd6ZNX9wS217246948707%3Apl%3Ata%3Ap1%3Ap2%3Aac%3Aap%3Aneg%3Afi%3Atidsa-194594581705%3Alp9075843%3Ali%3Adec%3Adm&amp;sid=ba4e4e680180124b9e08f6acfb274803&amp;dest_id=-1331043&amp;dest_type=city&amp;dist=0&amp;group_adults=2&amp;group_children=0&amp;hapos=1&amp;hpos=1&amp;no_rooms=1&amp;req_adults=2&amp;req_children=0&amp;room1=A%2CA&amp;sb_price_type=total&amp;sr_order=popularity&amp;srepoch=1758190841&amp;srpvid=b4b948ba40b4068b&amp;type=total&amp;ucfs=1&amp;" TargetMode="External"/><Relationship Id="rId1362" Type="http://schemas.openxmlformats.org/officeDocument/2006/relationships/hyperlink" Target="https://www.booking.com/hotel/re/harmonie-de-3-logements-villa-des-4-sens.fr.html?aid=364031&amp;label=viam%7Cpoilist%7Cfr%7Cmap.result%7Cphone%7C%7C%7C%7CRESIDENCE%7COff%7C%7C%7Ccadd8d2c%7C13279101%7C%7C%7C1747353601772%7C%7C&amp;sid=c0482b785feae546095318e848437054&amp;dest_id=14433683&amp;dest_type=hotel&amp;dist=0&amp;group_adults=2&amp;group_children=0&amp;hapos=1&amp;hpos=1&amp;no_rooms=1&amp;req_adults=2&amp;req_children=0&amp;room1=A%2CA&amp;sb_price_type=total&amp;sr_order=popularity&amp;srepoch=1759299900&amp;srpvid=0ef22d198d920079&amp;type=total&amp;ucfs=1&amp;" TargetMode="External"/><Relationship Id="rId774" Type="http://schemas.openxmlformats.org/officeDocument/2006/relationships/hyperlink" Target="https://fr.airbnb.com/rooms/893210742176494182?source_impression_id=p3_1695709616_Bi6%2FszYOx2aqkBuG" TargetMode="External"/><Relationship Id="rId1363" Type="http://schemas.openxmlformats.org/officeDocument/2006/relationships/hyperlink" Target="https://www.booking.com/hotel/re/ti-kaz-paradis-bungalow-en-bois-pour-2.fr.html?aid=356980&amp;label=gog235jc-10CAsovwFCJnRpLWthei1wYXJhZGlzLWJ1bmdhbG93LWVuLWJvaXMtcG91ci0ySA1YA2i_AYgBAZgBM7gBF8gBDNgBA-gBAfgBAYgCAagCAbgCwcv4xgbAAgHSAiQzZWQ3MDRhZS01YmZiLTQyMDItOWVjNC01NTM0NzFlOTIwMTXYAgHgAgE&amp;sid=349bd7c55afe232f19dd66257d1905f2&amp;checkin=2025-11-16&amp;checkout=2025-11-17&amp;dest_id=-1331043&amp;dest_type=city&amp;dist=0&amp;do_availability_check=1&amp;group_adults=2&amp;group_children=0&amp;hp_avform=1&amp;hp_group_set=0&amp;no_rooms=1&amp;origin=hp&amp;sb_price_type=total&amp;src=hotel&amp;type=total&amp;activeTab=main" TargetMode="External"/><Relationship Id="rId773" Type="http://schemas.openxmlformats.org/officeDocument/2006/relationships/hyperlink" Target="https://www.booking.com/hotel/re/la-case-bouisseau-du-sud-sauvage.fr.html" TargetMode="External"/><Relationship Id="rId1364" Type="http://schemas.openxmlformats.org/officeDocument/2006/relationships/hyperlink" Target="https://www.abritel.fr/location-vacances/p2341960" TargetMode="External"/><Relationship Id="rId772" Type="http://schemas.openxmlformats.org/officeDocument/2006/relationships/hyperlink" Target="https://fr.airbnb.com/rooms/976762595086803183?source_impression_id=p3_1694691381_qVm3F99Ge4yQyUOR" TargetMode="External"/><Relationship Id="rId1365" Type="http://schemas.openxmlformats.org/officeDocument/2006/relationships/hyperlink" Target="https://www.airbnb.fr/rooms/913669220627939842?search_mode=regular_search&amp;adults=1&amp;check_in=2025-10-07&amp;check_out=2025-10-12&amp;children=0&amp;infants=0&amp;source_impression_id=p3_1759388773_P3vwdRJwL6LrO6DI&amp;previous_page_section_name=1000" TargetMode="External"/><Relationship Id="rId771" Type="http://schemas.openxmlformats.org/officeDocument/2006/relationships/hyperlink" Target="https://www.leboncoin.fr/offre/locations_gites/1956929401" TargetMode="External"/><Relationship Id="rId1366" Type="http://schemas.openxmlformats.org/officeDocument/2006/relationships/hyperlink" Target="https://www.booking.com/hotel/re/hydrangea-le-prunier-studio.fr.html" TargetMode="External"/><Relationship Id="rId1390" Type="http://schemas.openxmlformats.org/officeDocument/2006/relationships/hyperlink" Target="https://www.instagram.com/Kolibriz_massage/?fbclid=IwY2xjawOKgCdleHRuA2FlbQIxMABicmlkETBqU3lydTRLVnRBMkRsQUI4c3J0YwZhcHBfaWQQMjIyMDM5MTc4ODIwMDg5MgABHqffZasfKF9YM01mJ0t2sC46UsYLS-q2MUNvATpDczPToL1_wxWgaymWPmF9_aem_b4oW8o_kastVx2-5ijcsJQ" TargetMode="External"/><Relationship Id="rId1391" Type="http://schemas.openxmlformats.org/officeDocument/2006/relationships/hyperlink" Target="https://www.facebook.com/groups/321778873707557/user/61581372016939/?locale=fr_FR" TargetMode="External"/><Relationship Id="rId1392" Type="http://schemas.openxmlformats.org/officeDocument/2006/relationships/hyperlink" Target="https://www.booking.com/hotel/re/villa-spacieuse-a-grand-coude-avec-acces-pmr-fr-1-786-52.fr.html?aid=356980&amp;label=gog235jc-10CAsovwFCOHZpbGxhLXNwYWNpZXVzZS1hLWdyYW5kLWNvdWRlLWF2ZWMtYWNjZXMtcG1yLWZyLTEtNzg2LTUySA1YA2i_AYgBAZgBM7gBF8gBDNgBA-gBAfgBAYgCAagCAbgCzL_6yAbAAgHSAiQzYzJmMTQ5MC02MWM0LTQ2NWQtYjViOC1jODJkOTE1MDUxNGTYAgHgAgE&amp;sid=349bd7c55afe232f19dd66257d1905f2&amp;checkin=2026-01-20&amp;checkout=2026-01-21&amp;dest_id=-1331399&amp;dest_type=city&amp;dist=0&amp;do_availability_check=1&amp;group_adults=2&amp;group_children=0&amp;hp_avform=1&amp;hp_group_set=0&amp;no_rooms=1&amp;origin=hp&amp;sb_price_type=total&amp;src=hotel&amp;type=total&amp;" TargetMode="External"/><Relationship Id="rId1393" Type="http://schemas.openxmlformats.org/officeDocument/2006/relationships/hyperlink" Target="https://www.facebook.com/profile.php?id=61582441693747&amp;locale=fr_FR" TargetMode="External"/><Relationship Id="rId1394" Type="http://schemas.openxmlformats.org/officeDocument/2006/relationships/hyperlink" Target="https://www.airbnb.fr/rooms/1163620355686488076?search_mode=regular_search&amp;adults=1&amp;check_in=2026-01-09&amp;check_out=2026-01-14&amp;children=0&amp;infants=0&amp;source_impression_id=p3_1763700656_P3UpAcuUFr6Mv-2I&amp;previous_page_section_name=1000" TargetMode="External"/><Relationship Id="rId1395" Type="http://schemas.openxmlformats.org/officeDocument/2006/relationships/hyperlink" Target="https://www.booking.com/hotel/re/la-casa-del-ju-lya-4-etoiles-le-tampon.fr.html?aid=318615&amp;label=New_French_FR_RE_26394819985-5KMfyMgIYi7RF9Cd6ZNX9wS217246948707%3Apl%3Ata%3Ap1%3Ap2%3Aac%3Aap%3Aneg%3Afi%3Atidsa-194594581705%3Alp9075843%3Ali%3Adec%3Adm&amp;sid=005cf14238dcda254298b82a719e6e5a&amp;checkin=2025-11-27&amp;checkout=2025-11-28&amp;dest_id=-1331043&amp;dest_type=city&amp;dist=0&amp;group_adults=2&amp;group_children=0&amp;hapos=1&amp;hpos=1&amp;no_rooms=1&amp;req_adults=2&amp;req_children=0&amp;room1=A%2CA&amp;sb_price_type=total&amp;soh=1&amp;sr_order=popularity&amp;srepoch=1763700654&amp;srpvid=b6325e547c10a3570fdc558b3885a296&amp;type=total&amp;ucfs=1&amp;" TargetMode="External"/><Relationship Id="rId1396" Type="http://schemas.openxmlformats.org/officeDocument/2006/relationships/hyperlink" Target="https://www.facebook.com/profile.php?id=61580937478526&amp;locale=fr_FR" TargetMode="External"/><Relationship Id="rId1397" Type="http://schemas.openxmlformats.org/officeDocument/2006/relationships/hyperlink" Target="https://fr.airbnb.com/rooms/1530512482771272329?_set_bev_on_new_domain=1708588246_Nzk5YzdhMWExNTVj&amp;set_everest_cookie_on_new_domain=1759475212.EAZjk1NGY4ZGVhMzBkZj.z8bqTpchS-9Xcb8Fk1cvUHVduRuuWnAX0XOPKl9qGQE&amp;source_impression_id=p3_1763957313_P3Hcr8nvLsn4gGSD" TargetMode="External"/><Relationship Id="rId1398" Type="http://schemas.openxmlformats.org/officeDocument/2006/relationships/hyperlink" Target="https://www.airbnb.fr/rooms/1535272505513302647?source_impression_id=p3_1764137644_P3f1GDWNJ_uGisfz" TargetMode="External"/><Relationship Id="rId1399" Type="http://schemas.openxmlformats.org/officeDocument/2006/relationships/hyperlink" Target="https://www.booking.com/hotel/re/empreinte-by-lonbraz-volkan.fr.html?aid=304142&amp;label=gen173nr-10CAsovwFCG2VtcHJlaW50ZS1ieS1sb25icmF6LXZvbGthbkgzWARovwGIAQGYATO4ARfIAQzYAQPoAQH4AQGIAgGoAgG4AqiL6ccGwAIB0gIkOTU1MWJhODYtN2Y4ZC00MGQwLTg2MTYtMjZmYjhmMzRkYWJi2AIB4AIB-Share-oF7OHM%401761232305-Share-1LWwcOS%401764133885&amp;chal_t=1764137647833&amp;force_referer=" TargetMode="External"/><Relationship Id="rId1389" Type="http://schemas.openxmlformats.org/officeDocument/2006/relationships/hyperlink" Target="https://www.facebook.com/profile.php?id=61559837638942&amp;locale=fr_FR" TargetMode="External"/><Relationship Id="rId799" Type="http://schemas.openxmlformats.org/officeDocument/2006/relationships/hyperlink" Target="https://www.airbnb.fr/rooms/38689081?source_impression_id=p3_1697438785_HRDHikxD%2BpPYdo8P" TargetMode="External"/><Relationship Id="rId798" Type="http://schemas.openxmlformats.org/officeDocument/2006/relationships/hyperlink" Target="https://www.leboncoin.fr/offre/locations_gites/2276257114" TargetMode="External"/><Relationship Id="rId797" Type="http://schemas.openxmlformats.org/officeDocument/2006/relationships/hyperlink" Target="https://www.airbnb.fr/rooms/22987784?source_impression_id=p3_1697433915_6O6nQTDDbM7i7Nv%2B" TargetMode="External"/><Relationship Id="rId1380" Type="http://schemas.openxmlformats.org/officeDocument/2006/relationships/hyperlink" Target="https://www.facebook.com/profile.php?id=100090973621164" TargetMode="External"/><Relationship Id="rId792" Type="http://schemas.openxmlformats.org/officeDocument/2006/relationships/hyperlink" Target="https://www.facebook.com/ParentheseInattendueGrandBassin/?locale=fr_FR" TargetMode="External"/><Relationship Id="rId1381" Type="http://schemas.openxmlformats.org/officeDocument/2006/relationships/hyperlink" Target="https://www.airbnb.fr/rooms/1539047172735927358?viralityEntryPoint=1&amp;s=76&amp;source_impression_id=p3_1761627032_P3z9WdeYbB_avySR" TargetMode="External"/><Relationship Id="rId791" Type="http://schemas.openxmlformats.org/officeDocument/2006/relationships/hyperlink" Target="https://www.booking.com/hotel/re/la-rose-du-sud.fr.html?aid=311089&amp;label=la-rose-du-sud-b86Zl2eRPxNdn_RHQpU3BgS161720941905%3Apl%3Ata%3Ap1%3Ap2%3Aac%3Aap%3Aneg%3Afi%3Atikwd-64571483726%3Alp9075843%3Ali%3Adec%3Adm%3Appccp%3DUmFuZG9tSVYkc2RlIyh9Yf23yREhrOV9DIzdQnby_R8&amp;sid=1d91ab27864dc9721d26f0ceffa99ed5&amp;all_sr_blocks=50442803_344212776_4_2_0;checkin=2023-10-11;checkout=2023-10-12;dest_id=-1331399;dest_type=city;dist=0;group_adults=4;group_children=0;hapos=1;highlighted_blocks=50442803_344212776_4_2_0;hpos=1;matching_block_id=50442803_344212776_4_2_0;no_rooms=1;req_adults=4;req_children=0;room1=A%2CA%2CA%2CA;sb_price_type=total;sr_order=popularity;sr_pri_blocks=50442803_344212776_4_2_0__19400;srepoch=1697021920;srpvid=39144d240d71019e;type=total;ucfs=1&amp;" TargetMode="External"/><Relationship Id="rId1382" Type="http://schemas.openxmlformats.org/officeDocument/2006/relationships/hyperlink" Target="https://www.airbnb.fr/rooms/1460726100969785165?adults=6&amp;check_in=2025-11-07&amp;check_out=2025-11-09&amp;search_mode=regular_search&amp;source_impression_id=p3_1759899632_P3dBAE5WrpvvF8bD&amp;previous_page_section_name=1000&amp;federated_search_id=66e9bacb-eccc-4f1e-908c-97c6bca9ddee" TargetMode="External"/><Relationship Id="rId790" Type="http://schemas.openxmlformats.org/officeDocument/2006/relationships/hyperlink" Target="https://www.facebook.com/9zailes4" TargetMode="External"/><Relationship Id="rId1383" Type="http://schemas.openxmlformats.org/officeDocument/2006/relationships/hyperlink" Target="https://www.facebook.com/profile.php?id=61574956790771&amp;rdid=IgEmA1yDKOk3AUaO" TargetMode="External"/><Relationship Id="rId1384" Type="http://schemas.openxmlformats.org/officeDocument/2006/relationships/hyperlink" Target="https://www.airbnb.fr/rooms/1333914233818593999?guests=1&amp;adults=1&amp;s=67&amp;unique_share_id=13631498-2cb1-407b-aee8-ef6a488bf10c&amp;source_impression_id=p3_1763352459_P321Rwui9YFil5nO" TargetMode="External"/><Relationship Id="rId796" Type="http://schemas.openxmlformats.org/officeDocument/2006/relationships/hyperlink" Target="https://www.facebook.com/ogecko974/?locale=fr_FR" TargetMode="External"/><Relationship Id="rId1385" Type="http://schemas.openxmlformats.org/officeDocument/2006/relationships/hyperlink" Target="https://www.booking.com/hotel/re/logement-entier-saint-joseph-quartier-des-jacques-saint-joseph2.fr.html?aid=356980&amp;label=gen173nr-10CAsovwFCP2xvZ2VtZW50LWVudGllci1zYWludC1qb3NlcGgtcXVhcnRpZXItZGVzLWphY3F1ZXMtc2FpbnQtam9zZXBoMkgzWARo-wGIAQGYATO4ARfIAQzYAQPoAQH4AQGIAgGoAgG4Apm55cgGwAIB0gIkN2ZmNzQxNmUtZDA3Ni00NzExLTliNjEtZGYyODJlNWQzYjM22AIB4AIB&amp;sid=349bd7c55afe232f19dd66257d1905f2&amp;age=1&amp;all_sr_blocks=1491389401_420794314_3_0_0&amp;checkin=2026-03-01&amp;checkout=2026-03-08&amp;dest_id=-1331399&amp;dest_type=city&amp;dist=0&amp;group_adults=2&amp;group_children=1&amp;hapos=1&amp;highlighted_blocks=1491389401_420794314_3_0_0&amp;hpos=1&amp;matching_block_id=1491389401_420794314_3_0_0&amp;no_rooms=2&amp;req_adults=2&amp;req_age=1&amp;req_children=1&amp;room1=A&amp;room2=A%2C1&amp;sb_price_type=total&amp;sr_order=popularity&amp;sr_pri_blocks=1491389401_420794314_3_0_0__29988&amp;srepoch=1763269932&amp;srpvid=2b51249343c1032c&amp;type=total&amp;ucfs=1&amp;" TargetMode="External"/><Relationship Id="rId795" Type="http://schemas.openxmlformats.org/officeDocument/2006/relationships/hyperlink" Target="https://www.booking.com/hotel/re/la-case-o-39-gecko974.fr.html?aid=311089&amp;label=la-case-o-39-gecko974-GNzAoq_RBOibjJ0ouT*r3gS273951133675%3Apl%3Ata%3Ap1%3Ap2%3Aac%3Aap%3Aneg%3Afi%3Atikwd-484315956454%3Alp9075843%3Ali%3Adec%3Adm%3Appccp%3DUmFuZG9tSVYkc2RlIyh9YVcLb15uXY9dObSb2laNmOc&amp;sid=1d91ab27864dc9721d26f0ceffa99ed5&amp;checkin=2023-10-13&amp;checkout=2023-10-14&amp;dest_id=-1331399&amp;dest_type=city&amp;dist=0&amp;group_adults=4&amp;group_children=0&amp;hapos=1&amp;hpos=1&amp;no_rooms=1&amp;req_adults=4&amp;req_children=0&amp;room1=A%2CA%2CA%2CA&amp;sb_price_type=total&amp;soh=1&amp;sr_order=popularity&amp;srepoch=1697183882&amp;srpvid=19ca38020e170162&amp;type=total&amp;ucfs=1&amp;activeTab=main" TargetMode="External"/><Relationship Id="rId1386" Type="http://schemas.openxmlformats.org/officeDocument/2006/relationships/hyperlink" Target="https://www.abritel.fr/location-vacances/p2526339" TargetMode="External"/><Relationship Id="rId794" Type="http://schemas.openxmlformats.org/officeDocument/2006/relationships/hyperlink" Target="https://www.instagram.com/chalet.cogite/?hl=fr" TargetMode="External"/><Relationship Id="rId1387" Type="http://schemas.openxmlformats.org/officeDocument/2006/relationships/hyperlink" Target="https://www.facebook.com/p/Association-des-artisans-dart-de-la-reunion-61573457136127/" TargetMode="External"/><Relationship Id="rId793" Type="http://schemas.openxmlformats.org/officeDocument/2006/relationships/hyperlink" Target="https://www.airbnb.fr/rooms/21974640?source_impression_id=p3_1697103964_O3ufn6bSNTrNp4TB" TargetMode="External"/><Relationship Id="rId1388" Type="http://schemas.openxmlformats.org/officeDocument/2006/relationships/hyperlink" Target="https://www.facebook.com/profile.php?id=61583657301986" TargetMode="External"/><Relationship Id="rId1455" Type="http://schemas.openxmlformats.org/officeDocument/2006/relationships/hyperlink" Target="https://www.facebook.com/profile.php?id=61583387395177&amp;locale=fr_FR" TargetMode="External"/><Relationship Id="rId1456" Type="http://schemas.openxmlformats.org/officeDocument/2006/relationships/hyperlink" Target="https://www.airbnb.fr/rooms/1580910241131839540?photo_id=2499476336&amp;source_impression_id=p3_1771602082_P3NRqMZIuxymLar1&amp;previous_page_section_name=1000" TargetMode="External"/><Relationship Id="rId1457" Type="http://schemas.openxmlformats.org/officeDocument/2006/relationships/hyperlink" Target="https://www.booking.com/hotel/re/villa-cap-jaune-ti-case-meme-lauret.fr.html?aid=356980&amp;label=gog235jc-10CAsovwFCI3ZpbGxhLWNhcC1qYXVuZS10aS1jYXNlLW1lbWUtbGF1cmV0SA1YA2i_AYgBAZgBM7gBF8gBDNgBA-gBAfgBAYgCAagCAbgC2YHizAbAAgHSAiQ0NzViNTU2ZC02ZWE0LTRlMWQtOWZlYi1iN2NhY2MyZjI5ZmXYAgHgAgE&amp;sid=c8f4410255802e901c5b04fd2201e430&amp;dest_id=-1331399&amp;dest_type=city&amp;dist=0&amp;group_adults=2&amp;group_children=0&amp;hapos=1&amp;hpos=1&amp;no_rooms=1&amp;req_adults=2&amp;req_children=0&amp;room1=A%2CA&amp;sb_price_type=total&amp;sr_order=popularity&amp;srepoch=1771602143&amp;srpvid=33466e6ddfb7023b&amp;type=total&amp;ucfs=1&amp;" TargetMode="External"/><Relationship Id="rId1458" Type="http://schemas.openxmlformats.org/officeDocument/2006/relationships/hyperlink" Target="https://www.facebook.com/tikaredanpei/" TargetMode="External"/><Relationship Id="rId1459" Type="http://schemas.openxmlformats.org/officeDocument/2006/relationships/hyperlink" Target="https://www.instagram.com/creoleleshaut?fbclid=IwY2xjawQchC5leHRuA2FlbQIxMABicmlkETBIUFBvTWxLM2pwRlMzTERsc3J0YwZhcHBfaWQQMjIyMDM5MTc4ODIwMDg5MgABHvTP9Y_yBZorm1KGt_SY11WQUMauUgqwR8kKRx1wR9qpMEsDvEv8o1253jL9_aem_0S3SUjFevt3Ij2lxjzqtXQ" TargetMode="External"/><Relationship Id="rId629" Type="http://schemas.openxmlformats.org/officeDocument/2006/relationships/hyperlink" Target="https://fr.airbnb.com/rooms/34424845?_set_bev_on_new_domain=1663222967_NDA0ZDMxMjE4MjUw&amp;source_impression_id=p3_1681878063_kyGw%2FzA7a4jNF85C" TargetMode="External"/><Relationship Id="rId624" Type="http://schemas.openxmlformats.org/officeDocument/2006/relationships/hyperlink" Target="https://www.facebook.com/keylodge.locations" TargetMode="External"/><Relationship Id="rId623" Type="http://schemas.openxmlformats.org/officeDocument/2006/relationships/hyperlink" Target="https://www.booking.com/hotel/re/le-chalet-gayar.fr.html?aid=1258470&amp;label=Share-5sMBoz%401680188077" TargetMode="External"/><Relationship Id="rId622" Type="http://schemas.openxmlformats.org/officeDocument/2006/relationships/hyperlink" Target="https://www.airbnb.fr/rooms/825966400964880822?adults=1&amp;guests=1&amp;s=42&amp;unique_share_id=3c4697a4-1d7e-4513-b006-6790994aa42f&amp;_branch_match_id=1121380517906973837&amp;_branch_referrer=H4sIAAAAAAAAA8soKSkottLXT0zKS9LLTdUPCcrKLAlw83GsTAIAhybZwRsAAAA%3D&amp;source_impression_id=p3_1680240062_izCJ38HWT6jJA6yU" TargetMode="External"/><Relationship Id="rId621" Type="http://schemas.openxmlformats.org/officeDocument/2006/relationships/hyperlink" Target="https://www.facebook.com/LodgeDeGrandCoude" TargetMode="External"/><Relationship Id="rId628" Type="http://schemas.openxmlformats.org/officeDocument/2006/relationships/hyperlink" Target="https://fr.airbnb.com/rooms/34383362?_set_bev_on_new_domain=1663222967_NDA0ZDMxMjE4MjUw&amp;source_impression_id=p3_1681878060_PCM4iLrUfgWG26T7" TargetMode="External"/><Relationship Id="rId627" Type="http://schemas.openxmlformats.org/officeDocument/2006/relationships/hyperlink" Target="https://fr.airbnb.com/rooms/34321965?_set_bev_on_new_domain=1663222967_NDA0ZDMxMjE4MjUw&amp;source_impression_id=p3_1681878056_v3RcwtCC%2Faukpoi1" TargetMode="External"/><Relationship Id="rId626" Type="http://schemas.openxmlformats.org/officeDocument/2006/relationships/hyperlink" Target="https://fr.airbnb.com/rooms/34430755?_set_bev_on_new_domain=1663222967_NDA0ZDMxMjE4MjUw&amp;source_impression_id=p3_1681878158_EVaLjDLQ66whwae5" TargetMode="External"/><Relationship Id="rId625" Type="http://schemas.openxmlformats.org/officeDocument/2006/relationships/hyperlink" Target="https://www.tripadvisor.fr/Restaurant_Review-g668283-d15024727-Reviews-Le_Saint_Hilaire-Entre_Deux_Arrondissement_of_Saint_Pierre.html" TargetMode="External"/><Relationship Id="rId1450" Type="http://schemas.openxmlformats.org/officeDocument/2006/relationships/hyperlink" Target="https://www.airbnb.fr/rooms/762961354771801820?source_impression_id=p3_1772165327_P30gIEfiKpvgRnAl" TargetMode="External"/><Relationship Id="rId620" Type="http://schemas.openxmlformats.org/officeDocument/2006/relationships/hyperlink" Target="https://www.booking.com/hotel/re/fleur-de-vanille.fr.html" TargetMode="External"/><Relationship Id="rId1451" Type="http://schemas.openxmlformats.org/officeDocument/2006/relationships/hyperlink" Target="https://www.booking.com/hotel/re/chez-monblanc.fr.html?chal_t=1772165319330&amp;force_referer=https%3A%2F%2Fwww.google.com%2F" TargetMode="External"/><Relationship Id="rId1452" Type="http://schemas.openxmlformats.org/officeDocument/2006/relationships/hyperlink" Target="https://www.airbnb.fr/rooms/1581959321754942664?photo_id=2484044345&amp;source_impression_id=p3_1771602082_P36TpIa4j4RQImgQ&amp;previous_page_section_name=1000" TargetMode="External"/><Relationship Id="rId1453" Type="http://schemas.openxmlformats.org/officeDocument/2006/relationships/hyperlink" Target="https://www.booking.com/hotel/re/villa-marine-ti-case-meme-lauret.fr.html?aid=356980&amp;label=gog235jc-10CAsovwFCIHZpbGxhLW1hcmluZS10aS1jYXNlLW1lbWUtbGF1cmV0SA1YA2i_AYgBAZgBM7gBF8gBDNgBA-gBAfgBAYgCAagCAbgCr4HizAbAAgHSAiQyMDJmYWFhMy1lYTgzLTQ5OWQtYjBkMy1iNTA1MGJiYWFhODHYAgHgAgE&amp;sid=c8f4410255802e901c5b04fd2201e430&amp;dest_id=-1331399&amp;dest_type=city&amp;dist=0&amp;group_adults=2&amp;group_children=0&amp;hapos=1&amp;hpos=1&amp;no_rooms=1&amp;req_adults=2&amp;req_children=0&amp;room1=A%2CA&amp;sb_price_type=total&amp;sr_order=popularity&amp;srepoch=1771602103&amp;srpvid=72b46e5857c200ed&amp;type=total&amp;ucfs=1&amp;chal_t=1772605067994&amp;force_referer=" TargetMode="External"/><Relationship Id="rId1454" Type="http://schemas.openxmlformats.org/officeDocument/2006/relationships/hyperlink" Target="https://www.facebook.com/profile.php?id=61583387395177&amp;locale=fr_FR" TargetMode="External"/><Relationship Id="rId1444" Type="http://schemas.openxmlformats.org/officeDocument/2006/relationships/hyperlink" Target="https://www.airbnb.fr/rooms/1570034503759037386?source_impression_id=p3_1771562534_P3AHwnw4R5m28Lsl" TargetMode="External"/><Relationship Id="rId1445" Type="http://schemas.openxmlformats.org/officeDocument/2006/relationships/hyperlink" Target="https://www.facebook.com/Waro.JB?locale=fr_FR" TargetMode="External"/><Relationship Id="rId1446" Type="http://schemas.openxmlformats.org/officeDocument/2006/relationships/hyperlink" Target="https://www.booking.com/hotel/re/escapade-des-hauts.fr.html?aid=356980&amp;label=gog235jc-10CAsovwFCEmVzY2FwYWRlLWRlcy1oYXV0c0gzWANovwGIAQGYATO4ARfIAQzYAQPoAQH4AQGIAgGoAgG4Arni9MwGwAIB0gIkYTUwYmI3MjMtOTZjZS00NGJkLThmZDAtMGIwYTdkYWI2ZTc32AIB4AIB&amp;sid=349bd7c55afe232f19dd66257d1905f2&amp;dist=0&amp;keep_landing=1&amp;sb_price_type=total&amp;type=total&amp;" TargetMode="External"/><Relationship Id="rId1447" Type="http://schemas.openxmlformats.org/officeDocument/2006/relationships/hyperlink" Target="https://www.abritel.fr/location-vacances/p2548681" TargetMode="External"/><Relationship Id="rId1448" Type="http://schemas.openxmlformats.org/officeDocument/2006/relationships/hyperlink" Target="https://www.facebook.com/afficheduneile" TargetMode="External"/><Relationship Id="rId1449" Type="http://schemas.openxmlformats.org/officeDocument/2006/relationships/hyperlink" Target="https://www.instagram.com/lafficheduneile" TargetMode="External"/><Relationship Id="rId619" Type="http://schemas.openxmlformats.org/officeDocument/2006/relationships/hyperlink" Target="https://www.booking.com/hotel/re/fleur-de-vanille.fr.html" TargetMode="External"/><Relationship Id="rId618" Type="http://schemas.openxmlformats.org/officeDocument/2006/relationships/hyperlink" Target="https://www.facebook.com/Plurius" TargetMode="External"/><Relationship Id="rId613" Type="http://schemas.openxmlformats.org/officeDocument/2006/relationships/hyperlink" Target="https://fr.airbnb.com/rooms/796702557627453667?_set_bev_on_new_domain=1679982808_YjdmNjdlZWNhY2Zh&amp;source_impression_id=p3_1679982810_Lv9QXSEcgBgQN8Kx" TargetMode="External"/><Relationship Id="rId612" Type="http://schemas.openxmlformats.org/officeDocument/2006/relationships/hyperlink" Target="https://www.facebook.com/AuBoisNoir974" TargetMode="External"/><Relationship Id="rId611" Type="http://schemas.openxmlformats.org/officeDocument/2006/relationships/hyperlink" Target="https://www.tripadvisor.fr/Hotel_Review-g635742-d12108790-Reviews-Au_Bois_Noir-Saint_Joseph_Arrondissement_of_Saint_Pierre.html" TargetMode="External"/><Relationship Id="rId610" Type="http://schemas.openxmlformats.org/officeDocument/2006/relationships/hyperlink" Target="https://www.instagram.com/au_bois_noir/" TargetMode="External"/><Relationship Id="rId617" Type="http://schemas.openxmlformats.org/officeDocument/2006/relationships/hyperlink" Target="https://www.airbnb.fr/rooms/38369346?source_impression_id=p3_1680084925_0FaI93Bkl50xfQN2" TargetMode="External"/><Relationship Id="rId616" Type="http://schemas.openxmlformats.org/officeDocument/2006/relationships/hyperlink" Target="https://www.tripadvisor.fr/Restaurant_Review-g790521-d7255127-Reviews-Gite_le_Paille_en_Queue-La_Plaine_des_Cafres_Arrondissement_of_Saint_Pierre.html" TargetMode="External"/><Relationship Id="rId615" Type="http://schemas.openxmlformats.org/officeDocument/2006/relationships/hyperlink" Target="https://www.facebook.com/people/Le-paille-en-queue/100029264630345/?paipv=0&amp;eav=Afb-ylz3K1C9ej0s2_mr60L9CJm6OTq7ttSwzjfP65EvpPf2Ao7-UFHs-HZ3TIFEj4c&amp;_rdr" TargetMode="External"/><Relationship Id="rId614" Type="http://schemas.openxmlformats.org/officeDocument/2006/relationships/hyperlink" Target="https://www.instagram.com/lesjardinsdenicole/?igshid=YmMyMTA2M2Y%3D" TargetMode="External"/><Relationship Id="rId1440" Type="http://schemas.openxmlformats.org/officeDocument/2006/relationships/hyperlink" Target="https://www.booking.com/hotel/re/dragon-fly-location-saisonnier.fr.html?aid=356980&amp;label=gog235jc-10CAsovwFCHmRyYWdvbi1mbHktbG9jYXRpb24tc2Fpc29ubmllckgdWANovwGIAQGYATO4ARfIAQzYAQPoAQH4AQGIAgGoAgG4ArjxqswGwAIB0gIkM2E0ZGY5NjctZWU2Yi00YmRiLWJkNTctNzAzYWY0MTViNTFj2AIB4AIB&amp;sid=349bd7c55afe232f19dd66257d1905f2&amp;dist=0&amp;keep_landing=1&amp;sb_price_type=total&amp;type=total&amp;chal_t=1770698936968&amp;force_referer=https%3A%2F%2Fwww.google.com%2F" TargetMode="External"/><Relationship Id="rId1441" Type="http://schemas.openxmlformats.org/officeDocument/2006/relationships/hyperlink" Target="https://www.facebook.com/profile.php?id=61586572037567" TargetMode="External"/><Relationship Id="rId1442" Type="http://schemas.openxmlformats.org/officeDocument/2006/relationships/hyperlink" Target="https://www.facebook.com/profile.php?id=61569502852096&amp;locale=fr_FR" TargetMode="External"/><Relationship Id="rId1443" Type="http://schemas.openxmlformats.org/officeDocument/2006/relationships/hyperlink" Target="https://www.booking.com/hotel/re/ecokaz-palmita-chambres-privees-et-espace-de-travail.en-gb.html?aid=1980379&amp;label=EdgeFav&amp;sid=cd5910c1f24fb6802d432a2f7b9eff03&amp;all_sr_blocks=1575673801_428681125_2_0_0&amp;checkin=2026-02-12&amp;checkout=2026-02-13&amp;dest_id=-1331043&amp;dest_type=city&amp;dist=0&amp;group_adults=2&amp;group_children=0&amp;hapos=1&amp;highlighted_blocks=1575673801_428681125_2_0_0&amp;hpos=1&amp;matching_block_id=1575673801_428681125_2_0_0&amp;no_rooms=1&amp;req_adults=2&amp;req_children=0&amp;room1=A%2CA&amp;sb_price_type=total&amp;sr_order=popularity&amp;sr_pri_blocks=1575673801_428681125_2_0_0__5928&amp;srepoch=1770641413&amp;srpvid=bd40595ddfea0186&amp;type=total&amp;ucfs=1&amp;selected_currency=EUR&amp;chal_t=1771216394058&amp;force_referer=" TargetMode="External"/><Relationship Id="rId646" Type="http://schemas.openxmlformats.org/officeDocument/2006/relationships/hyperlink" Target="https://www.facebook.com/gitedegrandbassin/?locale=fr_FR" TargetMode="External"/><Relationship Id="rId645" Type="http://schemas.openxmlformats.org/officeDocument/2006/relationships/hyperlink" Target="https://www.booking.com/hotel/re/villa-moderne-manapany-jacuzzi-proximite-mer.fr.html?aid=304142&amp;label=gen173nr-1FCAsovwFCK21hZ25pZmlxdWUtdmlsbGEtYXZlYy1qYWN1enppLXByb3hpbWl0ZS1tZXJIDVgEaL8BiAEBmAENuAEXyAEM2AEB6AEB-AECiAIBqAIDuALDipWaBsACAdICJDk3ZTAyNjRmLWIwNGItNGNiMi1hN2I0LWNkMWM3YTAwMWMxN9gCBeACAQ&amp;sid=219fa3bd56adbb433c24d7abded56101&amp;dest_id=-1331399&amp;dest_type=city&amp;dist=0&amp;group_adults=2&amp;group_children=0&amp;no_rooms=1&amp;sb_price_type=total&amp;type=total&amp;ucfac=151&amp;" TargetMode="External"/><Relationship Id="rId644" Type="http://schemas.openxmlformats.org/officeDocument/2006/relationships/hyperlink" Target="https://www.facebook.com/HumanitySpiritualityMalika/" TargetMode="External"/><Relationship Id="rId643" Type="http://schemas.openxmlformats.org/officeDocument/2006/relationships/hyperlink" Target="https://www.booking.com/hotel/re/charmant-chalet-avec-jacuzzi.fr.html" TargetMode="External"/><Relationship Id="rId649" Type="http://schemas.openxmlformats.org/officeDocument/2006/relationships/hyperlink" Target="https://www.facebook.com/profile.php?id=100092479846289" TargetMode="External"/><Relationship Id="rId648" Type="http://schemas.openxmlformats.org/officeDocument/2006/relationships/hyperlink" Target="https://www.facebook.com/Yren.974/?locale=fr_FR" TargetMode="External"/><Relationship Id="rId647" Type="http://schemas.openxmlformats.org/officeDocument/2006/relationships/hyperlink" Target="https://www.facebook.com/legadjak" TargetMode="External"/><Relationship Id="rId642" Type="http://schemas.openxmlformats.org/officeDocument/2006/relationships/hyperlink" Target="https://www.instagram.com/labelle.lalia/" TargetMode="External"/><Relationship Id="rId641" Type="http://schemas.openxmlformats.org/officeDocument/2006/relationships/hyperlink" Target="https://www.facebook.com/profile.php?id=100091726006915" TargetMode="External"/><Relationship Id="rId640" Type="http://schemas.openxmlformats.org/officeDocument/2006/relationships/hyperlink" Target="https://www.leboncoin.fr/offre/locations_gites/2303726654" TargetMode="External"/><Relationship Id="rId1466" Type="http://schemas.openxmlformats.org/officeDocument/2006/relationships/drawing" Target="../drawings/drawing22.xml"/><Relationship Id="rId635" Type="http://schemas.openxmlformats.org/officeDocument/2006/relationships/hyperlink" Target="https://www.facebook.com/villacoeurvanille" TargetMode="External"/><Relationship Id="rId634" Type="http://schemas.openxmlformats.org/officeDocument/2006/relationships/hyperlink" Target="https://www.booking.com/hotel/re/la-belle-lalia-meuble-spa.en-gb.html" TargetMode="External"/><Relationship Id="rId633" Type="http://schemas.openxmlformats.org/officeDocument/2006/relationships/hyperlink" Target="https://www.leboncoin.fr/offre/locations_gites/2333356859" TargetMode="External"/><Relationship Id="rId632" Type="http://schemas.openxmlformats.org/officeDocument/2006/relationships/hyperlink" Target="https://www.facebook.com/profile.php?id=100087010601801" TargetMode="External"/><Relationship Id="rId639" Type="http://schemas.openxmlformats.org/officeDocument/2006/relationships/hyperlink" Target="https://www.leboncoin.fr/offre/locations_gites/2303726654" TargetMode="External"/><Relationship Id="rId638" Type="http://schemas.openxmlformats.org/officeDocument/2006/relationships/hyperlink" Target="https://www.tripadvisor.fr/VacationRentalReview-g675133-d21177283-Les_locations_d_elo_jul-Le_Tampon_Arrondissement_of_Saint_Pierre.html" TargetMode="External"/><Relationship Id="rId637" Type="http://schemas.openxmlformats.org/officeDocument/2006/relationships/hyperlink" Target="https://www.airbnb.fr/rooms/41806366?source_impression_id=p3_1682490963_aZ%2FtBN9OvLK6tFCF" TargetMode="External"/><Relationship Id="rId636" Type="http://schemas.openxmlformats.org/officeDocument/2006/relationships/hyperlink" Target="https://www.booking.com/hotel/re/location-saisonniere-berive.fr.html" TargetMode="External"/><Relationship Id="rId1460" Type="http://schemas.openxmlformats.org/officeDocument/2006/relationships/hyperlink" Target="https://www.airbnb.fr/rooms/1449166276785389209?source_impression_id=p3_1773724827_P3leosin0V7XuC5U" TargetMode="External"/><Relationship Id="rId1461" Type="http://schemas.openxmlformats.org/officeDocument/2006/relationships/hyperlink" Target="https://www.facebook.com/profile.php?id=100094902035505&amp;locale=fr_FR" TargetMode="External"/><Relationship Id="rId631" Type="http://schemas.openxmlformats.org/officeDocument/2006/relationships/hyperlink" Target="https://www.facebook.com/profile.php?id=100083008351300" TargetMode="External"/><Relationship Id="rId1462" Type="http://schemas.openxmlformats.org/officeDocument/2006/relationships/hyperlink" Target="https://www.instagram.com/laforetdenuages?igsh=MW9tbGk4dDZ0Y3A2eQ%3D%3D" TargetMode="External"/><Relationship Id="rId630" Type="http://schemas.openxmlformats.org/officeDocument/2006/relationships/hyperlink" Target="https://www.facebook.com/Transportanou/" TargetMode="External"/><Relationship Id="rId1463" Type="http://schemas.openxmlformats.org/officeDocument/2006/relationships/hyperlink" Target="https://fr.airbnb.com/rooms/1515257715027072376?_set_bev_on_new_domain=1708588246_Nzk5YzdhMWExNTVj&amp;set_everest_cookie_on_new_domain=1759475212.EAZjk1NGY4ZGVhMzBkZj.z8bqTpchS-9Xcb8Fk1cvUHVduRuuWnAX0XOPKl9qGQE&amp;source_impression_id=p3_1773906310_P32GXm2C6YL_0iwK" TargetMode="External"/><Relationship Id="rId1464" Type="http://schemas.openxmlformats.org/officeDocument/2006/relationships/hyperlink" Target="https://www.facebook.com/profile.php?id=61582348143466&amp;rdid=0mo9RolWKk2Uf3Of&amp;share_url=https%3A%2F%2Fwww.facebook.com%2Fshare%2F1a48B8fLya%2F" TargetMode="External"/><Relationship Id="rId1465" Type="http://schemas.openxmlformats.org/officeDocument/2006/relationships/hyperlink" Target="https://www.facebook.com/emiyogam?locale=fr_FR" TargetMode="External"/><Relationship Id="rId1411" Type="http://schemas.openxmlformats.org/officeDocument/2006/relationships/hyperlink" Target="https://www.instagram.com/laklebleu/" TargetMode="External"/><Relationship Id="rId1412" Type="http://schemas.openxmlformats.org/officeDocument/2006/relationships/hyperlink" Target="https://www.booking.com/hotel/re/appartement-ti-gouillat.fr.html?aid=2311236&amp;label=fr-re-booking-desktop-Baoii00aW2bPALa26_oNNwS652796014740%3Apl%3Ata%3Ap1%3Ap2%3Aac%3Aap%3Aneg%3Afi%3Atikwd-65526620%3Alp1011788%3Ali%3Adec%3Adm-Share-WOs1mHo%401767607223&amp;sid=349bd7c55afe232f19dd66257d1905f2&amp;all_sr_blocks=1495309601_421204294_2_0_0&amp;checkin=2026-01-22&amp;checkout=2026-01-23&amp;dest_id=-1331043&amp;dest_type=city&amp;dist=0&amp;group_adults=2&amp;group_children=0&amp;hapos=1&amp;highlighted_blocks=1495309601_421204294_2_0_0&amp;hpos=1&amp;matching_block_id=1495309601_421204294_2_0_0&amp;no_rooms=1&amp;req_adults=2&amp;req_children=0&amp;room1=A%2CA&amp;sb_price_type=total&amp;sr_order=popularity&amp;sr_pri_blocks=1495309601_421204294_2_0_0__8100&amp;srepoch=1767765522&amp;srpvid=1c630bd109179a09605d54eac103d350&amp;type=total&amp;ucfs=1&amp;" TargetMode="External"/><Relationship Id="rId1413" Type="http://schemas.openxmlformats.org/officeDocument/2006/relationships/hyperlink" Target="https://www.booking.com/hotel/re/le-clos-gentil.fr.html" TargetMode="External"/><Relationship Id="rId1414" Type="http://schemas.openxmlformats.org/officeDocument/2006/relationships/hyperlink" Target="https://www.facebook.com/p/Le-Clos-Gentil-61575559119127/" TargetMode="External"/><Relationship Id="rId1415" Type="http://schemas.openxmlformats.org/officeDocument/2006/relationships/hyperlink" Target="https://www.airbnb.fr/rooms/1460137813966696425?source_impression_id=p3_1767850359_P3hM2RGg4PZ7k8_e&amp;check_in=2026-02-02&amp;guests=1&amp;adults=1&amp;check_out=2026-02-04" TargetMode="External"/><Relationship Id="rId1416" Type="http://schemas.openxmlformats.org/officeDocument/2006/relationships/hyperlink" Target="https://www.airbnb.fr/rooms/1379053205452551923?search_mode=regular_search&amp;adults=1&amp;check_in=2026-01-23&amp;source_impression_id=p3_1768213462_P3a85UjMsIxcIHYw&amp;previous_page_section_name=1000&amp;federated_search_id=9d492570-e0ff-4edd-885c-e72dcde4cdc8&amp;guests=1&amp;check_out=2026-01-25" TargetMode="External"/><Relationship Id="rId1417" Type="http://schemas.openxmlformats.org/officeDocument/2006/relationships/hyperlink" Target="https://www.facebook.com/people/Le-Cap-Sud-meubl%C3%A9-de-tourisme-4-%C3%A9toiles/61574641450819/?ref=_xav_ig_profile_page_web" TargetMode="External"/><Relationship Id="rId1418" Type="http://schemas.openxmlformats.org/officeDocument/2006/relationships/hyperlink" Target="https://www.facebook.com/profile.php?id=61578279094206" TargetMode="External"/><Relationship Id="rId1419" Type="http://schemas.openxmlformats.org/officeDocument/2006/relationships/hyperlink" Target="https://www.instagram.com/gamikit_officiel/" TargetMode="External"/><Relationship Id="rId1410" Type="http://schemas.openxmlformats.org/officeDocument/2006/relationships/hyperlink" Target="https://www.airbnb.fr/rooms/1350531539594559455?source_impression_id=p3_1767765453_P3-hUk8FmhYbNx7q" TargetMode="External"/><Relationship Id="rId1400" Type="http://schemas.openxmlformats.org/officeDocument/2006/relationships/hyperlink" Target="https://fr.airbnb.com/rooms/1493933874449307953?_set_bev_on_new_domain=1708588246_Nzk5YzdhMWExNTVj&amp;set_everest_cookie_on_new_domain=1759475212.EAZjk1NGY4ZGVhMzBkZj.z8bqTpchS-9Xcb8Fk1cvUHVduRuuWnAX0XOPKl9qGQE&amp;source_impression_id=p3_1764226701_P3obnU3co52Y4IRm" TargetMode="External"/><Relationship Id="rId1401" Type="http://schemas.openxmlformats.org/officeDocument/2006/relationships/hyperlink" Target="https://www.booking.com/hotel/re/le-tranquillou.html?ssne=La+Plaine+des+Cafres&amp;ssne_untouched=La+Plaine+des+Cafres&amp;highlighted_hotels=9601103&amp;ss=La+Plaine+des+Cafres&amp;dest_id=-1330930&amp;dest_type=city&amp;hp_avform=1&amp;origin=hp&amp;do_availability_check=1&amp;label=1764648971.911873&amp;aid=2195102&amp;lang=fr&amp;sb=1&amp;src_elem=sb&amp;src=hotel&amp;checkin=2026-02-03&amp;checkout=2026-02-04&amp;group_adults=2&amp;no_rooms=1&amp;group_children=0" TargetMode="External"/><Relationship Id="rId1402" Type="http://schemas.openxmlformats.org/officeDocument/2006/relationships/hyperlink" Target="https://www.facebook.com/legitemalmany/" TargetMode="External"/><Relationship Id="rId1403" Type="http://schemas.openxmlformats.org/officeDocument/2006/relationships/hyperlink" Target="https://www.facebook.com/residencelestiaresreunion/?locale=fr_FR" TargetMode="External"/><Relationship Id="rId1404" Type="http://schemas.openxmlformats.org/officeDocument/2006/relationships/hyperlink" Target="https://www.leboncoin.fr/ad/locations_saisonnieres/3010456850" TargetMode="External"/><Relationship Id="rId1405" Type="http://schemas.openxmlformats.org/officeDocument/2006/relationships/hyperlink" Target="https://www.booking.com/hotel/re/auberge-la-fermette.fr.html?aid=356980&amp;label=gog235jc-10CAsovwFCE2F1YmVyZ2UtbGEtZmVybWV0dGVIM1gDaL8BiAEBmAEzuAEXyAEM2AED6AEB-AEBiAIBqAIBuALewaTKBsACAdICJDI1NzY5NzNlLTViZGUtNDlhOC04OGQ4LTk0YTRkMDgxZGZlNNgCAeACAQ&amp;sid=349bd7c55afe232f19dd66257d1905f2&amp;dist=0&amp;keep_landing=1&amp;sb_price_type=total&amp;type=total&amp;" TargetMode="External"/><Relationship Id="rId1406" Type="http://schemas.openxmlformats.org/officeDocument/2006/relationships/hyperlink" Target="https://www.booking.com/hotel/re/lilie97418.fr.html?aid=318615&amp;label=New_French_FR_RE_26394819985-5KMfyMgIYi7RF9Cd6ZNX9wS217246948707%3Apl%3Ata%3Ap1%3Ap2%3Aac%3Aap%3Aneg%3Afi%3Atidsa-194594581705%3Alp9218685%3Ali%3Adec%3Adm&amp;sid=349bd7c55afe232f19dd66257d1905f2&amp;dest_id=-1330930&amp;dest_type=city&amp;dist=0&amp;group_adults=2&amp;group_children=0&amp;hapos=1&amp;hpos=1&amp;no_rooms=1&amp;req_adults=2&amp;req_children=0&amp;room1=A%2CA&amp;sb_price_type=total&amp;sr_order=popularity&amp;srepoch=1766470790&amp;srpvid=28e614740feeb5a9f01a21ae1e1a37c3&amp;type=total&amp;ucfs=1&amp;" TargetMode="External"/><Relationship Id="rId1407" Type="http://schemas.openxmlformats.org/officeDocument/2006/relationships/hyperlink" Target="https://www.booking.com/hotel/re/barbadine.fr.html" TargetMode="External"/><Relationship Id="rId1408" Type="http://schemas.openxmlformats.org/officeDocument/2006/relationships/hyperlink" Target="https://www.facebook.com/eilaroc.fr?locale=fr_FR" TargetMode="External"/><Relationship Id="rId1409" Type="http://schemas.openxmlformats.org/officeDocument/2006/relationships/hyperlink" Target="https://www.instagram.com/eilaroc.fr/" TargetMode="External"/><Relationship Id="rId1433" Type="http://schemas.openxmlformats.org/officeDocument/2006/relationships/hyperlink" Target="https://www.airbnb.fr/rooms/50125327?source_impression_id=p3_1769667653_P3ibGvv1E_03DG1z" TargetMode="External"/><Relationship Id="rId1434" Type="http://schemas.openxmlformats.org/officeDocument/2006/relationships/hyperlink" Target="https://www.facebook.com/au.milieu.des.sapins?locale=fr_FR" TargetMode="External"/><Relationship Id="rId1435" Type="http://schemas.openxmlformats.org/officeDocument/2006/relationships/hyperlink" Target="https://www.airbnb.fr/rooms/32159469?search_mode=regular_search&amp;adults=1&amp;check_in=2026-02-01&amp;check_out=2026-02-06&amp;children=0&amp;infants=0&amp;pets=0&amp;source_impression_id=p3_1769679556_P3uttuuDwsF8Leb-&amp;previous_page_section_name=1000" TargetMode="External"/><Relationship Id="rId1436" Type="http://schemas.openxmlformats.org/officeDocument/2006/relationships/hyperlink" Target="https://www.facebook.com/aupaysdumoutonblanc?locale=fr_FR" TargetMode="External"/><Relationship Id="rId1437" Type="http://schemas.openxmlformats.org/officeDocument/2006/relationships/hyperlink" Target="https://www.booking.com/hotel/re/la-maison-verte.fr.html?aid=311089&amp;label=la-maison-verte-F2f3y30MstTd4GNhliamTgS704431363561%3Apl%3Ata%3Ap1%3Ap2%3Aac%3Aap%3Aneg%3Afi%3Atikwd-319902948695%3Alp9218685%3Ali%3Adec%3Adm%3Appccp%3DUmFuZG9tSVYkc2RlIyh9YfNeh-lbHkPZZDrBVOcopBI&amp;sid=f2db896984a0049b10289cc46ffd39ce&amp;dest_id=-1331043&amp;dest_type=city&amp;dist=0&amp;group_adults=2&amp;group_children=0&amp;hapos=1&amp;hpos=1&amp;no_rooms=1&amp;req_adults=2&amp;req_children=0&amp;room1=A%2CA&amp;sb_price_type=total&amp;sr_order=popularity&amp;srepoch=1742454725&amp;srpvid=7a3032a2e7e000e7&amp;type=total&amp;ucfs=1&amp;" TargetMode="External"/><Relationship Id="rId1438" Type="http://schemas.openxmlformats.org/officeDocument/2006/relationships/hyperlink" Target="https://fr.airbnb.be/rooms/1062889101172686427?source_impression_id=p3_1769752023_P354UYRXk8prk3QD" TargetMode="External"/><Relationship Id="rId1439" Type="http://schemas.openxmlformats.org/officeDocument/2006/relationships/hyperlink" Target="https://www.facebook.com/profile.php?id=61581341562579" TargetMode="External"/><Relationship Id="rId609" Type="http://schemas.openxmlformats.org/officeDocument/2006/relationships/hyperlink" Target="https://www.booking.com/hotel/re/chez-frida.fr.html?lang=fr&amp;soz=1&amp;lang_changed=1" TargetMode="External"/><Relationship Id="rId608" Type="http://schemas.openxmlformats.org/officeDocument/2006/relationships/hyperlink" Target="https://www.facebook.com/velhautsrun" TargetMode="External"/><Relationship Id="rId607" Type="http://schemas.openxmlformats.org/officeDocument/2006/relationships/hyperlink" Target="https://www.facebook.com/profile.php?id=100090444471228" TargetMode="External"/><Relationship Id="rId602" Type="http://schemas.openxmlformats.org/officeDocument/2006/relationships/hyperlink" Target="https://www.facebook.com/bougainvillier97418" TargetMode="External"/><Relationship Id="rId601" Type="http://schemas.openxmlformats.org/officeDocument/2006/relationships/hyperlink" Target="https://www.booking.com/hotel/re/le-bougainvillier-la-plaine-des-cafres12.fr.html?aid=318615&amp;label=New_French_FR_RE_26394819985-5KMfyMgIYi7RF9Cd6ZNX9wS640938625631%3Apl%3Ata%3Ap1%3Ap2%3Aac%3Aap%3Aneg%3Afi%3Atidsa-194594581705%3Alp9075843%3Ali%3Adec%3Adm%3Aag26394819985%3Acmp392730865&amp;sid=ab4a5d80bbdc9cc28e85f449874713d0&amp;dest_id=-1330930;dest_type=city;dist=0;group_adults=2;group_children=0;hapos=1;hpos=1;no_rooms=1;req_adults=2;req_children=0;room1=A%2CA;sb_price_type=total;sr_order=popularity;srepoch=1679463860;srpvid=6805285933b20117;type=total;ucfs=1&amp;" TargetMode="External"/><Relationship Id="rId600" Type="http://schemas.openxmlformats.org/officeDocument/2006/relationships/hyperlink" Target="https://www.facebook.com/profile.php?id=100052386924148" TargetMode="External"/><Relationship Id="rId606" Type="http://schemas.openxmlformats.org/officeDocument/2006/relationships/hyperlink" Target="https://www.facebook.com/profile.php?id=100088794564476" TargetMode="External"/><Relationship Id="rId605" Type="http://schemas.openxmlformats.org/officeDocument/2006/relationships/hyperlink" Target="https://www.booking.com/hotel/re/villa-au-coeur-de-la-reunion.fr.html" TargetMode="External"/><Relationship Id="rId604" Type="http://schemas.openxmlformats.org/officeDocument/2006/relationships/hyperlink" Target="https://fr-fr.facebook.com/people/IRISE-Traiteur/100057576395082/" TargetMode="External"/><Relationship Id="rId603" Type="http://schemas.openxmlformats.org/officeDocument/2006/relationships/hyperlink" Target="https://fr.airbnb.com/rooms/737194119169096783?_set_bev_on_new_domain=1663222967_NDA0ZDMxMjE4MjUw&amp;source_impression_id=p3_1679467800_VHWDwdbJ3YEKzbtd" TargetMode="External"/><Relationship Id="rId1430" Type="http://schemas.openxmlformats.org/officeDocument/2006/relationships/hyperlink" Target="https://www.booking.com/hotel/re/kaz-jolycya.fr.html" TargetMode="External"/><Relationship Id="rId1431" Type="http://schemas.openxmlformats.org/officeDocument/2006/relationships/hyperlink" Target="https://www.airbnb.fr/rooms/1578370986783547687?viralityEntryPoint=1&amp;s=76&amp;source_impression_id=p3_1767454755_P32DS2a1t5jUrVeF" TargetMode="External"/><Relationship Id="rId1432" Type="http://schemas.openxmlformats.org/officeDocument/2006/relationships/hyperlink" Target="https://www.booking.com/hotel/re/agreable-chalet-au-milieu-des-sapins.fr.html?aid=318615&amp;label=New_French_FR_RE_26394819985-5KMfyMgIYi7RF9Cd6ZNX9wS217246948707%3Apl%3Ata%3Ap1%3Ap2%3Aac%3Aap%3Aneg%3Afi%3Atidsa-194594581705%3Alp9218685%3Ali%3Adec%3Adm&amp;sid=349bd7c55afe232f19dd66257d1905f2&amp;dest_id=-1330930&amp;dest_type=city&amp;dist=0&amp;group_adults=2&amp;group_children=0&amp;hapos=1&amp;hpos=1&amp;no_rooms=1&amp;req_adults=2&amp;req_children=0&amp;room1=A%2CA&amp;sb_price_type=total&amp;sr_order=popularity&amp;srepoch=1769667657&amp;srpvid=6da7120ad704e9c9f690b09857e8beec&amp;type=total&amp;ucfs=1&amp;" TargetMode="External"/><Relationship Id="rId1422" Type="http://schemas.openxmlformats.org/officeDocument/2006/relationships/hyperlink" Target="https://www.booking.com/hotel/re/les-chalets-du-morne.fr.html?aid=318615&amp;label=New_French_FR_RE_26394819985-5KMfyMgIYi7RF9Cd6ZNX9wS217246948707%3Apl%3Ata%3Ap1%3Ap2%3Aac%3Aap%3Aneg%3Afi%3Atidsa-194594581705%3Alp9218685%3Ali%3Adec%3Adm&amp;sid=349bd7c55afe232f19dd66257d1905f2&amp;dest_id=-1331399&amp;dest_type=city&amp;dist=0&amp;group_adults=2&amp;group_children=0&amp;hapos=1&amp;hpos=1&amp;no_rooms=1&amp;req_adults=2&amp;req_children=0&amp;room1=A%2CA&amp;sb_price_type=total&amp;sr_order=popularity&amp;srepoch=1768980172&amp;srpvid=07e0c93f52155e220fa716b4d67db717&amp;type=total&amp;ucfs=1&amp;" TargetMode="External"/><Relationship Id="rId1423" Type="http://schemas.openxmlformats.org/officeDocument/2006/relationships/hyperlink" Target="https://www.facebook.com/profile.php?id=61577412632500" TargetMode="External"/><Relationship Id="rId1424" Type="http://schemas.openxmlformats.org/officeDocument/2006/relationships/hyperlink" Target="https://www.booking.com/hotel/re/studio-189.fr.html?aid=318615&amp;label=New_French_FR_RE_26394819985-5KMfyMgIYi7RF9Cd6ZNX9wS217246948707%3Apl%3Ata%3Ap1%3Ap2%3Aac%3Aap%3Aneg%3Afi%3Atidsa-194594581705%3Alp9075843%3Ali%3Adec%3Adm&amp;sid=349bd7c55afe232f19dd66257d1905f2&amp;dest_id=-1331043&amp;dest_type=city&amp;dist=0&amp;group_adults=2&amp;group_children=0&amp;hapos=1&amp;hpos=1&amp;no_rooms=1&amp;req_adults=2&amp;req_children=0&amp;room1=A%2CA&amp;sb_price_type=total&amp;sr_order=popularity&amp;srepoch=1769403244&amp;srpvid=6e513689c013585bf1879cbf28fc3c32&amp;type=total&amp;ucfs=1&amp;" TargetMode="External"/><Relationship Id="rId1425" Type="http://schemas.openxmlformats.org/officeDocument/2006/relationships/hyperlink" Target="https://www.instagram.com/tinyedenloc?utm_source=ig_web_button_share_sheet&amp;igsh=ZDNlZDc0MzIxNw%3D%3D" TargetMode="External"/><Relationship Id="rId1426" Type="http://schemas.openxmlformats.org/officeDocument/2006/relationships/hyperlink" Target="https://fr.airbnb.be/rooms/1445736495956028382?source_impression_id=p3_1769403213_P3m4t46JpTB01Zom" TargetMode="External"/><Relationship Id="rId1427" Type="http://schemas.openxmlformats.org/officeDocument/2006/relationships/hyperlink" Target="https://www.facebook.com/p/Dans-les-Mains-dEmy-61561132048569/?locale=fr_FR" TargetMode="External"/><Relationship Id="rId1428" Type="http://schemas.openxmlformats.org/officeDocument/2006/relationships/hyperlink" Target="https://www.instagram.com/danslesmains.d.emy/" TargetMode="External"/><Relationship Id="rId1429" Type="http://schemas.openxmlformats.org/officeDocument/2006/relationships/hyperlink" Target="https://www.facebook.com/profile.php?id=61583284541639&amp;locale=fr_FR" TargetMode="External"/><Relationship Id="rId1420" Type="http://schemas.openxmlformats.org/officeDocument/2006/relationships/hyperlink" Target="https://www.instagram.com/chef_jacques_malet/" TargetMode="External"/><Relationship Id="rId1421" Type="http://schemas.openxmlformats.org/officeDocument/2006/relationships/hyperlink" Target="https://www.airbnb.fr/rooms/1404185326845338732?source_impression_id=p3_1762322555_P3DLmpyqWAzXpP0B" TargetMode="External"/><Relationship Id="rId699" Type="http://schemas.openxmlformats.org/officeDocument/2006/relationships/hyperlink" Target="https://www.booking.com/hotel/re/escal-run.fr.html?label=escal-run-FR-S602565230363%3Apl%3Ata%3Ap1%3Ap2%3Aac%3Aap%3Aneg%3Afi234953798194%3Atikwd-1661953263750%3Alp9075843%3Ali2638%3Adec%3Adm;aid=1486641;ws=;gclid=CjwKCAjw1YCkBhAOEiwA5aN4AVhMh65vjQH0CkSy-7JDzxnzdmfToDXkPzB-38JfQbZO4Ugc4Je1UhoCyOEQAvD_BwE" TargetMode="External"/><Relationship Id="rId698" Type="http://schemas.openxmlformats.org/officeDocument/2006/relationships/hyperlink" Target="https://www.tripadvisor.fr/Hotel_Review-g675133-d16774976-Reviews-ESCAL_RUN-Le_Tampon_Arrondissement_of_Saint_Pierre.html" TargetMode="External"/><Relationship Id="rId693" Type="http://schemas.openxmlformats.org/officeDocument/2006/relationships/hyperlink" Target="https://www.booking.com/hotel/re/escal-run.fr.html?label=escal-run-FR-S602565230363%3Apl%3Ata%3Ap1%3Ap2%3Aac%3Aap%3Aneg%3Afi234953798194%3Atikwd-1661953263750%3Alp9075843%3Ali2638%3Adec%3Adm;aid=1486641;ws=;gclid=CjwKCAjw1YCkBhAOEiwA5aN4AVhMh65vjQH0CkSy-7JDzxnzdmfToDXkPzB-38JfQbZO4Ugc4Je1UhoCyOEQAvD_BwE" TargetMode="External"/><Relationship Id="rId692" Type="http://schemas.openxmlformats.org/officeDocument/2006/relationships/hyperlink" Target="https://www.instagram.com/mathieubuenafuente/" TargetMode="External"/><Relationship Id="rId691" Type="http://schemas.openxmlformats.org/officeDocument/2006/relationships/hyperlink" Target="https://www.facebook.com/LaReunion974IleIntense" TargetMode="External"/><Relationship Id="rId690" Type="http://schemas.openxmlformats.org/officeDocument/2006/relationships/hyperlink" Target="https://www.tripadvisor.fr/Hotel_Review-g675133-d16774976-Reviews-ESCAL_RUN-Le_Tampon_Arrondissement_of_Saint_Pierre.html" TargetMode="External"/><Relationship Id="rId697" Type="http://schemas.openxmlformats.org/officeDocument/2006/relationships/hyperlink" Target="https://www.facebook.com/LaReunion974IleIntense" TargetMode="External"/><Relationship Id="rId696" Type="http://schemas.openxmlformats.org/officeDocument/2006/relationships/hyperlink" Target="https://www.airbnb.fr/rooms/32754532?source_impression_id=p3_1686131544_ZTd5izeAjMxXopM9" TargetMode="External"/><Relationship Id="rId695" Type="http://schemas.openxmlformats.org/officeDocument/2006/relationships/hyperlink" Target="https://www.instagram.com/mathieubuenafuente/" TargetMode="External"/><Relationship Id="rId694" Type="http://schemas.openxmlformats.org/officeDocument/2006/relationships/hyperlink" Target="https://www.airbnb.fr/rooms/32754087?source_impression_id=p3_1686131541_EsGb%2BBMKdIOHNXtD" TargetMode="External"/><Relationship Id="rId668" Type="http://schemas.openxmlformats.org/officeDocument/2006/relationships/hyperlink" Target="https://www.facebook.com/LaReunion974IleIntense" TargetMode="External"/><Relationship Id="rId667" Type="http://schemas.openxmlformats.org/officeDocument/2006/relationships/hyperlink" Target="https://www.facebook.com/profile.php?id=100092402301142" TargetMode="External"/><Relationship Id="rId666" Type="http://schemas.openxmlformats.org/officeDocument/2006/relationships/hyperlink" Target="https://www.airbnb.fr/rooms/904800946502679968?adults=1&amp;children=0&amp;enable_m3_private_room=true&amp;infants=0&amp;location=France&amp;pets=0&amp;check_in=2023-07-01&amp;check_out=2023-07-07&amp;federated_search_id=15a7e88c-ca59-4d4f-9c34-c86b8f0cb2fb&amp;source_impression_id=p3_1685959702_UsnBOcuQXNBhZK%2BB" TargetMode="External"/><Relationship Id="rId665" Type="http://schemas.openxmlformats.org/officeDocument/2006/relationships/hyperlink" Target="https://www.airbnb.fr/rooms/892477127717491184?adults=1&amp;children=0&amp;enable_m3_private_room=true&amp;infants=0&amp;pets=0&amp;check_in=2023-06-07&amp;check_out=2023-07-07&amp;federated_search_id=f27cd2c8-eecd-4178-acec-9b3b4e82fb1d&amp;source_impression_id=p3_1685943965_WUAbLYtvy%2Fceowvz" TargetMode="External"/><Relationship Id="rId669" Type="http://schemas.openxmlformats.org/officeDocument/2006/relationships/hyperlink" Target="https://www.tripadvisor.fr/Hotel_Review-g675133-d16774976-Reviews-ESCAL_RUN-Le_Tampon_Arrondissement_of_Saint_Pierre.html" TargetMode="External"/><Relationship Id="rId660" Type="http://schemas.openxmlformats.org/officeDocument/2006/relationships/hyperlink" Target="https://www.instagram.com/yren__/?hl=fr" TargetMode="External"/><Relationship Id="rId664" Type="http://schemas.openxmlformats.org/officeDocument/2006/relationships/hyperlink" Target="https://www.airbnb.fr/rooms/866663423154494215?source_impression_id=p3_1684433513_kOllAB7SqsPZCXZo" TargetMode="External"/><Relationship Id="rId663" Type="http://schemas.openxmlformats.org/officeDocument/2006/relationships/hyperlink" Target="https://instagram.com/flo_et_les_ptits_papiers?igshid=MzNlNGNkZWQ4Mg==" TargetMode="External"/><Relationship Id="rId662" Type="http://schemas.openxmlformats.org/officeDocument/2006/relationships/hyperlink" Target="https://www.facebook.com/florigami974/" TargetMode="External"/><Relationship Id="rId661" Type="http://schemas.openxmlformats.org/officeDocument/2006/relationships/hyperlink" Target="https://www.facebook.com/people/Casa-Lo%C3%ABva/pfbid0JEDChbJeDbm4T3xXW1TPs7YTiB82QjnLuYmGq3JzpdYr8gRfGZRdHfY6BCkLQr7Pl/" TargetMode="External"/><Relationship Id="rId657" Type="http://schemas.openxmlformats.org/officeDocument/2006/relationships/hyperlink" Target="https://www.booking.com/hotel/re/villa-rosanna.fr.html" TargetMode="External"/><Relationship Id="rId656" Type="http://schemas.openxmlformats.org/officeDocument/2006/relationships/hyperlink" Target="https://www.facebook.com/people/Villas-Mandarine/100063523962237/" TargetMode="External"/><Relationship Id="rId655" Type="http://schemas.openxmlformats.org/officeDocument/2006/relationships/hyperlink" Target="https://www.airbnb.fr/rooms/876688779016384785?adults=4&amp;check_in=2023-05-26&amp;check_out=2023-05-28&amp;federated_search_id=1d837375-f778-4242-b13f-40c81816b781&amp;source_impression_id=p3_1684478803_NGaDbvOSz6XAUpmC" TargetMode="External"/><Relationship Id="rId654" Type="http://schemas.openxmlformats.org/officeDocument/2006/relationships/hyperlink" Target="https://www.facebook.com/profile.php?id=100091970793063&amp;sk=about" TargetMode="External"/><Relationship Id="rId659" Type="http://schemas.openxmlformats.org/officeDocument/2006/relationships/hyperlink" Target="https://www.booking.com/hotel/re/villa-rosanna.fr.html" TargetMode="External"/><Relationship Id="rId658" Type="http://schemas.openxmlformats.org/officeDocument/2006/relationships/hyperlink" Target="https://www.booking.com/hotel/re/villa-rosanna.fr.html" TargetMode="External"/><Relationship Id="rId653" Type="http://schemas.openxmlformats.org/officeDocument/2006/relationships/hyperlink" Target="https://www.facebook.com/ColorsOfHumanityReunion/?locale=br_FR" TargetMode="External"/><Relationship Id="rId652" Type="http://schemas.openxmlformats.org/officeDocument/2006/relationships/hyperlink" Target="https://www.facebook.com/crinsdubelair?locale=fr_FR" TargetMode="External"/><Relationship Id="rId651" Type="http://schemas.openxmlformats.org/officeDocument/2006/relationships/hyperlink" Target="https://www.tripadvisor.fr/Restaurant_Review-g635742-d6429694-Reviews-La_Table_des_Randonneurs_Jacques_Payet_Saint_Joseph-Saint_Joseph_Arrondissement_o.html" TargetMode="External"/><Relationship Id="rId650" Type="http://schemas.openxmlformats.org/officeDocument/2006/relationships/hyperlink" Target="https://www.instagram.com/lesbiensfeesdegraziella/?hl=fr" TargetMode="External"/><Relationship Id="rId689" Type="http://schemas.openxmlformats.org/officeDocument/2006/relationships/hyperlink" Target="https://www.facebook.com/profile.php?id=100094200813540" TargetMode="External"/><Relationship Id="rId688" Type="http://schemas.openxmlformats.org/officeDocument/2006/relationships/hyperlink" Target="https://www.facebook.com/domitile.artisanat974/?locale=fr_FR" TargetMode="External"/><Relationship Id="rId687" Type="http://schemas.openxmlformats.org/officeDocument/2006/relationships/hyperlink" Target="https://www.facebook.com/profile.php?id=100092296816748" TargetMode="External"/><Relationship Id="rId682" Type="http://schemas.openxmlformats.org/officeDocument/2006/relationships/hyperlink" Target="https://www.facebook.com/profile.php?id=100092577846962" TargetMode="External"/><Relationship Id="rId681" Type="http://schemas.openxmlformats.org/officeDocument/2006/relationships/hyperlink" Target="https://www.facebook.com/PAYAZ974" TargetMode="External"/><Relationship Id="rId680" Type="http://schemas.openxmlformats.org/officeDocument/2006/relationships/hyperlink" Target="https://www.booking.com/hotel/re/la-louisiane.fr.html?aid=318615&amp;label=New_French_FR_FR_21427169905-YP8jtirKV%2AkzSzTpDnHYDwS640938627539%3Apl%3Ata%3Ap1%3Ap2%3Aac%3Aap%3Aneg&amp;sid=dd94617ac52a3272dc06f799eaee633d&amp;dest_id=-1331399;dest_type=city;dist=0;group_adults=2;group_children=0;hapos=1;hpos=1;no_rooms=1;req_adults=2;req_children=0;room1=A%2CA;sb_price_type=total;sr_order=popularity;srepoch=1686740929;srpvid=44c24e60330501de;type=total;ucfs=1&amp;" TargetMode="External"/><Relationship Id="rId686" Type="http://schemas.openxmlformats.org/officeDocument/2006/relationships/hyperlink" Target="https://www.airbnb.fr/rooms/887404097382101560?source_impression_id=p3_1687342210_olKJd2OLmmW9shU%2B" TargetMode="External"/><Relationship Id="rId685" Type="http://schemas.openxmlformats.org/officeDocument/2006/relationships/hyperlink" Target="https://www.facebook.com/p/Le-Ti-Comptoir-100063462824035/" TargetMode="External"/><Relationship Id="rId684" Type="http://schemas.openxmlformats.org/officeDocument/2006/relationships/hyperlink" Target="https://www.tripadvisor.fr/Restaurant_Review-g635742-d17836321-Reviews-Le_ti_comptoir-Saint_Joseph_Arrondissement_of_Saint_Pierre.html" TargetMode="External"/><Relationship Id="rId683" Type="http://schemas.openxmlformats.org/officeDocument/2006/relationships/hyperlink" Target="https://www.booking.com/hotel/re/ti-kaz-serre-maison.fr.html" TargetMode="External"/><Relationship Id="rId679" Type="http://schemas.openxmlformats.org/officeDocument/2006/relationships/hyperlink" Target="https://www.facebook.com/people/Villa-AnaDa/100077480211026/" TargetMode="External"/><Relationship Id="rId678" Type="http://schemas.openxmlformats.org/officeDocument/2006/relationships/hyperlink" Target="https://fr.airbnb.be/rooms/775884676870827552?source_impression_id=p3_1686719296_qIGY8AvVZlif0U1X" TargetMode="External"/><Relationship Id="rId677" Type="http://schemas.openxmlformats.org/officeDocument/2006/relationships/hyperlink" Target="https://www.facebook.com/keylodge.locations" TargetMode="External"/><Relationship Id="rId676" Type="http://schemas.openxmlformats.org/officeDocument/2006/relationships/hyperlink" Target="https://www.booking.com/hotel/re/villa-exotica-f3-entre-deux.fr.html" TargetMode="External"/><Relationship Id="rId671" Type="http://schemas.openxmlformats.org/officeDocument/2006/relationships/hyperlink" Target="https://www.booking.com/hotel/re/escal-run.fr.html?aid=1486641;label=escal-run-FR-S602565230363:pl:ta:p1:p2:ac:ap:neg:fi234953798194:tikwd-1661953263750:lp9075843:li2638:dec:dm;ws=&amp;gclid=CjwKCAjw1YCkBhAOEiwA5aN4AVhMh65vjQH0CkSy-7JDzxnzdmfToDXkPzB-38JfQbZO4Ugc4Je1UhoCyOEQAvD_BwE" TargetMode="External"/><Relationship Id="rId670" Type="http://schemas.openxmlformats.org/officeDocument/2006/relationships/hyperlink" Target="https://www.instagram.com/mathieubuenafuente" TargetMode="External"/><Relationship Id="rId675" Type="http://schemas.openxmlformats.org/officeDocument/2006/relationships/hyperlink" Target="https://www.facebook.com/Kellyartisanatlocal974" TargetMode="External"/><Relationship Id="rId674" Type="http://schemas.openxmlformats.org/officeDocument/2006/relationships/hyperlink" Target="https://www.facebook.com/CreateurReunion" TargetMode="External"/><Relationship Id="rId673" Type="http://schemas.openxmlformats.org/officeDocument/2006/relationships/hyperlink" Target="https://instagram.com/kellyartisanat?igshid=MzRlODBiNWFlZA==" TargetMode="External"/><Relationship Id="rId672" Type="http://schemas.openxmlformats.org/officeDocument/2006/relationships/hyperlink" Target="https://www.airbnb.fr/rooms/32755754?source_impression_id=p3_1686131539_rojQBfYeRPi6ICJJ" TargetMode="External"/><Relationship Id="rId190" Type="http://schemas.openxmlformats.org/officeDocument/2006/relationships/hyperlink" Target="https://www.airbnb.fr/rooms/36826748" TargetMode="External"/><Relationship Id="rId194" Type="http://schemas.openxmlformats.org/officeDocument/2006/relationships/hyperlink" Target="https://fr.airbnb.ch/rooms/19182957" TargetMode="External"/><Relationship Id="rId193" Type="http://schemas.openxmlformats.org/officeDocument/2006/relationships/hyperlink" Target="https://fr-fr.facebook.com/lebilimbilocation/" TargetMode="External"/><Relationship Id="rId192" Type="http://schemas.openxmlformats.org/officeDocument/2006/relationships/hyperlink" Target="https://www.google.com/aclk?sa=l&amp;ai=DChcSEwjx0sDxt5P3AhVM3tUKHbKmAJQYABABGgJ3cw&amp;ae=2&amp;sig=AOD64_05xD4rn5ipTNt95z1Rsea3QS1amw&amp;q&amp;adurl&amp;ved=2ahUKEwiDwrXxt5P3AhVaSfEDHVbrDlEQ0Qx6BAgEEAM" TargetMode="External"/><Relationship Id="rId191" Type="http://schemas.openxmlformats.org/officeDocument/2006/relationships/hyperlink" Target="https://fr-fr.facebook.com/pages/category/Restaurant/Ferme-Auberge-Desprairies-520083278094211/" TargetMode="External"/><Relationship Id="rId187" Type="http://schemas.openxmlformats.org/officeDocument/2006/relationships/hyperlink" Target="https://www.instagram.com/explore/locations/3231236/raunion/le-tampon/theatre-luc-donat/" TargetMode="External"/><Relationship Id="rId186" Type="http://schemas.openxmlformats.org/officeDocument/2006/relationships/hyperlink" Target="https://www.tripadvisor.fr/Attraction_Review-g675133-d8041348-Reviews-Kokapat_Rando_Reunion-Le_Tampon_Arrondissement_of_Saint_Pierre.html" TargetMode="External"/><Relationship Id="rId185" Type="http://schemas.openxmlformats.org/officeDocument/2006/relationships/hyperlink" Target="https://fr-fr.facebook.com/TunnelsDeLaveRandoTrekkingReunionKokapat/" TargetMode="External"/><Relationship Id="rId184" Type="http://schemas.openxmlformats.org/officeDocument/2006/relationships/hyperlink" Target="https://fr-fr.facebook.com/forgeron.taillandier/" TargetMode="External"/><Relationship Id="rId189" Type="http://schemas.openxmlformats.org/officeDocument/2006/relationships/hyperlink" Target="https://fr-fr.facebook.com/pages/category/Local-Business/DNat-Creations-2105106393065932/" TargetMode="External"/><Relationship Id="rId188" Type="http://schemas.openxmlformats.org/officeDocument/2006/relationships/hyperlink" Target="https://www.facebook.com/theatrelucdonat/" TargetMode="External"/><Relationship Id="rId183" Type="http://schemas.openxmlformats.org/officeDocument/2006/relationships/hyperlink" Target="https://www.tripadvisor.fr/Restaurant_Review-g675133-d3469656-Reviews-Le_Palais_du_Fromage-Le_Tampon_Arrondissement_of_Saint_Pierre.html" TargetMode="External"/><Relationship Id="rId182" Type="http://schemas.openxmlformats.org/officeDocument/2006/relationships/hyperlink" Target="https://www.facebook.com/profile.php?id=100089693227592" TargetMode="External"/><Relationship Id="rId181" Type="http://schemas.openxmlformats.org/officeDocument/2006/relationships/hyperlink" Target="https://www.facebook.com/people/Studio-M%C3%A9moire-DSens/100042749154697/" TargetMode="External"/><Relationship Id="rId180" Type="http://schemas.openxmlformats.org/officeDocument/2006/relationships/hyperlink" Target="https://www.facebook.com/profile.php?id=100068384780022" TargetMode="External"/><Relationship Id="rId176" Type="http://schemas.openxmlformats.org/officeDocument/2006/relationships/hyperlink" Target="https://www.instagram.com/kreolie_4x4/?hl=fr" TargetMode="External"/><Relationship Id="rId175" Type="http://schemas.openxmlformats.org/officeDocument/2006/relationships/hyperlink" Target="https://www.tripadvisor.fr/Attraction_Review-g668283-d6748595-Reviews-Kreolie_4x4-Entre_Deux_Arrondissement_of_Saint_Pierre.html" TargetMode="External"/><Relationship Id="rId174" Type="http://schemas.openxmlformats.org/officeDocument/2006/relationships/hyperlink" Target="https://fr-fr.facebook.com/kreolie/" TargetMode="External"/><Relationship Id="rId173" Type="http://schemas.openxmlformats.org/officeDocument/2006/relationships/hyperlink" Target="https://www.tripadvisor.fr/Restaurant_Review-g668283-d12621050-Reviews-Vavang_Art-Entre_Deux_Arrondissement_of_Saint_Pierre.html" TargetMode="External"/><Relationship Id="rId179" Type="http://schemas.openxmlformats.org/officeDocument/2006/relationships/hyperlink" Target="https://fr-fr.facebook.com/entre2songes/" TargetMode="External"/><Relationship Id="rId178" Type="http://schemas.openxmlformats.org/officeDocument/2006/relationships/hyperlink" Target="https://www.tripadvisor.fr/Hotel_Review-g668283-d8685625-Reviews-Camping_Entre_2_Songes-Entre_Deux_Arrondissement_of_Saint_Pierre.html" TargetMode="External"/><Relationship Id="rId177" Type="http://schemas.openxmlformats.org/officeDocument/2006/relationships/hyperlink" Target="https://www.facebook.com/HorlogesReunionUtinamparDidierPrevel/" TargetMode="External"/><Relationship Id="rId198" Type="http://schemas.openxmlformats.org/officeDocument/2006/relationships/hyperlink" Target="https://www.facebook.com/pages/category/Restaurant/Le-Bar-A-4-Tampon-100880958297279/" TargetMode="External"/><Relationship Id="rId197" Type="http://schemas.openxmlformats.org/officeDocument/2006/relationships/hyperlink" Target="https://www.tripadvisor.fr/Restaurant_Review-g675133-d7645508-Reviews-Le_Bar_a_4-Le_Tampon_Arrondissement_of_Saint_Pierre.html" TargetMode="External"/><Relationship Id="rId196" Type="http://schemas.openxmlformats.org/officeDocument/2006/relationships/hyperlink" Target="https://www.booking.com/hotel/re/caseaupiedduvolcan-charmante-maison-confortable-au-pied-du-volcan.fr.html?aid=318615;label=New_French_FR_RE_26394819985-5KMfyMgIYi7RF9Cd6ZNX9wS100087090705%3Apl%3Ata%3Ap1%3Ap2%3Aac%3Aap%3Aneg%3Afi%3Atidsa-194594581705%3Alp9075843%3Ali%3Adec%3Adm;sid=3131204cdaea17d70ef26a7f3ce14355;dest_id=-1331043;dest_type=city;dist=0;group_adults=2;group_children=0;hapos=1;hpos=1;no_rooms=1;req_adults=2;req_children=0;room1=A%2CA;sb_price_type=total;sr_order=popularity;srepoch=1650362276;srpvid=fa5e461111e800db;type=total;ucfs=1&amp;" TargetMode="External"/><Relationship Id="rId195" Type="http://schemas.openxmlformats.org/officeDocument/2006/relationships/hyperlink" Target="https://www.airbnb.fr/rooms/28058133" TargetMode="External"/><Relationship Id="rId199" Type="http://schemas.openxmlformats.org/officeDocument/2006/relationships/hyperlink" Target="https://www.facebook.com/La-Caz-%C3%A0-Eva-176219992731001/" TargetMode="External"/><Relationship Id="rId150" Type="http://schemas.openxmlformats.org/officeDocument/2006/relationships/hyperlink" Target="https://www.instagram.com/escalebleue/?hl=fr" TargetMode="External"/><Relationship Id="rId149" Type="http://schemas.openxmlformats.org/officeDocument/2006/relationships/hyperlink" Target="https://www.facebook.com/HarryLeichnig/" TargetMode="External"/><Relationship Id="rId148" Type="http://schemas.openxmlformats.org/officeDocument/2006/relationships/hyperlink" Target="https://www.facebook.com/profile.php?id=100040988959085" TargetMode="External"/><Relationship Id="rId143" Type="http://schemas.openxmlformats.org/officeDocument/2006/relationships/hyperlink" Target="https://www.instagram.com/atelierpalmisterouge/?hl=fr" TargetMode="External"/><Relationship Id="rId142" Type="http://schemas.openxmlformats.org/officeDocument/2006/relationships/hyperlink" Target="https://www.facebook.com/Atelierpalmisterouge/" TargetMode="External"/><Relationship Id="rId141" Type="http://schemas.openxmlformats.org/officeDocument/2006/relationships/hyperlink" Target="https://www.abritel.fr/location-vacances/p1364036" TargetMode="External"/><Relationship Id="rId140" Type="http://schemas.openxmlformats.org/officeDocument/2006/relationships/hyperlink" Target="https://www.facebook.com/%C3%80-la-kaz-ti-Zozeff-101710245562394/photos/?ref=page_internal" TargetMode="External"/><Relationship Id="rId147" Type="http://schemas.openxmlformats.org/officeDocument/2006/relationships/hyperlink" Target="https://fr-fr.facebook.com/bitasyonbio/" TargetMode="External"/><Relationship Id="rId146" Type="http://schemas.openxmlformats.org/officeDocument/2006/relationships/hyperlink" Target="https://www.instagram.com/bitasyonbio/?hl=fr" TargetMode="External"/><Relationship Id="rId145" Type="http://schemas.openxmlformats.org/officeDocument/2006/relationships/hyperlink" Target="https://www.instagram.com/atmospherepei/?hl=fr" TargetMode="External"/><Relationship Id="rId144" Type="http://schemas.openxmlformats.org/officeDocument/2006/relationships/hyperlink" Target="https://fr-fr.facebook.com/Atmospherepei/" TargetMode="External"/><Relationship Id="rId139" Type="http://schemas.openxmlformats.org/officeDocument/2006/relationships/hyperlink" Target="https://www.airbnb.fr/rooms/50719013?adults=2&amp;federated_search_id=43c261a8-6436-414d-968c-6cda91b16ede&amp;source_impression_id=p3_1649093752_%2BJ1eS99El5Fa4O7B" TargetMode="External"/><Relationship Id="rId138" Type="http://schemas.openxmlformats.org/officeDocument/2006/relationships/hyperlink" Target="https://www.facebook.com/Villa-Latanier-102049134886955" TargetMode="External"/><Relationship Id="rId137" Type="http://schemas.openxmlformats.org/officeDocument/2006/relationships/hyperlink" Target="https://www.facebook.com/pages/category/Local---travel-website/Far-Far-de-B%C3%A9zaves-651889558656296/" TargetMode="External"/><Relationship Id="rId132" Type="http://schemas.openxmlformats.org/officeDocument/2006/relationships/hyperlink" Target="https://www.booking.com/hotel/re/instant-d-evasion1-meuble-de-tourisme-4-plaine-des-cafres-le-tampon1.fr.html?lang=fr&amp;soz=1&amp;lang_changed=1" TargetMode="External"/><Relationship Id="rId131" Type="http://schemas.openxmlformats.org/officeDocument/2006/relationships/hyperlink" Target="https://www.booking.com/hotel/re/les-tourterelles-saint-joseph.fr.html" TargetMode="External"/><Relationship Id="rId130" Type="http://schemas.openxmlformats.org/officeDocument/2006/relationships/hyperlink" Target="https://www.booking.com/hotel/re/gandalf-safari-camp.fr.html" TargetMode="External"/><Relationship Id="rId136" Type="http://schemas.openxmlformats.org/officeDocument/2006/relationships/hyperlink" Target="https://www.airbnb.fr/rooms/7491566?guests=6&amp;adults=4&amp;children=2&amp;infants=2&amp;location=Saint%20Joseph%2C%20R%C3%A9union&amp;check_in=2017-09-05&amp;check_out=2017-09-10&amp;s=RT0JrrBT&amp;source_impression_id=p3_1647342919_V5rd%2FGecO%2FmxfRC5" TargetMode="External"/><Relationship Id="rId135" Type="http://schemas.openxmlformats.org/officeDocument/2006/relationships/hyperlink" Target="https://www.facebook.com/Les3Soleils974/" TargetMode="External"/><Relationship Id="rId134" Type="http://schemas.openxmlformats.org/officeDocument/2006/relationships/hyperlink" Target="https://www.facebook.com/zamponepothin974/" TargetMode="External"/><Relationship Id="rId133" Type="http://schemas.openxmlformats.org/officeDocument/2006/relationships/hyperlink" Target="https://fr-fr.facebook.com/Locations-saisonni%C3%A8res-Saint-Joseph-Bungalows-Les-platanes--294038631076486/" TargetMode="External"/><Relationship Id="rId172" Type="http://schemas.openxmlformats.org/officeDocument/2006/relationships/hyperlink" Target="https://fr-fr.facebook.com/vavangart/" TargetMode="External"/><Relationship Id="rId171" Type="http://schemas.openxmlformats.org/officeDocument/2006/relationships/hyperlink" Target="https://www.instagram.com/vavangart974/?hl=fr" TargetMode="External"/><Relationship Id="rId170" Type="http://schemas.openxmlformats.org/officeDocument/2006/relationships/hyperlink" Target="https://www.facebook.com/AudouxTamarindesHauts" TargetMode="External"/><Relationship Id="rId165" Type="http://schemas.openxmlformats.org/officeDocument/2006/relationships/hyperlink" Target="https://fr.airbnb.be/rooms/43885934?source_impression_id=p3_1649763339_ZcKmbpNPZdydthw6" TargetMode="External"/><Relationship Id="rId164" Type="http://schemas.openxmlformats.org/officeDocument/2006/relationships/hyperlink" Target="https://www.booking.com/hotel/re/la-caz-a-hibiscus.fr.html" TargetMode="External"/><Relationship Id="rId163" Type="http://schemas.openxmlformats.org/officeDocument/2006/relationships/hyperlink" Target="https://www.facebook.com/lacazahibiscus" TargetMode="External"/><Relationship Id="rId162" Type="http://schemas.openxmlformats.org/officeDocument/2006/relationships/hyperlink" Target="https://fr-fr.facebook.com/zile4x4/" TargetMode="External"/><Relationship Id="rId169" Type="http://schemas.openxmlformats.org/officeDocument/2006/relationships/hyperlink" Target="https://fr-fr.facebook.com/pages/category/Local-Business/Producteur-Mr-Hoareau-Guibert-1762503067326637/" TargetMode="External"/><Relationship Id="rId168" Type="http://schemas.openxmlformats.org/officeDocument/2006/relationships/hyperlink" Target="https://fr-fr.facebook.com/pages/category/Fish-Farm/Parc-de-la-grande-cascade-langevin-245098302548096/" TargetMode="External"/><Relationship Id="rId167" Type="http://schemas.openxmlformats.org/officeDocument/2006/relationships/hyperlink" Target="https://m.facebook.com/100057309826726" TargetMode="External"/><Relationship Id="rId166" Type="http://schemas.openxmlformats.org/officeDocument/2006/relationships/hyperlink" Target="https://m.facebook.com/Entre-Mer-Et-Montagne-394760914213277/" TargetMode="External"/><Relationship Id="rId161" Type="http://schemas.openxmlformats.org/officeDocument/2006/relationships/hyperlink" Target="https://www.tripadvisor.fr/Attraction_Review-g298470-d8698269-Reviews-Z_ile_4x4-Saint_Gilles_Les_Bains_Arrondissement_of_Saint_Paul-m11424.html" TargetMode="External"/><Relationship Id="rId160" Type="http://schemas.openxmlformats.org/officeDocument/2006/relationships/hyperlink" Target="https://fr-fr.facebook.com/maisondulaurina/" TargetMode="External"/><Relationship Id="rId159" Type="http://schemas.openxmlformats.org/officeDocument/2006/relationships/hyperlink" Target="https://www.booking.com/hotel/re/la-villa-joli-saint-joseph.fr.html?aid=318615;label=New_French_FR_RE_26394819985-5KMfyMgIYi7RF9Cd6ZNX9wS100087090705%3Apl%3Ata%3Ap1%3Ap2%3Aac%3Aap%3Aneg%3Afi%3Atidsa-194594581705%3Alp9075843%3Ali%3Adec%3Adm;sid=e1070579b2cc798bf954b801d3b02931;dest_id=-1331399;dest_type=city;dist=0;group_adults=2;group_children=0;hapos=1;hpos=1;no_rooms=1;req_adults=2;req_children=0;room1=A%2CA;sb_price_type=total;sr_order=popularity;srepoch=1649668042;srpvid=8957402486ff0736;type=total;ucfs=1&amp;" TargetMode="External"/><Relationship Id="rId154" Type="http://schemas.openxmlformats.org/officeDocument/2006/relationships/hyperlink" Target="https://www.tripadvisor.fr/Restaurant_Review-g2140646-d21330474-Reviews-Cote_Sauvage-Saint_Philippe_Arrondissement_of_Saint_Pierre.html" TargetMode="External"/><Relationship Id="rId153" Type="http://schemas.openxmlformats.org/officeDocument/2006/relationships/hyperlink" Target="https://fr-fr.facebook.com/coulombeauClara/" TargetMode="External"/><Relationship Id="rId152" Type="http://schemas.openxmlformats.org/officeDocument/2006/relationships/hyperlink" Target="https://fr-fr.facebook.com/profile.php?id=100063536772160" TargetMode="External"/><Relationship Id="rId151" Type="http://schemas.openxmlformats.org/officeDocument/2006/relationships/hyperlink" Target="https://fr-fr.facebook.com/Escalebleue/" TargetMode="External"/><Relationship Id="rId158" Type="http://schemas.openxmlformats.org/officeDocument/2006/relationships/hyperlink" Target="https://www.airbnb.fr/rooms/49522808?source_impression_id=p3_1649661244_8BlrKNAYAJWiTrPy" TargetMode="External"/><Relationship Id="rId157" Type="http://schemas.openxmlformats.org/officeDocument/2006/relationships/hyperlink" Target="https://www.facebook.com/pages/category/Vacation-Home-Rental/Villa-JoLi-103826648558846/" TargetMode="External"/><Relationship Id="rId156" Type="http://schemas.openxmlformats.org/officeDocument/2006/relationships/hyperlink" Target="https://www.facebook.com/Restaurant-des-Laves-105592771187427" TargetMode="External"/><Relationship Id="rId155" Type="http://schemas.openxmlformats.org/officeDocument/2006/relationships/hyperlink" Target="https://m.facebook.com/profile.php?id=172804692769029" TargetMode="External"/><Relationship Id="rId987" Type="http://schemas.openxmlformats.org/officeDocument/2006/relationships/hyperlink" Target="https://www.tripadvisor.fr/Restaurant_Review-g2140646-d5770635-Reviews-Ferme_Auberge_le_Rond_de_Basse_Vallee-Saint_Philippe_Arrondissement_of_Saint_Pie.html" TargetMode="External"/><Relationship Id="rId986" Type="http://schemas.openxmlformats.org/officeDocument/2006/relationships/hyperlink" Target="https://www.facebook.com/profile.php?id=61557288482858" TargetMode="External"/><Relationship Id="rId985" Type="http://schemas.openxmlformats.org/officeDocument/2006/relationships/hyperlink" Target="https://www.facebook.com/profile.php?id=61557288482858" TargetMode="External"/><Relationship Id="rId984" Type="http://schemas.openxmlformats.org/officeDocument/2006/relationships/hyperlink" Target="https://www.facebook.com/profile.php?id=100094520112735" TargetMode="External"/><Relationship Id="rId989" Type="http://schemas.openxmlformats.org/officeDocument/2006/relationships/hyperlink" Target="https://www.tripadvisor.fr/Restaurant_Review-g2140646-d3737410-Reviews-Le_Cap_Mechant-Saint_Philippe_Arrondissement_of_Saint_Pierre.html" TargetMode="External"/><Relationship Id="rId988" Type="http://schemas.openxmlformats.org/officeDocument/2006/relationships/hyperlink" Target="https://www.facebook.com/pages/Cap-M%C3%A9chant-Saint-Philippe/1015920018596391?locale=fr_FR" TargetMode="External"/><Relationship Id="rId983" Type="http://schemas.openxmlformats.org/officeDocument/2006/relationships/hyperlink" Target="https://www.tripadvisor.fr/Restaurant_Review-g2140646-d24102949-Reviews-Le_Maccabit-Saint_Philippe_Arrondissement_of_Saint_Pierre.html" TargetMode="External"/><Relationship Id="rId982" Type="http://schemas.openxmlformats.org/officeDocument/2006/relationships/hyperlink" Target="https://www.tripadvisor.fr/Restaurant_Review-g2140646-d3346130-Reviews-La_Marmite_du_Pecheur-Saint_Philippe_Arrondissement_of_Saint_Pierre.html" TargetMode="External"/><Relationship Id="rId981" Type="http://schemas.openxmlformats.org/officeDocument/2006/relationships/hyperlink" Target="https://www.tripadvisor.fr/Hotel_Review-g667223-d13189966-Reviews-Gite_Les_Hortensias-Bourg_Murat_Arrondissement_of_Saint_Pierre.html" TargetMode="External"/><Relationship Id="rId980" Type="http://schemas.openxmlformats.org/officeDocument/2006/relationships/hyperlink" Target="https://www.tripadvisor.fr/Restaurant_Review-g2140646-d4156609-Reviews-Le_Pinpin-Saint_Philippe_Arrondissement_of_Saint_Pierre.html" TargetMode="External"/><Relationship Id="rId976" Type="http://schemas.openxmlformats.org/officeDocument/2006/relationships/hyperlink" Target="https://www.booking.com/hotel/re/heritage-ecolodge.fr.html?aid=318615&amp;label=New_French_FR_RE_26394819985-5KMfyMgIYi7RF9Cd6ZNX9wS217246948707%3Apl%3Ata%3Ap1%3Ap2%3Aac%3Aap%3Aneg%3Afi%3Atidsa-194594581705%3Alp9075843%3Ali%3Adec%3Adm&amp;sid=e6078ed3a476bce35ac5adad09f36c1d&amp;dest_id=-1331043;dest_type=city;dist=0;group_adults=2;group_children=0;hapos=1;hpos=1;no_rooms=1;req_adults=2;req_children=0;room1=A%2CA;sb_price_type=total;sr_order=popularity;srepoch=1712572651;srpvid=f2834ab131190331;type=total;ucfs=1&amp;" TargetMode="External"/><Relationship Id="rId975" Type="http://schemas.openxmlformats.org/officeDocument/2006/relationships/hyperlink" Target="https://fr.airbnb.com/rooms/1024595640708929269?_set_bev_on_new_domain=1663222967_NDA0ZDMxMjE4MjUw&amp;source_impression_id=p3_1712556740_ln%2FXn5W628wU5VnK" TargetMode="External"/><Relationship Id="rId974" Type="http://schemas.openxmlformats.org/officeDocument/2006/relationships/hyperlink" Target="https://www.booking.com/hotel/re/peace-amp-lodge-i-saint-joseph.fr.html" TargetMode="External"/><Relationship Id="rId973" Type="http://schemas.openxmlformats.org/officeDocument/2006/relationships/hyperlink" Target="https://www.facebook.com/profile.php?id=61554887570203" TargetMode="External"/><Relationship Id="rId979" Type="http://schemas.openxmlformats.org/officeDocument/2006/relationships/hyperlink" Target="https://www.tripadvisor.fr/Restaurant_Review-g635742-d17759827-Reviews-Djoossy_s-Saint_Joseph_Arrondissement_of_Saint_Pierre.html" TargetMode="External"/><Relationship Id="rId978" Type="http://schemas.openxmlformats.org/officeDocument/2006/relationships/hyperlink" Target="https://www.facebook.com/profile.php?id=100067059131921" TargetMode="External"/><Relationship Id="rId977" Type="http://schemas.openxmlformats.org/officeDocument/2006/relationships/hyperlink" Target="https://www.facebook.com/heritageecolodge" TargetMode="External"/><Relationship Id="rId972" Type="http://schemas.openxmlformats.org/officeDocument/2006/relationships/hyperlink" Target="https://www.facebook.com/profile.php?id=61554887570203" TargetMode="External"/><Relationship Id="rId971" Type="http://schemas.openxmlformats.org/officeDocument/2006/relationships/hyperlink" Target="https://www.booking.com/hotel/re/peace-amp-lodge-ii.fr.html" TargetMode="External"/><Relationship Id="rId970" Type="http://schemas.openxmlformats.org/officeDocument/2006/relationships/hyperlink" Target="https://fr.airbnb.com/rooms/1046980293869949154?_set_bev_on_new_domain=1663222967_NDA0ZDMxMjE4MjUw&amp;source_impression_id=p3_1712316226_6H0iSFNj98QPMv53" TargetMode="External"/><Relationship Id="rId998" Type="http://schemas.openxmlformats.org/officeDocument/2006/relationships/hyperlink" Target="https://www.tripadvisor.fr/Restaurant_Review-g635742-d23425530-Reviews-La_Table_d_Elvina-Saint_Joseph_Arrondissement_of_Saint_Pierre.html" TargetMode="External"/><Relationship Id="rId997" Type="http://schemas.openxmlformats.org/officeDocument/2006/relationships/hyperlink" Target="https://www.tripadvisor.fr/Hotel_Review-g2140646-d8768656-Reviews-Le_Four_a_Pain-Saint_Philippe_Arrondissement_of_Saint_Pierre.html" TargetMode="External"/><Relationship Id="rId996" Type="http://schemas.openxmlformats.org/officeDocument/2006/relationships/hyperlink" Target="https://www.booking.com/searchresults.fr.html?aid=311089&amp;label=le-four-a-pain-FIlSzq9wH1fzdOuy%2AXxcxAS442462650702%3Apl%3Ata%3Ap1%3Ap2%3Aac%3Aap%3Aneg%3Afi%3Atikwd-343964658136%3Alp9075843%3Ali%3Adec%3Adm%3Appccp%3DUmFuZG9tSVYkc2RlIyh9YVcLb15uXY9dObSb2laNmOc&amp;gclid=CjwKCAjw26KxBhBDEiwAu6KXt5wM2FWpQdwZLLqKgkRXJJK0-BBdXB7uyPiIstlunDq7fj9gMudr8hoCgmcQAvD_BwE&amp;highlighted_hotels=2541398&amp;redirected=1&amp;city=-1331411&amp;hlrd=no_dates&amp;source=hotel&amp;expand_sb=1&amp;keep_landing=1&amp;sid=9a9ff0a0004d301e138227d617fe34a9" TargetMode="External"/><Relationship Id="rId995" Type="http://schemas.openxmlformats.org/officeDocument/2006/relationships/hyperlink" Target="https://www.airbnb.fr/rooms/1134417493676762154?adults=1&amp;children=0&amp;enable_m3_private_room=true&amp;infants=0&amp;pets=0&amp;check_in=2024-05-01&amp;check_out=2024-05-06&amp;source_impression_id=p3_1714024089_KyzoqOng6tRgo0k9&amp;previous_page_section_name=1000&amp;federated_search_id=8459ce5a-a0db-4276-b7fc-94f203a4e8e6" TargetMode="External"/><Relationship Id="rId999" Type="http://schemas.openxmlformats.org/officeDocument/2006/relationships/hyperlink" Target="https://www.tripadvisor.fr/ShowUserReviews-g635742-d25248254-r894208457-La_Case_A_Nona-Saint_Joseph_Arrondissement_of_Saint_Pierre.html" TargetMode="External"/><Relationship Id="rId990" Type="http://schemas.openxmlformats.org/officeDocument/2006/relationships/hyperlink" Target="https://www.facebook.com/chambres.caloupile/?locale=fr_FR" TargetMode="External"/><Relationship Id="rId994" Type="http://schemas.openxmlformats.org/officeDocument/2006/relationships/hyperlink" Target="https://www.leboncoin.fr/ad/locations_saisonnieres/2594973996" TargetMode="External"/><Relationship Id="rId993" Type="http://schemas.openxmlformats.org/officeDocument/2006/relationships/hyperlink" Target="https://www.tripadvisor.fr/Restaurant_Review-g2140646-d3703068-Reviews-L_Etoile_de_Mer-Saint_Philippe_Arrondissement_of_Saint_Pierre.html" TargetMode="External"/><Relationship Id="rId992" Type="http://schemas.openxmlformats.org/officeDocument/2006/relationships/hyperlink" Target="https://www.facebook.com/chambres.dhotes.les.quatre.saisons/" TargetMode="External"/><Relationship Id="rId991" Type="http://schemas.openxmlformats.org/officeDocument/2006/relationships/hyperlink" Target="https://www.tripadvisor.fr/Hotel_Review-g675133-d14008226-Reviews-Caloupile-Le_Tampon_Arrondissement_of_Saint_Pierre.html" TargetMode="External"/><Relationship Id="rId949" Type="http://schemas.openxmlformats.org/officeDocument/2006/relationships/hyperlink" Target="https://www.booking.com/hotel/re/les-oliviers-sous-le-cocotier.fr.html" TargetMode="External"/><Relationship Id="rId948" Type="http://schemas.openxmlformats.org/officeDocument/2006/relationships/hyperlink" Target="https://www.facebook.com/MiraCeramikArt" TargetMode="External"/><Relationship Id="rId943" Type="http://schemas.openxmlformats.org/officeDocument/2006/relationships/hyperlink" Target="https://www.leboncoin.fr/offre/locations_saisonnieres/2238312009" TargetMode="External"/><Relationship Id="rId942" Type="http://schemas.openxmlformats.org/officeDocument/2006/relationships/hyperlink" Target="https://fr.airbnb.be/rooms/588338933960590630?source_impression_id=p3_1710410657_u0L%2Bzj7lyj0qc10S" TargetMode="External"/><Relationship Id="rId941" Type="http://schemas.openxmlformats.org/officeDocument/2006/relationships/hyperlink" Target="https://www.facebook.com/p/Les-Capucines-du-volcan-100086653658729/?paipv=0&amp;eav=AfaRG12qZ59HouPtUIxHDvIRvL2-x9JclU4n2izfhZuab9QIvvrvq0BWGu_yA4V5M_k&amp;_rdr" TargetMode="External"/><Relationship Id="rId940" Type="http://schemas.openxmlformats.org/officeDocument/2006/relationships/hyperlink" Target="https://www.booking.com/hotel/re/les-capucines-du-volcan.fr.html?aid=318615&amp;label=New_French_FR_RE_26394819985-5KMfyMgIYi7RF9Cd6ZNX9wS217246948707%3Apl%3Ata%3Ap1%3Ap2%3Aac%3Aap%3Aneg%3Afi%3Atidsa-194594581705%3Alp9075843%3Ali%3Adec%3Adm&amp;sid=1d91ab27864dc9721d26f0ceffa99ed5&amp;dest_id=-1331043;dest_type=city;dist=0;group_adults=2;group_children=0;hapos=1;hpos=1;no_rooms=1;req_adults=2;req_children=0;room1=A%2CA;sb_price_type=total;sr_order=popularity;srepoch=1711359388;srpvid=443b4389af3c0134;type=total;ucfs=1&amp;" TargetMode="External"/><Relationship Id="rId947" Type="http://schemas.openxmlformats.org/officeDocument/2006/relationships/hyperlink" Target="https://www.tripadvisor.fr/Restaurant_Review-g675133-d6731801-Reviews-Le_Longboard-Le_Tampon_Arrondissement_of_Saint_Pierre.html" TargetMode="External"/><Relationship Id="rId946" Type="http://schemas.openxmlformats.org/officeDocument/2006/relationships/hyperlink" Target="https://www.facebook.com/p/Cap-Vanisa-100057106524107/?locale=fr_FR" TargetMode="External"/><Relationship Id="rId945" Type="http://schemas.openxmlformats.org/officeDocument/2006/relationships/hyperlink" Target="https://www.airbnb.fr/rooms/1104795829042915684?guests=1&amp;adults=1&amp;s=67&amp;unique_share_id=22ff65c3-3d69-4ff3-8a57-f1795c2470f4&amp;source_impression_id=p3_1710484854_fF7GkqFo2bgJ5Nmu" TargetMode="External"/><Relationship Id="rId944" Type="http://schemas.openxmlformats.org/officeDocument/2006/relationships/hyperlink" Target="https://www.tripadvisor.fr/Restaurant_Review-g635742-d10751624-Reviews-Resto_le_jubile_des_O-Saint_Joseph_Arrondissement_of_Saint_Pierre.html" TargetMode="External"/><Relationship Id="rId939" Type="http://schemas.openxmlformats.org/officeDocument/2006/relationships/hyperlink" Target="https://www.tripadvisor.fr/Restaurant_Review-g668283-d8753550-Reviews-Le_Gadjak-Entre_Deux_Arrondissement_of_Saint_Pierre.html" TargetMode="External"/><Relationship Id="rId938" Type="http://schemas.openxmlformats.org/officeDocument/2006/relationships/hyperlink" Target="https://www.tripadvisor.fr/Restaurant_Review-g635742-d7949473-Reviews-Restaurant_Chez_Jim-Saint_Joseph_Arrondissement_of_Saint_Pierre.html" TargetMode="External"/><Relationship Id="rId937" Type="http://schemas.openxmlformats.org/officeDocument/2006/relationships/hyperlink" Target="https://www.facebook.com/lemalaya.re" TargetMode="External"/><Relationship Id="rId932" Type="http://schemas.openxmlformats.org/officeDocument/2006/relationships/hyperlink" Target="https://www.leboncoin.fr/offre/locations_saisonnieres/2522618405" TargetMode="External"/><Relationship Id="rId931" Type="http://schemas.openxmlformats.org/officeDocument/2006/relationships/hyperlink" Target="https://capvanisa.re/?fbclid=IwAR27G0CiRFpwMLQg9Ums_zwg8y39yE_qHw3hY5WwVFJ7SdUhVzgjSwmNiuU" TargetMode="External"/><Relationship Id="rId930" Type="http://schemas.openxmlformats.org/officeDocument/2006/relationships/hyperlink" Target="https://fr.airbnb.com/rooms/52623893?_set_bev_on_new_domain=1663222967_NDA0ZDMxMjE4MjUw&amp;source_impression_id=p3_1709797478_N6XkY4P0NrwBAE5t" TargetMode="External"/><Relationship Id="rId936" Type="http://schemas.openxmlformats.org/officeDocument/2006/relationships/hyperlink" Target="https://www.airbnb.fr/rooms/1047469863245681604?guests=1&amp;adults=1&amp;s=67&amp;unique_share_id=d89dd9f2-2380-4aec-a694-40ca116e8109&amp;source_impression_id=p3_1710309000_ntr5wLNJomDoAD0F" TargetMode="External"/><Relationship Id="rId935" Type="http://schemas.openxmlformats.org/officeDocument/2006/relationships/hyperlink" Target="https://www.leboncoin.fr/offre/locations_saisonnieres/2522618405" TargetMode="External"/><Relationship Id="rId934" Type="http://schemas.openxmlformats.org/officeDocument/2006/relationships/hyperlink" Target="https://www.tiktok.com/@le.muguet.sauvage" TargetMode="External"/><Relationship Id="rId933" Type="http://schemas.openxmlformats.org/officeDocument/2006/relationships/hyperlink" Target="https://www.facebook.com/profile.php?id=61553969941459" TargetMode="External"/><Relationship Id="rId965" Type="http://schemas.openxmlformats.org/officeDocument/2006/relationships/hyperlink" Target="https://www.booking.com/hotel/re/etoile-de-la-plaine.fr.html" TargetMode="External"/><Relationship Id="rId964" Type="http://schemas.openxmlformats.org/officeDocument/2006/relationships/hyperlink" Target="https://fr.airbnb.be/rooms/1107218941307905743?adults=1&amp;children=0&amp;enable_m3_private_room=true&amp;infants=0&amp;pets=0&amp;check_in=2024-04-04&amp;check_out=2024-04-09&amp;source_impression_id=p3_1712211470_GT3SShjNmUAEa2Df&amp;previous_page_section_name=1000&amp;federated_search_id=a1c742c6-f098-47ab-995c-1f2ac6c7f55d" TargetMode="External"/><Relationship Id="rId963" Type="http://schemas.openxmlformats.org/officeDocument/2006/relationships/hyperlink" Target="https://www.instagram.com/Monvoyagefleuri?fbclid=IwAR2Y9ZnPNnNGymXbPhunAs3uOJ01MaQ9eKKOS3F3Ivutsy1os88knt7D5h8_aem_AaiCHOU7s8buIDF-83FG_DzIavSmYcpQJN3cnFijKNHvYXnk87D5hbMd0WkKX637xtZRO_FFREMp9fAXmfrgLCWZ" TargetMode="External"/><Relationship Id="rId962" Type="http://schemas.openxmlformats.org/officeDocument/2006/relationships/hyperlink" Target="https://www.facebook.com/profile.php?id=100074816721572" TargetMode="External"/><Relationship Id="rId969" Type="http://schemas.openxmlformats.org/officeDocument/2006/relationships/hyperlink" Target="https://www.booking.com/hotel/re/eau-clair-de-lune.fr.html?aid=898224&amp;app_hotel_id=9250950&amp;checkin=2024-04-23&amp;checkout=2024-04-24&amp;from_sn=ios&amp;group_adults=2&amp;group_children=0&amp;label=hotel_details-asVN9z%401712213892&amp;no_rooms=1&amp;req_adults=2&amp;req_children=0&amp;room1=A%2CA%2C" TargetMode="External"/><Relationship Id="rId968" Type="http://schemas.openxmlformats.org/officeDocument/2006/relationships/hyperlink" Target="https://www.facebook.com/people/Eau-clair-de-lune-location-saisonni%C3%A8re/100087743473392/" TargetMode="External"/><Relationship Id="rId967" Type="http://schemas.openxmlformats.org/officeDocument/2006/relationships/hyperlink" Target="https://fr.airbnb.ch/rooms/762823144084483448?guests=1&amp;adults=1&amp;viralityEntryPoint=1&amp;s=76&amp;unique_share_id=0b081f8b-d958-4349-8051-193bd3f10473&amp;source_impression_id=p3_1712224522_VJXzh%2B%2F9zawD%2Becb" TargetMode="External"/><Relationship Id="rId966" Type="http://schemas.openxmlformats.org/officeDocument/2006/relationships/hyperlink" Target="https://www.leboncoin.fr/offre/locations_saisonnieres/2593813566" TargetMode="External"/><Relationship Id="rId961" Type="http://schemas.openxmlformats.org/officeDocument/2006/relationships/hyperlink" Target="https://www.tripadvisor.fr/Restaurant_Review-g790521-d7020961-Reviews-Restaurant_Auberge_du_Volcan-La_Plaine_des_Cafres_Arrondissement_of_Saint_Pierre.html" TargetMode="External"/><Relationship Id="rId960" Type="http://schemas.openxmlformats.org/officeDocument/2006/relationships/hyperlink" Target="https://www.facebook.com/profile.php?id=100063831379409" TargetMode="External"/><Relationship Id="rId959" Type="http://schemas.openxmlformats.org/officeDocument/2006/relationships/hyperlink" Target="https://www.booking.com/hotel/re/les-grevilleas.fr.html?aid=311089&amp;label=les-grevilleas-2MAWi3mBZZDWNQDOK6Z_TAS161719401284%3Apl%3Ata%3Ap1%3Ap2%3Aac%3Aap%3Aneg%3Afi%3Atikwd-123957951926%3Alp9075843%3Ali%3Adec%3Adm%3Appccp%3DUmFuZG9tSVYkc2RlIyh9YWiN3YY6Tdistu3PpCLSviE&amp;sid=1d91ab27864dc9721d26f0ceffa99ed5&amp;dest_id=-1330930;dest_type=city;dist=0;group_adults=2;group_children=0;hapos=1;hpos=1;no_rooms=1;req_adults=2;req_children=0;room1=A%2CA;sb_price_type=total;sr_order=popularity;srepoch=1711449400;srpvid=490e4a9608010317;type=total;ucfs=1&amp;" TargetMode="External"/><Relationship Id="rId954" Type="http://schemas.openxmlformats.org/officeDocument/2006/relationships/hyperlink" Target="https://www.booking.com/hotel/re/ti-jean.fr.html" TargetMode="External"/><Relationship Id="rId953" Type="http://schemas.openxmlformats.org/officeDocument/2006/relationships/hyperlink" Target="https://www.facebook.com/kevinsery97418/?paipv=0&amp;eav=AfYZ7eA7oFPOxBBcVs4C-X2CvpfADDBX2Yvw1WPE_amZ0KunqrsErMgFEncUOPLz78c&amp;_rdr" TargetMode="External"/><Relationship Id="rId952" Type="http://schemas.openxmlformats.org/officeDocument/2006/relationships/hyperlink" Target="https://www.tripadvisor.fr/VacationRentalReview-g675133-d12702707-Les_Mimosas_Grand_bassin-Le_Tampon_Arrondissement_of_Saint_Pierre.html" TargetMode="External"/><Relationship Id="rId951" Type="http://schemas.openxmlformats.org/officeDocument/2006/relationships/hyperlink" Target="https://www.facebook.com/MichelD974/?locale=fr_FR" TargetMode="External"/><Relationship Id="rId958" Type="http://schemas.openxmlformats.org/officeDocument/2006/relationships/hyperlink" Target="https://www.tripadvisor.fr/Hotel_Review-g790521-d2170790-Reviews-Les_Grevilleas-La_Plaine_des_Cafres_Arrondissement_of_Saint_Pierre.html" TargetMode="External"/><Relationship Id="rId957" Type="http://schemas.openxmlformats.org/officeDocument/2006/relationships/hyperlink" Target="https://www.instagram.com/lecrin_pei974?fbclid=IwAR3fdYO3EQ4vsVT5OpgVCvbTpThDvhYRn6oSeZ2rQnVsK-hvX8En3wqx_5s_aem_AeFpjFpvGddOZBMtZsrbkIu2mMvU36fBHdJfxFZ01Jmi5ASVjpWluqWWsf3U0JdGaqwWzbyPynHmCrrexeOabu9o" TargetMode="External"/><Relationship Id="rId956" Type="http://schemas.openxmlformats.org/officeDocument/2006/relationships/hyperlink" Target="https://fr.airbnb.com/rooms/1061461544052636640?_set_bev_on_new_domain=1663222967_NDA0ZDMxMjE4MjUw&amp;source_impression_id=p3_1711445645_lRwm78qOab4N9TjZ" TargetMode="External"/><Relationship Id="rId955" Type="http://schemas.openxmlformats.org/officeDocument/2006/relationships/hyperlink" Target="https://www.facebook.com/profile.php?id=61554400452052" TargetMode="External"/><Relationship Id="rId950" Type="http://schemas.openxmlformats.org/officeDocument/2006/relationships/hyperlink" Target="https://www.leboncoin.fr/offre/locations_saisonnieres/2454069771" TargetMode="External"/><Relationship Id="rId107" Type="http://schemas.openxmlformats.org/officeDocument/2006/relationships/hyperlink" Target="https://www.facebook.com/COTE-SUD-Sauvage-Maison-de-vacances-Location-saisonni%C3%A8re-101556412269872" TargetMode="External"/><Relationship Id="rId106" Type="http://schemas.openxmlformats.org/officeDocument/2006/relationships/hyperlink" Target="https://www.facebook.com/La-villa-du-Piton-St-Joseph-127229302856621/posts/" TargetMode="External"/><Relationship Id="rId105" Type="http://schemas.openxmlformats.org/officeDocument/2006/relationships/hyperlink" Target="https://www.instagram.com/margoz_amer/?hl=fr" TargetMode="External"/><Relationship Id="rId104" Type="http://schemas.openxmlformats.org/officeDocument/2006/relationships/hyperlink" Target="https://www.facebook.com/_LUuna-K_-115204245211306" TargetMode="External"/><Relationship Id="rId109" Type="http://schemas.openxmlformats.org/officeDocument/2006/relationships/hyperlink" Target="https://www.facebook.com/lezartsdecocreations/about/?ref=page_internal" TargetMode="External"/><Relationship Id="rId108" Type="http://schemas.openxmlformats.org/officeDocument/2006/relationships/hyperlink" Target="https://www.facebook.com/broderiesPauletVirginie/?ref=page_internal" TargetMode="External"/><Relationship Id="rId103" Type="http://schemas.openxmlformats.org/officeDocument/2006/relationships/hyperlink" Target="https://www.facebook.com/maisondesremparts/" TargetMode="External"/><Relationship Id="rId102" Type="http://schemas.openxmlformats.org/officeDocument/2006/relationships/hyperlink" Target="https://fr-fr.facebook.com/pages/category/Vacation-Home-Rental/Le-Palmier-de-la-Paix-341790459811230/" TargetMode="External"/><Relationship Id="rId101" Type="http://schemas.openxmlformats.org/officeDocument/2006/relationships/hyperlink" Target="https://www.facebook.com/dimitilebike" TargetMode="External"/><Relationship Id="rId100" Type="http://schemas.openxmlformats.org/officeDocument/2006/relationships/hyperlink" Target="https://www.facebook.com/pages/category/Vacation-Home-Rental/Villa-des-calist%C3%A9mons-location-saisonni%C3%A8re-104601604343771/" TargetMode="External"/><Relationship Id="rId129" Type="http://schemas.openxmlformats.org/officeDocument/2006/relationships/hyperlink" Target="https://www.facebook.com/Paintball97414" TargetMode="External"/><Relationship Id="rId128" Type="http://schemas.openxmlformats.org/officeDocument/2006/relationships/hyperlink" Target="https://www.facebook.com/apiculture974" TargetMode="External"/><Relationship Id="rId127" Type="http://schemas.openxmlformats.org/officeDocument/2006/relationships/hyperlink" Target="https://www.facebook.com/versionecaille/" TargetMode="External"/><Relationship Id="rId126" Type="http://schemas.openxmlformats.org/officeDocument/2006/relationships/hyperlink" Target="https://www.facebook.com/Claire.Falconnet/" TargetMode="External"/><Relationship Id="rId121" Type="http://schemas.openxmlformats.org/officeDocument/2006/relationships/hyperlink" Target="https://www.booking.com/hotel/re/coeur-creole.fr.html" TargetMode="External"/><Relationship Id="rId120" Type="http://schemas.openxmlformats.org/officeDocument/2006/relationships/hyperlink" Target="https://m.facebook.com/olodgedesrameaux/" TargetMode="External"/><Relationship Id="rId125" Type="http://schemas.openxmlformats.org/officeDocument/2006/relationships/hyperlink" Target="https://www.instagram.com/choubidoux_kreation/?hl=fr" TargetMode="External"/><Relationship Id="rId124" Type="http://schemas.openxmlformats.org/officeDocument/2006/relationships/hyperlink" Target="https://www.airbnb.fr/rooms/24547801?source_impression_id=p3_1645617669_sX1%2BiQNLgmFWHD2a" TargetMode="External"/><Relationship Id="rId123" Type="http://schemas.openxmlformats.org/officeDocument/2006/relationships/hyperlink" Target="https://www.tripadvisor.fr/Hotel_Review-g675133-d23219448-Reviews-Coeur_Creole-Le_Tampon_Arrondissement_of_Saint_Pierre.html" TargetMode="External"/><Relationship Id="rId122" Type="http://schemas.openxmlformats.org/officeDocument/2006/relationships/hyperlink" Target="https://www.airbnb.fr/rooms/40567049?adults=1&amp;children=0&amp;infants=0&amp;check_in=2023-10-29&amp;check_out=2023-11-03&amp;source_impression_id=p3_1697450066_O0IJf%2B4C9NOkiVhY&amp;previous_page_section_name=1000&amp;federated_search_id=87e77c1b-1f9a-43d6-b1dd-157933aa024d" TargetMode="External"/><Relationship Id="rId118" Type="http://schemas.openxmlformats.org/officeDocument/2006/relationships/hyperlink" Target="https://www.airbnb.fr/rooms/4204169?source_impression_id=p3_1645256160_0vPqB98WbZHNGLA%2F" TargetMode="External"/><Relationship Id="rId117" Type="http://schemas.openxmlformats.org/officeDocument/2006/relationships/hyperlink" Target="https://www.facebook.com/pg/Les-bijoux-dhermana-106325794170935/posts/" TargetMode="External"/><Relationship Id="rId116" Type="http://schemas.openxmlformats.org/officeDocument/2006/relationships/hyperlink" Target="https://m.facebook.com/Domaine-Paille-en-Queue-Location-Saisonni%C3%A8re-%C3%AEle-de-la-R%C3%A9union-22-personnes-102208138953022/?ref=page_internal" TargetMode="External"/><Relationship Id="rId115" Type="http://schemas.openxmlformats.org/officeDocument/2006/relationships/hyperlink" Target="https://www.airbnb.fr/rooms/51658963?guests=1&amp;adults=1&amp;s=67&amp;unique_share_id=cae31911-a4cf-48f3-aa86-26016d06e8af&amp;source_impression_id=p3_1644836964_DhVsga9uBNCDEa2I" TargetMode="External"/><Relationship Id="rId119" Type="http://schemas.openxmlformats.org/officeDocument/2006/relationships/hyperlink" Target="https://www.facebook.com/lescoeursdamants/" TargetMode="External"/><Relationship Id="rId110" Type="http://schemas.openxmlformats.org/officeDocument/2006/relationships/hyperlink" Target="https://www.booking.com/hotel/re/location-saisonniere-maison-de-vacances.fr.html" TargetMode="External"/><Relationship Id="rId114" Type="http://schemas.openxmlformats.org/officeDocument/2006/relationships/hyperlink" Target="https://www.facebook.com/scadubrascreux" TargetMode="External"/><Relationship Id="rId113" Type="http://schemas.openxmlformats.org/officeDocument/2006/relationships/hyperlink" Target="https://www.facebook.com/La-ferme-du-Kilimandjaro-242832062839593" TargetMode="External"/><Relationship Id="rId112" Type="http://schemas.openxmlformats.org/officeDocument/2006/relationships/hyperlink" Target="https://www.facebook.com/profile.php?id=100018914204477" TargetMode="External"/><Relationship Id="rId111" Type="http://schemas.openxmlformats.org/officeDocument/2006/relationships/hyperlink" Target="https://www.facebook.com/Villa-Bambou-336255814280454" TargetMode="External"/><Relationship Id="rId907" Type="http://schemas.openxmlformats.org/officeDocument/2006/relationships/hyperlink" Target="https://www.booking.com/hotel/re/l-39-estagnon.fr.html" TargetMode="External"/><Relationship Id="rId906" Type="http://schemas.openxmlformats.org/officeDocument/2006/relationships/hyperlink" Target="https://www.booking.com/hotel/re/le-malaya.fr.html?aid=318615&amp;label=New_French_FR_RE_26394819985-5KMfyMgIYi7RF9Cd6ZNX9wS217246948707%3Apl%3Ata%3Ap1%3Ap2%3Aac%3Aap%3Aneg%3Afi%3Atidsa-194594581705%3Alp9075843%3Ali%3Adec%3Adm&amp;sid=e6078ed3a476bce35ac5adad09f36c1d&amp;dest_id=-1331399&amp;dest_type=city&amp;dist=0&amp;group_adults=2&amp;group_children=0&amp;hapos=1&amp;hpos=1&amp;no_rooms=1&amp;req_adults=2&amp;req_children=0&amp;room1=A%2CA&amp;sb_price_type=total&amp;sr_order=popularity&amp;srepoch=1708595608&amp;srpvid=6e814588596d0050&amp;type=total&amp;ucfs=1&amp;activeTab=main" TargetMode="External"/><Relationship Id="rId905" Type="http://schemas.openxmlformats.org/officeDocument/2006/relationships/hyperlink" Target="https://www.facebook.com/villa.entre.deux.centre" TargetMode="External"/><Relationship Id="rId904" Type="http://schemas.openxmlformats.org/officeDocument/2006/relationships/hyperlink" Target="https://www.booking.com/hotel/re/villa-centre-entre-deux.fr.html" TargetMode="External"/><Relationship Id="rId909" Type="http://schemas.openxmlformats.org/officeDocument/2006/relationships/hyperlink" Target="https://www.facebook.com/Ofildelo974" TargetMode="External"/><Relationship Id="rId908" Type="http://schemas.openxmlformats.org/officeDocument/2006/relationships/hyperlink" Target="https://www.facebook.com/profile.php?id=61556574003544" TargetMode="External"/><Relationship Id="rId903" Type="http://schemas.openxmlformats.org/officeDocument/2006/relationships/hyperlink" Target="https://fr.airbnb.ch/rooms/1052661366157803549?adults=2&amp;children=2&amp;check_in=2024-03-04&amp;check_out=2024-03-07&amp;source_impression_id=p3_1704540693_CBhdfHUdgQIJXdD3&amp;previous_page_section_name=1000&amp;federated_search_id=71a9e2a6-2088-473e-b767-d920d822f51d&amp;enable_auto_translate=false&amp;fbclid=IwAR17bq0ZXFomwji88me4uRBh1B-Kp5io-Y-ADKprey7PgvOmcpyOufOBnIU&amp;_set_bev_on_new_domain=1663658553_NTBkZjY3ZDZlYjFh" TargetMode="External"/><Relationship Id="rId902" Type="http://schemas.openxmlformats.org/officeDocument/2006/relationships/hyperlink" Target="https://fr.airbnb.com/rooms/946008828657151852?_set_bev_on_new_domain=1706167738_NzI1YzMzYjE4YzUy&amp;source_impression_id=p3_1706167739_khhLqN0VFfVoE09s" TargetMode="External"/><Relationship Id="rId901" Type="http://schemas.openxmlformats.org/officeDocument/2006/relationships/hyperlink" Target="https://www.facebook.com/p/Le-Relais-Commerson-100076660143930/" TargetMode="External"/><Relationship Id="rId900" Type="http://schemas.openxmlformats.org/officeDocument/2006/relationships/hyperlink" Target="https://www.tripadvisor.fr/Restaurant_Review-g675133-d6538819-Reviews-Le_Relais_Commerson-Le_Tampon_Arrondissement_of_Saint_Pierre.html" TargetMode="External"/><Relationship Id="rId929" Type="http://schemas.openxmlformats.org/officeDocument/2006/relationships/hyperlink" Target="https://www.facebook.com/couleursdusudsauvage" TargetMode="External"/><Relationship Id="rId928" Type="http://schemas.openxmlformats.org/officeDocument/2006/relationships/hyperlink" Target="https://www.tripadvisor.fr/Restaurant_Review-g668283-d3690529-Reviews-L_Arbre_a_Palabres-Entre_Deux_Arrondissement_of_Saint_Pierre.html" TargetMode="External"/><Relationship Id="rId927" Type="http://schemas.openxmlformats.org/officeDocument/2006/relationships/hyperlink" Target="https://www.facebook.com/litchee974" TargetMode="External"/><Relationship Id="rId926" Type="http://schemas.openxmlformats.org/officeDocument/2006/relationships/hyperlink" Target="https://www.facebook.com/profile.php?id=100090075944055" TargetMode="External"/><Relationship Id="rId921" Type="http://schemas.openxmlformats.org/officeDocument/2006/relationships/hyperlink" Target="https://www.airbnb.fr/rooms/1089476824491785174?preview_for_ml=true&amp;source_impression_id=p3_1708939169_exSRm6WFrqy0hdUV" TargetMode="External"/><Relationship Id="rId920" Type="http://schemas.openxmlformats.org/officeDocument/2006/relationships/hyperlink" Target="https://www.facebook.com/profile.php?id=61556522188436" TargetMode="External"/><Relationship Id="rId925" Type="http://schemas.openxmlformats.org/officeDocument/2006/relationships/hyperlink" Target="https://www.abritel.fr/location-vacances/p2217025" TargetMode="External"/><Relationship Id="rId924" Type="http://schemas.openxmlformats.org/officeDocument/2006/relationships/hyperlink" Target="https://www.airbnb.fr/rooms/820678380602462880?source_impression_id=p3_1709701480_w9foZQI5uNP%2BQ%2Fk0" TargetMode="External"/><Relationship Id="rId923" Type="http://schemas.openxmlformats.org/officeDocument/2006/relationships/hyperlink" Target="https://www.facebook.com/profile.php?id=61556698163025" TargetMode="External"/><Relationship Id="rId922" Type="http://schemas.openxmlformats.org/officeDocument/2006/relationships/hyperlink" Target="https://www.booking.com/hotel/re/ti-kaz-bleu-plaine-des-cafres.fr.html" TargetMode="External"/><Relationship Id="rId918" Type="http://schemas.openxmlformats.org/officeDocument/2006/relationships/hyperlink" Target="https://www.booking.com/hotel/re/t2-avec-parking-prive.fr.html?aid=1610680&amp;label=re-3fpFwusaTED28H7kOGyGXQS379685183999%3Apl%3Ata%3Ap1%3Ap2%3Aac%3Aap%3Aneg%3Afi%3Atiaud-146342138470%3Akwd-359339491425%3Alp9075843%3Ali%3Adec%3Adm%3Appccp%3DUmFuZG9tSVYkc2RlIyh9YURcq_26dhSxO_kD28P4Rwg-Share-jWmiccn%401708605916&amp;sid=ba4e4e680180124b9e08f6acfb274803&amp;all_sr_blocks=1121678101_384943234_2_0_0;checkin=2024-03-13;checkout=2024-03-19;dest_id=-1331043;dest_type=city;dist=0;group_adults=2;group_children=0;hapos=1;highlighted_blocks=1121678101_384943234_2_0_0;hpos=1;matching_block_id=1121678101_384943234_2_0_0;no_rooms=1;req_adults=2;req_children=0;room1=A%2CA;sb_price_type=total;sr_order=popularity;sr_pri_blocks=1121678101_384943234_2_0_0__32000;srepoch=1708933060;srpvid=49fd359bdaa802ae;type=total;ucfs=1&amp;" TargetMode="External"/><Relationship Id="rId917" Type="http://schemas.openxmlformats.org/officeDocument/2006/relationships/hyperlink" Target="https://www.facebook.com/marketplace/item/386729380583283/" TargetMode="External"/><Relationship Id="rId916" Type="http://schemas.openxmlformats.org/officeDocument/2006/relationships/hyperlink" Target="https://www.leboncoin.fr/offre/locations_saisonnieres/2460923888" TargetMode="External"/><Relationship Id="rId915" Type="http://schemas.openxmlformats.org/officeDocument/2006/relationships/hyperlink" Target="https://www.airbnb.fr/rooms/1047908851036085140?check_in=2024-03-13&amp;check_out=2024-03-19&amp;guests=1&amp;adults=1&amp;s=67&amp;unique_share_id=46291ba5-b7c4-4b75-86f4-5d41bb460128&amp;source_impression_id=p3_1708933046_nX1CEiW2M1tpGFcf" TargetMode="External"/><Relationship Id="rId919" Type="http://schemas.openxmlformats.org/officeDocument/2006/relationships/hyperlink" Target="https://sp.booking.com/hotel/re/hibiscus-saint-joseph.fr.html?aid=1997859&amp;label=device_id%3Dt5PmDY9fQb9iU-tB96qUZs&amp;sid=49a3cfd903c74b28113b1e95d9e6c057&amp;atlas_src=sr_iw_btn;checkin=2024-02-26;checkout=2024-02-27;dest_id=-1331399;dest_type=city;dist=0;group_adults=2;group_children=0;no_rooms=1;room1=A%2CA;sb_price_type=total;type=total;ucfs=1&amp;" TargetMode="External"/><Relationship Id="rId910" Type="http://schemas.openxmlformats.org/officeDocument/2006/relationships/hyperlink" Target="https://fr.airbnb.com/rooms/776044637365737974?fbclid=IwAR1BK0t0BjHCVgx_zsuukTR2MkgYcg1sQeyucfy3U6xMHvhJuEuB9Pnyz4Y&amp;_set_bev_on_new_domain=1705149534_M2JmYWMyZmRkNmM3" TargetMode="External"/><Relationship Id="rId914" Type="http://schemas.openxmlformats.org/officeDocument/2006/relationships/hyperlink" Target="https://www.leboncoin.fr/offre/locations_saisonnieres/2460943414" TargetMode="External"/><Relationship Id="rId913" Type="http://schemas.openxmlformats.org/officeDocument/2006/relationships/hyperlink" Target="https://www.booking.com/hotel/re/appartement-t2-avec-box-pour-voiture.fr.html?aid=1610680&amp;label=re-3fpFwusaTED28H7kOGyGXQS379685183999%3Apl%3Ata%3Ap1%3Ap2%3Aac%3Aap%3Aneg%3Afi%3Atiaud-146342138470%3Akwd-359339491425%3Alp9075843%3Ali%3Adec%3Adm%3Appccp%3DUmFuZG9tSVYkc2RlIyh9YURcq_26dhSxO_kD28P4Rwg-Share-3aXkW9%401708605846&amp;sid=ba4e4e680180124b9e08f6acfb274803&amp;dest_id=-1331043;dest_type=city;dist=0;group_adults=2;group_children=0;hapos=1;hpos=1;no_rooms=1;req_adults=2;req_children=0;room1=A%2CA;sb_price_type=total;sr_order=popularity;srepoch=1708926537;srpvid=8243285fd5f00148;type=total;ucfs=1&amp;" TargetMode="External"/><Relationship Id="rId912" Type="http://schemas.openxmlformats.org/officeDocument/2006/relationships/hyperlink" Target="https://www.facebook.com/marketplace/item/1761170564295565/" TargetMode="External"/><Relationship Id="rId911" Type="http://schemas.openxmlformats.org/officeDocument/2006/relationships/hyperlink" Target="https://www.airbnb.fr/rooms/1046967680184369414?source_impression_id=p3_1708606629_lftQY%2BnpYn9ENZsd" TargetMode="External"/><Relationship Id="rId866" Type="http://schemas.openxmlformats.org/officeDocument/2006/relationships/hyperlink" Target="https://www.booking.com/hotel/re/villa-ti-kaz-trankil-piscine-chauffee-saint-joseph.fr.html?aid=318615&amp;label=New_French_FR_RE_26394819985-5KMfyMgIYi7RF9Cd6ZNX9wS217246948707%3Apl%3Ata%3Ap1%3Ap2%3Aac%3Aap%3Aneg%3Afi%3Atidsa-194594581705%3Alp9075843%3Ali%3Adec%3Adm&amp;sid=e85228deef812631419f23c060e07663&amp;dest_id=-1331399;dest_type=city;dist=0;group_adults=2;group_children=0;hapos=1;hpos=1;no_rooms=1;req_adults=2;req_children=0;room1=A%2CA;sb_price_type=total;sr_order=popularity;srepoch=1702277495;srpvid=74653037efd501a3;type=total;ucfs=1&amp;" TargetMode="External"/><Relationship Id="rId865" Type="http://schemas.openxmlformats.org/officeDocument/2006/relationships/hyperlink" Target="https://www.abritel.fr/location-vacances/p2190447" TargetMode="External"/><Relationship Id="rId864" Type="http://schemas.openxmlformats.org/officeDocument/2006/relationships/hyperlink" Target="https://www.facebook.com/tikazenboi" TargetMode="External"/><Relationship Id="rId863" Type="http://schemas.openxmlformats.org/officeDocument/2006/relationships/hyperlink" Target="https://fr.airbnb.com/rooms/50185919?_set_bev_on_new_domain=1633606169_N2U5MTg1OTAzYTNj&amp;source_impression_id=p3_1701840568_Gy9ifNKzbzTP9vnw" TargetMode="External"/><Relationship Id="rId869" Type="http://schemas.openxmlformats.org/officeDocument/2006/relationships/hyperlink" Target="https://www.facebook.com/p/G%C3%AEte-des-Dodos-G%C3%AEte-le-109-100043160179183/?_rdr" TargetMode="External"/><Relationship Id="rId868" Type="http://schemas.openxmlformats.org/officeDocument/2006/relationships/hyperlink" Target="https://www.booking.com/hotel/re/gite-des-dodos.fr.html?aid=318615&amp;label=New_French_FR_RE_26394819985-5KMfyMgIYi7RF9Cd6ZNX9wS217246948707%3Apl%3Ata%3Ap1%3Ap2%3Aac%3Aap%3Aneg%3Afi%3Atidsa-194594581705%3Alp9075843%3Ali%3Adec%3Adm&amp;sid=521894f20a3286209fe20386c504686f&amp;dest_id=-1331399&amp;dest_type=city&amp;dist=0&amp;group_adults=2&amp;group_children=0&amp;hapos=1&amp;hpos=1&amp;no_rooms=1&amp;req_adults=2&amp;req_children=0&amp;room1=A%2CA&amp;sb_price_type=total&amp;sr_order=popularity&amp;srepoch=1702289028&amp;srpvid=21e646beae8101d8&amp;type=total&amp;ucfs=1&amp;activeTab=main" TargetMode="External"/><Relationship Id="rId867" Type="http://schemas.openxmlformats.org/officeDocument/2006/relationships/hyperlink" Target="https://www.airbnb.fr/rooms/644786414361535661?c=.pi0.pk16779809938_133954657366&amp;gad_source=1&amp;gclsrc=ds&amp;source_impression_id=p3_1702279364_wWAYh1W7nb17pFC6" TargetMode="External"/><Relationship Id="rId862" Type="http://schemas.openxmlformats.org/officeDocument/2006/relationships/hyperlink" Target="https://www.booking.com/hotel/re/ti-kazenboi.fr.html?aid=1630418&amp;ycadu=1" TargetMode="External"/><Relationship Id="rId861" Type="http://schemas.openxmlformats.org/officeDocument/2006/relationships/hyperlink" Target="https://www.booking.com/hotel/re/le-109.fr.html" TargetMode="External"/><Relationship Id="rId860" Type="http://schemas.openxmlformats.org/officeDocument/2006/relationships/hyperlink" Target="https://www.booking.com/hotel/re/coin-zen-et-reposant.fr.html" TargetMode="External"/><Relationship Id="rId855" Type="http://schemas.openxmlformats.org/officeDocument/2006/relationships/hyperlink" Target="https://www.instagram.com/lemargaretholidays/" TargetMode="External"/><Relationship Id="rId854" Type="http://schemas.openxmlformats.org/officeDocument/2006/relationships/hyperlink" Target="https://facebook.com/LeMargaretHolidays" TargetMode="External"/><Relationship Id="rId853" Type="http://schemas.openxmlformats.org/officeDocument/2006/relationships/hyperlink" Target="https://fr.airbnb.ca/rooms/751256304201735216?source_impression_id=p3_1701252148_IU2lo1%2Fa2N7s7UNv" TargetMode="External"/><Relationship Id="rId852" Type="http://schemas.openxmlformats.org/officeDocument/2006/relationships/hyperlink" Target="https://www.leboncoin.fr/offre/locations_saisonnieres/2247188928" TargetMode="External"/><Relationship Id="rId859" Type="http://schemas.openxmlformats.org/officeDocument/2006/relationships/hyperlink" Target="https://fr.airbnb.ch/rooms/17889101?source_impression_id=p3_1701425631_P4tu%2Ft6erxeiAC%2Bd" TargetMode="External"/><Relationship Id="rId858" Type="http://schemas.openxmlformats.org/officeDocument/2006/relationships/hyperlink" Target="https://www.airbnb.fr/rooms/985852719094496641?guests=1&amp;adults=1&amp;s=67&amp;unique_share_id=d2b28bbc-5e83-40eb-9866-d3198e013de4&amp;source_impression_id=p3_1701252154_567UzlMh48g5WeYZ" TargetMode="External"/><Relationship Id="rId857" Type="http://schemas.openxmlformats.org/officeDocument/2006/relationships/hyperlink" Target="https://www.booking.com/hotel/re/le-margaret-holidays.fr.html?aid=304142&amp;checkin=2023-12-05&amp;checkout=2023-12-07&amp;dest_id=-1330930&amp;dest_type=city&amp;group_adults=6&amp;group_children=0&amp;label=gen173nr-1FCAsovwFCFGxlLW1hcmdhcmV0LWhvbGlkYXlzSA1YBGi_AYgBAZgBDbgBGMgBDNgBAegBAfgBA4gCAagCBLgC3eXVpAbAAgHSAiQ4OWFlMGMzMi1kZWE0LTRjZWYtODQ0Ny05ZjI3MzZhNzRkMjnYAgXgAgE-Share-oSz8N1E%401701155107&amp;no_rooms=1&amp;req_adults=6&amp;req_children=0" TargetMode="External"/><Relationship Id="rId856" Type="http://schemas.openxmlformats.org/officeDocument/2006/relationships/hyperlink" Target="https://www.airbnb.fr/rooms/978707331883610982?guests=1&amp;adults=1&amp;s=67&amp;unique_share_id=a524afb5-7160-49ea-acff-1713594ee894&amp;source_impression_id=p3_1701252154_wmtpfCWVBXvXBTCg" TargetMode="External"/><Relationship Id="rId851" Type="http://schemas.openxmlformats.org/officeDocument/2006/relationships/hyperlink" Target="https://fr.airbnb.com/rooms/1027443783159498243?_set_bev_on_new_domain=1663222967_NDA0ZDMxMjE4MjUw&amp;source_impression_id=p3_1701236158_lWBvc6OP9fK4ZdXE" TargetMode="External"/><Relationship Id="rId850" Type="http://schemas.openxmlformats.org/officeDocument/2006/relationships/hyperlink" Target="https://www.booking.com/hotel/re/le-cypres-saint-joseph.fr.html?type=total&amp;dist=0&amp;sb_price_type=total&amp;sid=be7e14a11ec290356dbcdf83e24db7a5&amp;aid=356982&amp;keep_landing=1&amp;label=gog235jc-1DCAsovwFCFmxlLWN5cHJlcy1zYWludC1qb3NlcGhIM1gDaL8BiAEBmAENuAEYyAEM2AED6AEBiAIBqAIEuAK1mu6qBsACAdICJGY0YzE2MjNhLTkzMzItNDg1MS1iZmEyLTE3OGZjYzdmMGFhM9gCBOACAQ" TargetMode="External"/><Relationship Id="rId888" Type="http://schemas.openxmlformats.org/officeDocument/2006/relationships/hyperlink" Target="https://www.facebook.com/profile.php?id=100067089836197" TargetMode="External"/><Relationship Id="rId887" Type="http://schemas.openxmlformats.org/officeDocument/2006/relationships/hyperlink" Target="https://www.facebook.com/profile.php?id=100067089836197" TargetMode="External"/><Relationship Id="rId886" Type="http://schemas.openxmlformats.org/officeDocument/2006/relationships/hyperlink" Target="https://www.instagram.com/tirestolontan/?hl=fr" TargetMode="External"/><Relationship Id="rId885" Type="http://schemas.openxmlformats.org/officeDocument/2006/relationships/hyperlink" Target="https://www.tripadvisor.fr/Restaurant_Review-g667223-d2026814-Reviews-Le_Ti_Resto_Lontan-Bourg_Murat_Arrondissement_of_Saint_Pierre.html" TargetMode="External"/><Relationship Id="rId889" Type="http://schemas.openxmlformats.org/officeDocument/2006/relationships/hyperlink" Target="https://www.tripadvisor.fr/Restaurant_Review-g667223-d3727194-Reviews-Le_Panoramic-Bourg_Murat_Arrondissement_of_Saint_Pierre.html" TargetMode="External"/><Relationship Id="rId880" Type="http://schemas.openxmlformats.org/officeDocument/2006/relationships/hyperlink" Target="https://www.facebook.com/anthuriumpayet974" TargetMode="External"/><Relationship Id="rId884" Type="http://schemas.openxmlformats.org/officeDocument/2006/relationships/hyperlink" Target="https://fr.airbnb.com/rooms/41607444?source_impression_id=p3_1701281573_ve4U28IC2rhfqdbc" TargetMode="External"/><Relationship Id="rId883" Type="http://schemas.openxmlformats.org/officeDocument/2006/relationships/hyperlink" Target="https://www.facebook.com/profile.php?id=61552685003322" TargetMode="External"/><Relationship Id="rId882" Type="http://schemas.openxmlformats.org/officeDocument/2006/relationships/hyperlink" Target="https://www.airbnb.fr/rooms/848140052110024557?guests=1&amp;adults=1&amp;viralityEntryPoint=1&amp;s=76&amp;unique_share_id=5b414139-c147-48c0-9e12-736cfe826998&amp;source_impression_id=p3_1703218773_a9YrWqxvmYaXCV0M" TargetMode="External"/><Relationship Id="rId881" Type="http://schemas.openxmlformats.org/officeDocument/2006/relationships/hyperlink" Target="https://www.facebook.com/profile.php?id=61552194080926" TargetMode="External"/><Relationship Id="rId877" Type="http://schemas.openxmlformats.org/officeDocument/2006/relationships/hyperlink" Target="https://www.facebook.com/people/H%C3%B4tel-Les-G%C3%A9raniums/100063859561012/" TargetMode="External"/><Relationship Id="rId876" Type="http://schemas.openxmlformats.org/officeDocument/2006/relationships/hyperlink" Target="https://www.facebook.com/people/H%C3%B4tel-Les-G%C3%A9raniums/100063859561012/" TargetMode="External"/><Relationship Id="rId875" Type="http://schemas.openxmlformats.org/officeDocument/2006/relationships/hyperlink" Target="https://www.facebook.com/people/Sud-Sauvage-Locations/100072059516984/" TargetMode="External"/><Relationship Id="rId874" Type="http://schemas.openxmlformats.org/officeDocument/2006/relationships/hyperlink" Target="https://www.facebook.com/people/Sud-Sauvage-Locations/100072059516984/" TargetMode="External"/><Relationship Id="rId879" Type="http://schemas.openxmlformats.org/officeDocument/2006/relationships/hyperlink" Target="https://www.booking.com/hotel/re/anthurium-location-saisonniere.fr.html" TargetMode="External"/><Relationship Id="rId878" Type="http://schemas.openxmlformats.org/officeDocument/2006/relationships/hyperlink" Target="https://www.airbnb.fr/rooms/45559250?adults=1&amp;children=0&amp;enable_m3_private_room=true&amp;infants=0&amp;location=Le%20Tampon%2C%20R%C3%A9union&amp;pets=0&amp;check_in=2023-12-16&amp;check_out=2023-12-21&amp;source_impression_id=p3_1702632075_%2BRbghX1pEVDf3n8n&amp;previous_page_section_name=1001&amp;federated_search_id=4bad2ca0-d484-4b49-9ac8-0872ba084b1e" TargetMode="External"/><Relationship Id="rId873" Type="http://schemas.openxmlformats.org/officeDocument/2006/relationships/hyperlink" Target="https://fr.airbnb.ch/rooms/33667509?source_impression_id=p3_1699964768_PwFNnelbrm3G7%2FAb" TargetMode="External"/><Relationship Id="rId872" Type="http://schemas.openxmlformats.org/officeDocument/2006/relationships/hyperlink" Target="https://www.abritel.fr/location-vacances/p1712042" TargetMode="External"/><Relationship Id="rId871" Type="http://schemas.openxmlformats.org/officeDocument/2006/relationships/hyperlink" Target="https://www.facebook.com/Sandrine.lebon10071975/" TargetMode="External"/><Relationship Id="rId870" Type="http://schemas.openxmlformats.org/officeDocument/2006/relationships/hyperlink" Target="https://www.facebook.com/p/G%C3%AEte-des-Dodos-G%C3%AEte-le-109-100043160179183/?_rdr" TargetMode="External"/><Relationship Id="rId829" Type="http://schemas.openxmlformats.org/officeDocument/2006/relationships/hyperlink" Target="https://www.facebook.com/soniacadetbda/" TargetMode="External"/><Relationship Id="rId828" Type="http://schemas.openxmlformats.org/officeDocument/2006/relationships/hyperlink" Target="https://www.instagram.com/lebonheurestdanslatelier?fbclid=IwAR3AOufUYR6mvtk-CSFY14Fv6DJVskHwfpvSeSxCQ6k7G11YWtwLHDNmYDA" TargetMode="External"/><Relationship Id="rId827" Type="http://schemas.openxmlformats.org/officeDocument/2006/relationships/hyperlink" Target="https://www.facebook.com/profile.php?id=100083376036627" TargetMode="External"/><Relationship Id="rId822" Type="http://schemas.openxmlformats.org/officeDocument/2006/relationships/hyperlink" Target="https://www.airbnb.fr/rooms/984623536656342002?preview_for_ml=true&amp;source_impression_id=p3_1699254571_RQIIBFlKOOQgef1S" TargetMode="External"/><Relationship Id="rId821" Type="http://schemas.openxmlformats.org/officeDocument/2006/relationships/hyperlink" Target="https://www.facebook.com/lulico974" TargetMode="External"/><Relationship Id="rId820" Type="http://schemas.openxmlformats.org/officeDocument/2006/relationships/hyperlink" Target="https://www.facebook.com/profile.php?id=61552219130990" TargetMode="External"/><Relationship Id="rId826" Type="http://schemas.openxmlformats.org/officeDocument/2006/relationships/hyperlink" Target="https://www.leboncoin.fr/locations_saisonnieres/2424752397.htm" TargetMode="External"/><Relationship Id="rId825" Type="http://schemas.openxmlformats.org/officeDocument/2006/relationships/hyperlink" Target="https://www.airbnb.fr/rooms/998988741882075034?source_impression_id=p3_1699619181_nCvANIy%2BeHjS0N7T" TargetMode="External"/><Relationship Id="rId824" Type="http://schemas.openxmlformats.org/officeDocument/2006/relationships/hyperlink" Target="https://www.leboncoin.fr/colocations/2418887174.htm?fbclid=IwAR3vsUx58xZLQc0zrstXorKMl8HkDwrC1rSN3-FLlb2L9_9vIwCX5g-1s-Y" TargetMode="External"/><Relationship Id="rId823" Type="http://schemas.openxmlformats.org/officeDocument/2006/relationships/hyperlink" Target="https://www.leboncoin.fr/locations_saisonnieres/2413652343.htm?fbclid=IwAR35lY3rWIeENZaxi6UWbfmSLa4imV2TRhASDb-l5G-zqTXMCEgPVz1qBYA" TargetMode="External"/><Relationship Id="rId819" Type="http://schemas.openxmlformats.org/officeDocument/2006/relationships/hyperlink" Target="https://www.airbnb.fr/rooms/767221379574604540?source_impression_id=p3_1698387842_owWgZ32QwYATuLeW" TargetMode="External"/><Relationship Id="rId818" Type="http://schemas.openxmlformats.org/officeDocument/2006/relationships/hyperlink" Target="https://www.facebook.com/profile.php?id=61550421462433" TargetMode="External"/><Relationship Id="rId817" Type="http://schemas.openxmlformats.org/officeDocument/2006/relationships/hyperlink" Target="https://www.instagram.com/coco_fanty/" TargetMode="External"/><Relationship Id="rId816" Type="http://schemas.openxmlformats.org/officeDocument/2006/relationships/hyperlink" Target="https://www.facebook.com/CocoFanty974" TargetMode="External"/><Relationship Id="rId811" Type="http://schemas.openxmlformats.org/officeDocument/2006/relationships/hyperlink" Target="https://www.facebook.com/couleursdusudsauvage" TargetMode="External"/><Relationship Id="rId810" Type="http://schemas.openxmlformats.org/officeDocument/2006/relationships/hyperlink" Target="https://www.tripadvisor.fr/Hotel_Review-g635742-d25733391-Reviews-Villa_Couleurs_Du_Sud_Sauvage-Saint_Joseph_Arrondissement_of_Saint_Pierre.html" TargetMode="External"/><Relationship Id="rId815" Type="http://schemas.openxmlformats.org/officeDocument/2006/relationships/hyperlink" Target="https://www.booking.com/hotel/re/villa-couleurs-du-sud-sauvage.fr.html" TargetMode="External"/><Relationship Id="rId814" Type="http://schemas.openxmlformats.org/officeDocument/2006/relationships/hyperlink" Target="https://www.tripadvisor.fr/Hotel_Review-g635742-d25733391-Reviews-Villa_Couleurs_Du_Sud_Sauvage-Saint_Joseph_Arrondissement_of_Saint_Pierre.html" TargetMode="External"/><Relationship Id="rId813" Type="http://schemas.openxmlformats.org/officeDocument/2006/relationships/hyperlink" Target="https://www.facebook.com/couleursdusudsauvage" TargetMode="External"/><Relationship Id="rId812" Type="http://schemas.openxmlformats.org/officeDocument/2006/relationships/hyperlink" Target="https://www.booking.com/hotel/re/villa-couleurs-du-sud-sauvage.fr.html" TargetMode="External"/><Relationship Id="rId849" Type="http://schemas.openxmlformats.org/officeDocument/2006/relationships/hyperlink" Target="https://www.facebook.com/profile.php?id=100093683975442" TargetMode="External"/><Relationship Id="rId844" Type="http://schemas.openxmlformats.org/officeDocument/2006/relationships/hyperlink" Target="https://www.facebook.com/profile.php?id=100072059516984" TargetMode="External"/><Relationship Id="rId843" Type="http://schemas.openxmlformats.org/officeDocument/2006/relationships/hyperlink" Target="https://www.airbnb.fr/rooms/19130598?c=.pi0.pk16779809938_133954657366&amp;gad_source=1&amp;gclsrc=ds&amp;source_impression_id=p3_1700723546_nDDMoxFlIrtVNT2o" TargetMode="External"/><Relationship Id="rId842" Type="http://schemas.openxmlformats.org/officeDocument/2006/relationships/hyperlink" Target="https://www.booking.com/hotel/re/ti-kaz-perchee.fr.html?aid=318615&amp;label=New_French_FR_RE_26394819985-5KMfyMgIYi7RF9Cd6ZNX9wS217246948707%3Apl%3Ata%3Ap1%3Ap2%3Aac%3Aap%3Aneg%3Afi%3Atidsa-194594581705%3Alp9075843%3Ali%3Adec%3Adm&amp;sid=c72aaf6c7b61a00d641006c63567e4ca&amp;dest_id=-1330710;dest_type=city;dist=0;group_adults=2;group_children=0;hapos=1;hpos=1;no_rooms=1;req_adults=2;req_children=0;room1=A%2CA;sb_price_type=total;sr_order=popularity;srepoch=1700723536;srpvid=800b32a516750043;type=total;ucfs=1&amp;" TargetMode="External"/><Relationship Id="rId841" Type="http://schemas.openxmlformats.org/officeDocument/2006/relationships/hyperlink" Target="https://www.facebook.com/p/Le-flamboyant-100078250551348/?paipv=0&amp;eav=AfbtXJ3qdj6QKGL2afHH4erWs4uf57g32GtMrPEQT8ei4mcQRO3ohez8U0icj-kjZ7Q&amp;_rdr" TargetMode="External"/><Relationship Id="rId848" Type="http://schemas.openxmlformats.org/officeDocument/2006/relationships/hyperlink" Target="https://www.abritel.fr/location-vacances/p2332145?chkin=2023-12-19&amp;chkout=2023-12-22&amp;d1=2023-12-19&amp;d2=2023-12-22&amp;startDate=2023-12-19&amp;endDate=2023-12-22&amp;x_pwa=1&amp;rfrr=HSR&amp;pwa_ts=1700498787276&amp;referrerUrl=aHR0cHM6Ly93d3cuYWJyaXRlbC5mci9Ib3RlbC1TZWFyY2g%3D&amp;useRewards=true&amp;adults=6&amp;regionId=6331571&amp;destination=Saint-Joseph%2C+Arrondissement+of+Saint-Pierre%2C+La+R%C3%A9union&amp;destType=MARKET&amp;latLong=-21.324617%2C55.646759&amp;privacyTrackingState=CAN_TRACK&amp;searchId=86c69dbd-2b69-40fe-80c6-933122a95aae&amp;sort=RECOMMENDED&amp;top_dp=1061&amp;top_cur=EUR&amp;userIntent=&amp;selectedRoomType=100469063&amp;selectedRatePlan=000336c6e7d0416c410ab81b2b7996b044ba&amp;expediaPropertyId=100469063" TargetMode="External"/><Relationship Id="rId847" Type="http://schemas.openxmlformats.org/officeDocument/2006/relationships/hyperlink" Target="https://www.facebook.com/pages/Boulangerie-P%C3%A2tisserie-Artisanale-LEntredeusienne/340210312680412" TargetMode="External"/><Relationship Id="rId846" Type="http://schemas.openxmlformats.org/officeDocument/2006/relationships/hyperlink" Target="https://www.leboncoin.fr/offre/locations_saisonnieres/2145389630" TargetMode="External"/><Relationship Id="rId845" Type="http://schemas.openxmlformats.org/officeDocument/2006/relationships/hyperlink" Target="https://www.abritel.fr/location-vacances/p1311056" TargetMode="External"/><Relationship Id="rId840" Type="http://schemas.openxmlformats.org/officeDocument/2006/relationships/hyperlink" Target="https://www.facebook.com/people/Villa-NickYv/100063692974665/?paipv=0&amp;eav=AfY0yH1Y1Kj-WqVNgbKkVKF5RhTcKnYL-vRMLP4YTum00NjJHVR8hMsMT-yeRbJYeFI&amp;_rdr" TargetMode="External"/><Relationship Id="rId839" Type="http://schemas.openxmlformats.org/officeDocument/2006/relationships/hyperlink" Target="https://www.instagram.com/explore/locations/122560691684093/escale-du-point-de-vue---dimitile/" TargetMode="External"/><Relationship Id="rId838" Type="http://schemas.openxmlformats.org/officeDocument/2006/relationships/hyperlink" Target="https://www.booking.com/hotel/re/villa-pitayas-saint-joseph.fr.html" TargetMode="External"/><Relationship Id="rId833" Type="http://schemas.openxmlformats.org/officeDocument/2006/relationships/hyperlink" Target="https://fr.airbnb.com/rooms/1001461351316113422?_set_bev_on_new_domain=1663222967_NDA0ZDMxMjE4MjUw&amp;source_impression_id=p3_1700196276_Nn7Jvv70UavEdkHU" TargetMode="External"/><Relationship Id="rId832" Type="http://schemas.openxmlformats.org/officeDocument/2006/relationships/hyperlink" Target="https://www.facebook.com/lotte.974" TargetMode="External"/><Relationship Id="rId831" Type="http://schemas.openxmlformats.org/officeDocument/2006/relationships/hyperlink" Target="https://www.instagram.com/lotte.974/" TargetMode="External"/><Relationship Id="rId830" Type="http://schemas.openxmlformats.org/officeDocument/2006/relationships/hyperlink" Target="https://www.facebook.com/tiloryo/" TargetMode="External"/><Relationship Id="rId837" Type="http://schemas.openxmlformats.org/officeDocument/2006/relationships/hyperlink" Target="https://www.airbnb.fr/rooms/34992264?check_in=2024-01-14&amp;check_out=2024-01-19&amp;guests=1&amp;adults=2&amp;viralityEntryPoint=1&amp;s=76&amp;unique_share_id=f0a89b68-9380-40d7-ad0b-48a427abb0bd&amp;source_impression_id=p3_1700464980_bUuhetVRfpXRtYQK" TargetMode="External"/><Relationship Id="rId836" Type="http://schemas.openxmlformats.org/officeDocument/2006/relationships/hyperlink" Target="https://www.facebook.com/profile.php?id=100021536886250" TargetMode="External"/><Relationship Id="rId835" Type="http://schemas.openxmlformats.org/officeDocument/2006/relationships/hyperlink" Target="https://www.abritel.fr/location-vacances/p1875961" TargetMode="External"/><Relationship Id="rId834" Type="http://schemas.openxmlformats.org/officeDocument/2006/relationships/hyperlink" Target="https://www.airbnb.fr/rooms/40968130?c=.pi0.pk16779809938_133954657366&amp;gad_source=1&amp;gclsrc=ds&amp;source_impression_id=p3_1700206459_2yX8QlZeVR5xMR8w" TargetMode="External"/><Relationship Id="rId899" Type="http://schemas.openxmlformats.org/officeDocument/2006/relationships/hyperlink" Target="https://www.booking.com/hotel/re/la-kazanou.fr.html?aid=311089&amp;label=la-kazanou-kzHkYjgANlx9HFwk3yG%2AYwS589864284690%3Apl%3Ata%3Ap1%3Ap2%3Aac%3Aap%3Aneg%3Afi%3Atikwd-405854837901%3Alp9075843%3Ali%3Adec%3Adm%3Appccp%3DUmFuZG9tSVYkc2RlIyh9Yf23yREhrOV9DIzdQnby_R8&amp;sid=1d91ab27864dc9721d26f0ceffa99ed5&amp;all_sr_blocks=607550502_275626096_0_41_0%2C607550501_275626096_0_41_0;checkin=2024-01-23;checkout=2024-01-24;dest_id=-1331399;dest_type=city;dist=0;group_adults=4;group_children=0;hapos=1;highlighted_blocks=607550502_275626096_0_41_0%2C607550501_275626096_0_41_0;hpos=1;matching_block_id=607550502_275626096_0_41_0;no_rooms=1;req_adults=4;req_children=0;room1=A%2CA%2CA%2CA;sb_price_type=total;sr_order=popularity;sr_pri_blocks=607550502_275626096_0_41_0__12717%2C607550501_275626096_0_41_0__12717;srepoch=1705989707;srpvid=62ab2a5b259c0143;type=total;ucfs=1&amp;" TargetMode="External"/><Relationship Id="rId898" Type="http://schemas.openxmlformats.org/officeDocument/2006/relationships/hyperlink" Target="https://www.instagram.com/lakazanou/" TargetMode="External"/><Relationship Id="rId897" Type="http://schemas.openxmlformats.org/officeDocument/2006/relationships/hyperlink" Target="https://www.tripadvisor.fr/Hotel_Review-g635742-d23201355-Reviews-La_Kazanou-Saint_Joseph_Arrondissement_of_Saint_Pierre.html" TargetMode="External"/><Relationship Id="rId896" Type="http://schemas.openxmlformats.org/officeDocument/2006/relationships/hyperlink" Target="https://www.facebook.com/people/TI-KAN/100063968943623/" TargetMode="External"/><Relationship Id="rId891" Type="http://schemas.openxmlformats.org/officeDocument/2006/relationships/hyperlink" Target="https://www.tripadvisor.fr/Restaurant_Review-g668283-d23761361-Reviews-Le_Plat_Garni-Entre_Deux_Arrondissement_of_Saint_Pierre.html" TargetMode="External"/><Relationship Id="rId890" Type="http://schemas.openxmlformats.org/officeDocument/2006/relationships/hyperlink" Target="https://www.leboncoin.fr/offre/locations_saisonnieres/2387732682" TargetMode="External"/><Relationship Id="rId895" Type="http://schemas.openxmlformats.org/officeDocument/2006/relationships/hyperlink" Target="https://www.facebook.com/profile.php?id=61555808034117" TargetMode="External"/><Relationship Id="rId894" Type="http://schemas.openxmlformats.org/officeDocument/2006/relationships/hyperlink" Target="https://www.facebook.com/profile.php?id=61554252646801" TargetMode="External"/><Relationship Id="rId893" Type="http://schemas.openxmlformats.org/officeDocument/2006/relationships/hyperlink" Target="https://www.facebook.com/profile.php?id=100075555322722" TargetMode="External"/><Relationship Id="rId892" Type="http://schemas.openxmlformats.org/officeDocument/2006/relationships/hyperlink" Target="https://www.facebook.com/profile.php?id=100075555322722"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88"/>
    <col customWidth="1" min="3" max="6" width="12.63"/>
  </cols>
  <sheetData>
    <row r="1" ht="15.75" customHeight="1">
      <c r="A1" s="1" t="s">
        <v>0</v>
      </c>
      <c r="B1" s="2" t="s">
        <v>1</v>
      </c>
      <c r="C1" s="2" t="s">
        <v>2</v>
      </c>
      <c r="D1" s="2" t="s">
        <v>3</v>
      </c>
      <c r="E1" s="2" t="s">
        <v>4</v>
      </c>
      <c r="F1" s="3" t="s">
        <v>5</v>
      </c>
      <c r="G1" s="3" t="s">
        <v>6</v>
      </c>
      <c r="H1" s="3" t="s">
        <v>7</v>
      </c>
      <c r="I1" s="3" t="s">
        <v>8</v>
      </c>
      <c r="J1" s="2" t="s">
        <v>9</v>
      </c>
      <c r="K1" s="2" t="s">
        <v>10</v>
      </c>
      <c r="L1" s="2" t="s">
        <v>11</v>
      </c>
      <c r="M1" s="2" t="s">
        <v>12</v>
      </c>
      <c r="N1" s="2" t="s">
        <v>13</v>
      </c>
      <c r="O1" s="2" t="s">
        <v>14</v>
      </c>
      <c r="P1" s="1" t="s">
        <v>15</v>
      </c>
      <c r="Q1" s="1" t="s">
        <v>16</v>
      </c>
      <c r="R1" s="1" t="s">
        <v>17</v>
      </c>
      <c r="S1" s="2"/>
      <c r="T1" s="2"/>
      <c r="U1" s="2"/>
      <c r="V1" s="2"/>
      <c r="W1" s="2"/>
      <c r="X1" s="2"/>
      <c r="Y1" s="2"/>
      <c r="Z1" s="2"/>
    </row>
    <row r="2" ht="15.75" customHeight="1">
      <c r="A2" s="4" t="s">
        <v>18</v>
      </c>
      <c r="B2" s="4" t="s">
        <v>19</v>
      </c>
      <c r="C2" s="5" t="b">
        <v>0</v>
      </c>
      <c r="D2" s="5" t="b">
        <v>0</v>
      </c>
      <c r="E2" s="6"/>
      <c r="F2" s="6"/>
      <c r="G2" s="5"/>
      <c r="H2" s="5" t="b">
        <v>0</v>
      </c>
      <c r="I2" s="5">
        <v>0.0</v>
      </c>
      <c r="J2" s="5" t="s">
        <v>20</v>
      </c>
      <c r="K2" s="5" t="s">
        <v>21</v>
      </c>
      <c r="N2" s="4" t="s">
        <v>22</v>
      </c>
      <c r="O2" s="7" t="s">
        <v>23</v>
      </c>
      <c r="P2" s="8" t="s">
        <v>24</v>
      </c>
      <c r="Q2" s="9"/>
      <c r="R2" s="9">
        <v>10000.0</v>
      </c>
    </row>
    <row r="3" ht="15.75" customHeight="1">
      <c r="A3" s="9" t="s">
        <v>25</v>
      </c>
      <c r="B3" s="9" t="s">
        <v>26</v>
      </c>
      <c r="C3" s="5" t="b">
        <v>0</v>
      </c>
      <c r="D3" s="5" t="b">
        <v>0</v>
      </c>
      <c r="E3" s="9"/>
      <c r="F3" s="9"/>
      <c r="G3" s="9"/>
      <c r="H3" s="5" t="b">
        <v>0</v>
      </c>
      <c r="I3" s="5">
        <v>0.0</v>
      </c>
      <c r="J3" s="9" t="s">
        <v>27</v>
      </c>
      <c r="K3" s="10" t="s">
        <v>28</v>
      </c>
      <c r="N3" s="9" t="s">
        <v>29</v>
      </c>
      <c r="P3" s="11" t="s">
        <v>30</v>
      </c>
      <c r="Q3" s="9"/>
      <c r="R3" s="9">
        <v>10000.0</v>
      </c>
    </row>
    <row r="4" ht="15.75" customHeight="1">
      <c r="A4" s="9" t="s">
        <v>31</v>
      </c>
      <c r="B4" s="9" t="s">
        <v>32</v>
      </c>
      <c r="C4" s="5" t="b">
        <v>0</v>
      </c>
      <c r="D4" s="5" t="b">
        <v>0</v>
      </c>
      <c r="E4" s="9" t="s">
        <v>33</v>
      </c>
      <c r="F4" s="9" t="s">
        <v>34</v>
      </c>
      <c r="G4" s="9"/>
      <c r="H4" s="5" t="b">
        <v>0</v>
      </c>
      <c r="I4" s="5">
        <v>0.0</v>
      </c>
      <c r="J4" s="5" t="s">
        <v>35</v>
      </c>
      <c r="K4" s="5" t="s">
        <v>36</v>
      </c>
      <c r="N4" s="9" t="s">
        <v>22</v>
      </c>
      <c r="P4" s="11" t="s">
        <v>37</v>
      </c>
      <c r="Q4" s="9"/>
    </row>
    <row r="5" ht="15.75" customHeight="1">
      <c r="A5" s="9" t="s">
        <v>38</v>
      </c>
      <c r="B5" s="9" t="s">
        <v>39</v>
      </c>
      <c r="C5" s="5" t="b">
        <v>0</v>
      </c>
      <c r="D5" s="5" t="b">
        <v>0</v>
      </c>
      <c r="E5" s="9" t="s">
        <v>40</v>
      </c>
      <c r="F5" s="9" t="s">
        <v>41</v>
      </c>
      <c r="G5" s="9"/>
      <c r="H5" s="5" t="b">
        <v>0</v>
      </c>
      <c r="I5" s="5">
        <v>0.0</v>
      </c>
      <c r="J5" s="9" t="s">
        <v>42</v>
      </c>
      <c r="K5" s="12" t="s">
        <v>43</v>
      </c>
      <c r="N5" s="9" t="s">
        <v>44</v>
      </c>
      <c r="P5" s="11" t="s">
        <v>45</v>
      </c>
      <c r="Q5" s="9"/>
      <c r="R5" s="9">
        <v>10000.0</v>
      </c>
    </row>
    <row r="6" ht="15.75" customHeight="1">
      <c r="A6" s="9" t="s">
        <v>46</v>
      </c>
      <c r="B6" s="9" t="s">
        <v>47</v>
      </c>
      <c r="C6" s="5" t="b">
        <v>0</v>
      </c>
      <c r="D6" s="5" t="b">
        <v>0</v>
      </c>
      <c r="E6" s="9"/>
      <c r="F6" s="9"/>
      <c r="G6" s="9"/>
      <c r="H6" s="5" t="b">
        <v>0</v>
      </c>
      <c r="I6" s="5">
        <v>0.0</v>
      </c>
      <c r="J6" s="13" t="s">
        <v>48</v>
      </c>
      <c r="K6" s="9" t="s">
        <v>49</v>
      </c>
      <c r="N6" s="9" t="s">
        <v>29</v>
      </c>
      <c r="P6" s="11" t="s">
        <v>50</v>
      </c>
      <c r="Q6" s="9"/>
      <c r="R6" s="9">
        <v>10000.0</v>
      </c>
    </row>
    <row r="7" ht="15.75" customHeight="1">
      <c r="A7" s="9" t="s">
        <v>51</v>
      </c>
      <c r="B7" s="9" t="s">
        <v>52</v>
      </c>
      <c r="C7" s="5" t="b">
        <v>0</v>
      </c>
      <c r="D7" s="5" t="b">
        <v>0</v>
      </c>
      <c r="E7" s="9"/>
      <c r="F7" s="9"/>
      <c r="G7" s="9"/>
      <c r="H7" s="9" t="b">
        <v>0</v>
      </c>
      <c r="I7" s="9">
        <v>0.0</v>
      </c>
      <c r="J7" s="9" t="s">
        <v>53</v>
      </c>
      <c r="K7" s="9" t="s">
        <v>54</v>
      </c>
      <c r="N7" s="9" t="s">
        <v>29</v>
      </c>
      <c r="P7" s="8" t="s">
        <v>55</v>
      </c>
      <c r="Q7" s="9"/>
      <c r="R7" s="9">
        <v>10000.0</v>
      </c>
    </row>
    <row r="8" ht="15.75" customHeight="1">
      <c r="A8" s="9" t="s">
        <v>56</v>
      </c>
      <c r="B8" s="9" t="s">
        <v>57</v>
      </c>
      <c r="C8" s="5" t="b">
        <v>0</v>
      </c>
      <c r="D8" s="5" t="b">
        <v>0</v>
      </c>
      <c r="E8" s="9" t="s">
        <v>40</v>
      </c>
      <c r="F8" s="9" t="s">
        <v>58</v>
      </c>
      <c r="G8" s="9" t="s">
        <v>59</v>
      </c>
      <c r="H8" s="9" t="b">
        <v>0</v>
      </c>
      <c r="I8" s="9">
        <v>0.0</v>
      </c>
      <c r="J8" s="9" t="s">
        <v>60</v>
      </c>
      <c r="K8" s="9" t="s">
        <v>61</v>
      </c>
      <c r="N8" s="9" t="s">
        <v>44</v>
      </c>
      <c r="P8" s="8" t="s">
        <v>62</v>
      </c>
      <c r="Q8" s="9"/>
      <c r="R8" s="9">
        <v>10000.0</v>
      </c>
    </row>
    <row r="9" ht="15.75" customHeight="1">
      <c r="A9" s="9" t="s">
        <v>63</v>
      </c>
      <c r="B9" s="9" t="s">
        <v>64</v>
      </c>
      <c r="C9" s="5" t="b">
        <v>0</v>
      </c>
      <c r="D9" s="5" t="b">
        <v>0</v>
      </c>
      <c r="E9" s="9" t="s">
        <v>65</v>
      </c>
      <c r="F9" s="9" t="s">
        <v>58</v>
      </c>
      <c r="G9" s="9"/>
      <c r="H9" s="9" t="b">
        <v>1</v>
      </c>
      <c r="I9" s="9">
        <v>20.0</v>
      </c>
      <c r="J9" s="9" t="s">
        <v>66</v>
      </c>
      <c r="K9" s="9" t="s">
        <v>67</v>
      </c>
      <c r="N9" s="9" t="s">
        <v>44</v>
      </c>
      <c r="P9" s="8" t="s">
        <v>68</v>
      </c>
      <c r="Q9" s="9"/>
    </row>
    <row r="10" ht="15.75" customHeight="1">
      <c r="A10" s="9" t="s">
        <v>69</v>
      </c>
      <c r="B10" s="9" t="s">
        <v>70</v>
      </c>
      <c r="C10" s="5" t="b">
        <v>0</v>
      </c>
      <c r="D10" s="5" t="b">
        <v>1</v>
      </c>
      <c r="E10" s="9" t="s">
        <v>71</v>
      </c>
      <c r="F10" s="9" t="s">
        <v>58</v>
      </c>
      <c r="G10" s="9"/>
      <c r="H10" s="9" t="b">
        <v>0</v>
      </c>
      <c r="I10" s="9">
        <v>0.0</v>
      </c>
      <c r="J10" s="9" t="s">
        <v>72</v>
      </c>
      <c r="K10" s="9" t="s">
        <v>73</v>
      </c>
      <c r="N10" s="9" t="s">
        <v>44</v>
      </c>
      <c r="P10" s="8" t="s">
        <v>74</v>
      </c>
      <c r="Q10" s="9"/>
    </row>
    <row r="11" ht="15.75" customHeight="1">
      <c r="A11" s="9" t="s">
        <v>75</v>
      </c>
      <c r="B11" s="9" t="s">
        <v>76</v>
      </c>
      <c r="C11" s="5" t="b">
        <v>0</v>
      </c>
      <c r="D11" s="5" t="b">
        <v>0</v>
      </c>
      <c r="E11" s="9"/>
      <c r="F11" s="9"/>
      <c r="G11" s="9"/>
      <c r="H11" s="9" t="b">
        <v>0</v>
      </c>
      <c r="I11" s="9">
        <v>0.0</v>
      </c>
      <c r="J11" s="9" t="s">
        <v>77</v>
      </c>
      <c r="K11" s="9" t="s">
        <v>73</v>
      </c>
      <c r="N11" s="9" t="s">
        <v>44</v>
      </c>
      <c r="P11" s="8" t="s">
        <v>78</v>
      </c>
      <c r="Q11" s="9"/>
      <c r="R11" s="9">
        <v>10000.0</v>
      </c>
    </row>
    <row r="12" ht="15.75" customHeight="1">
      <c r="A12" s="9" t="s">
        <v>79</v>
      </c>
      <c r="B12" s="9" t="s">
        <v>80</v>
      </c>
      <c r="C12" s="5" t="b">
        <v>0</v>
      </c>
      <c r="D12" s="5" t="b">
        <v>0</v>
      </c>
      <c r="E12" s="9"/>
      <c r="F12" s="9"/>
      <c r="G12" s="9"/>
      <c r="H12" s="9" t="b">
        <v>0</v>
      </c>
      <c r="I12" s="9">
        <v>0.0</v>
      </c>
      <c r="J12" s="9" t="s">
        <v>81</v>
      </c>
      <c r="K12" s="9" t="s">
        <v>21</v>
      </c>
      <c r="N12" s="9" t="s">
        <v>44</v>
      </c>
      <c r="P12" s="8" t="s">
        <v>82</v>
      </c>
      <c r="Q12" s="9"/>
      <c r="R12" s="9">
        <v>10000.0</v>
      </c>
    </row>
    <row r="13" ht="15.75" customHeight="1">
      <c r="A13" s="9" t="s">
        <v>83</v>
      </c>
      <c r="B13" s="9" t="s">
        <v>84</v>
      </c>
      <c r="C13" s="5" t="b">
        <v>0</v>
      </c>
      <c r="D13" s="5" t="b">
        <v>0</v>
      </c>
      <c r="E13" s="9" t="s">
        <v>71</v>
      </c>
      <c r="F13" s="9"/>
      <c r="G13" s="9"/>
      <c r="H13" s="9" t="b">
        <v>0</v>
      </c>
      <c r="I13" s="9">
        <v>0.0</v>
      </c>
      <c r="J13" s="9" t="s">
        <v>85</v>
      </c>
      <c r="K13" s="9" t="s">
        <v>86</v>
      </c>
      <c r="N13" s="9" t="s">
        <v>29</v>
      </c>
      <c r="P13" s="8" t="s">
        <v>87</v>
      </c>
    </row>
    <row r="14" ht="15.75" customHeight="1">
      <c r="A14" s="9" t="s">
        <v>88</v>
      </c>
      <c r="B14" s="9" t="s">
        <v>89</v>
      </c>
      <c r="C14" s="9" t="b">
        <v>0</v>
      </c>
      <c r="D14" s="9" t="b">
        <v>0</v>
      </c>
      <c r="E14" s="9" t="s">
        <v>71</v>
      </c>
      <c r="F14" s="9" t="s">
        <v>41</v>
      </c>
      <c r="G14" s="9" t="s">
        <v>90</v>
      </c>
      <c r="H14" s="9" t="b">
        <v>0</v>
      </c>
      <c r="I14" s="9">
        <v>0.0</v>
      </c>
      <c r="J14" s="9" t="s">
        <v>91</v>
      </c>
      <c r="K14" s="9" t="s">
        <v>92</v>
      </c>
      <c r="N14" s="9" t="s">
        <v>93</v>
      </c>
      <c r="P14" s="8" t="s">
        <v>94</v>
      </c>
      <c r="Q14" s="9"/>
      <c r="R14" s="9">
        <v>10000.0</v>
      </c>
    </row>
    <row r="15" ht="15.75" customHeight="1">
      <c r="A15" s="9" t="s">
        <v>95</v>
      </c>
      <c r="B15" s="9" t="s">
        <v>96</v>
      </c>
      <c r="C15" s="9" t="b">
        <v>0</v>
      </c>
      <c r="D15" s="9" t="b">
        <v>0</v>
      </c>
      <c r="E15" s="9"/>
      <c r="F15" s="9"/>
      <c r="G15" s="9"/>
      <c r="H15" s="9" t="b">
        <v>0</v>
      </c>
      <c r="I15" s="9">
        <v>0.0</v>
      </c>
      <c r="J15" s="13" t="s">
        <v>97</v>
      </c>
      <c r="K15" s="9" t="s">
        <v>98</v>
      </c>
      <c r="N15" s="9" t="s">
        <v>93</v>
      </c>
      <c r="P15" s="8" t="s">
        <v>99</v>
      </c>
      <c r="Q15" s="9"/>
    </row>
    <row r="16" ht="15.75" customHeight="1">
      <c r="A16" s="9" t="s">
        <v>100</v>
      </c>
      <c r="B16" s="9" t="s">
        <v>101</v>
      </c>
      <c r="C16" s="9" t="b">
        <v>0</v>
      </c>
      <c r="D16" s="9" t="b">
        <v>0</v>
      </c>
      <c r="E16" s="9" t="s">
        <v>65</v>
      </c>
      <c r="F16" s="9" t="s">
        <v>58</v>
      </c>
      <c r="G16" s="9"/>
      <c r="H16" s="9" t="b">
        <v>1</v>
      </c>
      <c r="I16" s="9">
        <v>22.0</v>
      </c>
      <c r="J16" s="9" t="s">
        <v>102</v>
      </c>
      <c r="K16" s="9" t="s">
        <v>103</v>
      </c>
      <c r="N16" s="9" t="s">
        <v>93</v>
      </c>
      <c r="P16" s="8" t="s">
        <v>104</v>
      </c>
      <c r="Q16" s="9"/>
      <c r="R16" s="9">
        <v>10000.0</v>
      </c>
    </row>
    <row r="17" ht="15.75" customHeight="1">
      <c r="A17" s="9" t="s">
        <v>105</v>
      </c>
      <c r="B17" s="9" t="s">
        <v>106</v>
      </c>
      <c r="E17" s="9" t="s">
        <v>33</v>
      </c>
      <c r="F17" s="9"/>
      <c r="G17" s="9"/>
      <c r="H17" s="9" t="b">
        <v>0</v>
      </c>
      <c r="I17" s="9">
        <v>0.0</v>
      </c>
      <c r="J17" s="9" t="s">
        <v>107</v>
      </c>
      <c r="K17" s="9" t="s">
        <v>108</v>
      </c>
      <c r="N17" s="9" t="s">
        <v>93</v>
      </c>
      <c r="P17" s="8" t="s">
        <v>109</v>
      </c>
    </row>
    <row r="18" ht="15.75" customHeight="1">
      <c r="A18" s="9" t="s">
        <v>110</v>
      </c>
      <c r="B18" s="9" t="s">
        <v>111</v>
      </c>
      <c r="E18" s="9" t="s">
        <v>65</v>
      </c>
      <c r="F18" s="9" t="s">
        <v>58</v>
      </c>
      <c r="G18" s="9"/>
      <c r="H18" s="9" t="b">
        <v>1</v>
      </c>
      <c r="I18" s="9">
        <v>15.0</v>
      </c>
      <c r="J18" s="9" t="s">
        <v>112</v>
      </c>
      <c r="K18" s="9" t="s">
        <v>113</v>
      </c>
      <c r="N18" s="9" t="s">
        <v>93</v>
      </c>
      <c r="P18" s="8" t="s">
        <v>114</v>
      </c>
      <c r="Q18" s="9"/>
    </row>
    <row r="19" ht="15.75" customHeight="1">
      <c r="A19" s="9" t="s">
        <v>115</v>
      </c>
      <c r="B19" s="9" t="s">
        <v>116</v>
      </c>
      <c r="C19" s="9" t="b">
        <v>0</v>
      </c>
      <c r="D19" s="9" t="b">
        <v>0</v>
      </c>
      <c r="E19" s="9" t="s">
        <v>71</v>
      </c>
      <c r="F19" s="9" t="s">
        <v>117</v>
      </c>
      <c r="G19" s="9"/>
      <c r="H19" s="9" t="b">
        <v>0</v>
      </c>
      <c r="I19" s="9">
        <v>0.0</v>
      </c>
      <c r="J19" s="9" t="s">
        <v>118</v>
      </c>
      <c r="K19" s="9" t="s">
        <v>119</v>
      </c>
      <c r="N19" s="9" t="s">
        <v>93</v>
      </c>
      <c r="P19" s="8" t="s">
        <v>120</v>
      </c>
      <c r="Q19" s="9"/>
      <c r="R19" s="9">
        <v>10000.0</v>
      </c>
    </row>
    <row r="20" ht="15.75" customHeight="1">
      <c r="A20" s="9" t="s">
        <v>121</v>
      </c>
      <c r="B20" s="9" t="s">
        <v>122</v>
      </c>
      <c r="C20" s="9" t="b">
        <v>0</v>
      </c>
      <c r="D20" s="9" t="b">
        <v>0</v>
      </c>
      <c r="E20" s="9" t="s">
        <v>123</v>
      </c>
      <c r="F20" s="9"/>
      <c r="G20" s="9"/>
      <c r="H20" s="9" t="b">
        <v>0</v>
      </c>
      <c r="I20" s="9">
        <v>0.0</v>
      </c>
      <c r="J20" s="9" t="s">
        <v>124</v>
      </c>
      <c r="K20" s="9" t="s">
        <v>125</v>
      </c>
      <c r="N20" s="9" t="s">
        <v>93</v>
      </c>
      <c r="P20" s="8" t="s">
        <v>126</v>
      </c>
      <c r="Q20" s="9"/>
      <c r="R20" s="9">
        <v>10000.0</v>
      </c>
    </row>
    <row r="21" ht="15.75" customHeight="1">
      <c r="A21" s="9" t="s">
        <v>127</v>
      </c>
      <c r="B21" s="9" t="s">
        <v>128</v>
      </c>
      <c r="C21" s="9" t="b">
        <v>0</v>
      </c>
      <c r="D21" s="9" t="b">
        <v>0</v>
      </c>
      <c r="E21" s="9"/>
      <c r="F21" s="9"/>
      <c r="G21" s="9"/>
      <c r="H21" s="9" t="b">
        <v>0</v>
      </c>
      <c r="I21" s="9">
        <v>0.0</v>
      </c>
      <c r="N21" s="9" t="s">
        <v>93</v>
      </c>
      <c r="P21" s="8" t="s">
        <v>129</v>
      </c>
    </row>
    <row r="22" ht="15.75" customHeight="1">
      <c r="A22" s="9" t="s">
        <v>130</v>
      </c>
      <c r="B22" s="9" t="s">
        <v>131</v>
      </c>
      <c r="C22" s="9" t="b">
        <v>0</v>
      </c>
      <c r="D22" s="9" t="b">
        <v>0</v>
      </c>
      <c r="E22" s="9"/>
      <c r="F22" s="9"/>
      <c r="G22" s="9"/>
      <c r="H22" s="9" t="b">
        <v>0</v>
      </c>
      <c r="I22" s="9">
        <v>0.0</v>
      </c>
      <c r="J22" s="9" t="s">
        <v>132</v>
      </c>
      <c r="K22" s="9" t="s">
        <v>133</v>
      </c>
      <c r="N22" s="9" t="s">
        <v>29</v>
      </c>
      <c r="P22" s="8" t="s">
        <v>134</v>
      </c>
      <c r="Q22" s="9"/>
      <c r="R22" s="9">
        <v>10000.0</v>
      </c>
    </row>
    <row r="23" ht="15.75" customHeight="1">
      <c r="A23" s="9" t="s">
        <v>135</v>
      </c>
      <c r="B23" s="14" t="s">
        <v>136</v>
      </c>
      <c r="C23" s="9" t="b">
        <v>0</v>
      </c>
      <c r="D23" s="9" t="b">
        <v>0</v>
      </c>
      <c r="E23" s="9"/>
      <c r="F23" s="9" t="s">
        <v>58</v>
      </c>
      <c r="G23" s="9" t="s">
        <v>137</v>
      </c>
      <c r="H23" s="9" t="b">
        <v>0</v>
      </c>
      <c r="I23" s="9">
        <v>0.0</v>
      </c>
      <c r="J23" s="9" t="s">
        <v>138</v>
      </c>
      <c r="K23" s="9" t="s">
        <v>139</v>
      </c>
      <c r="N23" s="9" t="s">
        <v>44</v>
      </c>
      <c r="P23" s="11" t="s">
        <v>140</v>
      </c>
      <c r="Q23" s="9"/>
      <c r="R23" s="9">
        <v>10000.0</v>
      </c>
    </row>
    <row r="24" ht="15.75" customHeight="1">
      <c r="A24" s="9" t="s">
        <v>141</v>
      </c>
      <c r="B24" s="9" t="s">
        <v>142</v>
      </c>
      <c r="C24" s="9" t="b">
        <v>0</v>
      </c>
      <c r="D24" s="9" t="b">
        <v>0</v>
      </c>
      <c r="E24" s="9"/>
      <c r="F24" s="9"/>
      <c r="G24" s="9"/>
      <c r="H24" s="9" t="b">
        <v>0</v>
      </c>
      <c r="I24" s="9">
        <v>0.0</v>
      </c>
      <c r="J24" s="9" t="s">
        <v>143</v>
      </c>
      <c r="K24" s="9" t="s">
        <v>144</v>
      </c>
      <c r="N24" s="9" t="s">
        <v>93</v>
      </c>
      <c r="P24" s="15" t="s">
        <v>145</v>
      </c>
      <c r="Q24" s="9"/>
      <c r="R24" s="9">
        <v>10000.0</v>
      </c>
    </row>
    <row r="25" ht="15.75" customHeight="1">
      <c r="A25" s="9" t="s">
        <v>146</v>
      </c>
      <c r="B25" s="9" t="s">
        <v>147</v>
      </c>
      <c r="C25" s="9" t="b">
        <v>0</v>
      </c>
      <c r="D25" s="9" t="b">
        <v>0</v>
      </c>
      <c r="E25" s="9" t="s">
        <v>40</v>
      </c>
      <c r="F25" s="9" t="s">
        <v>58</v>
      </c>
      <c r="G25" s="9" t="s">
        <v>148</v>
      </c>
      <c r="H25" s="9" t="b">
        <v>0</v>
      </c>
      <c r="I25" s="9">
        <v>0.0</v>
      </c>
      <c r="J25" s="9" t="s">
        <v>149</v>
      </c>
      <c r="K25" s="9" t="s">
        <v>150</v>
      </c>
      <c r="N25" s="9" t="s">
        <v>93</v>
      </c>
      <c r="P25" s="8" t="s">
        <v>151</v>
      </c>
      <c r="Q25" s="9"/>
      <c r="R25" s="9">
        <v>10000.0</v>
      </c>
    </row>
    <row r="26" ht="15.75" customHeight="1">
      <c r="A26" s="9" t="s">
        <v>152</v>
      </c>
      <c r="B26" s="9" t="s">
        <v>153</v>
      </c>
      <c r="C26" s="9" t="b">
        <v>0</v>
      </c>
      <c r="D26" s="9" t="b">
        <v>0</v>
      </c>
      <c r="E26" s="9"/>
      <c r="F26" s="9"/>
      <c r="G26" s="9"/>
      <c r="H26" s="9" t="b">
        <v>0</v>
      </c>
      <c r="I26" s="9">
        <v>0.0</v>
      </c>
      <c r="J26" s="9" t="s">
        <v>154</v>
      </c>
      <c r="K26" s="9" t="s">
        <v>155</v>
      </c>
      <c r="N26" s="9" t="s">
        <v>93</v>
      </c>
      <c r="P26" s="8" t="s">
        <v>156</v>
      </c>
      <c r="R26" s="9">
        <v>10000.0</v>
      </c>
    </row>
    <row r="27" ht="15.75" customHeight="1">
      <c r="A27" s="9" t="s">
        <v>157</v>
      </c>
      <c r="B27" s="9" t="s">
        <v>158</v>
      </c>
      <c r="C27" s="9" t="b">
        <v>0</v>
      </c>
      <c r="D27" s="9" t="b">
        <v>0</v>
      </c>
      <c r="E27" s="9" t="s">
        <v>123</v>
      </c>
      <c r="F27" s="9" t="s">
        <v>58</v>
      </c>
      <c r="G27" s="9" t="s">
        <v>59</v>
      </c>
      <c r="H27" s="9" t="b">
        <v>1</v>
      </c>
      <c r="I27" s="9">
        <v>2.0</v>
      </c>
      <c r="J27" s="16" t="s">
        <v>149</v>
      </c>
      <c r="K27" s="9" t="s">
        <v>159</v>
      </c>
      <c r="N27" s="9" t="s">
        <v>93</v>
      </c>
      <c r="P27" s="8" t="s">
        <v>160</v>
      </c>
      <c r="Q27" s="9" t="s">
        <v>161</v>
      </c>
      <c r="R27" s="9">
        <v>2.0</v>
      </c>
    </row>
    <row r="28" ht="15.75" customHeight="1">
      <c r="A28" s="9" t="s">
        <v>162</v>
      </c>
      <c r="B28" s="17" t="s">
        <v>163</v>
      </c>
      <c r="C28" s="9" t="b">
        <v>0</v>
      </c>
      <c r="D28" s="9" t="b">
        <v>0</v>
      </c>
      <c r="E28" s="9"/>
      <c r="F28" s="9"/>
      <c r="G28" s="9"/>
      <c r="H28" s="9" t="b">
        <v>0</v>
      </c>
      <c r="I28" s="9">
        <v>0.0</v>
      </c>
      <c r="J28" s="9" t="s">
        <v>164</v>
      </c>
      <c r="K28" s="9" t="s">
        <v>165</v>
      </c>
      <c r="N28" s="9" t="s">
        <v>93</v>
      </c>
      <c r="P28" s="8" t="s">
        <v>166</v>
      </c>
      <c r="Q28" s="9"/>
      <c r="R28" s="9">
        <v>10000.0</v>
      </c>
    </row>
    <row r="29" ht="15.75" customHeight="1">
      <c r="A29" s="9" t="s">
        <v>167</v>
      </c>
      <c r="B29" s="9" t="s">
        <v>168</v>
      </c>
      <c r="C29" s="9" t="b">
        <v>0</v>
      </c>
      <c r="D29" s="9" t="b">
        <v>0</v>
      </c>
      <c r="E29" s="9" t="s">
        <v>71</v>
      </c>
      <c r="F29" s="9" t="s">
        <v>58</v>
      </c>
      <c r="G29" s="9"/>
      <c r="H29" s="9" t="b">
        <v>0</v>
      </c>
      <c r="I29" s="9">
        <v>0.0</v>
      </c>
      <c r="J29" s="9" t="s">
        <v>169</v>
      </c>
      <c r="K29" s="9" t="s">
        <v>170</v>
      </c>
      <c r="N29" s="9" t="s">
        <v>93</v>
      </c>
      <c r="P29" s="9" t="s">
        <v>171</v>
      </c>
      <c r="Q29" s="9" t="s">
        <v>172</v>
      </c>
      <c r="R29" s="9">
        <v>10000.0</v>
      </c>
    </row>
    <row r="30" ht="15.75" customHeight="1">
      <c r="A30" s="9" t="s">
        <v>173</v>
      </c>
      <c r="B30" s="9" t="s">
        <v>174</v>
      </c>
      <c r="H30" s="9" t="b">
        <v>0</v>
      </c>
      <c r="I30" s="9">
        <v>0.0</v>
      </c>
      <c r="N30" s="9" t="s">
        <v>93</v>
      </c>
      <c r="P30" s="8" t="s">
        <v>129</v>
      </c>
      <c r="R30" s="9">
        <v>10000.0</v>
      </c>
    </row>
    <row r="31" ht="15.75" customHeight="1">
      <c r="A31" s="9" t="s">
        <v>175</v>
      </c>
      <c r="B31" s="9" t="s">
        <v>176</v>
      </c>
      <c r="C31" s="9" t="b">
        <v>0</v>
      </c>
      <c r="D31" s="9" t="b">
        <v>0</v>
      </c>
      <c r="E31" s="9"/>
      <c r="F31" s="9" t="s">
        <v>34</v>
      </c>
      <c r="H31" s="9" t="b">
        <v>0</v>
      </c>
      <c r="I31" s="9">
        <v>0.0</v>
      </c>
      <c r="J31" s="9" t="s">
        <v>177</v>
      </c>
      <c r="K31" s="9" t="s">
        <v>178</v>
      </c>
      <c r="N31" s="9" t="s">
        <v>93</v>
      </c>
      <c r="P31" s="8" t="s">
        <v>129</v>
      </c>
      <c r="R31" s="9">
        <v>10000.0</v>
      </c>
    </row>
    <row r="32" ht="15.75" customHeight="1">
      <c r="A32" s="9" t="s">
        <v>179</v>
      </c>
      <c r="B32" s="9" t="s">
        <v>180</v>
      </c>
      <c r="C32" s="9" t="b">
        <v>0</v>
      </c>
      <c r="D32" s="9" t="b">
        <v>0</v>
      </c>
      <c r="E32" s="9"/>
      <c r="F32" s="9"/>
      <c r="G32" s="9"/>
      <c r="H32" s="9" t="b">
        <v>0</v>
      </c>
      <c r="I32" s="9">
        <v>0.0</v>
      </c>
      <c r="J32" s="9" t="s">
        <v>181</v>
      </c>
      <c r="K32" s="9" t="s">
        <v>182</v>
      </c>
      <c r="N32" s="9" t="s">
        <v>93</v>
      </c>
      <c r="P32" s="8" t="s">
        <v>183</v>
      </c>
      <c r="R32" s="9">
        <v>10000.0</v>
      </c>
    </row>
    <row r="33" ht="15.75" customHeight="1">
      <c r="A33" s="9" t="s">
        <v>184</v>
      </c>
      <c r="B33" s="9" t="s">
        <v>185</v>
      </c>
      <c r="C33" s="9" t="b">
        <v>0</v>
      </c>
      <c r="D33" s="9" t="b">
        <v>0</v>
      </c>
      <c r="E33" s="9" t="s">
        <v>123</v>
      </c>
      <c r="F33" s="9" t="s">
        <v>58</v>
      </c>
      <c r="G33" s="9" t="s">
        <v>59</v>
      </c>
      <c r="H33" s="9" t="b">
        <v>1</v>
      </c>
      <c r="I33" s="9">
        <v>1.0</v>
      </c>
      <c r="N33" s="9" t="s">
        <v>93</v>
      </c>
      <c r="P33" s="8" t="s">
        <v>129</v>
      </c>
      <c r="Q33" s="9" t="s">
        <v>186</v>
      </c>
      <c r="R33" s="9">
        <v>6.0</v>
      </c>
    </row>
    <row r="34" ht="15.75" customHeight="1">
      <c r="A34" s="9" t="s">
        <v>187</v>
      </c>
      <c r="B34" s="9" t="s">
        <v>188</v>
      </c>
      <c r="C34" s="9" t="b">
        <v>0</v>
      </c>
      <c r="D34" s="9" t="b">
        <v>0</v>
      </c>
      <c r="E34" s="9" t="s">
        <v>65</v>
      </c>
      <c r="F34" s="9" t="s">
        <v>58</v>
      </c>
      <c r="G34" s="9"/>
      <c r="H34" s="9" t="b">
        <v>1</v>
      </c>
      <c r="I34" s="9">
        <v>26.0</v>
      </c>
      <c r="J34" s="9" t="s">
        <v>189</v>
      </c>
      <c r="K34" s="9" t="s">
        <v>190</v>
      </c>
      <c r="N34" s="9" t="s">
        <v>93</v>
      </c>
      <c r="P34" s="8" t="s">
        <v>191</v>
      </c>
      <c r="Q34" s="9"/>
      <c r="R34" s="9">
        <v>10000.0</v>
      </c>
    </row>
    <row r="35" ht="15.75" customHeight="1">
      <c r="A35" s="9" t="s">
        <v>192</v>
      </c>
      <c r="B35" s="9" t="s">
        <v>193</v>
      </c>
      <c r="C35" s="9" t="b">
        <v>0</v>
      </c>
      <c r="D35" s="9" t="b">
        <v>0</v>
      </c>
      <c r="E35" s="9"/>
      <c r="F35" s="9"/>
      <c r="G35" s="9"/>
      <c r="H35" s="9" t="b">
        <v>0</v>
      </c>
      <c r="I35" s="9">
        <v>0.0</v>
      </c>
      <c r="N35" s="9" t="s">
        <v>93</v>
      </c>
      <c r="P35" s="8" t="s">
        <v>129</v>
      </c>
      <c r="Q35" s="9"/>
      <c r="R35" s="9">
        <v>10000.0</v>
      </c>
    </row>
    <row r="36" ht="15.75" customHeight="1">
      <c r="A36" s="9" t="s">
        <v>194</v>
      </c>
      <c r="B36" s="9" t="s">
        <v>57</v>
      </c>
      <c r="H36" s="9" t="b">
        <v>0</v>
      </c>
      <c r="I36" s="9">
        <v>0.0</v>
      </c>
      <c r="J36" s="9" t="s">
        <v>60</v>
      </c>
      <c r="K36" s="9" t="s">
        <v>61</v>
      </c>
      <c r="N36" s="9" t="s">
        <v>93</v>
      </c>
      <c r="P36" s="8" t="s">
        <v>129</v>
      </c>
      <c r="R36" s="9">
        <v>10000.0</v>
      </c>
    </row>
    <row r="37" ht="15.75" customHeight="1">
      <c r="A37" s="9" t="s">
        <v>195</v>
      </c>
      <c r="B37" s="9" t="s">
        <v>196</v>
      </c>
      <c r="E37" s="9" t="s">
        <v>71</v>
      </c>
      <c r="F37" s="9" t="s">
        <v>117</v>
      </c>
      <c r="G37" s="9" t="s">
        <v>197</v>
      </c>
      <c r="H37" s="9" t="b">
        <v>0</v>
      </c>
      <c r="I37" s="9">
        <v>0.0</v>
      </c>
      <c r="J37" s="9" t="s">
        <v>198</v>
      </c>
      <c r="K37" s="9" t="s">
        <v>199</v>
      </c>
      <c r="N37" s="9" t="s">
        <v>93</v>
      </c>
      <c r="P37" s="8" t="s">
        <v>129</v>
      </c>
      <c r="R37" s="9">
        <v>10000.0</v>
      </c>
    </row>
    <row r="38" ht="15.75" customHeight="1">
      <c r="A38" s="9" t="s">
        <v>200</v>
      </c>
      <c r="B38" s="9" t="s">
        <v>201</v>
      </c>
      <c r="C38" s="9" t="b">
        <v>0</v>
      </c>
      <c r="D38" s="9" t="b">
        <v>0</v>
      </c>
      <c r="E38" s="9" t="s">
        <v>123</v>
      </c>
      <c r="F38" s="9" t="s">
        <v>58</v>
      </c>
      <c r="G38" s="9" t="s">
        <v>202</v>
      </c>
      <c r="H38" s="9" t="b">
        <v>0</v>
      </c>
      <c r="I38" s="9">
        <v>0.0</v>
      </c>
      <c r="J38" s="9" t="s">
        <v>203</v>
      </c>
      <c r="K38" s="9" t="s">
        <v>204</v>
      </c>
      <c r="N38" s="9" t="s">
        <v>93</v>
      </c>
      <c r="P38" s="8" t="s">
        <v>205</v>
      </c>
      <c r="Q38" s="9" t="s">
        <v>206</v>
      </c>
      <c r="R38" s="9">
        <v>10000.0</v>
      </c>
    </row>
    <row r="39" ht="15.75" customHeight="1">
      <c r="A39" s="9" t="s">
        <v>207</v>
      </c>
      <c r="B39" s="9" t="s">
        <v>208</v>
      </c>
      <c r="C39" s="9" t="b">
        <v>0</v>
      </c>
      <c r="D39" s="9" t="b">
        <v>0</v>
      </c>
      <c r="E39" s="9" t="s">
        <v>209</v>
      </c>
      <c r="F39" s="9" t="s">
        <v>58</v>
      </c>
      <c r="G39" s="9" t="s">
        <v>59</v>
      </c>
      <c r="H39" s="9" t="b">
        <v>0</v>
      </c>
      <c r="I39" s="9">
        <v>0.0</v>
      </c>
      <c r="N39" s="9" t="s">
        <v>93</v>
      </c>
      <c r="P39" s="8" t="s">
        <v>129</v>
      </c>
      <c r="Q39" s="9"/>
      <c r="R39" s="9">
        <v>10000.0</v>
      </c>
    </row>
    <row r="40" ht="15.75" customHeight="1">
      <c r="A40" s="9" t="s">
        <v>210</v>
      </c>
      <c r="B40" s="9" t="s">
        <v>211</v>
      </c>
      <c r="C40" s="9" t="b">
        <v>0</v>
      </c>
      <c r="D40" s="9" t="b">
        <v>0</v>
      </c>
      <c r="E40" s="9"/>
      <c r="F40" s="9"/>
      <c r="G40" s="9"/>
      <c r="H40" s="9" t="b">
        <v>0</v>
      </c>
      <c r="I40" s="9">
        <v>0.0</v>
      </c>
      <c r="N40" s="9" t="s">
        <v>29</v>
      </c>
      <c r="P40" s="8" t="s">
        <v>129</v>
      </c>
      <c r="R40" s="9">
        <v>10000.0</v>
      </c>
    </row>
    <row r="41" ht="15.75" customHeight="1">
      <c r="A41" s="9" t="s">
        <v>212</v>
      </c>
      <c r="B41" s="9" t="s">
        <v>213</v>
      </c>
      <c r="C41" s="9" t="b">
        <v>0</v>
      </c>
      <c r="D41" s="9" t="b">
        <v>0</v>
      </c>
      <c r="E41" s="9" t="s">
        <v>71</v>
      </c>
      <c r="F41" s="9" t="s">
        <v>58</v>
      </c>
      <c r="H41" s="9" t="b">
        <v>0</v>
      </c>
      <c r="I41" s="9">
        <v>0.0</v>
      </c>
      <c r="J41" s="9" t="s">
        <v>214</v>
      </c>
      <c r="K41" s="9" t="s">
        <v>215</v>
      </c>
      <c r="N41" s="9" t="s">
        <v>93</v>
      </c>
      <c r="P41" s="8" t="s">
        <v>129</v>
      </c>
      <c r="Q41" s="9" t="s">
        <v>216</v>
      </c>
      <c r="R41" s="9">
        <v>10000.0</v>
      </c>
    </row>
    <row r="42" ht="15.75" customHeight="1">
      <c r="A42" s="9" t="s">
        <v>217</v>
      </c>
      <c r="B42" s="9" t="s">
        <v>218</v>
      </c>
      <c r="C42" s="9" t="b">
        <v>0</v>
      </c>
      <c r="D42" s="9" t="b">
        <v>0</v>
      </c>
      <c r="E42" s="9"/>
      <c r="F42" s="9"/>
      <c r="G42" s="9"/>
      <c r="H42" s="9" t="b">
        <v>0</v>
      </c>
      <c r="I42" s="9">
        <v>0.0</v>
      </c>
      <c r="J42" s="9" t="s">
        <v>219</v>
      </c>
      <c r="K42" s="9" t="s">
        <v>220</v>
      </c>
      <c r="N42" s="9" t="s">
        <v>29</v>
      </c>
      <c r="P42" s="8" t="s">
        <v>221</v>
      </c>
      <c r="Q42" s="9"/>
      <c r="R42" s="9">
        <v>10000.0</v>
      </c>
    </row>
    <row r="43" ht="15.75" customHeight="1">
      <c r="A43" s="9" t="s">
        <v>222</v>
      </c>
      <c r="B43" s="9" t="s">
        <v>223</v>
      </c>
      <c r="E43" s="9" t="s">
        <v>33</v>
      </c>
      <c r="F43" s="9" t="s">
        <v>58</v>
      </c>
      <c r="G43" s="9" t="s">
        <v>59</v>
      </c>
      <c r="H43" s="9" t="b">
        <v>0</v>
      </c>
      <c r="I43" s="9">
        <v>0.0</v>
      </c>
      <c r="N43" s="9" t="s">
        <v>93</v>
      </c>
      <c r="P43" s="8" t="s">
        <v>129</v>
      </c>
      <c r="Q43" s="9" t="s">
        <v>224</v>
      </c>
      <c r="R43" s="9">
        <v>10000.0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5"/>
    <hyperlink r:id="rId24" ref="P26"/>
    <hyperlink r:id="rId25" ref="P27"/>
    <hyperlink r:id="rId26" ref="P28"/>
    <hyperlink r:id="rId27" ref="P30"/>
    <hyperlink r:id="rId28" ref="P31"/>
    <hyperlink r:id="rId29" ref="P32"/>
    <hyperlink r:id="rId30" ref="P33"/>
    <hyperlink r:id="rId31" ref="P34"/>
    <hyperlink r:id="rId32" ref="P35"/>
    <hyperlink r:id="rId33" ref="P36"/>
    <hyperlink r:id="rId34" ref="P37"/>
    <hyperlink r:id="rId35" ref="P38"/>
    <hyperlink r:id="rId36" ref="P39"/>
    <hyperlink r:id="rId37" ref="P40"/>
    <hyperlink r:id="rId38" ref="P41"/>
    <hyperlink r:id="rId39" ref="P42"/>
    <hyperlink r:id="rId40" ref="P43"/>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38"/>
    <col customWidth="1" min="6" max="6" width="20.63"/>
  </cols>
  <sheetData>
    <row r="1">
      <c r="A1" s="9" t="s">
        <v>225</v>
      </c>
      <c r="B1" s="9" t="s">
        <v>226</v>
      </c>
      <c r="C1" s="9" t="s">
        <v>227</v>
      </c>
      <c r="D1" s="9" t="s">
        <v>228</v>
      </c>
      <c r="E1" s="9" t="s">
        <v>229</v>
      </c>
      <c r="F1" s="9" t="s">
        <v>230</v>
      </c>
    </row>
    <row r="2">
      <c r="A2" s="9" t="s">
        <v>52</v>
      </c>
      <c r="B2" s="18" t="s">
        <v>231</v>
      </c>
      <c r="C2" s="6" t="s">
        <v>232</v>
      </c>
      <c r="D2" s="9" t="s">
        <v>233</v>
      </c>
      <c r="E2" s="19"/>
      <c r="F2" s="6" t="s">
        <v>232</v>
      </c>
    </row>
    <row r="3">
      <c r="A3" s="9"/>
      <c r="B3" s="9"/>
      <c r="C3" s="9"/>
      <c r="D3" s="9"/>
      <c r="E3" s="9"/>
      <c r="F3" s="9"/>
    </row>
    <row r="4">
      <c r="A4" s="9" t="s">
        <v>19</v>
      </c>
      <c r="B4" s="9" t="s">
        <v>234</v>
      </c>
      <c r="C4" s="9" t="s">
        <v>235</v>
      </c>
      <c r="D4" s="9" t="s">
        <v>236</v>
      </c>
      <c r="E4" s="9"/>
      <c r="F4" s="9" t="s">
        <v>235</v>
      </c>
    </row>
    <row r="5">
      <c r="A5" s="9" t="s">
        <v>131</v>
      </c>
      <c r="B5" s="9" t="s">
        <v>237</v>
      </c>
      <c r="C5" s="9" t="s">
        <v>238</v>
      </c>
      <c r="D5" s="9" t="s">
        <v>239</v>
      </c>
      <c r="E5" s="9"/>
      <c r="F5" s="9" t="s">
        <v>238</v>
      </c>
    </row>
    <row r="6">
      <c r="A6" s="9" t="s">
        <v>218</v>
      </c>
      <c r="B6" s="9" t="s">
        <v>240</v>
      </c>
      <c r="C6" s="9" t="s">
        <v>241</v>
      </c>
      <c r="D6" s="9" t="s">
        <v>242</v>
      </c>
      <c r="E6" s="9"/>
      <c r="F6" s="9" t="s">
        <v>241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38"/>
    <col customWidth="1" min="6" max="6" width="20.63"/>
  </cols>
  <sheetData>
    <row r="1">
      <c r="A1" s="9" t="s">
        <v>225</v>
      </c>
      <c r="B1" s="9" t="s">
        <v>226</v>
      </c>
    </row>
    <row r="2">
      <c r="A2" s="9" t="s">
        <v>19</v>
      </c>
      <c r="B2" s="18" t="s">
        <v>243</v>
      </c>
      <c r="C2" s="6"/>
      <c r="D2" s="9"/>
      <c r="E2" s="19"/>
      <c r="F2" s="6"/>
    </row>
    <row r="3">
      <c r="A3" s="9" t="s">
        <v>47</v>
      </c>
      <c r="B3" s="9" t="s">
        <v>244</v>
      </c>
    </row>
    <row r="4">
      <c r="A4" s="9" t="s">
        <v>52</v>
      </c>
      <c r="B4" s="9" t="s">
        <v>245</v>
      </c>
    </row>
    <row r="5">
      <c r="A5" s="9" t="s">
        <v>96</v>
      </c>
      <c r="B5" s="9" t="s">
        <v>246</v>
      </c>
    </row>
    <row r="6">
      <c r="A6" s="9" t="s">
        <v>163</v>
      </c>
      <c r="B6" s="9" t="s">
        <v>247</v>
      </c>
    </row>
    <row r="7">
      <c r="A7" s="9" t="s">
        <v>158</v>
      </c>
      <c r="B7" s="9" t="s">
        <v>248</v>
      </c>
    </row>
    <row r="8">
      <c r="A8" s="9" t="s">
        <v>147</v>
      </c>
      <c r="B8" s="9" t="s">
        <v>249</v>
      </c>
    </row>
    <row r="9">
      <c r="A9" s="9" t="s">
        <v>101</v>
      </c>
      <c r="B9" s="9" t="s">
        <v>250</v>
      </c>
    </row>
    <row r="10">
      <c r="A10" s="9" t="s">
        <v>39</v>
      </c>
      <c r="B10" s="9" t="s">
        <v>251</v>
      </c>
    </row>
    <row r="11">
      <c r="A11" s="9" t="s">
        <v>26</v>
      </c>
      <c r="B11" s="9" t="s">
        <v>252</v>
      </c>
    </row>
    <row r="12">
      <c r="A12" s="9" t="s">
        <v>253</v>
      </c>
      <c r="B12" s="9" t="s">
        <v>254</v>
      </c>
    </row>
    <row r="13">
      <c r="A13" s="9" t="s">
        <v>76</v>
      </c>
      <c r="B13" s="9" t="s">
        <v>255</v>
      </c>
    </row>
    <row r="14">
      <c r="A14" s="9" t="s">
        <v>131</v>
      </c>
      <c r="B14" s="9" t="s">
        <v>256</v>
      </c>
    </row>
    <row r="15">
      <c r="A15" s="9" t="s">
        <v>116</v>
      </c>
      <c r="B15" s="9" t="s">
        <v>257</v>
      </c>
    </row>
    <row r="16">
      <c r="A16" s="9" t="s">
        <v>89</v>
      </c>
      <c r="B16" s="9" t="s">
        <v>258</v>
      </c>
    </row>
    <row r="17">
      <c r="A17" s="9" t="s">
        <v>57</v>
      </c>
      <c r="B17" s="9" t="s">
        <v>259</v>
      </c>
    </row>
    <row r="18">
      <c r="A18" s="9" t="s">
        <v>142</v>
      </c>
      <c r="B18" s="9" t="s">
        <v>260</v>
      </c>
    </row>
    <row r="19">
      <c r="A19" s="9" t="s">
        <v>80</v>
      </c>
      <c r="B19" s="9" t="s">
        <v>261</v>
      </c>
    </row>
    <row r="20">
      <c r="A20" s="9" t="s">
        <v>168</v>
      </c>
      <c r="B20" s="9" t="s">
        <v>262</v>
      </c>
    </row>
    <row r="21">
      <c r="A21" s="9" t="s">
        <v>153</v>
      </c>
      <c r="B21" s="9" t="s">
        <v>243</v>
      </c>
    </row>
    <row r="22">
      <c r="A22" s="9" t="s">
        <v>176</v>
      </c>
      <c r="B22" s="9" t="s">
        <v>263</v>
      </c>
    </row>
    <row r="23">
      <c r="A23" s="9" t="s">
        <v>180</v>
      </c>
      <c r="B23" s="9" t="s">
        <v>264</v>
      </c>
    </row>
    <row r="24">
      <c r="A24" s="9" t="s">
        <v>185</v>
      </c>
      <c r="B24" s="9" t="s">
        <v>265</v>
      </c>
    </row>
    <row r="25">
      <c r="A25" s="9" t="s">
        <v>188</v>
      </c>
      <c r="B25" s="9" t="s">
        <v>266</v>
      </c>
    </row>
    <row r="26">
      <c r="A26" s="9" t="s">
        <v>193</v>
      </c>
      <c r="B26" s="9" t="s">
        <v>267</v>
      </c>
    </row>
    <row r="27">
      <c r="A27" s="9" t="s">
        <v>136</v>
      </c>
      <c r="B27" s="9" t="s">
        <v>268</v>
      </c>
    </row>
    <row r="28">
      <c r="A28" s="9" t="s">
        <v>208</v>
      </c>
      <c r="B28" s="9" t="s">
        <v>269</v>
      </c>
    </row>
    <row r="29">
      <c r="A29" s="9" t="s">
        <v>196</v>
      </c>
      <c r="B29" s="9" t="s">
        <v>270</v>
      </c>
    </row>
    <row r="30">
      <c r="A30" s="9" t="s">
        <v>201</v>
      </c>
      <c r="B30" s="9" t="s">
        <v>271</v>
      </c>
    </row>
    <row r="31">
      <c r="A31" s="9" t="s">
        <v>211</v>
      </c>
      <c r="B31" s="9" t="s">
        <v>272</v>
      </c>
    </row>
    <row r="32">
      <c r="A32" s="9" t="s">
        <v>213</v>
      </c>
      <c r="B32" s="9" t="s">
        <v>273</v>
      </c>
    </row>
    <row r="33">
      <c r="A33" s="9" t="s">
        <v>218</v>
      </c>
      <c r="B33" s="9" t="s">
        <v>274</v>
      </c>
    </row>
    <row r="34">
      <c r="A34" s="9" t="s">
        <v>122</v>
      </c>
      <c r="B34" s="9" t="s">
        <v>275</v>
      </c>
    </row>
    <row r="35">
      <c r="A35" s="9" t="s">
        <v>223</v>
      </c>
      <c r="B35" s="9" t="s">
        <v>276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2.5"/>
    <col customWidth="1" min="3" max="3" width="34.25"/>
    <col customWidth="1" min="4" max="6" width="12.63"/>
    <col customWidth="1" min="26" max="26" width="19.5"/>
    <col customWidth="1" min="29" max="29" width="12.38"/>
    <col customWidth="1" min="31" max="31" width="28.88"/>
    <col customWidth="1" min="32" max="32" width="50.63"/>
    <col customWidth="1" min="36" max="36" width="35.75"/>
    <col customWidth="1" min="39" max="39" width="22.88"/>
    <col customWidth="1" min="43" max="43" width="17.13"/>
    <col customWidth="1" min="48" max="48" width="22.63"/>
    <col customWidth="1" min="59" max="59" width="26.75"/>
    <col customWidth="1" min="66" max="66" width="24.88"/>
  </cols>
  <sheetData>
    <row r="1" ht="21.75" customHeight="1">
      <c r="A1" s="7" t="s">
        <v>277</v>
      </c>
      <c r="B1" s="7" t="s">
        <v>278</v>
      </c>
      <c r="C1" s="7" t="s">
        <v>279</v>
      </c>
      <c r="D1" s="7" t="s">
        <v>280</v>
      </c>
      <c r="E1" s="7" t="s">
        <v>281</v>
      </c>
      <c r="F1" s="7" t="s">
        <v>282</v>
      </c>
      <c r="G1" s="7" t="s">
        <v>283</v>
      </c>
      <c r="H1" s="7" t="s">
        <v>284</v>
      </c>
      <c r="I1" s="7" t="s">
        <v>285</v>
      </c>
      <c r="J1" s="7" t="s">
        <v>286</v>
      </c>
      <c r="K1" s="7" t="s">
        <v>287</v>
      </c>
      <c r="L1" s="7" t="s">
        <v>288</v>
      </c>
      <c r="M1" s="7" t="s">
        <v>289</v>
      </c>
      <c r="N1" s="7" t="s">
        <v>290</v>
      </c>
      <c r="O1" s="7" t="s">
        <v>291</v>
      </c>
      <c r="P1" s="7" t="s">
        <v>292</v>
      </c>
      <c r="Q1" s="7" t="s">
        <v>293</v>
      </c>
      <c r="R1" s="7" t="s">
        <v>294</v>
      </c>
      <c r="S1" s="7" t="s">
        <v>295</v>
      </c>
      <c r="T1" s="7" t="s">
        <v>296</v>
      </c>
      <c r="U1" s="7" t="s">
        <v>297</v>
      </c>
      <c r="V1" s="7" t="s">
        <v>298</v>
      </c>
      <c r="W1" s="7" t="s">
        <v>299</v>
      </c>
      <c r="X1" s="7" t="s">
        <v>300</v>
      </c>
      <c r="Y1" s="7" t="s">
        <v>301</v>
      </c>
      <c r="Z1" s="7" t="s">
        <v>302</v>
      </c>
      <c r="AA1" s="7" t="s">
        <v>8</v>
      </c>
      <c r="AB1" s="7" t="s">
        <v>303</v>
      </c>
      <c r="AC1" s="7" t="s">
        <v>304</v>
      </c>
      <c r="AD1" s="7" t="s">
        <v>305</v>
      </c>
      <c r="AE1" s="7" t="s">
        <v>306</v>
      </c>
      <c r="AF1" s="7" t="s">
        <v>307</v>
      </c>
      <c r="AG1" s="7" t="s">
        <v>308</v>
      </c>
      <c r="AH1" s="7" t="s">
        <v>309</v>
      </c>
      <c r="AI1" s="7" t="s">
        <v>310</v>
      </c>
      <c r="AJ1" s="7" t="s">
        <v>311</v>
      </c>
      <c r="AK1" s="7" t="s">
        <v>312</v>
      </c>
      <c r="AL1" s="7" t="s">
        <v>313</v>
      </c>
      <c r="AM1" s="7" t="s">
        <v>314</v>
      </c>
      <c r="AN1" s="7" t="s">
        <v>315</v>
      </c>
      <c r="AO1" s="7" t="s">
        <v>316</v>
      </c>
      <c r="AP1" s="7" t="s">
        <v>317</v>
      </c>
      <c r="AQ1" s="7" t="s">
        <v>318</v>
      </c>
      <c r="AR1" s="7" t="s">
        <v>319</v>
      </c>
      <c r="AS1" s="7" t="s">
        <v>320</v>
      </c>
      <c r="AT1" s="7" t="s">
        <v>321</v>
      </c>
      <c r="AU1" s="7" t="s">
        <v>322</v>
      </c>
      <c r="AV1" s="7" t="s">
        <v>323</v>
      </c>
      <c r="AW1" s="7" t="s">
        <v>324</v>
      </c>
      <c r="AX1" s="7" t="s">
        <v>325</v>
      </c>
      <c r="AY1" s="7" t="s">
        <v>326</v>
      </c>
      <c r="AZ1" s="7" t="s">
        <v>327</v>
      </c>
      <c r="BA1" s="7" t="s">
        <v>328</v>
      </c>
      <c r="BB1" s="7" t="s">
        <v>329</v>
      </c>
      <c r="BC1" s="7" t="s">
        <v>330</v>
      </c>
      <c r="BD1" s="7" t="s">
        <v>331</v>
      </c>
      <c r="BE1" s="7" t="s">
        <v>332</v>
      </c>
      <c r="BF1" s="7" t="s">
        <v>333</v>
      </c>
      <c r="BG1" s="7" t="s">
        <v>334</v>
      </c>
      <c r="BH1" s="7" t="s">
        <v>335</v>
      </c>
      <c r="BI1" s="7" t="s">
        <v>336</v>
      </c>
      <c r="BJ1" s="7" t="s">
        <v>337</v>
      </c>
      <c r="BK1" s="7" t="s">
        <v>3</v>
      </c>
      <c r="BL1" s="7" t="s">
        <v>2</v>
      </c>
      <c r="BM1" s="7" t="s">
        <v>338</v>
      </c>
      <c r="BN1" s="7" t="s">
        <v>339</v>
      </c>
      <c r="BO1" s="7"/>
      <c r="BP1" s="7"/>
      <c r="BQ1" s="7"/>
      <c r="BR1" s="7"/>
      <c r="BS1" s="7"/>
      <c r="BT1" s="7"/>
      <c r="BU1" s="7"/>
      <c r="BV1" s="7"/>
      <c r="BW1" s="7"/>
      <c r="BX1" s="7"/>
      <c r="BY1" s="7"/>
      <c r="BZ1" s="7"/>
      <c r="CA1" s="7"/>
      <c r="CB1" s="7"/>
    </row>
    <row r="2" ht="21.75" customHeight="1">
      <c r="A2" s="7">
        <v>1514.0</v>
      </c>
      <c r="B2" s="7">
        <v>1.0</v>
      </c>
      <c r="C2" s="7" t="s">
        <v>340</v>
      </c>
      <c r="D2" s="7" t="s">
        <v>340</v>
      </c>
      <c r="E2" s="7" t="s">
        <v>341</v>
      </c>
      <c r="F2" s="7" t="s">
        <v>342</v>
      </c>
      <c r="G2" s="7" t="s">
        <v>343</v>
      </c>
      <c r="H2" s="7" t="s">
        <v>344</v>
      </c>
      <c r="I2" s="7" t="s">
        <v>345</v>
      </c>
      <c r="J2" s="7"/>
      <c r="K2" s="7" t="s">
        <v>58</v>
      </c>
      <c r="L2" s="7" t="s">
        <v>59</v>
      </c>
      <c r="M2" s="7" t="s">
        <v>346</v>
      </c>
      <c r="N2" s="7" t="s">
        <v>347</v>
      </c>
      <c r="O2" s="7">
        <v>97418.0</v>
      </c>
      <c r="P2" s="7" t="s">
        <v>348</v>
      </c>
      <c r="Q2" s="7" t="s">
        <v>349</v>
      </c>
      <c r="R2" s="7" t="s">
        <v>350</v>
      </c>
      <c r="S2" s="7" t="s">
        <v>351</v>
      </c>
      <c r="T2" s="7" t="s">
        <v>352</v>
      </c>
      <c r="U2" s="7" t="s">
        <v>353</v>
      </c>
      <c r="V2" s="7">
        <v>2.62593022E8</v>
      </c>
      <c r="W2" s="7">
        <v>6.92322588E8</v>
      </c>
      <c r="X2" s="7">
        <v>6.92322588E8</v>
      </c>
      <c r="Y2" s="7">
        <v>6.92322588E8</v>
      </c>
      <c r="Z2" s="7" t="s">
        <v>354</v>
      </c>
      <c r="AA2" s="7">
        <v>8.0</v>
      </c>
      <c r="AB2" s="7" t="s">
        <v>355</v>
      </c>
      <c r="AC2" s="7" t="s">
        <v>356</v>
      </c>
      <c r="AD2" s="7" t="s">
        <v>357</v>
      </c>
      <c r="AE2" s="7" t="s">
        <v>358</v>
      </c>
      <c r="AF2" s="7"/>
      <c r="AG2" s="7"/>
      <c r="AH2" s="20">
        <v>43739.0</v>
      </c>
      <c r="AI2" s="20">
        <v>43740.0</v>
      </c>
      <c r="AJ2" s="7" t="s">
        <v>359</v>
      </c>
      <c r="AK2" s="7">
        <v>5.0524671000014E13</v>
      </c>
      <c r="AL2" s="7" t="s">
        <v>360</v>
      </c>
      <c r="AM2" s="7" t="s">
        <v>361</v>
      </c>
      <c r="AN2" s="20">
        <v>43739.0</v>
      </c>
      <c r="AO2" s="7">
        <v>97418.0</v>
      </c>
      <c r="AP2" s="7" t="s">
        <v>362</v>
      </c>
      <c r="AQ2" s="7"/>
      <c r="AR2" s="7"/>
      <c r="AS2" s="7"/>
      <c r="AT2" s="7"/>
      <c r="AU2" s="7">
        <v>2.0</v>
      </c>
      <c r="AV2" s="7" t="s">
        <v>363</v>
      </c>
      <c r="AW2" s="7" t="s">
        <v>364</v>
      </c>
      <c r="AX2" s="7">
        <v>50.0</v>
      </c>
      <c r="AY2" s="7" t="s">
        <v>341</v>
      </c>
      <c r="AZ2" s="7" t="s">
        <v>365</v>
      </c>
      <c r="BA2" s="7" t="s">
        <v>341</v>
      </c>
      <c r="BB2" s="7" t="s">
        <v>341</v>
      </c>
      <c r="BC2" s="7" t="s">
        <v>366</v>
      </c>
      <c r="BD2" s="21">
        <v>44091.0</v>
      </c>
      <c r="BE2" s="7" t="s">
        <v>367</v>
      </c>
      <c r="BF2" s="7" t="s">
        <v>341</v>
      </c>
      <c r="BG2" s="22">
        <v>44091.0</v>
      </c>
      <c r="BH2" s="7">
        <v>5.0524671E8</v>
      </c>
      <c r="BI2" s="7" t="s">
        <v>368</v>
      </c>
      <c r="BJ2" s="7" t="s">
        <v>369</v>
      </c>
      <c r="BK2" s="7" t="b">
        <v>1</v>
      </c>
      <c r="BL2" s="7" t="b">
        <v>1</v>
      </c>
      <c r="BM2" s="7" t="s">
        <v>370</v>
      </c>
      <c r="BN2" s="7" t="str">
        <f>IFERROR(__xludf.DUMMYFUNCTION(" IF( REGEXMATCH(C2 , ""[(].+[)]""),REGEXREPLACE( CONCATENATE(REGEXEXTRACT(C2 , ""[(].+[)]""),IF(REGEXMATCH(C2 , ""[(][Ll]['’][)]""),"""","" ""), REGEXEXTRACT(C2 ,""^(?:(?:[A-Za-zàäéèêîïöôûü0-9 ](?:[A-Za-zàäéèêîïöôûü'0-9 ]+)))"")) , ""[()]"", """"),C2 )"),"Les 2 Chênes ")</f>
        <v>Les 2 Chênes </v>
      </c>
      <c r="BO2" s="23"/>
      <c r="BP2" s="7"/>
      <c r="BQ2" s="7"/>
      <c r="BR2" s="7"/>
      <c r="BS2" s="7"/>
      <c r="BT2" s="7"/>
      <c r="BU2" s="7"/>
      <c r="BV2" s="7"/>
      <c r="BW2" s="7"/>
      <c r="BX2" s="7"/>
      <c r="BY2" s="7"/>
      <c r="BZ2" s="7"/>
      <c r="CA2" s="7"/>
      <c r="CB2" s="7"/>
    </row>
    <row r="3" ht="21.75" customHeight="1">
      <c r="A3" s="7">
        <v>3094.0</v>
      </c>
      <c r="B3" s="7">
        <v>2.0</v>
      </c>
      <c r="C3" s="7" t="s">
        <v>371</v>
      </c>
      <c r="D3" s="7" t="s">
        <v>372</v>
      </c>
      <c r="E3" s="7" t="s">
        <v>341</v>
      </c>
      <c r="F3" s="7" t="s">
        <v>342</v>
      </c>
      <c r="G3" s="7" t="s">
        <v>343</v>
      </c>
      <c r="H3" s="7" t="s">
        <v>123</v>
      </c>
      <c r="I3" s="7" t="s">
        <v>373</v>
      </c>
      <c r="J3" s="7"/>
      <c r="K3" s="7" t="s">
        <v>58</v>
      </c>
      <c r="L3" s="7" t="s">
        <v>59</v>
      </c>
      <c r="M3" s="7" t="s">
        <v>374</v>
      </c>
      <c r="N3" s="7" t="s">
        <v>375</v>
      </c>
      <c r="O3" s="7">
        <v>97480.0</v>
      </c>
      <c r="P3" s="7" t="s">
        <v>123</v>
      </c>
      <c r="Q3" s="7"/>
      <c r="R3" s="7" t="s">
        <v>376</v>
      </c>
      <c r="S3" s="7"/>
      <c r="T3" s="7" t="s">
        <v>377</v>
      </c>
      <c r="U3" s="7" t="s">
        <v>378</v>
      </c>
      <c r="V3" s="7">
        <v>2.62560845E8</v>
      </c>
      <c r="W3" s="7">
        <v>6.92768249E8</v>
      </c>
      <c r="X3" s="7"/>
      <c r="Y3" s="7"/>
      <c r="Z3" s="7" t="s">
        <v>379</v>
      </c>
      <c r="AA3" s="7">
        <v>4.0</v>
      </c>
      <c r="AB3" s="7"/>
      <c r="AC3" s="7" t="s">
        <v>356</v>
      </c>
      <c r="AD3" s="7" t="s">
        <v>380</v>
      </c>
      <c r="AE3" s="7" t="s">
        <v>381</v>
      </c>
      <c r="AF3" s="7"/>
      <c r="AG3" s="7"/>
      <c r="AH3" s="20">
        <v>40849.0</v>
      </c>
      <c r="AI3" s="7"/>
      <c r="AJ3" s="7" t="s">
        <v>382</v>
      </c>
      <c r="AK3" s="7"/>
      <c r="AL3" s="7" t="s">
        <v>383</v>
      </c>
      <c r="AM3" s="7" t="s">
        <v>384</v>
      </c>
      <c r="AN3" s="20">
        <v>40849.0</v>
      </c>
      <c r="AO3" s="7">
        <v>97480.0</v>
      </c>
      <c r="AP3" s="7" t="s">
        <v>385</v>
      </c>
      <c r="AQ3" s="7"/>
      <c r="AR3" s="7"/>
      <c r="AS3" s="7"/>
      <c r="AT3" s="7"/>
      <c r="AU3" s="7">
        <v>1.0</v>
      </c>
      <c r="AV3" s="7" t="s">
        <v>386</v>
      </c>
      <c r="AW3" s="7" t="s">
        <v>364</v>
      </c>
      <c r="AX3" s="7"/>
      <c r="AY3" s="7"/>
      <c r="AZ3" s="7" t="s">
        <v>365</v>
      </c>
      <c r="BA3" s="7"/>
      <c r="BB3" s="7"/>
      <c r="BC3" s="7" t="s">
        <v>366</v>
      </c>
      <c r="BD3" s="21">
        <v>44119.18402777778</v>
      </c>
      <c r="BE3" s="7" t="s">
        <v>367</v>
      </c>
      <c r="BF3" s="7"/>
      <c r="BG3" s="22">
        <v>44119.0</v>
      </c>
      <c r="BH3" s="7"/>
      <c r="BI3" s="7" t="s">
        <v>387</v>
      </c>
      <c r="BJ3" s="7" t="s">
        <v>369</v>
      </c>
      <c r="BK3" s="7" t="b">
        <v>0</v>
      </c>
      <c r="BL3" s="7" t="b">
        <v>0</v>
      </c>
      <c r="BM3" s="7"/>
      <c r="BN3" s="7" t="str">
        <f>IFERROR(__xludf.DUMMYFUNCTION(" IF( REGEXMATCH(C3 , ""[(].+[)]""),REGEXREPLACE( CONCATENATE(REGEXEXTRACT(C3 , ""[(].+[)]""),IF(REGEXMATCH(C3 , ""[(][Ll]['’][)]""),"""","" ""), REGEXEXTRACT(C3 ,""^(?:(?:[A-Za-zàäéèêîïöôûü0-9 ](?:[A-Za-zàäéèêîïöôûü'0-9 ]+)))"")) , ""[()]"", """"),C3 )"),"Les 2 palmiers ")</f>
        <v>Les 2 palmiers </v>
      </c>
      <c r="BO3" s="23"/>
      <c r="BP3" s="7"/>
      <c r="BQ3" s="7"/>
      <c r="BR3" s="7"/>
      <c r="BS3" s="7"/>
      <c r="BT3" s="7"/>
      <c r="BU3" s="7"/>
      <c r="BV3" s="7"/>
      <c r="BW3" s="7"/>
      <c r="BX3" s="7"/>
      <c r="BY3" s="7"/>
      <c r="BZ3" s="7"/>
      <c r="CA3" s="7"/>
      <c r="CB3" s="7"/>
    </row>
    <row r="4" ht="21.75" customHeight="1">
      <c r="A4" s="7">
        <v>0.0</v>
      </c>
      <c r="B4" s="7" t="s">
        <v>388</v>
      </c>
      <c r="C4" s="7" t="s">
        <v>389</v>
      </c>
      <c r="D4" s="7"/>
      <c r="E4" s="7"/>
      <c r="F4" s="7" t="s">
        <v>342</v>
      </c>
      <c r="G4" s="7" t="s">
        <v>343</v>
      </c>
      <c r="H4" s="7" t="s">
        <v>123</v>
      </c>
      <c r="I4" s="7" t="s">
        <v>390</v>
      </c>
      <c r="J4" s="7"/>
      <c r="K4" s="7" t="s">
        <v>58</v>
      </c>
      <c r="L4" s="7" t="s">
        <v>59</v>
      </c>
      <c r="M4" s="7" t="s">
        <v>346</v>
      </c>
      <c r="N4" s="7"/>
      <c r="O4" s="7">
        <v>97480.0</v>
      </c>
      <c r="P4" s="7" t="s">
        <v>123</v>
      </c>
      <c r="Q4" s="7"/>
      <c r="R4" s="7" t="s">
        <v>391</v>
      </c>
      <c r="S4" s="7"/>
      <c r="T4" s="7" t="s">
        <v>392</v>
      </c>
      <c r="U4" s="7" t="s">
        <v>393</v>
      </c>
      <c r="V4" s="7"/>
      <c r="W4" s="7">
        <v>6.92662628E8</v>
      </c>
      <c r="X4" s="7"/>
      <c r="Y4" s="7"/>
      <c r="Z4" s="7" t="s">
        <v>394</v>
      </c>
      <c r="AA4" s="7">
        <v>6.0</v>
      </c>
      <c r="AB4" s="7" t="s">
        <v>395</v>
      </c>
      <c r="AC4" s="7" t="s">
        <v>356</v>
      </c>
      <c r="AD4" s="7" t="s">
        <v>396</v>
      </c>
      <c r="AE4" s="7"/>
      <c r="AF4" s="7"/>
      <c r="AG4" s="7"/>
      <c r="AH4" s="20">
        <v>42278.0</v>
      </c>
      <c r="AI4" s="7"/>
      <c r="AJ4" s="7" t="s">
        <v>397</v>
      </c>
      <c r="AK4" s="7">
        <v>8.3747994800015E13</v>
      </c>
      <c r="AL4" s="7" t="s">
        <v>398</v>
      </c>
      <c r="AM4" s="7" t="s">
        <v>399</v>
      </c>
      <c r="AN4" s="20">
        <v>43872.0</v>
      </c>
      <c r="AO4" s="7">
        <v>97480.0</v>
      </c>
      <c r="AP4" s="7" t="s">
        <v>385</v>
      </c>
      <c r="AQ4" s="7"/>
      <c r="AR4" s="7"/>
      <c r="AS4" s="7"/>
      <c r="AT4" s="7"/>
      <c r="AU4" s="7">
        <v>1.0</v>
      </c>
      <c r="AV4" s="7" t="s">
        <v>400</v>
      </c>
      <c r="AW4" s="7" t="s">
        <v>364</v>
      </c>
      <c r="AX4" s="7"/>
      <c r="AY4" s="7"/>
      <c r="AZ4" s="7" t="s">
        <v>365</v>
      </c>
      <c r="BA4" s="7"/>
      <c r="BB4" s="7"/>
      <c r="BC4" s="7" t="s">
        <v>401</v>
      </c>
      <c r="BD4" s="21">
        <v>44299.435891203706</v>
      </c>
      <c r="BE4" s="7" t="s">
        <v>367</v>
      </c>
      <c r="BF4" s="7"/>
      <c r="BG4" s="24">
        <v>44299.0</v>
      </c>
      <c r="BH4" s="7">
        <v>8.37479948E8</v>
      </c>
      <c r="BI4" s="7" t="s">
        <v>402</v>
      </c>
      <c r="BJ4" s="7" t="s">
        <v>369</v>
      </c>
      <c r="BK4" s="7" t="b">
        <v>1</v>
      </c>
      <c r="BL4" s="7" t="b">
        <v>1</v>
      </c>
      <c r="BM4" s="7"/>
      <c r="BN4" s="7" t="str">
        <f>IFERROR(__xludf.DUMMYFUNCTION(" IF( REGEXMATCH(C4 , ""[(].+[)]""),REGEXREPLACE( CONCATENATE(REGEXEXTRACT(C4 , ""[(].+[)]""),IF(REGEXMATCH(C4 , ""[(][Ll]['’][)]""),"""","" ""), REGEXEXTRACT(C4 ,""^(?:(?:[A-Za-zàäéèêîïöôûü0-9 ](?:[A-Za-zàäéèêîïöôûü'0-9 ]+)))"")) , ""[()]"", """"),C4 )"),"Les 3 soleils ")</f>
        <v>Les 3 soleils </v>
      </c>
      <c r="BO4" s="25"/>
      <c r="BP4" s="7"/>
      <c r="BQ4" s="7"/>
      <c r="BR4" s="7"/>
      <c r="BS4" s="7"/>
      <c r="BT4" s="7"/>
      <c r="BU4" s="7"/>
      <c r="BV4" s="7"/>
      <c r="BW4" s="7"/>
      <c r="BX4" s="7"/>
      <c r="BY4" s="7"/>
      <c r="BZ4" s="7"/>
      <c r="CA4" s="7"/>
      <c r="CB4" s="7"/>
    </row>
    <row r="5" ht="21.75" customHeight="1">
      <c r="A5" s="7">
        <v>2657.0</v>
      </c>
      <c r="B5" s="7">
        <v>4.0</v>
      </c>
      <c r="C5" s="7" t="s">
        <v>403</v>
      </c>
      <c r="D5" s="7"/>
      <c r="E5" s="7"/>
      <c r="F5" s="7" t="s">
        <v>404</v>
      </c>
      <c r="G5" s="7" t="s">
        <v>343</v>
      </c>
      <c r="H5" s="7" t="s">
        <v>344</v>
      </c>
      <c r="I5" s="7" t="s">
        <v>405</v>
      </c>
      <c r="J5" s="26" t="s">
        <v>406</v>
      </c>
      <c r="K5" s="7" t="s">
        <v>58</v>
      </c>
      <c r="L5" s="7" t="s">
        <v>59</v>
      </c>
      <c r="M5" s="7" t="s">
        <v>346</v>
      </c>
      <c r="N5" s="7" t="s">
        <v>407</v>
      </c>
      <c r="O5" s="7">
        <v>97418.0</v>
      </c>
      <c r="P5" s="7" t="s">
        <v>348</v>
      </c>
      <c r="Q5" s="7" t="s">
        <v>349</v>
      </c>
      <c r="R5" s="7" t="s">
        <v>408</v>
      </c>
      <c r="S5" s="7" t="s">
        <v>409</v>
      </c>
      <c r="T5" s="7"/>
      <c r="U5" s="7" t="s">
        <v>378</v>
      </c>
      <c r="V5" s="7">
        <v>2.62557866E8</v>
      </c>
      <c r="W5" s="7">
        <v>6.92664046E8</v>
      </c>
      <c r="X5" s="7"/>
      <c r="Y5" s="7">
        <v>2.62557866E8</v>
      </c>
      <c r="Z5" s="7" t="s">
        <v>410</v>
      </c>
      <c r="AA5" s="7">
        <v>10.0</v>
      </c>
      <c r="AB5" s="7"/>
      <c r="AC5" s="7"/>
      <c r="AD5" s="7" t="s">
        <v>411</v>
      </c>
      <c r="AE5" s="7" t="s">
        <v>412</v>
      </c>
      <c r="AF5" s="7"/>
      <c r="AG5" s="7"/>
      <c r="AH5" s="20">
        <v>43739.0</v>
      </c>
      <c r="AI5" s="7"/>
      <c r="AJ5" s="7" t="s">
        <v>413</v>
      </c>
      <c r="AK5" s="7"/>
      <c r="AL5" s="7" t="s">
        <v>414</v>
      </c>
      <c r="AM5" s="7" t="s">
        <v>415</v>
      </c>
      <c r="AN5" s="20">
        <v>43739.0</v>
      </c>
      <c r="AO5" s="7">
        <v>97435.0</v>
      </c>
      <c r="AP5" s="7" t="s">
        <v>416</v>
      </c>
      <c r="AQ5" s="7"/>
      <c r="AR5" s="7"/>
      <c r="AS5" s="7"/>
      <c r="AT5" s="7"/>
      <c r="AU5" s="7">
        <v>3.0</v>
      </c>
      <c r="AV5" s="7" t="s">
        <v>417</v>
      </c>
      <c r="AW5" s="7" t="s">
        <v>364</v>
      </c>
      <c r="AX5" s="7"/>
      <c r="AY5" s="7"/>
      <c r="AZ5" s="7"/>
      <c r="BA5" s="7"/>
      <c r="BB5" s="7"/>
      <c r="BC5" s="7" t="s">
        <v>366</v>
      </c>
      <c r="BD5" s="21">
        <v>44080.0</v>
      </c>
      <c r="BE5" s="7"/>
      <c r="BF5" s="7"/>
      <c r="BG5" s="22">
        <v>44080.0</v>
      </c>
      <c r="BH5" s="7"/>
      <c r="BI5" s="7" t="s">
        <v>418</v>
      </c>
      <c r="BJ5" s="7"/>
      <c r="BK5" s="7" t="b">
        <v>0</v>
      </c>
      <c r="BL5" s="7" t="b">
        <v>0</v>
      </c>
      <c r="BM5" s="7"/>
      <c r="BN5" s="7" t="str">
        <f>IFERROR(__xludf.DUMMYFUNCTION(" IF( REGEXMATCH(C5 , ""[(].+[)]""),REGEXREPLACE( CONCATENATE(REGEXEXTRACT(C5 , ""[(].+[)]""),IF(REGEXMATCH(C5 , ""[(][Ll]['’][)]""),"""","" ""), REGEXEXTRACT(C5 ,""^(?:(?:[A-Za-zàäéèêîïöôûü0-9 ](?:[A-Za-zàäéèêîïöôûü'0-9 ]+)))"")) , ""[()]"", """"),C5 )"),"Les 4 Epices ")</f>
        <v>Les 4 Epices </v>
      </c>
      <c r="BO5" s="23"/>
      <c r="BP5" s="7"/>
      <c r="BQ5" s="7"/>
      <c r="BR5" s="7"/>
      <c r="BS5" s="7"/>
      <c r="BT5" s="7"/>
      <c r="BU5" s="7"/>
      <c r="BV5" s="7"/>
      <c r="BW5" s="7"/>
      <c r="BX5" s="7"/>
      <c r="BY5" s="7"/>
      <c r="BZ5" s="7"/>
      <c r="CA5" s="7"/>
      <c r="CB5" s="7"/>
    </row>
    <row r="6" ht="21.75" customHeight="1">
      <c r="A6" s="7">
        <v>2663.0</v>
      </c>
      <c r="B6" s="7">
        <v>5.0</v>
      </c>
      <c r="C6" s="7" t="s">
        <v>419</v>
      </c>
      <c r="D6" s="7" t="s">
        <v>420</v>
      </c>
      <c r="E6" s="7"/>
      <c r="F6" s="7" t="s">
        <v>342</v>
      </c>
      <c r="G6" s="7" t="s">
        <v>343</v>
      </c>
      <c r="H6" s="7" t="s">
        <v>40</v>
      </c>
      <c r="I6" s="7" t="s">
        <v>421</v>
      </c>
      <c r="J6" s="7"/>
      <c r="K6" s="7" t="s">
        <v>58</v>
      </c>
      <c r="L6" s="7" t="s">
        <v>59</v>
      </c>
      <c r="M6" s="7" t="s">
        <v>374</v>
      </c>
      <c r="N6" s="7" t="s">
        <v>422</v>
      </c>
      <c r="O6" s="7">
        <v>97414.0</v>
      </c>
      <c r="P6" s="7" t="s">
        <v>40</v>
      </c>
      <c r="Q6" s="7"/>
      <c r="R6" s="7" t="s">
        <v>423</v>
      </c>
      <c r="S6" s="7"/>
      <c r="T6" s="7" t="s">
        <v>377</v>
      </c>
      <c r="U6" s="7" t="s">
        <v>424</v>
      </c>
      <c r="V6" s="7">
        <v>2.62241269E8</v>
      </c>
      <c r="W6" s="7">
        <v>6.92880826E8</v>
      </c>
      <c r="X6" s="7"/>
      <c r="Y6" s="7"/>
      <c r="Z6" s="7" t="s">
        <v>425</v>
      </c>
      <c r="AA6" s="7">
        <v>4.0</v>
      </c>
      <c r="AB6" s="7"/>
      <c r="AC6" s="7"/>
      <c r="AD6" s="7" t="s">
        <v>426</v>
      </c>
      <c r="AE6" s="7"/>
      <c r="AF6" s="7"/>
      <c r="AG6" s="7"/>
      <c r="AH6" s="20">
        <v>43739.0</v>
      </c>
      <c r="AI6" s="7"/>
      <c r="AJ6" s="7" t="s">
        <v>419</v>
      </c>
      <c r="AK6" s="7"/>
      <c r="AL6" s="7" t="s">
        <v>427</v>
      </c>
      <c r="AM6" s="7" t="s">
        <v>428</v>
      </c>
      <c r="AN6" s="20">
        <v>43739.0</v>
      </c>
      <c r="AO6" s="7">
        <v>97414.0</v>
      </c>
      <c r="AP6" s="7" t="s">
        <v>429</v>
      </c>
      <c r="AQ6" s="7"/>
      <c r="AR6" s="7"/>
      <c r="AS6" s="7"/>
      <c r="AT6" s="7"/>
      <c r="AU6" s="7">
        <v>1.0</v>
      </c>
      <c r="AV6" s="7" t="s">
        <v>430</v>
      </c>
      <c r="AW6" s="7" t="s">
        <v>364</v>
      </c>
      <c r="AX6" s="7"/>
      <c r="AY6" s="7"/>
      <c r="AZ6" s="7" t="s">
        <v>431</v>
      </c>
      <c r="BA6" s="7"/>
      <c r="BB6" s="7"/>
      <c r="BC6" s="7" t="s">
        <v>366</v>
      </c>
      <c r="BD6" s="21">
        <v>44041.47708333333</v>
      </c>
      <c r="BE6" s="7"/>
      <c r="BF6" s="7"/>
      <c r="BG6" s="22">
        <v>44041.0</v>
      </c>
      <c r="BH6" s="7"/>
      <c r="BI6" s="7" t="s">
        <v>432</v>
      </c>
      <c r="BJ6" s="7"/>
      <c r="BK6" s="7" t="b">
        <v>0</v>
      </c>
      <c r="BL6" s="7" t="b">
        <v>0</v>
      </c>
      <c r="BM6" s="7"/>
      <c r="BN6" s="7" t="str">
        <f>IFERROR(__xludf.DUMMYFUNCTION(" IF( REGEXMATCH(C6 , ""[(].+[)]""),REGEXREPLACE( CONCATENATE(REGEXEXTRACT(C6 , ""[(].+[)]""),IF(REGEXMATCH(C6 , ""[(][Ll]['’][)]""),"""","" ""), REGEXEXTRACT(C6 ,""^(?:(?:[A-Za-zàäéèêîïöôûü0-9 ](?:[A-Za-zàäéèêîïöôûü'0-9 ]+)))"")) , ""[()]"", """"),C6 )"),"Les 7 Jardins ")</f>
        <v>Les 7 Jardins </v>
      </c>
      <c r="BO6" s="23"/>
      <c r="BP6" s="7"/>
      <c r="BQ6" s="7"/>
      <c r="BR6" s="7"/>
      <c r="BS6" s="7"/>
      <c r="BT6" s="7"/>
      <c r="BU6" s="7"/>
      <c r="BV6" s="7"/>
      <c r="BW6" s="7"/>
      <c r="BX6" s="7"/>
      <c r="BY6" s="7"/>
      <c r="BZ6" s="7"/>
      <c r="CA6" s="7"/>
      <c r="CB6" s="7"/>
    </row>
    <row r="7" ht="21.75" customHeight="1">
      <c r="A7" s="7">
        <v>0.0</v>
      </c>
      <c r="B7" s="7" t="s">
        <v>433</v>
      </c>
      <c r="C7" s="7" t="s">
        <v>434</v>
      </c>
      <c r="D7" s="7" t="s">
        <v>435</v>
      </c>
      <c r="E7" s="7"/>
      <c r="F7" s="7" t="s">
        <v>342</v>
      </c>
      <c r="G7" s="7" t="s">
        <v>343</v>
      </c>
      <c r="H7" s="7" t="s">
        <v>40</v>
      </c>
      <c r="I7" s="7" t="s">
        <v>436</v>
      </c>
      <c r="J7" s="7"/>
      <c r="K7" s="7" t="s">
        <v>58</v>
      </c>
      <c r="L7" s="7" t="s">
        <v>59</v>
      </c>
      <c r="M7" s="7" t="s">
        <v>374</v>
      </c>
      <c r="N7" s="7" t="s">
        <v>407</v>
      </c>
      <c r="O7" s="7">
        <v>97414.0</v>
      </c>
      <c r="P7" s="7" t="s">
        <v>40</v>
      </c>
      <c r="Q7" s="7"/>
      <c r="R7" s="7" t="s">
        <v>437</v>
      </c>
      <c r="S7" s="7" t="s">
        <v>438</v>
      </c>
      <c r="T7" s="7" t="s">
        <v>439</v>
      </c>
      <c r="U7" s="7" t="s">
        <v>440</v>
      </c>
      <c r="V7" s="7">
        <v>2.62396869E8</v>
      </c>
      <c r="W7" s="7"/>
      <c r="X7" s="7"/>
      <c r="Y7" s="7"/>
      <c r="Z7" s="7" t="s">
        <v>441</v>
      </c>
      <c r="AA7" s="7">
        <v>4.0</v>
      </c>
      <c r="AB7" s="7"/>
      <c r="AC7" s="7"/>
      <c r="AD7" s="7" t="s">
        <v>442</v>
      </c>
      <c r="AE7" s="7" t="s">
        <v>443</v>
      </c>
      <c r="AF7" s="7"/>
      <c r="AG7" s="7"/>
      <c r="AH7" s="20">
        <v>39663.0</v>
      </c>
      <c r="AI7" s="7"/>
      <c r="AJ7" s="7" t="s">
        <v>444</v>
      </c>
      <c r="AK7" s="7"/>
      <c r="AL7" s="7" t="s">
        <v>445</v>
      </c>
      <c r="AM7" s="7" t="s">
        <v>446</v>
      </c>
      <c r="AN7" s="20">
        <v>39575.0</v>
      </c>
      <c r="AO7" s="7">
        <v>97414.0</v>
      </c>
      <c r="AP7" s="7" t="s">
        <v>429</v>
      </c>
      <c r="AQ7" s="7"/>
      <c r="AR7" s="7"/>
      <c r="AS7" s="7"/>
      <c r="AT7" s="7"/>
      <c r="AU7" s="7">
        <v>1.0</v>
      </c>
      <c r="AV7" s="7" t="s">
        <v>447</v>
      </c>
      <c r="AW7" s="7" t="s">
        <v>364</v>
      </c>
      <c r="AX7" s="7"/>
      <c r="AY7" s="7"/>
      <c r="AZ7" s="7" t="s">
        <v>448</v>
      </c>
      <c r="BA7" s="7"/>
      <c r="BB7" s="7"/>
      <c r="BC7" s="7" t="s">
        <v>401</v>
      </c>
      <c r="BD7" s="21">
        <v>44290.75702546296</v>
      </c>
      <c r="BE7" s="7" t="s">
        <v>449</v>
      </c>
      <c r="BF7" s="7"/>
      <c r="BG7" s="24">
        <v>44290.0</v>
      </c>
      <c r="BH7" s="7"/>
      <c r="BI7" s="7" t="s">
        <v>450</v>
      </c>
      <c r="BJ7" s="7"/>
      <c r="BK7" s="7" t="b">
        <v>0</v>
      </c>
      <c r="BL7" s="7" t="b">
        <v>0</v>
      </c>
      <c r="BM7" s="7"/>
      <c r="BN7" s="7" t="str">
        <f>IFERROR(__xludf.DUMMYFUNCTION(" IF( REGEXMATCH(C7 , ""[(].+[)]""),REGEXREPLACE( CONCATENATE(REGEXEXTRACT(C7 , ""[(].+[)]""),IF(REGEXMATCH(C7 , ""[(][Ll]['’][)]""),"""","" ""), REGEXEXTRACT(C7 ,""^(?:(?:[A-Za-zàäéèêîïöôûü0-9 ](?:[A-Za-zàäéèêîïöôûü'0-9 ]+)))"")) , ""[()]"", """"),C7 )"),"A l'Case Césaire")</f>
        <v>A l'Case Césaire</v>
      </c>
      <c r="BO7" s="25"/>
      <c r="BP7" s="7"/>
      <c r="BQ7" s="7"/>
      <c r="BR7" s="7"/>
      <c r="BS7" s="7"/>
      <c r="BT7" s="7"/>
      <c r="BU7" s="7"/>
      <c r="BV7" s="7"/>
      <c r="BW7" s="7"/>
      <c r="BX7" s="7"/>
      <c r="BY7" s="7"/>
      <c r="BZ7" s="7"/>
      <c r="CA7" s="7"/>
      <c r="CB7" s="7"/>
    </row>
    <row r="8" ht="21.75" customHeight="1">
      <c r="A8" s="7">
        <v>4014.0</v>
      </c>
      <c r="B8" s="7">
        <v>7.0</v>
      </c>
      <c r="C8" s="7" t="s">
        <v>451</v>
      </c>
      <c r="D8" s="7"/>
      <c r="E8" s="7"/>
      <c r="F8" s="7" t="s">
        <v>404</v>
      </c>
      <c r="G8" s="7" t="s">
        <v>343</v>
      </c>
      <c r="H8" s="7" t="s">
        <v>123</v>
      </c>
      <c r="I8" s="7" t="s">
        <v>452</v>
      </c>
      <c r="J8" s="7"/>
      <c r="K8" s="7" t="s">
        <v>58</v>
      </c>
      <c r="L8" s="7" t="s">
        <v>453</v>
      </c>
      <c r="M8" s="7" t="s">
        <v>454</v>
      </c>
      <c r="N8" s="7" t="s">
        <v>455</v>
      </c>
      <c r="O8" s="7">
        <v>97480.0</v>
      </c>
      <c r="P8" s="7" t="s">
        <v>123</v>
      </c>
      <c r="Q8" s="7"/>
      <c r="R8" s="7"/>
      <c r="S8" s="7"/>
      <c r="T8" s="7" t="s">
        <v>377</v>
      </c>
      <c r="U8" s="7" t="s">
        <v>424</v>
      </c>
      <c r="V8" s="7">
        <v>2.62102944E8</v>
      </c>
      <c r="W8" s="7">
        <v>6.9225332E8</v>
      </c>
      <c r="X8" s="7"/>
      <c r="Y8" s="7"/>
      <c r="Z8" s="7" t="s">
        <v>456</v>
      </c>
      <c r="AA8" s="7">
        <v>4.0</v>
      </c>
      <c r="AB8" s="7"/>
      <c r="AC8" s="7" t="s">
        <v>457</v>
      </c>
      <c r="AD8" s="7" t="s">
        <v>458</v>
      </c>
      <c r="AE8" s="7" t="s">
        <v>459</v>
      </c>
      <c r="AF8" s="7"/>
      <c r="AG8" s="7"/>
      <c r="AH8" s="20">
        <v>42244.0</v>
      </c>
      <c r="AI8" s="7"/>
      <c r="AJ8" s="7" t="s">
        <v>460</v>
      </c>
      <c r="AK8" s="7">
        <v>3.3274170100061E13</v>
      </c>
      <c r="AL8" s="7" t="s">
        <v>461</v>
      </c>
      <c r="AM8" s="7" t="s">
        <v>462</v>
      </c>
      <c r="AN8" s="20">
        <v>42244.0</v>
      </c>
      <c r="AO8" s="7">
        <v>97480.0</v>
      </c>
      <c r="AP8" s="7" t="s">
        <v>385</v>
      </c>
      <c r="AQ8" s="7"/>
      <c r="AR8" s="7"/>
      <c r="AS8" s="7"/>
      <c r="AT8" s="7"/>
      <c r="AU8" s="7">
        <v>2.0</v>
      </c>
      <c r="AV8" s="7" t="s">
        <v>463</v>
      </c>
      <c r="AW8" s="7" t="s">
        <v>364</v>
      </c>
      <c r="AX8" s="7"/>
      <c r="AY8" s="7"/>
      <c r="AZ8" s="7"/>
      <c r="BA8" s="7"/>
      <c r="BB8" s="7"/>
      <c r="BC8" s="7" t="s">
        <v>366</v>
      </c>
      <c r="BD8" s="21">
        <v>44122.17291666667</v>
      </c>
      <c r="BE8" s="7"/>
      <c r="BF8" s="7"/>
      <c r="BG8" s="22">
        <v>44122.0</v>
      </c>
      <c r="BH8" s="7">
        <v>3.32741701E8</v>
      </c>
      <c r="BI8" s="7" t="s">
        <v>464</v>
      </c>
      <c r="BJ8" s="7"/>
      <c r="BK8" s="7" t="b">
        <v>0</v>
      </c>
      <c r="BL8" s="7" t="b">
        <v>0</v>
      </c>
      <c r="BM8" s="7"/>
      <c r="BN8" s="7" t="str">
        <f>IFERROR(__xludf.DUMMYFUNCTION(" IF( REGEXMATCH(C8 , ""[(].+[)]""),REGEXREPLACE( CONCATENATE(REGEXEXTRACT(C8 , ""[(].+[)]""),IF(REGEXMATCH(C8 , ""[(][Ll]['’][)]""),"""","" ""), REGEXEXTRACT(C8 ,""^(?:(?:[A-Za-zàäéèêîïöôûü0-9 ](?:[A-Za-zàäéèêîïöôûü'0-9 ]+)))"")) , ""[()]"", """"),C8 )"),"A La Maison")</f>
        <v>A La Maison</v>
      </c>
      <c r="BO8" s="23"/>
      <c r="BP8" s="7"/>
      <c r="BQ8" s="7"/>
      <c r="BR8" s="7"/>
      <c r="BS8" s="7"/>
      <c r="BT8" s="7"/>
      <c r="BU8" s="7"/>
      <c r="BV8" s="7"/>
      <c r="BW8" s="7"/>
      <c r="BX8" s="7"/>
      <c r="BY8" s="7"/>
      <c r="BZ8" s="7"/>
      <c r="CA8" s="7"/>
      <c r="CB8" s="7"/>
    </row>
    <row r="9" ht="21.75" customHeight="1">
      <c r="A9" s="7">
        <v>1856.0</v>
      </c>
      <c r="B9" s="7" t="s">
        <v>465</v>
      </c>
      <c r="C9" s="7" t="s">
        <v>466</v>
      </c>
      <c r="D9" s="7" t="s">
        <v>467</v>
      </c>
      <c r="E9" s="7"/>
      <c r="F9" s="7" t="s">
        <v>342</v>
      </c>
      <c r="G9" s="7" t="s">
        <v>343</v>
      </c>
      <c r="H9" s="7" t="s">
        <v>40</v>
      </c>
      <c r="I9" s="7" t="s">
        <v>468</v>
      </c>
      <c r="J9" s="7"/>
      <c r="K9" s="6" t="s">
        <v>469</v>
      </c>
      <c r="L9" s="7" t="s">
        <v>470</v>
      </c>
      <c r="M9" s="7" t="s">
        <v>471</v>
      </c>
      <c r="N9" s="7" t="s">
        <v>472</v>
      </c>
      <c r="O9" s="7">
        <v>97414.0</v>
      </c>
      <c r="P9" s="7" t="s">
        <v>40</v>
      </c>
      <c r="Q9" s="7"/>
      <c r="R9" s="7"/>
      <c r="S9" s="7"/>
      <c r="T9" s="7" t="s">
        <v>377</v>
      </c>
      <c r="U9" s="7" t="s">
        <v>378</v>
      </c>
      <c r="V9" s="7"/>
      <c r="W9" s="7">
        <v>6.92667144E8</v>
      </c>
      <c r="X9" s="7"/>
      <c r="Y9" s="7">
        <v>2.62370804E8</v>
      </c>
      <c r="Z9" s="7" t="s">
        <v>473</v>
      </c>
      <c r="AA9" s="7">
        <v>12.0</v>
      </c>
      <c r="AB9" s="7"/>
      <c r="AC9" s="7"/>
      <c r="AD9" s="7" t="s">
        <v>474</v>
      </c>
      <c r="AE9" s="7" t="s">
        <v>475</v>
      </c>
      <c r="AF9" s="7"/>
      <c r="AG9" s="7"/>
      <c r="AH9" s="20">
        <v>43739.0</v>
      </c>
      <c r="AI9" s="7"/>
      <c r="AJ9" s="7" t="s">
        <v>476</v>
      </c>
      <c r="AK9" s="7">
        <v>5.0450680900012E13</v>
      </c>
      <c r="AL9" s="7" t="s">
        <v>477</v>
      </c>
      <c r="AM9" s="7" t="s">
        <v>478</v>
      </c>
      <c r="AN9" s="20">
        <v>43739.0</v>
      </c>
      <c r="AO9" s="7">
        <v>97414.0</v>
      </c>
      <c r="AP9" s="7" t="s">
        <v>429</v>
      </c>
      <c r="AQ9" s="7"/>
      <c r="AR9" s="7"/>
      <c r="AS9" s="7"/>
      <c r="AT9" s="7"/>
      <c r="AU9" s="7">
        <v>0.0</v>
      </c>
      <c r="AV9" s="7" t="s">
        <v>479</v>
      </c>
      <c r="AW9" s="7" t="s">
        <v>364</v>
      </c>
      <c r="AX9" s="7"/>
      <c r="AY9" s="7"/>
      <c r="AZ9" s="7"/>
      <c r="BA9" s="7"/>
      <c r="BB9" s="7"/>
      <c r="BC9" s="7" t="s">
        <v>401</v>
      </c>
      <c r="BD9" s="21">
        <v>44056.447916666664</v>
      </c>
      <c r="BE9" s="7" t="s">
        <v>480</v>
      </c>
      <c r="BF9" s="7"/>
      <c r="BG9" s="7"/>
      <c r="BH9" s="7">
        <v>5.04506809E8</v>
      </c>
      <c r="BI9" s="7" t="s">
        <v>481</v>
      </c>
      <c r="BJ9" s="7"/>
      <c r="BK9" s="7" t="b">
        <v>0</v>
      </c>
      <c r="BL9" s="7" t="b">
        <v>0</v>
      </c>
      <c r="BM9" s="7"/>
      <c r="BN9" s="7" t="str">
        <f>IFERROR(__xludf.DUMMYFUNCTION(" IF( REGEXMATCH(C9 , ""[(].+[)]""),REGEXREPLACE( CONCATENATE(REGEXEXTRACT(C9 , ""[(].+[)]""),IF(REGEXMATCH(C9 , ""[(][Ll]['’][)]""),"""","" ""), REGEXEXTRACT(C9 ,""^(?:(?:[A-Za-zàäéèêîïöôûü0-9 ](?:[A-Za-zàäéèêîïöôûü'0-9 ]+)))"")) , ""[()]"", """"),C9 )"),"A'RaNd'O")</f>
        <v>A'RaNd'O</v>
      </c>
      <c r="BO9" s="25"/>
      <c r="BP9" s="7"/>
      <c r="BQ9" s="7"/>
      <c r="BR9" s="7"/>
      <c r="BS9" s="7"/>
      <c r="BT9" s="7"/>
      <c r="BU9" s="7"/>
      <c r="BV9" s="7"/>
      <c r="BW9" s="7"/>
      <c r="BX9" s="7"/>
      <c r="BY9" s="7"/>
      <c r="BZ9" s="7"/>
      <c r="CA9" s="7"/>
      <c r="CB9" s="7"/>
    </row>
    <row r="10" ht="21.75" customHeight="1">
      <c r="A10" s="7">
        <v>811.0</v>
      </c>
      <c r="B10" s="7">
        <v>9.0</v>
      </c>
      <c r="C10" s="7" t="s">
        <v>482</v>
      </c>
      <c r="D10" s="7" t="s">
        <v>483</v>
      </c>
      <c r="E10" s="7"/>
      <c r="F10" s="7" t="s">
        <v>404</v>
      </c>
      <c r="G10" s="7" t="s">
        <v>343</v>
      </c>
      <c r="H10" s="7" t="s">
        <v>344</v>
      </c>
      <c r="I10" s="7" t="s">
        <v>484</v>
      </c>
      <c r="J10" s="7"/>
      <c r="K10" s="7" t="s">
        <v>34</v>
      </c>
      <c r="L10" s="7" t="s">
        <v>485</v>
      </c>
      <c r="M10" s="7" t="s">
        <v>486</v>
      </c>
      <c r="N10" s="7" t="s">
        <v>407</v>
      </c>
      <c r="O10" s="7">
        <v>97430.0</v>
      </c>
      <c r="P10" s="7" t="s">
        <v>344</v>
      </c>
      <c r="Q10" s="7"/>
      <c r="R10" s="7" t="s">
        <v>487</v>
      </c>
      <c r="S10" s="7" t="s">
        <v>488</v>
      </c>
      <c r="T10" s="7" t="s">
        <v>377</v>
      </c>
      <c r="U10" s="7" t="s">
        <v>353</v>
      </c>
      <c r="V10" s="7">
        <v>2.62273201E8</v>
      </c>
      <c r="W10" s="7">
        <v>6.92768929E8</v>
      </c>
      <c r="X10" s="7"/>
      <c r="Y10" s="7">
        <v>2.62273201E8</v>
      </c>
      <c r="Z10" s="7" t="s">
        <v>489</v>
      </c>
      <c r="AA10" s="7">
        <v>25.0</v>
      </c>
      <c r="AB10" s="7"/>
      <c r="AC10" s="7"/>
      <c r="AD10" s="7" t="s">
        <v>490</v>
      </c>
      <c r="AE10" s="7"/>
      <c r="AF10" s="7"/>
      <c r="AG10" s="7"/>
      <c r="AH10" s="20">
        <v>39673.0</v>
      </c>
      <c r="AI10" s="7"/>
      <c r="AJ10" s="7" t="s">
        <v>491</v>
      </c>
      <c r="AK10" s="7"/>
      <c r="AL10" s="7" t="s">
        <v>492</v>
      </c>
      <c r="AM10" s="7" t="s">
        <v>493</v>
      </c>
      <c r="AN10" s="20">
        <v>39575.0</v>
      </c>
      <c r="AO10" s="7">
        <v>97430.0</v>
      </c>
      <c r="AP10" s="7" t="s">
        <v>494</v>
      </c>
      <c r="AQ10" s="7"/>
      <c r="AR10" s="7"/>
      <c r="AS10" s="7"/>
      <c r="AT10" s="7"/>
      <c r="AU10" s="7">
        <v>0.0</v>
      </c>
      <c r="AV10" s="7" t="s">
        <v>495</v>
      </c>
      <c r="AW10" s="7" t="s">
        <v>364</v>
      </c>
      <c r="AX10" s="7"/>
      <c r="AY10" s="7"/>
      <c r="AZ10" s="7"/>
      <c r="BA10" s="7"/>
      <c r="BB10" s="7"/>
      <c r="BC10" s="7" t="s">
        <v>366</v>
      </c>
      <c r="BD10" s="21">
        <v>44080.470138888886</v>
      </c>
      <c r="BE10" s="7"/>
      <c r="BF10" s="7"/>
      <c r="BG10" s="22">
        <v>44080.0</v>
      </c>
      <c r="BH10" s="7"/>
      <c r="BI10" s="7" t="s">
        <v>496</v>
      </c>
      <c r="BJ10" s="7"/>
      <c r="BK10" s="7" t="b">
        <v>0</v>
      </c>
      <c r="BL10" s="7" t="b">
        <v>0</v>
      </c>
      <c r="BM10" s="7"/>
      <c r="BN10" s="7" t="str">
        <f>IFERROR(__xludf.DUMMYFUNCTION(" IF( REGEXMATCH(C10 , ""[(].+[)]""),REGEXREPLACE( CONCATENATE(REGEXEXTRACT(C10 , ""[(].+[)]""),IF(REGEXMATCH(C10 , ""[(][Ll]['’][)]""),"""","" ""), REGEXEXTRACT(C10 ,""^(?:(?:[A-Za-zàäéèêîïöôûü0-9 ](?:[A-Za-zàäéèêîïöôûü'0-9 ]+)))"")) , ""[()]"", """"),C10"&amp;" )"),"L'Acacia Bleu ")</f>
        <v>L'Acacia Bleu </v>
      </c>
      <c r="BO10" s="23"/>
      <c r="BP10" s="7"/>
      <c r="BQ10" s="7"/>
      <c r="BR10" s="7"/>
      <c r="BS10" s="7"/>
      <c r="BT10" s="7"/>
      <c r="BU10" s="7"/>
      <c r="BV10" s="7"/>
      <c r="BW10" s="7"/>
      <c r="BX10" s="7"/>
      <c r="BY10" s="7"/>
      <c r="BZ10" s="7"/>
      <c r="CA10" s="7"/>
      <c r="CB10" s="7"/>
    </row>
    <row r="11" ht="21.75" customHeight="1">
      <c r="A11" s="7">
        <v>810.0</v>
      </c>
      <c r="B11" s="7">
        <v>10.0</v>
      </c>
      <c r="C11" s="7" t="s">
        <v>482</v>
      </c>
      <c r="D11" s="7" t="s">
        <v>497</v>
      </c>
      <c r="E11" s="7"/>
      <c r="F11" s="7" t="s">
        <v>404</v>
      </c>
      <c r="G11" s="7" t="s">
        <v>343</v>
      </c>
      <c r="H11" s="7" t="s">
        <v>344</v>
      </c>
      <c r="I11" s="7" t="s">
        <v>484</v>
      </c>
      <c r="J11" s="7"/>
      <c r="K11" s="7" t="s">
        <v>58</v>
      </c>
      <c r="L11" s="7" t="s">
        <v>453</v>
      </c>
      <c r="M11" s="7" t="s">
        <v>454</v>
      </c>
      <c r="N11" s="7" t="s">
        <v>407</v>
      </c>
      <c r="O11" s="7">
        <v>97430.0</v>
      </c>
      <c r="P11" s="7" t="s">
        <v>344</v>
      </c>
      <c r="Q11" s="7"/>
      <c r="R11" s="7" t="s">
        <v>498</v>
      </c>
      <c r="S11" s="7" t="s">
        <v>488</v>
      </c>
      <c r="T11" s="7" t="s">
        <v>499</v>
      </c>
      <c r="U11" s="7" t="s">
        <v>353</v>
      </c>
      <c r="V11" s="7">
        <v>2.62273201E8</v>
      </c>
      <c r="W11" s="7">
        <v>6.92768929E8</v>
      </c>
      <c r="X11" s="7"/>
      <c r="Y11" s="7">
        <v>2.62273201E8</v>
      </c>
      <c r="Z11" s="7" t="s">
        <v>489</v>
      </c>
      <c r="AA11" s="7">
        <v>3.0</v>
      </c>
      <c r="AB11" s="7"/>
      <c r="AC11" s="7"/>
      <c r="AD11" s="7" t="s">
        <v>500</v>
      </c>
      <c r="AE11" s="7" t="s">
        <v>501</v>
      </c>
      <c r="AF11" s="7"/>
      <c r="AG11" s="7"/>
      <c r="AH11" s="20">
        <v>39575.0</v>
      </c>
      <c r="AI11" s="7"/>
      <c r="AJ11" s="7" t="s">
        <v>491</v>
      </c>
      <c r="AK11" s="7"/>
      <c r="AL11" s="7" t="s">
        <v>492</v>
      </c>
      <c r="AM11" s="7" t="s">
        <v>493</v>
      </c>
      <c r="AN11" s="20">
        <v>39575.0</v>
      </c>
      <c r="AO11" s="7">
        <v>97430.0</v>
      </c>
      <c r="AP11" s="7" t="s">
        <v>494</v>
      </c>
      <c r="AQ11" s="7"/>
      <c r="AR11" s="7"/>
      <c r="AS11" s="7"/>
      <c r="AT11" s="7"/>
      <c r="AU11" s="7">
        <v>1.0</v>
      </c>
      <c r="AV11" s="7" t="s">
        <v>495</v>
      </c>
      <c r="AW11" s="7" t="s">
        <v>364</v>
      </c>
      <c r="AX11" s="7"/>
      <c r="AY11" s="7"/>
      <c r="AZ11" s="7"/>
      <c r="BA11" s="7"/>
      <c r="BB11" s="7"/>
      <c r="BC11" s="7" t="s">
        <v>366</v>
      </c>
      <c r="BD11" s="21">
        <v>44080.470138888886</v>
      </c>
      <c r="BE11" s="7"/>
      <c r="BF11" s="7"/>
      <c r="BG11" s="22">
        <v>44080.0</v>
      </c>
      <c r="BH11" s="7"/>
      <c r="BI11" s="7" t="s">
        <v>496</v>
      </c>
      <c r="BJ11" s="7"/>
      <c r="BK11" s="7" t="b">
        <v>0</v>
      </c>
      <c r="BL11" s="7" t="b">
        <v>0</v>
      </c>
      <c r="BM11" s="7"/>
      <c r="BN11" s="7" t="str">
        <f>IFERROR(__xludf.DUMMYFUNCTION(" IF( REGEXMATCH(C11 , ""[(].+[)]""),REGEXREPLACE( CONCATENATE(REGEXEXTRACT(C11 , ""[(].+[)]""),IF(REGEXMATCH(C11 , ""[(][Ll]['’][)]""),"""","" ""), REGEXEXTRACT(C11 ,""^(?:(?:[A-Za-zàäéèêîïöôûü0-9 ](?:[A-Za-zàäéèêîïöôûü'0-9 ]+)))"")) , ""[()]"", """"),C11"&amp;" )"),"L'Acacia Bleu ")</f>
        <v>L'Acacia Bleu </v>
      </c>
      <c r="BO11" s="23"/>
      <c r="BP11" s="7"/>
      <c r="BQ11" s="7"/>
      <c r="BR11" s="7"/>
      <c r="BS11" s="7"/>
      <c r="BT11" s="7"/>
      <c r="BU11" s="7"/>
      <c r="BV11" s="7"/>
      <c r="BW11" s="7"/>
      <c r="BX11" s="7"/>
      <c r="BY11" s="7"/>
      <c r="BZ11" s="7"/>
      <c r="CA11" s="7"/>
      <c r="CB11" s="7"/>
    </row>
    <row r="12" ht="21.75" customHeight="1">
      <c r="A12" s="7">
        <v>252.0</v>
      </c>
      <c r="B12" s="7">
        <v>11.0</v>
      </c>
      <c r="C12" s="7" t="s">
        <v>502</v>
      </c>
      <c r="D12" s="7" t="s">
        <v>503</v>
      </c>
      <c r="E12" s="7"/>
      <c r="F12" s="7" t="s">
        <v>404</v>
      </c>
      <c r="G12" s="7" t="s">
        <v>343</v>
      </c>
      <c r="H12" s="7" t="s">
        <v>344</v>
      </c>
      <c r="I12" s="7" t="s">
        <v>504</v>
      </c>
      <c r="J12" s="7"/>
      <c r="K12" s="7" t="s">
        <v>58</v>
      </c>
      <c r="L12" s="7" t="s">
        <v>59</v>
      </c>
      <c r="M12" s="7" t="s">
        <v>346</v>
      </c>
      <c r="N12" s="7" t="s">
        <v>407</v>
      </c>
      <c r="O12" s="7">
        <v>97418.0</v>
      </c>
      <c r="P12" s="7" t="s">
        <v>348</v>
      </c>
      <c r="Q12" s="7" t="s">
        <v>349</v>
      </c>
      <c r="R12" s="7" t="s">
        <v>505</v>
      </c>
      <c r="S12" s="7" t="s">
        <v>506</v>
      </c>
      <c r="T12" s="7" t="s">
        <v>377</v>
      </c>
      <c r="U12" s="7" t="s">
        <v>353</v>
      </c>
      <c r="V12" s="7"/>
      <c r="W12" s="7">
        <v>6.92649358E8</v>
      </c>
      <c r="X12" s="7"/>
      <c r="Y12" s="7">
        <v>2.62353478E8</v>
      </c>
      <c r="Z12" s="7" t="s">
        <v>507</v>
      </c>
      <c r="AA12" s="7">
        <v>24.0</v>
      </c>
      <c r="AB12" s="7"/>
      <c r="AC12" s="7"/>
      <c r="AD12" s="7" t="s">
        <v>508</v>
      </c>
      <c r="AE12" s="7"/>
      <c r="AF12" s="7"/>
      <c r="AG12" s="7"/>
      <c r="AH12" s="20">
        <v>39575.0</v>
      </c>
      <c r="AI12" s="7"/>
      <c r="AJ12" s="7" t="s">
        <v>509</v>
      </c>
      <c r="AK12" s="7">
        <v>3.1826574100278E13</v>
      </c>
      <c r="AL12" s="7" t="s">
        <v>510</v>
      </c>
      <c r="AM12" s="7" t="s">
        <v>511</v>
      </c>
      <c r="AN12" s="20">
        <v>39575.0</v>
      </c>
      <c r="AO12" s="7">
        <v>97410.0</v>
      </c>
      <c r="AP12" s="7" t="s">
        <v>512</v>
      </c>
      <c r="AQ12" s="7"/>
      <c r="AR12" s="7"/>
      <c r="AS12" s="7"/>
      <c r="AT12" s="7"/>
      <c r="AU12" s="7">
        <v>2.0</v>
      </c>
      <c r="AV12" s="7" t="s">
        <v>513</v>
      </c>
      <c r="AW12" s="7" t="s">
        <v>364</v>
      </c>
      <c r="AX12" s="7"/>
      <c r="AY12" s="7"/>
      <c r="AZ12" s="7"/>
      <c r="BA12" s="7"/>
      <c r="BB12" s="7"/>
      <c r="BC12" s="7" t="s">
        <v>366</v>
      </c>
      <c r="BD12" s="21">
        <v>44081.22152777778</v>
      </c>
      <c r="BE12" s="7"/>
      <c r="BF12" s="7"/>
      <c r="BG12" s="22">
        <v>44081.0</v>
      </c>
      <c r="BH12" s="7">
        <v>3.18265741E8</v>
      </c>
      <c r="BI12" s="7" t="s">
        <v>514</v>
      </c>
      <c r="BJ12" s="7"/>
      <c r="BK12" s="7" t="b">
        <v>0</v>
      </c>
      <c r="BL12" s="7" t="b">
        <v>1</v>
      </c>
      <c r="BM12" s="7"/>
      <c r="BN12" s="7" t="str">
        <f>IFERROR(__xludf.DUMMYFUNCTION(" IF( REGEXMATCH(C12 , ""[(].+[)]""),REGEXREPLACE( CONCATENATE(REGEXEXTRACT(C12 , ""[(].+[)]""),IF(REGEXMATCH(C12 , ""[(][Ll]['’][)]""),"""","" ""), REGEXEXTRACT(C12 ,""^(?:(?:[A-Za-zàäéèêîïöôûü0-9 ](?:[A-Za-zàäéèêîïöôûü'0-9 ]+)))"")) , ""[()]"", """"),C12"&amp;" )"),"L'Accueil ")</f>
        <v>L'Accueil </v>
      </c>
      <c r="BO12" s="23"/>
      <c r="BP12" s="7"/>
      <c r="BQ12" s="7"/>
      <c r="BR12" s="7"/>
      <c r="BS12" s="7"/>
      <c r="BT12" s="7"/>
      <c r="BU12" s="7"/>
      <c r="BV12" s="7"/>
      <c r="BW12" s="7"/>
      <c r="BX12" s="7"/>
      <c r="BY12" s="7"/>
      <c r="BZ12" s="7"/>
      <c r="CA12" s="7"/>
      <c r="CB12" s="7"/>
    </row>
    <row r="13" ht="21.75" customHeight="1">
      <c r="A13" s="7">
        <v>4572.0</v>
      </c>
      <c r="B13" s="7">
        <v>12.0</v>
      </c>
      <c r="C13" s="7" t="s">
        <v>515</v>
      </c>
      <c r="D13" s="7"/>
      <c r="E13" s="7"/>
      <c r="F13" s="7" t="s">
        <v>404</v>
      </c>
      <c r="G13" s="7" t="s">
        <v>343</v>
      </c>
      <c r="H13" s="7" t="s">
        <v>123</v>
      </c>
      <c r="I13" s="7" t="s">
        <v>516</v>
      </c>
      <c r="J13" s="7"/>
      <c r="K13" s="7" t="s">
        <v>58</v>
      </c>
      <c r="L13" s="7" t="s">
        <v>59</v>
      </c>
      <c r="M13" s="7" t="s">
        <v>346</v>
      </c>
      <c r="N13" s="7" t="s">
        <v>455</v>
      </c>
      <c r="O13" s="7">
        <v>97480.0</v>
      </c>
      <c r="P13" s="7" t="s">
        <v>123</v>
      </c>
      <c r="Q13" s="7"/>
      <c r="R13" s="7" t="s">
        <v>517</v>
      </c>
      <c r="S13" s="7" t="s">
        <v>518</v>
      </c>
      <c r="T13" s="7" t="s">
        <v>377</v>
      </c>
      <c r="U13" s="7" t="s">
        <v>378</v>
      </c>
      <c r="V13" s="7"/>
      <c r="W13" s="7">
        <v>6.25790833E8</v>
      </c>
      <c r="X13" s="7"/>
      <c r="Y13" s="7"/>
      <c r="Z13" s="7" t="s">
        <v>519</v>
      </c>
      <c r="AA13" s="7">
        <v>7.0</v>
      </c>
      <c r="AB13" s="7"/>
      <c r="AC13" s="7" t="s">
        <v>520</v>
      </c>
      <c r="AD13" s="7" t="s">
        <v>521</v>
      </c>
      <c r="AE13" s="7" t="s">
        <v>522</v>
      </c>
      <c r="AF13" s="7"/>
      <c r="AG13" s="7"/>
      <c r="AH13" s="20">
        <v>43355.0</v>
      </c>
      <c r="AI13" s="7"/>
      <c r="AJ13" s="7" t="s">
        <v>523</v>
      </c>
      <c r="AK13" s="7">
        <v>8.3336836800019E13</v>
      </c>
      <c r="AL13" s="7" t="s">
        <v>524</v>
      </c>
      <c r="AM13" s="7" t="s">
        <v>525</v>
      </c>
      <c r="AN13" s="20">
        <v>43355.0</v>
      </c>
      <c r="AO13" s="7">
        <v>97480.0</v>
      </c>
      <c r="AP13" s="7" t="s">
        <v>385</v>
      </c>
      <c r="AQ13" s="7"/>
      <c r="AR13" s="7"/>
      <c r="AS13" s="7"/>
      <c r="AT13" s="7"/>
      <c r="AU13" s="7">
        <v>0.0</v>
      </c>
      <c r="AV13" s="7" t="s">
        <v>526</v>
      </c>
      <c r="AW13" s="7" t="s">
        <v>364</v>
      </c>
      <c r="AX13" s="7"/>
      <c r="AY13" s="7"/>
      <c r="AZ13" s="7"/>
      <c r="BA13" s="7"/>
      <c r="BB13" s="7"/>
      <c r="BC13" s="7" t="s">
        <v>366</v>
      </c>
      <c r="BD13" s="21">
        <v>44217.0</v>
      </c>
      <c r="BE13" s="7"/>
      <c r="BF13" s="7"/>
      <c r="BG13" s="22">
        <v>44217.0</v>
      </c>
      <c r="BH13" s="7">
        <v>8.33368368E8</v>
      </c>
      <c r="BI13" s="7" t="s">
        <v>527</v>
      </c>
      <c r="BJ13" s="7"/>
      <c r="BK13" s="7" t="b">
        <v>0</v>
      </c>
      <c r="BL13" s="7" t="b">
        <v>0</v>
      </c>
      <c r="BM13" s="7"/>
      <c r="BN13" s="7" t="str">
        <f>IFERROR(__xludf.DUMMYFUNCTION(" IF( REGEXMATCH(C13 , ""[(].+[)]""),REGEXREPLACE( CONCATENATE(REGEXEXTRACT(C13 , ""[(].+[)]""),IF(REGEXMATCH(C13 , ""[(][Ll]['’][)]""),"""","" ""), REGEXEXTRACT(C13 ,""^(?:(?:[A-Za-zàäéèêîïöôûü0-9 ](?:[A-Za-zàäéèêîïöôûü'0-9 ]+)))"")) , ""[()]"", """"),C13"&amp;" )"),"Adrianna n°1")</f>
        <v>Adrianna n°1</v>
      </c>
      <c r="BO13" s="23"/>
      <c r="BP13" s="7"/>
      <c r="BQ13" s="7"/>
      <c r="BR13" s="7"/>
      <c r="BS13" s="7"/>
      <c r="BT13" s="7"/>
      <c r="BU13" s="7"/>
      <c r="BV13" s="7"/>
      <c r="BW13" s="7"/>
      <c r="BX13" s="7"/>
      <c r="BY13" s="7"/>
      <c r="BZ13" s="7"/>
      <c r="CA13" s="7"/>
      <c r="CB13" s="7"/>
    </row>
    <row r="14" ht="21.75" customHeight="1">
      <c r="A14" s="7">
        <v>4831.0</v>
      </c>
      <c r="B14" s="7">
        <v>13.0</v>
      </c>
      <c r="C14" s="7" t="s">
        <v>528</v>
      </c>
      <c r="D14" s="7"/>
      <c r="E14" s="7"/>
      <c r="F14" s="7" t="s">
        <v>404</v>
      </c>
      <c r="G14" s="7" t="s">
        <v>343</v>
      </c>
      <c r="H14" s="7" t="s">
        <v>123</v>
      </c>
      <c r="I14" s="7" t="s">
        <v>529</v>
      </c>
      <c r="J14" s="7"/>
      <c r="K14" s="7" t="s">
        <v>58</v>
      </c>
      <c r="L14" s="7" t="s">
        <v>59</v>
      </c>
      <c r="M14" s="7" t="s">
        <v>346</v>
      </c>
      <c r="N14" s="7" t="s">
        <v>455</v>
      </c>
      <c r="O14" s="7">
        <v>97480.0</v>
      </c>
      <c r="P14" s="7" t="s">
        <v>123</v>
      </c>
      <c r="Q14" s="7"/>
      <c r="R14" s="7" t="s">
        <v>517</v>
      </c>
      <c r="S14" s="7" t="s">
        <v>518</v>
      </c>
      <c r="T14" s="7"/>
      <c r="U14" s="7" t="s">
        <v>378</v>
      </c>
      <c r="V14" s="7"/>
      <c r="W14" s="7">
        <v>6.25790833E8</v>
      </c>
      <c r="X14" s="7"/>
      <c r="Y14" s="7"/>
      <c r="Z14" s="7" t="s">
        <v>519</v>
      </c>
      <c r="AA14" s="7">
        <v>4.0</v>
      </c>
      <c r="AB14" s="7"/>
      <c r="AC14" s="7" t="s">
        <v>530</v>
      </c>
      <c r="AD14" s="7" t="s">
        <v>531</v>
      </c>
      <c r="AE14" s="7" t="s">
        <v>532</v>
      </c>
      <c r="AF14" s="7"/>
      <c r="AG14" s="7"/>
      <c r="AH14" s="20">
        <v>43480.0</v>
      </c>
      <c r="AI14" s="7"/>
      <c r="AJ14" s="7" t="s">
        <v>523</v>
      </c>
      <c r="AK14" s="7">
        <v>8.3336836800019E13</v>
      </c>
      <c r="AL14" s="7" t="s">
        <v>524</v>
      </c>
      <c r="AM14" s="7" t="s">
        <v>525</v>
      </c>
      <c r="AN14" s="20">
        <v>43355.0</v>
      </c>
      <c r="AO14" s="7">
        <v>97480.0</v>
      </c>
      <c r="AP14" s="7" t="s">
        <v>385</v>
      </c>
      <c r="AQ14" s="7"/>
      <c r="AR14" s="7"/>
      <c r="AS14" s="7"/>
      <c r="AT14" s="7"/>
      <c r="AU14" s="7">
        <v>0.0</v>
      </c>
      <c r="AV14" s="7" t="s">
        <v>526</v>
      </c>
      <c r="AW14" s="7" t="s">
        <v>533</v>
      </c>
      <c r="AX14" s="7"/>
      <c r="AY14" s="7"/>
      <c r="AZ14" s="7"/>
      <c r="BA14" s="7"/>
      <c r="BB14" s="7"/>
      <c r="BC14" s="7" t="s">
        <v>366</v>
      </c>
      <c r="BD14" s="21">
        <v>44218.0</v>
      </c>
      <c r="BE14" s="7"/>
      <c r="BF14" s="7"/>
      <c r="BG14" s="22">
        <v>44218.0</v>
      </c>
      <c r="BH14" s="7">
        <v>8.33368368E8</v>
      </c>
      <c r="BI14" s="7" t="s">
        <v>534</v>
      </c>
      <c r="BJ14" s="7"/>
      <c r="BK14" s="7" t="b">
        <v>0</v>
      </c>
      <c r="BL14" s="7" t="b">
        <v>1</v>
      </c>
      <c r="BM14" s="7"/>
      <c r="BN14" s="7" t="str">
        <f>IFERROR(__xludf.DUMMYFUNCTION(" IF( REGEXMATCH(C14 , ""[(].+[)]""),REGEXREPLACE( CONCATENATE(REGEXEXTRACT(C14 , ""[(].+[)]""),IF(REGEXMATCH(C14 , ""[(][Ll]['’][)]""),"""","" ""), REGEXEXTRACT(C14 ,""^(?:(?:[A-Za-zàäéèêîïöôûü0-9 ](?:[A-Za-zàäéèêîïöôûü'0-9 ]+)))"")) , ""[()]"", """"),C14"&amp;" )"),"Adrianna n°2")</f>
        <v>Adrianna n°2</v>
      </c>
      <c r="BO14" s="23"/>
      <c r="BP14" s="7"/>
      <c r="BQ14" s="7"/>
      <c r="BR14" s="7"/>
      <c r="BS14" s="7"/>
      <c r="BT14" s="7"/>
      <c r="BU14" s="7"/>
      <c r="BV14" s="7"/>
      <c r="BW14" s="7"/>
      <c r="BX14" s="7"/>
      <c r="BY14" s="7"/>
      <c r="BZ14" s="7"/>
      <c r="CA14" s="7"/>
      <c r="CB14" s="7"/>
    </row>
    <row r="15" ht="21.75" customHeight="1">
      <c r="A15" s="7">
        <v>4832.0</v>
      </c>
      <c r="B15" s="7">
        <v>14.0</v>
      </c>
      <c r="C15" s="7" t="s">
        <v>535</v>
      </c>
      <c r="D15" s="7"/>
      <c r="E15" s="7"/>
      <c r="F15" s="7" t="s">
        <v>404</v>
      </c>
      <c r="G15" s="7" t="s">
        <v>343</v>
      </c>
      <c r="H15" s="7" t="s">
        <v>123</v>
      </c>
      <c r="I15" s="7" t="s">
        <v>536</v>
      </c>
      <c r="J15" s="7"/>
      <c r="K15" s="7" t="s">
        <v>58</v>
      </c>
      <c r="L15" s="7" t="s">
        <v>59</v>
      </c>
      <c r="M15" s="7" t="s">
        <v>346</v>
      </c>
      <c r="N15" s="7" t="s">
        <v>455</v>
      </c>
      <c r="O15" s="7">
        <v>97480.0</v>
      </c>
      <c r="P15" s="7" t="s">
        <v>123</v>
      </c>
      <c r="Q15" s="7"/>
      <c r="R15" s="7" t="s">
        <v>517</v>
      </c>
      <c r="S15" s="7" t="s">
        <v>518</v>
      </c>
      <c r="T15" s="7"/>
      <c r="U15" s="7" t="s">
        <v>378</v>
      </c>
      <c r="V15" s="7"/>
      <c r="W15" s="7">
        <v>6.25790833E8</v>
      </c>
      <c r="X15" s="7"/>
      <c r="Y15" s="7"/>
      <c r="Z15" s="7" t="s">
        <v>519</v>
      </c>
      <c r="AA15" s="7">
        <v>3.0</v>
      </c>
      <c r="AB15" s="7"/>
      <c r="AC15" s="7" t="s">
        <v>537</v>
      </c>
      <c r="AD15" s="7" t="s">
        <v>531</v>
      </c>
      <c r="AE15" s="7" t="s">
        <v>532</v>
      </c>
      <c r="AF15" s="7"/>
      <c r="AG15" s="7"/>
      <c r="AH15" s="20">
        <v>43480.0</v>
      </c>
      <c r="AI15" s="7"/>
      <c r="AJ15" s="7" t="s">
        <v>523</v>
      </c>
      <c r="AK15" s="7">
        <v>8.3336836800019E13</v>
      </c>
      <c r="AL15" s="7" t="s">
        <v>524</v>
      </c>
      <c r="AM15" s="7" t="s">
        <v>525</v>
      </c>
      <c r="AN15" s="20">
        <v>43355.0</v>
      </c>
      <c r="AO15" s="7">
        <v>97480.0</v>
      </c>
      <c r="AP15" s="7" t="s">
        <v>385</v>
      </c>
      <c r="AQ15" s="7"/>
      <c r="AR15" s="7"/>
      <c r="AS15" s="7"/>
      <c r="AT15" s="7"/>
      <c r="AU15" s="7">
        <v>0.0</v>
      </c>
      <c r="AV15" s="7" t="s">
        <v>526</v>
      </c>
      <c r="AW15" s="7" t="s">
        <v>538</v>
      </c>
      <c r="AX15" s="7"/>
      <c r="AY15" s="7"/>
      <c r="AZ15" s="7"/>
      <c r="BA15" s="7"/>
      <c r="BB15" s="7"/>
      <c r="BC15" s="7" t="s">
        <v>366</v>
      </c>
      <c r="BD15" s="21">
        <v>44219.0</v>
      </c>
      <c r="BE15" s="7"/>
      <c r="BF15" s="7"/>
      <c r="BG15" s="22">
        <v>44219.0</v>
      </c>
      <c r="BH15" s="7">
        <v>8.33368368E8</v>
      </c>
      <c r="BI15" s="7" t="s">
        <v>539</v>
      </c>
      <c r="BJ15" s="7"/>
      <c r="BK15" s="7" t="b">
        <v>0</v>
      </c>
      <c r="BL15" s="7" t="b">
        <v>1</v>
      </c>
      <c r="BM15" s="7"/>
      <c r="BN15" s="7" t="str">
        <f>IFERROR(__xludf.DUMMYFUNCTION(" IF( REGEXMATCH(C15 , ""[(].+[)]""),REGEXREPLACE( CONCATENATE(REGEXEXTRACT(C15 , ""[(].+[)]""),IF(REGEXMATCH(C15 , ""[(][Ll]['’][)]""),"""","" ""), REGEXEXTRACT(C15 ,""^(?:(?:[A-Za-zàäéèêîïöôûü0-9 ](?:[A-Za-zàäéèêîïöôûü'0-9 ]+)))"")) , ""[()]"", """"),C15"&amp;" )"),"Adrianna n°3")</f>
        <v>Adrianna n°3</v>
      </c>
      <c r="BO15" s="23"/>
      <c r="BP15" s="7"/>
      <c r="BQ15" s="7"/>
      <c r="BR15" s="7"/>
      <c r="BS15" s="7"/>
      <c r="BT15" s="7"/>
      <c r="BU15" s="7"/>
      <c r="BV15" s="7"/>
      <c r="BW15" s="7"/>
      <c r="BX15" s="7"/>
      <c r="BY15" s="7"/>
      <c r="BZ15" s="7"/>
      <c r="CA15" s="7"/>
      <c r="CB15" s="7"/>
    </row>
    <row r="16" ht="21.75" customHeight="1">
      <c r="A16" s="7">
        <v>2999.0</v>
      </c>
      <c r="B16" s="7" t="s">
        <v>540</v>
      </c>
      <c r="C16" s="7" t="s">
        <v>541</v>
      </c>
      <c r="D16" s="7" t="s">
        <v>542</v>
      </c>
      <c r="E16" s="7"/>
      <c r="F16" s="7" t="s">
        <v>342</v>
      </c>
      <c r="G16" s="7" t="s">
        <v>343</v>
      </c>
      <c r="H16" s="7" t="s">
        <v>344</v>
      </c>
      <c r="I16" s="7" t="s">
        <v>543</v>
      </c>
      <c r="J16" s="26" t="s">
        <v>544</v>
      </c>
      <c r="K16" s="7" t="s">
        <v>58</v>
      </c>
      <c r="L16" s="7" t="s">
        <v>59</v>
      </c>
      <c r="M16" s="7" t="s">
        <v>545</v>
      </c>
      <c r="N16" s="7"/>
      <c r="O16" s="7">
        <v>97430.0</v>
      </c>
      <c r="P16" s="7" t="s">
        <v>344</v>
      </c>
      <c r="Q16" s="7"/>
      <c r="R16" s="7" t="s">
        <v>546</v>
      </c>
      <c r="S16" s="7"/>
      <c r="T16" s="7" t="s">
        <v>377</v>
      </c>
      <c r="U16" s="7" t="s">
        <v>378</v>
      </c>
      <c r="V16" s="7">
        <v>2.62572014E8</v>
      </c>
      <c r="W16" s="7">
        <v>6.92402155E8</v>
      </c>
      <c r="X16" s="7"/>
      <c r="Y16" s="7"/>
      <c r="Z16" s="7" t="s">
        <v>547</v>
      </c>
      <c r="AA16" s="7">
        <v>8.0</v>
      </c>
      <c r="AB16" s="7"/>
      <c r="AC16" s="7"/>
      <c r="AD16" s="7" t="s">
        <v>548</v>
      </c>
      <c r="AE16" s="7" t="s">
        <v>549</v>
      </c>
      <c r="AF16" s="7"/>
      <c r="AG16" s="7"/>
      <c r="AH16" s="20">
        <v>43739.0</v>
      </c>
      <c r="AI16" s="7"/>
      <c r="AJ16" s="7" t="s">
        <v>550</v>
      </c>
      <c r="AK16" s="7">
        <v>5.3157715300012E13</v>
      </c>
      <c r="AL16" s="7" t="s">
        <v>551</v>
      </c>
      <c r="AM16" s="7" t="s">
        <v>552</v>
      </c>
      <c r="AN16" s="20">
        <v>40743.0</v>
      </c>
      <c r="AO16" s="7">
        <v>97430.0</v>
      </c>
      <c r="AP16" s="7" t="s">
        <v>494</v>
      </c>
      <c r="AQ16" s="7"/>
      <c r="AR16" s="7"/>
      <c r="AS16" s="7"/>
      <c r="AT16" s="7"/>
      <c r="AU16" s="7">
        <v>2.0</v>
      </c>
      <c r="AV16" s="7" t="s">
        <v>553</v>
      </c>
      <c r="AW16" s="7"/>
      <c r="AX16" s="7"/>
      <c r="AY16" s="7"/>
      <c r="AZ16" s="7" t="s">
        <v>554</v>
      </c>
      <c r="BA16" s="7"/>
      <c r="BB16" s="7"/>
      <c r="BC16" s="7" t="s">
        <v>401</v>
      </c>
      <c r="BD16" s="21">
        <v>44091.17361111111</v>
      </c>
      <c r="BE16" s="7" t="s">
        <v>555</v>
      </c>
      <c r="BF16" s="7"/>
      <c r="BG16" s="7"/>
      <c r="BH16" s="7">
        <v>5.31577153E8</v>
      </c>
      <c r="BI16" s="7" t="s">
        <v>556</v>
      </c>
      <c r="BJ16" s="7"/>
      <c r="BK16" s="7" t="b">
        <v>0</v>
      </c>
      <c r="BL16" s="7" t="b">
        <v>1</v>
      </c>
      <c r="BM16" s="7"/>
      <c r="BN16" s="7" t="str">
        <f>IFERROR(__xludf.DUMMYFUNCTION(" IF( REGEXMATCH(C16 , ""[(].+[)]""),REGEXREPLACE( CONCATENATE(REGEXEXTRACT(C16 , ""[(].+[)]""),IF(REGEXMATCH(C16 , ""[(][Ll]['’][)]""),"""","" ""), REGEXEXTRACT(C16 ,""^(?:(?:[A-Za-zàäéèêîïöôûü0-9 ](?:[A-Za-zàäéèêîïöôûü'0-9 ]+)))"")) , ""[()]"", """"),C16"&amp;" )"),"Les Agapanthes ")</f>
        <v>Les Agapanthes </v>
      </c>
      <c r="BO16" s="25"/>
      <c r="BP16" s="7"/>
      <c r="BQ16" s="7"/>
      <c r="BR16" s="7"/>
      <c r="BS16" s="7"/>
      <c r="BT16" s="7"/>
      <c r="BU16" s="7"/>
      <c r="BV16" s="7"/>
      <c r="BW16" s="7"/>
      <c r="BX16" s="7"/>
      <c r="BY16" s="7"/>
      <c r="BZ16" s="7"/>
      <c r="CA16" s="7"/>
      <c r="CB16" s="7"/>
    </row>
    <row r="17" ht="21.75" customHeight="1">
      <c r="A17" s="7">
        <v>3914.0</v>
      </c>
      <c r="B17" s="7">
        <v>16.0</v>
      </c>
      <c r="C17" s="7" t="s">
        <v>557</v>
      </c>
      <c r="D17" s="7"/>
      <c r="E17" s="7"/>
      <c r="F17" s="7" t="s">
        <v>404</v>
      </c>
      <c r="G17" s="7" t="s">
        <v>343</v>
      </c>
      <c r="H17" s="7" t="s">
        <v>344</v>
      </c>
      <c r="I17" s="7" t="s">
        <v>558</v>
      </c>
      <c r="J17" s="7"/>
      <c r="K17" s="6" t="s">
        <v>469</v>
      </c>
      <c r="L17" s="7" t="s">
        <v>197</v>
      </c>
      <c r="M17" s="7" t="s">
        <v>559</v>
      </c>
      <c r="N17" s="7" t="s">
        <v>375</v>
      </c>
      <c r="O17" s="7">
        <v>97430.0</v>
      </c>
      <c r="P17" s="7" t="s">
        <v>344</v>
      </c>
      <c r="Q17" s="7"/>
      <c r="R17" s="7"/>
      <c r="S17" s="7"/>
      <c r="T17" s="7"/>
      <c r="U17" s="7"/>
      <c r="V17" s="7">
        <v>2.62259734E8</v>
      </c>
      <c r="W17" s="7">
        <v>6.92642274E8</v>
      </c>
      <c r="X17" s="7"/>
      <c r="Y17" s="7"/>
      <c r="Z17" s="7"/>
      <c r="AA17" s="7"/>
      <c r="AB17" s="7"/>
      <c r="AC17" s="7"/>
      <c r="AD17" s="7" t="s">
        <v>560</v>
      </c>
      <c r="AE17" s="7"/>
      <c r="AF17" s="7"/>
      <c r="AG17" s="7"/>
      <c r="AH17" s="20">
        <v>42171.0</v>
      </c>
      <c r="AI17" s="7"/>
      <c r="AJ17" s="7" t="s">
        <v>557</v>
      </c>
      <c r="AK17" s="7"/>
      <c r="AL17" s="7" t="s">
        <v>561</v>
      </c>
      <c r="AM17" s="7" t="s">
        <v>562</v>
      </c>
      <c r="AN17" s="20">
        <v>42171.0</v>
      </c>
      <c r="AO17" s="7">
        <v>97430.0</v>
      </c>
      <c r="AP17" s="7" t="s">
        <v>494</v>
      </c>
      <c r="AQ17" s="7"/>
      <c r="AR17" s="7"/>
      <c r="AS17" s="7"/>
      <c r="AT17" s="7"/>
      <c r="AU17" s="7">
        <v>0.0</v>
      </c>
      <c r="AV17" s="7" t="s">
        <v>563</v>
      </c>
      <c r="AW17" s="7"/>
      <c r="AX17" s="7"/>
      <c r="AY17" s="7"/>
      <c r="AZ17" s="7"/>
      <c r="BA17" s="7"/>
      <c r="BB17" s="7"/>
      <c r="BC17" s="7" t="s">
        <v>366</v>
      </c>
      <c r="BD17" s="21">
        <v>44067.24166666667</v>
      </c>
      <c r="BE17" s="7"/>
      <c r="BF17" s="7"/>
      <c r="BG17" s="22">
        <v>44067.0</v>
      </c>
      <c r="BH17" s="7"/>
      <c r="BI17" s="7" t="s">
        <v>564</v>
      </c>
      <c r="BJ17" s="7"/>
      <c r="BK17" s="7" t="b">
        <v>0</v>
      </c>
      <c r="BL17" s="7" t="b">
        <v>1</v>
      </c>
      <c r="BM17" s="7"/>
      <c r="BN17" s="7" t="str">
        <f>IFERROR(__xludf.DUMMYFUNCTION(" IF( REGEXMATCH(C17 , ""[(].+[)]""),REGEXREPLACE( CONCATENATE(REGEXEXTRACT(C17 , ""[(].+[)]""),IF(REGEXMATCH(C17 , ""[(][Ll]['’][)]""),"""","" ""), REGEXEXTRACT(C17 ,""^(?:(?:[A-Za-zàäéèêîïöôûü0-9 ](?:[A-Za-zàäéèêîïöôûü'0-9 ]+)))"")) , ""[()]"", """"),C17"&amp;" )"),"Albert Harry Clain")</f>
        <v>Albert Harry Clain</v>
      </c>
      <c r="BO17" s="23"/>
      <c r="BP17" s="7"/>
      <c r="BQ17" s="7"/>
      <c r="BR17" s="7"/>
      <c r="BS17" s="7"/>
      <c r="BT17" s="7"/>
      <c r="BU17" s="7"/>
      <c r="BV17" s="7"/>
      <c r="BW17" s="7"/>
      <c r="BX17" s="7"/>
      <c r="BY17" s="7"/>
      <c r="BZ17" s="7"/>
      <c r="CA17" s="7"/>
      <c r="CB17" s="7"/>
    </row>
    <row r="18" ht="21.75" customHeight="1">
      <c r="A18" s="7">
        <v>6.0</v>
      </c>
      <c r="B18" s="7" t="s">
        <v>565</v>
      </c>
      <c r="C18" s="7" t="s">
        <v>566</v>
      </c>
      <c r="D18" s="7" t="s">
        <v>567</v>
      </c>
      <c r="E18" s="7"/>
      <c r="F18" s="7" t="s">
        <v>342</v>
      </c>
      <c r="G18" s="7" t="s">
        <v>343</v>
      </c>
      <c r="H18" s="7" t="s">
        <v>344</v>
      </c>
      <c r="I18" s="7" t="s">
        <v>568</v>
      </c>
      <c r="J18" s="7"/>
      <c r="K18" s="7" t="s">
        <v>58</v>
      </c>
      <c r="L18" s="7" t="s">
        <v>453</v>
      </c>
      <c r="M18" s="7" t="s">
        <v>454</v>
      </c>
      <c r="N18" s="7" t="s">
        <v>569</v>
      </c>
      <c r="O18" s="7">
        <v>97418.0</v>
      </c>
      <c r="P18" s="7" t="s">
        <v>348</v>
      </c>
      <c r="Q18" s="7" t="s">
        <v>570</v>
      </c>
      <c r="R18" s="7" t="s">
        <v>571</v>
      </c>
      <c r="S18" s="7" t="s">
        <v>572</v>
      </c>
      <c r="T18" s="7" t="s">
        <v>377</v>
      </c>
      <c r="U18" s="7" t="s">
        <v>353</v>
      </c>
      <c r="V18" s="7">
        <v>2.62591041E8</v>
      </c>
      <c r="W18" s="7">
        <v>6.92088009E8</v>
      </c>
      <c r="X18" s="7"/>
      <c r="Y18" s="7"/>
      <c r="Z18" s="7" t="s">
        <v>573</v>
      </c>
      <c r="AA18" s="7">
        <v>12.0</v>
      </c>
      <c r="AB18" s="7" t="s">
        <v>574</v>
      </c>
      <c r="AC18" s="7" t="s">
        <v>575</v>
      </c>
      <c r="AD18" s="7" t="s">
        <v>576</v>
      </c>
      <c r="AE18" s="7" t="s">
        <v>577</v>
      </c>
      <c r="AF18" s="7"/>
      <c r="AG18" s="7" t="s">
        <v>578</v>
      </c>
      <c r="AH18" s="20">
        <v>39575.0</v>
      </c>
      <c r="AI18" s="7"/>
      <c r="AJ18" s="7" t="s">
        <v>566</v>
      </c>
      <c r="AK18" s="7">
        <v>4.2333480400014E13</v>
      </c>
      <c r="AL18" s="7" t="s">
        <v>579</v>
      </c>
      <c r="AM18" s="7" t="s">
        <v>580</v>
      </c>
      <c r="AN18" s="20">
        <v>39575.0</v>
      </c>
      <c r="AO18" s="7">
        <v>97418.0</v>
      </c>
      <c r="AP18" s="7" t="s">
        <v>362</v>
      </c>
      <c r="AQ18" s="7"/>
      <c r="AR18" s="7"/>
      <c r="AS18" s="7"/>
      <c r="AT18" s="7"/>
      <c r="AU18" s="7">
        <v>5.0</v>
      </c>
      <c r="AV18" s="7" t="s">
        <v>581</v>
      </c>
      <c r="AW18" s="7" t="s">
        <v>582</v>
      </c>
      <c r="AX18" s="7"/>
      <c r="AY18" s="7"/>
      <c r="AZ18" s="7" t="s">
        <v>583</v>
      </c>
      <c r="BA18" s="7"/>
      <c r="BB18" s="7"/>
      <c r="BC18" s="7" t="s">
        <v>401</v>
      </c>
      <c r="BD18" s="21">
        <v>44077.0</v>
      </c>
      <c r="BE18" s="7" t="s">
        <v>584</v>
      </c>
      <c r="BF18" s="7"/>
      <c r="BG18" s="7"/>
      <c r="BH18" s="7">
        <v>4.23334804E8</v>
      </c>
      <c r="BI18" s="7" t="s">
        <v>585</v>
      </c>
      <c r="BJ18" s="7"/>
      <c r="BK18" s="7" t="b">
        <v>0</v>
      </c>
      <c r="BL18" s="7" t="b">
        <v>1</v>
      </c>
      <c r="BM18" s="7"/>
      <c r="BN18" s="7" t="str">
        <f>IFERROR(__xludf.DUMMYFUNCTION(" IF( REGEXMATCH(C18 , ""[(].+[)]""),REGEXREPLACE( CONCATENATE(REGEXEXTRACT(C18 , ""[(].+[)]""),IF(REGEXMATCH(C18 , ""[(][Ll]['’][)]""),"""","" ""), REGEXEXTRACT(C18 ,""^(?:(?:[A-Za-zàäéèêîïöôûü0-9 ](?:[A-Za-zàäéèêîïöôûü'0-9 ]+)))"")) , ""[()]"", """"),C18"&amp;" )"),"Alicalapa-Tenon Clément")</f>
        <v>Alicalapa-Tenon Clément</v>
      </c>
      <c r="BO18" s="25"/>
      <c r="BP18" s="7"/>
      <c r="BQ18" s="7"/>
      <c r="BR18" s="7"/>
      <c r="BS18" s="7"/>
      <c r="BT18" s="7"/>
      <c r="BU18" s="7"/>
      <c r="BV18" s="7"/>
      <c r="BW18" s="7"/>
      <c r="BX18" s="7"/>
      <c r="BY18" s="7"/>
      <c r="BZ18" s="7"/>
      <c r="CA18" s="7"/>
      <c r="CB18" s="7"/>
    </row>
    <row r="19" ht="21.75" customHeight="1">
      <c r="A19" s="7">
        <v>1662.0</v>
      </c>
      <c r="B19" s="7" t="s">
        <v>586</v>
      </c>
      <c r="C19" s="7" t="s">
        <v>587</v>
      </c>
      <c r="D19" s="7" t="s">
        <v>588</v>
      </c>
      <c r="E19" s="7"/>
      <c r="F19" s="7" t="s">
        <v>342</v>
      </c>
      <c r="G19" s="7" t="s">
        <v>343</v>
      </c>
      <c r="H19" s="7" t="s">
        <v>344</v>
      </c>
      <c r="I19" s="7" t="s">
        <v>589</v>
      </c>
      <c r="J19" s="26" t="s">
        <v>590</v>
      </c>
      <c r="K19" s="6" t="s">
        <v>469</v>
      </c>
      <c r="L19" s="7" t="s">
        <v>470</v>
      </c>
      <c r="M19" s="7" t="s">
        <v>591</v>
      </c>
      <c r="N19" s="7"/>
      <c r="O19" s="7">
        <v>97430.0</v>
      </c>
      <c r="P19" s="7" t="s">
        <v>344</v>
      </c>
      <c r="Q19" s="7"/>
      <c r="R19" s="7"/>
      <c r="S19" s="7"/>
      <c r="T19" s="7" t="s">
        <v>377</v>
      </c>
      <c r="U19" s="7" t="s">
        <v>592</v>
      </c>
      <c r="V19" s="7"/>
      <c r="W19" s="7">
        <v>6.92879516E8</v>
      </c>
      <c r="X19" s="7"/>
      <c r="Y19" s="7"/>
      <c r="Z19" s="7" t="s">
        <v>593</v>
      </c>
      <c r="AA19" s="7"/>
      <c r="AB19" s="7"/>
      <c r="AC19" s="7" t="s">
        <v>594</v>
      </c>
      <c r="AD19" s="7" t="s">
        <v>595</v>
      </c>
      <c r="AE19" s="7" t="s">
        <v>596</v>
      </c>
      <c r="AF19" s="7"/>
      <c r="AG19" s="7" t="s">
        <v>597</v>
      </c>
      <c r="AH19" s="20">
        <v>43739.0</v>
      </c>
      <c r="AI19" s="7"/>
      <c r="AJ19" s="7" t="s">
        <v>598</v>
      </c>
      <c r="AK19" s="7">
        <v>4.4363784800013E13</v>
      </c>
      <c r="AL19" s="7" t="s">
        <v>599</v>
      </c>
      <c r="AM19" s="7" t="s">
        <v>600</v>
      </c>
      <c r="AN19" s="20">
        <v>43739.0</v>
      </c>
      <c r="AO19" s="7">
        <v>97430.0</v>
      </c>
      <c r="AP19" s="7" t="s">
        <v>494</v>
      </c>
      <c r="AQ19" s="7"/>
      <c r="AR19" s="7"/>
      <c r="AS19" s="7"/>
      <c r="AT19" s="7"/>
      <c r="AU19" s="7">
        <v>0.0</v>
      </c>
      <c r="AV19" s="7" t="s">
        <v>601</v>
      </c>
      <c r="AW19" s="7" t="s">
        <v>602</v>
      </c>
      <c r="AX19" s="7"/>
      <c r="AY19" s="7"/>
      <c r="AZ19" s="7"/>
      <c r="BA19" s="7"/>
      <c r="BB19" s="7"/>
      <c r="BC19" s="7" t="s">
        <v>401</v>
      </c>
      <c r="BD19" s="21">
        <v>44077.229166666664</v>
      </c>
      <c r="BE19" s="7" t="s">
        <v>603</v>
      </c>
      <c r="BF19" s="7"/>
      <c r="BG19" s="7"/>
      <c r="BH19" s="7">
        <v>4.43637848E8</v>
      </c>
      <c r="BI19" s="7" t="s">
        <v>604</v>
      </c>
      <c r="BJ19" s="7"/>
      <c r="BK19" s="7" t="b">
        <v>0</v>
      </c>
      <c r="BL19" s="7" t="b">
        <v>1</v>
      </c>
      <c r="BM19" s="7"/>
      <c r="BN19" s="7" t="str">
        <f>IFERROR(__xludf.DUMMYFUNCTION(" IF( REGEXMATCH(C19 , ""[(].+[)]""),REGEXREPLACE( CONCATENATE(REGEXEXTRACT(C19 , ""[(].+[)]""),IF(REGEXMATCH(C19 , ""[(][Ll]['’][)]""),"""","" ""), REGEXEXTRACT(C19 ,""^(?:(?:[A-Za-zàäéèêîïöôûü0-9 ](?:[A-Za-zàäéèêîïöôûü'0-9 ]+)))"")) , ""[()]"", """"),C19"&amp;" )"),"Allon Bat A Pat Rando")</f>
        <v>Allon Bat A Pat Rando</v>
      </c>
      <c r="BO19" s="25"/>
      <c r="BP19" s="7"/>
      <c r="BQ19" s="7"/>
      <c r="BR19" s="7"/>
      <c r="BS19" s="7"/>
      <c r="BT19" s="7"/>
      <c r="BU19" s="7"/>
      <c r="BV19" s="7"/>
      <c r="BW19" s="7"/>
      <c r="BX19" s="7"/>
      <c r="BY19" s="7"/>
      <c r="BZ19" s="7"/>
      <c r="CA19" s="7"/>
      <c r="CB19" s="7"/>
    </row>
    <row r="20" ht="21.75" customHeight="1">
      <c r="A20" s="7">
        <v>1516.0</v>
      </c>
      <c r="B20" s="7" t="s">
        <v>605</v>
      </c>
      <c r="C20" s="7" t="s">
        <v>606</v>
      </c>
      <c r="D20" s="7" t="s">
        <v>606</v>
      </c>
      <c r="E20" s="7"/>
      <c r="F20" s="7" t="s">
        <v>404</v>
      </c>
      <c r="G20" s="7" t="s">
        <v>343</v>
      </c>
      <c r="H20" s="7" t="s">
        <v>344</v>
      </c>
      <c r="I20" s="7" t="s">
        <v>607</v>
      </c>
      <c r="J20" s="7"/>
      <c r="K20" s="6" t="s">
        <v>469</v>
      </c>
      <c r="L20" s="7" t="s">
        <v>470</v>
      </c>
      <c r="M20" s="7" t="s">
        <v>608</v>
      </c>
      <c r="N20" s="7" t="s">
        <v>347</v>
      </c>
      <c r="O20" s="7">
        <v>97418.0</v>
      </c>
      <c r="P20" s="7" t="s">
        <v>348</v>
      </c>
      <c r="Q20" s="7" t="s">
        <v>349</v>
      </c>
      <c r="R20" s="7"/>
      <c r="S20" s="7" t="s">
        <v>609</v>
      </c>
      <c r="T20" s="7" t="s">
        <v>377</v>
      </c>
      <c r="U20" s="7" t="s">
        <v>378</v>
      </c>
      <c r="V20" s="7">
        <v>2.62591884E8</v>
      </c>
      <c r="W20" s="7">
        <v>6.92314792E8</v>
      </c>
      <c r="X20" s="7"/>
      <c r="Y20" s="7"/>
      <c r="Z20" s="7" t="s">
        <v>610</v>
      </c>
      <c r="AA20" s="7"/>
      <c r="AB20" s="7"/>
      <c r="AC20" s="7"/>
      <c r="AD20" s="7" t="s">
        <v>611</v>
      </c>
      <c r="AE20" s="7" t="s">
        <v>612</v>
      </c>
      <c r="AF20" s="7" t="s">
        <v>613</v>
      </c>
      <c r="AG20" s="7"/>
      <c r="AH20" s="20">
        <v>43739.0</v>
      </c>
      <c r="AI20" s="7"/>
      <c r="AJ20" s="7" t="s">
        <v>614</v>
      </c>
      <c r="AK20" s="7"/>
      <c r="AL20" s="7" t="s">
        <v>615</v>
      </c>
      <c r="AM20" s="7" t="s">
        <v>616</v>
      </c>
      <c r="AN20" s="20">
        <v>43739.0</v>
      </c>
      <c r="AO20" s="7">
        <v>97418.0</v>
      </c>
      <c r="AP20" s="7" t="s">
        <v>362</v>
      </c>
      <c r="AQ20" s="7"/>
      <c r="AR20" s="7"/>
      <c r="AS20" s="7"/>
      <c r="AT20" s="7"/>
      <c r="AU20" s="7">
        <v>0.0</v>
      </c>
      <c r="AV20" s="7" t="s">
        <v>617</v>
      </c>
      <c r="AW20" s="7"/>
      <c r="AX20" s="7"/>
      <c r="AY20" s="7"/>
      <c r="AZ20" s="7"/>
      <c r="BA20" s="7"/>
      <c r="BB20" s="7"/>
      <c r="BC20" s="7" t="s">
        <v>401</v>
      </c>
      <c r="BD20" s="21">
        <v>44077.220138888886</v>
      </c>
      <c r="BE20" s="7" t="s">
        <v>618</v>
      </c>
      <c r="BF20" s="7"/>
      <c r="BG20" s="7"/>
      <c r="BH20" s="7"/>
      <c r="BI20" s="7" t="s">
        <v>619</v>
      </c>
      <c r="BJ20" s="7"/>
      <c r="BK20" s="7" t="b">
        <v>0</v>
      </c>
      <c r="BL20" s="7" t="b">
        <v>1</v>
      </c>
      <c r="BM20" s="7"/>
      <c r="BN20" s="7" t="str">
        <f>IFERROR(__xludf.DUMMYFUNCTION(" IF( REGEXMATCH(C20 , ""[(].+[)]""),REGEXREPLACE( CONCATENATE(REGEXEXTRACT(C20 , ""[(].+[)]""),IF(REGEXMATCH(C20 , ""[(][Ll]['’][)]""),"""","" ""), REGEXEXTRACT(C20 ,""^(?:(?:[A-Za-zàäéèêîïöôûü0-9 ](?:[A-Za-zàäéèêîïöôûü'0-9 ]+)))"")) , ""[()]"", """"),C20"&amp;" )"),"Alti Merens")</f>
        <v>Alti Merens</v>
      </c>
      <c r="BO20" s="25"/>
      <c r="BP20" s="7"/>
      <c r="BQ20" s="7"/>
      <c r="BR20" s="7"/>
      <c r="BS20" s="7"/>
      <c r="BT20" s="7"/>
      <c r="BU20" s="7"/>
      <c r="BV20" s="7"/>
      <c r="BW20" s="7"/>
      <c r="BX20" s="7"/>
      <c r="BY20" s="7"/>
      <c r="BZ20" s="7"/>
      <c r="CA20" s="7"/>
      <c r="CB20" s="7"/>
    </row>
    <row r="21" ht="21.75" customHeight="1">
      <c r="A21" s="7">
        <v>2482.0</v>
      </c>
      <c r="B21" s="7">
        <v>20.0</v>
      </c>
      <c r="C21" s="7" t="s">
        <v>620</v>
      </c>
      <c r="D21" s="7"/>
      <c r="E21" s="7"/>
      <c r="F21" s="7" t="s">
        <v>404</v>
      </c>
      <c r="G21" s="7" t="s">
        <v>343</v>
      </c>
      <c r="H21" s="7" t="s">
        <v>40</v>
      </c>
      <c r="I21" s="7" t="s">
        <v>621</v>
      </c>
      <c r="J21" s="7"/>
      <c r="K21" s="7" t="s">
        <v>34</v>
      </c>
      <c r="L21" s="7" t="s">
        <v>622</v>
      </c>
      <c r="M21" s="7" t="s">
        <v>622</v>
      </c>
      <c r="N21" s="7" t="s">
        <v>407</v>
      </c>
      <c r="O21" s="7">
        <v>97414.0</v>
      </c>
      <c r="P21" s="7" t="s">
        <v>40</v>
      </c>
      <c r="Q21" s="7"/>
      <c r="R21" s="7"/>
      <c r="S21" s="7"/>
      <c r="T21" s="7" t="s">
        <v>377</v>
      </c>
      <c r="U21" s="7"/>
      <c r="V21" s="7">
        <v>2.62393199E8</v>
      </c>
      <c r="W21" s="7"/>
      <c r="X21" s="7"/>
      <c r="Y21" s="7"/>
      <c r="Z21" s="7"/>
      <c r="AA21" s="7"/>
      <c r="AB21" s="7"/>
      <c r="AC21" s="7"/>
      <c r="AD21" s="7" t="s">
        <v>623</v>
      </c>
      <c r="AE21" s="7"/>
      <c r="AF21" s="7"/>
      <c r="AG21" s="7"/>
      <c r="AH21" s="20">
        <v>43739.0</v>
      </c>
      <c r="AI21" s="7"/>
      <c r="AJ21" s="7" t="s">
        <v>620</v>
      </c>
      <c r="AK21" s="7"/>
      <c r="AL21" s="7" t="s">
        <v>624</v>
      </c>
      <c r="AM21" s="7">
        <v>2.62393199E8</v>
      </c>
      <c r="AN21" s="20">
        <v>43739.0</v>
      </c>
      <c r="AO21" s="7">
        <v>97414.0</v>
      </c>
      <c r="AP21" s="7" t="s">
        <v>429</v>
      </c>
      <c r="AQ21" s="7"/>
      <c r="AR21" s="7"/>
      <c r="AS21" s="7"/>
      <c r="AT21" s="7"/>
      <c r="AU21" s="7">
        <v>0.0</v>
      </c>
      <c r="AV21" s="7" t="s">
        <v>625</v>
      </c>
      <c r="AW21" s="7"/>
      <c r="AX21" s="7"/>
      <c r="AY21" s="7"/>
      <c r="AZ21" s="7"/>
      <c r="BA21" s="7"/>
      <c r="BB21" s="7"/>
      <c r="BC21" s="7" t="s">
        <v>366</v>
      </c>
      <c r="BD21" s="21">
        <v>44042.069444444445</v>
      </c>
      <c r="BE21" s="7"/>
      <c r="BF21" s="7"/>
      <c r="BG21" s="22">
        <v>44042.0</v>
      </c>
      <c r="BH21" s="7"/>
      <c r="BI21" s="7" t="s">
        <v>626</v>
      </c>
      <c r="BJ21" s="7"/>
      <c r="BK21" s="7" t="b">
        <v>0</v>
      </c>
      <c r="BL21" s="7" t="b">
        <v>1</v>
      </c>
      <c r="BM21" s="7"/>
      <c r="BN21" s="7" t="str">
        <f>IFERROR(__xludf.DUMMYFUNCTION(" IF( REGEXMATCH(C21 , ""[(].+[)]""),REGEXREPLACE( CONCATENATE(REGEXEXTRACT(C21 , ""[(].+[)]""),IF(REGEXMATCH(C21 , ""[(][Ll]['’][)]""),"""","" ""), REGEXEXTRACT(C21 ,""^(?:(?:[A-Za-zàäéèêîïöôûü0-9 ](?:[A-Za-zàäéèêîïöôûü'0-9 ]+)))"")) , ""[()]"", """"),C21"&amp;" )"),"L'Amandine ")</f>
        <v>L'Amandine </v>
      </c>
      <c r="BO21" s="23"/>
      <c r="BP21" s="7"/>
      <c r="BQ21" s="7"/>
      <c r="BR21" s="7"/>
      <c r="BS21" s="7"/>
      <c r="BT21" s="7"/>
      <c r="BU21" s="7"/>
      <c r="BV21" s="7"/>
      <c r="BW21" s="7"/>
      <c r="BX21" s="7"/>
      <c r="BY21" s="7"/>
      <c r="BZ21" s="7"/>
      <c r="CA21" s="7"/>
      <c r="CB21" s="7"/>
    </row>
    <row r="22" ht="21.75" customHeight="1">
      <c r="A22" s="7">
        <v>2232.0</v>
      </c>
      <c r="B22" s="7" t="s">
        <v>627</v>
      </c>
      <c r="C22" s="7" t="s">
        <v>628</v>
      </c>
      <c r="D22" s="7" t="s">
        <v>628</v>
      </c>
      <c r="E22" s="7"/>
      <c r="F22" s="7" t="s">
        <v>342</v>
      </c>
      <c r="G22" s="7" t="s">
        <v>343</v>
      </c>
      <c r="H22" s="7" t="s">
        <v>344</v>
      </c>
      <c r="I22" s="7" t="s">
        <v>629</v>
      </c>
      <c r="J22" s="7"/>
      <c r="K22" s="7" t="s">
        <v>58</v>
      </c>
      <c r="L22" s="7" t="s">
        <v>59</v>
      </c>
      <c r="M22" s="7" t="s">
        <v>346</v>
      </c>
      <c r="N22" s="7" t="s">
        <v>630</v>
      </c>
      <c r="O22" s="7">
        <v>97418.0</v>
      </c>
      <c r="P22" s="7" t="s">
        <v>348</v>
      </c>
      <c r="Q22" s="7" t="s">
        <v>349</v>
      </c>
      <c r="R22" s="7" t="s">
        <v>631</v>
      </c>
      <c r="S22" s="7" t="s">
        <v>351</v>
      </c>
      <c r="T22" s="7" t="s">
        <v>377</v>
      </c>
      <c r="U22" s="7" t="s">
        <v>353</v>
      </c>
      <c r="V22" s="7">
        <v>2.62275287E8</v>
      </c>
      <c r="W22" s="7">
        <v>6.92600544E8</v>
      </c>
      <c r="X22" s="7"/>
      <c r="Y22" s="7"/>
      <c r="Z22" s="7" t="s">
        <v>632</v>
      </c>
      <c r="AA22" s="7">
        <v>10.0</v>
      </c>
      <c r="AB22" s="7" t="s">
        <v>574</v>
      </c>
      <c r="AC22" s="7" t="s">
        <v>633</v>
      </c>
      <c r="AD22" s="7" t="s">
        <v>634</v>
      </c>
      <c r="AE22" s="7" t="s">
        <v>635</v>
      </c>
      <c r="AF22" s="7"/>
      <c r="AG22" s="7" t="s">
        <v>578</v>
      </c>
      <c r="AH22" s="20">
        <v>40211.0</v>
      </c>
      <c r="AI22" s="7"/>
      <c r="AJ22" s="7" t="s">
        <v>636</v>
      </c>
      <c r="AK22" s="7">
        <v>4.8138444400024E13</v>
      </c>
      <c r="AL22" s="7" t="s">
        <v>637</v>
      </c>
      <c r="AM22" s="7" t="s">
        <v>638</v>
      </c>
      <c r="AN22" s="20">
        <v>39575.0</v>
      </c>
      <c r="AO22" s="7">
        <v>97418.0</v>
      </c>
      <c r="AP22" s="7" t="s">
        <v>362</v>
      </c>
      <c r="AQ22" s="7"/>
      <c r="AR22" s="7"/>
      <c r="AS22" s="7"/>
      <c r="AT22" s="7"/>
      <c r="AU22" s="7">
        <v>1.0</v>
      </c>
      <c r="AV22" s="7" t="s">
        <v>639</v>
      </c>
      <c r="AW22" s="7"/>
      <c r="AX22" s="7"/>
      <c r="AY22" s="7"/>
      <c r="AZ22" s="7" t="s">
        <v>640</v>
      </c>
      <c r="BA22" s="7"/>
      <c r="BB22" s="7"/>
      <c r="BC22" s="7" t="s">
        <v>401</v>
      </c>
      <c r="BD22" s="21">
        <v>44081.058333333334</v>
      </c>
      <c r="BE22" s="7" t="s">
        <v>641</v>
      </c>
      <c r="BF22" s="7"/>
      <c r="BG22" s="7"/>
      <c r="BH22" s="7">
        <v>4.81384444E8</v>
      </c>
      <c r="BI22" s="7" t="s">
        <v>642</v>
      </c>
      <c r="BJ22" s="7"/>
      <c r="BK22" s="7" t="b">
        <v>0</v>
      </c>
      <c r="BL22" s="7" t="b">
        <v>1</v>
      </c>
      <c r="BM22" s="7"/>
      <c r="BN22" s="7" t="str">
        <f>IFERROR(__xludf.DUMMYFUNCTION(" IF( REGEXMATCH(C22 , ""[(].+[)]""),REGEXREPLACE( CONCATENATE(REGEXEXTRACT(C22 , ""[(].+[)]""),IF(REGEXMATCH(C22 , ""[(][Ll]['’][)]""),"""","" ""), REGEXEXTRACT(C22 ,""^(?:(?:[A-Za-zàäéèêîïöôûü0-9 ](?:[A-Za-zàäéèêîïöôûü'0-9 ]+)))"")) , ""[()]"", """"),C22"&amp;" )"),"Amarys")</f>
        <v>Amarys</v>
      </c>
      <c r="BO22" s="25"/>
      <c r="BP22" s="7"/>
      <c r="BQ22" s="7"/>
      <c r="BR22" s="7"/>
      <c r="BS22" s="7"/>
      <c r="BT22" s="7"/>
      <c r="BU22" s="7"/>
      <c r="BV22" s="7"/>
      <c r="BW22" s="7"/>
      <c r="BX22" s="7"/>
      <c r="BY22" s="7"/>
      <c r="BZ22" s="7"/>
      <c r="CA22" s="7"/>
      <c r="CB22" s="7"/>
    </row>
    <row r="23" ht="21.75" customHeight="1">
      <c r="A23" s="7">
        <v>1517.0</v>
      </c>
      <c r="B23" s="7" t="s">
        <v>643</v>
      </c>
      <c r="C23" s="7" t="s">
        <v>644</v>
      </c>
      <c r="D23" s="7" t="s">
        <v>644</v>
      </c>
      <c r="E23" s="7"/>
      <c r="F23" s="7" t="s">
        <v>342</v>
      </c>
      <c r="G23" s="7" t="s">
        <v>343</v>
      </c>
      <c r="H23" s="7" t="s">
        <v>344</v>
      </c>
      <c r="I23" s="7" t="s">
        <v>645</v>
      </c>
      <c r="J23" s="7"/>
      <c r="K23" s="7" t="s">
        <v>34</v>
      </c>
      <c r="L23" s="7" t="s">
        <v>622</v>
      </c>
      <c r="M23" s="7" t="s">
        <v>622</v>
      </c>
      <c r="N23" s="7" t="s">
        <v>407</v>
      </c>
      <c r="O23" s="7">
        <v>97430.0</v>
      </c>
      <c r="P23" s="7" t="s">
        <v>344</v>
      </c>
      <c r="Q23" s="7"/>
      <c r="R23" s="7" t="s">
        <v>646</v>
      </c>
      <c r="S23" s="7" t="s">
        <v>647</v>
      </c>
      <c r="T23" s="7" t="s">
        <v>648</v>
      </c>
      <c r="U23" s="7" t="s">
        <v>378</v>
      </c>
      <c r="V23" s="7">
        <v>2.62577768E8</v>
      </c>
      <c r="W23" s="7"/>
      <c r="X23" s="7"/>
      <c r="Y23" s="7"/>
      <c r="Z23" s="7" t="s">
        <v>649</v>
      </c>
      <c r="AA23" s="7">
        <v>60.0</v>
      </c>
      <c r="AB23" s="7"/>
      <c r="AC23" s="7" t="s">
        <v>650</v>
      </c>
      <c r="AD23" s="7" t="s">
        <v>651</v>
      </c>
      <c r="AE23" s="7" t="s">
        <v>652</v>
      </c>
      <c r="AF23" s="7"/>
      <c r="AG23" s="7" t="s">
        <v>653</v>
      </c>
      <c r="AH23" s="20">
        <v>43739.0</v>
      </c>
      <c r="AI23" s="7"/>
      <c r="AJ23" s="7" t="s">
        <v>654</v>
      </c>
      <c r="AK23" s="7"/>
      <c r="AL23" s="7" t="s">
        <v>655</v>
      </c>
      <c r="AM23" s="7" t="s">
        <v>656</v>
      </c>
      <c r="AN23" s="20">
        <v>43739.0</v>
      </c>
      <c r="AO23" s="7">
        <v>97418.0</v>
      </c>
      <c r="AP23" s="7" t="s">
        <v>362</v>
      </c>
      <c r="AQ23" s="7"/>
      <c r="AR23" s="7"/>
      <c r="AS23" s="7"/>
      <c r="AT23" s="7"/>
      <c r="AU23" s="7">
        <v>0.0</v>
      </c>
      <c r="AV23" s="7" t="s">
        <v>657</v>
      </c>
      <c r="AW23" s="7"/>
      <c r="AX23" s="7"/>
      <c r="AY23" s="7"/>
      <c r="AZ23" s="7"/>
      <c r="BA23" s="7"/>
      <c r="BB23" s="7"/>
      <c r="BC23" s="7" t="s">
        <v>401</v>
      </c>
      <c r="BD23" s="21">
        <v>44091.06458333333</v>
      </c>
      <c r="BE23" s="7" t="s">
        <v>658</v>
      </c>
      <c r="BF23" s="7"/>
      <c r="BG23" s="7"/>
      <c r="BH23" s="7"/>
      <c r="BI23" s="7" t="s">
        <v>659</v>
      </c>
      <c r="BJ23" s="7"/>
      <c r="BK23" s="7" t="b">
        <v>0</v>
      </c>
      <c r="BL23" s="7" t="b">
        <v>1</v>
      </c>
      <c r="BM23" s="26" t="s">
        <v>660</v>
      </c>
      <c r="BN23" s="7" t="str">
        <f>IFERROR(__xludf.DUMMYFUNCTION(" IF( REGEXMATCH(C23 , ""[(].+[)]""),REGEXREPLACE( CONCATENATE(REGEXEXTRACT(C23 , ""[(].+[)]""),IF(REGEXMATCH(C23 , ""[(][Ll]['’][)]""),"""","" ""), REGEXEXTRACT(C23 ,""^(?:(?:[A-Za-zàäéèêîïöôûü0-9 ](?:[A-Za-zàäéèêîïöôûü'0-9 ]+)))"")) , ""[()]"", """"),C23"&amp;" )"),"L'Ambéric ")</f>
        <v>L'Ambéric </v>
      </c>
      <c r="BO23" s="25"/>
      <c r="BP23" s="7"/>
      <c r="BQ23" s="7"/>
      <c r="BR23" s="7"/>
      <c r="BS23" s="7"/>
      <c r="BT23" s="7"/>
      <c r="BU23" s="7"/>
      <c r="BV23" s="7"/>
      <c r="BW23" s="7"/>
      <c r="BX23" s="7"/>
      <c r="BY23" s="7"/>
      <c r="BZ23" s="7"/>
      <c r="CA23" s="7"/>
      <c r="CB23" s="7"/>
    </row>
    <row r="24" ht="21.75" customHeight="1">
      <c r="A24" s="7">
        <v>462.0</v>
      </c>
      <c r="B24" s="7">
        <v>23.0</v>
      </c>
      <c r="C24" s="7" t="s">
        <v>661</v>
      </c>
      <c r="D24" s="7" t="s">
        <v>662</v>
      </c>
      <c r="E24" s="7"/>
      <c r="F24" s="7" t="s">
        <v>404</v>
      </c>
      <c r="G24" s="7" t="s">
        <v>343</v>
      </c>
      <c r="H24" s="7" t="s">
        <v>123</v>
      </c>
      <c r="I24" s="7" t="s">
        <v>663</v>
      </c>
      <c r="J24" s="7"/>
      <c r="K24" s="7" t="s">
        <v>34</v>
      </c>
      <c r="L24" s="7" t="s">
        <v>622</v>
      </c>
      <c r="M24" s="7" t="s">
        <v>622</v>
      </c>
      <c r="N24" s="7" t="s">
        <v>664</v>
      </c>
      <c r="O24" s="7">
        <v>97480.0</v>
      </c>
      <c r="P24" s="7" t="s">
        <v>123</v>
      </c>
      <c r="Q24" s="7"/>
      <c r="R24" s="7" t="s">
        <v>665</v>
      </c>
      <c r="S24" s="7" t="s">
        <v>666</v>
      </c>
      <c r="T24" s="7" t="s">
        <v>667</v>
      </c>
      <c r="U24" s="7" t="s">
        <v>592</v>
      </c>
      <c r="V24" s="7">
        <v>2.62315199E8</v>
      </c>
      <c r="W24" s="7">
        <v>6.92381101E8</v>
      </c>
      <c r="X24" s="7"/>
      <c r="Y24" s="7">
        <v>2.62314342E8</v>
      </c>
      <c r="Z24" s="7"/>
      <c r="AA24" s="7">
        <v>40.0</v>
      </c>
      <c r="AB24" s="7"/>
      <c r="AC24" s="7"/>
      <c r="AD24" s="7" t="s">
        <v>668</v>
      </c>
      <c r="AE24" s="7" t="s">
        <v>669</v>
      </c>
      <c r="AF24" s="7"/>
      <c r="AG24" s="7"/>
      <c r="AH24" s="20">
        <v>39575.0</v>
      </c>
      <c r="AI24" s="7"/>
      <c r="AJ24" s="7" t="s">
        <v>670</v>
      </c>
      <c r="AK24" s="7">
        <v>4.9297150200017E13</v>
      </c>
      <c r="AL24" s="7" t="s">
        <v>671</v>
      </c>
      <c r="AM24" s="7" t="s">
        <v>672</v>
      </c>
      <c r="AN24" s="20">
        <v>39575.0</v>
      </c>
      <c r="AO24" s="7">
        <v>97480.0</v>
      </c>
      <c r="AP24" s="7" t="s">
        <v>385</v>
      </c>
      <c r="AQ24" s="7"/>
      <c r="AR24" s="7"/>
      <c r="AS24" s="7"/>
      <c r="AT24" s="7"/>
      <c r="AU24" s="7">
        <v>0.0</v>
      </c>
      <c r="AV24" s="7" t="s">
        <v>673</v>
      </c>
      <c r="AW24" s="7"/>
      <c r="AX24" s="7"/>
      <c r="AY24" s="7"/>
      <c r="AZ24" s="7"/>
      <c r="BA24" s="7"/>
      <c r="BB24" s="7"/>
      <c r="BC24" s="7" t="s">
        <v>366</v>
      </c>
      <c r="BD24" s="21">
        <v>44218.066666666666</v>
      </c>
      <c r="BE24" s="7"/>
      <c r="BF24" s="7"/>
      <c r="BG24" s="22">
        <v>44218.0</v>
      </c>
      <c r="BH24" s="7">
        <v>4.92971502E8</v>
      </c>
      <c r="BI24" s="7" t="s">
        <v>674</v>
      </c>
      <c r="BJ24" s="7"/>
      <c r="BK24" s="7" t="b">
        <v>0</v>
      </c>
      <c r="BL24" s="7" t="b">
        <v>1</v>
      </c>
      <c r="BM24" s="7"/>
      <c r="BN24" s="7" t="str">
        <f>IFERROR(__xludf.DUMMYFUNCTION(" IF( REGEXMATCH(C24 , ""[(].+[)]""),REGEXREPLACE( CONCATENATE(REGEXEXTRACT(C24 , ""[(].+[)]""),IF(REGEXMATCH(C24 , ""[(][Ll]['’][)]""),"""","" ""), REGEXEXTRACT(C24 ,""^(?:(?:[A-Za-zàäéèêîïöôûü0-9 ](?:[A-Za-zàäéèêîïöôûü'0-9 ]+)))"")) , ""[()]"", """"),C24"&amp;" )"),"L'Ambroisie ")</f>
        <v>L'Ambroisie </v>
      </c>
      <c r="BO24" s="23"/>
      <c r="BP24" s="7"/>
      <c r="BQ24" s="7"/>
      <c r="BR24" s="7"/>
      <c r="BS24" s="7"/>
      <c r="BT24" s="7"/>
      <c r="BU24" s="7"/>
      <c r="BV24" s="7"/>
      <c r="BW24" s="7"/>
      <c r="BX24" s="7"/>
      <c r="BY24" s="7"/>
      <c r="BZ24" s="7"/>
      <c r="CA24" s="7"/>
      <c r="CB24" s="7"/>
    </row>
    <row r="25" ht="21.75" customHeight="1">
      <c r="A25" s="7">
        <v>4394.0</v>
      </c>
      <c r="B25" s="7" t="s">
        <v>675</v>
      </c>
      <c r="C25" s="7" t="s">
        <v>676</v>
      </c>
      <c r="D25" s="7"/>
      <c r="E25" s="7"/>
      <c r="F25" s="7" t="s">
        <v>342</v>
      </c>
      <c r="G25" s="7" t="s">
        <v>343</v>
      </c>
      <c r="H25" s="7" t="s">
        <v>123</v>
      </c>
      <c r="I25" s="7" t="s">
        <v>677</v>
      </c>
      <c r="J25" s="7"/>
      <c r="K25" s="7" t="s">
        <v>34</v>
      </c>
      <c r="L25" s="7" t="s">
        <v>678</v>
      </c>
      <c r="M25" s="7" t="s">
        <v>679</v>
      </c>
      <c r="N25" s="7" t="s">
        <v>455</v>
      </c>
      <c r="O25" s="7">
        <v>97480.0</v>
      </c>
      <c r="P25" s="7" t="s">
        <v>123</v>
      </c>
      <c r="Q25" s="7"/>
      <c r="R25" s="7"/>
      <c r="S25" s="7"/>
      <c r="T25" s="7" t="s">
        <v>377</v>
      </c>
      <c r="U25" s="7" t="s">
        <v>353</v>
      </c>
      <c r="V25" s="7"/>
      <c r="W25" s="7">
        <v>6.92171181E8</v>
      </c>
      <c r="X25" s="7"/>
      <c r="Y25" s="7"/>
      <c r="Z25" s="7" t="s">
        <v>680</v>
      </c>
      <c r="AA25" s="7">
        <v>30.0</v>
      </c>
      <c r="AB25" s="7"/>
      <c r="AC25" s="7" t="s">
        <v>681</v>
      </c>
      <c r="AD25" s="7" t="s">
        <v>682</v>
      </c>
      <c r="AE25" s="7"/>
      <c r="AF25" s="7"/>
      <c r="AG25" s="7"/>
      <c r="AH25" s="20">
        <v>42986.0</v>
      </c>
      <c r="AI25" s="7"/>
      <c r="AJ25" s="7" t="s">
        <v>683</v>
      </c>
      <c r="AK25" s="7">
        <v>4.9792145200023E13</v>
      </c>
      <c r="AL25" s="7" t="s">
        <v>684</v>
      </c>
      <c r="AM25" s="7" t="s">
        <v>685</v>
      </c>
      <c r="AN25" s="20">
        <v>42986.0</v>
      </c>
      <c r="AO25" s="7">
        <v>97480.0</v>
      </c>
      <c r="AP25" s="7" t="s">
        <v>385</v>
      </c>
      <c r="AQ25" s="7"/>
      <c r="AR25" s="7"/>
      <c r="AS25" s="7"/>
      <c r="AT25" s="7"/>
      <c r="AU25" s="7">
        <v>0.0</v>
      </c>
      <c r="AV25" s="7" t="s">
        <v>686</v>
      </c>
      <c r="AW25" s="7"/>
      <c r="AX25" s="7"/>
      <c r="AY25" s="7"/>
      <c r="AZ25" s="7"/>
      <c r="BA25" s="7"/>
      <c r="BB25" s="7"/>
      <c r="BC25" s="7" t="s">
        <v>401</v>
      </c>
      <c r="BD25" s="21">
        <v>44129.066666666666</v>
      </c>
      <c r="BE25" s="7" t="s">
        <v>449</v>
      </c>
      <c r="BF25" s="7"/>
      <c r="BG25" s="7"/>
      <c r="BH25" s="7">
        <v>4.97921452E8</v>
      </c>
      <c r="BI25" s="7" t="s">
        <v>687</v>
      </c>
      <c r="BJ25" s="7"/>
      <c r="BK25" s="7" t="b">
        <v>0</v>
      </c>
      <c r="BL25" s="7" t="b">
        <v>1</v>
      </c>
      <c r="BM25" s="7"/>
      <c r="BN25" s="7" t="str">
        <f>IFERROR(__xludf.DUMMYFUNCTION(" IF( REGEXMATCH(C25 , ""[(].+[)]""),REGEXREPLACE( CONCATENATE(REGEXEXTRACT(C25 , ""[(].+[)]""),IF(REGEXMATCH(C25 , ""[(][Ll]['’][)]""),"""","" ""), REGEXEXTRACT(C25 ,""^(?:(?:[A-Za-zàäéèêîïöôûü0-9 ](?:[A-Za-zàäéèêîïöôûü'0-9 ]+)))"")) , ""[()]"", """"),C25"&amp;" )"),"Anime Pique Nique")</f>
        <v>Anime Pique Nique</v>
      </c>
      <c r="BO25" s="25"/>
      <c r="BP25" s="7"/>
      <c r="BQ25" s="7"/>
      <c r="BR25" s="7"/>
      <c r="BS25" s="7"/>
      <c r="BT25" s="7"/>
      <c r="BU25" s="7"/>
      <c r="BV25" s="7"/>
      <c r="BW25" s="7"/>
      <c r="BX25" s="7"/>
      <c r="BY25" s="7"/>
      <c r="BZ25" s="7"/>
      <c r="CA25" s="7"/>
      <c r="CB25" s="7"/>
    </row>
    <row r="26" ht="21.75" customHeight="1">
      <c r="A26" s="7">
        <v>2998.0</v>
      </c>
      <c r="B26" s="7" t="s">
        <v>688</v>
      </c>
      <c r="C26" s="7" t="s">
        <v>689</v>
      </c>
      <c r="D26" s="7" t="s">
        <v>689</v>
      </c>
      <c r="E26" s="7"/>
      <c r="F26" s="7" t="s">
        <v>342</v>
      </c>
      <c r="G26" s="7" t="s">
        <v>343</v>
      </c>
      <c r="H26" s="7" t="s">
        <v>123</v>
      </c>
      <c r="I26" s="7" t="s">
        <v>690</v>
      </c>
      <c r="J26" s="26" t="s">
        <v>691</v>
      </c>
      <c r="K26" s="6" t="s">
        <v>469</v>
      </c>
      <c r="L26" s="7" t="s">
        <v>692</v>
      </c>
      <c r="M26" s="7" t="s">
        <v>693</v>
      </c>
      <c r="N26" s="7"/>
      <c r="O26" s="7">
        <v>97480.0</v>
      </c>
      <c r="P26" s="7" t="s">
        <v>123</v>
      </c>
      <c r="Q26" s="7"/>
      <c r="R26" s="7"/>
      <c r="S26" s="7"/>
      <c r="T26" s="7" t="s">
        <v>694</v>
      </c>
      <c r="U26" s="7" t="s">
        <v>378</v>
      </c>
      <c r="V26" s="7"/>
      <c r="W26" s="7">
        <v>6.92200903E8</v>
      </c>
      <c r="X26" s="7"/>
      <c r="Y26" s="7"/>
      <c r="Z26" s="7" t="s">
        <v>695</v>
      </c>
      <c r="AA26" s="7">
        <v>16.0</v>
      </c>
      <c r="AB26" s="7"/>
      <c r="AC26" s="7" t="s">
        <v>696</v>
      </c>
      <c r="AD26" s="7" t="s">
        <v>697</v>
      </c>
      <c r="AE26" s="7" t="s">
        <v>698</v>
      </c>
      <c r="AF26" s="7"/>
      <c r="AG26" s="7" t="s">
        <v>597</v>
      </c>
      <c r="AH26" s="20">
        <v>43739.0</v>
      </c>
      <c r="AI26" s="7"/>
      <c r="AJ26" s="7" t="s">
        <v>699</v>
      </c>
      <c r="AK26" s="7">
        <v>5.2432001700022E13</v>
      </c>
      <c r="AL26" s="7" t="s">
        <v>700</v>
      </c>
      <c r="AM26" s="7" t="s">
        <v>701</v>
      </c>
      <c r="AN26" s="20">
        <v>43739.0</v>
      </c>
      <c r="AO26" s="7">
        <v>97410.0</v>
      </c>
      <c r="AP26" s="7" t="s">
        <v>512</v>
      </c>
      <c r="AQ26" s="7"/>
      <c r="AR26" s="7"/>
      <c r="AS26" s="7"/>
      <c r="AT26" s="7"/>
      <c r="AU26" s="7">
        <v>0.0</v>
      </c>
      <c r="AV26" s="7" t="s">
        <v>702</v>
      </c>
      <c r="AW26" s="7" t="s">
        <v>703</v>
      </c>
      <c r="AX26" s="7"/>
      <c r="AY26" s="7"/>
      <c r="AZ26" s="7"/>
      <c r="BA26" s="7"/>
      <c r="BB26" s="7"/>
      <c r="BC26" s="7" t="s">
        <v>401</v>
      </c>
      <c r="BD26" s="21">
        <v>44126.0</v>
      </c>
      <c r="BE26" s="7" t="s">
        <v>704</v>
      </c>
      <c r="BF26" s="7"/>
      <c r="BG26" s="7"/>
      <c r="BH26" s="7">
        <v>5.24320017E8</v>
      </c>
      <c r="BI26" s="7" t="s">
        <v>705</v>
      </c>
      <c r="BJ26" s="7"/>
      <c r="BK26" s="7" t="b">
        <v>0</v>
      </c>
      <c r="BL26" s="7" t="b">
        <v>1</v>
      </c>
      <c r="BM26" s="7"/>
      <c r="BN26" s="7" t="str">
        <f>IFERROR(__xludf.DUMMYFUNCTION(" IF( REGEXMATCH(C26 , ""[(].+[)]""),REGEXREPLACE( CONCATENATE(REGEXEXTRACT(C26 , ""[(].+[)]""),IF(REGEXMATCH(C26 , ""[(][Ll]['’][)]""),"""","" ""), REGEXEXTRACT(C26 ,""^(?:(?:[A-Za-zàäéèêîïöôûü0-9 ](?:[A-Za-zàäéèêîïöôûü'0-9 ]+)))"")) , ""[()]"", """"),C26"&amp;" )"),"Aquasens")</f>
        <v>Aquasens</v>
      </c>
      <c r="BO26" s="25"/>
      <c r="BP26" s="7"/>
      <c r="BQ26" s="7"/>
      <c r="BR26" s="7"/>
      <c r="BS26" s="7"/>
      <c r="BT26" s="7"/>
      <c r="BU26" s="7"/>
      <c r="BV26" s="7"/>
      <c r="BW26" s="7"/>
      <c r="BX26" s="7"/>
      <c r="BY26" s="7"/>
      <c r="BZ26" s="7"/>
      <c r="CA26" s="7"/>
      <c r="CB26" s="7"/>
    </row>
    <row r="27" ht="21.75" customHeight="1">
      <c r="A27" s="7">
        <v>1929.0</v>
      </c>
      <c r="B27" s="7" t="s">
        <v>706</v>
      </c>
      <c r="C27" s="7" t="s">
        <v>707</v>
      </c>
      <c r="D27" s="7" t="s">
        <v>708</v>
      </c>
      <c r="E27" s="7"/>
      <c r="F27" s="7" t="s">
        <v>342</v>
      </c>
      <c r="G27" s="7" t="s">
        <v>343</v>
      </c>
      <c r="H27" s="7" t="s">
        <v>40</v>
      </c>
      <c r="I27" s="7" t="s">
        <v>709</v>
      </c>
      <c r="J27" s="7"/>
      <c r="K27" s="7" t="s">
        <v>34</v>
      </c>
      <c r="L27" s="7" t="s">
        <v>622</v>
      </c>
      <c r="M27" s="7" t="s">
        <v>622</v>
      </c>
      <c r="N27" s="7" t="s">
        <v>407</v>
      </c>
      <c r="O27" s="7">
        <v>97414.0</v>
      </c>
      <c r="P27" s="7" t="s">
        <v>40</v>
      </c>
      <c r="Q27" s="7"/>
      <c r="R27" s="7"/>
      <c r="S27" s="7" t="s">
        <v>710</v>
      </c>
      <c r="T27" s="7" t="s">
        <v>377</v>
      </c>
      <c r="U27" s="7" t="s">
        <v>378</v>
      </c>
      <c r="V27" s="7">
        <v>2.62444723E8</v>
      </c>
      <c r="W27" s="7">
        <v>6.93709822E8</v>
      </c>
      <c r="X27" s="7"/>
      <c r="Y27" s="7"/>
      <c r="Z27" s="7" t="s">
        <v>711</v>
      </c>
      <c r="AA27" s="7">
        <v>40.0</v>
      </c>
      <c r="AB27" s="7"/>
      <c r="AC27" s="7" t="s">
        <v>712</v>
      </c>
      <c r="AD27" s="7" t="s">
        <v>713</v>
      </c>
      <c r="AE27" s="7" t="s">
        <v>714</v>
      </c>
      <c r="AF27" s="7" t="s">
        <v>715</v>
      </c>
      <c r="AG27" s="7"/>
      <c r="AH27" s="20">
        <v>40044.0</v>
      </c>
      <c r="AI27" s="7"/>
      <c r="AJ27" s="7" t="s">
        <v>716</v>
      </c>
      <c r="AK27" s="7"/>
      <c r="AL27" s="7" t="s">
        <v>717</v>
      </c>
      <c r="AM27" s="7" t="s">
        <v>718</v>
      </c>
      <c r="AN27" s="20">
        <v>40044.0</v>
      </c>
      <c r="AO27" s="7">
        <v>97414.0</v>
      </c>
      <c r="AP27" s="7" t="s">
        <v>429</v>
      </c>
      <c r="AQ27" s="7"/>
      <c r="AR27" s="7"/>
      <c r="AS27" s="7"/>
      <c r="AT27" s="7"/>
      <c r="AU27" s="7">
        <v>0.0</v>
      </c>
      <c r="AV27" s="7" t="s">
        <v>719</v>
      </c>
      <c r="AW27" s="7"/>
      <c r="AX27" s="7"/>
      <c r="AY27" s="7"/>
      <c r="AZ27" s="7"/>
      <c r="BA27" s="7"/>
      <c r="BB27" s="7"/>
      <c r="BC27" s="7" t="s">
        <v>401</v>
      </c>
      <c r="BD27" s="21">
        <v>44056.521527777775</v>
      </c>
      <c r="BE27" s="7" t="s">
        <v>720</v>
      </c>
      <c r="BF27" s="7"/>
      <c r="BG27" s="7"/>
      <c r="BH27" s="7"/>
      <c r="BI27" s="7" t="s">
        <v>721</v>
      </c>
      <c r="BJ27" s="7"/>
      <c r="BK27" s="7" t="b">
        <v>0</v>
      </c>
      <c r="BL27" s="7" t="b">
        <v>0</v>
      </c>
      <c r="BM27" s="7"/>
      <c r="BN27" s="7" t="str">
        <f>IFERROR(__xludf.DUMMYFUNCTION(" IF( REGEXMATCH(C27 , ""[(].+[)]""),REGEXREPLACE( CONCATENATE(REGEXEXTRACT(C27 , ""[(].+[)]""),IF(REGEXMATCH(C27 , ""[(][Ll]['’][)]""),"""","" ""), REGEXEXTRACT(C27 ,""^(?:(?:[A-Za-zàäéèêîïöôûü0-9 ](?:[A-Za-zàäéèêîïöôûü'0-9 ]+)))"")) , ""[()]"", """"),C27"&amp;" )"),"L'Arbre à Palabres ")</f>
        <v>L'Arbre à Palabres </v>
      </c>
      <c r="BO27" s="25"/>
      <c r="BP27" s="7"/>
      <c r="BQ27" s="7"/>
      <c r="BR27" s="7"/>
      <c r="BS27" s="7"/>
      <c r="BT27" s="7"/>
      <c r="BU27" s="7"/>
      <c r="BV27" s="7"/>
      <c r="BW27" s="7"/>
      <c r="BX27" s="7"/>
      <c r="BY27" s="7"/>
      <c r="BZ27" s="7"/>
      <c r="CA27" s="7"/>
      <c r="CB27" s="7"/>
    </row>
    <row r="28" ht="21.75" customHeight="1">
      <c r="A28" s="7">
        <v>4232.0</v>
      </c>
      <c r="B28" s="7" t="s">
        <v>722</v>
      </c>
      <c r="C28" s="7" t="s">
        <v>723</v>
      </c>
      <c r="D28" s="7"/>
      <c r="E28" s="7"/>
      <c r="F28" s="7" t="s">
        <v>342</v>
      </c>
      <c r="G28" s="7" t="s">
        <v>343</v>
      </c>
      <c r="H28" s="7" t="s">
        <v>123</v>
      </c>
      <c r="I28" s="7" t="s">
        <v>724</v>
      </c>
      <c r="J28" s="26" t="s">
        <v>725</v>
      </c>
      <c r="K28" s="7" t="s">
        <v>58</v>
      </c>
      <c r="L28" s="7" t="s">
        <v>453</v>
      </c>
      <c r="M28" s="7" t="s">
        <v>454</v>
      </c>
      <c r="N28" s="7" t="s">
        <v>407</v>
      </c>
      <c r="O28" s="7">
        <v>97480.0</v>
      </c>
      <c r="P28" s="7" t="s">
        <v>123</v>
      </c>
      <c r="Q28" s="7" t="s">
        <v>726</v>
      </c>
      <c r="R28" s="7" t="s">
        <v>727</v>
      </c>
      <c r="S28" s="7"/>
      <c r="T28" s="7" t="s">
        <v>377</v>
      </c>
      <c r="U28" s="7" t="s">
        <v>728</v>
      </c>
      <c r="V28" s="7">
        <v>2.6277843E8</v>
      </c>
      <c r="W28" s="7">
        <v>6.9382338E8</v>
      </c>
      <c r="X28" s="7"/>
      <c r="Y28" s="7"/>
      <c r="Z28" s="7" t="s">
        <v>729</v>
      </c>
      <c r="AA28" s="7">
        <v>10.0</v>
      </c>
      <c r="AB28" s="7"/>
      <c r="AC28" s="7" t="s">
        <v>730</v>
      </c>
      <c r="AD28" s="7" t="s">
        <v>731</v>
      </c>
      <c r="AE28" s="7" t="s">
        <v>732</v>
      </c>
      <c r="AF28" s="7"/>
      <c r="AG28" s="7"/>
      <c r="AH28" s="20">
        <v>42689.0</v>
      </c>
      <c r="AI28" s="7"/>
      <c r="AJ28" s="7" t="s">
        <v>733</v>
      </c>
      <c r="AK28" s="7">
        <v>8.2344884000012E13</v>
      </c>
      <c r="AL28" s="7" t="s">
        <v>734</v>
      </c>
      <c r="AM28" s="7" t="s">
        <v>735</v>
      </c>
      <c r="AN28" s="20">
        <v>42689.0</v>
      </c>
      <c r="AO28" s="7">
        <v>97480.0</v>
      </c>
      <c r="AP28" s="7" t="s">
        <v>385</v>
      </c>
      <c r="AQ28" s="7"/>
      <c r="AR28" s="7"/>
      <c r="AS28" s="7"/>
      <c r="AT28" s="7"/>
      <c r="AU28" s="7">
        <v>4.0</v>
      </c>
      <c r="AV28" s="7" t="s">
        <v>736</v>
      </c>
      <c r="AW28" s="7" t="s">
        <v>737</v>
      </c>
      <c r="AX28" s="7"/>
      <c r="AY28" s="7"/>
      <c r="AZ28" s="7" t="s">
        <v>738</v>
      </c>
      <c r="BA28" s="7"/>
      <c r="BB28" s="7"/>
      <c r="BC28" s="7" t="s">
        <v>401</v>
      </c>
      <c r="BD28" s="21">
        <v>44126.052777777775</v>
      </c>
      <c r="BE28" s="7" t="s">
        <v>739</v>
      </c>
      <c r="BF28" s="7"/>
      <c r="BG28" s="7"/>
      <c r="BH28" s="7">
        <v>8.2344884E8</v>
      </c>
      <c r="BI28" s="7" t="s">
        <v>740</v>
      </c>
      <c r="BJ28" s="7"/>
      <c r="BK28" s="7" t="b">
        <v>0</v>
      </c>
      <c r="BL28" s="7" t="b">
        <v>0</v>
      </c>
      <c r="BM28" s="7"/>
      <c r="BN28" s="7" t="str">
        <f>IFERROR(__xludf.DUMMYFUNCTION(" IF( REGEXMATCH(C28 , ""[(].+[)]""),REGEXREPLACE( CONCATENATE(REGEXEXTRACT(C28 , ""[(].+[)]""),IF(REGEXMATCH(C28 , ""[(][Ll]['’][)]""),"""","" ""), REGEXEXTRACT(C28 ,""^(?:(?:[A-Za-zàäéèêîïöôûü0-9 ](?:[A-Za-zàäéèêîïöôûü'0-9 ]+)))"")) , ""[()]"", """"),C28"&amp;" )"),"L'Arbre de Vie ")</f>
        <v>L'Arbre de Vie </v>
      </c>
      <c r="BO28" s="25"/>
      <c r="BP28" s="7"/>
      <c r="BQ28" s="7"/>
      <c r="BR28" s="7"/>
      <c r="BS28" s="7"/>
      <c r="BT28" s="7"/>
      <c r="BU28" s="7"/>
      <c r="BV28" s="7"/>
      <c r="BW28" s="7"/>
      <c r="BX28" s="7"/>
      <c r="BY28" s="7"/>
      <c r="BZ28" s="7"/>
      <c r="CA28" s="7"/>
      <c r="CB28" s="7"/>
    </row>
    <row r="29" ht="21.75" customHeight="1">
      <c r="A29" s="7">
        <v>2721.0</v>
      </c>
      <c r="B29" s="7" t="s">
        <v>741</v>
      </c>
      <c r="C29" s="7" t="s">
        <v>742</v>
      </c>
      <c r="D29" s="7"/>
      <c r="E29" s="7"/>
      <c r="F29" s="7" t="s">
        <v>342</v>
      </c>
      <c r="G29" s="7" t="s">
        <v>343</v>
      </c>
      <c r="H29" s="7" t="s">
        <v>40</v>
      </c>
      <c r="I29" s="7" t="s">
        <v>743</v>
      </c>
      <c r="J29" s="26" t="s">
        <v>744</v>
      </c>
      <c r="K29" s="7" t="s">
        <v>58</v>
      </c>
      <c r="L29" s="7" t="s">
        <v>59</v>
      </c>
      <c r="M29" s="7" t="s">
        <v>346</v>
      </c>
      <c r="N29" s="7" t="s">
        <v>422</v>
      </c>
      <c r="O29" s="7">
        <v>97414.0</v>
      </c>
      <c r="P29" s="7" t="s">
        <v>40</v>
      </c>
      <c r="Q29" s="7"/>
      <c r="R29" s="7" t="s">
        <v>745</v>
      </c>
      <c r="S29" s="7"/>
      <c r="T29" s="7" t="s">
        <v>377</v>
      </c>
      <c r="U29" s="7" t="s">
        <v>378</v>
      </c>
      <c r="V29" s="7">
        <v>2.62694217E8</v>
      </c>
      <c r="W29" s="7">
        <v>6.92617981E8</v>
      </c>
      <c r="X29" s="7"/>
      <c r="Y29" s="7"/>
      <c r="Z29" s="7" t="s">
        <v>746</v>
      </c>
      <c r="AA29" s="7">
        <v>16.0</v>
      </c>
      <c r="AB29" s="7" t="s">
        <v>747</v>
      </c>
      <c r="AC29" s="7" t="s">
        <v>748</v>
      </c>
      <c r="AD29" s="7" t="s">
        <v>749</v>
      </c>
      <c r="AE29" s="7" t="s">
        <v>750</v>
      </c>
      <c r="AF29" s="7"/>
      <c r="AG29" s="7" t="s">
        <v>751</v>
      </c>
      <c r="AH29" s="20">
        <v>41515.0</v>
      </c>
      <c r="AI29" s="7"/>
      <c r="AJ29" s="7" t="s">
        <v>752</v>
      </c>
      <c r="AK29" s="7">
        <v>7.5303796900015E13</v>
      </c>
      <c r="AL29" s="7" t="s">
        <v>753</v>
      </c>
      <c r="AM29" s="7" t="s">
        <v>754</v>
      </c>
      <c r="AN29" s="20">
        <v>41515.0</v>
      </c>
      <c r="AO29" s="7">
        <v>97414.0</v>
      </c>
      <c r="AP29" s="7" t="s">
        <v>429</v>
      </c>
      <c r="AQ29" s="7"/>
      <c r="AR29" s="7"/>
      <c r="AS29" s="7"/>
      <c r="AT29" s="7"/>
      <c r="AU29" s="7">
        <v>2.0</v>
      </c>
      <c r="AV29" s="7" t="s">
        <v>755</v>
      </c>
      <c r="AW29" s="7"/>
      <c r="AX29" s="7"/>
      <c r="AY29" s="7"/>
      <c r="AZ29" s="7" t="s">
        <v>756</v>
      </c>
      <c r="BA29" s="7"/>
      <c r="BB29" s="7"/>
      <c r="BC29" s="7" t="s">
        <v>401</v>
      </c>
      <c r="BD29" s="21">
        <v>44060.521527777775</v>
      </c>
      <c r="BE29" s="7" t="s">
        <v>757</v>
      </c>
      <c r="BF29" s="7"/>
      <c r="BG29" s="7"/>
      <c r="BH29" s="7">
        <v>7.53037969E8</v>
      </c>
      <c r="BI29" s="7" t="s">
        <v>758</v>
      </c>
      <c r="BJ29" s="7"/>
      <c r="BK29" s="7" t="b">
        <v>0</v>
      </c>
      <c r="BL29" s="7" t="b">
        <v>0</v>
      </c>
      <c r="BM29" s="7"/>
      <c r="BN29" s="7" t="str">
        <f>IFERROR(__xludf.DUMMYFUNCTION(" IF( REGEXMATCH(C29 , ""[(].+[)]""),REGEXREPLACE( CONCATENATE(REGEXEXTRACT(C29 , ""[(].+[)]""),IF(REGEXMATCH(C29 , ""[(][Ll]['’][)]""),"""","" ""), REGEXEXTRACT(C29 ,""^(?:(?:[A-Za-zàäéèêîïöôûü0-9 ](?:[A-Za-zàäéèêîïöôûü'0-9 ]+)))"")) , ""[()]"", """"),C29"&amp;" )"),"L'Arbre du Voyageur ")</f>
        <v>L'Arbre du Voyageur </v>
      </c>
      <c r="BO29" s="25"/>
      <c r="BP29" s="7"/>
      <c r="BQ29" s="7"/>
      <c r="BR29" s="7"/>
      <c r="BS29" s="7"/>
      <c r="BT29" s="7"/>
      <c r="BU29" s="7"/>
      <c r="BV29" s="7"/>
      <c r="BW29" s="7"/>
      <c r="BX29" s="7"/>
      <c r="BY29" s="7"/>
      <c r="BZ29" s="7"/>
      <c r="CA29" s="7"/>
      <c r="CB29" s="7"/>
    </row>
    <row r="30" ht="21.75" customHeight="1">
      <c r="A30" s="7">
        <v>3879.0</v>
      </c>
      <c r="B30" s="7" t="s">
        <v>759</v>
      </c>
      <c r="C30" s="7" t="s">
        <v>760</v>
      </c>
      <c r="D30" s="7"/>
      <c r="E30" s="7"/>
      <c r="F30" s="7" t="s">
        <v>404</v>
      </c>
      <c r="G30" s="7" t="s">
        <v>343</v>
      </c>
      <c r="H30" s="7" t="s">
        <v>344</v>
      </c>
      <c r="I30" s="7" t="s">
        <v>761</v>
      </c>
      <c r="J30" s="7"/>
      <c r="K30" s="7" t="s">
        <v>58</v>
      </c>
      <c r="L30" s="7" t="s">
        <v>59</v>
      </c>
      <c r="M30" s="7" t="s">
        <v>374</v>
      </c>
      <c r="N30" s="7" t="s">
        <v>375</v>
      </c>
      <c r="O30" s="7">
        <v>97430.0</v>
      </c>
      <c r="P30" s="7" t="s">
        <v>344</v>
      </c>
      <c r="Q30" s="7"/>
      <c r="R30" s="7" t="s">
        <v>762</v>
      </c>
      <c r="S30" s="7" t="s">
        <v>763</v>
      </c>
      <c r="T30" s="7" t="s">
        <v>499</v>
      </c>
      <c r="U30" s="7"/>
      <c r="V30" s="7">
        <v>2.62278875E8</v>
      </c>
      <c r="W30" s="7">
        <v>6.92207926E8</v>
      </c>
      <c r="X30" s="7"/>
      <c r="Y30" s="7"/>
      <c r="Z30" s="7" t="s">
        <v>764</v>
      </c>
      <c r="AA30" s="7">
        <v>16.0</v>
      </c>
      <c r="AB30" s="7"/>
      <c r="AC30" s="7" t="s">
        <v>765</v>
      </c>
      <c r="AD30" s="7" t="s">
        <v>766</v>
      </c>
      <c r="AE30" s="7"/>
      <c r="AF30" s="7"/>
      <c r="AG30" s="7"/>
      <c r="AH30" s="20">
        <v>42165.0</v>
      </c>
      <c r="AI30" s="7"/>
      <c r="AJ30" s="7" t="s">
        <v>767</v>
      </c>
      <c r="AK30" s="7"/>
      <c r="AL30" s="7" t="s">
        <v>768</v>
      </c>
      <c r="AM30" s="7" t="s">
        <v>769</v>
      </c>
      <c r="AN30" s="20">
        <v>42165.0</v>
      </c>
      <c r="AO30" s="7">
        <v>97430.0</v>
      </c>
      <c r="AP30" s="7" t="s">
        <v>494</v>
      </c>
      <c r="AQ30" s="7"/>
      <c r="AR30" s="7"/>
      <c r="AS30" s="7"/>
      <c r="AT30" s="7"/>
      <c r="AU30" s="7">
        <v>4.0</v>
      </c>
      <c r="AV30" s="7" t="s">
        <v>770</v>
      </c>
      <c r="AW30" s="7"/>
      <c r="AX30" s="7"/>
      <c r="AY30" s="7"/>
      <c r="AZ30" s="7" t="s">
        <v>771</v>
      </c>
      <c r="BA30" s="7"/>
      <c r="BB30" s="7"/>
      <c r="BC30" s="7" t="s">
        <v>401</v>
      </c>
      <c r="BD30" s="21">
        <v>44094.0</v>
      </c>
      <c r="BE30" s="7" t="s">
        <v>772</v>
      </c>
      <c r="BF30" s="7"/>
      <c r="BG30" s="7"/>
      <c r="BH30" s="7"/>
      <c r="BI30" s="7" t="s">
        <v>773</v>
      </c>
      <c r="BJ30" s="7"/>
      <c r="BK30" s="7" t="b">
        <v>0</v>
      </c>
      <c r="BL30" s="7" t="b">
        <v>0</v>
      </c>
      <c r="BM30" s="7"/>
      <c r="BN30" s="7" t="str">
        <f>IFERROR(__xludf.DUMMYFUNCTION(" IF( REGEXMATCH(C30 , ""[(].+[)]""),REGEXREPLACE( CONCATENATE(REGEXEXTRACT(C30 , ""[(].+[)]""),IF(REGEXMATCH(C30 , ""[(][Ll]['’][)]""),"""","" ""), REGEXEXTRACT(C30 ,""^(?:(?:[A-Za-zàäéèêîïöôûü0-9 ](?:[A-Za-zàäéèêîïöôûü'0-9 ]+)))"")) , ""[()]"", """"),C30"&amp;" )"),"Arc En Ciel")</f>
        <v>Arc En Ciel</v>
      </c>
      <c r="BO30" s="25"/>
      <c r="BP30" s="7"/>
      <c r="BQ30" s="7"/>
      <c r="BR30" s="7"/>
      <c r="BS30" s="7"/>
      <c r="BT30" s="7"/>
      <c r="BU30" s="7"/>
      <c r="BV30" s="7"/>
      <c r="BW30" s="7"/>
      <c r="BX30" s="7"/>
      <c r="BY30" s="7"/>
      <c r="BZ30" s="7"/>
      <c r="CA30" s="7"/>
      <c r="CB30" s="7"/>
    </row>
    <row r="31" ht="21.75" customHeight="1">
      <c r="A31" s="7">
        <v>464.0</v>
      </c>
      <c r="B31" s="7">
        <v>30.0</v>
      </c>
      <c r="C31" s="7" t="s">
        <v>774</v>
      </c>
      <c r="D31" s="7" t="s">
        <v>775</v>
      </c>
      <c r="E31" s="7"/>
      <c r="F31" s="7" t="s">
        <v>404</v>
      </c>
      <c r="G31" s="7" t="s">
        <v>343</v>
      </c>
      <c r="H31" s="7" t="s">
        <v>123</v>
      </c>
      <c r="I31" s="7" t="s">
        <v>776</v>
      </c>
      <c r="J31" s="7"/>
      <c r="K31" s="7"/>
      <c r="L31" s="7"/>
      <c r="M31" s="7"/>
      <c r="N31" s="7"/>
      <c r="O31" s="7">
        <v>97480.0</v>
      </c>
      <c r="P31" s="7" t="s">
        <v>123</v>
      </c>
      <c r="Q31" s="7"/>
      <c r="R31" s="7"/>
      <c r="S31" s="7"/>
      <c r="T31" s="7"/>
      <c r="U31" s="7"/>
      <c r="V31" s="7"/>
      <c r="W31" s="7"/>
      <c r="X31" s="7"/>
      <c r="Y31" s="7"/>
      <c r="Z31" s="7"/>
      <c r="AA31" s="7"/>
      <c r="AB31" s="7"/>
      <c r="AC31" s="7"/>
      <c r="AD31" s="7"/>
      <c r="AE31" s="7"/>
      <c r="AF31" s="7"/>
      <c r="AG31" s="7"/>
      <c r="AH31" s="7"/>
      <c r="AI31" s="7"/>
      <c r="AJ31" s="7" t="s">
        <v>775</v>
      </c>
      <c r="AK31" s="7"/>
      <c r="AL31" s="7" t="s">
        <v>777</v>
      </c>
      <c r="AM31" s="7">
        <v>2.6286248E8</v>
      </c>
      <c r="AN31" s="20">
        <v>39575.0</v>
      </c>
      <c r="AO31" s="7">
        <v>97480.0</v>
      </c>
      <c r="AP31" s="7" t="s">
        <v>385</v>
      </c>
      <c r="AQ31" s="7"/>
      <c r="AR31" s="7"/>
      <c r="AS31" s="7"/>
      <c r="AT31" s="7"/>
      <c r="AU31" s="7">
        <v>0.0</v>
      </c>
      <c r="AV31" s="7" t="s">
        <v>778</v>
      </c>
      <c r="AW31" s="7"/>
      <c r="AX31" s="7"/>
      <c r="AY31" s="7"/>
      <c r="AZ31" s="7"/>
      <c r="BA31" s="7"/>
      <c r="BB31" s="7"/>
      <c r="BC31" s="7" t="s">
        <v>366</v>
      </c>
      <c r="BD31" s="21">
        <v>44160.08541666667</v>
      </c>
      <c r="BE31" s="7"/>
      <c r="BF31" s="7"/>
      <c r="BG31" s="22">
        <v>44160.0</v>
      </c>
      <c r="BH31" s="7"/>
      <c r="BI31" s="7" t="s">
        <v>779</v>
      </c>
      <c r="BJ31" s="7"/>
      <c r="BK31" s="7" t="b">
        <v>0</v>
      </c>
      <c r="BL31" s="7" t="b">
        <v>0</v>
      </c>
      <c r="BM31" s="7"/>
      <c r="BN31" s="7" t="str">
        <f>IFERROR(__xludf.DUMMYFUNCTION(" IF( REGEXMATCH(C31 , ""[(].+[)]""),REGEXREPLACE( CONCATENATE(REGEXEXTRACT(C31 , ""[(].+[)]""),IF(REGEXMATCH(C31 , ""[(][Ll]['’][)]""),"""","" ""), REGEXEXTRACT(C31 ,""^(?:(?:[A-Za-zàäéèêîïöôûü0-9 ](?:[A-Za-zàäéèêîïöôûü'0-9 ]+)))"")) , ""[()]"", """"),C31"&amp;" )"),"L'Arcade ")</f>
        <v>L'Arcade </v>
      </c>
      <c r="BO31" s="23"/>
      <c r="BP31" s="7"/>
      <c r="BQ31" s="7"/>
      <c r="BR31" s="7"/>
      <c r="BS31" s="7"/>
      <c r="BT31" s="7"/>
      <c r="BU31" s="7"/>
      <c r="BV31" s="7"/>
      <c r="BW31" s="7"/>
      <c r="BX31" s="7"/>
      <c r="BY31" s="7"/>
      <c r="BZ31" s="7"/>
      <c r="CA31" s="7"/>
      <c r="CB31" s="7"/>
    </row>
    <row r="32" ht="21.75" customHeight="1">
      <c r="A32" s="7">
        <v>813.0</v>
      </c>
      <c r="B32" s="7" t="s">
        <v>780</v>
      </c>
      <c r="C32" s="7" t="s">
        <v>781</v>
      </c>
      <c r="D32" s="7" t="s">
        <v>781</v>
      </c>
      <c r="E32" s="7"/>
      <c r="F32" s="7" t="s">
        <v>342</v>
      </c>
      <c r="G32" s="7" t="s">
        <v>343</v>
      </c>
      <c r="H32" s="7" t="s">
        <v>123</v>
      </c>
      <c r="I32" s="7" t="s">
        <v>782</v>
      </c>
      <c r="J32" s="26" t="s">
        <v>783</v>
      </c>
      <c r="K32" s="7" t="s">
        <v>58</v>
      </c>
      <c r="L32" s="7" t="s">
        <v>453</v>
      </c>
      <c r="M32" s="7" t="s">
        <v>454</v>
      </c>
      <c r="N32" s="7" t="s">
        <v>455</v>
      </c>
      <c r="O32" s="7">
        <v>97480.0</v>
      </c>
      <c r="P32" s="7" t="s">
        <v>123</v>
      </c>
      <c r="Q32" s="7"/>
      <c r="R32" s="7" t="s">
        <v>784</v>
      </c>
      <c r="S32" s="7" t="s">
        <v>785</v>
      </c>
      <c r="T32" s="7" t="s">
        <v>499</v>
      </c>
      <c r="U32" s="7" t="s">
        <v>786</v>
      </c>
      <c r="V32" s="7">
        <v>2.62563689E8</v>
      </c>
      <c r="W32" s="7">
        <v>6.92707412E8</v>
      </c>
      <c r="X32" s="7"/>
      <c r="Y32" s="7"/>
      <c r="Z32" s="7" t="s">
        <v>787</v>
      </c>
      <c r="AA32" s="7">
        <v>5.0</v>
      </c>
      <c r="AB32" s="7" t="s">
        <v>788</v>
      </c>
      <c r="AC32" s="7" t="s">
        <v>789</v>
      </c>
      <c r="AD32" s="7" t="s">
        <v>790</v>
      </c>
      <c r="AE32" s="7" t="s">
        <v>791</v>
      </c>
      <c r="AF32" s="7"/>
      <c r="AG32" s="7" t="s">
        <v>578</v>
      </c>
      <c r="AH32" s="20">
        <v>39575.0</v>
      </c>
      <c r="AI32" s="7"/>
      <c r="AJ32" s="7" t="s">
        <v>792</v>
      </c>
      <c r="AK32" s="7"/>
      <c r="AL32" s="7" t="s">
        <v>793</v>
      </c>
      <c r="AM32" s="7" t="s">
        <v>794</v>
      </c>
      <c r="AN32" s="20">
        <v>39575.0</v>
      </c>
      <c r="AO32" s="7">
        <v>97480.0</v>
      </c>
      <c r="AP32" s="7" t="s">
        <v>385</v>
      </c>
      <c r="AQ32" s="7"/>
      <c r="AR32" s="7"/>
      <c r="AS32" s="7"/>
      <c r="AT32" s="7"/>
      <c r="AU32" s="7">
        <v>2.0</v>
      </c>
      <c r="AV32" s="7" t="s">
        <v>795</v>
      </c>
      <c r="AW32" s="7" t="s">
        <v>796</v>
      </c>
      <c r="AX32" s="7"/>
      <c r="AY32" s="7"/>
      <c r="AZ32" s="7" t="s">
        <v>797</v>
      </c>
      <c r="BA32" s="7"/>
      <c r="BB32" s="7"/>
      <c r="BC32" s="7" t="s">
        <v>401</v>
      </c>
      <c r="BD32" s="21">
        <v>44125.23819444444</v>
      </c>
      <c r="BE32" s="7" t="s">
        <v>449</v>
      </c>
      <c r="BF32" s="7"/>
      <c r="BG32" s="7"/>
      <c r="BH32" s="7"/>
      <c r="BI32" s="7" t="s">
        <v>798</v>
      </c>
      <c r="BJ32" s="7"/>
      <c r="BK32" s="7" t="b">
        <v>0</v>
      </c>
      <c r="BL32" s="7" t="b">
        <v>0</v>
      </c>
      <c r="BM32" s="7"/>
      <c r="BN32" s="7" t="str">
        <f>IFERROR(__xludf.DUMMYFUNCTION(" IF( REGEXMATCH(C32 , ""[(].+[)]""),REGEXREPLACE( CONCATENATE(REGEXEXTRACT(C32 , ""[(].+[)]""),IF(REGEXMATCH(C32 , ""[(][Ll]['’][)]""),"""","" ""), REGEXEXTRACT(C32 ,""^(?:(?:[A-Za-zàäéèêîïöôûü0-9 ](?:[A-Za-zàäéèêîïöôûü'0-9 ]+)))"")) , ""[()]"", """"),C32"&amp;" )"),"L'Arpège Austral ")</f>
        <v>L'Arpège Austral </v>
      </c>
      <c r="BO32" s="25"/>
      <c r="BP32" s="7"/>
      <c r="BQ32" s="7"/>
      <c r="BR32" s="7"/>
      <c r="BS32" s="7"/>
      <c r="BT32" s="7"/>
      <c r="BU32" s="7"/>
      <c r="BV32" s="7"/>
      <c r="BW32" s="7"/>
      <c r="BX32" s="7"/>
      <c r="BY32" s="7"/>
      <c r="BZ32" s="7"/>
      <c r="CA32" s="7"/>
      <c r="CB32" s="7"/>
    </row>
    <row r="33" ht="21.75" customHeight="1">
      <c r="A33" s="7">
        <v>1984.0</v>
      </c>
      <c r="B33" s="7">
        <v>32.0</v>
      </c>
      <c r="C33" s="7" t="s">
        <v>799</v>
      </c>
      <c r="D33" s="7"/>
      <c r="E33" s="7"/>
      <c r="F33" s="7" t="s">
        <v>404</v>
      </c>
      <c r="G33" s="7" t="s">
        <v>343</v>
      </c>
      <c r="H33" s="7" t="s">
        <v>344</v>
      </c>
      <c r="I33" s="7" t="s">
        <v>800</v>
      </c>
      <c r="J33" s="7"/>
      <c r="K33" s="6" t="s">
        <v>469</v>
      </c>
      <c r="L33" s="7" t="s">
        <v>197</v>
      </c>
      <c r="M33" s="7" t="s">
        <v>559</v>
      </c>
      <c r="N33" s="7" t="s">
        <v>455</v>
      </c>
      <c r="O33" s="7">
        <v>97418.0</v>
      </c>
      <c r="P33" s="7" t="s">
        <v>348</v>
      </c>
      <c r="Q33" s="7"/>
      <c r="R33" s="7" t="s">
        <v>801</v>
      </c>
      <c r="S33" s="7" t="s">
        <v>802</v>
      </c>
      <c r="T33" s="7"/>
      <c r="U33" s="7"/>
      <c r="V33" s="7">
        <v>2.62577342E8</v>
      </c>
      <c r="W33" s="7"/>
      <c r="X33" s="7"/>
      <c r="Y33" s="7"/>
      <c r="Z33" s="7"/>
      <c r="AA33" s="7"/>
      <c r="AB33" s="7"/>
      <c r="AC33" s="7"/>
      <c r="AD33" s="7" t="s">
        <v>803</v>
      </c>
      <c r="AE33" s="7"/>
      <c r="AF33" s="7"/>
      <c r="AG33" s="7"/>
      <c r="AH33" s="20">
        <v>43739.0</v>
      </c>
      <c r="AI33" s="7"/>
      <c r="AJ33" s="7" t="s">
        <v>799</v>
      </c>
      <c r="AK33" s="7"/>
      <c r="AL33" s="7" t="s">
        <v>804</v>
      </c>
      <c r="AM33" s="7" t="s">
        <v>805</v>
      </c>
      <c r="AN33" s="20">
        <v>43739.0</v>
      </c>
      <c r="AO33" s="7">
        <v>97418.0</v>
      </c>
      <c r="AP33" s="7" t="s">
        <v>362</v>
      </c>
      <c r="AQ33" s="7"/>
      <c r="AR33" s="7"/>
      <c r="AS33" s="7"/>
      <c r="AT33" s="7"/>
      <c r="AU33" s="7">
        <v>0.0</v>
      </c>
      <c r="AV33" s="7" t="s">
        <v>806</v>
      </c>
      <c r="AW33" s="7"/>
      <c r="AX33" s="7"/>
      <c r="AY33" s="7"/>
      <c r="AZ33" s="7"/>
      <c r="BA33" s="7"/>
      <c r="BB33" s="7"/>
      <c r="BC33" s="7" t="s">
        <v>366</v>
      </c>
      <c r="BD33" s="21">
        <v>44195.37152777778</v>
      </c>
      <c r="BE33" s="7"/>
      <c r="BF33" s="7"/>
      <c r="BG33" s="22">
        <v>44195.0</v>
      </c>
      <c r="BH33" s="7"/>
      <c r="BI33" s="7" t="s">
        <v>807</v>
      </c>
      <c r="BJ33" s="7"/>
      <c r="BK33" s="7" t="b">
        <v>0</v>
      </c>
      <c r="BL33" s="7" t="b">
        <v>0</v>
      </c>
      <c r="BM33" s="7"/>
      <c r="BN33" s="7" t="str">
        <f>IFERROR(__xludf.DUMMYFUNCTION(" IF( REGEXMATCH(C33 , ""[(].+[)]""),REGEXREPLACE( CONCATENATE(REGEXEXTRACT(C33 , ""[(].+[)]""),IF(REGEXMATCH(C33 , ""[(][Ll]['’][)]""),"""","" ""), REGEXEXTRACT(C33 ,""^(?:(?:[A-Za-zàäéèêîïöôûü0-9 ](?:[A-Za-zàäéèêîïöôûü'0-9 ]+)))"")) , ""[()]"", """"),C33"&amp;" )"),"Art et Plaisir")</f>
        <v>Art et Plaisir</v>
      </c>
      <c r="BO33" s="23"/>
      <c r="BP33" s="7"/>
      <c r="BQ33" s="7"/>
      <c r="BR33" s="7"/>
      <c r="BS33" s="7"/>
      <c r="BT33" s="7"/>
      <c r="BU33" s="7"/>
      <c r="BV33" s="7"/>
      <c r="BW33" s="7"/>
      <c r="BX33" s="7"/>
      <c r="BY33" s="7"/>
      <c r="BZ33" s="7"/>
      <c r="CA33" s="7"/>
      <c r="CB33" s="7"/>
    </row>
    <row r="34" ht="21.75" customHeight="1">
      <c r="A34" s="7">
        <v>2076.0</v>
      </c>
      <c r="B34" s="7" t="s">
        <v>808</v>
      </c>
      <c r="C34" s="7" t="s">
        <v>809</v>
      </c>
      <c r="D34" s="7"/>
      <c r="E34" s="7"/>
      <c r="F34" s="7" t="s">
        <v>342</v>
      </c>
      <c r="G34" s="7" t="s">
        <v>343</v>
      </c>
      <c r="H34" s="7" t="s">
        <v>123</v>
      </c>
      <c r="I34" s="7" t="s">
        <v>810</v>
      </c>
      <c r="J34" s="26" t="s">
        <v>811</v>
      </c>
      <c r="K34" s="6" t="s">
        <v>469</v>
      </c>
      <c r="L34" s="7" t="s">
        <v>197</v>
      </c>
      <c r="M34" s="7" t="s">
        <v>559</v>
      </c>
      <c r="N34" s="7" t="s">
        <v>375</v>
      </c>
      <c r="O34" s="7">
        <v>97480.0</v>
      </c>
      <c r="P34" s="7" t="s">
        <v>123</v>
      </c>
      <c r="Q34" s="7"/>
      <c r="R34" s="7"/>
      <c r="S34" s="7"/>
      <c r="T34" s="7" t="s">
        <v>377</v>
      </c>
      <c r="U34" s="7" t="s">
        <v>378</v>
      </c>
      <c r="V34" s="7">
        <v>2.62566721E8</v>
      </c>
      <c r="W34" s="7">
        <v>6.92660711E8</v>
      </c>
      <c r="X34" s="7"/>
      <c r="Y34" s="7">
        <v>2.6231402E8</v>
      </c>
      <c r="Z34" s="7" t="s">
        <v>812</v>
      </c>
      <c r="AA34" s="7">
        <v>15.0</v>
      </c>
      <c r="AB34" s="7"/>
      <c r="AC34" s="7"/>
      <c r="AD34" s="7" t="s">
        <v>813</v>
      </c>
      <c r="AE34" s="7"/>
      <c r="AF34" s="7"/>
      <c r="AG34" s="7"/>
      <c r="AH34" s="20">
        <v>40093.0</v>
      </c>
      <c r="AI34" s="7"/>
      <c r="AJ34" s="7" t="s">
        <v>814</v>
      </c>
      <c r="AK34" s="7">
        <v>4.0006478800021E13</v>
      </c>
      <c r="AL34" s="7" t="s">
        <v>815</v>
      </c>
      <c r="AM34" s="7" t="s">
        <v>816</v>
      </c>
      <c r="AN34" s="20">
        <v>43739.0</v>
      </c>
      <c r="AO34" s="7">
        <v>97480.0</v>
      </c>
      <c r="AP34" s="7" t="s">
        <v>385</v>
      </c>
      <c r="AQ34" s="7"/>
      <c r="AR34" s="7"/>
      <c r="AS34" s="7"/>
      <c r="AT34" s="7"/>
      <c r="AU34" s="7">
        <v>0.0</v>
      </c>
      <c r="AV34" s="7" t="s">
        <v>817</v>
      </c>
      <c r="AW34" s="7"/>
      <c r="AX34" s="7"/>
      <c r="AY34" s="7"/>
      <c r="AZ34" s="7"/>
      <c r="BA34" s="7"/>
      <c r="BB34" s="7"/>
      <c r="BC34" s="7" t="s">
        <v>401</v>
      </c>
      <c r="BD34" s="21">
        <v>44132.15972222222</v>
      </c>
      <c r="BE34" s="7" t="s">
        <v>818</v>
      </c>
      <c r="BF34" s="7"/>
      <c r="BG34" s="7"/>
      <c r="BH34" s="7">
        <v>4.00064788E8</v>
      </c>
      <c r="BI34" s="7" t="s">
        <v>819</v>
      </c>
      <c r="BJ34" s="7"/>
      <c r="BK34" s="7" t="b">
        <v>0</v>
      </c>
      <c r="BL34" s="7" t="b">
        <v>0</v>
      </c>
      <c r="BM34" s="7"/>
      <c r="BN34" s="7" t="str">
        <f>IFERROR(__xludf.DUMMYFUNCTION(" IF( REGEXMATCH(C34 , ""[(].+[)]""),REGEXREPLACE( CONCATENATE(REGEXEXTRACT(C34 , ""[(].+[)]""),IF(REGEXMATCH(C34 , ""[(][Ll]['’][)]""),"""","" ""), REGEXEXTRACT(C34 ,""^(?:(?:[A-Za-zàäéèêîïöôûü0-9 ](?:[A-Za-zàäéèêîïöôûü'0-9 ]+)))"")) , ""[()]"", """"),C34"&amp;" )"),"Art Sud")</f>
        <v>Art Sud</v>
      </c>
      <c r="BO34" s="25"/>
      <c r="BP34" s="7"/>
      <c r="BQ34" s="7"/>
      <c r="BR34" s="7"/>
      <c r="BS34" s="7"/>
      <c r="BT34" s="7"/>
      <c r="BU34" s="7"/>
      <c r="BV34" s="7"/>
      <c r="BW34" s="7"/>
      <c r="BX34" s="7"/>
      <c r="BY34" s="7"/>
      <c r="BZ34" s="7"/>
      <c r="CA34" s="7"/>
      <c r="CB34" s="7"/>
    </row>
    <row r="35" ht="21.75" customHeight="1">
      <c r="A35" s="7">
        <v>2081.0</v>
      </c>
      <c r="B35" s="7">
        <v>34.0</v>
      </c>
      <c r="C35" s="7" t="s">
        <v>820</v>
      </c>
      <c r="D35" s="7"/>
      <c r="E35" s="7"/>
      <c r="F35" s="7" t="s">
        <v>404</v>
      </c>
      <c r="G35" s="7" t="s">
        <v>343</v>
      </c>
      <c r="H35" s="7" t="s">
        <v>123</v>
      </c>
      <c r="I35" s="7" t="s">
        <v>821</v>
      </c>
      <c r="J35" s="7"/>
      <c r="K35" s="7" t="s">
        <v>822</v>
      </c>
      <c r="L35" s="7" t="s">
        <v>823</v>
      </c>
      <c r="M35" s="7" t="s">
        <v>824</v>
      </c>
      <c r="N35" s="7" t="s">
        <v>664</v>
      </c>
      <c r="O35" s="7">
        <v>97480.0</v>
      </c>
      <c r="P35" s="7" t="s">
        <v>123</v>
      </c>
      <c r="Q35" s="7"/>
      <c r="R35" s="7"/>
      <c r="S35" s="7"/>
      <c r="T35" s="7" t="s">
        <v>377</v>
      </c>
      <c r="U35" s="7" t="s">
        <v>378</v>
      </c>
      <c r="V35" s="7"/>
      <c r="W35" s="7">
        <v>6.92834768E8</v>
      </c>
      <c r="X35" s="7"/>
      <c r="Y35" s="7"/>
      <c r="Z35" s="7" t="s">
        <v>825</v>
      </c>
      <c r="AA35" s="7"/>
      <c r="AB35" s="7"/>
      <c r="AC35" s="7"/>
      <c r="AD35" s="7" t="s">
        <v>826</v>
      </c>
      <c r="AE35" s="7"/>
      <c r="AF35" s="7"/>
      <c r="AG35" s="7"/>
      <c r="AH35" s="20">
        <v>40094.0</v>
      </c>
      <c r="AI35" s="7"/>
      <c r="AJ35" s="7" t="s">
        <v>820</v>
      </c>
      <c r="AK35" s="7"/>
      <c r="AL35" s="7" t="s">
        <v>827</v>
      </c>
      <c r="AM35" s="7" t="s">
        <v>828</v>
      </c>
      <c r="AN35" s="20">
        <v>43739.0</v>
      </c>
      <c r="AO35" s="7">
        <v>97480.0</v>
      </c>
      <c r="AP35" s="7" t="s">
        <v>385</v>
      </c>
      <c r="AQ35" s="7"/>
      <c r="AR35" s="7"/>
      <c r="AS35" s="7"/>
      <c r="AT35" s="7"/>
      <c r="AU35" s="7">
        <v>0.0</v>
      </c>
      <c r="AV35" s="7" t="s">
        <v>829</v>
      </c>
      <c r="AW35" s="7"/>
      <c r="AX35" s="7"/>
      <c r="AY35" s="7"/>
      <c r="AZ35" s="7"/>
      <c r="BA35" s="7"/>
      <c r="BB35" s="7"/>
      <c r="BC35" s="7" t="s">
        <v>366</v>
      </c>
      <c r="BD35" s="21">
        <v>44175.441666666666</v>
      </c>
      <c r="BE35" s="7"/>
      <c r="BF35" s="7"/>
      <c r="BG35" s="22">
        <v>44175.0</v>
      </c>
      <c r="BH35" s="7"/>
      <c r="BI35" s="7" t="s">
        <v>830</v>
      </c>
      <c r="BJ35" s="7"/>
      <c r="BK35" s="7" t="b">
        <v>0</v>
      </c>
      <c r="BL35" s="7" t="b">
        <v>0</v>
      </c>
      <c r="BM35" s="7"/>
      <c r="BN35" s="7" t="str">
        <f>IFERROR(__xludf.DUMMYFUNCTION(" IF( REGEXMATCH(C35 , ""[(].+[)]""),REGEXREPLACE( CONCATENATE(REGEXEXTRACT(C35 , ""[(].+[)]""),IF(REGEXMATCH(C35 , ""[(][Ll]['’][)]""),"""","" ""), REGEXEXTRACT(C35 ,""^(?:(?:[A-Za-zàäéèêîïöôûü0-9 ](?:[A-Za-zàäéèêîïöôûü'0-9 ]+)))"")) , ""[()]"", """"),C35"&amp;" )"),"Art Thé")</f>
        <v>Art Thé</v>
      </c>
      <c r="BO35" s="23"/>
      <c r="BP35" s="7"/>
      <c r="BQ35" s="7"/>
      <c r="BR35" s="7"/>
      <c r="BS35" s="7"/>
      <c r="BT35" s="7"/>
      <c r="BU35" s="7"/>
      <c r="BV35" s="7"/>
      <c r="BW35" s="7"/>
      <c r="BX35" s="7"/>
      <c r="BY35" s="7"/>
      <c r="BZ35" s="7"/>
      <c r="CA35" s="7"/>
      <c r="CB35" s="7"/>
    </row>
    <row r="36" ht="21.75" customHeight="1">
      <c r="A36" s="7">
        <v>3982.0</v>
      </c>
      <c r="B36" s="7">
        <v>35.0</v>
      </c>
      <c r="C36" s="7" t="s">
        <v>831</v>
      </c>
      <c r="D36" s="7"/>
      <c r="E36" s="7"/>
      <c r="F36" s="7" t="s">
        <v>342</v>
      </c>
      <c r="G36" s="7" t="s">
        <v>343</v>
      </c>
      <c r="H36" s="7" t="s">
        <v>123</v>
      </c>
      <c r="I36" s="7" t="s">
        <v>832</v>
      </c>
      <c r="J36" s="7"/>
      <c r="K36" s="6" t="s">
        <v>469</v>
      </c>
      <c r="L36" s="7" t="s">
        <v>197</v>
      </c>
      <c r="M36" s="7" t="s">
        <v>559</v>
      </c>
      <c r="N36" s="7" t="s">
        <v>455</v>
      </c>
      <c r="O36" s="7">
        <v>97480.0</v>
      </c>
      <c r="P36" s="7" t="s">
        <v>123</v>
      </c>
      <c r="Q36" s="7"/>
      <c r="R36" s="7"/>
      <c r="S36" s="7"/>
      <c r="T36" s="7" t="s">
        <v>377</v>
      </c>
      <c r="U36" s="7" t="s">
        <v>833</v>
      </c>
      <c r="V36" s="7">
        <v>2.62371501E8</v>
      </c>
      <c r="W36" s="7">
        <v>6.92212501E8</v>
      </c>
      <c r="X36" s="7"/>
      <c r="Y36" s="7"/>
      <c r="Z36" s="7" t="s">
        <v>834</v>
      </c>
      <c r="AA36" s="7">
        <v>20.0</v>
      </c>
      <c r="AB36" s="7"/>
      <c r="AC36" s="7" t="s">
        <v>835</v>
      </c>
      <c r="AD36" s="7" t="s">
        <v>836</v>
      </c>
      <c r="AE36" s="7" t="s">
        <v>837</v>
      </c>
      <c r="AF36" s="7"/>
      <c r="AG36" s="7"/>
      <c r="AH36" s="20">
        <v>42219.0</v>
      </c>
      <c r="AI36" s="7"/>
      <c r="AJ36" s="7" t="s">
        <v>838</v>
      </c>
      <c r="AK36" s="7">
        <v>4.9086174700023E13</v>
      </c>
      <c r="AL36" s="7" t="s">
        <v>839</v>
      </c>
      <c r="AM36" s="7" t="s">
        <v>840</v>
      </c>
      <c r="AN36" s="20">
        <v>42219.0</v>
      </c>
      <c r="AO36" s="7">
        <v>97480.0</v>
      </c>
      <c r="AP36" s="7" t="s">
        <v>385</v>
      </c>
      <c r="AQ36" s="7"/>
      <c r="AR36" s="7"/>
      <c r="AS36" s="7"/>
      <c r="AT36" s="7"/>
      <c r="AU36" s="7">
        <v>0.0</v>
      </c>
      <c r="AV36" s="7" t="s">
        <v>841</v>
      </c>
      <c r="AW36" s="7"/>
      <c r="AX36" s="7"/>
      <c r="AY36" s="7"/>
      <c r="AZ36" s="7"/>
      <c r="BA36" s="7"/>
      <c r="BB36" s="7"/>
      <c r="BC36" s="7" t="s">
        <v>366</v>
      </c>
      <c r="BD36" s="21">
        <v>44180.44375</v>
      </c>
      <c r="BE36" s="7"/>
      <c r="BF36" s="7"/>
      <c r="BG36" s="22">
        <v>44180.0</v>
      </c>
      <c r="BH36" s="7">
        <v>4.90861747E8</v>
      </c>
      <c r="BI36" s="7" t="s">
        <v>842</v>
      </c>
      <c r="BJ36" s="7"/>
      <c r="BK36" s="7" t="b">
        <v>0</v>
      </c>
      <c r="BL36" s="7" t="b">
        <v>0</v>
      </c>
      <c r="BM36" s="7"/>
      <c r="BN36" s="7" t="str">
        <f>IFERROR(__xludf.DUMMYFUNCTION(" IF( REGEXMATCH(C36 , ""[(].+[)]""),REGEXREPLACE( CONCATENATE(REGEXEXTRACT(C36 , ""[(].+[)]""),IF(REGEXMATCH(C36 , ""[(][Ll]['’][)]""),"""","" ""), REGEXEXTRACT(C36 ,""^(?:(?:[A-Za-zàäéèêîïöôûü0-9 ](?:[A-Za-zàäéèêîïöôûü'0-9 ]+)))"")) , ""[()]"", """"),C36"&amp;" )"),"Arts Passions")</f>
        <v>Arts Passions</v>
      </c>
      <c r="BO36" s="23"/>
      <c r="BP36" s="7"/>
      <c r="BQ36" s="7"/>
      <c r="BR36" s="7"/>
      <c r="BS36" s="7"/>
      <c r="BT36" s="7"/>
      <c r="BU36" s="7"/>
      <c r="BV36" s="7"/>
      <c r="BW36" s="7"/>
      <c r="BX36" s="7"/>
      <c r="BY36" s="7"/>
      <c r="BZ36" s="7"/>
      <c r="CA36" s="7"/>
      <c r="CB36" s="7"/>
    </row>
    <row r="37" ht="21.75" customHeight="1">
      <c r="A37" s="7">
        <v>4775.0</v>
      </c>
      <c r="B37" s="7" t="s">
        <v>843</v>
      </c>
      <c r="C37" s="7" t="s">
        <v>844</v>
      </c>
      <c r="D37" s="7"/>
      <c r="E37" s="7"/>
      <c r="F37" s="7" t="s">
        <v>342</v>
      </c>
      <c r="G37" s="7" t="s">
        <v>343</v>
      </c>
      <c r="H37" s="7" t="s">
        <v>40</v>
      </c>
      <c r="I37" s="7" t="s">
        <v>845</v>
      </c>
      <c r="J37" s="26" t="s">
        <v>846</v>
      </c>
      <c r="K37" s="6" t="s">
        <v>469</v>
      </c>
      <c r="L37" s="7" t="s">
        <v>847</v>
      </c>
      <c r="M37" s="7" t="s">
        <v>848</v>
      </c>
      <c r="N37" s="7" t="s">
        <v>455</v>
      </c>
      <c r="O37" s="7">
        <v>97414.0</v>
      </c>
      <c r="P37" s="7" t="s">
        <v>40</v>
      </c>
      <c r="Q37" s="7"/>
      <c r="R37" s="7" t="s">
        <v>849</v>
      </c>
      <c r="S37" s="7" t="s">
        <v>850</v>
      </c>
      <c r="T37" s="7" t="s">
        <v>377</v>
      </c>
      <c r="U37" s="7" t="s">
        <v>851</v>
      </c>
      <c r="V37" s="7"/>
      <c r="W37" s="7">
        <v>6.9293321E8</v>
      </c>
      <c r="X37" s="7"/>
      <c r="Y37" s="7"/>
      <c r="Z37" s="7" t="s">
        <v>852</v>
      </c>
      <c r="AA37" s="7"/>
      <c r="AB37" s="7"/>
      <c r="AC37" s="7" t="s">
        <v>853</v>
      </c>
      <c r="AD37" s="7" t="s">
        <v>854</v>
      </c>
      <c r="AE37" s="7" t="s">
        <v>855</v>
      </c>
      <c r="AF37" s="7"/>
      <c r="AG37" s="7"/>
      <c r="AH37" s="20">
        <v>43451.0</v>
      </c>
      <c r="AI37" s="7"/>
      <c r="AJ37" s="7" t="s">
        <v>856</v>
      </c>
      <c r="AK37" s="7">
        <v>8.133268240003E13</v>
      </c>
      <c r="AL37" s="7" t="s">
        <v>857</v>
      </c>
      <c r="AM37" s="7" t="s">
        <v>858</v>
      </c>
      <c r="AN37" s="20">
        <v>43451.0</v>
      </c>
      <c r="AO37" s="7">
        <v>97414.0</v>
      </c>
      <c r="AP37" s="7" t="s">
        <v>429</v>
      </c>
      <c r="AQ37" s="7"/>
      <c r="AR37" s="7"/>
      <c r="AS37" s="7"/>
      <c r="AT37" s="7"/>
      <c r="AU37" s="7">
        <v>0.0</v>
      </c>
      <c r="AV37" s="7" t="s">
        <v>859</v>
      </c>
      <c r="AW37" s="7"/>
      <c r="AX37" s="7"/>
      <c r="AY37" s="7"/>
      <c r="AZ37" s="7"/>
      <c r="BA37" s="7"/>
      <c r="BB37" s="7"/>
      <c r="BC37" s="7" t="s">
        <v>401</v>
      </c>
      <c r="BD37" s="21">
        <v>44059.180555555555</v>
      </c>
      <c r="BE37" s="7" t="s">
        <v>860</v>
      </c>
      <c r="BF37" s="7"/>
      <c r="BG37" s="7"/>
      <c r="BH37" s="7">
        <v>8.13326824E8</v>
      </c>
      <c r="BI37" s="7" t="s">
        <v>861</v>
      </c>
      <c r="BJ37" s="7"/>
      <c r="BK37" s="7" t="b">
        <v>0</v>
      </c>
      <c r="BL37" s="7" t="b">
        <v>0</v>
      </c>
      <c r="BM37" s="7"/>
      <c r="BN37" s="7" t="str">
        <f>IFERROR(__xludf.DUMMYFUNCTION(" IF( REGEXMATCH(C37 , ""[(].+[)]""),REGEXREPLACE( CONCATENATE(REGEXEXTRACT(C37 , ""[(].+[)]""),IF(REGEXMATCH(C37 , ""[(][Ll]['’][)]""),"""","" ""), REGEXEXTRACT(C37 ,""^(?:(?:[A-Za-zàäéèêîïöôûü0-9 ](?:[A-Za-zàäéèêîïöôûü'0-9 ]+)))"")) , ""[()]"", """"),C37"&amp;" )"),"Ascendance Parapente")</f>
        <v>Ascendance Parapente</v>
      </c>
      <c r="BO37" s="25"/>
      <c r="BP37" s="7"/>
      <c r="BQ37" s="7"/>
      <c r="BR37" s="7"/>
      <c r="BS37" s="7"/>
      <c r="BT37" s="7"/>
      <c r="BU37" s="7"/>
      <c r="BV37" s="7"/>
      <c r="BW37" s="7"/>
      <c r="BX37" s="7"/>
      <c r="BY37" s="7"/>
      <c r="BZ37" s="7"/>
      <c r="CA37" s="7"/>
      <c r="CB37" s="7"/>
    </row>
    <row r="38" ht="21.75" customHeight="1">
      <c r="A38" s="7">
        <v>1687.0</v>
      </c>
      <c r="B38" s="7" t="s">
        <v>862</v>
      </c>
      <c r="C38" s="7" t="s">
        <v>863</v>
      </c>
      <c r="D38" s="7" t="s">
        <v>863</v>
      </c>
      <c r="E38" s="7"/>
      <c r="F38" s="7" t="s">
        <v>342</v>
      </c>
      <c r="G38" s="7" t="s">
        <v>343</v>
      </c>
      <c r="H38" s="7" t="s">
        <v>344</v>
      </c>
      <c r="I38" s="7" t="s">
        <v>864</v>
      </c>
      <c r="J38" s="7"/>
      <c r="K38" s="7" t="s">
        <v>34</v>
      </c>
      <c r="L38" s="7" t="s">
        <v>622</v>
      </c>
      <c r="M38" s="7" t="s">
        <v>622</v>
      </c>
      <c r="N38" s="7" t="s">
        <v>375</v>
      </c>
      <c r="O38" s="7">
        <v>97430.0</v>
      </c>
      <c r="P38" s="7" t="s">
        <v>344</v>
      </c>
      <c r="Q38" s="7"/>
      <c r="R38" s="7"/>
      <c r="S38" s="7" t="s">
        <v>865</v>
      </c>
      <c r="T38" s="7" t="s">
        <v>377</v>
      </c>
      <c r="U38" s="7" t="s">
        <v>378</v>
      </c>
      <c r="V38" s="7">
        <v>2.62020719E8</v>
      </c>
      <c r="W38" s="7">
        <v>6.92077695E8</v>
      </c>
      <c r="X38" s="7"/>
      <c r="Y38" s="7"/>
      <c r="Z38" s="7"/>
      <c r="AA38" s="7"/>
      <c r="AB38" s="7"/>
      <c r="AC38" s="7"/>
      <c r="AD38" s="7" t="s">
        <v>866</v>
      </c>
      <c r="AE38" s="7"/>
      <c r="AF38" s="7"/>
      <c r="AG38" s="7"/>
      <c r="AH38" s="20">
        <v>43739.0</v>
      </c>
      <c r="AI38" s="7"/>
      <c r="AJ38" s="7" t="s">
        <v>867</v>
      </c>
      <c r="AK38" s="7">
        <v>4.9166445400015E13</v>
      </c>
      <c r="AL38" s="7" t="s">
        <v>868</v>
      </c>
      <c r="AM38" s="7" t="s">
        <v>869</v>
      </c>
      <c r="AN38" s="20">
        <v>43739.0</v>
      </c>
      <c r="AO38" s="7">
        <v>97430.0</v>
      </c>
      <c r="AP38" s="7" t="s">
        <v>494</v>
      </c>
      <c r="AQ38" s="7"/>
      <c r="AR38" s="7"/>
      <c r="AS38" s="7"/>
      <c r="AT38" s="7"/>
      <c r="AU38" s="7">
        <v>0.0</v>
      </c>
      <c r="AV38" s="7" t="s">
        <v>870</v>
      </c>
      <c r="AW38" s="7"/>
      <c r="AX38" s="7"/>
      <c r="AY38" s="7"/>
      <c r="AZ38" s="7"/>
      <c r="BA38" s="7"/>
      <c r="BB38" s="7"/>
      <c r="BC38" s="7" t="s">
        <v>401</v>
      </c>
      <c r="BD38" s="21">
        <v>44180.407638888886</v>
      </c>
      <c r="BE38" s="7" t="s">
        <v>871</v>
      </c>
      <c r="BF38" s="7"/>
      <c r="BG38" s="7"/>
      <c r="BH38" s="7">
        <v>4.91664454E8</v>
      </c>
      <c r="BI38" s="7" t="s">
        <v>872</v>
      </c>
      <c r="BJ38" s="7"/>
      <c r="BK38" s="7" t="b">
        <v>0</v>
      </c>
      <c r="BL38" s="7" t="b">
        <v>0</v>
      </c>
      <c r="BM38" s="7"/>
      <c r="BN38" s="7" t="str">
        <f>IFERROR(__xludf.DUMMYFUNCTION(" IF( REGEXMATCH(C38 , ""[(].+[)]""),REGEXREPLACE( CONCATENATE(REGEXEXTRACT(C38 , ""[(].+[)]""),IF(REGEXMATCH(C38 , ""[(][Ll]['’][)]""),"""","" ""), REGEXEXTRACT(C38 ,""^(?:(?:[A-Za-zàäéèêîïöôûü0-9 ](?:[A-Za-zàäéèêîïöôûü'0-9 ]+)))"")) , ""[()]"", """"),C38"&amp;" )"),"Assiette Fleurie")</f>
        <v>Assiette Fleurie</v>
      </c>
      <c r="BO38" s="25"/>
      <c r="BP38" s="7"/>
      <c r="BQ38" s="7"/>
      <c r="BR38" s="7"/>
      <c r="BS38" s="7"/>
      <c r="BT38" s="7"/>
      <c r="BU38" s="7"/>
      <c r="BV38" s="7"/>
      <c r="BW38" s="7"/>
      <c r="BX38" s="7"/>
      <c r="BY38" s="7"/>
      <c r="BZ38" s="7"/>
      <c r="CA38" s="7"/>
      <c r="CB38" s="7"/>
    </row>
    <row r="39" ht="21.75" customHeight="1">
      <c r="A39" s="7">
        <v>1935.0</v>
      </c>
      <c r="B39" s="7">
        <v>38.0</v>
      </c>
      <c r="C39" s="7" t="s">
        <v>873</v>
      </c>
      <c r="D39" s="7" t="s">
        <v>874</v>
      </c>
      <c r="E39" s="7"/>
      <c r="F39" s="7" t="s">
        <v>404</v>
      </c>
      <c r="G39" s="7" t="s">
        <v>343</v>
      </c>
      <c r="H39" s="7" t="s">
        <v>33</v>
      </c>
      <c r="I39" s="7" t="s">
        <v>875</v>
      </c>
      <c r="J39" s="7"/>
      <c r="K39" s="6" t="s">
        <v>469</v>
      </c>
      <c r="L39" s="7" t="s">
        <v>197</v>
      </c>
      <c r="M39" s="7" t="s">
        <v>559</v>
      </c>
      <c r="N39" s="7" t="s">
        <v>375</v>
      </c>
      <c r="O39" s="7">
        <v>97442.0</v>
      </c>
      <c r="P39" s="7" t="s">
        <v>33</v>
      </c>
      <c r="Q39" s="7"/>
      <c r="R39" s="7"/>
      <c r="S39" s="7"/>
      <c r="T39" s="7" t="s">
        <v>377</v>
      </c>
      <c r="U39" s="7" t="s">
        <v>876</v>
      </c>
      <c r="V39" s="7"/>
      <c r="W39" s="7">
        <v>6.92194866E8</v>
      </c>
      <c r="X39" s="7"/>
      <c r="Y39" s="7"/>
      <c r="Z39" s="7"/>
      <c r="AA39" s="7"/>
      <c r="AB39" s="7"/>
      <c r="AC39" s="7" t="s">
        <v>877</v>
      </c>
      <c r="AD39" s="7" t="s">
        <v>878</v>
      </c>
      <c r="AE39" s="7" t="s">
        <v>879</v>
      </c>
      <c r="AF39" s="7" t="s">
        <v>880</v>
      </c>
      <c r="AG39" s="7"/>
      <c r="AH39" s="20">
        <v>43739.0</v>
      </c>
      <c r="AI39" s="7"/>
      <c r="AJ39" s="7" t="s">
        <v>881</v>
      </c>
      <c r="AK39" s="7"/>
      <c r="AL39" s="7" t="s">
        <v>882</v>
      </c>
      <c r="AM39" s="7" t="s">
        <v>883</v>
      </c>
      <c r="AN39" s="20">
        <v>43739.0</v>
      </c>
      <c r="AO39" s="7">
        <v>97442.0</v>
      </c>
      <c r="AP39" s="7" t="s">
        <v>884</v>
      </c>
      <c r="AQ39" s="7"/>
      <c r="AR39" s="7"/>
      <c r="AS39" s="7"/>
      <c r="AT39" s="7"/>
      <c r="AU39" s="7">
        <v>0.0</v>
      </c>
      <c r="AV39" s="7" t="s">
        <v>885</v>
      </c>
      <c r="AW39" s="7"/>
      <c r="AX39" s="7"/>
      <c r="AY39" s="7"/>
      <c r="AZ39" s="7"/>
      <c r="BA39" s="7"/>
      <c r="BB39" s="7"/>
      <c r="BC39" s="7" t="s">
        <v>366</v>
      </c>
      <c r="BD39" s="21">
        <v>44167.15</v>
      </c>
      <c r="BE39" s="7"/>
      <c r="BF39" s="7"/>
      <c r="BG39" s="22">
        <v>44167.0</v>
      </c>
      <c r="BH39" s="7"/>
      <c r="BI39" s="7" t="s">
        <v>886</v>
      </c>
      <c r="BJ39" s="7"/>
      <c r="BK39" s="7" t="b">
        <v>0</v>
      </c>
      <c r="BL39" s="7" t="b">
        <v>0</v>
      </c>
      <c r="BM39" s="7"/>
      <c r="BN39" s="7" t="str">
        <f>IFERROR(__xludf.DUMMYFUNCTION(" IF( REGEXMATCH(C39 , ""[(].+[)]""),REGEXREPLACE( CONCATENATE(REGEXEXTRACT(C39 , ""[(].+[)]""),IF(REGEXMATCH(C39 , ""[(][Ll]['’][)]""),"""","" ""), REGEXEXTRACT(C39 ,""^(?:(?:[A-Za-zàäéèêîïöôûü0-9 ](?:[A-Za-zàäéèêîïöôûü'0-9 ]+)))"")) , ""[()]"", """"),C39"&amp;" )"),"Association Cass' le Coin - Kiosque Artisanal")</f>
        <v>Association Cass' le Coin - Kiosque Artisanal</v>
      </c>
      <c r="BO39" s="23"/>
      <c r="BP39" s="7"/>
      <c r="BQ39" s="7"/>
      <c r="BR39" s="7"/>
      <c r="BS39" s="7"/>
      <c r="BT39" s="7"/>
      <c r="BU39" s="7"/>
      <c r="BV39" s="7"/>
      <c r="BW39" s="7"/>
      <c r="BX39" s="7"/>
      <c r="BY39" s="7"/>
      <c r="BZ39" s="7"/>
      <c r="CA39" s="7"/>
      <c r="CB39" s="7"/>
    </row>
    <row r="40" ht="21.75" customHeight="1">
      <c r="A40" s="7">
        <v>2093.0</v>
      </c>
      <c r="B40" s="7">
        <v>39.0</v>
      </c>
      <c r="C40" s="7" t="s">
        <v>887</v>
      </c>
      <c r="D40" s="7" t="s">
        <v>887</v>
      </c>
      <c r="E40" s="7"/>
      <c r="F40" s="7" t="s">
        <v>404</v>
      </c>
      <c r="G40" s="7" t="s">
        <v>343</v>
      </c>
      <c r="H40" s="7" t="s">
        <v>33</v>
      </c>
      <c r="I40" s="7" t="s">
        <v>888</v>
      </c>
      <c r="J40" s="7"/>
      <c r="K40" s="6" t="s">
        <v>469</v>
      </c>
      <c r="L40" s="7" t="s">
        <v>197</v>
      </c>
      <c r="M40" s="7" t="s">
        <v>559</v>
      </c>
      <c r="N40" s="7" t="s">
        <v>375</v>
      </c>
      <c r="O40" s="7">
        <v>97442.0</v>
      </c>
      <c r="P40" s="7" t="s">
        <v>33</v>
      </c>
      <c r="Q40" s="7"/>
      <c r="R40" s="7"/>
      <c r="S40" s="7" t="s">
        <v>889</v>
      </c>
      <c r="T40" s="7" t="s">
        <v>377</v>
      </c>
      <c r="U40" s="7" t="s">
        <v>378</v>
      </c>
      <c r="V40" s="7">
        <v>2.62371996E8</v>
      </c>
      <c r="W40" s="7"/>
      <c r="X40" s="7"/>
      <c r="Y40" s="7"/>
      <c r="Z40" s="7" t="s">
        <v>890</v>
      </c>
      <c r="AA40" s="7"/>
      <c r="AB40" s="7"/>
      <c r="AC40" s="7"/>
      <c r="AD40" s="7" t="s">
        <v>891</v>
      </c>
      <c r="AE40" s="7"/>
      <c r="AF40" s="7"/>
      <c r="AG40" s="7"/>
      <c r="AH40" s="20">
        <v>43739.0</v>
      </c>
      <c r="AI40" s="7"/>
      <c r="AJ40" s="7" t="s">
        <v>892</v>
      </c>
      <c r="AK40" s="7"/>
      <c r="AL40" s="7" t="s">
        <v>893</v>
      </c>
      <c r="AM40" s="7" t="s">
        <v>894</v>
      </c>
      <c r="AN40" s="20">
        <v>43739.0</v>
      </c>
      <c r="AO40" s="7">
        <v>97442.0</v>
      </c>
      <c r="AP40" s="7" t="s">
        <v>884</v>
      </c>
      <c r="AQ40" s="7"/>
      <c r="AR40" s="7"/>
      <c r="AS40" s="7"/>
      <c r="AT40" s="7"/>
      <c r="AU40" s="7">
        <v>0.0</v>
      </c>
      <c r="AV40" s="7" t="s">
        <v>895</v>
      </c>
      <c r="AW40" s="7"/>
      <c r="AX40" s="7"/>
      <c r="AY40" s="7"/>
      <c r="AZ40" s="7"/>
      <c r="BA40" s="7"/>
      <c r="BB40" s="7"/>
      <c r="BC40" s="7" t="s">
        <v>366</v>
      </c>
      <c r="BD40" s="21">
        <v>44167.072916666664</v>
      </c>
      <c r="BE40" s="7"/>
      <c r="BF40" s="7"/>
      <c r="BG40" s="22">
        <v>44167.0</v>
      </c>
      <c r="BH40" s="7"/>
      <c r="BI40" s="7" t="s">
        <v>896</v>
      </c>
      <c r="BJ40" s="7"/>
      <c r="BK40" s="7" t="b">
        <v>0</v>
      </c>
      <c r="BL40" s="7" t="b">
        <v>0</v>
      </c>
      <c r="BM40" s="7"/>
      <c r="BN40" s="7" t="str">
        <f>IFERROR(__xludf.DUMMYFUNCTION(" IF( REGEXMATCH(C40 , ""[(].+[)]""),REGEXREPLACE( CONCATENATE(REGEXEXTRACT(C40 , ""[(].+[)]""),IF(REGEXMATCH(C40 , ""[(][Ll]['’][)]""),"""","" ""), REGEXEXTRACT(C40 ,""^(?:(?:[A-Za-zàäéèêîïöôûü0-9 ](?:[A-Za-zàäéèêîïöôûü'0-9 ]+)))"")) , ""[()]"", """"),C40"&amp;" )"),"Atelier de la Fournaise")</f>
        <v>Atelier de la Fournaise</v>
      </c>
      <c r="BO40" s="23"/>
      <c r="BP40" s="7"/>
      <c r="BQ40" s="7"/>
      <c r="BR40" s="7"/>
      <c r="BS40" s="7"/>
      <c r="BT40" s="7"/>
      <c r="BU40" s="7"/>
      <c r="BV40" s="7"/>
      <c r="BW40" s="7"/>
      <c r="BX40" s="7"/>
      <c r="BY40" s="7"/>
      <c r="BZ40" s="7"/>
      <c r="CA40" s="7"/>
      <c r="CB40" s="7"/>
    </row>
    <row r="41" ht="21.75" customHeight="1">
      <c r="A41" s="7">
        <v>2082.0</v>
      </c>
      <c r="B41" s="7">
        <v>40.0</v>
      </c>
      <c r="C41" s="7" t="s">
        <v>897</v>
      </c>
      <c r="D41" s="7"/>
      <c r="E41" s="7"/>
      <c r="F41" s="7" t="s">
        <v>342</v>
      </c>
      <c r="G41" s="7" t="s">
        <v>343</v>
      </c>
      <c r="H41" s="7" t="s">
        <v>123</v>
      </c>
      <c r="I41" s="7" t="s">
        <v>898</v>
      </c>
      <c r="J41" s="7"/>
      <c r="K41" s="6" t="s">
        <v>469</v>
      </c>
      <c r="L41" s="7" t="s">
        <v>197</v>
      </c>
      <c r="M41" s="7" t="s">
        <v>559</v>
      </c>
      <c r="N41" s="7" t="s">
        <v>455</v>
      </c>
      <c r="O41" s="7">
        <v>97480.0</v>
      </c>
      <c r="P41" s="7" t="s">
        <v>123</v>
      </c>
      <c r="Q41" s="7"/>
      <c r="R41" s="7"/>
      <c r="S41" s="7"/>
      <c r="T41" s="7" t="s">
        <v>377</v>
      </c>
      <c r="U41" s="7"/>
      <c r="V41" s="7">
        <v>2.62566727E8</v>
      </c>
      <c r="W41" s="7"/>
      <c r="X41" s="7"/>
      <c r="Y41" s="7"/>
      <c r="Z41" s="7" t="s">
        <v>899</v>
      </c>
      <c r="AA41" s="7"/>
      <c r="AB41" s="7"/>
      <c r="AC41" s="7"/>
      <c r="AD41" s="7" t="s">
        <v>900</v>
      </c>
      <c r="AE41" s="7"/>
      <c r="AF41" s="7"/>
      <c r="AG41" s="7"/>
      <c r="AH41" s="20">
        <v>40094.0</v>
      </c>
      <c r="AI41" s="7"/>
      <c r="AJ41" s="7" t="s">
        <v>897</v>
      </c>
      <c r="AK41" s="7">
        <v>4.2282822800029E13</v>
      </c>
      <c r="AL41" s="7" t="s">
        <v>901</v>
      </c>
      <c r="AM41" s="7" t="s">
        <v>902</v>
      </c>
      <c r="AN41" s="20">
        <v>43739.0</v>
      </c>
      <c r="AO41" s="7">
        <v>97480.0</v>
      </c>
      <c r="AP41" s="7" t="s">
        <v>385</v>
      </c>
      <c r="AQ41" s="7"/>
      <c r="AR41" s="7"/>
      <c r="AS41" s="7"/>
      <c r="AT41" s="7"/>
      <c r="AU41" s="7">
        <v>0.0</v>
      </c>
      <c r="AV41" s="7" t="s">
        <v>903</v>
      </c>
      <c r="AW41" s="7"/>
      <c r="AX41" s="7"/>
      <c r="AY41" s="7"/>
      <c r="AZ41" s="7"/>
      <c r="BA41" s="7"/>
      <c r="BB41" s="7"/>
      <c r="BC41" s="7" t="s">
        <v>366</v>
      </c>
      <c r="BD41" s="21">
        <v>44174.10972222222</v>
      </c>
      <c r="BE41" s="7"/>
      <c r="BF41" s="7"/>
      <c r="BG41" s="22">
        <v>44174.0</v>
      </c>
      <c r="BH41" s="7">
        <v>4.22828228E8</v>
      </c>
      <c r="BI41" s="7" t="s">
        <v>904</v>
      </c>
      <c r="BJ41" s="7"/>
      <c r="BK41" s="7" t="b">
        <v>0</v>
      </c>
      <c r="BL41" s="7" t="b">
        <v>0</v>
      </c>
      <c r="BM41" s="7"/>
      <c r="BN41" s="7" t="str">
        <f>IFERROR(__xludf.DUMMYFUNCTION(" IF( REGEXMATCH(C41 , ""[(].+[)]""),REGEXREPLACE( CONCATENATE(REGEXEXTRACT(C41 , ""[(].+[)]""),IF(REGEXMATCH(C41 , ""[(][Ll]['’][)]""),"""","" ""), REGEXEXTRACT(C41 ,""^(?:(?:[A-Za-zàäéèêîïöôûü0-9 ](?:[A-Za-zàäéèêîïöôûü'0-9 ]+)))"")) , ""[()]"", """"),C41"&amp;" )"),"Atelier des Fleurs Pressées")</f>
        <v>Atelier des Fleurs Pressées</v>
      </c>
      <c r="BO41" s="23"/>
      <c r="BP41" s="7"/>
      <c r="BQ41" s="7"/>
      <c r="BR41" s="7"/>
      <c r="BS41" s="7"/>
      <c r="BT41" s="7"/>
      <c r="BU41" s="7"/>
      <c r="BV41" s="7"/>
      <c r="BW41" s="7"/>
      <c r="BX41" s="7"/>
      <c r="BY41" s="7"/>
      <c r="BZ41" s="7"/>
      <c r="CA41" s="7"/>
      <c r="CB41" s="7"/>
    </row>
    <row r="42" ht="21.75" customHeight="1">
      <c r="A42" s="7">
        <v>2846.0</v>
      </c>
      <c r="B42" s="7">
        <v>41.0</v>
      </c>
      <c r="C42" s="7" t="s">
        <v>905</v>
      </c>
      <c r="D42" s="7"/>
      <c r="E42" s="7"/>
      <c r="F42" s="7" t="s">
        <v>404</v>
      </c>
      <c r="G42" s="7" t="s">
        <v>343</v>
      </c>
      <c r="H42" s="7" t="s">
        <v>123</v>
      </c>
      <c r="I42" s="7" t="s">
        <v>906</v>
      </c>
      <c r="J42" s="7"/>
      <c r="K42" s="6" t="s">
        <v>469</v>
      </c>
      <c r="L42" s="7" t="s">
        <v>197</v>
      </c>
      <c r="M42" s="7" t="s">
        <v>559</v>
      </c>
      <c r="N42" s="7" t="s">
        <v>455</v>
      </c>
      <c r="O42" s="7">
        <v>97480.0</v>
      </c>
      <c r="P42" s="7" t="s">
        <v>123</v>
      </c>
      <c r="Q42" s="7"/>
      <c r="R42" s="7"/>
      <c r="S42" s="7" t="s">
        <v>907</v>
      </c>
      <c r="T42" s="7" t="s">
        <v>377</v>
      </c>
      <c r="U42" s="7" t="s">
        <v>378</v>
      </c>
      <c r="V42" s="7"/>
      <c r="W42" s="7">
        <v>6.9247251E8</v>
      </c>
      <c r="X42" s="7"/>
      <c r="Y42" s="7">
        <v>2.62316244E8</v>
      </c>
      <c r="Z42" s="7" t="s">
        <v>908</v>
      </c>
      <c r="AA42" s="7"/>
      <c r="AB42" s="7"/>
      <c r="AC42" s="7"/>
      <c r="AD42" s="7" t="s">
        <v>909</v>
      </c>
      <c r="AE42" s="7" t="s">
        <v>910</v>
      </c>
      <c r="AF42" s="7" t="s">
        <v>911</v>
      </c>
      <c r="AG42" s="7"/>
      <c r="AH42" s="20">
        <v>43739.0</v>
      </c>
      <c r="AI42" s="7"/>
      <c r="AJ42" s="7" t="s">
        <v>912</v>
      </c>
      <c r="AK42" s="7"/>
      <c r="AL42" s="7" t="s">
        <v>913</v>
      </c>
      <c r="AM42" s="7" t="s">
        <v>914</v>
      </c>
      <c r="AN42" s="20">
        <v>43739.0</v>
      </c>
      <c r="AO42" s="7">
        <v>97480.0</v>
      </c>
      <c r="AP42" s="7" t="s">
        <v>385</v>
      </c>
      <c r="AQ42" s="7"/>
      <c r="AR42" s="7"/>
      <c r="AS42" s="7"/>
      <c r="AT42" s="7"/>
      <c r="AU42" s="7">
        <v>0.0</v>
      </c>
      <c r="AV42" s="7" t="s">
        <v>915</v>
      </c>
      <c r="AW42" s="7"/>
      <c r="AX42" s="7"/>
      <c r="AY42" s="7"/>
      <c r="AZ42" s="7"/>
      <c r="BA42" s="7"/>
      <c r="BB42" s="7"/>
      <c r="BC42" s="7" t="s">
        <v>366</v>
      </c>
      <c r="BD42" s="21">
        <v>44174.0</v>
      </c>
      <c r="BE42" s="7"/>
      <c r="BF42" s="7"/>
      <c r="BG42" s="22">
        <v>44174.0</v>
      </c>
      <c r="BH42" s="7"/>
      <c r="BI42" s="7" t="s">
        <v>916</v>
      </c>
      <c r="BJ42" s="7"/>
      <c r="BK42" s="7" t="b">
        <v>0</v>
      </c>
      <c r="BL42" s="7" t="b">
        <v>0</v>
      </c>
      <c r="BM42" s="7"/>
      <c r="BN42" s="7" t="str">
        <f>IFERROR(__xludf.DUMMYFUNCTION(" IF( REGEXMATCH(C42 , ""[(].+[)]""),REGEXREPLACE( CONCATENATE(REGEXEXTRACT(C42 , ""[(].+[)]""),IF(REGEXMATCH(C42 , ""[(][Ll]['’][)]""),"""","" ""), REGEXEXTRACT(C42 ,""^(?:(?:[A-Za-zàäéèêîïöôûü0-9 ](?:[A-Za-zàäéèêîïöôûü'0-9 ]+)))"")) , ""[()]"", """"),C42"&amp;" )"),"Les Ateliers Bourbon ")</f>
        <v>Les Ateliers Bourbon </v>
      </c>
      <c r="BO42" s="23"/>
      <c r="BP42" s="7"/>
      <c r="BQ42" s="7"/>
      <c r="BR42" s="7"/>
      <c r="BS42" s="7"/>
      <c r="BT42" s="7"/>
      <c r="BU42" s="7"/>
      <c r="BV42" s="7"/>
      <c r="BW42" s="7"/>
      <c r="BX42" s="7"/>
      <c r="BY42" s="7"/>
      <c r="BZ42" s="7"/>
      <c r="CA42" s="7"/>
      <c r="CB42" s="7"/>
    </row>
    <row r="43" ht="21.75" customHeight="1">
      <c r="A43" s="7">
        <v>2838.0</v>
      </c>
      <c r="B43" s="7">
        <v>42.0</v>
      </c>
      <c r="C43" s="7" t="s">
        <v>917</v>
      </c>
      <c r="D43" s="7" t="s">
        <v>918</v>
      </c>
      <c r="E43" s="7"/>
      <c r="F43" s="7" t="s">
        <v>342</v>
      </c>
      <c r="G43" s="7" t="s">
        <v>343</v>
      </c>
      <c r="H43" s="7" t="s">
        <v>344</v>
      </c>
      <c r="I43" s="7" t="s">
        <v>919</v>
      </c>
      <c r="J43" s="26" t="s">
        <v>920</v>
      </c>
      <c r="K43" s="6" t="s">
        <v>469</v>
      </c>
      <c r="L43" s="7" t="s">
        <v>470</v>
      </c>
      <c r="M43" s="7" t="s">
        <v>921</v>
      </c>
      <c r="N43" s="7" t="s">
        <v>422</v>
      </c>
      <c r="O43" s="7">
        <v>97418.0</v>
      </c>
      <c r="P43" s="7" t="s">
        <v>348</v>
      </c>
      <c r="Q43" s="7" t="s">
        <v>570</v>
      </c>
      <c r="R43" s="7"/>
      <c r="S43" s="7"/>
      <c r="T43" s="7" t="s">
        <v>377</v>
      </c>
      <c r="U43" s="7" t="s">
        <v>424</v>
      </c>
      <c r="V43" s="7"/>
      <c r="W43" s="7">
        <v>6.92444717E8</v>
      </c>
      <c r="X43" s="7"/>
      <c r="Y43" s="7"/>
      <c r="Z43" s="7" t="s">
        <v>922</v>
      </c>
      <c r="AA43" s="7">
        <v>10.0</v>
      </c>
      <c r="AB43" s="7"/>
      <c r="AC43" s="7" t="s">
        <v>923</v>
      </c>
      <c r="AD43" s="7" t="s">
        <v>924</v>
      </c>
      <c r="AE43" s="7" t="s">
        <v>925</v>
      </c>
      <c r="AF43" s="7"/>
      <c r="AG43" s="7" t="s">
        <v>597</v>
      </c>
      <c r="AH43" s="20">
        <v>40603.0</v>
      </c>
      <c r="AI43" s="7"/>
      <c r="AJ43" s="7" t="s">
        <v>926</v>
      </c>
      <c r="AK43" s="7">
        <v>5.2972204300013E13</v>
      </c>
      <c r="AL43" s="7" t="s">
        <v>927</v>
      </c>
      <c r="AM43" s="7" t="s">
        <v>928</v>
      </c>
      <c r="AN43" s="20">
        <v>40603.0</v>
      </c>
      <c r="AO43" s="7">
        <v>97418.0</v>
      </c>
      <c r="AP43" s="7" t="s">
        <v>362</v>
      </c>
      <c r="AQ43" s="7"/>
      <c r="AR43" s="7"/>
      <c r="AS43" s="7"/>
      <c r="AT43" s="7"/>
      <c r="AU43" s="7">
        <v>0.0</v>
      </c>
      <c r="AV43" s="7" t="s">
        <v>929</v>
      </c>
      <c r="AW43" s="7" t="s">
        <v>930</v>
      </c>
      <c r="AX43" s="7"/>
      <c r="AY43" s="7"/>
      <c r="AZ43" s="7"/>
      <c r="BA43" s="7"/>
      <c r="BB43" s="7"/>
      <c r="BC43" s="7" t="s">
        <v>366</v>
      </c>
      <c r="BD43" s="21">
        <v>44197.0</v>
      </c>
      <c r="BE43" s="7"/>
      <c r="BF43" s="7"/>
      <c r="BG43" s="22">
        <v>44197.0</v>
      </c>
      <c r="BH43" s="7">
        <v>5.29722043E8</v>
      </c>
      <c r="BI43" s="7"/>
      <c r="BJ43" s="7"/>
      <c r="BK43" s="7" t="b">
        <v>0</v>
      </c>
      <c r="BL43" s="7" t="b">
        <v>0</v>
      </c>
      <c r="BM43" s="7"/>
      <c r="BN43" s="7" t="str">
        <f>IFERROR(__xludf.DUMMYFUNCTION(" IF( REGEXMATCH(C43 , ""[(].+[)]""),REGEXREPLACE( CONCATENATE(REGEXEXTRACT(C43 , ""[(].+[)]""),IF(REGEXMATCH(C43 , ""[(][Ll]['’][)]""),"""","" ""), REGEXEXTRACT(C43 ,""^(?:(?:[A-Za-zàäéèêîïöôûü0-9 ](?:[A-Za-zàäéèêîïöôûü'0-9 ]+)))"")) , ""[()]"", """"),C43"&amp;" )"),"Atmosphère Péi")</f>
        <v>Atmosphère Péi</v>
      </c>
      <c r="BO43" s="23"/>
      <c r="BP43" s="7"/>
      <c r="BQ43" s="7"/>
      <c r="BR43" s="7"/>
      <c r="BS43" s="7"/>
      <c r="BT43" s="7"/>
      <c r="BU43" s="7"/>
      <c r="BV43" s="7"/>
      <c r="BW43" s="7"/>
      <c r="BX43" s="7"/>
      <c r="BY43" s="7"/>
      <c r="BZ43" s="7"/>
      <c r="CA43" s="7"/>
      <c r="CB43" s="7"/>
    </row>
    <row r="44" ht="21.75" customHeight="1">
      <c r="A44" s="7">
        <v>4688.0</v>
      </c>
      <c r="B44" s="7" t="s">
        <v>931</v>
      </c>
      <c r="C44" s="7" t="s">
        <v>932</v>
      </c>
      <c r="D44" s="7"/>
      <c r="E44" s="7"/>
      <c r="F44" s="7" t="s">
        <v>342</v>
      </c>
      <c r="G44" s="7" t="s">
        <v>343</v>
      </c>
      <c r="H44" s="7" t="s">
        <v>344</v>
      </c>
      <c r="I44" s="7" t="s">
        <v>933</v>
      </c>
      <c r="J44" s="7"/>
      <c r="K44" s="7" t="s">
        <v>34</v>
      </c>
      <c r="L44" s="7" t="s">
        <v>622</v>
      </c>
      <c r="M44" s="7" t="s">
        <v>622</v>
      </c>
      <c r="N44" s="7"/>
      <c r="O44" s="7">
        <v>97430.0</v>
      </c>
      <c r="P44" s="7" t="s">
        <v>344</v>
      </c>
      <c r="Q44" s="7"/>
      <c r="R44" s="7"/>
      <c r="S44" s="7"/>
      <c r="T44" s="7"/>
      <c r="U44" s="7" t="s">
        <v>378</v>
      </c>
      <c r="V44" s="7">
        <v>2.62912137E8</v>
      </c>
      <c r="W44" s="7"/>
      <c r="X44" s="7"/>
      <c r="Y44" s="7"/>
      <c r="Z44" s="7"/>
      <c r="AA44" s="7"/>
      <c r="AB44" s="7"/>
      <c r="AC44" s="7" t="s">
        <v>934</v>
      </c>
      <c r="AD44" s="7" t="s">
        <v>935</v>
      </c>
      <c r="AE44" s="7"/>
      <c r="AF44" s="7"/>
      <c r="AG44" s="7"/>
      <c r="AH44" s="20">
        <v>43403.0</v>
      </c>
      <c r="AI44" s="7"/>
      <c r="AJ44" s="7" t="s">
        <v>936</v>
      </c>
      <c r="AK44" s="7">
        <v>8.2211957400017E13</v>
      </c>
      <c r="AL44" s="7" t="s">
        <v>937</v>
      </c>
      <c r="AM44" s="7" t="s">
        <v>938</v>
      </c>
      <c r="AN44" s="20">
        <v>43403.0</v>
      </c>
      <c r="AO44" s="7">
        <v>97430.0</v>
      </c>
      <c r="AP44" s="7" t="s">
        <v>494</v>
      </c>
      <c r="AQ44" s="7"/>
      <c r="AR44" s="7"/>
      <c r="AS44" s="7"/>
      <c r="AT44" s="7"/>
      <c r="AU44" s="7">
        <v>0.0</v>
      </c>
      <c r="AV44" s="7" t="s">
        <v>939</v>
      </c>
      <c r="AW44" s="7"/>
      <c r="AX44" s="7"/>
      <c r="AY44" s="7"/>
      <c r="AZ44" s="7"/>
      <c r="BA44" s="7"/>
      <c r="BB44" s="7"/>
      <c r="BC44" s="7" t="s">
        <v>401</v>
      </c>
      <c r="BD44" s="21">
        <v>44179.1375</v>
      </c>
      <c r="BE44" s="7" t="s">
        <v>940</v>
      </c>
      <c r="BF44" s="7"/>
      <c r="BG44" s="7"/>
      <c r="BH44" s="7">
        <v>8.22119574E8</v>
      </c>
      <c r="BI44" s="7" t="s">
        <v>941</v>
      </c>
      <c r="BJ44" s="7"/>
      <c r="BK44" s="7" t="b">
        <v>0</v>
      </c>
      <c r="BL44" s="7" t="b">
        <v>0</v>
      </c>
      <c r="BM44" s="7"/>
      <c r="BN44" s="7" t="str">
        <f>IFERROR(__xludf.DUMMYFUNCTION(" IF( REGEXMATCH(C44 , ""[(].+[)]""),REGEXREPLACE( CONCATENATE(REGEXEXTRACT(C44 , ""[(].+[)]""),IF(REGEXMATCH(C44 , ""[(][Ll]['’][)]""),"""","" ""), REGEXEXTRACT(C44 ,""^(?:(?:[A-Za-zàäéèêîïöôûü0-9 ](?:[A-Za-zàäéèêîïöôûü'0-9 ]+)))"")) , ""[()]"", """"),C44"&amp;" )"),"Au 20 Cœurs")</f>
        <v>Au 20 Cœurs</v>
      </c>
      <c r="BO44" s="25"/>
      <c r="BP44" s="7"/>
      <c r="BQ44" s="7"/>
      <c r="BR44" s="7"/>
      <c r="BS44" s="7"/>
      <c r="BT44" s="7"/>
      <c r="BU44" s="7"/>
      <c r="BV44" s="7"/>
      <c r="BW44" s="7"/>
      <c r="BX44" s="7"/>
      <c r="BY44" s="7"/>
      <c r="BZ44" s="7"/>
      <c r="CA44" s="7"/>
      <c r="CB44" s="7"/>
    </row>
    <row r="45" ht="21.75" customHeight="1">
      <c r="A45" s="7">
        <v>4341.0</v>
      </c>
      <c r="B45" s="7" t="s">
        <v>942</v>
      </c>
      <c r="C45" s="7" t="s">
        <v>943</v>
      </c>
      <c r="D45" s="7"/>
      <c r="E45" s="7"/>
      <c r="F45" s="7" t="s">
        <v>342</v>
      </c>
      <c r="G45" s="7" t="s">
        <v>343</v>
      </c>
      <c r="H45" s="7" t="s">
        <v>123</v>
      </c>
      <c r="I45" s="7" t="s">
        <v>944</v>
      </c>
      <c r="J45" s="26" t="s">
        <v>945</v>
      </c>
      <c r="K45" s="7" t="s">
        <v>58</v>
      </c>
      <c r="L45" s="7" t="s">
        <v>453</v>
      </c>
      <c r="M45" s="7" t="s">
        <v>454</v>
      </c>
      <c r="N45" s="7" t="s">
        <v>455</v>
      </c>
      <c r="O45" s="7">
        <v>97480.0</v>
      </c>
      <c r="P45" s="7" t="s">
        <v>123</v>
      </c>
      <c r="Q45" s="7" t="s">
        <v>946</v>
      </c>
      <c r="R45" s="7" t="s">
        <v>947</v>
      </c>
      <c r="S45" s="7"/>
      <c r="T45" s="7" t="s">
        <v>377</v>
      </c>
      <c r="U45" s="7" t="s">
        <v>378</v>
      </c>
      <c r="V45" s="7">
        <v>2.62191197E8</v>
      </c>
      <c r="W45" s="7">
        <v>6.92544199E8</v>
      </c>
      <c r="X45" s="7"/>
      <c r="Y45" s="7"/>
      <c r="Z45" s="7" t="s">
        <v>948</v>
      </c>
      <c r="AA45" s="7">
        <v>10.0</v>
      </c>
      <c r="AB45" s="7"/>
      <c r="AC45" s="7" t="s">
        <v>949</v>
      </c>
      <c r="AD45" s="7" t="s">
        <v>950</v>
      </c>
      <c r="AE45" s="7" t="s">
        <v>951</v>
      </c>
      <c r="AF45" s="7"/>
      <c r="AG45" s="7"/>
      <c r="AH45" s="20">
        <v>42888.0</v>
      </c>
      <c r="AI45" s="7"/>
      <c r="AJ45" s="7" t="s">
        <v>952</v>
      </c>
      <c r="AK45" s="7">
        <v>4.1169046400028E13</v>
      </c>
      <c r="AL45" s="7" t="s">
        <v>953</v>
      </c>
      <c r="AM45" s="7" t="s">
        <v>954</v>
      </c>
      <c r="AN45" s="20">
        <v>42888.0</v>
      </c>
      <c r="AO45" s="7">
        <v>97480.0</v>
      </c>
      <c r="AP45" s="7" t="s">
        <v>385</v>
      </c>
      <c r="AQ45" s="7"/>
      <c r="AR45" s="7"/>
      <c r="AS45" s="7"/>
      <c r="AT45" s="7"/>
      <c r="AU45" s="7">
        <v>3.0</v>
      </c>
      <c r="AV45" s="7" t="s">
        <v>955</v>
      </c>
      <c r="AW45" s="7"/>
      <c r="AX45" s="7"/>
      <c r="AY45" s="7"/>
      <c r="AZ45" s="7" t="s">
        <v>956</v>
      </c>
      <c r="BA45" s="7"/>
      <c r="BB45" s="7"/>
      <c r="BC45" s="7" t="s">
        <v>401</v>
      </c>
      <c r="BD45" s="21">
        <v>44222.0875</v>
      </c>
      <c r="BE45" s="7" t="s">
        <v>957</v>
      </c>
      <c r="BF45" s="7"/>
      <c r="BG45" s="7"/>
      <c r="BH45" s="7">
        <v>4.11690464E8</v>
      </c>
      <c r="BI45" s="7" t="s">
        <v>958</v>
      </c>
      <c r="BJ45" s="7"/>
      <c r="BK45" s="7" t="b">
        <v>0</v>
      </c>
      <c r="BL45" s="7" t="b">
        <v>0</v>
      </c>
      <c r="BM45" s="7"/>
      <c r="BN45" s="7" t="str">
        <f>IFERROR(__xludf.DUMMYFUNCTION(" IF( REGEXMATCH(C45 , ""[(].+[)]""),REGEXREPLACE( CONCATENATE(REGEXEXTRACT(C45 , ""[(].+[)]""),IF(REGEXMATCH(C45 , ""[(][Ll]['’][)]""),"""","" ""), REGEXEXTRACT(C45 ,""^(?:(?:[A-Za-zàäéèêîïöôûü0-9 ](?:[A-Za-zàäéèêîïöôûü'0-9 ]+)))"")) , ""[()]"", """"),C45"&amp;" )"),"Au Bois Noir")</f>
        <v>Au Bois Noir</v>
      </c>
      <c r="BO45" s="25"/>
      <c r="BP45" s="7"/>
      <c r="BQ45" s="7"/>
      <c r="BR45" s="7"/>
      <c r="BS45" s="7"/>
      <c r="BT45" s="7"/>
      <c r="BU45" s="7"/>
      <c r="BV45" s="7"/>
      <c r="BW45" s="7"/>
      <c r="BX45" s="7"/>
      <c r="BY45" s="7"/>
      <c r="BZ45" s="7"/>
      <c r="CA45" s="7"/>
      <c r="CB45" s="7"/>
    </row>
    <row r="46" ht="21.75" customHeight="1">
      <c r="A46" s="7">
        <v>2814.0</v>
      </c>
      <c r="B46" s="7">
        <v>45.0</v>
      </c>
      <c r="C46" s="7" t="s">
        <v>959</v>
      </c>
      <c r="D46" s="7"/>
      <c r="E46" s="7"/>
      <c r="F46" s="7" t="s">
        <v>342</v>
      </c>
      <c r="G46" s="7" t="s">
        <v>343</v>
      </c>
      <c r="H46" s="7" t="s">
        <v>123</v>
      </c>
      <c r="I46" s="7" t="s">
        <v>960</v>
      </c>
      <c r="J46" s="26" t="s">
        <v>961</v>
      </c>
      <c r="K46" s="7" t="s">
        <v>34</v>
      </c>
      <c r="L46" s="7" t="s">
        <v>622</v>
      </c>
      <c r="M46" s="7" t="s">
        <v>622</v>
      </c>
      <c r="N46" s="7" t="s">
        <v>664</v>
      </c>
      <c r="O46" s="7">
        <v>97480.0</v>
      </c>
      <c r="P46" s="7" t="s">
        <v>123</v>
      </c>
      <c r="Q46" s="7"/>
      <c r="R46" s="7" t="s">
        <v>962</v>
      </c>
      <c r="S46" s="7"/>
      <c r="T46" s="7" t="s">
        <v>963</v>
      </c>
      <c r="U46" s="7" t="s">
        <v>592</v>
      </c>
      <c r="V46" s="7">
        <v>2.62235882E8</v>
      </c>
      <c r="W46" s="7"/>
      <c r="X46" s="7"/>
      <c r="Y46" s="7"/>
      <c r="Z46" s="7"/>
      <c r="AA46" s="7">
        <v>250.0</v>
      </c>
      <c r="AB46" s="7"/>
      <c r="AC46" s="7"/>
      <c r="AD46" s="7" t="s">
        <v>964</v>
      </c>
      <c r="AE46" s="7" t="s">
        <v>965</v>
      </c>
      <c r="AF46" s="7" t="s">
        <v>966</v>
      </c>
      <c r="AG46" s="7"/>
      <c r="AH46" s="20">
        <v>43739.0</v>
      </c>
      <c r="AI46" s="7"/>
      <c r="AJ46" s="7" t="s">
        <v>967</v>
      </c>
      <c r="AK46" s="7">
        <v>5.2221865000011E13</v>
      </c>
      <c r="AL46" s="7" t="s">
        <v>968</v>
      </c>
      <c r="AM46" s="7" t="s">
        <v>969</v>
      </c>
      <c r="AN46" s="20">
        <v>43739.0</v>
      </c>
      <c r="AO46" s="7">
        <v>97480.0</v>
      </c>
      <c r="AP46" s="7" t="s">
        <v>385</v>
      </c>
      <c r="AQ46" s="7"/>
      <c r="AR46" s="7"/>
      <c r="AS46" s="7"/>
      <c r="AT46" s="7"/>
      <c r="AU46" s="7">
        <v>0.0</v>
      </c>
      <c r="AV46" s="7" t="s">
        <v>970</v>
      </c>
      <c r="AW46" s="7"/>
      <c r="AX46" s="7"/>
      <c r="AY46" s="7"/>
      <c r="AZ46" s="7"/>
      <c r="BA46" s="7"/>
      <c r="BB46" s="7"/>
      <c r="BC46" s="7" t="s">
        <v>366</v>
      </c>
      <c r="BD46" s="21">
        <v>44175.381944444445</v>
      </c>
      <c r="BE46" s="7"/>
      <c r="BF46" s="7"/>
      <c r="BG46" s="22">
        <v>44175.0</v>
      </c>
      <c r="BH46" s="7">
        <v>5.2221865E8</v>
      </c>
      <c r="BI46" s="7" t="s">
        <v>971</v>
      </c>
      <c r="BJ46" s="7"/>
      <c r="BK46" s="7" t="b">
        <v>0</v>
      </c>
      <c r="BL46" s="7" t="b">
        <v>0</v>
      </c>
      <c r="BM46" s="7"/>
      <c r="BN46" s="7" t="str">
        <f>IFERROR(__xludf.DUMMYFUNCTION(" IF( REGEXMATCH(C46 , ""[(].+[)]""),REGEXREPLACE( CONCATENATE(REGEXEXTRACT(C46 , ""[(].+[)]""),IF(REGEXMATCH(C46 , ""[(][Ll]['’][)]""),"""","" ""), REGEXEXTRACT(C46 ,""^(?:(?:[A-Za-zàäéèêîïöôûü0-9 ](?:[A-Za-zàäéèêîïöôûü'0-9 ]+)))"")) , ""[()]"", """"),C46"&amp;" )"),"Au Buffet")</f>
        <v>Au Buffet</v>
      </c>
      <c r="BO46" s="23"/>
      <c r="BP46" s="7"/>
      <c r="BQ46" s="7"/>
      <c r="BR46" s="7"/>
      <c r="BS46" s="7"/>
      <c r="BT46" s="7"/>
      <c r="BU46" s="7"/>
      <c r="BV46" s="7"/>
      <c r="BW46" s="7"/>
      <c r="BX46" s="7"/>
      <c r="BY46" s="7"/>
      <c r="BZ46" s="7"/>
      <c r="CA46" s="7"/>
      <c r="CB46" s="7"/>
    </row>
    <row r="47" ht="21.75" customHeight="1">
      <c r="A47" s="7">
        <v>2986.0</v>
      </c>
      <c r="B47" s="7">
        <v>46.0</v>
      </c>
      <c r="C47" s="7" t="s">
        <v>972</v>
      </c>
      <c r="D47" s="7"/>
      <c r="E47" s="7"/>
      <c r="F47" s="7" t="s">
        <v>404</v>
      </c>
      <c r="G47" s="7" t="s">
        <v>343</v>
      </c>
      <c r="H47" s="7" t="s">
        <v>33</v>
      </c>
      <c r="I47" s="7" t="s">
        <v>973</v>
      </c>
      <c r="J47" s="7"/>
      <c r="K47" s="7" t="s">
        <v>34</v>
      </c>
      <c r="L47" s="7" t="s">
        <v>485</v>
      </c>
      <c r="M47" s="7" t="s">
        <v>486</v>
      </c>
      <c r="N47" s="7"/>
      <c r="O47" s="7">
        <v>97442.0</v>
      </c>
      <c r="P47" s="7" t="s">
        <v>33</v>
      </c>
      <c r="Q47" s="7"/>
      <c r="R47" s="7"/>
      <c r="S47" s="7"/>
      <c r="T47" s="7" t="s">
        <v>974</v>
      </c>
      <c r="U47" s="7" t="s">
        <v>353</v>
      </c>
      <c r="V47" s="7">
        <v>2.62371216E8</v>
      </c>
      <c r="W47" s="7">
        <v>6.92952137E8</v>
      </c>
      <c r="X47" s="7"/>
      <c r="Y47" s="7"/>
      <c r="Z47" s="7"/>
      <c r="AA47" s="7"/>
      <c r="AB47" s="7"/>
      <c r="AC47" s="7"/>
      <c r="AD47" s="7" t="s">
        <v>975</v>
      </c>
      <c r="AE47" s="7" t="s">
        <v>976</v>
      </c>
      <c r="AF47" s="7"/>
      <c r="AG47" s="7"/>
      <c r="AH47" s="20">
        <v>43739.0</v>
      </c>
      <c r="AI47" s="7"/>
      <c r="AJ47" s="7" t="s">
        <v>977</v>
      </c>
      <c r="AK47" s="7"/>
      <c r="AL47" s="7" t="s">
        <v>978</v>
      </c>
      <c r="AM47" s="7" t="s">
        <v>979</v>
      </c>
      <c r="AN47" s="20">
        <v>43739.0</v>
      </c>
      <c r="AO47" s="7">
        <v>97442.0</v>
      </c>
      <c r="AP47" s="7" t="s">
        <v>884</v>
      </c>
      <c r="AQ47" s="7"/>
      <c r="AR47" s="7"/>
      <c r="AS47" s="7"/>
      <c r="AT47" s="7"/>
      <c r="AU47" s="7">
        <v>0.0</v>
      </c>
      <c r="AV47" s="7" t="s">
        <v>980</v>
      </c>
      <c r="AW47" s="7"/>
      <c r="AX47" s="7"/>
      <c r="AY47" s="7"/>
      <c r="AZ47" s="7"/>
      <c r="BA47" s="7"/>
      <c r="BB47" s="7"/>
      <c r="BC47" s="7" t="s">
        <v>366</v>
      </c>
      <c r="BD47" s="21">
        <v>44165.0</v>
      </c>
      <c r="BE47" s="7"/>
      <c r="BF47" s="7"/>
      <c r="BG47" s="22">
        <v>44165.0</v>
      </c>
      <c r="BH47" s="7"/>
      <c r="BI47" s="7" t="s">
        <v>981</v>
      </c>
      <c r="BJ47" s="7"/>
      <c r="BK47" s="7" t="b">
        <v>0</v>
      </c>
      <c r="BL47" s="7" t="b">
        <v>0</v>
      </c>
      <c r="BM47" s="7"/>
      <c r="BN47" s="7" t="str">
        <f>IFERROR(__xludf.DUMMYFUNCTION(" IF( REGEXMATCH(C47 , ""[(].+[)]""),REGEXREPLACE( CONCATENATE(REGEXEXTRACT(C47 , ""[(].+[)]""),IF(REGEXMATCH(C47 , ""[(][Ll]['’][)]""),"""","" ""), REGEXEXTRACT(C47 ,""^(?:(?:[A-Za-zàäéèêîïöôûü0-9 ](?:[A-Za-zàäéèêîïöôûü'0-9 ]+)))"")) , ""[()]"", """"),C47"&amp;" )"),"Au Coeur du  Palmiste")</f>
        <v>Au Coeur du  Palmiste</v>
      </c>
      <c r="BO47" s="23"/>
      <c r="BP47" s="7"/>
      <c r="BQ47" s="7"/>
      <c r="BR47" s="7"/>
      <c r="BS47" s="7"/>
      <c r="BT47" s="7"/>
      <c r="BU47" s="7"/>
      <c r="BV47" s="7"/>
      <c r="BW47" s="7"/>
      <c r="BX47" s="7"/>
      <c r="BY47" s="7"/>
      <c r="BZ47" s="7"/>
      <c r="CA47" s="7"/>
      <c r="CB47" s="7"/>
    </row>
    <row r="48" ht="21.75" customHeight="1">
      <c r="A48" s="7">
        <v>3040.0</v>
      </c>
      <c r="B48" s="7" t="s">
        <v>982</v>
      </c>
      <c r="C48" s="7" t="s">
        <v>983</v>
      </c>
      <c r="D48" s="7" t="s">
        <v>984</v>
      </c>
      <c r="E48" s="7"/>
      <c r="F48" s="7" t="s">
        <v>342</v>
      </c>
      <c r="G48" s="7" t="s">
        <v>343</v>
      </c>
      <c r="H48" s="7" t="s">
        <v>344</v>
      </c>
      <c r="I48" s="7" t="s">
        <v>985</v>
      </c>
      <c r="J48" s="26" t="s">
        <v>986</v>
      </c>
      <c r="K48" s="7" t="s">
        <v>58</v>
      </c>
      <c r="L48" s="7" t="s">
        <v>59</v>
      </c>
      <c r="M48" s="7" t="s">
        <v>374</v>
      </c>
      <c r="N48" s="7" t="s">
        <v>455</v>
      </c>
      <c r="O48" s="7">
        <v>97430.0</v>
      </c>
      <c r="P48" s="7" t="s">
        <v>344</v>
      </c>
      <c r="Q48" s="7"/>
      <c r="R48" s="7" t="s">
        <v>987</v>
      </c>
      <c r="S48" s="7" t="s">
        <v>988</v>
      </c>
      <c r="T48" s="7" t="s">
        <v>377</v>
      </c>
      <c r="U48" s="7" t="s">
        <v>353</v>
      </c>
      <c r="V48" s="7">
        <v>2.62834352E8</v>
      </c>
      <c r="W48" s="7">
        <v>6.92002347E8</v>
      </c>
      <c r="X48" s="7"/>
      <c r="Y48" s="7"/>
      <c r="Z48" s="7" t="s">
        <v>989</v>
      </c>
      <c r="AA48" s="7">
        <v>4.0</v>
      </c>
      <c r="AB48" s="7"/>
      <c r="AC48" s="7"/>
      <c r="AD48" s="7" t="s">
        <v>990</v>
      </c>
      <c r="AE48" s="7"/>
      <c r="AF48" s="7"/>
      <c r="AG48" s="7"/>
      <c r="AH48" s="20">
        <v>43739.0</v>
      </c>
      <c r="AI48" s="7"/>
      <c r="AJ48" s="7" t="s">
        <v>991</v>
      </c>
      <c r="AK48" s="7">
        <v>5.0524671000014E13</v>
      </c>
      <c r="AL48" s="7" t="s">
        <v>360</v>
      </c>
      <c r="AM48" s="7" t="s">
        <v>992</v>
      </c>
      <c r="AN48" s="20">
        <v>43739.0</v>
      </c>
      <c r="AO48" s="7">
        <v>97418.0</v>
      </c>
      <c r="AP48" s="7" t="s">
        <v>362</v>
      </c>
      <c r="AQ48" s="7"/>
      <c r="AR48" s="7"/>
      <c r="AS48" s="7"/>
      <c r="AT48" s="7"/>
      <c r="AU48" s="7">
        <v>1.0</v>
      </c>
      <c r="AV48" s="7" t="s">
        <v>993</v>
      </c>
      <c r="AW48" s="7"/>
      <c r="AX48" s="7"/>
      <c r="AY48" s="7"/>
      <c r="AZ48" s="7" t="s">
        <v>994</v>
      </c>
      <c r="BA48" s="7"/>
      <c r="BB48" s="7"/>
      <c r="BC48" s="7" t="s">
        <v>401</v>
      </c>
      <c r="BD48" s="21">
        <v>44091.481944444444</v>
      </c>
      <c r="BE48" s="7" t="s">
        <v>995</v>
      </c>
      <c r="BF48" s="7"/>
      <c r="BG48" s="7"/>
      <c r="BH48" s="7">
        <v>5.0524671E8</v>
      </c>
      <c r="BI48" s="7" t="s">
        <v>996</v>
      </c>
      <c r="BJ48" s="7"/>
      <c r="BK48" s="7" t="b">
        <v>0</v>
      </c>
      <c r="BL48" s="7" t="b">
        <v>0</v>
      </c>
      <c r="BM48" s="7"/>
      <c r="BN48" s="7" t="str">
        <f>IFERROR(__xludf.DUMMYFUNCTION(" IF( REGEXMATCH(C48 , ""[(].+[)]""),REGEXREPLACE( CONCATENATE(REGEXEXTRACT(C48 , ""[(].+[)]""),IF(REGEXMATCH(C48 , ""[(][Ll]['’][)]""),"""","" ""), REGEXEXTRACT(C48 ,""^(?:(?:[A-Za-zàäéèêîïöôûü0-9 ](?:[A-Za-zàäéèêîïöôûü'0-9 ]+)))"")) , ""[()]"", """"),C48"&amp;" )"),"Au Cyprès Bleu")</f>
        <v>Au Cyprès Bleu</v>
      </c>
      <c r="BO48" s="25"/>
      <c r="BP48" s="7"/>
      <c r="BQ48" s="7"/>
      <c r="BR48" s="7"/>
      <c r="BS48" s="7"/>
      <c r="BT48" s="7"/>
      <c r="BU48" s="7"/>
      <c r="BV48" s="7"/>
      <c r="BW48" s="7"/>
      <c r="BX48" s="7"/>
      <c r="BY48" s="7"/>
      <c r="BZ48" s="7"/>
      <c r="CA48" s="7"/>
      <c r="CB48" s="7"/>
    </row>
    <row r="49" ht="21.75" customHeight="1">
      <c r="A49" s="7">
        <v>310.0</v>
      </c>
      <c r="B49" s="7" t="s">
        <v>997</v>
      </c>
      <c r="C49" s="7" t="s">
        <v>998</v>
      </c>
      <c r="D49" s="7" t="s">
        <v>999</v>
      </c>
      <c r="E49" s="7"/>
      <c r="F49" s="7" t="s">
        <v>404</v>
      </c>
      <c r="G49" s="7" t="s">
        <v>343</v>
      </c>
      <c r="H49" s="7" t="s">
        <v>33</v>
      </c>
      <c r="I49" s="7" t="s">
        <v>1000</v>
      </c>
      <c r="J49" s="7"/>
      <c r="K49" s="7" t="s">
        <v>34</v>
      </c>
      <c r="L49" s="7" t="s">
        <v>485</v>
      </c>
      <c r="M49" s="7" t="s">
        <v>486</v>
      </c>
      <c r="N49" s="7" t="s">
        <v>1001</v>
      </c>
      <c r="O49" s="7">
        <v>97442.0</v>
      </c>
      <c r="P49" s="7" t="s">
        <v>33</v>
      </c>
      <c r="Q49" s="7"/>
      <c r="R49" s="7" t="s">
        <v>1002</v>
      </c>
      <c r="S49" s="7" t="s">
        <v>1003</v>
      </c>
      <c r="T49" s="7" t="s">
        <v>377</v>
      </c>
      <c r="U49" s="7" t="s">
        <v>353</v>
      </c>
      <c r="V49" s="7">
        <v>2.62370312E8</v>
      </c>
      <c r="W49" s="7">
        <v>6.92648989E8</v>
      </c>
      <c r="X49" s="7"/>
      <c r="Y49" s="7"/>
      <c r="Z49" s="7" t="s">
        <v>1004</v>
      </c>
      <c r="AA49" s="7">
        <v>25.0</v>
      </c>
      <c r="AB49" s="7"/>
      <c r="AC49" s="7"/>
      <c r="AD49" s="7" t="s">
        <v>1005</v>
      </c>
      <c r="AE49" s="7" t="s">
        <v>1006</v>
      </c>
      <c r="AF49" s="7" t="s">
        <v>613</v>
      </c>
      <c r="AG49" s="7" t="s">
        <v>578</v>
      </c>
      <c r="AH49" s="20">
        <v>39605.0</v>
      </c>
      <c r="AI49" s="7"/>
      <c r="AJ49" s="7" t="s">
        <v>1007</v>
      </c>
      <c r="AK49" s="7">
        <v>4.2291869800016E13</v>
      </c>
      <c r="AL49" s="7" t="s">
        <v>1008</v>
      </c>
      <c r="AM49" s="7" t="s">
        <v>1009</v>
      </c>
      <c r="AN49" s="20">
        <v>39575.0</v>
      </c>
      <c r="AO49" s="7">
        <v>97442.0</v>
      </c>
      <c r="AP49" s="7" t="s">
        <v>884</v>
      </c>
      <c r="AQ49" s="7"/>
      <c r="AR49" s="7"/>
      <c r="AS49" s="7"/>
      <c r="AT49" s="7"/>
      <c r="AU49" s="7">
        <v>0.0</v>
      </c>
      <c r="AV49" s="7" t="s">
        <v>1010</v>
      </c>
      <c r="AW49" s="7"/>
      <c r="AX49" s="7"/>
      <c r="AY49" s="7"/>
      <c r="AZ49" s="7"/>
      <c r="BA49" s="7"/>
      <c r="BB49" s="7"/>
      <c r="BC49" s="7" t="s">
        <v>401</v>
      </c>
      <c r="BD49" s="21">
        <v>44218.13125</v>
      </c>
      <c r="BE49" s="7" t="s">
        <v>1011</v>
      </c>
      <c r="BF49" s="7"/>
      <c r="BG49" s="7"/>
      <c r="BH49" s="7">
        <v>4.22918698E8</v>
      </c>
      <c r="BI49" s="7" t="s">
        <v>1012</v>
      </c>
      <c r="BJ49" s="7"/>
      <c r="BK49" s="7" t="b">
        <v>0</v>
      </c>
      <c r="BL49" s="7" t="b">
        <v>0</v>
      </c>
      <c r="BM49" s="7"/>
      <c r="BN49" s="7" t="str">
        <f>IFERROR(__xludf.DUMMYFUNCTION(" IF( REGEXMATCH(C49 , ""[(].+[)]""),REGEXREPLACE( CONCATENATE(REGEXEXTRACT(C49 , ""[(].+[)]""),IF(REGEXMATCH(C49 , ""[(][Ll]['’][)]""),"""","" ""), REGEXEXTRACT(C49 ,""^(?:(?:[A-Za-zàäéèêîïöôûü0-9 ](?:[A-Za-zàäéèêîïöôûü'0-9 ]+)))"")) , ""[()]"", """"),C49"&amp;" )"),"Au Domaine du Vacoa")</f>
        <v>Au Domaine du Vacoa</v>
      </c>
      <c r="BO49" s="25"/>
      <c r="BP49" s="7"/>
      <c r="BQ49" s="7"/>
      <c r="BR49" s="7"/>
      <c r="BS49" s="7"/>
      <c r="BT49" s="7"/>
      <c r="BU49" s="7"/>
      <c r="BV49" s="7"/>
      <c r="BW49" s="7"/>
      <c r="BX49" s="7"/>
      <c r="BY49" s="7"/>
      <c r="BZ49" s="7"/>
      <c r="CA49" s="7"/>
      <c r="CB49" s="7"/>
    </row>
    <row r="50" ht="21.75" customHeight="1">
      <c r="A50" s="7">
        <v>309.0</v>
      </c>
      <c r="B50" s="7" t="s">
        <v>1013</v>
      </c>
      <c r="C50" s="7" t="s">
        <v>998</v>
      </c>
      <c r="D50" s="7" t="s">
        <v>1014</v>
      </c>
      <c r="E50" s="7"/>
      <c r="F50" s="7" t="s">
        <v>342</v>
      </c>
      <c r="G50" s="7" t="s">
        <v>343</v>
      </c>
      <c r="H50" s="7" t="s">
        <v>33</v>
      </c>
      <c r="I50" s="7" t="s">
        <v>1000</v>
      </c>
      <c r="J50" s="7"/>
      <c r="K50" s="7" t="s">
        <v>58</v>
      </c>
      <c r="L50" s="7" t="s">
        <v>453</v>
      </c>
      <c r="M50" s="7" t="s">
        <v>454</v>
      </c>
      <c r="N50" s="7" t="s">
        <v>1001</v>
      </c>
      <c r="O50" s="7">
        <v>97442.0</v>
      </c>
      <c r="P50" s="7" t="s">
        <v>33</v>
      </c>
      <c r="Q50" s="7"/>
      <c r="R50" s="7" t="s">
        <v>1015</v>
      </c>
      <c r="S50" s="7" t="s">
        <v>1016</v>
      </c>
      <c r="T50" s="7" t="s">
        <v>377</v>
      </c>
      <c r="U50" s="7" t="s">
        <v>592</v>
      </c>
      <c r="V50" s="7">
        <v>2.62370312E8</v>
      </c>
      <c r="W50" s="7">
        <v>6.92648989E8</v>
      </c>
      <c r="X50" s="7"/>
      <c r="Y50" s="7"/>
      <c r="Z50" s="7" t="s">
        <v>1004</v>
      </c>
      <c r="AA50" s="7">
        <v>4.0</v>
      </c>
      <c r="AB50" s="7" t="s">
        <v>574</v>
      </c>
      <c r="AC50" s="7" t="s">
        <v>1017</v>
      </c>
      <c r="AD50" s="7" t="s">
        <v>1018</v>
      </c>
      <c r="AE50" s="7" t="s">
        <v>1019</v>
      </c>
      <c r="AF50" s="7"/>
      <c r="AG50" s="7" t="s">
        <v>578</v>
      </c>
      <c r="AH50" s="20">
        <v>39575.0</v>
      </c>
      <c r="AI50" s="7"/>
      <c r="AJ50" s="7" t="s">
        <v>1007</v>
      </c>
      <c r="AK50" s="7">
        <v>4.2291869800016E13</v>
      </c>
      <c r="AL50" s="7" t="s">
        <v>1008</v>
      </c>
      <c r="AM50" s="7" t="s">
        <v>1009</v>
      </c>
      <c r="AN50" s="20">
        <v>39575.0</v>
      </c>
      <c r="AO50" s="7">
        <v>97442.0</v>
      </c>
      <c r="AP50" s="7" t="s">
        <v>884</v>
      </c>
      <c r="AQ50" s="7"/>
      <c r="AR50" s="7"/>
      <c r="AS50" s="7"/>
      <c r="AT50" s="7"/>
      <c r="AU50" s="7">
        <v>2.0</v>
      </c>
      <c r="AV50" s="7" t="s">
        <v>1010</v>
      </c>
      <c r="AW50" s="7" t="s">
        <v>1020</v>
      </c>
      <c r="AX50" s="7"/>
      <c r="AY50" s="7"/>
      <c r="AZ50" s="7" t="s">
        <v>1021</v>
      </c>
      <c r="BA50" s="7"/>
      <c r="BB50" s="7"/>
      <c r="BC50" s="7" t="s">
        <v>401</v>
      </c>
      <c r="BD50" s="21">
        <v>44218.13125</v>
      </c>
      <c r="BE50" s="7" t="s">
        <v>1011</v>
      </c>
      <c r="BF50" s="7"/>
      <c r="BG50" s="7"/>
      <c r="BH50" s="7">
        <v>4.22918698E8</v>
      </c>
      <c r="BI50" s="7" t="s">
        <v>1012</v>
      </c>
      <c r="BJ50" s="7"/>
      <c r="BK50" s="7" t="b">
        <v>0</v>
      </c>
      <c r="BL50" s="7" t="b">
        <v>0</v>
      </c>
      <c r="BM50" s="7"/>
      <c r="BN50" s="7" t="str">
        <f>IFERROR(__xludf.DUMMYFUNCTION(" IF( REGEXMATCH(C50 , ""[(].+[)]""),REGEXREPLACE( CONCATENATE(REGEXEXTRACT(C50 , ""[(].+[)]""),IF(REGEXMATCH(C50 , ""[(][Ll]['’][)]""),"""","" ""), REGEXEXTRACT(C50 ,""^(?:(?:[A-Za-zàäéèêîïöôûü0-9 ](?:[A-Za-zàäéèêîïöôûü'0-9 ]+)))"")) , ""[()]"", """"),C50"&amp;" )"),"Au Domaine du Vacoa")</f>
        <v>Au Domaine du Vacoa</v>
      </c>
      <c r="BO50" s="25"/>
      <c r="BP50" s="7"/>
      <c r="BQ50" s="7"/>
      <c r="BR50" s="7"/>
      <c r="BS50" s="7"/>
      <c r="BT50" s="7"/>
      <c r="BU50" s="7"/>
      <c r="BV50" s="7"/>
      <c r="BW50" s="7"/>
      <c r="BX50" s="7"/>
      <c r="BY50" s="7"/>
      <c r="BZ50" s="7"/>
      <c r="CA50" s="7"/>
      <c r="CB50" s="7"/>
    </row>
    <row r="51" ht="21.75" customHeight="1">
      <c r="A51" s="7">
        <v>316.0</v>
      </c>
      <c r="B51" s="7">
        <v>50.0</v>
      </c>
      <c r="C51" s="7" t="s">
        <v>1022</v>
      </c>
      <c r="D51" s="7" t="s">
        <v>1023</v>
      </c>
      <c r="E51" s="7"/>
      <c r="F51" s="7" t="s">
        <v>404</v>
      </c>
      <c r="G51" s="7" t="s">
        <v>343</v>
      </c>
      <c r="H51" s="7" t="s">
        <v>40</v>
      </c>
      <c r="I51" s="7" t="s">
        <v>1024</v>
      </c>
      <c r="J51" s="26" t="s">
        <v>1025</v>
      </c>
      <c r="K51" s="7" t="s">
        <v>34</v>
      </c>
      <c r="L51" s="7" t="s">
        <v>485</v>
      </c>
      <c r="M51" s="7" t="s">
        <v>486</v>
      </c>
      <c r="N51" s="7" t="s">
        <v>407</v>
      </c>
      <c r="O51" s="7">
        <v>97414.0</v>
      </c>
      <c r="P51" s="7" t="s">
        <v>40</v>
      </c>
      <c r="Q51" s="7"/>
      <c r="R51" s="7" t="s">
        <v>1026</v>
      </c>
      <c r="S51" s="7" t="s">
        <v>609</v>
      </c>
      <c r="T51" s="7" t="s">
        <v>499</v>
      </c>
      <c r="U51" s="7" t="s">
        <v>353</v>
      </c>
      <c r="V51" s="7">
        <v>2.62396247E8</v>
      </c>
      <c r="W51" s="7">
        <v>6.92003783E8</v>
      </c>
      <c r="X51" s="7"/>
      <c r="Y51" s="7"/>
      <c r="Z51" s="7" t="s">
        <v>1027</v>
      </c>
      <c r="AA51" s="7">
        <v>90.0</v>
      </c>
      <c r="AB51" s="7"/>
      <c r="AC51" s="7"/>
      <c r="AD51" s="7" t="s">
        <v>1028</v>
      </c>
      <c r="AE51" s="7" t="s">
        <v>1029</v>
      </c>
      <c r="AF51" s="7" t="s">
        <v>613</v>
      </c>
      <c r="AG51" s="7"/>
      <c r="AH51" s="20">
        <v>39575.0</v>
      </c>
      <c r="AI51" s="7"/>
      <c r="AJ51" s="7" t="s">
        <v>1022</v>
      </c>
      <c r="AK51" s="7"/>
      <c r="AL51" s="7" t="s">
        <v>1030</v>
      </c>
      <c r="AM51" s="7" t="s">
        <v>1031</v>
      </c>
      <c r="AN51" s="20">
        <v>39575.0</v>
      </c>
      <c r="AO51" s="7">
        <v>97414.0</v>
      </c>
      <c r="AP51" s="7" t="s">
        <v>429</v>
      </c>
      <c r="AQ51" s="7"/>
      <c r="AR51" s="7"/>
      <c r="AS51" s="7"/>
      <c r="AT51" s="7"/>
      <c r="AU51" s="7">
        <v>0.0</v>
      </c>
      <c r="AV51" s="7" t="s">
        <v>1032</v>
      </c>
      <c r="AW51" s="7"/>
      <c r="AX51" s="7"/>
      <c r="AY51" s="7"/>
      <c r="AZ51" s="7"/>
      <c r="BA51" s="7"/>
      <c r="BB51" s="7"/>
      <c r="BC51" s="7" t="s">
        <v>366</v>
      </c>
      <c r="BD51" s="21">
        <v>44056.163194444445</v>
      </c>
      <c r="BE51" s="7"/>
      <c r="BF51" s="7"/>
      <c r="BG51" s="22">
        <v>44056.0</v>
      </c>
      <c r="BH51" s="7"/>
      <c r="BI51" s="7" t="s">
        <v>1033</v>
      </c>
      <c r="BJ51" s="7"/>
      <c r="BK51" s="7" t="b">
        <v>0</v>
      </c>
      <c r="BL51" s="7" t="b">
        <v>0</v>
      </c>
      <c r="BM51" s="7"/>
      <c r="BN51" s="7" t="str">
        <f>IFERROR(__xludf.DUMMYFUNCTION(" IF( REGEXMATCH(C51 , ""[(].+[)]""),REGEXREPLACE( CONCATENATE(REGEXEXTRACT(C51 , ""[(].+[)]""),IF(REGEXMATCH(C51 , ""[(][Ll]['’][)]""),"""","" ""), REGEXEXTRACT(C51 ,""^(?:(?:[A-Za-zàäéèêîïöôûü0-9 ](?:[A-Za-zàäéèêîïöôûü'0-9 ]+)))"")) , ""[()]"", """"),C51"&amp;" )"),"Au Goût du Terroir - Serv's Péï")</f>
        <v>Au Goût du Terroir - Serv's Péï</v>
      </c>
      <c r="BO51" s="23"/>
      <c r="BP51" s="7"/>
      <c r="BQ51" s="7"/>
      <c r="BR51" s="7"/>
      <c r="BS51" s="7"/>
      <c r="BT51" s="7"/>
      <c r="BU51" s="7"/>
      <c r="BV51" s="7"/>
      <c r="BW51" s="7"/>
      <c r="BX51" s="7"/>
      <c r="BY51" s="7"/>
      <c r="BZ51" s="7"/>
      <c r="CA51" s="7"/>
      <c r="CB51" s="7"/>
    </row>
    <row r="52" ht="21.75" customHeight="1">
      <c r="A52" s="7">
        <v>5059.0</v>
      </c>
      <c r="B52" s="7" t="s">
        <v>1034</v>
      </c>
      <c r="C52" s="7" t="s">
        <v>1035</v>
      </c>
      <c r="D52" s="7"/>
      <c r="E52" s="7"/>
      <c r="F52" s="7" t="s">
        <v>342</v>
      </c>
      <c r="G52" s="7" t="s">
        <v>343</v>
      </c>
      <c r="H52" s="7" t="s">
        <v>123</v>
      </c>
      <c r="I52" s="7" t="s">
        <v>1036</v>
      </c>
      <c r="J52" s="7"/>
      <c r="K52" s="7" t="s">
        <v>58</v>
      </c>
      <c r="L52" s="7" t="s">
        <v>59</v>
      </c>
      <c r="M52" s="7" t="s">
        <v>346</v>
      </c>
      <c r="N52" s="7" t="s">
        <v>455</v>
      </c>
      <c r="O52" s="7">
        <v>97480.0</v>
      </c>
      <c r="P52" s="7" t="s">
        <v>123</v>
      </c>
      <c r="Q52" s="7"/>
      <c r="R52" s="7" t="s">
        <v>1037</v>
      </c>
      <c r="S52" s="7" t="s">
        <v>1038</v>
      </c>
      <c r="T52" s="7" t="s">
        <v>377</v>
      </c>
      <c r="U52" s="7" t="s">
        <v>353</v>
      </c>
      <c r="V52" s="7"/>
      <c r="W52" s="7">
        <v>6.92746321E8</v>
      </c>
      <c r="X52" s="7"/>
      <c r="Y52" s="7"/>
      <c r="Z52" s="7" t="s">
        <v>1039</v>
      </c>
      <c r="AA52" s="7">
        <v>6.0</v>
      </c>
      <c r="AB52" s="7"/>
      <c r="AC52" s="7"/>
      <c r="AD52" s="7" t="s">
        <v>1040</v>
      </c>
      <c r="AE52" s="7" t="s">
        <v>1041</v>
      </c>
      <c r="AF52" s="7"/>
      <c r="AG52" s="7"/>
      <c r="AH52" s="20">
        <v>43714.0</v>
      </c>
      <c r="AI52" s="7"/>
      <c r="AJ52" s="7" t="s">
        <v>1042</v>
      </c>
      <c r="AK52" s="7">
        <v>8.5091678400018E13</v>
      </c>
      <c r="AL52" s="7" t="s">
        <v>1043</v>
      </c>
      <c r="AM52" s="7" t="s">
        <v>1044</v>
      </c>
      <c r="AN52" s="20">
        <v>43714.0</v>
      </c>
      <c r="AO52" s="7">
        <v>97480.0</v>
      </c>
      <c r="AP52" s="7" t="s">
        <v>385</v>
      </c>
      <c r="AQ52" s="7"/>
      <c r="AR52" s="7"/>
      <c r="AS52" s="7"/>
      <c r="AT52" s="7"/>
      <c r="AU52" s="7">
        <v>2.0</v>
      </c>
      <c r="AV52" s="7" t="s">
        <v>1045</v>
      </c>
      <c r="AW52" s="7"/>
      <c r="AX52" s="7"/>
      <c r="AY52" s="7"/>
      <c r="AZ52" s="7" t="s">
        <v>1046</v>
      </c>
      <c r="BA52" s="7"/>
      <c r="BB52" s="7"/>
      <c r="BC52" s="7" t="s">
        <v>401</v>
      </c>
      <c r="BD52" s="21">
        <v>44133.540972222225</v>
      </c>
      <c r="BE52" s="7" t="s">
        <v>1047</v>
      </c>
      <c r="BF52" s="7"/>
      <c r="BG52" s="7"/>
      <c r="BH52" s="7">
        <v>8.50916784E8</v>
      </c>
      <c r="BI52" s="7" t="s">
        <v>1048</v>
      </c>
      <c r="BJ52" s="7"/>
      <c r="BK52" s="7" t="b">
        <v>0</v>
      </c>
      <c r="BL52" s="7" t="b">
        <v>0</v>
      </c>
      <c r="BM52" s="7"/>
      <c r="BN52" s="7" t="str">
        <f>IFERROR(__xludf.DUMMYFUNCTION(" IF( REGEXMATCH(C52 , ""[(].+[)]""),REGEXREPLACE( CONCATENATE(REGEXEXTRACT(C52 , ""[(].+[)]""),IF(REGEXMATCH(C52 , ""[(][Ll]['’][)]""),"""","" ""), REGEXEXTRACT(C52 ,""^(?:(?:[A-Za-zàäéèêîïöôûü0-9 ](?:[A-Za-zàäéèêîïöôûü'0-9 ]+)))"")) , ""[()]"", """"),C52"&amp;" )"),"Au Grand R'")</f>
        <v>Au Grand R'</v>
      </c>
      <c r="BO52" s="25"/>
      <c r="BP52" s="7"/>
      <c r="BQ52" s="7"/>
      <c r="BR52" s="7"/>
      <c r="BS52" s="7"/>
      <c r="BT52" s="7"/>
      <c r="BU52" s="7"/>
      <c r="BV52" s="7"/>
      <c r="BW52" s="7"/>
      <c r="BX52" s="7"/>
      <c r="BY52" s="7"/>
      <c r="BZ52" s="7"/>
      <c r="CA52" s="7"/>
      <c r="CB52" s="7"/>
    </row>
    <row r="53" ht="21.75" customHeight="1">
      <c r="A53" s="7">
        <v>1550.0</v>
      </c>
      <c r="B53" s="7" t="s">
        <v>1049</v>
      </c>
      <c r="C53" s="7" t="s">
        <v>1050</v>
      </c>
      <c r="D53" s="7"/>
      <c r="E53" s="7"/>
      <c r="F53" s="7" t="s">
        <v>404</v>
      </c>
      <c r="G53" s="7" t="s">
        <v>343</v>
      </c>
      <c r="H53" s="7" t="s">
        <v>123</v>
      </c>
      <c r="I53" s="7" t="s">
        <v>1051</v>
      </c>
      <c r="J53" s="7"/>
      <c r="K53" s="7" t="s">
        <v>34</v>
      </c>
      <c r="L53" s="7" t="s">
        <v>485</v>
      </c>
      <c r="M53" s="7" t="s">
        <v>486</v>
      </c>
      <c r="N53" s="7" t="s">
        <v>407</v>
      </c>
      <c r="O53" s="7">
        <v>97480.0</v>
      </c>
      <c r="P53" s="7" t="s">
        <v>123</v>
      </c>
      <c r="Q53" s="7"/>
      <c r="R53" s="7" t="s">
        <v>487</v>
      </c>
      <c r="S53" s="7" t="s">
        <v>1052</v>
      </c>
      <c r="T53" s="7" t="s">
        <v>377</v>
      </c>
      <c r="U53" s="7" t="s">
        <v>592</v>
      </c>
      <c r="V53" s="7">
        <v>2.62566648E8</v>
      </c>
      <c r="W53" s="7">
        <v>6.9266892E8</v>
      </c>
      <c r="X53" s="7">
        <v>6.92700919E8</v>
      </c>
      <c r="Y53" s="7"/>
      <c r="Z53" s="7" t="s">
        <v>1053</v>
      </c>
      <c r="AA53" s="7">
        <v>25.0</v>
      </c>
      <c r="AB53" s="7" t="s">
        <v>574</v>
      </c>
      <c r="AC53" s="7"/>
      <c r="AD53" s="7" t="s">
        <v>1054</v>
      </c>
      <c r="AE53" s="7" t="s">
        <v>1055</v>
      </c>
      <c r="AF53" s="7" t="s">
        <v>613</v>
      </c>
      <c r="AG53" s="7" t="s">
        <v>578</v>
      </c>
      <c r="AH53" s="20">
        <v>43739.0</v>
      </c>
      <c r="AI53" s="7"/>
      <c r="AJ53" s="7" t="s">
        <v>1056</v>
      </c>
      <c r="AK53" s="7">
        <v>3.8471131300039E13</v>
      </c>
      <c r="AL53" s="7" t="s">
        <v>1057</v>
      </c>
      <c r="AM53" s="7" t="s">
        <v>1058</v>
      </c>
      <c r="AN53" s="20">
        <v>39575.0</v>
      </c>
      <c r="AO53" s="7">
        <v>97480.0</v>
      </c>
      <c r="AP53" s="7" t="s">
        <v>385</v>
      </c>
      <c r="AQ53" s="7"/>
      <c r="AR53" s="7"/>
      <c r="AS53" s="7"/>
      <c r="AT53" s="7"/>
      <c r="AU53" s="7">
        <v>0.0</v>
      </c>
      <c r="AV53" s="7" t="s">
        <v>1059</v>
      </c>
      <c r="AW53" s="7"/>
      <c r="AX53" s="7"/>
      <c r="AY53" s="7"/>
      <c r="AZ53" s="7"/>
      <c r="BA53" s="7"/>
      <c r="BB53" s="7"/>
      <c r="BC53" s="7" t="s">
        <v>401</v>
      </c>
      <c r="BD53" s="21">
        <v>44186.12291666667</v>
      </c>
      <c r="BE53" s="7" t="s">
        <v>1060</v>
      </c>
      <c r="BF53" s="7"/>
      <c r="BG53" s="7"/>
      <c r="BH53" s="7">
        <v>3.84711313E8</v>
      </c>
      <c r="BI53" s="7" t="s">
        <v>1061</v>
      </c>
      <c r="BJ53" s="7"/>
      <c r="BK53" s="7" t="b">
        <v>0</v>
      </c>
      <c r="BL53" s="7" t="b">
        <v>0</v>
      </c>
      <c r="BM53" s="7"/>
      <c r="BN53" s="7" t="str">
        <f>IFERROR(__xludf.DUMMYFUNCTION(" IF( REGEXMATCH(C53 , ""[(].+[)]""),REGEXREPLACE( CONCATENATE(REGEXEXTRACT(C53 , ""[(].+[)]""),IF(REGEXMATCH(C53 , ""[(][Ll]['’][)]""),"""","" ""), REGEXEXTRACT(C53 ,""^(?:(?:[A-Za-zàäéèêîïöôûü0-9 ](?:[A-Za-zàäéèêîïöôûü'0-9 ]+)))"")) , ""[()]"", """"),C53"&amp;" )"),"Au Lapin d'Or")</f>
        <v>Au Lapin d'Or</v>
      </c>
      <c r="BO53" s="25"/>
      <c r="BP53" s="7"/>
      <c r="BQ53" s="7"/>
      <c r="BR53" s="7"/>
      <c r="BS53" s="7"/>
      <c r="BT53" s="7"/>
      <c r="BU53" s="7"/>
      <c r="BV53" s="7"/>
      <c r="BW53" s="7"/>
      <c r="BX53" s="7"/>
      <c r="BY53" s="7"/>
      <c r="BZ53" s="7"/>
      <c r="CA53" s="7"/>
      <c r="CB53" s="7"/>
    </row>
    <row r="54" ht="21.75" customHeight="1">
      <c r="A54" s="7">
        <v>790.0</v>
      </c>
      <c r="B54" s="7" t="s">
        <v>1062</v>
      </c>
      <c r="C54" s="7" t="s">
        <v>1050</v>
      </c>
      <c r="D54" s="7" t="s">
        <v>1063</v>
      </c>
      <c r="E54" s="7"/>
      <c r="F54" s="7" t="s">
        <v>342</v>
      </c>
      <c r="G54" s="7" t="s">
        <v>343</v>
      </c>
      <c r="H54" s="7" t="s">
        <v>123</v>
      </c>
      <c r="I54" s="7" t="s">
        <v>1051</v>
      </c>
      <c r="J54" s="7"/>
      <c r="K54" s="7" t="s">
        <v>58</v>
      </c>
      <c r="L54" s="7" t="s">
        <v>453</v>
      </c>
      <c r="M54" s="7" t="s">
        <v>454</v>
      </c>
      <c r="N54" s="7" t="s">
        <v>407</v>
      </c>
      <c r="O54" s="7">
        <v>97480.0</v>
      </c>
      <c r="P54" s="7" t="s">
        <v>123</v>
      </c>
      <c r="Q54" s="7"/>
      <c r="R54" s="7" t="s">
        <v>1064</v>
      </c>
      <c r="S54" s="7" t="s">
        <v>865</v>
      </c>
      <c r="T54" s="7" t="s">
        <v>392</v>
      </c>
      <c r="U54" s="7" t="s">
        <v>592</v>
      </c>
      <c r="V54" s="7">
        <v>2.62566648E8</v>
      </c>
      <c r="W54" s="7">
        <v>6.9266892E8</v>
      </c>
      <c r="X54" s="7"/>
      <c r="Y54" s="7"/>
      <c r="Z54" s="7" t="s">
        <v>1065</v>
      </c>
      <c r="AA54" s="7">
        <v>6.0</v>
      </c>
      <c r="AB54" s="7" t="s">
        <v>574</v>
      </c>
      <c r="AC54" s="7" t="s">
        <v>1066</v>
      </c>
      <c r="AD54" s="7" t="s">
        <v>1067</v>
      </c>
      <c r="AE54" s="7" t="s">
        <v>1055</v>
      </c>
      <c r="AF54" s="7"/>
      <c r="AG54" s="7" t="s">
        <v>578</v>
      </c>
      <c r="AH54" s="20">
        <v>39575.0</v>
      </c>
      <c r="AI54" s="7"/>
      <c r="AJ54" s="7" t="s">
        <v>1056</v>
      </c>
      <c r="AK54" s="7">
        <v>3.8471131300039E13</v>
      </c>
      <c r="AL54" s="7" t="s">
        <v>1057</v>
      </c>
      <c r="AM54" s="7" t="s">
        <v>1058</v>
      </c>
      <c r="AN54" s="20">
        <v>39575.0</v>
      </c>
      <c r="AO54" s="7">
        <v>97480.0</v>
      </c>
      <c r="AP54" s="7" t="s">
        <v>385</v>
      </c>
      <c r="AQ54" s="7"/>
      <c r="AR54" s="7"/>
      <c r="AS54" s="7"/>
      <c r="AT54" s="7"/>
      <c r="AU54" s="7">
        <v>3.0</v>
      </c>
      <c r="AV54" s="7" t="s">
        <v>1068</v>
      </c>
      <c r="AW54" s="7" t="s">
        <v>1069</v>
      </c>
      <c r="AX54" s="7"/>
      <c r="AY54" s="7"/>
      <c r="AZ54" s="7" t="s">
        <v>1070</v>
      </c>
      <c r="BA54" s="7"/>
      <c r="BB54" s="7"/>
      <c r="BC54" s="7" t="s">
        <v>401</v>
      </c>
      <c r="BD54" s="21">
        <v>44186.12291666667</v>
      </c>
      <c r="BE54" s="7" t="s">
        <v>1071</v>
      </c>
      <c r="BF54" s="7"/>
      <c r="BG54" s="7"/>
      <c r="BH54" s="7">
        <v>3.84711313E8</v>
      </c>
      <c r="BI54" s="7" t="s">
        <v>1061</v>
      </c>
      <c r="BJ54" s="7"/>
      <c r="BK54" s="7" t="b">
        <v>0</v>
      </c>
      <c r="BL54" s="7" t="b">
        <v>0</v>
      </c>
      <c r="BM54" s="7"/>
      <c r="BN54" s="7" t="str">
        <f>IFERROR(__xludf.DUMMYFUNCTION(" IF( REGEXMATCH(C54 , ""[(].+[)]""),REGEXREPLACE( CONCATENATE(REGEXEXTRACT(C54 , ""[(].+[)]""),IF(REGEXMATCH(C54 , ""[(][Ll]['’][)]""),"""","" ""), REGEXEXTRACT(C54 ,""^(?:(?:[A-Za-zàäéèêîïöôûü0-9 ](?:[A-Za-zàäéèêîïöôûü'0-9 ]+)))"")) , ""[()]"", """"),C54"&amp;" )"),"Au Lapin d'Or")</f>
        <v>Au Lapin d'Or</v>
      </c>
      <c r="BO54" s="25"/>
      <c r="BP54" s="7"/>
      <c r="BQ54" s="7"/>
      <c r="BR54" s="7"/>
      <c r="BS54" s="7"/>
      <c r="BT54" s="7"/>
      <c r="BU54" s="7"/>
      <c r="BV54" s="7"/>
      <c r="BW54" s="7"/>
      <c r="BX54" s="7"/>
      <c r="BY54" s="7"/>
      <c r="BZ54" s="7"/>
      <c r="CA54" s="7"/>
      <c r="CB54" s="7"/>
    </row>
    <row r="55" ht="21.75" customHeight="1">
      <c r="A55" s="7">
        <v>5151.0</v>
      </c>
      <c r="B55" s="7">
        <v>54.0</v>
      </c>
      <c r="C55" s="7" t="s">
        <v>1072</v>
      </c>
      <c r="D55" s="7"/>
      <c r="E55" s="7"/>
      <c r="F55" s="7" t="s">
        <v>342</v>
      </c>
      <c r="G55" s="7" t="s">
        <v>343</v>
      </c>
      <c r="H55" s="7" t="s">
        <v>123</v>
      </c>
      <c r="I55" s="7" t="s">
        <v>1073</v>
      </c>
      <c r="J55" s="7"/>
      <c r="K55" s="7" t="s">
        <v>58</v>
      </c>
      <c r="L55" s="7" t="s">
        <v>59</v>
      </c>
      <c r="M55" s="7" t="s">
        <v>374</v>
      </c>
      <c r="N55" s="7"/>
      <c r="O55" s="7">
        <v>97480.0</v>
      </c>
      <c r="P55" s="7" t="s">
        <v>123</v>
      </c>
      <c r="Q55" s="7"/>
      <c r="R55" s="7" t="s">
        <v>1074</v>
      </c>
      <c r="S55" s="7" t="s">
        <v>1075</v>
      </c>
      <c r="T55" s="7" t="s">
        <v>1076</v>
      </c>
      <c r="U55" s="7" t="s">
        <v>1077</v>
      </c>
      <c r="V55" s="7"/>
      <c r="W55" s="7">
        <v>6.92556548E8</v>
      </c>
      <c r="X55" s="7"/>
      <c r="Y55" s="7"/>
      <c r="Z55" s="7" t="s">
        <v>1078</v>
      </c>
      <c r="AA55" s="7">
        <v>2.0</v>
      </c>
      <c r="AB55" s="7"/>
      <c r="AC55" s="7" t="s">
        <v>1079</v>
      </c>
      <c r="AD55" s="7" t="s">
        <v>1080</v>
      </c>
      <c r="AE55" s="7" t="s">
        <v>1081</v>
      </c>
      <c r="AF55" s="7"/>
      <c r="AG55" s="7"/>
      <c r="AH55" s="20">
        <v>43834.0</v>
      </c>
      <c r="AI55" s="7"/>
      <c r="AJ55" s="7" t="s">
        <v>1082</v>
      </c>
      <c r="AK55" s="7">
        <v>8.8035556500016E13</v>
      </c>
      <c r="AL55" s="7" t="s">
        <v>1083</v>
      </c>
      <c r="AM55" s="7" t="s">
        <v>1084</v>
      </c>
      <c r="AN55" s="20">
        <v>43868.0</v>
      </c>
      <c r="AO55" s="7">
        <v>97480.0</v>
      </c>
      <c r="AP55" s="7" t="s">
        <v>385</v>
      </c>
      <c r="AQ55" s="7"/>
      <c r="AR55" s="7"/>
      <c r="AS55" s="7"/>
      <c r="AT55" s="7"/>
      <c r="AU55" s="7">
        <v>1.0</v>
      </c>
      <c r="AV55" s="7" t="s">
        <v>1085</v>
      </c>
      <c r="AW55" s="7"/>
      <c r="AX55" s="7"/>
      <c r="AY55" s="7"/>
      <c r="AZ55" s="7" t="s">
        <v>1086</v>
      </c>
      <c r="BA55" s="7"/>
      <c r="BB55" s="7"/>
      <c r="BC55" s="7" t="s">
        <v>366</v>
      </c>
      <c r="BD55" s="21">
        <v>44111.05625</v>
      </c>
      <c r="BE55" s="7"/>
      <c r="BF55" s="7"/>
      <c r="BG55" s="22">
        <v>44111.0</v>
      </c>
      <c r="BH55" s="7">
        <v>8.80355565E8</v>
      </c>
      <c r="BI55" s="7" t="s">
        <v>1087</v>
      </c>
      <c r="BJ55" s="7"/>
      <c r="BK55" s="7" t="b">
        <v>0</v>
      </c>
      <c r="BL55" s="7" t="b">
        <v>0</v>
      </c>
      <c r="BM55" s="7"/>
      <c r="BN55" s="7" t="str">
        <f>IFERROR(__xludf.DUMMYFUNCTION(" IF( REGEXMATCH(C55 , ""[(].+[)]""),REGEXREPLACE( CONCATENATE(REGEXEXTRACT(C55 , ""[(].+[)]""),IF(REGEXMATCH(C55 , ""[(][Ll]['’][)]""),"""","" ""), REGEXEXTRACT(C55 ,""^(?:(?:[A-Za-zàäéèêîïöôûü0-9 ](?:[A-Za-zàäéèêîïöôûü'0-9 ]+)))"")) , ""[()]"", """"),C55"&amp;" )"),"Au P'ti Coin Langevin")</f>
        <v>Au P'ti Coin Langevin</v>
      </c>
      <c r="BO55" s="23"/>
      <c r="BP55" s="7"/>
      <c r="BQ55" s="7"/>
      <c r="BR55" s="7"/>
      <c r="BS55" s="7"/>
      <c r="BT55" s="7"/>
      <c r="BU55" s="7"/>
      <c r="BV55" s="7"/>
      <c r="BW55" s="7"/>
      <c r="BX55" s="7"/>
      <c r="BY55" s="7"/>
      <c r="BZ55" s="7"/>
      <c r="CA55" s="7"/>
      <c r="CB55" s="7"/>
    </row>
    <row r="56" ht="21.75" customHeight="1">
      <c r="A56" s="7">
        <v>1704.0</v>
      </c>
      <c r="B56" s="7" t="s">
        <v>1088</v>
      </c>
      <c r="C56" s="7" t="s">
        <v>1089</v>
      </c>
      <c r="D56" s="7" t="s">
        <v>1089</v>
      </c>
      <c r="E56" s="7"/>
      <c r="F56" s="7" t="s">
        <v>342</v>
      </c>
      <c r="G56" s="7" t="s">
        <v>343</v>
      </c>
      <c r="H56" s="7" t="s">
        <v>344</v>
      </c>
      <c r="I56" s="7" t="s">
        <v>1090</v>
      </c>
      <c r="J56" s="7"/>
      <c r="K56" s="7" t="s">
        <v>58</v>
      </c>
      <c r="L56" s="7" t="s">
        <v>137</v>
      </c>
      <c r="M56" s="7" t="s">
        <v>1091</v>
      </c>
      <c r="N56" s="7" t="s">
        <v>1092</v>
      </c>
      <c r="O56" s="7">
        <v>97418.0</v>
      </c>
      <c r="P56" s="7" t="s">
        <v>348</v>
      </c>
      <c r="Q56" s="7" t="s">
        <v>349</v>
      </c>
      <c r="R56" s="7" t="s">
        <v>1093</v>
      </c>
      <c r="S56" s="7" t="s">
        <v>1094</v>
      </c>
      <c r="T56" s="7" t="s">
        <v>377</v>
      </c>
      <c r="U56" s="7" t="s">
        <v>353</v>
      </c>
      <c r="V56" s="7">
        <v>2.62592199E8</v>
      </c>
      <c r="W56" s="7">
        <v>6.92267455E8</v>
      </c>
      <c r="X56" s="7">
        <v>2.62591034E8</v>
      </c>
      <c r="Y56" s="7"/>
      <c r="Z56" s="7" t="s">
        <v>1095</v>
      </c>
      <c r="AA56" s="7">
        <v>44.0</v>
      </c>
      <c r="AB56" s="7"/>
      <c r="AC56" s="7"/>
      <c r="AD56" s="7" t="s">
        <v>1096</v>
      </c>
      <c r="AE56" s="7"/>
      <c r="AF56" s="7"/>
      <c r="AG56" s="7"/>
      <c r="AH56" s="20">
        <v>39925.0</v>
      </c>
      <c r="AI56" s="7"/>
      <c r="AJ56" s="7" t="s">
        <v>1097</v>
      </c>
      <c r="AK56" s="7">
        <v>4.4464758000018E13</v>
      </c>
      <c r="AL56" s="7" t="s">
        <v>1098</v>
      </c>
      <c r="AM56" s="7" t="s">
        <v>1099</v>
      </c>
      <c r="AN56" s="20">
        <v>39925.0</v>
      </c>
      <c r="AO56" s="7">
        <v>97418.0</v>
      </c>
      <c r="AP56" s="7" t="s">
        <v>362</v>
      </c>
      <c r="AQ56" s="7"/>
      <c r="AR56" s="7"/>
      <c r="AS56" s="7"/>
      <c r="AT56" s="7"/>
      <c r="AU56" s="7">
        <v>1.0</v>
      </c>
      <c r="AV56" s="7" t="s">
        <v>1100</v>
      </c>
      <c r="AW56" s="7"/>
      <c r="AX56" s="7"/>
      <c r="AY56" s="7"/>
      <c r="AZ56" s="7" t="s">
        <v>1101</v>
      </c>
      <c r="BA56" s="7"/>
      <c r="BB56" s="7"/>
      <c r="BC56" s="7" t="s">
        <v>401</v>
      </c>
      <c r="BD56" s="21">
        <v>44110.07638888889</v>
      </c>
      <c r="BE56" s="7" t="s">
        <v>1102</v>
      </c>
      <c r="BF56" s="7"/>
      <c r="BG56" s="7"/>
      <c r="BH56" s="7">
        <v>4.4464758E8</v>
      </c>
      <c r="BI56" s="7" t="s">
        <v>1103</v>
      </c>
      <c r="BJ56" s="7"/>
      <c r="BK56" s="7" t="b">
        <v>0</v>
      </c>
      <c r="BL56" s="7" t="b">
        <v>0</v>
      </c>
      <c r="BM56" s="7"/>
      <c r="BN56" s="7" t="str">
        <f>IFERROR(__xludf.DUMMYFUNCTION(" IF( REGEXMATCH(C56 , ""[(].+[)]""),REGEXREPLACE( CONCATENATE(REGEXEXTRACT(C56 , ""[(].+[)]""),IF(REGEXMATCH(C56 , ""[(][Ll]['’][)]""),"""","" ""), REGEXEXTRACT(C56 ,""^(?:(?:[A-Za-zàäéèêîïöôûü0-9 ](?:[A-Za-zàäéèêîïöôûü'0-9 ]+)))"")) , ""[()]"", """"),C56"&amp;" )"),"Auberge de Grand Bassin")</f>
        <v>Auberge de Grand Bassin</v>
      </c>
      <c r="BO56" s="25"/>
      <c r="BP56" s="7"/>
      <c r="BQ56" s="7"/>
      <c r="BR56" s="7"/>
      <c r="BS56" s="7"/>
      <c r="BT56" s="7"/>
      <c r="BU56" s="7"/>
      <c r="BV56" s="7"/>
      <c r="BW56" s="7"/>
      <c r="BX56" s="7"/>
      <c r="BY56" s="7"/>
      <c r="BZ56" s="7"/>
      <c r="CA56" s="7"/>
      <c r="CB56" s="7"/>
    </row>
    <row r="57" ht="21.75" customHeight="1">
      <c r="A57" s="7">
        <v>1413.0</v>
      </c>
      <c r="B57" s="7">
        <v>56.0</v>
      </c>
      <c r="C57" s="7" t="s">
        <v>1104</v>
      </c>
      <c r="D57" s="7" t="s">
        <v>1104</v>
      </c>
      <c r="E57" s="7"/>
      <c r="F57" s="7" t="s">
        <v>404</v>
      </c>
      <c r="G57" s="7" t="s">
        <v>343</v>
      </c>
      <c r="H57" s="7" t="s">
        <v>40</v>
      </c>
      <c r="I57" s="7" t="s">
        <v>1105</v>
      </c>
      <c r="J57" s="7"/>
      <c r="K57" s="7" t="s">
        <v>58</v>
      </c>
      <c r="L57" s="7" t="s">
        <v>137</v>
      </c>
      <c r="M57" s="7" t="s">
        <v>1106</v>
      </c>
      <c r="N57" s="7" t="s">
        <v>407</v>
      </c>
      <c r="O57" s="7">
        <v>97414.0</v>
      </c>
      <c r="P57" s="7" t="s">
        <v>40</v>
      </c>
      <c r="Q57" s="7"/>
      <c r="R57" s="7" t="s">
        <v>1107</v>
      </c>
      <c r="S57" s="7" t="s">
        <v>1108</v>
      </c>
      <c r="T57" s="7" t="s">
        <v>1109</v>
      </c>
      <c r="U57" s="7" t="s">
        <v>353</v>
      </c>
      <c r="V57" s="7"/>
      <c r="W57" s="7">
        <v>6.92337418E8</v>
      </c>
      <c r="X57" s="7"/>
      <c r="Y57" s="7"/>
      <c r="Z57" s="7"/>
      <c r="AA57" s="7">
        <v>29.0</v>
      </c>
      <c r="AB57" s="7"/>
      <c r="AC57" s="7" t="s">
        <v>1110</v>
      </c>
      <c r="AD57" s="7" t="s">
        <v>1111</v>
      </c>
      <c r="AE57" s="7" t="s">
        <v>1112</v>
      </c>
      <c r="AF57" s="7"/>
      <c r="AG57" s="7"/>
      <c r="AH57" s="20">
        <v>39575.0</v>
      </c>
      <c r="AI57" s="7"/>
      <c r="AJ57" s="7" t="s">
        <v>1113</v>
      </c>
      <c r="AK57" s="7"/>
      <c r="AL57" s="7" t="s">
        <v>1114</v>
      </c>
      <c r="AM57" s="7" t="s">
        <v>1115</v>
      </c>
      <c r="AN57" s="20">
        <v>39694.0</v>
      </c>
      <c r="AO57" s="7">
        <v>97414.0</v>
      </c>
      <c r="AP57" s="7" t="s">
        <v>429</v>
      </c>
      <c r="AQ57" s="7"/>
      <c r="AR57" s="7"/>
      <c r="AS57" s="7"/>
      <c r="AT57" s="7"/>
      <c r="AU57" s="7">
        <v>1.0</v>
      </c>
      <c r="AV57" s="7" t="s">
        <v>1116</v>
      </c>
      <c r="AW57" s="7"/>
      <c r="AX57" s="7"/>
      <c r="AY57" s="7"/>
      <c r="AZ57" s="7"/>
      <c r="BA57" s="7"/>
      <c r="BB57" s="7"/>
      <c r="BC57" s="7" t="s">
        <v>366</v>
      </c>
      <c r="BD57" s="21">
        <v>44063.45277777778</v>
      </c>
      <c r="BE57" s="7"/>
      <c r="BF57" s="7"/>
      <c r="BG57" s="22">
        <v>44063.0</v>
      </c>
      <c r="BH57" s="7"/>
      <c r="BI57" s="7" t="s">
        <v>1117</v>
      </c>
      <c r="BJ57" s="7"/>
      <c r="BK57" s="7" t="b">
        <v>0</v>
      </c>
      <c r="BL57" s="7" t="b">
        <v>0</v>
      </c>
      <c r="BM57" s="7"/>
      <c r="BN57" s="7" t="str">
        <f>IFERROR(__xludf.DUMMYFUNCTION(" IF( REGEXMATCH(C57 , ""[(].+[)]""),REGEXREPLACE( CONCATENATE(REGEXEXTRACT(C57 , ""[(].+[)]""),IF(REGEXMATCH(C57 , ""[(][Ll]['’][)]""),"""","" ""), REGEXEXTRACT(C57 ,""^(?:(?:[A-Za-zàäéèêîïöôûü0-9 ](?:[A-Za-zàäéèêîïöôûü'0-9 ]+)))"")) , ""[()]"", """"),C57"&amp;" )"),"Auberge de Jeunesse de l'Entre-Deux")</f>
        <v>Auberge de Jeunesse de l'Entre-Deux</v>
      </c>
      <c r="BO57" s="23"/>
      <c r="BP57" s="7"/>
      <c r="BQ57" s="7"/>
      <c r="BR57" s="7"/>
      <c r="BS57" s="7"/>
      <c r="BT57" s="7"/>
      <c r="BU57" s="7"/>
      <c r="BV57" s="7"/>
      <c r="BW57" s="7"/>
      <c r="BX57" s="7"/>
      <c r="BY57" s="7"/>
      <c r="BZ57" s="7"/>
      <c r="CA57" s="7"/>
      <c r="CB57" s="7"/>
    </row>
    <row r="58" ht="21.75" customHeight="1">
      <c r="A58" s="7">
        <v>398.0</v>
      </c>
      <c r="B58" s="7">
        <v>57.0</v>
      </c>
      <c r="C58" s="7" t="s">
        <v>1104</v>
      </c>
      <c r="D58" s="7" t="s">
        <v>1113</v>
      </c>
      <c r="E58" s="7"/>
      <c r="F58" s="7" t="s">
        <v>404</v>
      </c>
      <c r="G58" s="7" t="s">
        <v>343</v>
      </c>
      <c r="H58" s="7" t="s">
        <v>40</v>
      </c>
      <c r="I58" s="7" t="s">
        <v>1118</v>
      </c>
      <c r="J58" s="7"/>
      <c r="K58" s="7" t="s">
        <v>58</v>
      </c>
      <c r="L58" s="7" t="s">
        <v>137</v>
      </c>
      <c r="M58" s="7" t="s">
        <v>1106</v>
      </c>
      <c r="N58" s="7" t="s">
        <v>455</v>
      </c>
      <c r="O58" s="7">
        <v>97414.0</v>
      </c>
      <c r="P58" s="7" t="s">
        <v>40</v>
      </c>
      <c r="Q58" s="7"/>
      <c r="R58" s="7"/>
      <c r="S58" s="7"/>
      <c r="T58" s="7" t="s">
        <v>1119</v>
      </c>
      <c r="U58" s="7" t="s">
        <v>592</v>
      </c>
      <c r="V58" s="7"/>
      <c r="W58" s="7"/>
      <c r="X58" s="7"/>
      <c r="Y58" s="7"/>
      <c r="Z58" s="7"/>
      <c r="AA58" s="7"/>
      <c r="AB58" s="7"/>
      <c r="AC58" s="7"/>
      <c r="AD58" s="7" t="s">
        <v>1120</v>
      </c>
      <c r="AE58" s="7" t="s">
        <v>1121</v>
      </c>
      <c r="AF58" s="7"/>
      <c r="AG58" s="7"/>
      <c r="AH58" s="20">
        <v>39575.0</v>
      </c>
      <c r="AI58" s="7"/>
      <c r="AJ58" s="7" t="s">
        <v>1113</v>
      </c>
      <c r="AK58" s="7"/>
      <c r="AL58" s="7" t="s">
        <v>1122</v>
      </c>
      <c r="AM58" s="7">
        <v>2.6239592E8</v>
      </c>
      <c r="AN58" s="20">
        <v>39575.0</v>
      </c>
      <c r="AO58" s="7">
        <v>97414.0</v>
      </c>
      <c r="AP58" s="7" t="s">
        <v>429</v>
      </c>
      <c r="AQ58" s="7"/>
      <c r="AR58" s="7"/>
      <c r="AS58" s="7"/>
      <c r="AT58" s="7"/>
      <c r="AU58" s="7">
        <v>0.0</v>
      </c>
      <c r="AV58" s="7" t="s">
        <v>1123</v>
      </c>
      <c r="AW58" s="7"/>
      <c r="AX58" s="7"/>
      <c r="AY58" s="7"/>
      <c r="AZ58" s="7"/>
      <c r="BA58" s="7"/>
      <c r="BB58" s="7"/>
      <c r="BC58" s="7" t="s">
        <v>366</v>
      </c>
      <c r="BD58" s="21">
        <v>44063.45277777778</v>
      </c>
      <c r="BE58" s="7"/>
      <c r="BF58" s="7"/>
      <c r="BG58" s="22">
        <v>44063.0</v>
      </c>
      <c r="BH58" s="7"/>
      <c r="BI58" s="7" t="s">
        <v>1117</v>
      </c>
      <c r="BJ58" s="7"/>
      <c r="BK58" s="7" t="b">
        <v>0</v>
      </c>
      <c r="BL58" s="7" t="b">
        <v>0</v>
      </c>
      <c r="BM58" s="7"/>
      <c r="BN58" s="7" t="str">
        <f>IFERROR(__xludf.DUMMYFUNCTION(" IF( REGEXMATCH(C58 , ""[(].+[)]""),REGEXREPLACE( CONCATENATE(REGEXEXTRACT(C58 , ""[(].+[)]""),IF(REGEXMATCH(C58 , ""[(][Ll]['’][)]""),"""","" ""), REGEXEXTRACT(C58 ,""^(?:(?:[A-Za-zàäéèêîïöôûü0-9 ](?:[A-Za-zàäéèêîïöôûü'0-9 ]+)))"")) , ""[()]"", """"),C58"&amp;" )"),"Auberge de Jeunesse de l'Entre-Deux")</f>
        <v>Auberge de Jeunesse de l'Entre-Deux</v>
      </c>
      <c r="BO58" s="23"/>
      <c r="BP58" s="7"/>
      <c r="BQ58" s="7"/>
      <c r="BR58" s="7"/>
      <c r="BS58" s="7"/>
      <c r="BT58" s="7"/>
      <c r="BU58" s="7"/>
      <c r="BV58" s="7"/>
      <c r="BW58" s="7"/>
      <c r="BX58" s="7"/>
      <c r="BY58" s="7"/>
      <c r="BZ58" s="7"/>
      <c r="CA58" s="7"/>
      <c r="CB58" s="7"/>
    </row>
    <row r="59" ht="21.75" customHeight="1">
      <c r="A59" s="7">
        <v>3824.0</v>
      </c>
      <c r="B59" s="7" t="s">
        <v>1124</v>
      </c>
      <c r="C59" s="7" t="s">
        <v>1125</v>
      </c>
      <c r="D59" s="7"/>
      <c r="E59" s="7"/>
      <c r="F59" s="7" t="s">
        <v>342</v>
      </c>
      <c r="G59" s="7" t="s">
        <v>343</v>
      </c>
      <c r="H59" s="7" t="s">
        <v>344</v>
      </c>
      <c r="I59" s="7" t="s">
        <v>1126</v>
      </c>
      <c r="J59" s="7"/>
      <c r="K59" s="7" t="s">
        <v>34</v>
      </c>
      <c r="L59" s="7" t="s">
        <v>622</v>
      </c>
      <c r="M59" s="7" t="s">
        <v>1127</v>
      </c>
      <c r="N59" s="7" t="s">
        <v>630</v>
      </c>
      <c r="O59" s="7">
        <v>97418.0</v>
      </c>
      <c r="P59" s="7" t="s">
        <v>348</v>
      </c>
      <c r="Q59" s="7" t="s">
        <v>349</v>
      </c>
      <c r="R59" s="7" t="s">
        <v>1128</v>
      </c>
      <c r="S59" s="7" t="s">
        <v>572</v>
      </c>
      <c r="T59" s="7" t="s">
        <v>1129</v>
      </c>
      <c r="U59" s="7" t="s">
        <v>592</v>
      </c>
      <c r="V59" s="7">
        <v>2.62082579E8</v>
      </c>
      <c r="W59" s="7">
        <v>6.92010836E8</v>
      </c>
      <c r="X59" s="7">
        <v>2.62707262E8</v>
      </c>
      <c r="Y59" s="7"/>
      <c r="Z59" s="7" t="s">
        <v>1130</v>
      </c>
      <c r="AA59" s="7"/>
      <c r="AB59" s="7"/>
      <c r="AC59" s="7" t="s">
        <v>1131</v>
      </c>
      <c r="AD59" s="7" t="s">
        <v>1132</v>
      </c>
      <c r="AE59" s="7"/>
      <c r="AF59" s="7"/>
      <c r="AG59" s="7"/>
      <c r="AH59" s="20">
        <v>42135.0</v>
      </c>
      <c r="AI59" s="7"/>
      <c r="AJ59" s="7" t="s">
        <v>1133</v>
      </c>
      <c r="AK59" s="7">
        <v>8.3258395900016E13</v>
      </c>
      <c r="AL59" s="7" t="s">
        <v>1134</v>
      </c>
      <c r="AM59" s="7" t="s">
        <v>1135</v>
      </c>
      <c r="AN59" s="20">
        <v>39575.0</v>
      </c>
      <c r="AO59" s="7">
        <v>97418.0</v>
      </c>
      <c r="AP59" s="7" t="s">
        <v>362</v>
      </c>
      <c r="AQ59" s="7"/>
      <c r="AR59" s="7"/>
      <c r="AS59" s="7"/>
      <c r="AT59" s="7"/>
      <c r="AU59" s="7">
        <v>0.0</v>
      </c>
      <c r="AV59" s="7" t="s">
        <v>1136</v>
      </c>
      <c r="AW59" s="7"/>
      <c r="AX59" s="7"/>
      <c r="AY59" s="7"/>
      <c r="AZ59" s="7"/>
      <c r="BA59" s="7"/>
      <c r="BB59" s="7"/>
      <c r="BC59" s="7" t="s">
        <v>401</v>
      </c>
      <c r="BD59" s="21">
        <v>44118.214583333334</v>
      </c>
      <c r="BE59" s="7" t="s">
        <v>1137</v>
      </c>
      <c r="BF59" s="7"/>
      <c r="BG59" s="7"/>
      <c r="BH59" s="7">
        <v>2.14748364E8</v>
      </c>
      <c r="BI59" s="7" t="s">
        <v>1138</v>
      </c>
      <c r="BJ59" s="7"/>
      <c r="BK59" s="7" t="b">
        <v>0</v>
      </c>
      <c r="BL59" s="7" t="b">
        <v>0</v>
      </c>
      <c r="BM59" s="7"/>
      <c r="BN59" s="7" t="str">
        <f>IFERROR(__xludf.DUMMYFUNCTION(" IF( REGEXMATCH(C59 , ""[(].+[)]""),REGEXREPLACE( CONCATENATE(REGEXEXTRACT(C59 , ""[(].+[)]""),IF(REGEXMATCH(C59 , ""[(][Ll]['’][)]""),"""","" ""), REGEXEXTRACT(C59 ,""^(?:(?:[A-Za-zàäéèêîïöôûü0-9 ](?:[A-Za-zàäéèêîïöôûü'0-9 ]+)))"")) , ""[()]"", """"),C59"&amp;" )"),"L'Auberge des Cratères ")</f>
        <v>L'Auberge des Cratères </v>
      </c>
      <c r="BO59" s="25"/>
      <c r="BP59" s="7"/>
      <c r="BQ59" s="7"/>
      <c r="BR59" s="7"/>
      <c r="BS59" s="7"/>
      <c r="BT59" s="7"/>
      <c r="BU59" s="7"/>
      <c r="BV59" s="7"/>
      <c r="BW59" s="7"/>
      <c r="BX59" s="7"/>
      <c r="BY59" s="7"/>
      <c r="BZ59" s="7"/>
      <c r="CA59" s="7"/>
      <c r="CB59" s="7"/>
    </row>
    <row r="60" ht="21.75" customHeight="1">
      <c r="A60" s="7">
        <v>256.0</v>
      </c>
      <c r="B60" s="7" t="s">
        <v>262</v>
      </c>
      <c r="C60" s="7" t="s">
        <v>1125</v>
      </c>
      <c r="D60" s="7" t="s">
        <v>1139</v>
      </c>
      <c r="E60" s="7"/>
      <c r="F60" s="7" t="s">
        <v>342</v>
      </c>
      <c r="G60" s="7" t="s">
        <v>343</v>
      </c>
      <c r="H60" s="7" t="s">
        <v>344</v>
      </c>
      <c r="I60" s="7" t="s">
        <v>1140</v>
      </c>
      <c r="J60" s="7"/>
      <c r="K60" s="7" t="s">
        <v>58</v>
      </c>
      <c r="L60" s="7" t="s">
        <v>1141</v>
      </c>
      <c r="M60" s="7" t="s">
        <v>1141</v>
      </c>
      <c r="N60" s="7" t="s">
        <v>407</v>
      </c>
      <c r="O60" s="7">
        <v>97418.0</v>
      </c>
      <c r="P60" s="7" t="s">
        <v>348</v>
      </c>
      <c r="Q60" s="7" t="s">
        <v>570</v>
      </c>
      <c r="R60" s="7" t="s">
        <v>1142</v>
      </c>
      <c r="S60" s="7" t="s">
        <v>1143</v>
      </c>
      <c r="T60" s="7" t="s">
        <v>1144</v>
      </c>
      <c r="U60" s="7" t="s">
        <v>592</v>
      </c>
      <c r="V60" s="7">
        <v>2.62082579E8</v>
      </c>
      <c r="W60" s="7">
        <v>6.92909342E8</v>
      </c>
      <c r="X60" s="7">
        <v>2.62707262E8</v>
      </c>
      <c r="Y60" s="7"/>
      <c r="Z60" s="7" t="s">
        <v>1145</v>
      </c>
      <c r="AA60" s="7">
        <v>48.0</v>
      </c>
      <c r="AB60" s="7"/>
      <c r="AC60" s="7" t="s">
        <v>1146</v>
      </c>
      <c r="AD60" s="7" t="s">
        <v>1147</v>
      </c>
      <c r="AE60" s="7"/>
      <c r="AF60" s="7"/>
      <c r="AG60" s="7"/>
      <c r="AH60" s="20">
        <v>39575.0</v>
      </c>
      <c r="AI60" s="7"/>
      <c r="AJ60" s="7" t="s">
        <v>1133</v>
      </c>
      <c r="AK60" s="7">
        <v>8.3258395900016E13</v>
      </c>
      <c r="AL60" s="7" t="s">
        <v>1134</v>
      </c>
      <c r="AM60" s="7" t="s">
        <v>1148</v>
      </c>
      <c r="AN60" s="20">
        <v>39575.0</v>
      </c>
      <c r="AO60" s="7">
        <v>97418.0</v>
      </c>
      <c r="AP60" s="7" t="s">
        <v>362</v>
      </c>
      <c r="AQ60" s="7"/>
      <c r="AR60" s="7"/>
      <c r="AS60" s="7"/>
      <c r="AT60" s="7"/>
      <c r="AU60" s="7">
        <v>12.0</v>
      </c>
      <c r="AV60" s="7" t="s">
        <v>1136</v>
      </c>
      <c r="AW60" s="7"/>
      <c r="AX60" s="7"/>
      <c r="AY60" s="7"/>
      <c r="AZ60" s="7" t="s">
        <v>1149</v>
      </c>
      <c r="BA60" s="7"/>
      <c r="BB60" s="7"/>
      <c r="BC60" s="7" t="s">
        <v>401</v>
      </c>
      <c r="BD60" s="21">
        <v>44118.214583333334</v>
      </c>
      <c r="BE60" s="7" t="s">
        <v>1137</v>
      </c>
      <c r="BF60" s="7"/>
      <c r="BG60" s="7"/>
      <c r="BH60" s="7">
        <v>2.14748364E8</v>
      </c>
      <c r="BI60" s="7" t="s">
        <v>1138</v>
      </c>
      <c r="BJ60" s="7"/>
      <c r="BK60" s="7" t="b">
        <v>0</v>
      </c>
      <c r="BL60" s="7" t="b">
        <v>0</v>
      </c>
      <c r="BM60" s="7"/>
      <c r="BN60" s="7" t="str">
        <f>IFERROR(__xludf.DUMMYFUNCTION(" IF( REGEXMATCH(C60 , ""[(].+[)]""),REGEXREPLACE( CONCATENATE(REGEXEXTRACT(C60 , ""[(].+[)]""),IF(REGEXMATCH(C60 , ""[(][Ll]['’][)]""),"""","" ""), REGEXEXTRACT(C60 ,""^(?:(?:[A-Za-zàäéèêîïöôûü0-9 ](?:[A-Za-zàäéèêîïöôûü'0-9 ]+)))"")) , ""[()]"", """"),C60"&amp;" )"),"L'Auberge des Cratères ")</f>
        <v>L'Auberge des Cratères </v>
      </c>
      <c r="BO60" s="25"/>
      <c r="BP60" s="7"/>
      <c r="BQ60" s="7"/>
      <c r="BR60" s="7"/>
      <c r="BS60" s="7"/>
      <c r="BT60" s="7"/>
      <c r="BU60" s="7"/>
      <c r="BV60" s="7"/>
      <c r="BW60" s="7"/>
      <c r="BX60" s="7"/>
      <c r="BY60" s="7"/>
      <c r="BZ60" s="7"/>
      <c r="CA60" s="7"/>
      <c r="CB60" s="7"/>
    </row>
    <row r="61" ht="21.75" customHeight="1">
      <c r="A61" s="7">
        <v>3839.0</v>
      </c>
      <c r="B61" s="7" t="s">
        <v>1150</v>
      </c>
      <c r="C61" s="7" t="s">
        <v>1151</v>
      </c>
      <c r="D61" s="7"/>
      <c r="E61" s="7"/>
      <c r="F61" s="7" t="s">
        <v>342</v>
      </c>
      <c r="G61" s="7" t="s">
        <v>343</v>
      </c>
      <c r="H61" s="7" t="s">
        <v>344</v>
      </c>
      <c r="I61" s="7" t="s">
        <v>1152</v>
      </c>
      <c r="J61" s="7"/>
      <c r="K61" s="7" t="s">
        <v>34</v>
      </c>
      <c r="L61" s="7" t="s">
        <v>622</v>
      </c>
      <c r="M61" s="7" t="s">
        <v>1127</v>
      </c>
      <c r="N61" s="7" t="s">
        <v>569</v>
      </c>
      <c r="O61" s="7">
        <v>97418.0</v>
      </c>
      <c r="P61" s="7" t="s">
        <v>348</v>
      </c>
      <c r="Q61" s="7" t="s">
        <v>349</v>
      </c>
      <c r="R61" s="7" t="s">
        <v>1153</v>
      </c>
      <c r="S61" s="7" t="s">
        <v>1154</v>
      </c>
      <c r="T61" s="7" t="s">
        <v>1155</v>
      </c>
      <c r="U61" s="7" t="s">
        <v>592</v>
      </c>
      <c r="V61" s="7">
        <v>2.62275091E8</v>
      </c>
      <c r="W61" s="7"/>
      <c r="X61" s="7"/>
      <c r="Y61" s="7">
        <v>2.62591721E8</v>
      </c>
      <c r="Z61" s="7" t="s">
        <v>1156</v>
      </c>
      <c r="AA61" s="7">
        <v>130.0</v>
      </c>
      <c r="AB61" s="7"/>
      <c r="AC61" s="7" t="s">
        <v>1157</v>
      </c>
      <c r="AD61" s="7" t="s">
        <v>1158</v>
      </c>
      <c r="AE61" s="7" t="s">
        <v>1159</v>
      </c>
      <c r="AF61" s="7"/>
      <c r="AG61" s="7"/>
      <c r="AH61" s="20">
        <v>42142.0</v>
      </c>
      <c r="AI61" s="7"/>
      <c r="AJ61" s="7" t="s">
        <v>1160</v>
      </c>
      <c r="AK61" s="7"/>
      <c r="AL61" s="7" t="s">
        <v>1161</v>
      </c>
      <c r="AM61" s="7" t="s">
        <v>1162</v>
      </c>
      <c r="AN61" s="20">
        <v>43739.0</v>
      </c>
      <c r="AO61" s="7">
        <v>97418.0</v>
      </c>
      <c r="AP61" s="7" t="s">
        <v>362</v>
      </c>
      <c r="AQ61" s="7"/>
      <c r="AR61" s="7"/>
      <c r="AS61" s="7"/>
      <c r="AT61" s="7"/>
      <c r="AU61" s="7">
        <v>0.0</v>
      </c>
      <c r="AV61" s="7" t="s">
        <v>1163</v>
      </c>
      <c r="AW61" s="7"/>
      <c r="AX61" s="7"/>
      <c r="AY61" s="7"/>
      <c r="AZ61" s="7"/>
      <c r="BA61" s="7"/>
      <c r="BB61" s="7"/>
      <c r="BC61" s="7" t="s">
        <v>401</v>
      </c>
      <c r="BD61" s="21">
        <v>44109.225</v>
      </c>
      <c r="BE61" s="7" t="s">
        <v>1164</v>
      </c>
      <c r="BF61" s="7"/>
      <c r="BG61" s="7"/>
      <c r="BH61" s="7"/>
      <c r="BI61" s="7" t="s">
        <v>1165</v>
      </c>
      <c r="BJ61" s="7"/>
      <c r="BK61" s="7" t="b">
        <v>0</v>
      </c>
      <c r="BL61" s="7" t="b">
        <v>0</v>
      </c>
      <c r="BM61" s="7"/>
      <c r="BN61" s="7" t="str">
        <f>IFERROR(__xludf.DUMMYFUNCTION(" IF( REGEXMATCH(C61 , ""[(].+[)]""),REGEXREPLACE( CONCATENATE(REGEXEXTRACT(C61 , ""[(].+[)]""),IF(REGEXMATCH(C61 , ""[(][Ll]['’][)]""),"""","" ""), REGEXEXTRACT(C61 ,""^(?:(?:[A-Za-zàäéèêîïöôûü0-9 ](?:[A-Za-zàäéèêîïöôûü'0-9 ]+)))"")) , ""[()]"", """"),C61"&amp;" )"),"L'Auberge du Volcan ")</f>
        <v>L'Auberge du Volcan </v>
      </c>
      <c r="BO61" s="25"/>
      <c r="BP61" s="7"/>
      <c r="BQ61" s="7"/>
      <c r="BR61" s="7"/>
      <c r="BS61" s="7"/>
      <c r="BT61" s="7"/>
      <c r="BU61" s="7"/>
      <c r="BV61" s="7"/>
      <c r="BW61" s="7"/>
      <c r="BX61" s="7"/>
      <c r="BY61" s="7"/>
      <c r="BZ61" s="7"/>
      <c r="CA61" s="7"/>
      <c r="CB61" s="7"/>
    </row>
    <row r="62" ht="21.75" customHeight="1">
      <c r="A62" s="7">
        <v>1518.0</v>
      </c>
      <c r="B62" s="7" t="s">
        <v>1166</v>
      </c>
      <c r="C62" s="7" t="s">
        <v>1151</v>
      </c>
      <c r="D62" s="7" t="s">
        <v>1167</v>
      </c>
      <c r="E62" s="7"/>
      <c r="F62" s="7" t="s">
        <v>342</v>
      </c>
      <c r="G62" s="7" t="s">
        <v>343</v>
      </c>
      <c r="H62" s="7" t="s">
        <v>344</v>
      </c>
      <c r="I62" s="7" t="s">
        <v>1168</v>
      </c>
      <c r="J62" s="7"/>
      <c r="K62" s="7" t="s">
        <v>58</v>
      </c>
      <c r="L62" s="7" t="s">
        <v>1141</v>
      </c>
      <c r="M62" s="7" t="s">
        <v>1141</v>
      </c>
      <c r="N62" s="7" t="s">
        <v>569</v>
      </c>
      <c r="O62" s="7">
        <v>97418.0</v>
      </c>
      <c r="P62" s="7" t="s">
        <v>348</v>
      </c>
      <c r="Q62" s="7" t="s">
        <v>570</v>
      </c>
      <c r="R62" s="7" t="s">
        <v>1169</v>
      </c>
      <c r="S62" s="7" t="s">
        <v>1094</v>
      </c>
      <c r="T62" s="7" t="s">
        <v>1155</v>
      </c>
      <c r="U62" s="7" t="s">
        <v>592</v>
      </c>
      <c r="V62" s="7">
        <v>2.62275091E8</v>
      </c>
      <c r="W62" s="7"/>
      <c r="X62" s="7"/>
      <c r="Y62" s="7">
        <v>2.62591721E8</v>
      </c>
      <c r="Z62" s="7" t="s">
        <v>1156</v>
      </c>
      <c r="AA62" s="7">
        <v>23.0</v>
      </c>
      <c r="AB62" s="7" t="s">
        <v>355</v>
      </c>
      <c r="AC62" s="7" t="s">
        <v>1170</v>
      </c>
      <c r="AD62" s="7" t="s">
        <v>1171</v>
      </c>
      <c r="AE62" s="7" t="s">
        <v>1172</v>
      </c>
      <c r="AF62" s="7" t="s">
        <v>1173</v>
      </c>
      <c r="AG62" s="7"/>
      <c r="AH62" s="20">
        <v>43739.0</v>
      </c>
      <c r="AI62" s="7"/>
      <c r="AJ62" s="7" t="s">
        <v>1160</v>
      </c>
      <c r="AK62" s="7"/>
      <c r="AL62" s="7" t="s">
        <v>1161</v>
      </c>
      <c r="AM62" s="7" t="s">
        <v>1162</v>
      </c>
      <c r="AN62" s="20">
        <v>43739.0</v>
      </c>
      <c r="AO62" s="7">
        <v>97418.0</v>
      </c>
      <c r="AP62" s="7" t="s">
        <v>362</v>
      </c>
      <c r="AQ62" s="7"/>
      <c r="AR62" s="7"/>
      <c r="AS62" s="7"/>
      <c r="AT62" s="7"/>
      <c r="AU62" s="7">
        <v>9.0</v>
      </c>
      <c r="AV62" s="7" t="s">
        <v>1163</v>
      </c>
      <c r="AW62" s="7"/>
      <c r="AX62" s="7"/>
      <c r="AY62" s="7"/>
      <c r="AZ62" s="7" t="s">
        <v>1174</v>
      </c>
      <c r="BA62" s="7"/>
      <c r="BB62" s="7"/>
      <c r="BC62" s="7" t="s">
        <v>401</v>
      </c>
      <c r="BD62" s="21">
        <v>44109.225</v>
      </c>
      <c r="BE62" s="7" t="s">
        <v>1175</v>
      </c>
      <c r="BF62" s="7"/>
      <c r="BG62" s="7"/>
      <c r="BH62" s="7"/>
      <c r="BI62" s="7" t="s">
        <v>1165</v>
      </c>
      <c r="BJ62" s="7"/>
      <c r="BK62" s="7" t="b">
        <v>0</v>
      </c>
      <c r="BL62" s="7" t="b">
        <v>0</v>
      </c>
      <c r="BM62" s="7"/>
      <c r="BN62" s="7" t="str">
        <f>IFERROR(__xludf.DUMMYFUNCTION(" IF( REGEXMATCH(C62 , ""[(].+[)]""),REGEXREPLACE( CONCATENATE(REGEXEXTRACT(C62 , ""[(].+[)]""),IF(REGEXMATCH(C62 , ""[(][Ll]['’][)]""),"""","" ""), REGEXEXTRACT(C62 ,""^(?:(?:[A-Za-zàäéèêîïöôûü0-9 ](?:[A-Za-zàäéèêîïöôûü'0-9 ]+)))"")) , ""[()]"", """"),C62"&amp;" )"),"L'Auberge du Volcan ")</f>
        <v>L'Auberge du Volcan </v>
      </c>
      <c r="BO62" s="25"/>
      <c r="BP62" s="7"/>
      <c r="BQ62" s="7"/>
      <c r="BR62" s="7"/>
      <c r="BS62" s="7"/>
      <c r="BT62" s="7"/>
      <c r="BU62" s="7"/>
      <c r="BV62" s="7"/>
      <c r="BW62" s="7"/>
      <c r="BX62" s="7"/>
      <c r="BY62" s="7"/>
      <c r="BZ62" s="7"/>
      <c r="CA62" s="7"/>
      <c r="CB62" s="7"/>
    </row>
    <row r="63" ht="21.75" customHeight="1">
      <c r="A63" s="7">
        <v>3825.0</v>
      </c>
      <c r="B63" s="7">
        <v>62.0</v>
      </c>
      <c r="C63" s="7" t="s">
        <v>1176</v>
      </c>
      <c r="D63" s="7"/>
      <c r="E63" s="7"/>
      <c r="F63" s="7" t="s">
        <v>342</v>
      </c>
      <c r="G63" s="7" t="s">
        <v>343</v>
      </c>
      <c r="H63" s="7" t="s">
        <v>344</v>
      </c>
      <c r="I63" s="7" t="s">
        <v>1177</v>
      </c>
      <c r="J63" s="7"/>
      <c r="K63" s="7" t="s">
        <v>34</v>
      </c>
      <c r="L63" s="7" t="s">
        <v>622</v>
      </c>
      <c r="M63" s="7" t="s">
        <v>1127</v>
      </c>
      <c r="N63" s="7" t="s">
        <v>1092</v>
      </c>
      <c r="O63" s="7">
        <v>97418.0</v>
      </c>
      <c r="P63" s="7" t="s">
        <v>348</v>
      </c>
      <c r="Q63" s="7" t="s">
        <v>349</v>
      </c>
      <c r="R63" s="7" t="s">
        <v>1178</v>
      </c>
      <c r="S63" s="7" t="s">
        <v>1179</v>
      </c>
      <c r="T63" s="7" t="s">
        <v>1155</v>
      </c>
      <c r="U63" s="7" t="s">
        <v>353</v>
      </c>
      <c r="V63" s="7">
        <v>2.62275008E8</v>
      </c>
      <c r="W63" s="7">
        <v>6.92009836E8</v>
      </c>
      <c r="X63" s="7"/>
      <c r="Y63" s="7">
        <v>2.62275378E8</v>
      </c>
      <c r="Z63" s="7" t="s">
        <v>1180</v>
      </c>
      <c r="AA63" s="7">
        <v>40.0</v>
      </c>
      <c r="AB63" s="7"/>
      <c r="AC63" s="7" t="s">
        <v>1181</v>
      </c>
      <c r="AD63" s="7" t="s">
        <v>1182</v>
      </c>
      <c r="AE63" s="7"/>
      <c r="AF63" s="7"/>
      <c r="AG63" s="7"/>
      <c r="AH63" s="20">
        <v>42135.0</v>
      </c>
      <c r="AI63" s="7"/>
      <c r="AJ63" s="7" t="s">
        <v>1183</v>
      </c>
      <c r="AK63" s="7">
        <v>3.117295600002E13</v>
      </c>
      <c r="AL63" s="7" t="s">
        <v>1184</v>
      </c>
      <c r="AM63" s="7" t="s">
        <v>1185</v>
      </c>
      <c r="AN63" s="20">
        <v>39575.0</v>
      </c>
      <c r="AO63" s="7">
        <v>97418.0</v>
      </c>
      <c r="AP63" s="7" t="s">
        <v>362</v>
      </c>
      <c r="AQ63" s="7"/>
      <c r="AR63" s="7"/>
      <c r="AS63" s="7"/>
      <c r="AT63" s="7"/>
      <c r="AU63" s="7">
        <v>0.0</v>
      </c>
      <c r="AV63" s="7" t="s">
        <v>1186</v>
      </c>
      <c r="AW63" s="7"/>
      <c r="AX63" s="7"/>
      <c r="AY63" s="7"/>
      <c r="AZ63" s="7"/>
      <c r="BA63" s="7"/>
      <c r="BB63" s="7"/>
      <c r="BC63" s="7" t="s">
        <v>366</v>
      </c>
      <c r="BD63" s="21">
        <v>44109.209027777775</v>
      </c>
      <c r="BE63" s="7"/>
      <c r="BF63" s="7"/>
      <c r="BG63" s="22">
        <v>44109.0</v>
      </c>
      <c r="BH63" s="7">
        <v>3.1172956E8</v>
      </c>
      <c r="BI63" s="7" t="s">
        <v>1187</v>
      </c>
      <c r="BJ63" s="7"/>
      <c r="BK63" s="7" t="b">
        <v>0</v>
      </c>
      <c r="BL63" s="7" t="b">
        <v>0</v>
      </c>
      <c r="BM63" s="7"/>
      <c r="BN63" s="7" t="str">
        <f>IFERROR(__xludf.DUMMYFUNCTION(" IF( REGEXMATCH(C63 , ""[(].+[)]""),REGEXREPLACE( CONCATENATE(REGEXEXTRACT(C63 , ""[(].+[)]""),IF(REGEXMATCH(C63 , ""[(][Ll]['’][)]""),"""","" ""), REGEXEXTRACT(C63 ,""^(?:(?:[A-Za-zàäéèêîïöôûü0-9 ](?:[A-Za-zàäéèêîïöôûü'0-9 ]+)))"")) , ""[()]"", """"),C63"&amp;" )"),"Auberge la Fermette")</f>
        <v>Auberge la Fermette</v>
      </c>
      <c r="BO63" s="23"/>
      <c r="BP63" s="7"/>
      <c r="BQ63" s="7"/>
      <c r="BR63" s="7"/>
      <c r="BS63" s="7"/>
      <c r="BT63" s="7"/>
      <c r="BU63" s="7"/>
      <c r="BV63" s="7"/>
      <c r="BW63" s="7"/>
      <c r="BX63" s="7"/>
      <c r="BY63" s="7"/>
      <c r="BZ63" s="7"/>
      <c r="CA63" s="7"/>
      <c r="CB63" s="7"/>
    </row>
    <row r="64" ht="21.75" customHeight="1">
      <c r="A64" s="7">
        <v>258.0</v>
      </c>
      <c r="B64" s="7" t="s">
        <v>1188</v>
      </c>
      <c r="C64" s="7" t="s">
        <v>1176</v>
      </c>
      <c r="D64" s="7" t="s">
        <v>1189</v>
      </c>
      <c r="E64" s="7"/>
      <c r="F64" s="7" t="s">
        <v>342</v>
      </c>
      <c r="G64" s="7" t="s">
        <v>343</v>
      </c>
      <c r="H64" s="7" t="s">
        <v>344</v>
      </c>
      <c r="I64" s="7" t="s">
        <v>1190</v>
      </c>
      <c r="J64" s="7"/>
      <c r="K64" s="7" t="s">
        <v>58</v>
      </c>
      <c r="L64" s="7" t="s">
        <v>1141</v>
      </c>
      <c r="M64" s="7" t="s">
        <v>1141</v>
      </c>
      <c r="N64" s="7" t="s">
        <v>1092</v>
      </c>
      <c r="O64" s="7">
        <v>97418.0</v>
      </c>
      <c r="P64" s="7" t="s">
        <v>348</v>
      </c>
      <c r="Q64" s="7" t="s">
        <v>349</v>
      </c>
      <c r="R64" s="7" t="s">
        <v>505</v>
      </c>
      <c r="S64" s="7" t="s">
        <v>1143</v>
      </c>
      <c r="T64" s="7" t="s">
        <v>1155</v>
      </c>
      <c r="U64" s="7" t="s">
        <v>353</v>
      </c>
      <c r="V64" s="7">
        <v>2.62275008E8</v>
      </c>
      <c r="W64" s="7">
        <v>6.92009836E8</v>
      </c>
      <c r="X64" s="7"/>
      <c r="Y64" s="7">
        <v>2.62275378E8</v>
      </c>
      <c r="Z64" s="7" t="s">
        <v>1180</v>
      </c>
      <c r="AA64" s="7">
        <v>23.0</v>
      </c>
      <c r="AB64" s="7"/>
      <c r="AC64" s="7" t="s">
        <v>1191</v>
      </c>
      <c r="AD64" s="7" t="s">
        <v>1192</v>
      </c>
      <c r="AE64" s="7"/>
      <c r="AF64" s="7"/>
      <c r="AG64" s="7"/>
      <c r="AH64" s="20">
        <v>39691.0</v>
      </c>
      <c r="AI64" s="7"/>
      <c r="AJ64" s="7" t="s">
        <v>1183</v>
      </c>
      <c r="AK64" s="7">
        <v>3.117295600002E13</v>
      </c>
      <c r="AL64" s="7" t="s">
        <v>1184</v>
      </c>
      <c r="AM64" s="7" t="s">
        <v>1185</v>
      </c>
      <c r="AN64" s="20">
        <v>39575.0</v>
      </c>
      <c r="AO64" s="7">
        <v>97418.0</v>
      </c>
      <c r="AP64" s="7" t="s">
        <v>362</v>
      </c>
      <c r="AQ64" s="7"/>
      <c r="AR64" s="7"/>
      <c r="AS64" s="7"/>
      <c r="AT64" s="7"/>
      <c r="AU64" s="7">
        <v>10.0</v>
      </c>
      <c r="AV64" s="7" t="s">
        <v>1186</v>
      </c>
      <c r="AW64" s="7"/>
      <c r="AX64" s="7"/>
      <c r="AY64" s="7"/>
      <c r="AZ64" s="7" t="s">
        <v>1193</v>
      </c>
      <c r="BA64" s="7"/>
      <c r="BB64" s="7"/>
      <c r="BC64" s="7" t="s">
        <v>401</v>
      </c>
      <c r="BD64" s="21">
        <v>44109.209027777775</v>
      </c>
      <c r="BE64" s="7" t="s">
        <v>1194</v>
      </c>
      <c r="BF64" s="7"/>
      <c r="BG64" s="7"/>
      <c r="BH64" s="7">
        <v>3.1172956E8</v>
      </c>
      <c r="BI64" s="7" t="s">
        <v>1187</v>
      </c>
      <c r="BJ64" s="7"/>
      <c r="BK64" s="7" t="b">
        <v>0</v>
      </c>
      <c r="BL64" s="7" t="b">
        <v>0</v>
      </c>
      <c r="BM64" s="7"/>
      <c r="BN64" s="7" t="str">
        <f>IFERROR(__xludf.DUMMYFUNCTION(" IF( REGEXMATCH(C64 , ""[(].+[)]""),REGEXREPLACE( CONCATENATE(REGEXEXTRACT(C64 , ""[(].+[)]""),IF(REGEXMATCH(C64 , ""[(][Ll]['’][)]""),"""","" ""), REGEXEXTRACT(C64 ,""^(?:(?:[A-Za-zàäéèêîïöôûü0-9 ](?:[A-Za-zàäéèêîïöôûü'0-9 ]+)))"")) , ""[()]"", """"),C64"&amp;" )"),"Auberge la Fermette")</f>
        <v>Auberge la Fermette</v>
      </c>
      <c r="BO64" s="25"/>
      <c r="BP64" s="7"/>
      <c r="BQ64" s="7"/>
      <c r="BR64" s="7"/>
      <c r="BS64" s="7"/>
      <c r="BT64" s="7"/>
      <c r="BU64" s="7"/>
      <c r="BV64" s="7"/>
      <c r="BW64" s="7"/>
      <c r="BX64" s="7"/>
      <c r="BY64" s="7"/>
      <c r="BZ64" s="7"/>
      <c r="CA64" s="7"/>
      <c r="CB64" s="7"/>
    </row>
    <row r="65" ht="21.75" customHeight="1">
      <c r="A65" s="7">
        <v>4380.0</v>
      </c>
      <c r="B65" s="7" t="s">
        <v>1195</v>
      </c>
      <c r="C65" s="7" t="s">
        <v>1196</v>
      </c>
      <c r="D65" s="7"/>
      <c r="E65" s="7"/>
      <c r="F65" s="7" t="s">
        <v>342</v>
      </c>
      <c r="G65" s="7" t="s">
        <v>343</v>
      </c>
      <c r="H65" s="7" t="s">
        <v>344</v>
      </c>
      <c r="I65" s="7" t="s">
        <v>1197</v>
      </c>
      <c r="J65" s="7"/>
      <c r="K65" s="7" t="s">
        <v>1198</v>
      </c>
      <c r="L65" s="7" t="s">
        <v>1199</v>
      </c>
      <c r="M65" s="7" t="s">
        <v>1200</v>
      </c>
      <c r="N65" s="7" t="s">
        <v>455</v>
      </c>
      <c r="O65" s="7">
        <v>97418.0</v>
      </c>
      <c r="P65" s="7" t="s">
        <v>348</v>
      </c>
      <c r="Q65" s="7" t="s">
        <v>349</v>
      </c>
      <c r="R65" s="7"/>
      <c r="S65" s="7"/>
      <c r="T65" s="7" t="s">
        <v>1201</v>
      </c>
      <c r="U65" s="7" t="s">
        <v>424</v>
      </c>
      <c r="V65" s="7"/>
      <c r="W65" s="7">
        <v>6.92445495E8</v>
      </c>
      <c r="X65" s="7"/>
      <c r="Y65" s="7"/>
      <c r="Z65" s="7" t="s">
        <v>1202</v>
      </c>
      <c r="AA65" s="7">
        <v>8.0</v>
      </c>
      <c r="AB65" s="7"/>
      <c r="AC65" s="7" t="s">
        <v>1203</v>
      </c>
      <c r="AD65" s="7" t="s">
        <v>1204</v>
      </c>
      <c r="AE65" s="7" t="s">
        <v>1205</v>
      </c>
      <c r="AF65" s="7"/>
      <c r="AG65" s="7"/>
      <c r="AH65" s="20">
        <v>42965.0</v>
      </c>
      <c r="AI65" s="7"/>
      <c r="AJ65" s="7" t="s">
        <v>1206</v>
      </c>
      <c r="AK65" s="7">
        <v>8.1490969300016E13</v>
      </c>
      <c r="AL65" s="7" t="s">
        <v>1207</v>
      </c>
      <c r="AM65" s="7" t="s">
        <v>1208</v>
      </c>
      <c r="AN65" s="20">
        <v>42965.0</v>
      </c>
      <c r="AO65" s="7">
        <v>97418.0</v>
      </c>
      <c r="AP65" s="7" t="s">
        <v>362</v>
      </c>
      <c r="AQ65" s="7"/>
      <c r="AR65" s="7"/>
      <c r="AS65" s="7"/>
      <c r="AT65" s="7"/>
      <c r="AU65" s="7">
        <v>0.0</v>
      </c>
      <c r="AV65" s="7" t="s">
        <v>1209</v>
      </c>
      <c r="AW65" s="7"/>
      <c r="AX65" s="7"/>
      <c r="AY65" s="7"/>
      <c r="AZ65" s="7"/>
      <c r="BA65" s="7"/>
      <c r="BB65" s="7"/>
      <c r="BC65" s="7" t="s">
        <v>401</v>
      </c>
      <c r="BD65" s="21">
        <v>44180.48819444444</v>
      </c>
      <c r="BE65" s="7" t="s">
        <v>1194</v>
      </c>
      <c r="BF65" s="7"/>
      <c r="BG65" s="7"/>
      <c r="BH65" s="7">
        <v>8.14909693E8</v>
      </c>
      <c r="BI65" s="7" t="s">
        <v>1210</v>
      </c>
      <c r="BJ65" s="7"/>
      <c r="BK65" s="7" t="b">
        <v>0</v>
      </c>
      <c r="BL65" s="7" t="b">
        <v>0</v>
      </c>
      <c r="BM65" s="7"/>
      <c r="BN65" s="7" t="str">
        <f>IFERROR(__xludf.DUMMYFUNCTION(" IF( REGEXMATCH(C65 , ""[(].+[)]""),REGEXREPLACE( CONCATENATE(REGEXEXTRACT(C65 , ""[(].+[)]""),IF(REGEXMATCH(C65 , ""[(][Ll]['’][)]""),"""","" ""), REGEXEXTRACT(C65 ,""^(?:(?:[A-Za-zàäéèêîïöôûü0-9 ](?:[A-Za-zàäéèêîïöôûü'0-9 ]+)))"")) , ""[()]"", """"),C65"&amp;" )"),"Austral Taxis Réunion")</f>
        <v>Austral Taxis Réunion</v>
      </c>
      <c r="BO65" s="25"/>
      <c r="BP65" s="7"/>
      <c r="BQ65" s="7"/>
      <c r="BR65" s="7"/>
      <c r="BS65" s="7"/>
      <c r="BT65" s="7"/>
      <c r="BU65" s="7"/>
      <c r="BV65" s="7"/>
      <c r="BW65" s="7"/>
      <c r="BX65" s="7"/>
      <c r="BY65" s="7"/>
      <c r="BZ65" s="7"/>
      <c r="CA65" s="7"/>
      <c r="CB65" s="7"/>
    </row>
    <row r="66" ht="21.75" customHeight="1">
      <c r="A66" s="7">
        <v>2087.0</v>
      </c>
      <c r="B66" s="7">
        <v>65.0</v>
      </c>
      <c r="C66" s="7" t="s">
        <v>1211</v>
      </c>
      <c r="D66" s="7"/>
      <c r="E66" s="7"/>
      <c r="F66" s="7" t="s">
        <v>404</v>
      </c>
      <c r="G66" s="7" t="s">
        <v>343</v>
      </c>
      <c r="H66" s="7" t="s">
        <v>40</v>
      </c>
      <c r="I66" s="7" t="s">
        <v>1212</v>
      </c>
      <c r="J66" s="7"/>
      <c r="K66" s="6" t="s">
        <v>469</v>
      </c>
      <c r="L66" s="7" t="s">
        <v>197</v>
      </c>
      <c r="M66" s="7" t="s">
        <v>559</v>
      </c>
      <c r="N66" s="7" t="s">
        <v>630</v>
      </c>
      <c r="O66" s="7">
        <v>97414.0</v>
      </c>
      <c r="P66" s="7" t="s">
        <v>40</v>
      </c>
      <c r="Q66" s="7"/>
      <c r="R66" s="7"/>
      <c r="S66" s="7"/>
      <c r="T66" s="7" t="s">
        <v>377</v>
      </c>
      <c r="U66" s="7" t="s">
        <v>378</v>
      </c>
      <c r="V66" s="7">
        <v>2.62885774E8</v>
      </c>
      <c r="W66" s="7">
        <v>6.92057381E8</v>
      </c>
      <c r="X66" s="7"/>
      <c r="Y66" s="7"/>
      <c r="Z66" s="7" t="s">
        <v>1213</v>
      </c>
      <c r="AA66" s="7"/>
      <c r="AB66" s="7"/>
      <c r="AC66" s="7"/>
      <c r="AD66" s="7" t="s">
        <v>1214</v>
      </c>
      <c r="AE66" s="7"/>
      <c r="AF66" s="7" t="s">
        <v>613</v>
      </c>
      <c r="AG66" s="7"/>
      <c r="AH66" s="20">
        <v>40094.0</v>
      </c>
      <c r="AI66" s="7"/>
      <c r="AJ66" s="7" t="s">
        <v>1211</v>
      </c>
      <c r="AK66" s="7"/>
      <c r="AL66" s="7" t="s">
        <v>1215</v>
      </c>
      <c r="AM66" s="7" t="s">
        <v>1216</v>
      </c>
      <c r="AN66" s="20">
        <v>43739.0</v>
      </c>
      <c r="AO66" s="7">
        <v>97414.0</v>
      </c>
      <c r="AP66" s="7" t="s">
        <v>429</v>
      </c>
      <c r="AQ66" s="7"/>
      <c r="AR66" s="7"/>
      <c r="AS66" s="7"/>
      <c r="AT66" s="7"/>
      <c r="AU66" s="7">
        <v>0.0</v>
      </c>
      <c r="AV66" s="7" t="s">
        <v>1217</v>
      </c>
      <c r="AW66" s="7"/>
      <c r="AX66" s="7"/>
      <c r="AY66" s="7"/>
      <c r="AZ66" s="7"/>
      <c r="BA66" s="7"/>
      <c r="BB66" s="7"/>
      <c r="BC66" s="7" t="s">
        <v>366</v>
      </c>
      <c r="BD66" s="21">
        <v>44059.46388888889</v>
      </c>
      <c r="BE66" s="7"/>
      <c r="BF66" s="7"/>
      <c r="BG66" s="22">
        <v>44059.0</v>
      </c>
      <c r="BH66" s="7"/>
      <c r="BI66" s="7" t="s">
        <v>1218</v>
      </c>
      <c r="BJ66" s="7"/>
      <c r="BK66" s="7" t="b">
        <v>0</v>
      </c>
      <c r="BL66" s="7" t="b">
        <v>0</v>
      </c>
      <c r="BM66" s="7"/>
      <c r="BN66" s="7" t="str">
        <f>IFERROR(__xludf.DUMMYFUNCTION(" IF( REGEXMATCH(C66 , ""[(].+[)]""),REGEXREPLACE( CONCATENATE(REGEXEXTRACT(C66 , ""[(].+[)]""),IF(REGEXMATCH(C66 , ""[(][Ll]['’][)]""),"""","" ""), REGEXEXTRACT(C66 ,""^(?:(?:[A-Za-zàäéèêîïöôûü0-9 ](?:[A-Za-zàäéèêîïöôûü'0-9 ]+)))"")) , ""[()]"", """"),C66"&amp;" )"),"Autour du Bois")</f>
        <v>Autour du Bois</v>
      </c>
      <c r="BO66" s="23"/>
      <c r="BP66" s="7"/>
      <c r="BQ66" s="7"/>
      <c r="BR66" s="7"/>
      <c r="BS66" s="7"/>
      <c r="BT66" s="7"/>
      <c r="BU66" s="7"/>
      <c r="BV66" s="7"/>
      <c r="BW66" s="7"/>
      <c r="BX66" s="7"/>
      <c r="BY66" s="7"/>
      <c r="BZ66" s="7"/>
      <c r="CA66" s="7"/>
      <c r="CB66" s="7"/>
    </row>
    <row r="67" ht="21.75" customHeight="1">
      <c r="A67" s="7">
        <v>1515.0</v>
      </c>
      <c r="B67" s="7">
        <v>66.0</v>
      </c>
      <c r="C67" s="7" t="s">
        <v>1219</v>
      </c>
      <c r="D67" s="7" t="s">
        <v>1219</v>
      </c>
      <c r="E67" s="7"/>
      <c r="F67" s="7" t="s">
        <v>342</v>
      </c>
      <c r="G67" s="7" t="s">
        <v>343</v>
      </c>
      <c r="H67" s="7" t="s">
        <v>344</v>
      </c>
      <c r="I67" s="7" t="s">
        <v>1220</v>
      </c>
      <c r="J67" s="7"/>
      <c r="K67" s="7" t="s">
        <v>58</v>
      </c>
      <c r="L67" s="7" t="s">
        <v>59</v>
      </c>
      <c r="M67" s="7" t="s">
        <v>346</v>
      </c>
      <c r="N67" s="7" t="s">
        <v>347</v>
      </c>
      <c r="O67" s="7">
        <v>97430.0</v>
      </c>
      <c r="P67" s="7" t="s">
        <v>344</v>
      </c>
      <c r="Q67" s="7"/>
      <c r="R67" s="7" t="s">
        <v>1221</v>
      </c>
      <c r="S67" s="7" t="s">
        <v>1222</v>
      </c>
      <c r="T67" s="7" t="s">
        <v>352</v>
      </c>
      <c r="U67" s="7" t="s">
        <v>353</v>
      </c>
      <c r="V67" s="7">
        <v>2.62576085E8</v>
      </c>
      <c r="W67" s="7">
        <v>6.92719443E8</v>
      </c>
      <c r="X67" s="7">
        <v>6.92169911E8</v>
      </c>
      <c r="Y67" s="7"/>
      <c r="Z67" s="7" t="s">
        <v>1223</v>
      </c>
      <c r="AA67" s="7">
        <v>4.0</v>
      </c>
      <c r="AB67" s="7" t="s">
        <v>355</v>
      </c>
      <c r="AC67" s="7" t="s">
        <v>1224</v>
      </c>
      <c r="AD67" s="7" t="s">
        <v>1225</v>
      </c>
      <c r="AE67" s="7" t="s">
        <v>1226</v>
      </c>
      <c r="AF67" s="7"/>
      <c r="AG67" s="7"/>
      <c r="AH67" s="20">
        <v>39882.0</v>
      </c>
      <c r="AI67" s="7"/>
      <c r="AJ67" s="7" t="s">
        <v>1227</v>
      </c>
      <c r="AK67" s="7"/>
      <c r="AL67" s="7" t="s">
        <v>1228</v>
      </c>
      <c r="AM67" s="7" t="s">
        <v>1229</v>
      </c>
      <c r="AN67" s="20">
        <v>43739.0</v>
      </c>
      <c r="AO67" s="7">
        <v>97430.0</v>
      </c>
      <c r="AP67" s="7" t="s">
        <v>494</v>
      </c>
      <c r="AQ67" s="7"/>
      <c r="AR67" s="7"/>
      <c r="AS67" s="7"/>
      <c r="AT67" s="7"/>
      <c r="AU67" s="7">
        <v>1.0</v>
      </c>
      <c r="AV67" s="7" t="s">
        <v>1230</v>
      </c>
      <c r="AW67" s="7"/>
      <c r="AX67" s="7"/>
      <c r="AY67" s="7"/>
      <c r="AZ67" s="7" t="s">
        <v>1231</v>
      </c>
      <c r="BA67" s="7"/>
      <c r="BB67" s="7"/>
      <c r="BC67" s="7" t="s">
        <v>366</v>
      </c>
      <c r="BD67" s="21">
        <v>44197.0</v>
      </c>
      <c r="BE67" s="7"/>
      <c r="BF67" s="7"/>
      <c r="BG67" s="22">
        <v>44197.0</v>
      </c>
      <c r="BH67" s="7"/>
      <c r="BI67" s="7" t="s">
        <v>1232</v>
      </c>
      <c r="BJ67" s="7"/>
      <c r="BK67" s="7" t="b">
        <v>0</v>
      </c>
      <c r="BL67" s="7" t="b">
        <v>0</v>
      </c>
      <c r="BM67" s="7"/>
      <c r="BN67" s="7" t="str">
        <f>IFERROR(__xludf.DUMMYFUNCTION(" IF( REGEXMATCH(C67 , ""[(].+[)]""),REGEXREPLACE( CONCATENATE(REGEXEXTRACT(C67 , ""[(].+[)]""),IF(REGEXMATCH(C67 , ""[(][Ll]['’][)]""),"""","" ""), REGEXEXTRACT(C67 ,""^(?:(?:[A-Za-zàäéèêîïöôûü0-9 ](?:[A-Za-zàäéèêîïöôûü'0-9 ]+)))"")) , ""[()]"", """"),C67"&amp;" )"),"Aux 3 Letchis")</f>
        <v>Aux 3 Letchis</v>
      </c>
      <c r="BO67" s="23"/>
      <c r="BP67" s="7"/>
      <c r="BQ67" s="7"/>
      <c r="BR67" s="7"/>
      <c r="BS67" s="7"/>
      <c r="BT67" s="7"/>
      <c r="BU67" s="7"/>
      <c r="BV67" s="7"/>
      <c r="BW67" s="7"/>
      <c r="BX67" s="7"/>
      <c r="BY67" s="7"/>
      <c r="BZ67" s="7"/>
      <c r="CA67" s="7"/>
      <c r="CB67" s="7"/>
    </row>
    <row r="68" ht="21.75" customHeight="1">
      <c r="A68" s="7">
        <v>3880.0</v>
      </c>
      <c r="B68" s="7" t="s">
        <v>1233</v>
      </c>
      <c r="C68" s="7" t="s">
        <v>1234</v>
      </c>
      <c r="D68" s="7"/>
      <c r="E68" s="7"/>
      <c r="F68" s="7" t="s">
        <v>404</v>
      </c>
      <c r="G68" s="7" t="s">
        <v>343</v>
      </c>
      <c r="H68" s="7" t="s">
        <v>344</v>
      </c>
      <c r="I68" s="7" t="s">
        <v>1235</v>
      </c>
      <c r="J68" s="7"/>
      <c r="K68" s="7" t="s">
        <v>58</v>
      </c>
      <c r="L68" s="7" t="s">
        <v>59</v>
      </c>
      <c r="M68" s="7" t="s">
        <v>545</v>
      </c>
      <c r="N68" s="7" t="s">
        <v>1092</v>
      </c>
      <c r="O68" s="7">
        <v>97418.0</v>
      </c>
      <c r="P68" s="7" t="s">
        <v>348</v>
      </c>
      <c r="Q68" s="7" t="s">
        <v>349</v>
      </c>
      <c r="R68" s="7" t="s">
        <v>1236</v>
      </c>
      <c r="S68" s="7" t="s">
        <v>1237</v>
      </c>
      <c r="T68" s="7" t="s">
        <v>377</v>
      </c>
      <c r="U68" s="7"/>
      <c r="V68" s="7">
        <v>2.62015131E8</v>
      </c>
      <c r="W68" s="7">
        <v>6.92047245E8</v>
      </c>
      <c r="X68" s="7"/>
      <c r="Y68" s="7"/>
      <c r="Z68" s="7" t="s">
        <v>1238</v>
      </c>
      <c r="AA68" s="7">
        <v>8.0</v>
      </c>
      <c r="AB68" s="7"/>
      <c r="AC68" s="7" t="s">
        <v>1239</v>
      </c>
      <c r="AD68" s="7" t="s">
        <v>1240</v>
      </c>
      <c r="AE68" s="7"/>
      <c r="AF68" s="7"/>
      <c r="AG68" s="7"/>
      <c r="AH68" s="20">
        <v>42165.0</v>
      </c>
      <c r="AI68" s="7"/>
      <c r="AJ68" s="7" t="s">
        <v>1241</v>
      </c>
      <c r="AK68" s="7">
        <v>4.4298844000024E13</v>
      </c>
      <c r="AL68" s="7" t="s">
        <v>1242</v>
      </c>
      <c r="AM68" s="7" t="s">
        <v>1243</v>
      </c>
      <c r="AN68" s="20">
        <v>40351.0</v>
      </c>
      <c r="AO68" s="7">
        <v>97430.0</v>
      </c>
      <c r="AP68" s="7" t="s">
        <v>494</v>
      </c>
      <c r="AQ68" s="7"/>
      <c r="AR68" s="7"/>
      <c r="AS68" s="7"/>
      <c r="AT68" s="7"/>
      <c r="AU68" s="7">
        <v>0.0</v>
      </c>
      <c r="AV68" s="7" t="s">
        <v>1244</v>
      </c>
      <c r="AW68" s="7"/>
      <c r="AX68" s="7"/>
      <c r="AY68" s="7"/>
      <c r="AZ68" s="7" t="s">
        <v>1245</v>
      </c>
      <c r="BA68" s="7"/>
      <c r="BB68" s="7"/>
      <c r="BC68" s="7" t="s">
        <v>401</v>
      </c>
      <c r="BD68" s="21">
        <v>44104.07708333333</v>
      </c>
      <c r="BE68" s="7" t="s">
        <v>1246</v>
      </c>
      <c r="BF68" s="7"/>
      <c r="BG68" s="7"/>
      <c r="BH68" s="7">
        <v>4.4298844E8</v>
      </c>
      <c r="BI68" s="7" t="s">
        <v>514</v>
      </c>
      <c r="BJ68" s="7"/>
      <c r="BK68" s="7" t="b">
        <v>0</v>
      </c>
      <c r="BL68" s="7" t="b">
        <v>0</v>
      </c>
      <c r="BM68" s="7"/>
      <c r="BN68" s="7" t="str">
        <f>IFERROR(__xludf.DUMMYFUNCTION(" IF( REGEXMATCH(C68 , ""[(].+[)]""),REGEXREPLACE( CONCATENATE(REGEXEXTRACT(C68 , ""[(].+[)]""),IF(REGEXMATCH(C68 , ""[(][Ll]['’][)]""),"""","" ""), REGEXEXTRACT(C68 ,""^(?:(?:[A-Za-zàäéèêîïöôûü0-9 ](?:[A-Za-zàäéèêîïöôûü'0-9 ]+)))"")) , ""[()]"", """"),C68"&amp;" )"),"Aux Crypto des Laves")</f>
        <v>Aux Crypto des Laves</v>
      </c>
      <c r="BO68" s="25"/>
      <c r="BP68" s="7"/>
      <c r="BQ68" s="7"/>
      <c r="BR68" s="7"/>
      <c r="BS68" s="7"/>
      <c r="BT68" s="7"/>
      <c r="BU68" s="7"/>
      <c r="BV68" s="7"/>
      <c r="BW68" s="7"/>
      <c r="BX68" s="7"/>
      <c r="BY68" s="7"/>
      <c r="BZ68" s="7"/>
      <c r="CA68" s="7"/>
      <c r="CB68" s="7"/>
    </row>
    <row r="69" ht="21.75" customHeight="1">
      <c r="A69" s="7">
        <v>2139.0</v>
      </c>
      <c r="B69" s="7" t="s">
        <v>1247</v>
      </c>
      <c r="C69" s="7" t="s">
        <v>1248</v>
      </c>
      <c r="D69" s="7" t="s">
        <v>1248</v>
      </c>
      <c r="E69" s="7"/>
      <c r="F69" s="7" t="s">
        <v>342</v>
      </c>
      <c r="G69" s="7" t="s">
        <v>343</v>
      </c>
      <c r="H69" s="7" t="s">
        <v>344</v>
      </c>
      <c r="I69" s="7" t="s">
        <v>1249</v>
      </c>
      <c r="J69" s="7"/>
      <c r="K69" s="7" t="s">
        <v>34</v>
      </c>
      <c r="L69" s="7" t="s">
        <v>622</v>
      </c>
      <c r="M69" s="7" t="s">
        <v>622</v>
      </c>
      <c r="N69" s="7" t="s">
        <v>375</v>
      </c>
      <c r="O69" s="7">
        <v>97430.0</v>
      </c>
      <c r="P69" s="7" t="s">
        <v>344</v>
      </c>
      <c r="Q69" s="7"/>
      <c r="R69" s="7"/>
      <c r="S69" s="7" t="s">
        <v>1250</v>
      </c>
      <c r="T69" s="7" t="s">
        <v>1251</v>
      </c>
      <c r="U69" s="7" t="s">
        <v>424</v>
      </c>
      <c r="V69" s="7">
        <v>2.62573431E8</v>
      </c>
      <c r="W69" s="7">
        <v>6.92633602E8</v>
      </c>
      <c r="X69" s="7"/>
      <c r="Y69" s="7"/>
      <c r="Z69" s="7" t="s">
        <v>1252</v>
      </c>
      <c r="AA69" s="7">
        <v>20.0</v>
      </c>
      <c r="AB69" s="7"/>
      <c r="AC69" s="7"/>
      <c r="AD69" s="7" t="s">
        <v>1253</v>
      </c>
      <c r="AE69" s="7"/>
      <c r="AF69" s="7"/>
      <c r="AG69" s="7"/>
      <c r="AH69" s="20">
        <v>43739.0</v>
      </c>
      <c r="AI69" s="7"/>
      <c r="AJ69" s="7" t="s">
        <v>1254</v>
      </c>
      <c r="AK69" s="7">
        <v>4.2062224300012E13</v>
      </c>
      <c r="AL69" s="7" t="s">
        <v>1255</v>
      </c>
      <c r="AM69" s="7" t="s">
        <v>1256</v>
      </c>
      <c r="AN69" s="20">
        <v>43739.0</v>
      </c>
      <c r="AO69" s="7">
        <v>97430.0</v>
      </c>
      <c r="AP69" s="7" t="s">
        <v>494</v>
      </c>
      <c r="AQ69" s="7"/>
      <c r="AR69" s="7"/>
      <c r="AS69" s="7"/>
      <c r="AT69" s="7"/>
      <c r="AU69" s="7">
        <v>0.0</v>
      </c>
      <c r="AV69" s="7" t="s">
        <v>1257</v>
      </c>
      <c r="AW69" s="7"/>
      <c r="AX69" s="7"/>
      <c r="AY69" s="7"/>
      <c r="AZ69" s="7"/>
      <c r="BA69" s="7"/>
      <c r="BB69" s="7"/>
      <c r="BC69" s="7" t="s">
        <v>401</v>
      </c>
      <c r="BD69" s="7"/>
      <c r="BE69" s="7" t="s">
        <v>1258</v>
      </c>
      <c r="BF69" s="7"/>
      <c r="BG69" s="7"/>
      <c r="BH69" s="7">
        <v>4.20622243E8</v>
      </c>
      <c r="BI69" s="7" t="s">
        <v>1259</v>
      </c>
      <c r="BJ69" s="7"/>
      <c r="BK69" s="7" t="b">
        <v>0</v>
      </c>
      <c r="BL69" s="7" t="b">
        <v>0</v>
      </c>
      <c r="BM69" s="7"/>
      <c r="BN69" s="7" t="str">
        <f>IFERROR(__xludf.DUMMYFUNCTION(" IF( REGEXMATCH(C69 , ""[(].+[)]""),REGEXREPLACE( CONCATENATE(REGEXEXTRACT(C69 , ""[(].+[)]""),IF(REGEXMATCH(C69 , ""[(][Ll]['’][)]""),"""","" ""), REGEXEXTRACT(C69 ,""^(?:(?:[A-Za-zàäéèêîïöôûü0-9 ](?:[A-Za-zàäéèêîïöôûü'0-9 ]+)))"")) , ""[()]"", """"),C69"&amp;" )"),"Aux Délices des Iles")</f>
        <v>Aux Délices des Iles</v>
      </c>
      <c r="BO69" s="25"/>
      <c r="BP69" s="7"/>
      <c r="BQ69" s="7"/>
      <c r="BR69" s="7"/>
      <c r="BS69" s="7"/>
      <c r="BT69" s="7"/>
      <c r="BU69" s="7"/>
      <c r="BV69" s="7"/>
      <c r="BW69" s="7"/>
      <c r="BX69" s="7"/>
      <c r="BY69" s="7"/>
      <c r="BZ69" s="7"/>
      <c r="CA69" s="7"/>
      <c r="CB69" s="7"/>
    </row>
    <row r="70" ht="21.75" customHeight="1">
      <c r="A70" s="7">
        <v>3361.0</v>
      </c>
      <c r="B70" s="7" t="s">
        <v>1260</v>
      </c>
      <c r="C70" s="7" t="s">
        <v>1261</v>
      </c>
      <c r="D70" s="7" t="s">
        <v>1261</v>
      </c>
      <c r="E70" s="7"/>
      <c r="F70" s="7" t="s">
        <v>342</v>
      </c>
      <c r="G70" s="7" t="s">
        <v>343</v>
      </c>
      <c r="H70" s="7" t="s">
        <v>344</v>
      </c>
      <c r="I70" s="7" t="s">
        <v>1262</v>
      </c>
      <c r="J70" s="7"/>
      <c r="K70" s="7" t="s">
        <v>58</v>
      </c>
      <c r="L70" s="7" t="s">
        <v>453</v>
      </c>
      <c r="M70" s="7" t="s">
        <v>454</v>
      </c>
      <c r="N70" s="7" t="s">
        <v>455</v>
      </c>
      <c r="O70" s="7">
        <v>97430.0</v>
      </c>
      <c r="P70" s="7" t="s">
        <v>344</v>
      </c>
      <c r="Q70" s="7"/>
      <c r="R70" s="7" t="s">
        <v>1263</v>
      </c>
      <c r="S70" s="7"/>
      <c r="T70" s="7" t="s">
        <v>377</v>
      </c>
      <c r="U70" s="7" t="s">
        <v>378</v>
      </c>
      <c r="V70" s="7">
        <v>2.6238418E8</v>
      </c>
      <c r="W70" s="7">
        <v>6.93465293E8</v>
      </c>
      <c r="X70" s="7"/>
      <c r="Y70" s="7"/>
      <c r="Z70" s="7" t="s">
        <v>1264</v>
      </c>
      <c r="AA70" s="7">
        <v>6.0</v>
      </c>
      <c r="AB70" s="7"/>
      <c r="AC70" s="7" t="s">
        <v>1265</v>
      </c>
      <c r="AD70" s="7" t="s">
        <v>1266</v>
      </c>
      <c r="AE70" s="7"/>
      <c r="AF70" s="7"/>
      <c r="AG70" s="7"/>
      <c r="AH70" s="20">
        <v>41397.0</v>
      </c>
      <c r="AI70" s="7"/>
      <c r="AJ70" s="7" t="s">
        <v>1267</v>
      </c>
      <c r="AK70" s="7">
        <v>8.217524660001E13</v>
      </c>
      <c r="AL70" s="7" t="s">
        <v>1268</v>
      </c>
      <c r="AM70" s="7" t="s">
        <v>1269</v>
      </c>
      <c r="AN70" s="20">
        <v>39575.0</v>
      </c>
      <c r="AO70" s="7">
        <v>97430.0</v>
      </c>
      <c r="AP70" s="7" t="s">
        <v>494</v>
      </c>
      <c r="AQ70" s="7"/>
      <c r="AR70" s="7"/>
      <c r="AS70" s="7"/>
      <c r="AT70" s="7"/>
      <c r="AU70" s="7">
        <v>3.0</v>
      </c>
      <c r="AV70" s="7" t="s">
        <v>1270</v>
      </c>
      <c r="AW70" s="7"/>
      <c r="AX70" s="7"/>
      <c r="AY70" s="7"/>
      <c r="AZ70" s="7" t="s">
        <v>1271</v>
      </c>
      <c r="BA70" s="7"/>
      <c r="BB70" s="7"/>
      <c r="BC70" s="7" t="s">
        <v>401</v>
      </c>
      <c r="BD70" s="7"/>
      <c r="BE70" s="7" t="s">
        <v>1272</v>
      </c>
      <c r="BF70" s="7"/>
      <c r="BG70" s="7"/>
      <c r="BH70" s="7">
        <v>8.21752466E8</v>
      </c>
      <c r="BI70" s="7" t="s">
        <v>1273</v>
      </c>
      <c r="BJ70" s="7"/>
      <c r="BK70" s="7" t="b">
        <v>0</v>
      </c>
      <c r="BL70" s="7" t="b">
        <v>0</v>
      </c>
      <c r="BM70" s="7"/>
      <c r="BN70" s="7" t="str">
        <f>IFERROR(__xludf.DUMMYFUNCTION(" IF( REGEXMATCH(C70 , ""[(].+[)]""),REGEXREPLACE( CONCATENATE(REGEXEXTRACT(C70 , ""[(].+[)]""),IF(REGEXMATCH(C70 , ""[(][Ll]['’][)]""),"""","" ""), REGEXEXTRACT(C70 ,""^(?:(?:[A-Za-zàäéèêîïöôûü0-9 ](?:[A-Za-zàäéèêîïöôûü'0-9 ]+)))"")) , ""[()]"", """"),C70"&amp;" )"),"Aux Deux Orangers")</f>
        <v>Aux Deux Orangers</v>
      </c>
      <c r="BO70" s="25"/>
      <c r="BP70" s="7"/>
      <c r="BQ70" s="7"/>
      <c r="BR70" s="7"/>
      <c r="BS70" s="7"/>
      <c r="BT70" s="7"/>
      <c r="BU70" s="7"/>
      <c r="BV70" s="7"/>
      <c r="BW70" s="7"/>
      <c r="BX70" s="7"/>
      <c r="BY70" s="7"/>
      <c r="BZ70" s="7"/>
      <c r="CA70" s="7"/>
      <c r="CB70" s="7"/>
    </row>
    <row r="71" ht="21.75" customHeight="1">
      <c r="A71" s="7">
        <v>2840.0</v>
      </c>
      <c r="B71" s="7" t="s">
        <v>1274</v>
      </c>
      <c r="C71" s="7" t="s">
        <v>1275</v>
      </c>
      <c r="D71" s="7"/>
      <c r="E71" s="7"/>
      <c r="F71" s="7" t="s">
        <v>342</v>
      </c>
      <c r="G71" s="7" t="s">
        <v>343</v>
      </c>
      <c r="H71" s="7" t="s">
        <v>123</v>
      </c>
      <c r="I71" s="7" t="s">
        <v>1276</v>
      </c>
      <c r="J71" s="26" t="s">
        <v>1277</v>
      </c>
      <c r="K71" s="7" t="s">
        <v>58</v>
      </c>
      <c r="L71" s="7" t="s">
        <v>453</v>
      </c>
      <c r="M71" s="7" t="s">
        <v>454</v>
      </c>
      <c r="N71" s="7" t="s">
        <v>455</v>
      </c>
      <c r="O71" s="7">
        <v>97480.0</v>
      </c>
      <c r="P71" s="7" t="s">
        <v>123</v>
      </c>
      <c r="Q71" s="7" t="s">
        <v>1278</v>
      </c>
      <c r="R71" s="7" t="s">
        <v>1279</v>
      </c>
      <c r="S71" s="7"/>
      <c r="T71" s="7" t="s">
        <v>377</v>
      </c>
      <c r="U71" s="7" t="s">
        <v>378</v>
      </c>
      <c r="V71" s="7">
        <v>2.62412833E8</v>
      </c>
      <c r="W71" s="7">
        <v>6.92443849E8</v>
      </c>
      <c r="X71" s="7"/>
      <c r="Y71" s="7"/>
      <c r="Z71" s="7" t="s">
        <v>1280</v>
      </c>
      <c r="AA71" s="7">
        <v>8.0</v>
      </c>
      <c r="AB71" s="7"/>
      <c r="AC71" s="7" t="s">
        <v>1281</v>
      </c>
      <c r="AD71" s="7" t="s">
        <v>1282</v>
      </c>
      <c r="AE71" s="7" t="s">
        <v>1283</v>
      </c>
      <c r="AF71" s="7"/>
      <c r="AG71" s="7"/>
      <c r="AH71" s="20">
        <v>43739.0</v>
      </c>
      <c r="AI71" s="7"/>
      <c r="AJ71" s="7" t="s">
        <v>1284</v>
      </c>
      <c r="AK71" s="7">
        <v>5.2929129600018E13</v>
      </c>
      <c r="AL71" s="7" t="s">
        <v>1285</v>
      </c>
      <c r="AM71" s="7" t="s">
        <v>1286</v>
      </c>
      <c r="AN71" s="20">
        <v>40604.0</v>
      </c>
      <c r="AO71" s="7">
        <v>97480.0</v>
      </c>
      <c r="AP71" s="7" t="s">
        <v>385</v>
      </c>
      <c r="AQ71" s="7"/>
      <c r="AR71" s="7"/>
      <c r="AS71" s="7"/>
      <c r="AT71" s="7"/>
      <c r="AU71" s="7">
        <v>3.0</v>
      </c>
      <c r="AV71" s="7" t="s">
        <v>1287</v>
      </c>
      <c r="AW71" s="7"/>
      <c r="AX71" s="7"/>
      <c r="AY71" s="7"/>
      <c r="AZ71" s="7" t="s">
        <v>1288</v>
      </c>
      <c r="BA71" s="7"/>
      <c r="BB71" s="7"/>
      <c r="BC71" s="7" t="s">
        <v>401</v>
      </c>
      <c r="BD71" s="21">
        <v>44204.12430555555</v>
      </c>
      <c r="BE71" s="7" t="s">
        <v>1289</v>
      </c>
      <c r="BF71" s="7"/>
      <c r="BG71" s="7"/>
      <c r="BH71" s="7">
        <v>5.29291296E8</v>
      </c>
      <c r="BI71" s="7" t="s">
        <v>1290</v>
      </c>
      <c r="BJ71" s="7"/>
      <c r="BK71" s="7" t="b">
        <v>0</v>
      </c>
      <c r="BL71" s="7" t="b">
        <v>0</v>
      </c>
      <c r="BM71" s="7"/>
      <c r="BN71" s="7" t="str">
        <f>IFERROR(__xludf.DUMMYFUNCTION(" IF( REGEXMATCH(C71 , ""[(].+[)]""),REGEXREPLACE( CONCATENATE(REGEXEXTRACT(C71 , ""[(].+[)]""),IF(REGEXMATCH(C71 , ""[(][Ll]['’][)]""),"""","" ""), REGEXEXTRACT(C71 ,""^(?:(?:[A-Za-zàäéèêîïöôûü0-9 ](?:[A-Za-zàäéèêîïöôûü'0-9 ]+)))"")) , ""[()]"", """"),C71"&amp;" )"),"Aux Saveurs des Grègues")</f>
        <v>Aux Saveurs des Grègues</v>
      </c>
      <c r="BO71" s="25"/>
      <c r="BP71" s="7"/>
      <c r="BQ71" s="7"/>
      <c r="BR71" s="7"/>
      <c r="BS71" s="7"/>
      <c r="BT71" s="7"/>
      <c r="BU71" s="7"/>
      <c r="BV71" s="7"/>
      <c r="BW71" s="7"/>
      <c r="BX71" s="7"/>
      <c r="BY71" s="7"/>
      <c r="BZ71" s="7"/>
      <c r="CA71" s="7"/>
      <c r="CB71" s="7"/>
    </row>
    <row r="72" ht="21.75" customHeight="1">
      <c r="A72" s="7">
        <v>3611.0</v>
      </c>
      <c r="B72" s="7" t="s">
        <v>1291</v>
      </c>
      <c r="C72" s="7" t="s">
        <v>1292</v>
      </c>
      <c r="D72" s="7" t="s">
        <v>1293</v>
      </c>
      <c r="E72" s="7"/>
      <c r="F72" s="7" t="s">
        <v>342</v>
      </c>
      <c r="G72" s="7" t="s">
        <v>343</v>
      </c>
      <c r="H72" s="7" t="s">
        <v>123</v>
      </c>
      <c r="I72" s="7" t="s">
        <v>1294</v>
      </c>
      <c r="J72" s="7"/>
      <c r="K72" s="6" t="s">
        <v>469</v>
      </c>
      <c r="L72" s="7" t="s">
        <v>470</v>
      </c>
      <c r="M72" s="7" t="s">
        <v>1295</v>
      </c>
      <c r="N72" s="7" t="s">
        <v>375</v>
      </c>
      <c r="O72" s="7">
        <v>97480.0</v>
      </c>
      <c r="P72" s="7" t="s">
        <v>123</v>
      </c>
      <c r="Q72" s="7" t="s">
        <v>1278</v>
      </c>
      <c r="R72" s="7"/>
      <c r="S72" s="7" t="s">
        <v>1296</v>
      </c>
      <c r="T72" s="7" t="s">
        <v>377</v>
      </c>
      <c r="U72" s="7" t="s">
        <v>353</v>
      </c>
      <c r="V72" s="7"/>
      <c r="W72" s="7">
        <v>6.92375314E8</v>
      </c>
      <c r="X72" s="7"/>
      <c r="Y72" s="7"/>
      <c r="Z72" s="7" t="s">
        <v>1297</v>
      </c>
      <c r="AA72" s="7"/>
      <c r="AB72" s="7"/>
      <c r="AC72" s="7" t="s">
        <v>1298</v>
      </c>
      <c r="AD72" s="7" t="s">
        <v>1299</v>
      </c>
      <c r="AE72" s="7" t="s">
        <v>1300</v>
      </c>
      <c r="AF72" s="7"/>
      <c r="AG72" s="7"/>
      <c r="AH72" s="20">
        <v>41793.0</v>
      </c>
      <c r="AI72" s="7"/>
      <c r="AJ72" s="7" t="s">
        <v>1301</v>
      </c>
      <c r="AK72" s="7">
        <v>5.3481764800023E13</v>
      </c>
      <c r="AL72" s="7" t="s">
        <v>1302</v>
      </c>
      <c r="AM72" s="7" t="s">
        <v>1303</v>
      </c>
      <c r="AN72" s="20">
        <v>41793.0</v>
      </c>
      <c r="AO72" s="7">
        <v>97480.0</v>
      </c>
      <c r="AP72" s="7" t="s">
        <v>385</v>
      </c>
      <c r="AQ72" s="7"/>
      <c r="AR72" s="7"/>
      <c r="AS72" s="7"/>
      <c r="AT72" s="7"/>
      <c r="AU72" s="7">
        <v>0.0</v>
      </c>
      <c r="AV72" s="7" t="s">
        <v>1304</v>
      </c>
      <c r="AW72" s="7"/>
      <c r="AX72" s="7"/>
      <c r="AY72" s="7"/>
      <c r="AZ72" s="7"/>
      <c r="BA72" s="7"/>
      <c r="BB72" s="7"/>
      <c r="BC72" s="7" t="s">
        <v>401</v>
      </c>
      <c r="BD72" s="21">
        <v>44216.0</v>
      </c>
      <c r="BE72" s="7" t="s">
        <v>1305</v>
      </c>
      <c r="BF72" s="7"/>
      <c r="BG72" s="7"/>
      <c r="BH72" s="7">
        <v>5.34817648E8</v>
      </c>
      <c r="BI72" s="7" t="s">
        <v>1306</v>
      </c>
      <c r="BJ72" s="7"/>
      <c r="BK72" s="7" t="b">
        <v>0</v>
      </c>
      <c r="BL72" s="7" t="b">
        <v>0</v>
      </c>
      <c r="BM72" s="7"/>
      <c r="BN72" s="7" t="str">
        <f>IFERROR(__xludf.DUMMYFUNCTION(" IF( REGEXMATCH(C72 , ""[(].+[)]""),REGEXREPLACE( CONCATENATE(REGEXEXTRACT(C72 , ""[(].+[)]""),IF(REGEXMATCH(C72 , ""[(][Ll]['’][)]""),"""","" ""), REGEXEXTRACT(C72 ,""^(?:(?:[A-Za-zàäéèêîïöôûü0-9 ](?:[A-Za-zàäéèêîïöôûü'0-9 ]+)))"")) , ""[()]"", """"),C72"&amp;" )"),"Spéléolave")</f>
        <v>Spéléolave</v>
      </c>
      <c r="BO72" s="25"/>
      <c r="BP72" s="7"/>
      <c r="BQ72" s="7"/>
      <c r="BR72" s="7"/>
      <c r="BS72" s="7"/>
      <c r="BT72" s="7"/>
      <c r="BU72" s="7"/>
      <c r="BV72" s="7"/>
      <c r="BW72" s="7"/>
      <c r="BX72" s="7"/>
      <c r="BY72" s="7"/>
      <c r="BZ72" s="7"/>
      <c r="CA72" s="7"/>
      <c r="CB72" s="7"/>
    </row>
    <row r="73" ht="21.75" customHeight="1">
      <c r="A73" s="7">
        <v>1925.0</v>
      </c>
      <c r="B73" s="7" t="s">
        <v>1307</v>
      </c>
      <c r="C73" s="7" t="s">
        <v>1308</v>
      </c>
      <c r="D73" s="7" t="s">
        <v>1308</v>
      </c>
      <c r="E73" s="7"/>
      <c r="F73" s="7" t="s">
        <v>342</v>
      </c>
      <c r="G73" s="7" t="s">
        <v>343</v>
      </c>
      <c r="H73" s="7" t="s">
        <v>40</v>
      </c>
      <c r="I73" s="7" t="s">
        <v>1309</v>
      </c>
      <c r="J73" s="7" t="s">
        <v>1310</v>
      </c>
      <c r="K73" s="6" t="s">
        <v>469</v>
      </c>
      <c r="L73" s="7" t="s">
        <v>197</v>
      </c>
      <c r="M73" s="7" t="s">
        <v>559</v>
      </c>
      <c r="N73" s="7" t="s">
        <v>407</v>
      </c>
      <c r="O73" s="7">
        <v>97414.0</v>
      </c>
      <c r="P73" s="7" t="s">
        <v>40</v>
      </c>
      <c r="Q73" s="7"/>
      <c r="R73" s="7"/>
      <c r="S73" s="7"/>
      <c r="T73" s="7" t="s">
        <v>377</v>
      </c>
      <c r="U73" s="7" t="s">
        <v>378</v>
      </c>
      <c r="V73" s="7"/>
      <c r="W73" s="7">
        <v>6.92097358E8</v>
      </c>
      <c r="X73" s="7"/>
      <c r="Y73" s="7"/>
      <c r="Z73" s="7" t="s">
        <v>1311</v>
      </c>
      <c r="AA73" s="7"/>
      <c r="AB73" s="7"/>
      <c r="AC73" s="7" t="s">
        <v>1312</v>
      </c>
      <c r="AD73" s="7" t="s">
        <v>1313</v>
      </c>
      <c r="AE73" s="7" t="s">
        <v>1314</v>
      </c>
      <c r="AF73" s="7"/>
      <c r="AG73" s="7"/>
      <c r="AH73" s="20">
        <v>43739.0</v>
      </c>
      <c r="AI73" s="7"/>
      <c r="AJ73" s="7" t="s">
        <v>1315</v>
      </c>
      <c r="AK73" s="7"/>
      <c r="AL73" s="7" t="s">
        <v>1316</v>
      </c>
      <c r="AM73" s="7" t="s">
        <v>1317</v>
      </c>
      <c r="AN73" s="20">
        <v>43739.0</v>
      </c>
      <c r="AO73" s="7">
        <v>97430.0</v>
      </c>
      <c r="AP73" s="7" t="s">
        <v>494</v>
      </c>
      <c r="AQ73" s="7"/>
      <c r="AR73" s="7"/>
      <c r="AS73" s="7"/>
      <c r="AT73" s="7"/>
      <c r="AU73" s="7">
        <v>0.0</v>
      </c>
      <c r="AV73" s="7" t="s">
        <v>1318</v>
      </c>
      <c r="AW73" s="7"/>
      <c r="AX73" s="7"/>
      <c r="AY73" s="7"/>
      <c r="AZ73" s="7"/>
      <c r="BA73" s="7"/>
      <c r="BB73" s="7"/>
      <c r="BC73" s="7" t="s">
        <v>401</v>
      </c>
      <c r="BD73" s="21">
        <v>44078.0</v>
      </c>
      <c r="BE73" s="7" t="s">
        <v>704</v>
      </c>
      <c r="BF73" s="7"/>
      <c r="BG73" s="7"/>
      <c r="BH73" s="7"/>
      <c r="BI73" s="7" t="s">
        <v>1319</v>
      </c>
      <c r="BJ73" s="7"/>
      <c r="BK73" s="7" t="b">
        <v>0</v>
      </c>
      <c r="BL73" s="7" t="b">
        <v>0</v>
      </c>
      <c r="BM73" s="7"/>
      <c r="BN73" s="7" t="str">
        <f>IFERROR(__xludf.DUMMYFUNCTION(" IF( REGEXMATCH(C73 , ""[(].+[)]""),REGEXREPLACE( CONCATENATE(REGEXEXTRACT(C73 , ""[(].+[)]""),IF(REGEXMATCH(C73 , ""[(][Ll]['’][)]""),"""","" ""), REGEXEXTRACT(C73 ,""^(?:(?:[A-Za-zàäéèêîïöôûü0-9 ](?:[A-Za-zàäéèêîïöôûü'0-9 ]+)))"")) , ""[()]"", """"),C73"&amp;" )"),"Babouk Kréation")</f>
        <v>Babouk Kréation</v>
      </c>
      <c r="BO73" s="25"/>
      <c r="BP73" s="7"/>
      <c r="BQ73" s="7"/>
      <c r="BR73" s="7"/>
      <c r="BS73" s="7"/>
      <c r="BT73" s="7"/>
      <c r="BU73" s="7"/>
      <c r="BV73" s="7"/>
      <c r="BW73" s="7"/>
      <c r="BX73" s="7"/>
      <c r="BY73" s="7"/>
      <c r="BZ73" s="7"/>
      <c r="CA73" s="7"/>
      <c r="CB73" s="7"/>
    </row>
    <row r="74" ht="21.75" customHeight="1">
      <c r="A74" s="7">
        <v>962.0</v>
      </c>
      <c r="B74" s="7">
        <v>73.0</v>
      </c>
      <c r="C74" s="7" t="s">
        <v>1320</v>
      </c>
      <c r="D74" s="7" t="s">
        <v>1320</v>
      </c>
      <c r="E74" s="7"/>
      <c r="F74" s="7" t="s">
        <v>404</v>
      </c>
      <c r="G74" s="7" t="s">
        <v>343</v>
      </c>
      <c r="H74" s="7" t="s">
        <v>40</v>
      </c>
      <c r="I74" s="7" t="s">
        <v>1321</v>
      </c>
      <c r="J74" s="7"/>
      <c r="K74" s="7" t="s">
        <v>34</v>
      </c>
      <c r="L74" s="7" t="s">
        <v>622</v>
      </c>
      <c r="M74" s="7" t="s">
        <v>622</v>
      </c>
      <c r="N74" s="7" t="s">
        <v>407</v>
      </c>
      <c r="O74" s="7">
        <v>97414.0</v>
      </c>
      <c r="P74" s="7" t="s">
        <v>40</v>
      </c>
      <c r="Q74" s="7"/>
      <c r="R74" s="7" t="s">
        <v>1322</v>
      </c>
      <c r="S74" s="7" t="s">
        <v>1323</v>
      </c>
      <c r="T74" s="7" t="s">
        <v>377</v>
      </c>
      <c r="U74" s="7" t="s">
        <v>353</v>
      </c>
      <c r="V74" s="7"/>
      <c r="W74" s="7">
        <v>6.9210888E8</v>
      </c>
      <c r="X74" s="7"/>
      <c r="Y74" s="7"/>
      <c r="Z74" s="7"/>
      <c r="AA74" s="7">
        <v>240.0</v>
      </c>
      <c r="AB74" s="7"/>
      <c r="AC74" s="7"/>
      <c r="AD74" s="7" t="s">
        <v>1324</v>
      </c>
      <c r="AE74" s="7" t="s">
        <v>1325</v>
      </c>
      <c r="AF74" s="7"/>
      <c r="AG74" s="7"/>
      <c r="AH74" s="20">
        <v>39575.0</v>
      </c>
      <c r="AI74" s="7"/>
      <c r="AJ74" s="7" t="s">
        <v>1320</v>
      </c>
      <c r="AK74" s="7">
        <v>4.9962669500013E13</v>
      </c>
      <c r="AL74" s="7" t="s">
        <v>1326</v>
      </c>
      <c r="AM74" s="7" t="s">
        <v>1327</v>
      </c>
      <c r="AN74" s="20">
        <v>39575.0</v>
      </c>
      <c r="AO74" s="7">
        <v>97414.0</v>
      </c>
      <c r="AP74" s="7" t="s">
        <v>429</v>
      </c>
      <c r="AQ74" s="7"/>
      <c r="AR74" s="7"/>
      <c r="AS74" s="7"/>
      <c r="AT74" s="7"/>
      <c r="AU74" s="7">
        <v>0.0</v>
      </c>
      <c r="AV74" s="7" t="s">
        <v>1328</v>
      </c>
      <c r="AW74" s="7"/>
      <c r="AX74" s="7"/>
      <c r="AY74" s="7"/>
      <c r="AZ74" s="7"/>
      <c r="BA74" s="7"/>
      <c r="BB74" s="7"/>
      <c r="BC74" s="7" t="s">
        <v>366</v>
      </c>
      <c r="BD74" s="21">
        <v>44060.52638888889</v>
      </c>
      <c r="BE74" s="7"/>
      <c r="BF74" s="7"/>
      <c r="BG74" s="22">
        <v>44060.0</v>
      </c>
      <c r="BH74" s="7">
        <v>4.99626695E8</v>
      </c>
      <c r="BI74" s="7" t="s">
        <v>1329</v>
      </c>
      <c r="BJ74" s="7"/>
      <c r="BK74" s="7" t="b">
        <v>0</v>
      </c>
      <c r="BL74" s="7" t="b">
        <v>0</v>
      </c>
      <c r="BM74" s="7"/>
      <c r="BN74" s="7" t="str">
        <f>IFERROR(__xludf.DUMMYFUNCTION(" IF( REGEXMATCH(C74 , ""[(].+[)]""),REGEXREPLACE( CONCATENATE(REGEXEXTRACT(C74 , ""[(].+[)]""),IF(REGEXMATCH(C74 , ""[(][Ll]['’][)]""),"""","" ""), REGEXEXTRACT(C74 ,""^(?:(?:[A-Za-zàäéèêîïöôûü0-9 ](?:[A-Za-zàäéèêîïöôûü'0-9 ]+)))"")) , ""[()]"", """"),C74"&amp;" )"),"Le Bambino ")</f>
        <v>Le Bambino </v>
      </c>
      <c r="BO74" s="23"/>
      <c r="BP74" s="7"/>
      <c r="BQ74" s="7"/>
      <c r="BR74" s="7"/>
      <c r="BS74" s="7"/>
      <c r="BT74" s="7"/>
      <c r="BU74" s="7"/>
      <c r="BV74" s="7"/>
      <c r="BW74" s="7"/>
      <c r="BX74" s="7"/>
      <c r="BY74" s="7"/>
      <c r="BZ74" s="7"/>
      <c r="CA74" s="7"/>
      <c r="CB74" s="7"/>
    </row>
    <row r="75" ht="21.75" customHeight="1">
      <c r="A75" s="7">
        <v>870.0</v>
      </c>
      <c r="B75" s="7">
        <v>74.0</v>
      </c>
      <c r="C75" s="7" t="s">
        <v>1330</v>
      </c>
      <c r="D75" s="7" t="s">
        <v>1331</v>
      </c>
      <c r="E75" s="7"/>
      <c r="F75" s="7" t="s">
        <v>404</v>
      </c>
      <c r="G75" s="7" t="s">
        <v>343</v>
      </c>
      <c r="H75" s="7" t="s">
        <v>344</v>
      </c>
      <c r="I75" s="7" t="s">
        <v>1332</v>
      </c>
      <c r="J75" s="7"/>
      <c r="K75" s="7" t="s">
        <v>58</v>
      </c>
      <c r="L75" s="7" t="s">
        <v>59</v>
      </c>
      <c r="M75" s="7" t="s">
        <v>374</v>
      </c>
      <c r="N75" s="7" t="s">
        <v>407</v>
      </c>
      <c r="O75" s="7">
        <v>97430.0</v>
      </c>
      <c r="P75" s="7" t="s">
        <v>344</v>
      </c>
      <c r="Q75" s="7"/>
      <c r="R75" s="7" t="s">
        <v>1333</v>
      </c>
      <c r="S75" s="7" t="s">
        <v>1334</v>
      </c>
      <c r="T75" s="7" t="s">
        <v>1335</v>
      </c>
      <c r="U75" s="7" t="s">
        <v>353</v>
      </c>
      <c r="V75" s="7">
        <v>2.6259948E8</v>
      </c>
      <c r="W75" s="7">
        <v>6.92786158E8</v>
      </c>
      <c r="X75" s="7"/>
      <c r="Y75" s="7"/>
      <c r="Z75" s="7" t="s">
        <v>1336</v>
      </c>
      <c r="AA75" s="7">
        <v>6.0</v>
      </c>
      <c r="AB75" s="7"/>
      <c r="AC75" s="7"/>
      <c r="AD75" s="7" t="s">
        <v>1337</v>
      </c>
      <c r="AE75" s="7" t="s">
        <v>1338</v>
      </c>
      <c r="AF75" s="7"/>
      <c r="AG75" s="7"/>
      <c r="AH75" s="20">
        <v>39575.0</v>
      </c>
      <c r="AI75" s="7"/>
      <c r="AJ75" s="7" t="s">
        <v>1339</v>
      </c>
      <c r="AK75" s="7"/>
      <c r="AL75" s="7" t="s">
        <v>1340</v>
      </c>
      <c r="AM75" s="7" t="s">
        <v>1341</v>
      </c>
      <c r="AN75" s="20">
        <v>39575.0</v>
      </c>
      <c r="AO75" s="7">
        <v>97430.0</v>
      </c>
      <c r="AP75" s="7" t="s">
        <v>494</v>
      </c>
      <c r="AQ75" s="7"/>
      <c r="AR75" s="7"/>
      <c r="AS75" s="7"/>
      <c r="AT75" s="7"/>
      <c r="AU75" s="7">
        <v>1.0</v>
      </c>
      <c r="AV75" s="7" t="s">
        <v>1342</v>
      </c>
      <c r="AW75" s="7"/>
      <c r="AX75" s="7"/>
      <c r="AY75" s="7"/>
      <c r="AZ75" s="7"/>
      <c r="BA75" s="7"/>
      <c r="BB75" s="7"/>
      <c r="BC75" s="7" t="s">
        <v>366</v>
      </c>
      <c r="BD75" s="21">
        <v>44119.0</v>
      </c>
      <c r="BE75" s="7"/>
      <c r="BF75" s="7"/>
      <c r="BG75" s="22">
        <v>44119.0</v>
      </c>
      <c r="BH75" s="7"/>
      <c r="BI75" s="7" t="s">
        <v>1343</v>
      </c>
      <c r="BJ75" s="7"/>
      <c r="BK75" s="7" t="b">
        <v>0</v>
      </c>
      <c r="BL75" s="7" t="b">
        <v>0</v>
      </c>
      <c r="BM75" s="7"/>
      <c r="BN75" s="7" t="str">
        <f>IFERROR(__xludf.DUMMYFUNCTION(" IF( REGEXMATCH(C75 , ""[(].+[)]""),REGEXREPLACE( CONCATENATE(REGEXEXTRACT(C75 , ""[(].+[)]""),IF(REGEXMATCH(C75 , ""[(][Ll]['’][)]""),"""","" ""), REGEXEXTRACT(C75 ,""^(?:(?:[A-Za-zàäéèêîïöôûü0-9 ](?:[A-Za-zàäéèêîïöôûü'0-9 ]+)))"")) , ""[()]"", """"),C75"&amp;" )"),"Les Bambous ")</f>
        <v>Les Bambous </v>
      </c>
      <c r="BO75" s="23"/>
      <c r="BP75" s="7"/>
      <c r="BQ75" s="7"/>
      <c r="BR75" s="7"/>
      <c r="BS75" s="7"/>
      <c r="BT75" s="7"/>
      <c r="BU75" s="7"/>
      <c r="BV75" s="7"/>
      <c r="BW75" s="7"/>
      <c r="BX75" s="7"/>
      <c r="BY75" s="7"/>
      <c r="BZ75" s="7"/>
      <c r="CA75" s="7"/>
      <c r="CB75" s="7"/>
    </row>
    <row r="76" ht="21.75" customHeight="1">
      <c r="A76" s="7">
        <v>1983.0</v>
      </c>
      <c r="B76" s="7" t="s">
        <v>1344</v>
      </c>
      <c r="C76" s="7" t="s">
        <v>1345</v>
      </c>
      <c r="D76" s="7" t="s">
        <v>1345</v>
      </c>
      <c r="E76" s="7"/>
      <c r="F76" s="7" t="s">
        <v>342</v>
      </c>
      <c r="G76" s="7" t="s">
        <v>343</v>
      </c>
      <c r="H76" s="7" t="s">
        <v>344</v>
      </c>
      <c r="I76" s="7" t="s">
        <v>1346</v>
      </c>
      <c r="J76" s="7"/>
      <c r="K76" s="7" t="s">
        <v>34</v>
      </c>
      <c r="L76" s="7" t="s">
        <v>622</v>
      </c>
      <c r="M76" s="7" t="s">
        <v>1347</v>
      </c>
      <c r="N76" s="7" t="s">
        <v>664</v>
      </c>
      <c r="O76" s="7">
        <v>97430.0</v>
      </c>
      <c r="P76" s="7" t="s">
        <v>344</v>
      </c>
      <c r="Q76" s="7"/>
      <c r="R76" s="7" t="s">
        <v>801</v>
      </c>
      <c r="S76" s="7" t="s">
        <v>1348</v>
      </c>
      <c r="T76" s="7" t="s">
        <v>377</v>
      </c>
      <c r="U76" s="7" t="s">
        <v>353</v>
      </c>
      <c r="V76" s="7">
        <v>2.62279657E8</v>
      </c>
      <c r="W76" s="7"/>
      <c r="X76" s="7"/>
      <c r="Y76" s="7"/>
      <c r="Z76" s="7"/>
      <c r="AA76" s="7">
        <v>30.0</v>
      </c>
      <c r="AB76" s="7"/>
      <c r="AC76" s="7"/>
      <c r="AD76" s="7" t="s">
        <v>1349</v>
      </c>
      <c r="AE76" s="7" t="s">
        <v>1350</v>
      </c>
      <c r="AF76" s="7"/>
      <c r="AG76" s="7"/>
      <c r="AH76" s="20">
        <v>43739.0</v>
      </c>
      <c r="AI76" s="7"/>
      <c r="AJ76" s="7" t="s">
        <v>1351</v>
      </c>
      <c r="AK76" s="7"/>
      <c r="AL76" s="7" t="s">
        <v>1352</v>
      </c>
      <c r="AM76" s="7" t="s">
        <v>1353</v>
      </c>
      <c r="AN76" s="20">
        <v>43739.0</v>
      </c>
      <c r="AO76" s="7">
        <v>97430.0</v>
      </c>
      <c r="AP76" s="7" t="s">
        <v>494</v>
      </c>
      <c r="AQ76" s="7"/>
      <c r="AR76" s="7"/>
      <c r="AS76" s="7"/>
      <c r="AT76" s="7"/>
      <c r="AU76" s="7">
        <v>0.0</v>
      </c>
      <c r="AV76" s="7" t="s">
        <v>1354</v>
      </c>
      <c r="AW76" s="7"/>
      <c r="AX76" s="7"/>
      <c r="AY76" s="7"/>
      <c r="AZ76" s="7"/>
      <c r="BA76" s="7"/>
      <c r="BB76" s="7"/>
      <c r="BC76" s="7" t="s">
        <v>401</v>
      </c>
      <c r="BD76" s="7"/>
      <c r="BE76" s="7" t="s">
        <v>1355</v>
      </c>
      <c r="BF76" s="7"/>
      <c r="BG76" s="7"/>
      <c r="BH76" s="7"/>
      <c r="BI76" s="7" t="s">
        <v>1356</v>
      </c>
      <c r="BJ76" s="7"/>
      <c r="BK76" s="7" t="b">
        <v>0</v>
      </c>
      <c r="BL76" s="7" t="b">
        <v>0</v>
      </c>
      <c r="BM76" s="7"/>
      <c r="BN76" s="7" t="str">
        <f>IFERROR(__xludf.DUMMYFUNCTION(" IF( REGEXMATCH(C76 , ""[(].+[)]""),REGEXREPLACE( CONCATENATE(REGEXEXTRACT(C76 , ""[(].+[)]""),IF(REGEXMATCH(C76 , ""[(][Ll]['’][)]""),"""","" ""), REGEXEXTRACT(C76 ,""^(?:(?:[A-Za-zàäéèêîïöôûü0-9 ](?:[A-Za-zàäéèêîïöôûü'0-9 ]+)))"")) , ""[()]"", """"),C76"&amp;" )"),"Bar A 4")</f>
        <v>Bar A 4</v>
      </c>
      <c r="BO76" s="25"/>
      <c r="BP76" s="7"/>
      <c r="BQ76" s="7"/>
      <c r="BR76" s="7"/>
      <c r="BS76" s="7"/>
      <c r="BT76" s="7"/>
      <c r="BU76" s="7"/>
      <c r="BV76" s="7"/>
      <c r="BW76" s="7"/>
      <c r="BX76" s="7"/>
      <c r="BY76" s="7"/>
      <c r="BZ76" s="7"/>
      <c r="CA76" s="7"/>
      <c r="CB76" s="7"/>
    </row>
    <row r="77" ht="21.75" customHeight="1">
      <c r="A77" s="7">
        <v>3011.0</v>
      </c>
      <c r="B77" s="7">
        <v>76.0</v>
      </c>
      <c r="C77" s="7" t="s">
        <v>1357</v>
      </c>
      <c r="D77" s="7"/>
      <c r="E77" s="7"/>
      <c r="F77" s="7" t="s">
        <v>404</v>
      </c>
      <c r="G77" s="7" t="s">
        <v>343</v>
      </c>
      <c r="H77" s="7" t="s">
        <v>344</v>
      </c>
      <c r="I77" s="7" t="s">
        <v>1358</v>
      </c>
      <c r="J77" s="7"/>
      <c r="K77" s="6" t="s">
        <v>1359</v>
      </c>
      <c r="L77" s="7" t="s">
        <v>1360</v>
      </c>
      <c r="M77" s="7" t="s">
        <v>1361</v>
      </c>
      <c r="N77" s="7"/>
      <c r="O77" s="7">
        <v>97430.0</v>
      </c>
      <c r="P77" s="7" t="s">
        <v>344</v>
      </c>
      <c r="Q77" s="7"/>
      <c r="R77" s="7" t="s">
        <v>801</v>
      </c>
      <c r="S77" s="7"/>
      <c r="T77" s="7" t="s">
        <v>974</v>
      </c>
      <c r="U77" s="7" t="s">
        <v>378</v>
      </c>
      <c r="V77" s="7">
        <v>2.62270098E8</v>
      </c>
      <c r="W77" s="7"/>
      <c r="X77" s="7"/>
      <c r="Y77" s="7"/>
      <c r="Z77" s="7"/>
      <c r="AA77" s="7">
        <v>80.0</v>
      </c>
      <c r="AB77" s="7"/>
      <c r="AC77" s="7"/>
      <c r="AD77" s="7" t="s">
        <v>1362</v>
      </c>
      <c r="AE77" s="7" t="s">
        <v>1363</v>
      </c>
      <c r="AF77" s="7"/>
      <c r="AG77" s="7"/>
      <c r="AH77" s="20">
        <v>43739.0</v>
      </c>
      <c r="AI77" s="7"/>
      <c r="AJ77" s="7" t="s">
        <v>1357</v>
      </c>
      <c r="AK77" s="7"/>
      <c r="AL77" s="7" t="s">
        <v>1364</v>
      </c>
      <c r="AM77" s="7" t="s">
        <v>1365</v>
      </c>
      <c r="AN77" s="20">
        <v>43739.0</v>
      </c>
      <c r="AO77" s="7">
        <v>97430.0</v>
      </c>
      <c r="AP77" s="7" t="s">
        <v>494</v>
      </c>
      <c r="AQ77" s="7"/>
      <c r="AR77" s="7"/>
      <c r="AS77" s="7"/>
      <c r="AT77" s="7"/>
      <c r="AU77" s="7">
        <v>0.0</v>
      </c>
      <c r="AV77" s="7" t="s">
        <v>1366</v>
      </c>
      <c r="AW77" s="7"/>
      <c r="AX77" s="7"/>
      <c r="AY77" s="7"/>
      <c r="AZ77" s="7"/>
      <c r="BA77" s="7"/>
      <c r="BB77" s="7"/>
      <c r="BC77" s="7" t="s">
        <v>366</v>
      </c>
      <c r="BD77" s="21">
        <v>44197.0</v>
      </c>
      <c r="BE77" s="7"/>
      <c r="BF77" s="7"/>
      <c r="BG77" s="22">
        <v>44197.0</v>
      </c>
      <c r="BH77" s="7"/>
      <c r="BI77" s="7" t="s">
        <v>1367</v>
      </c>
      <c r="BJ77" s="7"/>
      <c r="BK77" s="7" t="b">
        <v>0</v>
      </c>
      <c r="BL77" s="7" t="b">
        <v>0</v>
      </c>
      <c r="BM77" s="7"/>
      <c r="BN77" s="7" t="str">
        <f>IFERROR(__xludf.DUMMYFUNCTION(" IF( REGEXMATCH(C77 , ""[(].+[)]""),REGEXREPLACE( CONCATENATE(REGEXEXTRACT(C77 , ""[(].+[)]""),IF(REGEXMATCH(C77 , ""[(][Ll]['’][)]""),"""","" ""), REGEXEXTRACT(C77 ,""^(?:(?:[A-Za-zàäéèêîïöôûü0-9 ](?:[A-Za-zàäéèêîïöôûü'0-9 ]+)))"")) , ""[()]"", """"),C77"&amp;" )"),"Bar le 3615 El Pesciofi")</f>
        <v>Bar le 3615 El Pesciofi</v>
      </c>
      <c r="BO77" s="23"/>
      <c r="BP77" s="7"/>
      <c r="BQ77" s="7"/>
      <c r="BR77" s="7"/>
      <c r="BS77" s="7"/>
      <c r="BT77" s="7"/>
      <c r="BU77" s="7"/>
      <c r="BV77" s="7"/>
      <c r="BW77" s="7"/>
      <c r="BX77" s="7"/>
      <c r="BY77" s="7"/>
      <c r="BZ77" s="7"/>
      <c r="CA77" s="7"/>
      <c r="CB77" s="7"/>
    </row>
    <row r="78" ht="21.75" customHeight="1">
      <c r="A78" s="7">
        <v>2255.0</v>
      </c>
      <c r="B78" s="7">
        <v>77.0</v>
      </c>
      <c r="C78" s="7" t="s">
        <v>1368</v>
      </c>
      <c r="D78" s="7"/>
      <c r="E78" s="7"/>
      <c r="F78" s="7" t="s">
        <v>404</v>
      </c>
      <c r="G78" s="7" t="s">
        <v>343</v>
      </c>
      <c r="H78" s="7" t="s">
        <v>40</v>
      </c>
      <c r="I78" s="7" t="s">
        <v>1369</v>
      </c>
      <c r="J78" s="7"/>
      <c r="K78" s="7" t="s">
        <v>34</v>
      </c>
      <c r="L78" s="7" t="s">
        <v>622</v>
      </c>
      <c r="M78" s="7" t="s">
        <v>1347</v>
      </c>
      <c r="N78" s="7" t="s">
        <v>407</v>
      </c>
      <c r="O78" s="7">
        <v>97414.0</v>
      </c>
      <c r="P78" s="7" t="s">
        <v>40</v>
      </c>
      <c r="Q78" s="7"/>
      <c r="R78" s="7"/>
      <c r="S78" s="7" t="s">
        <v>1370</v>
      </c>
      <c r="T78" s="7" t="s">
        <v>377</v>
      </c>
      <c r="U78" s="7" t="s">
        <v>353</v>
      </c>
      <c r="V78" s="7">
        <v>2.62395569E8</v>
      </c>
      <c r="W78" s="7"/>
      <c r="X78" s="7"/>
      <c r="Y78" s="7"/>
      <c r="Z78" s="7"/>
      <c r="AA78" s="7"/>
      <c r="AB78" s="7"/>
      <c r="AC78" s="7"/>
      <c r="AD78" s="7" t="s">
        <v>1371</v>
      </c>
      <c r="AE78" s="7"/>
      <c r="AF78" s="7"/>
      <c r="AG78" s="7"/>
      <c r="AH78" s="20">
        <v>43739.0</v>
      </c>
      <c r="AI78" s="7"/>
      <c r="AJ78" s="7" t="s">
        <v>1368</v>
      </c>
      <c r="AK78" s="7"/>
      <c r="AL78" s="7" t="s">
        <v>1372</v>
      </c>
      <c r="AM78" s="7">
        <v>2.62395569E8</v>
      </c>
      <c r="AN78" s="20">
        <v>43739.0</v>
      </c>
      <c r="AO78" s="7">
        <v>97414.0</v>
      </c>
      <c r="AP78" s="7" t="s">
        <v>429</v>
      </c>
      <c r="AQ78" s="7"/>
      <c r="AR78" s="7"/>
      <c r="AS78" s="7"/>
      <c r="AT78" s="7"/>
      <c r="AU78" s="7">
        <v>0.0</v>
      </c>
      <c r="AV78" s="7" t="s">
        <v>1373</v>
      </c>
      <c r="AW78" s="7"/>
      <c r="AX78" s="7"/>
      <c r="AY78" s="7"/>
      <c r="AZ78" s="7"/>
      <c r="BA78" s="7"/>
      <c r="BB78" s="7"/>
      <c r="BC78" s="7" t="s">
        <v>366</v>
      </c>
      <c r="BD78" s="21">
        <v>44197.0</v>
      </c>
      <c r="BE78" s="7"/>
      <c r="BF78" s="7"/>
      <c r="BG78" s="22">
        <v>44197.0</v>
      </c>
      <c r="BH78" s="7"/>
      <c r="BI78" s="7" t="s">
        <v>1374</v>
      </c>
      <c r="BJ78" s="7"/>
      <c r="BK78" s="7" t="b">
        <v>0</v>
      </c>
      <c r="BL78" s="7" t="b">
        <v>0</v>
      </c>
      <c r="BM78" s="7"/>
      <c r="BN78" s="7" t="str">
        <f>IFERROR(__xludf.DUMMYFUNCTION(" IF( REGEXMATCH(C78 , ""[(].+[)]""),REGEXREPLACE( CONCATENATE(REGEXEXTRACT(C78 , ""[(].+[)]""),IF(REGEXMATCH(C78 , ""[(][Ll]['’][)]""),"""","" ""), REGEXEXTRACT(C78 ,""^(?:(?:[A-Za-zàäéèêîïöôûü0-9 ](?:[A-Za-zàäéèêîïöôûü'0-9 ]+)))"")) , ""[()]"", """"),C78"&amp;" )"),"Bar Le Coq")</f>
        <v>Bar Le Coq</v>
      </c>
      <c r="BO78" s="23"/>
      <c r="BP78" s="7"/>
      <c r="BQ78" s="7"/>
      <c r="BR78" s="7"/>
      <c r="BS78" s="7"/>
      <c r="BT78" s="7"/>
      <c r="BU78" s="7"/>
      <c r="BV78" s="7"/>
      <c r="BW78" s="7"/>
      <c r="BX78" s="7"/>
      <c r="BY78" s="7"/>
      <c r="BZ78" s="7"/>
      <c r="CA78" s="7"/>
      <c r="CB78" s="7"/>
    </row>
    <row r="79" ht="21.75" customHeight="1">
      <c r="A79" s="7">
        <v>3832.0</v>
      </c>
      <c r="B79" s="7">
        <v>78.0</v>
      </c>
      <c r="C79" s="7" t="s">
        <v>1375</v>
      </c>
      <c r="D79" s="7"/>
      <c r="E79" s="7"/>
      <c r="F79" s="7" t="s">
        <v>404</v>
      </c>
      <c r="G79" s="7" t="s">
        <v>343</v>
      </c>
      <c r="H79" s="7" t="s">
        <v>33</v>
      </c>
      <c r="I79" s="7" t="s">
        <v>1376</v>
      </c>
      <c r="J79" s="7"/>
      <c r="K79" s="7" t="s">
        <v>34</v>
      </c>
      <c r="L79" s="7" t="s">
        <v>622</v>
      </c>
      <c r="M79" s="7" t="s">
        <v>1127</v>
      </c>
      <c r="N79" s="7" t="s">
        <v>1001</v>
      </c>
      <c r="O79" s="7">
        <v>97442.0</v>
      </c>
      <c r="P79" s="7" t="s">
        <v>33</v>
      </c>
      <c r="Q79" s="7"/>
      <c r="R79" s="7" t="s">
        <v>801</v>
      </c>
      <c r="S79" s="7" t="s">
        <v>1377</v>
      </c>
      <c r="T79" s="7" t="s">
        <v>1378</v>
      </c>
      <c r="U79" s="7" t="s">
        <v>592</v>
      </c>
      <c r="V79" s="7">
        <v>2.62370104E8</v>
      </c>
      <c r="W79" s="7"/>
      <c r="X79" s="7"/>
      <c r="Y79" s="7">
        <v>2.62370762E8</v>
      </c>
      <c r="Z79" s="7" t="s">
        <v>1379</v>
      </c>
      <c r="AA79" s="7"/>
      <c r="AB79" s="7"/>
      <c r="AC79" s="7" t="s">
        <v>1380</v>
      </c>
      <c r="AD79" s="7" t="s">
        <v>1381</v>
      </c>
      <c r="AE79" s="7" t="s">
        <v>1382</v>
      </c>
      <c r="AF79" s="7"/>
      <c r="AG79" s="7"/>
      <c r="AH79" s="20">
        <v>42136.0</v>
      </c>
      <c r="AI79" s="7"/>
      <c r="AJ79" s="7" t="s">
        <v>1383</v>
      </c>
      <c r="AK79" s="7">
        <v>4.3767755200014E13</v>
      </c>
      <c r="AL79" s="7" t="s">
        <v>1384</v>
      </c>
      <c r="AM79" s="7" t="s">
        <v>1385</v>
      </c>
      <c r="AN79" s="20">
        <v>39609.0</v>
      </c>
      <c r="AO79" s="7">
        <v>97442.0</v>
      </c>
      <c r="AP79" s="7" t="s">
        <v>884</v>
      </c>
      <c r="AQ79" s="7"/>
      <c r="AR79" s="7"/>
      <c r="AS79" s="7"/>
      <c r="AT79" s="7"/>
      <c r="AU79" s="7">
        <v>0.0</v>
      </c>
      <c r="AV79" s="7" t="s">
        <v>1386</v>
      </c>
      <c r="AW79" s="7"/>
      <c r="AX79" s="7"/>
      <c r="AY79" s="7"/>
      <c r="AZ79" s="7"/>
      <c r="BA79" s="7"/>
      <c r="BB79" s="7"/>
      <c r="BC79" s="7" t="s">
        <v>366</v>
      </c>
      <c r="BD79" s="21">
        <v>44115.22222222222</v>
      </c>
      <c r="BE79" s="7"/>
      <c r="BF79" s="7"/>
      <c r="BG79" s="22">
        <v>44115.0</v>
      </c>
      <c r="BH79" s="7">
        <v>4.37677552E8</v>
      </c>
      <c r="BI79" s="7" t="s">
        <v>1387</v>
      </c>
      <c r="BJ79" s="7"/>
      <c r="BK79" s="7" t="b">
        <v>0</v>
      </c>
      <c r="BL79" s="7" t="b">
        <v>0</v>
      </c>
      <c r="BM79" s="7"/>
      <c r="BN79" s="7" t="str">
        <f>IFERROR(__xludf.DUMMYFUNCTION(" IF( REGEXMATCH(C79 , ""[(].+[)]""),REGEXREPLACE( CONCATENATE(REGEXEXTRACT(C79 , ""[(].+[)]""),IF(REGEXMATCH(C79 , ""[(][Ll]['’][)]""),"""","" ""), REGEXEXTRACT(C79 ,""^(?:(?:[A-Za-zàäéèêîïöôûü0-9 ](?:[A-Za-zàäéèêîïöôûü'0-9 ]+)))"")) , ""[()]"", """"),C79"&amp;" )"),"Le Baril ")</f>
        <v>Le Baril </v>
      </c>
      <c r="BO79" s="23"/>
      <c r="BP79" s="7"/>
      <c r="BQ79" s="7"/>
      <c r="BR79" s="7"/>
      <c r="BS79" s="7"/>
      <c r="BT79" s="7"/>
      <c r="BU79" s="7"/>
      <c r="BV79" s="7"/>
      <c r="BW79" s="7"/>
      <c r="BX79" s="7"/>
      <c r="BY79" s="7"/>
      <c r="BZ79" s="7"/>
      <c r="CA79" s="7"/>
      <c r="CB79" s="7"/>
    </row>
    <row r="80" ht="21.75" customHeight="1">
      <c r="A80" s="7">
        <v>396.0</v>
      </c>
      <c r="B80" s="7">
        <v>79.0</v>
      </c>
      <c r="C80" s="7" t="s">
        <v>1375</v>
      </c>
      <c r="D80" s="7" t="s">
        <v>1388</v>
      </c>
      <c r="E80" s="7"/>
      <c r="F80" s="7" t="s">
        <v>404</v>
      </c>
      <c r="G80" s="7" t="s">
        <v>343</v>
      </c>
      <c r="H80" s="7" t="s">
        <v>33</v>
      </c>
      <c r="I80" s="7" t="s">
        <v>1376</v>
      </c>
      <c r="J80" s="7"/>
      <c r="K80" s="7" t="s">
        <v>58</v>
      </c>
      <c r="L80" s="7" t="s">
        <v>1141</v>
      </c>
      <c r="M80" s="7" t="s">
        <v>1141</v>
      </c>
      <c r="N80" s="7" t="s">
        <v>1001</v>
      </c>
      <c r="O80" s="7">
        <v>97442.0</v>
      </c>
      <c r="P80" s="7" t="s">
        <v>33</v>
      </c>
      <c r="Q80" s="7"/>
      <c r="R80" s="7" t="s">
        <v>1389</v>
      </c>
      <c r="S80" s="7" t="s">
        <v>1016</v>
      </c>
      <c r="T80" s="7" t="s">
        <v>1390</v>
      </c>
      <c r="U80" s="7" t="s">
        <v>592</v>
      </c>
      <c r="V80" s="7">
        <v>2.62370104E8</v>
      </c>
      <c r="W80" s="7"/>
      <c r="X80" s="7"/>
      <c r="Y80" s="7">
        <v>2.62370762E8</v>
      </c>
      <c r="Z80" s="7" t="s">
        <v>1379</v>
      </c>
      <c r="AA80" s="7">
        <v>32.0</v>
      </c>
      <c r="AB80" s="7"/>
      <c r="AC80" s="7" t="s">
        <v>1391</v>
      </c>
      <c r="AD80" s="7" t="s">
        <v>1392</v>
      </c>
      <c r="AE80" s="7" t="s">
        <v>1382</v>
      </c>
      <c r="AF80" s="7"/>
      <c r="AG80" s="7"/>
      <c r="AH80" s="20">
        <v>39609.0</v>
      </c>
      <c r="AI80" s="7"/>
      <c r="AJ80" s="7" t="s">
        <v>1383</v>
      </c>
      <c r="AK80" s="7">
        <v>4.3767755200014E13</v>
      </c>
      <c r="AL80" s="7" t="s">
        <v>1384</v>
      </c>
      <c r="AM80" s="7" t="s">
        <v>1385</v>
      </c>
      <c r="AN80" s="20">
        <v>39609.0</v>
      </c>
      <c r="AO80" s="7">
        <v>97442.0</v>
      </c>
      <c r="AP80" s="7" t="s">
        <v>884</v>
      </c>
      <c r="AQ80" s="7"/>
      <c r="AR80" s="7"/>
      <c r="AS80" s="7"/>
      <c r="AT80" s="7"/>
      <c r="AU80" s="7">
        <v>13.0</v>
      </c>
      <c r="AV80" s="7" t="s">
        <v>1386</v>
      </c>
      <c r="AW80" s="7"/>
      <c r="AX80" s="7"/>
      <c r="AY80" s="7"/>
      <c r="AZ80" s="7"/>
      <c r="BA80" s="7"/>
      <c r="BB80" s="7"/>
      <c r="BC80" s="7" t="s">
        <v>366</v>
      </c>
      <c r="BD80" s="21">
        <v>44115.22222222222</v>
      </c>
      <c r="BE80" s="7"/>
      <c r="BF80" s="7"/>
      <c r="BG80" s="22">
        <v>44115.0</v>
      </c>
      <c r="BH80" s="7">
        <v>4.37677552E8</v>
      </c>
      <c r="BI80" s="7" t="s">
        <v>1387</v>
      </c>
      <c r="BJ80" s="7"/>
      <c r="BK80" s="7" t="b">
        <v>0</v>
      </c>
      <c r="BL80" s="7" t="b">
        <v>0</v>
      </c>
      <c r="BM80" s="7"/>
      <c r="BN80" s="7" t="str">
        <f>IFERROR(__xludf.DUMMYFUNCTION(" IF( REGEXMATCH(C80 , ""[(].+[)]""),REGEXREPLACE( CONCATENATE(REGEXEXTRACT(C80 , ""[(].+[)]""),IF(REGEXMATCH(C80 , ""[(][Ll]['’][)]""),"""","" ""), REGEXEXTRACT(C80 ,""^(?:(?:[A-Za-zàäéèêîïöôûü0-9 ](?:[A-Za-zàäéèêîïöôûü'0-9 ]+)))"")) , ""[()]"", """"),C80"&amp;" )"),"Le Baril ")</f>
        <v>Le Baril </v>
      </c>
      <c r="BO80" s="23"/>
      <c r="BP80" s="7"/>
      <c r="BQ80" s="7"/>
      <c r="BR80" s="7"/>
      <c r="BS80" s="7"/>
      <c r="BT80" s="7"/>
      <c r="BU80" s="7"/>
      <c r="BV80" s="7"/>
      <c r="BW80" s="7"/>
      <c r="BX80" s="7"/>
      <c r="BY80" s="7"/>
      <c r="BZ80" s="7"/>
      <c r="CA80" s="7"/>
      <c r="CB80" s="7"/>
    </row>
    <row r="81" ht="21.75" customHeight="1">
      <c r="A81" s="7">
        <v>4743.0</v>
      </c>
      <c r="B81" s="7" t="s">
        <v>1393</v>
      </c>
      <c r="C81" s="7" t="s">
        <v>1394</v>
      </c>
      <c r="D81" s="7"/>
      <c r="E81" s="7"/>
      <c r="F81" s="7" t="s">
        <v>342</v>
      </c>
      <c r="G81" s="7" t="s">
        <v>343</v>
      </c>
      <c r="H81" s="7" t="s">
        <v>33</v>
      </c>
      <c r="I81" s="7" t="s">
        <v>1395</v>
      </c>
      <c r="J81" s="7"/>
      <c r="K81" s="6" t="s">
        <v>469</v>
      </c>
      <c r="L81" s="7" t="s">
        <v>197</v>
      </c>
      <c r="M81" s="7" t="s">
        <v>559</v>
      </c>
      <c r="N81" s="7" t="s">
        <v>375</v>
      </c>
      <c r="O81" s="7">
        <v>97442.0</v>
      </c>
      <c r="P81" s="7" t="s">
        <v>33</v>
      </c>
      <c r="Q81" s="7" t="s">
        <v>1396</v>
      </c>
      <c r="R81" s="7" t="s">
        <v>801</v>
      </c>
      <c r="S81" s="7"/>
      <c r="T81" s="7" t="s">
        <v>1076</v>
      </c>
      <c r="U81" s="7"/>
      <c r="V81" s="7"/>
      <c r="W81" s="7">
        <v>6.92260991E8</v>
      </c>
      <c r="X81" s="7"/>
      <c r="Y81" s="7"/>
      <c r="Z81" s="7" t="s">
        <v>1397</v>
      </c>
      <c r="AA81" s="7"/>
      <c r="AB81" s="7"/>
      <c r="AC81" s="7" t="s">
        <v>1398</v>
      </c>
      <c r="AD81" s="7" t="s">
        <v>1399</v>
      </c>
      <c r="AE81" s="7"/>
      <c r="AF81" s="7"/>
      <c r="AG81" s="7"/>
      <c r="AH81" s="20">
        <v>43427.0</v>
      </c>
      <c r="AI81" s="7"/>
      <c r="AJ81" s="7" t="s">
        <v>1400</v>
      </c>
      <c r="AK81" s="7">
        <v>8.3124025400019E13</v>
      </c>
      <c r="AL81" s="7" t="s">
        <v>1401</v>
      </c>
      <c r="AM81" s="7" t="s">
        <v>1402</v>
      </c>
      <c r="AN81" s="20">
        <v>43427.0</v>
      </c>
      <c r="AO81" s="7">
        <v>97442.0</v>
      </c>
      <c r="AP81" s="7" t="s">
        <v>884</v>
      </c>
      <c r="AQ81" s="7"/>
      <c r="AR81" s="7"/>
      <c r="AS81" s="7"/>
      <c r="AT81" s="7"/>
      <c r="AU81" s="7">
        <v>0.0</v>
      </c>
      <c r="AV81" s="7" t="s">
        <v>1403</v>
      </c>
      <c r="AW81" s="7"/>
      <c r="AX81" s="7"/>
      <c r="AY81" s="7"/>
      <c r="AZ81" s="7"/>
      <c r="BA81" s="7"/>
      <c r="BB81" s="7"/>
      <c r="BC81" s="7" t="s">
        <v>401</v>
      </c>
      <c r="BD81" s="21">
        <v>44172.10972222222</v>
      </c>
      <c r="BE81" s="7" t="s">
        <v>1194</v>
      </c>
      <c r="BF81" s="7"/>
      <c r="BG81" s="7"/>
      <c r="BH81" s="7">
        <v>8.31240254E8</v>
      </c>
      <c r="BI81" s="7" t="s">
        <v>1404</v>
      </c>
      <c r="BJ81" s="7"/>
      <c r="BK81" s="7" t="b">
        <v>0</v>
      </c>
      <c r="BL81" s="7" t="b">
        <v>0</v>
      </c>
      <c r="BM81" s="7"/>
      <c r="BN81" s="7" t="str">
        <f>IFERROR(__xludf.DUMMYFUNCTION(" IF( REGEXMATCH(C81 , ""[(].+[)]""),REGEXREPLACE( CONCATENATE(REGEXEXTRACT(C81 , ""[(].+[)]""),IF(REGEXMATCH(C81 , ""[(][Ll]['’][)]""),"""","" ""), REGEXEXTRACT(C81 ,""^(?:(?:[A-Za-zàäéèêîïöôûü0-9 ](?:[A-Za-zàäéèêîïöôûü'0-9 ]+)))"")) , ""[()]"", """"),C81"&amp;" )"),"Le Baril de Poudre ")</f>
        <v>Le Baril de Poudre </v>
      </c>
      <c r="BO81" s="25"/>
      <c r="BP81" s="7"/>
      <c r="BQ81" s="7"/>
      <c r="BR81" s="7"/>
      <c r="BS81" s="7"/>
      <c r="BT81" s="7"/>
      <c r="BU81" s="7"/>
      <c r="BV81" s="7"/>
      <c r="BW81" s="7"/>
      <c r="BX81" s="7"/>
      <c r="BY81" s="7"/>
      <c r="BZ81" s="7"/>
      <c r="CA81" s="7"/>
      <c r="CB81" s="7"/>
    </row>
    <row r="82" ht="21.75" customHeight="1">
      <c r="A82" s="7">
        <v>4742.0</v>
      </c>
      <c r="B82" s="7">
        <v>81.0</v>
      </c>
      <c r="C82" s="7" t="s">
        <v>1394</v>
      </c>
      <c r="D82" s="7"/>
      <c r="E82" s="7"/>
      <c r="F82" s="7" t="s">
        <v>342</v>
      </c>
      <c r="G82" s="7" t="s">
        <v>343</v>
      </c>
      <c r="H82" s="7" t="s">
        <v>33</v>
      </c>
      <c r="I82" s="7" t="s">
        <v>1395</v>
      </c>
      <c r="J82" s="7"/>
      <c r="K82" s="6" t="s">
        <v>469</v>
      </c>
      <c r="L82" s="7" t="s">
        <v>1405</v>
      </c>
      <c r="M82" s="7" t="s">
        <v>1406</v>
      </c>
      <c r="N82" s="7" t="s">
        <v>375</v>
      </c>
      <c r="O82" s="7">
        <v>97442.0</v>
      </c>
      <c r="P82" s="7" t="s">
        <v>33</v>
      </c>
      <c r="Q82" s="7" t="s">
        <v>1396</v>
      </c>
      <c r="R82" s="7" t="s">
        <v>801</v>
      </c>
      <c r="S82" s="7"/>
      <c r="T82" s="7" t="s">
        <v>1076</v>
      </c>
      <c r="U82" s="7" t="s">
        <v>353</v>
      </c>
      <c r="V82" s="7"/>
      <c r="W82" s="7">
        <v>6.92260991E8</v>
      </c>
      <c r="X82" s="7"/>
      <c r="Y82" s="7"/>
      <c r="Z82" s="7" t="s">
        <v>1397</v>
      </c>
      <c r="AA82" s="7"/>
      <c r="AB82" s="7"/>
      <c r="AC82" s="7" t="s">
        <v>1398</v>
      </c>
      <c r="AD82" s="7" t="s">
        <v>1407</v>
      </c>
      <c r="AE82" s="7" t="s">
        <v>1408</v>
      </c>
      <c r="AF82" s="7"/>
      <c r="AG82" s="7"/>
      <c r="AH82" s="20">
        <v>43427.0</v>
      </c>
      <c r="AI82" s="7"/>
      <c r="AJ82" s="7" t="s">
        <v>1400</v>
      </c>
      <c r="AK82" s="7">
        <v>8.3124025400019E13</v>
      </c>
      <c r="AL82" s="7" t="s">
        <v>1401</v>
      </c>
      <c r="AM82" s="7" t="s">
        <v>1402</v>
      </c>
      <c r="AN82" s="20">
        <v>43427.0</v>
      </c>
      <c r="AO82" s="7">
        <v>97442.0</v>
      </c>
      <c r="AP82" s="7" t="s">
        <v>884</v>
      </c>
      <c r="AQ82" s="7"/>
      <c r="AR82" s="7"/>
      <c r="AS82" s="7"/>
      <c r="AT82" s="7"/>
      <c r="AU82" s="7">
        <v>0.0</v>
      </c>
      <c r="AV82" s="7" t="s">
        <v>1409</v>
      </c>
      <c r="AW82" s="7"/>
      <c r="AX82" s="7"/>
      <c r="AY82" s="7"/>
      <c r="AZ82" s="7"/>
      <c r="BA82" s="7"/>
      <c r="BB82" s="7"/>
      <c r="BC82" s="7" t="s">
        <v>366</v>
      </c>
      <c r="BD82" s="21">
        <v>44172.10972222222</v>
      </c>
      <c r="BE82" s="7"/>
      <c r="BF82" s="7"/>
      <c r="BG82" s="22">
        <v>44172.0</v>
      </c>
      <c r="BH82" s="7">
        <v>8.31240254E8</v>
      </c>
      <c r="BI82" s="7" t="s">
        <v>1404</v>
      </c>
      <c r="BJ82" s="7"/>
      <c r="BK82" s="7" t="b">
        <v>0</v>
      </c>
      <c r="BL82" s="7" t="b">
        <v>0</v>
      </c>
      <c r="BM82" s="7"/>
      <c r="BN82" s="7" t="str">
        <f>IFERROR(__xludf.DUMMYFUNCTION(" IF( REGEXMATCH(C82 , ""[(].+[)]""),REGEXREPLACE( CONCATENATE(REGEXEXTRACT(C82 , ""[(].+[)]""),IF(REGEXMATCH(C82 , ""[(][Ll]['’][)]""),"""","" ""), REGEXEXTRACT(C82 ,""^(?:(?:[A-Za-zàäéèêîïöôûü0-9 ](?:[A-Za-zàäéèêîïöôûü'0-9 ]+)))"")) , ""[()]"", """"),C82"&amp;" )"),"Le Baril de Poudre ")</f>
        <v>Le Baril de Poudre </v>
      </c>
      <c r="BO82" s="23"/>
      <c r="BP82" s="7"/>
      <c r="BQ82" s="7"/>
      <c r="BR82" s="7"/>
      <c r="BS82" s="7"/>
      <c r="BT82" s="7"/>
      <c r="BU82" s="7"/>
      <c r="BV82" s="7"/>
      <c r="BW82" s="7"/>
      <c r="BX82" s="7"/>
      <c r="BY82" s="7"/>
      <c r="BZ82" s="7"/>
      <c r="CA82" s="7"/>
      <c r="CB82" s="7"/>
    </row>
    <row r="83" ht="21.75" customHeight="1">
      <c r="A83" s="7">
        <v>3053.0</v>
      </c>
      <c r="B83" s="7" t="s">
        <v>1410</v>
      </c>
      <c r="C83" s="7" t="s">
        <v>1411</v>
      </c>
      <c r="D83" s="7" t="s">
        <v>1412</v>
      </c>
      <c r="E83" s="7"/>
      <c r="F83" s="7" t="s">
        <v>342</v>
      </c>
      <c r="G83" s="7" t="s">
        <v>343</v>
      </c>
      <c r="H83" s="7" t="s">
        <v>123</v>
      </c>
      <c r="I83" s="7" t="s">
        <v>1413</v>
      </c>
      <c r="J83" s="7"/>
      <c r="K83" s="7" t="s">
        <v>34</v>
      </c>
      <c r="L83" s="7" t="s">
        <v>1414</v>
      </c>
      <c r="M83" s="7" t="s">
        <v>1415</v>
      </c>
      <c r="N83" s="7" t="s">
        <v>455</v>
      </c>
      <c r="O83" s="7">
        <v>97480.0</v>
      </c>
      <c r="P83" s="7" t="s">
        <v>123</v>
      </c>
      <c r="Q83" s="7"/>
      <c r="R83" s="7" t="s">
        <v>1026</v>
      </c>
      <c r="S83" s="7"/>
      <c r="T83" s="7" t="s">
        <v>377</v>
      </c>
      <c r="U83" s="7" t="s">
        <v>378</v>
      </c>
      <c r="V83" s="7">
        <v>2.62736902E8</v>
      </c>
      <c r="W83" s="7">
        <v>6.92691247E8</v>
      </c>
      <c r="X83" s="7"/>
      <c r="Y83" s="7"/>
      <c r="Z83" s="7" t="s">
        <v>1416</v>
      </c>
      <c r="AA83" s="7">
        <v>80.0</v>
      </c>
      <c r="AB83" s="7"/>
      <c r="AC83" s="7" t="s">
        <v>1417</v>
      </c>
      <c r="AD83" s="7" t="s">
        <v>1418</v>
      </c>
      <c r="AE83" s="7"/>
      <c r="AF83" s="7"/>
      <c r="AG83" s="7" t="s">
        <v>1419</v>
      </c>
      <c r="AH83" s="20">
        <v>43739.0</v>
      </c>
      <c r="AI83" s="7"/>
      <c r="AJ83" s="7" t="s">
        <v>1420</v>
      </c>
      <c r="AK83" s="7"/>
      <c r="AL83" s="7" t="s">
        <v>1421</v>
      </c>
      <c r="AM83" s="7" t="s">
        <v>1422</v>
      </c>
      <c r="AN83" s="20">
        <v>43739.0</v>
      </c>
      <c r="AO83" s="7">
        <v>97480.0</v>
      </c>
      <c r="AP83" s="7" t="s">
        <v>385</v>
      </c>
      <c r="AQ83" s="7"/>
      <c r="AR83" s="7"/>
      <c r="AS83" s="7"/>
      <c r="AT83" s="7"/>
      <c r="AU83" s="7">
        <v>0.0</v>
      </c>
      <c r="AV83" s="7" t="s">
        <v>1423</v>
      </c>
      <c r="AW83" s="7"/>
      <c r="AX83" s="7"/>
      <c r="AY83" s="7"/>
      <c r="AZ83" s="7"/>
      <c r="BA83" s="7"/>
      <c r="BB83" s="7"/>
      <c r="BC83" s="7" t="s">
        <v>401</v>
      </c>
      <c r="BD83" s="21">
        <v>44200.47777777778</v>
      </c>
      <c r="BE83" s="7" t="s">
        <v>1424</v>
      </c>
      <c r="BF83" s="7"/>
      <c r="BG83" s="7"/>
      <c r="BH83" s="7"/>
      <c r="BI83" s="7" t="s">
        <v>1425</v>
      </c>
      <c r="BJ83" s="7"/>
      <c r="BK83" s="7" t="b">
        <v>0</v>
      </c>
      <c r="BL83" s="7" t="b">
        <v>0</v>
      </c>
      <c r="BM83" s="7"/>
      <c r="BN83" s="7" t="str">
        <f>IFERROR(__xludf.DUMMYFUNCTION(" IF( REGEXMATCH(C83 , ""[(].+[)]""),REGEXREPLACE( CONCATENATE(REGEXEXTRACT(C83 , ""[(].+[)]""),IF(REGEXMATCH(C83 , ""[(][Ll]['’][)]""),"""","" ""), REGEXEXTRACT(C83 ,""^(?:(?:[A-Za-zàäéèêîïöôûü0-9 ](?:[A-Za-zàäéèêîïöôûü'0-9 ]+)))"")) , ""[()]"", """"),C83"&amp;" )"),"Le Bel Air ")</f>
        <v>Le Bel Air </v>
      </c>
      <c r="BO83" s="25"/>
      <c r="BP83" s="7"/>
      <c r="BQ83" s="7"/>
      <c r="BR83" s="7"/>
      <c r="BS83" s="7"/>
      <c r="BT83" s="7"/>
      <c r="BU83" s="7"/>
      <c r="BV83" s="7"/>
      <c r="BW83" s="7"/>
      <c r="BX83" s="7"/>
      <c r="BY83" s="7"/>
      <c r="BZ83" s="7"/>
      <c r="CA83" s="7"/>
      <c r="CB83" s="7"/>
    </row>
    <row r="84" ht="21.75" customHeight="1">
      <c r="A84" s="7">
        <v>1545.0</v>
      </c>
      <c r="B84" s="7">
        <v>83.0</v>
      </c>
      <c r="C84" s="7" t="s">
        <v>1426</v>
      </c>
      <c r="D84" s="7" t="s">
        <v>1426</v>
      </c>
      <c r="E84" s="7"/>
      <c r="F84" s="7" t="s">
        <v>404</v>
      </c>
      <c r="G84" s="7" t="s">
        <v>343</v>
      </c>
      <c r="H84" s="7" t="s">
        <v>344</v>
      </c>
      <c r="I84" s="7" t="s">
        <v>1427</v>
      </c>
      <c r="J84" s="7"/>
      <c r="K84" s="7" t="s">
        <v>58</v>
      </c>
      <c r="L84" s="7" t="s">
        <v>59</v>
      </c>
      <c r="M84" s="7" t="s">
        <v>346</v>
      </c>
      <c r="N84" s="7" t="s">
        <v>455</v>
      </c>
      <c r="O84" s="7">
        <v>97430.0</v>
      </c>
      <c r="P84" s="7" t="s">
        <v>344</v>
      </c>
      <c r="Q84" s="7"/>
      <c r="R84" s="7" t="s">
        <v>1221</v>
      </c>
      <c r="S84" s="7"/>
      <c r="T84" s="7" t="s">
        <v>1335</v>
      </c>
      <c r="U84" s="7" t="s">
        <v>353</v>
      </c>
      <c r="V84" s="7">
        <v>2.6227709E8</v>
      </c>
      <c r="W84" s="7">
        <v>6.92655996E8</v>
      </c>
      <c r="X84" s="7"/>
      <c r="Y84" s="7">
        <v>2.6227709E8</v>
      </c>
      <c r="Z84" s="7" t="s">
        <v>1428</v>
      </c>
      <c r="AA84" s="7">
        <v>10.0</v>
      </c>
      <c r="AB84" s="7" t="s">
        <v>1429</v>
      </c>
      <c r="AC84" s="7" t="s">
        <v>1430</v>
      </c>
      <c r="AD84" s="7" t="s">
        <v>1431</v>
      </c>
      <c r="AE84" s="7" t="s">
        <v>1432</v>
      </c>
      <c r="AF84" s="7"/>
      <c r="AG84" s="7" t="s">
        <v>751</v>
      </c>
      <c r="AH84" s="20">
        <v>41107.0</v>
      </c>
      <c r="AI84" s="7"/>
      <c r="AJ84" s="7" t="s">
        <v>1433</v>
      </c>
      <c r="AK84" s="7"/>
      <c r="AL84" s="7" t="s">
        <v>1434</v>
      </c>
      <c r="AM84" s="7" t="s">
        <v>1435</v>
      </c>
      <c r="AN84" s="20">
        <v>43739.0</v>
      </c>
      <c r="AO84" s="7">
        <v>97430.0</v>
      </c>
      <c r="AP84" s="7" t="s">
        <v>494</v>
      </c>
      <c r="AQ84" s="7"/>
      <c r="AR84" s="7"/>
      <c r="AS84" s="7"/>
      <c r="AT84" s="7"/>
      <c r="AU84" s="7">
        <v>2.0</v>
      </c>
      <c r="AV84" s="7" t="s">
        <v>1436</v>
      </c>
      <c r="AW84" s="7"/>
      <c r="AX84" s="7"/>
      <c r="AY84" s="7"/>
      <c r="AZ84" s="7"/>
      <c r="BA84" s="7"/>
      <c r="BB84" s="7"/>
      <c r="BC84" s="7" t="s">
        <v>366</v>
      </c>
      <c r="BD84" s="21">
        <v>44220.450694444444</v>
      </c>
      <c r="BE84" s="7"/>
      <c r="BF84" s="7"/>
      <c r="BG84" s="22">
        <v>44220.0</v>
      </c>
      <c r="BH84" s="7"/>
      <c r="BI84" s="7" t="s">
        <v>1437</v>
      </c>
      <c r="BJ84" s="7"/>
      <c r="BK84" s="7" t="b">
        <v>0</v>
      </c>
      <c r="BL84" s="7" t="b">
        <v>0</v>
      </c>
      <c r="BM84" s="7"/>
      <c r="BN84" s="7" t="str">
        <f>IFERROR(__xludf.DUMMYFUNCTION(" IF( REGEXMATCH(C84 , ""[(].+[)]""),REGEXREPLACE( CONCATENATE(REGEXEXTRACT(C84 , ""[(].+[)]""),IF(REGEXMATCH(C84 , ""[(][Ll]['’][)]""),"""","" ""), REGEXEXTRACT(C84 ,""^(?:(?:[A-Za-zàäéèêîïöôûü0-9 ](?:[A-Za-zàäéèêîïöôûü'0-9 ]+)))"")) , ""[()]"", """"),C84"&amp;" )"),"Le Belvédère ")</f>
        <v>Le Belvédère </v>
      </c>
      <c r="BO84" s="23"/>
      <c r="BP84" s="7"/>
      <c r="BQ84" s="7"/>
      <c r="BR84" s="7"/>
      <c r="BS84" s="7"/>
      <c r="BT84" s="7"/>
      <c r="BU84" s="7"/>
      <c r="BV84" s="7"/>
      <c r="BW84" s="7"/>
      <c r="BX84" s="7"/>
      <c r="BY84" s="7"/>
      <c r="BZ84" s="7"/>
      <c r="CA84" s="7"/>
      <c r="CB84" s="7"/>
    </row>
    <row r="85" ht="21.75" customHeight="1">
      <c r="A85" s="7">
        <v>3135.0</v>
      </c>
      <c r="B85" s="7">
        <v>84.0</v>
      </c>
      <c r="C85" s="7" t="s">
        <v>1438</v>
      </c>
      <c r="D85" s="7" t="s">
        <v>1439</v>
      </c>
      <c r="E85" s="7"/>
      <c r="F85" s="7" t="s">
        <v>342</v>
      </c>
      <c r="G85" s="7" t="s">
        <v>343</v>
      </c>
      <c r="H85" s="7" t="s">
        <v>40</v>
      </c>
      <c r="I85" s="7" t="s">
        <v>1440</v>
      </c>
      <c r="J85" s="26" t="s">
        <v>1441</v>
      </c>
      <c r="K85" s="7" t="s">
        <v>58</v>
      </c>
      <c r="L85" s="7" t="s">
        <v>59</v>
      </c>
      <c r="M85" s="7" t="s">
        <v>346</v>
      </c>
      <c r="N85" s="7" t="s">
        <v>422</v>
      </c>
      <c r="O85" s="7">
        <v>97414.0</v>
      </c>
      <c r="P85" s="7" t="s">
        <v>40</v>
      </c>
      <c r="Q85" s="7"/>
      <c r="R85" s="7" t="s">
        <v>1442</v>
      </c>
      <c r="S85" s="7"/>
      <c r="T85" s="7" t="s">
        <v>377</v>
      </c>
      <c r="U85" s="7" t="s">
        <v>353</v>
      </c>
      <c r="V85" s="7"/>
      <c r="W85" s="7">
        <v>6.92335452E8</v>
      </c>
      <c r="X85" s="7">
        <v>6.92446793E8</v>
      </c>
      <c r="Y85" s="7"/>
      <c r="Z85" s="7" t="s">
        <v>1443</v>
      </c>
      <c r="AA85" s="7">
        <v>6.0</v>
      </c>
      <c r="AB85" s="7"/>
      <c r="AC85" s="7" t="s">
        <v>1444</v>
      </c>
      <c r="AD85" s="7" t="s">
        <v>1445</v>
      </c>
      <c r="AE85" s="7" t="s">
        <v>1446</v>
      </c>
      <c r="AF85" s="7"/>
      <c r="AG85" s="7"/>
      <c r="AH85" s="20">
        <v>40973.0</v>
      </c>
      <c r="AI85" s="7"/>
      <c r="AJ85" s="7" t="s">
        <v>1447</v>
      </c>
      <c r="AK85" s="7"/>
      <c r="AL85" s="7" t="s">
        <v>1448</v>
      </c>
      <c r="AM85" s="7" t="s">
        <v>1449</v>
      </c>
      <c r="AN85" s="20">
        <v>40973.0</v>
      </c>
      <c r="AO85" s="7">
        <v>97414.0</v>
      </c>
      <c r="AP85" s="7" t="s">
        <v>429</v>
      </c>
      <c r="AQ85" s="7"/>
      <c r="AR85" s="7"/>
      <c r="AS85" s="7"/>
      <c r="AT85" s="7"/>
      <c r="AU85" s="7">
        <v>0.0</v>
      </c>
      <c r="AV85" s="7" t="s">
        <v>1450</v>
      </c>
      <c r="AW85" s="7"/>
      <c r="AX85" s="7"/>
      <c r="AY85" s="7"/>
      <c r="AZ85" s="7" t="s">
        <v>1451</v>
      </c>
      <c r="BA85" s="7"/>
      <c r="BB85" s="7"/>
      <c r="BC85" s="7" t="s">
        <v>366</v>
      </c>
      <c r="BD85" s="21">
        <v>44284.0</v>
      </c>
      <c r="BE85" s="7"/>
      <c r="BF85" s="7"/>
      <c r="BG85" s="22">
        <v>44284.0</v>
      </c>
      <c r="BH85" s="7"/>
      <c r="BI85" s="7" t="s">
        <v>1452</v>
      </c>
      <c r="BJ85" s="7"/>
      <c r="BK85" s="7" t="b">
        <v>0</v>
      </c>
      <c r="BL85" s="7" t="b">
        <v>0</v>
      </c>
      <c r="BM85" s="7"/>
      <c r="BN85" s="7" t="str">
        <f>IFERROR(__xludf.DUMMYFUNCTION(" IF( REGEXMATCH(C85 , ""[(].+[)]""),REGEXREPLACE( CONCATENATE(REGEXEXTRACT(C85 , ""[(].+[)]""),IF(REGEXMATCH(C85 , ""[(][Ll]['’][)]""),"""","" ""), REGEXEXTRACT(C85 ,""^(?:(?:[A-Za-zàäéèêîïöôûü0-9 ](?:[A-Za-zàäéèêîïöôûü'0-9 ]+)))"")) , ""[()]"", """"),C85"&amp;" )"),"Le Bengali ")</f>
        <v>Le Bengali </v>
      </c>
      <c r="BO85" s="23"/>
      <c r="BP85" s="7"/>
      <c r="BQ85" s="7"/>
      <c r="BR85" s="7"/>
      <c r="BS85" s="7"/>
      <c r="BT85" s="7"/>
      <c r="BU85" s="7"/>
      <c r="BV85" s="7"/>
      <c r="BW85" s="7"/>
      <c r="BX85" s="7"/>
      <c r="BY85" s="7"/>
      <c r="BZ85" s="7"/>
      <c r="CA85" s="7"/>
      <c r="CB85" s="7"/>
    </row>
    <row r="86" ht="21.75" customHeight="1">
      <c r="A86" s="7">
        <v>851.0</v>
      </c>
      <c r="B86" s="7" t="s">
        <v>1453</v>
      </c>
      <c r="C86" s="7" t="s">
        <v>1454</v>
      </c>
      <c r="D86" s="7" t="s">
        <v>1438</v>
      </c>
      <c r="E86" s="7"/>
      <c r="F86" s="7" t="s">
        <v>342</v>
      </c>
      <c r="G86" s="7" t="s">
        <v>343</v>
      </c>
      <c r="H86" s="7" t="s">
        <v>123</v>
      </c>
      <c r="I86" s="7" t="s">
        <v>1455</v>
      </c>
      <c r="J86" s="7"/>
      <c r="K86" s="7" t="s">
        <v>58</v>
      </c>
      <c r="L86" s="7" t="s">
        <v>59</v>
      </c>
      <c r="M86" s="7" t="s">
        <v>374</v>
      </c>
      <c r="N86" s="7" t="s">
        <v>1456</v>
      </c>
      <c r="O86" s="7">
        <v>97480.0</v>
      </c>
      <c r="P86" s="7" t="s">
        <v>123</v>
      </c>
      <c r="Q86" s="7"/>
      <c r="R86" s="7" t="s">
        <v>1457</v>
      </c>
      <c r="S86" s="7" t="s">
        <v>1458</v>
      </c>
      <c r="T86" s="6" t="s">
        <v>1459</v>
      </c>
      <c r="U86" s="7" t="s">
        <v>353</v>
      </c>
      <c r="V86" s="7">
        <v>2.62565401E8</v>
      </c>
      <c r="W86" s="7">
        <v>6.92765252E8</v>
      </c>
      <c r="X86" s="7"/>
      <c r="Y86" s="7">
        <v>2.62565401E8</v>
      </c>
      <c r="Z86" s="7" t="s">
        <v>1460</v>
      </c>
      <c r="AA86" s="7">
        <v>2.0</v>
      </c>
      <c r="AB86" s="7"/>
      <c r="AC86" s="7"/>
      <c r="AD86" s="7" t="s">
        <v>1461</v>
      </c>
      <c r="AE86" s="7" t="s">
        <v>1462</v>
      </c>
      <c r="AF86" s="7"/>
      <c r="AG86" s="7"/>
      <c r="AH86" s="20">
        <v>39575.0</v>
      </c>
      <c r="AI86" s="7"/>
      <c r="AJ86" s="7" t="s">
        <v>1463</v>
      </c>
      <c r="AK86" s="7"/>
      <c r="AL86" s="7" t="s">
        <v>1464</v>
      </c>
      <c r="AM86" s="7" t="s">
        <v>1465</v>
      </c>
      <c r="AN86" s="20">
        <v>39575.0</v>
      </c>
      <c r="AO86" s="7">
        <v>97480.0</v>
      </c>
      <c r="AP86" s="7" t="s">
        <v>385</v>
      </c>
      <c r="AQ86" s="7"/>
      <c r="AR86" s="7"/>
      <c r="AS86" s="7"/>
      <c r="AT86" s="7"/>
      <c r="AU86" s="7">
        <v>1.0</v>
      </c>
      <c r="AV86" s="7" t="s">
        <v>1466</v>
      </c>
      <c r="AW86" s="7"/>
      <c r="AX86" s="7"/>
      <c r="AY86" s="7"/>
      <c r="AZ86" s="7" t="s">
        <v>1467</v>
      </c>
      <c r="BA86" s="7"/>
      <c r="BB86" s="7"/>
      <c r="BC86" s="7" t="s">
        <v>401</v>
      </c>
      <c r="BD86" s="21">
        <v>44129.0</v>
      </c>
      <c r="BE86" s="7" t="s">
        <v>1468</v>
      </c>
      <c r="BF86" s="7"/>
      <c r="BG86" s="7"/>
      <c r="BH86" s="7"/>
      <c r="BI86" s="7" t="s">
        <v>1469</v>
      </c>
      <c r="BJ86" s="7"/>
      <c r="BK86" s="7" t="b">
        <v>0</v>
      </c>
      <c r="BL86" s="7" t="b">
        <v>0</v>
      </c>
      <c r="BM86" s="7"/>
      <c r="BN86" s="7" t="str">
        <f>IFERROR(__xludf.DUMMYFUNCTION(" IF( REGEXMATCH(C86 , ""[(].+[)]""),REGEXREPLACE( CONCATENATE(REGEXEXTRACT(C86 , ""[(].+[)]""),IF(REGEXMATCH(C86 , ""[(][Ll]['’][)]""),"""","" ""), REGEXEXTRACT(C86 ,""^(?:(?:[A-Za-zàäéèêîïöôûü0-9 ](?:[A-Za-zàäéèêîïöôûü'0-9 ]+)))"")) , ""[()]"", """"),C86"&amp;" )"),"Le Bengali 1 ")</f>
        <v>Le Bengali 1 </v>
      </c>
      <c r="BO86" s="25"/>
      <c r="BP86" s="7"/>
      <c r="BQ86" s="7"/>
      <c r="BR86" s="7"/>
      <c r="BS86" s="7"/>
      <c r="BT86" s="7"/>
      <c r="BU86" s="7"/>
      <c r="BV86" s="7"/>
      <c r="BW86" s="7"/>
      <c r="BX86" s="7"/>
      <c r="BY86" s="7"/>
      <c r="BZ86" s="7"/>
      <c r="CA86" s="7"/>
      <c r="CB86" s="7"/>
    </row>
    <row r="87" ht="21.75" customHeight="1">
      <c r="A87" s="7">
        <v>852.0</v>
      </c>
      <c r="B87" s="7" t="s">
        <v>1470</v>
      </c>
      <c r="C87" s="7" t="s">
        <v>1471</v>
      </c>
      <c r="D87" s="7" t="s">
        <v>1472</v>
      </c>
      <c r="E87" s="7"/>
      <c r="F87" s="7" t="s">
        <v>342</v>
      </c>
      <c r="G87" s="7" t="s">
        <v>343</v>
      </c>
      <c r="H87" s="7" t="s">
        <v>123</v>
      </c>
      <c r="I87" s="7" t="s">
        <v>1473</v>
      </c>
      <c r="J87" s="7"/>
      <c r="K87" s="7" t="s">
        <v>58</v>
      </c>
      <c r="L87" s="7" t="s">
        <v>59</v>
      </c>
      <c r="M87" s="7" t="s">
        <v>346</v>
      </c>
      <c r="N87" s="7" t="s">
        <v>455</v>
      </c>
      <c r="O87" s="7">
        <v>97480.0</v>
      </c>
      <c r="P87" s="7" t="s">
        <v>123</v>
      </c>
      <c r="Q87" s="7"/>
      <c r="R87" s="7" t="s">
        <v>1474</v>
      </c>
      <c r="S87" s="7" t="s">
        <v>1458</v>
      </c>
      <c r="T87" s="6" t="s">
        <v>1459</v>
      </c>
      <c r="U87" s="7" t="s">
        <v>353</v>
      </c>
      <c r="V87" s="7">
        <v>2.62565401E8</v>
      </c>
      <c r="W87" s="7">
        <v>6.92765252E8</v>
      </c>
      <c r="X87" s="7"/>
      <c r="Y87" s="7">
        <v>2.62565401E8</v>
      </c>
      <c r="Z87" s="7" t="s">
        <v>1460</v>
      </c>
      <c r="AA87" s="7">
        <v>8.0</v>
      </c>
      <c r="AB87" s="7"/>
      <c r="AC87" s="7"/>
      <c r="AD87" s="7" t="s">
        <v>1475</v>
      </c>
      <c r="AE87" s="7" t="s">
        <v>1476</v>
      </c>
      <c r="AF87" s="7"/>
      <c r="AG87" s="7"/>
      <c r="AH87" s="20">
        <v>39588.0</v>
      </c>
      <c r="AI87" s="7"/>
      <c r="AJ87" s="7" t="s">
        <v>1463</v>
      </c>
      <c r="AK87" s="7"/>
      <c r="AL87" s="7" t="s">
        <v>1464</v>
      </c>
      <c r="AM87" s="7" t="s">
        <v>1465</v>
      </c>
      <c r="AN87" s="20">
        <v>39575.0</v>
      </c>
      <c r="AO87" s="7">
        <v>97480.0</v>
      </c>
      <c r="AP87" s="7" t="s">
        <v>385</v>
      </c>
      <c r="AQ87" s="7"/>
      <c r="AR87" s="7"/>
      <c r="AS87" s="7"/>
      <c r="AT87" s="7"/>
      <c r="AU87" s="7">
        <v>1.0</v>
      </c>
      <c r="AV87" s="7" t="s">
        <v>1466</v>
      </c>
      <c r="AW87" s="7"/>
      <c r="AX87" s="7"/>
      <c r="AY87" s="7"/>
      <c r="AZ87" s="7" t="s">
        <v>1477</v>
      </c>
      <c r="BA87" s="7"/>
      <c r="BB87" s="7"/>
      <c r="BC87" s="7" t="s">
        <v>401</v>
      </c>
      <c r="BD87" s="21">
        <v>44130.0</v>
      </c>
      <c r="BE87" s="7" t="s">
        <v>1468</v>
      </c>
      <c r="BF87" s="7"/>
      <c r="BG87" s="7"/>
      <c r="BH87" s="7"/>
      <c r="BI87" s="7" t="s">
        <v>1469</v>
      </c>
      <c r="BJ87" s="7"/>
      <c r="BK87" s="7" t="b">
        <v>0</v>
      </c>
      <c r="BL87" s="7" t="b">
        <v>0</v>
      </c>
      <c r="BM87" s="7"/>
      <c r="BN87" s="7" t="str">
        <f>IFERROR(__xludf.DUMMYFUNCTION(" IF( REGEXMATCH(C87 , ""[(].+[)]""),REGEXREPLACE( CONCATENATE(REGEXEXTRACT(C87 , ""[(].+[)]""),IF(REGEXMATCH(C87 , ""[(][Ll]['’][)]""),"""","" ""), REGEXEXTRACT(C87 ,""^(?:(?:[A-Za-zàäéèêîïöôûü0-9 ](?:[A-Za-zàäéèêîïöôûü'0-9 ]+)))"")) , ""[()]"", """"),C87"&amp;" )"),"Le Bengali 2 ")</f>
        <v>Le Bengali 2 </v>
      </c>
      <c r="BO87" s="25"/>
      <c r="BP87" s="7"/>
      <c r="BQ87" s="7"/>
      <c r="BR87" s="7"/>
      <c r="BS87" s="7"/>
      <c r="BT87" s="7"/>
      <c r="BU87" s="7"/>
      <c r="BV87" s="7"/>
      <c r="BW87" s="7"/>
      <c r="BX87" s="7"/>
      <c r="BY87" s="7"/>
      <c r="BZ87" s="7"/>
      <c r="CA87" s="7"/>
      <c r="CB87" s="7"/>
    </row>
    <row r="88" ht="21.75" customHeight="1">
      <c r="A88" s="7">
        <v>964.0</v>
      </c>
      <c r="B88" s="7">
        <v>87.0</v>
      </c>
      <c r="C88" s="7" t="s">
        <v>1478</v>
      </c>
      <c r="D88" s="7" t="s">
        <v>1479</v>
      </c>
      <c r="E88" s="7"/>
      <c r="F88" s="7" t="s">
        <v>342</v>
      </c>
      <c r="G88" s="7" t="s">
        <v>343</v>
      </c>
      <c r="H88" s="7" t="s">
        <v>123</v>
      </c>
      <c r="I88" s="7" t="s">
        <v>1480</v>
      </c>
      <c r="J88" s="7"/>
      <c r="K88" s="7" t="s">
        <v>34</v>
      </c>
      <c r="L88" s="7" t="s">
        <v>622</v>
      </c>
      <c r="M88" s="7" t="s">
        <v>622</v>
      </c>
      <c r="N88" s="7" t="s">
        <v>407</v>
      </c>
      <c r="O88" s="7">
        <v>97480.0</v>
      </c>
      <c r="P88" s="7" t="s">
        <v>123</v>
      </c>
      <c r="Q88" s="7"/>
      <c r="R88" s="7" t="s">
        <v>1481</v>
      </c>
      <c r="S88" s="7" t="s">
        <v>1482</v>
      </c>
      <c r="T88" s="6" t="s">
        <v>1483</v>
      </c>
      <c r="U88" s="7" t="s">
        <v>353</v>
      </c>
      <c r="V88" s="7">
        <v>2.6256239E8</v>
      </c>
      <c r="W88" s="7">
        <v>6.92608776E8</v>
      </c>
      <c r="X88" s="7"/>
      <c r="Y88" s="7">
        <v>2.6256239E8</v>
      </c>
      <c r="Z88" s="7"/>
      <c r="AA88" s="7"/>
      <c r="AB88" s="7"/>
      <c r="AC88" s="7"/>
      <c r="AD88" s="7" t="s">
        <v>1484</v>
      </c>
      <c r="AE88" s="7" t="s">
        <v>1485</v>
      </c>
      <c r="AF88" s="7"/>
      <c r="AG88" s="7"/>
      <c r="AH88" s="20">
        <v>39575.0</v>
      </c>
      <c r="AI88" s="7"/>
      <c r="AJ88" s="7" t="s">
        <v>1486</v>
      </c>
      <c r="AK88" s="7"/>
      <c r="AL88" s="7" t="s">
        <v>1487</v>
      </c>
      <c r="AM88" s="7" t="s">
        <v>1488</v>
      </c>
      <c r="AN88" s="20">
        <v>39575.0</v>
      </c>
      <c r="AO88" s="7">
        <v>97480.0</v>
      </c>
      <c r="AP88" s="7" t="s">
        <v>385</v>
      </c>
      <c r="AQ88" s="7"/>
      <c r="AR88" s="7"/>
      <c r="AS88" s="7"/>
      <c r="AT88" s="7"/>
      <c r="AU88" s="7">
        <v>0.0</v>
      </c>
      <c r="AV88" s="7" t="s">
        <v>1489</v>
      </c>
      <c r="AW88" s="7"/>
      <c r="AX88" s="7"/>
      <c r="AY88" s="7"/>
      <c r="AZ88" s="7"/>
      <c r="BA88" s="7"/>
      <c r="BB88" s="7"/>
      <c r="BC88" s="7" t="s">
        <v>366</v>
      </c>
      <c r="BD88" s="21">
        <v>44178.48055555556</v>
      </c>
      <c r="BE88" s="7"/>
      <c r="BF88" s="7"/>
      <c r="BG88" s="22">
        <v>44178.0</v>
      </c>
      <c r="BH88" s="7"/>
      <c r="BI88" s="7" t="s">
        <v>1490</v>
      </c>
      <c r="BJ88" s="7"/>
      <c r="BK88" s="7" t="b">
        <v>0</v>
      </c>
      <c r="BL88" s="7" t="b">
        <v>0</v>
      </c>
      <c r="BM88" s="7"/>
      <c r="BN88" s="7" t="str">
        <f>IFERROR(__xludf.DUMMYFUNCTION(" IF( REGEXMATCH(C88 , ""[(].+[)]""),REGEXREPLACE( CONCATENATE(REGEXEXTRACT(C88 , ""[(].+[)]""),IF(REGEXMATCH(C88 , ""[(][Ll]['’][)]""),"""","" ""), REGEXEXTRACT(C88 ,""^(?:(?:[A-Za-zàäéèêîïöôûü0-9 ](?:[A-Za-zàäéèêîïöôûü'0-9 ]+)))"")) , ""[()]"", """"),C88"&amp;" )"),"Le Benjoin ")</f>
        <v>Le Benjoin </v>
      </c>
      <c r="BO88" s="23"/>
      <c r="BP88" s="7"/>
      <c r="BQ88" s="7"/>
      <c r="BR88" s="7"/>
      <c r="BS88" s="7"/>
      <c r="BT88" s="7"/>
      <c r="BU88" s="7"/>
      <c r="BV88" s="7"/>
      <c r="BW88" s="7"/>
      <c r="BX88" s="7"/>
      <c r="BY88" s="7"/>
      <c r="BZ88" s="7"/>
      <c r="CA88" s="7"/>
      <c r="CB88" s="7"/>
    </row>
    <row r="89" ht="21.75" customHeight="1">
      <c r="A89" s="7">
        <v>3873.0</v>
      </c>
      <c r="B89" s="7" t="s">
        <v>1491</v>
      </c>
      <c r="C89" s="7" t="s">
        <v>1492</v>
      </c>
      <c r="D89" s="7"/>
      <c r="E89" s="7"/>
      <c r="F89" s="7" t="s">
        <v>404</v>
      </c>
      <c r="G89" s="7" t="s">
        <v>343</v>
      </c>
      <c r="H89" s="7" t="s">
        <v>344</v>
      </c>
      <c r="I89" s="7" t="s">
        <v>1493</v>
      </c>
      <c r="J89" s="26" t="s">
        <v>1494</v>
      </c>
      <c r="K89" s="7" t="s">
        <v>58</v>
      </c>
      <c r="L89" s="7" t="s">
        <v>59</v>
      </c>
      <c r="M89" s="7" t="s">
        <v>346</v>
      </c>
      <c r="N89" s="7"/>
      <c r="O89" s="7">
        <v>97418.0</v>
      </c>
      <c r="P89" s="7" t="s">
        <v>348</v>
      </c>
      <c r="Q89" s="7" t="s">
        <v>349</v>
      </c>
      <c r="R89" s="7"/>
      <c r="S89" s="7"/>
      <c r="T89" s="7" t="s">
        <v>377</v>
      </c>
      <c r="U89" s="7"/>
      <c r="V89" s="7"/>
      <c r="W89" s="7">
        <v>6.92099384E8</v>
      </c>
      <c r="X89" s="7"/>
      <c r="Y89" s="7"/>
      <c r="Z89" s="7" t="s">
        <v>1495</v>
      </c>
      <c r="AA89" s="7">
        <v>9.0</v>
      </c>
      <c r="AB89" s="7"/>
      <c r="AC89" s="7" t="s">
        <v>1496</v>
      </c>
      <c r="AD89" s="7" t="s">
        <v>1497</v>
      </c>
      <c r="AE89" s="7"/>
      <c r="AF89" s="7"/>
      <c r="AG89" s="7"/>
      <c r="AH89" s="20">
        <v>42164.0</v>
      </c>
      <c r="AI89" s="7"/>
      <c r="AJ89" s="7" t="s">
        <v>1498</v>
      </c>
      <c r="AK89" s="7"/>
      <c r="AL89" s="7" t="s">
        <v>1499</v>
      </c>
      <c r="AM89" s="7" t="s">
        <v>1500</v>
      </c>
      <c r="AN89" s="20">
        <v>42164.0</v>
      </c>
      <c r="AO89" s="7">
        <v>97418.0</v>
      </c>
      <c r="AP89" s="7" t="s">
        <v>362</v>
      </c>
      <c r="AQ89" s="7"/>
      <c r="AR89" s="7"/>
      <c r="AS89" s="7"/>
      <c r="AT89" s="7"/>
      <c r="AU89" s="7">
        <v>2.0</v>
      </c>
      <c r="AV89" s="7" t="s">
        <v>1501</v>
      </c>
      <c r="AW89" s="7"/>
      <c r="AX89" s="7"/>
      <c r="AY89" s="7"/>
      <c r="AZ89" s="7" t="s">
        <v>1502</v>
      </c>
      <c r="BA89" s="7"/>
      <c r="BB89" s="7"/>
      <c r="BC89" s="7" t="s">
        <v>401</v>
      </c>
      <c r="BD89" s="21">
        <v>44095.0</v>
      </c>
      <c r="BE89" s="7" t="s">
        <v>1503</v>
      </c>
      <c r="BF89" s="7"/>
      <c r="BG89" s="7"/>
      <c r="BH89" s="7"/>
      <c r="BI89" s="7" t="s">
        <v>1504</v>
      </c>
      <c r="BJ89" s="7"/>
      <c r="BK89" s="7" t="b">
        <v>0</v>
      </c>
      <c r="BL89" s="7" t="b">
        <v>0</v>
      </c>
      <c r="BM89" s="7"/>
      <c r="BN89" s="7" t="str">
        <f>IFERROR(__xludf.DUMMYFUNCTION(" IF( REGEXMATCH(C89 , ""[(].+[)]""),REGEXREPLACE( CONCATENATE(REGEXEXTRACT(C89 , ""[(].+[)]""),IF(REGEXMATCH(C89 , ""[(][Ll]['’][)]""),"""","" ""), REGEXEXTRACT(C89 ,""^(?:(?:[A-Za-zàäéèêîïöôûü0-9 ](?:[A-Za-zàäéèêîïöôûü'0-9 ]+)))"")) , ""[()]"", """"),C89"&amp;" )"),"La Bergerie ")</f>
        <v>La Bergerie </v>
      </c>
      <c r="BO89" s="25"/>
      <c r="BP89" s="7"/>
      <c r="BQ89" s="7"/>
      <c r="BR89" s="7"/>
      <c r="BS89" s="7"/>
      <c r="BT89" s="7"/>
      <c r="BU89" s="7"/>
      <c r="BV89" s="7"/>
      <c r="BW89" s="7"/>
      <c r="BX89" s="7"/>
      <c r="BY89" s="7"/>
      <c r="BZ89" s="7"/>
      <c r="CA89" s="7"/>
      <c r="CB89" s="7"/>
    </row>
    <row r="90" ht="21.75" customHeight="1">
      <c r="A90" s="7">
        <v>2054.0</v>
      </c>
      <c r="B90" s="7">
        <v>89.0</v>
      </c>
      <c r="C90" s="7" t="s">
        <v>1505</v>
      </c>
      <c r="D90" s="7" t="s">
        <v>1506</v>
      </c>
      <c r="E90" s="7"/>
      <c r="F90" s="7" t="s">
        <v>342</v>
      </c>
      <c r="G90" s="7" t="s">
        <v>343</v>
      </c>
      <c r="H90" s="7" t="s">
        <v>33</v>
      </c>
      <c r="I90" s="7" t="s">
        <v>1507</v>
      </c>
      <c r="J90" s="7"/>
      <c r="K90" s="6" t="s">
        <v>469</v>
      </c>
      <c r="L90" s="7" t="s">
        <v>197</v>
      </c>
      <c r="M90" s="7" t="s">
        <v>559</v>
      </c>
      <c r="N90" s="7" t="s">
        <v>375</v>
      </c>
      <c r="O90" s="7">
        <v>97442.0</v>
      </c>
      <c r="P90" s="7" t="s">
        <v>33</v>
      </c>
      <c r="Q90" s="7"/>
      <c r="R90" s="7"/>
      <c r="S90" s="7" t="s">
        <v>889</v>
      </c>
      <c r="T90" s="7" t="s">
        <v>377</v>
      </c>
      <c r="U90" s="7" t="s">
        <v>1508</v>
      </c>
      <c r="V90" s="7"/>
      <c r="W90" s="7">
        <v>6.93916652E8</v>
      </c>
      <c r="X90" s="7"/>
      <c r="Y90" s="7"/>
      <c r="Z90" s="7"/>
      <c r="AA90" s="7"/>
      <c r="AB90" s="7"/>
      <c r="AC90" s="7"/>
      <c r="AD90" s="7" t="s">
        <v>1509</v>
      </c>
      <c r="AE90" s="7" t="s">
        <v>1510</v>
      </c>
      <c r="AF90" s="7" t="s">
        <v>1511</v>
      </c>
      <c r="AG90" s="7"/>
      <c r="AH90" s="20">
        <v>43739.0</v>
      </c>
      <c r="AI90" s="7"/>
      <c r="AJ90" s="7" t="s">
        <v>1512</v>
      </c>
      <c r="AK90" s="7"/>
      <c r="AL90" s="7" t="s">
        <v>1513</v>
      </c>
      <c r="AM90" s="7" t="s">
        <v>1514</v>
      </c>
      <c r="AN90" s="20">
        <v>43739.0</v>
      </c>
      <c r="AO90" s="7">
        <v>97442.0</v>
      </c>
      <c r="AP90" s="7" t="s">
        <v>884</v>
      </c>
      <c r="AQ90" s="7"/>
      <c r="AR90" s="7"/>
      <c r="AS90" s="7"/>
      <c r="AT90" s="7"/>
      <c r="AU90" s="7">
        <v>0.0</v>
      </c>
      <c r="AV90" s="7" t="s">
        <v>1515</v>
      </c>
      <c r="AW90" s="7"/>
      <c r="AX90" s="7"/>
      <c r="AY90" s="7"/>
      <c r="AZ90" s="7"/>
      <c r="BA90" s="7"/>
      <c r="BB90" s="7"/>
      <c r="BC90" s="7" t="s">
        <v>366</v>
      </c>
      <c r="BD90" s="21">
        <v>44167.126388888886</v>
      </c>
      <c r="BE90" s="7"/>
      <c r="BF90" s="7"/>
      <c r="BG90" s="22">
        <v>44167.0</v>
      </c>
      <c r="BH90" s="7"/>
      <c r="BI90" s="7" t="s">
        <v>1516</v>
      </c>
      <c r="BJ90" s="7"/>
      <c r="BK90" s="7" t="b">
        <v>0</v>
      </c>
      <c r="BL90" s="7" t="b">
        <v>0</v>
      </c>
      <c r="BM90" s="7"/>
      <c r="BN90" s="7" t="str">
        <f>IFERROR(__xludf.DUMMYFUNCTION(" IF( REGEXMATCH(C90 , ""[(].+[)]""),REGEXREPLACE( CONCATENATE(REGEXEXTRACT(C90 , ""[(].+[)]""),IF(REGEXMATCH(C90 , ""[(][Ll]['’][)]""),"""","" ""), REGEXEXTRACT(C90 ,""^(?:(?:[A-Za-zàäéèêîïöôûü0-9 ](?:[A-Za-zàäéèêîïöôûü'0-9 ]+)))"")) , ""[()]"", """"),C90"&amp;" )"),"La Bertelle ")</f>
        <v>La Bertelle </v>
      </c>
      <c r="BO90" s="23"/>
      <c r="BP90" s="7"/>
      <c r="BQ90" s="7"/>
      <c r="BR90" s="7"/>
      <c r="BS90" s="7"/>
      <c r="BT90" s="7"/>
      <c r="BU90" s="7"/>
      <c r="BV90" s="7"/>
      <c r="BW90" s="7"/>
      <c r="BX90" s="7"/>
      <c r="BY90" s="7"/>
      <c r="BZ90" s="7"/>
      <c r="CA90" s="7"/>
      <c r="CB90" s="7"/>
    </row>
    <row r="91" ht="21.75" customHeight="1">
      <c r="A91" s="7">
        <v>2679.0</v>
      </c>
      <c r="B91" s="7">
        <v>90.0</v>
      </c>
      <c r="C91" s="7" t="s">
        <v>1517</v>
      </c>
      <c r="D91" s="7" t="s">
        <v>1518</v>
      </c>
      <c r="E91" s="7"/>
      <c r="F91" s="7" t="s">
        <v>342</v>
      </c>
      <c r="G91" s="7" t="s">
        <v>343</v>
      </c>
      <c r="H91" s="7" t="s">
        <v>344</v>
      </c>
      <c r="I91" s="7" t="s">
        <v>1519</v>
      </c>
      <c r="J91" s="7"/>
      <c r="K91" s="7" t="s">
        <v>58</v>
      </c>
      <c r="L91" s="7" t="s">
        <v>59</v>
      </c>
      <c r="M91" s="7" t="s">
        <v>346</v>
      </c>
      <c r="N91" s="7" t="s">
        <v>422</v>
      </c>
      <c r="O91" s="7">
        <v>97418.0</v>
      </c>
      <c r="P91" s="7" t="s">
        <v>348</v>
      </c>
      <c r="Q91" s="7" t="s">
        <v>349</v>
      </c>
      <c r="R91" s="7" t="s">
        <v>1520</v>
      </c>
      <c r="S91" s="7" t="s">
        <v>1521</v>
      </c>
      <c r="T91" s="7" t="s">
        <v>377</v>
      </c>
      <c r="U91" s="7" t="s">
        <v>378</v>
      </c>
      <c r="V91" s="7">
        <v>2.62316284E8</v>
      </c>
      <c r="W91" s="7">
        <v>6.92851711E8</v>
      </c>
      <c r="X91" s="7"/>
      <c r="Y91" s="7"/>
      <c r="Z91" s="7" t="s">
        <v>1522</v>
      </c>
      <c r="AA91" s="7">
        <v>6.0</v>
      </c>
      <c r="AB91" s="7"/>
      <c r="AC91" s="7"/>
      <c r="AD91" s="7" t="s">
        <v>1523</v>
      </c>
      <c r="AE91" s="7"/>
      <c r="AF91" s="7"/>
      <c r="AG91" s="7"/>
      <c r="AH91" s="20">
        <v>40351.0</v>
      </c>
      <c r="AI91" s="7"/>
      <c r="AJ91" s="7" t="s">
        <v>1524</v>
      </c>
      <c r="AK91" s="7"/>
      <c r="AL91" s="7" t="s">
        <v>1525</v>
      </c>
      <c r="AM91" s="7" t="s">
        <v>1526</v>
      </c>
      <c r="AN91" s="20">
        <v>40351.0</v>
      </c>
      <c r="AO91" s="7">
        <v>97427.0</v>
      </c>
      <c r="AP91" s="7" t="s">
        <v>1527</v>
      </c>
      <c r="AQ91" s="7"/>
      <c r="AR91" s="7"/>
      <c r="AS91" s="7"/>
      <c r="AT91" s="7"/>
      <c r="AU91" s="7">
        <v>1.0</v>
      </c>
      <c r="AV91" s="7" t="s">
        <v>1528</v>
      </c>
      <c r="AW91" s="7"/>
      <c r="AX91" s="7"/>
      <c r="AY91" s="7"/>
      <c r="AZ91" s="7"/>
      <c r="BA91" s="7"/>
      <c r="BB91" s="7"/>
      <c r="BC91" s="7" t="s">
        <v>366</v>
      </c>
      <c r="BD91" s="21">
        <v>44110.470138888886</v>
      </c>
      <c r="BE91" s="7"/>
      <c r="BF91" s="7"/>
      <c r="BG91" s="22">
        <v>44110.0</v>
      </c>
      <c r="BH91" s="7"/>
      <c r="BI91" s="7" t="s">
        <v>1529</v>
      </c>
      <c r="BJ91" s="7"/>
      <c r="BK91" s="7" t="b">
        <v>0</v>
      </c>
      <c r="BL91" s="7" t="b">
        <v>0</v>
      </c>
      <c r="BM91" s="7"/>
      <c r="BN91" s="7" t="str">
        <f>IFERROR(__xludf.DUMMYFUNCTION(" IF( REGEXMATCH(C91 , ""[(].+[)]""),REGEXREPLACE( CONCATENATE(REGEXEXTRACT(C91 , ""[(].+[)]""),IF(REGEXMATCH(C91 , ""[(][Ll]['’][)]""),"""","" ""), REGEXEXTRACT(C91 ,""^(?:(?:[A-Za-zàäéèêîïöôûü0-9 ](?:[A-Za-zàäéèêîïöôûü'0-9 ]+)))"")) , ""[()]"", """"),C91"&amp;" )"),"La Bertha ")</f>
        <v>La Bertha </v>
      </c>
      <c r="BO91" s="23"/>
      <c r="BP91" s="7"/>
      <c r="BQ91" s="7"/>
      <c r="BR91" s="7"/>
      <c r="BS91" s="7"/>
      <c r="BT91" s="7"/>
      <c r="BU91" s="7"/>
      <c r="BV91" s="7"/>
      <c r="BW91" s="7"/>
      <c r="BX91" s="7"/>
      <c r="BY91" s="7"/>
      <c r="BZ91" s="7"/>
      <c r="CA91" s="7"/>
      <c r="CB91" s="7"/>
    </row>
    <row r="92" ht="21.75" customHeight="1">
      <c r="A92" s="7">
        <v>2833.0</v>
      </c>
      <c r="B92" s="7" t="s">
        <v>1530</v>
      </c>
      <c r="C92" s="7" t="s">
        <v>1531</v>
      </c>
      <c r="D92" s="7" t="s">
        <v>1532</v>
      </c>
      <c r="E92" s="7"/>
      <c r="F92" s="7" t="s">
        <v>342</v>
      </c>
      <c r="G92" s="7" t="s">
        <v>343</v>
      </c>
      <c r="H92" s="7" t="s">
        <v>33</v>
      </c>
      <c r="I92" s="7" t="s">
        <v>1533</v>
      </c>
      <c r="J92" s="7"/>
      <c r="K92" s="7" t="s">
        <v>34</v>
      </c>
      <c r="L92" s="7" t="s">
        <v>622</v>
      </c>
      <c r="M92" s="7" t="s">
        <v>622</v>
      </c>
      <c r="N92" s="7" t="s">
        <v>375</v>
      </c>
      <c r="O92" s="7">
        <v>97442.0</v>
      </c>
      <c r="P92" s="7" t="s">
        <v>33</v>
      </c>
      <c r="Q92" s="7"/>
      <c r="R92" s="7" t="s">
        <v>1534</v>
      </c>
      <c r="S92" s="7" t="s">
        <v>1535</v>
      </c>
      <c r="T92" s="7" t="s">
        <v>1536</v>
      </c>
      <c r="U92" s="7" t="s">
        <v>353</v>
      </c>
      <c r="V92" s="7">
        <v>2.62977863E8</v>
      </c>
      <c r="W92" s="7">
        <v>6.93937193E8</v>
      </c>
      <c r="X92" s="7"/>
      <c r="Y92" s="7"/>
      <c r="Z92" s="7" t="s">
        <v>1537</v>
      </c>
      <c r="AA92" s="7">
        <v>50.0</v>
      </c>
      <c r="AB92" s="7"/>
      <c r="AC92" s="7"/>
      <c r="AD92" s="7" t="s">
        <v>1538</v>
      </c>
      <c r="AE92" s="7" t="s">
        <v>1539</v>
      </c>
      <c r="AF92" s="7"/>
      <c r="AG92" s="7"/>
      <c r="AH92" s="20">
        <v>43739.0</v>
      </c>
      <c r="AI92" s="7"/>
      <c r="AJ92" s="7" t="s">
        <v>1540</v>
      </c>
      <c r="AK92" s="7">
        <v>4.1367192600025E13</v>
      </c>
      <c r="AL92" s="7" t="s">
        <v>1541</v>
      </c>
      <c r="AM92" s="7" t="s">
        <v>1542</v>
      </c>
      <c r="AN92" s="20">
        <v>43739.0</v>
      </c>
      <c r="AO92" s="7">
        <v>97442.0</v>
      </c>
      <c r="AP92" s="7" t="s">
        <v>884</v>
      </c>
      <c r="AQ92" s="7"/>
      <c r="AR92" s="7"/>
      <c r="AS92" s="7"/>
      <c r="AT92" s="7"/>
      <c r="AU92" s="7">
        <v>0.0</v>
      </c>
      <c r="AV92" s="7" t="s">
        <v>1543</v>
      </c>
      <c r="AW92" s="7"/>
      <c r="AX92" s="7"/>
      <c r="AY92" s="7"/>
      <c r="AZ92" s="7"/>
      <c r="BA92" s="7"/>
      <c r="BB92" s="7"/>
      <c r="BC92" s="7" t="s">
        <v>401</v>
      </c>
      <c r="BD92" s="21">
        <v>44140.0</v>
      </c>
      <c r="BE92" s="7" t="s">
        <v>1544</v>
      </c>
      <c r="BF92" s="7"/>
      <c r="BG92" s="7"/>
      <c r="BH92" s="7">
        <v>4.13671926E8</v>
      </c>
      <c r="BI92" s="7" t="s">
        <v>1545</v>
      </c>
      <c r="BJ92" s="7"/>
      <c r="BK92" s="7" t="b">
        <v>0</v>
      </c>
      <c r="BL92" s="7" t="b">
        <v>0</v>
      </c>
      <c r="BM92" s="7"/>
      <c r="BN92" s="7" t="str">
        <f>IFERROR(__xludf.DUMMYFUNCTION(" IF( REGEXMATCH(C92 , ""[(].+[)]""),REGEXREPLACE( CONCATENATE(REGEXEXTRACT(C92 , ""[(].+[)]""),IF(REGEXMATCH(C92 , ""[(][Ll]['’][)]""),"""","" ""), REGEXEXTRACT(C92 ,""^(?:(?:[A-Za-zàäéèêîïöôûü0-9 ](?:[A-Za-zàäéèêîïöôûü'0-9 ]+)))"")) , ""[()]"", """"),C92"&amp;" )"),"La Bicyclette Gourmande ")</f>
        <v>La Bicyclette Gourmande </v>
      </c>
      <c r="BO92" s="25"/>
      <c r="BP92" s="7"/>
      <c r="BQ92" s="7"/>
      <c r="BR92" s="7"/>
      <c r="BS92" s="7"/>
      <c r="BT92" s="7"/>
      <c r="BU92" s="7"/>
      <c r="BV92" s="7"/>
      <c r="BW92" s="7"/>
      <c r="BX92" s="7"/>
      <c r="BY92" s="7"/>
      <c r="BZ92" s="7"/>
      <c r="CA92" s="7"/>
      <c r="CB92" s="7"/>
    </row>
    <row r="93" ht="21.75" customHeight="1">
      <c r="A93" s="7">
        <v>4475.0</v>
      </c>
      <c r="B93" s="7" t="s">
        <v>1546</v>
      </c>
      <c r="C93" s="7" t="s">
        <v>1547</v>
      </c>
      <c r="D93" s="7"/>
      <c r="E93" s="7"/>
      <c r="F93" s="7" t="s">
        <v>342</v>
      </c>
      <c r="G93" s="7" t="s">
        <v>343</v>
      </c>
      <c r="H93" s="7" t="s">
        <v>123</v>
      </c>
      <c r="I93" s="7" t="s">
        <v>1548</v>
      </c>
      <c r="J93" s="7"/>
      <c r="K93" s="6" t="s">
        <v>469</v>
      </c>
      <c r="L93" s="7" t="s">
        <v>1549</v>
      </c>
      <c r="M93" s="7" t="s">
        <v>1550</v>
      </c>
      <c r="N93" s="7" t="s">
        <v>455</v>
      </c>
      <c r="O93" s="7">
        <v>97480.0</v>
      </c>
      <c r="P93" s="7" t="s">
        <v>123</v>
      </c>
      <c r="Q93" s="7" t="s">
        <v>946</v>
      </c>
      <c r="R93" s="7"/>
      <c r="S93" s="7" t="s">
        <v>1551</v>
      </c>
      <c r="T93" s="7" t="s">
        <v>377</v>
      </c>
      <c r="U93" s="7" t="s">
        <v>378</v>
      </c>
      <c r="V93" s="7">
        <v>2.62974355E8</v>
      </c>
      <c r="W93" s="7">
        <v>6.92657454E8</v>
      </c>
      <c r="X93" s="7"/>
      <c r="Y93" s="7"/>
      <c r="Z93" s="7" t="s">
        <v>1552</v>
      </c>
      <c r="AA93" s="7"/>
      <c r="AB93" s="7"/>
      <c r="AC93" s="7" t="s">
        <v>1553</v>
      </c>
      <c r="AD93" s="7" t="s">
        <v>1554</v>
      </c>
      <c r="AE93" s="7" t="s">
        <v>1555</v>
      </c>
      <c r="AF93" s="7"/>
      <c r="AG93" s="7"/>
      <c r="AH93" s="20">
        <v>43161.0</v>
      </c>
      <c r="AI93" s="7"/>
      <c r="AJ93" s="7" t="s">
        <v>1556</v>
      </c>
      <c r="AK93" s="7">
        <v>7.8969849500015E13</v>
      </c>
      <c r="AL93" s="7" t="s">
        <v>1557</v>
      </c>
      <c r="AM93" s="7" t="s">
        <v>1558</v>
      </c>
      <c r="AN93" s="20">
        <v>43161.0</v>
      </c>
      <c r="AO93" s="7">
        <v>97480.0</v>
      </c>
      <c r="AP93" s="7" t="s">
        <v>385</v>
      </c>
      <c r="AQ93" s="7"/>
      <c r="AR93" s="7"/>
      <c r="AS93" s="7"/>
      <c r="AT93" s="7"/>
      <c r="AU93" s="7">
        <v>0.0</v>
      </c>
      <c r="AV93" s="7" t="s">
        <v>1559</v>
      </c>
      <c r="AW93" s="7"/>
      <c r="AX93" s="7"/>
      <c r="AY93" s="7"/>
      <c r="AZ93" s="7"/>
      <c r="BA93" s="7"/>
      <c r="BB93" s="7"/>
      <c r="BC93" s="7" t="s">
        <v>401</v>
      </c>
      <c r="BD93" s="21">
        <v>44217.06319444445</v>
      </c>
      <c r="BE93" s="7" t="s">
        <v>1071</v>
      </c>
      <c r="BF93" s="7"/>
      <c r="BG93" s="7"/>
      <c r="BH93" s="7">
        <v>7.89698495E8</v>
      </c>
      <c r="BI93" s="7" t="s">
        <v>1560</v>
      </c>
      <c r="BJ93" s="7"/>
      <c r="BK93" s="7" t="b">
        <v>0</v>
      </c>
      <c r="BL93" s="7" t="b">
        <v>0</v>
      </c>
      <c r="BM93" s="7"/>
      <c r="BN93" s="7" t="str">
        <f>IFERROR(__xludf.DUMMYFUNCTION(" IF( REGEXMATCH(C93 , ""[(].+[)]""),REGEXREPLACE( CONCATENATE(REGEXEXTRACT(C93 , ""[(].+[)]""),IF(REGEXMATCH(C93 , ""[(][Ll]['’][)]""),"""","" ""), REGEXEXTRACT(C93 ,""^(?:(?:[A-Za-zàäéèêîïöôûü0-9 ](?:[A-Za-zàäéèêîïöôûü'0-9 ]+)))"")) , ""[()]"", """"),C93"&amp;" )"),"Les Biens Fées de Graziella ")</f>
        <v>Les Biens Fées de Graziella </v>
      </c>
      <c r="BO93" s="25"/>
      <c r="BP93" s="7"/>
      <c r="BQ93" s="7"/>
      <c r="BR93" s="7"/>
      <c r="BS93" s="7"/>
      <c r="BT93" s="7"/>
      <c r="BU93" s="7"/>
      <c r="BV93" s="7"/>
      <c r="BW93" s="7"/>
      <c r="BX93" s="7"/>
      <c r="BY93" s="7"/>
      <c r="BZ93" s="7"/>
      <c r="CA93" s="7"/>
      <c r="CB93" s="7"/>
    </row>
    <row r="94" ht="21.75" customHeight="1">
      <c r="A94" s="7">
        <v>4284.0</v>
      </c>
      <c r="B94" s="7" t="s">
        <v>1561</v>
      </c>
      <c r="C94" s="7" t="s">
        <v>1562</v>
      </c>
      <c r="D94" s="7"/>
      <c r="E94" s="7"/>
      <c r="F94" s="7" t="s">
        <v>342</v>
      </c>
      <c r="G94" s="7" t="s">
        <v>343</v>
      </c>
      <c r="H94" s="7" t="s">
        <v>344</v>
      </c>
      <c r="I94" s="7" t="s">
        <v>1563</v>
      </c>
      <c r="J94" s="26" t="s">
        <v>1564</v>
      </c>
      <c r="K94" s="7" t="s">
        <v>58</v>
      </c>
      <c r="L94" s="7" t="s">
        <v>59</v>
      </c>
      <c r="M94" s="7" t="s">
        <v>346</v>
      </c>
      <c r="N94" s="7" t="s">
        <v>664</v>
      </c>
      <c r="O94" s="7">
        <v>97430.0</v>
      </c>
      <c r="P94" s="7" t="s">
        <v>344</v>
      </c>
      <c r="Q94" s="7"/>
      <c r="R94" s="7" t="s">
        <v>1565</v>
      </c>
      <c r="S94" s="7" t="s">
        <v>1566</v>
      </c>
      <c r="T94" s="7" t="s">
        <v>1567</v>
      </c>
      <c r="U94" s="7" t="s">
        <v>424</v>
      </c>
      <c r="V94" s="7"/>
      <c r="W94" s="7">
        <v>6.92664493E8</v>
      </c>
      <c r="X94" s="7"/>
      <c r="Y94" s="7"/>
      <c r="Z94" s="7" t="s">
        <v>1568</v>
      </c>
      <c r="AA94" s="7">
        <v>8.0</v>
      </c>
      <c r="AB94" s="7" t="s">
        <v>395</v>
      </c>
      <c r="AC94" s="7" t="s">
        <v>1569</v>
      </c>
      <c r="AD94" s="7" t="s">
        <v>1570</v>
      </c>
      <c r="AE94" s="7" t="s">
        <v>1571</v>
      </c>
      <c r="AF94" s="7"/>
      <c r="AG94" s="7"/>
      <c r="AH94" s="20">
        <v>42831.0</v>
      </c>
      <c r="AI94" s="7"/>
      <c r="AJ94" s="7" t="s">
        <v>1572</v>
      </c>
      <c r="AK94" s="7">
        <v>3.8116042300053E13</v>
      </c>
      <c r="AL94" s="7" t="s">
        <v>1573</v>
      </c>
      <c r="AM94" s="7" t="s">
        <v>1574</v>
      </c>
      <c r="AN94" s="20">
        <v>42831.0</v>
      </c>
      <c r="AO94" s="7">
        <v>97410.0</v>
      </c>
      <c r="AP94" s="7" t="s">
        <v>512</v>
      </c>
      <c r="AQ94" s="7"/>
      <c r="AR94" s="7"/>
      <c r="AS94" s="7"/>
      <c r="AT94" s="7"/>
      <c r="AU94" s="7">
        <v>1.0</v>
      </c>
      <c r="AV94" s="7" t="s">
        <v>1575</v>
      </c>
      <c r="AW94" s="7" t="s">
        <v>1576</v>
      </c>
      <c r="AX94" s="7"/>
      <c r="AY94" s="7"/>
      <c r="AZ94" s="7" t="s">
        <v>1577</v>
      </c>
      <c r="BA94" s="7"/>
      <c r="BB94" s="7"/>
      <c r="BC94" s="7" t="s">
        <v>401</v>
      </c>
      <c r="BD94" s="21">
        <v>44110.47638888889</v>
      </c>
      <c r="BE94" s="7" t="s">
        <v>1011</v>
      </c>
      <c r="BF94" s="7"/>
      <c r="BG94" s="7"/>
      <c r="BH94" s="7">
        <v>3.81160423E8</v>
      </c>
      <c r="BI94" s="7" t="s">
        <v>1578</v>
      </c>
      <c r="BJ94" s="7"/>
      <c r="BK94" s="7" t="b">
        <v>0</v>
      </c>
      <c r="BL94" s="7" t="b">
        <v>0</v>
      </c>
      <c r="BM94" s="7"/>
      <c r="BN94" s="7" t="str">
        <f>IFERROR(__xludf.DUMMYFUNCTION(" IF( REGEXMATCH(C94 , ""[(].+[)]""),REGEXREPLACE( CONCATENATE(REGEXEXTRACT(C94 , ""[(].+[)]""),IF(REGEXMATCH(C94 , ""[(][Ll]['’][)]""),"""","" ""), REGEXEXTRACT(C94 ,""^(?:(?:[A-Za-zàäéèêîïöôûü0-9 ](?:[A-Za-zàäéèêîïöôûü'0-9 ]+)))"")) , ""[()]"", """"),C94"&amp;" )"),"Bleu du Sud")</f>
        <v>Bleu du Sud</v>
      </c>
      <c r="BO94" s="25"/>
      <c r="BP94" s="7"/>
      <c r="BQ94" s="7"/>
      <c r="BR94" s="7"/>
      <c r="BS94" s="7"/>
      <c r="BT94" s="7"/>
      <c r="BU94" s="7"/>
      <c r="BV94" s="7"/>
      <c r="BW94" s="7"/>
      <c r="BX94" s="7"/>
      <c r="BY94" s="7"/>
      <c r="BZ94" s="7"/>
      <c r="CA94" s="7"/>
      <c r="CB94" s="7"/>
    </row>
    <row r="95" ht="21.75" customHeight="1">
      <c r="A95" s="7">
        <v>3867.0</v>
      </c>
      <c r="B95" s="7" t="s">
        <v>1579</v>
      </c>
      <c r="C95" s="7" t="s">
        <v>1580</v>
      </c>
      <c r="D95" s="7"/>
      <c r="E95" s="7"/>
      <c r="F95" s="7" t="s">
        <v>404</v>
      </c>
      <c r="G95" s="7" t="s">
        <v>343</v>
      </c>
      <c r="H95" s="7" t="s">
        <v>344</v>
      </c>
      <c r="I95" s="7" t="s">
        <v>1581</v>
      </c>
      <c r="J95" s="7"/>
      <c r="K95" s="7" t="s">
        <v>58</v>
      </c>
      <c r="L95" s="7" t="s">
        <v>59</v>
      </c>
      <c r="M95" s="7" t="s">
        <v>545</v>
      </c>
      <c r="N95" s="7" t="s">
        <v>455</v>
      </c>
      <c r="O95" s="7">
        <v>97418.0</v>
      </c>
      <c r="P95" s="7" t="s">
        <v>348</v>
      </c>
      <c r="Q95" s="7"/>
      <c r="R95" s="7"/>
      <c r="S95" s="7"/>
      <c r="T95" s="7" t="s">
        <v>377</v>
      </c>
      <c r="U95" s="7" t="s">
        <v>424</v>
      </c>
      <c r="V95" s="7"/>
      <c r="W95" s="7">
        <v>6.92237622E8</v>
      </c>
      <c r="X95" s="7"/>
      <c r="Y95" s="7"/>
      <c r="Z95" s="7" t="s">
        <v>1582</v>
      </c>
      <c r="AA95" s="7">
        <v>3.0</v>
      </c>
      <c r="AB95" s="7"/>
      <c r="AC95" s="7" t="s">
        <v>1583</v>
      </c>
      <c r="AD95" s="7" t="s">
        <v>1584</v>
      </c>
      <c r="AE95" s="7"/>
      <c r="AF95" s="7"/>
      <c r="AG95" s="7"/>
      <c r="AH95" s="20">
        <v>42164.0</v>
      </c>
      <c r="AI95" s="7"/>
      <c r="AJ95" s="7" t="s">
        <v>1585</v>
      </c>
      <c r="AK95" s="7"/>
      <c r="AL95" s="7" t="s">
        <v>1586</v>
      </c>
      <c r="AM95" s="7" t="s">
        <v>1587</v>
      </c>
      <c r="AN95" s="20">
        <v>42164.0</v>
      </c>
      <c r="AO95" s="7">
        <v>97418.0</v>
      </c>
      <c r="AP95" s="7" t="s">
        <v>362</v>
      </c>
      <c r="AQ95" s="7"/>
      <c r="AR95" s="7"/>
      <c r="AS95" s="7"/>
      <c r="AT95" s="7"/>
      <c r="AU95" s="7">
        <v>1.0</v>
      </c>
      <c r="AV95" s="7" t="s">
        <v>1588</v>
      </c>
      <c r="AW95" s="7"/>
      <c r="AX95" s="7" t="s">
        <v>1589</v>
      </c>
      <c r="AY95" s="7" t="s">
        <v>1590</v>
      </c>
      <c r="AZ95" s="7" t="s">
        <v>1591</v>
      </c>
      <c r="BA95" s="7"/>
      <c r="BB95" s="7"/>
      <c r="BC95" s="7" t="s">
        <v>401</v>
      </c>
      <c r="BD95" s="21">
        <v>44049.21388888889</v>
      </c>
      <c r="BE95" s="7" t="s">
        <v>1592</v>
      </c>
      <c r="BF95" s="7"/>
      <c r="BG95" s="7"/>
      <c r="BH95" s="7"/>
      <c r="BI95" s="7" t="s">
        <v>1593</v>
      </c>
      <c r="BJ95" s="7"/>
      <c r="BK95" s="7" t="b">
        <v>0</v>
      </c>
      <c r="BL95" s="7" t="b">
        <v>0</v>
      </c>
      <c r="BM95" s="7"/>
      <c r="BN95" s="7" t="str">
        <f>IFERROR(__xludf.DUMMYFUNCTION(" IF( REGEXMATCH(C95 , ""[(].+[)]""),REGEXREPLACE( CONCATENATE(REGEXEXTRACT(C95 , ""[(].+[)]""),IF(REGEXMATCH(C95 , ""[(][Ll]['’][)]""),"""","" ""), REGEXEXTRACT(C95 ,""^(?:(?:[A-Za-zàäéèêîïöôûü0-9 ](?:[A-Za-zàäéèêîïöôûü'0-9 ]+)))"")) , ""[()]"", """"),C95"&amp;" )"),"Bungalow Ti'Fleur")</f>
        <v>Bungalow Ti'Fleur</v>
      </c>
      <c r="BO95" s="25"/>
      <c r="BP95" s="7"/>
      <c r="BQ95" s="7"/>
      <c r="BR95" s="7"/>
      <c r="BS95" s="7"/>
      <c r="BT95" s="7"/>
      <c r="BU95" s="7"/>
      <c r="BV95" s="7"/>
      <c r="BW95" s="7"/>
      <c r="BX95" s="7"/>
      <c r="BY95" s="7"/>
      <c r="BZ95" s="7"/>
      <c r="CA95" s="7"/>
      <c r="CB95" s="7"/>
    </row>
    <row r="96" ht="21.75" customHeight="1">
      <c r="A96" s="7">
        <v>1985.0</v>
      </c>
      <c r="B96" s="7" t="s">
        <v>1594</v>
      </c>
      <c r="C96" s="7" t="s">
        <v>1595</v>
      </c>
      <c r="D96" s="7"/>
      <c r="E96" s="7"/>
      <c r="F96" s="7" t="s">
        <v>342</v>
      </c>
      <c r="G96" s="7" t="s">
        <v>343</v>
      </c>
      <c r="H96" s="7" t="s">
        <v>344</v>
      </c>
      <c r="I96" s="7" t="s">
        <v>1596</v>
      </c>
      <c r="J96" s="7"/>
      <c r="K96" s="7" t="s">
        <v>34</v>
      </c>
      <c r="L96" s="7" t="s">
        <v>622</v>
      </c>
      <c r="M96" s="7" t="s">
        <v>622</v>
      </c>
      <c r="N96" s="7" t="s">
        <v>455</v>
      </c>
      <c r="O96" s="7">
        <v>97430.0</v>
      </c>
      <c r="P96" s="7" t="s">
        <v>344</v>
      </c>
      <c r="Q96" s="7"/>
      <c r="R96" s="7" t="s">
        <v>801</v>
      </c>
      <c r="S96" s="7" t="s">
        <v>1348</v>
      </c>
      <c r="T96" s="7" t="s">
        <v>377</v>
      </c>
      <c r="U96" s="7" t="s">
        <v>353</v>
      </c>
      <c r="V96" s="7">
        <v>2.62576969E8</v>
      </c>
      <c r="W96" s="7">
        <v>6.92762889E8</v>
      </c>
      <c r="X96" s="7"/>
      <c r="Y96" s="7"/>
      <c r="Z96" s="7" t="s">
        <v>1597</v>
      </c>
      <c r="AA96" s="7"/>
      <c r="AB96" s="7"/>
      <c r="AC96" s="7" t="s">
        <v>1598</v>
      </c>
      <c r="AD96" s="7" t="s">
        <v>1599</v>
      </c>
      <c r="AE96" s="7"/>
      <c r="AF96" s="7"/>
      <c r="AG96" s="7" t="s">
        <v>1600</v>
      </c>
      <c r="AH96" s="20">
        <v>43739.0</v>
      </c>
      <c r="AI96" s="7"/>
      <c r="AJ96" s="7" t="s">
        <v>1601</v>
      </c>
      <c r="AK96" s="7"/>
      <c r="AL96" s="7" t="s">
        <v>1602</v>
      </c>
      <c r="AM96" s="7" t="s">
        <v>1603</v>
      </c>
      <c r="AN96" s="20">
        <v>43739.0</v>
      </c>
      <c r="AO96" s="7">
        <v>97430.0</v>
      </c>
      <c r="AP96" s="7" t="s">
        <v>494</v>
      </c>
      <c r="AQ96" s="7"/>
      <c r="AR96" s="7"/>
      <c r="AS96" s="7"/>
      <c r="AT96" s="7"/>
      <c r="AU96" s="7">
        <v>0.0</v>
      </c>
      <c r="AV96" s="7" t="s">
        <v>1604</v>
      </c>
      <c r="AW96" s="7"/>
      <c r="AX96" s="7"/>
      <c r="AY96" s="7"/>
      <c r="AZ96" s="7"/>
      <c r="BA96" s="7"/>
      <c r="BB96" s="7"/>
      <c r="BC96" s="7" t="s">
        <v>401</v>
      </c>
      <c r="BD96" s="21">
        <v>44217.092361111114</v>
      </c>
      <c r="BE96" s="7" t="s">
        <v>1047</v>
      </c>
      <c r="BF96" s="7"/>
      <c r="BG96" s="7"/>
      <c r="BH96" s="7"/>
      <c r="BI96" s="7" t="s">
        <v>1605</v>
      </c>
      <c r="BJ96" s="7"/>
      <c r="BK96" s="7" t="b">
        <v>0</v>
      </c>
      <c r="BL96" s="7" t="b">
        <v>0</v>
      </c>
      <c r="BM96" s="7"/>
      <c r="BN96" s="7" t="str">
        <f>IFERROR(__xludf.DUMMYFUNCTION(" IF( REGEXMATCH(C96 , ""[(].+[)]""),REGEXREPLACE( CONCATENATE(REGEXEXTRACT(C96 , ""[(].+[)]""),IF(REGEXMATCH(C96 , ""[(][Ll]['’][)]""),"""","" ""), REGEXEXTRACT(C96 ,""^(?:(?:[A-Za-zàäéèêîïöôûü0-9 ](?:[A-Za-zàäéèêîïöôûü'0-9 ]+)))"")) , ""[()]"", """"),C96"&amp;" )"),"Bongo")</f>
        <v>Bongo</v>
      </c>
      <c r="BO96" s="25"/>
      <c r="BP96" s="7"/>
      <c r="BQ96" s="7"/>
      <c r="BR96" s="7"/>
      <c r="BS96" s="7"/>
      <c r="BT96" s="7"/>
      <c r="BU96" s="7"/>
      <c r="BV96" s="7"/>
      <c r="BW96" s="7"/>
      <c r="BX96" s="7"/>
      <c r="BY96" s="7"/>
      <c r="BZ96" s="7"/>
      <c r="CA96" s="7"/>
      <c r="CB96" s="7"/>
    </row>
    <row r="97" ht="21.75" customHeight="1">
      <c r="A97" s="7">
        <v>1006.0</v>
      </c>
      <c r="B97" s="7">
        <v>96.0</v>
      </c>
      <c r="C97" s="7" t="s">
        <v>1606</v>
      </c>
      <c r="D97" s="7" t="s">
        <v>1607</v>
      </c>
      <c r="E97" s="7"/>
      <c r="F97" s="7" t="s">
        <v>404</v>
      </c>
      <c r="G97" s="7" t="s">
        <v>343</v>
      </c>
      <c r="H97" s="7" t="s">
        <v>344</v>
      </c>
      <c r="I97" s="7" t="s">
        <v>1608</v>
      </c>
      <c r="J97" s="7"/>
      <c r="K97" s="7" t="s">
        <v>34</v>
      </c>
      <c r="L97" s="7" t="s">
        <v>622</v>
      </c>
      <c r="M97" s="7" t="s">
        <v>622</v>
      </c>
      <c r="N97" s="7" t="s">
        <v>1609</v>
      </c>
      <c r="O97" s="7">
        <v>97430.0</v>
      </c>
      <c r="P97" s="7" t="s">
        <v>344</v>
      </c>
      <c r="Q97" s="7"/>
      <c r="R97" s="7" t="s">
        <v>1610</v>
      </c>
      <c r="S97" s="7" t="s">
        <v>1611</v>
      </c>
      <c r="T97" s="7" t="s">
        <v>1612</v>
      </c>
      <c r="U97" s="7" t="s">
        <v>592</v>
      </c>
      <c r="V97" s="7">
        <v>2.62277063E8</v>
      </c>
      <c r="W97" s="7">
        <v>6.92650315E8</v>
      </c>
      <c r="X97" s="7"/>
      <c r="Y97" s="7"/>
      <c r="Z97" s="7" t="s">
        <v>1613</v>
      </c>
      <c r="AA97" s="7">
        <v>150.0</v>
      </c>
      <c r="AB97" s="7"/>
      <c r="AC97" s="7"/>
      <c r="AD97" s="7" t="s">
        <v>1614</v>
      </c>
      <c r="AE97" s="7" t="s">
        <v>1615</v>
      </c>
      <c r="AF97" s="7"/>
      <c r="AG97" s="7"/>
      <c r="AH97" s="20">
        <v>39575.0</v>
      </c>
      <c r="AI97" s="7"/>
      <c r="AJ97" s="7" t="s">
        <v>1616</v>
      </c>
      <c r="AK97" s="7"/>
      <c r="AL97" s="7" t="s">
        <v>1617</v>
      </c>
      <c r="AM97" s="7" t="s">
        <v>1618</v>
      </c>
      <c r="AN97" s="20">
        <v>39575.0</v>
      </c>
      <c r="AO97" s="7">
        <v>97430.0</v>
      </c>
      <c r="AP97" s="7" t="s">
        <v>494</v>
      </c>
      <c r="AQ97" s="7"/>
      <c r="AR97" s="7"/>
      <c r="AS97" s="7"/>
      <c r="AT97" s="7"/>
      <c r="AU97" s="7">
        <v>0.0</v>
      </c>
      <c r="AV97" s="7" t="s">
        <v>1619</v>
      </c>
      <c r="AW97" s="7"/>
      <c r="AX97" s="7"/>
      <c r="AY97" s="7"/>
      <c r="AZ97" s="7"/>
      <c r="BA97" s="7"/>
      <c r="BB97" s="7"/>
      <c r="BC97" s="7" t="s">
        <v>366</v>
      </c>
      <c r="BD97" s="21">
        <v>44182.41875</v>
      </c>
      <c r="BE97" s="7"/>
      <c r="BF97" s="7"/>
      <c r="BG97" s="22">
        <v>44182.0</v>
      </c>
      <c r="BH97" s="7"/>
      <c r="BI97" s="7" t="s">
        <v>1620</v>
      </c>
      <c r="BJ97" s="7"/>
      <c r="BK97" s="7" t="b">
        <v>0</v>
      </c>
      <c r="BL97" s="7" t="b">
        <v>0</v>
      </c>
      <c r="BM97" s="7"/>
      <c r="BN97" s="7" t="str">
        <f>IFERROR(__xludf.DUMMYFUNCTION(" IF( REGEXMATCH(C97 , ""[(].+[)]""),REGEXREPLACE( CONCATENATE(REGEXEXTRACT(C97 , ""[(].+[)]""),IF(REGEXMATCH(C97 , ""[(][Ll]['’][)]""),"""","" ""), REGEXEXTRACT(C97 ,""^(?:(?:[A-Za-zàäéèêîïöôûü0-9 ](?:[A-Za-zàäéèêîïöôûü'0-9 ]+)))"")) , ""[()]"", """"),C97"&amp;" )"),"La Bonne Cuisine ")</f>
        <v>La Bonne Cuisine </v>
      </c>
      <c r="BO97" s="23"/>
      <c r="BP97" s="7"/>
      <c r="BQ97" s="7"/>
      <c r="BR97" s="7"/>
      <c r="BS97" s="7"/>
      <c r="BT97" s="7"/>
      <c r="BU97" s="7"/>
      <c r="BV97" s="7"/>
      <c r="BW97" s="7"/>
      <c r="BX97" s="7"/>
      <c r="BY97" s="7"/>
      <c r="BZ97" s="7"/>
      <c r="CA97" s="7"/>
      <c r="CB97" s="7"/>
    </row>
    <row r="98" ht="21.75" customHeight="1">
      <c r="A98" s="7">
        <v>965.0</v>
      </c>
      <c r="B98" s="7">
        <v>97.0</v>
      </c>
      <c r="C98" s="7" t="s">
        <v>1621</v>
      </c>
      <c r="D98" s="7" t="s">
        <v>1622</v>
      </c>
      <c r="E98" s="7"/>
      <c r="F98" s="7" t="s">
        <v>404</v>
      </c>
      <c r="G98" s="7" t="s">
        <v>343</v>
      </c>
      <c r="H98" s="7" t="s">
        <v>123</v>
      </c>
      <c r="I98" s="7" t="s">
        <v>1623</v>
      </c>
      <c r="J98" s="7"/>
      <c r="K98" s="7" t="s">
        <v>34</v>
      </c>
      <c r="L98" s="7" t="s">
        <v>622</v>
      </c>
      <c r="M98" s="7" t="s">
        <v>622</v>
      </c>
      <c r="N98" s="7" t="s">
        <v>407</v>
      </c>
      <c r="O98" s="7">
        <v>97480.0</v>
      </c>
      <c r="P98" s="7" t="s">
        <v>123</v>
      </c>
      <c r="Q98" s="7"/>
      <c r="R98" s="7" t="s">
        <v>1624</v>
      </c>
      <c r="S98" s="7" t="s">
        <v>865</v>
      </c>
      <c r="T98" s="7" t="s">
        <v>377</v>
      </c>
      <c r="U98" s="7" t="s">
        <v>876</v>
      </c>
      <c r="V98" s="7">
        <v>2.62562076E8</v>
      </c>
      <c r="W98" s="7">
        <v>6.92278494E8</v>
      </c>
      <c r="X98" s="7"/>
      <c r="Y98" s="7"/>
      <c r="Z98" s="7"/>
      <c r="AA98" s="7">
        <v>300.0</v>
      </c>
      <c r="AB98" s="7"/>
      <c r="AC98" s="7"/>
      <c r="AD98" s="7" t="s">
        <v>1625</v>
      </c>
      <c r="AE98" s="7" t="s">
        <v>1626</v>
      </c>
      <c r="AF98" s="7"/>
      <c r="AG98" s="7"/>
      <c r="AH98" s="20">
        <v>39575.0</v>
      </c>
      <c r="AI98" s="7"/>
      <c r="AJ98" s="7" t="s">
        <v>1627</v>
      </c>
      <c r="AK98" s="7"/>
      <c r="AL98" s="7" t="s">
        <v>1628</v>
      </c>
      <c r="AM98" s="7" t="s">
        <v>1629</v>
      </c>
      <c r="AN98" s="20">
        <v>39575.0</v>
      </c>
      <c r="AO98" s="7">
        <v>97480.0</v>
      </c>
      <c r="AP98" s="7" t="s">
        <v>385</v>
      </c>
      <c r="AQ98" s="7"/>
      <c r="AR98" s="7"/>
      <c r="AS98" s="7"/>
      <c r="AT98" s="7"/>
      <c r="AU98" s="7">
        <v>0.0</v>
      </c>
      <c r="AV98" s="7" t="s">
        <v>1630</v>
      </c>
      <c r="AW98" s="7"/>
      <c r="AX98" s="7"/>
      <c r="AY98" s="7"/>
      <c r="AZ98" s="7"/>
      <c r="BA98" s="7"/>
      <c r="BB98" s="7"/>
      <c r="BC98" s="7" t="s">
        <v>366</v>
      </c>
      <c r="BD98" s="21">
        <v>44178.39722222222</v>
      </c>
      <c r="BE98" s="7"/>
      <c r="BF98" s="7"/>
      <c r="BG98" s="22">
        <v>44178.0</v>
      </c>
      <c r="BH98" s="7"/>
      <c r="BI98" s="7" t="s">
        <v>1490</v>
      </c>
      <c r="BJ98" s="7"/>
      <c r="BK98" s="7" t="b">
        <v>0</v>
      </c>
      <c r="BL98" s="7" t="b">
        <v>0</v>
      </c>
      <c r="BM98" s="7"/>
      <c r="BN98" s="7" t="str">
        <f>IFERROR(__xludf.DUMMYFUNCTION(" IF( REGEXMATCH(C98 , ""[(].+[)]""),REGEXREPLACE( CONCATENATE(REGEXEXTRACT(C98 , ""[(].+[)]""),IF(REGEXMATCH(C98 , ""[(][Ll]['’][)]""),"""","" ""), REGEXEXTRACT(C98 ,""^(?:(?:[A-Za-zàäéèêîïöôûü0-9 ](?:[A-Za-zàäéèêîïöôûü'0-9 ]+)))"")) , ""[()]"", """"),C98"&amp;" )"),"La Bonne Idée ")</f>
        <v>La Bonne Idée </v>
      </c>
      <c r="BO98" s="23"/>
      <c r="BP98" s="7"/>
      <c r="BQ98" s="7"/>
      <c r="BR98" s="7"/>
      <c r="BS98" s="7"/>
      <c r="BT98" s="7"/>
      <c r="BU98" s="7"/>
      <c r="BV98" s="7"/>
      <c r="BW98" s="7"/>
      <c r="BX98" s="7"/>
      <c r="BY98" s="7"/>
      <c r="BZ98" s="7"/>
      <c r="CA98" s="7"/>
      <c r="CB98" s="7"/>
    </row>
    <row r="99" ht="21.75" customHeight="1">
      <c r="A99" s="7">
        <v>2247.0</v>
      </c>
      <c r="B99" s="7" t="s">
        <v>1631</v>
      </c>
      <c r="C99" s="7" t="s">
        <v>1632</v>
      </c>
      <c r="D99" s="7"/>
      <c r="E99" s="7"/>
      <c r="F99" s="7" t="s">
        <v>342</v>
      </c>
      <c r="G99" s="7" t="s">
        <v>343</v>
      </c>
      <c r="H99" s="7" t="s">
        <v>344</v>
      </c>
      <c r="I99" s="7" t="s">
        <v>1633</v>
      </c>
      <c r="J99" s="7"/>
      <c r="K99" s="7" t="s">
        <v>34</v>
      </c>
      <c r="L99" s="7" t="s">
        <v>622</v>
      </c>
      <c r="M99" s="7" t="s">
        <v>622</v>
      </c>
      <c r="N99" s="7" t="s">
        <v>1609</v>
      </c>
      <c r="O99" s="7">
        <v>97430.0</v>
      </c>
      <c r="P99" s="7" t="s">
        <v>344</v>
      </c>
      <c r="Q99" s="7"/>
      <c r="R99" s="7"/>
      <c r="S99" s="7" t="s">
        <v>1370</v>
      </c>
      <c r="T99" s="7" t="s">
        <v>377</v>
      </c>
      <c r="U99" s="7" t="s">
        <v>378</v>
      </c>
      <c r="V99" s="7">
        <v>2.62272095E8</v>
      </c>
      <c r="W99" s="7"/>
      <c r="X99" s="7"/>
      <c r="Y99" s="7"/>
      <c r="Z99" s="7" t="s">
        <v>1634</v>
      </c>
      <c r="AA99" s="7"/>
      <c r="AB99" s="7"/>
      <c r="AC99" s="7"/>
      <c r="AD99" s="7" t="s">
        <v>1635</v>
      </c>
      <c r="AE99" s="7"/>
      <c r="AF99" s="7"/>
      <c r="AG99" s="7"/>
      <c r="AH99" s="20">
        <v>43739.0</v>
      </c>
      <c r="AI99" s="7"/>
      <c r="AJ99" s="7" t="s">
        <v>1632</v>
      </c>
      <c r="AK99" s="7"/>
      <c r="AL99" s="7" t="s">
        <v>1636</v>
      </c>
      <c r="AM99" s="7" t="s">
        <v>1637</v>
      </c>
      <c r="AN99" s="20">
        <v>43739.0</v>
      </c>
      <c r="AO99" s="7">
        <v>97430.0</v>
      </c>
      <c r="AP99" s="7" t="s">
        <v>494</v>
      </c>
      <c r="AQ99" s="7"/>
      <c r="AR99" s="7"/>
      <c r="AS99" s="7"/>
      <c r="AT99" s="7"/>
      <c r="AU99" s="7">
        <v>0.0</v>
      </c>
      <c r="AV99" s="7" t="s">
        <v>1638</v>
      </c>
      <c r="AW99" s="7"/>
      <c r="AX99" s="7"/>
      <c r="AY99" s="7"/>
      <c r="AZ99" s="7"/>
      <c r="BA99" s="7"/>
      <c r="BB99" s="7"/>
      <c r="BC99" s="7" t="s">
        <v>401</v>
      </c>
      <c r="BD99" s="21">
        <v>44217.0</v>
      </c>
      <c r="BE99" s="7" t="s">
        <v>1047</v>
      </c>
      <c r="BF99" s="7"/>
      <c r="BG99" s="7"/>
      <c r="BH99" s="7"/>
      <c r="BI99" s="7" t="s">
        <v>1639</v>
      </c>
      <c r="BJ99" s="7"/>
      <c r="BK99" s="7" t="b">
        <v>0</v>
      </c>
      <c r="BL99" s="7" t="b">
        <v>0</v>
      </c>
      <c r="BM99" s="7"/>
      <c r="BN99" s="7" t="str">
        <f>IFERROR(__xludf.DUMMYFUNCTION(" IF( REGEXMATCH(C99 , ""[(].+[)]""),REGEXREPLACE( CONCATENATE(REGEXEXTRACT(C99 , ""[(].+[)]""),IF(REGEXMATCH(C99 , ""[(][Ll]['’][)]""),"""","" ""), REGEXEXTRACT(C99 ,""^(?:(?:[A-Za-zàäéèêîïöôûü0-9 ](?:[A-Za-zàäéèêîïöôûü'0-9 ]+)))"")) , ""[()]"", """"),C99"&amp;" )"),"Les Bons Enfants ")</f>
        <v>Les Bons Enfants </v>
      </c>
      <c r="BO99" s="25"/>
      <c r="BP99" s="7"/>
      <c r="BQ99" s="7"/>
      <c r="BR99" s="7"/>
      <c r="BS99" s="7"/>
      <c r="BT99" s="7"/>
      <c r="BU99" s="7"/>
      <c r="BV99" s="7"/>
      <c r="BW99" s="7"/>
      <c r="BX99" s="7"/>
      <c r="BY99" s="7"/>
      <c r="BZ99" s="7"/>
      <c r="CA99" s="7"/>
      <c r="CB99" s="7"/>
    </row>
    <row r="100" ht="21.75" customHeight="1">
      <c r="A100" s="7">
        <v>4602.0</v>
      </c>
      <c r="B100" s="7" t="s">
        <v>1640</v>
      </c>
      <c r="C100" s="7" t="s">
        <v>1641</v>
      </c>
      <c r="D100" s="7"/>
      <c r="E100" s="7"/>
      <c r="F100" s="7" t="s">
        <v>342</v>
      </c>
      <c r="G100" s="7" t="s">
        <v>343</v>
      </c>
      <c r="H100" s="7" t="s">
        <v>344</v>
      </c>
      <c r="I100" s="7" t="s">
        <v>1642</v>
      </c>
      <c r="J100" s="26" t="s">
        <v>1643</v>
      </c>
      <c r="K100" s="7" t="s">
        <v>1198</v>
      </c>
      <c r="L100" s="7" t="s">
        <v>1644</v>
      </c>
      <c r="M100" s="7" t="s">
        <v>1645</v>
      </c>
      <c r="N100" s="7" t="s">
        <v>455</v>
      </c>
      <c r="O100" s="7">
        <v>97430.0</v>
      </c>
      <c r="P100" s="7" t="s">
        <v>344</v>
      </c>
      <c r="Q100" s="7"/>
      <c r="R100" s="7"/>
      <c r="S100" s="7"/>
      <c r="T100" s="7" t="s">
        <v>1646</v>
      </c>
      <c r="U100" s="7" t="s">
        <v>851</v>
      </c>
      <c r="V100" s="7"/>
      <c r="W100" s="7">
        <v>6.93471272E8</v>
      </c>
      <c r="X100" s="7"/>
      <c r="Y100" s="7"/>
      <c r="Z100" s="7" t="s">
        <v>1647</v>
      </c>
      <c r="AA100" s="7">
        <v>4.0</v>
      </c>
      <c r="AB100" s="7"/>
      <c r="AC100" s="7" t="s">
        <v>1648</v>
      </c>
      <c r="AD100" s="7" t="s">
        <v>1649</v>
      </c>
      <c r="AE100" s="7" t="s">
        <v>1650</v>
      </c>
      <c r="AF100" s="7"/>
      <c r="AG100" s="7" t="s">
        <v>597</v>
      </c>
      <c r="AH100" s="20">
        <v>43369.0</v>
      </c>
      <c r="AI100" s="7"/>
      <c r="AJ100" s="7" t="s">
        <v>1641</v>
      </c>
      <c r="AK100" s="7">
        <v>8.0036846600028E13</v>
      </c>
      <c r="AL100" s="7" t="s">
        <v>1651</v>
      </c>
      <c r="AM100" s="7" t="s">
        <v>1652</v>
      </c>
      <c r="AN100" s="20">
        <v>43369.0</v>
      </c>
      <c r="AO100" s="7">
        <v>97430.0</v>
      </c>
      <c r="AP100" s="7" t="s">
        <v>494</v>
      </c>
      <c r="AQ100" s="7"/>
      <c r="AR100" s="7"/>
      <c r="AS100" s="7"/>
      <c r="AT100" s="7"/>
      <c r="AU100" s="7">
        <v>0.0</v>
      </c>
      <c r="AV100" s="7" t="s">
        <v>1653</v>
      </c>
      <c r="AW100" s="7" t="s">
        <v>1654</v>
      </c>
      <c r="AX100" s="7"/>
      <c r="AY100" s="7"/>
      <c r="AZ100" s="7"/>
      <c r="BA100" s="7"/>
      <c r="BB100" s="7"/>
      <c r="BC100" s="7" t="s">
        <v>401</v>
      </c>
      <c r="BD100" s="21">
        <v>44186.0</v>
      </c>
      <c r="BE100" s="7" t="s">
        <v>449</v>
      </c>
      <c r="BF100" s="7"/>
      <c r="BG100" s="7"/>
      <c r="BH100" s="7">
        <v>8.00368466E8</v>
      </c>
      <c r="BI100" s="7" t="s">
        <v>1655</v>
      </c>
      <c r="BJ100" s="7"/>
      <c r="BK100" s="7" t="b">
        <v>0</v>
      </c>
      <c r="BL100" s="7" t="b">
        <v>0</v>
      </c>
      <c r="BM100" s="7"/>
      <c r="BN100" s="7" t="str">
        <f>IFERROR(__xludf.DUMMYFUNCTION(" IF( REGEXMATCH(C100 , ""[(].+[)]""),REGEXREPLACE( CONCATENATE(REGEXEXTRACT(C100 , ""[(].+[)]""),IF(REGEXMATCH(C100 , ""[(][Ll]['’][)]""),"""","" ""), REGEXEXTRACT(C100 ,""^(?:(?:[A-Za-zàäéèêîïöôûü0-9 ](?:[A-Za-zàäéèêîïöôûü'0-9 ]+)))"")) , ""[()]"", """")"&amp;",C100 )"),"Bost Stéphane VTC")</f>
        <v>Bost Stéphane VTC</v>
      </c>
      <c r="BO100" s="25"/>
      <c r="BP100" s="7"/>
      <c r="BQ100" s="7"/>
      <c r="BR100" s="7"/>
      <c r="BS100" s="7"/>
      <c r="BT100" s="7"/>
      <c r="BU100" s="7"/>
      <c r="BV100" s="7"/>
      <c r="BW100" s="7"/>
      <c r="BX100" s="7"/>
      <c r="BY100" s="7"/>
      <c r="BZ100" s="7"/>
      <c r="CA100" s="7"/>
      <c r="CB100" s="7"/>
    </row>
    <row r="101" ht="21.75" customHeight="1">
      <c r="A101" s="7">
        <v>2056.0</v>
      </c>
      <c r="B101" s="7" t="s">
        <v>1656</v>
      </c>
      <c r="C101" s="7" t="s">
        <v>1657</v>
      </c>
      <c r="D101" s="7" t="s">
        <v>1657</v>
      </c>
      <c r="E101" s="7"/>
      <c r="F101" s="7" t="s">
        <v>342</v>
      </c>
      <c r="G101" s="7" t="s">
        <v>343</v>
      </c>
      <c r="H101" s="7" t="s">
        <v>40</v>
      </c>
      <c r="I101" s="7" t="s">
        <v>1658</v>
      </c>
      <c r="J101" s="7"/>
      <c r="K101" s="6" t="s">
        <v>469</v>
      </c>
      <c r="L101" s="7" t="s">
        <v>197</v>
      </c>
      <c r="M101" s="7" t="s">
        <v>559</v>
      </c>
      <c r="N101" s="7" t="s">
        <v>422</v>
      </c>
      <c r="O101" s="7">
        <v>97414.0</v>
      </c>
      <c r="P101" s="7" t="s">
        <v>40</v>
      </c>
      <c r="Q101" s="7"/>
      <c r="R101" s="7"/>
      <c r="S101" s="7"/>
      <c r="T101" s="7" t="s">
        <v>377</v>
      </c>
      <c r="U101" s="7" t="s">
        <v>378</v>
      </c>
      <c r="V101" s="7">
        <v>2.62449489E8</v>
      </c>
      <c r="W101" s="7"/>
      <c r="X101" s="7"/>
      <c r="Y101" s="7"/>
      <c r="Z101" s="7" t="s">
        <v>1659</v>
      </c>
      <c r="AA101" s="7"/>
      <c r="AB101" s="7"/>
      <c r="AC101" s="7"/>
      <c r="AD101" s="7" t="s">
        <v>1660</v>
      </c>
      <c r="AE101" s="7"/>
      <c r="AF101" s="7"/>
      <c r="AG101" s="7"/>
      <c r="AH101" s="20">
        <v>40092.0</v>
      </c>
      <c r="AI101" s="7"/>
      <c r="AJ101" s="7" t="s">
        <v>1657</v>
      </c>
      <c r="AK101" s="7"/>
      <c r="AL101" s="7" t="s">
        <v>1661</v>
      </c>
      <c r="AM101" s="7" t="s">
        <v>1662</v>
      </c>
      <c r="AN101" s="20">
        <v>40092.0</v>
      </c>
      <c r="AO101" s="7">
        <v>97414.0</v>
      </c>
      <c r="AP101" s="7" t="s">
        <v>429</v>
      </c>
      <c r="AQ101" s="7"/>
      <c r="AR101" s="7"/>
      <c r="AS101" s="7"/>
      <c r="AT101" s="7"/>
      <c r="AU101" s="7">
        <v>0.0</v>
      </c>
      <c r="AV101" s="7" t="s">
        <v>1663</v>
      </c>
      <c r="AW101" s="7"/>
      <c r="AX101" s="7"/>
      <c r="AY101" s="7"/>
      <c r="AZ101" s="7"/>
      <c r="BA101" s="7"/>
      <c r="BB101" s="7"/>
      <c r="BC101" s="7" t="s">
        <v>401</v>
      </c>
      <c r="BD101" s="21">
        <v>44067.22708333333</v>
      </c>
      <c r="BE101" s="7" t="s">
        <v>449</v>
      </c>
      <c r="BF101" s="7"/>
      <c r="BG101" s="7"/>
      <c r="BH101" s="7"/>
      <c r="BI101" s="7" t="s">
        <v>1664</v>
      </c>
      <c r="BJ101" s="7"/>
      <c r="BK101" s="7" t="b">
        <v>0</v>
      </c>
      <c r="BL101" s="7" t="b">
        <v>0</v>
      </c>
      <c r="BM101" s="7"/>
      <c r="BN101" s="7" t="str">
        <f>IFERROR(__xludf.DUMMYFUNCTION(" IF( REGEXMATCH(C101 , ""[(].+[)]""),REGEXREPLACE( CONCATENATE(REGEXEXTRACT(C101 , ""[(].+[)]""),IF(REGEXMATCH(C101 , ""[(][Ll]['’][)]""),"""","" ""), REGEXEXTRACT(C101 ,""^(?:(?:[A-Za-zàäéèêîïöôûü0-9 ](?:[A-Za-zàäéèêîïöôûü'0-9 ]+)))"")) , ""[()]"", """")"&amp;",C101 )"),"Bouc Josiane")</f>
        <v>Bouc Josiane</v>
      </c>
      <c r="BO101" s="25"/>
      <c r="BP101" s="7"/>
      <c r="BQ101" s="7"/>
      <c r="BR101" s="7"/>
      <c r="BS101" s="7"/>
      <c r="BT101" s="7"/>
      <c r="BU101" s="7"/>
      <c r="BV101" s="7"/>
      <c r="BW101" s="7"/>
      <c r="BX101" s="7"/>
      <c r="BY101" s="7"/>
      <c r="BZ101" s="7"/>
      <c r="CA101" s="7"/>
      <c r="CB101" s="7"/>
    </row>
    <row r="102" ht="21.75" customHeight="1">
      <c r="A102" s="7">
        <v>3902.0</v>
      </c>
      <c r="B102" s="7">
        <v>101.0</v>
      </c>
      <c r="C102" s="7" t="s">
        <v>1665</v>
      </c>
      <c r="D102" s="7"/>
      <c r="E102" s="7"/>
      <c r="F102" s="7" t="s">
        <v>404</v>
      </c>
      <c r="G102" s="7" t="s">
        <v>343</v>
      </c>
      <c r="H102" s="7" t="s">
        <v>344</v>
      </c>
      <c r="I102" s="7" t="s">
        <v>1666</v>
      </c>
      <c r="J102" s="7"/>
      <c r="K102" s="7" t="s">
        <v>58</v>
      </c>
      <c r="L102" s="7" t="s">
        <v>59</v>
      </c>
      <c r="M102" s="7" t="s">
        <v>346</v>
      </c>
      <c r="N102" s="7" t="s">
        <v>455</v>
      </c>
      <c r="O102" s="7">
        <v>97430.0</v>
      </c>
      <c r="P102" s="7" t="s">
        <v>344</v>
      </c>
      <c r="Q102" s="7"/>
      <c r="R102" s="7"/>
      <c r="S102" s="7"/>
      <c r="T102" s="7"/>
      <c r="U102" s="7"/>
      <c r="V102" s="7"/>
      <c r="W102" s="7">
        <v>6.92616622E8</v>
      </c>
      <c r="X102" s="7"/>
      <c r="Y102" s="7"/>
      <c r="Z102" s="7"/>
      <c r="AA102" s="7"/>
      <c r="AB102" s="7"/>
      <c r="AC102" s="7"/>
      <c r="AD102" s="7" t="s">
        <v>1667</v>
      </c>
      <c r="AE102" s="7"/>
      <c r="AF102" s="7"/>
      <c r="AG102" s="7"/>
      <c r="AH102" s="20">
        <v>42170.0</v>
      </c>
      <c r="AI102" s="7"/>
      <c r="AJ102" s="7" t="s">
        <v>1665</v>
      </c>
      <c r="AK102" s="7"/>
      <c r="AL102" s="7" t="s">
        <v>1668</v>
      </c>
      <c r="AM102" s="7" t="s">
        <v>1669</v>
      </c>
      <c r="AN102" s="20">
        <v>42170.0</v>
      </c>
      <c r="AO102" s="7">
        <v>97430.0</v>
      </c>
      <c r="AP102" s="7" t="s">
        <v>494</v>
      </c>
      <c r="AQ102" s="7"/>
      <c r="AR102" s="7"/>
      <c r="AS102" s="7"/>
      <c r="AT102" s="7"/>
      <c r="AU102" s="7">
        <v>0.0</v>
      </c>
      <c r="AV102" s="7" t="s">
        <v>1670</v>
      </c>
      <c r="AW102" s="7"/>
      <c r="AX102" s="7"/>
      <c r="AY102" s="7"/>
      <c r="AZ102" s="7"/>
      <c r="BA102" s="7"/>
      <c r="BB102" s="7"/>
      <c r="BC102" s="7" t="s">
        <v>366</v>
      </c>
      <c r="BD102" s="21">
        <v>44221.381944444445</v>
      </c>
      <c r="BE102" s="7"/>
      <c r="BF102" s="7"/>
      <c r="BG102" s="22">
        <v>44221.0</v>
      </c>
      <c r="BH102" s="7"/>
      <c r="BI102" s="7" t="s">
        <v>1671</v>
      </c>
      <c r="BJ102" s="7"/>
      <c r="BK102" s="7" t="b">
        <v>0</v>
      </c>
      <c r="BL102" s="7" t="b">
        <v>0</v>
      </c>
      <c r="BM102" s="7"/>
      <c r="BN102" s="7" t="str">
        <f>IFERROR(__xludf.DUMMYFUNCTION(" IF( REGEXMATCH(C102 , ""[(].+[)]""),REGEXREPLACE( CONCATENATE(REGEXEXTRACT(C102 , ""[(].+[)]""),IF(REGEXMATCH(C102 , ""[(][Ll]['’][)]""),"""","" ""), REGEXEXTRACT(C102 ,""^(?:(?:[A-Za-zàäéèêîïöôûü0-9 ](?:[A-Za-zàäéèêîïöôûü'0-9 ]+)))"")) , ""[()]"", """")"&amp;",C102 )"),"Le Bougainvillier ")</f>
        <v>Le Bougainvillier </v>
      </c>
      <c r="BO102" s="23"/>
      <c r="BP102" s="7"/>
      <c r="BQ102" s="7"/>
      <c r="BR102" s="7"/>
      <c r="BS102" s="7"/>
      <c r="BT102" s="7"/>
      <c r="BU102" s="7"/>
      <c r="BV102" s="7"/>
      <c r="BW102" s="7"/>
      <c r="BX102" s="7"/>
      <c r="BY102" s="7"/>
      <c r="BZ102" s="7"/>
      <c r="CA102" s="7"/>
      <c r="CB102" s="7"/>
    </row>
    <row r="103" ht="21.75" customHeight="1">
      <c r="A103" s="7">
        <v>944.0</v>
      </c>
      <c r="B103" s="7">
        <v>102.0</v>
      </c>
      <c r="C103" s="7" t="s">
        <v>1665</v>
      </c>
      <c r="D103" s="7" t="s">
        <v>1672</v>
      </c>
      <c r="E103" s="7"/>
      <c r="F103" s="7" t="s">
        <v>404</v>
      </c>
      <c r="G103" s="7" t="s">
        <v>343</v>
      </c>
      <c r="H103" s="7" t="s">
        <v>123</v>
      </c>
      <c r="I103" s="7" t="s">
        <v>1673</v>
      </c>
      <c r="J103" s="7"/>
      <c r="K103" s="7" t="s">
        <v>58</v>
      </c>
      <c r="L103" s="7" t="s">
        <v>59</v>
      </c>
      <c r="M103" s="7" t="s">
        <v>346</v>
      </c>
      <c r="N103" s="7" t="s">
        <v>1674</v>
      </c>
      <c r="O103" s="7">
        <v>97480.0</v>
      </c>
      <c r="P103" s="7" t="s">
        <v>123</v>
      </c>
      <c r="Q103" s="7"/>
      <c r="R103" s="7" t="s">
        <v>1675</v>
      </c>
      <c r="S103" s="7" t="s">
        <v>1676</v>
      </c>
      <c r="T103" s="7" t="s">
        <v>1677</v>
      </c>
      <c r="U103" s="7" t="s">
        <v>1508</v>
      </c>
      <c r="V103" s="7">
        <v>2.62561238E8</v>
      </c>
      <c r="W103" s="7">
        <v>6.92082584E8</v>
      </c>
      <c r="X103" s="7"/>
      <c r="Y103" s="7"/>
      <c r="Z103" s="7" t="s">
        <v>1678</v>
      </c>
      <c r="AA103" s="7">
        <v>3.0</v>
      </c>
      <c r="AB103" s="7"/>
      <c r="AC103" s="7"/>
      <c r="AD103" s="7" t="s">
        <v>1679</v>
      </c>
      <c r="AE103" s="7" t="s">
        <v>1680</v>
      </c>
      <c r="AF103" s="7"/>
      <c r="AG103" s="7"/>
      <c r="AH103" s="20">
        <v>39575.0</v>
      </c>
      <c r="AI103" s="7"/>
      <c r="AJ103" s="7" t="s">
        <v>1681</v>
      </c>
      <c r="AK103" s="7"/>
      <c r="AL103" s="7" t="s">
        <v>1682</v>
      </c>
      <c r="AM103" s="7" t="s">
        <v>1683</v>
      </c>
      <c r="AN103" s="20">
        <v>39575.0</v>
      </c>
      <c r="AO103" s="7">
        <v>97480.0</v>
      </c>
      <c r="AP103" s="7" t="s">
        <v>385</v>
      </c>
      <c r="AQ103" s="7"/>
      <c r="AR103" s="7"/>
      <c r="AS103" s="7"/>
      <c r="AT103" s="7"/>
      <c r="AU103" s="7">
        <v>1.0</v>
      </c>
      <c r="AV103" s="7" t="s">
        <v>1684</v>
      </c>
      <c r="AW103" s="7"/>
      <c r="AX103" s="7"/>
      <c r="AY103" s="7"/>
      <c r="AZ103" s="7"/>
      <c r="BA103" s="7"/>
      <c r="BB103" s="7"/>
      <c r="BC103" s="7" t="s">
        <v>366</v>
      </c>
      <c r="BD103" s="21">
        <v>44220.45486111111</v>
      </c>
      <c r="BE103" s="7"/>
      <c r="BF103" s="7"/>
      <c r="BG103" s="22">
        <v>44220.0</v>
      </c>
      <c r="BH103" s="7"/>
      <c r="BI103" s="7" t="s">
        <v>1685</v>
      </c>
      <c r="BJ103" s="7"/>
      <c r="BK103" s="7" t="b">
        <v>0</v>
      </c>
      <c r="BL103" s="7" t="b">
        <v>0</v>
      </c>
      <c r="BM103" s="7"/>
      <c r="BN103" s="7" t="str">
        <f>IFERROR(__xludf.DUMMYFUNCTION(" IF( REGEXMATCH(C103 , ""[(].+[)]""),REGEXREPLACE( CONCATENATE(REGEXEXTRACT(C103 , ""[(].+[)]""),IF(REGEXMATCH(C103 , ""[(][Ll]['’][)]""),"""","" ""), REGEXEXTRACT(C103 ,""^(?:(?:[A-Za-zàäéèêîïöôûü0-9 ](?:[A-Za-zàäéèêîïöôûü'0-9 ]+)))"")) , ""[()]"", """")"&amp;",C103 )"),"Le Bougainvillier ")</f>
        <v>Le Bougainvillier </v>
      </c>
      <c r="BO103" s="23"/>
      <c r="BP103" s="7"/>
      <c r="BQ103" s="7"/>
      <c r="BR103" s="7"/>
      <c r="BS103" s="7"/>
      <c r="BT103" s="7"/>
      <c r="BU103" s="7"/>
      <c r="BV103" s="7"/>
      <c r="BW103" s="7"/>
      <c r="BX103" s="7"/>
      <c r="BY103" s="7"/>
      <c r="BZ103" s="7"/>
      <c r="CA103" s="7"/>
      <c r="CB103" s="7"/>
    </row>
    <row r="104" ht="21.75" customHeight="1">
      <c r="A104" s="7">
        <v>1659.0</v>
      </c>
      <c r="B104" s="7">
        <v>103.0</v>
      </c>
      <c r="C104" s="7" t="s">
        <v>1686</v>
      </c>
      <c r="D104" s="7" t="s">
        <v>1686</v>
      </c>
      <c r="E104" s="7"/>
      <c r="F104" s="7" t="s">
        <v>404</v>
      </c>
      <c r="G104" s="7" t="s">
        <v>343</v>
      </c>
      <c r="H104" s="7" t="s">
        <v>344</v>
      </c>
      <c r="I104" s="7" t="s">
        <v>1687</v>
      </c>
      <c r="J104" s="7"/>
      <c r="K104" s="6" t="s">
        <v>469</v>
      </c>
      <c r="L104" s="7" t="s">
        <v>470</v>
      </c>
      <c r="M104" s="7" t="s">
        <v>591</v>
      </c>
      <c r="N104" s="7" t="s">
        <v>1001</v>
      </c>
      <c r="O104" s="7">
        <v>97430.0</v>
      </c>
      <c r="P104" s="7" t="s">
        <v>344</v>
      </c>
      <c r="Q104" s="7"/>
      <c r="R104" s="7"/>
      <c r="S104" s="7"/>
      <c r="T104" s="7" t="s">
        <v>377</v>
      </c>
      <c r="U104" s="7" t="s">
        <v>378</v>
      </c>
      <c r="V104" s="7">
        <v>2.62386825E8</v>
      </c>
      <c r="W104" s="7">
        <v>6.92085458E8</v>
      </c>
      <c r="X104" s="7"/>
      <c r="Y104" s="7">
        <v>2.62386825E8</v>
      </c>
      <c r="Z104" s="7"/>
      <c r="AA104" s="7"/>
      <c r="AB104" s="7"/>
      <c r="AC104" s="7"/>
      <c r="AD104" s="7" t="s">
        <v>1688</v>
      </c>
      <c r="AE104" s="7"/>
      <c r="AF104" s="7"/>
      <c r="AG104" s="7"/>
      <c r="AH104" s="20">
        <v>43739.0</v>
      </c>
      <c r="AI104" s="7"/>
      <c r="AJ104" s="7" t="s">
        <v>1686</v>
      </c>
      <c r="AK104" s="7"/>
      <c r="AL104" s="7" t="s">
        <v>1689</v>
      </c>
      <c r="AM104" s="7" t="s">
        <v>1690</v>
      </c>
      <c r="AN104" s="20">
        <v>43739.0</v>
      </c>
      <c r="AO104" s="7">
        <v>97430.0</v>
      </c>
      <c r="AP104" s="7" t="s">
        <v>494</v>
      </c>
      <c r="AQ104" s="7"/>
      <c r="AR104" s="7"/>
      <c r="AS104" s="7"/>
      <c r="AT104" s="7"/>
      <c r="AU104" s="7">
        <v>0.0</v>
      </c>
      <c r="AV104" s="7" t="s">
        <v>1691</v>
      </c>
      <c r="AW104" s="7"/>
      <c r="AX104" s="7"/>
      <c r="AY104" s="7"/>
      <c r="AZ104" s="7"/>
      <c r="BA104" s="7"/>
      <c r="BB104" s="7"/>
      <c r="BC104" s="7" t="s">
        <v>366</v>
      </c>
      <c r="BD104" s="21">
        <v>44195.37013888889</v>
      </c>
      <c r="BE104" s="7"/>
      <c r="BF104" s="7"/>
      <c r="BG104" s="22">
        <v>44195.0</v>
      </c>
      <c r="BH104" s="7"/>
      <c r="BI104" s="7" t="s">
        <v>1692</v>
      </c>
      <c r="BJ104" s="7"/>
      <c r="BK104" s="7" t="b">
        <v>0</v>
      </c>
      <c r="BL104" s="7" t="b">
        <v>0</v>
      </c>
      <c r="BM104" s="7"/>
      <c r="BN104" s="7" t="str">
        <f>IFERROR(__xludf.DUMMYFUNCTION(" IF( REGEXMATCH(C104 , ""[(].+[)]""),REGEXREPLACE( CONCATENATE(REGEXEXTRACT(C104 , ""[(].+[)]""),IF(REGEXMATCH(C104 , ""[(][Ll]['’][)]""),"""","" ""), REGEXEXTRACT(C104 ,""^(?:(?:[A-Za-zàäéèêîïöôûü0-9 ](?:[A-Za-zàäéèêîïöôûü'0-9 ]+)))"")) , ""[()]"", """")"&amp;",C104 )"),"Bourbon Nature")</f>
        <v>Bourbon Nature</v>
      </c>
      <c r="BO104" s="23"/>
      <c r="BP104" s="7"/>
      <c r="BQ104" s="7"/>
      <c r="BR104" s="7"/>
      <c r="BS104" s="7"/>
      <c r="BT104" s="7"/>
      <c r="BU104" s="7"/>
      <c r="BV104" s="7"/>
      <c r="BW104" s="7"/>
      <c r="BX104" s="7"/>
      <c r="BY104" s="7"/>
      <c r="BZ104" s="7"/>
      <c r="CA104" s="7"/>
      <c r="CB104" s="7"/>
    </row>
    <row r="105" ht="21.75" customHeight="1">
      <c r="A105" s="7">
        <v>2705.0</v>
      </c>
      <c r="B105" s="7">
        <v>104.0</v>
      </c>
      <c r="C105" s="7" t="s">
        <v>1693</v>
      </c>
      <c r="D105" s="7"/>
      <c r="E105" s="7"/>
      <c r="F105" s="7" t="s">
        <v>342</v>
      </c>
      <c r="G105" s="7" t="s">
        <v>343</v>
      </c>
      <c r="H105" s="7" t="s">
        <v>123</v>
      </c>
      <c r="I105" s="7" t="s">
        <v>1694</v>
      </c>
      <c r="J105" s="26" t="s">
        <v>1695</v>
      </c>
      <c r="K105" s="6" t="s">
        <v>469</v>
      </c>
      <c r="L105" s="7" t="s">
        <v>197</v>
      </c>
      <c r="M105" s="7" t="s">
        <v>1696</v>
      </c>
      <c r="N105" s="7"/>
      <c r="O105" s="7">
        <v>97480.0</v>
      </c>
      <c r="P105" s="7" t="s">
        <v>123</v>
      </c>
      <c r="Q105" s="7"/>
      <c r="R105" s="7"/>
      <c r="S105" s="7"/>
      <c r="T105" s="7" t="s">
        <v>1697</v>
      </c>
      <c r="U105" s="7" t="s">
        <v>1698</v>
      </c>
      <c r="V105" s="7">
        <v>2.62480539E8</v>
      </c>
      <c r="W105" s="7">
        <v>6.92661098E8</v>
      </c>
      <c r="X105" s="7"/>
      <c r="Y105" s="7"/>
      <c r="Z105" s="7" t="s">
        <v>1699</v>
      </c>
      <c r="AA105" s="7"/>
      <c r="AB105" s="7"/>
      <c r="AC105" s="7" t="s">
        <v>1700</v>
      </c>
      <c r="AD105" s="7" t="s">
        <v>1701</v>
      </c>
      <c r="AE105" s="7"/>
      <c r="AF105" s="7"/>
      <c r="AG105" s="7"/>
      <c r="AH105" s="20">
        <v>40394.0</v>
      </c>
      <c r="AI105" s="7"/>
      <c r="AJ105" s="7" t="s">
        <v>1702</v>
      </c>
      <c r="AK105" s="7">
        <v>4.8487565300012E13</v>
      </c>
      <c r="AL105" s="7" t="s">
        <v>1703</v>
      </c>
      <c r="AM105" s="7" t="s">
        <v>1704</v>
      </c>
      <c r="AN105" s="20">
        <v>40394.0</v>
      </c>
      <c r="AO105" s="7">
        <v>97480.0</v>
      </c>
      <c r="AP105" s="7" t="s">
        <v>385</v>
      </c>
      <c r="AQ105" s="7"/>
      <c r="AR105" s="7"/>
      <c r="AS105" s="7"/>
      <c r="AT105" s="7"/>
      <c r="AU105" s="7">
        <v>0.0</v>
      </c>
      <c r="AV105" s="7" t="s">
        <v>1705</v>
      </c>
      <c r="AW105" s="7"/>
      <c r="AX105" s="7"/>
      <c r="AY105" s="7"/>
      <c r="AZ105" s="7"/>
      <c r="BA105" s="7"/>
      <c r="BB105" s="7"/>
      <c r="BC105" s="7" t="s">
        <v>366</v>
      </c>
      <c r="BD105" s="21">
        <v>44195.36597222222</v>
      </c>
      <c r="BE105" s="7"/>
      <c r="BF105" s="7"/>
      <c r="BG105" s="22">
        <v>44195.0</v>
      </c>
      <c r="BH105" s="7">
        <v>4.84875653E8</v>
      </c>
      <c r="BI105" s="7" t="s">
        <v>1706</v>
      </c>
      <c r="BJ105" s="7"/>
      <c r="BK105" s="7" t="b">
        <v>0</v>
      </c>
      <c r="BL105" s="7" t="b">
        <v>0</v>
      </c>
      <c r="BM105" s="7"/>
      <c r="BN105" s="7" t="str">
        <f>IFERROR(__xludf.DUMMYFUNCTION(" IF( REGEXMATCH(C105 , ""[(].+[)]""),REGEXREPLACE( CONCATENATE(REGEXEXTRACT(C105 , ""[(].+[)]""),IF(REGEXMATCH(C105 , ""[(][Ll]['’][)]""),"""","" ""), REGEXEXTRACT(C105 ,""^(?:(?:[A-Za-zàäéèêîïöôûü0-9 ](?:[A-Za-zàäéèêîïöôûü'0-9 ]+)))"")) , ""[()]"", """")"&amp;",C105 )"),"La Boutique de la Réunion ")</f>
        <v>La Boutique de la Réunion </v>
      </c>
      <c r="BO105" s="23"/>
      <c r="BP105" s="7"/>
      <c r="BQ105" s="7"/>
      <c r="BR105" s="7"/>
      <c r="BS105" s="7"/>
      <c r="BT105" s="7"/>
      <c r="BU105" s="7"/>
      <c r="BV105" s="7"/>
      <c r="BW105" s="7"/>
      <c r="BX105" s="7"/>
      <c r="BY105" s="7"/>
      <c r="BZ105" s="7"/>
      <c r="CA105" s="7"/>
      <c r="CB105" s="7"/>
    </row>
    <row r="106" ht="21.75" customHeight="1">
      <c r="A106" s="7">
        <v>1769.0</v>
      </c>
      <c r="B106" s="7" t="s">
        <v>1707</v>
      </c>
      <c r="C106" s="7" t="s">
        <v>1708</v>
      </c>
      <c r="D106" s="7"/>
      <c r="E106" s="7"/>
      <c r="F106" s="7" t="s">
        <v>342</v>
      </c>
      <c r="G106" s="7" t="s">
        <v>343</v>
      </c>
      <c r="H106" s="7" t="s">
        <v>344</v>
      </c>
      <c r="I106" s="7" t="s">
        <v>1709</v>
      </c>
      <c r="J106" s="26" t="s">
        <v>1710</v>
      </c>
      <c r="K106" s="7" t="s">
        <v>58</v>
      </c>
      <c r="L106" s="7" t="s">
        <v>59</v>
      </c>
      <c r="M106" s="7" t="s">
        <v>545</v>
      </c>
      <c r="N106" s="7" t="s">
        <v>422</v>
      </c>
      <c r="O106" s="7">
        <v>97430.0</v>
      </c>
      <c r="P106" s="7" t="s">
        <v>344</v>
      </c>
      <c r="Q106" s="7"/>
      <c r="R106" s="7" t="s">
        <v>1711</v>
      </c>
      <c r="S106" s="7" t="s">
        <v>1712</v>
      </c>
      <c r="T106" s="7" t="s">
        <v>439</v>
      </c>
      <c r="U106" s="7" t="s">
        <v>353</v>
      </c>
      <c r="V106" s="7">
        <v>2.62498188E8</v>
      </c>
      <c r="W106" s="7">
        <v>6.92362756E8</v>
      </c>
      <c r="X106" s="7"/>
      <c r="Y106" s="7">
        <v>2.62498188E8</v>
      </c>
      <c r="Z106" s="7" t="s">
        <v>1713</v>
      </c>
      <c r="AA106" s="7">
        <v>6.0</v>
      </c>
      <c r="AB106" s="7" t="s">
        <v>355</v>
      </c>
      <c r="AC106" s="7"/>
      <c r="AD106" s="7" t="s">
        <v>1714</v>
      </c>
      <c r="AE106" s="7"/>
      <c r="AF106" s="7"/>
      <c r="AG106" s="7"/>
      <c r="AH106" s="20">
        <v>39927.0</v>
      </c>
      <c r="AI106" s="7"/>
      <c r="AJ106" s="7" t="s">
        <v>1715</v>
      </c>
      <c r="AK106" s="7"/>
      <c r="AL106" s="7" t="s">
        <v>1716</v>
      </c>
      <c r="AM106" s="7" t="s">
        <v>1717</v>
      </c>
      <c r="AN106" s="20">
        <v>39927.0</v>
      </c>
      <c r="AO106" s="7">
        <v>97430.0</v>
      </c>
      <c r="AP106" s="7" t="s">
        <v>494</v>
      </c>
      <c r="AQ106" s="7"/>
      <c r="AR106" s="7"/>
      <c r="AS106" s="7"/>
      <c r="AT106" s="7"/>
      <c r="AU106" s="7">
        <v>3.0</v>
      </c>
      <c r="AV106" s="7" t="s">
        <v>1718</v>
      </c>
      <c r="AW106" s="7"/>
      <c r="AX106" s="7"/>
      <c r="AY106" s="7"/>
      <c r="AZ106" s="7" t="s">
        <v>1719</v>
      </c>
      <c r="BA106" s="7"/>
      <c r="BB106" s="7"/>
      <c r="BC106" s="7" t="s">
        <v>401</v>
      </c>
      <c r="BD106" s="21">
        <v>44122.52361111111</v>
      </c>
      <c r="BE106" s="7" t="s">
        <v>1720</v>
      </c>
      <c r="BF106" s="7"/>
      <c r="BG106" s="7"/>
      <c r="BH106" s="7"/>
      <c r="BI106" s="7" t="s">
        <v>1721</v>
      </c>
      <c r="BJ106" s="7"/>
      <c r="BK106" s="7" t="b">
        <v>0</v>
      </c>
      <c r="BL106" s="7" t="b">
        <v>0</v>
      </c>
      <c r="BM106" s="7"/>
      <c r="BN106" s="7" t="str">
        <f>IFERROR(__xludf.DUMMYFUNCTION(" IF( REGEXMATCH(C106 , ""[(].+[)]""),REGEXREPLACE( CONCATENATE(REGEXEXTRACT(C106 , ""[(].+[)]""),IF(REGEXMATCH(C106 , ""[(][Ll]['’][)]""),"""","" ""), REGEXEXTRACT(C106 ,""^(?:(?:[A-Za-zàäéèêîïöôûü0-9 ](?:[A-Za-zàäéèêîïöôûü'0-9 ]+)))"")) , ""[()]"", """")"&amp;",C106 )"),"Bras Lontan")</f>
        <v>Bras Lontan</v>
      </c>
      <c r="BO106" s="25"/>
      <c r="BP106" s="7"/>
      <c r="BQ106" s="7"/>
      <c r="BR106" s="7"/>
      <c r="BS106" s="7"/>
      <c r="BT106" s="7"/>
      <c r="BU106" s="7"/>
      <c r="BV106" s="7"/>
      <c r="BW106" s="7"/>
      <c r="BX106" s="7"/>
      <c r="BY106" s="7"/>
      <c r="BZ106" s="7"/>
      <c r="CA106" s="7"/>
      <c r="CB106" s="7"/>
    </row>
    <row r="107" ht="21.75" customHeight="1">
      <c r="A107" s="7">
        <v>3877.0</v>
      </c>
      <c r="B107" s="7" t="s">
        <v>1722</v>
      </c>
      <c r="C107" s="7" t="s">
        <v>1723</v>
      </c>
      <c r="D107" s="7"/>
      <c r="E107" s="7"/>
      <c r="F107" s="7" t="s">
        <v>404</v>
      </c>
      <c r="G107" s="7" t="s">
        <v>343</v>
      </c>
      <c r="H107" s="7" t="s">
        <v>344</v>
      </c>
      <c r="I107" s="7" t="s">
        <v>1724</v>
      </c>
      <c r="J107" s="7"/>
      <c r="K107" s="7" t="s">
        <v>58</v>
      </c>
      <c r="L107" s="7" t="s">
        <v>137</v>
      </c>
      <c r="M107" s="7" t="s">
        <v>1091</v>
      </c>
      <c r="N107" s="7" t="s">
        <v>1092</v>
      </c>
      <c r="O107" s="7">
        <v>97418.0</v>
      </c>
      <c r="P107" s="7" t="s">
        <v>348</v>
      </c>
      <c r="Q107" s="7" t="s">
        <v>349</v>
      </c>
      <c r="R107" s="7"/>
      <c r="S107" s="7" t="s">
        <v>1725</v>
      </c>
      <c r="T107" s="7" t="s">
        <v>377</v>
      </c>
      <c r="U107" s="7"/>
      <c r="V107" s="7"/>
      <c r="W107" s="7">
        <v>6.92056919E8</v>
      </c>
      <c r="X107" s="7">
        <v>6.92224396E8</v>
      </c>
      <c r="Y107" s="7"/>
      <c r="Z107" s="7" t="s">
        <v>1726</v>
      </c>
      <c r="AA107" s="7">
        <v>16.0</v>
      </c>
      <c r="AB107" s="7"/>
      <c r="AC107" s="7" t="s">
        <v>1727</v>
      </c>
      <c r="AD107" s="7" t="s">
        <v>1728</v>
      </c>
      <c r="AE107" s="7"/>
      <c r="AF107" s="7"/>
      <c r="AG107" s="7"/>
      <c r="AH107" s="20">
        <v>42165.0</v>
      </c>
      <c r="AI107" s="7"/>
      <c r="AJ107" s="7" t="s">
        <v>1729</v>
      </c>
      <c r="AK107" s="7"/>
      <c r="AL107" s="7" t="s">
        <v>1098</v>
      </c>
      <c r="AM107" s="7" t="s">
        <v>1730</v>
      </c>
      <c r="AN107" s="20">
        <v>42165.0</v>
      </c>
      <c r="AO107" s="7">
        <v>97418.0</v>
      </c>
      <c r="AP107" s="7" t="s">
        <v>362</v>
      </c>
      <c r="AQ107" s="7"/>
      <c r="AR107" s="7"/>
      <c r="AS107" s="7"/>
      <c r="AT107" s="7"/>
      <c r="AU107" s="7">
        <v>2.0</v>
      </c>
      <c r="AV107" s="7" t="s">
        <v>1731</v>
      </c>
      <c r="AW107" s="7"/>
      <c r="AX107" s="7"/>
      <c r="AY107" s="7"/>
      <c r="AZ107" s="7" t="s">
        <v>1732</v>
      </c>
      <c r="BA107" s="7"/>
      <c r="BB107" s="7"/>
      <c r="BC107" s="7" t="s">
        <v>401</v>
      </c>
      <c r="BD107" s="21">
        <v>44102.0</v>
      </c>
      <c r="BE107" s="7" t="s">
        <v>1733</v>
      </c>
      <c r="BF107" s="7"/>
      <c r="BG107" s="7"/>
      <c r="BH107" s="7"/>
      <c r="BI107" s="7" t="s">
        <v>1734</v>
      </c>
      <c r="BJ107" s="7"/>
      <c r="BK107" s="7" t="b">
        <v>0</v>
      </c>
      <c r="BL107" s="7" t="b">
        <v>0</v>
      </c>
      <c r="BM107" s="7"/>
      <c r="BN107" s="7" t="str">
        <f>IFERROR(__xludf.DUMMYFUNCTION(" IF( REGEXMATCH(C107 , ""[(].+[)]""),REGEXREPLACE( CONCATENATE(REGEXEXTRACT(C107 , ""[(].+[)]""),IF(REGEXMATCH(C107 , ""[(][Ll]['’][)]""),"""","" ""), REGEXEXTRACT(C107 ,""^(?:(?:[A-Za-zàäéèêîïöôûü0-9 ](?:[A-Za-zàäéèêîïöôûü'0-9 ]+)))"")) , ""[()]"", """")"&amp;",C107 )"),"Bras Sec")</f>
        <v>Bras Sec</v>
      </c>
      <c r="BO107" s="25"/>
      <c r="BP107" s="7"/>
      <c r="BQ107" s="7"/>
      <c r="BR107" s="7"/>
      <c r="BS107" s="7"/>
      <c r="BT107" s="7"/>
      <c r="BU107" s="7"/>
      <c r="BV107" s="7"/>
      <c r="BW107" s="7"/>
      <c r="BX107" s="7"/>
      <c r="BY107" s="7"/>
      <c r="BZ107" s="7"/>
      <c r="CA107" s="7"/>
      <c r="CB107" s="7"/>
    </row>
    <row r="108" ht="21.75" customHeight="1">
      <c r="A108" s="7">
        <v>2068.0</v>
      </c>
      <c r="B108" s="7">
        <v>107.0</v>
      </c>
      <c r="C108" s="7" t="s">
        <v>1735</v>
      </c>
      <c r="D108" s="7"/>
      <c r="E108" s="7"/>
      <c r="F108" s="7" t="s">
        <v>342</v>
      </c>
      <c r="G108" s="7" t="s">
        <v>343</v>
      </c>
      <c r="H108" s="7" t="s">
        <v>40</v>
      </c>
      <c r="I108" s="7" t="s">
        <v>1736</v>
      </c>
      <c r="J108" s="26" t="s">
        <v>1737</v>
      </c>
      <c r="K108" s="7" t="s">
        <v>822</v>
      </c>
      <c r="L108" s="7" t="s">
        <v>823</v>
      </c>
      <c r="M108" s="7" t="s">
        <v>1738</v>
      </c>
      <c r="N108" s="7" t="s">
        <v>422</v>
      </c>
      <c r="O108" s="7">
        <v>97414.0</v>
      </c>
      <c r="P108" s="7" t="s">
        <v>40</v>
      </c>
      <c r="Q108" s="7"/>
      <c r="R108" s="7"/>
      <c r="S108" s="7"/>
      <c r="T108" s="7" t="s">
        <v>377</v>
      </c>
      <c r="U108" s="7" t="s">
        <v>378</v>
      </c>
      <c r="V108" s="7">
        <v>2.62497055E8</v>
      </c>
      <c r="W108" s="7">
        <v>6.92205312E8</v>
      </c>
      <c r="X108" s="7"/>
      <c r="Y108" s="7"/>
      <c r="Z108" s="7" t="s">
        <v>1739</v>
      </c>
      <c r="AA108" s="7"/>
      <c r="AB108" s="7"/>
      <c r="AC108" s="7" t="s">
        <v>1740</v>
      </c>
      <c r="AD108" s="7" t="s">
        <v>1741</v>
      </c>
      <c r="AE108" s="7" t="s">
        <v>1742</v>
      </c>
      <c r="AF108" s="7"/>
      <c r="AG108" s="7"/>
      <c r="AH108" s="20">
        <v>40093.0</v>
      </c>
      <c r="AI108" s="7"/>
      <c r="AJ108" s="7" t="s">
        <v>1735</v>
      </c>
      <c r="AK108" s="7"/>
      <c r="AL108" s="7" t="s">
        <v>1743</v>
      </c>
      <c r="AM108" s="7" t="s">
        <v>1744</v>
      </c>
      <c r="AN108" s="20">
        <v>43739.0</v>
      </c>
      <c r="AO108" s="7">
        <v>97414.0</v>
      </c>
      <c r="AP108" s="7" t="s">
        <v>429</v>
      </c>
      <c r="AQ108" s="7"/>
      <c r="AR108" s="7"/>
      <c r="AS108" s="7"/>
      <c r="AT108" s="7"/>
      <c r="AU108" s="7">
        <v>0.0</v>
      </c>
      <c r="AV108" s="7" t="s">
        <v>1745</v>
      </c>
      <c r="AW108" s="7"/>
      <c r="AX108" s="7"/>
      <c r="AY108" s="7"/>
      <c r="AZ108" s="7"/>
      <c r="BA108" s="7"/>
      <c r="BB108" s="7"/>
      <c r="BC108" s="7" t="s">
        <v>366</v>
      </c>
      <c r="BD108" s="21">
        <v>44064.0</v>
      </c>
      <c r="BE108" s="7"/>
      <c r="BF108" s="7"/>
      <c r="BG108" s="22">
        <v>44064.0</v>
      </c>
      <c r="BH108" s="7"/>
      <c r="BI108" s="7" t="s">
        <v>1746</v>
      </c>
      <c r="BJ108" s="7"/>
      <c r="BK108" s="7" t="b">
        <v>0</v>
      </c>
      <c r="BL108" s="7" t="b">
        <v>0</v>
      </c>
      <c r="BM108" s="7"/>
      <c r="BN108" s="7" t="str">
        <f>IFERROR(__xludf.DUMMYFUNCTION(" IF( REGEXMATCH(C108 , ""[(].+[)]""),REGEXREPLACE( CONCATENATE(REGEXEXTRACT(C108 , ""[(].+[)]""),IF(REGEXMATCH(C108 , ""[(][Ll]['’][)]""),"""","" ""), REGEXEXTRACT(C108 ,""^(?:(?:[A-Za-zàäéèêîïöôûü0-9 ](?:[A-Za-zàäéèêîïöôûü'0-9 ]+)))"")) , ""[()]"", """")"&amp;",C108 )"),"Brisset Michel")</f>
        <v>Brisset Michel</v>
      </c>
      <c r="BO108" s="23"/>
      <c r="BP108" s="7"/>
      <c r="BQ108" s="7"/>
      <c r="BR108" s="7"/>
      <c r="BS108" s="7"/>
      <c r="BT108" s="7"/>
      <c r="BU108" s="7"/>
      <c r="BV108" s="7"/>
      <c r="BW108" s="7"/>
      <c r="BX108" s="7"/>
      <c r="BY108" s="7"/>
      <c r="BZ108" s="7"/>
      <c r="CA108" s="7"/>
      <c r="CB108" s="7"/>
    </row>
    <row r="109" ht="21.75" customHeight="1">
      <c r="A109" s="7">
        <v>3542.0</v>
      </c>
      <c r="B109" s="7" t="s">
        <v>1747</v>
      </c>
      <c r="C109" s="7" t="s">
        <v>1748</v>
      </c>
      <c r="D109" s="7" t="s">
        <v>1749</v>
      </c>
      <c r="E109" s="7"/>
      <c r="F109" s="7" t="s">
        <v>342</v>
      </c>
      <c r="G109" s="7" t="s">
        <v>343</v>
      </c>
      <c r="H109" s="7" t="s">
        <v>33</v>
      </c>
      <c r="I109" s="7" t="s">
        <v>1750</v>
      </c>
      <c r="J109" s="7"/>
      <c r="K109" s="7" t="s">
        <v>58</v>
      </c>
      <c r="L109" s="7" t="s">
        <v>59</v>
      </c>
      <c r="M109" s="7" t="s">
        <v>545</v>
      </c>
      <c r="N109" s="7" t="s">
        <v>455</v>
      </c>
      <c r="O109" s="7">
        <v>97442.0</v>
      </c>
      <c r="P109" s="7" t="s">
        <v>33</v>
      </c>
      <c r="Q109" s="7" t="s">
        <v>1396</v>
      </c>
      <c r="R109" s="7"/>
      <c r="S109" s="7"/>
      <c r="T109" s="7" t="s">
        <v>377</v>
      </c>
      <c r="U109" s="7" t="s">
        <v>424</v>
      </c>
      <c r="V109" s="7">
        <v>2.62565297E8</v>
      </c>
      <c r="W109" s="7">
        <v>6.92738298E8</v>
      </c>
      <c r="X109" s="7"/>
      <c r="Y109" s="7"/>
      <c r="Z109" s="7" t="s">
        <v>1751</v>
      </c>
      <c r="AA109" s="7">
        <v>6.0</v>
      </c>
      <c r="AB109" s="7"/>
      <c r="AC109" s="7" t="s">
        <v>1752</v>
      </c>
      <c r="AD109" s="7" t="s">
        <v>1753</v>
      </c>
      <c r="AE109" s="7" t="s">
        <v>1754</v>
      </c>
      <c r="AF109" s="7"/>
      <c r="AG109" s="7"/>
      <c r="AH109" s="20">
        <v>41687.0</v>
      </c>
      <c r="AI109" s="7"/>
      <c r="AJ109" s="7" t="s">
        <v>1755</v>
      </c>
      <c r="AK109" s="7"/>
      <c r="AL109" s="7" t="s">
        <v>1756</v>
      </c>
      <c r="AM109" s="7" t="s">
        <v>1757</v>
      </c>
      <c r="AN109" s="20">
        <v>41687.0</v>
      </c>
      <c r="AO109" s="7">
        <v>97442.0</v>
      </c>
      <c r="AP109" s="7" t="s">
        <v>884</v>
      </c>
      <c r="AQ109" s="7"/>
      <c r="AR109" s="7"/>
      <c r="AS109" s="7"/>
      <c r="AT109" s="7"/>
      <c r="AU109" s="7">
        <v>2.0</v>
      </c>
      <c r="AV109" s="7" t="s">
        <v>1758</v>
      </c>
      <c r="AW109" s="7"/>
      <c r="AX109" s="7"/>
      <c r="AY109" s="7"/>
      <c r="AZ109" s="7" t="s">
        <v>1759</v>
      </c>
      <c r="BA109" s="7"/>
      <c r="BB109" s="7"/>
      <c r="BC109" s="7" t="s">
        <v>401</v>
      </c>
      <c r="BD109" s="21">
        <v>44129.15902777778</v>
      </c>
      <c r="BE109" s="7" t="s">
        <v>449</v>
      </c>
      <c r="BF109" s="7"/>
      <c r="BG109" s="7"/>
      <c r="BH109" s="7"/>
      <c r="BI109" s="7" t="s">
        <v>1760</v>
      </c>
      <c r="BJ109" s="7"/>
      <c r="BK109" s="7" t="b">
        <v>0</v>
      </c>
      <c r="BL109" s="7" t="b">
        <v>0</v>
      </c>
      <c r="BM109" s="7"/>
      <c r="BN109" s="7" t="str">
        <f>IFERROR(__xludf.DUMMYFUNCTION(" IF( REGEXMATCH(C109 , ""[(].+[)]""),REGEXREPLACE( CONCATENATE(REGEXEXTRACT(C109 , ""[(].+[)]""),IF(REGEXMATCH(C109 , ""[(][Ll]['’][)]""),"""","" ""), REGEXEXTRACT(C109 ,""^(?:(?:[A-Za-zàäéèêîïöôûü0-9 ](?:[A-Za-zàäéèêîïöôûü'0-9 ]+)))"")) , ""[()]"", """")"&amp;",C109 )"),"Le Bungalow du Puits ")</f>
        <v>Le Bungalow du Puits </v>
      </c>
      <c r="BO109" s="25"/>
      <c r="BP109" s="7"/>
      <c r="BQ109" s="7"/>
      <c r="BR109" s="7"/>
      <c r="BS109" s="7"/>
      <c r="BT109" s="7"/>
      <c r="BU109" s="7"/>
      <c r="BV109" s="7"/>
      <c r="BW109" s="7"/>
      <c r="BX109" s="7"/>
      <c r="BY109" s="7"/>
      <c r="BZ109" s="7"/>
      <c r="CA109" s="7"/>
      <c r="CB109" s="7"/>
    </row>
    <row r="110" ht="21.75" customHeight="1">
      <c r="A110" s="7">
        <v>3048.0</v>
      </c>
      <c r="B110" s="7">
        <v>109.0</v>
      </c>
      <c r="C110" s="7" t="s">
        <v>1761</v>
      </c>
      <c r="D110" s="7" t="s">
        <v>1761</v>
      </c>
      <c r="E110" s="7"/>
      <c r="F110" s="7" t="s">
        <v>342</v>
      </c>
      <c r="G110" s="7" t="s">
        <v>343</v>
      </c>
      <c r="H110" s="7" t="s">
        <v>344</v>
      </c>
      <c r="I110" s="7" t="s">
        <v>1762</v>
      </c>
      <c r="J110" s="26" t="s">
        <v>1763</v>
      </c>
      <c r="K110" s="7" t="s">
        <v>58</v>
      </c>
      <c r="L110" s="7" t="s">
        <v>59</v>
      </c>
      <c r="M110" s="7" t="s">
        <v>545</v>
      </c>
      <c r="N110" s="7" t="s">
        <v>455</v>
      </c>
      <c r="O110" s="7">
        <v>97430.0</v>
      </c>
      <c r="P110" s="7" t="s">
        <v>344</v>
      </c>
      <c r="Q110" s="7"/>
      <c r="R110" s="7" t="s">
        <v>1764</v>
      </c>
      <c r="S110" s="7" t="s">
        <v>1038</v>
      </c>
      <c r="T110" s="7" t="s">
        <v>499</v>
      </c>
      <c r="U110" s="7" t="s">
        <v>378</v>
      </c>
      <c r="V110" s="7"/>
      <c r="W110" s="7">
        <v>6.92902947E8</v>
      </c>
      <c r="X110" s="7"/>
      <c r="Y110" s="7"/>
      <c r="Z110" s="7" t="s">
        <v>1765</v>
      </c>
      <c r="AA110" s="7">
        <v>15.0</v>
      </c>
      <c r="AB110" s="7"/>
      <c r="AC110" s="7"/>
      <c r="AD110" s="7" t="s">
        <v>1766</v>
      </c>
      <c r="AE110" s="7" t="s">
        <v>1767</v>
      </c>
      <c r="AF110" s="7"/>
      <c r="AG110" s="7"/>
      <c r="AH110" s="20">
        <v>43739.0</v>
      </c>
      <c r="AI110" s="7"/>
      <c r="AJ110" s="7" t="s">
        <v>1768</v>
      </c>
      <c r="AK110" s="7"/>
      <c r="AL110" s="7" t="s">
        <v>1769</v>
      </c>
      <c r="AM110" s="7" t="s">
        <v>1770</v>
      </c>
      <c r="AN110" s="20">
        <v>43739.0</v>
      </c>
      <c r="AO110" s="7">
        <v>97410.0</v>
      </c>
      <c r="AP110" s="7" t="s">
        <v>512</v>
      </c>
      <c r="AQ110" s="7"/>
      <c r="AR110" s="7"/>
      <c r="AS110" s="7"/>
      <c r="AT110" s="7"/>
      <c r="AU110" s="7">
        <v>3.0</v>
      </c>
      <c r="AV110" s="7" t="s">
        <v>1771</v>
      </c>
      <c r="AW110" s="7"/>
      <c r="AX110" s="7"/>
      <c r="AY110" s="7"/>
      <c r="AZ110" s="7" t="s">
        <v>1772</v>
      </c>
      <c r="BA110" s="7"/>
      <c r="BB110" s="7"/>
      <c r="BC110" s="7" t="s">
        <v>366</v>
      </c>
      <c r="BD110" s="21">
        <v>44053.041666666664</v>
      </c>
      <c r="BE110" s="7"/>
      <c r="BF110" s="7"/>
      <c r="BG110" s="22">
        <v>44053.0</v>
      </c>
      <c r="BH110" s="7"/>
      <c r="BI110" s="7" t="s">
        <v>1773</v>
      </c>
      <c r="BJ110" s="7"/>
      <c r="BK110" s="7" t="b">
        <v>0</v>
      </c>
      <c r="BL110" s="7" t="b">
        <v>0</v>
      </c>
      <c r="BM110" s="7"/>
      <c r="BN110" s="7" t="str">
        <f>IFERROR(__xludf.DUMMYFUNCTION(" IF( REGEXMATCH(C110 , ""[(].+[)]""),REGEXREPLACE( CONCATENATE(REGEXEXTRACT(C110 , ""[(].+[)]""),IF(REGEXMATCH(C110 , ""[(][Ll]['’][)]""),"""","" ""), REGEXEXTRACT(C110 ,""^(?:(?:[A-Za-zàäéèêîïöôûü0-9 ](?:[A-Za-zàäéèêîïöôûü'0-9 ]+)))"")) , ""[()]"", """")"&amp;",C110 )"),"Bungalows Gabriel")</f>
        <v>Bungalows Gabriel</v>
      </c>
      <c r="BO110" s="23"/>
      <c r="BP110" s="7"/>
      <c r="BQ110" s="7"/>
      <c r="BR110" s="7"/>
      <c r="BS110" s="7"/>
      <c r="BT110" s="7"/>
      <c r="BU110" s="7"/>
      <c r="BV110" s="7"/>
      <c r="BW110" s="7"/>
      <c r="BX110" s="7"/>
      <c r="BY110" s="7"/>
      <c r="BZ110" s="7"/>
      <c r="CA110" s="7"/>
      <c r="CB110" s="7"/>
    </row>
    <row r="111" ht="21.75" customHeight="1">
      <c r="A111" s="7">
        <v>2326.0</v>
      </c>
      <c r="B111" s="7">
        <v>110.0</v>
      </c>
      <c r="C111" s="7" t="s">
        <v>1774</v>
      </c>
      <c r="D111" s="7" t="s">
        <v>1775</v>
      </c>
      <c r="E111" s="7"/>
      <c r="F111" s="7" t="s">
        <v>404</v>
      </c>
      <c r="G111" s="7" t="s">
        <v>343</v>
      </c>
      <c r="H111" s="7" t="s">
        <v>40</v>
      </c>
      <c r="I111" s="7" t="s">
        <v>1776</v>
      </c>
      <c r="J111" s="26" t="s">
        <v>1777</v>
      </c>
      <c r="K111" s="7" t="s">
        <v>58</v>
      </c>
      <c r="L111" s="7" t="s">
        <v>59</v>
      </c>
      <c r="M111" s="7" t="s">
        <v>545</v>
      </c>
      <c r="N111" s="7" t="s">
        <v>422</v>
      </c>
      <c r="O111" s="7">
        <v>97414.0</v>
      </c>
      <c r="P111" s="7" t="s">
        <v>40</v>
      </c>
      <c r="Q111" s="7"/>
      <c r="R111" s="7" t="s">
        <v>1778</v>
      </c>
      <c r="S111" s="7" t="s">
        <v>1779</v>
      </c>
      <c r="T111" s="7" t="s">
        <v>377</v>
      </c>
      <c r="U111" s="7" t="s">
        <v>378</v>
      </c>
      <c r="V111" s="7"/>
      <c r="W111" s="7">
        <v>6.93049911E8</v>
      </c>
      <c r="X111" s="7">
        <v>6.92871027E8</v>
      </c>
      <c r="Y111" s="7"/>
      <c r="Z111" s="7" t="s">
        <v>1780</v>
      </c>
      <c r="AA111" s="7">
        <v>15.0</v>
      </c>
      <c r="AB111" s="7"/>
      <c r="AC111" s="7"/>
      <c r="AD111" s="7" t="s">
        <v>1781</v>
      </c>
      <c r="AE111" s="7"/>
      <c r="AF111" s="7"/>
      <c r="AG111" s="7"/>
      <c r="AH111" s="20">
        <v>43739.0</v>
      </c>
      <c r="AI111" s="7"/>
      <c r="AJ111" s="7" t="s">
        <v>1782</v>
      </c>
      <c r="AK111" s="7"/>
      <c r="AL111" s="7" t="s">
        <v>1783</v>
      </c>
      <c r="AM111" s="7" t="s">
        <v>1784</v>
      </c>
      <c r="AN111" s="20">
        <v>43739.0</v>
      </c>
      <c r="AO111" s="7">
        <v>97414.0</v>
      </c>
      <c r="AP111" s="7" t="s">
        <v>429</v>
      </c>
      <c r="AQ111" s="7"/>
      <c r="AR111" s="7"/>
      <c r="AS111" s="7"/>
      <c r="AT111" s="7"/>
      <c r="AU111" s="7">
        <v>3.0</v>
      </c>
      <c r="AV111" s="7" t="s">
        <v>1785</v>
      </c>
      <c r="AW111" s="7"/>
      <c r="AX111" s="7"/>
      <c r="AY111" s="7"/>
      <c r="AZ111" s="7"/>
      <c r="BA111" s="7"/>
      <c r="BB111" s="7"/>
      <c r="BC111" s="7" t="s">
        <v>366</v>
      </c>
      <c r="BD111" s="21">
        <v>44041.0</v>
      </c>
      <c r="BE111" s="7"/>
      <c r="BF111" s="7"/>
      <c r="BG111" s="22">
        <v>44041.0</v>
      </c>
      <c r="BH111" s="7"/>
      <c r="BI111" s="7" t="s">
        <v>1786</v>
      </c>
      <c r="BJ111" s="7"/>
      <c r="BK111" s="7" t="b">
        <v>0</v>
      </c>
      <c r="BL111" s="7" t="b">
        <v>0</v>
      </c>
      <c r="BM111" s="7"/>
      <c r="BN111" s="7" t="str">
        <f>IFERROR(__xludf.DUMMYFUNCTION(" IF( REGEXMATCH(C111 , ""[(].+[)]""),REGEXREPLACE( CONCATENATE(REGEXEXTRACT(C111 , ""[(].+[)]""),IF(REGEXMATCH(C111 , ""[(][Ll]['’][)]""),"""","" ""), REGEXEXTRACT(C111 ,""^(?:(?:[A-Za-zàäéèêîïöôûü0-9 ](?:[A-Za-zàäéèêîïöôûü'0-9 ]+)))"")) , ""[()]"", """")"&amp;",C111 )"),"Bungalows Marjorie")</f>
        <v>Bungalows Marjorie</v>
      </c>
      <c r="BO111" s="23"/>
      <c r="BP111" s="7"/>
      <c r="BQ111" s="7"/>
      <c r="BR111" s="7"/>
      <c r="BS111" s="7"/>
      <c r="BT111" s="7"/>
      <c r="BU111" s="7"/>
      <c r="BV111" s="7"/>
      <c r="BW111" s="7"/>
      <c r="BX111" s="7"/>
      <c r="BY111" s="7"/>
      <c r="BZ111" s="7"/>
      <c r="CA111" s="7"/>
      <c r="CB111" s="7"/>
    </row>
    <row r="112" ht="21.75" customHeight="1">
      <c r="A112" s="7">
        <v>2675.0</v>
      </c>
      <c r="B112" s="7" t="s">
        <v>1787</v>
      </c>
      <c r="C112" s="7" t="s">
        <v>1788</v>
      </c>
      <c r="D112" s="7" t="s">
        <v>1789</v>
      </c>
      <c r="E112" s="7"/>
      <c r="F112" s="7" t="s">
        <v>342</v>
      </c>
      <c r="G112" s="7" t="s">
        <v>343</v>
      </c>
      <c r="H112" s="7" t="s">
        <v>344</v>
      </c>
      <c r="I112" s="7" t="s">
        <v>1790</v>
      </c>
      <c r="J112" s="26" t="s">
        <v>1791</v>
      </c>
      <c r="K112" s="6" t="s">
        <v>469</v>
      </c>
      <c r="L112" s="7" t="s">
        <v>1792</v>
      </c>
      <c r="M112" s="7" t="s">
        <v>1793</v>
      </c>
      <c r="N112" s="7" t="s">
        <v>422</v>
      </c>
      <c r="O112" s="7">
        <v>97418.0</v>
      </c>
      <c r="P112" s="7" t="s">
        <v>348</v>
      </c>
      <c r="Q112" s="7" t="s">
        <v>349</v>
      </c>
      <c r="R112" s="7"/>
      <c r="S112" s="7"/>
      <c r="T112" s="7" t="s">
        <v>377</v>
      </c>
      <c r="U112" s="7" t="s">
        <v>353</v>
      </c>
      <c r="V112" s="7">
        <v>2.62223696E8</v>
      </c>
      <c r="W112" s="7">
        <v>6.92858114E8</v>
      </c>
      <c r="X112" s="7"/>
      <c r="Y112" s="7"/>
      <c r="Z112" s="7" t="s">
        <v>1794</v>
      </c>
      <c r="AA112" s="7"/>
      <c r="AB112" s="7"/>
      <c r="AC112" s="7" t="s">
        <v>1795</v>
      </c>
      <c r="AD112" s="7" t="s">
        <v>1796</v>
      </c>
      <c r="AE112" s="7"/>
      <c r="AF112" s="7"/>
      <c r="AG112" s="7" t="s">
        <v>597</v>
      </c>
      <c r="AH112" s="20">
        <v>40345.0</v>
      </c>
      <c r="AI112" s="7"/>
      <c r="AJ112" s="7" t="s">
        <v>1797</v>
      </c>
      <c r="AK112" s="7">
        <v>4.8180447400023E13</v>
      </c>
      <c r="AL112" s="7" t="s">
        <v>1798</v>
      </c>
      <c r="AM112" s="7" t="s">
        <v>1799</v>
      </c>
      <c r="AN112" s="20">
        <v>40345.0</v>
      </c>
      <c r="AO112" s="7">
        <v>97418.0</v>
      </c>
      <c r="AP112" s="7" t="s">
        <v>362</v>
      </c>
      <c r="AQ112" s="7"/>
      <c r="AR112" s="7"/>
      <c r="AS112" s="7"/>
      <c r="AT112" s="7"/>
      <c r="AU112" s="7">
        <v>0.0</v>
      </c>
      <c r="AV112" s="7" t="s">
        <v>1800</v>
      </c>
      <c r="AW112" s="7"/>
      <c r="AX112" s="7"/>
      <c r="AY112" s="7"/>
      <c r="AZ112" s="7"/>
      <c r="BA112" s="7"/>
      <c r="BB112" s="7"/>
      <c r="BC112" s="7" t="s">
        <v>401</v>
      </c>
      <c r="BD112" s="21">
        <v>44061.52638888889</v>
      </c>
      <c r="BE112" s="7" t="s">
        <v>449</v>
      </c>
      <c r="BF112" s="7"/>
      <c r="BG112" s="7"/>
      <c r="BH112" s="7">
        <v>4.81804474E8</v>
      </c>
      <c r="BI112" s="7" t="s">
        <v>1801</v>
      </c>
      <c r="BJ112" s="7"/>
      <c r="BK112" s="7" t="b">
        <v>0</v>
      </c>
      <c r="BL112" s="7" t="b">
        <v>0</v>
      </c>
      <c r="BM112" s="7"/>
      <c r="BN112" s="7" t="str">
        <f>IFERROR(__xludf.DUMMYFUNCTION(" IF( REGEXMATCH(C112 , ""[(].+[)]""),REGEXREPLACE( CONCATENATE(REGEXEXTRACT(C112 , ""[(].+[)]""),IF(REGEXMATCH(C112 , ""[(][Ll]['’][)]""),"""","" ""), REGEXEXTRACT(C112 ,""^(?:(?:[A-Za-zàäéèêîïöôûü0-9 ](?:[A-Za-zàäéèêîïöôûü'0-9 ]+)))"")) , ""[()]"", """")"&amp;",C112 )"),"Le Cabaret Pat'Jaune ")</f>
        <v>Le Cabaret Pat'Jaune </v>
      </c>
      <c r="BO112" s="25"/>
      <c r="BP112" s="7"/>
      <c r="BQ112" s="7"/>
      <c r="BR112" s="7"/>
      <c r="BS112" s="7"/>
      <c r="BT112" s="7"/>
      <c r="BU112" s="7"/>
      <c r="BV112" s="7"/>
      <c r="BW112" s="7"/>
      <c r="BX112" s="7"/>
      <c r="BY112" s="7"/>
      <c r="BZ112" s="7"/>
      <c r="CA112" s="7"/>
      <c r="CB112" s="7"/>
    </row>
    <row r="113" ht="21.75" customHeight="1">
      <c r="A113" s="7">
        <v>2648.0</v>
      </c>
      <c r="B113" s="7">
        <v>112.0</v>
      </c>
      <c r="C113" s="7" t="s">
        <v>1802</v>
      </c>
      <c r="D113" s="7" t="s">
        <v>1803</v>
      </c>
      <c r="E113" s="7"/>
      <c r="F113" s="7" t="s">
        <v>404</v>
      </c>
      <c r="G113" s="7" t="s">
        <v>343</v>
      </c>
      <c r="H113" s="7" t="s">
        <v>40</v>
      </c>
      <c r="I113" s="7" t="s">
        <v>1804</v>
      </c>
      <c r="J113" s="7"/>
      <c r="K113" s="7" t="s">
        <v>822</v>
      </c>
      <c r="L113" s="7" t="s">
        <v>1805</v>
      </c>
      <c r="M113" s="7" t="s">
        <v>1806</v>
      </c>
      <c r="N113" s="7" t="s">
        <v>422</v>
      </c>
      <c r="O113" s="7">
        <v>97414.0</v>
      </c>
      <c r="P113" s="7" t="s">
        <v>40</v>
      </c>
      <c r="Q113" s="7"/>
      <c r="R113" s="7"/>
      <c r="S113" s="7"/>
      <c r="T113" s="7" t="s">
        <v>377</v>
      </c>
      <c r="U113" s="7" t="s">
        <v>424</v>
      </c>
      <c r="V113" s="7">
        <v>2.6239698E8</v>
      </c>
      <c r="W113" s="7"/>
      <c r="X113" s="7"/>
      <c r="Y113" s="7"/>
      <c r="Z113" s="7" t="s">
        <v>1807</v>
      </c>
      <c r="AA113" s="7">
        <v>10.0</v>
      </c>
      <c r="AB113" s="7"/>
      <c r="AC113" s="7"/>
      <c r="AD113" s="7" t="s">
        <v>1808</v>
      </c>
      <c r="AE113" s="7" t="s">
        <v>1809</v>
      </c>
      <c r="AF113" s="7" t="s">
        <v>1810</v>
      </c>
      <c r="AG113" s="7"/>
      <c r="AH113" s="20">
        <v>43739.0</v>
      </c>
      <c r="AI113" s="7"/>
      <c r="AJ113" s="7" t="s">
        <v>1802</v>
      </c>
      <c r="AK113" s="7"/>
      <c r="AL113" s="7" t="s">
        <v>1811</v>
      </c>
      <c r="AM113" s="7" t="s">
        <v>1812</v>
      </c>
      <c r="AN113" s="20">
        <v>43739.0</v>
      </c>
      <c r="AO113" s="7">
        <v>97414.0</v>
      </c>
      <c r="AP113" s="7" t="s">
        <v>429</v>
      </c>
      <c r="AQ113" s="7"/>
      <c r="AR113" s="7"/>
      <c r="AS113" s="7"/>
      <c r="AT113" s="7"/>
      <c r="AU113" s="7">
        <v>0.0</v>
      </c>
      <c r="AV113" s="7" t="s">
        <v>1813</v>
      </c>
      <c r="AW113" s="7"/>
      <c r="AX113" s="7"/>
      <c r="AY113" s="7"/>
      <c r="AZ113" s="7"/>
      <c r="BA113" s="7"/>
      <c r="BB113" s="7"/>
      <c r="BC113" s="7" t="s">
        <v>366</v>
      </c>
      <c r="BD113" s="21">
        <v>44042.05694444444</v>
      </c>
      <c r="BE113" s="7"/>
      <c r="BF113" s="7"/>
      <c r="BG113" s="22">
        <v>44042.0</v>
      </c>
      <c r="BH113" s="7"/>
      <c r="BI113" s="7" t="s">
        <v>1786</v>
      </c>
      <c r="BJ113" s="7"/>
      <c r="BK113" s="7" t="b">
        <v>0</v>
      </c>
      <c r="BL113" s="7" t="b">
        <v>0</v>
      </c>
      <c r="BM113" s="7"/>
      <c r="BN113" s="7" t="str">
        <f>IFERROR(__xludf.DUMMYFUNCTION(" IF( REGEXMATCH(C113 , ""[(].+[)]""),REGEXREPLACE( CONCATENATE(REGEXEXTRACT(C113 , ""[(].+[)]""),IF(REGEXMATCH(C113 , ""[(][Ll]['’][)]""),"""","" ""), REGEXEXTRACT(C113 ,""^(?:(?:[A-Za-zàäéèêîïöôûü0-9 ](?:[A-Za-zàäéèêîïöôûü'0-9 ]+)))"")) , ""[()]"", """")"&amp;",C113 )"),"Le Café ou l'Arôme d'une Histoire ")</f>
        <v>Le Café ou l'Arôme d'une Histoire </v>
      </c>
      <c r="BO113" s="23"/>
      <c r="BP113" s="7"/>
      <c r="BQ113" s="7"/>
      <c r="BR113" s="7"/>
      <c r="BS113" s="7"/>
      <c r="BT113" s="7"/>
      <c r="BU113" s="7"/>
      <c r="BV113" s="7"/>
      <c r="BW113" s="7"/>
      <c r="BX113" s="7"/>
      <c r="BY113" s="7"/>
      <c r="BZ113" s="7"/>
      <c r="CA113" s="7"/>
      <c r="CB113" s="7"/>
    </row>
    <row r="114" ht="21.75" customHeight="1">
      <c r="A114" s="7">
        <v>4528.0</v>
      </c>
      <c r="B114" s="7" t="s">
        <v>1814</v>
      </c>
      <c r="C114" s="7" t="s">
        <v>1815</v>
      </c>
      <c r="D114" s="7"/>
      <c r="E114" s="7"/>
      <c r="F114" s="7" t="s">
        <v>342</v>
      </c>
      <c r="G114" s="7" t="s">
        <v>343</v>
      </c>
      <c r="H114" s="7" t="s">
        <v>344</v>
      </c>
      <c r="I114" s="7" t="s">
        <v>1816</v>
      </c>
      <c r="J114" s="26" t="s">
        <v>1817</v>
      </c>
      <c r="K114" s="7" t="s">
        <v>58</v>
      </c>
      <c r="L114" s="7" t="s">
        <v>453</v>
      </c>
      <c r="M114" s="7" t="s">
        <v>454</v>
      </c>
      <c r="N114" s="7" t="s">
        <v>455</v>
      </c>
      <c r="O114" s="7">
        <v>97430.0</v>
      </c>
      <c r="P114" s="7" t="s">
        <v>344</v>
      </c>
      <c r="Q114" s="7"/>
      <c r="R114" s="7" t="s">
        <v>1818</v>
      </c>
      <c r="S114" s="7"/>
      <c r="T114" s="7" t="s">
        <v>1076</v>
      </c>
      <c r="U114" s="7" t="s">
        <v>424</v>
      </c>
      <c r="V114" s="7">
        <v>2.62024987E8</v>
      </c>
      <c r="W114" s="7">
        <v>6.93116657E8</v>
      </c>
      <c r="X114" s="7"/>
      <c r="Y114" s="7"/>
      <c r="Z114" s="7" t="s">
        <v>1819</v>
      </c>
      <c r="AA114" s="7">
        <v>7.0</v>
      </c>
      <c r="AB114" s="7" t="s">
        <v>355</v>
      </c>
      <c r="AC114" s="7" t="s">
        <v>1820</v>
      </c>
      <c r="AD114" s="7" t="s">
        <v>1821</v>
      </c>
      <c r="AE114" s="7" t="s">
        <v>1822</v>
      </c>
      <c r="AF114" s="7"/>
      <c r="AG114" s="7"/>
      <c r="AH114" s="20">
        <v>43270.0</v>
      </c>
      <c r="AI114" s="7"/>
      <c r="AJ114" s="7" t="s">
        <v>1823</v>
      </c>
      <c r="AK114" s="7">
        <v>8.3788306500018E13</v>
      </c>
      <c r="AL114" s="7" t="s">
        <v>1824</v>
      </c>
      <c r="AM114" s="7" t="s">
        <v>1825</v>
      </c>
      <c r="AN114" s="20">
        <v>43270.0</v>
      </c>
      <c r="AO114" s="7">
        <v>97430.0</v>
      </c>
      <c r="AP114" s="7" t="s">
        <v>494</v>
      </c>
      <c r="AQ114" s="7"/>
      <c r="AR114" s="7"/>
      <c r="AS114" s="7"/>
      <c r="AT114" s="7"/>
      <c r="AU114" s="7">
        <v>3.0</v>
      </c>
      <c r="AV114" s="7" t="s">
        <v>1826</v>
      </c>
      <c r="AW114" s="7" t="s">
        <v>1827</v>
      </c>
      <c r="AX114" s="7" t="s">
        <v>1828</v>
      </c>
      <c r="AY114" s="7" t="s">
        <v>1829</v>
      </c>
      <c r="AZ114" s="7" t="s">
        <v>1830</v>
      </c>
      <c r="BA114" s="7"/>
      <c r="BB114" s="7"/>
      <c r="BC114" s="7" t="s">
        <v>401</v>
      </c>
      <c r="BD114" s="21">
        <v>44053.061111111114</v>
      </c>
      <c r="BE114" s="7" t="s">
        <v>1831</v>
      </c>
      <c r="BF114" s="7"/>
      <c r="BG114" s="7"/>
      <c r="BH114" s="7">
        <v>8.37883065E8</v>
      </c>
      <c r="BI114" s="7" t="s">
        <v>1832</v>
      </c>
      <c r="BJ114" s="7"/>
      <c r="BK114" s="7" t="b">
        <v>0</v>
      </c>
      <c r="BL114" s="7" t="b">
        <v>0</v>
      </c>
      <c r="BM114" s="7"/>
      <c r="BN114" s="7" t="str">
        <f>IFERROR(__xludf.DUMMYFUNCTION(" IF( REGEXMATCH(C114 , ""[(].+[)]""),REGEXREPLACE( CONCATENATE(REGEXEXTRACT(C114 , ""[(].+[)]""),IF(REGEXMATCH(C114 , ""[(][Ll]['’][)]""),"""","" ""), REGEXEXTRACT(C114 ,""^(?:(?:[A-Za-zàäéèêîïöôûü0-9 ](?:[A-Za-zàäéèêîïöôûü'0-9 ]+)))"")) , ""[()]"", """")"&amp;",C114 )"),"Le Caloupilé ")</f>
        <v>Le Caloupilé </v>
      </c>
      <c r="BO114" s="25"/>
      <c r="BP114" s="7"/>
      <c r="BQ114" s="7"/>
      <c r="BR114" s="7"/>
      <c r="BS114" s="7"/>
      <c r="BT114" s="7"/>
      <c r="BU114" s="7"/>
      <c r="BV114" s="7"/>
      <c r="BW114" s="7"/>
      <c r="BX114" s="7"/>
      <c r="BY114" s="7"/>
      <c r="BZ114" s="7"/>
      <c r="CA114" s="7"/>
      <c r="CB114" s="7"/>
    </row>
    <row r="115" ht="21.75" customHeight="1">
      <c r="A115" s="7">
        <v>477.0</v>
      </c>
      <c r="B115" s="7">
        <v>114.0</v>
      </c>
      <c r="C115" s="7" t="s">
        <v>1833</v>
      </c>
      <c r="D115" s="7" t="s">
        <v>1834</v>
      </c>
      <c r="E115" s="7"/>
      <c r="F115" s="7" t="s">
        <v>342</v>
      </c>
      <c r="G115" s="7" t="s">
        <v>343</v>
      </c>
      <c r="H115" s="7" t="s">
        <v>123</v>
      </c>
      <c r="I115" s="7" t="s">
        <v>1835</v>
      </c>
      <c r="J115" s="7"/>
      <c r="K115" s="7" t="s">
        <v>34</v>
      </c>
      <c r="L115" s="7" t="s">
        <v>622</v>
      </c>
      <c r="M115" s="7" t="s">
        <v>622</v>
      </c>
      <c r="N115" s="7" t="s">
        <v>664</v>
      </c>
      <c r="O115" s="7">
        <v>97480.0</v>
      </c>
      <c r="P115" s="7" t="s">
        <v>123</v>
      </c>
      <c r="Q115" s="7"/>
      <c r="R115" s="7" t="s">
        <v>1836</v>
      </c>
      <c r="S115" s="7" t="s">
        <v>1837</v>
      </c>
      <c r="T115" s="7" t="s">
        <v>1838</v>
      </c>
      <c r="U115" s="7" t="s">
        <v>592</v>
      </c>
      <c r="V115" s="7">
        <v>2.6231663E8</v>
      </c>
      <c r="W115" s="7">
        <v>6.92298713E8</v>
      </c>
      <c r="X115" s="7"/>
      <c r="Y115" s="7"/>
      <c r="Z115" s="7"/>
      <c r="AA115" s="7">
        <v>40.0</v>
      </c>
      <c r="AB115" s="7"/>
      <c r="AC115" s="7"/>
      <c r="AD115" s="7" t="s">
        <v>1839</v>
      </c>
      <c r="AE115" s="7" t="s">
        <v>1840</v>
      </c>
      <c r="AF115" s="7"/>
      <c r="AG115" s="7"/>
      <c r="AH115" s="20">
        <v>39575.0</v>
      </c>
      <c r="AI115" s="7"/>
      <c r="AJ115" s="7" t="s">
        <v>1841</v>
      </c>
      <c r="AK115" s="7"/>
      <c r="AL115" s="7" t="s">
        <v>1842</v>
      </c>
      <c r="AM115" s="7" t="s">
        <v>1843</v>
      </c>
      <c r="AN115" s="20">
        <v>39575.0</v>
      </c>
      <c r="AO115" s="7">
        <v>97480.0</v>
      </c>
      <c r="AP115" s="7" t="s">
        <v>385</v>
      </c>
      <c r="AQ115" s="7"/>
      <c r="AR115" s="7"/>
      <c r="AS115" s="7"/>
      <c r="AT115" s="7"/>
      <c r="AU115" s="7">
        <v>0.0</v>
      </c>
      <c r="AV115" s="7" t="s">
        <v>1844</v>
      </c>
      <c r="AW115" s="7"/>
      <c r="AX115" s="7"/>
      <c r="AY115" s="7"/>
      <c r="AZ115" s="7"/>
      <c r="BA115" s="7"/>
      <c r="BB115" s="7"/>
      <c r="BC115" s="7" t="s">
        <v>366</v>
      </c>
      <c r="BD115" s="21">
        <v>44052.4625</v>
      </c>
      <c r="BE115" s="7"/>
      <c r="BF115" s="7"/>
      <c r="BG115" s="22">
        <v>44052.0</v>
      </c>
      <c r="BH115" s="7"/>
      <c r="BI115" s="7" t="s">
        <v>1845</v>
      </c>
      <c r="BJ115" s="7"/>
      <c r="BK115" s="7" t="b">
        <v>0</v>
      </c>
      <c r="BL115" s="7" t="b">
        <v>0</v>
      </c>
      <c r="BM115" s="7"/>
      <c r="BN115" s="7" t="str">
        <f>IFERROR(__xludf.DUMMYFUNCTION(" IF( REGEXMATCH(C115 , ""[(].+[)]""),REGEXREPLACE( CONCATENATE(REGEXEXTRACT(C115 , ""[(].+[)]""),IF(REGEXMATCH(C115 , ""[(][Ll]['’][)]""),"""","" ""), REGEXEXTRACT(C115 ,""^(?:(?:[A-Za-zàäéèêîïöôûü0-9 ](?:[A-Za-zàäéèêîïöôûü'0-9 ]+)))"")) , ""[()]"", """")"&amp;",C115 )"),"La Calypso ")</f>
        <v>La Calypso </v>
      </c>
      <c r="BO115" s="23"/>
      <c r="BP115" s="7"/>
      <c r="BQ115" s="7"/>
      <c r="BR115" s="7"/>
      <c r="BS115" s="7"/>
      <c r="BT115" s="7"/>
      <c r="BU115" s="7"/>
      <c r="BV115" s="7"/>
      <c r="BW115" s="7"/>
      <c r="BX115" s="7"/>
      <c r="BY115" s="7"/>
      <c r="BZ115" s="7"/>
      <c r="CA115" s="7"/>
      <c r="CB115" s="7"/>
    </row>
    <row r="116" ht="21.75" customHeight="1">
      <c r="A116" s="7">
        <v>3903.0</v>
      </c>
      <c r="B116" s="7">
        <v>115.0</v>
      </c>
      <c r="C116" s="7" t="s">
        <v>1846</v>
      </c>
      <c r="D116" s="7"/>
      <c r="E116" s="7"/>
      <c r="F116" s="7" t="s">
        <v>404</v>
      </c>
      <c r="G116" s="7" t="s">
        <v>343</v>
      </c>
      <c r="H116" s="7" t="s">
        <v>344</v>
      </c>
      <c r="I116" s="7" t="s">
        <v>1847</v>
      </c>
      <c r="J116" s="7"/>
      <c r="K116" s="7" t="s">
        <v>58</v>
      </c>
      <c r="L116" s="7" t="s">
        <v>59</v>
      </c>
      <c r="M116" s="7" t="s">
        <v>346</v>
      </c>
      <c r="N116" s="7" t="s">
        <v>455</v>
      </c>
      <c r="O116" s="7">
        <v>97418.0</v>
      </c>
      <c r="P116" s="7" t="s">
        <v>348</v>
      </c>
      <c r="Q116" s="7" t="s">
        <v>349</v>
      </c>
      <c r="R116" s="7"/>
      <c r="S116" s="7"/>
      <c r="T116" s="7"/>
      <c r="U116" s="7"/>
      <c r="V116" s="7">
        <v>2.62272192E8</v>
      </c>
      <c r="W116" s="7">
        <v>6.92539238E8</v>
      </c>
      <c r="X116" s="7"/>
      <c r="Y116" s="7"/>
      <c r="Z116" s="7" t="s">
        <v>1848</v>
      </c>
      <c r="AA116" s="7">
        <v>14.0</v>
      </c>
      <c r="AB116" s="7"/>
      <c r="AC116" s="7"/>
      <c r="AD116" s="7" t="s">
        <v>1849</v>
      </c>
      <c r="AE116" s="7"/>
      <c r="AF116" s="7"/>
      <c r="AG116" s="7"/>
      <c r="AH116" s="20">
        <v>42170.0</v>
      </c>
      <c r="AI116" s="7"/>
      <c r="AJ116" s="7" t="s">
        <v>1846</v>
      </c>
      <c r="AK116" s="7"/>
      <c r="AL116" s="7" t="s">
        <v>1850</v>
      </c>
      <c r="AM116" s="7" t="s">
        <v>1851</v>
      </c>
      <c r="AN116" s="20">
        <v>42170.0</v>
      </c>
      <c r="AO116" s="7">
        <v>97418.0</v>
      </c>
      <c r="AP116" s="7" t="s">
        <v>362</v>
      </c>
      <c r="AQ116" s="7"/>
      <c r="AR116" s="7"/>
      <c r="AS116" s="7"/>
      <c r="AT116" s="7"/>
      <c r="AU116" s="7">
        <v>1.0</v>
      </c>
      <c r="AV116" s="7" t="s">
        <v>1852</v>
      </c>
      <c r="AW116" s="7"/>
      <c r="AX116" s="7"/>
      <c r="AY116" s="7"/>
      <c r="AZ116" s="7"/>
      <c r="BA116" s="7"/>
      <c r="BB116" s="7"/>
      <c r="BC116" s="7" t="s">
        <v>366</v>
      </c>
      <c r="BD116" s="21">
        <v>44053.160416666666</v>
      </c>
      <c r="BE116" s="7"/>
      <c r="BF116" s="7"/>
      <c r="BG116" s="22">
        <v>44053.0</v>
      </c>
      <c r="BH116" s="7"/>
      <c r="BI116" s="7" t="s">
        <v>1853</v>
      </c>
      <c r="BJ116" s="7"/>
      <c r="BK116" s="7" t="b">
        <v>0</v>
      </c>
      <c r="BL116" s="7" t="b">
        <v>0</v>
      </c>
      <c r="BM116" s="7"/>
      <c r="BN116" s="7" t="str">
        <f>IFERROR(__xludf.DUMMYFUNCTION(" IF( REGEXMATCH(C116 , ""[(].+[)]""),REGEXREPLACE( CONCATENATE(REGEXEXTRACT(C116 , ""[(].+[)]""),IF(REGEXMATCH(C116 , ""[(][Ll]['’][)]""),"""","" ""), REGEXEXTRACT(C116 ,""^(?:(?:[A-Za-zàäéèêîïöôûü0-9 ](?:[A-Za-zàäéèêîïöôûü'0-9 ]+)))"")) , ""[()]"", """")"&amp;",C116 )"),"Les Camélias ")</f>
        <v>Les Camélias </v>
      </c>
      <c r="BO116" s="23"/>
      <c r="BP116" s="7"/>
      <c r="BQ116" s="7"/>
      <c r="BR116" s="7"/>
      <c r="BS116" s="7"/>
      <c r="BT116" s="7"/>
      <c r="BU116" s="7"/>
      <c r="BV116" s="7"/>
      <c r="BW116" s="7"/>
      <c r="BX116" s="7"/>
      <c r="BY116" s="7"/>
      <c r="BZ116" s="7"/>
      <c r="CA116" s="7"/>
      <c r="CB116" s="7"/>
    </row>
    <row r="117" ht="21.75" customHeight="1">
      <c r="A117" s="7">
        <v>3287.0</v>
      </c>
      <c r="B117" s="7" t="s">
        <v>1854</v>
      </c>
      <c r="C117" s="7" t="s">
        <v>1855</v>
      </c>
      <c r="D117" s="7" t="s">
        <v>1856</v>
      </c>
      <c r="E117" s="7"/>
      <c r="F117" s="7" t="s">
        <v>342</v>
      </c>
      <c r="G117" s="7" t="s">
        <v>343</v>
      </c>
      <c r="H117" s="7" t="s">
        <v>40</v>
      </c>
      <c r="I117" s="7" t="s">
        <v>1857</v>
      </c>
      <c r="J117" s="26" t="s">
        <v>1858</v>
      </c>
      <c r="K117" s="7" t="s">
        <v>58</v>
      </c>
      <c r="L117" s="7" t="s">
        <v>1859</v>
      </c>
      <c r="M117" s="7" t="s">
        <v>1859</v>
      </c>
      <c r="N117" s="7" t="s">
        <v>422</v>
      </c>
      <c r="O117" s="7">
        <v>97414.0</v>
      </c>
      <c r="P117" s="7" t="s">
        <v>40</v>
      </c>
      <c r="Q117" s="7" t="s">
        <v>1860</v>
      </c>
      <c r="R117" s="7" t="s">
        <v>1861</v>
      </c>
      <c r="S117" s="7" t="s">
        <v>1862</v>
      </c>
      <c r="T117" s="7" t="s">
        <v>1863</v>
      </c>
      <c r="U117" s="7" t="s">
        <v>786</v>
      </c>
      <c r="V117" s="7"/>
      <c r="W117" s="7">
        <v>6.92825775E8</v>
      </c>
      <c r="X117" s="7"/>
      <c r="Y117" s="7"/>
      <c r="Z117" s="7" t="s">
        <v>1864</v>
      </c>
      <c r="AA117" s="7">
        <v>20.0</v>
      </c>
      <c r="AB117" s="7" t="s">
        <v>1865</v>
      </c>
      <c r="AC117" s="7" t="s">
        <v>1866</v>
      </c>
      <c r="AD117" s="7" t="s">
        <v>1867</v>
      </c>
      <c r="AE117" s="7" t="s">
        <v>1868</v>
      </c>
      <c r="AF117" s="7"/>
      <c r="AG117" s="7" t="s">
        <v>1869</v>
      </c>
      <c r="AH117" s="20">
        <v>41236.0</v>
      </c>
      <c r="AI117" s="7"/>
      <c r="AJ117" s="7" t="s">
        <v>1870</v>
      </c>
      <c r="AK117" s="7">
        <v>4.3826612400017E13</v>
      </c>
      <c r="AL117" s="7" t="s">
        <v>1871</v>
      </c>
      <c r="AM117" s="7" t="s">
        <v>1872</v>
      </c>
      <c r="AN117" s="20">
        <v>40421.0</v>
      </c>
      <c r="AO117" s="7">
        <v>97414.0</v>
      </c>
      <c r="AP117" s="7" t="s">
        <v>429</v>
      </c>
      <c r="AQ117" s="7"/>
      <c r="AR117" s="7"/>
      <c r="AS117" s="7"/>
      <c r="AT117" s="7"/>
      <c r="AU117" s="7">
        <v>3.0</v>
      </c>
      <c r="AV117" s="7" t="s">
        <v>1873</v>
      </c>
      <c r="AW117" s="7" t="s">
        <v>1874</v>
      </c>
      <c r="AX117" s="7" t="s">
        <v>1875</v>
      </c>
      <c r="AY117" s="7" t="s">
        <v>1876</v>
      </c>
      <c r="AZ117" s="7" t="s">
        <v>1877</v>
      </c>
      <c r="BA117" s="7"/>
      <c r="BB117" s="7"/>
      <c r="BC117" s="7" t="s">
        <v>401</v>
      </c>
      <c r="BD117" s="21">
        <v>44082.46111111111</v>
      </c>
      <c r="BE117" s="7" t="s">
        <v>1878</v>
      </c>
      <c r="BF117" s="7"/>
      <c r="BG117" s="7"/>
      <c r="BH117" s="7">
        <v>4.38266124E8</v>
      </c>
      <c r="BI117" s="7" t="s">
        <v>1879</v>
      </c>
      <c r="BJ117" s="7"/>
      <c r="BK117" s="7" t="b">
        <v>0</v>
      </c>
      <c r="BL117" s="7" t="b">
        <v>0</v>
      </c>
      <c r="BM117" s="7"/>
      <c r="BN117" s="7" t="str">
        <f>IFERROR(__xludf.DUMMYFUNCTION(" IF( REGEXMATCH(C117 , ""[(].+[)]""),REGEXREPLACE( CONCATENATE(REGEXEXTRACT(C117 , ""[(].+[)]""),IF(REGEXMATCH(C117 , ""[(][Ll]['’][)]""),"""","" ""), REGEXEXTRACT(C117 ,""^(?:(?:[A-Za-zàäéèêîïöôûü0-9 ](?:[A-Za-zàäéèêîïöôûü'0-9 ]+)))"")) , ""[()]"", """")"&amp;",C117 )"),"Camping Pré-Vert Entre 2 Songes")</f>
        <v>Camping Pré-Vert Entre 2 Songes</v>
      </c>
      <c r="BO117" s="25"/>
      <c r="BP117" s="7"/>
      <c r="BQ117" s="7"/>
      <c r="BR117" s="7"/>
      <c r="BS117" s="7"/>
      <c r="BT117" s="7"/>
      <c r="BU117" s="7"/>
      <c r="BV117" s="7"/>
      <c r="BW117" s="7"/>
      <c r="BX117" s="7"/>
      <c r="BY117" s="7"/>
      <c r="BZ117" s="7"/>
      <c r="CA117" s="7"/>
      <c r="CB117" s="7"/>
    </row>
    <row r="118" ht="21.75" customHeight="1">
      <c r="A118" s="7">
        <v>4000.0</v>
      </c>
      <c r="B118" s="7" t="s">
        <v>1880</v>
      </c>
      <c r="C118" s="7" t="s">
        <v>1881</v>
      </c>
      <c r="D118" s="7"/>
      <c r="E118" s="7"/>
      <c r="F118" s="7" t="s">
        <v>342</v>
      </c>
      <c r="G118" s="7" t="s">
        <v>343</v>
      </c>
      <c r="H118" s="7" t="s">
        <v>344</v>
      </c>
      <c r="I118" s="7" t="s">
        <v>1882</v>
      </c>
      <c r="J118" s="26" t="s">
        <v>1883</v>
      </c>
      <c r="K118" s="7" t="s">
        <v>34</v>
      </c>
      <c r="L118" s="7" t="s">
        <v>622</v>
      </c>
      <c r="M118" s="7" t="s">
        <v>622</v>
      </c>
      <c r="N118" s="7"/>
      <c r="O118" s="7">
        <v>97430.0</v>
      </c>
      <c r="P118" s="7" t="s">
        <v>344</v>
      </c>
      <c r="Q118" s="7"/>
      <c r="R118" s="7"/>
      <c r="S118" s="7"/>
      <c r="T118" s="7" t="s">
        <v>1155</v>
      </c>
      <c r="U118" s="7" t="s">
        <v>378</v>
      </c>
      <c r="V118" s="7">
        <v>2.62012011E8</v>
      </c>
      <c r="W118" s="7">
        <v>6.92489387E8</v>
      </c>
      <c r="X118" s="7"/>
      <c r="Y118" s="7"/>
      <c r="Z118" s="7" t="s">
        <v>1884</v>
      </c>
      <c r="AA118" s="7"/>
      <c r="AB118" s="7"/>
      <c r="AC118" s="7" t="s">
        <v>1885</v>
      </c>
      <c r="AD118" s="7" t="s">
        <v>1886</v>
      </c>
      <c r="AE118" s="7"/>
      <c r="AF118" s="7"/>
      <c r="AG118" s="7"/>
      <c r="AH118" s="20">
        <v>42221.0</v>
      </c>
      <c r="AI118" s="7"/>
      <c r="AJ118" s="7" t="s">
        <v>1887</v>
      </c>
      <c r="AK118" s="7">
        <v>5.3399839900026E13</v>
      </c>
      <c r="AL118" s="7" t="s">
        <v>1888</v>
      </c>
      <c r="AM118" s="7" t="s">
        <v>1889</v>
      </c>
      <c r="AN118" s="20">
        <v>42221.0</v>
      </c>
      <c r="AO118" s="7">
        <v>97430.0</v>
      </c>
      <c r="AP118" s="7" t="s">
        <v>494</v>
      </c>
      <c r="AQ118" s="7"/>
      <c r="AR118" s="7"/>
      <c r="AS118" s="7"/>
      <c r="AT118" s="7"/>
      <c r="AU118" s="7">
        <v>0.0</v>
      </c>
      <c r="AV118" s="7" t="s">
        <v>1890</v>
      </c>
      <c r="AW118" s="7"/>
      <c r="AX118" s="7"/>
      <c r="AY118" s="7"/>
      <c r="AZ118" s="7"/>
      <c r="BA118" s="7"/>
      <c r="BB118" s="7"/>
      <c r="BC118" s="7" t="s">
        <v>401</v>
      </c>
      <c r="BD118" s="21">
        <v>44054.05972222222</v>
      </c>
      <c r="BE118" s="7" t="s">
        <v>1891</v>
      </c>
      <c r="BF118" s="7"/>
      <c r="BG118" s="7"/>
      <c r="BH118" s="7">
        <v>5.33998399E8</v>
      </c>
      <c r="BI118" s="7" t="s">
        <v>1892</v>
      </c>
      <c r="BJ118" s="7"/>
      <c r="BK118" s="7" t="b">
        <v>0</v>
      </c>
      <c r="BL118" s="7" t="b">
        <v>0</v>
      </c>
      <c r="BM118" s="7"/>
      <c r="BN118" s="7" t="str">
        <f>IFERROR(__xludf.DUMMYFUNCTION(" IF( REGEXMATCH(C118 , ""[(].+[)]""),REGEXREPLACE( CONCATENATE(REGEXEXTRACT(C118 , ""[(].+[)]""),IF(REGEXMATCH(C118 , ""[(][Ll]['’][)]""),"""","" ""), REGEXEXTRACT(C118 ,""^(?:(?:[A-Za-zàäéèêîïöôûü0-9 ](?:[A-Za-zàäéèêîïöôûü'0-9 ]+)))"")) , ""[()]"", """")"&amp;",C118 )"),"Le Canard Bourbon ")</f>
        <v>Le Canard Bourbon </v>
      </c>
      <c r="BO118" s="25"/>
      <c r="BP118" s="7"/>
      <c r="BQ118" s="7"/>
      <c r="BR118" s="7"/>
      <c r="BS118" s="7"/>
      <c r="BT118" s="7"/>
      <c r="BU118" s="7"/>
      <c r="BV118" s="7"/>
      <c r="BW118" s="7"/>
      <c r="BX118" s="7"/>
      <c r="BY118" s="7"/>
      <c r="BZ118" s="7"/>
      <c r="CA118" s="7"/>
      <c r="CB118" s="7"/>
    </row>
    <row r="119" ht="21.75" customHeight="1">
      <c r="A119" s="7">
        <v>3012.0</v>
      </c>
      <c r="B119" s="7" t="s">
        <v>1893</v>
      </c>
      <c r="C119" s="7" t="s">
        <v>1894</v>
      </c>
      <c r="D119" s="7"/>
      <c r="E119" s="7"/>
      <c r="F119" s="7" t="s">
        <v>342</v>
      </c>
      <c r="G119" s="7" t="s">
        <v>343</v>
      </c>
      <c r="H119" s="7" t="s">
        <v>344</v>
      </c>
      <c r="I119" s="7" t="s">
        <v>1895</v>
      </c>
      <c r="J119" s="7"/>
      <c r="K119" s="6" t="s">
        <v>469</v>
      </c>
      <c r="L119" s="7" t="s">
        <v>197</v>
      </c>
      <c r="M119" s="7" t="s">
        <v>559</v>
      </c>
      <c r="N119" s="7"/>
      <c r="O119" s="7">
        <v>97418.0</v>
      </c>
      <c r="P119" s="7" t="s">
        <v>348</v>
      </c>
      <c r="Q119" s="7" t="s">
        <v>349</v>
      </c>
      <c r="R119" s="7"/>
      <c r="S119" s="7"/>
      <c r="T119" s="7" t="s">
        <v>377</v>
      </c>
      <c r="U119" s="7" t="s">
        <v>378</v>
      </c>
      <c r="V119" s="7"/>
      <c r="W119" s="7">
        <v>6.92273419E8</v>
      </c>
      <c r="X119" s="7"/>
      <c r="Y119" s="7">
        <v>2.62593295E8</v>
      </c>
      <c r="Z119" s="7" t="s">
        <v>1896</v>
      </c>
      <c r="AA119" s="7"/>
      <c r="AB119" s="7"/>
      <c r="AC119" s="7"/>
      <c r="AD119" s="7" t="s">
        <v>1897</v>
      </c>
      <c r="AE119" s="7"/>
      <c r="AF119" s="7"/>
      <c r="AG119" s="7"/>
      <c r="AH119" s="20">
        <v>43739.0</v>
      </c>
      <c r="AI119" s="7"/>
      <c r="AJ119" s="7" t="s">
        <v>1898</v>
      </c>
      <c r="AK119" s="7">
        <v>4.8479721200012E13</v>
      </c>
      <c r="AL119" s="7" t="s">
        <v>1899</v>
      </c>
      <c r="AM119" s="7" t="s">
        <v>1900</v>
      </c>
      <c r="AN119" s="20">
        <v>43739.0</v>
      </c>
      <c r="AO119" s="7">
        <v>97418.0</v>
      </c>
      <c r="AP119" s="7" t="s">
        <v>362</v>
      </c>
      <c r="AQ119" s="7"/>
      <c r="AR119" s="7"/>
      <c r="AS119" s="7"/>
      <c r="AT119" s="7"/>
      <c r="AU119" s="7">
        <v>0.0</v>
      </c>
      <c r="AV119" s="7" t="s">
        <v>1901</v>
      </c>
      <c r="AW119" s="7"/>
      <c r="AX119" s="7"/>
      <c r="AY119" s="7"/>
      <c r="AZ119" s="7"/>
      <c r="BA119" s="7"/>
      <c r="BB119" s="7"/>
      <c r="BC119" s="7" t="s">
        <v>401</v>
      </c>
      <c r="BD119" s="21">
        <v>44054.04375</v>
      </c>
      <c r="BE119" s="7" t="s">
        <v>1902</v>
      </c>
      <c r="BF119" s="7"/>
      <c r="BG119" s="7"/>
      <c r="BH119" s="7">
        <v>4.84797212E8</v>
      </c>
      <c r="BI119" s="7" t="s">
        <v>1903</v>
      </c>
      <c r="BJ119" s="7"/>
      <c r="BK119" s="7" t="b">
        <v>0</v>
      </c>
      <c r="BL119" s="7" t="b">
        <v>0</v>
      </c>
      <c r="BM119" s="7"/>
      <c r="BN119" s="7" t="str">
        <f>IFERROR(__xludf.DUMMYFUNCTION(" IF( REGEXMATCH(C119 , ""[(].+[)]""),REGEXREPLACE( CONCATENATE(REGEXEXTRACT(C119 , ""[(].+[)]""),IF(REGEXMATCH(C119 , ""[(][Ll]['’][)]""),"""","" ""), REGEXEXTRACT(C119 ,""^(?:(?:[A-Za-zàäéèêîïöôûü0-9 ](?:[A-Za-zàäéèêîïöôûü'0-9 ]+)))"")) , ""[()]"", """")"&amp;",C119 )"),"La Candela ")</f>
        <v>La Candela </v>
      </c>
      <c r="BO119" s="25"/>
      <c r="BP119" s="7"/>
      <c r="BQ119" s="7"/>
      <c r="BR119" s="7"/>
      <c r="BS119" s="7"/>
      <c r="BT119" s="7"/>
      <c r="BU119" s="7"/>
      <c r="BV119" s="7"/>
      <c r="BW119" s="7"/>
      <c r="BX119" s="7"/>
      <c r="BY119" s="7"/>
      <c r="BZ119" s="7"/>
      <c r="CA119" s="7"/>
      <c r="CB119" s="7"/>
    </row>
    <row r="120" ht="21.75" customHeight="1">
      <c r="A120" s="7">
        <v>4847.0</v>
      </c>
      <c r="B120" s="7" t="s">
        <v>1904</v>
      </c>
      <c r="C120" s="7" t="s">
        <v>1905</v>
      </c>
      <c r="D120" s="7"/>
      <c r="E120" s="7"/>
      <c r="F120" s="7" t="s">
        <v>342</v>
      </c>
      <c r="G120" s="7" t="s">
        <v>343</v>
      </c>
      <c r="H120" s="7" t="s">
        <v>123</v>
      </c>
      <c r="I120" s="7" t="s">
        <v>1906</v>
      </c>
      <c r="J120" s="26" t="s">
        <v>1907</v>
      </c>
      <c r="K120" s="6" t="s">
        <v>469</v>
      </c>
      <c r="L120" s="7" t="s">
        <v>1908</v>
      </c>
      <c r="M120" s="7" t="s">
        <v>1909</v>
      </c>
      <c r="N120" s="7" t="s">
        <v>455</v>
      </c>
      <c r="O120" s="7">
        <v>97480.0</v>
      </c>
      <c r="P120" s="7" t="s">
        <v>123</v>
      </c>
      <c r="Q120" s="7"/>
      <c r="R120" s="7"/>
      <c r="S120" s="7"/>
      <c r="T120" s="7" t="s">
        <v>352</v>
      </c>
      <c r="U120" s="7" t="s">
        <v>424</v>
      </c>
      <c r="V120" s="7"/>
      <c r="W120" s="7">
        <v>6.93402408E8</v>
      </c>
      <c r="X120" s="7"/>
      <c r="Y120" s="7"/>
      <c r="Z120" s="7" t="s">
        <v>1910</v>
      </c>
      <c r="AA120" s="7"/>
      <c r="AB120" s="7"/>
      <c r="AC120" s="7" t="s">
        <v>1911</v>
      </c>
      <c r="AD120" s="7" t="s">
        <v>1912</v>
      </c>
      <c r="AE120" s="7"/>
      <c r="AF120" s="7"/>
      <c r="AG120" s="7"/>
      <c r="AH120" s="20">
        <v>43503.0</v>
      </c>
      <c r="AI120" s="7"/>
      <c r="AJ120" s="7" t="s">
        <v>1913</v>
      </c>
      <c r="AK120" s="7">
        <v>5.0316983100032E13</v>
      </c>
      <c r="AL120" s="7" t="s">
        <v>1914</v>
      </c>
      <c r="AM120" s="7" t="s">
        <v>1915</v>
      </c>
      <c r="AN120" s="20">
        <v>43503.0</v>
      </c>
      <c r="AO120" s="7">
        <v>97427.0</v>
      </c>
      <c r="AP120" s="7" t="s">
        <v>1527</v>
      </c>
      <c r="AQ120" s="7"/>
      <c r="AR120" s="7"/>
      <c r="AS120" s="7"/>
      <c r="AT120" s="7"/>
      <c r="AU120" s="7">
        <v>0.0</v>
      </c>
      <c r="AV120" s="7" t="s">
        <v>1916</v>
      </c>
      <c r="AW120" s="7"/>
      <c r="AX120" s="7"/>
      <c r="AY120" s="7"/>
      <c r="AZ120" s="7"/>
      <c r="BA120" s="7"/>
      <c r="BB120" s="7"/>
      <c r="BC120" s="7" t="s">
        <v>401</v>
      </c>
      <c r="BD120" s="21">
        <v>44049.16388888889</v>
      </c>
      <c r="BE120" s="7" t="s">
        <v>1917</v>
      </c>
      <c r="BF120" s="7"/>
      <c r="BG120" s="7"/>
      <c r="BH120" s="7">
        <v>5.03169831E8</v>
      </c>
      <c r="BI120" s="7" t="s">
        <v>1918</v>
      </c>
      <c r="BJ120" s="7"/>
      <c r="BK120" s="7" t="b">
        <v>0</v>
      </c>
      <c r="BL120" s="7" t="b">
        <v>0</v>
      </c>
      <c r="BM120" s="7"/>
      <c r="BN120" s="7" t="str">
        <f>IFERROR(__xludf.DUMMYFUNCTION(" IF( REGEXMATCH(C120 , ""[(].+[)]""),REGEXREPLACE( CONCATENATE(REGEXEXTRACT(C120 , ""[(].+[)]""),IF(REGEXMATCH(C120 , ""[(][Ll]['’][)]""),"""","" ""), REGEXEXTRACT(C120 ,""^(?:(?:[A-Za-zàäéèêîïöôûü0-9 ](?:[A-Za-zàäéèêîïöôûü'0-9 ]+)))"")) , ""[()]"", """")"&amp;",C120 )"),"Canyon Aventure")</f>
        <v>Canyon Aventure</v>
      </c>
      <c r="BO120" s="25"/>
      <c r="BP120" s="7"/>
      <c r="BQ120" s="7"/>
      <c r="BR120" s="7"/>
      <c r="BS120" s="7"/>
      <c r="BT120" s="7"/>
      <c r="BU120" s="7"/>
      <c r="BV120" s="7"/>
      <c r="BW120" s="7"/>
      <c r="BX120" s="7"/>
      <c r="BY120" s="7"/>
      <c r="BZ120" s="7"/>
      <c r="CA120" s="7"/>
      <c r="CB120" s="7"/>
    </row>
    <row r="121" ht="21.75" customHeight="1">
      <c r="A121" s="7">
        <v>912.0</v>
      </c>
      <c r="B121" s="7" t="s">
        <v>1919</v>
      </c>
      <c r="C121" s="7" t="s">
        <v>1920</v>
      </c>
      <c r="D121" s="7" t="s">
        <v>1920</v>
      </c>
      <c r="E121" s="7"/>
      <c r="F121" s="7" t="s">
        <v>342</v>
      </c>
      <c r="G121" s="7" t="s">
        <v>343</v>
      </c>
      <c r="H121" s="7" t="s">
        <v>33</v>
      </c>
      <c r="I121" s="7" t="s">
        <v>1921</v>
      </c>
      <c r="J121" s="7"/>
      <c r="K121" s="7" t="s">
        <v>34</v>
      </c>
      <c r="L121" s="7" t="s">
        <v>622</v>
      </c>
      <c r="M121" s="7" t="s">
        <v>622</v>
      </c>
      <c r="N121" s="7" t="s">
        <v>1001</v>
      </c>
      <c r="O121" s="7">
        <v>97442.0</v>
      </c>
      <c r="P121" s="7" t="s">
        <v>33</v>
      </c>
      <c r="Q121" s="7"/>
      <c r="R121" s="7"/>
      <c r="S121" s="7" t="s">
        <v>1922</v>
      </c>
      <c r="T121" s="7" t="s">
        <v>963</v>
      </c>
      <c r="U121" s="7" t="s">
        <v>353</v>
      </c>
      <c r="V121" s="7">
        <v>2.62370061E8</v>
      </c>
      <c r="W121" s="7">
        <v>6.92853032E8</v>
      </c>
      <c r="X121" s="7"/>
      <c r="Y121" s="7">
        <v>2.62370871E8</v>
      </c>
      <c r="Z121" s="7" t="s">
        <v>1923</v>
      </c>
      <c r="AA121" s="7">
        <v>350.0</v>
      </c>
      <c r="AB121" s="7"/>
      <c r="AC121" s="7" t="s">
        <v>1924</v>
      </c>
      <c r="AD121" s="7" t="s">
        <v>1925</v>
      </c>
      <c r="AE121" s="7" t="s">
        <v>1926</v>
      </c>
      <c r="AF121" s="7"/>
      <c r="AG121" s="7"/>
      <c r="AH121" s="20">
        <v>39575.0</v>
      </c>
      <c r="AI121" s="7"/>
      <c r="AJ121" s="7" t="s">
        <v>1927</v>
      </c>
      <c r="AK121" s="7">
        <v>4.9161241200016E13</v>
      </c>
      <c r="AL121" s="7" t="s">
        <v>1928</v>
      </c>
      <c r="AM121" s="7" t="s">
        <v>1929</v>
      </c>
      <c r="AN121" s="20">
        <v>39575.0</v>
      </c>
      <c r="AO121" s="7">
        <v>97442.0</v>
      </c>
      <c r="AP121" s="7" t="s">
        <v>884</v>
      </c>
      <c r="AQ121" s="7"/>
      <c r="AR121" s="7"/>
      <c r="AS121" s="7"/>
      <c r="AT121" s="7"/>
      <c r="AU121" s="7">
        <v>0.0</v>
      </c>
      <c r="AV121" s="7" t="s">
        <v>1930</v>
      </c>
      <c r="AW121" s="7"/>
      <c r="AX121" s="7"/>
      <c r="AY121" s="7"/>
      <c r="AZ121" s="7"/>
      <c r="BA121" s="7"/>
      <c r="BB121" s="7"/>
      <c r="BC121" s="7" t="s">
        <v>401</v>
      </c>
      <c r="BD121" s="21">
        <v>44223.0</v>
      </c>
      <c r="BE121" s="7" t="s">
        <v>1931</v>
      </c>
      <c r="BF121" s="7"/>
      <c r="BG121" s="7"/>
      <c r="BH121" s="7">
        <v>4.91612412E8</v>
      </c>
      <c r="BI121" s="7" t="s">
        <v>1932</v>
      </c>
      <c r="BJ121" s="7"/>
      <c r="BK121" s="7" t="b">
        <v>0</v>
      </c>
      <c r="BL121" s="7" t="b">
        <v>0</v>
      </c>
      <c r="BM121" s="7"/>
      <c r="BN121" s="7" t="str">
        <f>IFERROR(__xludf.DUMMYFUNCTION(" IF( REGEXMATCH(C121 , ""[(].+[)]""),REGEXREPLACE( CONCATENATE(REGEXEXTRACT(C121 , ""[(].+[)]""),IF(REGEXMATCH(C121 , ""[(][Ll]['’][)]""),"""","" ""), REGEXEXTRACT(C121 ,""^(?:(?:[A-Za-zàäéèêîïöôûü0-9 ](?:[A-Za-zàäéèêîïöôûü'0-9 ]+)))"")) , ""[()]"", """")"&amp;",C121 )"),"Le Cap Méchant ")</f>
        <v>Le Cap Méchant </v>
      </c>
      <c r="BO121" s="25"/>
      <c r="BP121" s="7"/>
      <c r="BQ121" s="7"/>
      <c r="BR121" s="7"/>
      <c r="BS121" s="7"/>
      <c r="BT121" s="7"/>
      <c r="BU121" s="7"/>
      <c r="BV121" s="7"/>
      <c r="BW121" s="7"/>
      <c r="BX121" s="7"/>
      <c r="BY121" s="7"/>
      <c r="BZ121" s="7"/>
      <c r="CA121" s="7"/>
      <c r="CB121" s="7"/>
    </row>
    <row r="122" ht="21.75" customHeight="1">
      <c r="A122" s="7">
        <v>2490.0</v>
      </c>
      <c r="B122" s="7">
        <v>121.0</v>
      </c>
      <c r="C122" s="7" t="s">
        <v>1933</v>
      </c>
      <c r="D122" s="7" t="s">
        <v>1934</v>
      </c>
      <c r="E122" s="7"/>
      <c r="F122" s="7" t="s">
        <v>404</v>
      </c>
      <c r="G122" s="7" t="s">
        <v>343</v>
      </c>
      <c r="H122" s="7" t="s">
        <v>344</v>
      </c>
      <c r="I122" s="7" t="s">
        <v>1935</v>
      </c>
      <c r="J122" s="7"/>
      <c r="K122" s="7" t="s">
        <v>58</v>
      </c>
      <c r="L122" s="7" t="s">
        <v>59</v>
      </c>
      <c r="M122" s="7" t="s">
        <v>346</v>
      </c>
      <c r="N122" s="7" t="s">
        <v>455</v>
      </c>
      <c r="O122" s="7">
        <v>97418.0</v>
      </c>
      <c r="P122" s="7" t="s">
        <v>348</v>
      </c>
      <c r="Q122" s="7" t="s">
        <v>349</v>
      </c>
      <c r="R122" s="7" t="s">
        <v>1936</v>
      </c>
      <c r="S122" s="7" t="s">
        <v>1937</v>
      </c>
      <c r="T122" s="7" t="s">
        <v>377</v>
      </c>
      <c r="U122" s="7" t="s">
        <v>378</v>
      </c>
      <c r="V122" s="7">
        <v>2.62880327E8</v>
      </c>
      <c r="W122" s="7">
        <v>6.92666191E8</v>
      </c>
      <c r="X122" s="7"/>
      <c r="Y122" s="7"/>
      <c r="Z122" s="7" t="s">
        <v>1938</v>
      </c>
      <c r="AA122" s="7">
        <v>11.0</v>
      </c>
      <c r="AB122" s="7" t="s">
        <v>1939</v>
      </c>
      <c r="AC122" s="7" t="s">
        <v>1940</v>
      </c>
      <c r="AD122" s="7" t="s">
        <v>1941</v>
      </c>
      <c r="AE122" s="7"/>
      <c r="AF122" s="7"/>
      <c r="AG122" s="7" t="s">
        <v>751</v>
      </c>
      <c r="AH122" s="20">
        <v>41220.0</v>
      </c>
      <c r="AI122" s="7"/>
      <c r="AJ122" s="7" t="s">
        <v>1942</v>
      </c>
      <c r="AK122" s="7"/>
      <c r="AL122" s="7" t="s">
        <v>1943</v>
      </c>
      <c r="AM122" s="7" t="s">
        <v>1944</v>
      </c>
      <c r="AN122" s="20">
        <v>40158.0</v>
      </c>
      <c r="AO122" s="7">
        <v>97418.0</v>
      </c>
      <c r="AP122" s="7" t="s">
        <v>362</v>
      </c>
      <c r="AQ122" s="7"/>
      <c r="AR122" s="7"/>
      <c r="AS122" s="7"/>
      <c r="AT122" s="7"/>
      <c r="AU122" s="7">
        <v>1.0</v>
      </c>
      <c r="AV122" s="7" t="s">
        <v>1945</v>
      </c>
      <c r="AW122" s="7"/>
      <c r="AX122" s="7"/>
      <c r="AY122" s="7"/>
      <c r="AZ122" s="7"/>
      <c r="BA122" s="7"/>
      <c r="BB122" s="7"/>
      <c r="BC122" s="7" t="s">
        <v>366</v>
      </c>
      <c r="BD122" s="21">
        <v>44054.51388888889</v>
      </c>
      <c r="BE122" s="7"/>
      <c r="BF122" s="7"/>
      <c r="BG122" s="22">
        <v>44054.0</v>
      </c>
      <c r="BH122" s="7"/>
      <c r="BI122" s="7" t="s">
        <v>1946</v>
      </c>
      <c r="BJ122" s="7"/>
      <c r="BK122" s="7" t="b">
        <v>0</v>
      </c>
      <c r="BL122" s="7" t="b">
        <v>0</v>
      </c>
      <c r="BM122" s="7"/>
      <c r="BN122" s="7" t="str">
        <f>IFERROR(__xludf.DUMMYFUNCTION(" IF( REGEXMATCH(C122 , ""[(].+[)]""),REGEXREPLACE( CONCATENATE(REGEXEXTRACT(C122 , ""[(].+[)]""),IF(REGEXMATCH(C122 , ""[(][Ll]['’][)]""),"""","" ""), REGEXEXTRACT(C122 ,""^(?:(?:[A-Za-zàäéèêîïöôûü0-9 ](?:[A-Za-zàäéèêîïöôûü'0-9 ]+)))"")) , ""[()]"", """")"&amp;",C122 )"),"Les Capucines ")</f>
        <v>Les Capucines </v>
      </c>
      <c r="BO122" s="23"/>
      <c r="BP122" s="7"/>
      <c r="BQ122" s="7"/>
      <c r="BR122" s="7"/>
      <c r="BS122" s="7"/>
      <c r="BT122" s="7"/>
      <c r="BU122" s="7"/>
      <c r="BV122" s="7"/>
      <c r="BW122" s="7"/>
      <c r="BX122" s="7"/>
      <c r="BY122" s="7"/>
      <c r="BZ122" s="7"/>
      <c r="CA122" s="7"/>
      <c r="CB122" s="7"/>
    </row>
    <row r="123" ht="21.75" customHeight="1">
      <c r="A123" s="7">
        <v>943.0</v>
      </c>
      <c r="B123" s="7" t="s">
        <v>1947</v>
      </c>
      <c r="C123" s="7" t="s">
        <v>1948</v>
      </c>
      <c r="D123" s="7" t="s">
        <v>1949</v>
      </c>
      <c r="E123" s="7"/>
      <c r="F123" s="7" t="s">
        <v>342</v>
      </c>
      <c r="G123" s="7" t="s">
        <v>343</v>
      </c>
      <c r="H123" s="7" t="s">
        <v>344</v>
      </c>
      <c r="I123" s="7" t="s">
        <v>1950</v>
      </c>
      <c r="J123" s="26" t="s">
        <v>1951</v>
      </c>
      <c r="K123" s="7" t="s">
        <v>58</v>
      </c>
      <c r="L123" s="7" t="s">
        <v>59</v>
      </c>
      <c r="M123" s="7" t="s">
        <v>346</v>
      </c>
      <c r="N123" s="7" t="s">
        <v>407</v>
      </c>
      <c r="O123" s="7">
        <v>97430.0</v>
      </c>
      <c r="P123" s="7" t="s">
        <v>344</v>
      </c>
      <c r="Q123" s="7"/>
      <c r="R123" s="7" t="s">
        <v>1952</v>
      </c>
      <c r="S123" s="7" t="s">
        <v>1296</v>
      </c>
      <c r="T123" s="7" t="s">
        <v>377</v>
      </c>
      <c r="U123" s="7" t="s">
        <v>592</v>
      </c>
      <c r="V123" s="7">
        <v>2.62013289E8</v>
      </c>
      <c r="W123" s="7">
        <v>6.9259035E8</v>
      </c>
      <c r="X123" s="7"/>
      <c r="Y123" s="7"/>
      <c r="Z123" s="7" t="s">
        <v>1953</v>
      </c>
      <c r="AA123" s="7">
        <v>24.0</v>
      </c>
      <c r="AB123" s="7"/>
      <c r="AC123" s="7" t="s">
        <v>1954</v>
      </c>
      <c r="AD123" s="7" t="s">
        <v>1955</v>
      </c>
      <c r="AE123" s="7" t="s">
        <v>1956</v>
      </c>
      <c r="AF123" s="7"/>
      <c r="AG123" s="7"/>
      <c r="AH123" s="20">
        <v>39668.0</v>
      </c>
      <c r="AI123" s="7"/>
      <c r="AJ123" s="7" t="s">
        <v>1957</v>
      </c>
      <c r="AK123" s="7"/>
      <c r="AL123" s="7" t="s">
        <v>1958</v>
      </c>
      <c r="AM123" s="7" t="s">
        <v>1959</v>
      </c>
      <c r="AN123" s="20">
        <v>39668.0</v>
      </c>
      <c r="AO123" s="7">
        <v>97430.0</v>
      </c>
      <c r="AP123" s="7" t="s">
        <v>494</v>
      </c>
      <c r="AQ123" s="7"/>
      <c r="AR123" s="7"/>
      <c r="AS123" s="7"/>
      <c r="AT123" s="7"/>
      <c r="AU123" s="7">
        <v>4.0</v>
      </c>
      <c r="AV123" s="7" t="s">
        <v>1960</v>
      </c>
      <c r="AW123" s="7"/>
      <c r="AX123" s="7" t="s">
        <v>1961</v>
      </c>
      <c r="AY123" s="7" t="s">
        <v>1962</v>
      </c>
      <c r="AZ123" s="7" t="s">
        <v>1963</v>
      </c>
      <c r="BA123" s="7"/>
      <c r="BB123" s="7"/>
      <c r="BC123" s="7" t="s">
        <v>401</v>
      </c>
      <c r="BD123" s="21">
        <v>44054.53125</v>
      </c>
      <c r="BE123" s="7" t="s">
        <v>1964</v>
      </c>
      <c r="BF123" s="7"/>
      <c r="BG123" s="7"/>
      <c r="BH123" s="7"/>
      <c r="BI123" s="7" t="s">
        <v>1965</v>
      </c>
      <c r="BJ123" s="7"/>
      <c r="BK123" s="7" t="b">
        <v>0</v>
      </c>
      <c r="BL123" s="7" t="b">
        <v>0</v>
      </c>
      <c r="BM123" s="7"/>
      <c r="BN123" s="7" t="str">
        <f>IFERROR(__xludf.DUMMYFUNCTION(" IF( REGEXMATCH(C123 , ""[(].+[)]""),REGEXREPLACE( CONCATENATE(REGEXEXTRACT(C123 , ""[(].+[)]""),IF(REGEXMATCH(C123 , ""[(][Ll]['’][)]""),"""","" ""), REGEXEXTRACT(C123 ,""^(?:(?:[A-Za-zàäéèêîïöôûü0-9 ](?:[A-Za-zàäéèêîïöôûü'0-9 ]+)))"")) , ""[()]"", """")"&amp;",C123 )"),"Les Casalis ")</f>
        <v>Les Casalis </v>
      </c>
      <c r="BO123" s="25"/>
      <c r="BP123" s="7"/>
      <c r="BQ123" s="7"/>
      <c r="BR123" s="7"/>
      <c r="BS123" s="7"/>
      <c r="BT123" s="7"/>
      <c r="BU123" s="7"/>
      <c r="BV123" s="7"/>
      <c r="BW123" s="7"/>
      <c r="BX123" s="7"/>
      <c r="BY123" s="7"/>
      <c r="BZ123" s="7"/>
      <c r="CA123" s="7"/>
      <c r="CB123" s="7"/>
    </row>
    <row r="124" ht="21.75" customHeight="1">
      <c r="A124" s="7">
        <v>1716.0</v>
      </c>
      <c r="B124" s="7" t="s">
        <v>1966</v>
      </c>
      <c r="C124" s="7" t="s">
        <v>1967</v>
      </c>
      <c r="D124" s="7" t="s">
        <v>1967</v>
      </c>
      <c r="E124" s="7"/>
      <c r="F124" s="7" t="s">
        <v>342</v>
      </c>
      <c r="G124" s="7" t="s">
        <v>343</v>
      </c>
      <c r="H124" s="7" t="s">
        <v>344</v>
      </c>
      <c r="I124" s="7" t="s">
        <v>1968</v>
      </c>
      <c r="J124" s="7"/>
      <c r="K124" s="7" t="s">
        <v>58</v>
      </c>
      <c r="L124" s="7" t="s">
        <v>137</v>
      </c>
      <c r="M124" s="7" t="s">
        <v>1091</v>
      </c>
      <c r="N124" s="7" t="s">
        <v>1092</v>
      </c>
      <c r="O124" s="7">
        <v>97418.0</v>
      </c>
      <c r="P124" s="7" t="s">
        <v>348</v>
      </c>
      <c r="Q124" s="7" t="s">
        <v>349</v>
      </c>
      <c r="R124" s="7" t="s">
        <v>1093</v>
      </c>
      <c r="S124" s="7" t="s">
        <v>1094</v>
      </c>
      <c r="T124" s="7" t="s">
        <v>377</v>
      </c>
      <c r="U124" s="7" t="s">
        <v>378</v>
      </c>
      <c r="V124" s="7">
        <v>2.62595732E8</v>
      </c>
      <c r="W124" s="7">
        <v>6.92765281E8</v>
      </c>
      <c r="X124" s="7"/>
      <c r="Y124" s="7"/>
      <c r="Z124" s="7"/>
      <c r="AA124" s="7">
        <v>23.0</v>
      </c>
      <c r="AB124" s="7"/>
      <c r="AC124" s="7"/>
      <c r="AD124" s="7" t="s">
        <v>1969</v>
      </c>
      <c r="AE124" s="7"/>
      <c r="AF124" s="7"/>
      <c r="AG124" s="7"/>
      <c r="AH124" s="20">
        <v>43739.0</v>
      </c>
      <c r="AI124" s="7"/>
      <c r="AJ124" s="7" t="s">
        <v>1970</v>
      </c>
      <c r="AK124" s="7"/>
      <c r="AL124" s="7" t="s">
        <v>1098</v>
      </c>
      <c r="AM124" s="7" t="s">
        <v>1971</v>
      </c>
      <c r="AN124" s="20">
        <v>43739.0</v>
      </c>
      <c r="AO124" s="7">
        <v>97418.0</v>
      </c>
      <c r="AP124" s="7" t="s">
        <v>362</v>
      </c>
      <c r="AQ124" s="7"/>
      <c r="AR124" s="7"/>
      <c r="AS124" s="7"/>
      <c r="AT124" s="7"/>
      <c r="AU124" s="7">
        <v>6.0</v>
      </c>
      <c r="AV124" s="7" t="s">
        <v>1972</v>
      </c>
      <c r="AW124" s="7"/>
      <c r="AX124" s="7"/>
      <c r="AY124" s="7"/>
      <c r="AZ124" s="7" t="s">
        <v>1973</v>
      </c>
      <c r="BA124" s="7"/>
      <c r="BB124" s="7"/>
      <c r="BC124" s="7" t="s">
        <v>401</v>
      </c>
      <c r="BD124" s="21">
        <v>44070.17083333333</v>
      </c>
      <c r="BE124" s="7" t="s">
        <v>555</v>
      </c>
      <c r="BF124" s="7"/>
      <c r="BG124" s="7"/>
      <c r="BH124" s="7"/>
      <c r="BI124" s="7" t="s">
        <v>1974</v>
      </c>
      <c r="BJ124" s="7"/>
      <c r="BK124" s="7" t="b">
        <v>0</v>
      </c>
      <c r="BL124" s="7" t="b">
        <v>0</v>
      </c>
      <c r="BM124" s="7"/>
      <c r="BN124" s="7" t="str">
        <f>IFERROR(__xludf.DUMMYFUNCTION(" IF( REGEXMATCH(C124 , ""[(].+[)]""),REGEXREPLACE( CONCATENATE(REGEXEXTRACT(C124 , ""[(].+[)]""),IF(REGEXMATCH(C124 , ""[(][Ll]['’][)]""),"""","" ""), REGEXEXTRACT(C124 ,""^(?:(?:[A-Za-zàäéèêîïöôûü0-9 ](?:[A-Za-zàäéèêîïöôûü'0-9 ]+)))"")) , ""[()]"", """")"&amp;",C124 )"),"La Cascade ")</f>
        <v>La Cascade </v>
      </c>
      <c r="BO124" s="25"/>
      <c r="BP124" s="7"/>
      <c r="BQ124" s="7"/>
      <c r="BR124" s="7"/>
      <c r="BS124" s="7"/>
      <c r="BT124" s="7"/>
      <c r="BU124" s="7"/>
      <c r="BV124" s="7"/>
      <c r="BW124" s="7"/>
      <c r="BX124" s="7"/>
      <c r="BY124" s="7"/>
      <c r="BZ124" s="7"/>
      <c r="CA124" s="7"/>
      <c r="CB124" s="7"/>
    </row>
    <row r="125" ht="21.75" customHeight="1">
      <c r="A125" s="7">
        <v>3881.0</v>
      </c>
      <c r="B125" s="7">
        <v>124.0</v>
      </c>
      <c r="C125" s="7" t="s">
        <v>1975</v>
      </c>
      <c r="D125" s="7"/>
      <c r="E125" s="7"/>
      <c r="F125" s="7" t="s">
        <v>404</v>
      </c>
      <c r="G125" s="7" t="s">
        <v>343</v>
      </c>
      <c r="H125" s="7" t="s">
        <v>344</v>
      </c>
      <c r="I125" s="7" t="s">
        <v>1976</v>
      </c>
      <c r="J125" s="7"/>
      <c r="K125" s="7" t="s">
        <v>58</v>
      </c>
      <c r="L125" s="7" t="s">
        <v>59</v>
      </c>
      <c r="M125" s="7" t="s">
        <v>374</v>
      </c>
      <c r="N125" s="7" t="s">
        <v>375</v>
      </c>
      <c r="O125" s="7">
        <v>97430.0</v>
      </c>
      <c r="P125" s="7" t="s">
        <v>344</v>
      </c>
      <c r="Q125" s="7"/>
      <c r="R125" s="7"/>
      <c r="S125" s="7"/>
      <c r="T125" s="7"/>
      <c r="U125" s="7"/>
      <c r="V125" s="7">
        <v>2.62382513E8</v>
      </c>
      <c r="W125" s="7">
        <v>6.92300926E8</v>
      </c>
      <c r="X125" s="7"/>
      <c r="Y125" s="7"/>
      <c r="Z125" s="7" t="s">
        <v>1977</v>
      </c>
      <c r="AA125" s="7"/>
      <c r="AB125" s="7"/>
      <c r="AC125" s="7" t="s">
        <v>1978</v>
      </c>
      <c r="AD125" s="7" t="s">
        <v>1979</v>
      </c>
      <c r="AE125" s="7"/>
      <c r="AF125" s="7"/>
      <c r="AG125" s="7"/>
      <c r="AH125" s="20">
        <v>42165.0</v>
      </c>
      <c r="AI125" s="7"/>
      <c r="AJ125" s="7" t="s">
        <v>1975</v>
      </c>
      <c r="AK125" s="7"/>
      <c r="AL125" s="7" t="s">
        <v>1980</v>
      </c>
      <c r="AM125" s="7" t="s">
        <v>1981</v>
      </c>
      <c r="AN125" s="20">
        <v>42165.0</v>
      </c>
      <c r="AO125" s="7">
        <v>97430.0</v>
      </c>
      <c r="AP125" s="7" t="s">
        <v>494</v>
      </c>
      <c r="AQ125" s="7"/>
      <c r="AR125" s="7"/>
      <c r="AS125" s="7"/>
      <c r="AT125" s="7"/>
      <c r="AU125" s="7">
        <v>0.0</v>
      </c>
      <c r="AV125" s="7" t="s">
        <v>1982</v>
      </c>
      <c r="AW125" s="7"/>
      <c r="AX125" s="7"/>
      <c r="AY125" s="7"/>
      <c r="AZ125" s="7"/>
      <c r="BA125" s="7"/>
      <c r="BB125" s="7"/>
      <c r="BC125" s="7" t="s">
        <v>366</v>
      </c>
      <c r="BD125" s="21">
        <v>44075.20277777778</v>
      </c>
      <c r="BE125" s="7"/>
      <c r="BF125" s="7"/>
      <c r="BG125" s="22">
        <v>44075.0</v>
      </c>
      <c r="BH125" s="7"/>
      <c r="BI125" s="7" t="s">
        <v>1983</v>
      </c>
      <c r="BJ125" s="7"/>
      <c r="BK125" s="7" t="b">
        <v>0</v>
      </c>
      <c r="BL125" s="7" t="b">
        <v>0</v>
      </c>
      <c r="BM125" s="7"/>
      <c r="BN125" s="7" t="str">
        <f>IFERROR(__xludf.DUMMYFUNCTION(" IF( REGEXMATCH(C125 , ""[(].+[)]""),REGEXREPLACE( CONCATENATE(REGEXEXTRACT(C125 , ""[(].+[)]""),IF(REGEXMATCH(C125 , ""[(][Ll]['’][)]""),"""","" ""), REGEXEXTRACT(C125 ,""^(?:(?:[A-Za-zàäéèêîïöôûü0-9 ](?:[A-Za-zàäéèêîïöôûü'0-9 ]+)))"")) , ""[()]"", """")"&amp;",C125 )"),"Cascatelle")</f>
        <v>Cascatelle</v>
      </c>
      <c r="BO125" s="23"/>
      <c r="BP125" s="7"/>
      <c r="BQ125" s="7"/>
      <c r="BR125" s="7"/>
      <c r="BS125" s="7"/>
      <c r="BT125" s="7"/>
      <c r="BU125" s="7"/>
      <c r="BV125" s="7"/>
      <c r="BW125" s="7"/>
      <c r="BX125" s="7"/>
      <c r="BY125" s="7"/>
      <c r="BZ125" s="7"/>
      <c r="CA125" s="7"/>
      <c r="CB125" s="7"/>
    </row>
    <row r="126" ht="21.75" customHeight="1">
      <c r="A126" s="7">
        <v>482.0</v>
      </c>
      <c r="B126" s="7">
        <v>125.0</v>
      </c>
      <c r="C126" s="7" t="s">
        <v>1984</v>
      </c>
      <c r="D126" s="7" t="s">
        <v>1984</v>
      </c>
      <c r="E126" s="7"/>
      <c r="F126" s="7" t="s">
        <v>404</v>
      </c>
      <c r="G126" s="7" t="s">
        <v>343</v>
      </c>
      <c r="H126" s="7" t="s">
        <v>123</v>
      </c>
      <c r="I126" s="7" t="s">
        <v>1985</v>
      </c>
      <c r="J126" s="7"/>
      <c r="K126" s="7" t="s">
        <v>34</v>
      </c>
      <c r="L126" s="7" t="s">
        <v>622</v>
      </c>
      <c r="M126" s="7" t="s">
        <v>622</v>
      </c>
      <c r="N126" s="7" t="s">
        <v>664</v>
      </c>
      <c r="O126" s="7">
        <v>97480.0</v>
      </c>
      <c r="P126" s="7" t="s">
        <v>123</v>
      </c>
      <c r="Q126" s="7"/>
      <c r="R126" s="7" t="s">
        <v>1986</v>
      </c>
      <c r="S126" s="7" t="s">
        <v>1987</v>
      </c>
      <c r="T126" s="7" t="s">
        <v>1988</v>
      </c>
      <c r="U126" s="7" t="s">
        <v>592</v>
      </c>
      <c r="V126" s="7">
        <v>2.62564166E8</v>
      </c>
      <c r="W126" s="7"/>
      <c r="X126" s="7"/>
      <c r="Y126" s="7"/>
      <c r="Z126" s="7" t="s">
        <v>1989</v>
      </c>
      <c r="AA126" s="7">
        <v>50.0</v>
      </c>
      <c r="AB126" s="7"/>
      <c r="AC126" s="7"/>
      <c r="AD126" s="7" t="s">
        <v>1990</v>
      </c>
      <c r="AE126" s="7" t="s">
        <v>1991</v>
      </c>
      <c r="AF126" s="7"/>
      <c r="AG126" s="7" t="s">
        <v>597</v>
      </c>
      <c r="AH126" s="20">
        <v>39575.0</v>
      </c>
      <c r="AI126" s="7"/>
      <c r="AJ126" s="7" t="s">
        <v>1992</v>
      </c>
      <c r="AK126" s="7"/>
      <c r="AL126" s="7" t="s">
        <v>1993</v>
      </c>
      <c r="AM126" s="7" t="s">
        <v>1994</v>
      </c>
      <c r="AN126" s="20">
        <v>39575.0</v>
      </c>
      <c r="AO126" s="7">
        <v>97480.0</v>
      </c>
      <c r="AP126" s="7" t="s">
        <v>385</v>
      </c>
      <c r="AQ126" s="7"/>
      <c r="AR126" s="7"/>
      <c r="AS126" s="7"/>
      <c r="AT126" s="7"/>
      <c r="AU126" s="7">
        <v>0.0</v>
      </c>
      <c r="AV126" s="7" t="s">
        <v>1995</v>
      </c>
      <c r="AW126" s="7"/>
      <c r="AX126" s="7"/>
      <c r="AY126" s="7"/>
      <c r="AZ126" s="7"/>
      <c r="BA126" s="7"/>
      <c r="BB126" s="7"/>
      <c r="BC126" s="7" t="s">
        <v>366</v>
      </c>
      <c r="BD126" s="21">
        <v>44052.188888888886</v>
      </c>
      <c r="BE126" s="7"/>
      <c r="BF126" s="7"/>
      <c r="BG126" s="22">
        <v>44052.0</v>
      </c>
      <c r="BH126" s="7"/>
      <c r="BI126" s="7" t="s">
        <v>1996</v>
      </c>
      <c r="BJ126" s="7"/>
      <c r="BK126" s="7" t="b">
        <v>0</v>
      </c>
      <c r="BL126" s="7" t="b">
        <v>0</v>
      </c>
      <c r="BM126" s="7"/>
      <c r="BN126" s="7" t="str">
        <f>IFERROR(__xludf.DUMMYFUNCTION(" IF( REGEXMATCH(C126 , ""[(].+[)]""),REGEXREPLACE( CONCATENATE(REGEXEXTRACT(C126 , ""[(].+[)]""),IF(REGEXMATCH(C126 , ""[(][Ll]['’][)]""),"""","" ""), REGEXEXTRACT(C126 ,""^(?:(?:[A-Za-zàäéèêîïöôûü0-9 ](?:[A-Za-zàäéèêîïöôûü'0-9 ]+)))"")) , ""[()]"", """")"&amp;",C126 )"),"La Case ")</f>
        <v>La Case </v>
      </c>
      <c r="BO126" s="23"/>
      <c r="BP126" s="7"/>
      <c r="BQ126" s="7"/>
      <c r="BR126" s="7"/>
      <c r="BS126" s="7"/>
      <c r="BT126" s="7"/>
      <c r="BU126" s="7"/>
      <c r="BV126" s="7"/>
      <c r="BW126" s="7"/>
      <c r="BX126" s="7"/>
      <c r="BY126" s="7"/>
      <c r="BZ126" s="7"/>
      <c r="CA126" s="7"/>
      <c r="CB126" s="7"/>
    </row>
    <row r="127" ht="21.75" customHeight="1">
      <c r="A127" s="7">
        <v>3004.0</v>
      </c>
      <c r="B127" s="7">
        <v>126.0</v>
      </c>
      <c r="C127" s="7" t="s">
        <v>1997</v>
      </c>
      <c r="D127" s="7"/>
      <c r="E127" s="7"/>
      <c r="F127" s="7" t="s">
        <v>404</v>
      </c>
      <c r="G127" s="7" t="s">
        <v>343</v>
      </c>
      <c r="H127" s="7" t="s">
        <v>344</v>
      </c>
      <c r="I127" s="7" t="s">
        <v>1998</v>
      </c>
      <c r="J127" s="7"/>
      <c r="K127" s="7" t="s">
        <v>34</v>
      </c>
      <c r="L127" s="7" t="s">
        <v>622</v>
      </c>
      <c r="M127" s="7" t="s">
        <v>622</v>
      </c>
      <c r="N127" s="7"/>
      <c r="O127" s="7">
        <v>97430.0</v>
      </c>
      <c r="P127" s="7" t="s">
        <v>344</v>
      </c>
      <c r="Q127" s="7"/>
      <c r="R127" s="7" t="s">
        <v>1999</v>
      </c>
      <c r="S127" s="7"/>
      <c r="T127" s="7" t="s">
        <v>963</v>
      </c>
      <c r="U127" s="7" t="s">
        <v>378</v>
      </c>
      <c r="V127" s="7"/>
      <c r="W127" s="7">
        <v>6.92343494E8</v>
      </c>
      <c r="X127" s="7"/>
      <c r="Y127" s="7"/>
      <c r="Z127" s="7" t="s">
        <v>2000</v>
      </c>
      <c r="AA127" s="7">
        <v>40.0</v>
      </c>
      <c r="AB127" s="7"/>
      <c r="AC127" s="7"/>
      <c r="AD127" s="7" t="s">
        <v>2001</v>
      </c>
      <c r="AE127" s="7" t="s">
        <v>2002</v>
      </c>
      <c r="AF127" s="7" t="s">
        <v>2003</v>
      </c>
      <c r="AG127" s="7"/>
      <c r="AH127" s="20">
        <v>40746.0</v>
      </c>
      <c r="AI127" s="7"/>
      <c r="AJ127" s="7" t="s">
        <v>2004</v>
      </c>
      <c r="AK127" s="7"/>
      <c r="AL127" s="7" t="s">
        <v>2005</v>
      </c>
      <c r="AM127" s="7" t="s">
        <v>2006</v>
      </c>
      <c r="AN127" s="20">
        <v>43739.0</v>
      </c>
      <c r="AO127" s="7">
        <v>97430.0</v>
      </c>
      <c r="AP127" s="7" t="s">
        <v>494</v>
      </c>
      <c r="AQ127" s="7"/>
      <c r="AR127" s="7"/>
      <c r="AS127" s="7"/>
      <c r="AT127" s="7"/>
      <c r="AU127" s="7">
        <v>0.0</v>
      </c>
      <c r="AV127" s="7" t="s">
        <v>2007</v>
      </c>
      <c r="AW127" s="7"/>
      <c r="AX127" s="7"/>
      <c r="AY127" s="7"/>
      <c r="AZ127" s="7"/>
      <c r="BA127" s="7"/>
      <c r="BB127" s="7"/>
      <c r="BC127" s="7" t="s">
        <v>366</v>
      </c>
      <c r="BD127" s="21">
        <v>44070.072222222225</v>
      </c>
      <c r="BE127" s="7"/>
      <c r="BF127" s="7"/>
      <c r="BG127" s="22">
        <v>44070.0</v>
      </c>
      <c r="BH127" s="7"/>
      <c r="BI127" s="7" t="s">
        <v>2008</v>
      </c>
      <c r="BJ127" s="7"/>
      <c r="BK127" s="7" t="b">
        <v>0</v>
      </c>
      <c r="BL127" s="7" t="b">
        <v>0</v>
      </c>
      <c r="BM127" s="7"/>
      <c r="BN127" s="7" t="str">
        <f>IFERROR(__xludf.DUMMYFUNCTION(" IF( REGEXMATCH(C127 , ""[(].+[)]""),REGEXREPLACE( CONCATENATE(REGEXEXTRACT(C127 , ""[(].+[)]""),IF(REGEXMATCH(C127 , ""[(][Ll]['’][)]""),"""","" ""), REGEXEXTRACT(C127 ,""^(?:(?:[A-Za-zàäéèêîïöôûü0-9 ](?:[A-Za-zàäéèêîïöôûü'0-9 ]+)))"")) , ""[()]"", """")"&amp;",C127 )"),"La Case à Sylvie ")</f>
        <v>La Case à Sylvie </v>
      </c>
      <c r="BO127" s="23"/>
      <c r="BP127" s="7"/>
      <c r="BQ127" s="7"/>
      <c r="BR127" s="7"/>
      <c r="BS127" s="7"/>
      <c r="BT127" s="7"/>
      <c r="BU127" s="7"/>
      <c r="BV127" s="7"/>
      <c r="BW127" s="7"/>
      <c r="BX127" s="7"/>
      <c r="BY127" s="7"/>
      <c r="BZ127" s="7"/>
      <c r="CA127" s="7"/>
      <c r="CB127" s="7"/>
    </row>
    <row r="128" ht="21.75" customHeight="1">
      <c r="A128" s="7">
        <v>335.0</v>
      </c>
      <c r="B128" s="7" t="s">
        <v>2009</v>
      </c>
      <c r="C128" s="7" t="s">
        <v>2010</v>
      </c>
      <c r="D128" s="7" t="s">
        <v>2011</v>
      </c>
      <c r="E128" s="7"/>
      <c r="F128" s="7" t="s">
        <v>342</v>
      </c>
      <c r="G128" s="7" t="s">
        <v>343</v>
      </c>
      <c r="H128" s="7" t="s">
        <v>123</v>
      </c>
      <c r="I128" s="7" t="s">
        <v>2012</v>
      </c>
      <c r="J128" s="7"/>
      <c r="K128" s="7" t="s">
        <v>58</v>
      </c>
      <c r="L128" s="7" t="s">
        <v>59</v>
      </c>
      <c r="M128" s="7" t="s">
        <v>2013</v>
      </c>
      <c r="N128" s="7" t="s">
        <v>422</v>
      </c>
      <c r="O128" s="7">
        <v>97480.0</v>
      </c>
      <c r="P128" s="7" t="s">
        <v>123</v>
      </c>
      <c r="Q128" s="7" t="s">
        <v>1278</v>
      </c>
      <c r="R128" s="7" t="s">
        <v>2014</v>
      </c>
      <c r="S128" s="7" t="s">
        <v>2015</v>
      </c>
      <c r="T128" s="7" t="s">
        <v>1335</v>
      </c>
      <c r="U128" s="7" t="s">
        <v>378</v>
      </c>
      <c r="V128" s="7"/>
      <c r="W128" s="7">
        <v>6.92685499E8</v>
      </c>
      <c r="X128" s="7"/>
      <c r="Y128" s="7"/>
      <c r="Z128" s="7" t="s">
        <v>2016</v>
      </c>
      <c r="AA128" s="7">
        <v>6.0</v>
      </c>
      <c r="AB128" s="7" t="s">
        <v>2017</v>
      </c>
      <c r="AC128" s="7" t="s">
        <v>2018</v>
      </c>
      <c r="AD128" s="7" t="s">
        <v>2019</v>
      </c>
      <c r="AE128" s="7" t="s">
        <v>2020</v>
      </c>
      <c r="AF128" s="7" t="s">
        <v>613</v>
      </c>
      <c r="AG128" s="7" t="s">
        <v>578</v>
      </c>
      <c r="AH128" s="20">
        <v>39575.0</v>
      </c>
      <c r="AI128" s="7"/>
      <c r="AJ128" s="7" t="s">
        <v>2021</v>
      </c>
      <c r="AK128" s="7"/>
      <c r="AL128" s="7" t="s">
        <v>2022</v>
      </c>
      <c r="AM128" s="7" t="s">
        <v>2023</v>
      </c>
      <c r="AN128" s="20">
        <v>39575.0</v>
      </c>
      <c r="AO128" s="7">
        <v>97480.0</v>
      </c>
      <c r="AP128" s="7" t="s">
        <v>385</v>
      </c>
      <c r="AQ128" s="7"/>
      <c r="AR128" s="7"/>
      <c r="AS128" s="7"/>
      <c r="AT128" s="7"/>
      <c r="AU128" s="7">
        <v>1.0</v>
      </c>
      <c r="AV128" s="7" t="s">
        <v>2024</v>
      </c>
      <c r="AW128" s="7" t="s">
        <v>2025</v>
      </c>
      <c r="AX128" s="7" t="s">
        <v>2026</v>
      </c>
      <c r="AY128" s="7" t="s">
        <v>1962</v>
      </c>
      <c r="AZ128" s="7" t="s">
        <v>2027</v>
      </c>
      <c r="BA128" s="7"/>
      <c r="BB128" s="7"/>
      <c r="BC128" s="7" t="s">
        <v>401</v>
      </c>
      <c r="BD128" s="21">
        <v>44200.47777777778</v>
      </c>
      <c r="BE128" s="7" t="s">
        <v>1011</v>
      </c>
      <c r="BF128" s="7"/>
      <c r="BG128" s="7"/>
      <c r="BH128" s="7"/>
      <c r="BI128" s="7" t="s">
        <v>2028</v>
      </c>
      <c r="BJ128" s="7"/>
      <c r="BK128" s="7" t="b">
        <v>0</v>
      </c>
      <c r="BL128" s="7" t="b">
        <v>0</v>
      </c>
      <c r="BM128" s="7"/>
      <c r="BN128" s="7" t="str">
        <f>IFERROR(__xludf.DUMMYFUNCTION(" IF( REGEXMATCH(C128 , ""[(].+[)]""),REGEXREPLACE( CONCATENATE(REGEXEXTRACT(C128 , ""[(].+[)]""),IF(REGEXMATCH(C128 , ""[(][Ll]['’][)]""),"""","" ""), REGEXEXTRACT(C128 ,""^(?:(?:[A-Za-zàäéèêîïöôûü0-9 ](?:[A-Za-zàäéèêîïöôûü'0-9 ]+)))"")) , ""[()]"", """")"&amp;",C128 )"),"Case Bel Air")</f>
        <v>Case Bel Air</v>
      </c>
      <c r="BO128" s="25"/>
      <c r="BP128" s="7"/>
      <c r="BQ128" s="7"/>
      <c r="BR128" s="7"/>
      <c r="BS128" s="7"/>
      <c r="BT128" s="7"/>
      <c r="BU128" s="7"/>
      <c r="BV128" s="7"/>
      <c r="BW128" s="7"/>
      <c r="BX128" s="7"/>
      <c r="BY128" s="7"/>
      <c r="BZ128" s="7"/>
      <c r="CA128" s="7"/>
      <c r="CB128" s="7"/>
    </row>
    <row r="129" ht="21.75" customHeight="1">
      <c r="A129" s="7">
        <v>4031.0</v>
      </c>
      <c r="B129" s="7" t="s">
        <v>2029</v>
      </c>
      <c r="C129" s="7" t="s">
        <v>2030</v>
      </c>
      <c r="D129" s="7"/>
      <c r="E129" s="7"/>
      <c r="F129" s="7" t="s">
        <v>342</v>
      </c>
      <c r="G129" s="7" t="s">
        <v>343</v>
      </c>
      <c r="H129" s="7" t="s">
        <v>344</v>
      </c>
      <c r="I129" s="7" t="s">
        <v>2031</v>
      </c>
      <c r="J129" s="26" t="s">
        <v>2032</v>
      </c>
      <c r="K129" s="7" t="s">
        <v>58</v>
      </c>
      <c r="L129" s="7" t="s">
        <v>59</v>
      </c>
      <c r="M129" s="7" t="s">
        <v>2013</v>
      </c>
      <c r="N129" s="7" t="s">
        <v>422</v>
      </c>
      <c r="O129" s="7">
        <v>97418.0</v>
      </c>
      <c r="P129" s="7" t="s">
        <v>348</v>
      </c>
      <c r="Q129" s="7" t="s">
        <v>349</v>
      </c>
      <c r="R129" s="7" t="s">
        <v>2033</v>
      </c>
      <c r="S129" s="7" t="s">
        <v>2034</v>
      </c>
      <c r="T129" s="7" t="s">
        <v>377</v>
      </c>
      <c r="U129" s="7" t="s">
        <v>592</v>
      </c>
      <c r="V129" s="7"/>
      <c r="W129" s="7">
        <v>6.92073001E8</v>
      </c>
      <c r="X129" s="7"/>
      <c r="Y129" s="7"/>
      <c r="Z129" s="7" t="s">
        <v>2035</v>
      </c>
      <c r="AA129" s="7">
        <v>6.0</v>
      </c>
      <c r="AB129" s="7" t="s">
        <v>2036</v>
      </c>
      <c r="AC129" s="7" t="s">
        <v>2037</v>
      </c>
      <c r="AD129" s="7" t="s">
        <v>2038</v>
      </c>
      <c r="AE129" s="7" t="s">
        <v>2039</v>
      </c>
      <c r="AF129" s="7"/>
      <c r="AG129" s="7" t="s">
        <v>1869</v>
      </c>
      <c r="AH129" s="20">
        <v>42254.0</v>
      </c>
      <c r="AI129" s="7"/>
      <c r="AJ129" s="7" t="s">
        <v>2040</v>
      </c>
      <c r="AK129" s="7">
        <v>8.1526977400015E13</v>
      </c>
      <c r="AL129" s="7" t="s">
        <v>2041</v>
      </c>
      <c r="AM129" s="7" t="s">
        <v>2042</v>
      </c>
      <c r="AN129" s="20">
        <v>42254.0</v>
      </c>
      <c r="AO129" s="7">
        <v>97430.0</v>
      </c>
      <c r="AP129" s="7" t="s">
        <v>494</v>
      </c>
      <c r="AQ129" s="7"/>
      <c r="AR129" s="7"/>
      <c r="AS129" s="7"/>
      <c r="AT129" s="7"/>
      <c r="AU129" s="7">
        <v>1.0</v>
      </c>
      <c r="AV129" s="7" t="s">
        <v>2043</v>
      </c>
      <c r="AW129" s="7" t="s">
        <v>2044</v>
      </c>
      <c r="AX129" s="7" t="s">
        <v>2045</v>
      </c>
      <c r="AY129" s="7" t="s">
        <v>2046</v>
      </c>
      <c r="AZ129" s="7" t="s">
        <v>2047</v>
      </c>
      <c r="BA129" s="7"/>
      <c r="BB129" s="7"/>
      <c r="BC129" s="7" t="s">
        <v>401</v>
      </c>
      <c r="BD129" s="21">
        <v>44069.23402777778</v>
      </c>
      <c r="BE129" s="7" t="s">
        <v>2048</v>
      </c>
      <c r="BF129" s="7"/>
      <c r="BG129" s="7"/>
      <c r="BH129" s="7">
        <v>8.15269774E8</v>
      </c>
      <c r="BI129" s="7" t="s">
        <v>2049</v>
      </c>
      <c r="BJ129" s="7"/>
      <c r="BK129" s="7" t="b">
        <v>0</v>
      </c>
      <c r="BL129" s="7" t="b">
        <v>0</v>
      </c>
      <c r="BM129" s="7"/>
      <c r="BN129" s="7" t="str">
        <f>IFERROR(__xludf.DUMMYFUNCTION(" IF( REGEXMATCH(C129 , ""[(].+[)]""),REGEXREPLACE( CONCATENATE(REGEXEXTRACT(C129 , ""[(].+[)]""),IF(REGEXMATCH(C129 , ""[(][Ll]['’][)]""),"""","" ""), REGEXEXTRACT(C129 ,""^(?:(?:[A-Za-zàäéèêîïöôûü0-9 ](?:[A-Za-zàäéèêîïöôûü'0-9 ]+)))"")) , ""[()]"", """")"&amp;",C129 )"),"La Case Cardinale ")</f>
        <v>La Case Cardinale </v>
      </c>
      <c r="BO129" s="25"/>
      <c r="BP129" s="7"/>
      <c r="BQ129" s="7"/>
      <c r="BR129" s="7"/>
      <c r="BS129" s="7"/>
      <c r="BT129" s="7"/>
      <c r="BU129" s="7"/>
      <c r="BV129" s="7"/>
      <c r="BW129" s="7"/>
      <c r="BX129" s="7"/>
      <c r="BY129" s="7"/>
      <c r="BZ129" s="7"/>
      <c r="CA129" s="7"/>
      <c r="CB129" s="7"/>
    </row>
    <row r="130" ht="21.75" customHeight="1">
      <c r="A130" s="7">
        <v>3882.0</v>
      </c>
      <c r="B130" s="7" t="s">
        <v>2050</v>
      </c>
      <c r="C130" s="7" t="s">
        <v>2051</v>
      </c>
      <c r="D130" s="7"/>
      <c r="E130" s="7"/>
      <c r="F130" s="7" t="s">
        <v>404</v>
      </c>
      <c r="G130" s="7" t="s">
        <v>343</v>
      </c>
      <c r="H130" s="7" t="s">
        <v>344</v>
      </c>
      <c r="I130" s="7" t="s">
        <v>2052</v>
      </c>
      <c r="J130" s="7"/>
      <c r="K130" s="7" t="s">
        <v>58</v>
      </c>
      <c r="L130" s="7" t="s">
        <v>59</v>
      </c>
      <c r="M130" s="7" t="s">
        <v>346</v>
      </c>
      <c r="N130" s="7"/>
      <c r="O130" s="7">
        <v>97418.0</v>
      </c>
      <c r="P130" s="7" t="s">
        <v>348</v>
      </c>
      <c r="Q130" s="7" t="s">
        <v>349</v>
      </c>
      <c r="R130" s="7" t="s">
        <v>646</v>
      </c>
      <c r="S130" s="7" t="s">
        <v>2053</v>
      </c>
      <c r="T130" s="7"/>
      <c r="U130" s="7" t="s">
        <v>378</v>
      </c>
      <c r="V130" s="7"/>
      <c r="W130" s="7">
        <v>6.92684856E8</v>
      </c>
      <c r="X130" s="7"/>
      <c r="Y130" s="7"/>
      <c r="Z130" s="7" t="s">
        <v>2054</v>
      </c>
      <c r="AA130" s="7">
        <v>15.0</v>
      </c>
      <c r="AB130" s="7"/>
      <c r="AC130" s="7" t="s">
        <v>2055</v>
      </c>
      <c r="AD130" s="7" t="s">
        <v>2056</v>
      </c>
      <c r="AE130" s="7"/>
      <c r="AF130" s="7"/>
      <c r="AG130" s="7"/>
      <c r="AH130" s="20">
        <v>42165.0</v>
      </c>
      <c r="AI130" s="7"/>
      <c r="AJ130" s="7" t="s">
        <v>2057</v>
      </c>
      <c r="AK130" s="7"/>
      <c r="AL130" s="7" t="s">
        <v>2058</v>
      </c>
      <c r="AM130" s="7" t="s">
        <v>2059</v>
      </c>
      <c r="AN130" s="20">
        <v>42165.0</v>
      </c>
      <c r="AO130" s="7">
        <v>97418.0</v>
      </c>
      <c r="AP130" s="7" t="s">
        <v>362</v>
      </c>
      <c r="AQ130" s="7"/>
      <c r="AR130" s="7"/>
      <c r="AS130" s="7"/>
      <c r="AT130" s="7"/>
      <c r="AU130" s="7">
        <v>0.0</v>
      </c>
      <c r="AV130" s="7" t="s">
        <v>2060</v>
      </c>
      <c r="AW130" s="7"/>
      <c r="AX130" s="7"/>
      <c r="AY130" s="7"/>
      <c r="AZ130" s="7" t="s">
        <v>2061</v>
      </c>
      <c r="BA130" s="7"/>
      <c r="BB130" s="7"/>
      <c r="BC130" s="7" t="s">
        <v>401</v>
      </c>
      <c r="BD130" s="21">
        <v>44073.51944444444</v>
      </c>
      <c r="BE130" s="7" t="s">
        <v>2062</v>
      </c>
      <c r="BF130" s="7"/>
      <c r="BG130" s="7"/>
      <c r="BH130" s="7"/>
      <c r="BI130" s="7" t="s">
        <v>2063</v>
      </c>
      <c r="BJ130" s="7"/>
      <c r="BK130" s="7" t="b">
        <v>0</v>
      </c>
      <c r="BL130" s="7" t="b">
        <v>0</v>
      </c>
      <c r="BM130" s="7"/>
      <c r="BN130" s="7" t="str">
        <f>IFERROR(__xludf.DUMMYFUNCTION(" IF( REGEXMATCH(C130 , ""[(].+[)]""),REGEXREPLACE( CONCATENATE(REGEXEXTRACT(C130 , ""[(].+[)]""),IF(REGEXMATCH(C130 , ""[(][Ll]['’][)]""),"""","" ""), REGEXEXTRACT(C130 ,""^(?:(?:[A-Za-zàäéèêîïöôûü0-9 ](?:[A-Za-zàäéèêîïöôûü'0-9 ]+)))"")) , ""[()]"", """")"&amp;",C130 )"),"Case d'Amélie")</f>
        <v>Case d'Amélie</v>
      </c>
      <c r="BO130" s="25"/>
      <c r="BP130" s="7"/>
      <c r="BQ130" s="7"/>
      <c r="BR130" s="7"/>
      <c r="BS130" s="7"/>
      <c r="BT130" s="7"/>
      <c r="BU130" s="7"/>
      <c r="BV130" s="7"/>
      <c r="BW130" s="7"/>
      <c r="BX130" s="7"/>
      <c r="BY130" s="7"/>
      <c r="BZ130" s="7"/>
      <c r="CA130" s="7"/>
      <c r="CB130" s="7"/>
    </row>
    <row r="131" ht="21.75" customHeight="1">
      <c r="A131" s="7">
        <v>578.0</v>
      </c>
      <c r="B131" s="7">
        <v>130.0</v>
      </c>
      <c r="C131" s="7" t="s">
        <v>2064</v>
      </c>
      <c r="D131" s="7" t="s">
        <v>2064</v>
      </c>
      <c r="E131" s="7"/>
      <c r="F131" s="7" t="s">
        <v>404</v>
      </c>
      <c r="G131" s="7" t="s">
        <v>343</v>
      </c>
      <c r="H131" s="7" t="s">
        <v>40</v>
      </c>
      <c r="I131" s="7" t="s">
        <v>2065</v>
      </c>
      <c r="J131" s="7"/>
      <c r="K131" s="7" t="s">
        <v>58</v>
      </c>
      <c r="L131" s="7" t="s">
        <v>59</v>
      </c>
      <c r="M131" s="7" t="s">
        <v>346</v>
      </c>
      <c r="N131" s="7" t="s">
        <v>1092</v>
      </c>
      <c r="O131" s="7">
        <v>97414.0</v>
      </c>
      <c r="P131" s="7" t="s">
        <v>40</v>
      </c>
      <c r="Q131" s="7"/>
      <c r="R131" s="7" t="s">
        <v>2066</v>
      </c>
      <c r="S131" s="7" t="s">
        <v>2067</v>
      </c>
      <c r="T131" s="7" t="s">
        <v>352</v>
      </c>
      <c r="U131" s="7" t="s">
        <v>353</v>
      </c>
      <c r="V131" s="7"/>
      <c r="W131" s="7">
        <v>6.92087869E8</v>
      </c>
      <c r="X131" s="7"/>
      <c r="Y131" s="7"/>
      <c r="Z131" s="7" t="s">
        <v>2068</v>
      </c>
      <c r="AA131" s="7">
        <v>3.0</v>
      </c>
      <c r="AB131" s="7" t="s">
        <v>355</v>
      </c>
      <c r="AC131" s="7"/>
      <c r="AD131" s="7" t="s">
        <v>2069</v>
      </c>
      <c r="AE131" s="7" t="s">
        <v>2070</v>
      </c>
      <c r="AF131" s="7"/>
      <c r="AG131" s="7"/>
      <c r="AH131" s="20">
        <v>39575.0</v>
      </c>
      <c r="AI131" s="7"/>
      <c r="AJ131" s="7" t="s">
        <v>2071</v>
      </c>
      <c r="AK131" s="7"/>
      <c r="AL131" s="7" t="s">
        <v>2072</v>
      </c>
      <c r="AM131" s="7" t="s">
        <v>2073</v>
      </c>
      <c r="AN131" s="20">
        <v>39575.0</v>
      </c>
      <c r="AO131" s="7">
        <v>97419.0</v>
      </c>
      <c r="AP131" s="7" t="s">
        <v>2074</v>
      </c>
      <c r="AQ131" s="7"/>
      <c r="AR131" s="7"/>
      <c r="AS131" s="7"/>
      <c r="AT131" s="7"/>
      <c r="AU131" s="7">
        <v>0.0</v>
      </c>
      <c r="AV131" s="7" t="s">
        <v>2075</v>
      </c>
      <c r="AW131" s="7"/>
      <c r="AX131" s="7"/>
      <c r="AY131" s="7"/>
      <c r="AZ131" s="7"/>
      <c r="BA131" s="7"/>
      <c r="BB131" s="7"/>
      <c r="BC131" s="7" t="s">
        <v>366</v>
      </c>
      <c r="BD131" s="21">
        <v>44042.506944444445</v>
      </c>
      <c r="BE131" s="7"/>
      <c r="BF131" s="7"/>
      <c r="BG131" s="22">
        <v>44042.0</v>
      </c>
      <c r="BH131" s="7"/>
      <c r="BI131" s="7" t="s">
        <v>2076</v>
      </c>
      <c r="BJ131" s="7"/>
      <c r="BK131" s="7" t="b">
        <v>0</v>
      </c>
      <c r="BL131" s="7" t="b">
        <v>0</v>
      </c>
      <c r="BM131" s="7"/>
      <c r="BN131" s="7" t="str">
        <f>IFERROR(__xludf.DUMMYFUNCTION(" IF( REGEXMATCH(C131 , ""[(].+[)]""),REGEXREPLACE( CONCATENATE(REGEXEXTRACT(C131 , ""[(].+[)]""),IF(REGEXMATCH(C131 , ""[(][Ll]['’][)]""),"""","" ""), REGEXEXTRACT(C131 ,""^(?:(?:[A-Za-zàäéèêîïöôûü0-9 ](?:[A-Za-zàäéèêîïöôûü'0-9 ]+)))"")) , ""[()]"", """")"&amp;",C131 )"),"La Case des Hauts ")</f>
        <v>La Case des Hauts </v>
      </c>
      <c r="BO131" s="23"/>
      <c r="BP131" s="7"/>
      <c r="BQ131" s="7"/>
      <c r="BR131" s="7"/>
      <c r="BS131" s="7"/>
      <c r="BT131" s="7"/>
      <c r="BU131" s="7"/>
      <c r="BV131" s="7"/>
      <c r="BW131" s="7"/>
      <c r="BX131" s="7"/>
      <c r="BY131" s="7"/>
      <c r="BZ131" s="7"/>
      <c r="CA131" s="7"/>
      <c r="CB131" s="7"/>
    </row>
    <row r="132" ht="21.75" customHeight="1">
      <c r="A132" s="7">
        <v>3108.0</v>
      </c>
      <c r="B132" s="7">
        <v>131.0</v>
      </c>
      <c r="C132" s="7" t="s">
        <v>2077</v>
      </c>
      <c r="D132" s="7" t="s">
        <v>2077</v>
      </c>
      <c r="E132" s="7"/>
      <c r="F132" s="7" t="s">
        <v>342</v>
      </c>
      <c r="G132" s="7" t="s">
        <v>343</v>
      </c>
      <c r="H132" s="7" t="s">
        <v>40</v>
      </c>
      <c r="I132" s="7" t="s">
        <v>2078</v>
      </c>
      <c r="J132" s="7"/>
      <c r="K132" s="7" t="s">
        <v>58</v>
      </c>
      <c r="L132" s="7" t="s">
        <v>59</v>
      </c>
      <c r="M132" s="7" t="s">
        <v>545</v>
      </c>
      <c r="N132" s="7" t="s">
        <v>422</v>
      </c>
      <c r="O132" s="7">
        <v>97414.0</v>
      </c>
      <c r="P132" s="7" t="s">
        <v>40</v>
      </c>
      <c r="Q132" s="7"/>
      <c r="R132" s="7" t="s">
        <v>2079</v>
      </c>
      <c r="S132" s="7" t="s">
        <v>2080</v>
      </c>
      <c r="T132" s="7" t="s">
        <v>377</v>
      </c>
      <c r="U132" s="7" t="s">
        <v>424</v>
      </c>
      <c r="V132" s="7">
        <v>2.62394348E8</v>
      </c>
      <c r="W132" s="7">
        <v>6.9209769E8</v>
      </c>
      <c r="X132" s="7"/>
      <c r="Y132" s="7"/>
      <c r="Z132" s="7"/>
      <c r="AA132" s="7">
        <v>6.0</v>
      </c>
      <c r="AB132" s="7"/>
      <c r="AC132" s="7" t="s">
        <v>2081</v>
      </c>
      <c r="AD132" s="7" t="s">
        <v>2082</v>
      </c>
      <c r="AE132" s="7" t="s">
        <v>2083</v>
      </c>
      <c r="AF132" s="7"/>
      <c r="AG132" s="7"/>
      <c r="AH132" s="20">
        <v>43739.0</v>
      </c>
      <c r="AI132" s="7"/>
      <c r="AJ132" s="7" t="s">
        <v>2084</v>
      </c>
      <c r="AK132" s="7"/>
      <c r="AL132" s="7" t="s">
        <v>2085</v>
      </c>
      <c r="AM132" s="7" t="s">
        <v>2086</v>
      </c>
      <c r="AN132" s="20">
        <v>43739.0</v>
      </c>
      <c r="AO132" s="7">
        <v>97421.0</v>
      </c>
      <c r="AP132" s="7" t="s">
        <v>2087</v>
      </c>
      <c r="AQ132" s="7"/>
      <c r="AR132" s="7"/>
      <c r="AS132" s="7"/>
      <c r="AT132" s="7"/>
      <c r="AU132" s="7">
        <v>1.0</v>
      </c>
      <c r="AV132" s="7" t="s">
        <v>2088</v>
      </c>
      <c r="AW132" s="7"/>
      <c r="AX132" s="7"/>
      <c r="AY132" s="7"/>
      <c r="AZ132" s="7"/>
      <c r="BA132" s="7"/>
      <c r="BB132" s="7"/>
      <c r="BC132" s="7" t="s">
        <v>366</v>
      </c>
      <c r="BD132" s="21">
        <v>44042.16111111111</v>
      </c>
      <c r="BE132" s="7"/>
      <c r="BF132" s="7"/>
      <c r="BG132" s="22">
        <v>44042.0</v>
      </c>
      <c r="BH132" s="7"/>
      <c r="BI132" s="7" t="s">
        <v>2089</v>
      </c>
      <c r="BJ132" s="7"/>
      <c r="BK132" s="7" t="b">
        <v>0</v>
      </c>
      <c r="BL132" s="7" t="b">
        <v>0</v>
      </c>
      <c r="BM132" s="7"/>
      <c r="BN132" s="7" t="str">
        <f>IFERROR(__xludf.DUMMYFUNCTION(" IF( REGEXMATCH(C132 , ""[(].+[)]""),REGEXREPLACE( CONCATENATE(REGEXEXTRACT(C132 , ""[(].+[)]""),IF(REGEXMATCH(C132 , ""[(][Ll]['’][)]""),"""","" ""), REGEXEXTRACT(C132 ,""^(?:(?:[A-Za-zàäéèêîïöôûü0-9 ](?:[A-Za-zàäéèêîïöôûü'0-9 ]+)))"")) , ""[()]"", """")"&amp;",C132 )"),"Case l'Endormi")</f>
        <v>Case l'Endormi</v>
      </c>
      <c r="BO132" s="23"/>
      <c r="BP132" s="7"/>
      <c r="BQ132" s="7"/>
      <c r="BR132" s="7"/>
      <c r="BS132" s="7"/>
      <c r="BT132" s="7"/>
      <c r="BU132" s="7"/>
      <c r="BV132" s="7"/>
      <c r="BW132" s="7"/>
      <c r="BX132" s="7"/>
      <c r="BY132" s="7"/>
      <c r="BZ132" s="7"/>
      <c r="CA132" s="7"/>
      <c r="CB132" s="7"/>
    </row>
    <row r="133" ht="21.75" customHeight="1">
      <c r="A133" s="7">
        <v>4465.0</v>
      </c>
      <c r="B133" s="7">
        <v>132.0</v>
      </c>
      <c r="C133" s="7" t="s">
        <v>2090</v>
      </c>
      <c r="D133" s="7"/>
      <c r="E133" s="7"/>
      <c r="F133" s="7" t="s">
        <v>342</v>
      </c>
      <c r="G133" s="7" t="s">
        <v>343</v>
      </c>
      <c r="H133" s="7" t="s">
        <v>123</v>
      </c>
      <c r="I133" s="7" t="s">
        <v>2091</v>
      </c>
      <c r="J133" s="7"/>
      <c r="K133" s="7" t="s">
        <v>58</v>
      </c>
      <c r="L133" s="7" t="s">
        <v>59</v>
      </c>
      <c r="M133" s="7" t="s">
        <v>346</v>
      </c>
      <c r="N133" s="7" t="s">
        <v>375</v>
      </c>
      <c r="O133" s="7">
        <v>97480.0</v>
      </c>
      <c r="P133" s="7" t="s">
        <v>123</v>
      </c>
      <c r="Q133" s="7" t="s">
        <v>2092</v>
      </c>
      <c r="R133" s="7" t="s">
        <v>2093</v>
      </c>
      <c r="S133" s="7"/>
      <c r="T133" s="7" t="s">
        <v>377</v>
      </c>
      <c r="U133" s="7" t="s">
        <v>424</v>
      </c>
      <c r="V133" s="7"/>
      <c r="W133" s="7">
        <v>6.92676789E8</v>
      </c>
      <c r="X133" s="7"/>
      <c r="Y133" s="7"/>
      <c r="Z133" s="7" t="s">
        <v>2094</v>
      </c>
      <c r="AA133" s="7">
        <v>4.0</v>
      </c>
      <c r="AB133" s="7"/>
      <c r="AC133" s="7" t="s">
        <v>2095</v>
      </c>
      <c r="AD133" s="7" t="s">
        <v>2096</v>
      </c>
      <c r="AE133" s="7"/>
      <c r="AF133" s="7"/>
      <c r="AG133" s="7"/>
      <c r="AH133" s="20">
        <v>43140.0</v>
      </c>
      <c r="AI133" s="7"/>
      <c r="AJ133" s="7" t="s">
        <v>2097</v>
      </c>
      <c r="AK133" s="7">
        <v>4.1994192700057E13</v>
      </c>
      <c r="AL133" s="7" t="s">
        <v>2098</v>
      </c>
      <c r="AM133" s="7" t="s">
        <v>2099</v>
      </c>
      <c r="AN133" s="20">
        <v>43140.0</v>
      </c>
      <c r="AO133" s="7">
        <v>97460.0</v>
      </c>
      <c r="AP133" s="7" t="s">
        <v>2100</v>
      </c>
      <c r="AQ133" s="7"/>
      <c r="AR133" s="7"/>
      <c r="AS133" s="7"/>
      <c r="AT133" s="7"/>
      <c r="AU133" s="7">
        <v>1.0</v>
      </c>
      <c r="AV133" s="7" t="s">
        <v>2101</v>
      </c>
      <c r="AW133" s="7"/>
      <c r="AX133" s="7"/>
      <c r="AY133" s="7"/>
      <c r="AZ133" s="7"/>
      <c r="BA133" s="7"/>
      <c r="BB133" s="7"/>
      <c r="BC133" s="7" t="s">
        <v>366</v>
      </c>
      <c r="BD133" s="21">
        <v>44200.41111111111</v>
      </c>
      <c r="BE133" s="7"/>
      <c r="BF133" s="7"/>
      <c r="BG133" s="22">
        <v>44200.0</v>
      </c>
      <c r="BH133" s="7">
        <v>4.19941927E8</v>
      </c>
      <c r="BI133" s="7" t="s">
        <v>2102</v>
      </c>
      <c r="BJ133" s="7"/>
      <c r="BK133" s="7" t="b">
        <v>0</v>
      </c>
      <c r="BL133" s="7" t="b">
        <v>0</v>
      </c>
      <c r="BM133" s="7"/>
      <c r="BN133" s="7" t="str">
        <f>IFERROR(__xludf.DUMMYFUNCTION(" IF( REGEXMATCH(C133 , ""[(].+[)]""),REGEXREPLACE( CONCATENATE(REGEXEXTRACT(C133 , ""[(].+[)]""),IF(REGEXMATCH(C133 , ""[(][Ll]['’][)]""),"""","" ""), REGEXEXTRACT(C133 ,""^(?:(?:[A-Za-zàäéèêîïöôûü0-9 ](?:[A-Za-zàäéèêîïöôûü'0-9 ]+)))"")) , ""[()]"", """")"&amp;",C133 )"),"Case Le Margouillat")</f>
        <v>Case Le Margouillat</v>
      </c>
      <c r="BO133" s="23"/>
      <c r="BP133" s="7"/>
      <c r="BQ133" s="7"/>
      <c r="BR133" s="7"/>
      <c r="BS133" s="7"/>
      <c r="BT133" s="7"/>
      <c r="BU133" s="7"/>
      <c r="BV133" s="7"/>
      <c r="BW133" s="7"/>
      <c r="BX133" s="7"/>
      <c r="BY133" s="7"/>
      <c r="BZ133" s="7"/>
      <c r="CA133" s="7"/>
      <c r="CB133" s="7"/>
    </row>
    <row r="134" ht="21.75" customHeight="1">
      <c r="A134" s="7">
        <v>1610.0</v>
      </c>
      <c r="B134" s="7">
        <v>133.0</v>
      </c>
      <c r="C134" s="7" t="s">
        <v>2103</v>
      </c>
      <c r="D134" s="7" t="s">
        <v>2104</v>
      </c>
      <c r="E134" s="7"/>
      <c r="F134" s="7" t="s">
        <v>404</v>
      </c>
      <c r="G134" s="7" t="s">
        <v>343</v>
      </c>
      <c r="H134" s="7" t="s">
        <v>40</v>
      </c>
      <c r="I134" s="7" t="s">
        <v>2105</v>
      </c>
      <c r="J134" s="7"/>
      <c r="K134" s="7" t="s">
        <v>58</v>
      </c>
      <c r="L134" s="7" t="s">
        <v>59</v>
      </c>
      <c r="M134" s="7" t="s">
        <v>346</v>
      </c>
      <c r="N134" s="7" t="s">
        <v>407</v>
      </c>
      <c r="O134" s="7">
        <v>97414.0</v>
      </c>
      <c r="P134" s="7" t="s">
        <v>40</v>
      </c>
      <c r="Q134" s="7"/>
      <c r="R134" s="7" t="s">
        <v>1333</v>
      </c>
      <c r="S134" s="7" t="s">
        <v>2106</v>
      </c>
      <c r="T134" s="7" t="s">
        <v>377</v>
      </c>
      <c r="U134" s="7" t="s">
        <v>353</v>
      </c>
      <c r="V134" s="7">
        <v>2.6239696E8</v>
      </c>
      <c r="W134" s="7">
        <v>6.92433232E8</v>
      </c>
      <c r="X134" s="7"/>
      <c r="Y134" s="7"/>
      <c r="Z134" s="7"/>
      <c r="AA134" s="7">
        <v>30.0</v>
      </c>
      <c r="AB134" s="7"/>
      <c r="AC134" s="7"/>
      <c r="AD134" s="7" t="s">
        <v>2107</v>
      </c>
      <c r="AE134" s="7" t="s">
        <v>2108</v>
      </c>
      <c r="AF134" s="7"/>
      <c r="AG134" s="7"/>
      <c r="AH134" s="20">
        <v>39575.0</v>
      </c>
      <c r="AI134" s="7"/>
      <c r="AJ134" s="7" t="s">
        <v>2109</v>
      </c>
      <c r="AK134" s="7">
        <v>3.9760462000021E13</v>
      </c>
      <c r="AL134" s="7" t="s">
        <v>2110</v>
      </c>
      <c r="AM134" s="7" t="s">
        <v>2111</v>
      </c>
      <c r="AN134" s="20">
        <v>39575.0</v>
      </c>
      <c r="AO134" s="7">
        <v>97414.0</v>
      </c>
      <c r="AP134" s="7" t="s">
        <v>429</v>
      </c>
      <c r="AQ134" s="7"/>
      <c r="AR134" s="7"/>
      <c r="AS134" s="7"/>
      <c r="AT134" s="7"/>
      <c r="AU134" s="7">
        <v>4.0</v>
      </c>
      <c r="AV134" s="7" t="s">
        <v>2112</v>
      </c>
      <c r="AW134" s="7"/>
      <c r="AX134" s="7"/>
      <c r="AY134" s="7"/>
      <c r="AZ134" s="7"/>
      <c r="BA134" s="7"/>
      <c r="BB134" s="7"/>
      <c r="BC134" s="7" t="s">
        <v>366</v>
      </c>
      <c r="BD134" s="21">
        <v>44045.44375</v>
      </c>
      <c r="BE134" s="7"/>
      <c r="BF134" s="7"/>
      <c r="BG134" s="22">
        <v>44045.0</v>
      </c>
      <c r="BH134" s="7">
        <v>3.9760462E8</v>
      </c>
      <c r="BI134" s="7" t="s">
        <v>2113</v>
      </c>
      <c r="BJ134" s="7"/>
      <c r="BK134" s="7" t="b">
        <v>0</v>
      </c>
      <c r="BL134" s="7" t="b">
        <v>0</v>
      </c>
      <c r="BM134" s="7"/>
      <c r="BN134" s="7" t="str">
        <f>IFERROR(__xludf.DUMMYFUNCTION(" IF( REGEXMATCH(C134 , ""[(].+[)]""),REGEXREPLACE( CONCATENATE(REGEXEXTRACT(C134 , ""[(].+[)]""),IF(REGEXMATCH(C134 , ""[(][Ll]['’][)]""),"""","" ""), REGEXEXTRACT(C134 ,""^(?:(?:[A-Za-zàäéèêîïöôûü0-9 ](?:[A-Za-zàäéèêîïöôûü'0-9 ]+)))"")) , ""[()]"", """")"&amp;",C134 )"),"Case Manin")</f>
        <v>Case Manin</v>
      </c>
      <c r="BO134" s="23"/>
      <c r="BP134" s="7"/>
      <c r="BQ134" s="7"/>
      <c r="BR134" s="7"/>
      <c r="BS134" s="7"/>
      <c r="BT134" s="7"/>
      <c r="BU134" s="7"/>
      <c r="BV134" s="7"/>
      <c r="BW134" s="7"/>
      <c r="BX134" s="7"/>
      <c r="BY134" s="7"/>
      <c r="BZ134" s="7"/>
      <c r="CA134" s="7"/>
      <c r="CB134" s="7"/>
    </row>
    <row r="135" ht="21.75" customHeight="1">
      <c r="A135" s="7">
        <v>908.0</v>
      </c>
      <c r="B135" s="7">
        <v>134.0</v>
      </c>
      <c r="C135" s="7" t="s">
        <v>2103</v>
      </c>
      <c r="D135" s="7" t="s">
        <v>2104</v>
      </c>
      <c r="E135" s="7"/>
      <c r="F135" s="7" t="s">
        <v>404</v>
      </c>
      <c r="G135" s="7" t="s">
        <v>343</v>
      </c>
      <c r="H135" s="7" t="s">
        <v>40</v>
      </c>
      <c r="I135" s="7" t="s">
        <v>2114</v>
      </c>
      <c r="J135" s="7"/>
      <c r="K135" s="7" t="s">
        <v>58</v>
      </c>
      <c r="L135" s="7" t="s">
        <v>59</v>
      </c>
      <c r="M135" s="7" t="s">
        <v>346</v>
      </c>
      <c r="N135" s="7" t="s">
        <v>407</v>
      </c>
      <c r="O135" s="7">
        <v>97414.0</v>
      </c>
      <c r="P135" s="7" t="s">
        <v>40</v>
      </c>
      <c r="Q135" s="7"/>
      <c r="R135" s="7" t="s">
        <v>1333</v>
      </c>
      <c r="S135" s="7" t="s">
        <v>2106</v>
      </c>
      <c r="T135" s="6" t="s">
        <v>2115</v>
      </c>
      <c r="U135" s="7" t="s">
        <v>2116</v>
      </c>
      <c r="V135" s="7"/>
      <c r="W135" s="7"/>
      <c r="X135" s="7"/>
      <c r="Y135" s="7"/>
      <c r="Z135" s="7"/>
      <c r="AA135" s="7">
        <v>30.0</v>
      </c>
      <c r="AB135" s="7"/>
      <c r="AC135" s="7" t="s">
        <v>2117</v>
      </c>
      <c r="AD135" s="7" t="s">
        <v>2118</v>
      </c>
      <c r="AE135" s="7" t="s">
        <v>2119</v>
      </c>
      <c r="AF135" s="7"/>
      <c r="AG135" s="7"/>
      <c r="AH135" s="20">
        <v>39575.0</v>
      </c>
      <c r="AI135" s="7"/>
      <c r="AJ135" s="7" t="s">
        <v>2109</v>
      </c>
      <c r="AK135" s="7">
        <v>3.9760462000021E13</v>
      </c>
      <c r="AL135" s="7" t="s">
        <v>2110</v>
      </c>
      <c r="AM135" s="7" t="s">
        <v>2120</v>
      </c>
      <c r="AN135" s="20">
        <v>39575.0</v>
      </c>
      <c r="AO135" s="7">
        <v>97414.0</v>
      </c>
      <c r="AP135" s="7" t="s">
        <v>429</v>
      </c>
      <c r="AQ135" s="7"/>
      <c r="AR135" s="7"/>
      <c r="AS135" s="7"/>
      <c r="AT135" s="7"/>
      <c r="AU135" s="7">
        <v>0.0</v>
      </c>
      <c r="AV135" s="7" t="s">
        <v>2121</v>
      </c>
      <c r="AW135" s="7"/>
      <c r="AX135" s="7"/>
      <c r="AY135" s="7"/>
      <c r="AZ135" s="7"/>
      <c r="BA135" s="7"/>
      <c r="BB135" s="7"/>
      <c r="BC135" s="7" t="s">
        <v>366</v>
      </c>
      <c r="BD135" s="21">
        <v>44045.44375</v>
      </c>
      <c r="BE135" s="7"/>
      <c r="BF135" s="7"/>
      <c r="BG135" s="22">
        <v>44045.0</v>
      </c>
      <c r="BH135" s="7">
        <v>3.9760462E8</v>
      </c>
      <c r="BI135" s="7" t="s">
        <v>2113</v>
      </c>
      <c r="BJ135" s="7"/>
      <c r="BK135" s="7" t="b">
        <v>0</v>
      </c>
      <c r="BL135" s="7" t="b">
        <v>0</v>
      </c>
      <c r="BM135" s="7"/>
      <c r="BN135" s="7" t="str">
        <f>IFERROR(__xludf.DUMMYFUNCTION(" IF( REGEXMATCH(C135 , ""[(].+[)]""),REGEXREPLACE( CONCATENATE(REGEXEXTRACT(C135 , ""[(].+[)]""),IF(REGEXMATCH(C135 , ""[(][Ll]['’][)]""),"""","" ""), REGEXEXTRACT(C135 ,""^(?:(?:[A-Za-zàäéèêîïöôûü0-9 ](?:[A-Za-zàäéèêîïöôûü'0-9 ]+)))"")) , ""[()]"", """")"&amp;",C135 )"),"Case Manin")</f>
        <v>Case Manin</v>
      </c>
      <c r="BO135" s="23"/>
      <c r="BP135" s="7"/>
      <c r="BQ135" s="7"/>
      <c r="BR135" s="7"/>
      <c r="BS135" s="7"/>
      <c r="BT135" s="7"/>
      <c r="BU135" s="7"/>
      <c r="BV135" s="7"/>
      <c r="BW135" s="7"/>
      <c r="BX135" s="7"/>
      <c r="BY135" s="7"/>
      <c r="BZ135" s="7"/>
      <c r="CA135" s="7"/>
      <c r="CB135" s="7"/>
    </row>
    <row r="136" ht="21.75" customHeight="1">
      <c r="A136" s="7">
        <v>4777.0</v>
      </c>
      <c r="B136" s="7" t="s">
        <v>2122</v>
      </c>
      <c r="C136" s="7" t="s">
        <v>2123</v>
      </c>
      <c r="D136" s="7"/>
      <c r="E136" s="7"/>
      <c r="F136" s="7" t="s">
        <v>342</v>
      </c>
      <c r="G136" s="7" t="s">
        <v>343</v>
      </c>
      <c r="H136" s="7" t="s">
        <v>123</v>
      </c>
      <c r="I136" s="7" t="s">
        <v>2124</v>
      </c>
      <c r="J136" s="7"/>
      <c r="K136" s="7" t="s">
        <v>58</v>
      </c>
      <c r="L136" s="7" t="s">
        <v>453</v>
      </c>
      <c r="M136" s="7" t="s">
        <v>454</v>
      </c>
      <c r="N136" s="7" t="s">
        <v>455</v>
      </c>
      <c r="O136" s="7">
        <v>97480.0</v>
      </c>
      <c r="P136" s="7" t="s">
        <v>123</v>
      </c>
      <c r="Q136" s="7"/>
      <c r="R136" s="7" t="s">
        <v>2125</v>
      </c>
      <c r="S136" s="7"/>
      <c r="T136" s="7" t="s">
        <v>499</v>
      </c>
      <c r="U136" s="7" t="s">
        <v>592</v>
      </c>
      <c r="V136" s="7">
        <v>2.62583047E8</v>
      </c>
      <c r="W136" s="7">
        <v>6.92480332E8</v>
      </c>
      <c r="X136" s="7"/>
      <c r="Y136" s="7"/>
      <c r="Z136" s="7" t="s">
        <v>2126</v>
      </c>
      <c r="AA136" s="7">
        <v>2.0</v>
      </c>
      <c r="AB136" s="7"/>
      <c r="AC136" s="7" t="s">
        <v>2127</v>
      </c>
      <c r="AD136" s="7" t="s">
        <v>2128</v>
      </c>
      <c r="AE136" s="7"/>
      <c r="AF136" s="7"/>
      <c r="AG136" s="7"/>
      <c r="AH136" s="20">
        <v>43452.0</v>
      </c>
      <c r="AI136" s="7"/>
      <c r="AJ136" s="7" t="s">
        <v>2129</v>
      </c>
      <c r="AK136" s="7"/>
      <c r="AL136" s="7" t="s">
        <v>2130</v>
      </c>
      <c r="AM136" s="7" t="s">
        <v>2131</v>
      </c>
      <c r="AN136" s="20">
        <v>43452.0</v>
      </c>
      <c r="AO136" s="7">
        <v>97480.0</v>
      </c>
      <c r="AP136" s="7" t="s">
        <v>385</v>
      </c>
      <c r="AQ136" s="7"/>
      <c r="AR136" s="7"/>
      <c r="AS136" s="7"/>
      <c r="AT136" s="7"/>
      <c r="AU136" s="7">
        <v>1.0</v>
      </c>
      <c r="AV136" s="7" t="s">
        <v>2132</v>
      </c>
      <c r="AW136" s="7"/>
      <c r="AX136" s="7"/>
      <c r="AY136" s="7"/>
      <c r="AZ136" s="7" t="s">
        <v>2133</v>
      </c>
      <c r="BA136" s="7"/>
      <c r="BB136" s="7"/>
      <c r="BC136" s="7" t="s">
        <v>401</v>
      </c>
      <c r="BD136" s="21">
        <v>44200.40416666667</v>
      </c>
      <c r="BE136" s="7" t="s">
        <v>2134</v>
      </c>
      <c r="BF136" s="7"/>
      <c r="BG136" s="7"/>
      <c r="BH136" s="7"/>
      <c r="BI136" s="7" t="s">
        <v>2135</v>
      </c>
      <c r="BJ136" s="7"/>
      <c r="BK136" s="7" t="b">
        <v>0</v>
      </c>
      <c r="BL136" s="7" t="b">
        <v>0</v>
      </c>
      <c r="BM136" s="7"/>
      <c r="BN136" s="7" t="str">
        <f>IFERROR(__xludf.DUMMYFUNCTION(" IF( REGEXMATCH(C136 , ""[(].+[)]""),REGEXREPLACE( CONCATENATE(REGEXEXTRACT(C136 , ""[(].+[)]""),IF(REGEXMATCH(C136 , ""[(][Ll]['’][)]""),"""","" ""), REGEXEXTRACT(C136 ,""^(?:(?:[A-Za-zàäéèêîïöôûü0-9 ](?:[A-Za-zàäéèêîïöôûü'0-9 ]+)))"")) , ""[()]"", """")"&amp;",C136 )"),"La Case O Gecko ")</f>
        <v>La Case O Gecko </v>
      </c>
      <c r="BO136" s="25"/>
      <c r="BP136" s="7"/>
      <c r="BQ136" s="7"/>
      <c r="BR136" s="7"/>
      <c r="BS136" s="7"/>
      <c r="BT136" s="7"/>
      <c r="BU136" s="7"/>
      <c r="BV136" s="7"/>
      <c r="BW136" s="7"/>
      <c r="BX136" s="7"/>
      <c r="BY136" s="7"/>
      <c r="BZ136" s="7"/>
      <c r="CA136" s="7"/>
      <c r="CB136" s="7"/>
    </row>
    <row r="137" ht="21.75" customHeight="1">
      <c r="A137" s="7">
        <v>5168.0</v>
      </c>
      <c r="B137" s="7" t="s">
        <v>2136</v>
      </c>
      <c r="C137" s="7" t="s">
        <v>2137</v>
      </c>
      <c r="D137" s="7"/>
      <c r="E137" s="7"/>
      <c r="F137" s="7" t="s">
        <v>404</v>
      </c>
      <c r="G137" s="7" t="s">
        <v>343</v>
      </c>
      <c r="H137" s="7" t="s">
        <v>123</v>
      </c>
      <c r="I137" s="7" t="s">
        <v>2138</v>
      </c>
      <c r="J137" s="26" t="s">
        <v>2139</v>
      </c>
      <c r="K137" s="7" t="s">
        <v>58</v>
      </c>
      <c r="L137" s="7" t="s">
        <v>453</v>
      </c>
      <c r="M137" s="7" t="s">
        <v>454</v>
      </c>
      <c r="N137" s="7" t="s">
        <v>664</v>
      </c>
      <c r="O137" s="7">
        <v>97480.0</v>
      </c>
      <c r="P137" s="7" t="s">
        <v>123</v>
      </c>
      <c r="Q137" s="7"/>
      <c r="R137" s="7" t="s">
        <v>2140</v>
      </c>
      <c r="S137" s="7" t="s">
        <v>2141</v>
      </c>
      <c r="T137" s="7" t="s">
        <v>2142</v>
      </c>
      <c r="U137" s="7" t="s">
        <v>424</v>
      </c>
      <c r="V137" s="7"/>
      <c r="W137" s="7">
        <v>6.93469948E8</v>
      </c>
      <c r="X137" s="7"/>
      <c r="Y137" s="7"/>
      <c r="Z137" s="7" t="s">
        <v>2143</v>
      </c>
      <c r="AA137" s="7">
        <v>2.0</v>
      </c>
      <c r="AB137" s="7"/>
      <c r="AC137" s="7" t="s">
        <v>2144</v>
      </c>
      <c r="AD137" s="7" t="s">
        <v>2145</v>
      </c>
      <c r="AE137" s="7" t="s">
        <v>2146</v>
      </c>
      <c r="AF137" s="7"/>
      <c r="AG137" s="7"/>
      <c r="AH137" s="20">
        <v>43831.0</v>
      </c>
      <c r="AI137" s="7"/>
      <c r="AJ137" s="7" t="s">
        <v>2147</v>
      </c>
      <c r="AK137" s="7"/>
      <c r="AL137" s="7" t="s">
        <v>2148</v>
      </c>
      <c r="AM137" s="7" t="s">
        <v>2149</v>
      </c>
      <c r="AN137" s="20">
        <v>43878.0</v>
      </c>
      <c r="AO137" s="7">
        <v>97480.0</v>
      </c>
      <c r="AP137" s="7" t="s">
        <v>385</v>
      </c>
      <c r="AQ137" s="7"/>
      <c r="AR137" s="7"/>
      <c r="AS137" s="7"/>
      <c r="AT137" s="7"/>
      <c r="AU137" s="7">
        <v>1.0</v>
      </c>
      <c r="AV137" s="7" t="s">
        <v>2150</v>
      </c>
      <c r="AW137" s="7"/>
      <c r="AX137" s="7" t="s">
        <v>1828</v>
      </c>
      <c r="AY137" s="7" t="s">
        <v>1590</v>
      </c>
      <c r="AZ137" s="7" t="s">
        <v>2151</v>
      </c>
      <c r="BA137" s="7"/>
      <c r="BB137" s="7"/>
      <c r="BC137" s="7" t="s">
        <v>401</v>
      </c>
      <c r="BD137" s="21">
        <v>44132.19027777778</v>
      </c>
      <c r="BE137" s="7" t="s">
        <v>1355</v>
      </c>
      <c r="BF137" s="7"/>
      <c r="BG137" s="7"/>
      <c r="BH137" s="7"/>
      <c r="BI137" s="7" t="s">
        <v>2152</v>
      </c>
      <c r="BJ137" s="7"/>
      <c r="BK137" s="7" t="b">
        <v>0</v>
      </c>
      <c r="BL137" s="7" t="b">
        <v>0</v>
      </c>
      <c r="BM137" s="7"/>
      <c r="BN137" s="7" t="str">
        <f>IFERROR(__xludf.DUMMYFUNCTION(" IF( REGEXMATCH(C137 , ""[(].+[)]""),REGEXREPLACE( CONCATENATE(REGEXEXTRACT(C137 , ""[(].+[)]""),IF(REGEXMATCH(C137 , ""[(][Ll]['’][)]""),"""","" ""), REGEXEXTRACT(C137 ,""^(?:(?:[A-Za-zàäéèêîïöôûü0-9 ](?:[A-Za-zàäéèêîïöôûü'0-9 ]+)))"")) , ""[()]"", """")"&amp;",C137 )"),"La Case O Zoizos ")</f>
        <v>La Case O Zoizos </v>
      </c>
      <c r="BO137" s="25"/>
      <c r="BP137" s="7"/>
      <c r="BQ137" s="7"/>
      <c r="BR137" s="7"/>
      <c r="BS137" s="7"/>
      <c r="BT137" s="7"/>
      <c r="BU137" s="7"/>
      <c r="BV137" s="7"/>
      <c r="BW137" s="7"/>
      <c r="BX137" s="7"/>
      <c r="BY137" s="7"/>
      <c r="BZ137" s="7"/>
      <c r="CA137" s="7"/>
      <c r="CB137" s="7"/>
    </row>
    <row r="138" ht="21.75" customHeight="1">
      <c r="A138" s="7">
        <v>2154.0</v>
      </c>
      <c r="B138" s="7">
        <v>137.0</v>
      </c>
      <c r="C138" s="7" t="s">
        <v>2153</v>
      </c>
      <c r="D138" s="7" t="s">
        <v>2154</v>
      </c>
      <c r="E138" s="7"/>
      <c r="F138" s="7" t="s">
        <v>404</v>
      </c>
      <c r="G138" s="7" t="s">
        <v>343</v>
      </c>
      <c r="H138" s="7" t="s">
        <v>123</v>
      </c>
      <c r="I138" s="7" t="s">
        <v>2155</v>
      </c>
      <c r="J138" s="26" t="s">
        <v>2156</v>
      </c>
      <c r="K138" s="7" t="s">
        <v>58</v>
      </c>
      <c r="L138" s="7" t="s">
        <v>453</v>
      </c>
      <c r="M138" s="7" t="s">
        <v>454</v>
      </c>
      <c r="N138" s="7" t="s">
        <v>422</v>
      </c>
      <c r="O138" s="7">
        <v>97480.0</v>
      </c>
      <c r="P138" s="7" t="s">
        <v>123</v>
      </c>
      <c r="Q138" s="7"/>
      <c r="R138" s="7" t="s">
        <v>2157</v>
      </c>
      <c r="S138" s="7" t="s">
        <v>2158</v>
      </c>
      <c r="T138" s="7" t="s">
        <v>377</v>
      </c>
      <c r="U138" s="7" t="s">
        <v>851</v>
      </c>
      <c r="V138" s="7">
        <v>2.62203254E8</v>
      </c>
      <c r="W138" s="7">
        <v>6.92460847E8</v>
      </c>
      <c r="X138" s="7"/>
      <c r="Y138" s="7"/>
      <c r="Z138" s="7" t="s">
        <v>2159</v>
      </c>
      <c r="AA138" s="7">
        <v>2.0</v>
      </c>
      <c r="AB138" s="7"/>
      <c r="AC138" s="7" t="s">
        <v>2160</v>
      </c>
      <c r="AD138" s="7" t="s">
        <v>2161</v>
      </c>
      <c r="AE138" s="7" t="s">
        <v>2162</v>
      </c>
      <c r="AF138" s="7"/>
      <c r="AG138" s="7"/>
      <c r="AH138" s="20">
        <v>40151.0</v>
      </c>
      <c r="AI138" s="7"/>
      <c r="AJ138" s="7" t="s">
        <v>2163</v>
      </c>
      <c r="AK138" s="7"/>
      <c r="AL138" s="7" t="s">
        <v>2164</v>
      </c>
      <c r="AM138" s="7" t="s">
        <v>2165</v>
      </c>
      <c r="AN138" s="20">
        <v>40151.0</v>
      </c>
      <c r="AO138" s="7">
        <v>97480.0</v>
      </c>
      <c r="AP138" s="7" t="s">
        <v>385</v>
      </c>
      <c r="AQ138" s="7"/>
      <c r="AR138" s="7"/>
      <c r="AS138" s="7"/>
      <c r="AT138" s="7"/>
      <c r="AU138" s="7">
        <v>1.0</v>
      </c>
      <c r="AV138" s="7" t="s">
        <v>2166</v>
      </c>
      <c r="AW138" s="7"/>
      <c r="AX138" s="7"/>
      <c r="AY138" s="7"/>
      <c r="AZ138" s="7"/>
      <c r="BA138" s="7"/>
      <c r="BB138" s="7"/>
      <c r="BC138" s="7" t="s">
        <v>366</v>
      </c>
      <c r="BD138" s="21">
        <v>44052.188888888886</v>
      </c>
      <c r="BE138" s="7"/>
      <c r="BF138" s="7"/>
      <c r="BG138" s="22">
        <v>44052.0</v>
      </c>
      <c r="BH138" s="7"/>
      <c r="BI138" s="7" t="s">
        <v>2167</v>
      </c>
      <c r="BJ138" s="7"/>
      <c r="BK138" s="7" t="b">
        <v>0</v>
      </c>
      <c r="BL138" s="7" t="b">
        <v>0</v>
      </c>
      <c r="BM138" s="7"/>
      <c r="BN138" s="7" t="str">
        <f>IFERROR(__xludf.DUMMYFUNCTION(" IF( REGEXMATCH(C138 , ""[(].+[)]""),REGEXREPLACE( CONCATENATE(REGEXEXTRACT(C138 , ""[(].+[)]""),IF(REGEXMATCH(C138 , ""[(][Ll]['’][)]""),"""","" ""), REGEXEXTRACT(C138 ,""^(?:(?:[A-Za-zàäéèêîïöôûü0-9 ](?:[A-Za-zàäéèêîïöôûü'0-9 ]+)))"")) , ""[()]"", """")"&amp;",C138 )"),"La Case O' Doudous ")</f>
        <v>La Case O' Doudous </v>
      </c>
      <c r="BO138" s="23"/>
      <c r="BP138" s="7"/>
      <c r="BQ138" s="7"/>
      <c r="BR138" s="7"/>
      <c r="BS138" s="7"/>
      <c r="BT138" s="7"/>
      <c r="BU138" s="7"/>
      <c r="BV138" s="7"/>
      <c r="BW138" s="7"/>
      <c r="BX138" s="7"/>
      <c r="BY138" s="7"/>
      <c r="BZ138" s="7"/>
      <c r="CA138" s="7"/>
      <c r="CB138" s="7"/>
    </row>
    <row r="139" ht="21.75" customHeight="1">
      <c r="A139" s="7">
        <v>1519.0</v>
      </c>
      <c r="B139" s="7">
        <v>138.0</v>
      </c>
      <c r="C139" s="7" t="s">
        <v>2168</v>
      </c>
      <c r="D139" s="7" t="s">
        <v>2168</v>
      </c>
      <c r="E139" s="7"/>
      <c r="F139" s="7" t="s">
        <v>404</v>
      </c>
      <c r="G139" s="7" t="s">
        <v>343</v>
      </c>
      <c r="H139" s="7" t="s">
        <v>344</v>
      </c>
      <c r="I139" s="7" t="s">
        <v>2169</v>
      </c>
      <c r="J139" s="26" t="s">
        <v>2170</v>
      </c>
      <c r="K139" s="7" t="s">
        <v>58</v>
      </c>
      <c r="L139" s="7" t="s">
        <v>59</v>
      </c>
      <c r="M139" s="7" t="s">
        <v>545</v>
      </c>
      <c r="N139" s="7" t="s">
        <v>407</v>
      </c>
      <c r="O139" s="7">
        <v>97430.0</v>
      </c>
      <c r="P139" s="7" t="s">
        <v>344</v>
      </c>
      <c r="Q139" s="7"/>
      <c r="R139" s="7" t="s">
        <v>2171</v>
      </c>
      <c r="S139" s="7" t="s">
        <v>609</v>
      </c>
      <c r="T139" s="7" t="s">
        <v>377</v>
      </c>
      <c r="U139" s="7" t="s">
        <v>786</v>
      </c>
      <c r="V139" s="7">
        <v>2.62271265E8</v>
      </c>
      <c r="W139" s="7">
        <v>6.92158921E8</v>
      </c>
      <c r="X139" s="7"/>
      <c r="Y139" s="7"/>
      <c r="Z139" s="7" t="s">
        <v>2172</v>
      </c>
      <c r="AA139" s="7">
        <v>5.0</v>
      </c>
      <c r="AB139" s="7"/>
      <c r="AC139" s="7" t="s">
        <v>2173</v>
      </c>
      <c r="AD139" s="7" t="s">
        <v>2174</v>
      </c>
      <c r="AE139" s="7" t="s">
        <v>2175</v>
      </c>
      <c r="AF139" s="7"/>
      <c r="AG139" s="7"/>
      <c r="AH139" s="20">
        <v>43739.0</v>
      </c>
      <c r="AI139" s="7"/>
      <c r="AJ139" s="7" t="s">
        <v>2176</v>
      </c>
      <c r="AK139" s="7"/>
      <c r="AL139" s="7" t="s">
        <v>2177</v>
      </c>
      <c r="AM139" s="7" t="s">
        <v>2178</v>
      </c>
      <c r="AN139" s="20">
        <v>43739.0</v>
      </c>
      <c r="AO139" s="7">
        <v>97430.0</v>
      </c>
      <c r="AP139" s="7" t="s">
        <v>494</v>
      </c>
      <c r="AQ139" s="7"/>
      <c r="AR139" s="7"/>
      <c r="AS139" s="7"/>
      <c r="AT139" s="7"/>
      <c r="AU139" s="7">
        <v>1.0</v>
      </c>
      <c r="AV139" s="7" t="s">
        <v>2179</v>
      </c>
      <c r="AW139" s="7"/>
      <c r="AX139" s="7"/>
      <c r="AY139" s="7"/>
      <c r="AZ139" s="7"/>
      <c r="BA139" s="7"/>
      <c r="BB139" s="7"/>
      <c r="BC139" s="7" t="s">
        <v>366</v>
      </c>
      <c r="BD139" s="21">
        <v>44105.501388888886</v>
      </c>
      <c r="BE139" s="7"/>
      <c r="BF139" s="7"/>
      <c r="BG139" s="22">
        <v>44105.0</v>
      </c>
      <c r="BH139" s="7"/>
      <c r="BI139" s="7" t="s">
        <v>2180</v>
      </c>
      <c r="BJ139" s="7"/>
      <c r="BK139" s="7" t="b">
        <v>0</v>
      </c>
      <c r="BL139" s="7" t="b">
        <v>0</v>
      </c>
      <c r="BM139" s="7"/>
      <c r="BN139" s="7" t="str">
        <f>IFERROR(__xludf.DUMMYFUNCTION(" IF( REGEXMATCH(C139 , ""[(].+[)]""),REGEXREPLACE( CONCATENATE(REGEXEXTRACT(C139 , ""[(].+[)]""),IF(REGEXMATCH(C139 , ""[(][Ll]['’][)]""),"""","" ""), REGEXEXTRACT(C139 ,""^(?:(?:[A-Za-zàäéèêîïöôûü0-9 ](?:[A-Za-zàäéèêîïöôûü'0-9 ]+)))"")) , ""[()]"", """")"&amp;",C139 )"),"La Case Soleil ")</f>
        <v>La Case Soleil </v>
      </c>
      <c r="BO139" s="23"/>
      <c r="BP139" s="7"/>
      <c r="BQ139" s="7"/>
      <c r="BR139" s="7"/>
      <c r="BS139" s="7"/>
      <c r="BT139" s="7"/>
      <c r="BU139" s="7"/>
      <c r="BV139" s="7"/>
      <c r="BW139" s="7"/>
      <c r="BX139" s="7"/>
      <c r="BY139" s="7"/>
      <c r="BZ139" s="7"/>
      <c r="CA139" s="7"/>
      <c r="CB139" s="7"/>
    </row>
    <row r="140" ht="21.75" customHeight="1">
      <c r="A140" s="7">
        <v>2985.0</v>
      </c>
      <c r="B140" s="7" t="s">
        <v>2181</v>
      </c>
      <c r="C140" s="7" t="s">
        <v>2182</v>
      </c>
      <c r="D140" s="7"/>
      <c r="E140" s="7"/>
      <c r="F140" s="7" t="s">
        <v>342</v>
      </c>
      <c r="G140" s="7" t="s">
        <v>343</v>
      </c>
      <c r="H140" s="7" t="s">
        <v>33</v>
      </c>
      <c r="I140" s="7" t="s">
        <v>2183</v>
      </c>
      <c r="J140" s="7"/>
      <c r="K140" s="7" t="s">
        <v>34</v>
      </c>
      <c r="L140" s="7" t="s">
        <v>622</v>
      </c>
      <c r="M140" s="7" t="s">
        <v>622</v>
      </c>
      <c r="N140" s="7"/>
      <c r="O140" s="7">
        <v>97442.0</v>
      </c>
      <c r="P140" s="7" t="s">
        <v>33</v>
      </c>
      <c r="Q140" s="7"/>
      <c r="R140" s="7"/>
      <c r="S140" s="7"/>
      <c r="T140" s="7" t="s">
        <v>974</v>
      </c>
      <c r="U140" s="7" t="s">
        <v>353</v>
      </c>
      <c r="V140" s="7">
        <v>2.62466946E8</v>
      </c>
      <c r="W140" s="7">
        <v>6.92183753E8</v>
      </c>
      <c r="X140" s="7"/>
      <c r="Y140" s="7"/>
      <c r="Z140" s="7"/>
      <c r="AA140" s="7">
        <v>40.0</v>
      </c>
      <c r="AB140" s="7"/>
      <c r="AC140" s="7" t="s">
        <v>2184</v>
      </c>
      <c r="AD140" s="7" t="s">
        <v>2185</v>
      </c>
      <c r="AE140" s="7" t="s">
        <v>2186</v>
      </c>
      <c r="AF140" s="7"/>
      <c r="AG140" s="7"/>
      <c r="AH140" s="20">
        <v>43739.0</v>
      </c>
      <c r="AI140" s="7"/>
      <c r="AJ140" s="7" t="s">
        <v>2187</v>
      </c>
      <c r="AK140" s="7"/>
      <c r="AL140" s="7" t="s">
        <v>2188</v>
      </c>
      <c r="AM140" s="7" t="s">
        <v>2189</v>
      </c>
      <c r="AN140" s="20">
        <v>43739.0</v>
      </c>
      <c r="AO140" s="7">
        <v>97442.0</v>
      </c>
      <c r="AP140" s="7" t="s">
        <v>884</v>
      </c>
      <c r="AQ140" s="7"/>
      <c r="AR140" s="7"/>
      <c r="AS140" s="7"/>
      <c r="AT140" s="7"/>
      <c r="AU140" s="7">
        <v>0.0</v>
      </c>
      <c r="AV140" s="7" t="s">
        <v>2190</v>
      </c>
      <c r="AW140" s="7"/>
      <c r="AX140" s="7"/>
      <c r="AY140" s="7"/>
      <c r="AZ140" s="7"/>
      <c r="BA140" s="7"/>
      <c r="BB140" s="7"/>
      <c r="BC140" s="7" t="s">
        <v>401</v>
      </c>
      <c r="BD140" s="21">
        <v>44222.40347222222</v>
      </c>
      <c r="BE140" s="7" t="s">
        <v>2191</v>
      </c>
      <c r="BF140" s="7"/>
      <c r="BG140" s="7"/>
      <c r="BH140" s="7"/>
      <c r="BI140" s="7" t="s">
        <v>2192</v>
      </c>
      <c r="BJ140" s="7"/>
      <c r="BK140" s="7" t="b">
        <v>0</v>
      </c>
      <c r="BL140" s="7" t="b">
        <v>0</v>
      </c>
      <c r="BM140" s="7"/>
      <c r="BN140" s="7" t="str">
        <f>IFERROR(__xludf.DUMMYFUNCTION(" IF( REGEXMATCH(C140 , ""[(].+[)]""),REGEXREPLACE( CONCATENATE(REGEXEXTRACT(C140 , ""[(].+[)]""),IF(REGEXMATCH(C140 , ""[(][Ll]['’][)]""),"""","" ""), REGEXEXTRACT(C140 ,""^(?:(?:[A-Za-zàäéèêîïöôûü0-9 ](?:[A-Za-zàäéèêîïöôûü'0-9 ]+)))"")) , ""[()]"", """")"&amp;",C140 )"),"La Case Volcan ")</f>
        <v>La Case Volcan </v>
      </c>
      <c r="BO140" s="25"/>
      <c r="BP140" s="7"/>
      <c r="BQ140" s="7"/>
      <c r="BR140" s="7"/>
      <c r="BS140" s="7"/>
      <c r="BT140" s="7"/>
      <c r="BU140" s="7"/>
      <c r="BV140" s="7"/>
      <c r="BW140" s="7"/>
      <c r="BX140" s="7"/>
      <c r="BY140" s="7"/>
      <c r="BZ140" s="7"/>
      <c r="CA140" s="7"/>
      <c r="CB140" s="7"/>
    </row>
    <row r="141" ht="21.75" customHeight="1">
      <c r="A141" s="7">
        <v>2330.0</v>
      </c>
      <c r="B141" s="7" t="s">
        <v>2193</v>
      </c>
      <c r="C141" s="7" t="s">
        <v>2194</v>
      </c>
      <c r="D141" s="7" t="s">
        <v>2194</v>
      </c>
      <c r="E141" s="7"/>
      <c r="F141" s="7" t="s">
        <v>342</v>
      </c>
      <c r="G141" s="7" t="s">
        <v>343</v>
      </c>
      <c r="H141" s="7" t="s">
        <v>40</v>
      </c>
      <c r="I141" s="7" t="s">
        <v>2195</v>
      </c>
      <c r="J141" s="26" t="s">
        <v>2196</v>
      </c>
      <c r="K141" s="7" t="s">
        <v>58</v>
      </c>
      <c r="L141" s="7" t="s">
        <v>59</v>
      </c>
      <c r="M141" s="7" t="s">
        <v>346</v>
      </c>
      <c r="N141" s="7" t="s">
        <v>422</v>
      </c>
      <c r="O141" s="7">
        <v>97414.0</v>
      </c>
      <c r="P141" s="7" t="s">
        <v>40</v>
      </c>
      <c r="Q141" s="7"/>
      <c r="R141" s="7" t="s">
        <v>2197</v>
      </c>
      <c r="S141" s="7" t="s">
        <v>2198</v>
      </c>
      <c r="T141" s="7" t="s">
        <v>377</v>
      </c>
      <c r="U141" s="7" t="s">
        <v>378</v>
      </c>
      <c r="V141" s="7">
        <v>2.62395963E8</v>
      </c>
      <c r="W141" s="7">
        <v>6.92603761E8</v>
      </c>
      <c r="X141" s="7"/>
      <c r="Y141" s="7"/>
      <c r="Z141" s="7" t="s">
        <v>2199</v>
      </c>
      <c r="AA141" s="7">
        <v>10.0</v>
      </c>
      <c r="AB141" s="7"/>
      <c r="AC141" s="7" t="s">
        <v>2200</v>
      </c>
      <c r="AD141" s="7" t="s">
        <v>2201</v>
      </c>
      <c r="AE141" s="7"/>
      <c r="AF141" s="7"/>
      <c r="AG141" s="7"/>
      <c r="AH141" s="20">
        <v>40220.0</v>
      </c>
      <c r="AI141" s="7"/>
      <c r="AJ141" s="7" t="s">
        <v>2202</v>
      </c>
      <c r="AK141" s="7"/>
      <c r="AL141" s="7" t="s">
        <v>2203</v>
      </c>
      <c r="AM141" s="7" t="s">
        <v>2204</v>
      </c>
      <c r="AN141" s="20">
        <v>40220.0</v>
      </c>
      <c r="AO141" s="7">
        <v>97414.0</v>
      </c>
      <c r="AP141" s="7" t="s">
        <v>429</v>
      </c>
      <c r="AQ141" s="7"/>
      <c r="AR141" s="7"/>
      <c r="AS141" s="7"/>
      <c r="AT141" s="7"/>
      <c r="AU141" s="7">
        <v>3.0</v>
      </c>
      <c r="AV141" s="7" t="s">
        <v>2205</v>
      </c>
      <c r="AW141" s="7"/>
      <c r="AX141" s="7" t="s">
        <v>2206</v>
      </c>
      <c r="AY141" s="7" t="s">
        <v>1962</v>
      </c>
      <c r="AZ141" s="7" t="s">
        <v>2207</v>
      </c>
      <c r="BA141" s="7"/>
      <c r="BB141" s="7"/>
      <c r="BC141" s="7" t="s">
        <v>401</v>
      </c>
      <c r="BD141" s="21">
        <v>44045.44305555556</v>
      </c>
      <c r="BE141" s="7" t="s">
        <v>2208</v>
      </c>
      <c r="BF141" s="7"/>
      <c r="BG141" s="7"/>
      <c r="BH141" s="7"/>
      <c r="BI141" s="7" t="s">
        <v>2209</v>
      </c>
      <c r="BJ141" s="7"/>
      <c r="BK141" s="7" t="b">
        <v>0</v>
      </c>
      <c r="BL141" s="7" t="b">
        <v>0</v>
      </c>
      <c r="BM141" s="7"/>
      <c r="BN141" s="7" t="str">
        <f>IFERROR(__xludf.DUMMYFUNCTION(" IF( REGEXMATCH(C141 , ""[(].+[)]""),REGEXREPLACE( CONCATENATE(REGEXEXTRACT(C141 , ""[(].+[)]""),IF(REGEXMATCH(C141 , ""[(][Ll]['’][)]""),"""","" ""), REGEXEXTRACT(C141 ,""^(?:(?:[A-Za-zàäéèêîïöôûü0-9 ](?:[A-Za-zàäéèêîïöôûü'0-9 ]+)))"")) , ""[()]"", """")"&amp;",C141 )"),"Cases Carlou")</f>
        <v>Cases Carlou</v>
      </c>
      <c r="BO141" s="25"/>
      <c r="BP141" s="7"/>
      <c r="BQ141" s="7"/>
      <c r="BR141" s="7"/>
      <c r="BS141" s="7"/>
      <c r="BT141" s="7"/>
      <c r="BU141" s="7"/>
      <c r="BV141" s="7"/>
      <c r="BW141" s="7"/>
      <c r="BX141" s="7"/>
      <c r="BY141" s="7"/>
      <c r="BZ141" s="7"/>
      <c r="CA141" s="7"/>
      <c r="CB141" s="7"/>
    </row>
    <row r="142" ht="21.75" customHeight="1">
      <c r="A142" s="7">
        <v>3017.0</v>
      </c>
      <c r="B142" s="7" t="s">
        <v>2210</v>
      </c>
      <c r="C142" s="7" t="s">
        <v>2211</v>
      </c>
      <c r="D142" s="7"/>
      <c r="E142" s="7"/>
      <c r="F142" s="7" t="s">
        <v>342</v>
      </c>
      <c r="G142" s="7" t="s">
        <v>343</v>
      </c>
      <c r="H142" s="7" t="s">
        <v>344</v>
      </c>
      <c r="I142" s="7" t="s">
        <v>2212</v>
      </c>
      <c r="J142" s="7"/>
      <c r="K142" s="6" t="s">
        <v>469</v>
      </c>
      <c r="L142" s="7" t="s">
        <v>197</v>
      </c>
      <c r="M142" s="7" t="s">
        <v>1696</v>
      </c>
      <c r="N142" s="7" t="s">
        <v>455</v>
      </c>
      <c r="O142" s="7">
        <v>97418.0</v>
      </c>
      <c r="P142" s="7" t="s">
        <v>348</v>
      </c>
      <c r="Q142" s="7" t="s">
        <v>349</v>
      </c>
      <c r="R142" s="7"/>
      <c r="S142" s="7"/>
      <c r="T142" s="7" t="s">
        <v>974</v>
      </c>
      <c r="U142" s="7" t="s">
        <v>378</v>
      </c>
      <c r="V142" s="7"/>
      <c r="W142" s="7">
        <v>6.92661885E8</v>
      </c>
      <c r="X142" s="7"/>
      <c r="Y142" s="7"/>
      <c r="Z142" s="7" t="s">
        <v>2213</v>
      </c>
      <c r="AA142" s="7"/>
      <c r="AB142" s="7"/>
      <c r="AC142" s="7"/>
      <c r="AD142" s="7" t="s">
        <v>2214</v>
      </c>
      <c r="AE142" s="7" t="s">
        <v>2215</v>
      </c>
      <c r="AF142" s="7"/>
      <c r="AG142" s="7"/>
      <c r="AH142" s="20">
        <v>43739.0</v>
      </c>
      <c r="AI142" s="7"/>
      <c r="AJ142" s="7" t="s">
        <v>2211</v>
      </c>
      <c r="AK142" s="7"/>
      <c r="AL142" s="7" t="s">
        <v>2216</v>
      </c>
      <c r="AM142" s="7" t="s">
        <v>2217</v>
      </c>
      <c r="AN142" s="20">
        <v>43739.0</v>
      </c>
      <c r="AO142" s="7">
        <v>97418.0</v>
      </c>
      <c r="AP142" s="7" t="s">
        <v>362</v>
      </c>
      <c r="AQ142" s="7"/>
      <c r="AR142" s="7"/>
      <c r="AS142" s="7"/>
      <c r="AT142" s="7"/>
      <c r="AU142" s="7">
        <v>0.0</v>
      </c>
      <c r="AV142" s="7" t="s">
        <v>2218</v>
      </c>
      <c r="AW142" s="7"/>
      <c r="AX142" s="7"/>
      <c r="AY142" s="7"/>
      <c r="AZ142" s="7"/>
      <c r="BA142" s="7"/>
      <c r="BB142" s="7"/>
      <c r="BC142" s="7" t="s">
        <v>401</v>
      </c>
      <c r="BD142" s="21">
        <v>44193.42013888889</v>
      </c>
      <c r="BE142" s="7" t="s">
        <v>1355</v>
      </c>
      <c r="BF142" s="7"/>
      <c r="BG142" s="7"/>
      <c r="BH142" s="7"/>
      <c r="BI142" s="7" t="s">
        <v>514</v>
      </c>
      <c r="BJ142" s="7"/>
      <c r="BK142" s="7" t="b">
        <v>0</v>
      </c>
      <c r="BL142" s="7" t="b">
        <v>0</v>
      </c>
      <c r="BM142" s="7"/>
      <c r="BN142" s="7" t="str">
        <f>IFERROR(__xludf.DUMMYFUNCTION(" IF( REGEXMATCH(C142 , ""[(].+[)]""),REGEXREPLACE( CONCATENATE(REGEXEXTRACT(C142 , ""[(].+[)]""),IF(REGEXMATCH(C142 , ""[(][Ll]['’][)]""),"""","" ""), REGEXEXTRACT(C142 ,""^(?:(?:[A-Za-zàäéèêîïöôûü0-9 ](?:[A-Za-zàäéèêîïöôûü'0-9 ]+)))"")) , ""[()]"", """")"&amp;",C142 )"),"Caumes Jean Patrice")</f>
        <v>Caumes Jean Patrice</v>
      </c>
      <c r="BO142" s="25"/>
      <c r="BP142" s="7"/>
      <c r="BQ142" s="7"/>
      <c r="BR142" s="7"/>
      <c r="BS142" s="7"/>
      <c r="BT142" s="7"/>
      <c r="BU142" s="7"/>
      <c r="BV142" s="7"/>
      <c r="BW142" s="7"/>
      <c r="BX142" s="7"/>
      <c r="BY142" s="7"/>
      <c r="BZ142" s="7"/>
      <c r="CA142" s="7"/>
      <c r="CB142" s="7"/>
    </row>
    <row r="143" ht="21.75" customHeight="1">
      <c r="A143" s="7">
        <v>2912.0</v>
      </c>
      <c r="B143" s="7" t="s">
        <v>2219</v>
      </c>
      <c r="C143" s="7" t="s">
        <v>2220</v>
      </c>
      <c r="D143" s="7"/>
      <c r="E143" s="7"/>
      <c r="F143" s="7" t="s">
        <v>342</v>
      </c>
      <c r="G143" s="7" t="s">
        <v>343</v>
      </c>
      <c r="H143" s="7" t="s">
        <v>123</v>
      </c>
      <c r="I143" s="7" t="s">
        <v>2221</v>
      </c>
      <c r="J143" s="26" t="s">
        <v>2222</v>
      </c>
      <c r="K143" s="7" t="s">
        <v>58</v>
      </c>
      <c r="L143" s="7" t="s">
        <v>453</v>
      </c>
      <c r="M143" s="7" t="s">
        <v>454</v>
      </c>
      <c r="N143" s="7" t="s">
        <v>375</v>
      </c>
      <c r="O143" s="7">
        <v>97480.0</v>
      </c>
      <c r="P143" s="7" t="s">
        <v>123</v>
      </c>
      <c r="Q143" s="7"/>
      <c r="R143" s="7" t="s">
        <v>2223</v>
      </c>
      <c r="S143" s="7"/>
      <c r="T143" s="7" t="s">
        <v>377</v>
      </c>
      <c r="U143" s="7" t="s">
        <v>592</v>
      </c>
      <c r="V143" s="7">
        <v>2.62318086E8</v>
      </c>
      <c r="W143" s="7">
        <v>6.9264437E8</v>
      </c>
      <c r="X143" s="7"/>
      <c r="Y143" s="7"/>
      <c r="Z143" s="7" t="s">
        <v>2224</v>
      </c>
      <c r="AA143" s="7">
        <v>4.0</v>
      </c>
      <c r="AB143" s="7"/>
      <c r="AC143" s="7" t="s">
        <v>2225</v>
      </c>
      <c r="AD143" s="7" t="s">
        <v>2226</v>
      </c>
      <c r="AE143" s="7" t="s">
        <v>2227</v>
      </c>
      <c r="AF143" s="7"/>
      <c r="AG143" s="7"/>
      <c r="AH143" s="20">
        <v>43739.0</v>
      </c>
      <c r="AI143" s="7"/>
      <c r="AJ143" s="7" t="s">
        <v>2228</v>
      </c>
      <c r="AK143" s="7"/>
      <c r="AL143" s="7" t="s">
        <v>2229</v>
      </c>
      <c r="AM143" s="7" t="s">
        <v>2230</v>
      </c>
      <c r="AN143" s="20">
        <v>39575.0</v>
      </c>
      <c r="AO143" s="7">
        <v>97410.0</v>
      </c>
      <c r="AP143" s="7" t="s">
        <v>512</v>
      </c>
      <c r="AQ143" s="7"/>
      <c r="AR143" s="7"/>
      <c r="AS143" s="7"/>
      <c r="AT143" s="7"/>
      <c r="AU143" s="7">
        <v>2.0</v>
      </c>
      <c r="AV143" s="7" t="s">
        <v>2231</v>
      </c>
      <c r="AW143" s="7"/>
      <c r="AX143" s="7"/>
      <c r="AY143" s="7"/>
      <c r="AZ143" s="7" t="s">
        <v>2232</v>
      </c>
      <c r="BA143" s="7"/>
      <c r="BB143" s="7"/>
      <c r="BC143" s="7" t="s">
        <v>401</v>
      </c>
      <c r="BD143" s="21">
        <v>44193.0</v>
      </c>
      <c r="BE143" s="7" t="s">
        <v>449</v>
      </c>
      <c r="BF143" s="7"/>
      <c r="BG143" s="7"/>
      <c r="BH143" s="7"/>
      <c r="BI143" s="7" t="s">
        <v>2233</v>
      </c>
      <c r="BJ143" s="7"/>
      <c r="BK143" s="7" t="b">
        <v>0</v>
      </c>
      <c r="BL143" s="7" t="b">
        <v>0</v>
      </c>
      <c r="BM143" s="7"/>
      <c r="BN143" s="7" t="str">
        <f>IFERROR(__xludf.DUMMYFUNCTION(" IF( REGEXMATCH(C143 , ""[(].+[)]""),REGEXREPLACE( CONCATENATE(REGEXEXTRACT(C143 , ""[(].+[)]""),IF(REGEXMATCH(C143 , ""[(][Ll]['’][)]""),"""","" ""), REGEXEXTRACT(C143 ,""^(?:(?:[A-Za-zàäéèêîïöôûü0-9 ](?:[A-Za-zàäéèêîïöôûü'0-9 ]+)))"")) , ""[()]"", """")"&amp;",C143 )"),"La Caverne  des Hirondelles ")</f>
        <v>La Caverne  des Hirondelles </v>
      </c>
      <c r="BO143" s="25"/>
      <c r="BP143" s="7"/>
      <c r="BQ143" s="7"/>
      <c r="BR143" s="7"/>
      <c r="BS143" s="7"/>
      <c r="BT143" s="7"/>
      <c r="BU143" s="7"/>
      <c r="BV143" s="7"/>
      <c r="BW143" s="7"/>
      <c r="BX143" s="7"/>
      <c r="BY143" s="7"/>
      <c r="BZ143" s="7"/>
      <c r="CA143" s="7"/>
      <c r="CB143" s="7"/>
    </row>
    <row r="144" ht="21.75" customHeight="1">
      <c r="A144" s="7">
        <v>434.0</v>
      </c>
      <c r="B144" s="7" t="s">
        <v>2234</v>
      </c>
      <c r="C144" s="7" t="s">
        <v>2235</v>
      </c>
      <c r="D144" s="7" t="s">
        <v>2235</v>
      </c>
      <c r="E144" s="7"/>
      <c r="F144" s="7" t="s">
        <v>342</v>
      </c>
      <c r="G144" s="7" t="s">
        <v>343</v>
      </c>
      <c r="H144" s="7" t="s">
        <v>123</v>
      </c>
      <c r="I144" s="7" t="s">
        <v>2236</v>
      </c>
      <c r="J144" s="26" t="s">
        <v>2222</v>
      </c>
      <c r="K144" s="7" t="s">
        <v>58</v>
      </c>
      <c r="L144" s="7" t="s">
        <v>59</v>
      </c>
      <c r="M144" s="7" t="s">
        <v>346</v>
      </c>
      <c r="N144" s="7" t="s">
        <v>375</v>
      </c>
      <c r="O144" s="7">
        <v>97480.0</v>
      </c>
      <c r="P144" s="7" t="s">
        <v>123</v>
      </c>
      <c r="Q144" s="7"/>
      <c r="R144" s="7" t="s">
        <v>2237</v>
      </c>
      <c r="S144" s="7" t="s">
        <v>2238</v>
      </c>
      <c r="T144" s="7" t="s">
        <v>377</v>
      </c>
      <c r="U144" s="7" t="s">
        <v>592</v>
      </c>
      <c r="V144" s="7">
        <v>2.62318086E8</v>
      </c>
      <c r="W144" s="7">
        <v>6.9264437E8</v>
      </c>
      <c r="X144" s="7"/>
      <c r="Y144" s="7"/>
      <c r="Z144" s="7" t="s">
        <v>2224</v>
      </c>
      <c r="AA144" s="7">
        <v>15.0</v>
      </c>
      <c r="AB144" s="7"/>
      <c r="AC144" s="7"/>
      <c r="AD144" s="7" t="s">
        <v>2239</v>
      </c>
      <c r="AE144" s="7" t="s">
        <v>2240</v>
      </c>
      <c r="AF144" s="7"/>
      <c r="AG144" s="7"/>
      <c r="AH144" s="20">
        <v>39575.0</v>
      </c>
      <c r="AI144" s="7"/>
      <c r="AJ144" s="7" t="s">
        <v>2228</v>
      </c>
      <c r="AK144" s="7"/>
      <c r="AL144" s="7" t="s">
        <v>2229</v>
      </c>
      <c r="AM144" s="7" t="s">
        <v>2230</v>
      </c>
      <c r="AN144" s="20">
        <v>39575.0</v>
      </c>
      <c r="AO144" s="7">
        <v>97410.0</v>
      </c>
      <c r="AP144" s="7" t="s">
        <v>512</v>
      </c>
      <c r="AQ144" s="7"/>
      <c r="AR144" s="7"/>
      <c r="AS144" s="7"/>
      <c r="AT144" s="7"/>
      <c r="AU144" s="7">
        <v>2.0</v>
      </c>
      <c r="AV144" s="7" t="s">
        <v>2231</v>
      </c>
      <c r="AW144" s="7"/>
      <c r="AX144" s="7"/>
      <c r="AY144" s="7"/>
      <c r="AZ144" s="7" t="s">
        <v>2241</v>
      </c>
      <c r="BA144" s="7"/>
      <c r="BB144" s="7"/>
      <c r="BC144" s="7" t="s">
        <v>401</v>
      </c>
      <c r="BD144" s="21">
        <v>44193.12013888889</v>
      </c>
      <c r="BE144" s="7" t="s">
        <v>1047</v>
      </c>
      <c r="BF144" s="7"/>
      <c r="BG144" s="7"/>
      <c r="BH144" s="7"/>
      <c r="BI144" s="7" t="s">
        <v>2233</v>
      </c>
      <c r="BJ144" s="7"/>
      <c r="BK144" s="7" t="b">
        <v>0</v>
      </c>
      <c r="BL144" s="7" t="b">
        <v>0</v>
      </c>
      <c r="BM144" s="7"/>
      <c r="BN144" s="7" t="str">
        <f>IFERROR(__xludf.DUMMYFUNCTION(" IF( REGEXMATCH(C144 , ""[(].+[)]""),REGEXREPLACE( CONCATENATE(REGEXEXTRACT(C144 , ""[(].+[)]""),IF(REGEXMATCH(C144 , ""[(][Ll]['’][)]""),"""","" ""), REGEXEXTRACT(C144 ,""^(?:(?:[A-Za-zàäéèêîïöôûü0-9 ](?:[A-Za-zàäéèêîïöôûü'0-9 ]+)))"")) , ""[()]"", """")"&amp;",C144 )"),"La Caverne des Hirondelles ")</f>
        <v>La Caverne des Hirondelles </v>
      </c>
      <c r="BO144" s="25"/>
      <c r="BP144" s="7"/>
      <c r="BQ144" s="7"/>
      <c r="BR144" s="7"/>
      <c r="BS144" s="7"/>
      <c r="BT144" s="7"/>
      <c r="BU144" s="7"/>
      <c r="BV144" s="7"/>
      <c r="BW144" s="7"/>
      <c r="BX144" s="7"/>
      <c r="BY144" s="7"/>
      <c r="BZ144" s="7"/>
      <c r="CA144" s="7"/>
      <c r="CB144" s="7"/>
    </row>
    <row r="145" ht="21.75" customHeight="1">
      <c r="A145" s="7">
        <v>4715.0</v>
      </c>
      <c r="B145" s="7" t="s">
        <v>2242</v>
      </c>
      <c r="C145" s="7" t="s">
        <v>2243</v>
      </c>
      <c r="D145" s="7"/>
      <c r="E145" s="7"/>
      <c r="F145" s="7" t="s">
        <v>342</v>
      </c>
      <c r="G145" s="7" t="s">
        <v>343</v>
      </c>
      <c r="H145" s="7" t="s">
        <v>123</v>
      </c>
      <c r="I145" s="7" t="s">
        <v>2244</v>
      </c>
      <c r="J145" s="7"/>
      <c r="K145" s="7" t="s">
        <v>34</v>
      </c>
      <c r="L145" s="7" t="s">
        <v>622</v>
      </c>
      <c r="M145" s="7" t="s">
        <v>622</v>
      </c>
      <c r="N145" s="7"/>
      <c r="O145" s="7">
        <v>97480.0</v>
      </c>
      <c r="P145" s="7" t="s">
        <v>123</v>
      </c>
      <c r="Q145" s="7"/>
      <c r="R145" s="7"/>
      <c r="S145" s="7"/>
      <c r="T145" s="7"/>
      <c r="U145" s="7" t="s">
        <v>378</v>
      </c>
      <c r="V145" s="7">
        <v>2.62475895E8</v>
      </c>
      <c r="W145" s="7"/>
      <c r="X145" s="7"/>
      <c r="Y145" s="7"/>
      <c r="Z145" s="7"/>
      <c r="AA145" s="7"/>
      <c r="AB145" s="7"/>
      <c r="AC145" s="7" t="s">
        <v>2245</v>
      </c>
      <c r="AD145" s="7" t="s">
        <v>2246</v>
      </c>
      <c r="AE145" s="7"/>
      <c r="AF145" s="7"/>
      <c r="AG145" s="7"/>
      <c r="AH145" s="20">
        <v>43420.0</v>
      </c>
      <c r="AI145" s="7"/>
      <c r="AJ145" s="7" t="s">
        <v>2243</v>
      </c>
      <c r="AK145" s="7"/>
      <c r="AL145" s="7" t="s">
        <v>2247</v>
      </c>
      <c r="AM145" s="7" t="s">
        <v>2248</v>
      </c>
      <c r="AN145" s="20">
        <v>43420.0</v>
      </c>
      <c r="AO145" s="7">
        <v>97480.0</v>
      </c>
      <c r="AP145" s="7" t="s">
        <v>385</v>
      </c>
      <c r="AQ145" s="7"/>
      <c r="AR145" s="7"/>
      <c r="AS145" s="7"/>
      <c r="AT145" s="7"/>
      <c r="AU145" s="7">
        <v>0.0</v>
      </c>
      <c r="AV145" s="7" t="s">
        <v>2249</v>
      </c>
      <c r="AW145" s="7"/>
      <c r="AX145" s="7"/>
      <c r="AY145" s="7"/>
      <c r="AZ145" s="7"/>
      <c r="BA145" s="7"/>
      <c r="BB145" s="7"/>
      <c r="BC145" s="7" t="s">
        <v>401</v>
      </c>
      <c r="BD145" s="7"/>
      <c r="BE145" s="7" t="s">
        <v>305</v>
      </c>
      <c r="BF145" s="7"/>
      <c r="BG145" s="7"/>
      <c r="BH145" s="7"/>
      <c r="BI145" s="7" t="s">
        <v>2250</v>
      </c>
      <c r="BJ145" s="7"/>
      <c r="BK145" s="7" t="b">
        <v>0</v>
      </c>
      <c r="BL145" s="7" t="b">
        <v>0</v>
      </c>
      <c r="BM145" s="7"/>
      <c r="BN145" s="7" t="str">
        <f>IFERROR(__xludf.DUMMYFUNCTION(" IF( REGEXMATCH(C145 , ""[(].+[)]""),REGEXREPLACE( CONCATENATE(REGEXEXTRACT(C145 , ""[(].+[)]""),IF(REGEXMATCH(C145 , ""[(][Ll]['’][)]""),"""","" ""), REGEXEXTRACT(C145 ,""^(?:(?:[A-Za-zàäéèêîïöôûü0-9 ](?:[A-Za-zàäéèêîïöôûü'0-9 ]+)))"")) , ""[()]"", """")"&amp;",C145 )"),"La Caz à ")</f>
        <v>La Caz à </v>
      </c>
      <c r="BO145" s="25"/>
      <c r="BP145" s="7"/>
      <c r="BQ145" s="7"/>
      <c r="BR145" s="7"/>
      <c r="BS145" s="7"/>
      <c r="BT145" s="7"/>
      <c r="BU145" s="7"/>
      <c r="BV145" s="7"/>
      <c r="BW145" s="7"/>
      <c r="BX145" s="7"/>
      <c r="BY145" s="7"/>
      <c r="BZ145" s="7"/>
      <c r="CA145" s="7"/>
      <c r="CB145" s="7"/>
    </row>
    <row r="146" ht="21.75" customHeight="1">
      <c r="A146" s="7">
        <v>1684.0</v>
      </c>
      <c r="B146" s="7">
        <v>145.0</v>
      </c>
      <c r="C146" s="7" t="s">
        <v>2251</v>
      </c>
      <c r="D146" s="7"/>
      <c r="E146" s="7"/>
      <c r="F146" s="7" t="s">
        <v>404</v>
      </c>
      <c r="G146" s="7" t="s">
        <v>343</v>
      </c>
      <c r="H146" s="7" t="s">
        <v>344</v>
      </c>
      <c r="I146" s="7" t="s">
        <v>2252</v>
      </c>
      <c r="J146" s="7"/>
      <c r="K146" s="7" t="s">
        <v>58</v>
      </c>
      <c r="L146" s="7" t="s">
        <v>59</v>
      </c>
      <c r="M146" s="7" t="s">
        <v>346</v>
      </c>
      <c r="N146" s="7" t="s">
        <v>455</v>
      </c>
      <c r="O146" s="7">
        <v>97430.0</v>
      </c>
      <c r="P146" s="7" t="s">
        <v>344</v>
      </c>
      <c r="Q146" s="7"/>
      <c r="R146" s="7" t="s">
        <v>2253</v>
      </c>
      <c r="S146" s="7" t="s">
        <v>1222</v>
      </c>
      <c r="T146" s="7" t="s">
        <v>439</v>
      </c>
      <c r="U146" s="7" t="s">
        <v>378</v>
      </c>
      <c r="V146" s="7">
        <v>2.62599242E8</v>
      </c>
      <c r="W146" s="7">
        <v>6.92256969E8</v>
      </c>
      <c r="X146" s="7"/>
      <c r="Y146" s="7"/>
      <c r="Z146" s="7" t="s">
        <v>2254</v>
      </c>
      <c r="AA146" s="7">
        <v>8.0</v>
      </c>
      <c r="AB146" s="7" t="s">
        <v>2255</v>
      </c>
      <c r="AC146" s="7"/>
      <c r="AD146" s="7" t="s">
        <v>2256</v>
      </c>
      <c r="AE146" s="7"/>
      <c r="AF146" s="7"/>
      <c r="AG146" s="7" t="s">
        <v>751</v>
      </c>
      <c r="AH146" s="20">
        <v>43739.0</v>
      </c>
      <c r="AI146" s="7"/>
      <c r="AJ146" s="7" t="s">
        <v>2257</v>
      </c>
      <c r="AK146" s="7"/>
      <c r="AL146" s="7" t="s">
        <v>2258</v>
      </c>
      <c r="AM146" s="7" t="s">
        <v>2259</v>
      </c>
      <c r="AN146" s="20">
        <v>43739.0</v>
      </c>
      <c r="AO146" s="7">
        <v>97430.0</v>
      </c>
      <c r="AP146" s="7" t="s">
        <v>494</v>
      </c>
      <c r="AQ146" s="7"/>
      <c r="AR146" s="7"/>
      <c r="AS146" s="7"/>
      <c r="AT146" s="7"/>
      <c r="AU146" s="7">
        <v>1.0</v>
      </c>
      <c r="AV146" s="7" t="s">
        <v>2260</v>
      </c>
      <c r="AW146" s="7"/>
      <c r="AX146" s="7"/>
      <c r="AY146" s="7"/>
      <c r="AZ146" s="7"/>
      <c r="BA146" s="7"/>
      <c r="BB146" s="7"/>
      <c r="BC146" s="7" t="s">
        <v>366</v>
      </c>
      <c r="BD146" s="21">
        <v>44102.21666666667</v>
      </c>
      <c r="BE146" s="7"/>
      <c r="BF146" s="7"/>
      <c r="BG146" s="22">
        <v>44102.0</v>
      </c>
      <c r="BH146" s="7"/>
      <c r="BI146" s="7" t="s">
        <v>2261</v>
      </c>
      <c r="BJ146" s="7"/>
      <c r="BK146" s="7" t="b">
        <v>0</v>
      </c>
      <c r="BL146" s="7" t="b">
        <v>0</v>
      </c>
      <c r="BM146" s="7"/>
      <c r="BN146" s="7" t="str">
        <f>IFERROR(__xludf.DUMMYFUNCTION(" IF( REGEXMATCH(C146 , ""[(].+[)]""),REGEXREPLACE( CONCATENATE(REGEXEXTRACT(C146 , ""[(].+[)]""),IF(REGEXMATCH(C146 , ""[(][Ll]['’][)]""),"""","" ""), REGEXEXTRACT(C146 ,""^(?:(?:[A-Za-zàäéèêîïöôûü0-9 ](?:[A-Za-zàäéèêîïöôûü'0-9 ]+)))"")) , ""[()]"", """")"&amp;",C146 )"),"Cazalys")</f>
        <v>Cazalys</v>
      </c>
      <c r="BO146" s="23"/>
      <c r="BP146" s="7"/>
      <c r="BQ146" s="7"/>
      <c r="BR146" s="7"/>
      <c r="BS146" s="7"/>
      <c r="BT146" s="7"/>
      <c r="BU146" s="7"/>
      <c r="BV146" s="7"/>
      <c r="BW146" s="7"/>
      <c r="BX146" s="7"/>
      <c r="BY146" s="7"/>
      <c r="BZ146" s="7"/>
      <c r="CA146" s="7"/>
      <c r="CB146" s="7"/>
    </row>
    <row r="147" ht="21.75" customHeight="1">
      <c r="A147" s="7">
        <v>4472.0</v>
      </c>
      <c r="B147" s="7">
        <v>146.0</v>
      </c>
      <c r="C147" s="7" t="s">
        <v>2262</v>
      </c>
      <c r="D147" s="7"/>
      <c r="E147" s="7"/>
      <c r="F147" s="7" t="s">
        <v>342</v>
      </c>
      <c r="G147" s="7" t="s">
        <v>343</v>
      </c>
      <c r="H147" s="7" t="s">
        <v>123</v>
      </c>
      <c r="I147" s="7" t="s">
        <v>2263</v>
      </c>
      <c r="J147" s="7"/>
      <c r="K147" s="7" t="s">
        <v>58</v>
      </c>
      <c r="L147" s="7" t="s">
        <v>59</v>
      </c>
      <c r="M147" s="7" t="s">
        <v>346</v>
      </c>
      <c r="N147" s="7" t="s">
        <v>455</v>
      </c>
      <c r="O147" s="7">
        <v>97480.0</v>
      </c>
      <c r="P147" s="7" t="s">
        <v>123</v>
      </c>
      <c r="Q147" s="7" t="s">
        <v>946</v>
      </c>
      <c r="R147" s="7" t="s">
        <v>2264</v>
      </c>
      <c r="S147" s="7" t="s">
        <v>2265</v>
      </c>
      <c r="T147" s="7" t="s">
        <v>1863</v>
      </c>
      <c r="U147" s="7" t="s">
        <v>378</v>
      </c>
      <c r="V147" s="7">
        <v>2.62972427E8</v>
      </c>
      <c r="W147" s="7">
        <v>6.92184664E8</v>
      </c>
      <c r="X147" s="7"/>
      <c r="Y147" s="7"/>
      <c r="Z147" s="7" t="s">
        <v>2266</v>
      </c>
      <c r="AA147" s="7">
        <v>6.0</v>
      </c>
      <c r="AB147" s="7"/>
      <c r="AC147" s="7" t="s">
        <v>2267</v>
      </c>
      <c r="AD147" s="7" t="s">
        <v>2268</v>
      </c>
      <c r="AE147" s="7" t="s">
        <v>2269</v>
      </c>
      <c r="AF147" s="7"/>
      <c r="AG147" s="7"/>
      <c r="AH147" s="20">
        <v>43157.0</v>
      </c>
      <c r="AI147" s="7"/>
      <c r="AJ147" s="7" t="s">
        <v>2270</v>
      </c>
      <c r="AK147" s="7">
        <v>7.9805250200019E13</v>
      </c>
      <c r="AL147" s="7" t="s">
        <v>2271</v>
      </c>
      <c r="AM147" s="7" t="s">
        <v>2272</v>
      </c>
      <c r="AN147" s="20">
        <v>43154.0</v>
      </c>
      <c r="AO147" s="7">
        <v>97490.0</v>
      </c>
      <c r="AP147" s="7" t="s">
        <v>2273</v>
      </c>
      <c r="AQ147" s="7"/>
      <c r="AR147" s="7"/>
      <c r="AS147" s="7"/>
      <c r="AT147" s="7"/>
      <c r="AU147" s="7">
        <v>1.0</v>
      </c>
      <c r="AV147" s="7" t="s">
        <v>2274</v>
      </c>
      <c r="AW147" s="7"/>
      <c r="AX147" s="7"/>
      <c r="AY147" s="7"/>
      <c r="AZ147" s="7" t="s">
        <v>2275</v>
      </c>
      <c r="BA147" s="7"/>
      <c r="BB147" s="7"/>
      <c r="BC147" s="7" t="s">
        <v>366</v>
      </c>
      <c r="BD147" s="21">
        <v>44197.0</v>
      </c>
      <c r="BE147" s="7"/>
      <c r="BF147" s="7"/>
      <c r="BG147" s="22">
        <v>44197.0</v>
      </c>
      <c r="BH147" s="7">
        <v>7.98052502E8</v>
      </c>
      <c r="BI147" s="7" t="s">
        <v>2276</v>
      </c>
      <c r="BJ147" s="7"/>
      <c r="BK147" s="7" t="b">
        <v>0</v>
      </c>
      <c r="BL147" s="7" t="b">
        <v>0</v>
      </c>
      <c r="BM147" s="7"/>
      <c r="BN147" s="7" t="str">
        <f>IFERROR(__xludf.DUMMYFUNCTION(" IF( REGEXMATCH(C147 , ""[(].+[)]""),REGEXREPLACE( CONCATENATE(REGEXEXTRACT(C147 , ""[(].+[)]""),IF(REGEXMATCH(C147 , ""[(][Ll]['’][)]""),"""","" ""), REGEXEXTRACT(C147 ,""^(?:(?:[A-Za-zàäéèêîïöôûü0-9 ](?:[A-Za-zàäéèêîïöôûü'0-9 ]+)))"")) , ""[()]"", """")"&amp;",C147 )"),"Celife")</f>
        <v>Celife</v>
      </c>
      <c r="BO147" s="23"/>
      <c r="BP147" s="7"/>
      <c r="BQ147" s="7"/>
      <c r="BR147" s="7"/>
      <c r="BS147" s="7"/>
      <c r="BT147" s="7"/>
      <c r="BU147" s="7"/>
      <c r="BV147" s="7"/>
      <c r="BW147" s="7"/>
      <c r="BX147" s="7"/>
      <c r="BY147" s="7"/>
      <c r="BZ147" s="7"/>
      <c r="CA147" s="7"/>
      <c r="CB147" s="7"/>
    </row>
    <row r="148" ht="21.75" customHeight="1">
      <c r="A148" s="7">
        <v>2320.0</v>
      </c>
      <c r="B148" s="7">
        <v>147.0</v>
      </c>
      <c r="C148" s="7" t="s">
        <v>2277</v>
      </c>
      <c r="D148" s="7" t="s">
        <v>2278</v>
      </c>
      <c r="E148" s="7"/>
      <c r="F148" s="7" t="s">
        <v>404</v>
      </c>
      <c r="G148" s="7" t="s">
        <v>343</v>
      </c>
      <c r="H148" s="7" t="s">
        <v>40</v>
      </c>
      <c r="I148" s="7" t="s">
        <v>2279</v>
      </c>
      <c r="J148" s="7"/>
      <c r="K148" s="7" t="s">
        <v>58</v>
      </c>
      <c r="L148" s="7" t="s">
        <v>137</v>
      </c>
      <c r="M148" s="7" t="s">
        <v>2280</v>
      </c>
      <c r="N148" s="7" t="s">
        <v>1092</v>
      </c>
      <c r="O148" s="7">
        <v>97414.0</v>
      </c>
      <c r="P148" s="7" t="s">
        <v>40</v>
      </c>
      <c r="Q148" s="7"/>
      <c r="R148" s="7" t="s">
        <v>2281</v>
      </c>
      <c r="S148" s="7"/>
      <c r="T148" s="7" t="s">
        <v>377</v>
      </c>
      <c r="U148" s="7" t="s">
        <v>378</v>
      </c>
      <c r="V148" s="7"/>
      <c r="W148" s="7">
        <v>6.92273324E8</v>
      </c>
      <c r="X148" s="7">
        <v>6.92273322E8</v>
      </c>
      <c r="Y148" s="7"/>
      <c r="Z148" s="7" t="s">
        <v>2282</v>
      </c>
      <c r="AA148" s="7">
        <v>21.0</v>
      </c>
      <c r="AB148" s="7"/>
      <c r="AC148" s="7"/>
      <c r="AD148" s="7" t="s">
        <v>2283</v>
      </c>
      <c r="AE148" s="7"/>
      <c r="AF148" s="7"/>
      <c r="AG148" s="7"/>
      <c r="AH148" s="20">
        <v>43739.0</v>
      </c>
      <c r="AI148" s="7"/>
      <c r="AJ148" s="7" t="s">
        <v>2284</v>
      </c>
      <c r="AK148" s="7"/>
      <c r="AL148" s="7" t="s">
        <v>2285</v>
      </c>
      <c r="AM148" s="7" t="s">
        <v>2286</v>
      </c>
      <c r="AN148" s="20">
        <v>43739.0</v>
      </c>
      <c r="AO148" s="7">
        <v>97414.0</v>
      </c>
      <c r="AP148" s="7" t="s">
        <v>429</v>
      </c>
      <c r="AQ148" s="7"/>
      <c r="AR148" s="7"/>
      <c r="AS148" s="7"/>
      <c r="AT148" s="7"/>
      <c r="AU148" s="7">
        <v>1.0</v>
      </c>
      <c r="AV148" s="7" t="s">
        <v>2287</v>
      </c>
      <c r="AW148" s="7"/>
      <c r="AX148" s="7"/>
      <c r="AY148" s="7"/>
      <c r="AZ148" s="7"/>
      <c r="BA148" s="7"/>
      <c r="BB148" s="7"/>
      <c r="BC148" s="7" t="s">
        <v>366</v>
      </c>
      <c r="BD148" s="21">
        <v>44045.44375</v>
      </c>
      <c r="BE148" s="7"/>
      <c r="BF148" s="7"/>
      <c r="BG148" s="22">
        <v>44045.0</v>
      </c>
      <c r="BH148" s="7"/>
      <c r="BI148" s="7" t="s">
        <v>2288</v>
      </c>
      <c r="BJ148" s="7"/>
      <c r="BK148" s="7" t="b">
        <v>0</v>
      </c>
      <c r="BL148" s="7" t="b">
        <v>0</v>
      </c>
      <c r="BM148" s="7"/>
      <c r="BN148" s="7" t="str">
        <f>IFERROR(__xludf.DUMMYFUNCTION(" IF( REGEXMATCH(C148 , ""[(].+[)]""),REGEXREPLACE( CONCATENATE(REGEXEXTRACT(C148 , ""[(].+[)]""),IF(REGEXMATCH(C148 , ""[(][Ll]['’][)]""),"""","" ""), REGEXEXTRACT(C148 ,""^(?:(?:[A-Za-zàäéèêîïöôûü0-9 ](?:[A-Za-zàäéèêîïöôûü'0-9 ]+)))"")) , ""[()]"", """")"&amp;",C148 )"),"Le Chalet ")</f>
        <v>Le Chalet </v>
      </c>
      <c r="BO148" s="23"/>
      <c r="BP148" s="7"/>
      <c r="BQ148" s="7"/>
      <c r="BR148" s="7"/>
      <c r="BS148" s="7"/>
      <c r="BT148" s="7"/>
      <c r="BU148" s="7"/>
      <c r="BV148" s="7"/>
      <c r="BW148" s="7"/>
      <c r="BX148" s="7"/>
      <c r="BY148" s="7"/>
      <c r="BZ148" s="7"/>
      <c r="CA148" s="7"/>
      <c r="CB148" s="7"/>
    </row>
    <row r="149" ht="21.75" customHeight="1">
      <c r="A149" s="7">
        <v>3245.0</v>
      </c>
      <c r="B149" s="7">
        <v>148.0</v>
      </c>
      <c r="C149" s="7" t="s">
        <v>2289</v>
      </c>
      <c r="D149" s="7" t="s">
        <v>2289</v>
      </c>
      <c r="E149" s="7"/>
      <c r="F149" s="7" t="s">
        <v>404</v>
      </c>
      <c r="G149" s="7" t="s">
        <v>343</v>
      </c>
      <c r="H149" s="7" t="s">
        <v>344</v>
      </c>
      <c r="I149" s="7" t="s">
        <v>2290</v>
      </c>
      <c r="J149" s="7"/>
      <c r="K149" s="7" t="s">
        <v>58</v>
      </c>
      <c r="L149" s="7" t="s">
        <v>59</v>
      </c>
      <c r="M149" s="7" t="s">
        <v>545</v>
      </c>
      <c r="N149" s="7" t="s">
        <v>407</v>
      </c>
      <c r="O149" s="7">
        <v>97418.0</v>
      </c>
      <c r="P149" s="7" t="s">
        <v>348</v>
      </c>
      <c r="Q149" s="7" t="s">
        <v>349</v>
      </c>
      <c r="R149" s="7" t="s">
        <v>2291</v>
      </c>
      <c r="S149" s="7" t="s">
        <v>1725</v>
      </c>
      <c r="T149" s="7" t="s">
        <v>499</v>
      </c>
      <c r="U149" s="7" t="s">
        <v>378</v>
      </c>
      <c r="V149" s="7"/>
      <c r="W149" s="7">
        <v>6.92457992E8</v>
      </c>
      <c r="X149" s="7"/>
      <c r="Y149" s="7"/>
      <c r="Z149" s="7" t="s">
        <v>2292</v>
      </c>
      <c r="AA149" s="7">
        <v>6.0</v>
      </c>
      <c r="AB149" s="7"/>
      <c r="AC149" s="7" t="s">
        <v>2293</v>
      </c>
      <c r="AD149" s="7" t="s">
        <v>2294</v>
      </c>
      <c r="AE149" s="7" t="s">
        <v>2295</v>
      </c>
      <c r="AF149" s="7"/>
      <c r="AG149" s="7"/>
      <c r="AH149" s="20">
        <v>41159.0</v>
      </c>
      <c r="AI149" s="7"/>
      <c r="AJ149" s="7" t="s">
        <v>2296</v>
      </c>
      <c r="AK149" s="7"/>
      <c r="AL149" s="7" t="s">
        <v>2297</v>
      </c>
      <c r="AM149" s="7" t="s">
        <v>2298</v>
      </c>
      <c r="AN149" s="20">
        <v>41159.0</v>
      </c>
      <c r="AO149" s="7">
        <v>97414.0</v>
      </c>
      <c r="AP149" s="7" t="s">
        <v>429</v>
      </c>
      <c r="AQ149" s="7"/>
      <c r="AR149" s="7"/>
      <c r="AS149" s="7"/>
      <c r="AT149" s="7"/>
      <c r="AU149" s="7">
        <v>1.0</v>
      </c>
      <c r="AV149" s="7" t="s">
        <v>2299</v>
      </c>
      <c r="AW149" s="7"/>
      <c r="AX149" s="7"/>
      <c r="AY149" s="7"/>
      <c r="AZ149" s="7"/>
      <c r="BA149" s="7"/>
      <c r="BB149" s="7"/>
      <c r="BC149" s="7" t="s">
        <v>366</v>
      </c>
      <c r="BD149" s="21">
        <v>44104.46041666667</v>
      </c>
      <c r="BE149" s="7"/>
      <c r="BF149" s="7"/>
      <c r="BG149" s="22">
        <v>44104.0</v>
      </c>
      <c r="BH149" s="7"/>
      <c r="BI149" s="7" t="s">
        <v>2300</v>
      </c>
      <c r="BJ149" s="7"/>
      <c r="BK149" s="7" t="b">
        <v>0</v>
      </c>
      <c r="BL149" s="7" t="b">
        <v>0</v>
      </c>
      <c r="BM149" s="7"/>
      <c r="BN149" s="7" t="str">
        <f>IFERROR(__xludf.DUMMYFUNCTION(" IF( REGEXMATCH(C149 , ""[(].+[)]""),REGEXREPLACE( CONCATENATE(REGEXEXTRACT(C149 , ""[(].+[)]""),IF(REGEXMATCH(C149 , ""[(][Ll]['’][)]""),"""","" ""), REGEXEXTRACT(C149 ,""^(?:(?:[A-Za-zàäéèêîïöôûü0-9 ](?:[A-Za-zàäéèêîïöôûü'0-9 ]+)))"")) , ""[()]"", """")"&amp;",C149 )"),"Chalet Aïna")</f>
        <v>Chalet Aïna</v>
      </c>
      <c r="BO149" s="23"/>
      <c r="BP149" s="7"/>
      <c r="BQ149" s="7"/>
      <c r="BR149" s="7"/>
      <c r="BS149" s="7"/>
      <c r="BT149" s="7"/>
      <c r="BU149" s="7"/>
      <c r="BV149" s="7"/>
      <c r="BW149" s="7"/>
      <c r="BX149" s="7"/>
      <c r="BY149" s="7"/>
      <c r="BZ149" s="7"/>
      <c r="CA149" s="7"/>
      <c r="CB149" s="7"/>
    </row>
    <row r="150" ht="21.75" customHeight="1">
      <c r="A150" s="7">
        <v>5107.0</v>
      </c>
      <c r="B150" s="7" t="s">
        <v>2301</v>
      </c>
      <c r="C150" s="7" t="s">
        <v>2302</v>
      </c>
      <c r="D150" s="7" t="s">
        <v>2303</v>
      </c>
      <c r="E150" s="7"/>
      <c r="F150" s="7" t="s">
        <v>342</v>
      </c>
      <c r="G150" s="7" t="s">
        <v>343</v>
      </c>
      <c r="H150" s="7" t="s">
        <v>344</v>
      </c>
      <c r="I150" s="7" t="s">
        <v>2304</v>
      </c>
      <c r="J150" s="7"/>
      <c r="K150" s="7" t="s">
        <v>58</v>
      </c>
      <c r="L150" s="7" t="s">
        <v>59</v>
      </c>
      <c r="M150" s="7" t="s">
        <v>545</v>
      </c>
      <c r="N150" s="7"/>
      <c r="O150" s="7">
        <v>97418.0</v>
      </c>
      <c r="P150" s="7" t="s">
        <v>348</v>
      </c>
      <c r="Q150" s="7"/>
      <c r="R150" s="7" t="s">
        <v>2305</v>
      </c>
      <c r="S150" s="7" t="s">
        <v>2306</v>
      </c>
      <c r="T150" s="7" t="s">
        <v>1076</v>
      </c>
      <c r="U150" s="7" t="s">
        <v>424</v>
      </c>
      <c r="V150" s="7">
        <v>2.62610854E8</v>
      </c>
      <c r="W150" s="7">
        <v>6.92660769E8</v>
      </c>
      <c r="X150" s="7"/>
      <c r="Y150" s="7"/>
      <c r="Z150" s="7" t="s">
        <v>2307</v>
      </c>
      <c r="AA150" s="7">
        <v>8.0</v>
      </c>
      <c r="AB150" s="7"/>
      <c r="AC150" s="7" t="s">
        <v>2308</v>
      </c>
      <c r="AD150" s="7" t="s">
        <v>2309</v>
      </c>
      <c r="AE150" s="7" t="s">
        <v>2310</v>
      </c>
      <c r="AF150" s="7"/>
      <c r="AG150" s="7"/>
      <c r="AH150" s="20">
        <v>43811.0</v>
      </c>
      <c r="AI150" s="7"/>
      <c r="AJ150" s="7" t="s">
        <v>2311</v>
      </c>
      <c r="AK150" s="7">
        <v>8.2431790300014E13</v>
      </c>
      <c r="AL150" s="7" t="s">
        <v>2312</v>
      </c>
      <c r="AM150" s="7" t="s">
        <v>2313</v>
      </c>
      <c r="AN150" s="20">
        <v>43811.0</v>
      </c>
      <c r="AO150" s="7">
        <v>97438.0</v>
      </c>
      <c r="AP150" s="7" t="s">
        <v>2314</v>
      </c>
      <c r="AQ150" s="7"/>
      <c r="AR150" s="7"/>
      <c r="AS150" s="7"/>
      <c r="AT150" s="7"/>
      <c r="AU150" s="7">
        <v>1.0</v>
      </c>
      <c r="AV150" s="7" t="s">
        <v>2315</v>
      </c>
      <c r="AW150" s="7"/>
      <c r="AX150" s="7" t="s">
        <v>2206</v>
      </c>
      <c r="AY150" s="7" t="s">
        <v>2046</v>
      </c>
      <c r="AZ150" s="7" t="s">
        <v>2316</v>
      </c>
      <c r="BA150" s="7"/>
      <c r="BB150" s="7"/>
      <c r="BC150" s="7" t="s">
        <v>401</v>
      </c>
      <c r="BD150" s="21">
        <v>44105.20138888889</v>
      </c>
      <c r="BE150" s="7" t="s">
        <v>2317</v>
      </c>
      <c r="BF150" s="7"/>
      <c r="BG150" s="7"/>
      <c r="BH150" s="7">
        <v>8.24317903E8</v>
      </c>
      <c r="BI150" s="7" t="s">
        <v>585</v>
      </c>
      <c r="BJ150" s="7"/>
      <c r="BK150" s="7" t="b">
        <v>0</v>
      </c>
      <c r="BL150" s="7" t="b">
        <v>0</v>
      </c>
      <c r="BM150" s="7"/>
      <c r="BN150" s="7" t="str">
        <f>IFERROR(__xludf.DUMMYFUNCTION(" IF( REGEXMATCH(C150 , ""[(].+[)]""),REGEXREPLACE( CONCATENATE(REGEXEXTRACT(C150 , ""[(].+[)]""),IF(REGEXMATCH(C150 , ""[(][Ll]['’][)]""),"""","" ""), REGEXEXTRACT(C150 ,""^(?:(?:[A-Za-zàäéèêîïöôûü0-9 ](?:[A-Za-zàäéèêîïöôûü'0-9 ]+)))"")) , ""[()]"", """")"&amp;",C150 )"),"Chalet Bourg-Murat")</f>
        <v>Chalet Bourg-Murat</v>
      </c>
      <c r="BO150" s="25"/>
      <c r="BP150" s="7"/>
      <c r="BQ150" s="7"/>
      <c r="BR150" s="7"/>
      <c r="BS150" s="7"/>
      <c r="BT150" s="7"/>
      <c r="BU150" s="7"/>
      <c r="BV150" s="7"/>
      <c r="BW150" s="7"/>
      <c r="BX150" s="7"/>
      <c r="BY150" s="7"/>
      <c r="BZ150" s="7"/>
      <c r="CA150" s="7"/>
      <c r="CB150" s="7"/>
    </row>
    <row r="151" ht="21.75" customHeight="1">
      <c r="A151" s="7">
        <v>3869.0</v>
      </c>
      <c r="B151" s="7">
        <v>150.0</v>
      </c>
      <c r="C151" s="7" t="s">
        <v>2318</v>
      </c>
      <c r="D151" s="7"/>
      <c r="E151" s="7"/>
      <c r="F151" s="7" t="s">
        <v>404</v>
      </c>
      <c r="G151" s="7" t="s">
        <v>343</v>
      </c>
      <c r="H151" s="7" t="s">
        <v>344</v>
      </c>
      <c r="I151" s="7" t="s">
        <v>2319</v>
      </c>
      <c r="J151" s="26" t="s">
        <v>2320</v>
      </c>
      <c r="K151" s="7" t="s">
        <v>58</v>
      </c>
      <c r="L151" s="7" t="s">
        <v>59</v>
      </c>
      <c r="M151" s="7" t="s">
        <v>545</v>
      </c>
      <c r="N151" s="7" t="s">
        <v>1092</v>
      </c>
      <c r="O151" s="7">
        <v>97418.0</v>
      </c>
      <c r="P151" s="7" t="s">
        <v>348</v>
      </c>
      <c r="Q151" s="7" t="s">
        <v>349</v>
      </c>
      <c r="R151" s="7" t="s">
        <v>2321</v>
      </c>
      <c r="S151" s="7" t="s">
        <v>1725</v>
      </c>
      <c r="T151" s="7" t="s">
        <v>377</v>
      </c>
      <c r="U151" s="7"/>
      <c r="V151" s="7"/>
      <c r="W151" s="7">
        <v>6.92204535E8</v>
      </c>
      <c r="X151" s="7"/>
      <c r="Y151" s="7"/>
      <c r="Z151" s="7"/>
      <c r="AA151" s="7">
        <v>8.0</v>
      </c>
      <c r="AB151" s="7"/>
      <c r="AC151" s="7" t="s">
        <v>2322</v>
      </c>
      <c r="AD151" s="7" t="s">
        <v>2323</v>
      </c>
      <c r="AE151" s="7"/>
      <c r="AF151" s="7"/>
      <c r="AG151" s="7"/>
      <c r="AH151" s="20">
        <v>42164.0</v>
      </c>
      <c r="AI151" s="7"/>
      <c r="AJ151" s="7" t="s">
        <v>2324</v>
      </c>
      <c r="AK151" s="7"/>
      <c r="AL151" s="7" t="s">
        <v>2325</v>
      </c>
      <c r="AM151" s="7" t="s">
        <v>2326</v>
      </c>
      <c r="AN151" s="20">
        <v>42164.0</v>
      </c>
      <c r="AO151" s="7">
        <v>97418.0</v>
      </c>
      <c r="AP151" s="7" t="s">
        <v>362</v>
      </c>
      <c r="AQ151" s="7"/>
      <c r="AR151" s="7"/>
      <c r="AS151" s="7"/>
      <c r="AT151" s="7"/>
      <c r="AU151" s="7">
        <v>1.0</v>
      </c>
      <c r="AV151" s="7" t="s">
        <v>2327</v>
      </c>
      <c r="AW151" s="7"/>
      <c r="AX151" s="7"/>
      <c r="AY151" s="7"/>
      <c r="AZ151" s="7"/>
      <c r="BA151" s="7"/>
      <c r="BB151" s="7"/>
      <c r="BC151" s="7" t="s">
        <v>366</v>
      </c>
      <c r="BD151" s="21">
        <v>44110.53958333333</v>
      </c>
      <c r="BE151" s="7"/>
      <c r="BF151" s="7"/>
      <c r="BG151" s="22">
        <v>44110.0</v>
      </c>
      <c r="BH151" s="7"/>
      <c r="BI151" s="7" t="s">
        <v>2328</v>
      </c>
      <c r="BJ151" s="7"/>
      <c r="BK151" s="7" t="b">
        <v>0</v>
      </c>
      <c r="BL151" s="7" t="b">
        <v>0</v>
      </c>
      <c r="BM151" s="7"/>
      <c r="BN151" s="7" t="str">
        <f>IFERROR(__xludf.DUMMYFUNCTION(" IF( REGEXMATCH(C151 , ""[(].+[)]""),REGEXREPLACE( CONCATENATE(REGEXEXTRACT(C151 , ""[(].+[)]""),IF(REGEXMATCH(C151 , ""[(][Ll]['’][)]""),"""","" ""), REGEXEXTRACT(C151 ,""^(?:(?:[A-Za-zàäéèêîïöôûü0-9 ](?:[A-Za-zàäéèêîïöôûü'0-9 ]+)))"")) , ""[()]"", """")"&amp;",C151 )"),"Chalet du Piton")</f>
        <v>Chalet du Piton</v>
      </c>
      <c r="BO151" s="23"/>
      <c r="BP151" s="7"/>
      <c r="BQ151" s="7"/>
      <c r="BR151" s="7"/>
      <c r="BS151" s="7"/>
      <c r="BT151" s="7"/>
      <c r="BU151" s="7"/>
      <c r="BV151" s="7"/>
      <c r="BW151" s="7"/>
      <c r="BX151" s="7"/>
      <c r="BY151" s="7"/>
      <c r="BZ151" s="7"/>
      <c r="CA151" s="7"/>
      <c r="CB151" s="7"/>
    </row>
    <row r="152" ht="21.75" customHeight="1">
      <c r="A152" s="7">
        <v>254.0</v>
      </c>
      <c r="B152" s="7" t="s">
        <v>2329</v>
      </c>
      <c r="C152" s="7" t="s">
        <v>2330</v>
      </c>
      <c r="D152" s="7" t="s">
        <v>2330</v>
      </c>
      <c r="E152" s="7"/>
      <c r="F152" s="7" t="s">
        <v>404</v>
      </c>
      <c r="G152" s="7" t="s">
        <v>343</v>
      </c>
      <c r="H152" s="7" t="s">
        <v>344</v>
      </c>
      <c r="I152" s="7" t="s">
        <v>2331</v>
      </c>
      <c r="J152" s="7"/>
      <c r="K152" s="7" t="s">
        <v>58</v>
      </c>
      <c r="L152" s="7" t="s">
        <v>59</v>
      </c>
      <c r="M152" s="7" t="s">
        <v>545</v>
      </c>
      <c r="N152" s="7" t="s">
        <v>407</v>
      </c>
      <c r="O152" s="7">
        <v>97418.0</v>
      </c>
      <c r="P152" s="7" t="s">
        <v>348</v>
      </c>
      <c r="Q152" s="7" t="s">
        <v>349</v>
      </c>
      <c r="R152" s="7" t="s">
        <v>2332</v>
      </c>
      <c r="S152" s="7" t="s">
        <v>506</v>
      </c>
      <c r="T152" s="7" t="s">
        <v>499</v>
      </c>
      <c r="U152" s="7" t="s">
        <v>353</v>
      </c>
      <c r="V152" s="7">
        <v>2.62592762E8</v>
      </c>
      <c r="W152" s="7">
        <v>6.92660338E8</v>
      </c>
      <c r="X152" s="7"/>
      <c r="Y152" s="7">
        <v>2.62592762E8</v>
      </c>
      <c r="Z152" s="7" t="s">
        <v>2333</v>
      </c>
      <c r="AA152" s="7">
        <v>10.0</v>
      </c>
      <c r="AB152" s="7"/>
      <c r="AC152" s="7"/>
      <c r="AD152" s="7" t="s">
        <v>2334</v>
      </c>
      <c r="AE152" s="7"/>
      <c r="AF152" s="7"/>
      <c r="AG152" s="7"/>
      <c r="AH152" s="20">
        <v>39575.0</v>
      </c>
      <c r="AI152" s="7"/>
      <c r="AJ152" s="7" t="s">
        <v>2335</v>
      </c>
      <c r="AK152" s="7">
        <v>4.345450910001E13</v>
      </c>
      <c r="AL152" s="7" t="s">
        <v>2336</v>
      </c>
      <c r="AM152" s="7" t="s">
        <v>2337</v>
      </c>
      <c r="AN152" s="20">
        <v>39575.0</v>
      </c>
      <c r="AO152" s="7">
        <v>97418.0</v>
      </c>
      <c r="AP152" s="7" t="s">
        <v>362</v>
      </c>
      <c r="AQ152" s="7"/>
      <c r="AR152" s="7"/>
      <c r="AS152" s="7"/>
      <c r="AT152" s="7"/>
      <c r="AU152" s="7">
        <v>0.0</v>
      </c>
      <c r="AV152" s="7" t="s">
        <v>2338</v>
      </c>
      <c r="AW152" s="7"/>
      <c r="AX152" s="7"/>
      <c r="AY152" s="7"/>
      <c r="AZ152" s="7"/>
      <c r="BA152" s="7"/>
      <c r="BB152" s="7"/>
      <c r="BC152" s="7" t="s">
        <v>401</v>
      </c>
      <c r="BD152" s="21">
        <v>44105.191666666666</v>
      </c>
      <c r="BE152" s="7" t="s">
        <v>2339</v>
      </c>
      <c r="BF152" s="7"/>
      <c r="BG152" s="7"/>
      <c r="BH152" s="7">
        <v>2.14748364E8</v>
      </c>
      <c r="BI152" s="7" t="s">
        <v>2340</v>
      </c>
      <c r="BJ152" s="7"/>
      <c r="BK152" s="7" t="b">
        <v>0</v>
      </c>
      <c r="BL152" s="7" t="b">
        <v>0</v>
      </c>
      <c r="BM152" s="7"/>
      <c r="BN152" s="7" t="str">
        <f>IFERROR(__xludf.DUMMYFUNCTION(" IF( REGEXMATCH(C152 , ""[(].+[)]""),REGEXREPLACE( CONCATENATE(REGEXEXTRACT(C152 , ""[(].+[)]""),IF(REGEXMATCH(C152 , ""[(][Ll]['’][)]""),"""","" ""), REGEXEXTRACT(C152 ,""^(?:(?:[A-Za-zàäéèêîïöôûü0-9 ](?:[A-Za-zàäéèêîïöôûü'0-9 ]+)))"")) , ""[()]"", """")"&amp;",C152 )"),"Chalets Annie et Eric")</f>
        <v>Chalets Annie et Eric</v>
      </c>
      <c r="BO152" s="25"/>
      <c r="BP152" s="7"/>
      <c r="BQ152" s="7"/>
      <c r="BR152" s="7"/>
      <c r="BS152" s="7"/>
      <c r="BT152" s="7"/>
      <c r="BU152" s="7"/>
      <c r="BV152" s="7"/>
      <c r="BW152" s="7"/>
      <c r="BX152" s="7"/>
      <c r="BY152" s="7"/>
      <c r="BZ152" s="7"/>
      <c r="CA152" s="7"/>
      <c r="CB152" s="7"/>
    </row>
    <row r="153" ht="21.75" customHeight="1">
      <c r="A153" s="7">
        <v>4151.0</v>
      </c>
      <c r="B153" s="7">
        <v>152.0</v>
      </c>
      <c r="C153" s="7" t="s">
        <v>2341</v>
      </c>
      <c r="D153" s="7"/>
      <c r="E153" s="7"/>
      <c r="F153" s="7" t="s">
        <v>342</v>
      </c>
      <c r="G153" s="7" t="s">
        <v>343</v>
      </c>
      <c r="H153" s="7" t="s">
        <v>344</v>
      </c>
      <c r="I153" s="7" t="s">
        <v>2342</v>
      </c>
      <c r="J153" s="7"/>
      <c r="K153" s="7" t="s">
        <v>58</v>
      </c>
      <c r="L153" s="7" t="s">
        <v>59</v>
      </c>
      <c r="M153" s="7" t="s">
        <v>2343</v>
      </c>
      <c r="N153" s="7" t="s">
        <v>422</v>
      </c>
      <c r="O153" s="7">
        <v>97418.0</v>
      </c>
      <c r="P153" s="7" t="s">
        <v>348</v>
      </c>
      <c r="Q153" s="7" t="s">
        <v>349</v>
      </c>
      <c r="R153" s="7"/>
      <c r="S153" s="7" t="s">
        <v>2344</v>
      </c>
      <c r="T153" s="7" t="s">
        <v>377</v>
      </c>
      <c r="U153" s="7" t="s">
        <v>378</v>
      </c>
      <c r="V153" s="7">
        <v>2.62445391E8</v>
      </c>
      <c r="W153" s="7">
        <v>6.92760372E8</v>
      </c>
      <c r="X153" s="7"/>
      <c r="Y153" s="7"/>
      <c r="Z153" s="7" t="s">
        <v>2345</v>
      </c>
      <c r="AA153" s="7">
        <v>11.0</v>
      </c>
      <c r="AB153" s="7"/>
      <c r="AC153" s="7" t="s">
        <v>2346</v>
      </c>
      <c r="AD153" s="7" t="s">
        <v>2347</v>
      </c>
      <c r="AE153" s="7"/>
      <c r="AF153" s="7"/>
      <c r="AG153" s="7"/>
      <c r="AH153" s="20">
        <v>42528.0</v>
      </c>
      <c r="AI153" s="7"/>
      <c r="AJ153" s="7" t="s">
        <v>2348</v>
      </c>
      <c r="AK153" s="7">
        <v>5.3192935400011E13</v>
      </c>
      <c r="AL153" s="7" t="s">
        <v>2349</v>
      </c>
      <c r="AM153" s="7" t="s">
        <v>2350</v>
      </c>
      <c r="AN153" s="20">
        <v>42165.0</v>
      </c>
      <c r="AO153" s="7">
        <v>97418.0</v>
      </c>
      <c r="AP153" s="7" t="s">
        <v>362</v>
      </c>
      <c r="AQ153" s="7"/>
      <c r="AR153" s="7"/>
      <c r="AS153" s="7"/>
      <c r="AT153" s="7"/>
      <c r="AU153" s="7">
        <v>4.0</v>
      </c>
      <c r="AV153" s="7" t="s">
        <v>2351</v>
      </c>
      <c r="AW153" s="7"/>
      <c r="AX153" s="7"/>
      <c r="AY153" s="7"/>
      <c r="AZ153" s="7" t="s">
        <v>2352</v>
      </c>
      <c r="BA153" s="7"/>
      <c r="BB153" s="7"/>
      <c r="BC153" s="7" t="s">
        <v>366</v>
      </c>
      <c r="BD153" s="21">
        <v>44109.50486111111</v>
      </c>
      <c r="BE153" s="7"/>
      <c r="BF153" s="7"/>
      <c r="BG153" s="22">
        <v>44109.0</v>
      </c>
      <c r="BH153" s="7">
        <v>5.31929354E8</v>
      </c>
      <c r="BI153" s="7" t="s">
        <v>2353</v>
      </c>
      <c r="BJ153" s="7"/>
      <c r="BK153" s="7" t="b">
        <v>0</v>
      </c>
      <c r="BL153" s="7" t="b">
        <v>0</v>
      </c>
      <c r="BM153" s="7"/>
      <c r="BN153" s="7" t="str">
        <f>IFERROR(__xludf.DUMMYFUNCTION(" IF( REGEXMATCH(C153 , ""[(].+[)]""),REGEXREPLACE( CONCATENATE(REGEXEXTRACT(C153 , ""[(].+[)]""),IF(REGEXMATCH(C153 , ""[(][Ll]['’][)]""),"""","" ""), REGEXEXTRACT(C153 ,""^(?:(?:[A-Za-zàäéèêîïöôûü0-9 ](?:[A-Za-zàäéèêîïöôûü'0-9 ]+)))"")) , ""[()]"", """")"&amp;",C153 )"),"Les Chalets Aurore ")</f>
        <v>Les Chalets Aurore </v>
      </c>
      <c r="BO153" s="23"/>
      <c r="BP153" s="7"/>
      <c r="BQ153" s="7"/>
      <c r="BR153" s="7"/>
      <c r="BS153" s="7"/>
      <c r="BT153" s="7"/>
      <c r="BU153" s="7"/>
      <c r="BV153" s="7"/>
      <c r="BW153" s="7"/>
      <c r="BX153" s="7"/>
      <c r="BY153" s="7"/>
      <c r="BZ153" s="7"/>
      <c r="CA153" s="7"/>
      <c r="CB153" s="7"/>
    </row>
    <row r="154" ht="21.75" customHeight="1">
      <c r="A154" s="7">
        <v>3875.0</v>
      </c>
      <c r="B154" s="7" t="s">
        <v>2354</v>
      </c>
      <c r="C154" s="7" t="s">
        <v>2341</v>
      </c>
      <c r="D154" s="7"/>
      <c r="E154" s="7"/>
      <c r="F154" s="7" t="s">
        <v>342</v>
      </c>
      <c r="G154" s="7" t="s">
        <v>343</v>
      </c>
      <c r="H154" s="7" t="s">
        <v>344</v>
      </c>
      <c r="I154" s="7" t="s">
        <v>2342</v>
      </c>
      <c r="J154" s="7"/>
      <c r="K154" s="7" t="s">
        <v>58</v>
      </c>
      <c r="L154" s="7" t="s">
        <v>59</v>
      </c>
      <c r="M154" s="7" t="s">
        <v>545</v>
      </c>
      <c r="N154" s="7" t="s">
        <v>1092</v>
      </c>
      <c r="O154" s="7">
        <v>97418.0</v>
      </c>
      <c r="P154" s="7" t="s">
        <v>348</v>
      </c>
      <c r="Q154" s="7" t="s">
        <v>349</v>
      </c>
      <c r="R154" s="7" t="s">
        <v>2355</v>
      </c>
      <c r="S154" s="7" t="s">
        <v>2344</v>
      </c>
      <c r="T154" s="7" t="s">
        <v>377</v>
      </c>
      <c r="U154" s="7" t="s">
        <v>353</v>
      </c>
      <c r="V154" s="7">
        <v>2.62445391E8</v>
      </c>
      <c r="W154" s="7">
        <v>6.92760372E8</v>
      </c>
      <c r="X154" s="7"/>
      <c r="Y154" s="7"/>
      <c r="Z154" s="7" t="s">
        <v>2345</v>
      </c>
      <c r="AA154" s="7">
        <v>4.0</v>
      </c>
      <c r="AB154" s="7"/>
      <c r="AC154" s="7" t="s">
        <v>2356</v>
      </c>
      <c r="AD154" s="7" t="s">
        <v>2357</v>
      </c>
      <c r="AE154" s="7"/>
      <c r="AF154" s="7"/>
      <c r="AG154" s="7"/>
      <c r="AH154" s="20">
        <v>42165.0</v>
      </c>
      <c r="AI154" s="7"/>
      <c r="AJ154" s="7" t="s">
        <v>2348</v>
      </c>
      <c r="AK154" s="7">
        <v>5.3192935400011E13</v>
      </c>
      <c r="AL154" s="7" t="s">
        <v>2349</v>
      </c>
      <c r="AM154" s="7" t="s">
        <v>2350</v>
      </c>
      <c r="AN154" s="20">
        <v>42165.0</v>
      </c>
      <c r="AO154" s="7">
        <v>97418.0</v>
      </c>
      <c r="AP154" s="7" t="s">
        <v>362</v>
      </c>
      <c r="AQ154" s="7"/>
      <c r="AR154" s="7"/>
      <c r="AS154" s="7"/>
      <c r="AT154" s="7"/>
      <c r="AU154" s="7">
        <v>2.0</v>
      </c>
      <c r="AV154" s="7" t="s">
        <v>2351</v>
      </c>
      <c r="AW154" s="7"/>
      <c r="AX154" s="7" t="s">
        <v>2358</v>
      </c>
      <c r="AY154" s="7" t="s">
        <v>1590</v>
      </c>
      <c r="AZ154" s="7" t="s">
        <v>2352</v>
      </c>
      <c r="BA154" s="7"/>
      <c r="BB154" s="7"/>
      <c r="BC154" s="7" t="s">
        <v>401</v>
      </c>
      <c r="BD154" s="21">
        <v>44109.50486111111</v>
      </c>
      <c r="BE154" s="7" t="s">
        <v>2359</v>
      </c>
      <c r="BF154" s="7"/>
      <c r="BG154" s="7"/>
      <c r="BH154" s="7">
        <v>5.31929354E8</v>
      </c>
      <c r="BI154" s="7" t="s">
        <v>2353</v>
      </c>
      <c r="BJ154" s="7"/>
      <c r="BK154" s="7" t="b">
        <v>0</v>
      </c>
      <c r="BL154" s="7" t="b">
        <v>0</v>
      </c>
      <c r="BM154" s="7"/>
      <c r="BN154" s="7" t="str">
        <f>IFERROR(__xludf.DUMMYFUNCTION(" IF( REGEXMATCH(C154 , ""[(].+[)]""),REGEXREPLACE( CONCATENATE(REGEXEXTRACT(C154 , ""[(].+[)]""),IF(REGEXMATCH(C154 , ""[(][Ll]['’][)]""),"""","" ""), REGEXEXTRACT(C154 ,""^(?:(?:[A-Za-zàäéèêîïöôûü0-9 ](?:[A-Za-zàäéèêîïöôûü'0-9 ]+)))"")) , ""[()]"", """")"&amp;",C154 )"),"Les Chalets Aurore ")</f>
        <v>Les Chalets Aurore </v>
      </c>
      <c r="BO154" s="25"/>
      <c r="BP154" s="7"/>
      <c r="BQ154" s="7"/>
      <c r="BR154" s="7"/>
      <c r="BS154" s="7"/>
      <c r="BT154" s="7"/>
      <c r="BU154" s="7"/>
      <c r="BV154" s="7"/>
      <c r="BW154" s="7"/>
      <c r="BX154" s="7"/>
      <c r="BY154" s="7"/>
      <c r="BZ154" s="7"/>
      <c r="CA154" s="7"/>
      <c r="CB154" s="7"/>
    </row>
    <row r="155" ht="21.75" customHeight="1">
      <c r="A155" s="7">
        <v>399.0</v>
      </c>
      <c r="B155" s="7">
        <v>154.0</v>
      </c>
      <c r="C155" s="7" t="s">
        <v>2360</v>
      </c>
      <c r="D155" s="7" t="s">
        <v>2360</v>
      </c>
      <c r="E155" s="7"/>
      <c r="F155" s="7" t="s">
        <v>404</v>
      </c>
      <c r="G155" s="7" t="s">
        <v>343</v>
      </c>
      <c r="H155" s="7" t="s">
        <v>40</v>
      </c>
      <c r="I155" s="7" t="s">
        <v>2361</v>
      </c>
      <c r="J155" s="7"/>
      <c r="K155" s="7" t="s">
        <v>58</v>
      </c>
      <c r="L155" s="7" t="s">
        <v>59</v>
      </c>
      <c r="M155" s="7" t="s">
        <v>545</v>
      </c>
      <c r="N155" s="7" t="s">
        <v>422</v>
      </c>
      <c r="O155" s="7">
        <v>97414.0</v>
      </c>
      <c r="P155" s="7" t="s">
        <v>40</v>
      </c>
      <c r="Q155" s="7"/>
      <c r="R155" s="7" t="s">
        <v>2362</v>
      </c>
      <c r="S155" s="7" t="s">
        <v>2363</v>
      </c>
      <c r="T155" s="7" t="s">
        <v>2364</v>
      </c>
      <c r="U155" s="7" t="s">
        <v>353</v>
      </c>
      <c r="V155" s="7">
        <v>2.62433389E8</v>
      </c>
      <c r="W155" s="7">
        <v>6.92122781E8</v>
      </c>
      <c r="X155" s="7"/>
      <c r="Y155" s="7"/>
      <c r="Z155" s="7" t="s">
        <v>2365</v>
      </c>
      <c r="AA155" s="7">
        <v>7.0</v>
      </c>
      <c r="AB155" s="7"/>
      <c r="AC155" s="7"/>
      <c r="AD155" s="7" t="s">
        <v>2366</v>
      </c>
      <c r="AE155" s="7" t="s">
        <v>2367</v>
      </c>
      <c r="AF155" s="7"/>
      <c r="AG155" s="7"/>
      <c r="AH155" s="20">
        <v>39575.0</v>
      </c>
      <c r="AI155" s="7"/>
      <c r="AJ155" s="7" t="s">
        <v>2368</v>
      </c>
      <c r="AK155" s="7"/>
      <c r="AL155" s="7" t="s">
        <v>2369</v>
      </c>
      <c r="AM155" s="7" t="s">
        <v>2370</v>
      </c>
      <c r="AN155" s="20">
        <v>39575.0</v>
      </c>
      <c r="AO155" s="7">
        <v>97414.0</v>
      </c>
      <c r="AP155" s="7" t="s">
        <v>429</v>
      </c>
      <c r="AQ155" s="7"/>
      <c r="AR155" s="7"/>
      <c r="AS155" s="7"/>
      <c r="AT155" s="7"/>
      <c r="AU155" s="7">
        <v>1.0</v>
      </c>
      <c r="AV155" s="7" t="s">
        <v>2371</v>
      </c>
      <c r="AW155" s="7"/>
      <c r="AX155" s="7"/>
      <c r="AY155" s="7"/>
      <c r="AZ155" s="7"/>
      <c r="BA155" s="7"/>
      <c r="BB155" s="7"/>
      <c r="BC155" s="7" t="s">
        <v>366</v>
      </c>
      <c r="BD155" s="21">
        <v>44045.44375</v>
      </c>
      <c r="BE155" s="7"/>
      <c r="BF155" s="7"/>
      <c r="BG155" s="22">
        <v>44045.0</v>
      </c>
      <c r="BH155" s="7"/>
      <c r="BI155" s="7" t="s">
        <v>2372</v>
      </c>
      <c r="BJ155" s="7"/>
      <c r="BK155" s="7" t="b">
        <v>0</v>
      </c>
      <c r="BL155" s="7" t="b">
        <v>0</v>
      </c>
      <c r="BM155" s="7"/>
      <c r="BN155" s="7" t="str">
        <f>IFERROR(__xludf.DUMMYFUNCTION(" IF( REGEXMATCH(C155 , ""[(].+[)]""),REGEXREPLACE( CONCATENATE(REGEXEXTRACT(C155 , ""[(].+[)]""),IF(REGEXMATCH(C155 , ""[(][Ll]['’][)]""),"""","" ""), REGEXEXTRACT(C155 ,""^(?:(?:[A-Za-zàäéèêîïöôûü0-9 ](?:[A-Za-zàäéèêîïöôûü'0-9 ]+)))"")) , ""[()]"", """")"&amp;",C155 )"),"Chalets des Rêves")</f>
        <v>Chalets des Rêves</v>
      </c>
      <c r="BO155" s="23"/>
      <c r="BP155" s="7"/>
      <c r="BQ155" s="7"/>
      <c r="BR155" s="7"/>
      <c r="BS155" s="7"/>
      <c r="BT155" s="7"/>
      <c r="BU155" s="7"/>
      <c r="BV155" s="7"/>
      <c r="BW155" s="7"/>
      <c r="BX155" s="7"/>
      <c r="BY155" s="7"/>
      <c r="BZ155" s="7"/>
      <c r="CA155" s="7"/>
      <c r="CB155" s="7"/>
    </row>
    <row r="156" ht="21.75" customHeight="1">
      <c r="A156" s="7">
        <v>451.0</v>
      </c>
      <c r="B156" s="7">
        <v>155.0</v>
      </c>
      <c r="C156" s="7" t="s">
        <v>2373</v>
      </c>
      <c r="D156" s="7" t="s">
        <v>2373</v>
      </c>
      <c r="E156" s="7"/>
      <c r="F156" s="7" t="s">
        <v>342</v>
      </c>
      <c r="G156" s="7" t="s">
        <v>343</v>
      </c>
      <c r="H156" s="7" t="s">
        <v>123</v>
      </c>
      <c r="I156" s="7" t="s">
        <v>2374</v>
      </c>
      <c r="J156" s="7"/>
      <c r="K156" s="7" t="s">
        <v>58</v>
      </c>
      <c r="L156" s="7" t="s">
        <v>59</v>
      </c>
      <c r="M156" s="7" t="s">
        <v>545</v>
      </c>
      <c r="N156" s="7" t="s">
        <v>455</v>
      </c>
      <c r="O156" s="7">
        <v>97480.0</v>
      </c>
      <c r="P156" s="7" t="s">
        <v>123</v>
      </c>
      <c r="Q156" s="7"/>
      <c r="R156" s="7" t="s">
        <v>2375</v>
      </c>
      <c r="S156" s="7" t="s">
        <v>2376</v>
      </c>
      <c r="T156" s="7" t="s">
        <v>2377</v>
      </c>
      <c r="U156" s="7" t="s">
        <v>353</v>
      </c>
      <c r="V156" s="7"/>
      <c r="W156" s="7">
        <v>6.92607929E8</v>
      </c>
      <c r="X156" s="7"/>
      <c r="Y156" s="7"/>
      <c r="Z156" s="7"/>
      <c r="AA156" s="7">
        <v>25.0</v>
      </c>
      <c r="AB156" s="7"/>
      <c r="AC156" s="7"/>
      <c r="AD156" s="7" t="s">
        <v>2378</v>
      </c>
      <c r="AE156" s="7" t="s">
        <v>2379</v>
      </c>
      <c r="AF156" s="7"/>
      <c r="AG156" s="7"/>
      <c r="AH156" s="20">
        <v>39575.0</v>
      </c>
      <c r="AI156" s="7"/>
      <c r="AJ156" s="7" t="s">
        <v>2380</v>
      </c>
      <c r="AK156" s="7"/>
      <c r="AL156" s="7" t="s">
        <v>2381</v>
      </c>
      <c r="AM156" s="7" t="s">
        <v>2382</v>
      </c>
      <c r="AN156" s="20">
        <v>39575.0</v>
      </c>
      <c r="AO156" s="7">
        <v>97480.0</v>
      </c>
      <c r="AP156" s="7" t="s">
        <v>385</v>
      </c>
      <c r="AQ156" s="7"/>
      <c r="AR156" s="7"/>
      <c r="AS156" s="7"/>
      <c r="AT156" s="7"/>
      <c r="AU156" s="7">
        <v>5.0</v>
      </c>
      <c r="AV156" s="7" t="s">
        <v>2383</v>
      </c>
      <c r="AW156" s="7"/>
      <c r="AX156" s="7"/>
      <c r="AY156" s="7"/>
      <c r="AZ156" s="7"/>
      <c r="BA156" s="7"/>
      <c r="BB156" s="7"/>
      <c r="BC156" s="7" t="s">
        <v>366</v>
      </c>
      <c r="BD156" s="21">
        <v>44197.0</v>
      </c>
      <c r="BE156" s="7"/>
      <c r="BF156" s="7"/>
      <c r="BG156" s="22">
        <v>44197.0</v>
      </c>
      <c r="BH156" s="7"/>
      <c r="BI156" s="7" t="s">
        <v>2384</v>
      </c>
      <c r="BJ156" s="7"/>
      <c r="BK156" s="7" t="b">
        <v>0</v>
      </c>
      <c r="BL156" s="7" t="b">
        <v>0</v>
      </c>
      <c r="BM156" s="7"/>
      <c r="BN156" s="7" t="str">
        <f>IFERROR(__xludf.DUMMYFUNCTION(" IF( REGEXMATCH(C156 , ""[(].+[)]""),REGEXREPLACE( CONCATENATE(REGEXEXTRACT(C156 , ""[(].+[)]""),IF(REGEXMATCH(C156 , ""[(][Ll]['’][)]""),"""","" ""), REGEXEXTRACT(C156 ,""^(?:(?:[A-Za-zàäéèêîïöôûü0-9 ](?:[A-Za-zàäéèêîïöôûü'0-9 ]+)))"")) , ""[()]"", """")"&amp;",C156 )"),"Chalets du Sud")</f>
        <v>Chalets du Sud</v>
      </c>
      <c r="BO156" s="23"/>
      <c r="BP156" s="7"/>
      <c r="BQ156" s="7"/>
      <c r="BR156" s="7"/>
      <c r="BS156" s="7"/>
      <c r="BT156" s="7"/>
      <c r="BU156" s="7"/>
      <c r="BV156" s="7"/>
      <c r="BW156" s="7"/>
      <c r="BX156" s="7"/>
      <c r="BY156" s="7"/>
      <c r="BZ156" s="7"/>
      <c r="CA156" s="7"/>
      <c r="CB156" s="7"/>
    </row>
    <row r="157" ht="21.75" customHeight="1">
      <c r="A157" s="7">
        <v>5129.0</v>
      </c>
      <c r="B157" s="7" t="s">
        <v>2385</v>
      </c>
      <c r="C157" s="7" t="s">
        <v>2386</v>
      </c>
      <c r="D157" s="7"/>
      <c r="E157" s="7"/>
      <c r="F157" s="7" t="s">
        <v>342</v>
      </c>
      <c r="G157" s="7" t="s">
        <v>343</v>
      </c>
      <c r="H157" s="7" t="s">
        <v>344</v>
      </c>
      <c r="I157" s="7" t="s">
        <v>2387</v>
      </c>
      <c r="J157" s="7"/>
      <c r="K157" s="7" t="s">
        <v>58</v>
      </c>
      <c r="L157" s="7" t="s">
        <v>453</v>
      </c>
      <c r="M157" s="7" t="s">
        <v>454</v>
      </c>
      <c r="N157" s="7" t="s">
        <v>455</v>
      </c>
      <c r="O157" s="7">
        <v>97418.0</v>
      </c>
      <c r="P157" s="7" t="s">
        <v>348</v>
      </c>
      <c r="Q157" s="7"/>
      <c r="R157" s="7" t="s">
        <v>2388</v>
      </c>
      <c r="S157" s="7" t="s">
        <v>2389</v>
      </c>
      <c r="T157" s="7" t="s">
        <v>2390</v>
      </c>
      <c r="U157" s="7" t="s">
        <v>424</v>
      </c>
      <c r="V157" s="7">
        <v>2.62496408E8</v>
      </c>
      <c r="W157" s="7">
        <v>6.92241433E8</v>
      </c>
      <c r="X157" s="7"/>
      <c r="Y157" s="7"/>
      <c r="Z157" s="7" t="s">
        <v>2391</v>
      </c>
      <c r="AA157" s="7">
        <v>8.0</v>
      </c>
      <c r="AB157" s="7"/>
      <c r="AC157" s="7" t="s">
        <v>2392</v>
      </c>
      <c r="AD157" s="7" t="s">
        <v>2393</v>
      </c>
      <c r="AE157" s="7" t="s">
        <v>2394</v>
      </c>
      <c r="AF157" s="7"/>
      <c r="AG157" s="7"/>
      <c r="AH157" s="20">
        <v>43853.0</v>
      </c>
      <c r="AI157" s="7"/>
      <c r="AJ157" s="7" t="s">
        <v>2395</v>
      </c>
      <c r="AK157" s="7">
        <v>4.430099800003E13</v>
      </c>
      <c r="AL157" s="7" t="s">
        <v>2396</v>
      </c>
      <c r="AM157" s="7" t="s">
        <v>2397</v>
      </c>
      <c r="AN157" s="20">
        <v>43853.0</v>
      </c>
      <c r="AO157" s="7">
        <v>97418.0</v>
      </c>
      <c r="AP157" s="7" t="s">
        <v>362</v>
      </c>
      <c r="AQ157" s="7"/>
      <c r="AR157" s="7"/>
      <c r="AS157" s="7"/>
      <c r="AT157" s="7"/>
      <c r="AU157" s="7">
        <v>4.0</v>
      </c>
      <c r="AV157" s="7" t="s">
        <v>2398</v>
      </c>
      <c r="AW157" s="7"/>
      <c r="AX157" s="7" t="s">
        <v>2399</v>
      </c>
      <c r="AY157" s="7" t="s">
        <v>1590</v>
      </c>
      <c r="AZ157" s="7" t="s">
        <v>2400</v>
      </c>
      <c r="BA157" s="7"/>
      <c r="BB157" s="7"/>
      <c r="BC157" s="7" t="s">
        <v>401</v>
      </c>
      <c r="BD157" s="21">
        <v>44160.09097222222</v>
      </c>
      <c r="BE157" s="7" t="s">
        <v>2401</v>
      </c>
      <c r="BF157" s="7"/>
      <c r="BG157" s="7"/>
      <c r="BH157" s="7">
        <v>4.4300998E8</v>
      </c>
      <c r="BI157" s="7" t="s">
        <v>2402</v>
      </c>
      <c r="BJ157" s="7"/>
      <c r="BK157" s="7" t="b">
        <v>0</v>
      </c>
      <c r="BL157" s="7" t="b">
        <v>0</v>
      </c>
      <c r="BM157" s="7"/>
      <c r="BN157" s="7" t="str">
        <f>IFERROR(__xludf.DUMMYFUNCTION(" IF( REGEXMATCH(C157 , ""[(].+[)]""),REGEXREPLACE( CONCATENATE(REGEXEXTRACT(C157 , ""[(].+[)]""),IF(REGEXMATCH(C157 , ""[(][Ll]['’][)]""),"""","" ""), REGEXEXTRACT(C157 ,""^(?:(?:[A-Za-zàäéèêîïöôûü0-9 ](?:[A-Za-zàäéèêîïöôûü'0-9 ]+)))"")) , ""[()]"", """")"&amp;",C157 )"),"Chambre et Table d'Hôte Les Hortensias")</f>
        <v>Chambre et Table d'Hôte Les Hortensias</v>
      </c>
      <c r="BO157" s="25"/>
      <c r="BP157" s="7"/>
      <c r="BQ157" s="7"/>
      <c r="BR157" s="7"/>
      <c r="BS157" s="7"/>
      <c r="BT157" s="7"/>
      <c r="BU157" s="7"/>
      <c r="BV157" s="7"/>
      <c r="BW157" s="7"/>
      <c r="BX157" s="7"/>
      <c r="BY157" s="7"/>
      <c r="BZ157" s="7"/>
      <c r="CA157" s="7"/>
      <c r="CB157" s="7"/>
    </row>
    <row r="158" ht="21.75" customHeight="1">
      <c r="A158" s="7">
        <v>3005.0</v>
      </c>
      <c r="B158" s="7">
        <v>157.0</v>
      </c>
      <c r="C158" s="7" t="s">
        <v>2403</v>
      </c>
      <c r="D158" s="7"/>
      <c r="E158" s="7"/>
      <c r="F158" s="7" t="s">
        <v>404</v>
      </c>
      <c r="G158" s="7" t="s">
        <v>343</v>
      </c>
      <c r="H158" s="7" t="s">
        <v>344</v>
      </c>
      <c r="I158" s="7" t="s">
        <v>2404</v>
      </c>
      <c r="J158" s="7"/>
      <c r="K158" s="7" t="s">
        <v>34</v>
      </c>
      <c r="L158" s="7" t="s">
        <v>622</v>
      </c>
      <c r="M158" s="7" t="s">
        <v>2405</v>
      </c>
      <c r="N158" s="7"/>
      <c r="O158" s="7">
        <v>97418.0</v>
      </c>
      <c r="P158" s="7" t="s">
        <v>348</v>
      </c>
      <c r="Q158" s="7" t="s">
        <v>570</v>
      </c>
      <c r="R158" s="7" t="s">
        <v>801</v>
      </c>
      <c r="S158" s="7" t="s">
        <v>988</v>
      </c>
      <c r="T158" s="7" t="s">
        <v>963</v>
      </c>
      <c r="U158" s="7" t="s">
        <v>424</v>
      </c>
      <c r="V158" s="7">
        <v>2.62574059E8</v>
      </c>
      <c r="W158" s="7">
        <v>6.92082367E8</v>
      </c>
      <c r="X158" s="7"/>
      <c r="Y158" s="7">
        <v>2.62574059E8</v>
      </c>
      <c r="Z158" s="7" t="s">
        <v>2406</v>
      </c>
      <c r="AA158" s="7">
        <v>20.0</v>
      </c>
      <c r="AB158" s="7"/>
      <c r="AC158" s="7"/>
      <c r="AD158" s="7" t="s">
        <v>2407</v>
      </c>
      <c r="AE158" s="7" t="s">
        <v>2408</v>
      </c>
      <c r="AF158" s="7"/>
      <c r="AG158" s="7"/>
      <c r="AH158" s="20">
        <v>43739.0</v>
      </c>
      <c r="AI158" s="7"/>
      <c r="AJ158" s="7" t="s">
        <v>2409</v>
      </c>
      <c r="AK158" s="7"/>
      <c r="AL158" s="7" t="s">
        <v>2410</v>
      </c>
      <c r="AM158" s="7" t="s">
        <v>2411</v>
      </c>
      <c r="AN158" s="20">
        <v>43739.0</v>
      </c>
      <c r="AO158" s="7">
        <v>97418.0</v>
      </c>
      <c r="AP158" s="7" t="s">
        <v>362</v>
      </c>
      <c r="AQ158" s="7"/>
      <c r="AR158" s="7"/>
      <c r="AS158" s="7"/>
      <c r="AT158" s="7"/>
      <c r="AU158" s="7">
        <v>0.0</v>
      </c>
      <c r="AV158" s="7" t="s">
        <v>2412</v>
      </c>
      <c r="AW158" s="7"/>
      <c r="AX158" s="7"/>
      <c r="AY158" s="7"/>
      <c r="AZ158" s="7"/>
      <c r="BA158" s="7"/>
      <c r="BB158" s="7"/>
      <c r="BC158" s="7" t="s">
        <v>366</v>
      </c>
      <c r="BD158" s="21">
        <v>44200.44652777778</v>
      </c>
      <c r="BE158" s="7"/>
      <c r="BF158" s="7"/>
      <c r="BG158" s="22">
        <v>44200.0</v>
      </c>
      <c r="BH158" s="7"/>
      <c r="BI158" s="7" t="s">
        <v>2413</v>
      </c>
      <c r="BJ158" s="7"/>
      <c r="BK158" s="7" t="b">
        <v>0</v>
      </c>
      <c r="BL158" s="7" t="b">
        <v>0</v>
      </c>
      <c r="BM158" s="7"/>
      <c r="BN158" s="7" t="str">
        <f>IFERROR(__xludf.DUMMYFUNCTION(" IF( REGEXMATCH(C158 , ""[(].+[)]""),REGEXREPLACE( CONCATENATE(REGEXEXTRACT(C158 , ""[(].+[)]""),IF(REGEXMATCH(C158 , ""[(][Ll]['’][)]""),"""","" ""), REGEXEXTRACT(C158 ,""^(?:(?:[A-Za-zàäéèêîïöôûü0-9 ](?:[A-Za-zàäéèêîïöôûü'0-9 ]+)))"")) , ""[()]"", """")"&amp;",C158 )"),"Chez Alex")</f>
        <v>Chez Alex</v>
      </c>
      <c r="BO158" s="23"/>
      <c r="BP158" s="7"/>
      <c r="BQ158" s="7"/>
      <c r="BR158" s="7"/>
      <c r="BS158" s="7"/>
      <c r="BT158" s="7"/>
      <c r="BU158" s="7"/>
      <c r="BV158" s="7"/>
      <c r="BW158" s="7"/>
      <c r="BX158" s="7"/>
      <c r="BY158" s="7"/>
      <c r="BZ158" s="7"/>
      <c r="CA158" s="7"/>
      <c r="CB158" s="7"/>
    </row>
    <row r="159" ht="21.75" customHeight="1">
      <c r="A159" s="7">
        <v>3891.0</v>
      </c>
      <c r="B159" s="7" t="s">
        <v>2414</v>
      </c>
      <c r="C159" s="7" t="s">
        <v>2415</v>
      </c>
      <c r="D159" s="7"/>
      <c r="E159" s="7"/>
      <c r="F159" s="7" t="s">
        <v>404</v>
      </c>
      <c r="G159" s="7" t="s">
        <v>343</v>
      </c>
      <c r="H159" s="7" t="s">
        <v>344</v>
      </c>
      <c r="I159" s="7" t="s">
        <v>2416</v>
      </c>
      <c r="J159" s="7"/>
      <c r="K159" s="7" t="s">
        <v>58</v>
      </c>
      <c r="L159" s="7" t="s">
        <v>59</v>
      </c>
      <c r="M159" s="7" t="s">
        <v>346</v>
      </c>
      <c r="N159" s="7" t="s">
        <v>455</v>
      </c>
      <c r="O159" s="7">
        <v>97418.0</v>
      </c>
      <c r="P159" s="7" t="s">
        <v>348</v>
      </c>
      <c r="Q159" s="7" t="s">
        <v>349</v>
      </c>
      <c r="R159" s="7"/>
      <c r="S159" s="7"/>
      <c r="T159" s="7"/>
      <c r="U159" s="7"/>
      <c r="V159" s="7"/>
      <c r="W159" s="7">
        <v>6.92561322E8</v>
      </c>
      <c r="X159" s="7">
        <v>6.92611625E8</v>
      </c>
      <c r="Y159" s="7"/>
      <c r="Z159" s="7" t="s">
        <v>2417</v>
      </c>
      <c r="AA159" s="7">
        <v>14.0</v>
      </c>
      <c r="AB159" s="7"/>
      <c r="AC159" s="7" t="s">
        <v>2418</v>
      </c>
      <c r="AD159" s="7" t="s">
        <v>2419</v>
      </c>
      <c r="AE159" s="7"/>
      <c r="AF159" s="7"/>
      <c r="AG159" s="7"/>
      <c r="AH159" s="20">
        <v>42170.0</v>
      </c>
      <c r="AI159" s="7"/>
      <c r="AJ159" s="7" t="s">
        <v>2420</v>
      </c>
      <c r="AK159" s="7"/>
      <c r="AL159" s="7" t="s">
        <v>2421</v>
      </c>
      <c r="AM159" s="7" t="s">
        <v>2422</v>
      </c>
      <c r="AN159" s="20">
        <v>42170.0</v>
      </c>
      <c r="AO159" s="7">
        <v>97418.0</v>
      </c>
      <c r="AP159" s="7" t="s">
        <v>362</v>
      </c>
      <c r="AQ159" s="7"/>
      <c r="AR159" s="7"/>
      <c r="AS159" s="7"/>
      <c r="AT159" s="7"/>
      <c r="AU159" s="7">
        <v>1.0</v>
      </c>
      <c r="AV159" s="7" t="s">
        <v>2218</v>
      </c>
      <c r="AW159" s="7"/>
      <c r="AX159" s="7"/>
      <c r="AY159" s="7"/>
      <c r="AZ159" s="7" t="s">
        <v>2423</v>
      </c>
      <c r="BA159" s="7"/>
      <c r="BB159" s="7"/>
      <c r="BC159" s="7" t="s">
        <v>401</v>
      </c>
      <c r="BD159" s="21">
        <v>44200.44652777778</v>
      </c>
      <c r="BE159" s="7" t="s">
        <v>2424</v>
      </c>
      <c r="BF159" s="7"/>
      <c r="BG159" s="7"/>
      <c r="BH159" s="7"/>
      <c r="BI159" s="7" t="s">
        <v>514</v>
      </c>
      <c r="BJ159" s="7"/>
      <c r="BK159" s="7" t="b">
        <v>0</v>
      </c>
      <c r="BL159" s="7" t="b">
        <v>0</v>
      </c>
      <c r="BM159" s="7"/>
      <c r="BN159" s="7" t="str">
        <f>IFERROR(__xludf.DUMMYFUNCTION(" IF( REGEXMATCH(C159 , ""[(].+[)]""),REGEXREPLACE( CONCATENATE(REGEXEXTRACT(C159 , ""[(].+[)]""),IF(REGEXMATCH(C159 , ""[(][Ll]['’][)]""),"""","" ""), REGEXEXTRACT(C159 ,""^(?:(?:[A-Za-zàäéèêîïöôûü0-9 ](?:[A-Za-zàäéèêîïöôûü'0-9 ]+)))"")) , ""[()]"", """")"&amp;",C159 )"),"Chez Alexis")</f>
        <v>Chez Alexis</v>
      </c>
      <c r="BO159" s="25"/>
      <c r="BP159" s="7"/>
      <c r="BQ159" s="7"/>
      <c r="BR159" s="7"/>
      <c r="BS159" s="7"/>
      <c r="BT159" s="7"/>
      <c r="BU159" s="7"/>
      <c r="BV159" s="7"/>
      <c r="BW159" s="7"/>
      <c r="BX159" s="7"/>
      <c r="BY159" s="7"/>
      <c r="BZ159" s="7"/>
      <c r="CA159" s="7"/>
      <c r="CB159" s="7"/>
    </row>
    <row r="160" ht="21.75" customHeight="1">
      <c r="A160" s="7">
        <v>3892.0</v>
      </c>
      <c r="B160" s="7">
        <v>159.0</v>
      </c>
      <c r="C160" s="7" t="s">
        <v>2425</v>
      </c>
      <c r="D160" s="7"/>
      <c r="E160" s="7"/>
      <c r="F160" s="7" t="s">
        <v>404</v>
      </c>
      <c r="G160" s="7" t="s">
        <v>343</v>
      </c>
      <c r="H160" s="7" t="s">
        <v>344</v>
      </c>
      <c r="I160" s="7" t="s">
        <v>2426</v>
      </c>
      <c r="J160" s="7"/>
      <c r="K160" s="7" t="s">
        <v>58</v>
      </c>
      <c r="L160" s="7" t="s">
        <v>59</v>
      </c>
      <c r="M160" s="7" t="s">
        <v>346</v>
      </c>
      <c r="N160" s="7" t="s">
        <v>455</v>
      </c>
      <c r="O160" s="7">
        <v>97430.0</v>
      </c>
      <c r="P160" s="7" t="s">
        <v>344</v>
      </c>
      <c r="Q160" s="7"/>
      <c r="R160" s="7"/>
      <c r="S160" s="7"/>
      <c r="T160" s="7"/>
      <c r="U160" s="7"/>
      <c r="V160" s="7">
        <v>2.62591517E8</v>
      </c>
      <c r="W160" s="7">
        <v>6.92446031E8</v>
      </c>
      <c r="X160" s="7"/>
      <c r="Y160" s="7"/>
      <c r="Z160" s="7"/>
      <c r="AA160" s="7">
        <v>18.0</v>
      </c>
      <c r="AB160" s="7"/>
      <c r="AC160" s="7"/>
      <c r="AD160" s="7" t="s">
        <v>2427</v>
      </c>
      <c r="AE160" s="7"/>
      <c r="AF160" s="7"/>
      <c r="AG160" s="7"/>
      <c r="AH160" s="20">
        <v>42170.0</v>
      </c>
      <c r="AI160" s="7"/>
      <c r="AJ160" s="7" t="s">
        <v>2425</v>
      </c>
      <c r="AK160" s="7"/>
      <c r="AL160" s="7" t="s">
        <v>2428</v>
      </c>
      <c r="AM160" s="7" t="s">
        <v>2429</v>
      </c>
      <c r="AN160" s="20">
        <v>42170.0</v>
      </c>
      <c r="AO160" s="7">
        <v>97430.0</v>
      </c>
      <c r="AP160" s="7" t="s">
        <v>494</v>
      </c>
      <c r="AQ160" s="7"/>
      <c r="AR160" s="7"/>
      <c r="AS160" s="7"/>
      <c r="AT160" s="7"/>
      <c r="AU160" s="7">
        <v>1.0</v>
      </c>
      <c r="AV160" s="7" t="s">
        <v>2430</v>
      </c>
      <c r="AW160" s="7"/>
      <c r="AX160" s="7"/>
      <c r="AY160" s="7"/>
      <c r="AZ160" s="7"/>
      <c r="BA160" s="7"/>
      <c r="BB160" s="7"/>
      <c r="BC160" s="7" t="s">
        <v>366</v>
      </c>
      <c r="BD160" s="21">
        <v>44104.197222222225</v>
      </c>
      <c r="BE160" s="7"/>
      <c r="BF160" s="7"/>
      <c r="BG160" s="22">
        <v>44104.0</v>
      </c>
      <c r="BH160" s="7"/>
      <c r="BI160" s="7" t="s">
        <v>2431</v>
      </c>
      <c r="BJ160" s="7"/>
      <c r="BK160" s="7" t="b">
        <v>0</v>
      </c>
      <c r="BL160" s="7" t="b">
        <v>0</v>
      </c>
      <c r="BM160" s="7"/>
      <c r="BN160" s="7" t="str">
        <f>IFERROR(__xludf.DUMMYFUNCTION(" IF( REGEXMATCH(C160 , ""[(].+[)]""),REGEXREPLACE( CONCATENATE(REGEXEXTRACT(C160 , ""[(].+[)]""),IF(REGEXMATCH(C160 , ""[(][Ll]['’][)]""),"""","" ""), REGEXEXTRACT(C160 ,""^(?:(?:[A-Za-zàäéèêîïöôûü0-9 ](?:[A-Za-zàäéèêîïöôûü'0-9 ]+)))"")) , ""[()]"", """")"&amp;",C160 )"),"Chez Bernadette")</f>
        <v>Chez Bernadette</v>
      </c>
      <c r="BO160" s="23"/>
      <c r="BP160" s="7"/>
      <c r="BQ160" s="7"/>
      <c r="BR160" s="7"/>
      <c r="BS160" s="7"/>
      <c r="BT160" s="7"/>
      <c r="BU160" s="7"/>
      <c r="BV160" s="7"/>
      <c r="BW160" s="7"/>
      <c r="BX160" s="7"/>
      <c r="BY160" s="7"/>
      <c r="BZ160" s="7"/>
      <c r="CA160" s="7"/>
      <c r="CB160" s="7"/>
    </row>
    <row r="161" ht="21.75" customHeight="1">
      <c r="A161" s="7">
        <v>3735.0</v>
      </c>
      <c r="B161" s="7" t="s">
        <v>2432</v>
      </c>
      <c r="C161" s="7" t="s">
        <v>2433</v>
      </c>
      <c r="D161" s="7"/>
      <c r="E161" s="7"/>
      <c r="F161" s="7" t="s">
        <v>342</v>
      </c>
      <c r="G161" s="7" t="s">
        <v>343</v>
      </c>
      <c r="H161" s="7" t="s">
        <v>40</v>
      </c>
      <c r="I161" s="7" t="s">
        <v>2434</v>
      </c>
      <c r="J161" s="7"/>
      <c r="K161" s="7" t="s">
        <v>58</v>
      </c>
      <c r="L161" s="7" t="s">
        <v>59</v>
      </c>
      <c r="M161" s="7" t="s">
        <v>346</v>
      </c>
      <c r="N161" s="7" t="s">
        <v>422</v>
      </c>
      <c r="O161" s="7">
        <v>97414.0</v>
      </c>
      <c r="P161" s="7" t="s">
        <v>40</v>
      </c>
      <c r="Q161" s="7"/>
      <c r="R161" s="7" t="s">
        <v>2435</v>
      </c>
      <c r="S161" s="7" t="s">
        <v>2436</v>
      </c>
      <c r="T161" s="7" t="s">
        <v>377</v>
      </c>
      <c r="U161" s="7" t="s">
        <v>378</v>
      </c>
      <c r="V161" s="7">
        <v>2.62395747E8</v>
      </c>
      <c r="W161" s="7">
        <v>6.92678859E8</v>
      </c>
      <c r="X161" s="7">
        <v>6.92452444E8</v>
      </c>
      <c r="Y161" s="7"/>
      <c r="Z161" s="7" t="s">
        <v>2437</v>
      </c>
      <c r="AA161" s="7">
        <v>4.0</v>
      </c>
      <c r="AB161" s="7"/>
      <c r="AC161" s="7" t="s">
        <v>2438</v>
      </c>
      <c r="AD161" s="7" t="s">
        <v>2439</v>
      </c>
      <c r="AE161" s="7" t="s">
        <v>2440</v>
      </c>
      <c r="AF161" s="7"/>
      <c r="AG161" s="7"/>
      <c r="AH161" s="20">
        <v>41983.0</v>
      </c>
      <c r="AI161" s="7"/>
      <c r="AJ161" s="7" t="s">
        <v>2441</v>
      </c>
      <c r="AK161" s="7"/>
      <c r="AL161" s="7" t="s">
        <v>2442</v>
      </c>
      <c r="AM161" s="7" t="s">
        <v>2443</v>
      </c>
      <c r="AN161" s="20">
        <v>41983.0</v>
      </c>
      <c r="AO161" s="7">
        <v>97414.0</v>
      </c>
      <c r="AP161" s="7" t="s">
        <v>429</v>
      </c>
      <c r="AQ161" s="7"/>
      <c r="AR161" s="7"/>
      <c r="AS161" s="7"/>
      <c r="AT161" s="7"/>
      <c r="AU161" s="7">
        <v>1.0</v>
      </c>
      <c r="AV161" s="7" t="s">
        <v>2444</v>
      </c>
      <c r="AW161" s="7"/>
      <c r="AX161" s="7"/>
      <c r="AY161" s="7"/>
      <c r="AZ161" s="7" t="s">
        <v>2445</v>
      </c>
      <c r="BA161" s="7"/>
      <c r="BB161" s="7"/>
      <c r="BC161" s="7" t="s">
        <v>401</v>
      </c>
      <c r="BD161" s="21">
        <v>44045.444444444445</v>
      </c>
      <c r="BE161" s="7" t="s">
        <v>2446</v>
      </c>
      <c r="BF161" s="7"/>
      <c r="BG161" s="7"/>
      <c r="BH161" s="7"/>
      <c r="BI161" s="7" t="s">
        <v>2447</v>
      </c>
      <c r="BJ161" s="7"/>
      <c r="BK161" s="7" t="b">
        <v>0</v>
      </c>
      <c r="BL161" s="7" t="b">
        <v>0</v>
      </c>
      <c r="BM161" s="7"/>
      <c r="BN161" s="7" t="str">
        <f>IFERROR(__xludf.DUMMYFUNCTION(" IF( REGEXMATCH(C161 , ""[(].+[)]""),REGEXREPLACE( CONCATENATE(REGEXEXTRACT(C161 , ""[(].+[)]""),IF(REGEXMATCH(C161 , ""[(][Ll]['’][)]""),"""","" ""), REGEXEXTRACT(C161 ,""^(?:(?:[A-Za-zàäéèêîïöôûü0-9 ](?:[A-Za-zàäéèêîïöôûü'0-9 ]+)))"")) , ""[()]"", """")"&amp;",C161 )"),"Chez Bibi")</f>
        <v>Chez Bibi</v>
      </c>
      <c r="BO161" s="25"/>
      <c r="BP161" s="7"/>
      <c r="BQ161" s="7"/>
      <c r="BR161" s="7"/>
      <c r="BS161" s="7"/>
      <c r="BT161" s="7"/>
      <c r="BU161" s="7"/>
      <c r="BV161" s="7"/>
      <c r="BW161" s="7"/>
      <c r="BX161" s="7"/>
      <c r="BY161" s="7"/>
      <c r="BZ161" s="7"/>
      <c r="CA161" s="7"/>
      <c r="CB161" s="7"/>
    </row>
    <row r="162" ht="21.75" customHeight="1">
      <c r="A162" s="7">
        <v>3917.0</v>
      </c>
      <c r="B162" s="7">
        <v>161.0</v>
      </c>
      <c r="C162" s="7" t="s">
        <v>2448</v>
      </c>
      <c r="D162" s="7"/>
      <c r="E162" s="7"/>
      <c r="F162" s="7" t="s">
        <v>342</v>
      </c>
      <c r="G162" s="7" t="s">
        <v>343</v>
      </c>
      <c r="H162" s="7" t="s">
        <v>344</v>
      </c>
      <c r="I162" s="7" t="s">
        <v>2449</v>
      </c>
      <c r="J162" s="26" t="s">
        <v>2450</v>
      </c>
      <c r="K162" s="7" t="s">
        <v>1198</v>
      </c>
      <c r="L162" s="7" t="s">
        <v>2451</v>
      </c>
      <c r="M162" s="7" t="s">
        <v>2452</v>
      </c>
      <c r="N162" s="7" t="s">
        <v>1092</v>
      </c>
      <c r="O162" s="7">
        <v>97418.0</v>
      </c>
      <c r="P162" s="7" t="s">
        <v>348</v>
      </c>
      <c r="Q162" s="7" t="s">
        <v>349</v>
      </c>
      <c r="R162" s="7"/>
      <c r="S162" s="7"/>
      <c r="T162" s="7" t="s">
        <v>377</v>
      </c>
      <c r="U162" s="7" t="s">
        <v>353</v>
      </c>
      <c r="V162" s="7">
        <v>2.62591484E8</v>
      </c>
      <c r="W162" s="7">
        <v>6.92265022E8</v>
      </c>
      <c r="X162" s="7"/>
      <c r="Y162" s="7"/>
      <c r="Z162" s="7" t="s">
        <v>2453</v>
      </c>
      <c r="AA162" s="7"/>
      <c r="AB162" s="7"/>
      <c r="AC162" s="7"/>
      <c r="AD162" s="7" t="s">
        <v>2454</v>
      </c>
      <c r="AE162" s="7"/>
      <c r="AF162" s="7"/>
      <c r="AG162" s="7"/>
      <c r="AH162" s="20">
        <v>42173.0</v>
      </c>
      <c r="AI162" s="7"/>
      <c r="AJ162" s="7" t="s">
        <v>2455</v>
      </c>
      <c r="AK162" s="7">
        <v>3.8298339300028E13</v>
      </c>
      <c r="AL162" s="7" t="s">
        <v>2456</v>
      </c>
      <c r="AM162" s="7" t="s">
        <v>2457</v>
      </c>
      <c r="AN162" s="20">
        <v>39575.0</v>
      </c>
      <c r="AO162" s="7">
        <v>97418.0</v>
      </c>
      <c r="AP162" s="7" t="s">
        <v>362</v>
      </c>
      <c r="AQ162" s="7"/>
      <c r="AR162" s="7"/>
      <c r="AS162" s="7"/>
      <c r="AT162" s="7"/>
      <c r="AU162" s="7">
        <v>0.0</v>
      </c>
      <c r="AV162" s="7" t="s">
        <v>2458</v>
      </c>
      <c r="AW162" s="7"/>
      <c r="AX162" s="7"/>
      <c r="AY162" s="7"/>
      <c r="AZ162" s="7"/>
      <c r="BA162" s="7"/>
      <c r="BB162" s="7"/>
      <c r="BC162" s="7" t="s">
        <v>366</v>
      </c>
      <c r="BD162" s="21">
        <v>44125.177083333336</v>
      </c>
      <c r="BE162" s="7"/>
      <c r="BF162" s="7"/>
      <c r="BG162" s="22">
        <v>44125.0</v>
      </c>
      <c r="BH162" s="7">
        <v>3.82983393E8</v>
      </c>
      <c r="BI162" s="7" t="s">
        <v>2459</v>
      </c>
      <c r="BJ162" s="7"/>
      <c r="BK162" s="7" t="b">
        <v>0</v>
      </c>
      <c r="BL162" s="7" t="b">
        <v>0</v>
      </c>
      <c r="BM162" s="7"/>
      <c r="BN162" s="7" t="str">
        <f>IFERROR(__xludf.DUMMYFUNCTION(" IF( REGEXMATCH(C162 , ""[(].+[)]""),REGEXREPLACE( CONCATENATE(REGEXEXTRACT(C162 , ""[(].+[)]""),IF(REGEXMATCH(C162 , ""[(][Ll]['’][)]""),"""","" ""), REGEXEXTRACT(C162 ,""^(?:(?:[A-Za-zàäéèêîïöôûü0-9 ](?:[A-Za-zàäéèêîïöôûü'0-9 ]+)))"")) , ""[()]"", """")"&amp;",C162 )"),"Chez Dan's")</f>
        <v>Chez Dan's</v>
      </c>
      <c r="BO162" s="23"/>
      <c r="BP162" s="7"/>
      <c r="BQ162" s="7"/>
      <c r="BR162" s="7"/>
      <c r="BS162" s="7"/>
      <c r="BT162" s="7"/>
      <c r="BU162" s="7"/>
      <c r="BV162" s="7"/>
      <c r="BW162" s="7"/>
      <c r="BX162" s="7"/>
      <c r="BY162" s="7"/>
      <c r="BZ162" s="7"/>
      <c r="CA162" s="7"/>
      <c r="CB162" s="7"/>
    </row>
    <row r="163" ht="21.75" customHeight="1">
      <c r="A163" s="7">
        <v>3826.0</v>
      </c>
      <c r="B163" s="7">
        <v>162.0</v>
      </c>
      <c r="C163" s="7" t="s">
        <v>2448</v>
      </c>
      <c r="D163" s="7"/>
      <c r="E163" s="7"/>
      <c r="F163" s="7" t="s">
        <v>342</v>
      </c>
      <c r="G163" s="7" t="s">
        <v>343</v>
      </c>
      <c r="H163" s="7" t="s">
        <v>344</v>
      </c>
      <c r="I163" s="7" t="s">
        <v>2449</v>
      </c>
      <c r="J163" s="26" t="s">
        <v>2460</v>
      </c>
      <c r="K163" s="7" t="s">
        <v>34</v>
      </c>
      <c r="L163" s="7" t="s">
        <v>485</v>
      </c>
      <c r="M163" s="7" t="s">
        <v>486</v>
      </c>
      <c r="N163" s="7" t="s">
        <v>1092</v>
      </c>
      <c r="O163" s="7">
        <v>97418.0</v>
      </c>
      <c r="P163" s="7" t="s">
        <v>348</v>
      </c>
      <c r="Q163" s="7" t="s">
        <v>349</v>
      </c>
      <c r="R163" s="7" t="s">
        <v>1026</v>
      </c>
      <c r="S163" s="7" t="s">
        <v>1179</v>
      </c>
      <c r="T163" s="7" t="s">
        <v>377</v>
      </c>
      <c r="U163" s="7" t="s">
        <v>353</v>
      </c>
      <c r="V163" s="7">
        <v>2.62591484E8</v>
      </c>
      <c r="W163" s="7">
        <v>6.92265022E8</v>
      </c>
      <c r="X163" s="7"/>
      <c r="Y163" s="7"/>
      <c r="Z163" s="7" t="s">
        <v>2461</v>
      </c>
      <c r="AA163" s="7"/>
      <c r="AB163" s="7"/>
      <c r="AC163" s="7" t="s">
        <v>2462</v>
      </c>
      <c r="AD163" s="7" t="s">
        <v>2463</v>
      </c>
      <c r="AE163" s="7"/>
      <c r="AF163" s="7"/>
      <c r="AG163" s="7"/>
      <c r="AH163" s="20">
        <v>42135.0</v>
      </c>
      <c r="AI163" s="7"/>
      <c r="AJ163" s="7" t="s">
        <v>2455</v>
      </c>
      <c r="AK163" s="7">
        <v>3.8298339300028E13</v>
      </c>
      <c r="AL163" s="7" t="s">
        <v>2456</v>
      </c>
      <c r="AM163" s="7" t="s">
        <v>2464</v>
      </c>
      <c r="AN163" s="20">
        <v>39575.0</v>
      </c>
      <c r="AO163" s="7">
        <v>97418.0</v>
      </c>
      <c r="AP163" s="7" t="s">
        <v>362</v>
      </c>
      <c r="AQ163" s="7"/>
      <c r="AR163" s="7"/>
      <c r="AS163" s="7"/>
      <c r="AT163" s="7"/>
      <c r="AU163" s="7">
        <v>0.0</v>
      </c>
      <c r="AV163" s="7" t="s">
        <v>2458</v>
      </c>
      <c r="AW163" s="7"/>
      <c r="AX163" s="7"/>
      <c r="AY163" s="7"/>
      <c r="AZ163" s="7"/>
      <c r="BA163" s="7"/>
      <c r="BB163" s="7"/>
      <c r="BC163" s="7" t="s">
        <v>366</v>
      </c>
      <c r="BD163" s="21">
        <v>44125.177083333336</v>
      </c>
      <c r="BE163" s="7"/>
      <c r="BF163" s="7"/>
      <c r="BG163" s="22">
        <v>44125.0</v>
      </c>
      <c r="BH163" s="7">
        <v>3.82983393E8</v>
      </c>
      <c r="BI163" s="7" t="s">
        <v>2459</v>
      </c>
      <c r="BJ163" s="7"/>
      <c r="BK163" s="7" t="b">
        <v>0</v>
      </c>
      <c r="BL163" s="7" t="b">
        <v>0</v>
      </c>
      <c r="BM163" s="7"/>
      <c r="BN163" s="7" t="str">
        <f>IFERROR(__xludf.DUMMYFUNCTION(" IF( REGEXMATCH(C163 , ""[(].+[)]""),REGEXREPLACE( CONCATENATE(REGEXEXTRACT(C163 , ""[(].+[)]""),IF(REGEXMATCH(C163 , ""[(][Ll]['’][)]""),"""","" ""), REGEXEXTRACT(C163 ,""^(?:(?:[A-Za-zàäéèêîïöôûü0-9 ](?:[A-Za-zàäéèêîïöôûü'0-9 ]+)))"")) , ""[()]"", """")"&amp;",C163 )"),"Chez Dan's")</f>
        <v>Chez Dan's</v>
      </c>
      <c r="BO163" s="23"/>
      <c r="BP163" s="7"/>
      <c r="BQ163" s="7"/>
      <c r="BR163" s="7"/>
      <c r="BS163" s="7"/>
      <c r="BT163" s="7"/>
      <c r="BU163" s="7"/>
      <c r="BV163" s="7"/>
      <c r="BW163" s="7"/>
      <c r="BX163" s="7"/>
      <c r="BY163" s="7"/>
      <c r="BZ163" s="7"/>
      <c r="CA163" s="7"/>
      <c r="CB163" s="7"/>
    </row>
    <row r="164" ht="21.75" customHeight="1">
      <c r="A164" s="7">
        <v>260.0</v>
      </c>
      <c r="B164" s="7">
        <v>163.0</v>
      </c>
      <c r="C164" s="7" t="s">
        <v>2448</v>
      </c>
      <c r="D164" s="7" t="s">
        <v>2465</v>
      </c>
      <c r="E164" s="7"/>
      <c r="F164" s="7" t="s">
        <v>342</v>
      </c>
      <c r="G164" s="7" t="s">
        <v>343</v>
      </c>
      <c r="H164" s="7" t="s">
        <v>344</v>
      </c>
      <c r="I164" s="7" t="s">
        <v>2449</v>
      </c>
      <c r="J164" s="26" t="s">
        <v>2460</v>
      </c>
      <c r="K164" s="7" t="s">
        <v>58</v>
      </c>
      <c r="L164" s="7" t="s">
        <v>59</v>
      </c>
      <c r="M164" s="7" t="s">
        <v>2343</v>
      </c>
      <c r="N164" s="7" t="s">
        <v>1092</v>
      </c>
      <c r="O164" s="7">
        <v>97418.0</v>
      </c>
      <c r="P164" s="7" t="s">
        <v>348</v>
      </c>
      <c r="Q164" s="7" t="s">
        <v>349</v>
      </c>
      <c r="R164" s="7" t="s">
        <v>2466</v>
      </c>
      <c r="S164" s="7" t="s">
        <v>506</v>
      </c>
      <c r="T164" s="7" t="s">
        <v>2467</v>
      </c>
      <c r="U164" s="7" t="s">
        <v>353</v>
      </c>
      <c r="V164" s="7">
        <v>2.62591484E8</v>
      </c>
      <c r="W164" s="7">
        <v>6.92265022E8</v>
      </c>
      <c r="X164" s="7"/>
      <c r="Y164" s="7"/>
      <c r="Z164" s="7" t="s">
        <v>2461</v>
      </c>
      <c r="AA164" s="7">
        <v>17.0</v>
      </c>
      <c r="AB164" s="7"/>
      <c r="AC164" s="7" t="s">
        <v>2468</v>
      </c>
      <c r="AD164" s="7" t="s">
        <v>2469</v>
      </c>
      <c r="AE164" s="7"/>
      <c r="AF164" s="7"/>
      <c r="AG164" s="7"/>
      <c r="AH164" s="20">
        <v>39691.0</v>
      </c>
      <c r="AI164" s="7"/>
      <c r="AJ164" s="7" t="s">
        <v>2455</v>
      </c>
      <c r="AK164" s="7">
        <v>3.8298339300028E13</v>
      </c>
      <c r="AL164" s="7" t="s">
        <v>2456</v>
      </c>
      <c r="AM164" s="7" t="s">
        <v>2464</v>
      </c>
      <c r="AN164" s="20">
        <v>39575.0</v>
      </c>
      <c r="AO164" s="7">
        <v>97418.0</v>
      </c>
      <c r="AP164" s="7" t="s">
        <v>362</v>
      </c>
      <c r="AQ164" s="7"/>
      <c r="AR164" s="7"/>
      <c r="AS164" s="7"/>
      <c r="AT164" s="7"/>
      <c r="AU164" s="7">
        <v>4.0</v>
      </c>
      <c r="AV164" s="7" t="s">
        <v>2458</v>
      </c>
      <c r="AW164" s="7"/>
      <c r="AX164" s="7"/>
      <c r="AY164" s="7"/>
      <c r="AZ164" s="7" t="s">
        <v>2470</v>
      </c>
      <c r="BA164" s="7"/>
      <c r="BB164" s="7"/>
      <c r="BC164" s="7" t="s">
        <v>366</v>
      </c>
      <c r="BD164" s="21">
        <v>44125.177083333336</v>
      </c>
      <c r="BE164" s="7"/>
      <c r="BF164" s="7"/>
      <c r="BG164" s="22">
        <v>44125.0</v>
      </c>
      <c r="BH164" s="7">
        <v>3.82983393E8</v>
      </c>
      <c r="BI164" s="7" t="s">
        <v>2459</v>
      </c>
      <c r="BJ164" s="7"/>
      <c r="BK164" s="7" t="b">
        <v>0</v>
      </c>
      <c r="BL164" s="7" t="b">
        <v>0</v>
      </c>
      <c r="BM164" s="7"/>
      <c r="BN164" s="7" t="str">
        <f>IFERROR(__xludf.DUMMYFUNCTION(" IF( REGEXMATCH(C164 , ""[(].+[)]""),REGEXREPLACE( CONCATENATE(REGEXEXTRACT(C164 , ""[(].+[)]""),IF(REGEXMATCH(C164 , ""[(][Ll]['’][)]""),"""","" ""), REGEXEXTRACT(C164 ,""^(?:(?:[A-Za-zàäéèêîïöôûü0-9 ](?:[A-Za-zàäéèêîïöôûü'0-9 ]+)))"")) , ""[()]"", """")"&amp;",C164 )"),"Chez Dan's")</f>
        <v>Chez Dan's</v>
      </c>
      <c r="BO164" s="23"/>
      <c r="BP164" s="7"/>
      <c r="BQ164" s="7"/>
      <c r="BR164" s="7"/>
      <c r="BS164" s="7"/>
      <c r="BT164" s="7"/>
      <c r="BU164" s="7"/>
      <c r="BV164" s="7"/>
      <c r="BW164" s="7"/>
      <c r="BX164" s="7"/>
      <c r="BY164" s="7"/>
      <c r="BZ164" s="7"/>
      <c r="CA164" s="7"/>
      <c r="CB164" s="7"/>
    </row>
    <row r="165" ht="21.75" customHeight="1">
      <c r="A165" s="7">
        <v>4158.0</v>
      </c>
      <c r="B165" s="7" t="s">
        <v>2471</v>
      </c>
      <c r="C165" s="7" t="s">
        <v>2472</v>
      </c>
      <c r="D165" s="7"/>
      <c r="E165" s="7"/>
      <c r="F165" s="7" t="s">
        <v>342</v>
      </c>
      <c r="G165" s="7" t="s">
        <v>343</v>
      </c>
      <c r="H165" s="7" t="s">
        <v>344</v>
      </c>
      <c r="I165" s="7" t="s">
        <v>2473</v>
      </c>
      <c r="J165" s="7"/>
      <c r="K165" s="7" t="s">
        <v>34</v>
      </c>
      <c r="L165" s="7" t="s">
        <v>622</v>
      </c>
      <c r="M165" s="7" t="s">
        <v>622</v>
      </c>
      <c r="N165" s="7" t="s">
        <v>2474</v>
      </c>
      <c r="O165" s="7">
        <v>97418.0</v>
      </c>
      <c r="P165" s="7" t="s">
        <v>348</v>
      </c>
      <c r="Q165" s="7" t="s">
        <v>349</v>
      </c>
      <c r="R165" s="7"/>
      <c r="S165" s="7" t="s">
        <v>1725</v>
      </c>
      <c r="T165" s="7" t="s">
        <v>974</v>
      </c>
      <c r="U165" s="7" t="s">
        <v>353</v>
      </c>
      <c r="V165" s="7">
        <v>2.6244633E8</v>
      </c>
      <c r="W165" s="7">
        <v>6.92670329E8</v>
      </c>
      <c r="X165" s="7"/>
      <c r="Y165" s="7"/>
      <c r="Z165" s="7" t="s">
        <v>2475</v>
      </c>
      <c r="AA165" s="7">
        <v>50.0</v>
      </c>
      <c r="AB165" s="7"/>
      <c r="AC165" s="7" t="s">
        <v>2476</v>
      </c>
      <c r="AD165" s="7" t="s">
        <v>2477</v>
      </c>
      <c r="AE165" s="7"/>
      <c r="AF165" s="7"/>
      <c r="AG165" s="7"/>
      <c r="AH165" s="20">
        <v>42548.0</v>
      </c>
      <c r="AI165" s="7"/>
      <c r="AJ165" s="7" t="s">
        <v>2478</v>
      </c>
      <c r="AK165" s="7">
        <v>8.132416430001E13</v>
      </c>
      <c r="AL165" s="7" t="s">
        <v>2479</v>
      </c>
      <c r="AM165" s="7" t="s">
        <v>2480</v>
      </c>
      <c r="AN165" s="20">
        <v>42548.0</v>
      </c>
      <c r="AO165" s="7">
        <v>97410.0</v>
      </c>
      <c r="AP165" s="7" t="s">
        <v>512</v>
      </c>
      <c r="AQ165" s="7"/>
      <c r="AR165" s="7"/>
      <c r="AS165" s="7"/>
      <c r="AT165" s="7"/>
      <c r="AU165" s="7">
        <v>0.0</v>
      </c>
      <c r="AV165" s="7" t="s">
        <v>2481</v>
      </c>
      <c r="AW165" s="7"/>
      <c r="AX165" s="7"/>
      <c r="AY165" s="7"/>
      <c r="AZ165" s="7"/>
      <c r="BA165" s="7"/>
      <c r="BB165" s="7"/>
      <c r="BC165" s="7" t="s">
        <v>401</v>
      </c>
      <c r="BD165" s="21">
        <v>44193.39861111111</v>
      </c>
      <c r="BE165" s="7" t="s">
        <v>449</v>
      </c>
      <c r="BF165" s="7"/>
      <c r="BG165" s="7"/>
      <c r="BH165" s="7">
        <v>8.13241643E8</v>
      </c>
      <c r="BI165" s="7" t="s">
        <v>2482</v>
      </c>
      <c r="BJ165" s="7"/>
      <c r="BK165" s="7" t="b">
        <v>0</v>
      </c>
      <c r="BL165" s="7" t="b">
        <v>0</v>
      </c>
      <c r="BM165" s="7"/>
      <c r="BN165" s="7" t="str">
        <f>IFERROR(__xludf.DUMMYFUNCTION(" IF( REGEXMATCH(C165 , ""[(].+[)]""),REGEXREPLACE( CONCATENATE(REGEXEXTRACT(C165 , ""[(].+[)]""),IF(REGEXMATCH(C165 , ""[(][Ll]['’][)]""),"""","" ""), REGEXEXTRACT(C165 ,""^(?:(?:[A-Za-zàäéèêîïöôûü0-9 ](?:[A-Za-zàäéèêîïöôûü'0-9 ]+)))"")) , ""[()]"", """")"&amp;",C165 )"),"Chez Guilaine")</f>
        <v>Chez Guilaine</v>
      </c>
      <c r="BO165" s="25"/>
      <c r="BP165" s="7"/>
      <c r="BQ165" s="7"/>
      <c r="BR165" s="7"/>
      <c r="BS165" s="7"/>
      <c r="BT165" s="7"/>
      <c r="BU165" s="7"/>
      <c r="BV165" s="7"/>
      <c r="BW165" s="7"/>
      <c r="BX165" s="7"/>
      <c r="BY165" s="7"/>
      <c r="BZ165" s="7"/>
      <c r="CA165" s="7"/>
      <c r="CB165" s="7"/>
    </row>
    <row r="166" ht="21.75" customHeight="1">
      <c r="A166" s="7">
        <v>2987.0</v>
      </c>
      <c r="B166" s="7" t="s">
        <v>2483</v>
      </c>
      <c r="C166" s="7" t="s">
        <v>2484</v>
      </c>
      <c r="D166" s="7"/>
      <c r="E166" s="7"/>
      <c r="F166" s="7" t="s">
        <v>342</v>
      </c>
      <c r="G166" s="7" t="s">
        <v>343</v>
      </c>
      <c r="H166" s="7" t="s">
        <v>33</v>
      </c>
      <c r="I166" s="7" t="s">
        <v>2485</v>
      </c>
      <c r="J166" s="7"/>
      <c r="K166" s="7" t="s">
        <v>34</v>
      </c>
      <c r="L166" s="7" t="s">
        <v>485</v>
      </c>
      <c r="M166" s="7" t="s">
        <v>486</v>
      </c>
      <c r="N166" s="7" t="s">
        <v>455</v>
      </c>
      <c r="O166" s="7">
        <v>97442.0</v>
      </c>
      <c r="P166" s="7" t="s">
        <v>33</v>
      </c>
      <c r="Q166" s="7"/>
      <c r="R166" s="7"/>
      <c r="S166" s="7"/>
      <c r="T166" s="7" t="s">
        <v>377</v>
      </c>
      <c r="U166" s="7" t="s">
        <v>353</v>
      </c>
      <c r="V166" s="7">
        <v>2.62370963E8</v>
      </c>
      <c r="W166" s="7"/>
      <c r="X166" s="7"/>
      <c r="Y166" s="7">
        <v>2.62370758E8</v>
      </c>
      <c r="Z166" s="7" t="s">
        <v>2486</v>
      </c>
      <c r="AA166" s="7">
        <v>30.0</v>
      </c>
      <c r="AB166" s="7"/>
      <c r="AC166" s="7" t="s">
        <v>2487</v>
      </c>
      <c r="AD166" s="7" t="s">
        <v>2488</v>
      </c>
      <c r="AE166" s="7" t="s">
        <v>2489</v>
      </c>
      <c r="AF166" s="7"/>
      <c r="AG166" s="7"/>
      <c r="AH166" s="20">
        <v>40718.0</v>
      </c>
      <c r="AI166" s="7"/>
      <c r="AJ166" s="7" t="s">
        <v>2490</v>
      </c>
      <c r="AK166" s="7"/>
      <c r="AL166" s="7" t="s">
        <v>2491</v>
      </c>
      <c r="AM166" s="7" t="s">
        <v>2492</v>
      </c>
      <c r="AN166" s="20">
        <v>40718.0</v>
      </c>
      <c r="AO166" s="7">
        <v>97442.0</v>
      </c>
      <c r="AP166" s="7" t="s">
        <v>884</v>
      </c>
      <c r="AQ166" s="7"/>
      <c r="AR166" s="7"/>
      <c r="AS166" s="7"/>
      <c r="AT166" s="7"/>
      <c r="AU166" s="7">
        <v>0.0</v>
      </c>
      <c r="AV166" s="7" t="s">
        <v>2493</v>
      </c>
      <c r="AW166" s="7"/>
      <c r="AX166" s="7"/>
      <c r="AY166" s="7"/>
      <c r="AZ166" s="7"/>
      <c r="BA166" s="7"/>
      <c r="BB166" s="7"/>
      <c r="BC166" s="7" t="s">
        <v>401</v>
      </c>
      <c r="BD166" s="21">
        <v>44222.39722222222</v>
      </c>
      <c r="BE166" s="7" t="s">
        <v>2494</v>
      </c>
      <c r="BF166" s="7"/>
      <c r="BG166" s="7"/>
      <c r="BH166" s="7"/>
      <c r="BI166" s="7" t="s">
        <v>2495</v>
      </c>
      <c r="BJ166" s="7"/>
      <c r="BK166" s="7" t="b">
        <v>0</v>
      </c>
      <c r="BL166" s="7" t="b">
        <v>0</v>
      </c>
      <c r="BM166" s="7"/>
      <c r="BN166" s="7" t="str">
        <f>IFERROR(__xludf.DUMMYFUNCTION(" IF( REGEXMATCH(C166 , ""[(].+[)]""),REGEXREPLACE( CONCATENATE(REGEXEXTRACT(C166 , ""[(].+[)]""),IF(REGEXMATCH(C166 , ""[(][Ll]['’][)]""),"""","" ""), REGEXEXTRACT(C166 ,""^(?:(?:[A-Za-zàäéèêîïöôûü0-9 ](?:[A-Za-zàäéèêîïöôûü'0-9 ]+)))"")) , ""[()]"", """")"&amp;",C166 )"),"Chez Guimard")</f>
        <v>Chez Guimard</v>
      </c>
      <c r="BO166" s="25"/>
      <c r="BP166" s="7"/>
      <c r="BQ166" s="7"/>
      <c r="BR166" s="7"/>
      <c r="BS166" s="7"/>
      <c r="BT166" s="7"/>
      <c r="BU166" s="7"/>
      <c r="BV166" s="7"/>
      <c r="BW166" s="7"/>
      <c r="BX166" s="7"/>
      <c r="BY166" s="7"/>
      <c r="BZ166" s="7"/>
      <c r="CA166" s="7"/>
      <c r="CB166" s="7"/>
    </row>
    <row r="167" ht="21.75" customHeight="1">
      <c r="A167" s="7">
        <v>3983.0</v>
      </c>
      <c r="B167" s="7" t="s">
        <v>2496</v>
      </c>
      <c r="C167" s="7" t="s">
        <v>2497</v>
      </c>
      <c r="D167" s="7"/>
      <c r="E167" s="7"/>
      <c r="F167" s="7" t="s">
        <v>342</v>
      </c>
      <c r="G167" s="7" t="s">
        <v>343</v>
      </c>
      <c r="H167" s="7" t="s">
        <v>123</v>
      </c>
      <c r="I167" s="7" t="s">
        <v>2498</v>
      </c>
      <c r="J167" s="7"/>
      <c r="K167" s="7" t="s">
        <v>34</v>
      </c>
      <c r="L167" s="7" t="s">
        <v>622</v>
      </c>
      <c r="M167" s="7" t="s">
        <v>1347</v>
      </c>
      <c r="N167" s="7" t="s">
        <v>422</v>
      </c>
      <c r="O167" s="7">
        <v>97480.0</v>
      </c>
      <c r="P167" s="7" t="s">
        <v>123</v>
      </c>
      <c r="Q167" s="7" t="s">
        <v>946</v>
      </c>
      <c r="R167" s="7"/>
      <c r="S167" s="7"/>
      <c r="T167" s="7" t="s">
        <v>377</v>
      </c>
      <c r="U167" s="7" t="s">
        <v>353</v>
      </c>
      <c r="V167" s="7">
        <v>2.62565601E8</v>
      </c>
      <c r="W167" s="7"/>
      <c r="X167" s="7"/>
      <c r="Y167" s="7"/>
      <c r="Z167" s="7" t="s">
        <v>2499</v>
      </c>
      <c r="AA167" s="7">
        <v>70.0</v>
      </c>
      <c r="AB167" s="7"/>
      <c r="AC167" s="7" t="s">
        <v>2500</v>
      </c>
      <c r="AD167" s="7" t="s">
        <v>2501</v>
      </c>
      <c r="AE167" s="7"/>
      <c r="AF167" s="7"/>
      <c r="AG167" s="7"/>
      <c r="AH167" s="20">
        <v>42219.0</v>
      </c>
      <c r="AI167" s="7"/>
      <c r="AJ167" s="7" t="s">
        <v>2502</v>
      </c>
      <c r="AK167" s="7">
        <v>8.441702330001E13</v>
      </c>
      <c r="AL167" s="7" t="s">
        <v>2503</v>
      </c>
      <c r="AM167" s="7" t="s">
        <v>2504</v>
      </c>
      <c r="AN167" s="20">
        <v>39686.0</v>
      </c>
      <c r="AO167" s="7">
        <v>97480.0</v>
      </c>
      <c r="AP167" s="7" t="s">
        <v>385</v>
      </c>
      <c r="AQ167" s="7"/>
      <c r="AR167" s="7"/>
      <c r="AS167" s="7"/>
      <c r="AT167" s="7"/>
      <c r="AU167" s="7">
        <v>0.0</v>
      </c>
      <c r="AV167" s="7" t="s">
        <v>2505</v>
      </c>
      <c r="AW167" s="7"/>
      <c r="AX167" s="7"/>
      <c r="AY167" s="7"/>
      <c r="AZ167" s="7"/>
      <c r="BA167" s="7"/>
      <c r="BB167" s="7"/>
      <c r="BC167" s="7" t="s">
        <v>401</v>
      </c>
      <c r="BD167" s="21">
        <v>44221.37291666667</v>
      </c>
      <c r="BE167" s="7" t="s">
        <v>2506</v>
      </c>
      <c r="BF167" s="7"/>
      <c r="BG167" s="7"/>
      <c r="BH167" s="7">
        <v>8.44170233E8</v>
      </c>
      <c r="BI167" s="7" t="s">
        <v>2507</v>
      </c>
      <c r="BJ167" s="7"/>
      <c r="BK167" s="7" t="b">
        <v>0</v>
      </c>
      <c r="BL167" s="7" t="b">
        <v>0</v>
      </c>
      <c r="BM167" s="7"/>
      <c r="BN167" s="7" t="str">
        <f>IFERROR(__xludf.DUMMYFUNCTION(" IF( REGEXMATCH(C167 , ""[(].+[)]""),REGEXREPLACE( CONCATENATE(REGEXEXTRACT(C167 , ""[(].+[)]""),IF(REGEXMATCH(C167 , ""[(][Ll]['’][)]""),"""","" ""), REGEXEXTRACT(C167 ,""^(?:(?:[A-Za-zàäéèêîïöôûü0-9 ](?:[A-Za-zàäéèêîïöôûü'0-9 ]+)))"")) , ""[()]"", """")"&amp;",C167 )"),"Chez Jim")</f>
        <v>Chez Jim</v>
      </c>
      <c r="BO167" s="25"/>
      <c r="BP167" s="7"/>
      <c r="BQ167" s="7"/>
      <c r="BR167" s="7"/>
      <c r="BS167" s="7"/>
      <c r="BT167" s="7"/>
      <c r="BU167" s="7"/>
      <c r="BV167" s="7"/>
      <c r="BW167" s="7"/>
      <c r="BX167" s="7"/>
      <c r="BY167" s="7"/>
      <c r="BZ167" s="7"/>
      <c r="CA167" s="7"/>
      <c r="CB167" s="7"/>
    </row>
    <row r="168" ht="21.75" customHeight="1">
      <c r="A168" s="7">
        <v>972.0</v>
      </c>
      <c r="B168" s="7" t="s">
        <v>2508</v>
      </c>
      <c r="C168" s="7" t="s">
        <v>2509</v>
      </c>
      <c r="D168" s="7" t="s">
        <v>2509</v>
      </c>
      <c r="E168" s="7"/>
      <c r="F168" s="7" t="s">
        <v>342</v>
      </c>
      <c r="G168" s="7" t="s">
        <v>343</v>
      </c>
      <c r="H168" s="7" t="s">
        <v>123</v>
      </c>
      <c r="I168" s="7" t="s">
        <v>2510</v>
      </c>
      <c r="J168" s="7"/>
      <c r="K168" s="7" t="s">
        <v>34</v>
      </c>
      <c r="L168" s="7" t="s">
        <v>622</v>
      </c>
      <c r="M168" s="7" t="s">
        <v>622</v>
      </c>
      <c r="N168" s="7" t="s">
        <v>1674</v>
      </c>
      <c r="O168" s="7">
        <v>97480.0</v>
      </c>
      <c r="P168" s="7" t="s">
        <v>123</v>
      </c>
      <c r="Q168" s="7"/>
      <c r="R168" s="7" t="s">
        <v>2511</v>
      </c>
      <c r="S168" s="7" t="s">
        <v>2512</v>
      </c>
      <c r="T168" s="7" t="s">
        <v>1612</v>
      </c>
      <c r="U168" s="7" t="s">
        <v>353</v>
      </c>
      <c r="V168" s="7">
        <v>2.62314883E8</v>
      </c>
      <c r="W168" s="7"/>
      <c r="X168" s="7"/>
      <c r="Y168" s="7"/>
      <c r="Z168" s="7" t="s">
        <v>2513</v>
      </c>
      <c r="AA168" s="7">
        <v>30.0</v>
      </c>
      <c r="AB168" s="7"/>
      <c r="AC168" s="7" t="s">
        <v>2514</v>
      </c>
      <c r="AD168" s="7" t="s">
        <v>2515</v>
      </c>
      <c r="AE168" s="7"/>
      <c r="AF168" s="7"/>
      <c r="AG168" s="7" t="s">
        <v>653</v>
      </c>
      <c r="AH168" s="20">
        <v>39597.0</v>
      </c>
      <c r="AI168" s="7"/>
      <c r="AJ168" s="7" t="s">
        <v>2516</v>
      </c>
      <c r="AK168" s="7">
        <v>4.2890986500019E13</v>
      </c>
      <c r="AL168" s="7" t="s">
        <v>2517</v>
      </c>
      <c r="AM168" s="7" t="s">
        <v>2518</v>
      </c>
      <c r="AN168" s="20">
        <v>39597.0</v>
      </c>
      <c r="AO168" s="7">
        <v>97480.0</v>
      </c>
      <c r="AP168" s="7" t="s">
        <v>385</v>
      </c>
      <c r="AQ168" s="7"/>
      <c r="AR168" s="7"/>
      <c r="AS168" s="7"/>
      <c r="AT168" s="7"/>
      <c r="AU168" s="7">
        <v>0.0</v>
      </c>
      <c r="AV168" s="7" t="s">
        <v>2519</v>
      </c>
      <c r="AW168" s="7"/>
      <c r="AX168" s="7"/>
      <c r="AY168" s="7"/>
      <c r="AZ168" s="7"/>
      <c r="BA168" s="7"/>
      <c r="BB168" s="7"/>
      <c r="BC168" s="7" t="s">
        <v>401</v>
      </c>
      <c r="BD168" s="21">
        <v>44221.37013888889</v>
      </c>
      <c r="BE168" s="7" t="s">
        <v>2520</v>
      </c>
      <c r="BF168" s="7"/>
      <c r="BG168" s="7"/>
      <c r="BH168" s="7">
        <v>4.28909865E8</v>
      </c>
      <c r="BI168" s="7" t="s">
        <v>2521</v>
      </c>
      <c r="BJ168" s="7"/>
      <c r="BK168" s="7" t="b">
        <v>0</v>
      </c>
      <c r="BL168" s="7" t="b">
        <v>0</v>
      </c>
      <c r="BM168" s="7"/>
      <c r="BN168" s="7" t="str">
        <f>IFERROR(__xludf.DUMMYFUNCTION(" IF( REGEXMATCH(C168 , ""[(].+[)]""),REGEXREPLACE( CONCATENATE(REGEXEXTRACT(C168 , ""[(].+[)]""),IF(REGEXMATCH(C168 , ""[(][Ll]['’][)]""),"""","" ""), REGEXEXTRACT(C168 ,""^(?:(?:[A-Za-zàäéèêîïöôûü0-9 ](?:[A-Za-zàäéèêîïöôûü'0-9 ]+)))"")) , ""[()]"", """")"&amp;",C168 )"),"Chez Jo")</f>
        <v>Chez Jo</v>
      </c>
      <c r="BO168" s="25"/>
      <c r="BP168" s="7"/>
      <c r="BQ168" s="7"/>
      <c r="BR168" s="7"/>
      <c r="BS168" s="7"/>
      <c r="BT168" s="7"/>
      <c r="BU168" s="7"/>
      <c r="BV168" s="7"/>
      <c r="BW168" s="7"/>
      <c r="BX168" s="7"/>
      <c r="BY168" s="7"/>
      <c r="BZ168" s="7"/>
      <c r="CA168" s="7"/>
      <c r="CB168" s="7"/>
    </row>
    <row r="169" ht="21.75" customHeight="1">
      <c r="A169" s="7">
        <v>867.0</v>
      </c>
      <c r="B169" s="7" t="s">
        <v>2522</v>
      </c>
      <c r="C169" s="7" t="s">
        <v>2523</v>
      </c>
      <c r="D169" s="7" t="s">
        <v>2523</v>
      </c>
      <c r="E169" s="7"/>
      <c r="F169" s="7" t="s">
        <v>342</v>
      </c>
      <c r="G169" s="7" t="s">
        <v>343</v>
      </c>
      <c r="H169" s="7" t="s">
        <v>344</v>
      </c>
      <c r="I169" s="7" t="s">
        <v>2524</v>
      </c>
      <c r="J169" s="7"/>
      <c r="K169" s="7" t="s">
        <v>58</v>
      </c>
      <c r="L169" s="7" t="s">
        <v>59</v>
      </c>
      <c r="M169" s="7" t="s">
        <v>346</v>
      </c>
      <c r="N169" s="7" t="s">
        <v>2525</v>
      </c>
      <c r="O169" s="7">
        <v>97430.0</v>
      </c>
      <c r="P169" s="7" t="s">
        <v>344</v>
      </c>
      <c r="Q169" s="7"/>
      <c r="R169" s="7" t="s">
        <v>2526</v>
      </c>
      <c r="S169" s="7" t="s">
        <v>1611</v>
      </c>
      <c r="T169" s="7" t="s">
        <v>352</v>
      </c>
      <c r="U169" s="7" t="s">
        <v>592</v>
      </c>
      <c r="V169" s="7">
        <v>2.62272238E8</v>
      </c>
      <c r="W169" s="7">
        <v>6.92699218E8</v>
      </c>
      <c r="X169" s="7"/>
      <c r="Y169" s="7">
        <v>2.62272238E8</v>
      </c>
      <c r="Z169" s="7" t="s">
        <v>2527</v>
      </c>
      <c r="AA169" s="7">
        <v>12.0</v>
      </c>
      <c r="AB169" s="7"/>
      <c r="AC169" s="7" t="s">
        <v>2528</v>
      </c>
      <c r="AD169" s="7" t="s">
        <v>2529</v>
      </c>
      <c r="AE169" s="7" t="s">
        <v>2530</v>
      </c>
      <c r="AF169" s="7"/>
      <c r="AG169" s="7"/>
      <c r="AH169" s="20">
        <v>39575.0</v>
      </c>
      <c r="AI169" s="7"/>
      <c r="AJ169" s="7" t="s">
        <v>2531</v>
      </c>
      <c r="AK169" s="7"/>
      <c r="AL169" s="7" t="s">
        <v>2532</v>
      </c>
      <c r="AM169" s="7" t="s">
        <v>2533</v>
      </c>
      <c r="AN169" s="20">
        <v>39575.0</v>
      </c>
      <c r="AO169" s="7">
        <v>97430.0</v>
      </c>
      <c r="AP169" s="7" t="s">
        <v>494</v>
      </c>
      <c r="AQ169" s="7"/>
      <c r="AR169" s="7"/>
      <c r="AS169" s="7"/>
      <c r="AT169" s="7"/>
      <c r="AU169" s="7">
        <v>3.0</v>
      </c>
      <c r="AV169" s="7" t="s">
        <v>2534</v>
      </c>
      <c r="AW169" s="7"/>
      <c r="AX169" s="7" t="s">
        <v>2535</v>
      </c>
      <c r="AY169" s="7" t="s">
        <v>1962</v>
      </c>
      <c r="AZ169" s="7" t="s">
        <v>2536</v>
      </c>
      <c r="BA169" s="7"/>
      <c r="BB169" s="7"/>
      <c r="BC169" s="7" t="s">
        <v>401</v>
      </c>
      <c r="BD169" s="21">
        <v>44126.20277777778</v>
      </c>
      <c r="BE169" s="7" t="s">
        <v>2537</v>
      </c>
      <c r="BF169" s="7"/>
      <c r="BG169" s="7"/>
      <c r="BH169" s="7"/>
      <c r="BI169" s="7" t="s">
        <v>2538</v>
      </c>
      <c r="BJ169" s="7"/>
      <c r="BK169" s="7" t="b">
        <v>0</v>
      </c>
      <c r="BL169" s="7" t="b">
        <v>0</v>
      </c>
      <c r="BM169" s="7"/>
      <c r="BN169" s="7" t="str">
        <f>IFERROR(__xludf.DUMMYFUNCTION(" IF( REGEXMATCH(C169 , ""[(].+[)]""),REGEXREPLACE( CONCATENATE(REGEXEXTRACT(C169 , ""[(].+[)]""),IF(REGEXMATCH(C169 , ""[(][Ll]['’][)]""),"""","" ""), REGEXEXTRACT(C169 ,""^(?:(?:[A-Za-zàäéèêîïöôûü0-9 ](?:[A-Za-zàäéèêîïöôûü'0-9 ]+)))"")) , ""[()]"", """")"&amp;",C169 )"),"Chez Madame Mézino")</f>
        <v>Chez Madame Mézino</v>
      </c>
      <c r="BO169" s="25"/>
      <c r="BP169" s="7"/>
      <c r="BQ169" s="7"/>
      <c r="BR169" s="7"/>
      <c r="BS169" s="7"/>
      <c r="BT169" s="7"/>
      <c r="BU169" s="7"/>
      <c r="BV169" s="7"/>
      <c r="BW169" s="7"/>
      <c r="BX169" s="7"/>
      <c r="BY169" s="7"/>
      <c r="BZ169" s="7"/>
      <c r="CA169" s="7"/>
      <c r="CB169" s="7"/>
    </row>
    <row r="170" ht="21.75" customHeight="1">
      <c r="A170" s="7">
        <v>3859.0</v>
      </c>
      <c r="B170" s="7">
        <v>169.0</v>
      </c>
      <c r="C170" s="7" t="s">
        <v>2539</v>
      </c>
      <c r="D170" s="7"/>
      <c r="E170" s="7"/>
      <c r="F170" s="7" t="s">
        <v>404</v>
      </c>
      <c r="G170" s="7" t="s">
        <v>343</v>
      </c>
      <c r="H170" s="7" t="s">
        <v>344</v>
      </c>
      <c r="I170" s="7" t="s">
        <v>2540</v>
      </c>
      <c r="J170" s="7"/>
      <c r="K170" s="7" t="s">
        <v>34</v>
      </c>
      <c r="L170" s="7" t="s">
        <v>622</v>
      </c>
      <c r="M170" s="7" t="s">
        <v>622</v>
      </c>
      <c r="N170" s="7" t="s">
        <v>664</v>
      </c>
      <c r="O170" s="7">
        <v>97430.0</v>
      </c>
      <c r="P170" s="7" t="s">
        <v>344</v>
      </c>
      <c r="Q170" s="7"/>
      <c r="R170" s="7"/>
      <c r="S170" s="7" t="s">
        <v>2541</v>
      </c>
      <c r="T170" s="7" t="s">
        <v>377</v>
      </c>
      <c r="U170" s="7" t="s">
        <v>378</v>
      </c>
      <c r="V170" s="7">
        <v>2.62012011E8</v>
      </c>
      <c r="W170" s="7">
        <v>6.92489387E8</v>
      </c>
      <c r="X170" s="7"/>
      <c r="Y170" s="7"/>
      <c r="Z170" s="7"/>
      <c r="AA170" s="7"/>
      <c r="AB170" s="7"/>
      <c r="AC170" s="7" t="s">
        <v>2542</v>
      </c>
      <c r="AD170" s="7" t="s">
        <v>2543</v>
      </c>
      <c r="AE170" s="7"/>
      <c r="AF170" s="7"/>
      <c r="AG170" s="7"/>
      <c r="AH170" s="20">
        <v>42152.0</v>
      </c>
      <c r="AI170" s="7"/>
      <c r="AJ170" s="7" t="s">
        <v>2539</v>
      </c>
      <c r="AK170" s="7"/>
      <c r="AL170" s="7" t="s">
        <v>1888</v>
      </c>
      <c r="AM170" s="7" t="s">
        <v>1889</v>
      </c>
      <c r="AN170" s="20">
        <v>42152.0</v>
      </c>
      <c r="AO170" s="7">
        <v>97430.0</v>
      </c>
      <c r="AP170" s="7" t="s">
        <v>494</v>
      </c>
      <c r="AQ170" s="7"/>
      <c r="AR170" s="7"/>
      <c r="AS170" s="7"/>
      <c r="AT170" s="7"/>
      <c r="AU170" s="7">
        <v>0.0</v>
      </c>
      <c r="AV170" s="7" t="s">
        <v>2544</v>
      </c>
      <c r="AW170" s="7"/>
      <c r="AX170" s="7"/>
      <c r="AY170" s="7"/>
      <c r="AZ170" s="7"/>
      <c r="BA170" s="7"/>
      <c r="BB170" s="7"/>
      <c r="BC170" s="7" t="s">
        <v>366</v>
      </c>
      <c r="BD170" s="21">
        <v>44199.38680555556</v>
      </c>
      <c r="BE170" s="7"/>
      <c r="BF170" s="7"/>
      <c r="BG170" s="22">
        <v>44199.0</v>
      </c>
      <c r="BH170" s="7"/>
      <c r="BI170" s="7" t="s">
        <v>1892</v>
      </c>
      <c r="BJ170" s="7"/>
      <c r="BK170" s="7" t="b">
        <v>0</v>
      </c>
      <c r="BL170" s="7" t="b">
        <v>0</v>
      </c>
      <c r="BM170" s="7"/>
      <c r="BN170" s="7" t="str">
        <f>IFERROR(__xludf.DUMMYFUNCTION(" IF( REGEXMATCH(C170 , ""[(].+[)]""),REGEXREPLACE( CONCATENATE(REGEXEXTRACT(C170 , ""[(].+[)]""),IF(REGEXMATCH(C170 , ""[(][Ll]['’][)]""),"""","" ""), REGEXEXTRACT(C170 ,""^(?:(?:[A-Za-zàäéèêîïöôûü0-9 ](?:[A-Za-zàäéèêîïöôûü'0-9 ]+)))"")) , ""[()]"", """")"&amp;",C170 )"),"Chez Malika")</f>
        <v>Chez Malika</v>
      </c>
      <c r="BO170" s="23"/>
      <c r="BP170" s="7"/>
      <c r="BQ170" s="7"/>
      <c r="BR170" s="7"/>
      <c r="BS170" s="7"/>
      <c r="BT170" s="7"/>
      <c r="BU170" s="7"/>
      <c r="BV170" s="7"/>
      <c r="BW170" s="7"/>
      <c r="BX170" s="7"/>
      <c r="BY170" s="7"/>
      <c r="BZ170" s="7"/>
      <c r="CA170" s="7"/>
      <c r="CB170" s="7"/>
    </row>
    <row r="171" ht="21.75" customHeight="1">
      <c r="A171" s="7">
        <v>4566.0</v>
      </c>
      <c r="B171" s="7" t="s">
        <v>2545</v>
      </c>
      <c r="C171" s="7" t="s">
        <v>2546</v>
      </c>
      <c r="D171" s="7"/>
      <c r="E171" s="7"/>
      <c r="F171" s="7" t="s">
        <v>342</v>
      </c>
      <c r="G171" s="7" t="s">
        <v>343</v>
      </c>
      <c r="H171" s="7" t="s">
        <v>344</v>
      </c>
      <c r="I171" s="7" t="s">
        <v>2547</v>
      </c>
      <c r="J171" s="26" t="s">
        <v>2548</v>
      </c>
      <c r="K171" s="7" t="s">
        <v>34</v>
      </c>
      <c r="L171" s="7" t="s">
        <v>622</v>
      </c>
      <c r="M171" s="7" t="s">
        <v>622</v>
      </c>
      <c r="N171" s="7"/>
      <c r="O171" s="7">
        <v>97430.0</v>
      </c>
      <c r="P171" s="7" t="s">
        <v>344</v>
      </c>
      <c r="Q171" s="7"/>
      <c r="R171" s="7"/>
      <c r="S171" s="7"/>
      <c r="T171" s="7"/>
      <c r="U171" s="7"/>
      <c r="V171" s="7">
        <v>2.62421053E8</v>
      </c>
      <c r="W171" s="7"/>
      <c r="X171" s="7"/>
      <c r="Y171" s="7"/>
      <c r="Z171" s="7" t="s">
        <v>2549</v>
      </c>
      <c r="AA171" s="7"/>
      <c r="AB171" s="7"/>
      <c r="AC171" s="7" t="s">
        <v>2550</v>
      </c>
      <c r="AD171" s="7" t="s">
        <v>2551</v>
      </c>
      <c r="AE171" s="7"/>
      <c r="AF171" s="7"/>
      <c r="AG171" s="7"/>
      <c r="AH171" s="20">
        <v>43354.0</v>
      </c>
      <c r="AI171" s="7"/>
      <c r="AJ171" s="7" t="s">
        <v>2546</v>
      </c>
      <c r="AK171" s="7"/>
      <c r="AL171" s="7" t="s">
        <v>2552</v>
      </c>
      <c r="AM171" s="7" t="s">
        <v>2553</v>
      </c>
      <c r="AN171" s="20">
        <v>43354.0</v>
      </c>
      <c r="AO171" s="7">
        <v>97430.0</v>
      </c>
      <c r="AP171" s="7" t="s">
        <v>494</v>
      </c>
      <c r="AQ171" s="7"/>
      <c r="AR171" s="7"/>
      <c r="AS171" s="7"/>
      <c r="AT171" s="7"/>
      <c r="AU171" s="7">
        <v>0.0</v>
      </c>
      <c r="AV171" s="7" t="s">
        <v>2554</v>
      </c>
      <c r="AW171" s="7"/>
      <c r="AX171" s="7"/>
      <c r="AY171" s="7"/>
      <c r="AZ171" s="7"/>
      <c r="BA171" s="7"/>
      <c r="BB171" s="7"/>
      <c r="BC171" s="7" t="s">
        <v>401</v>
      </c>
      <c r="BD171" s="21">
        <v>44199.44375</v>
      </c>
      <c r="BE171" s="7" t="s">
        <v>305</v>
      </c>
      <c r="BF171" s="7"/>
      <c r="BG171" s="7"/>
      <c r="BH171" s="7"/>
      <c r="BI171" s="7" t="s">
        <v>2555</v>
      </c>
      <c r="BJ171" s="7"/>
      <c r="BK171" s="7" t="b">
        <v>0</v>
      </c>
      <c r="BL171" s="7" t="b">
        <v>0</v>
      </c>
      <c r="BM171" s="7"/>
      <c r="BN171" s="7" t="str">
        <f>IFERROR(__xludf.DUMMYFUNCTION(" IF( REGEXMATCH(C171 , ""[(].+[)]""),REGEXREPLACE( CONCATENATE(REGEXEXTRACT(C171 , ""[(].+[)]""),IF(REGEXMATCH(C171 , ""[(][Ll]['’][)]""),"""","" ""), REGEXEXTRACT(C171 ,""^(?:(?:[A-Za-zàäéèêîïöôûü0-9 ](?:[A-Za-zàäéèêîïöôûü'0-9 ]+)))"")) , ""[()]"", """")"&amp;",C171 )"),"Chez Manman")</f>
        <v>Chez Manman</v>
      </c>
      <c r="BO171" s="25"/>
      <c r="BP171" s="7"/>
      <c r="BQ171" s="7"/>
      <c r="BR171" s="7"/>
      <c r="BS171" s="7"/>
      <c r="BT171" s="7"/>
      <c r="BU171" s="7"/>
      <c r="BV171" s="7"/>
      <c r="BW171" s="7"/>
      <c r="BX171" s="7"/>
      <c r="BY171" s="7"/>
      <c r="BZ171" s="7"/>
      <c r="CA171" s="7"/>
      <c r="CB171" s="7"/>
    </row>
    <row r="172" ht="21.75" customHeight="1">
      <c r="A172" s="7">
        <v>4246.0</v>
      </c>
      <c r="B172" s="7">
        <v>171.0</v>
      </c>
      <c r="C172" s="7" t="s">
        <v>2556</v>
      </c>
      <c r="D172" s="7"/>
      <c r="E172" s="7"/>
      <c r="F172" s="7" t="s">
        <v>342</v>
      </c>
      <c r="G172" s="7" t="s">
        <v>343</v>
      </c>
      <c r="H172" s="7" t="s">
        <v>344</v>
      </c>
      <c r="I172" s="7" t="s">
        <v>2557</v>
      </c>
      <c r="J172" s="7"/>
      <c r="K172" s="7" t="s">
        <v>58</v>
      </c>
      <c r="L172" s="7" t="s">
        <v>453</v>
      </c>
      <c r="M172" s="7" t="s">
        <v>454</v>
      </c>
      <c r="N172" s="7" t="s">
        <v>455</v>
      </c>
      <c r="O172" s="7">
        <v>97430.0</v>
      </c>
      <c r="P172" s="7" t="s">
        <v>344</v>
      </c>
      <c r="Q172" s="7"/>
      <c r="R172" s="7" t="s">
        <v>2558</v>
      </c>
      <c r="S172" s="7"/>
      <c r="T172" s="7" t="s">
        <v>1863</v>
      </c>
      <c r="U172" s="7" t="s">
        <v>424</v>
      </c>
      <c r="V172" s="7"/>
      <c r="W172" s="7">
        <v>6.92052797E8</v>
      </c>
      <c r="X172" s="7"/>
      <c r="Y172" s="7"/>
      <c r="Z172" s="7" t="s">
        <v>2559</v>
      </c>
      <c r="AA172" s="7">
        <v>4.0</v>
      </c>
      <c r="AB172" s="7" t="s">
        <v>574</v>
      </c>
      <c r="AC172" s="7" t="s">
        <v>2560</v>
      </c>
      <c r="AD172" s="7" t="s">
        <v>2561</v>
      </c>
      <c r="AE172" s="7" t="s">
        <v>2562</v>
      </c>
      <c r="AF172" s="7"/>
      <c r="AG172" s="7" t="s">
        <v>578</v>
      </c>
      <c r="AH172" s="20">
        <v>42747.0</v>
      </c>
      <c r="AI172" s="7"/>
      <c r="AJ172" s="7" t="s">
        <v>2563</v>
      </c>
      <c r="AK172" s="7">
        <v>8.2361340100012E13</v>
      </c>
      <c r="AL172" s="7" t="s">
        <v>2564</v>
      </c>
      <c r="AM172" s="7" t="s">
        <v>2565</v>
      </c>
      <c r="AN172" s="20">
        <v>42747.0</v>
      </c>
      <c r="AO172" s="7">
        <v>97430.0</v>
      </c>
      <c r="AP172" s="7" t="s">
        <v>494</v>
      </c>
      <c r="AQ172" s="7"/>
      <c r="AR172" s="7"/>
      <c r="AS172" s="7"/>
      <c r="AT172" s="7"/>
      <c r="AU172" s="7">
        <v>2.0</v>
      </c>
      <c r="AV172" s="7" t="s">
        <v>2566</v>
      </c>
      <c r="AW172" s="7"/>
      <c r="AX172" s="7"/>
      <c r="AY172" s="7"/>
      <c r="AZ172" s="7"/>
      <c r="BA172" s="7"/>
      <c r="BB172" s="7"/>
      <c r="BC172" s="7" t="s">
        <v>366</v>
      </c>
      <c r="BD172" s="21">
        <v>44197.0</v>
      </c>
      <c r="BE172" s="7"/>
      <c r="BF172" s="7"/>
      <c r="BG172" s="22">
        <v>44197.0</v>
      </c>
      <c r="BH172" s="7">
        <v>8.23613401E8</v>
      </c>
      <c r="BI172" s="7" t="s">
        <v>2567</v>
      </c>
      <c r="BJ172" s="7"/>
      <c r="BK172" s="7" t="b">
        <v>0</v>
      </c>
      <c r="BL172" s="7" t="b">
        <v>0</v>
      </c>
      <c r="BM172" s="7"/>
      <c r="BN172" s="7" t="str">
        <f>IFERROR(__xludf.DUMMYFUNCTION(" IF( REGEXMATCH(C172 , ""[(].+[)]""),REGEXREPLACE( CONCATENATE(REGEXEXTRACT(C172 , ""[(].+[)]""),IF(REGEXMATCH(C172 , ""[(][Ll]['’][)]""),"""","" ""), REGEXEXTRACT(C172 ,""^(?:(?:[A-Za-zàäéèêîïöôûü0-9 ](?:[A-Za-zàäéèêîïöôûü'0-9 ]+)))"")) , ""[()]"", """")"&amp;",C172 )"),"Chez Marie")</f>
        <v>Chez Marie</v>
      </c>
      <c r="BO172" s="23"/>
      <c r="BP172" s="7"/>
      <c r="BQ172" s="7"/>
      <c r="BR172" s="7"/>
      <c r="BS172" s="7"/>
      <c r="BT172" s="7"/>
      <c r="BU172" s="7"/>
      <c r="BV172" s="7"/>
      <c r="BW172" s="7"/>
      <c r="BX172" s="7"/>
      <c r="BY172" s="7"/>
      <c r="BZ172" s="7"/>
      <c r="CA172" s="7"/>
      <c r="CB172" s="7"/>
    </row>
    <row r="173" ht="21.75" customHeight="1">
      <c r="A173" s="7">
        <v>2983.0</v>
      </c>
      <c r="B173" s="7" t="s">
        <v>2568</v>
      </c>
      <c r="C173" s="7" t="s">
        <v>2569</v>
      </c>
      <c r="D173" s="7"/>
      <c r="E173" s="7"/>
      <c r="F173" s="7" t="s">
        <v>342</v>
      </c>
      <c r="G173" s="7" t="s">
        <v>343</v>
      </c>
      <c r="H173" s="7" t="s">
        <v>33</v>
      </c>
      <c r="I173" s="7" t="s">
        <v>2570</v>
      </c>
      <c r="J173" s="7"/>
      <c r="K173" s="7" t="s">
        <v>34</v>
      </c>
      <c r="L173" s="7" t="s">
        <v>622</v>
      </c>
      <c r="M173" s="7" t="s">
        <v>622</v>
      </c>
      <c r="N173" s="7" t="s">
        <v>1001</v>
      </c>
      <c r="O173" s="7">
        <v>97442.0</v>
      </c>
      <c r="P173" s="7" t="s">
        <v>33</v>
      </c>
      <c r="Q173" s="7"/>
      <c r="R173" s="7"/>
      <c r="S173" s="7"/>
      <c r="T173" s="7" t="s">
        <v>1838</v>
      </c>
      <c r="U173" s="7" t="s">
        <v>353</v>
      </c>
      <c r="V173" s="7"/>
      <c r="W173" s="7">
        <v>6.92344149E8</v>
      </c>
      <c r="X173" s="7">
        <v>6.92332703E8</v>
      </c>
      <c r="Y173" s="7"/>
      <c r="Z173" s="7" t="s">
        <v>2571</v>
      </c>
      <c r="AA173" s="7">
        <v>40.0</v>
      </c>
      <c r="AB173" s="7"/>
      <c r="AC173" s="7" t="s">
        <v>2572</v>
      </c>
      <c r="AD173" s="7" t="s">
        <v>2573</v>
      </c>
      <c r="AE173" s="7" t="s">
        <v>2574</v>
      </c>
      <c r="AF173" s="7"/>
      <c r="AG173" s="7" t="s">
        <v>597</v>
      </c>
      <c r="AH173" s="20">
        <v>40717.0</v>
      </c>
      <c r="AI173" s="7"/>
      <c r="AJ173" s="7" t="s">
        <v>2569</v>
      </c>
      <c r="AK173" s="7"/>
      <c r="AL173" s="7" t="s">
        <v>2575</v>
      </c>
      <c r="AM173" s="7" t="s">
        <v>2576</v>
      </c>
      <c r="AN173" s="20">
        <v>40717.0</v>
      </c>
      <c r="AO173" s="7">
        <v>97442.0</v>
      </c>
      <c r="AP173" s="7" t="s">
        <v>884</v>
      </c>
      <c r="AQ173" s="7"/>
      <c r="AR173" s="7"/>
      <c r="AS173" s="7"/>
      <c r="AT173" s="7"/>
      <c r="AU173" s="7">
        <v>0.0</v>
      </c>
      <c r="AV173" s="7" t="s">
        <v>2577</v>
      </c>
      <c r="AW173" s="7"/>
      <c r="AX173" s="7"/>
      <c r="AY173" s="7"/>
      <c r="AZ173" s="7"/>
      <c r="BA173" s="7"/>
      <c r="BB173" s="7"/>
      <c r="BC173" s="7" t="s">
        <v>401</v>
      </c>
      <c r="BD173" s="21">
        <v>44237.40277777778</v>
      </c>
      <c r="BE173" s="7" t="s">
        <v>2578</v>
      </c>
      <c r="BF173" s="7"/>
      <c r="BG173" s="7"/>
      <c r="BH173" s="7"/>
      <c r="BI173" s="7" t="s">
        <v>2579</v>
      </c>
      <c r="BJ173" s="7"/>
      <c r="BK173" s="7" t="b">
        <v>0</v>
      </c>
      <c r="BL173" s="7" t="b">
        <v>0</v>
      </c>
      <c r="BM173" s="7"/>
      <c r="BN173" s="7" t="str">
        <f>IFERROR(__xludf.DUMMYFUNCTION(" IF( REGEXMATCH(C173 , ""[(].+[)]""),REGEXREPLACE( CONCATENATE(REGEXEXTRACT(C173 , ""[(].+[)]""),IF(REGEXMATCH(C173 , ""[(][Ll]['’][)]""),"""","" ""), REGEXEXTRACT(C173 ,""^(?:(?:[A-Za-zàäéèêîïöôûü0-9 ](?:[A-Za-zàäéèêîïöôûü'0-9 ]+)))"")) , ""[()]"", """")"&amp;",C173 )"),"Chez Moustache et Rose-May")</f>
        <v>Chez Moustache et Rose-May</v>
      </c>
      <c r="BO173" s="25"/>
      <c r="BP173" s="7"/>
      <c r="BQ173" s="7"/>
      <c r="BR173" s="7"/>
      <c r="BS173" s="7"/>
      <c r="BT173" s="7"/>
      <c r="BU173" s="7"/>
      <c r="BV173" s="7"/>
      <c r="BW173" s="7"/>
      <c r="BX173" s="7"/>
      <c r="BY173" s="7"/>
      <c r="BZ173" s="7"/>
      <c r="CA173" s="7"/>
      <c r="CB173" s="7"/>
    </row>
    <row r="174" ht="21.75" customHeight="1">
      <c r="A174" s="7">
        <v>1535.0</v>
      </c>
      <c r="B174" s="7">
        <v>173.0</v>
      </c>
      <c r="C174" s="7" t="s">
        <v>2580</v>
      </c>
      <c r="D174" s="7" t="s">
        <v>2580</v>
      </c>
      <c r="E174" s="7"/>
      <c r="F174" s="7" t="s">
        <v>404</v>
      </c>
      <c r="G174" s="7" t="s">
        <v>343</v>
      </c>
      <c r="H174" s="7" t="s">
        <v>344</v>
      </c>
      <c r="I174" s="7" t="s">
        <v>2581</v>
      </c>
      <c r="J174" s="7"/>
      <c r="K174" s="7" t="s">
        <v>58</v>
      </c>
      <c r="L174" s="7" t="s">
        <v>137</v>
      </c>
      <c r="M174" s="7" t="s">
        <v>1091</v>
      </c>
      <c r="N174" s="7" t="s">
        <v>347</v>
      </c>
      <c r="O174" s="7">
        <v>97418.0</v>
      </c>
      <c r="P174" s="7" t="s">
        <v>348</v>
      </c>
      <c r="Q174" s="7" t="s">
        <v>570</v>
      </c>
      <c r="R174" s="7" t="s">
        <v>2582</v>
      </c>
      <c r="S174" s="7" t="s">
        <v>647</v>
      </c>
      <c r="T174" s="7" t="s">
        <v>377</v>
      </c>
      <c r="U174" s="7" t="s">
        <v>353</v>
      </c>
      <c r="V174" s="7"/>
      <c r="W174" s="7">
        <v>6.92546843E8</v>
      </c>
      <c r="X174" s="7"/>
      <c r="Y174" s="7">
        <v>2.62499843E8</v>
      </c>
      <c r="Z174" s="7" t="s">
        <v>2583</v>
      </c>
      <c r="AA174" s="7">
        <v>16.0</v>
      </c>
      <c r="AB174" s="7"/>
      <c r="AC174" s="7"/>
      <c r="AD174" s="7" t="s">
        <v>2584</v>
      </c>
      <c r="AE174" s="7" t="s">
        <v>2585</v>
      </c>
      <c r="AF174" s="7"/>
      <c r="AG174" s="7"/>
      <c r="AH174" s="20">
        <v>43739.0</v>
      </c>
      <c r="AI174" s="7"/>
      <c r="AJ174" s="7" t="s">
        <v>2586</v>
      </c>
      <c r="AK174" s="7"/>
      <c r="AL174" s="7" t="s">
        <v>2587</v>
      </c>
      <c r="AM174" s="7" t="s">
        <v>2588</v>
      </c>
      <c r="AN174" s="20">
        <v>43739.0</v>
      </c>
      <c r="AO174" s="7">
        <v>97418.0</v>
      </c>
      <c r="AP174" s="7" t="s">
        <v>362</v>
      </c>
      <c r="AQ174" s="7"/>
      <c r="AR174" s="7"/>
      <c r="AS174" s="7"/>
      <c r="AT174" s="7"/>
      <c r="AU174" s="7">
        <v>2.0</v>
      </c>
      <c r="AV174" s="7" t="s">
        <v>2589</v>
      </c>
      <c r="AW174" s="7"/>
      <c r="AX174" s="7"/>
      <c r="AY174" s="7"/>
      <c r="AZ174" s="7"/>
      <c r="BA174" s="7"/>
      <c r="BB174" s="7"/>
      <c r="BC174" s="7" t="s">
        <v>366</v>
      </c>
      <c r="BD174" s="21">
        <v>44125.50625</v>
      </c>
      <c r="BE174" s="7"/>
      <c r="BF174" s="7"/>
      <c r="BG174" s="22">
        <v>44125.0</v>
      </c>
      <c r="BH174" s="7"/>
      <c r="BI174" s="7" t="s">
        <v>2590</v>
      </c>
      <c r="BJ174" s="7"/>
      <c r="BK174" s="7" t="b">
        <v>0</v>
      </c>
      <c r="BL174" s="7" t="b">
        <v>0</v>
      </c>
      <c r="BM174" s="7"/>
      <c r="BN174" s="7" t="str">
        <f>IFERROR(__xludf.DUMMYFUNCTION(" IF( REGEXMATCH(C174 , ""[(].+[)]""),REGEXREPLACE( CONCATENATE(REGEXEXTRACT(C174 , ""[(].+[)]""),IF(REGEXMATCH(C174 , ""[(][Ll]['’][)]""),"""","" ""), REGEXEXTRACT(C174 ,""^(?:(?:[A-Za-zàäéèêîïöôûü0-9 ](?:[A-Za-zàäéèêîïöôûü'0-9 ]+)))"")) , ""[()]"", """")"&amp;",C174 )"),"Chez Myris")</f>
        <v>Chez Myris</v>
      </c>
      <c r="BO174" s="23"/>
      <c r="BP174" s="7"/>
      <c r="BQ174" s="7"/>
      <c r="BR174" s="7"/>
      <c r="BS174" s="7"/>
      <c r="BT174" s="7"/>
      <c r="BU174" s="7"/>
      <c r="BV174" s="7"/>
      <c r="BW174" s="7"/>
      <c r="BX174" s="7"/>
      <c r="BY174" s="7"/>
      <c r="BZ174" s="7"/>
      <c r="CA174" s="7"/>
      <c r="CB174" s="7"/>
    </row>
    <row r="175" ht="21.75" customHeight="1">
      <c r="A175" s="7">
        <v>1520.0</v>
      </c>
      <c r="B175" s="7">
        <v>174.0</v>
      </c>
      <c r="C175" s="7" t="s">
        <v>2591</v>
      </c>
      <c r="D175" s="7" t="s">
        <v>2591</v>
      </c>
      <c r="E175" s="7"/>
      <c r="F175" s="7" t="s">
        <v>404</v>
      </c>
      <c r="G175" s="7" t="s">
        <v>343</v>
      </c>
      <c r="H175" s="7" t="s">
        <v>344</v>
      </c>
      <c r="I175" s="7" t="s">
        <v>2592</v>
      </c>
      <c r="J175" s="7"/>
      <c r="K175" s="7" t="s">
        <v>58</v>
      </c>
      <c r="L175" s="7" t="s">
        <v>59</v>
      </c>
      <c r="M175" s="7" t="s">
        <v>374</v>
      </c>
      <c r="N175" s="7" t="s">
        <v>455</v>
      </c>
      <c r="O175" s="7">
        <v>97430.0</v>
      </c>
      <c r="P175" s="7" t="s">
        <v>344</v>
      </c>
      <c r="Q175" s="7"/>
      <c r="R175" s="7" t="s">
        <v>2593</v>
      </c>
      <c r="S175" s="7" t="s">
        <v>2594</v>
      </c>
      <c r="T175" s="7" t="s">
        <v>377</v>
      </c>
      <c r="U175" s="7" t="s">
        <v>353</v>
      </c>
      <c r="V175" s="7">
        <v>2.6257064E8</v>
      </c>
      <c r="W175" s="7"/>
      <c r="X175" s="7"/>
      <c r="Y175" s="7"/>
      <c r="Z175" s="7"/>
      <c r="AA175" s="7">
        <v>5.0</v>
      </c>
      <c r="AB175" s="7"/>
      <c r="AC175" s="7"/>
      <c r="AD175" s="7" t="s">
        <v>2595</v>
      </c>
      <c r="AE175" s="7" t="s">
        <v>2596</v>
      </c>
      <c r="AF175" s="7"/>
      <c r="AG175" s="7"/>
      <c r="AH175" s="20">
        <v>43739.0</v>
      </c>
      <c r="AI175" s="7"/>
      <c r="AJ175" s="7" t="s">
        <v>2597</v>
      </c>
      <c r="AK175" s="7"/>
      <c r="AL175" s="7" t="s">
        <v>2598</v>
      </c>
      <c r="AM175" s="7" t="s">
        <v>2599</v>
      </c>
      <c r="AN175" s="20">
        <v>43739.0</v>
      </c>
      <c r="AO175" s="7">
        <v>97430.0</v>
      </c>
      <c r="AP175" s="7" t="s">
        <v>494</v>
      </c>
      <c r="AQ175" s="7"/>
      <c r="AR175" s="7"/>
      <c r="AS175" s="7"/>
      <c r="AT175" s="7"/>
      <c r="AU175" s="7">
        <v>1.0</v>
      </c>
      <c r="AV175" s="7" t="s">
        <v>2600</v>
      </c>
      <c r="AW175" s="7"/>
      <c r="AX175" s="7"/>
      <c r="AY175" s="7"/>
      <c r="AZ175" s="7"/>
      <c r="BA175" s="7"/>
      <c r="BB175" s="7"/>
      <c r="BC175" s="7" t="s">
        <v>366</v>
      </c>
      <c r="BD175" s="21">
        <v>44124.16458333333</v>
      </c>
      <c r="BE175" s="7"/>
      <c r="BF175" s="7"/>
      <c r="BG175" s="22">
        <v>44124.0</v>
      </c>
      <c r="BH175" s="7"/>
      <c r="BI175" s="7" t="s">
        <v>2601</v>
      </c>
      <c r="BJ175" s="7"/>
      <c r="BK175" s="7" t="b">
        <v>0</v>
      </c>
      <c r="BL175" s="7" t="b">
        <v>0</v>
      </c>
      <c r="BM175" s="7"/>
      <c r="BN175" s="7" t="str">
        <f>IFERROR(__xludf.DUMMYFUNCTION(" IF( REGEXMATCH(C175 , ""[(].+[)]""),REGEXREPLACE( CONCATENATE(REGEXEXTRACT(C175 , ""[(].+[)]""),IF(REGEXMATCH(C175 , ""[(][Ll]['’][)]""),"""","" ""), REGEXEXTRACT(C175 ,""^(?:(?:[A-Za-zàäéèêîïöôûü0-9 ](?:[A-Za-zàäéèêîïöôûü'0-9 ]+)))"")) , ""[()]"", """")"&amp;",C175 )"),"Chez Noella")</f>
        <v>Chez Noella</v>
      </c>
      <c r="BO175" s="23"/>
      <c r="BP175" s="7"/>
      <c r="BQ175" s="7"/>
      <c r="BR175" s="7"/>
      <c r="BS175" s="7"/>
      <c r="BT175" s="7"/>
      <c r="BU175" s="7"/>
      <c r="BV175" s="7"/>
      <c r="BW175" s="7"/>
      <c r="BX175" s="7"/>
      <c r="BY175" s="7"/>
      <c r="BZ175" s="7"/>
      <c r="CA175" s="7"/>
      <c r="CB175" s="7"/>
    </row>
    <row r="176" ht="21.75" customHeight="1">
      <c r="A176" s="7">
        <v>1522.0</v>
      </c>
      <c r="B176" s="7">
        <v>175.0</v>
      </c>
      <c r="C176" s="7" t="s">
        <v>2602</v>
      </c>
      <c r="D176" s="7" t="s">
        <v>2602</v>
      </c>
      <c r="E176" s="7"/>
      <c r="F176" s="7" t="s">
        <v>342</v>
      </c>
      <c r="G176" s="7" t="s">
        <v>343</v>
      </c>
      <c r="H176" s="7" t="s">
        <v>344</v>
      </c>
      <c r="I176" s="7" t="s">
        <v>2603</v>
      </c>
      <c r="J176" s="7"/>
      <c r="K176" s="7" t="s">
        <v>58</v>
      </c>
      <c r="L176" s="7" t="s">
        <v>59</v>
      </c>
      <c r="M176" s="7" t="s">
        <v>374</v>
      </c>
      <c r="N176" s="7" t="s">
        <v>455</v>
      </c>
      <c r="O176" s="7">
        <v>97430.0</v>
      </c>
      <c r="P176" s="7" t="s">
        <v>344</v>
      </c>
      <c r="Q176" s="7"/>
      <c r="R176" s="7" t="s">
        <v>2604</v>
      </c>
      <c r="S176" s="7" t="s">
        <v>2605</v>
      </c>
      <c r="T176" s="7" t="s">
        <v>377</v>
      </c>
      <c r="U176" s="7" t="s">
        <v>353</v>
      </c>
      <c r="V176" s="7">
        <v>2.62271235E8</v>
      </c>
      <c r="W176" s="7">
        <v>6.92100792E8</v>
      </c>
      <c r="X176" s="7"/>
      <c r="Y176" s="7">
        <v>2.62271235E8</v>
      </c>
      <c r="Z176" s="7" t="s">
        <v>2606</v>
      </c>
      <c r="AA176" s="7">
        <v>4.0</v>
      </c>
      <c r="AB176" s="7"/>
      <c r="AC176" s="7" t="s">
        <v>2607</v>
      </c>
      <c r="AD176" s="7" t="s">
        <v>2608</v>
      </c>
      <c r="AE176" s="7" t="s">
        <v>2609</v>
      </c>
      <c r="AF176" s="7"/>
      <c r="AG176" s="7"/>
      <c r="AH176" s="20">
        <v>43739.0</v>
      </c>
      <c r="AI176" s="7"/>
      <c r="AJ176" s="7" t="s">
        <v>2610</v>
      </c>
      <c r="AK176" s="7"/>
      <c r="AL176" s="7" t="s">
        <v>2611</v>
      </c>
      <c r="AM176" s="7" t="s">
        <v>2612</v>
      </c>
      <c r="AN176" s="20">
        <v>43739.0</v>
      </c>
      <c r="AO176" s="7">
        <v>97430.0</v>
      </c>
      <c r="AP176" s="7" t="s">
        <v>494</v>
      </c>
      <c r="AQ176" s="7"/>
      <c r="AR176" s="7"/>
      <c r="AS176" s="7"/>
      <c r="AT176" s="7"/>
      <c r="AU176" s="7">
        <v>1.0</v>
      </c>
      <c r="AV176" s="7" t="s">
        <v>2613</v>
      </c>
      <c r="AW176" s="7"/>
      <c r="AX176" s="7"/>
      <c r="AY176" s="7"/>
      <c r="AZ176" s="7"/>
      <c r="BA176" s="7"/>
      <c r="BB176" s="7"/>
      <c r="BC176" s="7" t="s">
        <v>366</v>
      </c>
      <c r="BD176" s="21">
        <v>44197.0</v>
      </c>
      <c r="BE176" s="7"/>
      <c r="BF176" s="7"/>
      <c r="BG176" s="22">
        <v>44197.0</v>
      </c>
      <c r="BH176" s="7"/>
      <c r="BI176" s="7" t="s">
        <v>2614</v>
      </c>
      <c r="BJ176" s="7"/>
      <c r="BK176" s="7" t="b">
        <v>0</v>
      </c>
      <c r="BL176" s="7" t="b">
        <v>0</v>
      </c>
      <c r="BM176" s="7"/>
      <c r="BN176" s="7" t="str">
        <f>IFERROR(__xludf.DUMMYFUNCTION(" IF( REGEXMATCH(C176 , ""[(].+[)]""),REGEXREPLACE( CONCATENATE(REGEXEXTRACT(C176 , ""[(].+[)]""),IF(REGEXMATCH(C176 , ""[(][Ll]['’][)]""),"""","" ""), REGEXEXTRACT(C176 ,""^(?:(?:[A-Za-zàäéèêîïöôûü0-9 ](?:[A-Za-zàäéèêîïöôûü'0-9 ]+)))"")) , ""[()]"", """")"&amp;",C176 )"),"Chez Orlando")</f>
        <v>Chez Orlando</v>
      </c>
      <c r="BO176" s="23"/>
      <c r="BP176" s="7"/>
      <c r="BQ176" s="7"/>
      <c r="BR176" s="7"/>
      <c r="BS176" s="7"/>
      <c r="BT176" s="7"/>
      <c r="BU176" s="7"/>
      <c r="BV176" s="7"/>
      <c r="BW176" s="7"/>
      <c r="BX176" s="7"/>
      <c r="BY176" s="7"/>
      <c r="BZ176" s="7"/>
      <c r="CA176" s="7"/>
      <c r="CB176" s="7"/>
    </row>
    <row r="177" ht="21.75" customHeight="1">
      <c r="A177" s="7">
        <v>3909.0</v>
      </c>
      <c r="B177" s="7" t="s">
        <v>2615</v>
      </c>
      <c r="C177" s="7" t="s">
        <v>2616</v>
      </c>
      <c r="D177" s="7"/>
      <c r="E177" s="7"/>
      <c r="F177" s="7" t="s">
        <v>404</v>
      </c>
      <c r="G177" s="7" t="s">
        <v>343</v>
      </c>
      <c r="H177" s="7" t="s">
        <v>344</v>
      </c>
      <c r="I177" s="7" t="s">
        <v>2617</v>
      </c>
      <c r="J177" s="7"/>
      <c r="K177" s="7" t="s">
        <v>822</v>
      </c>
      <c r="L177" s="7" t="s">
        <v>823</v>
      </c>
      <c r="M177" s="7" t="s">
        <v>824</v>
      </c>
      <c r="N177" s="7" t="s">
        <v>455</v>
      </c>
      <c r="O177" s="7">
        <v>97418.0</v>
      </c>
      <c r="P177" s="7" t="s">
        <v>348</v>
      </c>
      <c r="Q177" s="7" t="s">
        <v>2618</v>
      </c>
      <c r="R177" s="7"/>
      <c r="S177" s="7"/>
      <c r="T177" s="7"/>
      <c r="U177" s="7" t="s">
        <v>378</v>
      </c>
      <c r="V177" s="7">
        <v>2.62597592E8</v>
      </c>
      <c r="W177" s="7">
        <v>6.92656867E8</v>
      </c>
      <c r="X177" s="7"/>
      <c r="Y177" s="7"/>
      <c r="Z177" s="7"/>
      <c r="AA177" s="7">
        <v>12.0</v>
      </c>
      <c r="AB177" s="7"/>
      <c r="AC177" s="7" t="s">
        <v>2619</v>
      </c>
      <c r="AD177" s="7" t="s">
        <v>2620</v>
      </c>
      <c r="AE177" s="7"/>
      <c r="AF177" s="7"/>
      <c r="AG177" s="7"/>
      <c r="AH177" s="20">
        <v>42171.0</v>
      </c>
      <c r="AI177" s="7"/>
      <c r="AJ177" s="7" t="s">
        <v>2616</v>
      </c>
      <c r="AK177" s="7"/>
      <c r="AL177" s="7" t="s">
        <v>2621</v>
      </c>
      <c r="AM177" s="7" t="s">
        <v>2622</v>
      </c>
      <c r="AN177" s="20">
        <v>42171.0</v>
      </c>
      <c r="AO177" s="7">
        <v>97418.0</v>
      </c>
      <c r="AP177" s="7" t="s">
        <v>362</v>
      </c>
      <c r="AQ177" s="7"/>
      <c r="AR177" s="7"/>
      <c r="AS177" s="7"/>
      <c r="AT177" s="7"/>
      <c r="AU177" s="7">
        <v>0.0</v>
      </c>
      <c r="AV177" s="7" t="s">
        <v>2623</v>
      </c>
      <c r="AW177" s="7"/>
      <c r="AX177" s="7"/>
      <c r="AY177" s="7"/>
      <c r="AZ177" s="7"/>
      <c r="BA177" s="7"/>
      <c r="BB177" s="7"/>
      <c r="BC177" s="7" t="s">
        <v>401</v>
      </c>
      <c r="BD177" s="21">
        <v>44201.39166666667</v>
      </c>
      <c r="BE177" s="7"/>
      <c r="BF177" s="7"/>
      <c r="BG177" s="7"/>
      <c r="BH177" s="7"/>
      <c r="BI177" s="7" t="s">
        <v>1504</v>
      </c>
      <c r="BJ177" s="7"/>
      <c r="BK177" s="7" t="b">
        <v>0</v>
      </c>
      <c r="BL177" s="7" t="b">
        <v>0</v>
      </c>
      <c r="BM177" s="7"/>
      <c r="BN177" s="7" t="str">
        <f>IFERROR(__xludf.DUMMYFUNCTION(" IF( REGEXMATCH(C177 , ""[(].+[)]""),REGEXREPLACE( CONCATENATE(REGEXEXTRACT(C177 , ""[(].+[)]""),IF(REGEXMATCH(C177 , ""[(][Ll]['’][)]""),"""","" ""), REGEXEXTRACT(C177 ,""^(?:(?:[A-Za-zàäéèêîïöôûü0-9 ](?:[A-Za-zàäéèêîïöôûü'0-9 ]+)))"")) , ""[()]"", """")"&amp;",C177 )"),"Chez Rolande Chamand")</f>
        <v>Chez Rolande Chamand</v>
      </c>
      <c r="BO177" s="25"/>
      <c r="BP177" s="7"/>
      <c r="BQ177" s="7"/>
      <c r="BR177" s="7"/>
      <c r="BS177" s="7"/>
      <c r="BT177" s="7"/>
      <c r="BU177" s="7"/>
      <c r="BV177" s="7"/>
      <c r="BW177" s="7"/>
      <c r="BX177" s="7"/>
      <c r="BY177" s="7"/>
      <c r="BZ177" s="7"/>
      <c r="CA177" s="7"/>
      <c r="CB177" s="7"/>
    </row>
    <row r="178" ht="21.75" customHeight="1">
      <c r="A178" s="7">
        <v>1977.0</v>
      </c>
      <c r="B178" s="7">
        <v>177.0</v>
      </c>
      <c r="C178" s="7" t="s">
        <v>2624</v>
      </c>
      <c r="D178" s="7"/>
      <c r="E178" s="7"/>
      <c r="F178" s="7" t="s">
        <v>404</v>
      </c>
      <c r="G178" s="7" t="s">
        <v>343</v>
      </c>
      <c r="H178" s="7" t="s">
        <v>344</v>
      </c>
      <c r="I178" s="7" t="s">
        <v>2625</v>
      </c>
      <c r="J178" s="7"/>
      <c r="K178" s="7" t="s">
        <v>34</v>
      </c>
      <c r="L178" s="7" t="s">
        <v>622</v>
      </c>
      <c r="M178" s="7" t="s">
        <v>622</v>
      </c>
      <c r="N178" s="7" t="s">
        <v>455</v>
      </c>
      <c r="O178" s="7">
        <v>97430.0</v>
      </c>
      <c r="P178" s="7" t="s">
        <v>344</v>
      </c>
      <c r="Q178" s="7"/>
      <c r="R178" s="7" t="s">
        <v>801</v>
      </c>
      <c r="S178" s="7" t="s">
        <v>2626</v>
      </c>
      <c r="T178" s="7" t="s">
        <v>2627</v>
      </c>
      <c r="U178" s="7" t="s">
        <v>353</v>
      </c>
      <c r="V178" s="7">
        <v>2.62220708E8</v>
      </c>
      <c r="W178" s="7"/>
      <c r="X178" s="7"/>
      <c r="Y178" s="7"/>
      <c r="Z178" s="7"/>
      <c r="AA178" s="7"/>
      <c r="AB178" s="7"/>
      <c r="AC178" s="7"/>
      <c r="AD178" s="7" t="s">
        <v>2628</v>
      </c>
      <c r="AE178" s="7"/>
      <c r="AF178" s="7"/>
      <c r="AG178" s="7"/>
      <c r="AH178" s="20">
        <v>43739.0</v>
      </c>
      <c r="AI178" s="7"/>
      <c r="AJ178" s="7" t="s">
        <v>2624</v>
      </c>
      <c r="AK178" s="7"/>
      <c r="AL178" s="7" t="s">
        <v>2629</v>
      </c>
      <c r="AM178" s="7" t="s">
        <v>2630</v>
      </c>
      <c r="AN178" s="20">
        <v>43739.0</v>
      </c>
      <c r="AO178" s="7">
        <v>97430.0</v>
      </c>
      <c r="AP178" s="7" t="s">
        <v>494</v>
      </c>
      <c r="AQ178" s="7"/>
      <c r="AR178" s="7"/>
      <c r="AS178" s="7"/>
      <c r="AT178" s="7"/>
      <c r="AU178" s="7">
        <v>0.0</v>
      </c>
      <c r="AV178" s="7" t="s">
        <v>2631</v>
      </c>
      <c r="AW178" s="7"/>
      <c r="AX178" s="7"/>
      <c r="AY178" s="7"/>
      <c r="AZ178" s="7"/>
      <c r="BA178" s="7"/>
      <c r="BB178" s="7"/>
      <c r="BC178" s="7" t="s">
        <v>366</v>
      </c>
      <c r="BD178" s="21">
        <v>44199.37708333333</v>
      </c>
      <c r="BE178" s="7"/>
      <c r="BF178" s="7"/>
      <c r="BG178" s="22">
        <v>44199.0</v>
      </c>
      <c r="BH178" s="7"/>
      <c r="BI178" s="7" t="s">
        <v>2632</v>
      </c>
      <c r="BJ178" s="7"/>
      <c r="BK178" s="7" t="b">
        <v>0</v>
      </c>
      <c r="BL178" s="7" t="b">
        <v>0</v>
      </c>
      <c r="BM178" s="7"/>
      <c r="BN178" s="7" t="str">
        <f>IFERROR(__xludf.DUMMYFUNCTION(" IF( REGEXMATCH(C178 , ""[(].+[)]""),REGEXREPLACE( CONCATENATE(REGEXEXTRACT(C178 , ""[(].+[)]""),IF(REGEXMATCH(C178 , ""[(][Ll]['’][)]""),"""","" ""), REGEXEXTRACT(C178 ,""^(?:(?:[A-Za-zàäéèêîïöôûü0-9 ](?:[A-Za-zàäéèêîïöôûü'0-9 ]+)))"")) , ""[()]"", """")"&amp;",C178 )"),"Chez Ti Jean")</f>
        <v>Chez Ti Jean</v>
      </c>
      <c r="BO178" s="23"/>
      <c r="BP178" s="7"/>
      <c r="BQ178" s="7"/>
      <c r="BR178" s="7"/>
      <c r="BS178" s="7"/>
      <c r="BT178" s="7"/>
      <c r="BU178" s="7"/>
      <c r="BV178" s="7"/>
      <c r="BW178" s="7"/>
      <c r="BX178" s="7"/>
      <c r="BY178" s="7"/>
      <c r="BZ178" s="7"/>
      <c r="CA178" s="7"/>
      <c r="CB178" s="7"/>
    </row>
    <row r="179" ht="21.75" customHeight="1">
      <c r="A179" s="7">
        <v>1665.0</v>
      </c>
      <c r="B179" s="7">
        <v>178.0</v>
      </c>
      <c r="C179" s="7" t="s">
        <v>2624</v>
      </c>
      <c r="D179" s="7" t="s">
        <v>2624</v>
      </c>
      <c r="E179" s="7"/>
      <c r="F179" s="7" t="s">
        <v>404</v>
      </c>
      <c r="G179" s="7" t="s">
        <v>343</v>
      </c>
      <c r="H179" s="7" t="s">
        <v>344</v>
      </c>
      <c r="I179" s="7" t="s">
        <v>2633</v>
      </c>
      <c r="J179" s="7"/>
      <c r="K179" s="7" t="s">
        <v>34</v>
      </c>
      <c r="L179" s="7" t="s">
        <v>622</v>
      </c>
      <c r="M179" s="7" t="s">
        <v>622</v>
      </c>
      <c r="N179" s="7" t="s">
        <v>375</v>
      </c>
      <c r="O179" s="7">
        <v>97430.0</v>
      </c>
      <c r="P179" s="7" t="s">
        <v>344</v>
      </c>
      <c r="Q179" s="7"/>
      <c r="R179" s="7"/>
      <c r="S179" s="7"/>
      <c r="T179" s="7" t="s">
        <v>377</v>
      </c>
      <c r="U179" s="7" t="s">
        <v>378</v>
      </c>
      <c r="V179" s="7">
        <v>2.62220708E8</v>
      </c>
      <c r="W179" s="7"/>
      <c r="X179" s="7"/>
      <c r="Y179" s="7"/>
      <c r="Z179" s="7"/>
      <c r="AA179" s="7"/>
      <c r="AB179" s="7"/>
      <c r="AC179" s="7"/>
      <c r="AD179" s="7" t="s">
        <v>2634</v>
      </c>
      <c r="AE179" s="7"/>
      <c r="AF179" s="7"/>
      <c r="AG179" s="7"/>
      <c r="AH179" s="20">
        <v>43739.0</v>
      </c>
      <c r="AI179" s="7"/>
      <c r="AJ179" s="7" t="s">
        <v>2624</v>
      </c>
      <c r="AK179" s="7"/>
      <c r="AL179" s="7" t="s">
        <v>2635</v>
      </c>
      <c r="AM179" s="7" t="s">
        <v>2630</v>
      </c>
      <c r="AN179" s="20">
        <v>43739.0</v>
      </c>
      <c r="AO179" s="7">
        <v>97430.0</v>
      </c>
      <c r="AP179" s="7" t="s">
        <v>494</v>
      </c>
      <c r="AQ179" s="7"/>
      <c r="AR179" s="7"/>
      <c r="AS179" s="7"/>
      <c r="AT179" s="7"/>
      <c r="AU179" s="7">
        <v>0.0</v>
      </c>
      <c r="AV179" s="7" t="s">
        <v>2636</v>
      </c>
      <c r="AW179" s="7"/>
      <c r="AX179" s="7"/>
      <c r="AY179" s="7"/>
      <c r="AZ179" s="7"/>
      <c r="BA179" s="7"/>
      <c r="BB179" s="7"/>
      <c r="BC179" s="7" t="s">
        <v>366</v>
      </c>
      <c r="BD179" s="21">
        <v>44199.37708333333</v>
      </c>
      <c r="BE179" s="7"/>
      <c r="BF179" s="7"/>
      <c r="BG179" s="22">
        <v>44199.0</v>
      </c>
      <c r="BH179" s="7"/>
      <c r="BI179" s="7" t="s">
        <v>2637</v>
      </c>
      <c r="BJ179" s="7"/>
      <c r="BK179" s="7" t="b">
        <v>0</v>
      </c>
      <c r="BL179" s="7" t="b">
        <v>0</v>
      </c>
      <c r="BM179" s="7"/>
      <c r="BN179" s="7" t="str">
        <f>IFERROR(__xludf.DUMMYFUNCTION(" IF( REGEXMATCH(C179 , ""[(].+[)]""),REGEXREPLACE( CONCATENATE(REGEXEXTRACT(C179 , ""[(].+[)]""),IF(REGEXMATCH(C179 , ""[(][Ll]['’][)]""),"""","" ""), REGEXEXTRACT(C179 ,""^(?:(?:[A-Za-zàäéèêîïöôûü0-9 ](?:[A-Za-zàäéèêîïöôûü'0-9 ]+)))"")) , ""[()]"", """")"&amp;",C179 )"),"Chez Ti Jean")</f>
        <v>Chez Ti Jean</v>
      </c>
      <c r="BO179" s="23"/>
      <c r="BP179" s="7"/>
      <c r="BQ179" s="7"/>
      <c r="BR179" s="7"/>
      <c r="BS179" s="7"/>
      <c r="BT179" s="7"/>
      <c r="BU179" s="7"/>
      <c r="BV179" s="7"/>
      <c r="BW179" s="7"/>
      <c r="BX179" s="7"/>
      <c r="BY179" s="7"/>
      <c r="BZ179" s="7"/>
      <c r="CA179" s="7"/>
      <c r="CB179" s="7"/>
    </row>
    <row r="180" ht="21.75" customHeight="1">
      <c r="A180" s="7">
        <v>1524.0</v>
      </c>
      <c r="B180" s="7">
        <v>179.0</v>
      </c>
      <c r="C180" s="7" t="s">
        <v>2638</v>
      </c>
      <c r="D180" s="7"/>
      <c r="E180" s="7"/>
      <c r="F180" s="7" t="s">
        <v>404</v>
      </c>
      <c r="G180" s="7" t="s">
        <v>343</v>
      </c>
      <c r="H180" s="7" t="s">
        <v>344</v>
      </c>
      <c r="I180" s="7" t="s">
        <v>2639</v>
      </c>
      <c r="J180" s="7"/>
      <c r="K180" s="7" t="s">
        <v>58</v>
      </c>
      <c r="L180" s="7" t="s">
        <v>59</v>
      </c>
      <c r="M180" s="7" t="s">
        <v>346</v>
      </c>
      <c r="N180" s="7" t="s">
        <v>455</v>
      </c>
      <c r="O180" s="7">
        <v>97430.0</v>
      </c>
      <c r="P180" s="7" t="s">
        <v>344</v>
      </c>
      <c r="Q180" s="7"/>
      <c r="R180" s="7" t="s">
        <v>2640</v>
      </c>
      <c r="S180" s="7" t="s">
        <v>647</v>
      </c>
      <c r="T180" s="7" t="s">
        <v>377</v>
      </c>
      <c r="U180" s="7" t="s">
        <v>592</v>
      </c>
      <c r="V180" s="7">
        <v>2.62277733E8</v>
      </c>
      <c r="W180" s="7">
        <v>6.92684856E8</v>
      </c>
      <c r="X180" s="7"/>
      <c r="Y180" s="7"/>
      <c r="Z180" s="7"/>
      <c r="AA180" s="7">
        <v>20.0</v>
      </c>
      <c r="AB180" s="7"/>
      <c r="AC180" s="7"/>
      <c r="AD180" s="7" t="s">
        <v>2641</v>
      </c>
      <c r="AE180" s="7" t="s">
        <v>2642</v>
      </c>
      <c r="AF180" s="7"/>
      <c r="AG180" s="7"/>
      <c r="AH180" s="20">
        <v>43739.0</v>
      </c>
      <c r="AI180" s="7"/>
      <c r="AJ180" s="7" t="s">
        <v>2643</v>
      </c>
      <c r="AK180" s="7"/>
      <c r="AL180" s="7" t="s">
        <v>2644</v>
      </c>
      <c r="AM180" s="7" t="s">
        <v>2645</v>
      </c>
      <c r="AN180" s="20">
        <v>43739.0</v>
      </c>
      <c r="AO180" s="7">
        <v>97418.0</v>
      </c>
      <c r="AP180" s="7" t="s">
        <v>362</v>
      </c>
      <c r="AQ180" s="7"/>
      <c r="AR180" s="7"/>
      <c r="AS180" s="7"/>
      <c r="AT180" s="7"/>
      <c r="AU180" s="7">
        <v>7.0</v>
      </c>
      <c r="AV180" s="7" t="s">
        <v>2646</v>
      </c>
      <c r="AW180" s="7"/>
      <c r="AX180" s="7"/>
      <c r="AY180" s="7"/>
      <c r="AZ180" s="7"/>
      <c r="BA180" s="7"/>
      <c r="BB180" s="7"/>
      <c r="BC180" s="7" t="s">
        <v>366</v>
      </c>
      <c r="BD180" s="21">
        <v>44124.5125</v>
      </c>
      <c r="BE180" s="7"/>
      <c r="BF180" s="7"/>
      <c r="BG180" s="22">
        <v>44124.0</v>
      </c>
      <c r="BH180" s="7"/>
      <c r="BI180" s="7" t="s">
        <v>2063</v>
      </c>
      <c r="BJ180" s="7"/>
      <c r="BK180" s="7" t="b">
        <v>0</v>
      </c>
      <c r="BL180" s="7" t="b">
        <v>0</v>
      </c>
      <c r="BM180" s="7"/>
      <c r="BN180" s="7" t="str">
        <f>IFERROR(__xludf.DUMMYFUNCTION(" IF( REGEXMATCH(C180 , ""[(].+[)]""),REGEXREPLACE( CONCATENATE(REGEXEXTRACT(C180 , ""[(].+[)]""),IF(REGEXMATCH(C180 , ""[(][Ll]['’][)]""),"""","" ""), REGEXEXTRACT(C180 ,""^(?:(?:[A-Za-zàäéèêîïöôûü0-9 ](?:[A-Za-zàäéèêîïöôûü'0-9 ]+)))"")) , ""[()]"", """")"&amp;",C180 )"),"Chez Turpin")</f>
        <v>Chez Turpin</v>
      </c>
      <c r="BO180" s="23"/>
      <c r="BP180" s="7"/>
      <c r="BQ180" s="7"/>
      <c r="BR180" s="7"/>
      <c r="BS180" s="7"/>
      <c r="BT180" s="7"/>
      <c r="BU180" s="7"/>
      <c r="BV180" s="7"/>
      <c r="BW180" s="7"/>
      <c r="BX180" s="7"/>
      <c r="BY180" s="7"/>
      <c r="BZ180" s="7"/>
      <c r="CA180" s="7"/>
      <c r="CB180" s="7"/>
    </row>
    <row r="181" ht="21.75" customHeight="1">
      <c r="A181" s="7">
        <v>3986.0</v>
      </c>
      <c r="B181" s="7">
        <v>180.0</v>
      </c>
      <c r="C181" s="7" t="s">
        <v>2647</v>
      </c>
      <c r="D181" s="7"/>
      <c r="E181" s="7"/>
      <c r="F181" s="7" t="s">
        <v>342</v>
      </c>
      <c r="G181" s="7" t="s">
        <v>343</v>
      </c>
      <c r="H181" s="7" t="s">
        <v>123</v>
      </c>
      <c r="I181" s="7" t="s">
        <v>2648</v>
      </c>
      <c r="J181" s="7"/>
      <c r="K181" s="7" t="s">
        <v>34</v>
      </c>
      <c r="L181" s="7" t="s">
        <v>622</v>
      </c>
      <c r="M181" s="7" t="s">
        <v>622</v>
      </c>
      <c r="N181" s="7" t="s">
        <v>375</v>
      </c>
      <c r="O181" s="7">
        <v>97480.0</v>
      </c>
      <c r="P181" s="7" t="s">
        <v>123</v>
      </c>
      <c r="Q181" s="7"/>
      <c r="R181" s="7"/>
      <c r="S181" s="7"/>
      <c r="T181" s="7" t="s">
        <v>377</v>
      </c>
      <c r="U181" s="7" t="s">
        <v>378</v>
      </c>
      <c r="V181" s="7">
        <v>2.62882796E8</v>
      </c>
      <c r="W181" s="7">
        <v>6.93307041E8</v>
      </c>
      <c r="X181" s="7"/>
      <c r="Y181" s="7"/>
      <c r="Z181" s="7" t="s">
        <v>2649</v>
      </c>
      <c r="AA181" s="7"/>
      <c r="AB181" s="7"/>
      <c r="AC181" s="7" t="s">
        <v>2650</v>
      </c>
      <c r="AD181" s="7" t="s">
        <v>2651</v>
      </c>
      <c r="AE181" s="7"/>
      <c r="AF181" s="7"/>
      <c r="AG181" s="7"/>
      <c r="AH181" s="20">
        <v>42219.0</v>
      </c>
      <c r="AI181" s="7"/>
      <c r="AJ181" s="7" t="s">
        <v>2647</v>
      </c>
      <c r="AK181" s="7"/>
      <c r="AL181" s="7" t="s">
        <v>2652</v>
      </c>
      <c r="AM181" s="7" t="s">
        <v>2653</v>
      </c>
      <c r="AN181" s="20">
        <v>42219.0</v>
      </c>
      <c r="AO181" s="7">
        <v>97480.0</v>
      </c>
      <c r="AP181" s="7" t="s">
        <v>385</v>
      </c>
      <c r="AQ181" s="7"/>
      <c r="AR181" s="7"/>
      <c r="AS181" s="7"/>
      <c r="AT181" s="7"/>
      <c r="AU181" s="7">
        <v>0.0</v>
      </c>
      <c r="AV181" s="7" t="s">
        <v>2654</v>
      </c>
      <c r="AW181" s="7"/>
      <c r="AX181" s="7"/>
      <c r="AY181" s="7"/>
      <c r="AZ181" s="7"/>
      <c r="BA181" s="7"/>
      <c r="BB181" s="7"/>
      <c r="BC181" s="7" t="s">
        <v>366</v>
      </c>
      <c r="BD181" s="21">
        <v>44221.0</v>
      </c>
      <c r="BE181" s="7"/>
      <c r="BF181" s="7"/>
      <c r="BG181" s="22">
        <v>44221.0</v>
      </c>
      <c r="BH181" s="7"/>
      <c r="BI181" s="7" t="s">
        <v>2655</v>
      </c>
      <c r="BJ181" s="7"/>
      <c r="BK181" s="7" t="b">
        <v>0</v>
      </c>
      <c r="BL181" s="7" t="b">
        <v>0</v>
      </c>
      <c r="BM181" s="7"/>
      <c r="BN181" s="7" t="str">
        <f>IFERROR(__xludf.DUMMYFUNCTION(" IF( REGEXMATCH(C181 , ""[(].+[)]""),REGEXREPLACE( CONCATENATE(REGEXEXTRACT(C181 , ""[(].+[)]""),IF(REGEXMATCH(C181 , ""[(][Ll]['’][)]""),"""","" ""), REGEXEXTRACT(C181 ,""^(?:(?:[A-Za-zàäéèêîïöôûü0-9 ](?:[A-Za-zàäéèêîïöôûü'0-9 ]+)))"")) , ""[()]"", """")"&amp;",C181 )"),"CheZot")</f>
        <v>CheZot</v>
      </c>
      <c r="BO181" s="23"/>
      <c r="BP181" s="7"/>
      <c r="BQ181" s="7"/>
      <c r="BR181" s="7"/>
      <c r="BS181" s="7"/>
      <c r="BT181" s="7"/>
      <c r="BU181" s="7"/>
      <c r="BV181" s="7"/>
      <c r="BW181" s="7"/>
      <c r="BX181" s="7"/>
      <c r="BY181" s="7"/>
      <c r="BZ181" s="7"/>
      <c r="CA181" s="7"/>
      <c r="CB181" s="7"/>
    </row>
    <row r="182" ht="21.75" customHeight="1">
      <c r="A182" s="7">
        <v>2257.0</v>
      </c>
      <c r="B182" s="7">
        <v>181.0</v>
      </c>
      <c r="C182" s="7" t="s">
        <v>2656</v>
      </c>
      <c r="D182" s="7"/>
      <c r="E182" s="7"/>
      <c r="F182" s="7" t="s">
        <v>342</v>
      </c>
      <c r="G182" s="7" t="s">
        <v>343</v>
      </c>
      <c r="H182" s="7" t="s">
        <v>40</v>
      </c>
      <c r="I182" s="7" t="s">
        <v>2657</v>
      </c>
      <c r="J182" s="7"/>
      <c r="K182" s="7" t="s">
        <v>34</v>
      </c>
      <c r="L182" s="7" t="s">
        <v>622</v>
      </c>
      <c r="M182" s="7" t="s">
        <v>1347</v>
      </c>
      <c r="N182" s="7" t="s">
        <v>407</v>
      </c>
      <c r="O182" s="7">
        <v>97414.0</v>
      </c>
      <c r="P182" s="7" t="s">
        <v>40</v>
      </c>
      <c r="Q182" s="7"/>
      <c r="R182" s="7"/>
      <c r="S182" s="7" t="s">
        <v>2658</v>
      </c>
      <c r="T182" s="7" t="s">
        <v>377</v>
      </c>
      <c r="U182" s="7" t="s">
        <v>378</v>
      </c>
      <c r="V182" s="7">
        <v>2.6239712E8</v>
      </c>
      <c r="W182" s="7"/>
      <c r="X182" s="7"/>
      <c r="Y182" s="7"/>
      <c r="Z182" s="7"/>
      <c r="AA182" s="7"/>
      <c r="AB182" s="7"/>
      <c r="AC182" s="7"/>
      <c r="AD182" s="7" t="s">
        <v>2659</v>
      </c>
      <c r="AE182" s="7"/>
      <c r="AF182" s="7"/>
      <c r="AG182" s="7"/>
      <c r="AH182" s="20">
        <v>43739.0</v>
      </c>
      <c r="AI182" s="7"/>
      <c r="AJ182" s="7" t="s">
        <v>2656</v>
      </c>
      <c r="AK182" s="7"/>
      <c r="AL182" s="7" t="s">
        <v>1372</v>
      </c>
      <c r="AM182" s="7">
        <v>2.6239712E8</v>
      </c>
      <c r="AN182" s="20">
        <v>43739.0</v>
      </c>
      <c r="AO182" s="7">
        <v>97414.0</v>
      </c>
      <c r="AP182" s="7" t="s">
        <v>429</v>
      </c>
      <c r="AQ182" s="7"/>
      <c r="AR182" s="7"/>
      <c r="AS182" s="7"/>
      <c r="AT182" s="7"/>
      <c r="AU182" s="7">
        <v>0.0</v>
      </c>
      <c r="AV182" s="7" t="s">
        <v>2660</v>
      </c>
      <c r="AW182" s="7"/>
      <c r="AX182" s="7"/>
      <c r="AY182" s="7"/>
      <c r="AZ182" s="7"/>
      <c r="BA182" s="7"/>
      <c r="BB182" s="7"/>
      <c r="BC182" s="7" t="s">
        <v>366</v>
      </c>
      <c r="BD182" s="21">
        <v>44047.49444444444</v>
      </c>
      <c r="BE182" s="7"/>
      <c r="BF182" s="7"/>
      <c r="BG182" s="22">
        <v>44047.0</v>
      </c>
      <c r="BH182" s="7"/>
      <c r="BI182" s="7" t="s">
        <v>1786</v>
      </c>
      <c r="BJ182" s="7"/>
      <c r="BK182" s="7" t="b">
        <v>0</v>
      </c>
      <c r="BL182" s="7" t="b">
        <v>0</v>
      </c>
      <c r="BM182" s="7"/>
      <c r="BN182" s="7" t="str">
        <f>IFERROR(__xludf.DUMMYFUNCTION(" IF( REGEXMATCH(C182 , ""[(].+[)]""),REGEXREPLACE( CONCATENATE(REGEXEXTRACT(C182 , ""[(].+[)]""),IF(REGEXMATCH(C182 , ""[(][Ll]['’][)]""),"""","" ""), REGEXEXTRACT(C182 ,""^(?:(?:[A-Za-zàäéèêîïöôûü0-9 ](?:[A-Za-zàäéèêîïöôûü'0-9 ]+)))"")) , ""[()]"", """")"&amp;",C182 )"),"Le Cho")</f>
        <v>Le Cho</v>
      </c>
      <c r="BO182" s="23"/>
      <c r="BP182" s="7"/>
      <c r="BQ182" s="7"/>
      <c r="BR182" s="7"/>
      <c r="BS182" s="7"/>
      <c r="BT182" s="7"/>
      <c r="BU182" s="7"/>
      <c r="BV182" s="7"/>
      <c r="BW182" s="7"/>
      <c r="BX182" s="7"/>
      <c r="BY182" s="7"/>
      <c r="BZ182" s="7"/>
      <c r="CA182" s="7"/>
      <c r="CB182" s="7"/>
    </row>
    <row r="183" ht="21.75" customHeight="1">
      <c r="A183" s="7">
        <v>974.0</v>
      </c>
      <c r="B183" s="7">
        <v>182.0</v>
      </c>
      <c r="C183" s="7" t="s">
        <v>2661</v>
      </c>
      <c r="D183" s="7" t="s">
        <v>2661</v>
      </c>
      <c r="E183" s="7"/>
      <c r="F183" s="7" t="s">
        <v>404</v>
      </c>
      <c r="G183" s="7" t="s">
        <v>343</v>
      </c>
      <c r="H183" s="7" t="s">
        <v>40</v>
      </c>
      <c r="I183" s="7" t="s">
        <v>2662</v>
      </c>
      <c r="J183" s="7"/>
      <c r="K183" s="7" t="s">
        <v>34</v>
      </c>
      <c r="L183" s="7" t="s">
        <v>622</v>
      </c>
      <c r="M183" s="7" t="s">
        <v>622</v>
      </c>
      <c r="N183" s="7" t="s">
        <v>407</v>
      </c>
      <c r="O183" s="7">
        <v>97414.0</v>
      </c>
      <c r="P183" s="7" t="s">
        <v>40</v>
      </c>
      <c r="Q183" s="7"/>
      <c r="R183" s="7" t="s">
        <v>1026</v>
      </c>
      <c r="S183" s="7" t="s">
        <v>438</v>
      </c>
      <c r="T183" s="7" t="s">
        <v>377</v>
      </c>
      <c r="U183" s="7" t="s">
        <v>592</v>
      </c>
      <c r="V183" s="7">
        <v>2.62393E8</v>
      </c>
      <c r="W183" s="7">
        <v>6.92695606E8</v>
      </c>
      <c r="X183" s="7"/>
      <c r="Y183" s="7">
        <v>2.62393E8</v>
      </c>
      <c r="Z183" s="7"/>
      <c r="AA183" s="7">
        <v>60.0</v>
      </c>
      <c r="AB183" s="7"/>
      <c r="AC183" s="7"/>
      <c r="AD183" s="7" t="s">
        <v>2663</v>
      </c>
      <c r="AE183" s="7" t="s">
        <v>2664</v>
      </c>
      <c r="AF183" s="7"/>
      <c r="AG183" s="7"/>
      <c r="AH183" s="20">
        <v>39575.0</v>
      </c>
      <c r="AI183" s="7"/>
      <c r="AJ183" s="7" t="s">
        <v>2665</v>
      </c>
      <c r="AK183" s="7">
        <v>5.2068368100016E13</v>
      </c>
      <c r="AL183" s="7" t="s">
        <v>2666</v>
      </c>
      <c r="AM183" s="7" t="s">
        <v>2667</v>
      </c>
      <c r="AN183" s="20">
        <v>39575.0</v>
      </c>
      <c r="AO183" s="7">
        <v>97414.0</v>
      </c>
      <c r="AP183" s="7" t="s">
        <v>429</v>
      </c>
      <c r="AQ183" s="7"/>
      <c r="AR183" s="7"/>
      <c r="AS183" s="7"/>
      <c r="AT183" s="7"/>
      <c r="AU183" s="7">
        <v>0.0</v>
      </c>
      <c r="AV183" s="7" t="s">
        <v>2668</v>
      </c>
      <c r="AW183" s="7"/>
      <c r="AX183" s="7"/>
      <c r="AY183" s="7"/>
      <c r="AZ183" s="7"/>
      <c r="BA183" s="7"/>
      <c r="BB183" s="7"/>
      <c r="BC183" s="7" t="s">
        <v>366</v>
      </c>
      <c r="BD183" s="21">
        <v>44047.49444444444</v>
      </c>
      <c r="BE183" s="7"/>
      <c r="BF183" s="7"/>
      <c r="BG183" s="22">
        <v>44047.0</v>
      </c>
      <c r="BH183" s="7">
        <v>2.14748364E8</v>
      </c>
      <c r="BI183" s="7" t="s">
        <v>2669</v>
      </c>
      <c r="BJ183" s="7"/>
      <c r="BK183" s="7" t="b">
        <v>0</v>
      </c>
      <c r="BL183" s="7" t="b">
        <v>0</v>
      </c>
      <c r="BM183" s="7"/>
      <c r="BN183" s="7" t="str">
        <f>IFERROR(__xludf.DUMMYFUNCTION(" IF( REGEXMATCH(C183 , ""[(].+[)]""),REGEXREPLACE( CONCATENATE(REGEXEXTRACT(C183 , ""[(].+[)]""),IF(REGEXMATCH(C183 , ""[(][Ll]['’][)]""),"""","" ""), REGEXEXTRACT(C183 ,""^(?:(?:[A-Za-zàäéèêîïöôûü0-9 ](?:[A-Za-zàäéèêîïöôûü'0-9 ]+)))"")) , ""[()]"", """")"&amp;",C183 )"),"Le Chocas ")</f>
        <v>Le Chocas </v>
      </c>
      <c r="BO183" s="23"/>
      <c r="BP183" s="7"/>
      <c r="BQ183" s="7"/>
      <c r="BR183" s="7"/>
      <c r="BS183" s="7"/>
      <c r="BT183" s="7"/>
      <c r="BU183" s="7"/>
      <c r="BV183" s="7"/>
      <c r="BW183" s="7"/>
      <c r="BX183" s="7"/>
      <c r="BY183" s="7"/>
      <c r="BZ183" s="7"/>
      <c r="CA183" s="7"/>
      <c r="CB183" s="7"/>
    </row>
    <row r="184" ht="21.75" customHeight="1">
      <c r="A184" s="7">
        <v>1915.0</v>
      </c>
      <c r="B184" s="7">
        <v>183.0</v>
      </c>
      <c r="C184" s="7" t="s">
        <v>2670</v>
      </c>
      <c r="D184" s="7" t="s">
        <v>2670</v>
      </c>
      <c r="E184" s="7"/>
      <c r="F184" s="7" t="s">
        <v>342</v>
      </c>
      <c r="G184" s="7" t="s">
        <v>343</v>
      </c>
      <c r="H184" s="7" t="s">
        <v>123</v>
      </c>
      <c r="I184" s="7" t="s">
        <v>2671</v>
      </c>
      <c r="J184" s="7"/>
      <c r="K184" s="6" t="s">
        <v>469</v>
      </c>
      <c r="L184" s="7" t="s">
        <v>1792</v>
      </c>
      <c r="M184" s="7" t="s">
        <v>2672</v>
      </c>
      <c r="N184" s="7"/>
      <c r="O184" s="7">
        <v>97480.0</v>
      </c>
      <c r="P184" s="7" t="s">
        <v>123</v>
      </c>
      <c r="Q184" s="7"/>
      <c r="R184" s="7" t="s">
        <v>1999</v>
      </c>
      <c r="S184" s="7"/>
      <c r="T184" s="7" t="s">
        <v>377</v>
      </c>
      <c r="U184" s="7" t="s">
        <v>378</v>
      </c>
      <c r="V184" s="7">
        <v>2.62204976E8</v>
      </c>
      <c r="W184" s="7"/>
      <c r="X184" s="7"/>
      <c r="Y184" s="7"/>
      <c r="Z184" s="7"/>
      <c r="AA184" s="7">
        <v>435.0</v>
      </c>
      <c r="AB184" s="7"/>
      <c r="AC184" s="7"/>
      <c r="AD184" s="7" t="s">
        <v>2673</v>
      </c>
      <c r="AE184" s="7"/>
      <c r="AF184" s="7"/>
      <c r="AG184" s="7"/>
      <c r="AH184" s="20">
        <v>43739.0</v>
      </c>
      <c r="AI184" s="7"/>
      <c r="AJ184" s="7" t="s">
        <v>2674</v>
      </c>
      <c r="AK184" s="7"/>
      <c r="AL184" s="7" t="s">
        <v>2675</v>
      </c>
      <c r="AM184" s="7" t="s">
        <v>2676</v>
      </c>
      <c r="AN184" s="20">
        <v>43739.0</v>
      </c>
      <c r="AO184" s="7">
        <v>97480.0</v>
      </c>
      <c r="AP184" s="7" t="s">
        <v>385</v>
      </c>
      <c r="AQ184" s="7"/>
      <c r="AR184" s="7"/>
      <c r="AS184" s="7"/>
      <c r="AT184" s="7"/>
      <c r="AU184" s="7">
        <v>0.0</v>
      </c>
      <c r="AV184" s="7" t="s">
        <v>2677</v>
      </c>
      <c r="AW184" s="7"/>
      <c r="AX184" s="7"/>
      <c r="AY184" s="7"/>
      <c r="AZ184" s="7"/>
      <c r="BA184" s="7"/>
      <c r="BB184" s="7"/>
      <c r="BC184" s="7" t="s">
        <v>366</v>
      </c>
      <c r="BD184" s="21">
        <v>44197.0</v>
      </c>
      <c r="BE184" s="7"/>
      <c r="BF184" s="7"/>
      <c r="BG184" s="22">
        <v>44197.0</v>
      </c>
      <c r="BH184" s="7"/>
      <c r="BI184" s="7" t="s">
        <v>2678</v>
      </c>
      <c r="BJ184" s="7"/>
      <c r="BK184" s="7" t="b">
        <v>0</v>
      </c>
      <c r="BL184" s="7" t="b">
        <v>0</v>
      </c>
      <c r="BM184" s="7"/>
      <c r="BN184" s="7" t="str">
        <f>IFERROR(__xludf.DUMMYFUNCTION(" IF( REGEXMATCH(C184 , ""[(].+[)]""),REGEXREPLACE( CONCATENATE(REGEXEXTRACT(C184 , ""[(].+[)]""),IF(REGEXMATCH(C184 , ""[(][Ll]['’][)]""),"""","" ""), REGEXEXTRACT(C184 ,""^(?:(?:[A-Za-zàäéèêîïöôûü0-9 ](?:[A-Za-zàäéèêîïöôûü'0-9 ]+)))"")) , ""[()]"", """")"&amp;",C184 )"),"Cinéma Le Royal")</f>
        <v>Cinéma Le Royal</v>
      </c>
      <c r="BO184" s="23"/>
      <c r="BP184" s="7"/>
      <c r="BQ184" s="7"/>
      <c r="BR184" s="7"/>
      <c r="BS184" s="7"/>
      <c r="BT184" s="7"/>
      <c r="BU184" s="7"/>
      <c r="BV184" s="7"/>
      <c r="BW184" s="7"/>
      <c r="BX184" s="7"/>
      <c r="BY184" s="7"/>
      <c r="BZ184" s="7"/>
      <c r="CA184" s="7"/>
      <c r="CB184" s="7"/>
    </row>
    <row r="185" ht="21.75" customHeight="1">
      <c r="A185" s="7">
        <v>1576.0</v>
      </c>
      <c r="B185" s="7" t="s">
        <v>2679</v>
      </c>
      <c r="C185" s="7" t="s">
        <v>2680</v>
      </c>
      <c r="D185" s="7" t="s">
        <v>2681</v>
      </c>
      <c r="E185" s="7"/>
      <c r="F185" s="7" t="s">
        <v>342</v>
      </c>
      <c r="G185" s="7" t="s">
        <v>343</v>
      </c>
      <c r="H185" s="7" t="s">
        <v>344</v>
      </c>
      <c r="I185" s="7" t="s">
        <v>2682</v>
      </c>
      <c r="J185" s="26" t="s">
        <v>2683</v>
      </c>
      <c r="K185" s="7" t="s">
        <v>822</v>
      </c>
      <c r="L185" s="7" t="s">
        <v>1805</v>
      </c>
      <c r="M185" s="7" t="s">
        <v>2684</v>
      </c>
      <c r="N185" s="7" t="s">
        <v>2685</v>
      </c>
      <c r="O185" s="7">
        <v>97418.0</v>
      </c>
      <c r="P185" s="7" t="s">
        <v>348</v>
      </c>
      <c r="Q185" s="7" t="s">
        <v>570</v>
      </c>
      <c r="R185" s="7"/>
      <c r="S185" s="7"/>
      <c r="T185" s="7"/>
      <c r="U185" s="7" t="s">
        <v>2686</v>
      </c>
      <c r="V185" s="7">
        <v>2.62590026E8</v>
      </c>
      <c r="W185" s="7"/>
      <c r="X185" s="7"/>
      <c r="Y185" s="7"/>
      <c r="Z185" s="7" t="s">
        <v>2687</v>
      </c>
      <c r="AA185" s="7"/>
      <c r="AB185" s="7"/>
      <c r="AC185" s="7" t="s">
        <v>2688</v>
      </c>
      <c r="AD185" s="7" t="s">
        <v>2689</v>
      </c>
      <c r="AE185" s="7"/>
      <c r="AF185" s="7" t="s">
        <v>2690</v>
      </c>
      <c r="AG185" s="7" t="s">
        <v>2691</v>
      </c>
      <c r="AH185" s="20">
        <v>41768.0</v>
      </c>
      <c r="AI185" s="7"/>
      <c r="AJ185" s="7" t="s">
        <v>2692</v>
      </c>
      <c r="AK185" s="7">
        <v>7.8897940900018E13</v>
      </c>
      <c r="AL185" s="7" t="s">
        <v>2693</v>
      </c>
      <c r="AM185" s="7" t="s">
        <v>2694</v>
      </c>
      <c r="AN185" s="20">
        <v>41768.0</v>
      </c>
      <c r="AO185" s="7">
        <v>97450.0</v>
      </c>
      <c r="AP185" s="7" t="s">
        <v>2695</v>
      </c>
      <c r="AQ185" s="7"/>
      <c r="AR185" s="7"/>
      <c r="AS185" s="7"/>
      <c r="AT185" s="7"/>
      <c r="AU185" s="7">
        <v>0.0</v>
      </c>
      <c r="AV185" s="7" t="s">
        <v>2696</v>
      </c>
      <c r="AW185" s="7" t="s">
        <v>2697</v>
      </c>
      <c r="AX185" s="7"/>
      <c r="AY185" s="7"/>
      <c r="AZ185" s="7"/>
      <c r="BA185" s="7"/>
      <c r="BB185" s="7"/>
      <c r="BC185" s="7" t="s">
        <v>401</v>
      </c>
      <c r="BD185" s="21">
        <v>44148.13125</v>
      </c>
      <c r="BE185" s="7" t="s">
        <v>2698</v>
      </c>
      <c r="BF185" s="7"/>
      <c r="BG185" s="7"/>
      <c r="BH185" s="7">
        <v>7.88979409E8</v>
      </c>
      <c r="BI185" s="7" t="s">
        <v>2699</v>
      </c>
      <c r="BJ185" s="7"/>
      <c r="BK185" s="7" t="b">
        <v>0</v>
      </c>
      <c r="BL185" s="7" t="b">
        <v>0</v>
      </c>
      <c r="BM185" s="7"/>
      <c r="BN185" s="7" t="str">
        <f>IFERROR(__xludf.DUMMYFUNCTION(" IF( REGEXMATCH(C185 , ""[(].+[)]""),REGEXREPLACE( CONCATENATE(REGEXEXTRACT(C185 , ""[(].+[)]""),IF(REGEXMATCH(C185 , ""[(][Ll]['’][)]""),"""","" ""), REGEXEXTRACT(C185 ,""^(?:(?:[A-Za-zàäéèêîïöôûü0-9 ](?:[A-Za-zàäéèêîïöôûü'0-9 ]+)))"")) , ""[()]"", """")"&amp;",C185 )"),"La Cité du Volcan ")</f>
        <v>La Cité du Volcan </v>
      </c>
      <c r="BO185" s="25"/>
      <c r="BP185" s="7"/>
      <c r="BQ185" s="7"/>
      <c r="BR185" s="7"/>
      <c r="BS185" s="7"/>
      <c r="BT185" s="7"/>
      <c r="BU185" s="7"/>
      <c r="BV185" s="7"/>
      <c r="BW185" s="7"/>
      <c r="BX185" s="7"/>
      <c r="BY185" s="7"/>
      <c r="BZ185" s="7"/>
      <c r="CA185" s="7"/>
      <c r="CB185" s="7"/>
    </row>
    <row r="186" ht="21.75" customHeight="1">
      <c r="A186" s="7">
        <v>1689.0</v>
      </c>
      <c r="B186" s="7">
        <v>185.0</v>
      </c>
      <c r="C186" s="7" t="s">
        <v>2700</v>
      </c>
      <c r="D186" s="7" t="s">
        <v>2700</v>
      </c>
      <c r="E186" s="7"/>
      <c r="F186" s="7" t="s">
        <v>404</v>
      </c>
      <c r="G186" s="7" t="s">
        <v>343</v>
      </c>
      <c r="H186" s="7" t="s">
        <v>344</v>
      </c>
      <c r="I186" s="7" t="s">
        <v>2701</v>
      </c>
      <c r="J186" s="7"/>
      <c r="K186" s="7" t="s">
        <v>34</v>
      </c>
      <c r="L186" s="7" t="s">
        <v>622</v>
      </c>
      <c r="M186" s="7" t="s">
        <v>622</v>
      </c>
      <c r="N186" s="7" t="s">
        <v>664</v>
      </c>
      <c r="O186" s="7">
        <v>97430.0</v>
      </c>
      <c r="P186" s="7" t="s">
        <v>344</v>
      </c>
      <c r="Q186" s="7"/>
      <c r="R186" s="7"/>
      <c r="S186" s="7"/>
      <c r="T186" s="7" t="s">
        <v>2702</v>
      </c>
      <c r="U186" s="7" t="s">
        <v>378</v>
      </c>
      <c r="V186" s="7">
        <v>2.62335799E8</v>
      </c>
      <c r="W186" s="7">
        <v>6.92881337E8</v>
      </c>
      <c r="X186" s="7"/>
      <c r="Y186" s="7"/>
      <c r="Z186" s="7"/>
      <c r="AA186" s="7">
        <v>30.0</v>
      </c>
      <c r="AB186" s="7"/>
      <c r="AC186" s="7"/>
      <c r="AD186" s="7" t="s">
        <v>2703</v>
      </c>
      <c r="AE186" s="7" t="s">
        <v>2704</v>
      </c>
      <c r="AF186" s="7"/>
      <c r="AG186" s="7"/>
      <c r="AH186" s="20">
        <v>43739.0</v>
      </c>
      <c r="AI186" s="7"/>
      <c r="AJ186" s="7" t="s">
        <v>2700</v>
      </c>
      <c r="AK186" s="7"/>
      <c r="AL186" s="7" t="s">
        <v>2705</v>
      </c>
      <c r="AM186" s="7" t="s">
        <v>2706</v>
      </c>
      <c r="AN186" s="20">
        <v>43739.0</v>
      </c>
      <c r="AO186" s="7">
        <v>97430.0</v>
      </c>
      <c r="AP186" s="7" t="s">
        <v>494</v>
      </c>
      <c r="AQ186" s="7"/>
      <c r="AR186" s="7"/>
      <c r="AS186" s="7"/>
      <c r="AT186" s="7"/>
      <c r="AU186" s="7">
        <v>0.0</v>
      </c>
      <c r="AV186" s="7" t="s">
        <v>2707</v>
      </c>
      <c r="AW186" s="7"/>
      <c r="AX186" s="7"/>
      <c r="AY186" s="7"/>
      <c r="AZ186" s="7"/>
      <c r="BA186" s="7"/>
      <c r="BB186" s="7"/>
      <c r="BC186" s="7" t="s">
        <v>366</v>
      </c>
      <c r="BD186" s="21">
        <v>44199.43541666667</v>
      </c>
      <c r="BE186" s="7"/>
      <c r="BF186" s="7"/>
      <c r="BG186" s="22">
        <v>44199.0</v>
      </c>
      <c r="BH186" s="7"/>
      <c r="BI186" s="7" t="s">
        <v>2708</v>
      </c>
      <c r="BJ186" s="7"/>
      <c r="BK186" s="7" t="b">
        <v>0</v>
      </c>
      <c r="BL186" s="7" t="b">
        <v>0</v>
      </c>
      <c r="BM186" s="7"/>
      <c r="BN186" s="7" t="str">
        <f>IFERROR(__xludf.DUMMYFUNCTION(" IF( REGEXMATCH(C186 , ""[(].+[)]""),REGEXREPLACE( CONCATENATE(REGEXEXTRACT(C186 , ""[(].+[)]""),IF(REGEXMATCH(C186 , ""[(][Ll]['’][)]""),"""","" ""), REGEXEXTRACT(C186 ,""^(?:(?:[A-Za-zàäéèêîïöôûü0-9 ](?:[A-Za-zàäéèêîïöôûü'0-9 ]+)))"")) , ""[()]"", """")"&amp;",C186 )"),"Claire et Babette")</f>
        <v>Claire et Babette</v>
      </c>
      <c r="BO186" s="23"/>
      <c r="BP186" s="7"/>
      <c r="BQ186" s="7"/>
      <c r="BR186" s="7"/>
      <c r="BS186" s="7"/>
      <c r="BT186" s="7"/>
      <c r="BU186" s="7"/>
      <c r="BV186" s="7"/>
      <c r="BW186" s="7"/>
      <c r="BX186" s="7"/>
      <c r="BY186" s="7"/>
      <c r="BZ186" s="7"/>
      <c r="CA186" s="7"/>
      <c r="CB186" s="7"/>
    </row>
    <row r="187" ht="21.75" customHeight="1">
      <c r="A187" s="7">
        <v>3865.0</v>
      </c>
      <c r="B187" s="7" t="s">
        <v>2709</v>
      </c>
      <c r="C187" s="7" t="s">
        <v>2710</v>
      </c>
      <c r="D187" s="7"/>
      <c r="E187" s="7"/>
      <c r="F187" s="7" t="s">
        <v>342</v>
      </c>
      <c r="G187" s="7" t="s">
        <v>343</v>
      </c>
      <c r="H187" s="7" t="s">
        <v>344</v>
      </c>
      <c r="I187" s="7" t="s">
        <v>2711</v>
      </c>
      <c r="J187" s="26" t="s">
        <v>2712</v>
      </c>
      <c r="K187" s="7" t="s">
        <v>58</v>
      </c>
      <c r="L187" s="7" t="s">
        <v>59</v>
      </c>
      <c r="M187" s="7" t="s">
        <v>374</v>
      </c>
      <c r="N187" s="7" t="s">
        <v>455</v>
      </c>
      <c r="O187" s="7">
        <v>97430.0</v>
      </c>
      <c r="P187" s="7" t="s">
        <v>344</v>
      </c>
      <c r="Q187" s="7"/>
      <c r="R187" s="7" t="s">
        <v>2713</v>
      </c>
      <c r="S187" s="7" t="s">
        <v>2714</v>
      </c>
      <c r="T187" s="7" t="s">
        <v>377</v>
      </c>
      <c r="U187" s="7" t="s">
        <v>378</v>
      </c>
      <c r="V187" s="7">
        <v>2.62572791E8</v>
      </c>
      <c r="W187" s="7">
        <v>6.92968574E8</v>
      </c>
      <c r="X187" s="7"/>
      <c r="Y187" s="7"/>
      <c r="Z187" s="7" t="s">
        <v>2715</v>
      </c>
      <c r="AA187" s="7">
        <v>4.0</v>
      </c>
      <c r="AB187" s="7" t="s">
        <v>2716</v>
      </c>
      <c r="AC187" s="7" t="s">
        <v>2717</v>
      </c>
      <c r="AD187" s="7" t="s">
        <v>2718</v>
      </c>
      <c r="AE187" s="7" t="s">
        <v>2719</v>
      </c>
      <c r="AF187" s="7"/>
      <c r="AG187" s="7"/>
      <c r="AH187" s="20">
        <v>42164.0</v>
      </c>
      <c r="AI187" s="7"/>
      <c r="AJ187" s="7" t="s">
        <v>2720</v>
      </c>
      <c r="AK187" s="7">
        <v>8.0942547300018E13</v>
      </c>
      <c r="AL187" s="7" t="s">
        <v>2721</v>
      </c>
      <c r="AM187" s="7" t="s">
        <v>2722</v>
      </c>
      <c r="AN187" s="20">
        <v>42164.0</v>
      </c>
      <c r="AO187" s="7">
        <v>97430.0</v>
      </c>
      <c r="AP187" s="7" t="s">
        <v>494</v>
      </c>
      <c r="AQ187" s="7"/>
      <c r="AR187" s="7"/>
      <c r="AS187" s="7"/>
      <c r="AT187" s="7"/>
      <c r="AU187" s="7">
        <v>1.0</v>
      </c>
      <c r="AV187" s="7" t="s">
        <v>2723</v>
      </c>
      <c r="AW187" s="7" t="s">
        <v>2724</v>
      </c>
      <c r="AX187" s="7"/>
      <c r="AY187" s="7"/>
      <c r="AZ187" s="7" t="s">
        <v>2725</v>
      </c>
      <c r="BA187" s="7"/>
      <c r="BB187" s="7"/>
      <c r="BC187" s="7" t="s">
        <v>401</v>
      </c>
      <c r="BD187" s="21">
        <v>44124.47708333333</v>
      </c>
      <c r="BE187" s="7" t="s">
        <v>1011</v>
      </c>
      <c r="BF187" s="7"/>
      <c r="BG187" s="7"/>
      <c r="BH187" s="7">
        <v>8.09425473E8</v>
      </c>
      <c r="BI187" s="7" t="s">
        <v>2726</v>
      </c>
      <c r="BJ187" s="7"/>
      <c r="BK187" s="7" t="b">
        <v>0</v>
      </c>
      <c r="BL187" s="7" t="b">
        <v>0</v>
      </c>
      <c r="BM187" s="7"/>
      <c r="BN187" s="7" t="str">
        <f>IFERROR(__xludf.DUMMYFUNCTION(" IF( REGEXMATCH(C187 , ""[(].+[)]""),REGEXREPLACE( CONCATENATE(REGEXEXTRACT(C187 , ""[(].+[)]""),IF(REGEXMATCH(C187 , ""[(][Ll]['’][)]""),"""","" ""), REGEXEXTRACT(C187 ,""^(?:(?:[A-Za-zàäéèêîïöôûü0-9 ](?:[A-Za-zàäéèêîïöôûü'0-9 ]+)))"")) , ""[()]"", """")"&amp;",C187 )"),"Clotilis")</f>
        <v>Clotilis</v>
      </c>
      <c r="BO187" s="25"/>
      <c r="BP187" s="7"/>
      <c r="BQ187" s="7"/>
      <c r="BR187" s="7"/>
      <c r="BS187" s="7"/>
      <c r="BT187" s="7"/>
      <c r="BU187" s="7"/>
      <c r="BV187" s="7"/>
      <c r="BW187" s="7"/>
      <c r="BX187" s="7"/>
      <c r="BY187" s="7"/>
      <c r="BZ187" s="7"/>
      <c r="CA187" s="7"/>
      <c r="CB187" s="7"/>
    </row>
    <row r="188" ht="21.75" customHeight="1">
      <c r="A188" s="7">
        <v>1893.0</v>
      </c>
      <c r="B188" s="7">
        <v>187.0</v>
      </c>
      <c r="C188" s="7" t="s">
        <v>2727</v>
      </c>
      <c r="D188" s="7" t="s">
        <v>2727</v>
      </c>
      <c r="E188" s="7"/>
      <c r="F188" s="7" t="s">
        <v>404</v>
      </c>
      <c r="G188" s="7" t="s">
        <v>343</v>
      </c>
      <c r="H188" s="7" t="s">
        <v>344</v>
      </c>
      <c r="I188" s="7" t="s">
        <v>2728</v>
      </c>
      <c r="J188" s="7"/>
      <c r="K188" s="6" t="s">
        <v>469</v>
      </c>
      <c r="L188" s="7" t="s">
        <v>1792</v>
      </c>
      <c r="M188" s="7" t="s">
        <v>2729</v>
      </c>
      <c r="N188" s="7" t="s">
        <v>2730</v>
      </c>
      <c r="O188" s="7">
        <v>97418.0</v>
      </c>
      <c r="P188" s="7" t="s">
        <v>348</v>
      </c>
      <c r="Q188" s="7"/>
      <c r="R188" s="7"/>
      <c r="S188" s="7"/>
      <c r="T188" s="7" t="s">
        <v>377</v>
      </c>
      <c r="U188" s="7" t="s">
        <v>378</v>
      </c>
      <c r="V188" s="7">
        <v>2.62277373E8</v>
      </c>
      <c r="W188" s="7"/>
      <c r="X188" s="7"/>
      <c r="Y188" s="7"/>
      <c r="Z188" s="7"/>
      <c r="AA188" s="7"/>
      <c r="AB188" s="7"/>
      <c r="AC188" s="7"/>
      <c r="AD188" s="7" t="s">
        <v>2731</v>
      </c>
      <c r="AE188" s="7"/>
      <c r="AF188" s="7"/>
      <c r="AG188" s="7"/>
      <c r="AH188" s="20">
        <v>43739.0</v>
      </c>
      <c r="AI188" s="7"/>
      <c r="AJ188" s="7" t="s">
        <v>2727</v>
      </c>
      <c r="AK188" s="7"/>
      <c r="AL188" s="7" t="s">
        <v>2732</v>
      </c>
      <c r="AM188" s="7" t="s">
        <v>2733</v>
      </c>
      <c r="AN188" s="20">
        <v>43739.0</v>
      </c>
      <c r="AO188" s="7">
        <v>97418.0</v>
      </c>
      <c r="AP188" s="7" t="s">
        <v>362</v>
      </c>
      <c r="AQ188" s="7"/>
      <c r="AR188" s="7"/>
      <c r="AS188" s="7"/>
      <c r="AT188" s="7"/>
      <c r="AU188" s="7">
        <v>0.0</v>
      </c>
      <c r="AV188" s="7" t="s">
        <v>2734</v>
      </c>
      <c r="AW188" s="7"/>
      <c r="AX188" s="7"/>
      <c r="AY188" s="7"/>
      <c r="AZ188" s="7"/>
      <c r="BA188" s="7"/>
      <c r="BB188" s="7"/>
      <c r="BC188" s="7" t="s">
        <v>366</v>
      </c>
      <c r="BD188" s="21">
        <v>44199.381944444445</v>
      </c>
      <c r="BE188" s="7"/>
      <c r="BF188" s="7"/>
      <c r="BG188" s="22">
        <v>44199.0</v>
      </c>
      <c r="BH188" s="7"/>
      <c r="BI188" s="7" t="s">
        <v>2735</v>
      </c>
      <c r="BJ188" s="7"/>
      <c r="BK188" s="7" t="b">
        <v>0</v>
      </c>
      <c r="BL188" s="7" t="b">
        <v>0</v>
      </c>
      <c r="BM188" s="7"/>
      <c r="BN188" s="7" t="str">
        <f>IFERROR(__xludf.DUMMYFUNCTION(" IF( REGEXMATCH(C188 , ""[(].+[)]""),REGEXREPLACE( CONCATENATE(REGEXEXTRACT(C188 , ""[(].+[)]""),IF(REGEXMATCH(C188 , ""[(][Ll]['’][)]""),"""","" ""), REGEXEXTRACT(C188 ,""^(?:(?:[A-Za-zàäéèêîïöôûü0-9 ](?:[A-Za-zàäéèêîïöôûü'0-9 ]+)))"")) , ""[()]"", """")"&amp;",C188 )"),"Club Maui")</f>
        <v>Club Maui</v>
      </c>
      <c r="BO188" s="23"/>
      <c r="BP188" s="7"/>
      <c r="BQ188" s="7"/>
      <c r="BR188" s="7"/>
      <c r="BS188" s="7"/>
      <c r="BT188" s="7"/>
      <c r="BU188" s="7"/>
      <c r="BV188" s="7"/>
      <c r="BW188" s="7"/>
      <c r="BX188" s="7"/>
      <c r="BY188" s="7"/>
      <c r="BZ188" s="7"/>
      <c r="CA188" s="7"/>
      <c r="CB188" s="7"/>
    </row>
    <row r="189" ht="21.75" customHeight="1">
      <c r="A189" s="7">
        <v>2935.0</v>
      </c>
      <c r="B189" s="7" t="s">
        <v>2736</v>
      </c>
      <c r="C189" s="7" t="s">
        <v>2737</v>
      </c>
      <c r="D189" s="7" t="s">
        <v>2737</v>
      </c>
      <c r="E189" s="7"/>
      <c r="F189" s="7" t="s">
        <v>342</v>
      </c>
      <c r="G189" s="7" t="s">
        <v>343</v>
      </c>
      <c r="H189" s="7" t="s">
        <v>33</v>
      </c>
      <c r="I189" s="7" t="s">
        <v>2738</v>
      </c>
      <c r="J189" s="26" t="s">
        <v>2739</v>
      </c>
      <c r="K189" s="7" t="s">
        <v>58</v>
      </c>
      <c r="L189" s="7" t="s">
        <v>453</v>
      </c>
      <c r="M189" s="7" t="s">
        <v>454</v>
      </c>
      <c r="N189" s="7" t="s">
        <v>455</v>
      </c>
      <c r="O189" s="7">
        <v>97442.0</v>
      </c>
      <c r="P189" s="7" t="s">
        <v>33</v>
      </c>
      <c r="Q189" s="7"/>
      <c r="R189" s="7" t="s">
        <v>2740</v>
      </c>
      <c r="S189" s="7"/>
      <c r="T189" s="7" t="s">
        <v>377</v>
      </c>
      <c r="U189" s="7" t="s">
        <v>592</v>
      </c>
      <c r="V189" s="7">
        <v>2.62931876E8</v>
      </c>
      <c r="W189" s="7">
        <v>6.92945112E8</v>
      </c>
      <c r="X189" s="7"/>
      <c r="Y189" s="7"/>
      <c r="Z189" s="7" t="s">
        <v>2741</v>
      </c>
      <c r="AA189" s="7">
        <v>8.0</v>
      </c>
      <c r="AB189" s="7"/>
      <c r="AC189" s="7" t="s">
        <v>2742</v>
      </c>
      <c r="AD189" s="7" t="s">
        <v>2743</v>
      </c>
      <c r="AE189" s="7" t="s">
        <v>2744</v>
      </c>
      <c r="AF189" s="7"/>
      <c r="AG189" s="7"/>
      <c r="AH189" s="20">
        <v>40669.0</v>
      </c>
      <c r="AI189" s="7"/>
      <c r="AJ189" s="7" t="s">
        <v>2745</v>
      </c>
      <c r="AK189" s="7"/>
      <c r="AL189" s="7" t="s">
        <v>2746</v>
      </c>
      <c r="AM189" s="7" t="s">
        <v>2747</v>
      </c>
      <c r="AN189" s="20">
        <v>40669.0</v>
      </c>
      <c r="AO189" s="7">
        <v>97442.0</v>
      </c>
      <c r="AP189" s="7" t="s">
        <v>884</v>
      </c>
      <c r="AQ189" s="7"/>
      <c r="AR189" s="7"/>
      <c r="AS189" s="7"/>
      <c r="AT189" s="7"/>
      <c r="AU189" s="7">
        <v>4.0</v>
      </c>
      <c r="AV189" s="7" t="s">
        <v>2748</v>
      </c>
      <c r="AW189" s="7"/>
      <c r="AX189" s="7" t="s">
        <v>2749</v>
      </c>
      <c r="AY189" s="7" t="s">
        <v>1590</v>
      </c>
      <c r="AZ189" s="7" t="s">
        <v>2750</v>
      </c>
      <c r="BA189" s="7"/>
      <c r="BB189" s="7"/>
      <c r="BC189" s="7" t="s">
        <v>401</v>
      </c>
      <c r="BD189" s="21">
        <v>44238.06319444445</v>
      </c>
      <c r="BE189" s="7" t="s">
        <v>2751</v>
      </c>
      <c r="BF189" s="7"/>
      <c r="BG189" s="7"/>
      <c r="BH189" s="7"/>
      <c r="BI189" s="7" t="s">
        <v>2752</v>
      </c>
      <c r="BJ189" s="7"/>
      <c r="BK189" s="7" t="b">
        <v>0</v>
      </c>
      <c r="BL189" s="7" t="b">
        <v>0</v>
      </c>
      <c r="BM189" s="7"/>
      <c r="BN189" s="7" t="str">
        <f>IFERROR(__xludf.DUMMYFUNCTION(" IF( REGEXMATCH(C189 , ""[(].+[)]""),REGEXREPLACE( CONCATENATE(REGEXEXTRACT(C189 , ""[(].+[)]""),IF(REGEXMATCH(C189 , ""[(][Ll]['’][)]""),"""","" ""), REGEXEXTRACT(C189 ,""^(?:(?:[A-Za-zàäéèêîïöôûü0-9 ](?:[A-Za-zàäéèêîïöôûü'0-9 ]+)))"")) , ""[()]"", """")"&amp;",C189 )"),"Coco-Vanille")</f>
        <v>Coco-Vanille</v>
      </c>
      <c r="BO189" s="25"/>
      <c r="BP189" s="7"/>
      <c r="BQ189" s="7"/>
      <c r="BR189" s="7"/>
      <c r="BS189" s="7"/>
      <c r="BT189" s="7"/>
      <c r="BU189" s="7"/>
      <c r="BV189" s="7"/>
      <c r="BW189" s="7"/>
      <c r="BX189" s="7"/>
      <c r="BY189" s="7"/>
      <c r="BZ189" s="7"/>
      <c r="CA189" s="7"/>
      <c r="CB189" s="7"/>
    </row>
    <row r="190" ht="21.75" customHeight="1">
      <c r="A190" s="7">
        <v>878.0</v>
      </c>
      <c r="B190" s="7">
        <v>189.0</v>
      </c>
      <c r="C190" s="7" t="s">
        <v>2753</v>
      </c>
      <c r="D190" s="7" t="s">
        <v>2754</v>
      </c>
      <c r="E190" s="7"/>
      <c r="F190" s="7" t="s">
        <v>404</v>
      </c>
      <c r="G190" s="7" t="s">
        <v>343</v>
      </c>
      <c r="H190" s="7" t="s">
        <v>123</v>
      </c>
      <c r="I190" s="7" t="s">
        <v>2755</v>
      </c>
      <c r="J190" s="26" t="s">
        <v>2756</v>
      </c>
      <c r="K190" s="7" t="s">
        <v>58</v>
      </c>
      <c r="L190" s="7" t="s">
        <v>59</v>
      </c>
      <c r="M190" s="7" t="s">
        <v>374</v>
      </c>
      <c r="N190" s="7" t="s">
        <v>407</v>
      </c>
      <c r="O190" s="7">
        <v>97480.0</v>
      </c>
      <c r="P190" s="7" t="s">
        <v>123</v>
      </c>
      <c r="Q190" s="7"/>
      <c r="R190" s="7" t="s">
        <v>1457</v>
      </c>
      <c r="S190" s="7" t="s">
        <v>2757</v>
      </c>
      <c r="T190" s="7" t="s">
        <v>648</v>
      </c>
      <c r="U190" s="7" t="s">
        <v>2758</v>
      </c>
      <c r="V190" s="7">
        <v>2.62560102E8</v>
      </c>
      <c r="W190" s="7">
        <v>6.9243707E8</v>
      </c>
      <c r="X190" s="7"/>
      <c r="Y190" s="7">
        <v>2.6231949E8</v>
      </c>
      <c r="Z190" s="7" t="s">
        <v>2759</v>
      </c>
      <c r="AA190" s="7">
        <v>6.0</v>
      </c>
      <c r="AB190" s="7"/>
      <c r="AC190" s="7"/>
      <c r="AD190" s="7" t="s">
        <v>2760</v>
      </c>
      <c r="AE190" s="7" t="s">
        <v>2761</v>
      </c>
      <c r="AF190" s="7"/>
      <c r="AG190" s="7"/>
      <c r="AH190" s="20">
        <v>39590.0</v>
      </c>
      <c r="AI190" s="7"/>
      <c r="AJ190" s="7" t="s">
        <v>2762</v>
      </c>
      <c r="AK190" s="7">
        <v>4.5366983000011E13</v>
      </c>
      <c r="AL190" s="7" t="s">
        <v>2763</v>
      </c>
      <c r="AM190" s="7" t="s">
        <v>2764</v>
      </c>
      <c r="AN190" s="20">
        <v>39575.0</v>
      </c>
      <c r="AO190" s="7">
        <v>97480.0</v>
      </c>
      <c r="AP190" s="7" t="s">
        <v>385</v>
      </c>
      <c r="AQ190" s="7"/>
      <c r="AR190" s="7"/>
      <c r="AS190" s="7"/>
      <c r="AT190" s="7"/>
      <c r="AU190" s="7">
        <v>0.0</v>
      </c>
      <c r="AV190" s="7" t="s">
        <v>2765</v>
      </c>
      <c r="AW190" s="7"/>
      <c r="AX190" s="7"/>
      <c r="AY190" s="7"/>
      <c r="AZ190" s="7"/>
      <c r="BA190" s="7"/>
      <c r="BB190" s="7"/>
      <c r="BC190" s="7" t="s">
        <v>366</v>
      </c>
      <c r="BD190" s="21">
        <v>44197.0</v>
      </c>
      <c r="BE190" s="7"/>
      <c r="BF190" s="7"/>
      <c r="BG190" s="22">
        <v>44197.0</v>
      </c>
      <c r="BH190" s="7">
        <v>2.14748364E8</v>
      </c>
      <c r="BI190" s="7" t="s">
        <v>2766</v>
      </c>
      <c r="BJ190" s="7"/>
      <c r="BK190" s="7" t="b">
        <v>0</v>
      </c>
      <c r="BL190" s="7" t="b">
        <v>0</v>
      </c>
      <c r="BM190" s="7"/>
      <c r="BN190" s="7" t="str">
        <f>IFERROR(__xludf.DUMMYFUNCTION(" IF( REGEXMATCH(C190 , ""[(].+[)]""),REGEXREPLACE( CONCATENATE(REGEXEXTRACT(C190 , ""[(].+[)]""),IF(REGEXMATCH(C190 , ""[(][Ll]['’][)]""),"""","" ""), REGEXEXTRACT(C190 ,""^(?:(?:[A-Za-zàäéèêîïöôûü0-9 ](?:[A-Za-zàäéèêîïöôûü'0-9 ]+)))"")) , ""[()]"", """")"&amp;",C190 )"),"Le Cocotier ")</f>
        <v>Le Cocotier </v>
      </c>
      <c r="BO190" s="23"/>
      <c r="BP190" s="7"/>
      <c r="BQ190" s="7"/>
      <c r="BR190" s="7"/>
      <c r="BS190" s="7"/>
      <c r="BT190" s="7"/>
      <c r="BU190" s="7"/>
      <c r="BV190" s="7"/>
      <c r="BW190" s="7"/>
      <c r="BX190" s="7"/>
      <c r="BY190" s="7"/>
      <c r="BZ190" s="7"/>
      <c r="CA190" s="7"/>
      <c r="CB190" s="7"/>
    </row>
    <row r="191" ht="21.75" customHeight="1">
      <c r="A191" s="7">
        <v>4868.0</v>
      </c>
      <c r="B191" s="7" t="s">
        <v>2767</v>
      </c>
      <c r="C191" s="7" t="s">
        <v>2768</v>
      </c>
      <c r="D191" s="7"/>
      <c r="E191" s="7"/>
      <c r="F191" s="7" t="s">
        <v>342</v>
      </c>
      <c r="G191" s="7" t="s">
        <v>343</v>
      </c>
      <c r="H191" s="7" t="s">
        <v>40</v>
      </c>
      <c r="I191" s="7" t="s">
        <v>2769</v>
      </c>
      <c r="J191" s="26" t="s">
        <v>2770</v>
      </c>
      <c r="K191" s="7" t="s">
        <v>58</v>
      </c>
      <c r="L191" s="7" t="s">
        <v>59</v>
      </c>
      <c r="M191" s="7" t="s">
        <v>346</v>
      </c>
      <c r="N191" s="7" t="s">
        <v>422</v>
      </c>
      <c r="O191" s="7">
        <v>97414.0</v>
      </c>
      <c r="P191" s="7" t="s">
        <v>40</v>
      </c>
      <c r="Q191" s="7"/>
      <c r="R191" s="7" t="s">
        <v>2771</v>
      </c>
      <c r="S191" s="7" t="s">
        <v>1038</v>
      </c>
      <c r="T191" s="7" t="s">
        <v>377</v>
      </c>
      <c r="U191" s="7" t="s">
        <v>378</v>
      </c>
      <c r="V191" s="7"/>
      <c r="W191" s="7">
        <v>6.92643964E8</v>
      </c>
      <c r="X191" s="7"/>
      <c r="Y191" s="7"/>
      <c r="Z191" s="7" t="s">
        <v>2772</v>
      </c>
      <c r="AA191" s="7">
        <v>4.0</v>
      </c>
      <c r="AB191" s="7"/>
      <c r="AC191" s="7" t="s">
        <v>2773</v>
      </c>
      <c r="AD191" s="7" t="s">
        <v>2774</v>
      </c>
      <c r="AE191" s="7" t="s">
        <v>2775</v>
      </c>
      <c r="AF191" s="7"/>
      <c r="AG191" s="7"/>
      <c r="AH191" s="20">
        <v>43529.0</v>
      </c>
      <c r="AI191" s="7"/>
      <c r="AJ191" s="7" t="s">
        <v>2776</v>
      </c>
      <c r="AK191" s="7">
        <v>3.5306577400013E13</v>
      </c>
      <c r="AL191" s="7" t="s">
        <v>2777</v>
      </c>
      <c r="AM191" s="7" t="s">
        <v>2778</v>
      </c>
      <c r="AN191" s="20">
        <v>43529.0</v>
      </c>
      <c r="AO191" s="7">
        <v>97414.0</v>
      </c>
      <c r="AP191" s="7" t="s">
        <v>429</v>
      </c>
      <c r="AQ191" s="7"/>
      <c r="AR191" s="7"/>
      <c r="AS191" s="7"/>
      <c r="AT191" s="7"/>
      <c r="AU191" s="7">
        <v>1.0</v>
      </c>
      <c r="AV191" s="7" t="s">
        <v>2779</v>
      </c>
      <c r="AW191" s="7"/>
      <c r="AX191" s="7" t="s">
        <v>2045</v>
      </c>
      <c r="AY191" s="7" t="s">
        <v>1962</v>
      </c>
      <c r="AZ191" s="7" t="s">
        <v>2780</v>
      </c>
      <c r="BA191" s="7"/>
      <c r="BB191" s="7"/>
      <c r="BC191" s="7" t="s">
        <v>401</v>
      </c>
      <c r="BD191" s="21">
        <v>44046.53194444445</v>
      </c>
      <c r="BE191" s="7" t="s">
        <v>2781</v>
      </c>
      <c r="BF191" s="7"/>
      <c r="BG191" s="7"/>
      <c r="BH191" s="7">
        <v>3.53065774E8</v>
      </c>
      <c r="BI191" s="7" t="s">
        <v>2782</v>
      </c>
      <c r="BJ191" s="7"/>
      <c r="BK191" s="7" t="b">
        <v>0</v>
      </c>
      <c r="BL191" s="7" t="b">
        <v>0</v>
      </c>
      <c r="BM191" s="7"/>
      <c r="BN191" s="7" t="str">
        <f>IFERROR(__xludf.DUMMYFUNCTION(" IF( REGEXMATCH(C191 , ""[(].+[)]""),REGEXREPLACE( CONCATENATE(REGEXEXTRACT(C191 , ""[(].+[)]""),IF(REGEXMATCH(C191 , ""[(][Ll]['’][)]""),"""","" ""), REGEXEXTRACT(C191 ,""^(?:(?:[A-Za-zàäéèêîïöôûü0-9 ](?:[A-Za-zàäéèêîïöôûü'0-9 ]+)))"")) , ""[()]"", """")"&amp;",C191 )"),"Cœur de Café")</f>
        <v>Cœur de Café</v>
      </c>
      <c r="BO191" s="25"/>
      <c r="BP191" s="7"/>
      <c r="BQ191" s="7"/>
      <c r="BR191" s="7"/>
      <c r="BS191" s="7"/>
      <c r="BT191" s="7"/>
      <c r="BU191" s="7"/>
      <c r="BV191" s="7"/>
      <c r="BW191" s="7"/>
      <c r="BX191" s="7"/>
      <c r="BY191" s="7"/>
      <c r="BZ191" s="7"/>
      <c r="CA191" s="7"/>
      <c r="CB191" s="7"/>
    </row>
    <row r="192" ht="21.75" customHeight="1">
      <c r="A192" s="7">
        <v>3379.0</v>
      </c>
      <c r="B192" s="7">
        <v>191.0</v>
      </c>
      <c r="C192" s="7" t="s">
        <v>2783</v>
      </c>
      <c r="D192" s="7" t="s">
        <v>2784</v>
      </c>
      <c r="E192" s="7"/>
      <c r="F192" s="7" t="s">
        <v>404</v>
      </c>
      <c r="G192" s="7" t="s">
        <v>343</v>
      </c>
      <c r="H192" s="7" t="s">
        <v>123</v>
      </c>
      <c r="I192" s="7" t="s">
        <v>2785</v>
      </c>
      <c r="J192" s="7"/>
      <c r="K192" s="7" t="s">
        <v>58</v>
      </c>
      <c r="L192" s="7" t="s">
        <v>59</v>
      </c>
      <c r="M192" s="7" t="s">
        <v>374</v>
      </c>
      <c r="N192" s="7" t="s">
        <v>664</v>
      </c>
      <c r="O192" s="7">
        <v>97480.0</v>
      </c>
      <c r="P192" s="7" t="s">
        <v>123</v>
      </c>
      <c r="Q192" s="7"/>
      <c r="R192" s="7" t="s">
        <v>2786</v>
      </c>
      <c r="S192" s="7" t="s">
        <v>2787</v>
      </c>
      <c r="T192" s="7" t="s">
        <v>377</v>
      </c>
      <c r="U192" s="7" t="s">
        <v>353</v>
      </c>
      <c r="V192" s="7">
        <v>2.62234133E8</v>
      </c>
      <c r="W192" s="7">
        <v>6.92760262E8</v>
      </c>
      <c r="X192" s="7"/>
      <c r="Y192" s="7"/>
      <c r="Z192" s="7" t="s">
        <v>2788</v>
      </c>
      <c r="AA192" s="7">
        <v>3.0</v>
      </c>
      <c r="AB192" s="7"/>
      <c r="AC192" s="7" t="s">
        <v>2789</v>
      </c>
      <c r="AD192" s="7" t="s">
        <v>2790</v>
      </c>
      <c r="AE192" s="7" t="s">
        <v>2791</v>
      </c>
      <c r="AF192" s="7"/>
      <c r="AG192" s="7"/>
      <c r="AH192" s="20">
        <v>41451.0</v>
      </c>
      <c r="AI192" s="7"/>
      <c r="AJ192" s="7" t="s">
        <v>2792</v>
      </c>
      <c r="AK192" s="7"/>
      <c r="AL192" s="7" t="s">
        <v>2793</v>
      </c>
      <c r="AM192" s="7" t="s">
        <v>2794</v>
      </c>
      <c r="AN192" s="20">
        <v>41450.0</v>
      </c>
      <c r="AO192" s="7">
        <v>97480.0</v>
      </c>
      <c r="AP192" s="7" t="s">
        <v>385</v>
      </c>
      <c r="AQ192" s="7"/>
      <c r="AR192" s="7"/>
      <c r="AS192" s="7"/>
      <c r="AT192" s="7"/>
      <c r="AU192" s="7">
        <v>1.0</v>
      </c>
      <c r="AV192" s="7" t="s">
        <v>2795</v>
      </c>
      <c r="AW192" s="7"/>
      <c r="AX192" s="7"/>
      <c r="AY192" s="7"/>
      <c r="AZ192" s="7"/>
      <c r="BA192" s="7"/>
      <c r="BB192" s="7"/>
      <c r="BC192" s="7" t="s">
        <v>366</v>
      </c>
      <c r="BD192" s="21">
        <v>44223.0</v>
      </c>
      <c r="BE192" s="7"/>
      <c r="BF192" s="7"/>
      <c r="BG192" s="22">
        <v>44223.0</v>
      </c>
      <c r="BH192" s="7"/>
      <c r="BI192" s="7" t="s">
        <v>2796</v>
      </c>
      <c r="BJ192" s="7"/>
      <c r="BK192" s="7" t="b">
        <v>0</v>
      </c>
      <c r="BL192" s="7" t="b">
        <v>0</v>
      </c>
      <c r="BM192" s="7"/>
      <c r="BN192" s="7" t="str">
        <f>IFERROR(__xludf.DUMMYFUNCTION(" IF( REGEXMATCH(C192 , ""[(].+[)]""),REGEXREPLACE( CONCATENATE(REGEXEXTRACT(C192 , ""[(].+[)]""),IF(REGEXMATCH(C192 , ""[(][Ll]['’][)]""),"""","" ""), REGEXEXTRACT(C192 ,""^(?:(?:[A-Za-zàäéèêîïöôûü0-9 ](?:[A-Za-zàäéèêîïöôûü'0-9 ]+)))"")) , ""[()]"", """")"&amp;",C192 )"),"Le Coeur Voyageur ")</f>
        <v>Le Coeur Voyageur </v>
      </c>
      <c r="BO192" s="23"/>
      <c r="BP192" s="7"/>
      <c r="BQ192" s="7"/>
      <c r="BR192" s="7"/>
      <c r="BS192" s="7"/>
      <c r="BT192" s="7"/>
      <c r="BU192" s="7"/>
      <c r="BV192" s="7"/>
      <c r="BW192" s="7"/>
      <c r="BX192" s="7"/>
      <c r="BY192" s="7"/>
      <c r="BZ192" s="7"/>
      <c r="CA192" s="7"/>
      <c r="CB192" s="7"/>
    </row>
    <row r="193" ht="21.75" customHeight="1">
      <c r="A193" s="7">
        <v>3521.0</v>
      </c>
      <c r="B193" s="7" t="s">
        <v>2797</v>
      </c>
      <c r="C193" s="7" t="s">
        <v>2798</v>
      </c>
      <c r="D193" s="7" t="s">
        <v>2799</v>
      </c>
      <c r="E193" s="7"/>
      <c r="F193" s="7" t="s">
        <v>342</v>
      </c>
      <c r="G193" s="7" t="s">
        <v>343</v>
      </c>
      <c r="H193" s="7" t="s">
        <v>123</v>
      </c>
      <c r="I193" s="7" t="s">
        <v>2800</v>
      </c>
      <c r="J193" s="26" t="s">
        <v>2801</v>
      </c>
      <c r="K193" s="7" t="s">
        <v>58</v>
      </c>
      <c r="L193" s="7" t="s">
        <v>453</v>
      </c>
      <c r="M193" s="7" t="s">
        <v>454</v>
      </c>
      <c r="N193" s="7" t="s">
        <v>455</v>
      </c>
      <c r="O193" s="7">
        <v>97480.0</v>
      </c>
      <c r="P193" s="7" t="s">
        <v>123</v>
      </c>
      <c r="Q193" s="7"/>
      <c r="R193" s="7" t="s">
        <v>2802</v>
      </c>
      <c r="S193" s="7" t="s">
        <v>2803</v>
      </c>
      <c r="T193" s="7" t="s">
        <v>377</v>
      </c>
      <c r="U193" s="7" t="s">
        <v>353</v>
      </c>
      <c r="V193" s="7">
        <v>2.62230151E8</v>
      </c>
      <c r="W193" s="7"/>
      <c r="X193" s="7"/>
      <c r="Y193" s="7"/>
      <c r="Z193" s="7" t="s">
        <v>2804</v>
      </c>
      <c r="AA193" s="7">
        <v>4.0</v>
      </c>
      <c r="AB193" s="7" t="s">
        <v>574</v>
      </c>
      <c r="AC193" s="7" t="s">
        <v>2805</v>
      </c>
      <c r="AD193" s="7" t="s">
        <v>2806</v>
      </c>
      <c r="AE193" s="7" t="s">
        <v>2807</v>
      </c>
      <c r="AF193" s="7"/>
      <c r="AG193" s="7" t="s">
        <v>578</v>
      </c>
      <c r="AH193" s="20">
        <v>41626.0</v>
      </c>
      <c r="AI193" s="7"/>
      <c r="AJ193" s="7" t="s">
        <v>2808</v>
      </c>
      <c r="AK193" s="7">
        <v>5.2332183400013E13</v>
      </c>
      <c r="AL193" s="7" t="s">
        <v>2809</v>
      </c>
      <c r="AM193" s="7" t="s">
        <v>2810</v>
      </c>
      <c r="AN193" s="20">
        <v>41626.0</v>
      </c>
      <c r="AO193" s="7">
        <v>97480.0</v>
      </c>
      <c r="AP193" s="7" t="s">
        <v>385</v>
      </c>
      <c r="AQ193" s="7"/>
      <c r="AR193" s="7"/>
      <c r="AS193" s="7"/>
      <c r="AT193" s="7"/>
      <c r="AU193" s="7">
        <v>2.0</v>
      </c>
      <c r="AV193" s="7" t="s">
        <v>2811</v>
      </c>
      <c r="AW193" s="7"/>
      <c r="AX193" s="7" t="s">
        <v>1828</v>
      </c>
      <c r="AY193" s="7" t="s">
        <v>1590</v>
      </c>
      <c r="AZ193" s="7" t="s">
        <v>2812</v>
      </c>
      <c r="BA193" s="7"/>
      <c r="BB193" s="7"/>
      <c r="BC193" s="7" t="s">
        <v>401</v>
      </c>
      <c r="BD193" s="21">
        <v>44200.0</v>
      </c>
      <c r="BE193" s="7" t="s">
        <v>555</v>
      </c>
      <c r="BF193" s="7"/>
      <c r="BG193" s="7"/>
      <c r="BH193" s="7">
        <v>5.23321834E8</v>
      </c>
      <c r="BI193" s="7" t="s">
        <v>2813</v>
      </c>
      <c r="BJ193" s="7"/>
      <c r="BK193" s="7" t="b">
        <v>0</v>
      </c>
      <c r="BL193" s="7" t="b">
        <v>0</v>
      </c>
      <c r="BM193" s="7"/>
      <c r="BN193" s="7" t="str">
        <f>IFERROR(__xludf.DUMMYFUNCTION(" IF( REGEXMATCH(C193 , ""[(].+[)]""),REGEXREPLACE( CONCATENATE(REGEXEXTRACT(C193 , ""[(].+[)]""),IF(REGEXMATCH(C193 , ""[(][Ll]['’][)]""),"""","" ""), REGEXEXTRACT(C193 ,""^(?:(?:[A-Za-zàäéèêîïöôûü0-9 ](?:[A-Za-zàäéèêîïöôûü'0-9 ]+)))"")) , ""[()]"", """")"&amp;",C193 )"),"Les Coeurs d'Amants ")</f>
        <v>Les Coeurs d'Amants </v>
      </c>
      <c r="BO193" s="25"/>
      <c r="BP193" s="7"/>
      <c r="BQ193" s="7"/>
      <c r="BR193" s="7"/>
      <c r="BS193" s="7"/>
      <c r="BT193" s="7"/>
      <c r="BU193" s="7"/>
      <c r="BV193" s="7"/>
      <c r="BW193" s="7"/>
      <c r="BX193" s="7"/>
      <c r="BY193" s="7"/>
      <c r="BZ193" s="7"/>
      <c r="CA193" s="7"/>
      <c r="CB193" s="7"/>
    </row>
    <row r="194" ht="21.75" customHeight="1">
      <c r="A194" s="7">
        <v>2652.0</v>
      </c>
      <c r="B194" s="7" t="s">
        <v>2814</v>
      </c>
      <c r="C194" s="7" t="s">
        <v>2815</v>
      </c>
      <c r="D194" s="7"/>
      <c r="E194" s="7"/>
      <c r="F194" s="7" t="s">
        <v>342</v>
      </c>
      <c r="G194" s="7" t="s">
        <v>343</v>
      </c>
      <c r="H194" s="7" t="s">
        <v>344</v>
      </c>
      <c r="I194" s="7" t="s">
        <v>2816</v>
      </c>
      <c r="J194" s="26" t="s">
        <v>2817</v>
      </c>
      <c r="K194" s="7" t="s">
        <v>58</v>
      </c>
      <c r="L194" s="7" t="s">
        <v>453</v>
      </c>
      <c r="M194" s="7" t="s">
        <v>454</v>
      </c>
      <c r="N194" s="7" t="s">
        <v>455</v>
      </c>
      <c r="O194" s="7">
        <v>97418.0</v>
      </c>
      <c r="P194" s="7" t="s">
        <v>348</v>
      </c>
      <c r="Q194" s="7" t="s">
        <v>349</v>
      </c>
      <c r="R194" s="7" t="s">
        <v>2818</v>
      </c>
      <c r="S194" s="7"/>
      <c r="T194" s="7" t="s">
        <v>377</v>
      </c>
      <c r="U194" s="7" t="s">
        <v>378</v>
      </c>
      <c r="V194" s="7">
        <v>2.62354028E8</v>
      </c>
      <c r="W194" s="7">
        <v>6.92870357E8</v>
      </c>
      <c r="X194" s="7"/>
      <c r="Y194" s="7"/>
      <c r="Z194" s="7" t="s">
        <v>2819</v>
      </c>
      <c r="AA194" s="7">
        <v>8.0</v>
      </c>
      <c r="AB194" s="7"/>
      <c r="AC194" s="7" t="s">
        <v>2820</v>
      </c>
      <c r="AD194" s="7" t="s">
        <v>2821</v>
      </c>
      <c r="AE194" s="7" t="s">
        <v>2822</v>
      </c>
      <c r="AF194" s="7"/>
      <c r="AG194" s="7"/>
      <c r="AH194" s="20">
        <v>40309.0</v>
      </c>
      <c r="AI194" s="7"/>
      <c r="AJ194" s="7" t="s">
        <v>2823</v>
      </c>
      <c r="AK194" s="7"/>
      <c r="AL194" s="7" t="s">
        <v>2824</v>
      </c>
      <c r="AM194" s="7" t="s">
        <v>2825</v>
      </c>
      <c r="AN194" s="20">
        <v>40309.0</v>
      </c>
      <c r="AO194" s="7">
        <v>97418.0</v>
      </c>
      <c r="AP194" s="7" t="s">
        <v>362</v>
      </c>
      <c r="AQ194" s="7"/>
      <c r="AR194" s="7"/>
      <c r="AS194" s="7"/>
      <c r="AT194" s="7"/>
      <c r="AU194" s="7">
        <v>3.0</v>
      </c>
      <c r="AV194" s="7" t="s">
        <v>2826</v>
      </c>
      <c r="AW194" s="7"/>
      <c r="AX194" s="7"/>
      <c r="AY194" s="7"/>
      <c r="AZ194" s="7" t="s">
        <v>2827</v>
      </c>
      <c r="BA194" s="7"/>
      <c r="BB194" s="7"/>
      <c r="BC194" s="7" t="s">
        <v>401</v>
      </c>
      <c r="BD194" s="21">
        <v>44200.37430555555</v>
      </c>
      <c r="BE194" s="7" t="s">
        <v>2828</v>
      </c>
      <c r="BF194" s="7"/>
      <c r="BG194" s="7"/>
      <c r="BH194" s="7"/>
      <c r="BI194" s="7" t="s">
        <v>2829</v>
      </c>
      <c r="BJ194" s="7"/>
      <c r="BK194" s="7" t="b">
        <v>0</v>
      </c>
      <c r="BL194" s="7" t="b">
        <v>0</v>
      </c>
      <c r="BM194" s="7"/>
      <c r="BN194" s="7" t="str">
        <f>IFERROR(__xludf.DUMMYFUNCTION(" IF( REGEXMATCH(C194 , ""[(].+[)]""),REGEXREPLACE( CONCATENATE(REGEXEXTRACT(C194 , ""[(].+[)]""),IF(REGEXMATCH(C194 , ""[(][Ll]['’][)]""),"""","" ""), REGEXEXTRACT(C194 ,""^(?:(?:[A-Za-zàäéèêîïöôûü0-9 ](?:[A-Za-zàäéèêîïöôûü'0-9 ]+)))"")) , ""[()]"", """")"&amp;",C194 )"),"Le Colibri ")</f>
        <v>Le Colibri </v>
      </c>
      <c r="BO194" s="25"/>
      <c r="BP194" s="7"/>
      <c r="BQ194" s="7"/>
      <c r="BR194" s="7"/>
      <c r="BS194" s="7"/>
      <c r="BT194" s="7"/>
      <c r="BU194" s="7"/>
      <c r="BV194" s="7"/>
      <c r="BW194" s="7"/>
      <c r="BX194" s="7"/>
      <c r="BY194" s="7"/>
      <c r="BZ194" s="7"/>
      <c r="CA194" s="7"/>
      <c r="CB194" s="7"/>
    </row>
    <row r="195" ht="21.75" customHeight="1">
      <c r="A195" s="7">
        <v>1627.0</v>
      </c>
      <c r="B195" s="7">
        <v>194.0</v>
      </c>
      <c r="C195" s="7" t="s">
        <v>2830</v>
      </c>
      <c r="D195" s="7"/>
      <c r="E195" s="7"/>
      <c r="F195" s="7" t="s">
        <v>404</v>
      </c>
      <c r="G195" s="7" t="s">
        <v>343</v>
      </c>
      <c r="H195" s="7" t="s">
        <v>344</v>
      </c>
      <c r="I195" s="7" t="s">
        <v>2831</v>
      </c>
      <c r="J195" s="7"/>
      <c r="K195" s="7" t="s">
        <v>2832</v>
      </c>
      <c r="L195" s="7" t="s">
        <v>2833</v>
      </c>
      <c r="M195" s="7" t="s">
        <v>2834</v>
      </c>
      <c r="N195" s="7"/>
      <c r="O195" s="7">
        <v>97430.0</v>
      </c>
      <c r="P195" s="7" t="s">
        <v>344</v>
      </c>
      <c r="Q195" s="7"/>
      <c r="R195" s="7"/>
      <c r="S195" s="7"/>
      <c r="T195" s="7"/>
      <c r="U195" s="7" t="s">
        <v>592</v>
      </c>
      <c r="V195" s="7">
        <v>2625726.0</v>
      </c>
      <c r="W195" s="7"/>
      <c r="X195" s="7"/>
      <c r="Y195" s="7"/>
      <c r="Z195" s="7" t="s">
        <v>2835</v>
      </c>
      <c r="AA195" s="7"/>
      <c r="AB195" s="7"/>
      <c r="AC195" s="7"/>
      <c r="AD195" s="7" t="s">
        <v>2830</v>
      </c>
      <c r="AE195" s="7"/>
      <c r="AF195" s="7"/>
      <c r="AG195" s="7"/>
      <c r="AH195" s="20">
        <v>43739.0</v>
      </c>
      <c r="AI195" s="7"/>
      <c r="AJ195" s="7" t="s">
        <v>2830</v>
      </c>
      <c r="AK195" s="7"/>
      <c r="AL195" s="7" t="s">
        <v>2836</v>
      </c>
      <c r="AM195" s="7" t="s">
        <v>2837</v>
      </c>
      <c r="AN195" s="20">
        <v>43739.0</v>
      </c>
      <c r="AO195" s="7">
        <v>97430.0</v>
      </c>
      <c r="AP195" s="7" t="s">
        <v>494</v>
      </c>
      <c r="AQ195" s="7"/>
      <c r="AR195" s="7"/>
      <c r="AS195" s="7"/>
      <c r="AT195" s="7"/>
      <c r="AU195" s="7">
        <v>0.0</v>
      </c>
      <c r="AV195" s="7" t="s">
        <v>2631</v>
      </c>
      <c r="AW195" s="7"/>
      <c r="AX195" s="7"/>
      <c r="AY195" s="7"/>
      <c r="AZ195" s="7"/>
      <c r="BA195" s="7"/>
      <c r="BB195" s="7"/>
      <c r="BC195" s="7" t="s">
        <v>366</v>
      </c>
      <c r="BD195" s="21">
        <v>44197.0</v>
      </c>
      <c r="BE195" s="7"/>
      <c r="BF195" s="7"/>
      <c r="BG195" s="22">
        <v>44197.0</v>
      </c>
      <c r="BH195" s="7"/>
      <c r="BI195" s="7" t="s">
        <v>2632</v>
      </c>
      <c r="BJ195" s="7"/>
      <c r="BK195" s="7" t="b">
        <v>0</v>
      </c>
      <c r="BL195" s="7" t="b">
        <v>0</v>
      </c>
      <c r="BM195" s="7"/>
      <c r="BN195" s="7" t="str">
        <f>IFERROR(__xludf.DUMMYFUNCTION(" IF( REGEXMATCH(C195 , ""[(].+[)]""),REGEXREPLACE( CONCATENATE(REGEXEXTRACT(C195 , ""[(].+[)]""),IF(REGEXMATCH(C195 , ""[(][Ll]['’][)]""),"""","" ""), REGEXEXTRACT(C195 ,""^(?:(?:[A-Za-zàäéèêîïöôûü0-9 ](?:[A-Za-zàäéèêîïöôûü'0-9 ]+)))"")) , ""[()]"", """")"&amp;",C195 )"),"Consulat des Seychelles")</f>
        <v>Consulat des Seychelles</v>
      </c>
      <c r="BO195" s="23"/>
      <c r="BP195" s="7"/>
      <c r="BQ195" s="7"/>
      <c r="BR195" s="7"/>
      <c r="BS195" s="7"/>
      <c r="BT195" s="7"/>
      <c r="BU195" s="7"/>
      <c r="BV195" s="7"/>
      <c r="BW195" s="7"/>
      <c r="BX195" s="7"/>
      <c r="BY195" s="7"/>
      <c r="BZ195" s="7"/>
      <c r="CA195" s="7"/>
      <c r="CB195" s="7"/>
    </row>
    <row r="196" ht="21.75" customHeight="1">
      <c r="A196" s="7">
        <v>1962.0</v>
      </c>
      <c r="B196" s="7">
        <v>195.0</v>
      </c>
      <c r="C196" s="7" t="s">
        <v>2838</v>
      </c>
      <c r="D196" s="7" t="s">
        <v>2838</v>
      </c>
      <c r="E196" s="7"/>
      <c r="F196" s="7" t="s">
        <v>342</v>
      </c>
      <c r="G196" s="7" t="s">
        <v>343</v>
      </c>
      <c r="H196" s="7" t="s">
        <v>123</v>
      </c>
      <c r="I196" s="7" t="s">
        <v>2839</v>
      </c>
      <c r="J196" s="7"/>
      <c r="K196" s="7" t="s">
        <v>822</v>
      </c>
      <c r="L196" s="7" t="s">
        <v>2840</v>
      </c>
      <c r="M196" s="7" t="s">
        <v>2841</v>
      </c>
      <c r="N196" s="7" t="s">
        <v>455</v>
      </c>
      <c r="O196" s="7">
        <v>97480.0</v>
      </c>
      <c r="P196" s="7" t="s">
        <v>123</v>
      </c>
      <c r="Q196" s="7"/>
      <c r="R196" s="7"/>
      <c r="S196" s="7" t="s">
        <v>2842</v>
      </c>
      <c r="T196" s="7"/>
      <c r="U196" s="7" t="s">
        <v>378</v>
      </c>
      <c r="V196" s="7">
        <v>2.62564137E8</v>
      </c>
      <c r="W196" s="7"/>
      <c r="X196" s="7"/>
      <c r="Y196" s="7"/>
      <c r="Z196" s="7"/>
      <c r="AA196" s="7"/>
      <c r="AB196" s="7"/>
      <c r="AC196" s="7"/>
      <c r="AD196" s="7" t="s">
        <v>2843</v>
      </c>
      <c r="AE196" s="7"/>
      <c r="AF196" s="7" t="s">
        <v>2844</v>
      </c>
      <c r="AG196" s="7"/>
      <c r="AH196" s="20">
        <v>43739.0</v>
      </c>
      <c r="AI196" s="7"/>
      <c r="AJ196" s="7" t="s">
        <v>2838</v>
      </c>
      <c r="AK196" s="7"/>
      <c r="AL196" s="7" t="s">
        <v>2845</v>
      </c>
      <c r="AM196" s="7">
        <v>2.62564137E8</v>
      </c>
      <c r="AN196" s="20">
        <v>43739.0</v>
      </c>
      <c r="AO196" s="7">
        <v>97480.0</v>
      </c>
      <c r="AP196" s="7" t="s">
        <v>385</v>
      </c>
      <c r="AQ196" s="7"/>
      <c r="AR196" s="7"/>
      <c r="AS196" s="7"/>
      <c r="AT196" s="7"/>
      <c r="AU196" s="7">
        <v>0.0</v>
      </c>
      <c r="AV196" s="7" t="s">
        <v>2846</v>
      </c>
      <c r="AW196" s="7"/>
      <c r="AX196" s="7"/>
      <c r="AY196" s="7"/>
      <c r="AZ196" s="7"/>
      <c r="BA196" s="7"/>
      <c r="BB196" s="7"/>
      <c r="BC196" s="7" t="s">
        <v>366</v>
      </c>
      <c r="BD196" s="21">
        <v>44193.0</v>
      </c>
      <c r="BE196" s="7"/>
      <c r="BF196" s="7"/>
      <c r="BG196" s="22">
        <v>44193.0</v>
      </c>
      <c r="BH196" s="7"/>
      <c r="BI196" s="7" t="s">
        <v>2847</v>
      </c>
      <c r="BJ196" s="7"/>
      <c r="BK196" s="7" t="b">
        <v>0</v>
      </c>
      <c r="BL196" s="7" t="b">
        <v>0</v>
      </c>
      <c r="BM196" s="7"/>
      <c r="BN196" s="7" t="str">
        <f>IFERROR(__xludf.DUMMYFUNCTION(" IF( REGEXMATCH(C196 , ""[(].+[)]""),REGEXREPLACE( CONCATENATE(REGEXEXTRACT(C196 , ""[(].+[)]""),IF(REGEXMATCH(C196 , ""[(][Ll]['’][)]""),"""","" ""), REGEXEXTRACT(C196 ,""^(?:(?:[A-Za-zàäéèêîïöôûü0-9 ](?:[A-Za-zàäéèêîïöôûü'0-9 ]+)))"")) , ""[()]"", """")"&amp;",C196 )"),"Coopemiel")</f>
        <v>Coopemiel</v>
      </c>
      <c r="BO196" s="23"/>
      <c r="BP196" s="7"/>
      <c r="BQ196" s="7"/>
      <c r="BR196" s="7"/>
      <c r="BS196" s="7"/>
      <c r="BT196" s="7"/>
      <c r="BU196" s="7"/>
      <c r="BV196" s="7"/>
      <c r="BW196" s="7"/>
      <c r="BX196" s="7"/>
      <c r="BY196" s="7"/>
      <c r="BZ196" s="7"/>
      <c r="CA196" s="7"/>
      <c r="CB196" s="7"/>
    </row>
    <row r="197" ht="21.75" customHeight="1">
      <c r="A197" s="7">
        <v>1600.0</v>
      </c>
      <c r="B197" s="7" t="s">
        <v>2848</v>
      </c>
      <c r="C197" s="7" t="s">
        <v>2849</v>
      </c>
      <c r="D197" s="7"/>
      <c r="E197" s="7"/>
      <c r="F197" s="7" t="s">
        <v>342</v>
      </c>
      <c r="G197" s="7" t="s">
        <v>343</v>
      </c>
      <c r="H197" s="7" t="s">
        <v>344</v>
      </c>
      <c r="I197" s="7" t="s">
        <v>2850</v>
      </c>
      <c r="J197" s="26" t="s">
        <v>2851</v>
      </c>
      <c r="K197" s="7" t="s">
        <v>822</v>
      </c>
      <c r="L197" s="7" t="s">
        <v>2840</v>
      </c>
      <c r="M197" s="7" t="s">
        <v>2852</v>
      </c>
      <c r="N197" s="7"/>
      <c r="O197" s="7">
        <v>97430.0</v>
      </c>
      <c r="P197" s="7" t="s">
        <v>344</v>
      </c>
      <c r="Q197" s="7"/>
      <c r="R197" s="7"/>
      <c r="S197" s="7"/>
      <c r="T197" s="7"/>
      <c r="U197" s="7" t="s">
        <v>378</v>
      </c>
      <c r="V197" s="7">
        <v>2.62270227E8</v>
      </c>
      <c r="W197" s="7"/>
      <c r="X197" s="7"/>
      <c r="Y197" s="7">
        <v>2.62273554E8</v>
      </c>
      <c r="Z197" s="7" t="s">
        <v>2853</v>
      </c>
      <c r="AA197" s="7"/>
      <c r="AB197" s="7"/>
      <c r="AC197" s="7" t="s">
        <v>2854</v>
      </c>
      <c r="AD197" s="7" t="s">
        <v>2855</v>
      </c>
      <c r="AE197" s="7"/>
      <c r="AF197" s="7" t="s">
        <v>2856</v>
      </c>
      <c r="AG197" s="7"/>
      <c r="AH197" s="20">
        <v>43739.0</v>
      </c>
      <c r="AI197" s="7"/>
      <c r="AJ197" s="7" t="s">
        <v>2849</v>
      </c>
      <c r="AK197" s="7"/>
      <c r="AL197" s="7" t="s">
        <v>2857</v>
      </c>
      <c r="AM197" s="7" t="s">
        <v>2858</v>
      </c>
      <c r="AN197" s="20">
        <v>43739.0</v>
      </c>
      <c r="AO197" s="7">
        <v>97430.0</v>
      </c>
      <c r="AP197" s="7" t="s">
        <v>494</v>
      </c>
      <c r="AQ197" s="7"/>
      <c r="AR197" s="7"/>
      <c r="AS197" s="7"/>
      <c r="AT197" s="7"/>
      <c r="AU197" s="7">
        <v>0.0</v>
      </c>
      <c r="AV197" s="7" t="s">
        <v>2859</v>
      </c>
      <c r="AW197" s="7"/>
      <c r="AX197" s="7"/>
      <c r="AY197" s="7"/>
      <c r="AZ197" s="7"/>
      <c r="BA197" s="7"/>
      <c r="BB197" s="7"/>
      <c r="BC197" s="7" t="s">
        <v>401</v>
      </c>
      <c r="BD197" s="21">
        <v>44148.0</v>
      </c>
      <c r="BE197" s="7" t="s">
        <v>301</v>
      </c>
      <c r="BF197" s="7"/>
      <c r="BG197" s="7"/>
      <c r="BH197" s="7"/>
      <c r="BI197" s="7" t="s">
        <v>2860</v>
      </c>
      <c r="BJ197" s="7"/>
      <c r="BK197" s="7" t="b">
        <v>0</v>
      </c>
      <c r="BL197" s="7" t="b">
        <v>0</v>
      </c>
      <c r="BM197" s="7"/>
      <c r="BN197" s="7" t="str">
        <f>IFERROR(__xludf.DUMMYFUNCTION(" IF( REGEXMATCH(C197 , ""[(].+[)]""),REGEXREPLACE( CONCATENATE(REGEXEXTRACT(C197 , ""[(].+[)]""),IF(REGEXMATCH(C197 , ""[(][Ll]['’][)]""),"""","" ""), REGEXEXTRACT(C197 ,""^(?:(?:[A-Za-zàäéèêîïöôûü0-9 ](?:[A-Za-zàäéèêîïöôûü'0-9 ]+)))"")) , ""[()]"", """")"&amp;",C197 )"),"Coopérative Agricole des Huiles Essentielles de Bourbon - CAHEB")</f>
        <v>Coopérative Agricole des Huiles Essentielles de Bourbon - CAHEB</v>
      </c>
      <c r="BO197" s="25"/>
      <c r="BP197" s="7"/>
      <c r="BQ197" s="7"/>
      <c r="BR197" s="7"/>
      <c r="BS197" s="7"/>
      <c r="BT197" s="7"/>
      <c r="BU197" s="7"/>
      <c r="BV197" s="7"/>
      <c r="BW197" s="7"/>
      <c r="BX197" s="7"/>
      <c r="BY197" s="7"/>
      <c r="BZ197" s="7"/>
      <c r="CA197" s="7"/>
      <c r="CB197" s="7"/>
    </row>
    <row r="198" ht="21.75" customHeight="1">
      <c r="A198" s="7">
        <v>3581.0</v>
      </c>
      <c r="B198" s="7">
        <v>197.0</v>
      </c>
      <c r="C198" s="7" t="s">
        <v>2861</v>
      </c>
      <c r="D198" s="7" t="s">
        <v>2862</v>
      </c>
      <c r="E198" s="7"/>
      <c r="F198" s="7" t="s">
        <v>404</v>
      </c>
      <c r="G198" s="7" t="s">
        <v>343</v>
      </c>
      <c r="H198" s="7" t="s">
        <v>40</v>
      </c>
      <c r="I198" s="7" t="s">
        <v>2863</v>
      </c>
      <c r="J198" s="26" t="s">
        <v>2864</v>
      </c>
      <c r="K198" s="7" t="s">
        <v>58</v>
      </c>
      <c r="L198" s="7" t="s">
        <v>59</v>
      </c>
      <c r="M198" s="7" t="s">
        <v>374</v>
      </c>
      <c r="N198" s="7" t="s">
        <v>407</v>
      </c>
      <c r="O198" s="7">
        <v>97414.0</v>
      </c>
      <c r="P198" s="7" t="s">
        <v>40</v>
      </c>
      <c r="Q198" s="7"/>
      <c r="R198" s="7" t="s">
        <v>2865</v>
      </c>
      <c r="S198" s="7" t="s">
        <v>1296</v>
      </c>
      <c r="T198" s="7" t="s">
        <v>377</v>
      </c>
      <c r="U198" s="7" t="s">
        <v>592</v>
      </c>
      <c r="V198" s="7"/>
      <c r="W198" s="7">
        <v>6.92669387E8</v>
      </c>
      <c r="X198" s="7"/>
      <c r="Y198" s="7"/>
      <c r="Z198" s="7" t="s">
        <v>2866</v>
      </c>
      <c r="AA198" s="7">
        <v>6.0</v>
      </c>
      <c r="AB198" s="7"/>
      <c r="AC198" s="7" t="s">
        <v>2867</v>
      </c>
      <c r="AD198" s="7" t="s">
        <v>2868</v>
      </c>
      <c r="AE198" s="7" t="s">
        <v>2869</v>
      </c>
      <c r="AF198" s="7"/>
      <c r="AG198" s="7"/>
      <c r="AH198" s="20">
        <v>41751.0</v>
      </c>
      <c r="AI198" s="7"/>
      <c r="AJ198" s="7" t="s">
        <v>2870</v>
      </c>
      <c r="AK198" s="7">
        <v>5.047586810001E13</v>
      </c>
      <c r="AL198" s="7" t="s">
        <v>2871</v>
      </c>
      <c r="AM198" s="7" t="s">
        <v>2872</v>
      </c>
      <c r="AN198" s="20">
        <v>41751.0</v>
      </c>
      <c r="AO198" s="7">
        <v>97432.0</v>
      </c>
      <c r="AP198" s="7" t="s">
        <v>2873</v>
      </c>
      <c r="AQ198" s="7"/>
      <c r="AR198" s="7"/>
      <c r="AS198" s="7"/>
      <c r="AT198" s="7"/>
      <c r="AU198" s="7">
        <v>1.0</v>
      </c>
      <c r="AV198" s="7" t="s">
        <v>2874</v>
      </c>
      <c r="AW198" s="7"/>
      <c r="AX198" s="7"/>
      <c r="AY198" s="7"/>
      <c r="AZ198" s="7"/>
      <c r="BA198" s="7"/>
      <c r="BB198" s="7"/>
      <c r="BC198" s="7" t="s">
        <v>366</v>
      </c>
      <c r="BD198" s="21">
        <v>44197.0</v>
      </c>
      <c r="BE198" s="7"/>
      <c r="BF198" s="7"/>
      <c r="BG198" s="22">
        <v>44197.0</v>
      </c>
      <c r="BH198" s="7">
        <v>5.04758681E8</v>
      </c>
      <c r="BI198" s="7" t="s">
        <v>2875</v>
      </c>
      <c r="BJ198" s="7"/>
      <c r="BK198" s="7" t="b">
        <v>0</v>
      </c>
      <c r="BL198" s="7" t="b">
        <v>0</v>
      </c>
      <c r="BM198" s="7"/>
      <c r="BN198" s="7" t="str">
        <f>IFERROR(__xludf.DUMMYFUNCTION(" IF( REGEXMATCH(C198 , ""[(].+[)]""),REGEXREPLACE( CONCATENATE(REGEXEXTRACT(C198 , ""[(].+[)]""),IF(REGEXMATCH(C198 , ""[(][Ll]['’][)]""),"""","" ""), REGEXEXTRACT(C198 ,""^(?:(?:[A-Za-zàäéèêîïöôûü0-9 ](?:[A-Za-zàäéèêîïöôûü'0-9 ]+)))"")) , ""[()]"", """")"&amp;",C198 )"),"Le Copacabana ")</f>
        <v>Le Copacabana </v>
      </c>
      <c r="BO198" s="23"/>
      <c r="BP198" s="7"/>
      <c r="BQ198" s="7"/>
      <c r="BR198" s="7"/>
      <c r="BS198" s="7"/>
      <c r="BT198" s="7"/>
      <c r="BU198" s="7"/>
      <c r="BV198" s="7"/>
      <c r="BW198" s="7"/>
      <c r="BX198" s="7"/>
      <c r="BY198" s="7"/>
      <c r="BZ198" s="7"/>
      <c r="CA198" s="7"/>
      <c r="CB198" s="7"/>
    </row>
    <row r="199" ht="21.75" customHeight="1">
      <c r="A199" s="7">
        <v>3985.0</v>
      </c>
      <c r="B199" s="7" t="s">
        <v>2876</v>
      </c>
      <c r="C199" s="7" t="s">
        <v>2877</v>
      </c>
      <c r="D199" s="7"/>
      <c r="E199" s="7"/>
      <c r="F199" s="7" t="s">
        <v>342</v>
      </c>
      <c r="G199" s="7" t="s">
        <v>343</v>
      </c>
      <c r="H199" s="7" t="s">
        <v>123</v>
      </c>
      <c r="I199" s="7" t="s">
        <v>2878</v>
      </c>
      <c r="J199" s="7"/>
      <c r="K199" s="7" t="s">
        <v>34</v>
      </c>
      <c r="L199" s="7" t="s">
        <v>622</v>
      </c>
      <c r="M199" s="7" t="s">
        <v>622</v>
      </c>
      <c r="N199" s="7" t="s">
        <v>422</v>
      </c>
      <c r="O199" s="7">
        <v>97480.0</v>
      </c>
      <c r="P199" s="7" t="s">
        <v>123</v>
      </c>
      <c r="Q199" s="7" t="s">
        <v>2879</v>
      </c>
      <c r="R199" s="7"/>
      <c r="S199" s="7"/>
      <c r="T199" s="7" t="s">
        <v>377</v>
      </c>
      <c r="U199" s="7" t="s">
        <v>378</v>
      </c>
      <c r="V199" s="7">
        <v>2.62465651E8</v>
      </c>
      <c r="W199" s="7">
        <v>6.92627684E8</v>
      </c>
      <c r="X199" s="7"/>
      <c r="Y199" s="7"/>
      <c r="Z199" s="7"/>
      <c r="AA199" s="7"/>
      <c r="AB199" s="7"/>
      <c r="AC199" s="7"/>
      <c r="AD199" s="7" t="s">
        <v>2880</v>
      </c>
      <c r="AE199" s="7"/>
      <c r="AF199" s="7"/>
      <c r="AG199" s="7"/>
      <c r="AH199" s="20">
        <v>42219.0</v>
      </c>
      <c r="AI199" s="7"/>
      <c r="AJ199" s="7" t="s">
        <v>2877</v>
      </c>
      <c r="AK199" s="7"/>
      <c r="AL199" s="7" t="s">
        <v>2881</v>
      </c>
      <c r="AM199" s="7" t="s">
        <v>2882</v>
      </c>
      <c r="AN199" s="20">
        <v>42219.0</v>
      </c>
      <c r="AO199" s="7">
        <v>97480.0</v>
      </c>
      <c r="AP199" s="7" t="s">
        <v>385</v>
      </c>
      <c r="AQ199" s="7"/>
      <c r="AR199" s="7"/>
      <c r="AS199" s="7"/>
      <c r="AT199" s="7"/>
      <c r="AU199" s="7">
        <v>0.0</v>
      </c>
      <c r="AV199" s="7" t="s">
        <v>2883</v>
      </c>
      <c r="AW199" s="7"/>
      <c r="AX199" s="7"/>
      <c r="AY199" s="7"/>
      <c r="AZ199" s="7"/>
      <c r="BA199" s="7"/>
      <c r="BB199" s="7"/>
      <c r="BC199" s="7" t="s">
        <v>401</v>
      </c>
      <c r="BD199" s="21">
        <v>44234.415972222225</v>
      </c>
      <c r="BE199" s="7" t="s">
        <v>2884</v>
      </c>
      <c r="BF199" s="7"/>
      <c r="BG199" s="7"/>
      <c r="BH199" s="7"/>
      <c r="BI199" s="7" t="s">
        <v>2885</v>
      </c>
      <c r="BJ199" s="7"/>
      <c r="BK199" s="7" t="b">
        <v>0</v>
      </c>
      <c r="BL199" s="7" t="b">
        <v>0</v>
      </c>
      <c r="BM199" s="7"/>
      <c r="BN199" s="7" t="str">
        <f>IFERROR(__xludf.DUMMYFUNCTION(" IF( REGEXMATCH(C199 , ""[(].+[)]""),REGEXREPLACE( CONCATENATE(REGEXEXTRACT(C199 , ""[(].+[)]""),IF(REGEXMATCH(C199 , ""[(][Ll]['’][)]""),"""","" ""), REGEXEXTRACT(C199 ,""^(?:(?:[A-Za-zàäéèêîïöôûü0-9 ](?:[A-Za-zàäéèêîïöôûü'0-9 ]+)))"")) , ""[()]"", """")"&amp;",C199 )"),"Le Coq d'Or ")</f>
        <v>Le Coq d'Or </v>
      </c>
      <c r="BO199" s="25"/>
      <c r="BP199" s="7"/>
      <c r="BQ199" s="7"/>
      <c r="BR199" s="7"/>
      <c r="BS199" s="7"/>
      <c r="BT199" s="7"/>
      <c r="BU199" s="7"/>
      <c r="BV199" s="7"/>
      <c r="BW199" s="7"/>
      <c r="BX199" s="7"/>
      <c r="BY199" s="7"/>
      <c r="BZ199" s="7"/>
      <c r="CA199" s="7"/>
      <c r="CB199" s="7"/>
    </row>
    <row r="200" ht="21.75" customHeight="1">
      <c r="A200" s="7">
        <v>3580.0</v>
      </c>
      <c r="B200" s="7">
        <v>199.0</v>
      </c>
      <c r="C200" s="7" t="s">
        <v>2886</v>
      </c>
      <c r="D200" s="7" t="s">
        <v>2887</v>
      </c>
      <c r="E200" s="7"/>
      <c r="F200" s="7" t="s">
        <v>404</v>
      </c>
      <c r="G200" s="7" t="s">
        <v>343</v>
      </c>
      <c r="H200" s="7" t="s">
        <v>344</v>
      </c>
      <c r="I200" s="7" t="s">
        <v>2888</v>
      </c>
      <c r="J200" s="26" t="s">
        <v>2889</v>
      </c>
      <c r="K200" s="7" t="s">
        <v>58</v>
      </c>
      <c r="L200" s="7" t="s">
        <v>59</v>
      </c>
      <c r="M200" s="7" t="s">
        <v>545</v>
      </c>
      <c r="N200" s="7" t="s">
        <v>422</v>
      </c>
      <c r="O200" s="7">
        <v>97418.0</v>
      </c>
      <c r="P200" s="7" t="s">
        <v>348</v>
      </c>
      <c r="Q200" s="7" t="s">
        <v>349</v>
      </c>
      <c r="R200" s="7" t="s">
        <v>2890</v>
      </c>
      <c r="S200" s="7" t="s">
        <v>2891</v>
      </c>
      <c r="T200" s="7" t="s">
        <v>377</v>
      </c>
      <c r="U200" s="7" t="s">
        <v>378</v>
      </c>
      <c r="V200" s="7"/>
      <c r="W200" s="7">
        <v>6.92083807E8</v>
      </c>
      <c r="X200" s="7"/>
      <c r="Y200" s="7"/>
      <c r="Z200" s="7" t="s">
        <v>2892</v>
      </c>
      <c r="AA200" s="7">
        <v>4.0</v>
      </c>
      <c r="AB200" s="7"/>
      <c r="AC200" s="7" t="s">
        <v>2893</v>
      </c>
      <c r="AD200" s="7" t="s">
        <v>2894</v>
      </c>
      <c r="AE200" s="7" t="s">
        <v>2895</v>
      </c>
      <c r="AF200" s="7"/>
      <c r="AG200" s="7"/>
      <c r="AH200" s="20">
        <v>41747.0</v>
      </c>
      <c r="AI200" s="7"/>
      <c r="AJ200" s="7" t="s">
        <v>2896</v>
      </c>
      <c r="AK200" s="7"/>
      <c r="AL200" s="7" t="s">
        <v>2897</v>
      </c>
      <c r="AM200" s="7" t="s">
        <v>2898</v>
      </c>
      <c r="AN200" s="20">
        <v>41610.0</v>
      </c>
      <c r="AO200" s="7">
        <v>97400.0</v>
      </c>
      <c r="AP200" s="7" t="s">
        <v>2899</v>
      </c>
      <c r="AQ200" s="7"/>
      <c r="AR200" s="7"/>
      <c r="AS200" s="7"/>
      <c r="AT200" s="7"/>
      <c r="AU200" s="7">
        <v>1.0</v>
      </c>
      <c r="AV200" s="7" t="s">
        <v>2900</v>
      </c>
      <c r="AW200" s="7"/>
      <c r="AX200" s="7"/>
      <c r="AY200" s="7"/>
      <c r="AZ200" s="7"/>
      <c r="BA200" s="7"/>
      <c r="BB200" s="7"/>
      <c r="BC200" s="7" t="s">
        <v>366</v>
      </c>
      <c r="BD200" s="21">
        <v>44197.0</v>
      </c>
      <c r="BE200" s="7"/>
      <c r="BF200" s="7"/>
      <c r="BG200" s="22">
        <v>44197.0</v>
      </c>
      <c r="BH200" s="7"/>
      <c r="BI200" s="7" t="s">
        <v>2901</v>
      </c>
      <c r="BJ200" s="7"/>
      <c r="BK200" s="7" t="b">
        <v>0</v>
      </c>
      <c r="BL200" s="7" t="b">
        <v>0</v>
      </c>
      <c r="BM200" s="7"/>
      <c r="BN200" s="7" t="str">
        <f>IFERROR(__xludf.DUMMYFUNCTION(" IF( REGEXMATCH(C200 , ""[(].+[)]""),REGEXREPLACE( CONCATENATE(REGEXEXTRACT(C200 , ""[(].+[)]""),IF(REGEXMATCH(C200 , ""[(][Ll]['’][)]""),"""","" ""), REGEXEXTRACT(C200 ,""^(?:(?:[A-Za-zàäéèêîïöôûü0-9 ](?:[A-Za-zàäéèêîïöôûü'0-9 ]+)))"")) , ""[()]"", """")"&amp;",C200 )"),"Le Cosy du Piton ")</f>
        <v>Le Cosy du Piton </v>
      </c>
      <c r="BO200" s="23"/>
      <c r="BP200" s="7"/>
      <c r="BQ200" s="7"/>
      <c r="BR200" s="7"/>
      <c r="BS200" s="7"/>
      <c r="BT200" s="7"/>
      <c r="BU200" s="7"/>
      <c r="BV200" s="7"/>
      <c r="BW200" s="7"/>
      <c r="BX200" s="7"/>
      <c r="BY200" s="7"/>
      <c r="BZ200" s="7"/>
      <c r="CA200" s="7"/>
      <c r="CB200" s="7"/>
    </row>
    <row r="201" ht="21.75" customHeight="1">
      <c r="A201" s="7">
        <v>4606.0</v>
      </c>
      <c r="B201" s="7" t="s">
        <v>2902</v>
      </c>
      <c r="C201" s="7" t="s">
        <v>2903</v>
      </c>
      <c r="D201" s="7"/>
      <c r="E201" s="7"/>
      <c r="F201" s="7" t="s">
        <v>342</v>
      </c>
      <c r="G201" s="7" t="s">
        <v>343</v>
      </c>
      <c r="H201" s="7" t="s">
        <v>344</v>
      </c>
      <c r="I201" s="7" t="s">
        <v>2904</v>
      </c>
      <c r="J201" s="26" t="s">
        <v>2905</v>
      </c>
      <c r="K201" s="7" t="s">
        <v>58</v>
      </c>
      <c r="L201" s="7" t="s">
        <v>453</v>
      </c>
      <c r="M201" s="7" t="s">
        <v>454</v>
      </c>
      <c r="N201" s="7" t="s">
        <v>1092</v>
      </c>
      <c r="O201" s="7">
        <v>97418.0</v>
      </c>
      <c r="P201" s="7" t="s">
        <v>348</v>
      </c>
      <c r="Q201" s="7" t="s">
        <v>570</v>
      </c>
      <c r="R201" s="7" t="s">
        <v>2906</v>
      </c>
      <c r="S201" s="7" t="s">
        <v>2907</v>
      </c>
      <c r="T201" s="7" t="s">
        <v>377</v>
      </c>
      <c r="U201" s="7" t="s">
        <v>424</v>
      </c>
      <c r="V201" s="7">
        <v>2.62704053E8</v>
      </c>
      <c r="W201" s="7"/>
      <c r="X201" s="7"/>
      <c r="Y201" s="7"/>
      <c r="Z201" s="7" t="s">
        <v>2908</v>
      </c>
      <c r="AA201" s="7">
        <v>10.0</v>
      </c>
      <c r="AB201" s="7" t="s">
        <v>574</v>
      </c>
      <c r="AC201" s="7" t="s">
        <v>2909</v>
      </c>
      <c r="AD201" s="7" t="s">
        <v>2910</v>
      </c>
      <c r="AE201" s="7" t="s">
        <v>2911</v>
      </c>
      <c r="AF201" s="7"/>
      <c r="AG201" s="7" t="s">
        <v>578</v>
      </c>
      <c r="AH201" s="20">
        <v>43374.0</v>
      </c>
      <c r="AI201" s="7"/>
      <c r="AJ201" s="7" t="s">
        <v>2912</v>
      </c>
      <c r="AK201" s="7">
        <v>8.4054615400013E13</v>
      </c>
      <c r="AL201" s="7" t="s">
        <v>2913</v>
      </c>
      <c r="AM201" s="7" t="s">
        <v>2914</v>
      </c>
      <c r="AN201" s="20">
        <v>43374.0</v>
      </c>
      <c r="AO201" s="7">
        <v>97418.0</v>
      </c>
      <c r="AP201" s="7" t="s">
        <v>362</v>
      </c>
      <c r="AQ201" s="7"/>
      <c r="AR201" s="7"/>
      <c r="AS201" s="7"/>
      <c r="AT201" s="7"/>
      <c r="AU201" s="7">
        <v>3.0</v>
      </c>
      <c r="AV201" s="7" t="s">
        <v>2915</v>
      </c>
      <c r="AW201" s="7" t="s">
        <v>2916</v>
      </c>
      <c r="AX201" s="7" t="s">
        <v>2917</v>
      </c>
      <c r="AY201" s="7" t="s">
        <v>1829</v>
      </c>
      <c r="AZ201" s="7" t="s">
        <v>2918</v>
      </c>
      <c r="BA201" s="7"/>
      <c r="BB201" s="7"/>
      <c r="BC201" s="7" t="s">
        <v>401</v>
      </c>
      <c r="BD201" s="21">
        <v>44148.13125</v>
      </c>
      <c r="BE201" s="7" t="s">
        <v>2919</v>
      </c>
      <c r="BF201" s="7"/>
      <c r="BG201" s="7"/>
      <c r="BH201" s="7">
        <v>8.40546154E8</v>
      </c>
      <c r="BI201" s="7" t="s">
        <v>2590</v>
      </c>
      <c r="BJ201" s="7"/>
      <c r="BK201" s="7" t="b">
        <v>0</v>
      </c>
      <c r="BL201" s="7" t="b">
        <v>0</v>
      </c>
      <c r="BM201" s="7"/>
      <c r="BN201" s="7" t="str">
        <f>IFERROR(__xludf.DUMMYFUNCTION(" IF( REGEXMATCH(C201 , ""[(].+[)]""),REGEXREPLACE( CONCATENATE(REGEXEXTRACT(C201 , ""[(].+[)]""),IF(REGEXMATCH(C201 , ""[(][Ll]['’][)]""),"""","" ""), REGEXEXTRACT(C201 ,""^(?:(?:[A-Za-zàäéèêîïöôûü0-9 ](?:[A-Za-zàäéèêîïöôûü'0-9 ]+)))"")) , ""[()]"", """")"&amp;",C201 )"),"Côté Volcan")</f>
        <v>Côté Volcan</v>
      </c>
      <c r="BO201" s="25"/>
      <c r="BP201" s="7"/>
      <c r="BQ201" s="7"/>
      <c r="BR201" s="7"/>
      <c r="BS201" s="7"/>
      <c r="BT201" s="7"/>
      <c r="BU201" s="7"/>
      <c r="BV201" s="7"/>
      <c r="BW201" s="7"/>
      <c r="BX201" s="7"/>
      <c r="BY201" s="7"/>
      <c r="BZ201" s="7"/>
      <c r="CA201" s="7"/>
      <c r="CB201" s="7"/>
    </row>
    <row r="202" ht="21.75" customHeight="1">
      <c r="A202" s="7">
        <v>4075.0</v>
      </c>
      <c r="B202" s="7" t="s">
        <v>2920</v>
      </c>
      <c r="C202" s="7" t="s">
        <v>2921</v>
      </c>
      <c r="D202" s="7"/>
      <c r="E202" s="7"/>
      <c r="F202" s="7" t="s">
        <v>342</v>
      </c>
      <c r="G202" s="7" t="s">
        <v>343</v>
      </c>
      <c r="H202" s="7" t="s">
        <v>344</v>
      </c>
      <c r="I202" s="7" t="s">
        <v>2922</v>
      </c>
      <c r="J202" s="7"/>
      <c r="K202" s="7" t="s">
        <v>1198</v>
      </c>
      <c r="L202" s="7" t="s">
        <v>1199</v>
      </c>
      <c r="M202" s="7" t="s">
        <v>1200</v>
      </c>
      <c r="N202" s="7" t="s">
        <v>455</v>
      </c>
      <c r="O202" s="7">
        <v>97430.0</v>
      </c>
      <c r="P202" s="7" t="s">
        <v>344</v>
      </c>
      <c r="Q202" s="7"/>
      <c r="R202" s="7"/>
      <c r="S202" s="7"/>
      <c r="T202" s="7" t="s">
        <v>648</v>
      </c>
      <c r="U202" s="7" t="s">
        <v>2923</v>
      </c>
      <c r="V202" s="7">
        <v>2.62775388E8</v>
      </c>
      <c r="W202" s="7">
        <v>6.92750762E8</v>
      </c>
      <c r="X202" s="7"/>
      <c r="Y202" s="7"/>
      <c r="Z202" s="7" t="s">
        <v>2924</v>
      </c>
      <c r="AA202" s="7">
        <v>8.0</v>
      </c>
      <c r="AB202" s="7"/>
      <c r="AC202" s="7" t="s">
        <v>2925</v>
      </c>
      <c r="AD202" s="7" t="s">
        <v>2926</v>
      </c>
      <c r="AE202" s="7" t="s">
        <v>2927</v>
      </c>
      <c r="AF202" s="7"/>
      <c r="AG202" s="7"/>
      <c r="AH202" s="20">
        <v>42384.0</v>
      </c>
      <c r="AI202" s="7"/>
      <c r="AJ202" s="7" t="s">
        <v>2928</v>
      </c>
      <c r="AK202" s="7">
        <v>4.4298060300017E13</v>
      </c>
      <c r="AL202" s="7" t="s">
        <v>2929</v>
      </c>
      <c r="AM202" s="7" t="s">
        <v>2930</v>
      </c>
      <c r="AN202" s="20">
        <v>42384.0</v>
      </c>
      <c r="AO202" s="7">
        <v>97430.0</v>
      </c>
      <c r="AP202" s="7" t="s">
        <v>494</v>
      </c>
      <c r="AQ202" s="7"/>
      <c r="AR202" s="7"/>
      <c r="AS202" s="7"/>
      <c r="AT202" s="7"/>
      <c r="AU202" s="7">
        <v>0.0</v>
      </c>
      <c r="AV202" s="7" t="s">
        <v>2931</v>
      </c>
      <c r="AW202" s="7"/>
      <c r="AX202" s="7"/>
      <c r="AY202" s="7"/>
      <c r="AZ202" s="7"/>
      <c r="BA202" s="7"/>
      <c r="BB202" s="7"/>
      <c r="BC202" s="7" t="s">
        <v>401</v>
      </c>
      <c r="BD202" s="21">
        <v>44238.44583333333</v>
      </c>
      <c r="BE202" s="7" t="s">
        <v>1917</v>
      </c>
      <c r="BF202" s="7"/>
      <c r="BG202" s="7"/>
      <c r="BH202" s="7">
        <v>4.42980603E8</v>
      </c>
      <c r="BI202" s="7" t="s">
        <v>2932</v>
      </c>
      <c r="BJ202" s="7"/>
      <c r="BK202" s="7" t="b">
        <v>0</v>
      </c>
      <c r="BL202" s="7" t="b">
        <v>0</v>
      </c>
      <c r="BM202" s="7"/>
      <c r="BN202" s="7" t="str">
        <f>IFERROR(__xludf.DUMMYFUNCTION(" IF( REGEXMATCH(C202 , ""[(].+[)]""),REGEXREPLACE( CONCATENATE(REGEXEXTRACT(C202 , ""[(].+[)]""),IF(REGEXMATCH(C202 , ""[(][Ll]['’][)]""),"""","" ""), REGEXEXTRACT(C202 ,""^(?:(?:[A-Za-zàäéèêîïöôûü0-9 ](?:[A-Za-zàäéèêîïöôûü'0-9 ]+)))"")) , ""[()]"", """")"&amp;",C202 )"),"Couloutchy Transports")</f>
        <v>Couloutchy Transports</v>
      </c>
      <c r="BO202" s="25"/>
      <c r="BP202" s="7"/>
      <c r="BQ202" s="7"/>
      <c r="BR202" s="7"/>
      <c r="BS202" s="7"/>
      <c r="BT202" s="7"/>
      <c r="BU202" s="7"/>
      <c r="BV202" s="7"/>
      <c r="BW202" s="7"/>
      <c r="BX202" s="7"/>
      <c r="BY202" s="7"/>
      <c r="BZ202" s="7"/>
      <c r="CA202" s="7"/>
      <c r="CB202" s="7"/>
    </row>
    <row r="203" ht="21.75" customHeight="1">
      <c r="A203" s="7">
        <v>2680.0</v>
      </c>
      <c r="B203" s="7" t="s">
        <v>2933</v>
      </c>
      <c r="C203" s="7" t="s">
        <v>2934</v>
      </c>
      <c r="D203" s="7" t="s">
        <v>2935</v>
      </c>
      <c r="E203" s="7"/>
      <c r="F203" s="7" t="s">
        <v>342</v>
      </c>
      <c r="G203" s="7" t="s">
        <v>343</v>
      </c>
      <c r="H203" s="7" t="s">
        <v>344</v>
      </c>
      <c r="I203" s="7" t="s">
        <v>2936</v>
      </c>
      <c r="J203" s="26" t="s">
        <v>2937</v>
      </c>
      <c r="K203" s="6" t="s">
        <v>469</v>
      </c>
      <c r="L203" s="7" t="s">
        <v>197</v>
      </c>
      <c r="M203" s="7" t="s">
        <v>559</v>
      </c>
      <c r="N203" s="7"/>
      <c r="O203" s="7">
        <v>97430.0</v>
      </c>
      <c r="P203" s="7" t="s">
        <v>344</v>
      </c>
      <c r="Q203" s="7"/>
      <c r="R203" s="7"/>
      <c r="S203" s="7"/>
      <c r="T203" s="7" t="s">
        <v>2938</v>
      </c>
      <c r="U203" s="7" t="s">
        <v>1508</v>
      </c>
      <c r="V203" s="7"/>
      <c r="W203" s="7">
        <v>6.92047245E8</v>
      </c>
      <c r="X203" s="7"/>
      <c r="Y203" s="7"/>
      <c r="Z203" s="7" t="s">
        <v>2939</v>
      </c>
      <c r="AA203" s="7"/>
      <c r="AB203" s="7"/>
      <c r="AC203" s="7"/>
      <c r="AD203" s="7" t="s">
        <v>2940</v>
      </c>
      <c r="AE203" s="7"/>
      <c r="AF203" s="7"/>
      <c r="AG203" s="7"/>
      <c r="AH203" s="20">
        <v>40351.0</v>
      </c>
      <c r="AI203" s="7"/>
      <c r="AJ203" s="7" t="s">
        <v>1241</v>
      </c>
      <c r="AK203" s="7">
        <v>4.4298844000024E13</v>
      </c>
      <c r="AL203" s="7" t="s">
        <v>2941</v>
      </c>
      <c r="AM203" s="7" t="s">
        <v>1243</v>
      </c>
      <c r="AN203" s="20">
        <v>40351.0</v>
      </c>
      <c r="AO203" s="7">
        <v>97430.0</v>
      </c>
      <c r="AP203" s="7" t="s">
        <v>494</v>
      </c>
      <c r="AQ203" s="7"/>
      <c r="AR203" s="7"/>
      <c r="AS203" s="7"/>
      <c r="AT203" s="7"/>
      <c r="AU203" s="7">
        <v>0.0</v>
      </c>
      <c r="AV203" s="7" t="s">
        <v>2942</v>
      </c>
      <c r="AW203" s="7"/>
      <c r="AX203" s="7"/>
      <c r="AY203" s="7"/>
      <c r="AZ203" s="7"/>
      <c r="BA203" s="7"/>
      <c r="BB203" s="7"/>
      <c r="BC203" s="7" t="s">
        <v>401</v>
      </c>
      <c r="BD203" s="21">
        <v>44238.143055555556</v>
      </c>
      <c r="BE203" s="7" t="s">
        <v>449</v>
      </c>
      <c r="BF203" s="7"/>
      <c r="BG203" s="7"/>
      <c r="BH203" s="7">
        <v>4.4298844E8</v>
      </c>
      <c r="BI203" s="7" t="s">
        <v>2943</v>
      </c>
      <c r="BJ203" s="7"/>
      <c r="BK203" s="7" t="b">
        <v>0</v>
      </c>
      <c r="BL203" s="7" t="b">
        <v>0</v>
      </c>
      <c r="BM203" s="7"/>
      <c r="BN203" s="7" t="str">
        <f>IFERROR(__xludf.DUMMYFUNCTION(" IF( REGEXMATCH(C203 , ""[(].+[)]""),REGEXREPLACE( CONCATENATE(REGEXEXTRACT(C203 , ""[(].+[)]""),IF(REGEXMATCH(C203 , ""[(][Ll]['’][)]""),"""","" ""), REGEXEXTRACT(C203 ,""^(?:(?:[A-Za-zàäéèêîïöôûü0-9 ](?:[A-Za-zàäéèêîïöôûü'0-9 ]+)))"")) , ""[()]"", """")"&amp;",C203 )"),"Couteaux Bourbon")</f>
        <v>Couteaux Bourbon</v>
      </c>
      <c r="BO203" s="25"/>
      <c r="BP203" s="7"/>
      <c r="BQ203" s="7"/>
      <c r="BR203" s="7"/>
      <c r="BS203" s="7"/>
      <c r="BT203" s="7"/>
      <c r="BU203" s="7"/>
      <c r="BV203" s="7"/>
      <c r="BW203" s="7"/>
      <c r="BX203" s="7"/>
      <c r="BY203" s="7"/>
      <c r="BZ203" s="7"/>
      <c r="CA203" s="7"/>
      <c r="CB203" s="7"/>
    </row>
    <row r="204" ht="21.75" customHeight="1">
      <c r="A204" s="7">
        <v>2991.0</v>
      </c>
      <c r="B204" s="7" t="s">
        <v>2944</v>
      </c>
      <c r="C204" s="7" t="s">
        <v>2945</v>
      </c>
      <c r="D204" s="7" t="s">
        <v>2946</v>
      </c>
      <c r="E204" s="7"/>
      <c r="F204" s="7" t="s">
        <v>342</v>
      </c>
      <c r="G204" s="7" t="s">
        <v>343</v>
      </c>
      <c r="H204" s="7" t="s">
        <v>33</v>
      </c>
      <c r="I204" s="7" t="s">
        <v>2947</v>
      </c>
      <c r="J204" s="7"/>
      <c r="K204" s="7" t="s">
        <v>58</v>
      </c>
      <c r="L204" s="7" t="s">
        <v>453</v>
      </c>
      <c r="M204" s="7" t="s">
        <v>454</v>
      </c>
      <c r="N204" s="7" t="s">
        <v>375</v>
      </c>
      <c r="O204" s="7">
        <v>97442.0</v>
      </c>
      <c r="P204" s="7" t="s">
        <v>33</v>
      </c>
      <c r="Q204" s="7"/>
      <c r="R204" s="7" t="s">
        <v>2948</v>
      </c>
      <c r="S204" s="7" t="s">
        <v>2949</v>
      </c>
      <c r="T204" s="7" t="s">
        <v>377</v>
      </c>
      <c r="U204" s="7" t="s">
        <v>353</v>
      </c>
      <c r="V204" s="7">
        <v>2.62989185E8</v>
      </c>
      <c r="W204" s="7">
        <v>6.92921356E8</v>
      </c>
      <c r="X204" s="7"/>
      <c r="Y204" s="7"/>
      <c r="Z204" s="7" t="s">
        <v>2950</v>
      </c>
      <c r="AA204" s="7">
        <v>9.0</v>
      </c>
      <c r="AB204" s="7"/>
      <c r="AC204" s="7" t="s">
        <v>2951</v>
      </c>
      <c r="AD204" s="7" t="s">
        <v>2952</v>
      </c>
      <c r="AE204" s="7"/>
      <c r="AF204" s="7"/>
      <c r="AG204" s="7"/>
      <c r="AH204" s="20">
        <v>40731.0</v>
      </c>
      <c r="AI204" s="7"/>
      <c r="AJ204" s="7" t="s">
        <v>2953</v>
      </c>
      <c r="AK204" s="7"/>
      <c r="AL204" s="7" t="s">
        <v>2954</v>
      </c>
      <c r="AM204" s="7" t="s">
        <v>2955</v>
      </c>
      <c r="AN204" s="20">
        <v>40731.0</v>
      </c>
      <c r="AO204" s="7">
        <v>97442.0</v>
      </c>
      <c r="AP204" s="7" t="s">
        <v>884</v>
      </c>
      <c r="AQ204" s="7"/>
      <c r="AR204" s="7"/>
      <c r="AS204" s="7"/>
      <c r="AT204" s="7"/>
      <c r="AU204" s="7">
        <v>3.0</v>
      </c>
      <c r="AV204" s="7" t="s">
        <v>2956</v>
      </c>
      <c r="AW204" s="7"/>
      <c r="AX204" s="7"/>
      <c r="AY204" s="7"/>
      <c r="AZ204" s="7" t="s">
        <v>2957</v>
      </c>
      <c r="BA204" s="7"/>
      <c r="BB204" s="7"/>
      <c r="BC204" s="7" t="s">
        <v>401</v>
      </c>
      <c r="BD204" s="21">
        <v>44238.063888888886</v>
      </c>
      <c r="BE204" s="7" t="s">
        <v>449</v>
      </c>
      <c r="BF204" s="7"/>
      <c r="BG204" s="7"/>
      <c r="BH204" s="7"/>
      <c r="BI204" s="7" t="s">
        <v>2958</v>
      </c>
      <c r="BJ204" s="7"/>
      <c r="BK204" s="7" t="b">
        <v>0</v>
      </c>
      <c r="BL204" s="7" t="b">
        <v>0</v>
      </c>
      <c r="BM204" s="7"/>
      <c r="BN204" s="7" t="str">
        <f>IFERROR(__xludf.DUMMYFUNCTION(" IF( REGEXMATCH(C204 , ""[(].+[)]""),REGEXREPLACE( CONCATENATE(REGEXEXTRACT(C204 , ""[(].+[)]""),IF(REGEXMATCH(C204 , ""[(][Ll]['’][)]""),"""","" ""), REGEXEXTRACT(C204 ,""^(?:(?:[A-Za-zàäéèêîïöôûü0-9 ](?:[A-Za-zàäéèêîïöôûü'0-9 ]+)))"")) , ""[()]"", """")"&amp;",C204 )"),"Le Crabe Sous la Varangue ")</f>
        <v>Le Crabe Sous la Varangue </v>
      </c>
      <c r="BO204" s="25"/>
      <c r="BP204" s="7"/>
      <c r="BQ204" s="7"/>
      <c r="BR204" s="7"/>
      <c r="BS204" s="7"/>
      <c r="BT204" s="7"/>
      <c r="BU204" s="7"/>
      <c r="BV204" s="7"/>
      <c r="BW204" s="7"/>
      <c r="BX204" s="7"/>
      <c r="BY204" s="7"/>
      <c r="BZ204" s="7"/>
      <c r="CA204" s="7"/>
      <c r="CB204" s="7"/>
    </row>
    <row r="205" ht="21.75" customHeight="1">
      <c r="A205" s="7">
        <v>4681.0</v>
      </c>
      <c r="B205" s="7">
        <v>204.0</v>
      </c>
      <c r="C205" s="7" t="s">
        <v>2959</v>
      </c>
      <c r="D205" s="7"/>
      <c r="E205" s="7"/>
      <c r="F205" s="7" t="s">
        <v>342</v>
      </c>
      <c r="G205" s="7" t="s">
        <v>343</v>
      </c>
      <c r="H205" s="7" t="s">
        <v>344</v>
      </c>
      <c r="I205" s="7" t="s">
        <v>2960</v>
      </c>
      <c r="J205" s="7"/>
      <c r="K205" s="7" t="s">
        <v>34</v>
      </c>
      <c r="L205" s="7" t="s">
        <v>622</v>
      </c>
      <c r="M205" s="7" t="s">
        <v>1347</v>
      </c>
      <c r="N205" s="7"/>
      <c r="O205" s="7">
        <v>97430.0</v>
      </c>
      <c r="P205" s="7" t="s">
        <v>344</v>
      </c>
      <c r="Q205" s="7"/>
      <c r="R205" s="7"/>
      <c r="S205" s="7"/>
      <c r="T205" s="7" t="s">
        <v>2390</v>
      </c>
      <c r="U205" s="7" t="s">
        <v>378</v>
      </c>
      <c r="V205" s="7"/>
      <c r="W205" s="7">
        <v>6.92725492E8</v>
      </c>
      <c r="X205" s="7"/>
      <c r="Y205" s="7"/>
      <c r="Z205" s="7"/>
      <c r="AA205" s="7"/>
      <c r="AB205" s="7"/>
      <c r="AC205" s="7" t="s">
        <v>2961</v>
      </c>
      <c r="AD205" s="7" t="s">
        <v>2962</v>
      </c>
      <c r="AE205" s="7"/>
      <c r="AF205" s="7"/>
      <c r="AG205" s="7"/>
      <c r="AH205" s="20">
        <v>43398.0</v>
      </c>
      <c r="AI205" s="7"/>
      <c r="AJ205" s="7" t="s">
        <v>2959</v>
      </c>
      <c r="AK205" s="7"/>
      <c r="AL205" s="7" t="s">
        <v>2963</v>
      </c>
      <c r="AM205" s="7" t="s">
        <v>2964</v>
      </c>
      <c r="AN205" s="20">
        <v>43398.0</v>
      </c>
      <c r="AO205" s="7">
        <v>97430.0</v>
      </c>
      <c r="AP205" s="7" t="s">
        <v>494</v>
      </c>
      <c r="AQ205" s="7"/>
      <c r="AR205" s="7"/>
      <c r="AS205" s="7"/>
      <c r="AT205" s="7"/>
      <c r="AU205" s="7">
        <v>0.0</v>
      </c>
      <c r="AV205" s="7" t="s">
        <v>2965</v>
      </c>
      <c r="AW205" s="7"/>
      <c r="AX205" s="7"/>
      <c r="AY205" s="7"/>
      <c r="AZ205" s="7"/>
      <c r="BA205" s="7"/>
      <c r="BB205" s="7"/>
      <c r="BC205" s="7" t="s">
        <v>366</v>
      </c>
      <c r="BD205" s="21">
        <v>44197.0</v>
      </c>
      <c r="BE205" s="7"/>
      <c r="BF205" s="7"/>
      <c r="BG205" s="22">
        <v>44197.0</v>
      </c>
      <c r="BH205" s="7"/>
      <c r="BI205" s="7" t="s">
        <v>2966</v>
      </c>
      <c r="BJ205" s="7"/>
      <c r="BK205" s="7" t="b">
        <v>0</v>
      </c>
      <c r="BL205" s="7" t="b">
        <v>0</v>
      </c>
      <c r="BM205" s="7"/>
      <c r="BN205" s="7" t="str">
        <f>IFERROR(__xludf.DUMMYFUNCTION(" IF( REGEXMATCH(C205 , ""[(].+[)]""),REGEXREPLACE( CONCATENATE(REGEXEXTRACT(C205 , ""[(].+[)]""),IF(REGEXMATCH(C205 , ""[(][Ll]['’][)]""),"""","" ""), REGEXEXTRACT(C205 ,""^(?:(?:[A-Za-zàäéèêîïöôûü0-9 ](?:[A-Za-zàäéèêîïöôûü'0-9 ]+)))"")) , ""[()]"", """")"&amp;",C205 )"),"CREP'N SNACK")</f>
        <v>CREP'N SNACK</v>
      </c>
      <c r="BO205" s="23"/>
      <c r="BP205" s="7"/>
      <c r="BQ205" s="7"/>
      <c r="BR205" s="7"/>
      <c r="BS205" s="7"/>
      <c r="BT205" s="7"/>
      <c r="BU205" s="7"/>
      <c r="BV205" s="7"/>
      <c r="BW205" s="7"/>
      <c r="BX205" s="7"/>
      <c r="BY205" s="7"/>
      <c r="BZ205" s="7"/>
      <c r="CA205" s="7"/>
      <c r="CB205" s="7"/>
    </row>
    <row r="206" ht="21.75" customHeight="1">
      <c r="A206" s="7">
        <v>350.0</v>
      </c>
      <c r="B206" s="7">
        <v>205.0</v>
      </c>
      <c r="C206" s="7" t="s">
        <v>2967</v>
      </c>
      <c r="D206" s="7" t="s">
        <v>2968</v>
      </c>
      <c r="E206" s="7"/>
      <c r="F206" s="7" t="s">
        <v>404</v>
      </c>
      <c r="G206" s="7" t="s">
        <v>343</v>
      </c>
      <c r="H206" s="7" t="s">
        <v>123</v>
      </c>
      <c r="I206" s="7" t="s">
        <v>2969</v>
      </c>
      <c r="J206" s="7"/>
      <c r="K206" s="7" t="s">
        <v>34</v>
      </c>
      <c r="L206" s="7" t="s">
        <v>1414</v>
      </c>
      <c r="M206" s="7" t="s">
        <v>1415</v>
      </c>
      <c r="N206" s="7" t="s">
        <v>455</v>
      </c>
      <c r="O206" s="7">
        <v>97480.0</v>
      </c>
      <c r="P206" s="7" t="s">
        <v>123</v>
      </c>
      <c r="Q206" s="7"/>
      <c r="R206" s="7" t="s">
        <v>2970</v>
      </c>
      <c r="S206" s="7" t="s">
        <v>2842</v>
      </c>
      <c r="T206" s="7" t="s">
        <v>377</v>
      </c>
      <c r="U206" s="7" t="s">
        <v>353</v>
      </c>
      <c r="V206" s="7">
        <v>2.62374062E8</v>
      </c>
      <c r="W206" s="7">
        <v>6.9272426E8</v>
      </c>
      <c r="X206" s="7"/>
      <c r="Y206" s="7"/>
      <c r="Z206" s="7"/>
      <c r="AA206" s="7">
        <v>30.0</v>
      </c>
      <c r="AB206" s="7"/>
      <c r="AC206" s="7"/>
      <c r="AD206" s="7" t="s">
        <v>2971</v>
      </c>
      <c r="AE206" s="7" t="s">
        <v>2972</v>
      </c>
      <c r="AF206" s="7"/>
      <c r="AG206" s="7" t="s">
        <v>1419</v>
      </c>
      <c r="AH206" s="20">
        <v>39575.0</v>
      </c>
      <c r="AI206" s="7"/>
      <c r="AJ206" s="7" t="s">
        <v>2973</v>
      </c>
      <c r="AK206" s="7"/>
      <c r="AL206" s="7" t="s">
        <v>2974</v>
      </c>
      <c r="AM206" s="7" t="s">
        <v>2975</v>
      </c>
      <c r="AN206" s="20">
        <v>39575.0</v>
      </c>
      <c r="AO206" s="7">
        <v>97480.0</v>
      </c>
      <c r="AP206" s="7" t="s">
        <v>385</v>
      </c>
      <c r="AQ206" s="7"/>
      <c r="AR206" s="7"/>
      <c r="AS206" s="7"/>
      <c r="AT206" s="7"/>
      <c r="AU206" s="7">
        <v>0.0</v>
      </c>
      <c r="AV206" s="7" t="s">
        <v>2976</v>
      </c>
      <c r="AW206" s="7"/>
      <c r="AX206" s="7"/>
      <c r="AY206" s="7"/>
      <c r="AZ206" s="7"/>
      <c r="BA206" s="7"/>
      <c r="BB206" s="7"/>
      <c r="BC206" s="7" t="s">
        <v>366</v>
      </c>
      <c r="BD206" s="21">
        <v>44197.0</v>
      </c>
      <c r="BE206" s="7"/>
      <c r="BF206" s="7"/>
      <c r="BG206" s="22">
        <v>44197.0</v>
      </c>
      <c r="BH206" s="7"/>
      <c r="BI206" s="7" t="s">
        <v>2977</v>
      </c>
      <c r="BJ206" s="7"/>
      <c r="BK206" s="7" t="b">
        <v>0</v>
      </c>
      <c r="BL206" s="7" t="b">
        <v>0</v>
      </c>
      <c r="BM206" s="7"/>
      <c r="BN206" s="7" t="str">
        <f>IFERROR(__xludf.DUMMYFUNCTION(" IF( REGEXMATCH(C206 , ""[(].+[)]""),REGEXREPLACE( CONCATENATE(REGEXEXTRACT(C206 , ""[(].+[)]""),IF(REGEXMATCH(C206 , ""[(][Ll]['’][)]""),"""","" ""), REGEXEXTRACT(C206 ,""^(?:(?:[A-Za-zàäéèêîïöôûü0-9 ](?:[A-Za-zàäéèêîïöôûü'0-9 ]+)))"")) , ""[()]"", """")"&amp;",C206 )"),"La Crête ")</f>
        <v>La Crête </v>
      </c>
      <c r="BO206" s="23"/>
      <c r="BP206" s="7"/>
      <c r="BQ206" s="7"/>
      <c r="BR206" s="7"/>
      <c r="BS206" s="7"/>
      <c r="BT206" s="7"/>
      <c r="BU206" s="7"/>
      <c r="BV206" s="7"/>
      <c r="BW206" s="7"/>
      <c r="BX206" s="7"/>
      <c r="BY206" s="7"/>
      <c r="BZ206" s="7"/>
      <c r="CA206" s="7"/>
      <c r="CB206" s="7"/>
    </row>
    <row r="207" ht="21.75" customHeight="1">
      <c r="A207" s="7">
        <v>4490.0</v>
      </c>
      <c r="B207" s="7" t="s">
        <v>2978</v>
      </c>
      <c r="C207" s="7" t="s">
        <v>2979</v>
      </c>
      <c r="D207" s="7"/>
      <c r="E207" s="7"/>
      <c r="F207" s="7" t="s">
        <v>342</v>
      </c>
      <c r="G207" s="7" t="s">
        <v>343</v>
      </c>
      <c r="H207" s="7" t="s">
        <v>123</v>
      </c>
      <c r="I207" s="7" t="s">
        <v>2980</v>
      </c>
      <c r="J207" s="26" t="s">
        <v>2981</v>
      </c>
      <c r="K207" s="6" t="s">
        <v>469</v>
      </c>
      <c r="L207" s="7" t="s">
        <v>2982</v>
      </c>
      <c r="M207" s="7" t="s">
        <v>2983</v>
      </c>
      <c r="N207" s="7"/>
      <c r="O207" s="7">
        <v>97480.0</v>
      </c>
      <c r="P207" s="7" t="s">
        <v>123</v>
      </c>
      <c r="Q207" s="7"/>
      <c r="R207" s="7" t="s">
        <v>2984</v>
      </c>
      <c r="S207" s="7"/>
      <c r="T207" s="7" t="s">
        <v>974</v>
      </c>
      <c r="U207" s="7" t="s">
        <v>424</v>
      </c>
      <c r="V207" s="7"/>
      <c r="W207" s="7">
        <v>6.93024174E8</v>
      </c>
      <c r="X207" s="7"/>
      <c r="Y207" s="7">
        <v>2.62563792E8</v>
      </c>
      <c r="Z207" s="7" t="s">
        <v>2985</v>
      </c>
      <c r="AA207" s="7">
        <v>12.0</v>
      </c>
      <c r="AB207" s="7"/>
      <c r="AC207" s="7" t="s">
        <v>2986</v>
      </c>
      <c r="AD207" s="7" t="s">
        <v>2987</v>
      </c>
      <c r="AE207" s="7"/>
      <c r="AF207" s="7"/>
      <c r="AG207" s="7"/>
      <c r="AH207" s="20">
        <v>43181.0</v>
      </c>
      <c r="AI207" s="7"/>
      <c r="AJ207" s="7" t="s">
        <v>2988</v>
      </c>
      <c r="AK207" s="7">
        <v>8.1472263300017E13</v>
      </c>
      <c r="AL207" s="7" t="s">
        <v>2989</v>
      </c>
      <c r="AM207" s="7" t="s">
        <v>2990</v>
      </c>
      <c r="AN207" s="20">
        <v>43181.0</v>
      </c>
      <c r="AO207" s="7">
        <v>97430.0</v>
      </c>
      <c r="AP207" s="7" t="s">
        <v>494</v>
      </c>
      <c r="AQ207" s="7"/>
      <c r="AR207" s="7"/>
      <c r="AS207" s="7"/>
      <c r="AT207" s="7"/>
      <c r="AU207" s="7">
        <v>0.0</v>
      </c>
      <c r="AV207" s="7" t="s">
        <v>2991</v>
      </c>
      <c r="AW207" s="7"/>
      <c r="AX207" s="7"/>
      <c r="AY207" s="7"/>
      <c r="AZ207" s="7"/>
      <c r="BA207" s="7"/>
      <c r="BB207" s="7"/>
      <c r="BC207" s="7" t="s">
        <v>401</v>
      </c>
      <c r="BD207" s="21">
        <v>44236.0</v>
      </c>
      <c r="BE207" s="7" t="s">
        <v>2992</v>
      </c>
      <c r="BF207" s="7"/>
      <c r="BG207" s="7"/>
      <c r="BH207" s="7">
        <v>8.14722633E8</v>
      </c>
      <c r="BI207" s="7" t="s">
        <v>2993</v>
      </c>
      <c r="BJ207" s="7"/>
      <c r="BK207" s="7" t="b">
        <v>0</v>
      </c>
      <c r="BL207" s="7" t="b">
        <v>0</v>
      </c>
      <c r="BM207" s="7"/>
      <c r="BN207" s="7" t="str">
        <f>IFERROR(__xludf.DUMMYFUNCTION(" IF( REGEXMATCH(C207 , ""[(].+[)]""),REGEXREPLACE( CONCATENATE(REGEXEXTRACT(C207 , ""[(].+[)]""),IF(REGEXMATCH(C207 , ""[(][Ll]['’][)]""),"""","" ""), REGEXEXTRACT(C207 ,""^(?:(?:[A-Za-zàäéèêîïöôûü0-9 ](?:[A-Za-zàäéèêîïöôûü'0-9 ]+)))"")) , ""[()]"", """")"&amp;",C207 )"),"Croisières Australes")</f>
        <v>Croisières Australes</v>
      </c>
      <c r="BO207" s="25"/>
      <c r="BP207" s="7"/>
      <c r="BQ207" s="7"/>
      <c r="BR207" s="7"/>
      <c r="BS207" s="7"/>
      <c r="BT207" s="7"/>
      <c r="BU207" s="7"/>
      <c r="BV207" s="7"/>
      <c r="BW207" s="7"/>
      <c r="BX207" s="7"/>
      <c r="BY207" s="7"/>
      <c r="BZ207" s="7"/>
      <c r="CA207" s="7"/>
      <c r="CB207" s="7"/>
    </row>
    <row r="208" ht="21.75" customHeight="1">
      <c r="A208" s="7">
        <v>1745.0</v>
      </c>
      <c r="B208" s="7" t="s">
        <v>2994</v>
      </c>
      <c r="C208" s="7" t="s">
        <v>2995</v>
      </c>
      <c r="D208" s="7"/>
      <c r="E208" s="7"/>
      <c r="F208" s="7" t="s">
        <v>342</v>
      </c>
      <c r="G208" s="7" t="s">
        <v>343</v>
      </c>
      <c r="H208" s="7" t="s">
        <v>344</v>
      </c>
      <c r="I208" s="7" t="s">
        <v>2996</v>
      </c>
      <c r="J208" s="26" t="s">
        <v>2997</v>
      </c>
      <c r="K208" s="7" t="s">
        <v>58</v>
      </c>
      <c r="L208" s="7" t="s">
        <v>59</v>
      </c>
      <c r="M208" s="7" t="s">
        <v>2013</v>
      </c>
      <c r="N208" s="7" t="s">
        <v>455</v>
      </c>
      <c r="O208" s="7">
        <v>97418.0</v>
      </c>
      <c r="P208" s="7" t="s">
        <v>348</v>
      </c>
      <c r="Q208" s="7" t="s">
        <v>349</v>
      </c>
      <c r="R208" s="7" t="s">
        <v>2998</v>
      </c>
      <c r="S208" s="7" t="s">
        <v>1222</v>
      </c>
      <c r="T208" s="7" t="s">
        <v>2999</v>
      </c>
      <c r="U208" s="7" t="s">
        <v>592</v>
      </c>
      <c r="V208" s="7">
        <v>2.62265773E8</v>
      </c>
      <c r="W208" s="7">
        <v>6.92823326E8</v>
      </c>
      <c r="X208" s="7"/>
      <c r="Y208" s="7">
        <v>2.62265773E8</v>
      </c>
      <c r="Z208" s="7" t="s">
        <v>3000</v>
      </c>
      <c r="AA208" s="7">
        <v>5.0</v>
      </c>
      <c r="AB208" s="7" t="s">
        <v>2036</v>
      </c>
      <c r="AC208" s="7"/>
      <c r="AD208" s="7" t="s">
        <v>3001</v>
      </c>
      <c r="AE208" s="7" t="s">
        <v>3002</v>
      </c>
      <c r="AF208" s="7"/>
      <c r="AG208" s="7" t="s">
        <v>578</v>
      </c>
      <c r="AH208" s="20">
        <v>43739.0</v>
      </c>
      <c r="AI208" s="7"/>
      <c r="AJ208" s="7" t="s">
        <v>3003</v>
      </c>
      <c r="AK208" s="7"/>
      <c r="AL208" s="7" t="s">
        <v>3004</v>
      </c>
      <c r="AM208" s="7" t="s">
        <v>3005</v>
      </c>
      <c r="AN208" s="20">
        <v>43739.0</v>
      </c>
      <c r="AO208" s="7">
        <v>97427.0</v>
      </c>
      <c r="AP208" s="7" t="s">
        <v>1527</v>
      </c>
      <c r="AQ208" s="7"/>
      <c r="AR208" s="7"/>
      <c r="AS208" s="7"/>
      <c r="AT208" s="7"/>
      <c r="AU208" s="7">
        <v>1.0</v>
      </c>
      <c r="AV208" s="7" t="s">
        <v>3006</v>
      </c>
      <c r="AW208" s="7"/>
      <c r="AX208" s="7"/>
      <c r="AY208" s="7"/>
      <c r="AZ208" s="7" t="s">
        <v>3007</v>
      </c>
      <c r="BA208" s="7"/>
      <c r="BB208" s="7"/>
      <c r="BC208" s="7" t="s">
        <v>401</v>
      </c>
      <c r="BD208" s="21">
        <v>44104.07708333333</v>
      </c>
      <c r="BE208" s="7" t="s">
        <v>2992</v>
      </c>
      <c r="BF208" s="7"/>
      <c r="BG208" s="7"/>
      <c r="BH208" s="7"/>
      <c r="BI208" s="7" t="s">
        <v>3008</v>
      </c>
      <c r="BJ208" s="7"/>
      <c r="BK208" s="7" t="b">
        <v>0</v>
      </c>
      <c r="BL208" s="7" t="b">
        <v>0</v>
      </c>
      <c r="BM208" s="7"/>
      <c r="BN208" s="7" t="str">
        <f>IFERROR(__xludf.DUMMYFUNCTION(" IF( REGEXMATCH(C208 , ""[(].+[)]""),REGEXREPLACE( CONCATENATE(REGEXEXTRACT(C208 , ""[(].+[)]""),IF(REGEXMATCH(C208 , ""[(][Ll]['’][)]""),"""","" ""), REGEXEXTRACT(C208 ,""^(?:(?:[A-Za-zàäéèêîïöôûü0-9 ](?:[A-Za-zàäéèêîïöôûü'0-9 ]+)))"")) , ""[()]"", """")"&amp;",C208 )"),"Le Crypto")</f>
        <v>Le Crypto</v>
      </c>
      <c r="BO208" s="25"/>
      <c r="BP208" s="7"/>
      <c r="BQ208" s="7"/>
      <c r="BR208" s="7"/>
      <c r="BS208" s="7"/>
      <c r="BT208" s="7"/>
      <c r="BU208" s="7"/>
      <c r="BV208" s="7"/>
      <c r="BW208" s="7"/>
      <c r="BX208" s="7"/>
      <c r="BY208" s="7"/>
      <c r="BZ208" s="7"/>
      <c r="CA208" s="7"/>
      <c r="CB208" s="7"/>
    </row>
    <row r="209" ht="21.75" customHeight="1">
      <c r="A209" s="7">
        <v>1742.0</v>
      </c>
      <c r="B209" s="7" t="s">
        <v>3009</v>
      </c>
      <c r="C209" s="7" t="s">
        <v>3010</v>
      </c>
      <c r="D209" s="7"/>
      <c r="E209" s="7"/>
      <c r="F209" s="7" t="s">
        <v>342</v>
      </c>
      <c r="G209" s="7" t="s">
        <v>343</v>
      </c>
      <c r="H209" s="7" t="s">
        <v>344</v>
      </c>
      <c r="I209" s="7" t="s">
        <v>3011</v>
      </c>
      <c r="J209" s="26" t="s">
        <v>2997</v>
      </c>
      <c r="K209" s="7" t="s">
        <v>58</v>
      </c>
      <c r="L209" s="7" t="s">
        <v>59</v>
      </c>
      <c r="M209" s="7" t="s">
        <v>2013</v>
      </c>
      <c r="N209" s="7" t="s">
        <v>455</v>
      </c>
      <c r="O209" s="7">
        <v>97418.0</v>
      </c>
      <c r="P209" s="7" t="s">
        <v>348</v>
      </c>
      <c r="Q209" s="7" t="s">
        <v>349</v>
      </c>
      <c r="R209" s="7" t="s">
        <v>3012</v>
      </c>
      <c r="S209" s="7" t="s">
        <v>1222</v>
      </c>
      <c r="T209" s="7" t="s">
        <v>3013</v>
      </c>
      <c r="U209" s="7" t="s">
        <v>592</v>
      </c>
      <c r="V209" s="7">
        <v>2.62265773E8</v>
      </c>
      <c r="W209" s="7">
        <v>6.92823326E8</v>
      </c>
      <c r="X209" s="7"/>
      <c r="Y209" s="7">
        <v>2.62265773E8</v>
      </c>
      <c r="Z209" s="7" t="s">
        <v>3000</v>
      </c>
      <c r="AA209" s="7">
        <v>6.0</v>
      </c>
      <c r="AB209" s="7" t="s">
        <v>2036</v>
      </c>
      <c r="AC209" s="7"/>
      <c r="AD209" s="7" t="s">
        <v>3014</v>
      </c>
      <c r="AE209" s="7" t="s">
        <v>3015</v>
      </c>
      <c r="AF209" s="7"/>
      <c r="AG209" s="7" t="s">
        <v>578</v>
      </c>
      <c r="AH209" s="20">
        <v>43739.0</v>
      </c>
      <c r="AI209" s="7"/>
      <c r="AJ209" s="7" t="s">
        <v>3003</v>
      </c>
      <c r="AK209" s="7"/>
      <c r="AL209" s="7" t="s">
        <v>3004</v>
      </c>
      <c r="AM209" s="7" t="s">
        <v>3005</v>
      </c>
      <c r="AN209" s="20">
        <v>43739.0</v>
      </c>
      <c r="AO209" s="7">
        <v>97427.0</v>
      </c>
      <c r="AP209" s="7" t="s">
        <v>1527</v>
      </c>
      <c r="AQ209" s="7"/>
      <c r="AR209" s="7"/>
      <c r="AS209" s="7"/>
      <c r="AT209" s="7"/>
      <c r="AU209" s="7">
        <v>1.0</v>
      </c>
      <c r="AV209" s="7" t="s">
        <v>3016</v>
      </c>
      <c r="AW209" s="7"/>
      <c r="AX209" s="7"/>
      <c r="AY209" s="7"/>
      <c r="AZ209" s="7" t="s">
        <v>3017</v>
      </c>
      <c r="BA209" s="7"/>
      <c r="BB209" s="7"/>
      <c r="BC209" s="7" t="s">
        <v>401</v>
      </c>
      <c r="BD209" s="21">
        <v>44104.07708333333</v>
      </c>
      <c r="BE209" s="7" t="s">
        <v>2992</v>
      </c>
      <c r="BF209" s="7"/>
      <c r="BG209" s="7"/>
      <c r="BH209" s="7"/>
      <c r="BI209" s="7" t="s">
        <v>3008</v>
      </c>
      <c r="BJ209" s="7"/>
      <c r="BK209" s="7" t="b">
        <v>0</v>
      </c>
      <c r="BL209" s="7" t="b">
        <v>0</v>
      </c>
      <c r="BM209" s="7"/>
      <c r="BN209" s="7" t="str">
        <f>IFERROR(__xludf.DUMMYFUNCTION(" IF( REGEXMATCH(C209 , ""[(].+[)]""),REGEXREPLACE( CONCATENATE(REGEXEXTRACT(C209 , ""[(].+[)]""),IF(REGEXMATCH(C209 , ""[(][Ll]['’][)]""),"""","" ""), REGEXEXTRACT(C209 ,""^(?:(?:[A-Za-zàäéèêîïöôûü0-9 ](?:[A-Za-zàäéèêîïöôûü'0-9 ]+)))"")) , ""[()]"", """")"&amp;",C209 )"),"Le Crypto")</f>
        <v>Le Crypto</v>
      </c>
      <c r="BO209" s="25"/>
      <c r="BP209" s="7"/>
      <c r="BQ209" s="7"/>
      <c r="BR209" s="7"/>
      <c r="BS209" s="7"/>
      <c r="BT209" s="7"/>
      <c r="BU209" s="7"/>
      <c r="BV209" s="7"/>
      <c r="BW209" s="7"/>
      <c r="BX209" s="7"/>
      <c r="BY209" s="7"/>
      <c r="BZ209" s="7"/>
      <c r="CA209" s="7"/>
      <c r="CB209" s="7"/>
    </row>
    <row r="210" ht="21.75" customHeight="1">
      <c r="A210" s="7">
        <v>1746.0</v>
      </c>
      <c r="B210" s="7" t="s">
        <v>3018</v>
      </c>
      <c r="C210" s="7" t="s">
        <v>3019</v>
      </c>
      <c r="D210" s="7"/>
      <c r="E210" s="7"/>
      <c r="F210" s="7" t="s">
        <v>342</v>
      </c>
      <c r="G210" s="7" t="s">
        <v>343</v>
      </c>
      <c r="H210" s="7" t="s">
        <v>344</v>
      </c>
      <c r="I210" s="7" t="s">
        <v>3020</v>
      </c>
      <c r="J210" s="26" t="s">
        <v>2997</v>
      </c>
      <c r="K210" s="7" t="s">
        <v>58</v>
      </c>
      <c r="L210" s="7" t="s">
        <v>59</v>
      </c>
      <c r="M210" s="7" t="s">
        <v>2013</v>
      </c>
      <c r="N210" s="7" t="s">
        <v>455</v>
      </c>
      <c r="O210" s="7">
        <v>97418.0</v>
      </c>
      <c r="P210" s="7" t="s">
        <v>348</v>
      </c>
      <c r="Q210" s="7" t="s">
        <v>349</v>
      </c>
      <c r="R210" s="7" t="s">
        <v>3021</v>
      </c>
      <c r="S210" s="7" t="s">
        <v>1222</v>
      </c>
      <c r="T210" s="7" t="s">
        <v>3013</v>
      </c>
      <c r="U210" s="7" t="s">
        <v>592</v>
      </c>
      <c r="V210" s="7">
        <v>2.62265773E8</v>
      </c>
      <c r="W210" s="7">
        <v>6.92823326E8</v>
      </c>
      <c r="X210" s="7"/>
      <c r="Y210" s="7">
        <v>2.62265773E8</v>
      </c>
      <c r="Z210" s="7" t="s">
        <v>3000</v>
      </c>
      <c r="AA210" s="7">
        <v>14.0</v>
      </c>
      <c r="AB210" s="7" t="s">
        <v>3022</v>
      </c>
      <c r="AC210" s="7"/>
      <c r="AD210" s="7" t="s">
        <v>3023</v>
      </c>
      <c r="AE210" s="7" t="s">
        <v>3024</v>
      </c>
      <c r="AF210" s="7"/>
      <c r="AG210" s="7" t="s">
        <v>578</v>
      </c>
      <c r="AH210" s="20">
        <v>43739.0</v>
      </c>
      <c r="AI210" s="7"/>
      <c r="AJ210" s="7" t="s">
        <v>3003</v>
      </c>
      <c r="AK210" s="7"/>
      <c r="AL210" s="7" t="s">
        <v>3004</v>
      </c>
      <c r="AM210" s="7" t="s">
        <v>3005</v>
      </c>
      <c r="AN210" s="20">
        <v>43739.0</v>
      </c>
      <c r="AO210" s="7">
        <v>97427.0</v>
      </c>
      <c r="AP210" s="7" t="s">
        <v>1527</v>
      </c>
      <c r="AQ210" s="7"/>
      <c r="AR210" s="7"/>
      <c r="AS210" s="7"/>
      <c r="AT210" s="7"/>
      <c r="AU210" s="7">
        <v>1.0</v>
      </c>
      <c r="AV210" s="7" t="s">
        <v>3025</v>
      </c>
      <c r="AW210" s="7"/>
      <c r="AX210" s="7"/>
      <c r="AY210" s="7"/>
      <c r="AZ210" s="7" t="s">
        <v>3026</v>
      </c>
      <c r="BA210" s="7"/>
      <c r="BB210" s="7"/>
      <c r="BC210" s="7" t="s">
        <v>401</v>
      </c>
      <c r="BD210" s="21">
        <v>44104.07708333333</v>
      </c>
      <c r="BE210" s="7" t="s">
        <v>2992</v>
      </c>
      <c r="BF210" s="7"/>
      <c r="BG210" s="7"/>
      <c r="BH210" s="7"/>
      <c r="BI210" s="7" t="s">
        <v>3008</v>
      </c>
      <c r="BJ210" s="7"/>
      <c r="BK210" s="7" t="b">
        <v>0</v>
      </c>
      <c r="BL210" s="7" t="b">
        <v>0</v>
      </c>
      <c r="BM210" s="7"/>
      <c r="BN210" s="7" t="str">
        <f>IFERROR(__xludf.DUMMYFUNCTION(" IF( REGEXMATCH(C210 , ""[(].+[)]""),REGEXREPLACE( CONCATENATE(REGEXEXTRACT(C210 , ""[(].+[)]""),IF(REGEXMATCH(C210 , ""[(][Ll]['’][)]""),"""","" ""), REGEXEXTRACT(C210 ,""^(?:(?:[A-Za-zàäéèêîïöôûü0-9 ](?:[A-Za-zàäéèêîïöôûü'0-9 ]+)))"")) , ""[()]"", """")"&amp;",C210 )"),"Le Crypto")</f>
        <v>Le Crypto</v>
      </c>
      <c r="BO210" s="25"/>
      <c r="BP210" s="7"/>
      <c r="BQ210" s="7"/>
      <c r="BR210" s="7"/>
      <c r="BS210" s="7"/>
      <c r="BT210" s="7"/>
      <c r="BU210" s="7"/>
      <c r="BV210" s="7"/>
      <c r="BW210" s="7"/>
      <c r="BX210" s="7"/>
      <c r="BY210" s="7"/>
      <c r="BZ210" s="7"/>
      <c r="CA210" s="7"/>
      <c r="CB210" s="7"/>
    </row>
    <row r="211" ht="21.75" customHeight="1">
      <c r="A211" s="7">
        <v>1546.0</v>
      </c>
      <c r="B211" s="7" t="s">
        <v>3027</v>
      </c>
      <c r="C211" s="7" t="s">
        <v>3028</v>
      </c>
      <c r="D211" s="7" t="s">
        <v>3028</v>
      </c>
      <c r="E211" s="7"/>
      <c r="F211" s="7" t="s">
        <v>342</v>
      </c>
      <c r="G211" s="7" t="s">
        <v>343</v>
      </c>
      <c r="H211" s="7" t="s">
        <v>344</v>
      </c>
      <c r="I211" s="7" t="s">
        <v>3029</v>
      </c>
      <c r="J211" s="7"/>
      <c r="K211" s="7" t="s">
        <v>58</v>
      </c>
      <c r="L211" s="7" t="s">
        <v>59</v>
      </c>
      <c r="M211" s="7" t="s">
        <v>374</v>
      </c>
      <c r="N211" s="7" t="s">
        <v>455</v>
      </c>
      <c r="O211" s="7">
        <v>97430.0</v>
      </c>
      <c r="P211" s="7" t="s">
        <v>344</v>
      </c>
      <c r="Q211" s="7"/>
      <c r="R211" s="7" t="s">
        <v>2332</v>
      </c>
      <c r="S211" s="7" t="s">
        <v>1222</v>
      </c>
      <c r="T211" s="7" t="s">
        <v>377</v>
      </c>
      <c r="U211" s="7" t="s">
        <v>592</v>
      </c>
      <c r="V211" s="7">
        <v>2.62270606E8</v>
      </c>
      <c r="W211" s="7">
        <v>6.92259377E8</v>
      </c>
      <c r="X211" s="7"/>
      <c r="Y211" s="7"/>
      <c r="Z211" s="7" t="s">
        <v>3030</v>
      </c>
      <c r="AA211" s="7">
        <v>6.0</v>
      </c>
      <c r="AB211" s="7" t="s">
        <v>2716</v>
      </c>
      <c r="AC211" s="7"/>
      <c r="AD211" s="7" t="s">
        <v>3031</v>
      </c>
      <c r="AE211" s="7" t="s">
        <v>3032</v>
      </c>
      <c r="AF211" s="7"/>
      <c r="AG211" s="7"/>
      <c r="AH211" s="20">
        <v>43739.0</v>
      </c>
      <c r="AI211" s="7"/>
      <c r="AJ211" s="7" t="s">
        <v>3033</v>
      </c>
      <c r="AK211" s="7"/>
      <c r="AL211" s="7" t="s">
        <v>3034</v>
      </c>
      <c r="AM211" s="7" t="s">
        <v>3035</v>
      </c>
      <c r="AN211" s="20">
        <v>43739.0</v>
      </c>
      <c r="AO211" s="7">
        <v>97430.0</v>
      </c>
      <c r="AP211" s="7" t="s">
        <v>494</v>
      </c>
      <c r="AQ211" s="7"/>
      <c r="AR211" s="7"/>
      <c r="AS211" s="7"/>
      <c r="AT211" s="7"/>
      <c r="AU211" s="7">
        <v>2.0</v>
      </c>
      <c r="AV211" s="7" t="s">
        <v>3036</v>
      </c>
      <c r="AW211" s="7"/>
      <c r="AX211" s="7"/>
      <c r="AY211" s="7"/>
      <c r="AZ211" s="7" t="s">
        <v>3037</v>
      </c>
      <c r="BA211" s="7"/>
      <c r="BB211" s="7"/>
      <c r="BC211" s="7" t="s">
        <v>401</v>
      </c>
      <c r="BD211" s="21">
        <v>44104.07708333333</v>
      </c>
      <c r="BE211" s="7" t="s">
        <v>3038</v>
      </c>
      <c r="BF211" s="7"/>
      <c r="BG211" s="7"/>
      <c r="BH211" s="7"/>
      <c r="BI211" s="7" t="s">
        <v>3039</v>
      </c>
      <c r="BJ211" s="7"/>
      <c r="BK211" s="7" t="b">
        <v>0</v>
      </c>
      <c r="BL211" s="7" t="b">
        <v>0</v>
      </c>
      <c r="BM211" s="7"/>
      <c r="BN211" s="7" t="str">
        <f>IFERROR(__xludf.DUMMYFUNCTION(" IF( REGEXMATCH(C211 , ""[(].+[)]""),REGEXREPLACE( CONCATENATE(REGEXEXTRACT(C211 , ""[(].+[)]""),IF(REGEXMATCH(C211 , ""[(][Ll]['’][)]""),"""","" ""), REGEXEXTRACT(C211 ,""^(?:(?:[A-Za-zàäéèêîïöôûü0-9 ](?:[A-Za-zàäéèêîïöôûü'0-9 ]+)))"")) , ""[()]"", """")"&amp;",C211 )"),"Le Cryptoméria ")</f>
        <v>Le Cryptoméria </v>
      </c>
      <c r="BO211" s="25"/>
      <c r="BP211" s="7"/>
      <c r="BQ211" s="7"/>
      <c r="BR211" s="7"/>
      <c r="BS211" s="7"/>
      <c r="BT211" s="7"/>
      <c r="BU211" s="7"/>
      <c r="BV211" s="7"/>
      <c r="BW211" s="7"/>
      <c r="BX211" s="7"/>
      <c r="BY211" s="7"/>
      <c r="BZ211" s="7"/>
      <c r="CA211" s="7"/>
      <c r="CB211" s="7"/>
    </row>
    <row r="212" ht="21.75" customHeight="1">
      <c r="A212" s="7">
        <v>3572.0</v>
      </c>
      <c r="B212" s="7" t="s">
        <v>3040</v>
      </c>
      <c r="C212" s="7" t="s">
        <v>3041</v>
      </c>
      <c r="D212" s="7" t="s">
        <v>3042</v>
      </c>
      <c r="E212" s="7"/>
      <c r="F212" s="7" t="s">
        <v>404</v>
      </c>
      <c r="G212" s="7" t="s">
        <v>343</v>
      </c>
      <c r="H212" s="7" t="s">
        <v>344</v>
      </c>
      <c r="I212" s="7" t="s">
        <v>3043</v>
      </c>
      <c r="J212" s="26" t="s">
        <v>3044</v>
      </c>
      <c r="K212" s="7" t="s">
        <v>34</v>
      </c>
      <c r="L212" s="7" t="s">
        <v>622</v>
      </c>
      <c r="M212" s="7" t="s">
        <v>622</v>
      </c>
      <c r="N212" s="7" t="s">
        <v>664</v>
      </c>
      <c r="O212" s="7">
        <v>97430.0</v>
      </c>
      <c r="P212" s="7" t="s">
        <v>344</v>
      </c>
      <c r="Q212" s="7"/>
      <c r="R212" s="7" t="s">
        <v>801</v>
      </c>
      <c r="S212" s="7" t="s">
        <v>3045</v>
      </c>
      <c r="T212" s="7" t="s">
        <v>963</v>
      </c>
      <c r="U212" s="7" t="s">
        <v>786</v>
      </c>
      <c r="V212" s="7"/>
      <c r="W212" s="7">
        <v>6.92602394E8</v>
      </c>
      <c r="X212" s="7"/>
      <c r="Y212" s="7"/>
      <c r="Z212" s="7" t="s">
        <v>3046</v>
      </c>
      <c r="AA212" s="7">
        <v>26.0</v>
      </c>
      <c r="AB212" s="7"/>
      <c r="AC212" s="7" t="s">
        <v>3047</v>
      </c>
      <c r="AD212" s="7" t="s">
        <v>3048</v>
      </c>
      <c r="AE212" s="7" t="s">
        <v>3049</v>
      </c>
      <c r="AF212" s="7"/>
      <c r="AG212" s="7"/>
      <c r="AH212" s="20">
        <v>41740.0</v>
      </c>
      <c r="AI212" s="7"/>
      <c r="AJ212" s="7" t="s">
        <v>3050</v>
      </c>
      <c r="AK212" s="7">
        <v>8.5258922500014E13</v>
      </c>
      <c r="AL212" s="7" t="s">
        <v>3051</v>
      </c>
      <c r="AM212" s="7" t="s">
        <v>3052</v>
      </c>
      <c r="AN212" s="20">
        <v>41740.0</v>
      </c>
      <c r="AO212" s="7">
        <v>97430.0</v>
      </c>
      <c r="AP212" s="7" t="s">
        <v>494</v>
      </c>
      <c r="AQ212" s="7"/>
      <c r="AR212" s="7"/>
      <c r="AS212" s="7"/>
      <c r="AT212" s="7"/>
      <c r="AU212" s="7">
        <v>0.0</v>
      </c>
      <c r="AV212" s="7" t="s">
        <v>3053</v>
      </c>
      <c r="AW212" s="7"/>
      <c r="AX212" s="7"/>
      <c r="AY212" s="7"/>
      <c r="AZ212" s="7"/>
      <c r="BA212" s="7"/>
      <c r="BB212" s="7"/>
      <c r="BC212" s="7" t="s">
        <v>401</v>
      </c>
      <c r="BD212" s="21">
        <v>44222.45208333333</v>
      </c>
      <c r="BE212" s="7" t="s">
        <v>3054</v>
      </c>
      <c r="BF212" s="7"/>
      <c r="BG212" s="7"/>
      <c r="BH212" s="7">
        <v>8.52589225E8</v>
      </c>
      <c r="BI212" s="7" t="s">
        <v>3055</v>
      </c>
      <c r="BJ212" s="7"/>
      <c r="BK212" s="7" t="b">
        <v>0</v>
      </c>
      <c r="BL212" s="7" t="b">
        <v>0</v>
      </c>
      <c r="BM212" s="7"/>
      <c r="BN212" s="7" t="str">
        <f>IFERROR(__xludf.DUMMYFUNCTION(" IF( REGEXMATCH(C212 , ""[(].+[)]""),REGEXREPLACE( CONCATENATE(REGEXEXTRACT(C212 , ""[(].+[)]""),IF(REGEXMATCH(C212 , ""[(][Ll]['’][)]""),"""","" ""), REGEXEXTRACT(C212 ,""^(?:(?:[A-Za-zàäéèêîïöôûü0-9 ](?:[A-Za-zàäéèêîïöôûü'0-9 ]+)))"")) , ""[()]"", """")"&amp;",C212 )"),"Kaz Mauricien")</f>
        <v>Kaz Mauricien</v>
      </c>
      <c r="BO212" s="25"/>
      <c r="BP212" s="7"/>
      <c r="BQ212" s="7"/>
      <c r="BR212" s="7"/>
      <c r="BS212" s="7"/>
      <c r="BT212" s="7"/>
      <c r="BU212" s="7"/>
      <c r="BV212" s="7"/>
      <c r="BW212" s="7"/>
      <c r="BX212" s="7"/>
      <c r="BY212" s="7"/>
      <c r="BZ212" s="7"/>
      <c r="CA212" s="7"/>
      <c r="CB212" s="7"/>
    </row>
    <row r="213" ht="21.75" customHeight="1">
      <c r="A213" s="7">
        <v>4875.0</v>
      </c>
      <c r="B213" s="7" t="s">
        <v>3056</v>
      </c>
      <c r="C213" s="7" t="s">
        <v>3057</v>
      </c>
      <c r="D213" s="7"/>
      <c r="E213" s="7"/>
      <c r="F213" s="7" t="s">
        <v>342</v>
      </c>
      <c r="G213" s="7" t="s">
        <v>343</v>
      </c>
      <c r="H213" s="7" t="s">
        <v>344</v>
      </c>
      <c r="I213" s="7" t="s">
        <v>3058</v>
      </c>
      <c r="J213" s="7"/>
      <c r="K213" s="6" t="s">
        <v>469</v>
      </c>
      <c r="L213" s="7" t="s">
        <v>197</v>
      </c>
      <c r="M213" s="7" t="s">
        <v>559</v>
      </c>
      <c r="N213" s="7" t="s">
        <v>422</v>
      </c>
      <c r="O213" s="7">
        <v>97430.0</v>
      </c>
      <c r="P213" s="7" t="s">
        <v>344</v>
      </c>
      <c r="Q213" s="7"/>
      <c r="R213" s="7" t="s">
        <v>3059</v>
      </c>
      <c r="S213" s="7"/>
      <c r="T213" s="7" t="s">
        <v>1076</v>
      </c>
      <c r="U213" s="7" t="s">
        <v>353</v>
      </c>
      <c r="V213" s="7"/>
      <c r="W213" s="7">
        <v>6.92088193E8</v>
      </c>
      <c r="X213" s="7"/>
      <c r="Y213" s="7"/>
      <c r="Z213" s="7" t="s">
        <v>3060</v>
      </c>
      <c r="AA213" s="7">
        <v>10.0</v>
      </c>
      <c r="AB213" s="7"/>
      <c r="AC213" s="7" t="s">
        <v>3061</v>
      </c>
      <c r="AD213" s="7" t="s">
        <v>3062</v>
      </c>
      <c r="AE213" s="7"/>
      <c r="AF213" s="7"/>
      <c r="AG213" s="7"/>
      <c r="AH213" s="20">
        <v>41338.0</v>
      </c>
      <c r="AI213" s="7"/>
      <c r="AJ213" s="7" t="s">
        <v>3063</v>
      </c>
      <c r="AK213" s="7">
        <v>8.4515892200011E13</v>
      </c>
      <c r="AL213" s="7" t="s">
        <v>3064</v>
      </c>
      <c r="AM213" s="7" t="s">
        <v>3065</v>
      </c>
      <c r="AN213" s="20">
        <v>43529.0</v>
      </c>
      <c r="AO213" s="7">
        <v>97430.0</v>
      </c>
      <c r="AP213" s="7" t="s">
        <v>494</v>
      </c>
      <c r="AQ213" s="7"/>
      <c r="AR213" s="7"/>
      <c r="AS213" s="7"/>
      <c r="AT213" s="7"/>
      <c r="AU213" s="7">
        <v>0.0</v>
      </c>
      <c r="AV213" s="7" t="s">
        <v>3066</v>
      </c>
      <c r="AW213" s="7"/>
      <c r="AX213" s="7"/>
      <c r="AY213" s="7"/>
      <c r="AZ213" s="7"/>
      <c r="BA213" s="7"/>
      <c r="BB213" s="7"/>
      <c r="BC213" s="7" t="s">
        <v>401</v>
      </c>
      <c r="BD213" s="21">
        <v>44194.0</v>
      </c>
      <c r="BE213" s="7" t="s">
        <v>1917</v>
      </c>
      <c r="BF213" s="7"/>
      <c r="BG213" s="7"/>
      <c r="BH213" s="7">
        <v>8.45158922E8</v>
      </c>
      <c r="BI213" s="7" t="s">
        <v>3067</v>
      </c>
      <c r="BJ213" s="7"/>
      <c r="BK213" s="7" t="b">
        <v>0</v>
      </c>
      <c r="BL213" s="7" t="b">
        <v>0</v>
      </c>
      <c r="BM213" s="7"/>
      <c r="BN213" s="7" t="str">
        <f>IFERROR(__xludf.DUMMYFUNCTION(" IF( REGEXMATCH(C213 , ""[(].+[)]""),REGEXREPLACE( CONCATENATE(REGEXEXTRACT(C213 , ""[(].+[)]""),IF(REGEXMATCH(C213 , ""[(][Ll]['’][)]""),"""","" ""), REGEXEXTRACT(C213 ,""^(?:(?:[A-Za-zàäéèêîïöôûü0-9 ](?:[A-Za-zàäéèêîïöôûü'0-9 ]+)))"")) , ""[()]"", """")"&amp;",C213 )"),"D. Nat Créations")</f>
        <v>D. Nat Créations</v>
      </c>
      <c r="BO213" s="25"/>
      <c r="BP213" s="7"/>
      <c r="BQ213" s="7"/>
      <c r="BR213" s="7"/>
      <c r="BS213" s="7"/>
      <c r="BT213" s="7"/>
      <c r="BU213" s="7"/>
      <c r="BV213" s="7"/>
      <c r="BW213" s="7"/>
      <c r="BX213" s="7"/>
      <c r="BY213" s="7"/>
      <c r="BZ213" s="7"/>
      <c r="CA213" s="7"/>
      <c r="CB213" s="7"/>
    </row>
    <row r="214" ht="21.75" customHeight="1">
      <c r="A214" s="7">
        <v>2092.0</v>
      </c>
      <c r="B214" s="7">
        <v>213.0</v>
      </c>
      <c r="C214" s="7" t="s">
        <v>3068</v>
      </c>
      <c r="D214" s="7" t="s">
        <v>3069</v>
      </c>
      <c r="E214" s="7"/>
      <c r="F214" s="7" t="s">
        <v>404</v>
      </c>
      <c r="G214" s="7" t="s">
        <v>343</v>
      </c>
      <c r="H214" s="7" t="s">
        <v>123</v>
      </c>
      <c r="I214" s="7" t="s">
        <v>3070</v>
      </c>
      <c r="J214" s="7"/>
      <c r="K214" s="6" t="s">
        <v>469</v>
      </c>
      <c r="L214" s="7" t="s">
        <v>3071</v>
      </c>
      <c r="M214" s="7" t="s">
        <v>3072</v>
      </c>
      <c r="N214" s="7"/>
      <c r="O214" s="7">
        <v>97480.0</v>
      </c>
      <c r="P214" s="7" t="s">
        <v>123</v>
      </c>
      <c r="Q214" s="7"/>
      <c r="R214" s="7"/>
      <c r="S214" s="7"/>
      <c r="T214" s="7" t="s">
        <v>377</v>
      </c>
      <c r="U214" s="7" t="s">
        <v>378</v>
      </c>
      <c r="V214" s="7"/>
      <c r="W214" s="7">
        <v>6.92089093E8</v>
      </c>
      <c r="X214" s="7"/>
      <c r="Y214" s="7"/>
      <c r="Z214" s="7" t="s">
        <v>3073</v>
      </c>
      <c r="AA214" s="7"/>
      <c r="AB214" s="7"/>
      <c r="AC214" s="7" t="s">
        <v>3074</v>
      </c>
      <c r="AD214" s="7" t="s">
        <v>3075</v>
      </c>
      <c r="AE214" s="7"/>
      <c r="AF214" s="7"/>
      <c r="AG214" s="7"/>
      <c r="AH214" s="20">
        <v>43739.0</v>
      </c>
      <c r="AI214" s="7"/>
      <c r="AJ214" s="7" t="s">
        <v>3068</v>
      </c>
      <c r="AK214" s="7"/>
      <c r="AL214" s="7" t="s">
        <v>3076</v>
      </c>
      <c r="AM214" s="7" t="s">
        <v>3077</v>
      </c>
      <c r="AN214" s="20">
        <v>40098.0</v>
      </c>
      <c r="AO214" s="7">
        <v>97480.0</v>
      </c>
      <c r="AP214" s="7" t="s">
        <v>385</v>
      </c>
      <c r="AQ214" s="7"/>
      <c r="AR214" s="7"/>
      <c r="AS214" s="7"/>
      <c r="AT214" s="7"/>
      <c r="AU214" s="7">
        <v>0.0</v>
      </c>
      <c r="AV214" s="7" t="s">
        <v>3078</v>
      </c>
      <c r="AW214" s="7"/>
      <c r="AX214" s="7"/>
      <c r="AY214" s="7"/>
      <c r="AZ214" s="7"/>
      <c r="BA214" s="7"/>
      <c r="BB214" s="7"/>
      <c r="BC214" s="7" t="s">
        <v>366</v>
      </c>
      <c r="BD214" s="21">
        <v>44238.38611111111</v>
      </c>
      <c r="BE214" s="7"/>
      <c r="BF214" s="7"/>
      <c r="BG214" s="22">
        <v>44238.0</v>
      </c>
      <c r="BH214" s="7"/>
      <c r="BI214" s="7" t="s">
        <v>1087</v>
      </c>
      <c r="BJ214" s="7"/>
      <c r="BK214" s="7" t="b">
        <v>0</v>
      </c>
      <c r="BL214" s="7" t="b">
        <v>0</v>
      </c>
      <c r="BM214" s="7"/>
      <c r="BN214" s="7" t="str">
        <f>IFERROR(__xludf.DUMMYFUNCTION(" IF( REGEXMATCH(C214 , ""[(].+[)]""),REGEXREPLACE( CONCATENATE(REGEXEXTRACT(C214 , ""[(].+[)]""),IF(REGEXMATCH(C214 , ""[(][Ll]['’][)]""),"""","" ""), REGEXEXTRACT(C214 ,""^(?:(?:[A-Za-zàäéèêîïöôûü0-9 ](?:[A-Za-zàäéèêîïöôûü'0-9 ]+)))"")) , ""[()]"", """")"&amp;",C214 )"),"Dalleau Didier")</f>
        <v>Dalleau Didier</v>
      </c>
      <c r="BO214" s="23"/>
      <c r="BP214" s="7"/>
      <c r="BQ214" s="7"/>
      <c r="BR214" s="7"/>
      <c r="BS214" s="7"/>
      <c r="BT214" s="7"/>
      <c r="BU214" s="7"/>
      <c r="BV214" s="7"/>
      <c r="BW214" s="7"/>
      <c r="BX214" s="7"/>
      <c r="BY214" s="7"/>
      <c r="BZ214" s="7"/>
      <c r="CA214" s="7"/>
      <c r="CB214" s="7"/>
    </row>
    <row r="215" ht="21.75" customHeight="1">
      <c r="A215" s="7">
        <v>3544.0</v>
      </c>
      <c r="B215" s="7" t="s">
        <v>3079</v>
      </c>
      <c r="C215" s="7" t="s">
        <v>3080</v>
      </c>
      <c r="D215" s="7" t="s">
        <v>3080</v>
      </c>
      <c r="E215" s="7"/>
      <c r="F215" s="7" t="s">
        <v>342</v>
      </c>
      <c r="G215" s="7" t="s">
        <v>343</v>
      </c>
      <c r="H215" s="7" t="s">
        <v>33</v>
      </c>
      <c r="I215" s="7" t="s">
        <v>3081</v>
      </c>
      <c r="J215" s="26" t="s">
        <v>3082</v>
      </c>
      <c r="K215" s="7" t="s">
        <v>58</v>
      </c>
      <c r="L215" s="7" t="s">
        <v>59</v>
      </c>
      <c r="M215" s="7" t="s">
        <v>545</v>
      </c>
      <c r="N215" s="7" t="s">
        <v>664</v>
      </c>
      <c r="O215" s="7">
        <v>97442.0</v>
      </c>
      <c r="P215" s="7" t="s">
        <v>33</v>
      </c>
      <c r="Q215" s="7"/>
      <c r="R215" s="7" t="s">
        <v>3083</v>
      </c>
      <c r="S215" s="7" t="s">
        <v>3084</v>
      </c>
      <c r="T215" s="7" t="s">
        <v>377</v>
      </c>
      <c r="U215" s="7" t="s">
        <v>424</v>
      </c>
      <c r="V215" s="7">
        <v>2.62477106E8</v>
      </c>
      <c r="W215" s="7">
        <v>6.92651429E8</v>
      </c>
      <c r="X215" s="7"/>
      <c r="Y215" s="7"/>
      <c r="Z215" s="7" t="s">
        <v>3085</v>
      </c>
      <c r="AA215" s="7">
        <v>8.0</v>
      </c>
      <c r="AB215" s="7" t="s">
        <v>2716</v>
      </c>
      <c r="AC215" s="7" t="s">
        <v>3086</v>
      </c>
      <c r="AD215" s="7" t="s">
        <v>3087</v>
      </c>
      <c r="AE215" s="7" t="s">
        <v>3088</v>
      </c>
      <c r="AF215" s="7"/>
      <c r="AG215" s="7"/>
      <c r="AH215" s="20">
        <v>41694.0</v>
      </c>
      <c r="AI215" s="7"/>
      <c r="AJ215" s="7" t="s">
        <v>3089</v>
      </c>
      <c r="AK215" s="7">
        <v>7.8983710100011E13</v>
      </c>
      <c r="AL215" s="7" t="s">
        <v>3090</v>
      </c>
      <c r="AM215" s="7" t="s">
        <v>3091</v>
      </c>
      <c r="AN215" s="20">
        <v>41694.0</v>
      </c>
      <c r="AO215" s="7">
        <v>97442.0</v>
      </c>
      <c r="AP215" s="7" t="s">
        <v>884</v>
      </c>
      <c r="AQ215" s="7"/>
      <c r="AR215" s="7"/>
      <c r="AS215" s="7"/>
      <c r="AT215" s="7"/>
      <c r="AU215" s="7">
        <v>3.0</v>
      </c>
      <c r="AV215" s="7" t="s">
        <v>3092</v>
      </c>
      <c r="AW215" s="7"/>
      <c r="AX215" s="7"/>
      <c r="AY215" s="7"/>
      <c r="AZ215" s="7" t="s">
        <v>3093</v>
      </c>
      <c r="BA215" s="7"/>
      <c r="BB215" s="7"/>
      <c r="BC215" s="7" t="s">
        <v>401</v>
      </c>
      <c r="BD215" s="21">
        <v>44167.0</v>
      </c>
      <c r="BE215" s="7" t="s">
        <v>3094</v>
      </c>
      <c r="BF215" s="7"/>
      <c r="BG215" s="7"/>
      <c r="BH215" s="7">
        <v>7.89837101E8</v>
      </c>
      <c r="BI215" s="7" t="s">
        <v>3095</v>
      </c>
      <c r="BJ215" s="7"/>
      <c r="BK215" s="7" t="b">
        <v>0</v>
      </c>
      <c r="BL215" s="7" t="b">
        <v>0</v>
      </c>
      <c r="BM215" s="7"/>
      <c r="BN215" s="7" t="str">
        <f>IFERROR(__xludf.DUMMYFUNCTION(" IF( REGEXMATCH(C215 , ""[(].+[)]""),REGEXREPLACE( CONCATENATE(REGEXEXTRACT(C215 , ""[(].+[)]""),IF(REGEXMATCH(C215 , ""[(][Ll]['’][)]""),"""","" ""), REGEXEXTRACT(C215 ,""^(?:(?:[A-Za-zàäéèêîïöôûü0-9 ](?:[A-Za-zàäéèêîïöôûü'0-9 ]+)))"")) , ""[()]"", """")"&amp;",C215 )"),"Dan'n Tan Lontan")</f>
        <v>Dan'n Tan Lontan</v>
      </c>
      <c r="BO215" s="25"/>
      <c r="BP215" s="7"/>
      <c r="BQ215" s="7"/>
      <c r="BR215" s="7"/>
      <c r="BS215" s="7"/>
      <c r="BT215" s="7"/>
      <c r="BU215" s="7"/>
      <c r="BV215" s="7"/>
      <c r="BW215" s="7"/>
      <c r="BX215" s="7"/>
      <c r="BY215" s="7"/>
      <c r="BZ215" s="7"/>
      <c r="CA215" s="7"/>
      <c r="CB215" s="7"/>
    </row>
    <row r="216" ht="21.75" customHeight="1">
      <c r="A216" s="7">
        <v>3009.0</v>
      </c>
      <c r="B216" s="7" t="s">
        <v>3096</v>
      </c>
      <c r="C216" s="7" t="s">
        <v>3097</v>
      </c>
      <c r="D216" s="7"/>
      <c r="E216" s="7"/>
      <c r="F216" s="7" t="s">
        <v>342</v>
      </c>
      <c r="G216" s="7" t="s">
        <v>343</v>
      </c>
      <c r="H216" s="7" t="s">
        <v>344</v>
      </c>
      <c r="I216" s="7" t="s">
        <v>3098</v>
      </c>
      <c r="J216" s="7"/>
      <c r="K216" s="7" t="s">
        <v>34</v>
      </c>
      <c r="L216" s="7" t="s">
        <v>622</v>
      </c>
      <c r="M216" s="7" t="s">
        <v>622</v>
      </c>
      <c r="N216" s="7" t="s">
        <v>664</v>
      </c>
      <c r="O216" s="7">
        <v>97430.0</v>
      </c>
      <c r="P216" s="7" t="s">
        <v>344</v>
      </c>
      <c r="Q216" s="7"/>
      <c r="R216" s="7"/>
      <c r="S216" s="7"/>
      <c r="T216" s="7" t="s">
        <v>1838</v>
      </c>
      <c r="U216" s="7" t="s">
        <v>378</v>
      </c>
      <c r="V216" s="7">
        <v>2.62887589E8</v>
      </c>
      <c r="W216" s="7">
        <v>6.92380979E8</v>
      </c>
      <c r="X216" s="7"/>
      <c r="Y216" s="7"/>
      <c r="Z216" s="7" t="s">
        <v>3099</v>
      </c>
      <c r="AA216" s="7">
        <v>80.0</v>
      </c>
      <c r="AB216" s="7"/>
      <c r="AC216" s="7"/>
      <c r="AD216" s="7" t="s">
        <v>3100</v>
      </c>
      <c r="AE216" s="7" t="s">
        <v>3101</v>
      </c>
      <c r="AF216" s="7"/>
      <c r="AG216" s="7"/>
      <c r="AH216" s="20">
        <v>43739.0</v>
      </c>
      <c r="AI216" s="7"/>
      <c r="AJ216" s="7" t="s">
        <v>3102</v>
      </c>
      <c r="AK216" s="7">
        <v>7.9533448100012E13</v>
      </c>
      <c r="AL216" s="7" t="s">
        <v>3103</v>
      </c>
      <c r="AM216" s="7" t="s">
        <v>3104</v>
      </c>
      <c r="AN216" s="20">
        <v>43739.0</v>
      </c>
      <c r="AO216" s="7">
        <v>97430.0</v>
      </c>
      <c r="AP216" s="7" t="s">
        <v>494</v>
      </c>
      <c r="AQ216" s="7"/>
      <c r="AR216" s="7"/>
      <c r="AS216" s="7"/>
      <c r="AT216" s="7"/>
      <c r="AU216" s="7">
        <v>0.0</v>
      </c>
      <c r="AV216" s="7" t="s">
        <v>3105</v>
      </c>
      <c r="AW216" s="7"/>
      <c r="AX216" s="7"/>
      <c r="AY216" s="7"/>
      <c r="AZ216" s="7"/>
      <c r="BA216" s="7"/>
      <c r="BB216" s="7"/>
      <c r="BC216" s="7" t="s">
        <v>401</v>
      </c>
      <c r="BD216" s="21">
        <v>44224.0</v>
      </c>
      <c r="BE216" s="7" t="s">
        <v>3106</v>
      </c>
      <c r="BF216" s="7"/>
      <c r="BG216" s="7"/>
      <c r="BH216" s="7">
        <v>7.95334481E8</v>
      </c>
      <c r="BI216" s="7" t="s">
        <v>3107</v>
      </c>
      <c r="BJ216" s="7"/>
      <c r="BK216" s="7" t="b">
        <v>0</v>
      </c>
      <c r="BL216" s="7" t="b">
        <v>0</v>
      </c>
      <c r="BM216" s="7"/>
      <c r="BN216" s="7" t="str">
        <f>IFERROR(__xludf.DUMMYFUNCTION(" IF( REGEXMATCH(C216 , ""[(].+[)]""),REGEXREPLACE( CONCATENATE(REGEXEXTRACT(C216 , ""[(].+[)]""),IF(REGEXMATCH(C216 , ""[(][Ll]['’][)]""),"""","" ""), REGEXEXTRACT(C216 ,""^(?:(?:[A-Za-zàäéèêîïöôûü0-9 ](?:[A-Za-zàäéèêîïöôûü'0-9 ]+)))"")) , ""[()]"", """")"&amp;",C216 )"),"Les Délices du Sud ")</f>
        <v>Les Délices du Sud </v>
      </c>
      <c r="BO216" s="25"/>
      <c r="BP216" s="7"/>
      <c r="BQ216" s="7"/>
      <c r="BR216" s="7"/>
      <c r="BS216" s="7"/>
      <c r="BT216" s="7"/>
      <c r="BU216" s="7"/>
      <c r="BV216" s="7"/>
      <c r="BW216" s="7"/>
      <c r="BX216" s="7"/>
      <c r="BY216" s="7"/>
      <c r="BZ216" s="7"/>
      <c r="CA216" s="7"/>
      <c r="CB216" s="7"/>
    </row>
    <row r="217" ht="21.75" customHeight="1">
      <c r="A217" s="7">
        <v>3085.0</v>
      </c>
      <c r="B217" s="7">
        <v>216.0</v>
      </c>
      <c r="C217" s="7" t="s">
        <v>3108</v>
      </c>
      <c r="D217" s="7"/>
      <c r="E217" s="7"/>
      <c r="F217" s="7" t="s">
        <v>404</v>
      </c>
      <c r="G217" s="7" t="s">
        <v>343</v>
      </c>
      <c r="H217" s="7" t="s">
        <v>123</v>
      </c>
      <c r="I217" s="7" t="s">
        <v>3109</v>
      </c>
      <c r="J217" s="7"/>
      <c r="K217" s="6" t="s">
        <v>469</v>
      </c>
      <c r="L217" s="7" t="s">
        <v>197</v>
      </c>
      <c r="M217" s="7" t="s">
        <v>559</v>
      </c>
      <c r="N217" s="7"/>
      <c r="O217" s="7">
        <v>97480.0</v>
      </c>
      <c r="P217" s="7" t="s">
        <v>123</v>
      </c>
      <c r="Q217" s="7"/>
      <c r="R217" s="7"/>
      <c r="S217" s="7"/>
      <c r="T217" s="7" t="s">
        <v>377</v>
      </c>
      <c r="U217" s="7" t="s">
        <v>378</v>
      </c>
      <c r="V217" s="7"/>
      <c r="W217" s="7">
        <v>6.92999507E8</v>
      </c>
      <c r="X217" s="7"/>
      <c r="Y217" s="7"/>
      <c r="Z217" s="7" t="s">
        <v>3110</v>
      </c>
      <c r="AA217" s="7"/>
      <c r="AB217" s="7"/>
      <c r="AC217" s="7" t="s">
        <v>3111</v>
      </c>
      <c r="AD217" s="7" t="s">
        <v>3112</v>
      </c>
      <c r="AE217" s="7"/>
      <c r="AF217" s="7"/>
      <c r="AG217" s="7"/>
      <c r="AH217" s="20">
        <v>43739.0</v>
      </c>
      <c r="AI217" s="7"/>
      <c r="AJ217" s="7" t="s">
        <v>3113</v>
      </c>
      <c r="AK217" s="7"/>
      <c r="AL217" s="7" t="s">
        <v>3114</v>
      </c>
      <c r="AM217" s="7" t="s">
        <v>3115</v>
      </c>
      <c r="AN217" s="20">
        <v>43739.0</v>
      </c>
      <c r="AO217" s="7">
        <v>97480.0</v>
      </c>
      <c r="AP217" s="7" t="s">
        <v>385</v>
      </c>
      <c r="AQ217" s="7"/>
      <c r="AR217" s="7"/>
      <c r="AS217" s="7"/>
      <c r="AT217" s="7"/>
      <c r="AU217" s="7">
        <v>0.0</v>
      </c>
      <c r="AV217" s="7" t="s">
        <v>3116</v>
      </c>
      <c r="AW217" s="7"/>
      <c r="AX217" s="7"/>
      <c r="AY217" s="7"/>
      <c r="AZ217" s="7"/>
      <c r="BA217" s="7"/>
      <c r="BB217" s="7"/>
      <c r="BC217" s="7" t="s">
        <v>366</v>
      </c>
      <c r="BD217" s="21">
        <v>44197.0</v>
      </c>
      <c r="BE217" s="7"/>
      <c r="BF217" s="7"/>
      <c r="BG217" s="22">
        <v>44197.0</v>
      </c>
      <c r="BH217" s="7"/>
      <c r="BI217" s="7" t="s">
        <v>3117</v>
      </c>
      <c r="BJ217" s="7"/>
      <c r="BK217" s="7" t="b">
        <v>0</v>
      </c>
      <c r="BL217" s="7" t="b">
        <v>0</v>
      </c>
      <c r="BM217" s="7"/>
      <c r="BN217" s="7" t="str">
        <f>IFERROR(__xludf.DUMMYFUNCTION(" IF( REGEXMATCH(C217 , ""[(].+[)]""),REGEXREPLACE( CONCATENATE(REGEXEXTRACT(C217 , ""[(].+[)]""),IF(REGEXMATCH(C217 , ""[(][Ll]['’][)]""),"""","" ""), REGEXEXTRACT(C217 ,""^(?:(?:[A-Za-zàäéèêîïöôûü0-9 ](?:[A-Za-zàäéèêîïöôûü'0-9 ]+)))"")) , ""[()]"", """")"&amp;",C217 )"),"Descories")</f>
        <v>Descories</v>
      </c>
      <c r="BO217" s="23"/>
      <c r="BP217" s="7"/>
      <c r="BQ217" s="7"/>
      <c r="BR217" s="7"/>
      <c r="BS217" s="7"/>
      <c r="BT217" s="7"/>
      <c r="BU217" s="7"/>
      <c r="BV217" s="7"/>
      <c r="BW217" s="7"/>
      <c r="BX217" s="7"/>
      <c r="BY217" s="7"/>
      <c r="BZ217" s="7"/>
      <c r="CA217" s="7"/>
      <c r="CB217" s="7"/>
    </row>
    <row r="218" ht="21.75" customHeight="1">
      <c r="A218" s="7">
        <v>3406.0</v>
      </c>
      <c r="B218" s="7">
        <v>217.0</v>
      </c>
      <c r="C218" s="7" t="s">
        <v>3118</v>
      </c>
      <c r="D218" s="7" t="s">
        <v>3118</v>
      </c>
      <c r="E218" s="7"/>
      <c r="F218" s="7" t="s">
        <v>404</v>
      </c>
      <c r="G218" s="7" t="s">
        <v>343</v>
      </c>
      <c r="H218" s="7" t="s">
        <v>344</v>
      </c>
      <c r="I218" s="7" t="s">
        <v>3119</v>
      </c>
      <c r="J218" s="7"/>
      <c r="K218" s="7" t="s">
        <v>34</v>
      </c>
      <c r="L218" s="7" t="s">
        <v>485</v>
      </c>
      <c r="M218" s="7" t="s">
        <v>486</v>
      </c>
      <c r="N218" s="7" t="s">
        <v>407</v>
      </c>
      <c r="O218" s="7">
        <v>97418.0</v>
      </c>
      <c r="P218" s="7" t="s">
        <v>348</v>
      </c>
      <c r="Q218" s="7" t="s">
        <v>349</v>
      </c>
      <c r="R218" s="7"/>
      <c r="S218" s="7" t="s">
        <v>2891</v>
      </c>
      <c r="T218" s="7" t="s">
        <v>377</v>
      </c>
      <c r="U218" s="7" t="s">
        <v>353</v>
      </c>
      <c r="V218" s="7"/>
      <c r="W218" s="7">
        <v>6.92737714E8</v>
      </c>
      <c r="X218" s="7"/>
      <c r="Y218" s="7">
        <v>2.62591313E8</v>
      </c>
      <c r="Z218" s="7" t="s">
        <v>3120</v>
      </c>
      <c r="AA218" s="7">
        <v>20.0</v>
      </c>
      <c r="AB218" s="7"/>
      <c r="AC218" s="7" t="s">
        <v>3121</v>
      </c>
      <c r="AD218" s="7" t="s">
        <v>3122</v>
      </c>
      <c r="AE218" s="7" t="s">
        <v>3123</v>
      </c>
      <c r="AF218" s="7"/>
      <c r="AG218" s="7"/>
      <c r="AH218" s="20">
        <v>41484.0</v>
      </c>
      <c r="AI218" s="7"/>
      <c r="AJ218" s="7" t="s">
        <v>3124</v>
      </c>
      <c r="AK218" s="7">
        <v>7.5074198500014E13</v>
      </c>
      <c r="AL218" s="7" t="s">
        <v>3125</v>
      </c>
      <c r="AM218" s="7" t="s">
        <v>3126</v>
      </c>
      <c r="AN218" s="20">
        <v>41484.0</v>
      </c>
      <c r="AO218" s="7">
        <v>97418.0</v>
      </c>
      <c r="AP218" s="7" t="s">
        <v>362</v>
      </c>
      <c r="AQ218" s="7"/>
      <c r="AR218" s="7"/>
      <c r="AS218" s="7"/>
      <c r="AT218" s="7"/>
      <c r="AU218" s="7">
        <v>0.0</v>
      </c>
      <c r="AV218" s="7" t="s">
        <v>3127</v>
      </c>
      <c r="AW218" s="7"/>
      <c r="AX218" s="7"/>
      <c r="AY218" s="7"/>
      <c r="AZ218" s="7"/>
      <c r="BA218" s="7"/>
      <c r="BB218" s="7"/>
      <c r="BC218" s="7" t="s">
        <v>366</v>
      </c>
      <c r="BD218" s="21">
        <v>44197.0</v>
      </c>
      <c r="BE218" s="7"/>
      <c r="BF218" s="7"/>
      <c r="BG218" s="22">
        <v>44197.0</v>
      </c>
      <c r="BH218" s="7">
        <v>7.50741985E8</v>
      </c>
      <c r="BI218" s="7" t="s">
        <v>3128</v>
      </c>
      <c r="BJ218" s="7"/>
      <c r="BK218" s="7" t="b">
        <v>0</v>
      </c>
      <c r="BL218" s="7" t="b">
        <v>0</v>
      </c>
      <c r="BM218" s="7"/>
      <c r="BN218" s="7" t="str">
        <f>IFERROR(__xludf.DUMMYFUNCTION(" IF( REGEXMATCH(C218 , ""[(].+[)]""),REGEXREPLACE( CONCATENATE(REGEXEXTRACT(C218 , ""[(].+[)]""),IF(REGEXMATCH(C218 , ""[(][Ll]['’][)]""),"""","" ""), REGEXEXTRACT(C218 ,""^(?:(?:[A-Za-zàäéèêîïöôûü0-9 ](?:[A-Za-zàäéèêîïöôûü'0-9 ]+)))"")) , ""[()]"", """")"&amp;",C218 )"),"Détente Créole")</f>
        <v>Détente Créole</v>
      </c>
      <c r="BO218" s="23"/>
      <c r="BP218" s="7"/>
      <c r="BQ218" s="7"/>
      <c r="BR218" s="7"/>
      <c r="BS218" s="7"/>
      <c r="BT218" s="7"/>
      <c r="BU218" s="7"/>
      <c r="BV218" s="7"/>
      <c r="BW218" s="7"/>
      <c r="BX218" s="7"/>
      <c r="BY218" s="7"/>
      <c r="BZ218" s="7"/>
      <c r="CA218" s="7"/>
      <c r="CB218" s="7"/>
    </row>
    <row r="219" ht="21.75" customHeight="1">
      <c r="A219" s="7">
        <v>3405.0</v>
      </c>
      <c r="B219" s="7" t="s">
        <v>3129</v>
      </c>
      <c r="C219" s="7" t="s">
        <v>3118</v>
      </c>
      <c r="D219" s="7" t="s">
        <v>3118</v>
      </c>
      <c r="E219" s="7"/>
      <c r="F219" s="7" t="s">
        <v>342</v>
      </c>
      <c r="G219" s="7" t="s">
        <v>343</v>
      </c>
      <c r="H219" s="7" t="s">
        <v>344</v>
      </c>
      <c r="I219" s="7" t="s">
        <v>3119</v>
      </c>
      <c r="J219" s="7" t="s">
        <v>3130</v>
      </c>
      <c r="K219" s="7" t="s">
        <v>58</v>
      </c>
      <c r="L219" s="7" t="s">
        <v>453</v>
      </c>
      <c r="M219" s="7" t="s">
        <v>454</v>
      </c>
      <c r="N219" s="7" t="s">
        <v>407</v>
      </c>
      <c r="O219" s="7">
        <v>97418.0</v>
      </c>
      <c r="P219" s="7" t="s">
        <v>348</v>
      </c>
      <c r="Q219" s="7" t="s">
        <v>349</v>
      </c>
      <c r="R219" s="7" t="s">
        <v>3131</v>
      </c>
      <c r="S219" s="7" t="s">
        <v>2891</v>
      </c>
      <c r="T219" s="7" t="s">
        <v>377</v>
      </c>
      <c r="U219" s="7" t="s">
        <v>353</v>
      </c>
      <c r="V219" s="7"/>
      <c r="W219" s="7">
        <v>6.92737714E8</v>
      </c>
      <c r="X219" s="7">
        <v>6.921782E8</v>
      </c>
      <c r="Y219" s="7"/>
      <c r="Z219" s="7" t="s">
        <v>3120</v>
      </c>
      <c r="AA219" s="7">
        <v>6.0</v>
      </c>
      <c r="AB219" s="7"/>
      <c r="AC219" s="7" t="s">
        <v>3132</v>
      </c>
      <c r="AD219" s="7" t="s">
        <v>3133</v>
      </c>
      <c r="AE219" s="7" t="s">
        <v>3123</v>
      </c>
      <c r="AF219" s="7" t="s">
        <v>1173</v>
      </c>
      <c r="AG219" s="7"/>
      <c r="AH219" s="20">
        <v>41484.0</v>
      </c>
      <c r="AI219" s="7"/>
      <c r="AJ219" s="7" t="s">
        <v>3124</v>
      </c>
      <c r="AK219" s="7">
        <v>7.5074198500014E13</v>
      </c>
      <c r="AL219" s="7" t="s">
        <v>3125</v>
      </c>
      <c r="AM219" s="7" t="s">
        <v>3126</v>
      </c>
      <c r="AN219" s="20">
        <v>41484.0</v>
      </c>
      <c r="AO219" s="7">
        <v>97418.0</v>
      </c>
      <c r="AP219" s="7" t="s">
        <v>362</v>
      </c>
      <c r="AQ219" s="7"/>
      <c r="AR219" s="7"/>
      <c r="AS219" s="7"/>
      <c r="AT219" s="7"/>
      <c r="AU219" s="7">
        <v>2.0</v>
      </c>
      <c r="AV219" s="7" t="s">
        <v>3127</v>
      </c>
      <c r="AW219" s="7"/>
      <c r="AX219" s="7" t="s">
        <v>3134</v>
      </c>
      <c r="AY219" s="7" t="s">
        <v>1829</v>
      </c>
      <c r="AZ219" s="7" t="s">
        <v>3135</v>
      </c>
      <c r="BA219" s="7"/>
      <c r="BB219" s="7"/>
      <c r="BC219" s="7" t="s">
        <v>401</v>
      </c>
      <c r="BD219" s="21">
        <v>44140.0</v>
      </c>
      <c r="BE219" s="7" t="s">
        <v>3136</v>
      </c>
      <c r="BF219" s="7"/>
      <c r="BG219" s="7"/>
      <c r="BH219" s="7">
        <v>7.50741985E8</v>
      </c>
      <c r="BI219" s="7" t="s">
        <v>3128</v>
      </c>
      <c r="BJ219" s="7"/>
      <c r="BK219" s="7" t="b">
        <v>0</v>
      </c>
      <c r="BL219" s="7" t="b">
        <v>0</v>
      </c>
      <c r="BM219" s="7"/>
      <c r="BN219" s="7" t="str">
        <f>IFERROR(__xludf.DUMMYFUNCTION(" IF( REGEXMATCH(C219 , ""[(].+[)]""),REGEXREPLACE( CONCATENATE(REGEXEXTRACT(C219 , ""[(].+[)]""),IF(REGEXMATCH(C219 , ""[(][Ll]['’][)]""),"""","" ""), REGEXEXTRACT(C219 ,""^(?:(?:[A-Za-zàäéèêîïöôûü0-9 ](?:[A-Za-zàäéèêîïöôûü'0-9 ]+)))"")) , ""[()]"", """")"&amp;",C219 )"),"Détente Créole")</f>
        <v>Détente Créole</v>
      </c>
      <c r="BO219" s="25"/>
      <c r="BP219" s="7"/>
      <c r="BQ219" s="7"/>
      <c r="BR219" s="7"/>
      <c r="BS219" s="7"/>
      <c r="BT219" s="7"/>
      <c r="BU219" s="7"/>
      <c r="BV219" s="7"/>
      <c r="BW219" s="7"/>
      <c r="BX219" s="7"/>
      <c r="BY219" s="7"/>
      <c r="BZ219" s="7"/>
      <c r="CA219" s="7"/>
      <c r="CB219" s="7"/>
    </row>
    <row r="220" ht="21.75" customHeight="1">
      <c r="A220" s="7">
        <v>2063.0</v>
      </c>
      <c r="B220" s="7">
        <v>219.0</v>
      </c>
      <c r="C220" s="7" t="s">
        <v>3137</v>
      </c>
      <c r="D220" s="7"/>
      <c r="E220" s="7"/>
      <c r="F220" s="7" t="s">
        <v>342</v>
      </c>
      <c r="G220" s="7" t="s">
        <v>343</v>
      </c>
      <c r="H220" s="7" t="s">
        <v>40</v>
      </c>
      <c r="I220" s="7" t="s">
        <v>3138</v>
      </c>
      <c r="J220" s="7"/>
      <c r="K220" s="6" t="s">
        <v>469</v>
      </c>
      <c r="L220" s="7" t="s">
        <v>197</v>
      </c>
      <c r="M220" s="7" t="s">
        <v>559</v>
      </c>
      <c r="N220" s="7" t="s">
        <v>422</v>
      </c>
      <c r="O220" s="7">
        <v>97414.0</v>
      </c>
      <c r="P220" s="7" t="s">
        <v>40</v>
      </c>
      <c r="Q220" s="7"/>
      <c r="R220" s="7"/>
      <c r="S220" s="7"/>
      <c r="T220" s="7" t="s">
        <v>377</v>
      </c>
      <c r="U220" s="7" t="s">
        <v>353</v>
      </c>
      <c r="V220" s="7"/>
      <c r="W220" s="7">
        <v>6.92420097E8</v>
      </c>
      <c r="X220" s="7"/>
      <c r="Y220" s="7"/>
      <c r="Z220" s="7"/>
      <c r="AA220" s="7"/>
      <c r="AB220" s="7"/>
      <c r="AC220" s="7"/>
      <c r="AD220" s="7" t="s">
        <v>3139</v>
      </c>
      <c r="AE220" s="7"/>
      <c r="AF220" s="7"/>
      <c r="AG220" s="7"/>
      <c r="AH220" s="20">
        <v>40093.0</v>
      </c>
      <c r="AI220" s="7"/>
      <c r="AJ220" s="7" t="s">
        <v>3137</v>
      </c>
      <c r="AK220" s="7"/>
      <c r="AL220" s="7" t="s">
        <v>3140</v>
      </c>
      <c r="AM220" s="7" t="s">
        <v>3141</v>
      </c>
      <c r="AN220" s="20">
        <v>43739.0</v>
      </c>
      <c r="AO220" s="7">
        <v>97414.0</v>
      </c>
      <c r="AP220" s="7" t="s">
        <v>429</v>
      </c>
      <c r="AQ220" s="7"/>
      <c r="AR220" s="7"/>
      <c r="AS220" s="7"/>
      <c r="AT220" s="7"/>
      <c r="AU220" s="7">
        <v>0.0</v>
      </c>
      <c r="AV220" s="7" t="s">
        <v>3142</v>
      </c>
      <c r="AW220" s="7"/>
      <c r="AX220" s="7"/>
      <c r="AY220" s="7"/>
      <c r="AZ220" s="7"/>
      <c r="BA220" s="7"/>
      <c r="BB220" s="7"/>
      <c r="BC220" s="7" t="s">
        <v>366</v>
      </c>
      <c r="BD220" s="21">
        <v>44042.20347222222</v>
      </c>
      <c r="BE220" s="7"/>
      <c r="BF220" s="7"/>
      <c r="BG220" s="22">
        <v>44042.0</v>
      </c>
      <c r="BH220" s="7"/>
      <c r="BI220" s="7" t="s">
        <v>1786</v>
      </c>
      <c r="BJ220" s="7"/>
      <c r="BK220" s="7" t="b">
        <v>0</v>
      </c>
      <c r="BL220" s="7" t="b">
        <v>0</v>
      </c>
      <c r="BM220" s="7"/>
      <c r="BN220" s="7" t="str">
        <f>IFERROR(__xludf.DUMMYFUNCTION(" IF( REGEXMATCH(C220 , ""[(].+[)]""),REGEXREPLACE( CONCATENATE(REGEXEXTRACT(C220 , ""[(].+[)]""),IF(REGEXMATCH(C220 , ""[(][Ll]['’][)]""),"""","" ""), REGEXEXTRACT(C220 ,""^(?:(?:[A-Za-zàäéèêîïöôûü0-9 ](?:[A-Za-zàäéèêîïöôûü'0-9 ]+)))"")) , ""[()]"", """")"&amp;",C220 )"),"Dijoux Marie Ange")</f>
        <v>Dijoux Marie Ange</v>
      </c>
      <c r="BO220" s="23"/>
      <c r="BP220" s="7"/>
      <c r="BQ220" s="7"/>
      <c r="BR220" s="7"/>
      <c r="BS220" s="7"/>
      <c r="BT220" s="7"/>
      <c r="BU220" s="7"/>
      <c r="BV220" s="7"/>
      <c r="BW220" s="7"/>
      <c r="BX220" s="7"/>
      <c r="BY220" s="7"/>
      <c r="BZ220" s="7"/>
      <c r="CA220" s="7"/>
      <c r="CB220" s="7"/>
    </row>
    <row r="221" ht="21.75" customHeight="1">
      <c r="A221" s="7">
        <v>2062.0</v>
      </c>
      <c r="B221" s="7">
        <v>220.0</v>
      </c>
      <c r="C221" s="7" t="s">
        <v>3143</v>
      </c>
      <c r="D221" s="7"/>
      <c r="E221" s="7"/>
      <c r="F221" s="7" t="s">
        <v>404</v>
      </c>
      <c r="G221" s="7" t="s">
        <v>343</v>
      </c>
      <c r="H221" s="7" t="s">
        <v>40</v>
      </c>
      <c r="I221" s="7" t="s">
        <v>3144</v>
      </c>
      <c r="J221" s="7"/>
      <c r="K221" s="6" t="s">
        <v>469</v>
      </c>
      <c r="L221" s="7" t="s">
        <v>197</v>
      </c>
      <c r="M221" s="7" t="s">
        <v>559</v>
      </c>
      <c r="N221" s="7" t="s">
        <v>422</v>
      </c>
      <c r="O221" s="7">
        <v>97414.0</v>
      </c>
      <c r="P221" s="7" t="s">
        <v>40</v>
      </c>
      <c r="Q221" s="7"/>
      <c r="R221" s="7"/>
      <c r="S221" s="7"/>
      <c r="T221" s="7" t="s">
        <v>377</v>
      </c>
      <c r="U221" s="7" t="s">
        <v>353</v>
      </c>
      <c r="V221" s="7"/>
      <c r="W221" s="7">
        <v>6.92420097E8</v>
      </c>
      <c r="X221" s="7"/>
      <c r="Y221" s="7"/>
      <c r="Z221" s="7"/>
      <c r="AA221" s="7"/>
      <c r="AB221" s="7"/>
      <c r="AC221" s="7"/>
      <c r="AD221" s="7" t="s">
        <v>3145</v>
      </c>
      <c r="AE221" s="7"/>
      <c r="AF221" s="7"/>
      <c r="AG221" s="7"/>
      <c r="AH221" s="20">
        <v>40093.0</v>
      </c>
      <c r="AI221" s="7"/>
      <c r="AJ221" s="7" t="s">
        <v>3146</v>
      </c>
      <c r="AK221" s="7"/>
      <c r="AL221" s="7" t="s">
        <v>3147</v>
      </c>
      <c r="AM221" s="7" t="s">
        <v>3148</v>
      </c>
      <c r="AN221" s="20">
        <v>43739.0</v>
      </c>
      <c r="AO221" s="7">
        <v>97414.0</v>
      </c>
      <c r="AP221" s="7" t="s">
        <v>429</v>
      </c>
      <c r="AQ221" s="7"/>
      <c r="AR221" s="7"/>
      <c r="AS221" s="7"/>
      <c r="AT221" s="7"/>
      <c r="AU221" s="7">
        <v>0.0</v>
      </c>
      <c r="AV221" s="7" t="s">
        <v>3149</v>
      </c>
      <c r="AW221" s="7"/>
      <c r="AX221" s="7"/>
      <c r="AY221" s="7"/>
      <c r="AZ221" s="7"/>
      <c r="BA221" s="7"/>
      <c r="BB221" s="7"/>
      <c r="BC221" s="7" t="s">
        <v>366</v>
      </c>
      <c r="BD221" s="21">
        <v>44042.20347222222</v>
      </c>
      <c r="BE221" s="7"/>
      <c r="BF221" s="7"/>
      <c r="BG221" s="22">
        <v>44042.0</v>
      </c>
      <c r="BH221" s="7"/>
      <c r="BI221" s="7" t="s">
        <v>3150</v>
      </c>
      <c r="BJ221" s="7"/>
      <c r="BK221" s="7" t="b">
        <v>0</v>
      </c>
      <c r="BL221" s="7" t="b">
        <v>0</v>
      </c>
      <c r="BM221" s="7"/>
      <c r="BN221" s="7" t="str">
        <f>IFERROR(__xludf.DUMMYFUNCTION(" IF( REGEXMATCH(C221 , ""[(].+[)]""),REGEXREPLACE( CONCATENATE(REGEXEXTRACT(C221 , ""[(].+[)]""),IF(REGEXMATCH(C221 , ""[(][Ll]['’][)]""),"""","" ""), REGEXEXTRACT(C221 ,""^(?:(?:[A-Za-zàäéèêîïöôûü0-9 ](?:[A-Za-zàäéèêîïöôûü'0-9 ]+)))"")) , ""[()]"", """")"&amp;",C221 )"),"Dijoux Marie-Ange")</f>
        <v>Dijoux Marie-Ange</v>
      </c>
      <c r="BO221" s="23"/>
      <c r="BP221" s="7"/>
      <c r="BQ221" s="7"/>
      <c r="BR221" s="7"/>
      <c r="BS221" s="7"/>
      <c r="BT221" s="7"/>
      <c r="BU221" s="7"/>
      <c r="BV221" s="7"/>
      <c r="BW221" s="7"/>
      <c r="BX221" s="7"/>
      <c r="BY221" s="7"/>
      <c r="BZ221" s="7"/>
      <c r="CA221" s="7"/>
      <c r="CB221" s="7"/>
    </row>
    <row r="222" ht="21.75" customHeight="1">
      <c r="A222" s="7">
        <v>2064.0</v>
      </c>
      <c r="B222" s="7">
        <v>221.0</v>
      </c>
      <c r="C222" s="7" t="s">
        <v>3151</v>
      </c>
      <c r="D222" s="7"/>
      <c r="E222" s="7"/>
      <c r="F222" s="7" t="s">
        <v>342</v>
      </c>
      <c r="G222" s="7" t="s">
        <v>343</v>
      </c>
      <c r="H222" s="7" t="s">
        <v>40</v>
      </c>
      <c r="I222" s="7" t="s">
        <v>3152</v>
      </c>
      <c r="J222" s="7"/>
      <c r="K222" s="6" t="s">
        <v>469</v>
      </c>
      <c r="L222" s="7" t="s">
        <v>197</v>
      </c>
      <c r="M222" s="7" t="s">
        <v>559</v>
      </c>
      <c r="N222" s="7" t="s">
        <v>422</v>
      </c>
      <c r="O222" s="7">
        <v>97414.0</v>
      </c>
      <c r="P222" s="7" t="s">
        <v>40</v>
      </c>
      <c r="Q222" s="7"/>
      <c r="R222" s="7"/>
      <c r="S222" s="7"/>
      <c r="T222" s="7" t="s">
        <v>377</v>
      </c>
      <c r="U222" s="7" t="s">
        <v>353</v>
      </c>
      <c r="V222" s="7">
        <v>2.6239573E8</v>
      </c>
      <c r="W222" s="7"/>
      <c r="X222" s="7"/>
      <c r="Y222" s="7"/>
      <c r="Z222" s="7"/>
      <c r="AA222" s="7"/>
      <c r="AB222" s="7"/>
      <c r="AC222" s="7"/>
      <c r="AD222" s="7" t="s">
        <v>3153</v>
      </c>
      <c r="AE222" s="7"/>
      <c r="AF222" s="7"/>
      <c r="AG222" s="7"/>
      <c r="AH222" s="20">
        <v>40093.0</v>
      </c>
      <c r="AI222" s="7"/>
      <c r="AJ222" s="7" t="s">
        <v>3151</v>
      </c>
      <c r="AK222" s="7"/>
      <c r="AL222" s="7" t="s">
        <v>3154</v>
      </c>
      <c r="AM222" s="7" t="s">
        <v>3155</v>
      </c>
      <c r="AN222" s="20">
        <v>43739.0</v>
      </c>
      <c r="AO222" s="7">
        <v>97414.0</v>
      </c>
      <c r="AP222" s="7" t="s">
        <v>429</v>
      </c>
      <c r="AQ222" s="7"/>
      <c r="AR222" s="7"/>
      <c r="AS222" s="7"/>
      <c r="AT222" s="7"/>
      <c r="AU222" s="7">
        <v>0.0</v>
      </c>
      <c r="AV222" s="7" t="s">
        <v>3156</v>
      </c>
      <c r="AW222" s="7"/>
      <c r="AX222" s="7"/>
      <c r="AY222" s="7"/>
      <c r="AZ222" s="7"/>
      <c r="BA222" s="7"/>
      <c r="BB222" s="7"/>
      <c r="BC222" s="7" t="s">
        <v>366</v>
      </c>
      <c r="BD222" s="21">
        <v>44197.0</v>
      </c>
      <c r="BE222" s="7"/>
      <c r="BF222" s="7"/>
      <c r="BG222" s="22">
        <v>44197.0</v>
      </c>
      <c r="BH222" s="7"/>
      <c r="BI222" s="7" t="s">
        <v>3157</v>
      </c>
      <c r="BJ222" s="7"/>
      <c r="BK222" s="7" t="b">
        <v>0</v>
      </c>
      <c r="BL222" s="7" t="b">
        <v>0</v>
      </c>
      <c r="BM222" s="7"/>
      <c r="BN222" s="7" t="str">
        <f>IFERROR(__xludf.DUMMYFUNCTION(" IF( REGEXMATCH(C222 , ""[(].+[)]""),REGEXREPLACE( CONCATENATE(REGEXEXTRACT(C222 , ""[(].+[)]""),IF(REGEXMATCH(C222 , ""[(][Ll]['’][)]""),"""","" ""), REGEXEXTRACT(C222 ,""^(?:(?:[A-Za-zàäéèêîïöôûü0-9 ](?:[A-Za-zàäéèêîïöôûü'0-9 ]+)))"")) , ""[()]"", """")"&amp;",C222 )"),"Dijoux Renée")</f>
        <v>Dijoux Renée</v>
      </c>
      <c r="BO222" s="23"/>
      <c r="BP222" s="7"/>
      <c r="BQ222" s="7"/>
      <c r="BR222" s="7"/>
      <c r="BS222" s="7"/>
      <c r="BT222" s="7"/>
      <c r="BU222" s="7"/>
      <c r="BV222" s="7"/>
      <c r="BW222" s="7"/>
      <c r="BX222" s="7"/>
      <c r="BY222" s="7"/>
      <c r="BZ222" s="7"/>
      <c r="CA222" s="7"/>
      <c r="CB222" s="7"/>
    </row>
    <row r="223" ht="21.75" customHeight="1">
      <c r="A223" s="7">
        <v>307.0</v>
      </c>
      <c r="B223" s="7" t="s">
        <v>3158</v>
      </c>
      <c r="C223" s="7" t="s">
        <v>3159</v>
      </c>
      <c r="D223" s="7" t="s">
        <v>3160</v>
      </c>
      <c r="E223" s="7"/>
      <c r="F223" s="7" t="s">
        <v>342</v>
      </c>
      <c r="G223" s="7" t="s">
        <v>343</v>
      </c>
      <c r="H223" s="7" t="s">
        <v>40</v>
      </c>
      <c r="I223" s="7" t="s">
        <v>3161</v>
      </c>
      <c r="J223" s="26" t="s">
        <v>3162</v>
      </c>
      <c r="K223" s="7" t="s">
        <v>58</v>
      </c>
      <c r="L223" s="7" t="s">
        <v>1141</v>
      </c>
      <c r="M223" s="7" t="s">
        <v>1141</v>
      </c>
      <c r="N223" s="7" t="s">
        <v>1092</v>
      </c>
      <c r="O223" s="7">
        <v>97414.0</v>
      </c>
      <c r="P223" s="7" t="s">
        <v>40</v>
      </c>
      <c r="Q223" s="7"/>
      <c r="R223" s="7" t="s">
        <v>3163</v>
      </c>
      <c r="S223" s="7" t="s">
        <v>1922</v>
      </c>
      <c r="T223" s="7" t="s">
        <v>974</v>
      </c>
      <c r="U223" s="7" t="s">
        <v>440</v>
      </c>
      <c r="V223" s="7">
        <v>2.62392E8</v>
      </c>
      <c r="W223" s="7"/>
      <c r="X223" s="7"/>
      <c r="Y223" s="7">
        <v>2.62247011E8</v>
      </c>
      <c r="Z223" s="7" t="s">
        <v>3164</v>
      </c>
      <c r="AA223" s="7">
        <v>37.0</v>
      </c>
      <c r="AB223" s="7" t="s">
        <v>395</v>
      </c>
      <c r="AC223" s="7" t="s">
        <v>3165</v>
      </c>
      <c r="AD223" s="7" t="s">
        <v>3166</v>
      </c>
      <c r="AE223" s="7" t="s">
        <v>3167</v>
      </c>
      <c r="AF223" s="7" t="s">
        <v>1173</v>
      </c>
      <c r="AG223" s="7" t="s">
        <v>3168</v>
      </c>
      <c r="AH223" s="20">
        <v>39575.0</v>
      </c>
      <c r="AI223" s="7"/>
      <c r="AJ223" s="7" t="s">
        <v>3169</v>
      </c>
      <c r="AK223" s="7">
        <v>4.7973624100015E13</v>
      </c>
      <c r="AL223" s="7" t="s">
        <v>3170</v>
      </c>
      <c r="AM223" s="7" t="s">
        <v>3171</v>
      </c>
      <c r="AN223" s="20">
        <v>39575.0</v>
      </c>
      <c r="AO223" s="7">
        <v>97414.0</v>
      </c>
      <c r="AP223" s="7" t="s">
        <v>429</v>
      </c>
      <c r="AQ223" s="7"/>
      <c r="AR223" s="7"/>
      <c r="AS223" s="7"/>
      <c r="AT223" s="7"/>
      <c r="AU223" s="7">
        <v>18.0</v>
      </c>
      <c r="AV223" s="7" t="s">
        <v>3172</v>
      </c>
      <c r="AW223" s="7" t="s">
        <v>3173</v>
      </c>
      <c r="AX223" s="7"/>
      <c r="AY223" s="7"/>
      <c r="AZ223" s="7" t="s">
        <v>3174</v>
      </c>
      <c r="BA223" s="7"/>
      <c r="BB223" s="7"/>
      <c r="BC223" s="7" t="s">
        <v>401</v>
      </c>
      <c r="BD223" s="21">
        <v>44042.0</v>
      </c>
      <c r="BE223" s="7" t="s">
        <v>3175</v>
      </c>
      <c r="BF223" s="7"/>
      <c r="BG223" s="7"/>
      <c r="BH223" s="7">
        <v>4.79736241E8</v>
      </c>
      <c r="BI223" s="7" t="s">
        <v>3176</v>
      </c>
      <c r="BJ223" s="7"/>
      <c r="BK223" s="7" t="b">
        <v>0</v>
      </c>
      <c r="BL223" s="7" t="b">
        <v>0</v>
      </c>
      <c r="BM223" s="7"/>
      <c r="BN223" s="7" t="str">
        <f>IFERROR(__xludf.DUMMYFUNCTION(" IF( REGEXMATCH(C223 , ""[(].+[)]""),REGEXREPLACE( CONCATENATE(REGEXEXTRACT(C223 , ""[(].+[)]""),IF(REGEXMATCH(C223 , ""[(][Ll]['’][)]""),"""","" ""), REGEXEXTRACT(C223 ,""^(?:(?:[A-Za-zàäéèêîïöôûü0-9 ](?:[A-Za-zàäéèêîïöôûü'0-9 ]+)))"")) , ""[()]"", """")"&amp;",C223 )"),"Dimitile Hôtel")</f>
        <v>Dimitile Hôtel</v>
      </c>
      <c r="BO223" s="25"/>
      <c r="BP223" s="7"/>
      <c r="BQ223" s="7"/>
      <c r="BR223" s="7"/>
      <c r="BS223" s="7"/>
      <c r="BT223" s="7"/>
      <c r="BU223" s="7"/>
      <c r="BV223" s="7"/>
      <c r="BW223" s="7"/>
      <c r="BX223" s="7"/>
      <c r="BY223" s="7"/>
      <c r="BZ223" s="7"/>
      <c r="CA223" s="7"/>
      <c r="CB223" s="7"/>
    </row>
    <row r="224" ht="21.75" customHeight="1">
      <c r="A224" s="7">
        <v>4609.0</v>
      </c>
      <c r="B224" s="7">
        <v>223.0</v>
      </c>
      <c r="C224" s="7" t="s">
        <v>3177</v>
      </c>
      <c r="D224" s="7"/>
      <c r="E224" s="7"/>
      <c r="F224" s="7" t="s">
        <v>404</v>
      </c>
      <c r="G224" s="7" t="s">
        <v>343</v>
      </c>
      <c r="H224" s="7" t="s">
        <v>123</v>
      </c>
      <c r="I224" s="7" t="s">
        <v>3178</v>
      </c>
      <c r="J224" s="7"/>
      <c r="K224" s="7" t="s">
        <v>34</v>
      </c>
      <c r="L224" s="7" t="s">
        <v>622</v>
      </c>
      <c r="M224" s="7" t="s">
        <v>1347</v>
      </c>
      <c r="N224" s="7"/>
      <c r="O224" s="7">
        <v>97480.0</v>
      </c>
      <c r="P224" s="7" t="s">
        <v>123</v>
      </c>
      <c r="Q224" s="7"/>
      <c r="R224" s="7"/>
      <c r="S224" s="7"/>
      <c r="T224" s="7" t="s">
        <v>1076</v>
      </c>
      <c r="U224" s="7"/>
      <c r="V224" s="7">
        <v>2.62690303E8</v>
      </c>
      <c r="W224" s="7"/>
      <c r="X224" s="7"/>
      <c r="Y224" s="7"/>
      <c r="Z224" s="7"/>
      <c r="AA224" s="7"/>
      <c r="AB224" s="7"/>
      <c r="AC224" s="7" t="s">
        <v>3179</v>
      </c>
      <c r="AD224" s="7" t="s">
        <v>3180</v>
      </c>
      <c r="AE224" s="7"/>
      <c r="AF224" s="7"/>
      <c r="AG224" s="7"/>
      <c r="AH224" s="20">
        <v>43374.0</v>
      </c>
      <c r="AI224" s="7"/>
      <c r="AJ224" s="7" t="s">
        <v>3177</v>
      </c>
      <c r="AK224" s="7">
        <v>8.1994973600014E13</v>
      </c>
      <c r="AL224" s="7" t="s">
        <v>3181</v>
      </c>
      <c r="AM224" s="7" t="s">
        <v>3182</v>
      </c>
      <c r="AN224" s="20">
        <v>43374.0</v>
      </c>
      <c r="AO224" s="7">
        <v>97480.0</v>
      </c>
      <c r="AP224" s="7" t="s">
        <v>385</v>
      </c>
      <c r="AQ224" s="7"/>
      <c r="AR224" s="7"/>
      <c r="AS224" s="7"/>
      <c r="AT224" s="7"/>
      <c r="AU224" s="7">
        <v>0.0</v>
      </c>
      <c r="AV224" s="7" t="s">
        <v>3183</v>
      </c>
      <c r="AW224" s="7"/>
      <c r="AX224" s="7"/>
      <c r="AY224" s="7"/>
      <c r="AZ224" s="7"/>
      <c r="BA224" s="7"/>
      <c r="BB224" s="7"/>
      <c r="BC224" s="7" t="s">
        <v>366</v>
      </c>
      <c r="BD224" s="21">
        <v>44194.123611111114</v>
      </c>
      <c r="BE224" s="7"/>
      <c r="BF224" s="7"/>
      <c r="BG224" s="22">
        <v>44194.0</v>
      </c>
      <c r="BH224" s="7">
        <v>8.19949736E8</v>
      </c>
      <c r="BI224" s="7" t="s">
        <v>3184</v>
      </c>
      <c r="BJ224" s="7"/>
      <c r="BK224" s="7" t="b">
        <v>0</v>
      </c>
      <c r="BL224" s="7" t="b">
        <v>0</v>
      </c>
      <c r="BM224" s="7"/>
      <c r="BN224" s="7" t="str">
        <f>IFERROR(__xludf.DUMMYFUNCTION(" IF( REGEXMATCH(C224 , ""[(].+[)]""),REGEXREPLACE( CONCATENATE(REGEXEXTRACT(C224 , ""[(].+[)]""),IF(REGEXMATCH(C224 , ""[(][Ll]['’][)]""),"""","" ""), REGEXEXTRACT(C224 ,""^(?:(?:[A-Za-zàäéèêîïöôûü0-9 ](?:[A-Za-zàäéèêîïöôûü'0-9 ]+)))"")) , ""[()]"", """")"&amp;",C224 )"),"Djoossy's")</f>
        <v>Djoossy's</v>
      </c>
      <c r="BO224" s="23"/>
      <c r="BP224" s="7"/>
      <c r="BQ224" s="7"/>
      <c r="BR224" s="7"/>
      <c r="BS224" s="7"/>
      <c r="BT224" s="7"/>
      <c r="BU224" s="7"/>
      <c r="BV224" s="7"/>
      <c r="BW224" s="7"/>
      <c r="BX224" s="7"/>
      <c r="BY224" s="7"/>
      <c r="BZ224" s="7"/>
      <c r="CA224" s="7"/>
      <c r="CB224" s="7"/>
    </row>
    <row r="225" ht="21.75" customHeight="1">
      <c r="A225" s="7">
        <v>3907.0</v>
      </c>
      <c r="B225" s="7" t="s">
        <v>3185</v>
      </c>
      <c r="C225" s="7" t="s">
        <v>3186</v>
      </c>
      <c r="D225" s="7"/>
      <c r="E225" s="7"/>
      <c r="F225" s="7" t="s">
        <v>404</v>
      </c>
      <c r="G225" s="7" t="s">
        <v>343</v>
      </c>
      <c r="H225" s="7" t="s">
        <v>344</v>
      </c>
      <c r="I225" s="7" t="s">
        <v>3187</v>
      </c>
      <c r="J225" s="7"/>
      <c r="K225" s="7" t="s">
        <v>822</v>
      </c>
      <c r="L225" s="7" t="s">
        <v>1805</v>
      </c>
      <c r="M225" s="7" t="s">
        <v>1806</v>
      </c>
      <c r="N225" s="7" t="s">
        <v>455</v>
      </c>
      <c r="O225" s="7">
        <v>97430.0</v>
      </c>
      <c r="P225" s="7" t="s">
        <v>344</v>
      </c>
      <c r="Q225" s="7"/>
      <c r="R225" s="7"/>
      <c r="S225" s="7"/>
      <c r="T225" s="7"/>
      <c r="U225" s="7"/>
      <c r="V225" s="7">
        <v>2.629024E8</v>
      </c>
      <c r="W225" s="7">
        <v>6.9265294E8</v>
      </c>
      <c r="X225" s="7">
        <v>6.92691863E8</v>
      </c>
      <c r="Y225" s="7"/>
      <c r="Z225" s="7" t="s">
        <v>3188</v>
      </c>
      <c r="AA225" s="7"/>
      <c r="AB225" s="7"/>
      <c r="AC225" s="7" t="s">
        <v>3189</v>
      </c>
      <c r="AD225" s="7" t="s">
        <v>3190</v>
      </c>
      <c r="AE225" s="7"/>
      <c r="AF225" s="7"/>
      <c r="AG225" s="7"/>
      <c r="AH225" s="20">
        <v>42171.0</v>
      </c>
      <c r="AI225" s="7"/>
      <c r="AJ225" s="7" t="s">
        <v>3191</v>
      </c>
      <c r="AK225" s="7">
        <v>2.2974001400019E13</v>
      </c>
      <c r="AL225" s="7" t="s">
        <v>3192</v>
      </c>
      <c r="AM225" s="7" t="s">
        <v>3193</v>
      </c>
      <c r="AN225" s="20">
        <v>39906.0</v>
      </c>
      <c r="AO225" s="7">
        <v>97400.0</v>
      </c>
      <c r="AP225" s="7" t="s">
        <v>2899</v>
      </c>
      <c r="AQ225" s="7"/>
      <c r="AR225" s="7"/>
      <c r="AS225" s="7"/>
      <c r="AT225" s="7"/>
      <c r="AU225" s="7">
        <v>0.0</v>
      </c>
      <c r="AV225" s="7" t="s">
        <v>3194</v>
      </c>
      <c r="AW225" s="7"/>
      <c r="AX225" s="7"/>
      <c r="AY225" s="7"/>
      <c r="AZ225" s="7"/>
      <c r="BA225" s="7"/>
      <c r="BB225" s="7"/>
      <c r="BC225" s="7" t="s">
        <v>401</v>
      </c>
      <c r="BD225" s="21">
        <v>44207.09722222222</v>
      </c>
      <c r="BE225" s="7" t="s">
        <v>3195</v>
      </c>
      <c r="BF225" s="7"/>
      <c r="BG225" s="7"/>
      <c r="BH225" s="7">
        <v>2.29740014E8</v>
      </c>
      <c r="BI225" s="7" t="s">
        <v>3196</v>
      </c>
      <c r="BJ225" s="7"/>
      <c r="BK225" s="7" t="b">
        <v>0</v>
      </c>
      <c r="BL225" s="7" t="b">
        <v>0</v>
      </c>
      <c r="BM225" s="7"/>
      <c r="BN225" s="7" t="str">
        <f>IFERROR(__xludf.DUMMYFUNCTION(" IF( REGEXMATCH(C225 , ""[(].+[)]""),REGEXREPLACE( CONCATENATE(REGEXEXTRACT(C225 , ""[(].+[)]""),IF(REGEXMATCH(C225 , ""[(][Ll]['’][)]""),"""","" ""), REGEXEXTRACT(C225 ,""^(?:(?:[A-Za-zàäéèêîïöôûü0-9 ](?:[A-Za-zàäéèêîïöôûü'0-9 ]+)))"")) , ""[()]"", """")"&amp;",C225 )"),"Domaine Archambaud")</f>
        <v>Domaine Archambaud</v>
      </c>
      <c r="BO225" s="25"/>
      <c r="BP225" s="7"/>
      <c r="BQ225" s="7"/>
      <c r="BR225" s="7"/>
      <c r="BS225" s="7"/>
      <c r="BT225" s="7"/>
      <c r="BU225" s="7"/>
      <c r="BV225" s="7"/>
      <c r="BW225" s="7"/>
      <c r="BX225" s="7"/>
      <c r="BY225" s="7"/>
      <c r="BZ225" s="7"/>
      <c r="CA225" s="7"/>
      <c r="CB225" s="7"/>
    </row>
    <row r="226" ht="21.75" customHeight="1">
      <c r="A226" s="7">
        <v>5148.0</v>
      </c>
      <c r="B226" s="7">
        <v>225.0</v>
      </c>
      <c r="C226" s="7" t="s">
        <v>3197</v>
      </c>
      <c r="D226" s="7"/>
      <c r="E226" s="7"/>
      <c r="F226" s="7" t="s">
        <v>404</v>
      </c>
      <c r="G226" s="7" t="s">
        <v>343</v>
      </c>
      <c r="H226" s="7" t="s">
        <v>344</v>
      </c>
      <c r="I226" s="7" t="s">
        <v>3198</v>
      </c>
      <c r="J226" s="7"/>
      <c r="K226" s="7" t="s">
        <v>58</v>
      </c>
      <c r="L226" s="7" t="s">
        <v>59</v>
      </c>
      <c r="M226" s="7" t="s">
        <v>545</v>
      </c>
      <c r="N226" s="7"/>
      <c r="O226" s="7">
        <v>97418.0</v>
      </c>
      <c r="P226" s="7" t="s">
        <v>348</v>
      </c>
      <c r="Q226" s="7"/>
      <c r="R226" s="7"/>
      <c r="S226" s="7"/>
      <c r="T226" s="7"/>
      <c r="U226" s="7"/>
      <c r="V226" s="7"/>
      <c r="W226" s="7">
        <v>6.92888278E8</v>
      </c>
      <c r="X226" s="7"/>
      <c r="Y226" s="7"/>
      <c r="Z226" s="7"/>
      <c r="AA226" s="7"/>
      <c r="AB226" s="7"/>
      <c r="AC226" s="7"/>
      <c r="AD226" s="7" t="s">
        <v>3199</v>
      </c>
      <c r="AE226" s="7"/>
      <c r="AF226" s="7"/>
      <c r="AG226" s="7"/>
      <c r="AH226" s="7"/>
      <c r="AI226" s="7"/>
      <c r="AJ226" s="7" t="s">
        <v>3197</v>
      </c>
      <c r="AK226" s="7"/>
      <c r="AL226" s="7" t="s">
        <v>3200</v>
      </c>
      <c r="AM226" s="7"/>
      <c r="AN226" s="20">
        <v>43860.0</v>
      </c>
      <c r="AO226" s="7">
        <v>97418.0</v>
      </c>
      <c r="AP226" s="7" t="s">
        <v>362</v>
      </c>
      <c r="AQ226" s="7"/>
      <c r="AR226" s="7"/>
      <c r="AS226" s="7"/>
      <c r="AT226" s="7"/>
      <c r="AU226" s="7">
        <v>0.0</v>
      </c>
      <c r="AV226" s="7" t="s">
        <v>3201</v>
      </c>
      <c r="AW226" s="7"/>
      <c r="AX226" s="7"/>
      <c r="AY226" s="7"/>
      <c r="AZ226" s="7"/>
      <c r="BA226" s="7"/>
      <c r="BB226" s="7"/>
      <c r="BC226" s="7" t="s">
        <v>366</v>
      </c>
      <c r="BD226" s="21">
        <v>44222.34375</v>
      </c>
      <c r="BE226" s="7"/>
      <c r="BF226" s="7"/>
      <c r="BG226" s="22">
        <v>44222.0</v>
      </c>
      <c r="BH226" s="7"/>
      <c r="BI226" s="7" t="s">
        <v>3202</v>
      </c>
      <c r="BJ226" s="7"/>
      <c r="BK226" s="7" t="b">
        <v>0</v>
      </c>
      <c r="BL226" s="7" t="b">
        <v>0</v>
      </c>
      <c r="BM226" s="7"/>
      <c r="BN226" s="7" t="str">
        <f>IFERROR(__xludf.DUMMYFUNCTION(" IF( REGEXMATCH(C226 , ""[(].+[)]""),REGEXREPLACE( CONCATENATE(REGEXEXTRACT(C226 , ""[(].+[)]""),IF(REGEXMATCH(C226 , ""[(][Ll]['’][)]""),"""","" ""), REGEXEXTRACT(C226 ,""^(?:(?:[A-Za-zàäéèêîïöôûü0-9 ](?:[A-Za-zàäéèêîïöôûü'0-9 ]+)))"")) , ""[()]"", """")"&amp;",C226 )"),"Le Domaine d'Eglantine ")</f>
        <v>Le Domaine d'Eglantine </v>
      </c>
      <c r="BO226" s="23"/>
      <c r="BP226" s="7"/>
      <c r="BQ226" s="7"/>
      <c r="BR226" s="7"/>
      <c r="BS226" s="7"/>
      <c r="BT226" s="7"/>
      <c r="BU226" s="7"/>
      <c r="BV226" s="7"/>
      <c r="BW226" s="7"/>
      <c r="BX226" s="7"/>
      <c r="BY226" s="7"/>
      <c r="BZ226" s="7"/>
      <c r="CA226" s="7"/>
      <c r="CB226" s="7"/>
    </row>
    <row r="227" ht="21.75" customHeight="1">
      <c r="A227" s="7">
        <v>5112.0</v>
      </c>
      <c r="B227" s="7" t="s">
        <v>3203</v>
      </c>
      <c r="C227" s="7" t="s">
        <v>3204</v>
      </c>
      <c r="D227" s="7"/>
      <c r="E227" s="7"/>
      <c r="F227" s="7" t="s">
        <v>342</v>
      </c>
      <c r="G227" s="7" t="s">
        <v>343</v>
      </c>
      <c r="H227" s="7" t="s">
        <v>123</v>
      </c>
      <c r="I227" s="7" t="s">
        <v>3205</v>
      </c>
      <c r="J227" s="26" t="s">
        <v>3206</v>
      </c>
      <c r="K227" s="7" t="s">
        <v>58</v>
      </c>
      <c r="L227" s="7" t="s">
        <v>59</v>
      </c>
      <c r="M227" s="7" t="s">
        <v>346</v>
      </c>
      <c r="N227" s="7" t="s">
        <v>422</v>
      </c>
      <c r="O227" s="7">
        <v>97480.0</v>
      </c>
      <c r="P227" s="7" t="s">
        <v>123</v>
      </c>
      <c r="Q227" s="7"/>
      <c r="R227" s="7" t="s">
        <v>3207</v>
      </c>
      <c r="S227" s="7"/>
      <c r="T227" s="7" t="s">
        <v>1567</v>
      </c>
      <c r="U227" s="7" t="s">
        <v>3208</v>
      </c>
      <c r="V227" s="7">
        <v>9.54453559E8</v>
      </c>
      <c r="W227" s="7">
        <v>6.25790833E8</v>
      </c>
      <c r="X227" s="7"/>
      <c r="Y227" s="7"/>
      <c r="Z227" s="7" t="s">
        <v>519</v>
      </c>
      <c r="AA227" s="7">
        <v>5.0</v>
      </c>
      <c r="AB227" s="7"/>
      <c r="AC227" s="7" t="s">
        <v>3209</v>
      </c>
      <c r="AD227" s="7" t="s">
        <v>3210</v>
      </c>
      <c r="AE227" s="7" t="s">
        <v>532</v>
      </c>
      <c r="AF227" s="7"/>
      <c r="AG227" s="7"/>
      <c r="AH227" s="20">
        <v>43713.0</v>
      </c>
      <c r="AI227" s="7"/>
      <c r="AJ227" s="7" t="s">
        <v>3211</v>
      </c>
      <c r="AK227" s="7">
        <v>8.2843905900027E13</v>
      </c>
      <c r="AL227" s="7" t="s">
        <v>3212</v>
      </c>
      <c r="AM227" s="7" t="s">
        <v>3213</v>
      </c>
      <c r="AN227" s="20">
        <v>43804.0</v>
      </c>
      <c r="AO227" s="7">
        <v>97480.0</v>
      </c>
      <c r="AP227" s="7" t="s">
        <v>385</v>
      </c>
      <c r="AQ227" s="7"/>
      <c r="AR227" s="7"/>
      <c r="AS227" s="7"/>
      <c r="AT227" s="7"/>
      <c r="AU227" s="7">
        <v>1.0</v>
      </c>
      <c r="AV227" s="7" t="s">
        <v>3214</v>
      </c>
      <c r="AW227" s="7" t="s">
        <v>3215</v>
      </c>
      <c r="AX227" s="7" t="s">
        <v>3216</v>
      </c>
      <c r="AY227" s="7" t="s">
        <v>3217</v>
      </c>
      <c r="AZ227" s="7" t="s">
        <v>3218</v>
      </c>
      <c r="BA227" s="7"/>
      <c r="BB227" s="7"/>
      <c r="BC227" s="7" t="s">
        <v>401</v>
      </c>
      <c r="BD227" s="21">
        <v>44220.40555555555</v>
      </c>
      <c r="BE227" s="7" t="s">
        <v>3219</v>
      </c>
      <c r="BF227" s="7"/>
      <c r="BG227" s="7"/>
      <c r="BH227" s="7">
        <v>8.28439059E8</v>
      </c>
      <c r="BI227" s="7" t="s">
        <v>3220</v>
      </c>
      <c r="BJ227" s="7"/>
      <c r="BK227" s="7" t="b">
        <v>0</v>
      </c>
      <c r="BL227" s="7" t="b">
        <v>0</v>
      </c>
      <c r="BM227" s="7"/>
      <c r="BN227" s="7" t="str">
        <f>IFERROR(__xludf.DUMMYFUNCTION(" IF( REGEXMATCH(C227 , ""[(].+[)]""),REGEXREPLACE( CONCATENATE(REGEXEXTRACT(C227 , ""[(].+[)]""),IF(REGEXMATCH(C227 , ""[(][Ll]['’][)]""),"""","" ""), REGEXEXTRACT(C227 ,""^(?:(?:[A-Za-zàäéèêîïöôûü0-9 ](?:[A-Za-zàäéèêîïöôûü'0-9 ]+)))"")) , ""[()]"", """")"&amp;",C227 )"),"Domaine Paille en Queue - Esprit Bourbon")</f>
        <v>Domaine Paille en Queue - Esprit Bourbon</v>
      </c>
      <c r="BO227" s="25"/>
      <c r="BP227" s="7"/>
      <c r="BQ227" s="7"/>
      <c r="BR227" s="7"/>
      <c r="BS227" s="7"/>
      <c r="BT227" s="7"/>
      <c r="BU227" s="7"/>
      <c r="BV227" s="7"/>
      <c r="BW227" s="7"/>
      <c r="BX227" s="7"/>
      <c r="BY227" s="7"/>
      <c r="BZ227" s="7"/>
      <c r="CA227" s="7"/>
      <c r="CB227" s="7"/>
    </row>
    <row r="228" ht="21.75" customHeight="1">
      <c r="A228" s="7">
        <v>5111.0</v>
      </c>
      <c r="B228" s="7" t="s">
        <v>3221</v>
      </c>
      <c r="C228" s="7" t="s">
        <v>3222</v>
      </c>
      <c r="D228" s="7"/>
      <c r="E228" s="7"/>
      <c r="F228" s="7" t="s">
        <v>342</v>
      </c>
      <c r="G228" s="7" t="s">
        <v>343</v>
      </c>
      <c r="H228" s="7" t="s">
        <v>123</v>
      </c>
      <c r="I228" s="7" t="s">
        <v>3223</v>
      </c>
      <c r="J228" s="26" t="s">
        <v>3206</v>
      </c>
      <c r="K228" s="7" t="s">
        <v>58</v>
      </c>
      <c r="L228" s="7" t="s">
        <v>59</v>
      </c>
      <c r="M228" s="7" t="s">
        <v>346</v>
      </c>
      <c r="N228" s="7" t="s">
        <v>422</v>
      </c>
      <c r="O228" s="7">
        <v>97480.0</v>
      </c>
      <c r="P228" s="7" t="s">
        <v>123</v>
      </c>
      <c r="Q228" s="7"/>
      <c r="R228" s="7" t="s">
        <v>3207</v>
      </c>
      <c r="S228" s="7"/>
      <c r="T228" s="7" t="s">
        <v>1567</v>
      </c>
      <c r="U228" s="7" t="s">
        <v>3208</v>
      </c>
      <c r="V228" s="7">
        <v>9.54453559E8</v>
      </c>
      <c r="W228" s="7">
        <v>6.25790833E8</v>
      </c>
      <c r="X228" s="7"/>
      <c r="Y228" s="7"/>
      <c r="Z228" s="7" t="s">
        <v>519</v>
      </c>
      <c r="AA228" s="7">
        <v>3.0</v>
      </c>
      <c r="AB228" s="7"/>
      <c r="AC228" s="7" t="s">
        <v>3224</v>
      </c>
      <c r="AD228" s="7" t="s">
        <v>3225</v>
      </c>
      <c r="AE228" s="7" t="s">
        <v>532</v>
      </c>
      <c r="AF228" s="7"/>
      <c r="AG228" s="7"/>
      <c r="AH228" s="20">
        <v>43713.0</v>
      </c>
      <c r="AI228" s="7"/>
      <c r="AJ228" s="7" t="s">
        <v>3211</v>
      </c>
      <c r="AK228" s="7">
        <v>8.2843905900027E13</v>
      </c>
      <c r="AL228" s="7" t="s">
        <v>3212</v>
      </c>
      <c r="AM228" s="7" t="s">
        <v>3213</v>
      </c>
      <c r="AN228" s="20">
        <v>43804.0</v>
      </c>
      <c r="AO228" s="7">
        <v>97480.0</v>
      </c>
      <c r="AP228" s="7" t="s">
        <v>385</v>
      </c>
      <c r="AQ228" s="7"/>
      <c r="AR228" s="7"/>
      <c r="AS228" s="7"/>
      <c r="AT228" s="7"/>
      <c r="AU228" s="7">
        <v>1.0</v>
      </c>
      <c r="AV228" s="7" t="s">
        <v>3214</v>
      </c>
      <c r="AW228" s="7" t="s">
        <v>3226</v>
      </c>
      <c r="AX228" s="7" t="s">
        <v>3216</v>
      </c>
      <c r="AY228" s="7" t="s">
        <v>3217</v>
      </c>
      <c r="AZ228" s="7" t="s">
        <v>3218</v>
      </c>
      <c r="BA228" s="7"/>
      <c r="BB228" s="7"/>
      <c r="BC228" s="7" t="s">
        <v>401</v>
      </c>
      <c r="BD228" s="21">
        <v>44220.40555555555</v>
      </c>
      <c r="BE228" s="7" t="s">
        <v>3219</v>
      </c>
      <c r="BF228" s="7"/>
      <c r="BG228" s="7"/>
      <c r="BH228" s="7">
        <v>8.28439059E8</v>
      </c>
      <c r="BI228" s="7" t="s">
        <v>3220</v>
      </c>
      <c r="BJ228" s="7"/>
      <c r="BK228" s="7" t="b">
        <v>0</v>
      </c>
      <c r="BL228" s="7" t="b">
        <v>0</v>
      </c>
      <c r="BM228" s="7"/>
      <c r="BN228" s="7" t="str">
        <f>IFERROR(__xludf.DUMMYFUNCTION(" IF( REGEXMATCH(C228 , ""[(].+[)]""),REGEXREPLACE( CONCATENATE(REGEXEXTRACT(C228 , ""[(].+[)]""),IF(REGEXMATCH(C228 , ""[(][Ll]['’][)]""),"""","" ""), REGEXEXTRACT(C228 ,""^(?:(?:[A-Za-zàäéèêîïöôûü0-9 ](?:[A-Za-zàäéèêîïöôûü'0-9 ]+)))"")) , ""[()]"", """")"&amp;",C228 )"),"Domaine Paille en Queue - Ile Intense")</f>
        <v>Domaine Paille en Queue - Ile Intense</v>
      </c>
      <c r="BO228" s="25"/>
      <c r="BP228" s="7"/>
      <c r="BQ228" s="7"/>
      <c r="BR228" s="7"/>
      <c r="BS228" s="7"/>
      <c r="BT228" s="7"/>
      <c r="BU228" s="7"/>
      <c r="BV228" s="7"/>
      <c r="BW228" s="7"/>
      <c r="BX228" s="7"/>
      <c r="BY228" s="7"/>
      <c r="BZ228" s="7"/>
      <c r="CA228" s="7"/>
      <c r="CB228" s="7"/>
    </row>
    <row r="229" ht="21.75" customHeight="1">
      <c r="A229" s="7">
        <v>5113.0</v>
      </c>
      <c r="B229" s="7" t="s">
        <v>3227</v>
      </c>
      <c r="C229" s="7" t="s">
        <v>3228</v>
      </c>
      <c r="D229" s="7"/>
      <c r="E229" s="7"/>
      <c r="F229" s="7" t="s">
        <v>342</v>
      </c>
      <c r="G229" s="7" t="s">
        <v>343</v>
      </c>
      <c r="H229" s="7" t="s">
        <v>123</v>
      </c>
      <c r="I229" s="7" t="s">
        <v>3229</v>
      </c>
      <c r="J229" s="26" t="s">
        <v>3206</v>
      </c>
      <c r="K229" s="7" t="s">
        <v>58</v>
      </c>
      <c r="L229" s="7" t="s">
        <v>59</v>
      </c>
      <c r="M229" s="7" t="s">
        <v>346</v>
      </c>
      <c r="N229" s="7" t="s">
        <v>422</v>
      </c>
      <c r="O229" s="7">
        <v>97480.0</v>
      </c>
      <c r="P229" s="7" t="s">
        <v>123</v>
      </c>
      <c r="Q229" s="7"/>
      <c r="R229" s="7" t="s">
        <v>3207</v>
      </c>
      <c r="S229" s="7"/>
      <c r="T229" s="7" t="s">
        <v>1567</v>
      </c>
      <c r="U229" s="7" t="s">
        <v>3208</v>
      </c>
      <c r="V229" s="7">
        <v>9.54453559E8</v>
      </c>
      <c r="W229" s="7">
        <v>6.25790833E8</v>
      </c>
      <c r="X229" s="7"/>
      <c r="Y229" s="7"/>
      <c r="Z229" s="7" t="s">
        <v>519</v>
      </c>
      <c r="AA229" s="7">
        <v>6.0</v>
      </c>
      <c r="AB229" s="7"/>
      <c r="AC229" s="7" t="s">
        <v>3230</v>
      </c>
      <c r="AD229" s="7" t="s">
        <v>3231</v>
      </c>
      <c r="AE229" s="7" t="s">
        <v>532</v>
      </c>
      <c r="AF229" s="7"/>
      <c r="AG229" s="7"/>
      <c r="AH229" s="20">
        <v>43713.0</v>
      </c>
      <c r="AI229" s="7"/>
      <c r="AJ229" s="7" t="s">
        <v>3211</v>
      </c>
      <c r="AK229" s="7">
        <v>8.2843905900027E13</v>
      </c>
      <c r="AL229" s="7" t="s">
        <v>3212</v>
      </c>
      <c r="AM229" s="7" t="s">
        <v>3213</v>
      </c>
      <c r="AN229" s="20">
        <v>43804.0</v>
      </c>
      <c r="AO229" s="7">
        <v>97480.0</v>
      </c>
      <c r="AP229" s="7" t="s">
        <v>385</v>
      </c>
      <c r="AQ229" s="7"/>
      <c r="AR229" s="7"/>
      <c r="AS229" s="7"/>
      <c r="AT229" s="7"/>
      <c r="AU229" s="7">
        <v>1.0</v>
      </c>
      <c r="AV229" s="7" t="s">
        <v>3214</v>
      </c>
      <c r="AW229" s="7" t="s">
        <v>3232</v>
      </c>
      <c r="AX229" s="7" t="s">
        <v>3216</v>
      </c>
      <c r="AY229" s="7" t="s">
        <v>3217</v>
      </c>
      <c r="AZ229" s="7" t="s">
        <v>3218</v>
      </c>
      <c r="BA229" s="7"/>
      <c r="BB229" s="7"/>
      <c r="BC229" s="7" t="s">
        <v>401</v>
      </c>
      <c r="BD229" s="21">
        <v>44220.40555555555</v>
      </c>
      <c r="BE229" s="7" t="s">
        <v>3219</v>
      </c>
      <c r="BF229" s="7"/>
      <c r="BG229" s="7"/>
      <c r="BH229" s="7">
        <v>8.28439059E8</v>
      </c>
      <c r="BI229" s="7" t="s">
        <v>3220</v>
      </c>
      <c r="BJ229" s="7"/>
      <c r="BK229" s="7" t="b">
        <v>0</v>
      </c>
      <c r="BL229" s="7" t="b">
        <v>0</v>
      </c>
      <c r="BM229" s="7"/>
      <c r="BN229" s="7" t="str">
        <f>IFERROR(__xludf.DUMMYFUNCTION(" IF( REGEXMATCH(C229 , ""[(].+[)]""),REGEXREPLACE( CONCATENATE(REGEXEXTRACT(C229 , ""[(].+[)]""),IF(REGEXMATCH(C229 , ""[(][Ll]['’][)]""),"""","" ""), REGEXEXTRACT(C229 ,""^(?:(?:[A-Za-zàäéèêîïöôûü0-9 ](?:[A-Za-zàäéèêîïöôûü'0-9 ]+)))"")) , ""[()]"", """")"&amp;",C229 )"),"Domaine Paille en Queue - Sud Sauvage")</f>
        <v>Domaine Paille en Queue - Sud Sauvage</v>
      </c>
      <c r="BO229" s="25"/>
      <c r="BP229" s="7"/>
      <c r="BQ229" s="7"/>
      <c r="BR229" s="7"/>
      <c r="BS229" s="7"/>
      <c r="BT229" s="7"/>
      <c r="BU229" s="7"/>
      <c r="BV229" s="7"/>
      <c r="BW229" s="7"/>
      <c r="BX229" s="7"/>
      <c r="BY229" s="7"/>
      <c r="BZ229" s="7"/>
      <c r="CA229" s="7"/>
      <c r="CB229" s="7"/>
    </row>
    <row r="230" ht="21.75" customHeight="1">
      <c r="A230" s="7">
        <v>3913.0</v>
      </c>
      <c r="B230" s="7" t="s">
        <v>3233</v>
      </c>
      <c r="C230" s="7" t="s">
        <v>3234</v>
      </c>
      <c r="D230" s="7"/>
      <c r="E230" s="7"/>
      <c r="F230" s="7" t="s">
        <v>342</v>
      </c>
      <c r="G230" s="7" t="s">
        <v>343</v>
      </c>
      <c r="H230" s="7" t="s">
        <v>344</v>
      </c>
      <c r="I230" s="7" t="s">
        <v>3235</v>
      </c>
      <c r="J230" s="7"/>
      <c r="K230" s="6" t="s">
        <v>469</v>
      </c>
      <c r="L230" s="7" t="s">
        <v>197</v>
      </c>
      <c r="M230" s="7" t="s">
        <v>1696</v>
      </c>
      <c r="N230" s="7"/>
      <c r="O230" s="7">
        <v>97430.0</v>
      </c>
      <c r="P230" s="7" t="s">
        <v>344</v>
      </c>
      <c r="Q230" s="7"/>
      <c r="R230" s="7"/>
      <c r="S230" s="7"/>
      <c r="T230" s="7" t="s">
        <v>974</v>
      </c>
      <c r="U230" s="7" t="s">
        <v>353</v>
      </c>
      <c r="V230" s="7">
        <v>2.62599174E8</v>
      </c>
      <c r="W230" s="7">
        <v>6.92693126E8</v>
      </c>
      <c r="X230" s="7"/>
      <c r="Y230" s="7"/>
      <c r="Z230" s="7" t="s">
        <v>3236</v>
      </c>
      <c r="AA230" s="7"/>
      <c r="AB230" s="7"/>
      <c r="AC230" s="7" t="s">
        <v>3237</v>
      </c>
      <c r="AD230" s="7" t="s">
        <v>3238</v>
      </c>
      <c r="AE230" s="7"/>
      <c r="AF230" s="7"/>
      <c r="AG230" s="7"/>
      <c r="AH230" s="20">
        <v>42171.0</v>
      </c>
      <c r="AI230" s="7"/>
      <c r="AJ230" s="7" t="s">
        <v>3239</v>
      </c>
      <c r="AK230" s="7">
        <v>4.4911104600024E13</v>
      </c>
      <c r="AL230" s="7" t="s">
        <v>3240</v>
      </c>
      <c r="AM230" s="7" t="s">
        <v>3241</v>
      </c>
      <c r="AN230" s="20">
        <v>42171.0</v>
      </c>
      <c r="AO230" s="7">
        <v>97430.0</v>
      </c>
      <c r="AP230" s="7" t="s">
        <v>494</v>
      </c>
      <c r="AQ230" s="7"/>
      <c r="AR230" s="7"/>
      <c r="AS230" s="7"/>
      <c r="AT230" s="7"/>
      <c r="AU230" s="7">
        <v>0.0</v>
      </c>
      <c r="AV230" s="7" t="s">
        <v>3242</v>
      </c>
      <c r="AW230" s="7"/>
      <c r="AX230" s="7"/>
      <c r="AY230" s="7"/>
      <c r="AZ230" s="7"/>
      <c r="BA230" s="7"/>
      <c r="BB230" s="7"/>
      <c r="BC230" s="7" t="s">
        <v>401</v>
      </c>
      <c r="BD230" s="21">
        <v>44222.129166666666</v>
      </c>
      <c r="BE230" s="7" t="s">
        <v>1047</v>
      </c>
      <c r="BF230" s="7"/>
      <c r="BG230" s="7"/>
      <c r="BH230" s="7">
        <v>4.49111046E8</v>
      </c>
      <c r="BI230" s="7" t="s">
        <v>3243</v>
      </c>
      <c r="BJ230" s="7"/>
      <c r="BK230" s="7" t="b">
        <v>0</v>
      </c>
      <c r="BL230" s="7" t="b">
        <v>0</v>
      </c>
      <c r="BM230" s="7"/>
      <c r="BN230" s="7" t="str">
        <f>IFERROR(__xludf.DUMMYFUNCTION(" IF( REGEXMATCH(C230 , ""[(].+[)]""),REGEXREPLACE( CONCATENATE(REGEXEXTRACT(C230 , ""[(].+[)]""),IF(REGEXMATCH(C230 , ""[(][Ll]['’][)]""),"""","" ""), REGEXEXTRACT(C230 ,""^(?:(?:[A-Za-zàäéèêîïöôûü0-9 ](?:[A-Za-zàäéèêîïöôûü'0-9 ]+)))"")) , ""[()]"", """")"&amp;",C230 )"),"Domitile Artisanat")</f>
        <v>Domitile Artisanat</v>
      </c>
      <c r="BO230" s="25"/>
      <c r="BP230" s="7"/>
      <c r="BQ230" s="7"/>
      <c r="BR230" s="7"/>
      <c r="BS230" s="7"/>
      <c r="BT230" s="7"/>
      <c r="BU230" s="7"/>
      <c r="BV230" s="7"/>
      <c r="BW230" s="7"/>
      <c r="BX230" s="7"/>
      <c r="BY230" s="7"/>
      <c r="BZ230" s="7"/>
      <c r="CA230" s="7"/>
      <c r="CB230" s="7"/>
    </row>
    <row r="231" ht="21.75" customHeight="1">
      <c r="A231" s="7">
        <v>312.0</v>
      </c>
      <c r="B231" s="7">
        <v>230.0</v>
      </c>
      <c r="C231" s="7" t="s">
        <v>3244</v>
      </c>
      <c r="D231" s="7" t="s">
        <v>3244</v>
      </c>
      <c r="E231" s="7"/>
      <c r="F231" s="7" t="s">
        <v>342</v>
      </c>
      <c r="G231" s="7" t="s">
        <v>343</v>
      </c>
      <c r="H231" s="7" t="s">
        <v>40</v>
      </c>
      <c r="I231" s="7" t="s">
        <v>3245</v>
      </c>
      <c r="J231" s="26" t="s">
        <v>3246</v>
      </c>
      <c r="K231" s="7" t="s">
        <v>58</v>
      </c>
      <c r="L231" s="7" t="s">
        <v>453</v>
      </c>
      <c r="M231" s="7" t="s">
        <v>454</v>
      </c>
      <c r="N231" s="7" t="s">
        <v>407</v>
      </c>
      <c r="O231" s="7">
        <v>97414.0</v>
      </c>
      <c r="P231" s="7" t="s">
        <v>40</v>
      </c>
      <c r="Q231" s="7"/>
      <c r="R231" s="7" t="s">
        <v>3247</v>
      </c>
      <c r="S231" s="7" t="s">
        <v>2891</v>
      </c>
      <c r="T231" s="7" t="s">
        <v>377</v>
      </c>
      <c r="U231" s="7" t="s">
        <v>353</v>
      </c>
      <c r="V231" s="7">
        <v>2.62396403E8</v>
      </c>
      <c r="W231" s="7">
        <v>6.92686882E8</v>
      </c>
      <c r="X231" s="7">
        <v>6.92969519E8</v>
      </c>
      <c r="Y231" s="7"/>
      <c r="Z231" s="7" t="s">
        <v>3248</v>
      </c>
      <c r="AA231" s="7">
        <v>4.0</v>
      </c>
      <c r="AB231" s="7" t="s">
        <v>788</v>
      </c>
      <c r="AC231" s="7"/>
      <c r="AD231" s="7" t="s">
        <v>3249</v>
      </c>
      <c r="AE231" s="7" t="s">
        <v>3250</v>
      </c>
      <c r="AF231" s="7"/>
      <c r="AG231" s="7" t="s">
        <v>578</v>
      </c>
      <c r="AH231" s="20">
        <v>39575.0</v>
      </c>
      <c r="AI231" s="7"/>
      <c r="AJ231" s="7" t="s">
        <v>3251</v>
      </c>
      <c r="AK231" s="7"/>
      <c r="AL231" s="7" t="s">
        <v>3252</v>
      </c>
      <c r="AM231" s="7" t="s">
        <v>3253</v>
      </c>
      <c r="AN231" s="20">
        <v>39575.0</v>
      </c>
      <c r="AO231" s="7">
        <v>97414.0</v>
      </c>
      <c r="AP231" s="7" t="s">
        <v>429</v>
      </c>
      <c r="AQ231" s="7"/>
      <c r="AR231" s="7"/>
      <c r="AS231" s="7"/>
      <c r="AT231" s="7"/>
      <c r="AU231" s="7">
        <v>2.0</v>
      </c>
      <c r="AV231" s="7" t="s">
        <v>3254</v>
      </c>
      <c r="AW231" s="7"/>
      <c r="AX231" s="7"/>
      <c r="AY231" s="7"/>
      <c r="AZ231" s="7" t="s">
        <v>3255</v>
      </c>
      <c r="BA231" s="7"/>
      <c r="BB231" s="7"/>
      <c r="BC231" s="7" t="s">
        <v>366</v>
      </c>
      <c r="BD231" s="21">
        <v>44042.2</v>
      </c>
      <c r="BE231" s="7"/>
      <c r="BF231" s="7"/>
      <c r="BG231" s="22">
        <v>44042.0</v>
      </c>
      <c r="BH231" s="7"/>
      <c r="BI231" s="7" t="s">
        <v>1117</v>
      </c>
      <c r="BJ231" s="7"/>
      <c r="BK231" s="7" t="b">
        <v>0</v>
      </c>
      <c r="BL231" s="7" t="b">
        <v>0</v>
      </c>
      <c r="BM231" s="7"/>
      <c r="BN231" s="7" t="str">
        <f>IFERROR(__xludf.DUMMYFUNCTION(" IF( REGEXMATCH(C231 , ""[(].+[)]""),REGEXREPLACE( CONCATENATE(REGEXEXTRACT(C231 , ""[(].+[)]""),IF(REGEXMATCH(C231 , ""[(][Ll]['’][)]""),"""","" ""), REGEXEXTRACT(C231 ,""^(?:(?:[A-Za-zàäéèêîïöôûü0-9 ](?:[A-Za-zàäéèêîïöôûü'0-9 ]+)))"")) , ""[()]"", """")"&amp;",C231 )"),"Les Durentas ")</f>
        <v>Les Durentas </v>
      </c>
      <c r="BO231" s="23"/>
      <c r="BP231" s="7"/>
      <c r="BQ231" s="7"/>
      <c r="BR231" s="7"/>
      <c r="BS231" s="7"/>
      <c r="BT231" s="7"/>
      <c r="BU231" s="7"/>
      <c r="BV231" s="7"/>
      <c r="BW231" s="7"/>
      <c r="BX231" s="7"/>
      <c r="BY231" s="7"/>
      <c r="BZ231" s="7"/>
      <c r="CA231" s="7"/>
      <c r="CB231" s="7"/>
    </row>
    <row r="232" ht="21.75" customHeight="1">
      <c r="A232" s="7">
        <v>368.0</v>
      </c>
      <c r="B232" s="7" t="s">
        <v>3256</v>
      </c>
      <c r="C232" s="7" t="s">
        <v>3257</v>
      </c>
      <c r="D232" s="7" t="s">
        <v>3258</v>
      </c>
      <c r="E232" s="7"/>
      <c r="F232" s="7" t="s">
        <v>342</v>
      </c>
      <c r="G232" s="7" t="s">
        <v>343</v>
      </c>
      <c r="H232" s="7" t="s">
        <v>123</v>
      </c>
      <c r="I232" s="7" t="s">
        <v>3259</v>
      </c>
      <c r="J232" s="26" t="s">
        <v>3260</v>
      </c>
      <c r="K232" s="7" t="s">
        <v>58</v>
      </c>
      <c r="L232" s="7" t="s">
        <v>59</v>
      </c>
      <c r="M232" s="7" t="s">
        <v>374</v>
      </c>
      <c r="N232" s="7" t="s">
        <v>375</v>
      </c>
      <c r="O232" s="7">
        <v>97480.0</v>
      </c>
      <c r="P232" s="7" t="s">
        <v>123</v>
      </c>
      <c r="Q232" s="7" t="s">
        <v>206</v>
      </c>
      <c r="R232" s="7" t="s">
        <v>3261</v>
      </c>
      <c r="S232" s="7" t="s">
        <v>1458</v>
      </c>
      <c r="T232" s="7" t="s">
        <v>377</v>
      </c>
      <c r="U232" s="7" t="s">
        <v>3262</v>
      </c>
      <c r="V232" s="7">
        <v>2.62563284E8</v>
      </c>
      <c r="W232" s="7">
        <v>6.92790872E8</v>
      </c>
      <c r="X232" s="7"/>
      <c r="Y232" s="7"/>
      <c r="Z232" s="7" t="s">
        <v>3263</v>
      </c>
      <c r="AA232" s="7">
        <v>2.0</v>
      </c>
      <c r="AB232" s="7" t="s">
        <v>355</v>
      </c>
      <c r="AC232" s="7"/>
      <c r="AD232" s="7" t="s">
        <v>3264</v>
      </c>
      <c r="AE232" s="7" t="s">
        <v>3265</v>
      </c>
      <c r="AF232" s="7"/>
      <c r="AG232" s="7"/>
      <c r="AH232" s="20">
        <v>39575.0</v>
      </c>
      <c r="AI232" s="7"/>
      <c r="AJ232" s="7" t="s">
        <v>3266</v>
      </c>
      <c r="AK232" s="7">
        <v>4.3299257600012E13</v>
      </c>
      <c r="AL232" s="7" t="s">
        <v>3267</v>
      </c>
      <c r="AM232" s="7" t="s">
        <v>3268</v>
      </c>
      <c r="AN232" s="20">
        <v>39575.0</v>
      </c>
      <c r="AO232" s="7">
        <v>97480.0</v>
      </c>
      <c r="AP232" s="7" t="s">
        <v>385</v>
      </c>
      <c r="AQ232" s="7"/>
      <c r="AR232" s="7"/>
      <c r="AS232" s="7"/>
      <c r="AT232" s="7"/>
      <c r="AU232" s="7">
        <v>1.0</v>
      </c>
      <c r="AV232" s="7" t="s">
        <v>3269</v>
      </c>
      <c r="AW232" s="7"/>
      <c r="AX232" s="7" t="s">
        <v>3270</v>
      </c>
      <c r="AY232" s="7" t="s">
        <v>1590</v>
      </c>
      <c r="AZ232" s="7" t="s">
        <v>3271</v>
      </c>
      <c r="BA232" s="7"/>
      <c r="BB232" s="7"/>
      <c r="BC232" s="7" t="s">
        <v>401</v>
      </c>
      <c r="BD232" s="21">
        <v>44101.18125</v>
      </c>
      <c r="BE232" s="7" t="s">
        <v>3272</v>
      </c>
      <c r="BF232" s="7"/>
      <c r="BG232" s="7"/>
      <c r="BH232" s="7">
        <v>4.32992576E8</v>
      </c>
      <c r="BI232" s="7" t="s">
        <v>3273</v>
      </c>
      <c r="BJ232" s="7"/>
      <c r="BK232" s="7" t="b">
        <v>0</v>
      </c>
      <c r="BL232" s="7" t="b">
        <v>0</v>
      </c>
      <c r="BM232" s="7"/>
      <c r="BN232" s="7" t="str">
        <f>IFERROR(__xludf.DUMMYFUNCTION(" IF( REGEXMATCH(C232 , ""[(].+[)]""),REGEXREPLACE( CONCATENATE(REGEXEXTRACT(C232 , ""[(].+[)]""),IF(REGEXMATCH(C232 , ""[(][Ll]['’][)]""),"""","" ""), REGEXEXTRACT(C232 ,""^(?:(?:[A-Za-zàäéèêîïöôûü0-9 ](?:[A-Za-zàäéèêîïöôûü'0-9 ]+)))"")) , ""[()]"", """")"&amp;",C232 )"),"L'Eau Forte ")</f>
        <v>L'Eau Forte </v>
      </c>
      <c r="BO232" s="25"/>
      <c r="BP232" s="7"/>
      <c r="BQ232" s="7"/>
      <c r="BR232" s="7"/>
      <c r="BS232" s="7"/>
      <c r="BT232" s="7"/>
      <c r="BU232" s="7"/>
      <c r="BV232" s="7"/>
      <c r="BW232" s="7"/>
      <c r="BX232" s="7"/>
      <c r="BY232" s="7"/>
      <c r="BZ232" s="7"/>
      <c r="CA232" s="7"/>
      <c r="CB232" s="7"/>
    </row>
    <row r="233" ht="21.75" customHeight="1">
      <c r="A233" s="7">
        <v>2686.0</v>
      </c>
      <c r="B233" s="7" t="s">
        <v>3274</v>
      </c>
      <c r="C233" s="7" t="s">
        <v>3275</v>
      </c>
      <c r="D233" s="7"/>
      <c r="E233" s="7"/>
      <c r="F233" s="7" t="s">
        <v>342</v>
      </c>
      <c r="G233" s="7" t="s">
        <v>343</v>
      </c>
      <c r="H233" s="7" t="s">
        <v>40</v>
      </c>
      <c r="I233" s="7" t="s">
        <v>3276</v>
      </c>
      <c r="J233" s="26" t="s">
        <v>3277</v>
      </c>
      <c r="K233" s="7" t="s">
        <v>58</v>
      </c>
      <c r="L233" s="7" t="s">
        <v>453</v>
      </c>
      <c r="M233" s="7" t="s">
        <v>454</v>
      </c>
      <c r="N233" s="7" t="s">
        <v>455</v>
      </c>
      <c r="O233" s="7">
        <v>97414.0</v>
      </c>
      <c r="P233" s="7" t="s">
        <v>40</v>
      </c>
      <c r="Q233" s="7"/>
      <c r="R233" s="7" t="s">
        <v>3278</v>
      </c>
      <c r="S233" s="7"/>
      <c r="T233" s="7" t="s">
        <v>377</v>
      </c>
      <c r="U233" s="7" t="s">
        <v>786</v>
      </c>
      <c r="V233" s="7">
        <v>2.62229131E8</v>
      </c>
      <c r="W233" s="7">
        <v>6.92555537E8</v>
      </c>
      <c r="X233" s="7"/>
      <c r="Y233" s="7"/>
      <c r="Z233" s="7" t="s">
        <v>3279</v>
      </c>
      <c r="AA233" s="7">
        <v>9.0</v>
      </c>
      <c r="AB233" s="7" t="s">
        <v>574</v>
      </c>
      <c r="AC233" s="7" t="s">
        <v>3280</v>
      </c>
      <c r="AD233" s="7" t="s">
        <v>3281</v>
      </c>
      <c r="AE233" s="7" t="s">
        <v>3282</v>
      </c>
      <c r="AF233" s="7"/>
      <c r="AG233" s="7" t="s">
        <v>597</v>
      </c>
      <c r="AH233" s="20">
        <v>43739.0</v>
      </c>
      <c r="AI233" s="7"/>
      <c r="AJ233" s="7" t="s">
        <v>3283</v>
      </c>
      <c r="AK233" s="7">
        <v>4.5020883000015E13</v>
      </c>
      <c r="AL233" s="7" t="s">
        <v>3284</v>
      </c>
      <c r="AM233" s="7" t="s">
        <v>3285</v>
      </c>
      <c r="AN233" s="20">
        <v>43739.0</v>
      </c>
      <c r="AO233" s="7">
        <v>97414.0</v>
      </c>
      <c r="AP233" s="7" t="s">
        <v>429</v>
      </c>
      <c r="AQ233" s="7"/>
      <c r="AR233" s="7"/>
      <c r="AS233" s="7"/>
      <c r="AT233" s="7"/>
      <c r="AU233" s="7">
        <v>4.0</v>
      </c>
      <c r="AV233" s="7" t="s">
        <v>3286</v>
      </c>
      <c r="AW233" s="7" t="s">
        <v>3287</v>
      </c>
      <c r="AX233" s="7"/>
      <c r="AY233" s="7"/>
      <c r="AZ233" s="7" t="s">
        <v>3288</v>
      </c>
      <c r="BA233" s="7"/>
      <c r="BB233" s="7"/>
      <c r="BC233" s="7" t="s">
        <v>401</v>
      </c>
      <c r="BD233" s="21">
        <v>44043.0</v>
      </c>
      <c r="BE233" s="7" t="s">
        <v>3289</v>
      </c>
      <c r="BF233" s="7"/>
      <c r="BG233" s="7"/>
      <c r="BH233" s="7">
        <v>4.5020883E8</v>
      </c>
      <c r="BI233" s="7" t="s">
        <v>3290</v>
      </c>
      <c r="BJ233" s="7"/>
      <c r="BK233" s="7" t="b">
        <v>0</v>
      </c>
      <c r="BL233" s="7" t="b">
        <v>0</v>
      </c>
      <c r="BM233" s="7"/>
      <c r="BN233" s="7" t="str">
        <f>IFERROR(__xludf.DUMMYFUNCTION(" IF( REGEXMATCH(C233 , ""[(].+[)]""),REGEXREPLACE( CONCATENATE(REGEXEXTRACT(C233 , ""[(].+[)]""),IF(REGEXMATCH(C233 , ""[(][Ll]['’][)]""),"""","" ""), REGEXEXTRACT(C233 ,""^(?:(?:[A-Za-zàäéèêîïöôûü0-9 ](?:[A-Za-zàäéèêîïöôûü'0-9 ]+)))"")) , ""[()]"", """")"&amp;",C233 )"),"L'Echappée Belle ")</f>
        <v>L'Echappée Belle </v>
      </c>
      <c r="BO233" s="25"/>
      <c r="BP233" s="7"/>
      <c r="BQ233" s="7"/>
      <c r="BR233" s="7"/>
      <c r="BS233" s="7"/>
      <c r="BT233" s="7"/>
      <c r="BU233" s="7"/>
      <c r="BV233" s="7"/>
      <c r="BW233" s="7"/>
      <c r="BX233" s="7"/>
      <c r="BY233" s="7"/>
      <c r="BZ233" s="7"/>
      <c r="CA233" s="7"/>
      <c r="CB233" s="7"/>
    </row>
    <row r="234" ht="21.75" customHeight="1">
      <c r="A234" s="7">
        <v>993.0</v>
      </c>
      <c r="B234" s="7">
        <v>233.0</v>
      </c>
      <c r="C234" s="7" t="s">
        <v>3291</v>
      </c>
      <c r="D234" s="7" t="s">
        <v>3292</v>
      </c>
      <c r="E234" s="7"/>
      <c r="F234" s="7" t="s">
        <v>404</v>
      </c>
      <c r="G234" s="7" t="s">
        <v>343</v>
      </c>
      <c r="H234" s="7" t="s">
        <v>344</v>
      </c>
      <c r="I234" s="7" t="s">
        <v>3293</v>
      </c>
      <c r="J234" s="26" t="s">
        <v>3294</v>
      </c>
      <c r="K234" s="7" t="s">
        <v>34</v>
      </c>
      <c r="L234" s="7" t="s">
        <v>622</v>
      </c>
      <c r="M234" s="7" t="s">
        <v>622</v>
      </c>
      <c r="N234" s="7" t="s">
        <v>664</v>
      </c>
      <c r="O234" s="7">
        <v>97430.0</v>
      </c>
      <c r="P234" s="7" t="s">
        <v>344</v>
      </c>
      <c r="Q234" s="7"/>
      <c r="R234" s="7" t="s">
        <v>1999</v>
      </c>
      <c r="S234" s="7"/>
      <c r="T234" s="7" t="s">
        <v>3295</v>
      </c>
      <c r="U234" s="7" t="s">
        <v>3296</v>
      </c>
      <c r="V234" s="7">
        <v>2.6288776E8</v>
      </c>
      <c r="W234" s="7">
        <v>6.93001375E8</v>
      </c>
      <c r="X234" s="7"/>
      <c r="Y234" s="7"/>
      <c r="Z234" s="7" t="s">
        <v>3297</v>
      </c>
      <c r="AA234" s="7">
        <v>35.0</v>
      </c>
      <c r="AB234" s="7"/>
      <c r="AC234" s="7"/>
      <c r="AD234" s="7" t="s">
        <v>3298</v>
      </c>
      <c r="AE234" s="7"/>
      <c r="AF234" s="7"/>
      <c r="AG234" s="7"/>
      <c r="AH234" s="20">
        <v>39575.0</v>
      </c>
      <c r="AI234" s="7"/>
      <c r="AJ234" s="7" t="s">
        <v>3299</v>
      </c>
      <c r="AK234" s="7">
        <v>5.0487361300013E13</v>
      </c>
      <c r="AL234" s="7" t="s">
        <v>3300</v>
      </c>
      <c r="AM234" s="7" t="s">
        <v>3301</v>
      </c>
      <c r="AN234" s="20">
        <v>39575.0</v>
      </c>
      <c r="AO234" s="7">
        <v>97430.0</v>
      </c>
      <c r="AP234" s="7" t="s">
        <v>494</v>
      </c>
      <c r="AQ234" s="7"/>
      <c r="AR234" s="7"/>
      <c r="AS234" s="7"/>
      <c r="AT234" s="7"/>
      <c r="AU234" s="7">
        <v>0.0</v>
      </c>
      <c r="AV234" s="7" t="s">
        <v>3302</v>
      </c>
      <c r="AW234" s="7"/>
      <c r="AX234" s="7"/>
      <c r="AY234" s="7"/>
      <c r="AZ234" s="7"/>
      <c r="BA234" s="7"/>
      <c r="BB234" s="7"/>
      <c r="BC234" s="7" t="s">
        <v>366</v>
      </c>
      <c r="BD234" s="21">
        <v>44197.0</v>
      </c>
      <c r="BE234" s="7"/>
      <c r="BF234" s="7"/>
      <c r="BG234" s="22">
        <v>44197.0</v>
      </c>
      <c r="BH234" s="7">
        <v>5.04873613E8</v>
      </c>
      <c r="BI234" s="7" t="s">
        <v>3303</v>
      </c>
      <c r="BJ234" s="7"/>
      <c r="BK234" s="7" t="b">
        <v>0</v>
      </c>
      <c r="BL234" s="7" t="b">
        <v>0</v>
      </c>
      <c r="BM234" s="7"/>
      <c r="BN234" s="7" t="str">
        <f>IFERROR(__xludf.DUMMYFUNCTION(" IF( REGEXMATCH(C234 , ""[(].+[)]""),REGEXREPLACE( CONCATENATE(REGEXEXTRACT(C234 , ""[(].+[)]""),IF(REGEXMATCH(C234 , ""[(][Ll]['’][)]""),"""","" ""), REGEXEXTRACT(C234 ,""^(?:(?:[A-Za-zàäéèêîïöôûü0-9 ](?:[A-Za-zàäéèêîïöôûü'0-9 ]+)))"")) , ""[()]"", """")"&amp;",C234 )"),"Eclats d'Arômes")</f>
        <v>Eclats d'Arômes</v>
      </c>
      <c r="BO234" s="23"/>
      <c r="BP234" s="7"/>
      <c r="BQ234" s="7"/>
      <c r="BR234" s="7"/>
      <c r="BS234" s="7"/>
      <c r="BT234" s="7"/>
      <c r="BU234" s="7"/>
      <c r="BV234" s="7"/>
      <c r="BW234" s="7"/>
      <c r="BX234" s="7"/>
      <c r="BY234" s="7"/>
      <c r="BZ234" s="7"/>
      <c r="CA234" s="7"/>
      <c r="CB234" s="7"/>
    </row>
    <row r="235" ht="21.75" customHeight="1">
      <c r="A235" s="7">
        <v>1963.0</v>
      </c>
      <c r="B235" s="7">
        <v>234.0</v>
      </c>
      <c r="C235" s="7" t="s">
        <v>3304</v>
      </c>
      <c r="D235" s="7" t="s">
        <v>3305</v>
      </c>
      <c r="E235" s="7"/>
      <c r="F235" s="7" t="s">
        <v>404</v>
      </c>
      <c r="G235" s="7" t="s">
        <v>343</v>
      </c>
      <c r="H235" s="7" t="s">
        <v>33</v>
      </c>
      <c r="I235" s="7" t="s">
        <v>3306</v>
      </c>
      <c r="J235" s="7"/>
      <c r="K235" s="7" t="s">
        <v>822</v>
      </c>
      <c r="L235" s="7" t="s">
        <v>1805</v>
      </c>
      <c r="M235" s="7" t="s">
        <v>2684</v>
      </c>
      <c r="N235" s="7" t="s">
        <v>375</v>
      </c>
      <c r="O235" s="7">
        <v>97442.0</v>
      </c>
      <c r="P235" s="7" t="s">
        <v>33</v>
      </c>
      <c r="Q235" s="7"/>
      <c r="R235" s="7"/>
      <c r="S235" s="7" t="s">
        <v>3307</v>
      </c>
      <c r="T235" s="7" t="s">
        <v>377</v>
      </c>
      <c r="U235" s="7" t="s">
        <v>378</v>
      </c>
      <c r="V235" s="7">
        <v>2.62371298E8</v>
      </c>
      <c r="W235" s="7"/>
      <c r="X235" s="7"/>
      <c r="Y235" s="7">
        <v>2.62371643E8</v>
      </c>
      <c r="Z235" s="7"/>
      <c r="AA235" s="7">
        <v>12.0</v>
      </c>
      <c r="AB235" s="7"/>
      <c r="AC235" s="7"/>
      <c r="AD235" s="7" t="s">
        <v>3308</v>
      </c>
      <c r="AE235" s="7" t="s">
        <v>3309</v>
      </c>
      <c r="AF235" s="7" t="s">
        <v>1173</v>
      </c>
      <c r="AG235" s="7"/>
      <c r="AH235" s="20">
        <v>43739.0</v>
      </c>
      <c r="AI235" s="7"/>
      <c r="AJ235" s="7" t="s">
        <v>3305</v>
      </c>
      <c r="AK235" s="7"/>
      <c r="AL235" s="7" t="s">
        <v>3310</v>
      </c>
      <c r="AM235" s="7" t="s">
        <v>3311</v>
      </c>
      <c r="AN235" s="20">
        <v>43739.0</v>
      </c>
      <c r="AO235" s="7">
        <v>97442.0</v>
      </c>
      <c r="AP235" s="7" t="s">
        <v>884</v>
      </c>
      <c r="AQ235" s="7"/>
      <c r="AR235" s="7"/>
      <c r="AS235" s="7"/>
      <c r="AT235" s="7"/>
      <c r="AU235" s="7">
        <v>0.0</v>
      </c>
      <c r="AV235" s="7" t="s">
        <v>3312</v>
      </c>
      <c r="AW235" s="7"/>
      <c r="AX235" s="7"/>
      <c r="AY235" s="7"/>
      <c r="AZ235" s="7"/>
      <c r="BA235" s="7"/>
      <c r="BB235" s="7"/>
      <c r="BC235" s="7" t="s">
        <v>366</v>
      </c>
      <c r="BD235" s="21">
        <v>44197.0</v>
      </c>
      <c r="BE235" s="7"/>
      <c r="BF235" s="7"/>
      <c r="BG235" s="22">
        <v>44197.0</v>
      </c>
      <c r="BH235" s="7"/>
      <c r="BI235" s="7" t="s">
        <v>3313</v>
      </c>
      <c r="BJ235" s="7"/>
      <c r="BK235" s="7" t="b">
        <v>0</v>
      </c>
      <c r="BL235" s="7" t="b">
        <v>0</v>
      </c>
      <c r="BM235" s="7"/>
      <c r="BN235" s="7" t="str">
        <f>IFERROR(__xludf.DUMMYFUNCTION(" IF( REGEXMATCH(C235 , ""[(].+[)]""),REGEXREPLACE( CONCATENATE(REGEXEXTRACT(C235 , ""[(].+[)]""),IF(REGEXMATCH(C235 , ""[(][Ll]['’][)]""),"""","" ""), REGEXEXTRACT(C235 ,""^(?:(?:[A-Za-zàäéèêîïöôûü0-9 ](?:[A-Za-zàäéèêîïöôûü'0-9 ]+)))"")) , ""[()]"", """")"&amp;",C235 )"),"Eco-Musée Au Bon Roi Louis")</f>
        <v>Eco-Musée Au Bon Roi Louis</v>
      </c>
      <c r="BO235" s="23"/>
      <c r="BP235" s="7"/>
      <c r="BQ235" s="7"/>
      <c r="BR235" s="7"/>
      <c r="BS235" s="7"/>
      <c r="BT235" s="7"/>
      <c r="BU235" s="7"/>
      <c r="BV235" s="7"/>
      <c r="BW235" s="7"/>
      <c r="BX235" s="7"/>
      <c r="BY235" s="7"/>
      <c r="BZ235" s="7"/>
      <c r="CA235" s="7"/>
      <c r="CB235" s="7"/>
    </row>
    <row r="236" ht="21.75" customHeight="1">
      <c r="A236" s="7">
        <v>1526.0</v>
      </c>
      <c r="B236" s="7" t="s">
        <v>3314</v>
      </c>
      <c r="C236" s="7" t="s">
        <v>3315</v>
      </c>
      <c r="D236" s="7"/>
      <c r="E236" s="7"/>
      <c r="F236" s="7" t="s">
        <v>342</v>
      </c>
      <c r="G236" s="7" t="s">
        <v>343</v>
      </c>
      <c r="H236" s="7" t="s">
        <v>344</v>
      </c>
      <c r="I236" s="7" t="s">
        <v>3316</v>
      </c>
      <c r="J236" s="26" t="s">
        <v>3317</v>
      </c>
      <c r="K236" s="7" t="s">
        <v>58</v>
      </c>
      <c r="L236" s="7" t="s">
        <v>1141</v>
      </c>
      <c r="M236" s="7" t="s">
        <v>1141</v>
      </c>
      <c r="N236" s="7" t="s">
        <v>407</v>
      </c>
      <c r="O236" s="7">
        <v>97418.0</v>
      </c>
      <c r="P236" s="7" t="s">
        <v>348</v>
      </c>
      <c r="Q236" s="7" t="s">
        <v>570</v>
      </c>
      <c r="R236" s="7" t="s">
        <v>3318</v>
      </c>
      <c r="S236" s="7" t="s">
        <v>647</v>
      </c>
      <c r="T236" s="7" t="s">
        <v>3319</v>
      </c>
      <c r="U236" s="7" t="s">
        <v>1508</v>
      </c>
      <c r="V236" s="7">
        <v>2.62590202E8</v>
      </c>
      <c r="W236" s="7">
        <v>6.92643092E8</v>
      </c>
      <c r="X236" s="7"/>
      <c r="Y236" s="7">
        <v>2.6259361E8</v>
      </c>
      <c r="Z236" s="7" t="s">
        <v>3320</v>
      </c>
      <c r="AA236" s="7">
        <v>51.0</v>
      </c>
      <c r="AB236" s="7" t="s">
        <v>355</v>
      </c>
      <c r="AC236" s="7" t="s">
        <v>3321</v>
      </c>
      <c r="AD236" s="7" t="s">
        <v>3322</v>
      </c>
      <c r="AE236" s="7" t="s">
        <v>3323</v>
      </c>
      <c r="AF236" s="7" t="s">
        <v>1173</v>
      </c>
      <c r="AG236" s="7"/>
      <c r="AH236" s="20">
        <v>43739.0</v>
      </c>
      <c r="AI236" s="7"/>
      <c r="AJ236" s="7" t="s">
        <v>3324</v>
      </c>
      <c r="AK236" s="7">
        <v>4.0343479800019E13</v>
      </c>
      <c r="AL236" s="7" t="s">
        <v>3325</v>
      </c>
      <c r="AM236" s="7" t="s">
        <v>3326</v>
      </c>
      <c r="AN236" s="20">
        <v>43739.0</v>
      </c>
      <c r="AO236" s="7">
        <v>97418.0</v>
      </c>
      <c r="AP236" s="7" t="s">
        <v>362</v>
      </c>
      <c r="AQ236" s="7"/>
      <c r="AR236" s="7"/>
      <c r="AS236" s="7"/>
      <c r="AT236" s="7"/>
      <c r="AU236" s="7">
        <v>21.0</v>
      </c>
      <c r="AV236" s="7" t="s">
        <v>3327</v>
      </c>
      <c r="AW236" s="7"/>
      <c r="AX236" s="7"/>
      <c r="AY236" s="7"/>
      <c r="AZ236" s="7" t="s">
        <v>3328</v>
      </c>
      <c r="BA236" s="7"/>
      <c r="BB236" s="7"/>
      <c r="BC236" s="7" t="s">
        <v>401</v>
      </c>
      <c r="BD236" s="21">
        <v>44131.0</v>
      </c>
      <c r="BE236" s="7" t="s">
        <v>3329</v>
      </c>
      <c r="BF236" s="7"/>
      <c r="BG236" s="7"/>
      <c r="BH236" s="7">
        <v>4.03434798E8</v>
      </c>
      <c r="BI236" s="7" t="s">
        <v>3330</v>
      </c>
      <c r="BJ236" s="7"/>
      <c r="BK236" s="7" t="b">
        <v>0</v>
      </c>
      <c r="BL236" s="7" t="b">
        <v>0</v>
      </c>
      <c r="BM236" s="7"/>
      <c r="BN236" s="7" t="str">
        <f>IFERROR(__xludf.DUMMYFUNCTION(" IF( REGEXMATCH(C236 , ""[(].+[)]""),REGEXREPLACE( CONCATENATE(REGEXEXTRACT(C236 , ""[(].+[)]""),IF(REGEXMATCH(C236 , ""[(][Ll]['’][)]""),"""","" ""), REGEXEXTRACT(C236 ,""^(?:(?:[A-Za-zàäéèêîïöôûü0-9 ](?:[A-Za-zàäéèêîïöôûü'0-9 ]+)))"")) , ""[()]"", """")"&amp;",C236 )"),"L'Ecrin ")</f>
        <v>L'Ecrin </v>
      </c>
      <c r="BO236" s="25"/>
      <c r="BP236" s="7"/>
      <c r="BQ236" s="7"/>
      <c r="BR236" s="7"/>
      <c r="BS236" s="7"/>
      <c r="BT236" s="7"/>
      <c r="BU236" s="7"/>
      <c r="BV236" s="7"/>
      <c r="BW236" s="7"/>
      <c r="BX236" s="7"/>
      <c r="BY236" s="7"/>
      <c r="BZ236" s="7"/>
      <c r="CA236" s="7"/>
      <c r="CB236" s="7"/>
    </row>
    <row r="237" ht="21.75" customHeight="1">
      <c r="A237" s="7">
        <v>9.0</v>
      </c>
      <c r="B237" s="7" t="s">
        <v>3331</v>
      </c>
      <c r="C237" s="7" t="s">
        <v>3332</v>
      </c>
      <c r="D237" s="7" t="s">
        <v>3332</v>
      </c>
      <c r="E237" s="7"/>
      <c r="F237" s="7" t="s">
        <v>342</v>
      </c>
      <c r="G237" s="7" t="s">
        <v>343</v>
      </c>
      <c r="H237" s="7" t="s">
        <v>344</v>
      </c>
      <c r="I237" s="7" t="s">
        <v>3333</v>
      </c>
      <c r="J237" s="7"/>
      <c r="K237" s="6" t="s">
        <v>469</v>
      </c>
      <c r="L237" s="7" t="s">
        <v>470</v>
      </c>
      <c r="M237" s="7" t="s">
        <v>608</v>
      </c>
      <c r="N237" s="7" t="s">
        <v>569</v>
      </c>
      <c r="O237" s="7">
        <v>97418.0</v>
      </c>
      <c r="P237" s="7" t="s">
        <v>348</v>
      </c>
      <c r="Q237" s="7" t="s">
        <v>349</v>
      </c>
      <c r="R237" s="7" t="s">
        <v>801</v>
      </c>
      <c r="S237" s="7" t="s">
        <v>3334</v>
      </c>
      <c r="T237" s="7" t="s">
        <v>974</v>
      </c>
      <c r="U237" s="7" t="s">
        <v>353</v>
      </c>
      <c r="V237" s="7"/>
      <c r="W237" s="7">
        <v>6.92614679E8</v>
      </c>
      <c r="X237" s="7"/>
      <c r="Y237" s="7"/>
      <c r="Z237" s="7" t="s">
        <v>3335</v>
      </c>
      <c r="AA237" s="7">
        <v>10.0</v>
      </c>
      <c r="AB237" s="7"/>
      <c r="AC237" s="7" t="s">
        <v>3336</v>
      </c>
      <c r="AD237" s="7" t="s">
        <v>3337</v>
      </c>
      <c r="AE237" s="7" t="s">
        <v>3338</v>
      </c>
      <c r="AF237" s="7" t="s">
        <v>613</v>
      </c>
      <c r="AG237" s="7" t="s">
        <v>3339</v>
      </c>
      <c r="AH237" s="20">
        <v>39691.0</v>
      </c>
      <c r="AI237" s="7"/>
      <c r="AJ237" s="7" t="s">
        <v>3340</v>
      </c>
      <c r="AK237" s="7">
        <v>4.3493569800028E13</v>
      </c>
      <c r="AL237" s="7" t="s">
        <v>3341</v>
      </c>
      <c r="AM237" s="7" t="s">
        <v>3342</v>
      </c>
      <c r="AN237" s="20">
        <v>39575.0</v>
      </c>
      <c r="AO237" s="7">
        <v>97418.0</v>
      </c>
      <c r="AP237" s="7" t="s">
        <v>362</v>
      </c>
      <c r="AQ237" s="7"/>
      <c r="AR237" s="7"/>
      <c r="AS237" s="7"/>
      <c r="AT237" s="7"/>
      <c r="AU237" s="7">
        <v>0.0</v>
      </c>
      <c r="AV237" s="7" t="s">
        <v>3343</v>
      </c>
      <c r="AW237" s="7"/>
      <c r="AX237" s="7"/>
      <c r="AY237" s="7"/>
      <c r="AZ237" s="7"/>
      <c r="BA237" s="7"/>
      <c r="BB237" s="7"/>
      <c r="BC237" s="7" t="s">
        <v>401</v>
      </c>
      <c r="BD237" s="21">
        <v>43841.0</v>
      </c>
      <c r="BE237" s="7" t="s">
        <v>3344</v>
      </c>
      <c r="BF237" s="7"/>
      <c r="BG237" s="7"/>
      <c r="BH237" s="7">
        <v>4.34935698E8</v>
      </c>
      <c r="BI237" s="7" t="s">
        <v>3345</v>
      </c>
      <c r="BJ237" s="7"/>
      <c r="BK237" s="7" t="b">
        <v>0</v>
      </c>
      <c r="BL237" s="7" t="b">
        <v>0</v>
      </c>
      <c r="BM237" s="7"/>
      <c r="BN237" s="7" t="str">
        <f>IFERROR(__xludf.DUMMYFUNCTION(" IF( REGEXMATCH(C237 , ""[(].+[)]""),REGEXREPLACE( CONCATENATE(REGEXEXTRACT(C237 , ""[(].+[)]""),IF(REGEXMATCH(C237 , ""[(][Ll]['’][)]""),"""","" ""), REGEXEXTRACT(C237 ,""^(?:(?:[A-Za-zàäéèêîïöôûü0-9 ](?:[A-Za-zàäéèêîïöôûü'0-9 ]+)))"")) , ""[()]"", """")"&amp;",C237 )"),"Ecurie Notre Dame de la Paix")</f>
        <v>Ecurie Notre Dame de la Paix</v>
      </c>
      <c r="BO237" s="25"/>
      <c r="BP237" s="7"/>
      <c r="BQ237" s="7"/>
      <c r="BR237" s="7"/>
      <c r="BS237" s="7"/>
      <c r="BT237" s="7"/>
      <c r="BU237" s="7"/>
      <c r="BV237" s="7"/>
      <c r="BW237" s="7"/>
      <c r="BX237" s="7"/>
      <c r="BY237" s="7"/>
      <c r="BZ237" s="7"/>
      <c r="CA237" s="7"/>
      <c r="CB237" s="7"/>
    </row>
    <row r="238" ht="21.75" customHeight="1">
      <c r="A238" s="7">
        <v>10.0</v>
      </c>
      <c r="B238" s="7" t="s">
        <v>3346</v>
      </c>
      <c r="C238" s="7" t="s">
        <v>3347</v>
      </c>
      <c r="D238" s="7" t="s">
        <v>3347</v>
      </c>
      <c r="E238" s="7"/>
      <c r="F238" s="7" t="s">
        <v>342</v>
      </c>
      <c r="G238" s="7" t="s">
        <v>343</v>
      </c>
      <c r="H238" s="7" t="s">
        <v>344</v>
      </c>
      <c r="I238" s="7" t="s">
        <v>3348</v>
      </c>
      <c r="J238" s="26" t="s">
        <v>3349</v>
      </c>
      <c r="K238" s="6" t="s">
        <v>469</v>
      </c>
      <c r="L238" s="7" t="s">
        <v>470</v>
      </c>
      <c r="M238" s="7" t="s">
        <v>608</v>
      </c>
      <c r="N238" s="7" t="s">
        <v>407</v>
      </c>
      <c r="O238" s="7">
        <v>97418.0</v>
      </c>
      <c r="P238" s="7" t="s">
        <v>348</v>
      </c>
      <c r="Q238" s="7" t="s">
        <v>570</v>
      </c>
      <c r="R238" s="7" t="s">
        <v>801</v>
      </c>
      <c r="S238" s="7" t="s">
        <v>1179</v>
      </c>
      <c r="T238" s="7" t="s">
        <v>377</v>
      </c>
      <c r="U238" s="7" t="s">
        <v>353</v>
      </c>
      <c r="V238" s="7"/>
      <c r="W238" s="7">
        <v>6.9266629E8</v>
      </c>
      <c r="X238" s="7"/>
      <c r="Y238" s="7"/>
      <c r="Z238" s="7" t="s">
        <v>3350</v>
      </c>
      <c r="AA238" s="7"/>
      <c r="AB238" s="7"/>
      <c r="AC238" s="7" t="s">
        <v>3351</v>
      </c>
      <c r="AD238" s="7" t="s">
        <v>3352</v>
      </c>
      <c r="AE238" s="7" t="s">
        <v>3353</v>
      </c>
      <c r="AF238" s="7" t="s">
        <v>613</v>
      </c>
      <c r="AG238" s="7" t="s">
        <v>3339</v>
      </c>
      <c r="AH238" s="20">
        <v>39575.0</v>
      </c>
      <c r="AI238" s="7"/>
      <c r="AJ238" s="7" t="s">
        <v>3354</v>
      </c>
      <c r="AK238" s="7">
        <v>3.4081504200049E13</v>
      </c>
      <c r="AL238" s="7" t="s">
        <v>3355</v>
      </c>
      <c r="AM238" s="7" t="s">
        <v>3356</v>
      </c>
      <c r="AN238" s="20">
        <v>39575.0</v>
      </c>
      <c r="AO238" s="7">
        <v>97418.0</v>
      </c>
      <c r="AP238" s="7" t="s">
        <v>362</v>
      </c>
      <c r="AQ238" s="7"/>
      <c r="AR238" s="7"/>
      <c r="AS238" s="7"/>
      <c r="AT238" s="7"/>
      <c r="AU238" s="7">
        <v>0.0</v>
      </c>
      <c r="AV238" s="7" t="s">
        <v>3357</v>
      </c>
      <c r="AW238" s="7"/>
      <c r="AX238" s="7"/>
      <c r="AY238" s="7"/>
      <c r="AZ238" s="7"/>
      <c r="BA238" s="7"/>
      <c r="BB238" s="7"/>
      <c r="BC238" s="7" t="s">
        <v>401</v>
      </c>
      <c r="BD238" s="21">
        <v>44148.13125</v>
      </c>
      <c r="BE238" s="7" t="s">
        <v>449</v>
      </c>
      <c r="BF238" s="7"/>
      <c r="BG238" s="7"/>
      <c r="BH238" s="7">
        <v>3.40815042E8</v>
      </c>
      <c r="BI238" s="7" t="s">
        <v>3358</v>
      </c>
      <c r="BJ238" s="7"/>
      <c r="BK238" s="7" t="b">
        <v>0</v>
      </c>
      <c r="BL238" s="7" t="b">
        <v>0</v>
      </c>
      <c r="BM238" s="7"/>
      <c r="BN238" s="7" t="str">
        <f>IFERROR(__xludf.DUMMYFUNCTION(" IF( REGEXMATCH(C238 , ""[(].+[)]""),REGEXREPLACE( CONCATENATE(REGEXEXTRACT(C238 , ""[(].+[)]""),IF(REGEXMATCH(C238 , ""[(][Ll]['’][)]""),"""","" ""), REGEXEXTRACT(C238 ,""^(?:(?:[A-Za-zàäéèêîïöôûü0-9 ](?:[A-Za-zàäéèêîïöôûü'0-9 ]+)))"")) , ""[()]"", """")"&amp;",C238 )"),"Les Ecuries du Volcan ")</f>
        <v>Les Ecuries du Volcan </v>
      </c>
      <c r="BO238" s="25"/>
      <c r="BP238" s="7"/>
      <c r="BQ238" s="7"/>
      <c r="BR238" s="7"/>
      <c r="BS238" s="7"/>
      <c r="BT238" s="7"/>
      <c r="BU238" s="7"/>
      <c r="BV238" s="7"/>
      <c r="BW238" s="7"/>
      <c r="BX238" s="7"/>
      <c r="BY238" s="7"/>
      <c r="BZ238" s="7"/>
      <c r="CA238" s="7"/>
      <c r="CB238" s="7"/>
    </row>
    <row r="239" ht="21.75" customHeight="1">
      <c r="A239" s="7">
        <v>2058.0</v>
      </c>
      <c r="B239" s="7">
        <v>238.0</v>
      </c>
      <c r="C239" s="7" t="s">
        <v>3359</v>
      </c>
      <c r="D239" s="7" t="s">
        <v>3360</v>
      </c>
      <c r="E239" s="7"/>
      <c r="F239" s="7" t="s">
        <v>404</v>
      </c>
      <c r="G239" s="7" t="s">
        <v>343</v>
      </c>
      <c r="H239" s="7" t="s">
        <v>344</v>
      </c>
      <c r="I239" s="7" t="s">
        <v>3361</v>
      </c>
      <c r="J239" s="7"/>
      <c r="K239" s="6" t="s">
        <v>469</v>
      </c>
      <c r="L239" s="7" t="s">
        <v>1792</v>
      </c>
      <c r="M239" s="7" t="s">
        <v>3362</v>
      </c>
      <c r="N239" s="7" t="s">
        <v>664</v>
      </c>
      <c r="O239" s="7">
        <v>97430.0</v>
      </c>
      <c r="P239" s="7" t="s">
        <v>344</v>
      </c>
      <c r="Q239" s="7"/>
      <c r="R239" s="7"/>
      <c r="S239" s="7"/>
      <c r="T239" s="7" t="s">
        <v>1155</v>
      </c>
      <c r="U239" s="7" t="s">
        <v>378</v>
      </c>
      <c r="V239" s="7">
        <v>2.62571489E8</v>
      </c>
      <c r="W239" s="7"/>
      <c r="X239" s="7"/>
      <c r="Y239" s="7"/>
      <c r="Z239" s="7"/>
      <c r="AA239" s="7"/>
      <c r="AB239" s="7"/>
      <c r="AC239" s="7"/>
      <c r="AD239" s="7" t="s">
        <v>3363</v>
      </c>
      <c r="AE239" s="7"/>
      <c r="AF239" s="7"/>
      <c r="AG239" s="7"/>
      <c r="AH239" s="20">
        <v>43739.0</v>
      </c>
      <c r="AI239" s="7"/>
      <c r="AJ239" s="7" t="s">
        <v>3359</v>
      </c>
      <c r="AK239" s="7"/>
      <c r="AL239" s="7" t="s">
        <v>3364</v>
      </c>
      <c r="AM239" s="7" t="s">
        <v>3365</v>
      </c>
      <c r="AN239" s="20">
        <v>43739.0</v>
      </c>
      <c r="AO239" s="7">
        <v>97430.0</v>
      </c>
      <c r="AP239" s="7" t="s">
        <v>494</v>
      </c>
      <c r="AQ239" s="7"/>
      <c r="AR239" s="7"/>
      <c r="AS239" s="7"/>
      <c r="AT239" s="7"/>
      <c r="AU239" s="7">
        <v>0.0</v>
      </c>
      <c r="AV239" s="7" t="s">
        <v>3366</v>
      </c>
      <c r="AW239" s="7"/>
      <c r="AX239" s="7"/>
      <c r="AY239" s="7"/>
      <c r="AZ239" s="7"/>
      <c r="BA239" s="7"/>
      <c r="BB239" s="7"/>
      <c r="BC239" s="7" t="s">
        <v>366</v>
      </c>
      <c r="BD239" s="21">
        <v>44197.0</v>
      </c>
      <c r="BE239" s="7"/>
      <c r="BF239" s="7"/>
      <c r="BG239" s="22">
        <v>44197.0</v>
      </c>
      <c r="BH239" s="7"/>
      <c r="BI239" s="7" t="s">
        <v>3367</v>
      </c>
      <c r="BJ239" s="7"/>
      <c r="BK239" s="7" t="b">
        <v>0</v>
      </c>
      <c r="BL239" s="7" t="b">
        <v>0</v>
      </c>
      <c r="BM239" s="7"/>
      <c r="BN239" s="7" t="str">
        <f>IFERROR(__xludf.DUMMYFUNCTION(" IF( REGEXMATCH(C239 , ""[(].+[)]""),REGEXREPLACE( CONCATENATE(REGEXEXTRACT(C239 , ""[(].+[)]""),IF(REGEXMATCH(C239 , ""[(][Ll]['’][)]""),"""","" ""), REGEXEXTRACT(C239 ,""^(?:(?:[A-Za-zàäéèêîïöôûü0-9 ](?:[A-Za-zàäéèêîïöôûü'0-9 ]+)))"")) , ""[()]"", """")"&amp;",C239 )"),"L'Eden ")</f>
        <v>L'Eden </v>
      </c>
      <c r="BO239" s="23"/>
      <c r="BP239" s="7"/>
      <c r="BQ239" s="7"/>
      <c r="BR239" s="7"/>
      <c r="BS239" s="7"/>
      <c r="BT239" s="7"/>
      <c r="BU239" s="7"/>
      <c r="BV239" s="7"/>
      <c r="BW239" s="7"/>
      <c r="BX239" s="7"/>
      <c r="BY239" s="7"/>
      <c r="BZ239" s="7"/>
      <c r="CA239" s="7"/>
      <c r="CB239" s="7"/>
    </row>
    <row r="240" ht="21.75" customHeight="1">
      <c r="A240" s="7">
        <v>2348.0</v>
      </c>
      <c r="B240" s="7" t="s">
        <v>3368</v>
      </c>
      <c r="C240" s="7" t="s">
        <v>3369</v>
      </c>
      <c r="D240" s="7" t="s">
        <v>3370</v>
      </c>
      <c r="E240" s="7"/>
      <c r="F240" s="7" t="s">
        <v>404</v>
      </c>
      <c r="G240" s="7" t="s">
        <v>343</v>
      </c>
      <c r="H240" s="7" t="s">
        <v>40</v>
      </c>
      <c r="I240" s="7" t="s">
        <v>3371</v>
      </c>
      <c r="J240" s="26" t="s">
        <v>3372</v>
      </c>
      <c r="K240" s="6" t="s">
        <v>469</v>
      </c>
      <c r="L240" s="7" t="s">
        <v>197</v>
      </c>
      <c r="M240" s="7" t="s">
        <v>3373</v>
      </c>
      <c r="N240" s="7" t="s">
        <v>422</v>
      </c>
      <c r="O240" s="7">
        <v>97414.0</v>
      </c>
      <c r="P240" s="7" t="s">
        <v>40</v>
      </c>
      <c r="Q240" s="7"/>
      <c r="R240" s="7"/>
      <c r="S240" s="7" t="s">
        <v>3374</v>
      </c>
      <c r="T240" s="7" t="s">
        <v>377</v>
      </c>
      <c r="U240" s="7" t="s">
        <v>378</v>
      </c>
      <c r="V240" s="7">
        <v>2.62498023E8</v>
      </c>
      <c r="W240" s="7">
        <v>6.92603038E8</v>
      </c>
      <c r="X240" s="7"/>
      <c r="Y240" s="7"/>
      <c r="Z240" s="7" t="s">
        <v>3375</v>
      </c>
      <c r="AA240" s="7"/>
      <c r="AB240" s="7"/>
      <c r="AC240" s="7"/>
      <c r="AD240" s="7" t="s">
        <v>3376</v>
      </c>
      <c r="AE240" s="7"/>
      <c r="AF240" s="7" t="s">
        <v>3377</v>
      </c>
      <c r="AG240" s="7"/>
      <c r="AH240" s="20">
        <v>43739.0</v>
      </c>
      <c r="AI240" s="7"/>
      <c r="AJ240" s="7" t="s">
        <v>3378</v>
      </c>
      <c r="AK240" s="7">
        <v>7.509370210002E13</v>
      </c>
      <c r="AL240" s="7" t="s">
        <v>3379</v>
      </c>
      <c r="AM240" s="7" t="s">
        <v>3380</v>
      </c>
      <c r="AN240" s="20">
        <v>43739.0</v>
      </c>
      <c r="AO240" s="7">
        <v>97414.0</v>
      </c>
      <c r="AP240" s="7" t="s">
        <v>429</v>
      </c>
      <c r="AQ240" s="7"/>
      <c r="AR240" s="7"/>
      <c r="AS240" s="7"/>
      <c r="AT240" s="7"/>
      <c r="AU240" s="7">
        <v>0.0</v>
      </c>
      <c r="AV240" s="7" t="s">
        <v>3381</v>
      </c>
      <c r="AW240" s="7"/>
      <c r="AX240" s="7"/>
      <c r="AY240" s="7"/>
      <c r="AZ240" s="7"/>
      <c r="BA240" s="7"/>
      <c r="BB240" s="7"/>
      <c r="BC240" s="7" t="s">
        <v>401</v>
      </c>
      <c r="BD240" s="21">
        <v>44082.0</v>
      </c>
      <c r="BE240" s="7" t="s">
        <v>3382</v>
      </c>
      <c r="BF240" s="7"/>
      <c r="BG240" s="7"/>
      <c r="BH240" s="7">
        <v>7.50937021E8</v>
      </c>
      <c r="BI240" s="7" t="s">
        <v>3383</v>
      </c>
      <c r="BJ240" s="7"/>
      <c r="BK240" s="7" t="b">
        <v>0</v>
      </c>
      <c r="BL240" s="7" t="b">
        <v>0</v>
      </c>
      <c r="BM240" s="7"/>
      <c r="BN240" s="7" t="str">
        <f>IFERROR(__xludf.DUMMYFUNCTION(" IF( REGEXMATCH(C240 , ""[(].+[)]""),REGEXREPLACE( CONCATENATE(REGEXEXTRACT(C240 , ""[(].+[)]""),IF(REGEXMATCH(C240 , ""[(][Ll]['’][)]""),"""","" ""), REGEXEXTRACT(C240 ,""^(?:(?:[A-Za-zàäéèêîïöôûü0-9 ](?:[A-Za-zàäéèêîïöôûü'0-9 ]+)))"")) , ""[()]"", """")"&amp;",C240 )"),"Edgar Edition")</f>
        <v>Edgar Edition</v>
      </c>
      <c r="BO240" s="25"/>
      <c r="BP240" s="7"/>
      <c r="BQ240" s="7"/>
      <c r="BR240" s="7"/>
      <c r="BS240" s="7"/>
      <c r="BT240" s="7"/>
      <c r="BU240" s="7"/>
      <c r="BV240" s="7"/>
      <c r="BW240" s="7"/>
      <c r="BX240" s="7"/>
      <c r="BY240" s="7"/>
      <c r="BZ240" s="7"/>
      <c r="CA240" s="7"/>
      <c r="CB240" s="7"/>
    </row>
    <row r="241" ht="21.75" customHeight="1">
      <c r="A241" s="7">
        <v>1692.0</v>
      </c>
      <c r="B241" s="7" t="s">
        <v>3384</v>
      </c>
      <c r="C241" s="7" t="s">
        <v>3385</v>
      </c>
      <c r="D241" s="7" t="s">
        <v>3386</v>
      </c>
      <c r="E241" s="7"/>
      <c r="F241" s="7" t="s">
        <v>342</v>
      </c>
      <c r="G241" s="7" t="s">
        <v>343</v>
      </c>
      <c r="H241" s="7" t="s">
        <v>344</v>
      </c>
      <c r="I241" s="7" t="s">
        <v>3387</v>
      </c>
      <c r="J241" s="26" t="s">
        <v>3388</v>
      </c>
      <c r="K241" s="6" t="s">
        <v>1359</v>
      </c>
      <c r="L241" s="7" t="s">
        <v>3389</v>
      </c>
      <c r="M241" s="7" t="s">
        <v>3390</v>
      </c>
      <c r="N241" s="7" t="s">
        <v>375</v>
      </c>
      <c r="O241" s="7">
        <v>97430.0</v>
      </c>
      <c r="P241" s="7" t="s">
        <v>344</v>
      </c>
      <c r="Q241" s="7"/>
      <c r="R241" s="7"/>
      <c r="S241" s="7"/>
      <c r="T241" s="7" t="s">
        <v>1155</v>
      </c>
      <c r="U241" s="7" t="s">
        <v>378</v>
      </c>
      <c r="V241" s="7">
        <v>2.62596858E8</v>
      </c>
      <c r="W241" s="7">
        <v>6.92020342E8</v>
      </c>
      <c r="X241" s="7"/>
      <c r="Y241" s="7"/>
      <c r="Z241" s="7" t="s">
        <v>3391</v>
      </c>
      <c r="AA241" s="7">
        <v>70.0</v>
      </c>
      <c r="AB241" s="7"/>
      <c r="AC241" s="7"/>
      <c r="AD241" s="7" t="s">
        <v>3392</v>
      </c>
      <c r="AE241" s="7" t="s">
        <v>3393</v>
      </c>
      <c r="AF241" s="7"/>
      <c r="AG241" s="7"/>
      <c r="AH241" s="20">
        <v>43739.0</v>
      </c>
      <c r="AI241" s="7"/>
      <c r="AJ241" s="7" t="s">
        <v>3394</v>
      </c>
      <c r="AK241" s="7">
        <v>5.1486215000018E13</v>
      </c>
      <c r="AL241" s="7" t="s">
        <v>3395</v>
      </c>
      <c r="AM241" s="7" t="s">
        <v>3396</v>
      </c>
      <c r="AN241" s="20">
        <v>43739.0</v>
      </c>
      <c r="AO241" s="7">
        <v>97430.0</v>
      </c>
      <c r="AP241" s="7" t="s">
        <v>494</v>
      </c>
      <c r="AQ241" s="7"/>
      <c r="AR241" s="7"/>
      <c r="AS241" s="7"/>
      <c r="AT241" s="7"/>
      <c r="AU241" s="7">
        <v>0.0</v>
      </c>
      <c r="AV241" s="7" t="s">
        <v>3397</v>
      </c>
      <c r="AW241" s="7"/>
      <c r="AX241" s="7"/>
      <c r="AY241" s="7"/>
      <c r="AZ241" s="7"/>
      <c r="BA241" s="7"/>
      <c r="BB241" s="7"/>
      <c r="BC241" s="7" t="s">
        <v>401</v>
      </c>
      <c r="BD241" s="7"/>
      <c r="BE241" s="7" t="s">
        <v>2919</v>
      </c>
      <c r="BF241" s="7"/>
      <c r="BG241" s="7"/>
      <c r="BH241" s="7">
        <v>5.1486215E8</v>
      </c>
      <c r="BI241" s="7" t="s">
        <v>3398</v>
      </c>
      <c r="BJ241" s="7"/>
      <c r="BK241" s="7" t="b">
        <v>0</v>
      </c>
      <c r="BL241" s="7" t="b">
        <v>0</v>
      </c>
      <c r="BM241" s="7"/>
      <c r="BN241" s="7" t="str">
        <f>IFERROR(__xludf.DUMMYFUNCTION(" IF( REGEXMATCH(C241 , ""[(].+[)]""),REGEXREPLACE( CONCATENATE(REGEXEXTRACT(C241 , ""[(].+[)]""),IF(REGEXMATCH(C241 , ""[(][Ll]['’][)]""),"""","" ""), REGEXEXTRACT(C241 ,""^(?:(?:[A-Za-zàäéèêîïöôûü0-9 ](?:[A-Za-zàäéèêîïöôûü'0-9 ]+)))"")) , ""[()]"", """")"&amp;",C241 )"),"El latino")</f>
        <v>El latino</v>
      </c>
      <c r="BO241" s="25"/>
      <c r="BP241" s="7"/>
      <c r="BQ241" s="7"/>
      <c r="BR241" s="7"/>
      <c r="BS241" s="7"/>
      <c r="BT241" s="7"/>
      <c r="BU241" s="7"/>
      <c r="BV241" s="7"/>
      <c r="BW241" s="7"/>
      <c r="BX241" s="7"/>
      <c r="BY241" s="7"/>
      <c r="BZ241" s="7"/>
      <c r="CA241" s="7"/>
      <c r="CB241" s="7"/>
    </row>
    <row r="242" ht="21.75" customHeight="1">
      <c r="A242" s="7">
        <v>3893.0</v>
      </c>
      <c r="B242" s="7">
        <v>241.0</v>
      </c>
      <c r="C242" s="7" t="s">
        <v>3399</v>
      </c>
      <c r="D242" s="7"/>
      <c r="E242" s="7"/>
      <c r="F242" s="7" t="s">
        <v>404</v>
      </c>
      <c r="G242" s="7" t="s">
        <v>343</v>
      </c>
      <c r="H242" s="7" t="s">
        <v>344</v>
      </c>
      <c r="I242" s="7" t="s">
        <v>3400</v>
      </c>
      <c r="J242" s="7"/>
      <c r="K242" s="7" t="s">
        <v>58</v>
      </c>
      <c r="L242" s="7" t="s">
        <v>59</v>
      </c>
      <c r="M242" s="7" t="s">
        <v>346</v>
      </c>
      <c r="N242" s="7" t="s">
        <v>455</v>
      </c>
      <c r="O242" s="7">
        <v>97418.0</v>
      </c>
      <c r="P242" s="7" t="s">
        <v>348</v>
      </c>
      <c r="Q242" s="7" t="s">
        <v>349</v>
      </c>
      <c r="R242" s="7"/>
      <c r="S242" s="7"/>
      <c r="T242" s="7"/>
      <c r="U242" s="7"/>
      <c r="V242" s="7"/>
      <c r="W242" s="7">
        <v>6.92636314E8</v>
      </c>
      <c r="X242" s="7"/>
      <c r="Y242" s="7"/>
      <c r="Z242" s="7" t="s">
        <v>3401</v>
      </c>
      <c r="AA242" s="7">
        <v>4.0</v>
      </c>
      <c r="AB242" s="7" t="s">
        <v>574</v>
      </c>
      <c r="AC242" s="7" t="s">
        <v>3402</v>
      </c>
      <c r="AD242" s="7" t="s">
        <v>3403</v>
      </c>
      <c r="AE242" s="7"/>
      <c r="AF242" s="7"/>
      <c r="AG242" s="7"/>
      <c r="AH242" s="20">
        <v>42170.0</v>
      </c>
      <c r="AI242" s="7"/>
      <c r="AJ242" s="7" t="s">
        <v>3404</v>
      </c>
      <c r="AK242" s="7"/>
      <c r="AL242" s="7" t="s">
        <v>3405</v>
      </c>
      <c r="AM242" s="7" t="s">
        <v>3406</v>
      </c>
      <c r="AN242" s="20">
        <v>42170.0</v>
      </c>
      <c r="AO242" s="7">
        <v>97418.0</v>
      </c>
      <c r="AP242" s="7" t="s">
        <v>362</v>
      </c>
      <c r="AQ242" s="7"/>
      <c r="AR242" s="7"/>
      <c r="AS242" s="7"/>
      <c r="AT242" s="7"/>
      <c r="AU242" s="7">
        <v>1.0</v>
      </c>
      <c r="AV242" s="7" t="s">
        <v>3407</v>
      </c>
      <c r="AW242" s="7"/>
      <c r="AX242" s="7"/>
      <c r="AY242" s="7"/>
      <c r="AZ242" s="7" t="s">
        <v>3408</v>
      </c>
      <c r="BA242" s="7"/>
      <c r="BB242" s="7"/>
      <c r="BC242" s="7" t="s">
        <v>366</v>
      </c>
      <c r="BD242" s="21">
        <v>44197.0</v>
      </c>
      <c r="BE242" s="7"/>
      <c r="BF242" s="7"/>
      <c r="BG242" s="22">
        <v>44197.0</v>
      </c>
      <c r="BH242" s="7"/>
      <c r="BI242" s="7" t="s">
        <v>3409</v>
      </c>
      <c r="BJ242" s="7"/>
      <c r="BK242" s="7" t="b">
        <v>0</v>
      </c>
      <c r="BL242" s="7" t="b">
        <v>0</v>
      </c>
      <c r="BM242" s="7"/>
      <c r="BN242" s="7" t="str">
        <f>IFERROR(__xludf.DUMMYFUNCTION(" IF( REGEXMATCH(C242 , ""[(].+[)]""),REGEXREPLACE( CONCATENATE(REGEXEXTRACT(C242 , ""[(].+[)]""),IF(REGEXMATCH(C242 , ""[(][Ll]['’][)]""),"""","" ""), REGEXEXTRACT(C242 ,""^(?:(?:[A-Za-zàäéèêîïöôûü0-9 ](?:[A-Za-zàäéèêîïöôûü'0-9 ]+)))"")) , ""[()]"", """")"&amp;",C242 )"),"Emi'Liane")</f>
        <v>Emi'Liane</v>
      </c>
      <c r="BO242" s="23"/>
      <c r="BP242" s="7"/>
      <c r="BQ242" s="7"/>
      <c r="BR242" s="7"/>
      <c r="BS242" s="7"/>
      <c r="BT242" s="7"/>
      <c r="BU242" s="7"/>
      <c r="BV242" s="7"/>
      <c r="BW242" s="7"/>
      <c r="BX242" s="7"/>
      <c r="BY242" s="7"/>
      <c r="BZ242" s="7"/>
      <c r="CA242" s="7"/>
      <c r="CB242" s="7"/>
    </row>
    <row r="243" ht="21.75" customHeight="1">
      <c r="A243" s="7">
        <v>2024.0</v>
      </c>
      <c r="B243" s="7" t="s">
        <v>3410</v>
      </c>
      <c r="C243" s="7" t="s">
        <v>3411</v>
      </c>
      <c r="D243" s="7"/>
      <c r="E243" s="7"/>
      <c r="F243" s="7" t="s">
        <v>404</v>
      </c>
      <c r="G243" s="7" t="s">
        <v>343</v>
      </c>
      <c r="H243" s="7" t="s">
        <v>344</v>
      </c>
      <c r="I243" s="7" t="s">
        <v>3412</v>
      </c>
      <c r="J243" s="7"/>
      <c r="K243" s="7" t="s">
        <v>822</v>
      </c>
      <c r="L243" s="7" t="s">
        <v>1805</v>
      </c>
      <c r="M243" s="7" t="s">
        <v>1806</v>
      </c>
      <c r="N243" s="7" t="s">
        <v>664</v>
      </c>
      <c r="O243" s="7">
        <v>97430.0</v>
      </c>
      <c r="P243" s="7" t="s">
        <v>344</v>
      </c>
      <c r="Q243" s="7"/>
      <c r="R243" s="7"/>
      <c r="S243" s="7"/>
      <c r="T243" s="7" t="s">
        <v>377</v>
      </c>
      <c r="U243" s="7" t="s">
        <v>851</v>
      </c>
      <c r="V243" s="7">
        <v>2.62575036E8</v>
      </c>
      <c r="W243" s="7">
        <v>6.92999888E8</v>
      </c>
      <c r="X243" s="7"/>
      <c r="Y243" s="7">
        <v>2.62575036E8</v>
      </c>
      <c r="Z243" s="7" t="s">
        <v>3413</v>
      </c>
      <c r="AA243" s="7"/>
      <c r="AB243" s="7"/>
      <c r="AC243" s="7" t="s">
        <v>3414</v>
      </c>
      <c r="AD243" s="7" t="s">
        <v>3415</v>
      </c>
      <c r="AE243" s="7"/>
      <c r="AF243" s="7"/>
      <c r="AG243" s="7" t="s">
        <v>597</v>
      </c>
      <c r="AH243" s="20">
        <v>40085.0</v>
      </c>
      <c r="AI243" s="7"/>
      <c r="AJ243" s="7" t="s">
        <v>3411</v>
      </c>
      <c r="AK243" s="7"/>
      <c r="AL243" s="7" t="s">
        <v>3416</v>
      </c>
      <c r="AM243" s="7" t="s">
        <v>3417</v>
      </c>
      <c r="AN243" s="20">
        <v>43739.0</v>
      </c>
      <c r="AO243" s="7">
        <v>97430.0</v>
      </c>
      <c r="AP243" s="7" t="s">
        <v>494</v>
      </c>
      <c r="AQ243" s="7"/>
      <c r="AR243" s="7"/>
      <c r="AS243" s="7"/>
      <c r="AT243" s="7"/>
      <c r="AU243" s="7">
        <v>0.0</v>
      </c>
      <c r="AV243" s="7" t="s">
        <v>3418</v>
      </c>
      <c r="AW243" s="7"/>
      <c r="AX243" s="7"/>
      <c r="AY243" s="7"/>
      <c r="AZ243" s="7"/>
      <c r="BA243" s="7"/>
      <c r="BB243" s="7"/>
      <c r="BC243" s="7" t="s">
        <v>401</v>
      </c>
      <c r="BD243" s="7"/>
      <c r="BE243" s="7" t="s">
        <v>818</v>
      </c>
      <c r="BF243" s="7"/>
      <c r="BG243" s="7"/>
      <c r="BH243" s="7"/>
      <c r="BI243" s="7" t="s">
        <v>3419</v>
      </c>
      <c r="BJ243" s="7"/>
      <c r="BK243" s="7" t="b">
        <v>0</v>
      </c>
      <c r="BL243" s="7" t="b">
        <v>0</v>
      </c>
      <c r="BM243" s="7"/>
      <c r="BN243" s="7" t="str">
        <f>IFERROR(__xludf.DUMMYFUNCTION(" IF( REGEXMATCH(C243 , ""[(].+[)]""),REGEXREPLACE( CONCATENATE(REGEXEXTRACT(C243 , ""[(].+[)]""),IF(REGEXMATCH(C243 , ""[(][Ll]['’][)]""),"""","" ""), REGEXEXTRACT(C243 ,""^(?:(?:[A-Za-zàäéèêîïöôûü0-9 ](?:[A-Za-zàäéèêîïöôûü'0-9 ]+)))"")) , ""[()]"", """")"&amp;",C243 )"),"Enis Rockel")</f>
        <v>Enis Rockel</v>
      </c>
      <c r="BO243" s="25"/>
      <c r="BP243" s="7"/>
      <c r="BQ243" s="7"/>
      <c r="BR243" s="7"/>
      <c r="BS243" s="7"/>
      <c r="BT243" s="7"/>
      <c r="BU243" s="7"/>
      <c r="BV243" s="7"/>
      <c r="BW243" s="7"/>
      <c r="BX243" s="7"/>
      <c r="BY243" s="7"/>
      <c r="BZ243" s="7"/>
      <c r="CA243" s="7"/>
      <c r="CB243" s="7"/>
    </row>
    <row r="244" ht="21.75" customHeight="1">
      <c r="A244" s="7">
        <v>2720.0</v>
      </c>
      <c r="B244" s="7" t="s">
        <v>3420</v>
      </c>
      <c r="C244" s="7" t="s">
        <v>3421</v>
      </c>
      <c r="D244" s="7" t="s">
        <v>3421</v>
      </c>
      <c r="E244" s="7"/>
      <c r="F244" s="7" t="s">
        <v>342</v>
      </c>
      <c r="G244" s="7" t="s">
        <v>343</v>
      </c>
      <c r="H244" s="7" t="s">
        <v>40</v>
      </c>
      <c r="I244" s="7" t="s">
        <v>3422</v>
      </c>
      <c r="J244" s="7"/>
      <c r="K244" s="7" t="s">
        <v>822</v>
      </c>
      <c r="L244" s="7" t="s">
        <v>1805</v>
      </c>
      <c r="M244" s="7" t="s">
        <v>1806</v>
      </c>
      <c r="N244" s="7" t="s">
        <v>422</v>
      </c>
      <c r="O244" s="7">
        <v>97414.0</v>
      </c>
      <c r="P244" s="7" t="s">
        <v>40</v>
      </c>
      <c r="Q244" s="7"/>
      <c r="R244" s="7"/>
      <c r="S244" s="7" t="s">
        <v>1237</v>
      </c>
      <c r="T244" s="7" t="s">
        <v>377</v>
      </c>
      <c r="U244" s="7" t="s">
        <v>592</v>
      </c>
      <c r="V244" s="7"/>
      <c r="W244" s="7">
        <v>6.92825775E8</v>
      </c>
      <c r="X244" s="7"/>
      <c r="Y244" s="7"/>
      <c r="Z244" s="7" t="s">
        <v>1864</v>
      </c>
      <c r="AA244" s="7">
        <v>20.0</v>
      </c>
      <c r="AB244" s="7"/>
      <c r="AC244" s="7" t="s">
        <v>3423</v>
      </c>
      <c r="AD244" s="7" t="s">
        <v>3424</v>
      </c>
      <c r="AE244" s="7" t="s">
        <v>3425</v>
      </c>
      <c r="AF244" s="7" t="s">
        <v>1173</v>
      </c>
      <c r="AG244" s="7" t="s">
        <v>578</v>
      </c>
      <c r="AH244" s="20">
        <v>43739.0</v>
      </c>
      <c r="AI244" s="7"/>
      <c r="AJ244" s="7" t="s">
        <v>1870</v>
      </c>
      <c r="AK244" s="7">
        <v>4.3826612400017E13</v>
      </c>
      <c r="AL244" s="7" t="s">
        <v>3426</v>
      </c>
      <c r="AM244" s="7" t="s">
        <v>1872</v>
      </c>
      <c r="AN244" s="20">
        <v>40421.0</v>
      </c>
      <c r="AO244" s="7">
        <v>97414.0</v>
      </c>
      <c r="AP244" s="7" t="s">
        <v>429</v>
      </c>
      <c r="AQ244" s="7"/>
      <c r="AR244" s="7"/>
      <c r="AS244" s="7"/>
      <c r="AT244" s="7"/>
      <c r="AU244" s="7">
        <v>0.0</v>
      </c>
      <c r="AV244" s="7" t="s">
        <v>3427</v>
      </c>
      <c r="AW244" s="7"/>
      <c r="AX244" s="7"/>
      <c r="AY244" s="7"/>
      <c r="AZ244" s="7"/>
      <c r="BA244" s="7"/>
      <c r="BB244" s="7"/>
      <c r="BC244" s="7" t="s">
        <v>401</v>
      </c>
      <c r="BD244" s="21">
        <v>44082.46111111111</v>
      </c>
      <c r="BE244" s="7" t="s">
        <v>3428</v>
      </c>
      <c r="BF244" s="7"/>
      <c r="BG244" s="7"/>
      <c r="BH244" s="7">
        <v>4.38266124E8</v>
      </c>
      <c r="BI244" s="7" t="s">
        <v>1879</v>
      </c>
      <c r="BJ244" s="7"/>
      <c r="BK244" s="7" t="b">
        <v>0</v>
      </c>
      <c r="BL244" s="7" t="b">
        <v>0</v>
      </c>
      <c r="BM244" s="7"/>
      <c r="BN244" s="7" t="str">
        <f>IFERROR(__xludf.DUMMYFUNCTION(" IF( REGEXMATCH(C244 , ""[(].+[)]""),REGEXREPLACE( CONCATENATE(REGEXEXTRACT(C244 , ""[(].+[)]""),IF(REGEXMATCH(C244 , ""[(][Ll]['’][)]""),"""","" ""), REGEXEXTRACT(C244 ,""^(?:(?:[A-Za-zàäéèêîïöôûü0-9 ](?:[A-Za-zàäéèêîïöôûü'0-9 ]+)))"")) , ""[()]"", """")"&amp;",C244 )"),"Entre 2 Songes")</f>
        <v>Entre 2 Songes</v>
      </c>
      <c r="BO244" s="25"/>
      <c r="BP244" s="7"/>
      <c r="BQ244" s="7"/>
      <c r="BR244" s="7"/>
      <c r="BS244" s="7"/>
      <c r="BT244" s="7"/>
      <c r="BU244" s="7"/>
      <c r="BV244" s="7"/>
      <c r="BW244" s="7"/>
      <c r="BX244" s="7"/>
      <c r="BY244" s="7"/>
      <c r="BZ244" s="7"/>
      <c r="CA244" s="7"/>
      <c r="CB244" s="7"/>
    </row>
    <row r="245" ht="21.75" customHeight="1">
      <c r="A245" s="7">
        <v>2483.0</v>
      </c>
      <c r="B245" s="7">
        <v>244.0</v>
      </c>
      <c r="C245" s="7" t="s">
        <v>3429</v>
      </c>
      <c r="D245" s="7"/>
      <c r="E245" s="7"/>
      <c r="F245" s="7" t="s">
        <v>404</v>
      </c>
      <c r="G245" s="7" t="s">
        <v>343</v>
      </c>
      <c r="H245" s="7" t="s">
        <v>40</v>
      </c>
      <c r="I245" s="7" t="s">
        <v>3430</v>
      </c>
      <c r="J245" s="7"/>
      <c r="K245" s="7" t="s">
        <v>34</v>
      </c>
      <c r="L245" s="7" t="s">
        <v>622</v>
      </c>
      <c r="M245" s="7" t="s">
        <v>622</v>
      </c>
      <c r="N245" s="7" t="s">
        <v>3431</v>
      </c>
      <c r="O245" s="7">
        <v>97414.0</v>
      </c>
      <c r="P245" s="7" t="s">
        <v>40</v>
      </c>
      <c r="Q245" s="7"/>
      <c r="R245" s="7"/>
      <c r="S245" s="7"/>
      <c r="T245" s="7" t="s">
        <v>377</v>
      </c>
      <c r="U245" s="7" t="s">
        <v>378</v>
      </c>
      <c r="V245" s="7">
        <v>2.62247008E8</v>
      </c>
      <c r="W245" s="7">
        <v>6.92365534E8</v>
      </c>
      <c r="X245" s="7"/>
      <c r="Y245" s="7"/>
      <c r="Z245" s="7"/>
      <c r="AA245" s="7"/>
      <c r="AB245" s="7"/>
      <c r="AC245" s="7"/>
      <c r="AD245" s="7" t="s">
        <v>3432</v>
      </c>
      <c r="AE245" s="7"/>
      <c r="AF245" s="7"/>
      <c r="AG245" s="7"/>
      <c r="AH245" s="20">
        <v>43739.0</v>
      </c>
      <c r="AI245" s="7"/>
      <c r="AJ245" s="7" t="s">
        <v>3429</v>
      </c>
      <c r="AK245" s="7"/>
      <c r="AL245" s="7" t="s">
        <v>3433</v>
      </c>
      <c r="AM245" s="7" t="s">
        <v>3434</v>
      </c>
      <c r="AN245" s="20">
        <v>43739.0</v>
      </c>
      <c r="AO245" s="7">
        <v>97414.0</v>
      </c>
      <c r="AP245" s="7" t="s">
        <v>429</v>
      </c>
      <c r="AQ245" s="7"/>
      <c r="AR245" s="7"/>
      <c r="AS245" s="7"/>
      <c r="AT245" s="7"/>
      <c r="AU245" s="7">
        <v>0.0</v>
      </c>
      <c r="AV245" s="7" t="s">
        <v>3435</v>
      </c>
      <c r="AW245" s="7"/>
      <c r="AX245" s="7"/>
      <c r="AY245" s="7"/>
      <c r="AZ245" s="7"/>
      <c r="BA245" s="7"/>
      <c r="BB245" s="7"/>
      <c r="BC245" s="7" t="s">
        <v>366</v>
      </c>
      <c r="BD245" s="21">
        <v>44089.06597222222</v>
      </c>
      <c r="BE245" s="7"/>
      <c r="BF245" s="7"/>
      <c r="BG245" s="22">
        <v>44089.0</v>
      </c>
      <c r="BH245" s="7"/>
      <c r="BI245" s="7" t="s">
        <v>1786</v>
      </c>
      <c r="BJ245" s="7"/>
      <c r="BK245" s="7" t="b">
        <v>0</v>
      </c>
      <c r="BL245" s="7" t="b">
        <v>0</v>
      </c>
      <c r="BM245" s="7"/>
      <c r="BN245" s="7" t="str">
        <f>IFERROR(__xludf.DUMMYFUNCTION(" IF( REGEXMATCH(C245 , ""[(].+[)]""),REGEXREPLACE( CONCATENATE(REGEXEXTRACT(C245 , ""[(].+[)]""),IF(REGEXMATCH(C245 , ""[(][Ll]['’][)]""),"""","" ""), REGEXEXTRACT(C245 ,""^(?:(?:[A-Za-zàäéèêîïöôûü0-9 ](?:[A-Za-zàäéèêîïöôûü'0-9 ]+)))"")) , ""[()]"", """")"&amp;",C245 )"),"Entre Deux Marmites")</f>
        <v>Entre Deux Marmites</v>
      </c>
      <c r="BO245" s="23"/>
      <c r="BP245" s="7"/>
      <c r="BQ245" s="7"/>
      <c r="BR245" s="7"/>
      <c r="BS245" s="7"/>
      <c r="BT245" s="7"/>
      <c r="BU245" s="7"/>
      <c r="BV245" s="7"/>
      <c r="BW245" s="7"/>
      <c r="BX245" s="7"/>
      <c r="BY245" s="7"/>
      <c r="BZ245" s="7"/>
      <c r="CA245" s="7"/>
      <c r="CB245" s="7"/>
    </row>
    <row r="246" ht="21.75" customHeight="1">
      <c r="A246" s="7">
        <v>3180.0</v>
      </c>
      <c r="B246" s="7" t="s">
        <v>3436</v>
      </c>
      <c r="C246" s="7" t="s">
        <v>3437</v>
      </c>
      <c r="D246" s="7" t="s">
        <v>3437</v>
      </c>
      <c r="E246" s="7"/>
      <c r="F246" s="7" t="s">
        <v>404</v>
      </c>
      <c r="G246" s="7" t="s">
        <v>343</v>
      </c>
      <c r="H246" s="7" t="s">
        <v>40</v>
      </c>
      <c r="I246" s="7" t="s">
        <v>3438</v>
      </c>
      <c r="J246" s="26" t="s">
        <v>3439</v>
      </c>
      <c r="K246" s="7" t="s">
        <v>58</v>
      </c>
      <c r="L246" s="7" t="s">
        <v>453</v>
      </c>
      <c r="M246" s="7" t="s">
        <v>454</v>
      </c>
      <c r="N246" s="7" t="s">
        <v>407</v>
      </c>
      <c r="O246" s="7">
        <v>97414.0</v>
      </c>
      <c r="P246" s="7" t="s">
        <v>40</v>
      </c>
      <c r="Q246" s="7"/>
      <c r="R246" s="7" t="s">
        <v>3440</v>
      </c>
      <c r="S246" s="7" t="s">
        <v>3441</v>
      </c>
      <c r="T246" s="7" t="s">
        <v>377</v>
      </c>
      <c r="U246" s="7" t="s">
        <v>378</v>
      </c>
      <c r="V246" s="7">
        <v>2.62115731E8</v>
      </c>
      <c r="W246" s="7">
        <v>6.92703743E8</v>
      </c>
      <c r="X246" s="7"/>
      <c r="Y246" s="7"/>
      <c r="Z246" s="7" t="s">
        <v>3442</v>
      </c>
      <c r="AA246" s="7">
        <v>8.0</v>
      </c>
      <c r="AB246" s="7" t="s">
        <v>1429</v>
      </c>
      <c r="AC246" s="7" t="s">
        <v>3443</v>
      </c>
      <c r="AD246" s="7" t="s">
        <v>3444</v>
      </c>
      <c r="AE246" s="7" t="s">
        <v>3445</v>
      </c>
      <c r="AF246" s="7"/>
      <c r="AG246" s="7" t="s">
        <v>751</v>
      </c>
      <c r="AH246" s="20">
        <v>41033.0</v>
      </c>
      <c r="AI246" s="7"/>
      <c r="AJ246" s="7" t="s">
        <v>3446</v>
      </c>
      <c r="AK246" s="7">
        <v>5.3920488300018E13</v>
      </c>
      <c r="AL246" s="7" t="s">
        <v>3447</v>
      </c>
      <c r="AM246" s="7" t="s">
        <v>3448</v>
      </c>
      <c r="AN246" s="20">
        <v>41113.0</v>
      </c>
      <c r="AO246" s="7">
        <v>97414.0</v>
      </c>
      <c r="AP246" s="7" t="s">
        <v>429</v>
      </c>
      <c r="AQ246" s="7"/>
      <c r="AR246" s="7"/>
      <c r="AS246" s="7"/>
      <c r="AT246" s="7"/>
      <c r="AU246" s="7">
        <v>4.0</v>
      </c>
      <c r="AV246" s="7" t="s">
        <v>3449</v>
      </c>
      <c r="AW246" s="7" t="s">
        <v>3450</v>
      </c>
      <c r="AX246" s="7" t="s">
        <v>3451</v>
      </c>
      <c r="AY246" s="7" t="s">
        <v>3452</v>
      </c>
      <c r="AZ246" s="7" t="s">
        <v>3453</v>
      </c>
      <c r="BA246" s="7"/>
      <c r="BB246" s="7"/>
      <c r="BC246" s="7" t="s">
        <v>401</v>
      </c>
      <c r="BD246" s="21">
        <v>44088.0</v>
      </c>
      <c r="BE246" s="7" t="s">
        <v>2359</v>
      </c>
      <c r="BF246" s="7"/>
      <c r="BG246" s="7"/>
      <c r="BH246" s="7">
        <v>5.39204883E8</v>
      </c>
      <c r="BI246" s="7" t="s">
        <v>3454</v>
      </c>
      <c r="BJ246" s="7"/>
      <c r="BK246" s="7" t="b">
        <v>0</v>
      </c>
      <c r="BL246" s="7" t="b">
        <v>0</v>
      </c>
      <c r="BM246" s="7"/>
      <c r="BN246" s="7" t="str">
        <f>IFERROR(__xludf.DUMMYFUNCTION(" IF( REGEXMATCH(C246 , ""[(].+[)]""),REGEXREPLACE( CONCATENATE(REGEXEXTRACT(C246 , ""[(].+[)]""),IF(REGEXMATCH(C246 , ""[(][Ll]['’][)]""),"""","" ""), REGEXEXTRACT(C246 ,""^(?:(?:[A-Za-zàäéèêîïöôûü0-9 ](?:[A-Za-zàäéèêîïöôûü'0-9 ]+)))"")) , ""[()]"", """")"&amp;",C246 )"),"Entre Deux Rêves")</f>
        <v>Entre Deux Rêves</v>
      </c>
      <c r="BO246" s="25"/>
      <c r="BP246" s="7"/>
      <c r="BQ246" s="7"/>
      <c r="BR246" s="7"/>
      <c r="BS246" s="7"/>
      <c r="BT246" s="7"/>
      <c r="BU246" s="7"/>
      <c r="BV246" s="7"/>
      <c r="BW246" s="7"/>
      <c r="BX246" s="7"/>
      <c r="BY246" s="7"/>
      <c r="BZ246" s="7"/>
      <c r="CA246" s="7"/>
      <c r="CB246" s="7"/>
    </row>
    <row r="247" ht="21.75" customHeight="1">
      <c r="A247" s="7">
        <v>3686.0</v>
      </c>
      <c r="B247" s="7" t="s">
        <v>3455</v>
      </c>
      <c r="C247" s="7" t="s">
        <v>3456</v>
      </c>
      <c r="D247" s="7"/>
      <c r="E247" s="7"/>
      <c r="F247" s="7" t="s">
        <v>404</v>
      </c>
      <c r="G247" s="7" t="s">
        <v>343</v>
      </c>
      <c r="H247" s="7" t="s">
        <v>40</v>
      </c>
      <c r="I247" s="7" t="s">
        <v>3457</v>
      </c>
      <c r="J247" s="26" t="s">
        <v>3439</v>
      </c>
      <c r="K247" s="7" t="s">
        <v>58</v>
      </c>
      <c r="L247" s="7" t="s">
        <v>453</v>
      </c>
      <c r="M247" s="7" t="s">
        <v>454</v>
      </c>
      <c r="N247" s="7" t="s">
        <v>407</v>
      </c>
      <c r="O247" s="7">
        <v>97414.0</v>
      </c>
      <c r="P247" s="7" t="s">
        <v>40</v>
      </c>
      <c r="Q247" s="7"/>
      <c r="R247" s="7" t="s">
        <v>3458</v>
      </c>
      <c r="S247" s="7" t="s">
        <v>3459</v>
      </c>
      <c r="T247" s="7" t="s">
        <v>377</v>
      </c>
      <c r="U247" s="7" t="s">
        <v>378</v>
      </c>
      <c r="V247" s="7">
        <v>2.62115731E8</v>
      </c>
      <c r="W247" s="7">
        <v>6.92703743E8</v>
      </c>
      <c r="X247" s="7"/>
      <c r="Y247" s="7"/>
      <c r="Z247" s="7" t="s">
        <v>3442</v>
      </c>
      <c r="AA247" s="7">
        <v>2.0</v>
      </c>
      <c r="AB247" s="7" t="s">
        <v>3460</v>
      </c>
      <c r="AC247" s="7" t="s">
        <v>3443</v>
      </c>
      <c r="AD247" s="7" t="s">
        <v>3461</v>
      </c>
      <c r="AE247" s="7" t="s">
        <v>3445</v>
      </c>
      <c r="AF247" s="7"/>
      <c r="AG247" s="7" t="s">
        <v>751</v>
      </c>
      <c r="AH247" s="20">
        <v>41113.0</v>
      </c>
      <c r="AI247" s="7"/>
      <c r="AJ247" s="7" t="s">
        <v>3446</v>
      </c>
      <c r="AK247" s="7">
        <v>5.3920488300018E13</v>
      </c>
      <c r="AL247" s="7" t="s">
        <v>3447</v>
      </c>
      <c r="AM247" s="7" t="s">
        <v>3448</v>
      </c>
      <c r="AN247" s="20">
        <v>41113.0</v>
      </c>
      <c r="AO247" s="7">
        <v>97414.0</v>
      </c>
      <c r="AP247" s="7" t="s">
        <v>429</v>
      </c>
      <c r="AQ247" s="7"/>
      <c r="AR247" s="7"/>
      <c r="AS247" s="7"/>
      <c r="AT247" s="7"/>
      <c r="AU247" s="7">
        <v>1.0</v>
      </c>
      <c r="AV247" s="7" t="s">
        <v>3462</v>
      </c>
      <c r="AW247" s="7"/>
      <c r="AX247" s="7" t="s">
        <v>3463</v>
      </c>
      <c r="AY247" s="7" t="s">
        <v>3452</v>
      </c>
      <c r="AZ247" s="7" t="s">
        <v>3453</v>
      </c>
      <c r="BA247" s="7"/>
      <c r="BB247" s="7"/>
      <c r="BC247" s="7" t="s">
        <v>401</v>
      </c>
      <c r="BD247" s="21">
        <v>44089.0</v>
      </c>
      <c r="BE247" s="7" t="s">
        <v>2359</v>
      </c>
      <c r="BF247" s="7"/>
      <c r="BG247" s="7"/>
      <c r="BH247" s="7">
        <v>5.39204883E8</v>
      </c>
      <c r="BI247" s="7" t="s">
        <v>3454</v>
      </c>
      <c r="BJ247" s="7"/>
      <c r="BK247" s="7" t="b">
        <v>0</v>
      </c>
      <c r="BL247" s="7" t="b">
        <v>0</v>
      </c>
      <c r="BM247" s="7"/>
      <c r="BN247" s="7" t="str">
        <f>IFERROR(__xludf.DUMMYFUNCTION(" IF( REGEXMATCH(C247 , ""[(].+[)]""),REGEXREPLACE( CONCATENATE(REGEXEXTRACT(C247 , ""[(].+[)]""),IF(REGEXMATCH(C247 , ""[(][Ll]['’][)]""),"""","" ""), REGEXEXTRACT(C247 ,""^(?:(?:[A-Za-zàäéèêîïöôûü0-9 ](?:[A-Za-zàäéèêîïöôûü'0-9 ]+)))"")) , ""[()]"", """")"&amp;",C247 )"),"Entre Deux Rêves - Passion")</f>
        <v>Entre Deux Rêves - Passion</v>
      </c>
      <c r="BO247" s="25"/>
      <c r="BP247" s="7"/>
      <c r="BQ247" s="7"/>
      <c r="BR247" s="7"/>
      <c r="BS247" s="7"/>
      <c r="BT247" s="7"/>
      <c r="BU247" s="7"/>
      <c r="BV247" s="7"/>
      <c r="BW247" s="7"/>
      <c r="BX247" s="7"/>
      <c r="BY247" s="7"/>
      <c r="BZ247" s="7"/>
      <c r="CA247" s="7"/>
      <c r="CB247" s="7"/>
    </row>
    <row r="248" ht="21.75" customHeight="1">
      <c r="A248" s="7">
        <v>3182.0</v>
      </c>
      <c r="B248" s="7" t="s">
        <v>3464</v>
      </c>
      <c r="C248" s="7" t="s">
        <v>3465</v>
      </c>
      <c r="D248" s="7" t="s">
        <v>3437</v>
      </c>
      <c r="E248" s="7"/>
      <c r="F248" s="7" t="s">
        <v>404</v>
      </c>
      <c r="G248" s="7" t="s">
        <v>343</v>
      </c>
      <c r="H248" s="7" t="s">
        <v>40</v>
      </c>
      <c r="I248" s="7" t="s">
        <v>3466</v>
      </c>
      <c r="J248" s="26" t="s">
        <v>3439</v>
      </c>
      <c r="K248" s="7" t="s">
        <v>58</v>
      </c>
      <c r="L248" s="7" t="s">
        <v>59</v>
      </c>
      <c r="M248" s="7" t="s">
        <v>374</v>
      </c>
      <c r="N248" s="7" t="s">
        <v>407</v>
      </c>
      <c r="O248" s="7">
        <v>97414.0</v>
      </c>
      <c r="P248" s="7" t="s">
        <v>40</v>
      </c>
      <c r="Q248" s="7"/>
      <c r="R248" s="7" t="s">
        <v>3467</v>
      </c>
      <c r="S248" s="7" t="s">
        <v>3441</v>
      </c>
      <c r="T248" s="7" t="s">
        <v>377</v>
      </c>
      <c r="U248" s="7" t="s">
        <v>378</v>
      </c>
      <c r="V248" s="7">
        <v>2.62115731E8</v>
      </c>
      <c r="W248" s="7">
        <v>6.92703743E8</v>
      </c>
      <c r="X248" s="7"/>
      <c r="Y248" s="7"/>
      <c r="Z248" s="7" t="s">
        <v>3442</v>
      </c>
      <c r="AA248" s="7">
        <v>4.0</v>
      </c>
      <c r="AB248" s="7" t="s">
        <v>1429</v>
      </c>
      <c r="AC248" s="7" t="s">
        <v>3468</v>
      </c>
      <c r="AD248" s="7" t="s">
        <v>3469</v>
      </c>
      <c r="AE248" s="7" t="s">
        <v>3445</v>
      </c>
      <c r="AF248" s="7"/>
      <c r="AG248" s="7" t="s">
        <v>751</v>
      </c>
      <c r="AH248" s="20">
        <v>41036.0</v>
      </c>
      <c r="AI248" s="7"/>
      <c r="AJ248" s="7" t="s">
        <v>3446</v>
      </c>
      <c r="AK248" s="7">
        <v>5.3920488300018E13</v>
      </c>
      <c r="AL248" s="7" t="s">
        <v>3447</v>
      </c>
      <c r="AM248" s="7" t="s">
        <v>3448</v>
      </c>
      <c r="AN248" s="20">
        <v>41113.0</v>
      </c>
      <c r="AO248" s="7">
        <v>97414.0</v>
      </c>
      <c r="AP248" s="7" t="s">
        <v>429</v>
      </c>
      <c r="AQ248" s="7"/>
      <c r="AR248" s="7"/>
      <c r="AS248" s="7"/>
      <c r="AT248" s="7"/>
      <c r="AU248" s="7">
        <v>1.0</v>
      </c>
      <c r="AV248" s="7" t="s">
        <v>3449</v>
      </c>
      <c r="AW248" s="7" t="s">
        <v>3450</v>
      </c>
      <c r="AX248" s="7" t="s">
        <v>3470</v>
      </c>
      <c r="AY248" s="7" t="s">
        <v>3471</v>
      </c>
      <c r="AZ248" s="7" t="s">
        <v>3472</v>
      </c>
      <c r="BA248" s="7"/>
      <c r="BB248" s="7"/>
      <c r="BC248" s="7" t="s">
        <v>401</v>
      </c>
      <c r="BD248" s="21">
        <v>44090.0</v>
      </c>
      <c r="BE248" s="7" t="s">
        <v>2359</v>
      </c>
      <c r="BF248" s="7"/>
      <c r="BG248" s="7"/>
      <c r="BH248" s="7">
        <v>5.39204883E8</v>
      </c>
      <c r="BI248" s="7" t="s">
        <v>3454</v>
      </c>
      <c r="BJ248" s="7"/>
      <c r="BK248" s="7" t="b">
        <v>0</v>
      </c>
      <c r="BL248" s="7" t="b">
        <v>0</v>
      </c>
      <c r="BM248" s="7"/>
      <c r="BN248" s="7" t="str">
        <f>IFERROR(__xludf.DUMMYFUNCTION(" IF( REGEXMATCH(C248 , ""[(].+[)]""),REGEXREPLACE( CONCATENATE(REGEXEXTRACT(C248 , ""[(].+[)]""),IF(REGEXMATCH(C248 , ""[(][Ll]['’][)]""),"""","" ""), REGEXEXTRACT(C248 ,""^(?:(?:[A-Za-zàäéèêîïöôûü0-9 ](?:[A-Za-zàäéèêîïöôûü'0-9 ]+)))"")) , ""[()]"", """")"&amp;",C248 )"),"Entre Deux Rêves - Pitaya")</f>
        <v>Entre Deux Rêves - Pitaya</v>
      </c>
      <c r="BO248" s="25"/>
      <c r="BP248" s="7"/>
      <c r="BQ248" s="7"/>
      <c r="BR248" s="7"/>
      <c r="BS248" s="7"/>
      <c r="BT248" s="7"/>
      <c r="BU248" s="7"/>
      <c r="BV248" s="7"/>
      <c r="BW248" s="7"/>
      <c r="BX248" s="7"/>
      <c r="BY248" s="7"/>
      <c r="BZ248" s="7"/>
      <c r="CA248" s="7"/>
      <c r="CB248" s="7"/>
    </row>
    <row r="249" ht="21.75" customHeight="1">
      <c r="A249" s="7">
        <v>2514.0</v>
      </c>
      <c r="B249" s="7" t="s">
        <v>251</v>
      </c>
      <c r="C249" s="7" t="s">
        <v>3473</v>
      </c>
      <c r="D249" s="7"/>
      <c r="E249" s="7"/>
      <c r="F249" s="7" t="s">
        <v>342</v>
      </c>
      <c r="G249" s="7" t="s">
        <v>343</v>
      </c>
      <c r="H249" s="7" t="s">
        <v>40</v>
      </c>
      <c r="I249" s="7" t="s">
        <v>3474</v>
      </c>
      <c r="J249" s="7"/>
      <c r="K249" s="7" t="s">
        <v>822</v>
      </c>
      <c r="L249" s="7" t="s">
        <v>1805</v>
      </c>
      <c r="M249" s="7" t="s">
        <v>1806</v>
      </c>
      <c r="N249" s="7" t="s">
        <v>407</v>
      </c>
      <c r="O249" s="7">
        <v>97414.0</v>
      </c>
      <c r="P249" s="7" t="s">
        <v>40</v>
      </c>
      <c r="Q249" s="7"/>
      <c r="R249" s="7"/>
      <c r="S249" s="7"/>
      <c r="T249" s="7" t="s">
        <v>377</v>
      </c>
      <c r="U249" s="7" t="s">
        <v>353</v>
      </c>
      <c r="V249" s="7">
        <v>2.62396006E8</v>
      </c>
      <c r="W249" s="7">
        <v>6.92652806E8</v>
      </c>
      <c r="X249" s="7">
        <v>6.92145213E8</v>
      </c>
      <c r="Y249" s="7"/>
      <c r="Z249" s="7" t="s">
        <v>3475</v>
      </c>
      <c r="AA249" s="7">
        <v>40.0</v>
      </c>
      <c r="AB249" s="7"/>
      <c r="AC249" s="7" t="s">
        <v>3476</v>
      </c>
      <c r="AD249" s="7" t="s">
        <v>3477</v>
      </c>
      <c r="AE249" s="7"/>
      <c r="AF249" s="7" t="s">
        <v>3478</v>
      </c>
      <c r="AG249" s="7"/>
      <c r="AH249" s="20">
        <v>43739.0</v>
      </c>
      <c r="AI249" s="7"/>
      <c r="AJ249" s="7" t="s">
        <v>3479</v>
      </c>
      <c r="AK249" s="7">
        <v>4.1154900900032E13</v>
      </c>
      <c r="AL249" s="7" t="s">
        <v>3480</v>
      </c>
      <c r="AM249" s="7" t="s">
        <v>3481</v>
      </c>
      <c r="AN249" s="20">
        <v>43739.0</v>
      </c>
      <c r="AO249" s="7">
        <v>97414.0</v>
      </c>
      <c r="AP249" s="7" t="s">
        <v>429</v>
      </c>
      <c r="AQ249" s="7"/>
      <c r="AR249" s="7"/>
      <c r="AS249" s="7"/>
      <c r="AT249" s="7"/>
      <c r="AU249" s="7">
        <v>0.0</v>
      </c>
      <c r="AV249" s="7" t="s">
        <v>3482</v>
      </c>
      <c r="AW249" s="7"/>
      <c r="AX249" s="7"/>
      <c r="AY249" s="7"/>
      <c r="AZ249" s="7"/>
      <c r="BA249" s="7"/>
      <c r="BB249" s="7"/>
      <c r="BC249" s="7" t="s">
        <v>401</v>
      </c>
      <c r="BD249" s="21">
        <v>44090.49791666667</v>
      </c>
      <c r="BE249" s="7" t="s">
        <v>3483</v>
      </c>
      <c r="BF249" s="7"/>
      <c r="BG249" s="7"/>
      <c r="BH249" s="7">
        <v>4.11549009E8</v>
      </c>
      <c r="BI249" s="7" t="s">
        <v>3484</v>
      </c>
      <c r="BJ249" s="7"/>
      <c r="BK249" s="7" t="b">
        <v>0</v>
      </c>
      <c r="BL249" s="7" t="b">
        <v>0</v>
      </c>
      <c r="BM249" s="7"/>
      <c r="BN249" s="7" t="str">
        <f>IFERROR(__xludf.DUMMYFUNCTION(" IF( REGEXMATCH(C249 , ""[(].+[)]""),REGEXREPLACE( CONCATENATE(REGEXEXTRACT(C249 , ""[(].+[)]""),IF(REGEXMATCH(C249 , ""[(][Ll]['’][)]""),"""","" ""), REGEXEXTRACT(C249 ,""^(?:(?:[A-Za-zàäéèêîïöôûü0-9 ](?:[A-Za-zàäéèêîïöôûü'0-9 ]+)))"")) , ""[()]"", """")"&amp;",C249 )"),"Entre Deux Z'Epok")</f>
        <v>Entre Deux Z'Epok</v>
      </c>
      <c r="BO249" s="25"/>
      <c r="BP249" s="7"/>
      <c r="BQ249" s="7"/>
      <c r="BR249" s="7"/>
      <c r="BS249" s="7"/>
      <c r="BT249" s="7"/>
      <c r="BU249" s="7"/>
      <c r="BV249" s="7"/>
      <c r="BW249" s="7"/>
      <c r="BX249" s="7"/>
      <c r="BY249" s="7"/>
      <c r="BZ249" s="7"/>
      <c r="CA249" s="7"/>
      <c r="CB249" s="7"/>
    </row>
    <row r="250" ht="21.75" customHeight="1">
      <c r="A250" s="7">
        <v>2203.0</v>
      </c>
      <c r="B250" s="7">
        <v>249.0</v>
      </c>
      <c r="C250" s="7" t="s">
        <v>3485</v>
      </c>
      <c r="D250" s="7"/>
      <c r="E250" s="7"/>
      <c r="F250" s="7" t="s">
        <v>404</v>
      </c>
      <c r="G250" s="7" t="s">
        <v>343</v>
      </c>
      <c r="H250" s="7" t="s">
        <v>40</v>
      </c>
      <c r="I250" s="7" t="s">
        <v>3486</v>
      </c>
      <c r="J250" s="26" t="s">
        <v>3487</v>
      </c>
      <c r="K250" s="7" t="s">
        <v>822</v>
      </c>
      <c r="L250" s="7" t="s">
        <v>1805</v>
      </c>
      <c r="M250" s="7" t="s">
        <v>1806</v>
      </c>
      <c r="N250" s="7" t="s">
        <v>407</v>
      </c>
      <c r="O250" s="7">
        <v>97414.0</v>
      </c>
      <c r="P250" s="7" t="s">
        <v>40</v>
      </c>
      <c r="Q250" s="7"/>
      <c r="R250" s="7"/>
      <c r="S250" s="7" t="s">
        <v>3488</v>
      </c>
      <c r="T250" s="7" t="s">
        <v>377</v>
      </c>
      <c r="U250" s="7" t="s">
        <v>592</v>
      </c>
      <c r="V250" s="7"/>
      <c r="W250" s="7">
        <v>6.92368925E8</v>
      </c>
      <c r="X250" s="7"/>
      <c r="Y250" s="7"/>
      <c r="Z250" s="7" t="s">
        <v>3489</v>
      </c>
      <c r="AA250" s="7"/>
      <c r="AB250" s="7"/>
      <c r="AC250" s="7" t="s">
        <v>3490</v>
      </c>
      <c r="AD250" s="7" t="s">
        <v>3491</v>
      </c>
      <c r="AE250" s="7"/>
      <c r="AF250" s="7" t="s">
        <v>3492</v>
      </c>
      <c r="AG250" s="7"/>
      <c r="AH250" s="20">
        <v>43739.0</v>
      </c>
      <c r="AI250" s="7"/>
      <c r="AJ250" s="7" t="s">
        <v>3485</v>
      </c>
      <c r="AK250" s="7"/>
      <c r="AL250" s="7" t="s">
        <v>3493</v>
      </c>
      <c r="AM250" s="7" t="s">
        <v>3494</v>
      </c>
      <c r="AN250" s="20">
        <v>43739.0</v>
      </c>
      <c r="AO250" s="7">
        <v>97414.0</v>
      </c>
      <c r="AP250" s="7" t="s">
        <v>429</v>
      </c>
      <c r="AQ250" s="7"/>
      <c r="AR250" s="7"/>
      <c r="AS250" s="7"/>
      <c r="AT250" s="7"/>
      <c r="AU250" s="7">
        <v>0.0</v>
      </c>
      <c r="AV250" s="7" t="s">
        <v>3495</v>
      </c>
      <c r="AW250" s="7"/>
      <c r="AX250" s="7"/>
      <c r="AY250" s="7"/>
      <c r="AZ250" s="7"/>
      <c r="BA250" s="7"/>
      <c r="BB250" s="7"/>
      <c r="BC250" s="7" t="s">
        <v>366</v>
      </c>
      <c r="BD250" s="21">
        <v>44090.49236111111</v>
      </c>
      <c r="BE250" s="7"/>
      <c r="BF250" s="7"/>
      <c r="BG250" s="22">
        <v>44090.0</v>
      </c>
      <c r="BH250" s="7"/>
      <c r="BI250" s="7" t="s">
        <v>3496</v>
      </c>
      <c r="BJ250" s="7"/>
      <c r="BK250" s="7" t="b">
        <v>0</v>
      </c>
      <c r="BL250" s="7" t="b">
        <v>0</v>
      </c>
      <c r="BM250" s="7"/>
      <c r="BN250" s="7" t="str">
        <f>IFERROR(__xludf.DUMMYFUNCTION(" IF( REGEXMATCH(C250 , ""[(].+[)]""),REGEXREPLACE( CONCATENATE(REGEXEXTRACT(C250 , ""[(].+[)]""),IF(REGEXMATCH(C250 , ""[(][Ll]['’][)]""),"""","" ""), REGEXEXTRACT(C250 ,""^(?:(?:[A-Za-zàäéèêîïöôûü0-9 ](?:[A-Za-zàäéèêîïöôûü'0-9 ]+)))"")) , ""[()]"", """")"&amp;",C250 )"),"Entre Lambrequin et Patrimoine")</f>
        <v>Entre Lambrequin et Patrimoine</v>
      </c>
      <c r="BO250" s="23"/>
      <c r="BP250" s="7"/>
      <c r="BQ250" s="7"/>
      <c r="BR250" s="7"/>
      <c r="BS250" s="7"/>
      <c r="BT250" s="7"/>
      <c r="BU250" s="7"/>
      <c r="BV250" s="7"/>
      <c r="BW250" s="7"/>
      <c r="BX250" s="7"/>
      <c r="BY250" s="7"/>
      <c r="BZ250" s="7"/>
      <c r="CA250" s="7"/>
      <c r="CB250" s="7"/>
    </row>
    <row r="251" ht="21.75" customHeight="1">
      <c r="A251" s="7">
        <v>3870.0</v>
      </c>
      <c r="B251" s="7" t="s">
        <v>3497</v>
      </c>
      <c r="C251" s="7" t="s">
        <v>3498</v>
      </c>
      <c r="D251" s="7"/>
      <c r="E251" s="7"/>
      <c r="F251" s="7" t="s">
        <v>404</v>
      </c>
      <c r="G251" s="7" t="s">
        <v>343</v>
      </c>
      <c r="H251" s="7" t="s">
        <v>344</v>
      </c>
      <c r="I251" s="7" t="s">
        <v>3499</v>
      </c>
      <c r="J251" s="26" t="s">
        <v>3500</v>
      </c>
      <c r="K251" s="7" t="s">
        <v>58</v>
      </c>
      <c r="L251" s="7" t="s">
        <v>59</v>
      </c>
      <c r="M251" s="7" t="s">
        <v>346</v>
      </c>
      <c r="N251" s="7" t="s">
        <v>455</v>
      </c>
      <c r="O251" s="7">
        <v>97430.0</v>
      </c>
      <c r="P251" s="7" t="s">
        <v>344</v>
      </c>
      <c r="Q251" s="7" t="s">
        <v>3501</v>
      </c>
      <c r="R251" s="7" t="s">
        <v>3502</v>
      </c>
      <c r="S251" s="7" t="s">
        <v>3503</v>
      </c>
      <c r="T251" s="7" t="s">
        <v>3504</v>
      </c>
      <c r="U251" s="7" t="s">
        <v>353</v>
      </c>
      <c r="V251" s="7">
        <v>2.62019849E8</v>
      </c>
      <c r="W251" s="7">
        <v>6.93428268E8</v>
      </c>
      <c r="X251" s="7"/>
      <c r="Y251" s="7"/>
      <c r="Z251" s="7" t="s">
        <v>3505</v>
      </c>
      <c r="AA251" s="7">
        <v>4.0</v>
      </c>
      <c r="AB251" s="7" t="s">
        <v>355</v>
      </c>
      <c r="AC251" s="7" t="s">
        <v>3506</v>
      </c>
      <c r="AD251" s="7" t="s">
        <v>3507</v>
      </c>
      <c r="AE251" s="7"/>
      <c r="AF251" s="7"/>
      <c r="AG251" s="7"/>
      <c r="AH251" s="20">
        <v>42164.0</v>
      </c>
      <c r="AI251" s="7"/>
      <c r="AJ251" s="7" t="s">
        <v>3508</v>
      </c>
      <c r="AK251" s="7">
        <v>8.4111528000015E13</v>
      </c>
      <c r="AL251" s="7" t="s">
        <v>3509</v>
      </c>
      <c r="AM251" s="7" t="s">
        <v>3510</v>
      </c>
      <c r="AN251" s="20">
        <v>42164.0</v>
      </c>
      <c r="AO251" s="7">
        <v>97430.0</v>
      </c>
      <c r="AP251" s="7" t="s">
        <v>494</v>
      </c>
      <c r="AQ251" s="7"/>
      <c r="AR251" s="7"/>
      <c r="AS251" s="7"/>
      <c r="AT251" s="7"/>
      <c r="AU251" s="7">
        <v>3.0</v>
      </c>
      <c r="AV251" s="7" t="s">
        <v>3511</v>
      </c>
      <c r="AW251" s="7"/>
      <c r="AX251" s="7"/>
      <c r="AY251" s="7"/>
      <c r="AZ251" s="7" t="s">
        <v>3512</v>
      </c>
      <c r="BA251" s="7"/>
      <c r="BB251" s="7"/>
      <c r="BC251" s="7" t="s">
        <v>401</v>
      </c>
      <c r="BD251" s="21">
        <v>44132.4625</v>
      </c>
      <c r="BE251" s="7" t="s">
        <v>3513</v>
      </c>
      <c r="BF251" s="7"/>
      <c r="BG251" s="7"/>
      <c r="BH251" s="7">
        <v>8.4111528E8</v>
      </c>
      <c r="BI251" s="7" t="s">
        <v>3514</v>
      </c>
      <c r="BJ251" s="7"/>
      <c r="BK251" s="7" t="b">
        <v>0</v>
      </c>
      <c r="BL251" s="7" t="b">
        <v>0</v>
      </c>
      <c r="BM251" s="7"/>
      <c r="BN251" s="7" t="str">
        <f>IFERROR(__xludf.DUMMYFUNCTION(" IF( REGEXMATCH(C251 , ""[(].+[)]""),REGEXREPLACE( CONCATENATE(REGEXEXTRACT(C251 , ""[(].+[)]""),IF(REGEXMATCH(C251 , ""[(][Ll]['’][)]""),"""","" ""), REGEXEXTRACT(C251 ,""^(?:(?:[A-Za-zàäéèêîïöôûü0-9 ](?:[A-Za-zàäéèêîïöôûü'0-9 ]+)))"")) , ""[()]"", """")"&amp;",C251 )"),"Les meublé volcan Meublés Entre Mer et Montagne ")</f>
        <v>Les meublé volcan Meublés Entre Mer et Montagne </v>
      </c>
      <c r="BO251" s="25"/>
      <c r="BP251" s="7"/>
      <c r="BQ251" s="7"/>
      <c r="BR251" s="7"/>
      <c r="BS251" s="7"/>
      <c r="BT251" s="7"/>
      <c r="BU251" s="7"/>
      <c r="BV251" s="7"/>
      <c r="BW251" s="7"/>
      <c r="BX251" s="7"/>
      <c r="BY251" s="7"/>
      <c r="BZ251" s="7"/>
      <c r="CA251" s="7"/>
      <c r="CB251" s="7"/>
    </row>
    <row r="252" ht="21.75" customHeight="1">
      <c r="A252" s="7">
        <v>308.0</v>
      </c>
      <c r="B252" s="7" t="s">
        <v>3515</v>
      </c>
      <c r="C252" s="7" t="s">
        <v>3516</v>
      </c>
      <c r="D252" s="7" t="s">
        <v>3517</v>
      </c>
      <c r="E252" s="7"/>
      <c r="F252" s="7" t="s">
        <v>342</v>
      </c>
      <c r="G252" s="7" t="s">
        <v>343</v>
      </c>
      <c r="H252" s="7" t="s">
        <v>40</v>
      </c>
      <c r="I252" s="7" t="s">
        <v>3518</v>
      </c>
      <c r="J252" s="26" t="s">
        <v>3162</v>
      </c>
      <c r="K252" s="7" t="s">
        <v>34</v>
      </c>
      <c r="L252" s="7" t="s">
        <v>622</v>
      </c>
      <c r="M252" s="7" t="s">
        <v>1127</v>
      </c>
      <c r="N252" s="7" t="s">
        <v>422</v>
      </c>
      <c r="O252" s="7">
        <v>97414.0</v>
      </c>
      <c r="P252" s="7" t="s">
        <v>40</v>
      </c>
      <c r="Q252" s="7"/>
      <c r="R252" s="7" t="s">
        <v>3519</v>
      </c>
      <c r="S252" s="7" t="s">
        <v>3520</v>
      </c>
      <c r="T252" s="7" t="s">
        <v>1119</v>
      </c>
      <c r="U252" s="7" t="s">
        <v>786</v>
      </c>
      <c r="V252" s="7">
        <v>2.62392E8</v>
      </c>
      <c r="W252" s="7"/>
      <c r="X252" s="7"/>
      <c r="Y252" s="7">
        <v>2.62247011E8</v>
      </c>
      <c r="Z252" s="7" t="s">
        <v>3164</v>
      </c>
      <c r="AA252" s="7">
        <v>50.0</v>
      </c>
      <c r="AB252" s="7"/>
      <c r="AC252" s="7" t="s">
        <v>3521</v>
      </c>
      <c r="AD252" s="7" t="s">
        <v>3522</v>
      </c>
      <c r="AE252" s="7" t="s">
        <v>3523</v>
      </c>
      <c r="AF252" s="7" t="s">
        <v>1173</v>
      </c>
      <c r="AG252" s="7" t="s">
        <v>3524</v>
      </c>
      <c r="AH252" s="20">
        <v>39616.0</v>
      </c>
      <c r="AI252" s="7"/>
      <c r="AJ252" s="7" t="s">
        <v>3525</v>
      </c>
      <c r="AK252" s="7">
        <v>4.7973624100015E13</v>
      </c>
      <c r="AL252" s="7" t="s">
        <v>3170</v>
      </c>
      <c r="AM252" s="7" t="s">
        <v>3171</v>
      </c>
      <c r="AN252" s="20">
        <v>39575.0</v>
      </c>
      <c r="AO252" s="7">
        <v>97414.0</v>
      </c>
      <c r="AP252" s="7" t="s">
        <v>429</v>
      </c>
      <c r="AQ252" s="7"/>
      <c r="AR252" s="7"/>
      <c r="AS252" s="7"/>
      <c r="AT252" s="7"/>
      <c r="AU252" s="7">
        <v>0.0</v>
      </c>
      <c r="AV252" s="7" t="s">
        <v>3172</v>
      </c>
      <c r="AW252" s="7"/>
      <c r="AX252" s="7"/>
      <c r="AY252" s="7"/>
      <c r="AZ252" s="7"/>
      <c r="BA252" s="7"/>
      <c r="BB252" s="7"/>
      <c r="BC252" s="7" t="s">
        <v>401</v>
      </c>
      <c r="BD252" s="7"/>
      <c r="BE252" s="7" t="s">
        <v>3526</v>
      </c>
      <c r="BF252" s="7"/>
      <c r="BG252" s="7"/>
      <c r="BH252" s="7">
        <v>4.79736241E8</v>
      </c>
      <c r="BI252" s="7" t="s">
        <v>3176</v>
      </c>
      <c r="BJ252" s="7"/>
      <c r="BK252" s="7" t="b">
        <v>0</v>
      </c>
      <c r="BL252" s="7" t="b">
        <v>0</v>
      </c>
      <c r="BM252" s="7"/>
      <c r="BN252" s="7" t="str">
        <f>IFERROR(__xludf.DUMMYFUNCTION(" IF( REGEXMATCH(C252 , ""[(].+[)]""),REGEXREPLACE( CONCATENATE(REGEXEXTRACT(C252 , ""[(].+[)]""),IF(REGEXMATCH(C252 , ""[(][Ll]['’][)]""),"""","" ""), REGEXEXTRACT(C252 ,""^(?:(?:[A-Za-zàäéèêîïöôûü0-9 ](?:[A-Za-zàäéèêîïöôûü'0-9 ]+)))"")) , ""[()]"", """")"&amp;",C252 )"),"Entre Nous")</f>
        <v>Entre Nous</v>
      </c>
      <c r="BO252" s="25"/>
      <c r="BP252" s="7"/>
      <c r="BQ252" s="7"/>
      <c r="BR252" s="7"/>
      <c r="BS252" s="7"/>
      <c r="BT252" s="7"/>
      <c r="BU252" s="7"/>
      <c r="BV252" s="7"/>
      <c r="BW252" s="7"/>
      <c r="BX252" s="7"/>
      <c r="BY252" s="7"/>
      <c r="BZ252" s="7"/>
      <c r="CA252" s="7"/>
      <c r="CB252" s="7"/>
    </row>
    <row r="253" ht="21.75" customHeight="1">
      <c r="A253" s="7">
        <v>4748.0</v>
      </c>
      <c r="B253" s="7" t="s">
        <v>3527</v>
      </c>
      <c r="C253" s="7" t="s">
        <v>3528</v>
      </c>
      <c r="D253" s="7"/>
      <c r="E253" s="7"/>
      <c r="F253" s="7" t="s">
        <v>342</v>
      </c>
      <c r="G253" s="7" t="s">
        <v>343</v>
      </c>
      <c r="H253" s="7" t="s">
        <v>40</v>
      </c>
      <c r="I253" s="7" t="s">
        <v>3529</v>
      </c>
      <c r="J253" s="7"/>
      <c r="K253" s="7" t="s">
        <v>34</v>
      </c>
      <c r="L253" s="7" t="s">
        <v>622</v>
      </c>
      <c r="M253" s="7" t="s">
        <v>3530</v>
      </c>
      <c r="N253" s="7"/>
      <c r="O253" s="7">
        <v>97414.0</v>
      </c>
      <c r="P253" s="7" t="s">
        <v>40</v>
      </c>
      <c r="Q253" s="7"/>
      <c r="R253" s="7"/>
      <c r="S253" s="7"/>
      <c r="T253" s="7"/>
      <c r="U253" s="7" t="s">
        <v>378</v>
      </c>
      <c r="V253" s="7">
        <v>2.62915743E8</v>
      </c>
      <c r="W253" s="7">
        <v>6.93409986E8</v>
      </c>
      <c r="X253" s="7"/>
      <c r="Y253" s="7"/>
      <c r="Z253" s="7" t="s">
        <v>3531</v>
      </c>
      <c r="AA253" s="7"/>
      <c r="AB253" s="7"/>
      <c r="AC253" s="7" t="s">
        <v>3532</v>
      </c>
      <c r="AD253" s="7" t="s">
        <v>3533</v>
      </c>
      <c r="AE253" s="7"/>
      <c r="AF253" s="7"/>
      <c r="AG253" s="7"/>
      <c r="AH253" s="20">
        <v>43430.0</v>
      </c>
      <c r="AI253" s="7"/>
      <c r="AJ253" s="7" t="s">
        <v>3534</v>
      </c>
      <c r="AK253" s="7">
        <v>8.3009737400011E13</v>
      </c>
      <c r="AL253" s="7" t="s">
        <v>3535</v>
      </c>
      <c r="AM253" s="7" t="s">
        <v>3536</v>
      </c>
      <c r="AN253" s="20">
        <v>43430.0</v>
      </c>
      <c r="AO253" s="7">
        <v>97414.0</v>
      </c>
      <c r="AP253" s="7" t="s">
        <v>429</v>
      </c>
      <c r="AQ253" s="7"/>
      <c r="AR253" s="7"/>
      <c r="AS253" s="7"/>
      <c r="AT253" s="7"/>
      <c r="AU253" s="7">
        <v>0.0</v>
      </c>
      <c r="AV253" s="7" t="s">
        <v>3537</v>
      </c>
      <c r="AW253" s="7"/>
      <c r="AX253" s="7"/>
      <c r="AY253" s="7"/>
      <c r="AZ253" s="7"/>
      <c r="BA253" s="7"/>
      <c r="BB253" s="7"/>
      <c r="BC253" s="7" t="s">
        <v>401</v>
      </c>
      <c r="BD253" s="21">
        <v>44070.0</v>
      </c>
      <c r="BE253" s="7" t="s">
        <v>3538</v>
      </c>
      <c r="BF253" s="7"/>
      <c r="BG253" s="7"/>
      <c r="BH253" s="7">
        <v>8.30097374E8</v>
      </c>
      <c r="BI253" s="7" t="s">
        <v>1218</v>
      </c>
      <c r="BJ253" s="7"/>
      <c r="BK253" s="7" t="b">
        <v>0</v>
      </c>
      <c r="BL253" s="7" t="b">
        <v>0</v>
      </c>
      <c r="BM253" s="7"/>
      <c r="BN253" s="7" t="str">
        <f>IFERROR(__xludf.DUMMYFUNCTION(" IF( REGEXMATCH(C253 , ""[(].+[)]""),REGEXREPLACE( CONCATENATE(REGEXEXTRACT(C253 , ""[(].+[)]""),IF(REGEXMATCH(C253 , ""[(][Ll]['’][)]""),"""","" ""), REGEXEXTRACT(C253 ,""^(?:(?:[A-Za-zàäéèêîïöôûü0-9 ](?:[A-Za-zàäéèêîïöôûü'0-9 ]+)))"")) , ""[()]"", """")"&amp;",C253 )"),"Entre-Deux Délices")</f>
        <v>Entre-Deux Délices</v>
      </c>
      <c r="BO253" s="25"/>
      <c r="BP253" s="7"/>
      <c r="BQ253" s="7"/>
      <c r="BR253" s="7"/>
      <c r="BS253" s="7"/>
      <c r="BT253" s="7"/>
      <c r="BU253" s="7"/>
      <c r="BV253" s="7"/>
      <c r="BW253" s="7"/>
      <c r="BX253" s="7"/>
      <c r="BY253" s="7"/>
      <c r="BZ253" s="7"/>
      <c r="CA253" s="7"/>
      <c r="CB253" s="7"/>
    </row>
    <row r="254" ht="21.75" customHeight="1">
      <c r="A254" s="7">
        <v>3712.0</v>
      </c>
      <c r="B254" s="7">
        <v>253.0</v>
      </c>
      <c r="C254" s="7" t="s">
        <v>3539</v>
      </c>
      <c r="D254" s="7"/>
      <c r="E254" s="7"/>
      <c r="F254" s="7" t="s">
        <v>404</v>
      </c>
      <c r="G254" s="7" t="s">
        <v>343</v>
      </c>
      <c r="H254" s="7" t="s">
        <v>40</v>
      </c>
      <c r="I254" s="7" t="s">
        <v>3540</v>
      </c>
      <c r="J254" s="7"/>
      <c r="K254" s="7" t="s">
        <v>58</v>
      </c>
      <c r="L254" s="7" t="s">
        <v>59</v>
      </c>
      <c r="M254" s="7" t="s">
        <v>346</v>
      </c>
      <c r="N254" s="7" t="s">
        <v>422</v>
      </c>
      <c r="O254" s="7">
        <v>97414.0</v>
      </c>
      <c r="P254" s="7" t="s">
        <v>40</v>
      </c>
      <c r="Q254" s="7"/>
      <c r="R254" s="7" t="s">
        <v>3541</v>
      </c>
      <c r="S254" s="7" t="s">
        <v>1237</v>
      </c>
      <c r="T254" s="7" t="s">
        <v>377</v>
      </c>
      <c r="U254" s="7" t="s">
        <v>353</v>
      </c>
      <c r="V254" s="7"/>
      <c r="W254" s="7">
        <v>6.92852459E8</v>
      </c>
      <c r="X254" s="7"/>
      <c r="Y254" s="7">
        <v>2.62498845E8</v>
      </c>
      <c r="Z254" s="7" t="s">
        <v>3542</v>
      </c>
      <c r="AA254" s="7">
        <v>6.0</v>
      </c>
      <c r="AB254" s="7"/>
      <c r="AC254" s="7" t="s">
        <v>3543</v>
      </c>
      <c r="AD254" s="7" t="s">
        <v>3544</v>
      </c>
      <c r="AE254" s="7" t="s">
        <v>3545</v>
      </c>
      <c r="AF254" s="7"/>
      <c r="AG254" s="7"/>
      <c r="AH254" s="20">
        <v>41949.0</v>
      </c>
      <c r="AI254" s="7"/>
      <c r="AJ254" s="7" t="s">
        <v>3546</v>
      </c>
      <c r="AK254" s="7"/>
      <c r="AL254" s="7" t="s">
        <v>3547</v>
      </c>
      <c r="AM254" s="7" t="s">
        <v>3548</v>
      </c>
      <c r="AN254" s="20">
        <v>41929.0</v>
      </c>
      <c r="AO254" s="7">
        <v>97436.0</v>
      </c>
      <c r="AP254" s="7" t="s">
        <v>3549</v>
      </c>
      <c r="AQ254" s="7"/>
      <c r="AR254" s="7"/>
      <c r="AS254" s="7"/>
      <c r="AT254" s="7"/>
      <c r="AU254" s="7">
        <v>1.0</v>
      </c>
      <c r="AV254" s="7" t="s">
        <v>3550</v>
      </c>
      <c r="AW254" s="7"/>
      <c r="AX254" s="7"/>
      <c r="AY254" s="7"/>
      <c r="AZ254" s="7"/>
      <c r="BA254" s="7"/>
      <c r="BB254" s="7"/>
      <c r="BC254" s="7" t="s">
        <v>366</v>
      </c>
      <c r="BD254" s="21">
        <v>44197.0</v>
      </c>
      <c r="BE254" s="7"/>
      <c r="BF254" s="7"/>
      <c r="BG254" s="22">
        <v>44197.0</v>
      </c>
      <c r="BH254" s="7"/>
      <c r="BI254" s="7" t="s">
        <v>3551</v>
      </c>
      <c r="BJ254" s="7"/>
      <c r="BK254" s="7" t="b">
        <v>0</v>
      </c>
      <c r="BL254" s="7" t="b">
        <v>0</v>
      </c>
      <c r="BM254" s="7"/>
      <c r="BN254" s="7" t="str">
        <f>IFERROR(__xludf.DUMMYFUNCTION(" IF( REGEXMATCH(C254 , ""[(].+[)]""),REGEXREPLACE( CONCATENATE(REGEXEXTRACT(C254 , ""[(].+[)]""),IF(REGEXMATCH(C254 , ""[(][Ll]['’][)]""),"""","" ""), REGEXEXTRACT(C254 ,""^(?:(?:[A-Za-zàäéèêîïöôûü0-9 ](?:[A-Za-zàäéèêîïöôûü'0-9 ]+)))"")) , ""[()]"", """")"&amp;",C254 )"),"Entre-Deux Lys")</f>
        <v>Entre-Deux Lys</v>
      </c>
      <c r="BO254" s="23"/>
      <c r="BP254" s="7"/>
      <c r="BQ254" s="7"/>
      <c r="BR254" s="7"/>
      <c r="BS254" s="7"/>
      <c r="BT254" s="7"/>
      <c r="BU254" s="7"/>
      <c r="BV254" s="7"/>
      <c r="BW254" s="7"/>
      <c r="BX254" s="7"/>
      <c r="BY254" s="7"/>
      <c r="BZ254" s="7"/>
      <c r="CA254" s="7"/>
      <c r="CB254" s="7"/>
    </row>
    <row r="255" ht="21.75" customHeight="1">
      <c r="A255" s="7">
        <v>883.0</v>
      </c>
      <c r="B255" s="7" t="s">
        <v>3552</v>
      </c>
      <c r="C255" s="7" t="s">
        <v>3553</v>
      </c>
      <c r="D255" s="7" t="s">
        <v>3553</v>
      </c>
      <c r="E255" s="7"/>
      <c r="F255" s="7" t="s">
        <v>342</v>
      </c>
      <c r="G255" s="7" t="s">
        <v>343</v>
      </c>
      <c r="H255" s="7" t="s">
        <v>123</v>
      </c>
      <c r="I255" s="7" t="s">
        <v>3554</v>
      </c>
      <c r="J255" s="26" t="s">
        <v>3555</v>
      </c>
      <c r="K255" s="7" t="s">
        <v>58</v>
      </c>
      <c r="L255" s="7" t="s">
        <v>59</v>
      </c>
      <c r="M255" s="7" t="s">
        <v>346</v>
      </c>
      <c r="N255" s="7" t="s">
        <v>407</v>
      </c>
      <c r="O255" s="7">
        <v>97480.0</v>
      </c>
      <c r="P255" s="7" t="s">
        <v>123</v>
      </c>
      <c r="Q255" s="7" t="s">
        <v>3556</v>
      </c>
      <c r="R255" s="7" t="s">
        <v>3557</v>
      </c>
      <c r="S255" s="7" t="s">
        <v>1458</v>
      </c>
      <c r="T255" s="7" t="s">
        <v>3558</v>
      </c>
      <c r="U255" s="7" t="s">
        <v>353</v>
      </c>
      <c r="V255" s="7">
        <v>2.62566244E8</v>
      </c>
      <c r="W255" s="7">
        <v>6.92418054E8</v>
      </c>
      <c r="X255" s="7"/>
      <c r="Y255" s="7"/>
      <c r="Z255" s="7" t="s">
        <v>3559</v>
      </c>
      <c r="AA255" s="7">
        <v>4.0</v>
      </c>
      <c r="AB255" s="7" t="s">
        <v>2716</v>
      </c>
      <c r="AC255" s="7" t="s">
        <v>3560</v>
      </c>
      <c r="AD255" s="7" t="s">
        <v>3561</v>
      </c>
      <c r="AE255" s="7" t="s">
        <v>3562</v>
      </c>
      <c r="AF255" s="7"/>
      <c r="AG255" s="7" t="s">
        <v>597</v>
      </c>
      <c r="AH255" s="20">
        <v>39575.0</v>
      </c>
      <c r="AI255" s="7"/>
      <c r="AJ255" s="7" t="s">
        <v>3563</v>
      </c>
      <c r="AK255" s="7"/>
      <c r="AL255" s="7" t="s">
        <v>3564</v>
      </c>
      <c r="AM255" s="7" t="s">
        <v>3565</v>
      </c>
      <c r="AN255" s="20">
        <v>39575.0</v>
      </c>
      <c r="AO255" s="7">
        <v>97480.0</v>
      </c>
      <c r="AP255" s="7" t="s">
        <v>385</v>
      </c>
      <c r="AQ255" s="7"/>
      <c r="AR255" s="7"/>
      <c r="AS255" s="7"/>
      <c r="AT255" s="7"/>
      <c r="AU255" s="7">
        <v>1.0</v>
      </c>
      <c r="AV255" s="7" t="s">
        <v>3566</v>
      </c>
      <c r="AW255" s="7" t="s">
        <v>3567</v>
      </c>
      <c r="AX255" s="7" t="s">
        <v>3568</v>
      </c>
      <c r="AY255" s="7" t="s">
        <v>1829</v>
      </c>
      <c r="AZ255" s="7" t="s">
        <v>3569</v>
      </c>
      <c r="BA255" s="7"/>
      <c r="BB255" s="7"/>
      <c r="BC255" s="7" t="s">
        <v>401</v>
      </c>
      <c r="BD255" s="21">
        <v>44098.154861111114</v>
      </c>
      <c r="BE255" s="7" t="s">
        <v>3570</v>
      </c>
      <c r="BF255" s="7"/>
      <c r="BG255" s="7"/>
      <c r="BH255" s="7"/>
      <c r="BI255" s="7" t="s">
        <v>3571</v>
      </c>
      <c r="BJ255" s="7"/>
      <c r="BK255" s="7" t="b">
        <v>0</v>
      </c>
      <c r="BL255" s="7" t="b">
        <v>0</v>
      </c>
      <c r="BM255" s="7"/>
      <c r="BN255" s="7" t="str">
        <f>IFERROR(__xludf.DUMMYFUNCTION(" IF( REGEXMATCH(C255 , ""[(].+[)]""),REGEXREPLACE( CONCATENATE(REGEXEXTRACT(C255 , ""[(].+[)]""),IF(REGEXMATCH(C255 , ""[(][Ll]['’][)]""),"""","" ""), REGEXEXTRACT(C255 ,""^(?:(?:[A-Za-zàäéèêîïöôûü0-9 ](?:[A-Za-zàäéèêîïöôûü'0-9 ]+)))"")) , ""[()]"", """")"&amp;",C255 )"),"L'Epidendrum ")</f>
        <v>L'Epidendrum </v>
      </c>
      <c r="BO255" s="25"/>
      <c r="BP255" s="7"/>
      <c r="BQ255" s="7"/>
      <c r="BR255" s="7"/>
      <c r="BS255" s="7"/>
      <c r="BT255" s="7"/>
      <c r="BU255" s="7"/>
      <c r="BV255" s="7"/>
      <c r="BW255" s="7"/>
      <c r="BX255" s="7"/>
      <c r="BY255" s="7"/>
      <c r="BZ255" s="7"/>
      <c r="CA255" s="7"/>
      <c r="CB255" s="7"/>
    </row>
    <row r="256" ht="21.75" customHeight="1">
      <c r="A256" s="7">
        <v>16.0</v>
      </c>
      <c r="B256" s="7">
        <v>255.0</v>
      </c>
      <c r="C256" s="7" t="s">
        <v>3572</v>
      </c>
      <c r="D256" s="7" t="s">
        <v>3553</v>
      </c>
      <c r="E256" s="7"/>
      <c r="F256" s="7" t="s">
        <v>404</v>
      </c>
      <c r="G256" s="7" t="s">
        <v>343</v>
      </c>
      <c r="H256" s="7" t="s">
        <v>344</v>
      </c>
      <c r="I256" s="7" t="s">
        <v>3573</v>
      </c>
      <c r="J256" s="26" t="s">
        <v>3574</v>
      </c>
      <c r="K256" s="7" t="s">
        <v>58</v>
      </c>
      <c r="L256" s="7" t="s">
        <v>59</v>
      </c>
      <c r="M256" s="7" t="s">
        <v>346</v>
      </c>
      <c r="N256" s="7" t="s">
        <v>422</v>
      </c>
      <c r="O256" s="7">
        <v>97418.0</v>
      </c>
      <c r="P256" s="7" t="s">
        <v>348</v>
      </c>
      <c r="Q256" s="7" t="s">
        <v>349</v>
      </c>
      <c r="R256" s="7" t="s">
        <v>3575</v>
      </c>
      <c r="S256" s="7" t="s">
        <v>1094</v>
      </c>
      <c r="T256" s="7" t="s">
        <v>352</v>
      </c>
      <c r="U256" s="7" t="s">
        <v>353</v>
      </c>
      <c r="V256" s="7">
        <v>2.62591797E8</v>
      </c>
      <c r="W256" s="7">
        <v>6.92692614E8</v>
      </c>
      <c r="X256" s="7"/>
      <c r="Y256" s="7">
        <v>2.62591797E8</v>
      </c>
      <c r="Z256" s="7" t="s">
        <v>3576</v>
      </c>
      <c r="AA256" s="7">
        <v>6.0</v>
      </c>
      <c r="AB256" s="7"/>
      <c r="AC256" s="7"/>
      <c r="AD256" s="7" t="s">
        <v>3577</v>
      </c>
      <c r="AE256" s="7" t="s">
        <v>3578</v>
      </c>
      <c r="AF256" s="7"/>
      <c r="AG256" s="7"/>
      <c r="AH256" s="20">
        <v>39671.0</v>
      </c>
      <c r="AI256" s="7"/>
      <c r="AJ256" s="7" t="s">
        <v>3579</v>
      </c>
      <c r="AK256" s="7">
        <v>4.3909838500016E13</v>
      </c>
      <c r="AL256" s="7" t="s">
        <v>3580</v>
      </c>
      <c r="AM256" s="7" t="s">
        <v>3581</v>
      </c>
      <c r="AN256" s="20">
        <v>39575.0</v>
      </c>
      <c r="AO256" s="7">
        <v>97418.0</v>
      </c>
      <c r="AP256" s="7" t="s">
        <v>362</v>
      </c>
      <c r="AQ256" s="7"/>
      <c r="AR256" s="7"/>
      <c r="AS256" s="7"/>
      <c r="AT256" s="7"/>
      <c r="AU256" s="7">
        <v>1.0</v>
      </c>
      <c r="AV256" s="7" t="s">
        <v>3582</v>
      </c>
      <c r="AW256" s="7"/>
      <c r="AX256" s="7"/>
      <c r="AY256" s="7"/>
      <c r="AZ256" s="7"/>
      <c r="BA256" s="7"/>
      <c r="BB256" s="7"/>
      <c r="BC256" s="7" t="s">
        <v>366</v>
      </c>
      <c r="BD256" s="21">
        <v>44197.0</v>
      </c>
      <c r="BE256" s="7"/>
      <c r="BF256" s="7"/>
      <c r="BG256" s="22">
        <v>44197.0</v>
      </c>
      <c r="BH256" s="7">
        <v>4.39098385E8</v>
      </c>
      <c r="BI256" s="7" t="s">
        <v>3583</v>
      </c>
      <c r="BJ256" s="7"/>
      <c r="BK256" s="7" t="b">
        <v>0</v>
      </c>
      <c r="BL256" s="7" t="b">
        <v>0</v>
      </c>
      <c r="BM256" s="7"/>
      <c r="BN256" s="7" t="str">
        <f>IFERROR(__xludf.DUMMYFUNCTION(" IF( REGEXMATCH(C256 , ""[(].+[)]""),REGEXREPLACE( CONCATENATE(REGEXEXTRACT(C256 , ""[(].+[)]""),IF(REGEXMATCH(C256 , ""[(][Ll]['’][)]""),"""","" ""), REGEXEXTRACT(C256 ,""^(?:(?:[A-Za-zàäéèêîïöôûü0-9 ](?:[A-Za-zàäéèêîïöôûü'0-9 ]+)))"")) , ""[()]"", """")"&amp;",C256 )"),"Les Epidendrums ")</f>
        <v>Les Epidendrums </v>
      </c>
      <c r="BO256" s="23"/>
      <c r="BP256" s="7"/>
      <c r="BQ256" s="7"/>
      <c r="BR256" s="7"/>
      <c r="BS256" s="7"/>
      <c r="BT256" s="7"/>
      <c r="BU256" s="7"/>
      <c r="BV256" s="7"/>
      <c r="BW256" s="7"/>
      <c r="BX256" s="7"/>
      <c r="BY256" s="7"/>
      <c r="BZ256" s="7"/>
      <c r="CA256" s="7"/>
      <c r="CB256" s="7"/>
    </row>
    <row r="257" ht="21.75" customHeight="1">
      <c r="A257" s="7">
        <v>1771.0</v>
      </c>
      <c r="B257" s="7">
        <v>256.0</v>
      </c>
      <c r="C257" s="7" t="s">
        <v>3584</v>
      </c>
      <c r="D257" s="7"/>
      <c r="E257" s="7"/>
      <c r="F257" s="7" t="s">
        <v>404</v>
      </c>
      <c r="G257" s="7" t="s">
        <v>343</v>
      </c>
      <c r="H257" s="7" t="s">
        <v>344</v>
      </c>
      <c r="I257" s="7" t="s">
        <v>3585</v>
      </c>
      <c r="J257" s="26" t="s">
        <v>3586</v>
      </c>
      <c r="K257" s="7" t="s">
        <v>58</v>
      </c>
      <c r="L257" s="7" t="s">
        <v>59</v>
      </c>
      <c r="M257" s="7" t="s">
        <v>374</v>
      </c>
      <c r="N257" s="7" t="s">
        <v>422</v>
      </c>
      <c r="O257" s="7">
        <v>97430.0</v>
      </c>
      <c r="P257" s="7" t="s">
        <v>344</v>
      </c>
      <c r="Q257" s="7"/>
      <c r="R257" s="7" t="s">
        <v>3587</v>
      </c>
      <c r="S257" s="7" t="s">
        <v>3588</v>
      </c>
      <c r="T257" s="7" t="s">
        <v>439</v>
      </c>
      <c r="U257" s="7" t="s">
        <v>378</v>
      </c>
      <c r="V257" s="7">
        <v>2.62272904E8</v>
      </c>
      <c r="W257" s="7">
        <v>6.9290684E8</v>
      </c>
      <c r="X257" s="7"/>
      <c r="Y257" s="7">
        <v>2.62272904E8</v>
      </c>
      <c r="Z257" s="7" t="s">
        <v>3589</v>
      </c>
      <c r="AA257" s="7">
        <v>8.0</v>
      </c>
      <c r="AB257" s="7"/>
      <c r="AC257" s="7"/>
      <c r="AD257" s="7" t="s">
        <v>3590</v>
      </c>
      <c r="AE257" s="7"/>
      <c r="AF257" s="7"/>
      <c r="AG257" s="7"/>
      <c r="AH257" s="20">
        <v>43739.0</v>
      </c>
      <c r="AI257" s="7"/>
      <c r="AJ257" s="7" t="s">
        <v>3591</v>
      </c>
      <c r="AK257" s="7"/>
      <c r="AL257" s="7" t="s">
        <v>3592</v>
      </c>
      <c r="AM257" s="7" t="s">
        <v>3593</v>
      </c>
      <c r="AN257" s="20">
        <v>43739.0</v>
      </c>
      <c r="AO257" s="7">
        <v>97430.0</v>
      </c>
      <c r="AP257" s="7" t="s">
        <v>494</v>
      </c>
      <c r="AQ257" s="7"/>
      <c r="AR257" s="7"/>
      <c r="AS257" s="7"/>
      <c r="AT257" s="7"/>
      <c r="AU257" s="7">
        <v>0.0</v>
      </c>
      <c r="AV257" s="7" t="s">
        <v>3594</v>
      </c>
      <c r="AW257" s="7"/>
      <c r="AX257" s="7"/>
      <c r="AY257" s="7"/>
      <c r="AZ257" s="7"/>
      <c r="BA257" s="7"/>
      <c r="BB257" s="7"/>
      <c r="BC257" s="7" t="s">
        <v>366</v>
      </c>
      <c r="BD257" s="21">
        <v>44222.35763888889</v>
      </c>
      <c r="BE257" s="7"/>
      <c r="BF257" s="7"/>
      <c r="BG257" s="22">
        <v>44222.0</v>
      </c>
      <c r="BH257" s="7"/>
      <c r="BI257" s="7" t="s">
        <v>3595</v>
      </c>
      <c r="BJ257" s="7"/>
      <c r="BK257" s="7" t="b">
        <v>0</v>
      </c>
      <c r="BL257" s="7" t="b">
        <v>0</v>
      </c>
      <c r="BM257" s="7"/>
      <c r="BN257" s="7" t="str">
        <f>IFERROR(__xludf.DUMMYFUNCTION(" IF( REGEXMATCH(C257 , ""[(].+[)]""),REGEXREPLACE( CONCATENATE(REGEXEXTRACT(C257 , ""[(].+[)]""),IF(REGEXMATCH(C257 , ""[(][Ll]['’][)]""),"""","" ""), REGEXEXTRACT(C257 ,""^(?:(?:[A-Za-zàäéèêîïöôûü0-9 ](?:[A-Za-zàäéèêîïöôûü'0-9 ]+)))"")) , ""[()]"", """")"&amp;",C257 )"),"L'Epidor ")</f>
        <v>L'Epidor </v>
      </c>
      <c r="BO257" s="23"/>
      <c r="BP257" s="7"/>
      <c r="BQ257" s="7"/>
      <c r="BR257" s="7"/>
      <c r="BS257" s="7"/>
      <c r="BT257" s="7"/>
      <c r="BU257" s="7"/>
      <c r="BV257" s="7"/>
      <c r="BW257" s="7"/>
      <c r="BX257" s="7"/>
      <c r="BY257" s="7"/>
      <c r="BZ257" s="7"/>
      <c r="CA257" s="7"/>
      <c r="CB257" s="7"/>
    </row>
    <row r="258" ht="21.75" customHeight="1">
      <c r="A258" s="7">
        <v>3010.0</v>
      </c>
      <c r="B258" s="7">
        <v>257.0</v>
      </c>
      <c r="C258" s="7" t="s">
        <v>3596</v>
      </c>
      <c r="D258" s="7"/>
      <c r="E258" s="7"/>
      <c r="F258" s="7" t="s">
        <v>404</v>
      </c>
      <c r="G258" s="7" t="s">
        <v>343</v>
      </c>
      <c r="H258" s="7" t="s">
        <v>344</v>
      </c>
      <c r="I258" s="7" t="s">
        <v>3597</v>
      </c>
      <c r="J258" s="7"/>
      <c r="K258" s="7" t="s">
        <v>34</v>
      </c>
      <c r="L258" s="7" t="s">
        <v>678</v>
      </c>
      <c r="M258" s="7" t="s">
        <v>679</v>
      </c>
      <c r="N258" s="7"/>
      <c r="O258" s="7">
        <v>97430.0</v>
      </c>
      <c r="P258" s="7" t="s">
        <v>344</v>
      </c>
      <c r="Q258" s="7"/>
      <c r="R258" s="7"/>
      <c r="S258" s="7"/>
      <c r="T258" s="7" t="s">
        <v>377</v>
      </c>
      <c r="U258" s="7" t="s">
        <v>378</v>
      </c>
      <c r="V258" s="7"/>
      <c r="W258" s="7">
        <v>6.92348555E8</v>
      </c>
      <c r="X258" s="7">
        <v>6.9270436E8</v>
      </c>
      <c r="Y258" s="7">
        <v>2.62274939E8</v>
      </c>
      <c r="Z258" s="7" t="s">
        <v>3598</v>
      </c>
      <c r="AA258" s="7">
        <v>100.0</v>
      </c>
      <c r="AB258" s="7"/>
      <c r="AC258" s="7"/>
      <c r="AD258" s="7" t="s">
        <v>3599</v>
      </c>
      <c r="AE258" s="7" t="s">
        <v>3600</v>
      </c>
      <c r="AF258" s="7"/>
      <c r="AG258" s="7"/>
      <c r="AH258" s="20">
        <v>43739.0</v>
      </c>
      <c r="AI258" s="7"/>
      <c r="AJ258" s="7" t="s">
        <v>3601</v>
      </c>
      <c r="AK258" s="7"/>
      <c r="AL258" s="7" t="s">
        <v>3602</v>
      </c>
      <c r="AM258" s="7" t="s">
        <v>3603</v>
      </c>
      <c r="AN258" s="20">
        <v>43739.0</v>
      </c>
      <c r="AO258" s="7">
        <v>97430.0</v>
      </c>
      <c r="AP258" s="7" t="s">
        <v>494</v>
      </c>
      <c r="AQ258" s="7"/>
      <c r="AR258" s="7"/>
      <c r="AS258" s="7"/>
      <c r="AT258" s="7"/>
      <c r="AU258" s="7">
        <v>0.0</v>
      </c>
      <c r="AV258" s="7" t="s">
        <v>3604</v>
      </c>
      <c r="AW258" s="7"/>
      <c r="AX258" s="7"/>
      <c r="AY258" s="7"/>
      <c r="AZ258" s="7"/>
      <c r="BA258" s="7"/>
      <c r="BB258" s="7"/>
      <c r="BC258" s="7" t="s">
        <v>366</v>
      </c>
      <c r="BD258" s="21">
        <v>44197.0</v>
      </c>
      <c r="BE258" s="7"/>
      <c r="BF258" s="7"/>
      <c r="BG258" s="22">
        <v>44197.0</v>
      </c>
      <c r="BH258" s="7"/>
      <c r="BI258" s="7" t="s">
        <v>3605</v>
      </c>
      <c r="BJ258" s="7"/>
      <c r="BK258" s="7" t="b">
        <v>0</v>
      </c>
      <c r="BL258" s="7" t="b">
        <v>0</v>
      </c>
      <c r="BM258" s="7"/>
      <c r="BN258" s="7" t="str">
        <f>IFERROR(__xludf.DUMMYFUNCTION(" IF( REGEXMATCH(C258 , ""[(].+[)]""),REGEXREPLACE( CONCATENATE(REGEXEXTRACT(C258 , ""[(].+[)]""),IF(REGEXMATCH(C258 , ""[(][Ll]['’][)]""),"""","" ""), REGEXEXTRACT(C258 ,""^(?:(?:[A-Za-zàäéèêîïöôûü0-9 ](?:[A-Za-zàäéèêîïöôûü'0-9 ]+)))"")) , ""[()]"", """")"&amp;",C258 )"),"Eric Traiteur")</f>
        <v>Eric Traiteur</v>
      </c>
      <c r="BO258" s="23"/>
      <c r="BP258" s="7"/>
      <c r="BQ258" s="7"/>
      <c r="BR258" s="7"/>
      <c r="BS258" s="7"/>
      <c r="BT258" s="7"/>
      <c r="BU258" s="7"/>
      <c r="BV258" s="7"/>
      <c r="BW258" s="7"/>
      <c r="BX258" s="7"/>
      <c r="BY258" s="7"/>
      <c r="BZ258" s="7"/>
      <c r="CA258" s="7"/>
      <c r="CB258" s="7"/>
    </row>
    <row r="259" ht="21.75" customHeight="1">
      <c r="A259" s="7">
        <v>2053.0</v>
      </c>
      <c r="B259" s="7" t="s">
        <v>3606</v>
      </c>
      <c r="C259" s="7" t="s">
        <v>3607</v>
      </c>
      <c r="D259" s="7" t="s">
        <v>3608</v>
      </c>
      <c r="E259" s="7"/>
      <c r="F259" s="7" t="s">
        <v>342</v>
      </c>
      <c r="G259" s="7" t="s">
        <v>343</v>
      </c>
      <c r="H259" s="7" t="s">
        <v>33</v>
      </c>
      <c r="I259" s="7" t="s">
        <v>3609</v>
      </c>
      <c r="J259" s="26" t="s">
        <v>3610</v>
      </c>
      <c r="K259" s="7" t="s">
        <v>822</v>
      </c>
      <c r="L259" s="7" t="s">
        <v>1805</v>
      </c>
      <c r="M259" s="7" t="s">
        <v>1806</v>
      </c>
      <c r="N259" s="7" t="s">
        <v>375</v>
      </c>
      <c r="O259" s="7">
        <v>97442.0</v>
      </c>
      <c r="P259" s="7" t="s">
        <v>33</v>
      </c>
      <c r="Q259" s="7"/>
      <c r="R259" s="7" t="s">
        <v>3611</v>
      </c>
      <c r="S259" s="7" t="s">
        <v>889</v>
      </c>
      <c r="T259" s="7" t="s">
        <v>974</v>
      </c>
      <c r="U259" s="7" t="s">
        <v>592</v>
      </c>
      <c r="V259" s="7">
        <v>2.62370399E8</v>
      </c>
      <c r="W259" s="7"/>
      <c r="X259" s="7"/>
      <c r="Y259" s="7">
        <v>2.62370399E8</v>
      </c>
      <c r="Z259" s="7" t="s">
        <v>3612</v>
      </c>
      <c r="AA259" s="7">
        <v>30.0</v>
      </c>
      <c r="AB259" s="7"/>
      <c r="AC259" s="7" t="s">
        <v>3613</v>
      </c>
      <c r="AD259" s="7" t="s">
        <v>3614</v>
      </c>
      <c r="AE259" s="7" t="s">
        <v>3615</v>
      </c>
      <c r="AF259" s="7" t="s">
        <v>3616</v>
      </c>
      <c r="AG259" s="7"/>
      <c r="AH259" s="20">
        <v>40092.0</v>
      </c>
      <c r="AI259" s="7"/>
      <c r="AJ259" s="7" t="s">
        <v>3617</v>
      </c>
      <c r="AK259" s="7">
        <v>5.2971667200017E13</v>
      </c>
      <c r="AL259" s="7" t="s">
        <v>3618</v>
      </c>
      <c r="AM259" s="7" t="s">
        <v>3619</v>
      </c>
      <c r="AN259" s="20">
        <v>40092.0</v>
      </c>
      <c r="AO259" s="7">
        <v>97442.0</v>
      </c>
      <c r="AP259" s="7" t="s">
        <v>884</v>
      </c>
      <c r="AQ259" s="7"/>
      <c r="AR259" s="7"/>
      <c r="AS259" s="7"/>
      <c r="AT259" s="7"/>
      <c r="AU259" s="7">
        <v>0.0</v>
      </c>
      <c r="AV259" s="7" t="s">
        <v>3620</v>
      </c>
      <c r="AW259" s="7"/>
      <c r="AX259" s="7"/>
      <c r="AY259" s="7"/>
      <c r="AZ259" s="7"/>
      <c r="BA259" s="7"/>
      <c r="BB259" s="7"/>
      <c r="BC259" s="7" t="s">
        <v>401</v>
      </c>
      <c r="BD259" s="21">
        <v>44235.38680555556</v>
      </c>
      <c r="BE259" s="7" t="s">
        <v>3621</v>
      </c>
      <c r="BF259" s="7"/>
      <c r="BG259" s="7"/>
      <c r="BH259" s="7">
        <v>5.29716672E8</v>
      </c>
      <c r="BI259" s="7" t="s">
        <v>3622</v>
      </c>
      <c r="BJ259" s="7"/>
      <c r="BK259" s="7" t="b">
        <v>0</v>
      </c>
      <c r="BL259" s="7" t="b">
        <v>0</v>
      </c>
      <c r="BM259" s="7"/>
      <c r="BN259" s="7" t="str">
        <f>IFERROR(__xludf.DUMMYFUNCTION(" IF( REGEXMATCH(C259 , ""[(].+[)]""),REGEXREPLACE( CONCATENATE(REGEXEXTRACT(C259 , ""[(].+[)]""),IF(REGEXMATCH(C259 , ""[(][Ll]['’][)]""),"""","" ""), REGEXEXTRACT(C259 ,""^(?:(?:[A-Za-zàäéèêîïöôûü0-9 ](?:[A-Za-zàäéèêîïöôûü'0-9 ]+)))"")) , ""[()]"", """")"&amp;",C259 )"),"Escale Bleue - Atelier Vanille")</f>
        <v>Escale Bleue - Atelier Vanille</v>
      </c>
      <c r="BO259" s="25"/>
      <c r="BP259" s="7"/>
      <c r="BQ259" s="7"/>
      <c r="BR259" s="7"/>
      <c r="BS259" s="7"/>
      <c r="BT259" s="7"/>
      <c r="BU259" s="7"/>
      <c r="BV259" s="7"/>
      <c r="BW259" s="7"/>
      <c r="BX259" s="7"/>
      <c r="BY259" s="7"/>
      <c r="BZ259" s="7"/>
      <c r="CA259" s="7"/>
      <c r="CB259" s="7"/>
    </row>
    <row r="260" ht="21.75" customHeight="1">
      <c r="A260" s="7">
        <v>3052.0</v>
      </c>
      <c r="B260" s="7">
        <v>259.0</v>
      </c>
      <c r="C260" s="7" t="s">
        <v>3623</v>
      </c>
      <c r="D260" s="7"/>
      <c r="E260" s="7"/>
      <c r="F260" s="7" t="s">
        <v>342</v>
      </c>
      <c r="G260" s="7" t="s">
        <v>343</v>
      </c>
      <c r="H260" s="7" t="s">
        <v>40</v>
      </c>
      <c r="I260" s="7" t="s">
        <v>3624</v>
      </c>
      <c r="J260" s="7"/>
      <c r="K260" s="7" t="s">
        <v>822</v>
      </c>
      <c r="L260" s="7" t="s">
        <v>1805</v>
      </c>
      <c r="M260" s="7" t="s">
        <v>2684</v>
      </c>
      <c r="N260" s="7" t="s">
        <v>455</v>
      </c>
      <c r="O260" s="7">
        <v>97414.0</v>
      </c>
      <c r="P260" s="7" t="s">
        <v>40</v>
      </c>
      <c r="Q260" s="7"/>
      <c r="R260" s="7"/>
      <c r="S260" s="7"/>
      <c r="T260" s="7" t="s">
        <v>377</v>
      </c>
      <c r="U260" s="7" t="s">
        <v>378</v>
      </c>
      <c r="V260" s="7"/>
      <c r="W260" s="7">
        <v>6.92251034E8</v>
      </c>
      <c r="X260" s="7"/>
      <c r="Y260" s="7"/>
      <c r="Z260" s="7"/>
      <c r="AA260" s="7"/>
      <c r="AB260" s="7"/>
      <c r="AC260" s="7"/>
      <c r="AD260" s="7" t="s">
        <v>3625</v>
      </c>
      <c r="AE260" s="7"/>
      <c r="AF260" s="7"/>
      <c r="AG260" s="7"/>
      <c r="AH260" s="20">
        <v>43739.0</v>
      </c>
      <c r="AI260" s="7"/>
      <c r="AJ260" s="7" t="s">
        <v>3623</v>
      </c>
      <c r="AK260" s="7"/>
      <c r="AL260" s="7" t="s">
        <v>3626</v>
      </c>
      <c r="AM260" s="7" t="s">
        <v>3627</v>
      </c>
      <c r="AN260" s="20">
        <v>43739.0</v>
      </c>
      <c r="AO260" s="7">
        <v>97414.0</v>
      </c>
      <c r="AP260" s="7" t="s">
        <v>429</v>
      </c>
      <c r="AQ260" s="7"/>
      <c r="AR260" s="7"/>
      <c r="AS260" s="7"/>
      <c r="AT260" s="7"/>
      <c r="AU260" s="7">
        <v>0.0</v>
      </c>
      <c r="AV260" s="7" t="s">
        <v>3628</v>
      </c>
      <c r="AW260" s="7"/>
      <c r="AX260" s="7"/>
      <c r="AY260" s="7"/>
      <c r="AZ260" s="7"/>
      <c r="BA260" s="7"/>
      <c r="BB260" s="7"/>
      <c r="BC260" s="7" t="s">
        <v>366</v>
      </c>
      <c r="BD260" s="21">
        <v>44097.04583333333</v>
      </c>
      <c r="BE260" s="7"/>
      <c r="BF260" s="7"/>
      <c r="BG260" s="22">
        <v>44097.0</v>
      </c>
      <c r="BH260" s="7"/>
      <c r="BI260" s="7" t="s">
        <v>1786</v>
      </c>
      <c r="BJ260" s="7"/>
      <c r="BK260" s="7" t="b">
        <v>0</v>
      </c>
      <c r="BL260" s="7" t="b">
        <v>0</v>
      </c>
      <c r="BM260" s="7"/>
      <c r="BN260" s="7" t="str">
        <f>IFERROR(__xludf.DUMMYFUNCTION(" IF( REGEXMATCH(C260 , ""[(].+[)]""),REGEXREPLACE( CONCATENATE(REGEXEXTRACT(C260 , ""[(].+[)]""),IF(REGEXMATCH(C260 , ""[(][Ll]['’][)]""),"""","" ""), REGEXEXTRACT(C260 ,""^(?:(?:[A-Za-zàäéèêîïöôûü0-9 ](?:[A-Za-zàäéèêîïöôûü'0-9 ]+)))"")) , ""[()]"", """")"&amp;",C260 )"),"Espace Culturel Muséographique - Camp Marron")</f>
        <v>Espace Culturel Muséographique - Camp Marron</v>
      </c>
      <c r="BO260" s="23"/>
      <c r="BP260" s="7"/>
      <c r="BQ260" s="7"/>
      <c r="BR260" s="7"/>
      <c r="BS260" s="7"/>
      <c r="BT260" s="7"/>
      <c r="BU260" s="7"/>
      <c r="BV260" s="7"/>
      <c r="BW260" s="7"/>
      <c r="BX260" s="7"/>
      <c r="BY260" s="7"/>
      <c r="BZ260" s="7"/>
      <c r="CA260" s="7"/>
      <c r="CB260" s="7"/>
    </row>
    <row r="261" ht="21.75" customHeight="1">
      <c r="A261" s="7">
        <v>1986.0</v>
      </c>
      <c r="B261" s="7">
        <v>260.0</v>
      </c>
      <c r="C261" s="7" t="s">
        <v>3629</v>
      </c>
      <c r="D261" s="7"/>
      <c r="E261" s="7"/>
      <c r="F261" s="7" t="s">
        <v>404</v>
      </c>
      <c r="G261" s="7" t="s">
        <v>343</v>
      </c>
      <c r="H261" s="7" t="s">
        <v>344</v>
      </c>
      <c r="I261" s="7" t="s">
        <v>3630</v>
      </c>
      <c r="J261" s="26" t="s">
        <v>3631</v>
      </c>
      <c r="K261" s="6" t="s">
        <v>469</v>
      </c>
      <c r="L261" s="7" t="s">
        <v>470</v>
      </c>
      <c r="M261" s="7" t="s">
        <v>591</v>
      </c>
      <c r="N261" s="7" t="s">
        <v>472</v>
      </c>
      <c r="O261" s="7">
        <v>97430.0</v>
      </c>
      <c r="P261" s="7" t="s">
        <v>344</v>
      </c>
      <c r="Q261" s="7"/>
      <c r="R261" s="7"/>
      <c r="S261" s="7"/>
      <c r="T261" s="7" t="s">
        <v>377</v>
      </c>
      <c r="U261" s="7" t="s">
        <v>378</v>
      </c>
      <c r="V261" s="7">
        <v>2.62574405E8</v>
      </c>
      <c r="W261" s="7">
        <v>6.92416299E8</v>
      </c>
      <c r="X261" s="7"/>
      <c r="Y261" s="7">
        <v>2.62574405E8</v>
      </c>
      <c r="Z261" s="7" t="s">
        <v>3632</v>
      </c>
      <c r="AA261" s="7"/>
      <c r="AB261" s="7"/>
      <c r="AC261" s="7"/>
      <c r="AD261" s="7" t="s">
        <v>3633</v>
      </c>
      <c r="AE261" s="7"/>
      <c r="AF261" s="7"/>
      <c r="AG261" s="7"/>
      <c r="AH261" s="20">
        <v>43739.0</v>
      </c>
      <c r="AI261" s="7"/>
      <c r="AJ261" s="7" t="s">
        <v>3629</v>
      </c>
      <c r="AK261" s="7"/>
      <c r="AL261" s="7" t="s">
        <v>3634</v>
      </c>
      <c r="AM261" s="7" t="s">
        <v>3635</v>
      </c>
      <c r="AN261" s="20">
        <v>43739.0</v>
      </c>
      <c r="AO261" s="7">
        <v>97430.0</v>
      </c>
      <c r="AP261" s="7" t="s">
        <v>494</v>
      </c>
      <c r="AQ261" s="7"/>
      <c r="AR261" s="7"/>
      <c r="AS261" s="7"/>
      <c r="AT261" s="7"/>
      <c r="AU261" s="7">
        <v>0.0</v>
      </c>
      <c r="AV261" s="7" t="s">
        <v>3636</v>
      </c>
      <c r="AW261" s="7"/>
      <c r="AX261" s="7"/>
      <c r="AY261" s="7"/>
      <c r="AZ261" s="7"/>
      <c r="BA261" s="7"/>
      <c r="BB261" s="7"/>
      <c r="BC261" s="7" t="s">
        <v>366</v>
      </c>
      <c r="BD261" s="21">
        <v>44197.0</v>
      </c>
      <c r="BE261" s="7"/>
      <c r="BF261" s="7"/>
      <c r="BG261" s="22">
        <v>44197.0</v>
      </c>
      <c r="BH261" s="7"/>
      <c r="BI261" s="7" t="s">
        <v>3637</v>
      </c>
      <c r="BJ261" s="7"/>
      <c r="BK261" s="7" t="b">
        <v>0</v>
      </c>
      <c r="BL261" s="7" t="b">
        <v>0</v>
      </c>
      <c r="BM261" s="7"/>
      <c r="BN261" s="7" t="str">
        <f>IFERROR(__xludf.DUMMYFUNCTION(" IF( REGEXMATCH(C261 , ""[(].+[)]""),REGEXREPLACE( CONCATENATE(REGEXEXTRACT(C261 , ""[(].+[)]""),IF(REGEXMATCH(C261 , ""[(][Ll]['’][)]""),"""","" ""), REGEXEXTRACT(C261 ,""^(?:(?:[A-Za-zàäéèêîïöôûü0-9 ](?:[A-Za-zàäéèêîïöôûü'0-9 ]+)))"")) , ""[()]"", """")"&amp;",C261 )"),"Espace Océan Indien")</f>
        <v>Espace Océan Indien</v>
      </c>
      <c r="BO261" s="23"/>
      <c r="BP261" s="7"/>
      <c r="BQ261" s="7"/>
      <c r="BR261" s="7"/>
      <c r="BS261" s="7"/>
      <c r="BT261" s="7"/>
      <c r="BU261" s="7"/>
      <c r="BV261" s="7"/>
      <c r="BW261" s="7"/>
      <c r="BX261" s="7"/>
      <c r="BY261" s="7"/>
      <c r="BZ261" s="7"/>
      <c r="CA261" s="7"/>
      <c r="CB261" s="7"/>
    </row>
    <row r="262" ht="21.75" customHeight="1">
      <c r="A262" s="7">
        <v>1701.0</v>
      </c>
      <c r="B262" s="7" t="s">
        <v>3638</v>
      </c>
      <c r="C262" s="7" t="s">
        <v>3639</v>
      </c>
      <c r="D262" s="7"/>
      <c r="E262" s="7"/>
      <c r="F262" s="7" t="s">
        <v>342</v>
      </c>
      <c r="G262" s="7" t="s">
        <v>343</v>
      </c>
      <c r="H262" s="7" t="s">
        <v>344</v>
      </c>
      <c r="I262" s="7" t="s">
        <v>3640</v>
      </c>
      <c r="J262" s="7"/>
      <c r="K262" s="7" t="s">
        <v>58</v>
      </c>
      <c r="L262" s="7" t="s">
        <v>453</v>
      </c>
      <c r="M262" s="7" t="s">
        <v>454</v>
      </c>
      <c r="N262" s="7" t="s">
        <v>455</v>
      </c>
      <c r="O262" s="7">
        <v>97418.0</v>
      </c>
      <c r="P262" s="7" t="s">
        <v>348</v>
      </c>
      <c r="Q262" s="7" t="s">
        <v>349</v>
      </c>
      <c r="R262" s="7" t="s">
        <v>3641</v>
      </c>
      <c r="S262" s="7" t="s">
        <v>3642</v>
      </c>
      <c r="T262" s="7" t="s">
        <v>439</v>
      </c>
      <c r="U262" s="7" t="s">
        <v>353</v>
      </c>
      <c r="V262" s="7">
        <v>2.62599689E8</v>
      </c>
      <c r="W262" s="7">
        <v>6.92824585E8</v>
      </c>
      <c r="X262" s="7"/>
      <c r="Y262" s="7"/>
      <c r="Z262" s="7" t="s">
        <v>3643</v>
      </c>
      <c r="AA262" s="7">
        <v>6.0</v>
      </c>
      <c r="AB262" s="7" t="s">
        <v>574</v>
      </c>
      <c r="AC262" s="7" t="s">
        <v>3644</v>
      </c>
      <c r="AD262" s="7" t="s">
        <v>3645</v>
      </c>
      <c r="AE262" s="7" t="s">
        <v>3646</v>
      </c>
      <c r="AF262" s="7"/>
      <c r="AG262" s="7" t="s">
        <v>1869</v>
      </c>
      <c r="AH262" s="20">
        <v>43739.0</v>
      </c>
      <c r="AI262" s="7"/>
      <c r="AJ262" s="7" t="s">
        <v>3647</v>
      </c>
      <c r="AK262" s="7">
        <v>4.4497081800019E13</v>
      </c>
      <c r="AL262" s="7" t="s">
        <v>3648</v>
      </c>
      <c r="AM262" s="7" t="s">
        <v>3649</v>
      </c>
      <c r="AN262" s="20">
        <v>39926.0</v>
      </c>
      <c r="AO262" s="7">
        <v>97418.0</v>
      </c>
      <c r="AP262" s="7" t="s">
        <v>362</v>
      </c>
      <c r="AQ262" s="7"/>
      <c r="AR262" s="7"/>
      <c r="AS262" s="7"/>
      <c r="AT262" s="7"/>
      <c r="AU262" s="7">
        <v>3.0</v>
      </c>
      <c r="AV262" s="7" t="s">
        <v>3650</v>
      </c>
      <c r="AW262" s="7" t="s">
        <v>3651</v>
      </c>
      <c r="AX262" s="7" t="s">
        <v>2399</v>
      </c>
      <c r="AY262" s="7" t="s">
        <v>1829</v>
      </c>
      <c r="AZ262" s="7" t="s">
        <v>3652</v>
      </c>
      <c r="BA262" s="7"/>
      <c r="BB262" s="7"/>
      <c r="BC262" s="7" t="s">
        <v>401</v>
      </c>
      <c r="BD262" s="21">
        <v>44132.07013888889</v>
      </c>
      <c r="BE262" s="7" t="s">
        <v>1355</v>
      </c>
      <c r="BF262" s="7"/>
      <c r="BG262" s="7"/>
      <c r="BH262" s="7">
        <v>4.44970818E8</v>
      </c>
      <c r="BI262" s="7" t="s">
        <v>3653</v>
      </c>
      <c r="BJ262" s="7"/>
      <c r="BK262" s="7" t="b">
        <v>0</v>
      </c>
      <c r="BL262" s="7" t="b">
        <v>0</v>
      </c>
      <c r="BM262" s="7"/>
      <c r="BN262" s="7" t="str">
        <f>IFERROR(__xludf.DUMMYFUNCTION(" IF( REGEXMATCH(C262 , ""[(].+[)]""),REGEXREPLACE( CONCATENATE(REGEXEXTRACT(C262 , ""[(].+[)]""),IF(REGEXMATCH(C262 , ""[(][Ll]['’][)]""),"""","" ""), REGEXEXTRACT(C262 ,""^(?:(?:[A-Za-zàäéèêîïöôûü0-9 ](?:[A-Za-zàäéèêîïöôûü'0-9 ]+)))"")) , ""[()]"", """")"&amp;",C262 )"),"L'Estagnon ")</f>
        <v>L'Estagnon </v>
      </c>
      <c r="BO262" s="25"/>
      <c r="BP262" s="7"/>
      <c r="BQ262" s="7"/>
      <c r="BR262" s="7"/>
      <c r="BS262" s="7"/>
      <c r="BT262" s="7"/>
      <c r="BU262" s="7"/>
      <c r="BV262" s="7"/>
      <c r="BW262" s="7"/>
      <c r="BX262" s="7"/>
      <c r="BY262" s="7"/>
      <c r="BZ262" s="7"/>
      <c r="CA262" s="7"/>
      <c r="CB262" s="7"/>
    </row>
    <row r="263" ht="21.75" customHeight="1">
      <c r="A263" s="7">
        <v>3930.0</v>
      </c>
      <c r="B263" s="7">
        <v>262.0</v>
      </c>
      <c r="C263" s="7" t="s">
        <v>3654</v>
      </c>
      <c r="D263" s="7"/>
      <c r="E263" s="7"/>
      <c r="F263" s="7" t="s">
        <v>404</v>
      </c>
      <c r="G263" s="7" t="s">
        <v>343</v>
      </c>
      <c r="H263" s="7" t="s">
        <v>40</v>
      </c>
      <c r="I263" s="7" t="s">
        <v>3655</v>
      </c>
      <c r="J263" s="7"/>
      <c r="K263" s="7" t="s">
        <v>34</v>
      </c>
      <c r="L263" s="7" t="s">
        <v>622</v>
      </c>
      <c r="M263" s="7" t="s">
        <v>622</v>
      </c>
      <c r="N263" s="7" t="s">
        <v>664</v>
      </c>
      <c r="O263" s="7">
        <v>97414.0</v>
      </c>
      <c r="P263" s="7" t="s">
        <v>40</v>
      </c>
      <c r="Q263" s="7"/>
      <c r="R263" s="7"/>
      <c r="S263" s="7"/>
      <c r="T263" s="7"/>
      <c r="U263" s="7" t="s">
        <v>378</v>
      </c>
      <c r="V263" s="7">
        <v>2.62441428E8</v>
      </c>
      <c r="W263" s="7"/>
      <c r="X263" s="7"/>
      <c r="Y263" s="7"/>
      <c r="Z263" s="7" t="s">
        <v>3656</v>
      </c>
      <c r="AA263" s="7"/>
      <c r="AB263" s="7"/>
      <c r="AC263" s="7" t="s">
        <v>3657</v>
      </c>
      <c r="AD263" s="7" t="s">
        <v>3658</v>
      </c>
      <c r="AE263" s="7"/>
      <c r="AF263" s="7"/>
      <c r="AG263" s="7"/>
      <c r="AH263" s="20">
        <v>42186.0</v>
      </c>
      <c r="AI263" s="7"/>
      <c r="AJ263" s="7" t="s">
        <v>3654</v>
      </c>
      <c r="AK263" s="7"/>
      <c r="AL263" s="7" t="s">
        <v>3659</v>
      </c>
      <c r="AM263" s="7" t="s">
        <v>3660</v>
      </c>
      <c r="AN263" s="20">
        <v>42186.0</v>
      </c>
      <c r="AO263" s="7">
        <v>97414.0</v>
      </c>
      <c r="AP263" s="7" t="s">
        <v>429</v>
      </c>
      <c r="AQ263" s="7"/>
      <c r="AR263" s="7"/>
      <c r="AS263" s="7"/>
      <c r="AT263" s="7"/>
      <c r="AU263" s="7">
        <v>0.0</v>
      </c>
      <c r="AV263" s="7" t="s">
        <v>3661</v>
      </c>
      <c r="AW263" s="7"/>
      <c r="AX263" s="7"/>
      <c r="AY263" s="7"/>
      <c r="AZ263" s="7"/>
      <c r="BA263" s="7"/>
      <c r="BB263" s="7"/>
      <c r="BC263" s="7" t="s">
        <v>366</v>
      </c>
      <c r="BD263" s="21">
        <v>44115.05763888889</v>
      </c>
      <c r="BE263" s="7"/>
      <c r="BF263" s="7"/>
      <c r="BG263" s="22">
        <v>44115.0</v>
      </c>
      <c r="BH263" s="7"/>
      <c r="BI263" s="7" t="s">
        <v>3662</v>
      </c>
      <c r="BJ263" s="7"/>
      <c r="BK263" s="7" t="b">
        <v>0</v>
      </c>
      <c r="BL263" s="7" t="b">
        <v>0</v>
      </c>
      <c r="BM263" s="7"/>
      <c r="BN263" s="7" t="str">
        <f>IFERROR(__xludf.DUMMYFUNCTION(" IF( REGEXMATCH(C263 , ""[(].+[)]""),REGEXREPLACE( CONCATENATE(REGEXEXTRACT(C263 , ""[(].+[)]""),IF(REGEXMATCH(C263 , ""[(][Ll]['’][)]""),"""","" ""), REGEXEXTRACT(C263 ,""^(?:(?:[A-Za-zàäéèêîïöôûü0-9 ](?:[A-Za-zàäéèêîïöôûü'0-9 ]+)))"")) , ""[()]"", """")"&amp;",C263 )"),"L'Estanco ")</f>
        <v>L'Estanco </v>
      </c>
      <c r="BO263" s="23"/>
      <c r="BP263" s="7"/>
      <c r="BQ263" s="7"/>
      <c r="BR263" s="7"/>
      <c r="BS263" s="7"/>
      <c r="BT263" s="7"/>
      <c r="BU263" s="7"/>
      <c r="BV263" s="7"/>
      <c r="BW263" s="7"/>
      <c r="BX263" s="7"/>
      <c r="BY263" s="7"/>
      <c r="BZ263" s="7"/>
      <c r="CA263" s="7"/>
      <c r="CB263" s="7"/>
    </row>
    <row r="264" ht="21.75" customHeight="1">
      <c r="A264" s="7">
        <v>980.0</v>
      </c>
      <c r="B264" s="7" t="s">
        <v>3663</v>
      </c>
      <c r="C264" s="7" t="s">
        <v>3664</v>
      </c>
      <c r="D264" s="7" t="s">
        <v>3665</v>
      </c>
      <c r="E264" s="7"/>
      <c r="F264" s="7" t="s">
        <v>342</v>
      </c>
      <c r="G264" s="7" t="s">
        <v>343</v>
      </c>
      <c r="H264" s="7" t="s">
        <v>33</v>
      </c>
      <c r="I264" s="7" t="s">
        <v>3666</v>
      </c>
      <c r="J264" s="7"/>
      <c r="K264" s="7" t="s">
        <v>34</v>
      </c>
      <c r="L264" s="7" t="s">
        <v>622</v>
      </c>
      <c r="M264" s="7" t="s">
        <v>622</v>
      </c>
      <c r="N264" s="7" t="s">
        <v>1001</v>
      </c>
      <c r="O264" s="7">
        <v>97442.0</v>
      </c>
      <c r="P264" s="7" t="s">
        <v>33</v>
      </c>
      <c r="Q264" s="7"/>
      <c r="R264" s="7" t="s">
        <v>3667</v>
      </c>
      <c r="S264" s="7" t="s">
        <v>3668</v>
      </c>
      <c r="T264" s="7" t="s">
        <v>1612</v>
      </c>
      <c r="U264" s="7" t="s">
        <v>592</v>
      </c>
      <c r="V264" s="7">
        <v>2.6237046E8</v>
      </c>
      <c r="W264" s="7"/>
      <c r="X264" s="7"/>
      <c r="Y264" s="7">
        <v>2.62370911E8</v>
      </c>
      <c r="Z264" s="7"/>
      <c r="AA264" s="7">
        <v>500.0</v>
      </c>
      <c r="AB264" s="7"/>
      <c r="AC264" s="7"/>
      <c r="AD264" s="7" t="s">
        <v>3669</v>
      </c>
      <c r="AE264" s="7" t="s">
        <v>3670</v>
      </c>
      <c r="AF264" s="7"/>
      <c r="AG264" s="7"/>
      <c r="AH264" s="20">
        <v>39575.0</v>
      </c>
      <c r="AI264" s="7"/>
      <c r="AJ264" s="7" t="s">
        <v>3671</v>
      </c>
      <c r="AK264" s="7">
        <v>3.7772849800017E13</v>
      </c>
      <c r="AL264" s="7" t="s">
        <v>3672</v>
      </c>
      <c r="AM264" s="7" t="s">
        <v>3673</v>
      </c>
      <c r="AN264" s="20">
        <v>39575.0</v>
      </c>
      <c r="AO264" s="7">
        <v>97442.0</v>
      </c>
      <c r="AP264" s="7" t="s">
        <v>884</v>
      </c>
      <c r="AQ264" s="7"/>
      <c r="AR264" s="7"/>
      <c r="AS264" s="7"/>
      <c r="AT264" s="7"/>
      <c r="AU264" s="7">
        <v>0.0</v>
      </c>
      <c r="AV264" s="7" t="s">
        <v>3674</v>
      </c>
      <c r="AW264" s="7"/>
      <c r="AX264" s="7"/>
      <c r="AY264" s="7"/>
      <c r="AZ264" s="7"/>
      <c r="BA264" s="7"/>
      <c r="BB264" s="7"/>
      <c r="BC264" s="7" t="s">
        <v>401</v>
      </c>
      <c r="BD264" s="7"/>
      <c r="BE264" s="7" t="s">
        <v>3675</v>
      </c>
      <c r="BF264" s="7"/>
      <c r="BG264" s="7"/>
      <c r="BH264" s="7">
        <v>3.77728498E8</v>
      </c>
      <c r="BI264" s="7" t="s">
        <v>1932</v>
      </c>
      <c r="BJ264" s="7"/>
      <c r="BK264" s="7" t="b">
        <v>0</v>
      </c>
      <c r="BL264" s="7" t="b">
        <v>0</v>
      </c>
      <c r="BM264" s="7"/>
      <c r="BN264" s="7" t="str">
        <f>IFERROR(__xludf.DUMMYFUNCTION(" IF( REGEXMATCH(C264 , ""[(].+[)]""),REGEXREPLACE( CONCATENATE(REGEXEXTRACT(C264 , ""[(].+[)]""),IF(REGEXMATCH(C264 , ""[(][Ll]['’][)]""),"""","" ""), REGEXEXTRACT(C264 ,""^(?:(?:[A-Za-zàäéèêîïöôûü0-9 ](?:[A-Za-zàäéèêîïöôûü'0-9 ]+)))"")) , ""[()]"", """")"&amp;",C264 )"),"L'Etoile de Mer ")</f>
        <v>L'Etoile de Mer </v>
      </c>
      <c r="BO264" s="25"/>
      <c r="BP264" s="7"/>
      <c r="BQ264" s="7"/>
      <c r="BR264" s="7"/>
      <c r="BS264" s="7"/>
      <c r="BT264" s="7"/>
      <c r="BU264" s="7"/>
      <c r="BV264" s="7"/>
      <c r="BW264" s="7"/>
      <c r="BX264" s="7"/>
      <c r="BY264" s="7"/>
      <c r="BZ264" s="7"/>
      <c r="CA264" s="7"/>
      <c r="CB264" s="7"/>
    </row>
    <row r="265" ht="21.75" customHeight="1">
      <c r="A265" s="7">
        <v>255.0</v>
      </c>
      <c r="B265" s="7">
        <v>264.0</v>
      </c>
      <c r="C265" s="7" t="s">
        <v>3676</v>
      </c>
      <c r="D265" s="7" t="s">
        <v>3677</v>
      </c>
      <c r="E265" s="7"/>
      <c r="F265" s="7" t="s">
        <v>404</v>
      </c>
      <c r="G265" s="7" t="s">
        <v>343</v>
      </c>
      <c r="H265" s="7" t="s">
        <v>344</v>
      </c>
      <c r="I265" s="7" t="s">
        <v>3678</v>
      </c>
      <c r="J265" s="26" t="s">
        <v>3679</v>
      </c>
      <c r="K265" s="7" t="s">
        <v>3680</v>
      </c>
      <c r="L265" s="7" t="s">
        <v>3681</v>
      </c>
      <c r="M265" s="7" t="s">
        <v>3682</v>
      </c>
      <c r="N265" s="7" t="s">
        <v>407</v>
      </c>
      <c r="O265" s="7">
        <v>97418.0</v>
      </c>
      <c r="P265" s="7" t="s">
        <v>348</v>
      </c>
      <c r="Q265" s="7" t="s">
        <v>349</v>
      </c>
      <c r="R265" s="7" t="s">
        <v>3683</v>
      </c>
      <c r="S265" s="7" t="s">
        <v>3684</v>
      </c>
      <c r="T265" s="7" t="s">
        <v>377</v>
      </c>
      <c r="U265" s="7" t="s">
        <v>3685</v>
      </c>
      <c r="V265" s="7">
        <v>2.62574152E8</v>
      </c>
      <c r="W265" s="7">
        <v>6.92875722E8</v>
      </c>
      <c r="X265" s="7"/>
      <c r="Y265" s="7">
        <v>2.6257219E8</v>
      </c>
      <c r="Z265" s="7" t="s">
        <v>3686</v>
      </c>
      <c r="AA265" s="7">
        <v>24.0</v>
      </c>
      <c r="AB265" s="7"/>
      <c r="AC265" s="7"/>
      <c r="AD265" s="7" t="s">
        <v>3687</v>
      </c>
      <c r="AE265" s="7"/>
      <c r="AF265" s="7"/>
      <c r="AG265" s="7"/>
      <c r="AH265" s="20">
        <v>39575.0</v>
      </c>
      <c r="AI265" s="7"/>
      <c r="AJ265" s="7" t="s">
        <v>3688</v>
      </c>
      <c r="AK265" s="7">
        <v>4.3436601900017E13</v>
      </c>
      <c r="AL265" s="7" t="s">
        <v>3689</v>
      </c>
      <c r="AM265" s="7" t="s">
        <v>3690</v>
      </c>
      <c r="AN265" s="20">
        <v>39575.0</v>
      </c>
      <c r="AO265" s="7">
        <v>97418.0</v>
      </c>
      <c r="AP265" s="7" t="s">
        <v>362</v>
      </c>
      <c r="AQ265" s="7"/>
      <c r="AR265" s="7"/>
      <c r="AS265" s="7"/>
      <c r="AT265" s="7"/>
      <c r="AU265" s="7">
        <v>6.0</v>
      </c>
      <c r="AV265" s="7" t="s">
        <v>3691</v>
      </c>
      <c r="AW265" s="7"/>
      <c r="AX265" s="7"/>
      <c r="AY265" s="7"/>
      <c r="AZ265" s="7"/>
      <c r="BA265" s="7"/>
      <c r="BB265" s="7"/>
      <c r="BC265" s="7" t="s">
        <v>366</v>
      </c>
      <c r="BD265" s="21">
        <v>44197.0</v>
      </c>
      <c r="BE265" s="7"/>
      <c r="BF265" s="7"/>
      <c r="BG265" s="22">
        <v>44197.0</v>
      </c>
      <c r="BH265" s="7">
        <v>4.34366019E8</v>
      </c>
      <c r="BI265" s="7" t="s">
        <v>514</v>
      </c>
      <c r="BJ265" s="7"/>
      <c r="BK265" s="7" t="b">
        <v>0</v>
      </c>
      <c r="BL265" s="7" t="b">
        <v>0</v>
      </c>
      <c r="BM265" s="7"/>
      <c r="BN265" s="7" t="str">
        <f>IFERROR(__xludf.DUMMYFUNCTION(" IF( REGEXMATCH(C265 , ""[(].+[)]""),REGEXREPLACE( CONCATENATE(REGEXEXTRACT(C265 , ""[(].+[)]""),IF(REGEXMATCH(C265 , ""[(][Ll]['’][)]""),"""","" ""), REGEXEXTRACT(C265 ,""^(?:(?:[A-Za-zàäéèêîïöôûü0-9 ](?:[A-Za-zàäéèêîïöôûü'0-9 ]+)))"")) , ""[()]"", """")"&amp;",C265 )"),"L'Etoile des Neiges ")</f>
        <v>L'Etoile des Neiges </v>
      </c>
      <c r="BO265" s="23"/>
      <c r="BP265" s="7"/>
      <c r="BQ265" s="7"/>
      <c r="BR265" s="7"/>
      <c r="BS265" s="7"/>
      <c r="BT265" s="7"/>
      <c r="BU265" s="7"/>
      <c r="BV265" s="7"/>
      <c r="BW265" s="7"/>
      <c r="BX265" s="7"/>
      <c r="BY265" s="7"/>
      <c r="BZ265" s="7"/>
      <c r="CA265" s="7"/>
      <c r="CB265" s="7"/>
    </row>
    <row r="266" ht="21.75" customHeight="1">
      <c r="A266" s="7">
        <v>788.0</v>
      </c>
      <c r="B266" s="7" t="s">
        <v>3692</v>
      </c>
      <c r="C266" s="7" t="s">
        <v>3693</v>
      </c>
      <c r="D266" s="7" t="s">
        <v>3693</v>
      </c>
      <c r="E266" s="7"/>
      <c r="F266" s="7" t="s">
        <v>342</v>
      </c>
      <c r="G266" s="7" t="s">
        <v>343</v>
      </c>
      <c r="H266" s="7" t="s">
        <v>123</v>
      </c>
      <c r="I266" s="7" t="s">
        <v>3694</v>
      </c>
      <c r="J266" s="7"/>
      <c r="K266" s="7" t="s">
        <v>34</v>
      </c>
      <c r="L266" s="7" t="s">
        <v>485</v>
      </c>
      <c r="M266" s="7" t="s">
        <v>486</v>
      </c>
      <c r="N266" s="7" t="s">
        <v>347</v>
      </c>
      <c r="O266" s="7">
        <v>97480.0</v>
      </c>
      <c r="P266" s="7" t="s">
        <v>123</v>
      </c>
      <c r="Q266" s="7" t="s">
        <v>2879</v>
      </c>
      <c r="R266" s="7" t="s">
        <v>3695</v>
      </c>
      <c r="S266" s="7" t="s">
        <v>1108</v>
      </c>
      <c r="T266" s="7" t="s">
        <v>377</v>
      </c>
      <c r="U266" s="7" t="s">
        <v>353</v>
      </c>
      <c r="V266" s="7"/>
      <c r="W266" s="7">
        <v>6.92035478E8</v>
      </c>
      <c r="X266" s="7"/>
      <c r="Y266" s="7"/>
      <c r="Z266" s="7" t="s">
        <v>3696</v>
      </c>
      <c r="AA266" s="7">
        <v>25.0</v>
      </c>
      <c r="AB266" s="7"/>
      <c r="AC266" s="7" t="s">
        <v>3697</v>
      </c>
      <c r="AD266" s="7" t="s">
        <v>3698</v>
      </c>
      <c r="AE266" s="7" t="s">
        <v>3699</v>
      </c>
      <c r="AF266" s="7" t="s">
        <v>613</v>
      </c>
      <c r="AG266" s="7" t="s">
        <v>578</v>
      </c>
      <c r="AH266" s="20">
        <v>39594.0</v>
      </c>
      <c r="AI266" s="7"/>
      <c r="AJ266" s="7" t="s">
        <v>3700</v>
      </c>
      <c r="AK266" s="7">
        <v>4.9271294800016E13</v>
      </c>
      <c r="AL266" s="7" t="s">
        <v>3701</v>
      </c>
      <c r="AM266" s="7" t="s">
        <v>3702</v>
      </c>
      <c r="AN266" s="20">
        <v>39575.0</v>
      </c>
      <c r="AO266" s="7">
        <v>97480.0</v>
      </c>
      <c r="AP266" s="7" t="s">
        <v>385</v>
      </c>
      <c r="AQ266" s="7"/>
      <c r="AR266" s="7"/>
      <c r="AS266" s="7"/>
      <c r="AT266" s="7"/>
      <c r="AU266" s="7">
        <v>0.0</v>
      </c>
      <c r="AV266" s="7" t="s">
        <v>3703</v>
      </c>
      <c r="AW266" s="7"/>
      <c r="AX266" s="7"/>
      <c r="AY266" s="7"/>
      <c r="AZ266" s="7"/>
      <c r="BA266" s="7"/>
      <c r="BB266" s="7"/>
      <c r="BC266" s="7" t="s">
        <v>401</v>
      </c>
      <c r="BD266" s="21">
        <v>44088.0625</v>
      </c>
      <c r="BE266" s="7" t="s">
        <v>3704</v>
      </c>
      <c r="BF266" s="7"/>
      <c r="BG266" s="7"/>
      <c r="BH266" s="7">
        <v>4.92712948E8</v>
      </c>
      <c r="BI266" s="7" t="s">
        <v>3705</v>
      </c>
      <c r="BJ266" s="7"/>
      <c r="BK266" s="7" t="b">
        <v>0</v>
      </c>
      <c r="BL266" s="7" t="b">
        <v>0</v>
      </c>
      <c r="BM266" s="7"/>
      <c r="BN266" s="7" t="str">
        <f>IFERROR(__xludf.DUMMYFUNCTION(" IF( REGEXMATCH(C266 , ""[(].+[)]""),REGEXREPLACE( CONCATENATE(REGEXEXTRACT(C266 , ""[(].+[)]""),IF(REGEXMATCH(C266 , ""[(][Ll]['’][)]""),"""","" ""), REGEXEXTRACT(C266 ,""^(?:(?:[A-Za-zàäéèêîïöôûü0-9 ](?:[A-Za-zàäéèêîïöôûü'0-9 ]+)))"")) , ""[()]"", """")"&amp;",C266 )"),"L'Eucalyptus ")</f>
        <v>L'Eucalyptus </v>
      </c>
      <c r="BO266" s="25"/>
      <c r="BP266" s="7"/>
      <c r="BQ266" s="7"/>
      <c r="BR266" s="7"/>
      <c r="BS266" s="7"/>
      <c r="BT266" s="7"/>
      <c r="BU266" s="7"/>
      <c r="BV266" s="7"/>
      <c r="BW266" s="7"/>
      <c r="BX266" s="7"/>
      <c r="BY266" s="7"/>
      <c r="BZ266" s="7"/>
      <c r="CA266" s="7"/>
      <c r="CB266" s="7"/>
    </row>
    <row r="267" ht="21.75" customHeight="1">
      <c r="A267" s="7">
        <v>789.0</v>
      </c>
      <c r="B267" s="7">
        <v>266.0</v>
      </c>
      <c r="C267" s="7" t="s">
        <v>3693</v>
      </c>
      <c r="D267" s="7"/>
      <c r="E267" s="7"/>
      <c r="F267" s="7" t="s">
        <v>404</v>
      </c>
      <c r="G267" s="7" t="s">
        <v>343</v>
      </c>
      <c r="H267" s="7" t="s">
        <v>123</v>
      </c>
      <c r="I267" s="7" t="s">
        <v>3706</v>
      </c>
      <c r="J267" s="7"/>
      <c r="K267" s="7" t="s">
        <v>58</v>
      </c>
      <c r="L267" s="7" t="s">
        <v>59</v>
      </c>
      <c r="M267" s="7" t="s">
        <v>545</v>
      </c>
      <c r="N267" s="7" t="s">
        <v>347</v>
      </c>
      <c r="O267" s="7">
        <v>97480.0</v>
      </c>
      <c r="P267" s="7" t="s">
        <v>123</v>
      </c>
      <c r="Q267" s="7" t="s">
        <v>2879</v>
      </c>
      <c r="R267" s="7" t="s">
        <v>3707</v>
      </c>
      <c r="S267" s="7" t="s">
        <v>1108</v>
      </c>
      <c r="T267" s="6" t="s">
        <v>3708</v>
      </c>
      <c r="U267" s="7" t="s">
        <v>786</v>
      </c>
      <c r="V267" s="7"/>
      <c r="W267" s="7">
        <v>6.92035478E8</v>
      </c>
      <c r="X267" s="7"/>
      <c r="Y267" s="7"/>
      <c r="Z267" s="7" t="s">
        <v>3696</v>
      </c>
      <c r="AA267" s="7">
        <v>6.0</v>
      </c>
      <c r="AB267" s="7"/>
      <c r="AC267" s="7" t="s">
        <v>3709</v>
      </c>
      <c r="AD267" s="7" t="s">
        <v>3710</v>
      </c>
      <c r="AE267" s="7" t="s">
        <v>3711</v>
      </c>
      <c r="AF267" s="7"/>
      <c r="AG267" s="7"/>
      <c r="AH267" s="20">
        <v>39605.0</v>
      </c>
      <c r="AI267" s="7"/>
      <c r="AJ267" s="7" t="s">
        <v>3700</v>
      </c>
      <c r="AK267" s="7">
        <v>4.9271294800016E13</v>
      </c>
      <c r="AL267" s="7" t="s">
        <v>3701</v>
      </c>
      <c r="AM267" s="7" t="s">
        <v>3702</v>
      </c>
      <c r="AN267" s="20">
        <v>39575.0</v>
      </c>
      <c r="AO267" s="7">
        <v>97480.0</v>
      </c>
      <c r="AP267" s="7" t="s">
        <v>385</v>
      </c>
      <c r="AQ267" s="7"/>
      <c r="AR267" s="7"/>
      <c r="AS267" s="7"/>
      <c r="AT267" s="7"/>
      <c r="AU267" s="7">
        <v>1.0</v>
      </c>
      <c r="AV267" s="7" t="s">
        <v>3703</v>
      </c>
      <c r="AW267" s="7"/>
      <c r="AX267" s="7"/>
      <c r="AY267" s="7"/>
      <c r="AZ267" s="7"/>
      <c r="BA267" s="7"/>
      <c r="BB267" s="7"/>
      <c r="BC267" s="7" t="s">
        <v>366</v>
      </c>
      <c r="BD267" s="21">
        <v>44088.0625</v>
      </c>
      <c r="BE267" s="7"/>
      <c r="BF267" s="7"/>
      <c r="BG267" s="22">
        <v>44088.0</v>
      </c>
      <c r="BH267" s="7">
        <v>4.92712948E8</v>
      </c>
      <c r="BI267" s="7" t="s">
        <v>3712</v>
      </c>
      <c r="BJ267" s="7"/>
      <c r="BK267" s="7" t="b">
        <v>0</v>
      </c>
      <c r="BL267" s="7" t="b">
        <v>0</v>
      </c>
      <c r="BM267" s="7"/>
      <c r="BN267" s="7" t="str">
        <f>IFERROR(__xludf.DUMMYFUNCTION(" IF( REGEXMATCH(C267 , ""[(].+[)]""),REGEXREPLACE( CONCATENATE(REGEXEXTRACT(C267 , ""[(].+[)]""),IF(REGEXMATCH(C267 , ""[(][Ll]['’][)]""),"""","" ""), REGEXEXTRACT(C267 ,""^(?:(?:[A-Za-zàäéèêîïöôûü0-9 ](?:[A-Za-zàäéèêîïöôûü'0-9 ]+)))"")) , ""[()]"", """")"&amp;",C267 )"),"L'Eucalyptus ")</f>
        <v>L'Eucalyptus </v>
      </c>
      <c r="BO267" s="23"/>
      <c r="BP267" s="7"/>
      <c r="BQ267" s="7"/>
      <c r="BR267" s="7"/>
      <c r="BS267" s="7"/>
      <c r="BT267" s="7"/>
      <c r="BU267" s="7"/>
      <c r="BV267" s="7"/>
      <c r="BW267" s="7"/>
      <c r="BX267" s="7"/>
      <c r="BY267" s="7"/>
      <c r="BZ267" s="7"/>
      <c r="CA267" s="7"/>
      <c r="CB267" s="7"/>
    </row>
    <row r="268" ht="21.75" customHeight="1">
      <c r="A268" s="7">
        <v>787.0</v>
      </c>
      <c r="B268" s="7" t="s">
        <v>3713</v>
      </c>
      <c r="C268" s="7" t="s">
        <v>3693</v>
      </c>
      <c r="D268" s="7" t="s">
        <v>3714</v>
      </c>
      <c r="E268" s="7"/>
      <c r="F268" s="7" t="s">
        <v>342</v>
      </c>
      <c r="G268" s="7" t="s">
        <v>343</v>
      </c>
      <c r="H268" s="7" t="s">
        <v>123</v>
      </c>
      <c r="I268" s="7" t="s">
        <v>3694</v>
      </c>
      <c r="J268" s="26" t="s">
        <v>3715</v>
      </c>
      <c r="K268" s="7" t="s">
        <v>58</v>
      </c>
      <c r="L268" s="7" t="s">
        <v>453</v>
      </c>
      <c r="M268" s="7" t="s">
        <v>454</v>
      </c>
      <c r="N268" s="7" t="s">
        <v>347</v>
      </c>
      <c r="O268" s="7">
        <v>97480.0</v>
      </c>
      <c r="P268" s="7" t="s">
        <v>123</v>
      </c>
      <c r="Q268" s="7" t="s">
        <v>2879</v>
      </c>
      <c r="R268" s="7" t="s">
        <v>3716</v>
      </c>
      <c r="S268" s="7" t="s">
        <v>1108</v>
      </c>
      <c r="T268" s="7" t="s">
        <v>377</v>
      </c>
      <c r="U268" s="7" t="s">
        <v>353</v>
      </c>
      <c r="V268" s="7"/>
      <c r="W268" s="7">
        <v>6.92035478E8</v>
      </c>
      <c r="X268" s="7"/>
      <c r="Y268" s="7"/>
      <c r="Z268" s="7" t="s">
        <v>3696</v>
      </c>
      <c r="AA268" s="7">
        <v>6.0</v>
      </c>
      <c r="AB268" s="7" t="s">
        <v>574</v>
      </c>
      <c r="AC268" s="7" t="s">
        <v>3717</v>
      </c>
      <c r="AD268" s="7" t="s">
        <v>3718</v>
      </c>
      <c r="AE268" s="7" t="s">
        <v>3699</v>
      </c>
      <c r="AF268" s="7"/>
      <c r="AG268" s="7" t="s">
        <v>578</v>
      </c>
      <c r="AH268" s="20">
        <v>39575.0</v>
      </c>
      <c r="AI268" s="7"/>
      <c r="AJ268" s="7" t="s">
        <v>3700</v>
      </c>
      <c r="AK268" s="7">
        <v>4.9271294800016E13</v>
      </c>
      <c r="AL268" s="7" t="s">
        <v>3701</v>
      </c>
      <c r="AM268" s="7" t="s">
        <v>3702</v>
      </c>
      <c r="AN268" s="20">
        <v>39575.0</v>
      </c>
      <c r="AO268" s="7">
        <v>97480.0</v>
      </c>
      <c r="AP268" s="7" t="s">
        <v>385</v>
      </c>
      <c r="AQ268" s="7"/>
      <c r="AR268" s="7"/>
      <c r="AS268" s="7"/>
      <c r="AT268" s="7"/>
      <c r="AU268" s="7">
        <v>2.0</v>
      </c>
      <c r="AV268" s="7" t="s">
        <v>3703</v>
      </c>
      <c r="AW268" s="7"/>
      <c r="AX268" s="7"/>
      <c r="AY268" s="7"/>
      <c r="AZ268" s="7" t="s">
        <v>3719</v>
      </c>
      <c r="BA268" s="7"/>
      <c r="BB268" s="7"/>
      <c r="BC268" s="7" t="s">
        <v>401</v>
      </c>
      <c r="BD268" s="21">
        <v>44088.0625</v>
      </c>
      <c r="BE268" s="7" t="s">
        <v>3720</v>
      </c>
      <c r="BF268" s="7"/>
      <c r="BG268" s="7"/>
      <c r="BH268" s="7">
        <v>4.92712948E8</v>
      </c>
      <c r="BI268" s="7" t="s">
        <v>3705</v>
      </c>
      <c r="BJ268" s="7"/>
      <c r="BK268" s="7" t="b">
        <v>0</v>
      </c>
      <c r="BL268" s="7" t="b">
        <v>0</v>
      </c>
      <c r="BM268" s="7"/>
      <c r="BN268" s="7" t="str">
        <f>IFERROR(__xludf.DUMMYFUNCTION(" IF( REGEXMATCH(C268 , ""[(].+[)]""),REGEXREPLACE( CONCATENATE(REGEXEXTRACT(C268 , ""[(].+[)]""),IF(REGEXMATCH(C268 , ""[(][Ll]['’][)]""),"""","" ""), REGEXEXTRACT(C268 ,""^(?:(?:[A-Za-zàäéèêîïöôûü0-9 ](?:[A-Za-zàäéèêîïöôûü'0-9 ]+)))"")) , ""[()]"", """")"&amp;",C268 )"),"L'Eucalyptus ")</f>
        <v>L'Eucalyptus </v>
      </c>
      <c r="BO268" s="25"/>
      <c r="BP268" s="7"/>
      <c r="BQ268" s="7"/>
      <c r="BR268" s="7"/>
      <c r="BS268" s="7"/>
      <c r="BT268" s="7"/>
      <c r="BU268" s="7"/>
      <c r="BV268" s="7"/>
      <c r="BW268" s="7"/>
      <c r="BX268" s="7"/>
      <c r="BY268" s="7"/>
      <c r="BZ268" s="7"/>
      <c r="CA268" s="7"/>
      <c r="CB268" s="7"/>
    </row>
    <row r="269" ht="21.75" customHeight="1">
      <c r="A269" s="7">
        <v>2144.0</v>
      </c>
      <c r="B269" s="7" t="s">
        <v>3721</v>
      </c>
      <c r="C269" s="7" t="s">
        <v>3722</v>
      </c>
      <c r="D269" s="7" t="s">
        <v>3722</v>
      </c>
      <c r="E269" s="7"/>
      <c r="F269" s="7" t="s">
        <v>342</v>
      </c>
      <c r="G269" s="7" t="s">
        <v>343</v>
      </c>
      <c r="H269" s="7" t="s">
        <v>344</v>
      </c>
      <c r="I269" s="7" t="s">
        <v>3723</v>
      </c>
      <c r="J269" s="7"/>
      <c r="K269" s="7" t="s">
        <v>34</v>
      </c>
      <c r="L269" s="7" t="s">
        <v>622</v>
      </c>
      <c r="M269" s="7" t="s">
        <v>622</v>
      </c>
      <c r="N269" s="7" t="s">
        <v>422</v>
      </c>
      <c r="O269" s="7">
        <v>97418.0</v>
      </c>
      <c r="P269" s="7" t="s">
        <v>348</v>
      </c>
      <c r="Q269" s="7" t="s">
        <v>349</v>
      </c>
      <c r="R269" s="7"/>
      <c r="S269" s="7" t="s">
        <v>3724</v>
      </c>
      <c r="T269" s="7" t="s">
        <v>377</v>
      </c>
      <c r="U269" s="7" t="s">
        <v>378</v>
      </c>
      <c r="V269" s="7"/>
      <c r="W269" s="7">
        <v>6.92690135E8</v>
      </c>
      <c r="X269" s="7"/>
      <c r="Y269" s="7"/>
      <c r="Z269" s="7"/>
      <c r="AA269" s="7"/>
      <c r="AB269" s="7"/>
      <c r="AC269" s="7"/>
      <c r="AD269" s="7" t="s">
        <v>3725</v>
      </c>
      <c r="AE269" s="7"/>
      <c r="AF269" s="7"/>
      <c r="AG269" s="7"/>
      <c r="AH269" s="20">
        <v>43739.0</v>
      </c>
      <c r="AI269" s="7"/>
      <c r="AJ269" s="7" t="s">
        <v>3726</v>
      </c>
      <c r="AK269" s="7"/>
      <c r="AL269" s="7" t="s">
        <v>3727</v>
      </c>
      <c r="AM269" s="7" t="s">
        <v>3728</v>
      </c>
      <c r="AN269" s="20">
        <v>43739.0</v>
      </c>
      <c r="AO269" s="7">
        <v>97418.0</v>
      </c>
      <c r="AP269" s="7" t="s">
        <v>362</v>
      </c>
      <c r="AQ269" s="7"/>
      <c r="AR269" s="7"/>
      <c r="AS269" s="7"/>
      <c r="AT269" s="7"/>
      <c r="AU269" s="7">
        <v>0.0</v>
      </c>
      <c r="AV269" s="7" t="s">
        <v>3729</v>
      </c>
      <c r="AW269" s="7"/>
      <c r="AX269" s="7"/>
      <c r="AY269" s="7"/>
      <c r="AZ269" s="7"/>
      <c r="BA269" s="7"/>
      <c r="BB269" s="7"/>
      <c r="BC269" s="7" t="s">
        <v>401</v>
      </c>
      <c r="BD269" s="21">
        <v>44222.11944444444</v>
      </c>
      <c r="BE269" s="7" t="s">
        <v>1047</v>
      </c>
      <c r="BF269" s="7"/>
      <c r="BG269" s="7"/>
      <c r="BH269" s="7"/>
      <c r="BI269" s="7" t="s">
        <v>3730</v>
      </c>
      <c r="BJ269" s="7"/>
      <c r="BK269" s="7" t="b">
        <v>0</v>
      </c>
      <c r="BL269" s="7" t="b">
        <v>0</v>
      </c>
      <c r="BM269" s="7"/>
      <c r="BN269" s="7" t="str">
        <f>IFERROR(__xludf.DUMMYFUNCTION(" IF( REGEXMATCH(C269 , ""[(].+[)]""),REGEXREPLACE( CONCATENATE(REGEXEXTRACT(C269 , ""[(].+[)]""),IF(REGEXMATCH(C269 , ""[(][Ll]['’][)]""),"""","" ""), REGEXEXTRACT(C269 ,""^(?:(?:[A-Za-zàäéèêîïöôûü0-9 ](?:[A-Za-zàäéèêîïöôûü'0-9 ]+)))"")) , ""[()]"", """")"&amp;",C269 )"),"Euro Bar")</f>
        <v>Euro Bar</v>
      </c>
      <c r="BO269" s="25"/>
      <c r="BP269" s="7"/>
      <c r="BQ269" s="7"/>
      <c r="BR269" s="7"/>
      <c r="BS269" s="7"/>
      <c r="BT269" s="7"/>
      <c r="BU269" s="7"/>
      <c r="BV269" s="7"/>
      <c r="BW269" s="7"/>
      <c r="BX269" s="7"/>
      <c r="BY269" s="7"/>
      <c r="BZ269" s="7"/>
      <c r="CA269" s="7"/>
      <c r="CB269" s="7"/>
    </row>
    <row r="270" ht="21.75" customHeight="1">
      <c r="A270" s="7">
        <v>4275.0</v>
      </c>
      <c r="B270" s="7">
        <v>269.0</v>
      </c>
      <c r="C270" s="7" t="s">
        <v>3731</v>
      </c>
      <c r="D270" s="7"/>
      <c r="E270" s="7"/>
      <c r="F270" s="7" t="s">
        <v>342</v>
      </c>
      <c r="G270" s="7" t="s">
        <v>343</v>
      </c>
      <c r="H270" s="7" t="s">
        <v>123</v>
      </c>
      <c r="I270" s="7" t="s">
        <v>3732</v>
      </c>
      <c r="J270" s="26" t="s">
        <v>3733</v>
      </c>
      <c r="K270" s="6" t="s">
        <v>469</v>
      </c>
      <c r="L270" s="7" t="s">
        <v>470</v>
      </c>
      <c r="M270" s="7" t="s">
        <v>3734</v>
      </c>
      <c r="N270" s="7"/>
      <c r="O270" s="7">
        <v>97480.0</v>
      </c>
      <c r="P270" s="7" t="s">
        <v>123</v>
      </c>
      <c r="Q270" s="7"/>
      <c r="R270" s="7"/>
      <c r="S270" s="7"/>
      <c r="T270" s="7" t="s">
        <v>499</v>
      </c>
      <c r="U270" s="7" t="s">
        <v>592</v>
      </c>
      <c r="V270" s="7"/>
      <c r="W270" s="7">
        <v>6.92613455E8</v>
      </c>
      <c r="X270" s="7"/>
      <c r="Y270" s="7"/>
      <c r="Z270" s="7" t="s">
        <v>3735</v>
      </c>
      <c r="AA270" s="7">
        <v>12.0</v>
      </c>
      <c r="AB270" s="7"/>
      <c r="AC270" s="7" t="s">
        <v>3736</v>
      </c>
      <c r="AD270" s="7" t="s">
        <v>3737</v>
      </c>
      <c r="AE270" s="7" t="s">
        <v>3738</v>
      </c>
      <c r="AF270" s="7"/>
      <c r="AG270" s="7"/>
      <c r="AH270" s="20">
        <v>42796.0</v>
      </c>
      <c r="AI270" s="7"/>
      <c r="AJ270" s="7" t="s">
        <v>3739</v>
      </c>
      <c r="AK270" s="7">
        <v>4.4055140600042E13</v>
      </c>
      <c r="AL270" s="7" t="s">
        <v>3740</v>
      </c>
      <c r="AM270" s="7" t="s">
        <v>3741</v>
      </c>
      <c r="AN270" s="20">
        <v>39694.0</v>
      </c>
      <c r="AO270" s="7">
        <v>97480.0</v>
      </c>
      <c r="AP270" s="7" t="s">
        <v>385</v>
      </c>
      <c r="AQ270" s="7"/>
      <c r="AR270" s="7"/>
      <c r="AS270" s="7"/>
      <c r="AT270" s="7"/>
      <c r="AU270" s="7">
        <v>0.0</v>
      </c>
      <c r="AV270" s="7" t="s">
        <v>3742</v>
      </c>
      <c r="AW270" s="7"/>
      <c r="AX270" s="7"/>
      <c r="AY270" s="7"/>
      <c r="AZ270" s="7"/>
      <c r="BA270" s="7"/>
      <c r="BB270" s="7"/>
      <c r="BC270" s="7" t="s">
        <v>366</v>
      </c>
      <c r="BD270" s="21">
        <v>44197.0</v>
      </c>
      <c r="BE270" s="7"/>
      <c r="BF270" s="7"/>
      <c r="BG270" s="22">
        <v>44197.0</v>
      </c>
      <c r="BH270" s="7">
        <v>4.40551406E8</v>
      </c>
      <c r="BI270" s="7" t="s">
        <v>3743</v>
      </c>
      <c r="BJ270" s="7"/>
      <c r="BK270" s="7" t="b">
        <v>0</v>
      </c>
      <c r="BL270" s="7" t="b">
        <v>0</v>
      </c>
      <c r="BM270" s="7"/>
      <c r="BN270" s="7" t="str">
        <f>IFERROR(__xludf.DUMMYFUNCTION(" IF( REGEXMATCH(C270 , ""[(].+[)]""),REGEXREPLACE( CONCATENATE(REGEXEXTRACT(C270 , ""[(].+[)]""),IF(REGEXMATCH(C270 , ""[(][Ll]['’][)]""),"""","" ""), REGEXEXTRACT(C270 ,""^(?:(?:[A-Za-zàäéèêîïöôûü0-9 ](?:[A-Za-zàäéèêîïöôûü'0-9 ]+)))"")) , ""[()]"", """")"&amp;",C270 )"),"Evasion Kréol")</f>
        <v>Evasion Kréol</v>
      </c>
      <c r="BO270" s="23"/>
      <c r="BP270" s="7"/>
      <c r="BQ270" s="7"/>
      <c r="BR270" s="7"/>
      <c r="BS270" s="7"/>
      <c r="BT270" s="7"/>
      <c r="BU270" s="7"/>
      <c r="BV270" s="7"/>
      <c r="BW270" s="7"/>
      <c r="BX270" s="7"/>
      <c r="BY270" s="7"/>
      <c r="BZ270" s="7"/>
      <c r="CA270" s="7"/>
      <c r="CB270" s="7"/>
    </row>
    <row r="271" ht="21.75" customHeight="1">
      <c r="A271" s="7">
        <v>1209.0</v>
      </c>
      <c r="B271" s="7" t="s">
        <v>3744</v>
      </c>
      <c r="C271" s="7" t="s">
        <v>3731</v>
      </c>
      <c r="D271" s="7"/>
      <c r="E271" s="7"/>
      <c r="F271" s="7" t="s">
        <v>342</v>
      </c>
      <c r="G271" s="7" t="s">
        <v>343</v>
      </c>
      <c r="H271" s="7" t="s">
        <v>123</v>
      </c>
      <c r="I271" s="7" t="s">
        <v>3745</v>
      </c>
      <c r="J271" s="26" t="s">
        <v>3733</v>
      </c>
      <c r="K271" s="6" t="s">
        <v>469</v>
      </c>
      <c r="L271" s="7" t="s">
        <v>1908</v>
      </c>
      <c r="M271" s="7" t="s">
        <v>1909</v>
      </c>
      <c r="N271" s="7"/>
      <c r="O271" s="7">
        <v>97480.0</v>
      </c>
      <c r="P271" s="7" t="s">
        <v>123</v>
      </c>
      <c r="Q271" s="7"/>
      <c r="R271" s="7"/>
      <c r="S271" s="7"/>
      <c r="T271" s="7" t="s">
        <v>499</v>
      </c>
      <c r="U271" s="7" t="s">
        <v>440</v>
      </c>
      <c r="V271" s="7"/>
      <c r="W271" s="7">
        <v>6.92613455E8</v>
      </c>
      <c r="X271" s="7"/>
      <c r="Y271" s="7"/>
      <c r="Z271" s="7" t="s">
        <v>3735</v>
      </c>
      <c r="AA271" s="7">
        <v>10.0</v>
      </c>
      <c r="AB271" s="7"/>
      <c r="AC271" s="7" t="s">
        <v>3736</v>
      </c>
      <c r="AD271" s="7" t="s">
        <v>3746</v>
      </c>
      <c r="AE271" s="7" t="s">
        <v>3738</v>
      </c>
      <c r="AF271" s="7"/>
      <c r="AG271" s="7" t="s">
        <v>597</v>
      </c>
      <c r="AH271" s="20">
        <v>39694.0</v>
      </c>
      <c r="AI271" s="7"/>
      <c r="AJ271" s="7" t="s">
        <v>3739</v>
      </c>
      <c r="AK271" s="7">
        <v>4.4055140600042E13</v>
      </c>
      <c r="AL271" s="7" t="s">
        <v>3747</v>
      </c>
      <c r="AM271" s="7" t="s">
        <v>3741</v>
      </c>
      <c r="AN271" s="20">
        <v>39694.0</v>
      </c>
      <c r="AO271" s="7">
        <v>97480.0</v>
      </c>
      <c r="AP271" s="7" t="s">
        <v>385</v>
      </c>
      <c r="AQ271" s="7"/>
      <c r="AR271" s="7"/>
      <c r="AS271" s="7"/>
      <c r="AT271" s="7"/>
      <c r="AU271" s="7">
        <v>0.0</v>
      </c>
      <c r="AV271" s="7" t="s">
        <v>3748</v>
      </c>
      <c r="AW271" s="7"/>
      <c r="AX271" s="7"/>
      <c r="AY271" s="7"/>
      <c r="AZ271" s="7"/>
      <c r="BA271" s="7"/>
      <c r="BB271" s="7"/>
      <c r="BC271" s="7" t="s">
        <v>401</v>
      </c>
      <c r="BD271" s="7"/>
      <c r="BE271" s="7" t="s">
        <v>3749</v>
      </c>
      <c r="BF271" s="7"/>
      <c r="BG271" s="7"/>
      <c r="BH271" s="7">
        <v>4.40551406E8</v>
      </c>
      <c r="BI271" s="7" t="s">
        <v>3743</v>
      </c>
      <c r="BJ271" s="7"/>
      <c r="BK271" s="7" t="b">
        <v>0</v>
      </c>
      <c r="BL271" s="7" t="b">
        <v>0</v>
      </c>
      <c r="BM271" s="7"/>
      <c r="BN271" s="7" t="str">
        <f>IFERROR(__xludf.DUMMYFUNCTION(" IF( REGEXMATCH(C271 , ""[(].+[)]""),REGEXREPLACE( CONCATENATE(REGEXEXTRACT(C271 , ""[(].+[)]""),IF(REGEXMATCH(C271 , ""[(][Ll]['’][)]""),"""","" ""), REGEXEXTRACT(C271 ,""^(?:(?:[A-Za-zàäéèêîïöôûü0-9 ](?:[A-Za-zàäéèêîïöôûü'0-9 ]+)))"")) , ""[()]"", """")"&amp;",C271 )"),"Evasion Kréol")</f>
        <v>Evasion Kréol</v>
      </c>
      <c r="BO271" s="25"/>
      <c r="BP271" s="7"/>
      <c r="BQ271" s="7"/>
      <c r="BR271" s="7"/>
      <c r="BS271" s="7"/>
      <c r="BT271" s="7"/>
      <c r="BU271" s="7"/>
      <c r="BV271" s="7"/>
      <c r="BW271" s="7"/>
      <c r="BX271" s="7"/>
      <c r="BY271" s="7"/>
      <c r="BZ271" s="7"/>
      <c r="CA271" s="7"/>
      <c r="CB271" s="7"/>
    </row>
    <row r="272" ht="21.75" customHeight="1">
      <c r="A272" s="7">
        <v>315.0</v>
      </c>
      <c r="B272" s="7" t="s">
        <v>267</v>
      </c>
      <c r="C272" s="7" t="s">
        <v>3750</v>
      </c>
      <c r="D272" s="7" t="s">
        <v>3750</v>
      </c>
      <c r="E272" s="7"/>
      <c r="F272" s="7" t="s">
        <v>342</v>
      </c>
      <c r="G272" s="7" t="s">
        <v>343</v>
      </c>
      <c r="H272" s="7" t="s">
        <v>123</v>
      </c>
      <c r="I272" s="7" t="s">
        <v>3751</v>
      </c>
      <c r="J272" s="7"/>
      <c r="K272" s="7" t="s">
        <v>822</v>
      </c>
      <c r="L272" s="7" t="s">
        <v>2840</v>
      </c>
      <c r="M272" s="7" t="s">
        <v>2852</v>
      </c>
      <c r="N272" s="7" t="s">
        <v>407</v>
      </c>
      <c r="O272" s="7">
        <v>97480.0</v>
      </c>
      <c r="P272" s="7" t="s">
        <v>123</v>
      </c>
      <c r="Q272" s="7"/>
      <c r="R272" s="7" t="s">
        <v>3752</v>
      </c>
      <c r="S272" s="7" t="s">
        <v>3753</v>
      </c>
      <c r="T272" s="7" t="s">
        <v>377</v>
      </c>
      <c r="U272" s="7" t="s">
        <v>353</v>
      </c>
      <c r="V272" s="7"/>
      <c r="W272" s="7">
        <v>6.92199793E8</v>
      </c>
      <c r="X272" s="7"/>
      <c r="Y272" s="7"/>
      <c r="Z272" s="7" t="s">
        <v>3754</v>
      </c>
      <c r="AA272" s="7">
        <v>25.0</v>
      </c>
      <c r="AB272" s="7"/>
      <c r="AC272" s="7" t="s">
        <v>3755</v>
      </c>
      <c r="AD272" s="7" t="s">
        <v>3756</v>
      </c>
      <c r="AE272" s="7" t="s">
        <v>3757</v>
      </c>
      <c r="AF272" s="7" t="s">
        <v>613</v>
      </c>
      <c r="AG272" s="7"/>
      <c r="AH272" s="20">
        <v>39689.0</v>
      </c>
      <c r="AI272" s="7"/>
      <c r="AJ272" s="7" t="s">
        <v>3758</v>
      </c>
      <c r="AK272" s="7">
        <v>4.0284164700017E13</v>
      </c>
      <c r="AL272" s="7" t="s">
        <v>3759</v>
      </c>
      <c r="AM272" s="7" t="s">
        <v>3760</v>
      </c>
      <c r="AN272" s="20">
        <v>39575.0</v>
      </c>
      <c r="AO272" s="7">
        <v>97480.0</v>
      </c>
      <c r="AP272" s="7" t="s">
        <v>385</v>
      </c>
      <c r="AQ272" s="7"/>
      <c r="AR272" s="7"/>
      <c r="AS272" s="7"/>
      <c r="AT272" s="7"/>
      <c r="AU272" s="7">
        <v>0.0</v>
      </c>
      <c r="AV272" s="7" t="s">
        <v>3761</v>
      </c>
      <c r="AW272" s="7" t="s">
        <v>3762</v>
      </c>
      <c r="AX272" s="7"/>
      <c r="AY272" s="7"/>
      <c r="AZ272" s="7"/>
      <c r="BA272" s="7"/>
      <c r="BB272" s="7"/>
      <c r="BC272" s="7" t="s">
        <v>401</v>
      </c>
      <c r="BD272" s="7"/>
      <c r="BE272" s="7" t="s">
        <v>3763</v>
      </c>
      <c r="BF272" s="7"/>
      <c r="BG272" s="7"/>
      <c r="BH272" s="7">
        <v>4.02841647E8</v>
      </c>
      <c r="BI272" s="7" t="s">
        <v>3764</v>
      </c>
      <c r="BJ272" s="7"/>
      <c r="BK272" s="7" t="b">
        <v>0</v>
      </c>
      <c r="BL272" s="7" t="b">
        <v>0</v>
      </c>
      <c r="BM272" s="7"/>
      <c r="BN272" s="7" t="str">
        <f>IFERROR(__xludf.DUMMYFUNCTION(" IF( REGEXMATCH(C272 , ""[(].+[)]""),REGEXREPLACE( CONCATENATE(REGEXEXTRACT(C272 , ""[(].+[)]""),IF(REGEXMATCH(C272 , ""[(][Ll]['’][)]""),"""","" ""), REGEXEXTRACT(C272 ,""^(?:(?:[A-Za-zàäéèêîïöôûü0-9 ](?:[A-Za-zàäéèêîïöôûü'0-9 ]+)))"")) , ""[()]"", """")"&amp;",C272 )"),"Far Far de Bézaves")</f>
        <v>Far Far de Bézaves</v>
      </c>
      <c r="BO272" s="25"/>
      <c r="BP272" s="7"/>
      <c r="BQ272" s="7"/>
      <c r="BR272" s="7"/>
      <c r="BS272" s="7"/>
      <c r="BT272" s="7"/>
      <c r="BU272" s="7"/>
      <c r="BV272" s="7"/>
      <c r="BW272" s="7"/>
      <c r="BX272" s="7"/>
      <c r="BY272" s="7"/>
      <c r="BZ272" s="7"/>
      <c r="CA272" s="7"/>
      <c r="CB272" s="7"/>
    </row>
    <row r="273" ht="21.75" customHeight="1">
      <c r="A273" s="7">
        <v>447.0</v>
      </c>
      <c r="B273" s="7" t="s">
        <v>3765</v>
      </c>
      <c r="C273" s="7" t="s">
        <v>3766</v>
      </c>
      <c r="D273" s="7" t="s">
        <v>3767</v>
      </c>
      <c r="E273" s="7"/>
      <c r="F273" s="7" t="s">
        <v>342</v>
      </c>
      <c r="G273" s="7" t="s">
        <v>343</v>
      </c>
      <c r="H273" s="7" t="s">
        <v>123</v>
      </c>
      <c r="I273" s="7" t="s">
        <v>3768</v>
      </c>
      <c r="J273" s="26" t="s">
        <v>3769</v>
      </c>
      <c r="K273" s="7" t="s">
        <v>34</v>
      </c>
      <c r="L273" s="7" t="s">
        <v>1414</v>
      </c>
      <c r="M273" s="7" t="s">
        <v>1415</v>
      </c>
      <c r="N273" s="7" t="s">
        <v>455</v>
      </c>
      <c r="O273" s="7">
        <v>97480.0</v>
      </c>
      <c r="P273" s="7" t="s">
        <v>123</v>
      </c>
      <c r="Q273" s="7"/>
      <c r="R273" s="7" t="s">
        <v>3770</v>
      </c>
      <c r="S273" s="7" t="s">
        <v>3334</v>
      </c>
      <c r="T273" s="7" t="s">
        <v>377</v>
      </c>
      <c r="U273" s="7" t="s">
        <v>592</v>
      </c>
      <c r="V273" s="7">
        <v>2.62372027E8</v>
      </c>
      <c r="W273" s="7">
        <v>6.9264617E8</v>
      </c>
      <c r="X273" s="7"/>
      <c r="Y273" s="7">
        <v>2.62373945E8</v>
      </c>
      <c r="Z273" s="7" t="s">
        <v>3771</v>
      </c>
      <c r="AA273" s="7">
        <v>80.0</v>
      </c>
      <c r="AB273" s="7"/>
      <c r="AC273" s="7" t="s">
        <v>3772</v>
      </c>
      <c r="AD273" s="7" t="s">
        <v>3773</v>
      </c>
      <c r="AE273" s="7" t="s">
        <v>3774</v>
      </c>
      <c r="AF273" s="7"/>
      <c r="AG273" s="7" t="s">
        <v>1419</v>
      </c>
      <c r="AH273" s="20">
        <v>39575.0</v>
      </c>
      <c r="AI273" s="7"/>
      <c r="AJ273" s="7" t="s">
        <v>3775</v>
      </c>
      <c r="AK273" s="7">
        <v>4.2181946700018E13</v>
      </c>
      <c r="AL273" s="7" t="s">
        <v>3776</v>
      </c>
      <c r="AM273" s="7" t="s">
        <v>3777</v>
      </c>
      <c r="AN273" s="20">
        <v>39575.0</v>
      </c>
      <c r="AO273" s="7">
        <v>97480.0</v>
      </c>
      <c r="AP273" s="7" t="s">
        <v>385</v>
      </c>
      <c r="AQ273" s="7"/>
      <c r="AR273" s="7"/>
      <c r="AS273" s="7"/>
      <c r="AT273" s="7"/>
      <c r="AU273" s="7">
        <v>0.0</v>
      </c>
      <c r="AV273" s="7" t="s">
        <v>3778</v>
      </c>
      <c r="AW273" s="7"/>
      <c r="AX273" s="7"/>
      <c r="AY273" s="7"/>
      <c r="AZ273" s="7"/>
      <c r="BA273" s="7"/>
      <c r="BB273" s="7"/>
      <c r="BC273" s="7" t="s">
        <v>401</v>
      </c>
      <c r="BD273" s="21">
        <v>44207.38125</v>
      </c>
      <c r="BE273" s="7" t="s">
        <v>818</v>
      </c>
      <c r="BF273" s="7"/>
      <c r="BG273" s="7"/>
      <c r="BH273" s="7">
        <v>4.21819467E8</v>
      </c>
      <c r="BI273" s="7" t="s">
        <v>3779</v>
      </c>
      <c r="BJ273" s="7"/>
      <c r="BK273" s="7" t="b">
        <v>0</v>
      </c>
      <c r="BL273" s="7" t="b">
        <v>0</v>
      </c>
      <c r="BM273" s="7"/>
      <c r="BN273" s="7" t="str">
        <f>IFERROR(__xludf.DUMMYFUNCTION(" IF( REGEXMATCH(C273 , ""[(].+[)]""),REGEXREPLACE( CONCATENATE(REGEXEXTRACT(C273 , ""[(].+[)]""),IF(REGEXMATCH(C273 , ""[(][Ll]['’][)]""),"""","" ""), REGEXEXTRACT(C273 ,""^(?:(?:[A-Za-zàäéèêîïöôûü0-9 ](?:[A-Za-zàäéèêîïöôûü'0-9 ]+)))"")) , ""[()]"", """")"&amp;",C273 )"),"Ferme Auberge Desprairies")</f>
        <v>Ferme Auberge Desprairies</v>
      </c>
      <c r="BO273" s="25"/>
      <c r="BP273" s="7"/>
      <c r="BQ273" s="7"/>
      <c r="BR273" s="7"/>
      <c r="BS273" s="7"/>
      <c r="BT273" s="7"/>
      <c r="BU273" s="7"/>
      <c r="BV273" s="7"/>
      <c r="BW273" s="7"/>
      <c r="BX273" s="7"/>
      <c r="BY273" s="7"/>
      <c r="BZ273" s="7"/>
      <c r="CA273" s="7"/>
      <c r="CB273" s="7"/>
    </row>
    <row r="274" ht="21.75" customHeight="1">
      <c r="A274" s="7">
        <v>2783.0</v>
      </c>
      <c r="B274" s="7">
        <v>273.0</v>
      </c>
      <c r="C274" s="7" t="s">
        <v>3780</v>
      </c>
      <c r="D274" s="7" t="s">
        <v>3781</v>
      </c>
      <c r="E274" s="7"/>
      <c r="F274" s="7" t="s">
        <v>342</v>
      </c>
      <c r="G274" s="7" t="s">
        <v>343</v>
      </c>
      <c r="H274" s="7" t="s">
        <v>344</v>
      </c>
      <c r="I274" s="7" t="s">
        <v>3782</v>
      </c>
      <c r="J274" s="7"/>
      <c r="K274" s="7" t="s">
        <v>34</v>
      </c>
      <c r="L274" s="7" t="s">
        <v>485</v>
      </c>
      <c r="M274" s="7" t="s">
        <v>486</v>
      </c>
      <c r="N274" s="7" t="s">
        <v>455</v>
      </c>
      <c r="O274" s="7">
        <v>97430.0</v>
      </c>
      <c r="P274" s="7" t="s">
        <v>344</v>
      </c>
      <c r="Q274" s="7"/>
      <c r="R274" s="7"/>
      <c r="S274" s="7" t="s">
        <v>3783</v>
      </c>
      <c r="T274" s="7" t="s">
        <v>377</v>
      </c>
      <c r="U274" s="7" t="s">
        <v>378</v>
      </c>
      <c r="V274" s="7">
        <v>2.62579415E8</v>
      </c>
      <c r="W274" s="7">
        <v>6.92643979E8</v>
      </c>
      <c r="X274" s="7"/>
      <c r="Y274" s="7"/>
      <c r="Z274" s="7" t="s">
        <v>3784</v>
      </c>
      <c r="AA274" s="7">
        <v>15.0</v>
      </c>
      <c r="AB274" s="7"/>
      <c r="AC274" s="7" t="s">
        <v>3785</v>
      </c>
      <c r="AD274" s="7" t="s">
        <v>3786</v>
      </c>
      <c r="AE274" s="7"/>
      <c r="AF274" s="7"/>
      <c r="AG274" s="7" t="s">
        <v>3787</v>
      </c>
      <c r="AH274" s="20">
        <v>43739.0</v>
      </c>
      <c r="AI274" s="7"/>
      <c r="AJ274" s="7" t="s">
        <v>3788</v>
      </c>
      <c r="AK274" s="7"/>
      <c r="AL274" s="7" t="s">
        <v>3789</v>
      </c>
      <c r="AM274" s="7" t="s">
        <v>3790</v>
      </c>
      <c r="AN274" s="20">
        <v>40514.0</v>
      </c>
      <c r="AO274" s="7">
        <v>97430.0</v>
      </c>
      <c r="AP274" s="7" t="s">
        <v>494</v>
      </c>
      <c r="AQ274" s="7"/>
      <c r="AR274" s="7"/>
      <c r="AS274" s="7"/>
      <c r="AT274" s="7"/>
      <c r="AU274" s="7">
        <v>0.0</v>
      </c>
      <c r="AV274" s="7" t="s">
        <v>3791</v>
      </c>
      <c r="AW274" s="7"/>
      <c r="AX274" s="7"/>
      <c r="AY274" s="7"/>
      <c r="AZ274" s="7"/>
      <c r="BA274" s="7"/>
      <c r="BB274" s="7"/>
      <c r="BC274" s="7" t="s">
        <v>366</v>
      </c>
      <c r="BD274" s="21">
        <v>44184.32847222222</v>
      </c>
      <c r="BE274" s="7"/>
      <c r="BF274" s="7"/>
      <c r="BG274" s="22">
        <v>44184.0</v>
      </c>
      <c r="BH274" s="7"/>
      <c r="BI274" s="7" t="s">
        <v>3792</v>
      </c>
      <c r="BJ274" s="7"/>
      <c r="BK274" s="7" t="b">
        <v>0</v>
      </c>
      <c r="BL274" s="7" t="b">
        <v>0</v>
      </c>
      <c r="BM274" s="7"/>
      <c r="BN274" s="7" t="str">
        <f>IFERROR(__xludf.DUMMYFUNCTION(" IF( REGEXMATCH(C274 , ""[(].+[)]""),REGEXREPLACE( CONCATENATE(REGEXEXTRACT(C274 , ""[(].+[)]""),IF(REGEXMATCH(C274 , ""[(][Ll]['’][)]""),"""","" ""), REGEXEXTRACT(C274 ,""^(?:(?:[A-Za-zàäéèêîïöôûü0-9 ](?:[A-Za-zàäéèêîïöôûü'0-9 ]+)))"")) , ""[()]"", """")"&amp;",C274 )"),"La Ferme d'El Pio ")</f>
        <v>La Ferme d'El Pio </v>
      </c>
      <c r="BO274" s="23"/>
      <c r="BP274" s="7"/>
      <c r="BQ274" s="7"/>
      <c r="BR274" s="7"/>
      <c r="BS274" s="7"/>
      <c r="BT274" s="7"/>
      <c r="BU274" s="7"/>
      <c r="BV274" s="7"/>
      <c r="BW274" s="7"/>
      <c r="BX274" s="7"/>
      <c r="BY274" s="7"/>
      <c r="BZ274" s="7"/>
      <c r="CA274" s="7"/>
      <c r="CB274" s="7"/>
    </row>
    <row r="275" ht="21.75" customHeight="1">
      <c r="A275" s="7">
        <v>2781.0</v>
      </c>
      <c r="B275" s="7" t="s">
        <v>3793</v>
      </c>
      <c r="C275" s="7" t="s">
        <v>3794</v>
      </c>
      <c r="D275" s="7" t="s">
        <v>3795</v>
      </c>
      <c r="E275" s="7"/>
      <c r="F275" s="7" t="s">
        <v>342</v>
      </c>
      <c r="G275" s="7" t="s">
        <v>343</v>
      </c>
      <c r="H275" s="7" t="s">
        <v>344</v>
      </c>
      <c r="I275" s="7" t="s">
        <v>3796</v>
      </c>
      <c r="J275" s="7"/>
      <c r="K275" s="7" t="s">
        <v>58</v>
      </c>
      <c r="L275" s="7" t="s">
        <v>59</v>
      </c>
      <c r="M275" s="7" t="s">
        <v>346</v>
      </c>
      <c r="N275" s="7" t="s">
        <v>455</v>
      </c>
      <c r="O275" s="7">
        <v>97430.0</v>
      </c>
      <c r="P275" s="7" t="s">
        <v>344</v>
      </c>
      <c r="Q275" s="7"/>
      <c r="R275" s="7" t="s">
        <v>3797</v>
      </c>
      <c r="S275" s="7" t="s">
        <v>3798</v>
      </c>
      <c r="T275" s="7" t="s">
        <v>377</v>
      </c>
      <c r="U275" s="7" t="s">
        <v>424</v>
      </c>
      <c r="V275" s="7"/>
      <c r="W275" s="7">
        <v>6.92043088E8</v>
      </c>
      <c r="X275" s="7"/>
      <c r="Y275" s="7"/>
      <c r="Z275" s="7" t="s">
        <v>3799</v>
      </c>
      <c r="AA275" s="7">
        <v>6.0</v>
      </c>
      <c r="AB275" s="7"/>
      <c r="AC275" s="7" t="s">
        <v>3800</v>
      </c>
      <c r="AD275" s="7" t="s">
        <v>3801</v>
      </c>
      <c r="AE275" s="7"/>
      <c r="AF275" s="7"/>
      <c r="AG275" s="7" t="s">
        <v>3787</v>
      </c>
      <c r="AH275" s="20">
        <v>43739.0</v>
      </c>
      <c r="AI275" s="7"/>
      <c r="AJ275" s="7" t="s">
        <v>3802</v>
      </c>
      <c r="AK275" s="7">
        <v>4.2794040800037E13</v>
      </c>
      <c r="AL275" s="7" t="s">
        <v>3803</v>
      </c>
      <c r="AM275" s="7" t="s">
        <v>3804</v>
      </c>
      <c r="AN275" s="20">
        <v>43739.0</v>
      </c>
      <c r="AO275" s="7">
        <v>97430.0</v>
      </c>
      <c r="AP275" s="7" t="s">
        <v>494</v>
      </c>
      <c r="AQ275" s="7"/>
      <c r="AR275" s="7"/>
      <c r="AS275" s="7"/>
      <c r="AT275" s="7"/>
      <c r="AU275" s="7">
        <v>2.0</v>
      </c>
      <c r="AV275" s="7" t="s">
        <v>3805</v>
      </c>
      <c r="AW275" s="7"/>
      <c r="AX275" s="7" t="s">
        <v>3806</v>
      </c>
      <c r="AY275" s="7" t="s">
        <v>1590</v>
      </c>
      <c r="AZ275" s="7" t="s">
        <v>3807</v>
      </c>
      <c r="BA275" s="7"/>
      <c r="BB275" s="7"/>
      <c r="BC275" s="7" t="s">
        <v>401</v>
      </c>
      <c r="BD275" s="21">
        <v>44131.22986111111</v>
      </c>
      <c r="BE275" s="7" t="s">
        <v>3808</v>
      </c>
      <c r="BF275" s="7"/>
      <c r="BG275" s="7"/>
      <c r="BH275" s="7">
        <v>4.27940408E8</v>
      </c>
      <c r="BI275" s="7" t="s">
        <v>3809</v>
      </c>
      <c r="BJ275" s="7"/>
      <c r="BK275" s="7" t="b">
        <v>0</v>
      </c>
      <c r="BL275" s="7" t="b">
        <v>0</v>
      </c>
      <c r="BM275" s="7"/>
      <c r="BN275" s="7" t="str">
        <f>IFERROR(__xludf.DUMMYFUNCTION(" IF( REGEXMATCH(C275 , ""[(].+[)]""),REGEXREPLACE( CONCATENATE(REGEXEXTRACT(C275 , ""[(].+[)]""),IF(REGEXMATCH(C275 , ""[(][Ll]['’][)]""),"""","" ""), REGEXEXTRACT(C275 ,""^(?:(?:[A-Za-zàäéèêîïöôûü0-9 ](?:[A-Za-zàäéèêîïöôûü'0-9 ]+)))"")) , ""[()]"", """")"&amp;",C275 )"),"La Ferme des Pitayas ")</f>
        <v>La Ferme des Pitayas </v>
      </c>
      <c r="BO275" s="25"/>
      <c r="BP275" s="7"/>
      <c r="BQ275" s="7"/>
      <c r="BR275" s="7"/>
      <c r="BS275" s="7"/>
      <c r="BT275" s="7"/>
      <c r="BU275" s="7"/>
      <c r="BV275" s="7"/>
      <c r="BW275" s="7"/>
      <c r="BX275" s="7"/>
      <c r="BY275" s="7"/>
      <c r="BZ275" s="7"/>
      <c r="CA275" s="7"/>
      <c r="CB275" s="7"/>
    </row>
    <row r="276" ht="21.75" customHeight="1">
      <c r="A276" s="7">
        <v>4274.0</v>
      </c>
      <c r="B276" s="7" t="s">
        <v>3810</v>
      </c>
      <c r="C276" s="7" t="s">
        <v>3811</v>
      </c>
      <c r="D276" s="7"/>
      <c r="E276" s="7"/>
      <c r="F276" s="7" t="s">
        <v>342</v>
      </c>
      <c r="G276" s="7" t="s">
        <v>343</v>
      </c>
      <c r="H276" s="7" t="s">
        <v>344</v>
      </c>
      <c r="I276" s="7" t="s">
        <v>3812</v>
      </c>
      <c r="J276" s="26" t="s">
        <v>3813</v>
      </c>
      <c r="K276" s="7" t="s">
        <v>58</v>
      </c>
      <c r="L276" s="7" t="s">
        <v>453</v>
      </c>
      <c r="M276" s="7" t="s">
        <v>454</v>
      </c>
      <c r="N276" s="7" t="s">
        <v>1092</v>
      </c>
      <c r="O276" s="7">
        <v>97418.0</v>
      </c>
      <c r="P276" s="7" t="s">
        <v>348</v>
      </c>
      <c r="Q276" s="7" t="s">
        <v>349</v>
      </c>
      <c r="R276" s="7" t="s">
        <v>3814</v>
      </c>
      <c r="S276" s="7" t="s">
        <v>3815</v>
      </c>
      <c r="T276" s="7" t="s">
        <v>3816</v>
      </c>
      <c r="U276" s="7" t="s">
        <v>592</v>
      </c>
      <c r="V276" s="7">
        <v>2.62431341E8</v>
      </c>
      <c r="W276" s="7">
        <v>6.92592519E8</v>
      </c>
      <c r="X276" s="7"/>
      <c r="Y276" s="7"/>
      <c r="Z276" s="7" t="s">
        <v>3817</v>
      </c>
      <c r="AA276" s="7">
        <v>4.0</v>
      </c>
      <c r="AB276" s="7"/>
      <c r="AC276" s="7" t="s">
        <v>3818</v>
      </c>
      <c r="AD276" s="7" t="s">
        <v>3819</v>
      </c>
      <c r="AE276" s="7" t="s">
        <v>3820</v>
      </c>
      <c r="AF276" s="7"/>
      <c r="AG276" s="7"/>
      <c r="AH276" s="20">
        <v>42795.0</v>
      </c>
      <c r="AI276" s="7"/>
      <c r="AJ276" s="7" t="s">
        <v>3821</v>
      </c>
      <c r="AK276" s="7">
        <v>8.1103295200012E13</v>
      </c>
      <c r="AL276" s="7" t="s">
        <v>3822</v>
      </c>
      <c r="AM276" s="7" t="s">
        <v>3823</v>
      </c>
      <c r="AN276" s="20">
        <v>42795.0</v>
      </c>
      <c r="AO276" s="7">
        <v>97418.0</v>
      </c>
      <c r="AP276" s="7" t="s">
        <v>362</v>
      </c>
      <c r="AQ276" s="7"/>
      <c r="AR276" s="7"/>
      <c r="AS276" s="7"/>
      <c r="AT276" s="7"/>
      <c r="AU276" s="7">
        <v>2.0</v>
      </c>
      <c r="AV276" s="7" t="s">
        <v>3824</v>
      </c>
      <c r="AW276" s="7"/>
      <c r="AX276" s="7" t="s">
        <v>3568</v>
      </c>
      <c r="AY276" s="7" t="s">
        <v>1590</v>
      </c>
      <c r="AZ276" s="7" t="s">
        <v>3825</v>
      </c>
      <c r="BA276" s="7"/>
      <c r="BB276" s="7"/>
      <c r="BC276" s="7" t="s">
        <v>401</v>
      </c>
      <c r="BD276" s="21">
        <v>44101.43680555555</v>
      </c>
      <c r="BE276" s="7" t="s">
        <v>1355</v>
      </c>
      <c r="BF276" s="7"/>
      <c r="BG276" s="7"/>
      <c r="BH276" s="7">
        <v>8.11032952E8</v>
      </c>
      <c r="BI276" s="7" t="s">
        <v>3826</v>
      </c>
      <c r="BJ276" s="7"/>
      <c r="BK276" s="7" t="b">
        <v>0</v>
      </c>
      <c r="BL276" s="7" t="b">
        <v>0</v>
      </c>
      <c r="BM276" s="7"/>
      <c r="BN276" s="7" t="str">
        <f>IFERROR(__xludf.DUMMYFUNCTION(" IF( REGEXMATCH(C276 , ""[(].+[)]""),REGEXREPLACE( CONCATENATE(REGEXEXTRACT(C276 , ""[(].+[)]""),IF(REGEXMATCH(C276 , ""[(][Ll]['’][)]""),"""","" ""), REGEXEXTRACT(C276 ,""^(?:(?:[A-Za-zàäéèêîïöôûü0-9 ](?:[A-Za-zàäéèêîïöôûü'0-9 ]+)))"")) , ""[()]"", """")"&amp;",C276 )"),"La Ferme du Kilimandjaro ")</f>
        <v>La Ferme du Kilimandjaro </v>
      </c>
      <c r="BO276" s="25"/>
      <c r="BP276" s="7"/>
      <c r="BQ276" s="7"/>
      <c r="BR276" s="7"/>
      <c r="BS276" s="7"/>
      <c r="BT276" s="7"/>
      <c r="BU276" s="7"/>
      <c r="BV276" s="7"/>
      <c r="BW276" s="7"/>
      <c r="BX276" s="7"/>
      <c r="BY276" s="7"/>
      <c r="BZ276" s="7"/>
      <c r="CA276" s="7"/>
      <c r="CB276" s="7"/>
    </row>
    <row r="277" ht="21.75" customHeight="1">
      <c r="A277" s="7">
        <v>1531.0</v>
      </c>
      <c r="B277" s="7" t="s">
        <v>3827</v>
      </c>
      <c r="C277" s="7" t="s">
        <v>3828</v>
      </c>
      <c r="D277" s="7" t="s">
        <v>3828</v>
      </c>
      <c r="E277" s="7"/>
      <c r="F277" s="7" t="s">
        <v>342</v>
      </c>
      <c r="G277" s="7" t="s">
        <v>343</v>
      </c>
      <c r="H277" s="7" t="s">
        <v>344</v>
      </c>
      <c r="I277" s="7" t="s">
        <v>3829</v>
      </c>
      <c r="J277" s="26" t="s">
        <v>3830</v>
      </c>
      <c r="K277" s="7" t="s">
        <v>34</v>
      </c>
      <c r="L277" s="7" t="s">
        <v>1414</v>
      </c>
      <c r="M277" s="7" t="s">
        <v>1415</v>
      </c>
      <c r="N277" s="7" t="s">
        <v>407</v>
      </c>
      <c r="O277" s="7">
        <v>97418.0</v>
      </c>
      <c r="P277" s="7" t="s">
        <v>348</v>
      </c>
      <c r="Q277" s="7" t="s">
        <v>349</v>
      </c>
      <c r="R277" s="7" t="s">
        <v>3831</v>
      </c>
      <c r="S277" s="7" t="s">
        <v>647</v>
      </c>
      <c r="T277" s="7" t="s">
        <v>3832</v>
      </c>
      <c r="U277" s="7" t="s">
        <v>353</v>
      </c>
      <c r="V277" s="7">
        <v>2.62592979E8</v>
      </c>
      <c r="W277" s="7">
        <v>6.92661248E8</v>
      </c>
      <c r="X277" s="7"/>
      <c r="Y277" s="7">
        <v>2.62592978E8</v>
      </c>
      <c r="Z277" s="7" t="s">
        <v>3833</v>
      </c>
      <c r="AA277" s="7">
        <v>80.0</v>
      </c>
      <c r="AB277" s="7"/>
      <c r="AC277" s="7" t="s">
        <v>3834</v>
      </c>
      <c r="AD277" s="7" t="s">
        <v>3835</v>
      </c>
      <c r="AE277" s="7" t="s">
        <v>3836</v>
      </c>
      <c r="AF277" s="7" t="s">
        <v>3837</v>
      </c>
      <c r="AG277" s="7"/>
      <c r="AH277" s="20">
        <v>39883.0</v>
      </c>
      <c r="AI277" s="7"/>
      <c r="AJ277" s="7" t="s">
        <v>3838</v>
      </c>
      <c r="AK277" s="7">
        <v>4.8826191800012E13</v>
      </c>
      <c r="AL277" s="7" t="s">
        <v>3839</v>
      </c>
      <c r="AM277" s="7" t="s">
        <v>3840</v>
      </c>
      <c r="AN277" s="20">
        <v>40966.0</v>
      </c>
      <c r="AO277" s="7">
        <v>97418.0</v>
      </c>
      <c r="AP277" s="7" t="s">
        <v>362</v>
      </c>
      <c r="AQ277" s="7"/>
      <c r="AR277" s="7"/>
      <c r="AS277" s="7"/>
      <c r="AT277" s="7"/>
      <c r="AU277" s="7">
        <v>0.0</v>
      </c>
      <c r="AV277" s="7" t="s">
        <v>3841</v>
      </c>
      <c r="AW277" s="7"/>
      <c r="AX277" s="7"/>
      <c r="AY277" s="7"/>
      <c r="AZ277" s="7"/>
      <c r="BA277" s="7"/>
      <c r="BB277" s="7"/>
      <c r="BC277" s="7" t="s">
        <v>401</v>
      </c>
      <c r="BD277" s="21">
        <v>44098.14791666667</v>
      </c>
      <c r="BE277" s="7" t="s">
        <v>3842</v>
      </c>
      <c r="BF277" s="7"/>
      <c r="BG277" s="7"/>
      <c r="BH277" s="7">
        <v>4.88261918E8</v>
      </c>
      <c r="BI277" s="7" t="s">
        <v>3843</v>
      </c>
      <c r="BJ277" s="7"/>
      <c r="BK277" s="7" t="b">
        <v>0</v>
      </c>
      <c r="BL277" s="7" t="b">
        <v>0</v>
      </c>
      <c r="BM277" s="7"/>
      <c r="BN277" s="7" t="str">
        <f>IFERROR(__xludf.DUMMYFUNCTION(" IF( REGEXMATCH(C277 , ""[(].+[)]""),REGEXREPLACE( CONCATENATE(REGEXEXTRACT(C277 , ""[(].+[)]""),IF(REGEXMATCH(C277 , ""[(][Ll]['’][)]""),"""","" ""), REGEXEXTRACT(C277 ,""^(?:(?:[A-Za-zàäéèêîïöôûü0-9 ](?:[A-Za-zàäéèêîïöôûü'0-9 ]+)))"")) , ""[()]"", """")"&amp;",C277 )"),"La Ferme du Pêcher Gourmand ")</f>
        <v>La Ferme du Pêcher Gourmand </v>
      </c>
      <c r="BO277" s="25"/>
      <c r="BP277" s="7"/>
      <c r="BQ277" s="7"/>
      <c r="BR277" s="7"/>
      <c r="BS277" s="7"/>
      <c r="BT277" s="7"/>
      <c r="BU277" s="7"/>
      <c r="BV277" s="7"/>
      <c r="BW277" s="7"/>
      <c r="BX277" s="7"/>
      <c r="BY277" s="7"/>
      <c r="BZ277" s="7"/>
      <c r="CA277" s="7"/>
      <c r="CB277" s="7"/>
    </row>
    <row r="278" ht="21.75" customHeight="1">
      <c r="A278" s="7">
        <v>1529.0</v>
      </c>
      <c r="B278" s="7" t="s">
        <v>3844</v>
      </c>
      <c r="C278" s="7" t="s">
        <v>3828</v>
      </c>
      <c r="D278" s="7" t="s">
        <v>3828</v>
      </c>
      <c r="E278" s="7"/>
      <c r="F278" s="7" t="s">
        <v>404</v>
      </c>
      <c r="G278" s="7" t="s">
        <v>343</v>
      </c>
      <c r="H278" s="7" t="s">
        <v>344</v>
      </c>
      <c r="I278" s="7" t="s">
        <v>3829</v>
      </c>
      <c r="J278" s="26" t="s">
        <v>3845</v>
      </c>
      <c r="K278" s="7" t="s">
        <v>58</v>
      </c>
      <c r="L278" s="7" t="s">
        <v>453</v>
      </c>
      <c r="M278" s="7" t="s">
        <v>454</v>
      </c>
      <c r="N278" s="7" t="s">
        <v>407</v>
      </c>
      <c r="O278" s="7">
        <v>97418.0</v>
      </c>
      <c r="P278" s="7" t="s">
        <v>348</v>
      </c>
      <c r="Q278" s="7" t="s">
        <v>349</v>
      </c>
      <c r="R278" s="7" t="s">
        <v>3846</v>
      </c>
      <c r="S278" s="7" t="s">
        <v>647</v>
      </c>
      <c r="T278" s="7" t="s">
        <v>3832</v>
      </c>
      <c r="U278" s="7" t="s">
        <v>1508</v>
      </c>
      <c r="V278" s="7">
        <v>2.62592979E8</v>
      </c>
      <c r="W278" s="7">
        <v>6.92661248E8</v>
      </c>
      <c r="X278" s="7"/>
      <c r="Y278" s="7">
        <v>2.62592978E8</v>
      </c>
      <c r="Z278" s="7" t="s">
        <v>3833</v>
      </c>
      <c r="AA278" s="7">
        <v>10.0</v>
      </c>
      <c r="AB278" s="7" t="s">
        <v>788</v>
      </c>
      <c r="AC278" s="7"/>
      <c r="AD278" s="7" t="s">
        <v>3847</v>
      </c>
      <c r="AE278" s="7" t="s">
        <v>3848</v>
      </c>
      <c r="AF278" s="7"/>
      <c r="AG278" s="7" t="s">
        <v>578</v>
      </c>
      <c r="AH278" s="20">
        <v>39883.0</v>
      </c>
      <c r="AI278" s="7"/>
      <c r="AJ278" s="7" t="s">
        <v>3838</v>
      </c>
      <c r="AK278" s="7">
        <v>4.8826191800012E13</v>
      </c>
      <c r="AL278" s="7" t="s">
        <v>3839</v>
      </c>
      <c r="AM278" s="7" t="s">
        <v>3840</v>
      </c>
      <c r="AN278" s="20">
        <v>40966.0</v>
      </c>
      <c r="AO278" s="7">
        <v>97418.0</v>
      </c>
      <c r="AP278" s="7" t="s">
        <v>362</v>
      </c>
      <c r="AQ278" s="7"/>
      <c r="AR278" s="7"/>
      <c r="AS278" s="7"/>
      <c r="AT278" s="7"/>
      <c r="AU278" s="7">
        <v>5.0</v>
      </c>
      <c r="AV278" s="7" t="s">
        <v>3841</v>
      </c>
      <c r="AW278" s="7"/>
      <c r="AX278" s="7" t="s">
        <v>3849</v>
      </c>
      <c r="AY278" s="7" t="s">
        <v>1590</v>
      </c>
      <c r="AZ278" s="7" t="s">
        <v>3850</v>
      </c>
      <c r="BA278" s="7"/>
      <c r="BB278" s="7"/>
      <c r="BC278" s="7" t="s">
        <v>401</v>
      </c>
      <c r="BD278" s="21">
        <v>44098.14791666667</v>
      </c>
      <c r="BE278" s="7" t="s">
        <v>3851</v>
      </c>
      <c r="BF278" s="7"/>
      <c r="BG278" s="7"/>
      <c r="BH278" s="7">
        <v>4.88261918E8</v>
      </c>
      <c r="BI278" s="7" t="s">
        <v>3843</v>
      </c>
      <c r="BJ278" s="7"/>
      <c r="BK278" s="7" t="b">
        <v>0</v>
      </c>
      <c r="BL278" s="7" t="b">
        <v>0</v>
      </c>
      <c r="BM278" s="7"/>
      <c r="BN278" s="7" t="str">
        <f>IFERROR(__xludf.DUMMYFUNCTION(" IF( REGEXMATCH(C278 , ""[(].+[)]""),REGEXREPLACE( CONCATENATE(REGEXEXTRACT(C278 , ""[(].+[)]""),IF(REGEXMATCH(C278 , ""[(][Ll]['’][)]""),"""","" ""), REGEXEXTRACT(C278 ,""^(?:(?:[A-Za-zàäéèêîïöôûü0-9 ](?:[A-Za-zàäéèêîïöôûü'0-9 ]+)))"")) , ""[()]"", """")"&amp;",C278 )"),"La Ferme du Pêcher Gourmand ")</f>
        <v>La Ferme du Pêcher Gourmand </v>
      </c>
      <c r="BO278" s="25"/>
      <c r="BP278" s="7"/>
      <c r="BQ278" s="7"/>
      <c r="BR278" s="7"/>
      <c r="BS278" s="7"/>
      <c r="BT278" s="7"/>
      <c r="BU278" s="7"/>
      <c r="BV278" s="7"/>
      <c r="BW278" s="7"/>
      <c r="BX278" s="7"/>
      <c r="BY278" s="7"/>
      <c r="BZ278" s="7"/>
      <c r="CA278" s="7"/>
      <c r="CB278" s="7"/>
    </row>
    <row r="279" ht="21.75" customHeight="1">
      <c r="A279" s="7">
        <v>5027.0</v>
      </c>
      <c r="B279" s="7" t="s">
        <v>3852</v>
      </c>
      <c r="C279" s="7" t="s">
        <v>3853</v>
      </c>
      <c r="D279" s="7"/>
      <c r="E279" s="7"/>
      <c r="F279" s="7" t="s">
        <v>342</v>
      </c>
      <c r="G279" s="7" t="s">
        <v>343</v>
      </c>
      <c r="H279" s="7" t="s">
        <v>33</v>
      </c>
      <c r="I279" s="7" t="s">
        <v>3854</v>
      </c>
      <c r="J279" s="7"/>
      <c r="K279" s="6" t="s">
        <v>469</v>
      </c>
      <c r="L279" s="7" t="s">
        <v>470</v>
      </c>
      <c r="M279" s="7" t="s">
        <v>608</v>
      </c>
      <c r="N279" s="7"/>
      <c r="O279" s="7">
        <v>97442.0</v>
      </c>
      <c r="P279" s="7" t="s">
        <v>33</v>
      </c>
      <c r="Q279" s="7"/>
      <c r="R279" s="7" t="s">
        <v>3855</v>
      </c>
      <c r="S279" s="7"/>
      <c r="T279" s="7" t="s">
        <v>377</v>
      </c>
      <c r="U279" s="7" t="s">
        <v>353</v>
      </c>
      <c r="V279" s="7"/>
      <c r="W279" s="7">
        <v>6.93136925E8</v>
      </c>
      <c r="X279" s="7"/>
      <c r="Y279" s="7"/>
      <c r="Z279" s="7" t="s">
        <v>3856</v>
      </c>
      <c r="AA279" s="7">
        <v>50.0</v>
      </c>
      <c r="AB279" s="7"/>
      <c r="AC279" s="7" t="s">
        <v>3857</v>
      </c>
      <c r="AD279" s="7" t="s">
        <v>3858</v>
      </c>
      <c r="AE279" s="7"/>
      <c r="AF279" s="7"/>
      <c r="AG279" s="7"/>
      <c r="AH279" s="20">
        <v>43679.0</v>
      </c>
      <c r="AI279" s="7"/>
      <c r="AJ279" s="7" t="s">
        <v>3859</v>
      </c>
      <c r="AK279" s="7">
        <v>8.0839730100025E13</v>
      </c>
      <c r="AL279" s="7" t="s">
        <v>3860</v>
      </c>
      <c r="AM279" s="7" t="s">
        <v>3861</v>
      </c>
      <c r="AN279" s="20">
        <v>43679.0</v>
      </c>
      <c r="AO279" s="7">
        <v>97442.0</v>
      </c>
      <c r="AP279" s="7" t="s">
        <v>884</v>
      </c>
      <c r="AQ279" s="7"/>
      <c r="AR279" s="7"/>
      <c r="AS279" s="7"/>
      <c r="AT279" s="7"/>
      <c r="AU279" s="7">
        <v>0.0</v>
      </c>
      <c r="AV279" s="7" t="s">
        <v>3862</v>
      </c>
      <c r="AW279" s="7"/>
      <c r="AX279" s="7"/>
      <c r="AY279" s="7"/>
      <c r="AZ279" s="7"/>
      <c r="BA279" s="7"/>
      <c r="BB279" s="7"/>
      <c r="BC279" s="7" t="s">
        <v>401</v>
      </c>
      <c r="BD279" s="21">
        <v>44235.39791666667</v>
      </c>
      <c r="BE279" s="7" t="s">
        <v>449</v>
      </c>
      <c r="BF279" s="7"/>
      <c r="BG279" s="7"/>
      <c r="BH279" s="7">
        <v>8.08397301E8</v>
      </c>
      <c r="BI279" s="7" t="s">
        <v>3863</v>
      </c>
      <c r="BJ279" s="7"/>
      <c r="BK279" s="7" t="b">
        <v>0</v>
      </c>
      <c r="BL279" s="7" t="b">
        <v>0</v>
      </c>
      <c r="BM279" s="7"/>
      <c r="BN279" s="7" t="str">
        <f>IFERROR(__xludf.DUMMYFUNCTION(" IF( REGEXMATCH(C279 , ""[(].+[)]""),REGEXREPLACE( CONCATENATE(REGEXEXTRACT(C279 , ""[(].+[)]""),IF(REGEXMATCH(C279 , ""[(][Ll]['’][)]""),"""","" ""), REGEXEXTRACT(C279 ,""^(?:(?:[A-Za-zàäéèêîïöôûü0-9 ](?:[A-Za-zàäéèêîïöôûü'0-9 ]+)))"")) , ""[()]"", """")"&amp;",C279 )"),"Ferme équestre du Sud Sauvage")</f>
        <v>Ferme équestre du Sud Sauvage</v>
      </c>
      <c r="BO279" s="25"/>
      <c r="BP279" s="7"/>
      <c r="BQ279" s="7"/>
      <c r="BR279" s="7"/>
      <c r="BS279" s="7"/>
      <c r="BT279" s="7"/>
      <c r="BU279" s="7"/>
      <c r="BV279" s="7"/>
      <c r="BW279" s="7"/>
      <c r="BX279" s="7"/>
      <c r="BY279" s="7"/>
      <c r="BZ279" s="7"/>
      <c r="CA279" s="7"/>
      <c r="CB279" s="7"/>
    </row>
    <row r="280" ht="21.75" customHeight="1">
      <c r="A280" s="7">
        <v>4855.0</v>
      </c>
      <c r="B280" s="7" t="s">
        <v>3864</v>
      </c>
      <c r="C280" s="7" t="s">
        <v>3865</v>
      </c>
      <c r="D280" s="7"/>
      <c r="E280" s="7"/>
      <c r="F280" s="7" t="s">
        <v>342</v>
      </c>
      <c r="G280" s="7" t="s">
        <v>343</v>
      </c>
      <c r="H280" s="7" t="s">
        <v>344</v>
      </c>
      <c r="I280" s="7" t="s">
        <v>3866</v>
      </c>
      <c r="J280" s="26" t="s">
        <v>3867</v>
      </c>
      <c r="K280" s="7" t="s">
        <v>34</v>
      </c>
      <c r="L280" s="7" t="s">
        <v>485</v>
      </c>
      <c r="M280" s="7" t="s">
        <v>486</v>
      </c>
      <c r="N280" s="7" t="s">
        <v>455</v>
      </c>
      <c r="O280" s="7">
        <v>97430.0</v>
      </c>
      <c r="P280" s="7" t="s">
        <v>344</v>
      </c>
      <c r="Q280" s="7"/>
      <c r="R280" s="7"/>
      <c r="S280" s="7"/>
      <c r="T280" s="7" t="s">
        <v>377</v>
      </c>
      <c r="U280" s="7" t="s">
        <v>378</v>
      </c>
      <c r="V280" s="7"/>
      <c r="W280" s="7">
        <v>6.92882704E8</v>
      </c>
      <c r="X280" s="7"/>
      <c r="Y280" s="7"/>
      <c r="Z280" s="7" t="s">
        <v>3868</v>
      </c>
      <c r="AA280" s="7">
        <v>15.0</v>
      </c>
      <c r="AB280" s="7"/>
      <c r="AC280" s="7" t="s">
        <v>3869</v>
      </c>
      <c r="AD280" s="7" t="s">
        <v>3870</v>
      </c>
      <c r="AE280" s="7" t="s">
        <v>3871</v>
      </c>
      <c r="AF280" s="7"/>
      <c r="AG280" s="7" t="s">
        <v>3787</v>
      </c>
      <c r="AH280" s="20">
        <v>43509.0</v>
      </c>
      <c r="AI280" s="7"/>
      <c r="AJ280" s="7" t="s">
        <v>3872</v>
      </c>
      <c r="AK280" s="7">
        <v>8.1195195300017E13</v>
      </c>
      <c r="AL280" s="7" t="s">
        <v>3873</v>
      </c>
      <c r="AM280" s="7" t="s">
        <v>3874</v>
      </c>
      <c r="AN280" s="20">
        <v>43280.0</v>
      </c>
      <c r="AO280" s="7">
        <v>97430.0</v>
      </c>
      <c r="AP280" s="7" t="s">
        <v>494</v>
      </c>
      <c r="AQ280" s="7"/>
      <c r="AR280" s="7"/>
      <c r="AS280" s="7"/>
      <c r="AT280" s="7"/>
      <c r="AU280" s="7">
        <v>0.0</v>
      </c>
      <c r="AV280" s="7" t="s">
        <v>3875</v>
      </c>
      <c r="AW280" s="7"/>
      <c r="AX280" s="7"/>
      <c r="AY280" s="7"/>
      <c r="AZ280" s="7"/>
      <c r="BA280" s="7"/>
      <c r="BB280" s="7"/>
      <c r="BC280" s="7" t="s">
        <v>401</v>
      </c>
      <c r="BD280" s="7"/>
      <c r="BE280" s="7" t="s">
        <v>584</v>
      </c>
      <c r="BF280" s="7"/>
      <c r="BG280" s="7"/>
      <c r="BH280" s="7">
        <v>8.11951953E8</v>
      </c>
      <c r="BI280" s="7" t="s">
        <v>3876</v>
      </c>
      <c r="BJ280" s="7"/>
      <c r="BK280" s="7" t="b">
        <v>0</v>
      </c>
      <c r="BL280" s="7" t="b">
        <v>0</v>
      </c>
      <c r="BM280" s="7"/>
      <c r="BN280" s="7" t="str">
        <f>IFERROR(__xludf.DUMMYFUNCTION(" IF( REGEXMATCH(C280 , ""[(].+[)]""),REGEXREPLACE( CONCATENATE(REGEXEXTRACT(C280 , ""[(].+[)]""),IF(REGEXMATCH(C280 , ""[(][Ll]['’][)]""),"""","" ""), REGEXEXTRACT(C280 ,""^(?:(?:[A-Za-zàäéèêîïöôûü0-9 ](?:[A-Za-zàäéèêîïöôûü'0-9 ]+)))"")) , ""[()]"", """")"&amp;",C280 )"),"Ferme Lebon Papillon")</f>
        <v>Ferme Lebon Papillon</v>
      </c>
      <c r="BO280" s="25"/>
      <c r="BP280" s="7"/>
      <c r="BQ280" s="7"/>
      <c r="BR280" s="7"/>
      <c r="BS280" s="7"/>
      <c r="BT280" s="7"/>
      <c r="BU280" s="7"/>
      <c r="BV280" s="7"/>
      <c r="BW280" s="7"/>
      <c r="BX280" s="7"/>
      <c r="BY280" s="7"/>
      <c r="BZ280" s="7"/>
      <c r="CA280" s="7"/>
      <c r="CB280" s="7"/>
    </row>
    <row r="281" ht="21.75" customHeight="1">
      <c r="A281" s="7">
        <v>1533.0</v>
      </c>
      <c r="B281" s="7">
        <v>280.0</v>
      </c>
      <c r="C281" s="7" t="s">
        <v>3877</v>
      </c>
      <c r="D281" s="7" t="s">
        <v>3877</v>
      </c>
      <c r="E281" s="7"/>
      <c r="F281" s="7" t="s">
        <v>342</v>
      </c>
      <c r="G281" s="7" t="s">
        <v>343</v>
      </c>
      <c r="H281" s="7" t="s">
        <v>344</v>
      </c>
      <c r="I281" s="7" t="s">
        <v>3878</v>
      </c>
      <c r="J281" s="26" t="s">
        <v>3879</v>
      </c>
      <c r="K281" s="7" t="s">
        <v>58</v>
      </c>
      <c r="L281" s="7" t="s">
        <v>59</v>
      </c>
      <c r="M281" s="7" t="s">
        <v>545</v>
      </c>
      <c r="N281" s="7" t="s">
        <v>455</v>
      </c>
      <c r="O281" s="7">
        <v>97430.0</v>
      </c>
      <c r="P281" s="7" t="s">
        <v>344</v>
      </c>
      <c r="Q281" s="7"/>
      <c r="R281" s="7" t="s">
        <v>3880</v>
      </c>
      <c r="S281" s="7"/>
      <c r="T281" s="7" t="s">
        <v>377</v>
      </c>
      <c r="U281" s="7" t="s">
        <v>353</v>
      </c>
      <c r="V281" s="7">
        <v>2.62277656E8</v>
      </c>
      <c r="W281" s="7">
        <v>6.92334615E8</v>
      </c>
      <c r="X281" s="7"/>
      <c r="Y281" s="7"/>
      <c r="Z281" s="7" t="s">
        <v>3881</v>
      </c>
      <c r="AA281" s="7">
        <v>4.0</v>
      </c>
      <c r="AB281" s="7"/>
      <c r="AC281" s="7"/>
      <c r="AD281" s="7" t="s">
        <v>3882</v>
      </c>
      <c r="AE281" s="7" t="s">
        <v>3883</v>
      </c>
      <c r="AF281" s="7"/>
      <c r="AG281" s="7"/>
      <c r="AH281" s="20">
        <v>39883.0</v>
      </c>
      <c r="AI281" s="7"/>
      <c r="AJ281" s="7" t="s">
        <v>3884</v>
      </c>
      <c r="AK281" s="7"/>
      <c r="AL281" s="7" t="s">
        <v>3885</v>
      </c>
      <c r="AM281" s="7" t="s">
        <v>3886</v>
      </c>
      <c r="AN281" s="20">
        <v>39883.0</v>
      </c>
      <c r="AO281" s="7">
        <v>97418.0</v>
      </c>
      <c r="AP281" s="7" t="s">
        <v>362</v>
      </c>
      <c r="AQ281" s="7"/>
      <c r="AR281" s="7"/>
      <c r="AS281" s="7"/>
      <c r="AT281" s="7"/>
      <c r="AU281" s="7">
        <v>1.0</v>
      </c>
      <c r="AV281" s="7" t="s">
        <v>3887</v>
      </c>
      <c r="AW281" s="7"/>
      <c r="AX281" s="7"/>
      <c r="AY281" s="7"/>
      <c r="AZ281" s="7"/>
      <c r="BA281" s="7"/>
      <c r="BB281" s="7"/>
      <c r="BC281" s="7" t="s">
        <v>366</v>
      </c>
      <c r="BD281" s="21">
        <v>44197.0</v>
      </c>
      <c r="BE281" s="7"/>
      <c r="BF281" s="7"/>
      <c r="BG281" s="22">
        <v>44197.0</v>
      </c>
      <c r="BH281" s="7"/>
      <c r="BI281" s="7" t="s">
        <v>3888</v>
      </c>
      <c r="BJ281" s="7"/>
      <c r="BK281" s="7" t="b">
        <v>0</v>
      </c>
      <c r="BL281" s="7" t="b">
        <v>0</v>
      </c>
      <c r="BM281" s="7"/>
      <c r="BN281" s="7" t="str">
        <f>IFERROR(__xludf.DUMMYFUNCTION(" IF( REGEXMATCH(C281 , ""[(].+[)]""),REGEXREPLACE( CONCATENATE(REGEXEXTRACT(C281 , ""[(].+[)]""),IF(REGEXMATCH(C281 , ""[(][Ll]['’][)]""),"""","" ""), REGEXEXTRACT(C281 ,""^(?:(?:[A-Za-zàäéèêîïöôûü0-9 ](?:[A-Za-zàäéèêîïöôûü'0-9 ]+)))"")) , ""[()]"", """")"&amp;",C281 )"),"Le Ficus ")</f>
        <v>Le Ficus </v>
      </c>
      <c r="BO281" s="23"/>
      <c r="BP281" s="7"/>
      <c r="BQ281" s="7"/>
      <c r="BR281" s="7"/>
      <c r="BS281" s="7"/>
      <c r="BT281" s="7"/>
      <c r="BU281" s="7"/>
      <c r="BV281" s="7"/>
      <c r="BW281" s="7"/>
      <c r="BX281" s="7"/>
      <c r="BY281" s="7"/>
      <c r="BZ281" s="7"/>
      <c r="CA281" s="7"/>
      <c r="CB281" s="7"/>
    </row>
    <row r="282" ht="21.75" customHeight="1">
      <c r="A282" s="7">
        <v>1543.0</v>
      </c>
      <c r="B282" s="7" t="s">
        <v>3889</v>
      </c>
      <c r="C282" s="7" t="s">
        <v>3890</v>
      </c>
      <c r="D282" s="7" t="s">
        <v>3891</v>
      </c>
      <c r="E282" s="7"/>
      <c r="F282" s="7" t="s">
        <v>342</v>
      </c>
      <c r="G282" s="7" t="s">
        <v>343</v>
      </c>
      <c r="H282" s="7" t="s">
        <v>344</v>
      </c>
      <c r="I282" s="7" t="s">
        <v>3892</v>
      </c>
      <c r="J282" s="7"/>
      <c r="K282" s="7" t="s">
        <v>34</v>
      </c>
      <c r="L282" s="7" t="s">
        <v>622</v>
      </c>
      <c r="M282" s="7" t="s">
        <v>622</v>
      </c>
      <c r="N282" s="7" t="s">
        <v>664</v>
      </c>
      <c r="O282" s="7">
        <v>97430.0</v>
      </c>
      <c r="P282" s="7" t="s">
        <v>344</v>
      </c>
      <c r="Q282" s="7"/>
      <c r="R282" s="7"/>
      <c r="S282" s="7"/>
      <c r="T282" s="7" t="s">
        <v>1612</v>
      </c>
      <c r="U282" s="7" t="s">
        <v>1508</v>
      </c>
      <c r="V282" s="7">
        <v>2.62116134E8</v>
      </c>
      <c r="W282" s="7"/>
      <c r="X282" s="7"/>
      <c r="Y282" s="7"/>
      <c r="Z282" s="7" t="s">
        <v>3893</v>
      </c>
      <c r="AA282" s="7"/>
      <c r="AB282" s="7"/>
      <c r="AC282" s="7"/>
      <c r="AD282" s="7" t="s">
        <v>3894</v>
      </c>
      <c r="AE282" s="7"/>
      <c r="AF282" s="7"/>
      <c r="AG282" s="7"/>
      <c r="AH282" s="20">
        <v>43739.0</v>
      </c>
      <c r="AI282" s="7"/>
      <c r="AJ282" s="7" t="s">
        <v>3895</v>
      </c>
      <c r="AK282" s="7"/>
      <c r="AL282" s="7" t="s">
        <v>3896</v>
      </c>
      <c r="AM282" s="7" t="s">
        <v>3897</v>
      </c>
      <c r="AN282" s="20">
        <v>43739.0</v>
      </c>
      <c r="AO282" s="7">
        <v>97430.0</v>
      </c>
      <c r="AP282" s="7" t="s">
        <v>494</v>
      </c>
      <c r="AQ282" s="7"/>
      <c r="AR282" s="7"/>
      <c r="AS282" s="7"/>
      <c r="AT282" s="7"/>
      <c r="AU282" s="7">
        <v>0.0</v>
      </c>
      <c r="AV282" s="7" t="s">
        <v>3898</v>
      </c>
      <c r="AW282" s="7"/>
      <c r="AX282" s="7"/>
      <c r="AY282" s="7"/>
      <c r="AZ282" s="7"/>
      <c r="BA282" s="7"/>
      <c r="BB282" s="7"/>
      <c r="BC282" s="7" t="s">
        <v>401</v>
      </c>
      <c r="BD282" s="21">
        <v>44151.0</v>
      </c>
      <c r="BE282" s="7" t="s">
        <v>3899</v>
      </c>
      <c r="BF282" s="7"/>
      <c r="BG282" s="7"/>
      <c r="BH282" s="7"/>
      <c r="BI282" s="7" t="s">
        <v>3900</v>
      </c>
      <c r="BJ282" s="7"/>
      <c r="BK282" s="7" t="b">
        <v>0</v>
      </c>
      <c r="BL282" s="7" t="b">
        <v>0</v>
      </c>
      <c r="BM282" s="7"/>
      <c r="BN282" s="7" t="str">
        <f>IFERROR(__xludf.DUMMYFUNCTION(" IF( REGEXMATCH(C282 , ""[(].+[)]""),REGEXREPLACE( CONCATENATE(REGEXEXTRACT(C282 , ""[(].+[)]""),IF(REGEXMATCH(C282 , ""[(][Ll]['’][)]""),"""","" ""), REGEXEXTRACT(C282 ,""^(?:(?:[A-Za-zàäéèêîïöôûü0-9 ](?:[A-Za-zàäéèêîïöôûü'0-9 ]+)))"")) , ""[()]"", """")"&amp;",C282 )"),"Diables Ô Thym")</f>
        <v>Diables Ô Thym</v>
      </c>
      <c r="BO282" s="25"/>
      <c r="BP282" s="7"/>
      <c r="BQ282" s="7"/>
      <c r="BR282" s="7"/>
      <c r="BS282" s="7"/>
      <c r="BT282" s="7"/>
      <c r="BU282" s="7"/>
      <c r="BV282" s="7"/>
      <c r="BW282" s="7"/>
      <c r="BX282" s="7"/>
      <c r="BY282" s="7"/>
      <c r="BZ282" s="7"/>
      <c r="CA282" s="7"/>
      <c r="CB282" s="7"/>
    </row>
    <row r="283" ht="21.75" customHeight="1">
      <c r="A283" s="7">
        <v>2137.0</v>
      </c>
      <c r="B283" s="7">
        <v>282.0</v>
      </c>
      <c r="C283" s="7" t="s">
        <v>3901</v>
      </c>
      <c r="D283" s="7" t="s">
        <v>3901</v>
      </c>
      <c r="E283" s="7"/>
      <c r="F283" s="7" t="s">
        <v>404</v>
      </c>
      <c r="G283" s="7" t="s">
        <v>343</v>
      </c>
      <c r="H283" s="7" t="s">
        <v>123</v>
      </c>
      <c r="I283" s="7" t="s">
        <v>3902</v>
      </c>
      <c r="J283" s="7"/>
      <c r="K283" s="6" t="s">
        <v>469</v>
      </c>
      <c r="L283" s="7" t="s">
        <v>197</v>
      </c>
      <c r="M283" s="7" t="s">
        <v>559</v>
      </c>
      <c r="N283" s="7" t="s">
        <v>407</v>
      </c>
      <c r="O283" s="7">
        <v>97480.0</v>
      </c>
      <c r="P283" s="7" t="s">
        <v>123</v>
      </c>
      <c r="Q283" s="7"/>
      <c r="R283" s="7"/>
      <c r="S283" s="7" t="s">
        <v>2158</v>
      </c>
      <c r="T283" s="7" t="s">
        <v>377</v>
      </c>
      <c r="U283" s="7"/>
      <c r="V283" s="7"/>
      <c r="W283" s="7">
        <v>6.92691016E8</v>
      </c>
      <c r="X283" s="7"/>
      <c r="Y283" s="7">
        <v>2.62376542E8</v>
      </c>
      <c r="Z283" s="7" t="s">
        <v>3903</v>
      </c>
      <c r="AA283" s="7"/>
      <c r="AB283" s="7"/>
      <c r="AC283" s="7"/>
      <c r="AD283" s="7" t="s">
        <v>3725</v>
      </c>
      <c r="AE283" s="7"/>
      <c r="AF283" s="7"/>
      <c r="AG283" s="7"/>
      <c r="AH283" s="20">
        <v>43739.0</v>
      </c>
      <c r="AI283" s="7"/>
      <c r="AJ283" s="7" t="s">
        <v>3901</v>
      </c>
      <c r="AK283" s="7"/>
      <c r="AL283" s="7" t="s">
        <v>3904</v>
      </c>
      <c r="AM283" s="7" t="s">
        <v>3905</v>
      </c>
      <c r="AN283" s="20">
        <v>40140.0</v>
      </c>
      <c r="AO283" s="7">
        <v>97480.0</v>
      </c>
      <c r="AP283" s="7" t="s">
        <v>385</v>
      </c>
      <c r="AQ283" s="7"/>
      <c r="AR283" s="7"/>
      <c r="AS283" s="7"/>
      <c r="AT283" s="7"/>
      <c r="AU283" s="7">
        <v>0.0</v>
      </c>
      <c r="AV283" s="7" t="s">
        <v>3906</v>
      </c>
      <c r="AW283" s="7"/>
      <c r="AX283" s="7"/>
      <c r="AY283" s="7"/>
      <c r="AZ283" s="7"/>
      <c r="BA283" s="7"/>
      <c r="BB283" s="7"/>
      <c r="BC283" s="7" t="s">
        <v>366</v>
      </c>
      <c r="BD283" s="21">
        <v>44179.09097222222</v>
      </c>
      <c r="BE283" s="7"/>
      <c r="BF283" s="7"/>
      <c r="BG283" s="22">
        <v>44179.0</v>
      </c>
      <c r="BH283" s="7"/>
      <c r="BI283" s="7" t="s">
        <v>3907</v>
      </c>
      <c r="BJ283" s="7"/>
      <c r="BK283" s="7" t="b">
        <v>0</v>
      </c>
      <c r="BL283" s="7" t="b">
        <v>0</v>
      </c>
      <c r="BM283" s="7"/>
      <c r="BN283" s="7" t="str">
        <f>IFERROR(__xludf.DUMMYFUNCTION(" IF( REGEXMATCH(C283 , ""[(].+[)]""),REGEXREPLACE( CONCATENATE(REGEXEXTRACT(C283 , ""[(].+[)]""),IF(REGEXMATCH(C283 , ""[(][Ll]['’][)]""),"""","" ""), REGEXEXTRACT(C283 ,""^(?:(?:[A-Za-zàäéèêîïöôûü0-9 ](?:[A-Za-zàäéèêîïöôûü'0-9 ]+)))"")) , ""[()]"", """")"&amp;",C283 )"),"Figurines Candice Gillot")</f>
        <v>Figurines Candice Gillot</v>
      </c>
      <c r="BO283" s="23"/>
      <c r="BP283" s="7"/>
      <c r="BQ283" s="7"/>
      <c r="BR283" s="7"/>
      <c r="BS283" s="7"/>
      <c r="BT283" s="7"/>
      <c r="BU283" s="7"/>
      <c r="BV283" s="7"/>
      <c r="BW283" s="7"/>
      <c r="BX283" s="7"/>
      <c r="BY283" s="7"/>
      <c r="BZ283" s="7"/>
      <c r="CA283" s="7"/>
      <c r="CB283" s="7"/>
    </row>
    <row r="284" ht="21.75" customHeight="1">
      <c r="A284" s="7">
        <v>983.0</v>
      </c>
      <c r="B284" s="7">
        <v>283.0</v>
      </c>
      <c r="C284" s="7" t="s">
        <v>3908</v>
      </c>
      <c r="D284" s="7" t="s">
        <v>3908</v>
      </c>
      <c r="E284" s="7"/>
      <c r="F284" s="7" t="s">
        <v>342</v>
      </c>
      <c r="G284" s="7" t="s">
        <v>343</v>
      </c>
      <c r="H284" s="7" t="s">
        <v>123</v>
      </c>
      <c r="I284" s="7" t="s">
        <v>3909</v>
      </c>
      <c r="J284" s="7"/>
      <c r="K284" s="7" t="s">
        <v>34</v>
      </c>
      <c r="L284" s="7" t="s">
        <v>622</v>
      </c>
      <c r="M284" s="7" t="s">
        <v>1347</v>
      </c>
      <c r="N284" s="7" t="s">
        <v>664</v>
      </c>
      <c r="O284" s="7">
        <v>97480.0</v>
      </c>
      <c r="P284" s="7" t="s">
        <v>123</v>
      </c>
      <c r="Q284" s="7"/>
      <c r="R284" s="7" t="s">
        <v>1836</v>
      </c>
      <c r="S284" s="7" t="s">
        <v>3910</v>
      </c>
      <c r="T284" s="7" t="s">
        <v>1838</v>
      </c>
      <c r="U284" s="7" t="s">
        <v>353</v>
      </c>
      <c r="V284" s="7">
        <v>2.6256129E8</v>
      </c>
      <c r="W284" s="7">
        <v>6.92654176E8</v>
      </c>
      <c r="X284" s="7"/>
      <c r="Y284" s="7"/>
      <c r="Z284" s="7"/>
      <c r="AA284" s="7">
        <v>50.0</v>
      </c>
      <c r="AB284" s="7"/>
      <c r="AC284" s="7"/>
      <c r="AD284" s="7" t="s">
        <v>3911</v>
      </c>
      <c r="AE284" s="7" t="s">
        <v>3912</v>
      </c>
      <c r="AF284" s="7"/>
      <c r="AG284" s="7"/>
      <c r="AH284" s="20">
        <v>39575.0</v>
      </c>
      <c r="AI284" s="7"/>
      <c r="AJ284" s="7" t="s">
        <v>3913</v>
      </c>
      <c r="AK284" s="7">
        <v>3.7861886200023E13</v>
      </c>
      <c r="AL284" s="7" t="s">
        <v>3914</v>
      </c>
      <c r="AM284" s="7" t="s">
        <v>3915</v>
      </c>
      <c r="AN284" s="20">
        <v>39575.0</v>
      </c>
      <c r="AO284" s="7">
        <v>97480.0</v>
      </c>
      <c r="AP284" s="7" t="s">
        <v>385</v>
      </c>
      <c r="AQ284" s="7"/>
      <c r="AR284" s="7"/>
      <c r="AS284" s="7"/>
      <c r="AT284" s="7"/>
      <c r="AU284" s="7">
        <v>0.0</v>
      </c>
      <c r="AV284" s="7" t="s">
        <v>3916</v>
      </c>
      <c r="AW284" s="7"/>
      <c r="AX284" s="7"/>
      <c r="AY284" s="7"/>
      <c r="AZ284" s="7"/>
      <c r="BA284" s="7"/>
      <c r="BB284" s="7"/>
      <c r="BC284" s="7" t="s">
        <v>366</v>
      </c>
      <c r="BD284" s="21">
        <v>44195.37569444445</v>
      </c>
      <c r="BE284" s="7"/>
      <c r="BF284" s="7"/>
      <c r="BG284" s="22">
        <v>44195.0</v>
      </c>
      <c r="BH284" s="7">
        <v>3.78618862E8</v>
      </c>
      <c r="BI284" s="7" t="s">
        <v>3917</v>
      </c>
      <c r="BJ284" s="7"/>
      <c r="BK284" s="7" t="b">
        <v>0</v>
      </c>
      <c r="BL284" s="7" t="b">
        <v>0</v>
      </c>
      <c r="BM284" s="7"/>
      <c r="BN284" s="7" t="str">
        <f>IFERROR(__xludf.DUMMYFUNCTION(" IF( REGEXMATCH(C284 , ""[(].+[)]""),REGEXREPLACE( CONCATENATE(REGEXEXTRACT(C284 , ""[(].+[)]""),IF(REGEXMATCH(C284 , ""[(][Ll]['’][)]""),"""","" ""), REGEXEXTRACT(C284 ,""^(?:(?:[A-Za-zàäéèêîïöôûü0-9 ](?:[A-Za-zàäéèêîïöôûü'0-9 ]+)))"")) , ""[()]"", """")"&amp;",C284 )"),"Le Flamboyant ")</f>
        <v>Le Flamboyant </v>
      </c>
      <c r="BO284" s="23"/>
      <c r="BP284" s="7"/>
      <c r="BQ284" s="7"/>
      <c r="BR284" s="7"/>
      <c r="BS284" s="7"/>
      <c r="BT284" s="7"/>
      <c r="BU284" s="7"/>
      <c r="BV284" s="7"/>
      <c r="BW284" s="7"/>
      <c r="BX284" s="7"/>
      <c r="BY284" s="7"/>
      <c r="BZ284" s="7"/>
      <c r="CA284" s="7"/>
      <c r="CB284" s="7"/>
    </row>
    <row r="285" ht="21.75" customHeight="1">
      <c r="A285" s="7">
        <v>3264.0</v>
      </c>
      <c r="B285" s="7">
        <v>284.0</v>
      </c>
      <c r="C285" s="7" t="s">
        <v>3918</v>
      </c>
      <c r="D285" s="7" t="s">
        <v>3919</v>
      </c>
      <c r="E285" s="7"/>
      <c r="F285" s="7" t="s">
        <v>404</v>
      </c>
      <c r="G285" s="7" t="s">
        <v>343</v>
      </c>
      <c r="H285" s="7" t="s">
        <v>40</v>
      </c>
      <c r="I285" s="7" t="s">
        <v>3920</v>
      </c>
      <c r="J285" s="26" t="s">
        <v>3921</v>
      </c>
      <c r="K285" s="7" t="s">
        <v>58</v>
      </c>
      <c r="L285" s="7" t="s">
        <v>59</v>
      </c>
      <c r="M285" s="7" t="s">
        <v>346</v>
      </c>
      <c r="N285" s="7" t="s">
        <v>407</v>
      </c>
      <c r="O285" s="7">
        <v>97414.0</v>
      </c>
      <c r="P285" s="7" t="s">
        <v>40</v>
      </c>
      <c r="Q285" s="7"/>
      <c r="R285" s="7" t="s">
        <v>3922</v>
      </c>
      <c r="S285" s="7" t="s">
        <v>3923</v>
      </c>
      <c r="T285" s="7" t="s">
        <v>377</v>
      </c>
      <c r="U285" s="7" t="s">
        <v>378</v>
      </c>
      <c r="V285" s="7">
        <v>2.62397231E8</v>
      </c>
      <c r="W285" s="7">
        <v>6.92698652E8</v>
      </c>
      <c r="X285" s="7"/>
      <c r="Y285" s="7"/>
      <c r="Z285" s="7" t="s">
        <v>3924</v>
      </c>
      <c r="AA285" s="7">
        <v>6.0</v>
      </c>
      <c r="AB285" s="7"/>
      <c r="AC285" s="7" t="s">
        <v>3925</v>
      </c>
      <c r="AD285" s="7" t="s">
        <v>3926</v>
      </c>
      <c r="AE285" s="7"/>
      <c r="AF285" s="7"/>
      <c r="AG285" s="7"/>
      <c r="AH285" s="20">
        <v>41180.0</v>
      </c>
      <c r="AI285" s="7"/>
      <c r="AJ285" s="7" t="s">
        <v>3927</v>
      </c>
      <c r="AK285" s="7"/>
      <c r="AL285" s="7" t="s">
        <v>3928</v>
      </c>
      <c r="AM285" s="7" t="s">
        <v>3929</v>
      </c>
      <c r="AN285" s="20">
        <v>41180.0</v>
      </c>
      <c r="AO285" s="7">
        <v>97414.0</v>
      </c>
      <c r="AP285" s="7" t="s">
        <v>429</v>
      </c>
      <c r="AQ285" s="7"/>
      <c r="AR285" s="7"/>
      <c r="AS285" s="7"/>
      <c r="AT285" s="7"/>
      <c r="AU285" s="7">
        <v>1.0</v>
      </c>
      <c r="AV285" s="7" t="s">
        <v>3930</v>
      </c>
      <c r="AW285" s="7"/>
      <c r="AX285" s="7"/>
      <c r="AY285" s="7"/>
      <c r="AZ285" s="7"/>
      <c r="BA285" s="7"/>
      <c r="BB285" s="7"/>
      <c r="BC285" s="7" t="s">
        <v>366</v>
      </c>
      <c r="BD285" s="21">
        <v>44090.51875</v>
      </c>
      <c r="BE285" s="7"/>
      <c r="BF285" s="7"/>
      <c r="BG285" s="22">
        <v>44090.0</v>
      </c>
      <c r="BH285" s="7"/>
      <c r="BI285" s="7" t="s">
        <v>3931</v>
      </c>
      <c r="BJ285" s="7"/>
      <c r="BK285" s="7" t="b">
        <v>0</v>
      </c>
      <c r="BL285" s="7" t="b">
        <v>0</v>
      </c>
      <c r="BM285" s="7"/>
      <c r="BN285" s="7" t="str">
        <f>IFERROR(__xludf.DUMMYFUNCTION(" IF( REGEXMATCH(C285 , ""[(].+[)]""),REGEXREPLACE( CONCATENATE(REGEXEXTRACT(C285 , ""[(].+[)]""),IF(REGEXMATCH(C285 , ""[(][Ll]['’][)]""),"""","" ""), REGEXEXTRACT(C285 ,""^(?:(?:[A-Za-zàäéèêîïöôûü0-9 ](?:[A-Za-zàäéèêîïöôûü'0-9 ]+)))"")) , ""[()]"", """")"&amp;",C285 )"),"Le Fler Kann ")</f>
        <v>Le Fler Kann </v>
      </c>
      <c r="BO285" s="23"/>
      <c r="BP285" s="7"/>
      <c r="BQ285" s="7"/>
      <c r="BR285" s="7"/>
      <c r="BS285" s="7"/>
      <c r="BT285" s="7"/>
      <c r="BU285" s="7"/>
      <c r="BV285" s="7"/>
      <c r="BW285" s="7"/>
      <c r="BX285" s="7"/>
      <c r="BY285" s="7"/>
      <c r="BZ285" s="7"/>
      <c r="CA285" s="7"/>
      <c r="CB285" s="7"/>
    </row>
    <row r="286" ht="21.75" customHeight="1">
      <c r="A286" s="7">
        <v>3400.0</v>
      </c>
      <c r="B286" s="7">
        <v>285.0</v>
      </c>
      <c r="C286" s="7" t="s">
        <v>3932</v>
      </c>
      <c r="D286" s="7" t="s">
        <v>3932</v>
      </c>
      <c r="E286" s="7"/>
      <c r="F286" s="7" t="s">
        <v>404</v>
      </c>
      <c r="G286" s="7" t="s">
        <v>343</v>
      </c>
      <c r="H286" s="7" t="s">
        <v>344</v>
      </c>
      <c r="I286" s="7" t="s">
        <v>3933</v>
      </c>
      <c r="J286" s="26" t="s">
        <v>3934</v>
      </c>
      <c r="K286" s="7" t="s">
        <v>822</v>
      </c>
      <c r="L286" s="7" t="s">
        <v>2840</v>
      </c>
      <c r="M286" s="7" t="s">
        <v>2852</v>
      </c>
      <c r="N286" s="7" t="s">
        <v>455</v>
      </c>
      <c r="O286" s="7">
        <v>97430.0</v>
      </c>
      <c r="P286" s="7" t="s">
        <v>344</v>
      </c>
      <c r="Q286" s="7"/>
      <c r="R286" s="7"/>
      <c r="S286" s="7" t="s">
        <v>2714</v>
      </c>
      <c r="T286" s="7" t="s">
        <v>377</v>
      </c>
      <c r="U286" s="7" t="s">
        <v>378</v>
      </c>
      <c r="V286" s="7"/>
      <c r="W286" s="7">
        <v>6.92671179E8</v>
      </c>
      <c r="X286" s="7"/>
      <c r="Y286" s="7"/>
      <c r="Z286" s="7" t="s">
        <v>3935</v>
      </c>
      <c r="AA286" s="7">
        <v>15.0</v>
      </c>
      <c r="AB286" s="7"/>
      <c r="AC286" s="7" t="s">
        <v>3936</v>
      </c>
      <c r="AD286" s="7" t="s">
        <v>3937</v>
      </c>
      <c r="AE286" s="7" t="s">
        <v>3938</v>
      </c>
      <c r="AF286" s="7"/>
      <c r="AG286" s="7" t="s">
        <v>3939</v>
      </c>
      <c r="AH286" s="20">
        <v>41479.0</v>
      </c>
      <c r="AI286" s="7"/>
      <c r="AJ286" s="7" t="s">
        <v>3940</v>
      </c>
      <c r="AK286" s="7">
        <v>4.3916561400017E13</v>
      </c>
      <c r="AL286" s="7" t="s">
        <v>3941</v>
      </c>
      <c r="AM286" s="7" t="s">
        <v>3942</v>
      </c>
      <c r="AN286" s="20">
        <v>41479.0</v>
      </c>
      <c r="AO286" s="7">
        <v>97430.0</v>
      </c>
      <c r="AP286" s="7" t="s">
        <v>494</v>
      </c>
      <c r="AQ286" s="7"/>
      <c r="AR286" s="7"/>
      <c r="AS286" s="7"/>
      <c r="AT286" s="7"/>
      <c r="AU286" s="7">
        <v>0.0</v>
      </c>
      <c r="AV286" s="7" t="s">
        <v>3943</v>
      </c>
      <c r="AW286" s="7"/>
      <c r="AX286" s="7"/>
      <c r="AY286" s="7"/>
      <c r="AZ286" s="7"/>
      <c r="BA286" s="7"/>
      <c r="BB286" s="7"/>
      <c r="BC286" s="7" t="s">
        <v>366</v>
      </c>
      <c r="BD286" s="21">
        <v>44201.10625</v>
      </c>
      <c r="BE286" s="7"/>
      <c r="BF286" s="7"/>
      <c r="BG286" s="22">
        <v>44201.0</v>
      </c>
      <c r="BH286" s="7">
        <v>4.39165614E8</v>
      </c>
      <c r="BI286" s="7" t="s">
        <v>3944</v>
      </c>
      <c r="BJ286" s="7"/>
      <c r="BK286" s="7" t="b">
        <v>0</v>
      </c>
      <c r="BL286" s="7" t="b">
        <v>0</v>
      </c>
      <c r="BM286" s="7"/>
      <c r="BN286" s="7" t="str">
        <f>IFERROR(__xludf.DUMMYFUNCTION(" IF( REGEXMATCH(C286 , ""[(].+[)]""),REGEXREPLACE( CONCATENATE(REGEXEXTRACT(C286 , ""[(].+[)]""),IF(REGEXMATCH(C286 , ""[(][Ll]['’][)]""),"""","" ""), REGEXEXTRACT(C286 ,""^(?:(?:[A-Za-zàäéèêîïöôûü0-9 ](?:[A-Za-zàäéèêîïöôûü'0-9 ]+)))"")) , ""[()]"", """")"&amp;",C286 )"),"Fleur de K'Fé")</f>
        <v>Fleur de K'Fé</v>
      </c>
      <c r="BO286" s="23"/>
      <c r="BP286" s="7"/>
      <c r="BQ286" s="7"/>
      <c r="BR286" s="7"/>
      <c r="BS286" s="7"/>
      <c r="BT286" s="7"/>
      <c r="BU286" s="7"/>
      <c r="BV286" s="7"/>
      <c r="BW286" s="7"/>
      <c r="BX286" s="7"/>
      <c r="BY286" s="7"/>
      <c r="BZ286" s="7"/>
      <c r="CA286" s="7"/>
      <c r="CB286" s="7"/>
    </row>
    <row r="287" ht="21.75" customHeight="1">
      <c r="A287" s="7">
        <v>4527.0</v>
      </c>
      <c r="B287" s="7" t="s">
        <v>3945</v>
      </c>
      <c r="C287" s="7" t="s">
        <v>3946</v>
      </c>
      <c r="D287" s="7"/>
      <c r="E287" s="7"/>
      <c r="F287" s="7" t="s">
        <v>342</v>
      </c>
      <c r="G287" s="7" t="s">
        <v>343</v>
      </c>
      <c r="H287" s="7" t="s">
        <v>344</v>
      </c>
      <c r="I287" s="7" t="s">
        <v>3947</v>
      </c>
      <c r="J287" s="7"/>
      <c r="K287" s="7" t="s">
        <v>58</v>
      </c>
      <c r="L287" s="7" t="s">
        <v>59</v>
      </c>
      <c r="M287" s="7" t="s">
        <v>2013</v>
      </c>
      <c r="N287" s="7" t="s">
        <v>455</v>
      </c>
      <c r="O287" s="7">
        <v>97418.0</v>
      </c>
      <c r="P287" s="7" t="s">
        <v>348</v>
      </c>
      <c r="Q287" s="7" t="s">
        <v>349</v>
      </c>
      <c r="R287" s="7" t="s">
        <v>3948</v>
      </c>
      <c r="S287" s="7" t="s">
        <v>3949</v>
      </c>
      <c r="T287" s="7" t="s">
        <v>3950</v>
      </c>
      <c r="U287" s="7" t="s">
        <v>592</v>
      </c>
      <c r="V287" s="7"/>
      <c r="W287" s="7">
        <v>6.92334231E8</v>
      </c>
      <c r="X287" s="7"/>
      <c r="Y287" s="7"/>
      <c r="Z287" s="7" t="s">
        <v>3951</v>
      </c>
      <c r="AA287" s="7">
        <v>11.0</v>
      </c>
      <c r="AB287" s="7" t="s">
        <v>1865</v>
      </c>
      <c r="AC287" s="7" t="s">
        <v>3952</v>
      </c>
      <c r="AD287" s="7" t="s">
        <v>3953</v>
      </c>
      <c r="AE287" s="7" t="s">
        <v>3954</v>
      </c>
      <c r="AF287" s="7"/>
      <c r="AG287" s="7" t="s">
        <v>578</v>
      </c>
      <c r="AH287" s="20">
        <v>43263.0</v>
      </c>
      <c r="AI287" s="7"/>
      <c r="AJ287" s="7" t="s">
        <v>3955</v>
      </c>
      <c r="AK287" s="7">
        <v>5.2532989200026E13</v>
      </c>
      <c r="AL287" s="7" t="s">
        <v>3956</v>
      </c>
      <c r="AM287" s="7" t="s">
        <v>3957</v>
      </c>
      <c r="AN287" s="20">
        <v>43263.0</v>
      </c>
      <c r="AO287" s="7">
        <v>97430.0</v>
      </c>
      <c r="AP287" s="7" t="s">
        <v>494</v>
      </c>
      <c r="AQ287" s="7"/>
      <c r="AR287" s="7"/>
      <c r="AS287" s="7"/>
      <c r="AT287" s="7"/>
      <c r="AU287" s="7">
        <v>1.0</v>
      </c>
      <c r="AV287" s="7" t="s">
        <v>3958</v>
      </c>
      <c r="AW287" s="7" t="s">
        <v>3959</v>
      </c>
      <c r="AX287" s="7"/>
      <c r="AY287" s="7"/>
      <c r="AZ287" s="7" t="s">
        <v>3960</v>
      </c>
      <c r="BA287" s="7"/>
      <c r="BB287" s="7"/>
      <c r="BC287" s="7" t="s">
        <v>401</v>
      </c>
      <c r="BD287" s="7"/>
      <c r="BE287" s="7" t="s">
        <v>3961</v>
      </c>
      <c r="BF287" s="7"/>
      <c r="BG287" s="7"/>
      <c r="BH287" s="7">
        <v>5.25329892E8</v>
      </c>
      <c r="BI287" s="7" t="s">
        <v>3962</v>
      </c>
      <c r="BJ287" s="7"/>
      <c r="BK287" s="7" t="b">
        <v>0</v>
      </c>
      <c r="BL287" s="7" t="b">
        <v>0</v>
      </c>
      <c r="BM287" s="7"/>
      <c r="BN287" s="7" t="str">
        <f>IFERROR(__xludf.DUMMYFUNCTION(" IF( REGEXMATCH(C287 , ""[(].+[)]""),REGEXREPLACE( CONCATENATE(REGEXEXTRACT(C287 , ""[(].+[)]""),IF(REGEXMATCH(C287 , ""[(][Ll]['’][)]""),"""","" ""), REGEXEXTRACT(C287 ,""^(?:(?:[A-Za-zàäéèêîïöôûü0-9 ](?:[A-Za-zàäéèêîïöôûü'0-9 ]+)))"")) , ""[()]"", """")"&amp;",C287 )"),"Fleur de Prune")</f>
        <v>Fleur de Prune</v>
      </c>
      <c r="BO287" s="25"/>
      <c r="BP287" s="7"/>
      <c r="BQ287" s="7"/>
      <c r="BR287" s="7"/>
      <c r="BS287" s="7"/>
      <c r="BT287" s="7"/>
      <c r="BU287" s="7"/>
      <c r="BV287" s="7"/>
      <c r="BW287" s="7"/>
      <c r="BX287" s="7"/>
      <c r="BY287" s="7"/>
      <c r="BZ287" s="7"/>
      <c r="CA287" s="7"/>
      <c r="CB287" s="7"/>
    </row>
    <row r="288" ht="21.75" customHeight="1">
      <c r="A288" s="7">
        <v>820.0</v>
      </c>
      <c r="B288" s="7" t="s">
        <v>3963</v>
      </c>
      <c r="C288" s="7" t="s">
        <v>3964</v>
      </c>
      <c r="D288" s="7" t="s">
        <v>3965</v>
      </c>
      <c r="E288" s="7"/>
      <c r="F288" s="7" t="s">
        <v>342</v>
      </c>
      <c r="G288" s="7" t="s">
        <v>343</v>
      </c>
      <c r="H288" s="7" t="s">
        <v>344</v>
      </c>
      <c r="I288" s="7" t="s">
        <v>3966</v>
      </c>
      <c r="J288" s="7"/>
      <c r="K288" s="7" t="s">
        <v>34</v>
      </c>
      <c r="L288" s="7" t="s">
        <v>1414</v>
      </c>
      <c r="M288" s="7" t="s">
        <v>3967</v>
      </c>
      <c r="N288" s="7" t="s">
        <v>407</v>
      </c>
      <c r="O288" s="7">
        <v>97430.0</v>
      </c>
      <c r="P288" s="7" t="s">
        <v>344</v>
      </c>
      <c r="Q288" s="7"/>
      <c r="R288" s="7" t="s">
        <v>3968</v>
      </c>
      <c r="S288" s="7" t="s">
        <v>488</v>
      </c>
      <c r="T288" s="7" t="s">
        <v>499</v>
      </c>
      <c r="U288" s="7" t="s">
        <v>353</v>
      </c>
      <c r="V288" s="7">
        <v>2.62591743E8</v>
      </c>
      <c r="W288" s="7">
        <v>6.92116118E8</v>
      </c>
      <c r="X288" s="7"/>
      <c r="Y288" s="7"/>
      <c r="Z288" s="7" t="s">
        <v>3969</v>
      </c>
      <c r="AA288" s="7">
        <v>25.0</v>
      </c>
      <c r="AB288" s="7"/>
      <c r="AC288" s="7"/>
      <c r="AD288" s="7" t="s">
        <v>3970</v>
      </c>
      <c r="AE288" s="7" t="s">
        <v>3971</v>
      </c>
      <c r="AF288" s="7"/>
      <c r="AG288" s="7" t="s">
        <v>578</v>
      </c>
      <c r="AH288" s="20">
        <v>39672.0</v>
      </c>
      <c r="AI288" s="7"/>
      <c r="AJ288" s="7" t="s">
        <v>3972</v>
      </c>
      <c r="AK288" s="7">
        <v>4.5034929500011E13</v>
      </c>
      <c r="AL288" s="7" t="s">
        <v>3973</v>
      </c>
      <c r="AM288" s="7" t="s">
        <v>3974</v>
      </c>
      <c r="AN288" s="20">
        <v>39575.0</v>
      </c>
      <c r="AO288" s="7">
        <v>97430.0</v>
      </c>
      <c r="AP288" s="7" t="s">
        <v>494</v>
      </c>
      <c r="AQ288" s="7"/>
      <c r="AR288" s="7"/>
      <c r="AS288" s="7"/>
      <c r="AT288" s="7"/>
      <c r="AU288" s="7">
        <v>0.0</v>
      </c>
      <c r="AV288" s="7" t="s">
        <v>3975</v>
      </c>
      <c r="AW288" s="7"/>
      <c r="AX288" s="7"/>
      <c r="AY288" s="7"/>
      <c r="AZ288" s="7"/>
      <c r="BA288" s="7"/>
      <c r="BB288" s="7"/>
      <c r="BC288" s="7" t="s">
        <v>401</v>
      </c>
      <c r="BD288" s="21">
        <v>44133.19583333333</v>
      </c>
      <c r="BE288" s="7" t="s">
        <v>1047</v>
      </c>
      <c r="BF288" s="7"/>
      <c r="BG288" s="7"/>
      <c r="BH288" s="7">
        <v>4.50349295E8</v>
      </c>
      <c r="BI288" s="7" t="s">
        <v>3976</v>
      </c>
      <c r="BJ288" s="7"/>
      <c r="BK288" s="7" t="b">
        <v>0</v>
      </c>
      <c r="BL288" s="7" t="b">
        <v>0</v>
      </c>
      <c r="BM288" s="7"/>
      <c r="BN288" s="7" t="str">
        <f>IFERROR(__xludf.DUMMYFUNCTION(" IF( REGEXMATCH(C288 , ""[(].+[)]""),REGEXREPLACE( CONCATENATE(REGEXEXTRACT(C288 , ""[(].+[)]""),IF(REGEXMATCH(C288 , ""[(][Ll]['’][)]""),"""","" ""), REGEXEXTRACT(C288 ,""^(?:(?:[A-Za-zàäéèêîïöôûü0-9 ](?:[A-Za-zàäéèêîïöôûü'0-9 ]+)))"")) , ""[()]"", """")"&amp;",C288 )"),"Fleur de Vanille")</f>
        <v>Fleur de Vanille</v>
      </c>
      <c r="BO288" s="25"/>
      <c r="BP288" s="7"/>
      <c r="BQ288" s="7"/>
      <c r="BR288" s="7"/>
      <c r="BS288" s="7"/>
      <c r="BT288" s="7"/>
      <c r="BU288" s="7"/>
      <c r="BV288" s="7"/>
      <c r="BW288" s="7"/>
      <c r="BX288" s="7"/>
      <c r="BY288" s="7"/>
      <c r="BZ288" s="7"/>
      <c r="CA288" s="7"/>
      <c r="CB288" s="7"/>
    </row>
    <row r="289" ht="21.75" customHeight="1">
      <c r="A289" s="7">
        <v>819.0</v>
      </c>
      <c r="B289" s="7" t="s">
        <v>246</v>
      </c>
      <c r="C289" s="7" t="s">
        <v>3964</v>
      </c>
      <c r="D289" s="7" t="s">
        <v>3977</v>
      </c>
      <c r="E289" s="7"/>
      <c r="F289" s="7" t="s">
        <v>342</v>
      </c>
      <c r="G289" s="7" t="s">
        <v>343</v>
      </c>
      <c r="H289" s="7" t="s">
        <v>344</v>
      </c>
      <c r="I289" s="7" t="s">
        <v>3966</v>
      </c>
      <c r="J289" s="26" t="s">
        <v>3978</v>
      </c>
      <c r="K289" s="7" t="s">
        <v>58</v>
      </c>
      <c r="L289" s="7" t="s">
        <v>453</v>
      </c>
      <c r="M289" s="7" t="s">
        <v>454</v>
      </c>
      <c r="N289" s="7" t="s">
        <v>407</v>
      </c>
      <c r="O289" s="7">
        <v>97430.0</v>
      </c>
      <c r="P289" s="7" t="s">
        <v>344</v>
      </c>
      <c r="Q289" s="7"/>
      <c r="R289" s="7" t="s">
        <v>3979</v>
      </c>
      <c r="S289" s="7" t="s">
        <v>488</v>
      </c>
      <c r="T289" s="7" t="s">
        <v>499</v>
      </c>
      <c r="U289" s="7" t="s">
        <v>353</v>
      </c>
      <c r="V289" s="7">
        <v>2.62591743E8</v>
      </c>
      <c r="W289" s="7">
        <v>6.92116118E8</v>
      </c>
      <c r="X289" s="7"/>
      <c r="Y289" s="7"/>
      <c r="Z289" s="7" t="s">
        <v>3969</v>
      </c>
      <c r="AA289" s="7">
        <v>10.0</v>
      </c>
      <c r="AB289" s="7" t="s">
        <v>1865</v>
      </c>
      <c r="AC289" s="7" t="s">
        <v>3980</v>
      </c>
      <c r="AD289" s="7" t="s">
        <v>3981</v>
      </c>
      <c r="AE289" s="7" t="s">
        <v>3982</v>
      </c>
      <c r="AF289" s="7"/>
      <c r="AG289" s="7" t="s">
        <v>1869</v>
      </c>
      <c r="AH289" s="20">
        <v>39575.0</v>
      </c>
      <c r="AI289" s="7"/>
      <c r="AJ289" s="7" t="s">
        <v>3972</v>
      </c>
      <c r="AK289" s="7">
        <v>4.5034929500011E13</v>
      </c>
      <c r="AL289" s="7" t="s">
        <v>3973</v>
      </c>
      <c r="AM289" s="7" t="s">
        <v>3974</v>
      </c>
      <c r="AN289" s="20">
        <v>39575.0</v>
      </c>
      <c r="AO289" s="7">
        <v>97430.0</v>
      </c>
      <c r="AP289" s="7" t="s">
        <v>494</v>
      </c>
      <c r="AQ289" s="7"/>
      <c r="AR289" s="7"/>
      <c r="AS289" s="7"/>
      <c r="AT289" s="7"/>
      <c r="AU289" s="7">
        <v>3.0</v>
      </c>
      <c r="AV289" s="7" t="s">
        <v>3975</v>
      </c>
      <c r="AW289" s="7" t="s">
        <v>3983</v>
      </c>
      <c r="AX289" s="7" t="s">
        <v>3451</v>
      </c>
      <c r="AY289" s="7" t="s">
        <v>1590</v>
      </c>
      <c r="AZ289" s="7" t="s">
        <v>3984</v>
      </c>
      <c r="BA289" s="7"/>
      <c r="BB289" s="7"/>
      <c r="BC289" s="7" t="s">
        <v>401</v>
      </c>
      <c r="BD289" s="21">
        <v>44133.19583333333</v>
      </c>
      <c r="BE289" s="7" t="s">
        <v>1047</v>
      </c>
      <c r="BF289" s="7"/>
      <c r="BG289" s="7"/>
      <c r="BH289" s="7">
        <v>4.50349295E8</v>
      </c>
      <c r="BI289" s="7" t="s">
        <v>3976</v>
      </c>
      <c r="BJ289" s="7"/>
      <c r="BK289" s="7" t="b">
        <v>0</v>
      </c>
      <c r="BL289" s="7" t="b">
        <v>0</v>
      </c>
      <c r="BM289" s="7"/>
      <c r="BN289" s="7" t="str">
        <f>IFERROR(__xludf.DUMMYFUNCTION(" IF( REGEXMATCH(C289 , ""[(].+[)]""),REGEXREPLACE( CONCATENATE(REGEXEXTRACT(C289 , ""[(].+[)]""),IF(REGEXMATCH(C289 , ""[(][Ll]['’][)]""),"""","" ""), REGEXEXTRACT(C289 ,""^(?:(?:[A-Za-zàäéèêîïöôûü0-9 ](?:[A-Za-zàäéèêîïöôûü'0-9 ]+)))"")) , ""[()]"", """")"&amp;",C289 )"),"Fleur de Vanille")</f>
        <v>Fleur de Vanille</v>
      </c>
      <c r="BO289" s="25"/>
      <c r="BP289" s="7"/>
      <c r="BQ289" s="7"/>
      <c r="BR289" s="7"/>
      <c r="BS289" s="7"/>
      <c r="BT289" s="7"/>
      <c r="BU289" s="7"/>
      <c r="BV289" s="7"/>
      <c r="BW289" s="7"/>
      <c r="BX289" s="7"/>
      <c r="BY289" s="7"/>
      <c r="BZ289" s="7"/>
      <c r="CA289" s="7"/>
      <c r="CB289" s="7"/>
    </row>
    <row r="290" ht="21.75" customHeight="1">
      <c r="A290" s="7">
        <v>439.0</v>
      </c>
      <c r="B290" s="7">
        <v>289.0</v>
      </c>
      <c r="C290" s="7" t="s">
        <v>3985</v>
      </c>
      <c r="D290" s="7" t="s">
        <v>3986</v>
      </c>
      <c r="E290" s="7"/>
      <c r="F290" s="7" t="s">
        <v>342</v>
      </c>
      <c r="G290" s="7" t="s">
        <v>343</v>
      </c>
      <c r="H290" s="7" t="s">
        <v>123</v>
      </c>
      <c r="I290" s="7" t="s">
        <v>3987</v>
      </c>
      <c r="J290" s="7"/>
      <c r="K290" s="7" t="s">
        <v>58</v>
      </c>
      <c r="L290" s="7" t="s">
        <v>59</v>
      </c>
      <c r="M290" s="7" t="s">
        <v>545</v>
      </c>
      <c r="N290" s="7" t="s">
        <v>664</v>
      </c>
      <c r="O290" s="7">
        <v>97480.0</v>
      </c>
      <c r="P290" s="7" t="s">
        <v>123</v>
      </c>
      <c r="Q290" s="7"/>
      <c r="R290" s="7" t="s">
        <v>3988</v>
      </c>
      <c r="S290" s="7" t="s">
        <v>3989</v>
      </c>
      <c r="T290" s="7" t="s">
        <v>2377</v>
      </c>
      <c r="U290" s="7" t="s">
        <v>592</v>
      </c>
      <c r="V290" s="7">
        <v>2.62371091E8</v>
      </c>
      <c r="W290" s="7"/>
      <c r="X290" s="7"/>
      <c r="Y290" s="7"/>
      <c r="Z290" s="7" t="s">
        <v>3990</v>
      </c>
      <c r="AA290" s="7">
        <v>6.0</v>
      </c>
      <c r="AB290" s="7"/>
      <c r="AC290" s="7" t="s">
        <v>3991</v>
      </c>
      <c r="AD290" s="7" t="s">
        <v>3992</v>
      </c>
      <c r="AE290" s="7" t="s">
        <v>3993</v>
      </c>
      <c r="AF290" s="7"/>
      <c r="AG290" s="7"/>
      <c r="AH290" s="20">
        <v>39575.0</v>
      </c>
      <c r="AI290" s="7"/>
      <c r="AJ290" s="7" t="s">
        <v>3994</v>
      </c>
      <c r="AK290" s="7"/>
      <c r="AL290" s="7" t="s">
        <v>3995</v>
      </c>
      <c r="AM290" s="7" t="s">
        <v>3996</v>
      </c>
      <c r="AN290" s="20">
        <v>39575.0</v>
      </c>
      <c r="AO290" s="7">
        <v>97480.0</v>
      </c>
      <c r="AP290" s="7" t="s">
        <v>385</v>
      </c>
      <c r="AQ290" s="7"/>
      <c r="AR290" s="7"/>
      <c r="AS290" s="7"/>
      <c r="AT290" s="7"/>
      <c r="AU290" s="7">
        <v>1.0</v>
      </c>
      <c r="AV290" s="7" t="s">
        <v>3997</v>
      </c>
      <c r="AW290" s="7"/>
      <c r="AX290" s="7"/>
      <c r="AY290" s="7"/>
      <c r="AZ290" s="7" t="s">
        <v>3998</v>
      </c>
      <c r="BA290" s="7"/>
      <c r="BB290" s="7"/>
      <c r="BC290" s="7" t="s">
        <v>366</v>
      </c>
      <c r="BD290" s="21">
        <v>44098.17916666667</v>
      </c>
      <c r="BE290" s="7"/>
      <c r="BF290" s="7"/>
      <c r="BG290" s="22">
        <v>44098.0</v>
      </c>
      <c r="BH290" s="7"/>
      <c r="BI290" s="7" t="s">
        <v>3999</v>
      </c>
      <c r="BJ290" s="7"/>
      <c r="BK290" s="7" t="b">
        <v>0</v>
      </c>
      <c r="BL290" s="7" t="b">
        <v>0</v>
      </c>
      <c r="BM290" s="7"/>
      <c r="BN290" s="7" t="str">
        <f>IFERROR(__xludf.DUMMYFUNCTION(" IF( REGEXMATCH(C290 , ""[(].+[)]""),REGEXREPLACE( CONCATENATE(REGEXEXTRACT(C290 , ""[(].+[)]""),IF(REGEXMATCH(C290 , ""[(][Ll]['’][)]""),"""","" ""), REGEXEXTRACT(C290 ,""^(?:(?:[A-Za-zàäéèêîïöôûü0-9 ](?:[A-Za-zàäéèêîïöôûü'0-9 ]+)))"")) , ""[()]"", """")"&amp;",C290 )"),"Fleur'Episs")</f>
        <v>Fleur'Episs</v>
      </c>
      <c r="BO290" s="23"/>
      <c r="BP290" s="7"/>
      <c r="BQ290" s="7"/>
      <c r="BR290" s="7"/>
      <c r="BS290" s="7"/>
      <c r="BT290" s="7"/>
      <c r="BU290" s="7"/>
      <c r="BV290" s="7"/>
      <c r="BW290" s="7"/>
      <c r="BX290" s="7"/>
      <c r="BY290" s="7"/>
      <c r="BZ290" s="7"/>
      <c r="CA290" s="7"/>
      <c r="CB290" s="7"/>
    </row>
    <row r="291" ht="21.75" customHeight="1">
      <c r="A291" s="7">
        <v>2078.0</v>
      </c>
      <c r="B291" s="7" t="s">
        <v>4000</v>
      </c>
      <c r="C291" s="7" t="s">
        <v>4001</v>
      </c>
      <c r="D291" s="7"/>
      <c r="E291" s="7"/>
      <c r="F291" s="7" t="s">
        <v>342</v>
      </c>
      <c r="G291" s="7" t="s">
        <v>343</v>
      </c>
      <c r="H291" s="7" t="s">
        <v>123</v>
      </c>
      <c r="I291" s="7" t="s">
        <v>4002</v>
      </c>
      <c r="J291" s="7"/>
      <c r="K291" s="6" t="s">
        <v>469</v>
      </c>
      <c r="L291" s="7" t="s">
        <v>197</v>
      </c>
      <c r="M291" s="7" t="s">
        <v>559</v>
      </c>
      <c r="N291" s="7" t="s">
        <v>422</v>
      </c>
      <c r="O291" s="7">
        <v>97480.0</v>
      </c>
      <c r="P291" s="7" t="s">
        <v>123</v>
      </c>
      <c r="Q291" s="7"/>
      <c r="R291" s="7"/>
      <c r="S291" s="7"/>
      <c r="T291" s="7" t="s">
        <v>377</v>
      </c>
      <c r="U291" s="7" t="s">
        <v>353</v>
      </c>
      <c r="V291" s="7">
        <v>2.62311846E8</v>
      </c>
      <c r="W291" s="7">
        <v>6.92031856E8</v>
      </c>
      <c r="X291" s="7"/>
      <c r="Y291" s="7"/>
      <c r="Z291" s="7" t="s">
        <v>4003</v>
      </c>
      <c r="AA291" s="7"/>
      <c r="AB291" s="7"/>
      <c r="AC291" s="7"/>
      <c r="AD291" s="7" t="s">
        <v>4004</v>
      </c>
      <c r="AE291" s="7"/>
      <c r="AF291" s="7"/>
      <c r="AG291" s="7"/>
      <c r="AH291" s="20">
        <v>41033.0</v>
      </c>
      <c r="AI291" s="7"/>
      <c r="AJ291" s="7" t="s">
        <v>4005</v>
      </c>
      <c r="AK291" s="7"/>
      <c r="AL291" s="7" t="s">
        <v>4006</v>
      </c>
      <c r="AM291" s="7" t="s">
        <v>4007</v>
      </c>
      <c r="AN291" s="20">
        <v>43739.0</v>
      </c>
      <c r="AO291" s="7">
        <v>97480.0</v>
      </c>
      <c r="AP291" s="7" t="s">
        <v>385</v>
      </c>
      <c r="AQ291" s="7"/>
      <c r="AR291" s="7"/>
      <c r="AS291" s="7"/>
      <c r="AT291" s="7"/>
      <c r="AU291" s="7">
        <v>0.0</v>
      </c>
      <c r="AV291" s="7" t="s">
        <v>4008</v>
      </c>
      <c r="AW291" s="7"/>
      <c r="AX291" s="7"/>
      <c r="AY291" s="7"/>
      <c r="AZ291" s="7"/>
      <c r="BA291" s="7"/>
      <c r="BB291" s="7"/>
      <c r="BC291" s="7" t="s">
        <v>401</v>
      </c>
      <c r="BD291" s="21">
        <v>43856.0</v>
      </c>
      <c r="BE291" s="7" t="s">
        <v>4009</v>
      </c>
      <c r="BF291" s="7"/>
      <c r="BG291" s="7"/>
      <c r="BH291" s="7"/>
      <c r="BI291" s="7" t="s">
        <v>4010</v>
      </c>
      <c r="BJ291" s="7"/>
      <c r="BK291" s="7" t="b">
        <v>0</v>
      </c>
      <c r="BL291" s="7" t="b">
        <v>0</v>
      </c>
      <c r="BM291" s="7"/>
      <c r="BN291" s="7" t="str">
        <f>IFERROR(__xludf.DUMMYFUNCTION(" IF( REGEXMATCH(C291 , ""[(].+[)]""),REGEXREPLACE( CONCATENATE(REGEXEXTRACT(C291 , ""[(].+[)]""),IF(REGEXMATCH(C291 , ""[(][Ll]['’][)]""),"""","" ""), REGEXEXTRACT(C291 ,""^(?:(?:[A-Za-zàäéèêîïöôûü0-9 ](?:[A-Za-zàäéèêîïöôûü'0-9 ]+)))"")) , ""[()]"", """")"&amp;",C291 )"),"Les Fleurettes ")</f>
        <v>Les Fleurettes </v>
      </c>
      <c r="BO291" s="25"/>
      <c r="BP291" s="7"/>
      <c r="BQ291" s="7"/>
      <c r="BR291" s="7"/>
      <c r="BS291" s="7"/>
      <c r="BT291" s="7"/>
      <c r="BU291" s="7"/>
      <c r="BV291" s="7"/>
      <c r="BW291" s="7"/>
      <c r="BX291" s="7"/>
      <c r="BY291" s="7"/>
      <c r="BZ291" s="7"/>
      <c r="CA291" s="7"/>
      <c r="CB291" s="7"/>
    </row>
    <row r="292" ht="21.75" customHeight="1">
      <c r="A292" s="7">
        <v>3016.0</v>
      </c>
      <c r="B292" s="7" t="s">
        <v>4011</v>
      </c>
      <c r="C292" s="7" t="s">
        <v>4012</v>
      </c>
      <c r="D292" s="7"/>
      <c r="E292" s="7"/>
      <c r="F292" s="7" t="s">
        <v>342</v>
      </c>
      <c r="G292" s="7" t="s">
        <v>343</v>
      </c>
      <c r="H292" s="7" t="s">
        <v>344</v>
      </c>
      <c r="I292" s="7" t="s">
        <v>4013</v>
      </c>
      <c r="J292" s="7"/>
      <c r="K292" s="6" t="s">
        <v>469</v>
      </c>
      <c r="L292" s="7" t="s">
        <v>197</v>
      </c>
      <c r="M292" s="7" t="s">
        <v>559</v>
      </c>
      <c r="N292" s="7" t="s">
        <v>455</v>
      </c>
      <c r="O292" s="7">
        <v>97418.0</v>
      </c>
      <c r="P292" s="7" t="s">
        <v>348</v>
      </c>
      <c r="Q292" s="7" t="s">
        <v>349</v>
      </c>
      <c r="R292" s="7"/>
      <c r="S292" s="7"/>
      <c r="T292" s="7" t="s">
        <v>974</v>
      </c>
      <c r="U292" s="7" t="s">
        <v>378</v>
      </c>
      <c r="V292" s="7">
        <v>2.62592762E8</v>
      </c>
      <c r="W292" s="7"/>
      <c r="X292" s="7"/>
      <c r="Y292" s="7"/>
      <c r="Z292" s="7" t="s">
        <v>4014</v>
      </c>
      <c r="AA292" s="7">
        <v>25.0</v>
      </c>
      <c r="AB292" s="7"/>
      <c r="AC292" s="7" t="s">
        <v>4015</v>
      </c>
      <c r="AD292" s="7" t="s">
        <v>4016</v>
      </c>
      <c r="AE292" s="7"/>
      <c r="AF292" s="7"/>
      <c r="AG292" s="7"/>
      <c r="AH292" s="20">
        <v>40750.0</v>
      </c>
      <c r="AI292" s="7"/>
      <c r="AJ292" s="7" t="s">
        <v>4017</v>
      </c>
      <c r="AK292" s="7"/>
      <c r="AL292" s="7" t="s">
        <v>4018</v>
      </c>
      <c r="AM292" s="7" t="s">
        <v>4019</v>
      </c>
      <c r="AN292" s="20">
        <v>40750.0</v>
      </c>
      <c r="AO292" s="7">
        <v>97418.0</v>
      </c>
      <c r="AP292" s="7" t="s">
        <v>362</v>
      </c>
      <c r="AQ292" s="7"/>
      <c r="AR292" s="7"/>
      <c r="AS292" s="7"/>
      <c r="AT292" s="7"/>
      <c r="AU292" s="7">
        <v>0.0</v>
      </c>
      <c r="AV292" s="7" t="s">
        <v>4020</v>
      </c>
      <c r="AW292" s="7"/>
      <c r="AX292" s="7"/>
      <c r="AY292" s="7"/>
      <c r="AZ292" s="7"/>
      <c r="BA292" s="7"/>
      <c r="BB292" s="7"/>
      <c r="BC292" s="7" t="s">
        <v>401</v>
      </c>
      <c r="BD292" s="21">
        <v>44102.0</v>
      </c>
      <c r="BE292" s="7" t="s">
        <v>1047</v>
      </c>
      <c r="BF292" s="7"/>
      <c r="BG292" s="7"/>
      <c r="BH292" s="7"/>
      <c r="BI292" s="7" t="s">
        <v>2340</v>
      </c>
      <c r="BJ292" s="7"/>
      <c r="BK292" s="7" t="b">
        <v>0</v>
      </c>
      <c r="BL292" s="7" t="b">
        <v>0</v>
      </c>
      <c r="BM292" s="7"/>
      <c r="BN292" s="7" t="str">
        <f>IFERROR(__xludf.DUMMYFUNCTION(" IF( REGEXMATCH(C292 , ""[(].+[)]""),REGEXREPLACE( CONCATENATE(REGEXEXTRACT(C292 , ""[(].+[)]""),IF(REGEXMATCH(C292 , ""[(][Ll]['’][)]""),"""","" ""), REGEXEXTRACT(C292 ,""^(?:(?:[A-Za-zàäéèêîïöôûü0-9 ](?:[A-Za-zàäéèêîïöôûü'0-9 ]+)))"")) , ""[()]"", """")"&amp;",C292 )"),"Le Forgeron ")</f>
        <v>Le Forgeron </v>
      </c>
      <c r="BO292" s="25"/>
      <c r="BP292" s="7"/>
      <c r="BQ292" s="7"/>
      <c r="BR292" s="7"/>
      <c r="BS292" s="7"/>
      <c r="BT292" s="7"/>
      <c r="BU292" s="7"/>
      <c r="BV292" s="7"/>
      <c r="BW292" s="7"/>
      <c r="BX292" s="7"/>
      <c r="BY292" s="7"/>
      <c r="BZ292" s="7"/>
      <c r="CA292" s="7"/>
      <c r="CB292" s="7"/>
    </row>
    <row r="293" ht="21.75" customHeight="1">
      <c r="A293" s="7">
        <v>763.0</v>
      </c>
      <c r="B293" s="7">
        <v>292.0</v>
      </c>
      <c r="C293" s="7" t="s">
        <v>4021</v>
      </c>
      <c r="D293" s="7" t="s">
        <v>4021</v>
      </c>
      <c r="E293" s="7"/>
      <c r="F293" s="7" t="s">
        <v>404</v>
      </c>
      <c r="G293" s="7" t="s">
        <v>343</v>
      </c>
      <c r="H293" s="7" t="s">
        <v>344</v>
      </c>
      <c r="I293" s="7" t="s">
        <v>4022</v>
      </c>
      <c r="J293" s="7"/>
      <c r="K293" s="7"/>
      <c r="L293" s="7"/>
      <c r="M293" s="7"/>
      <c r="N293" s="7" t="s">
        <v>630</v>
      </c>
      <c r="O293" s="7">
        <v>97418.0</v>
      </c>
      <c r="P293" s="7" t="s">
        <v>348</v>
      </c>
      <c r="Q293" s="7" t="s">
        <v>349</v>
      </c>
      <c r="R293" s="7" t="s">
        <v>4023</v>
      </c>
      <c r="S293" s="7" t="s">
        <v>4024</v>
      </c>
      <c r="T293" s="7" t="s">
        <v>4025</v>
      </c>
      <c r="U293" s="7" t="s">
        <v>4026</v>
      </c>
      <c r="V293" s="7"/>
      <c r="W293" s="7"/>
      <c r="X293" s="7"/>
      <c r="Y293" s="7"/>
      <c r="Z293" s="7"/>
      <c r="AA293" s="7"/>
      <c r="AB293" s="7"/>
      <c r="AC293" s="7"/>
      <c r="AD293" s="7"/>
      <c r="AE293" s="7" t="s">
        <v>4027</v>
      </c>
      <c r="AF293" s="7"/>
      <c r="AG293" s="7"/>
      <c r="AH293" s="7"/>
      <c r="AI293" s="7"/>
      <c r="AJ293" s="7" t="s">
        <v>4028</v>
      </c>
      <c r="AK293" s="7"/>
      <c r="AL293" s="7" t="s">
        <v>4029</v>
      </c>
      <c r="AM293" s="7" t="s">
        <v>4030</v>
      </c>
      <c r="AN293" s="20">
        <v>39644.0</v>
      </c>
      <c r="AO293" s="7">
        <v>97434.0</v>
      </c>
      <c r="AP293" s="7" t="s">
        <v>4031</v>
      </c>
      <c r="AQ293" s="7"/>
      <c r="AR293" s="7"/>
      <c r="AS293" s="7"/>
      <c r="AT293" s="7"/>
      <c r="AU293" s="7">
        <v>0.0</v>
      </c>
      <c r="AV293" s="7" t="s">
        <v>4032</v>
      </c>
      <c r="AW293" s="7"/>
      <c r="AX293" s="7"/>
      <c r="AY293" s="7"/>
      <c r="AZ293" s="7"/>
      <c r="BA293" s="7"/>
      <c r="BB293" s="7"/>
      <c r="BC293" s="7" t="s">
        <v>366</v>
      </c>
      <c r="BD293" s="21">
        <v>44184.339583333334</v>
      </c>
      <c r="BE293" s="7"/>
      <c r="BF293" s="7"/>
      <c r="BG293" s="22">
        <v>44184.0</v>
      </c>
      <c r="BH293" s="7"/>
      <c r="BI293" s="7" t="s">
        <v>4033</v>
      </c>
      <c r="BJ293" s="7"/>
      <c r="BK293" s="7" t="b">
        <v>0</v>
      </c>
      <c r="BL293" s="7" t="b">
        <v>0</v>
      </c>
      <c r="BM293" s="7"/>
      <c r="BN293" s="7" t="str">
        <f>IFERROR(__xludf.DUMMYFUNCTION(" IF( REGEXMATCH(C293 , ""[(].+[)]""),REGEXREPLACE( CONCATENATE(REGEXEXTRACT(C293 , ""[(].+[)]""),IF(REGEXMATCH(C293 , ""[(][Ll]['’][)]""),"""","" ""), REGEXEXTRACT(C293 ,""^(?:(?:[A-Za-zàäéèêîïöôûü0-9 ](?:[A-Za-zàäéèêîïöôûü'0-9 ]+)))"")) , ""[()]"", """")"&amp;",C293 )"),"FOS Réunion")</f>
        <v>FOS Réunion</v>
      </c>
      <c r="BO293" s="23"/>
      <c r="BP293" s="7"/>
      <c r="BQ293" s="7"/>
      <c r="BR293" s="7"/>
      <c r="BS293" s="7"/>
      <c r="BT293" s="7"/>
      <c r="BU293" s="7"/>
      <c r="BV293" s="7"/>
      <c r="BW293" s="7"/>
      <c r="BX293" s="7"/>
      <c r="BY293" s="7"/>
      <c r="BZ293" s="7"/>
      <c r="CA293" s="7"/>
      <c r="CB293" s="7"/>
    </row>
    <row r="294" ht="21.75" customHeight="1">
      <c r="A294" s="7">
        <v>3817.0</v>
      </c>
      <c r="B294" s="7" t="s">
        <v>4034</v>
      </c>
      <c r="C294" s="7" t="s">
        <v>4035</v>
      </c>
      <c r="D294" s="7"/>
      <c r="E294" s="7"/>
      <c r="F294" s="7" t="s">
        <v>342</v>
      </c>
      <c r="G294" s="7" t="s">
        <v>343</v>
      </c>
      <c r="H294" s="7" t="s">
        <v>33</v>
      </c>
      <c r="I294" s="7" t="s">
        <v>4036</v>
      </c>
      <c r="J294" s="7"/>
      <c r="K294" s="7" t="s">
        <v>34</v>
      </c>
      <c r="L294" s="7" t="s">
        <v>485</v>
      </c>
      <c r="M294" s="7" t="s">
        <v>486</v>
      </c>
      <c r="N294" s="7" t="s">
        <v>375</v>
      </c>
      <c r="O294" s="7">
        <v>97442.0</v>
      </c>
      <c r="P294" s="7" t="s">
        <v>33</v>
      </c>
      <c r="Q294" s="7"/>
      <c r="R294" s="7"/>
      <c r="S294" s="7"/>
      <c r="T294" s="7"/>
      <c r="U294" s="7" t="s">
        <v>378</v>
      </c>
      <c r="V294" s="7"/>
      <c r="W294" s="7">
        <v>6.92366155E8</v>
      </c>
      <c r="X294" s="7"/>
      <c r="Y294" s="7"/>
      <c r="Z294" s="7" t="s">
        <v>4037</v>
      </c>
      <c r="AA294" s="7">
        <v>25.0</v>
      </c>
      <c r="AB294" s="7"/>
      <c r="AC294" s="7" t="s">
        <v>4038</v>
      </c>
      <c r="AD294" s="7" t="s">
        <v>4039</v>
      </c>
      <c r="AE294" s="7"/>
      <c r="AF294" s="7"/>
      <c r="AG294" s="7" t="s">
        <v>578</v>
      </c>
      <c r="AH294" s="20">
        <v>42130.0</v>
      </c>
      <c r="AI294" s="7"/>
      <c r="AJ294" s="7" t="s">
        <v>4040</v>
      </c>
      <c r="AK294" s="7">
        <v>3.8808507800029E13</v>
      </c>
      <c r="AL294" s="7" t="s">
        <v>4041</v>
      </c>
      <c r="AM294" s="7" t="s">
        <v>4042</v>
      </c>
      <c r="AN294" s="20">
        <v>42129.0</v>
      </c>
      <c r="AO294" s="7">
        <v>97442.0</v>
      </c>
      <c r="AP294" s="7" t="s">
        <v>884</v>
      </c>
      <c r="AQ294" s="7"/>
      <c r="AR294" s="7"/>
      <c r="AS294" s="7"/>
      <c r="AT294" s="7"/>
      <c r="AU294" s="7">
        <v>0.0</v>
      </c>
      <c r="AV294" s="7" t="s">
        <v>4043</v>
      </c>
      <c r="AW294" s="7"/>
      <c r="AX294" s="7"/>
      <c r="AY294" s="7"/>
      <c r="AZ294" s="7"/>
      <c r="BA294" s="7"/>
      <c r="BB294" s="7"/>
      <c r="BC294" s="7" t="s">
        <v>401</v>
      </c>
      <c r="BD294" s="21">
        <v>44241.39444444444</v>
      </c>
      <c r="BE294" s="7"/>
      <c r="BF294" s="7"/>
      <c r="BG294" s="7"/>
      <c r="BH294" s="7">
        <v>3.88085078E8</v>
      </c>
      <c r="BI294" s="7" t="s">
        <v>4044</v>
      </c>
      <c r="BJ294" s="7"/>
      <c r="BK294" s="7" t="b">
        <v>0</v>
      </c>
      <c r="BL294" s="7" t="b">
        <v>0</v>
      </c>
      <c r="BM294" s="7"/>
      <c r="BN294" s="7" t="str">
        <f>IFERROR(__xludf.DUMMYFUNCTION(" IF( REGEXMATCH(C294 , ""[(].+[)]""),REGEXREPLACE( CONCATENATE(REGEXEXTRACT(C294 , ""[(].+[)]""),IF(REGEXMATCH(C294 , ""[(][Ll]['’][)]""),"""","" ""), REGEXEXTRACT(C294 ,""^(?:(?:[A-Za-zàäéèêîïöôûü0-9 ](?:[A-Za-zàäéèêîïöôûü'0-9 ]+)))"")) , ""[()]"", """")"&amp;",C294 )"),"Le Four à Pain ")</f>
        <v>Le Four à Pain </v>
      </c>
      <c r="BO294" s="25"/>
      <c r="BP294" s="7"/>
      <c r="BQ294" s="7"/>
      <c r="BR294" s="7"/>
      <c r="BS294" s="7"/>
      <c r="BT294" s="7"/>
      <c r="BU294" s="7"/>
      <c r="BV294" s="7"/>
      <c r="BW294" s="7"/>
      <c r="BX294" s="7"/>
      <c r="BY294" s="7"/>
      <c r="BZ294" s="7"/>
      <c r="CA294" s="7"/>
      <c r="CB294" s="7"/>
    </row>
    <row r="295" ht="21.75" customHeight="1">
      <c r="A295" s="7">
        <v>3816.0</v>
      </c>
      <c r="B295" s="7" t="s">
        <v>4045</v>
      </c>
      <c r="C295" s="7" t="s">
        <v>4035</v>
      </c>
      <c r="D295" s="7"/>
      <c r="E295" s="7"/>
      <c r="F295" s="7" t="s">
        <v>342</v>
      </c>
      <c r="G295" s="7" t="s">
        <v>343</v>
      </c>
      <c r="H295" s="7" t="s">
        <v>33</v>
      </c>
      <c r="I295" s="7" t="s">
        <v>4036</v>
      </c>
      <c r="J295" s="7"/>
      <c r="K295" s="7" t="s">
        <v>58</v>
      </c>
      <c r="L295" s="7" t="s">
        <v>453</v>
      </c>
      <c r="M295" s="7" t="s">
        <v>454</v>
      </c>
      <c r="N295" s="7"/>
      <c r="O295" s="7">
        <v>97442.0</v>
      </c>
      <c r="P295" s="7" t="s">
        <v>33</v>
      </c>
      <c r="Q295" s="7"/>
      <c r="R295" s="7" t="s">
        <v>4046</v>
      </c>
      <c r="S295" s="7" t="s">
        <v>4047</v>
      </c>
      <c r="T295" s="7" t="s">
        <v>377</v>
      </c>
      <c r="U295" s="7" t="s">
        <v>378</v>
      </c>
      <c r="V295" s="7"/>
      <c r="W295" s="7">
        <v>6.92366155E8</v>
      </c>
      <c r="X295" s="7"/>
      <c r="Y295" s="7"/>
      <c r="Z295" s="7" t="s">
        <v>4037</v>
      </c>
      <c r="AA295" s="7">
        <v>10.0</v>
      </c>
      <c r="AB295" s="7" t="s">
        <v>574</v>
      </c>
      <c r="AC295" s="7" t="s">
        <v>4048</v>
      </c>
      <c r="AD295" s="7" t="s">
        <v>4049</v>
      </c>
      <c r="AE295" s="7"/>
      <c r="AF295" s="7"/>
      <c r="AG295" s="7" t="s">
        <v>578</v>
      </c>
      <c r="AH295" s="20">
        <v>42129.0</v>
      </c>
      <c r="AI295" s="7"/>
      <c r="AJ295" s="7" t="s">
        <v>4040</v>
      </c>
      <c r="AK295" s="7">
        <v>3.8808507800029E13</v>
      </c>
      <c r="AL295" s="7" t="s">
        <v>4041</v>
      </c>
      <c r="AM295" s="7" t="s">
        <v>4042</v>
      </c>
      <c r="AN295" s="20">
        <v>42129.0</v>
      </c>
      <c r="AO295" s="7">
        <v>97442.0</v>
      </c>
      <c r="AP295" s="7" t="s">
        <v>884</v>
      </c>
      <c r="AQ295" s="7"/>
      <c r="AR295" s="7"/>
      <c r="AS295" s="7"/>
      <c r="AT295" s="7"/>
      <c r="AU295" s="7">
        <v>5.0</v>
      </c>
      <c r="AV295" s="7" t="s">
        <v>4043</v>
      </c>
      <c r="AW295" s="7" t="s">
        <v>4050</v>
      </c>
      <c r="AX295" s="7"/>
      <c r="AY295" s="7"/>
      <c r="AZ295" s="7" t="s">
        <v>4051</v>
      </c>
      <c r="BA295" s="7"/>
      <c r="BB295" s="7"/>
      <c r="BC295" s="7" t="s">
        <v>401</v>
      </c>
      <c r="BD295" s="21">
        <v>44241.39444444444</v>
      </c>
      <c r="BE295" s="7" t="s">
        <v>449</v>
      </c>
      <c r="BF295" s="7"/>
      <c r="BG295" s="7"/>
      <c r="BH295" s="7">
        <v>3.88085078E8</v>
      </c>
      <c r="BI295" s="7" t="s">
        <v>4044</v>
      </c>
      <c r="BJ295" s="7"/>
      <c r="BK295" s="7" t="b">
        <v>0</v>
      </c>
      <c r="BL295" s="7" t="b">
        <v>0</v>
      </c>
      <c r="BM295" s="7"/>
      <c r="BN295" s="7" t="str">
        <f>IFERROR(__xludf.DUMMYFUNCTION(" IF( REGEXMATCH(C295 , ""[(].+[)]""),REGEXREPLACE( CONCATENATE(REGEXEXTRACT(C295 , ""[(].+[)]""),IF(REGEXMATCH(C295 , ""[(][Ll]['’][)]""),"""","" ""), REGEXEXTRACT(C295 ,""^(?:(?:[A-Za-zàäéèêîïöôûü0-9 ](?:[A-Za-zàäéèêîïöôûü'0-9 ]+)))"")) , ""[()]"", """")"&amp;",C295 )"),"Le Four à Pain ")</f>
        <v>Le Four à Pain </v>
      </c>
      <c r="BO295" s="25"/>
      <c r="BP295" s="7"/>
      <c r="BQ295" s="7"/>
      <c r="BR295" s="7"/>
      <c r="BS295" s="7"/>
      <c r="BT295" s="7"/>
      <c r="BU295" s="7"/>
      <c r="BV295" s="7"/>
      <c r="BW295" s="7"/>
      <c r="BX295" s="7"/>
      <c r="BY295" s="7"/>
      <c r="BZ295" s="7"/>
      <c r="CA295" s="7"/>
      <c r="CB295" s="7"/>
    </row>
    <row r="296" ht="21.75" customHeight="1">
      <c r="A296" s="7">
        <v>1698.0</v>
      </c>
      <c r="B296" s="7">
        <v>295.0</v>
      </c>
      <c r="C296" s="7" t="s">
        <v>4052</v>
      </c>
      <c r="D296" s="7" t="s">
        <v>4052</v>
      </c>
      <c r="E296" s="7"/>
      <c r="F296" s="7" t="s">
        <v>342</v>
      </c>
      <c r="G296" s="7" t="s">
        <v>343</v>
      </c>
      <c r="H296" s="7" t="s">
        <v>344</v>
      </c>
      <c r="I296" s="7" t="s">
        <v>4053</v>
      </c>
      <c r="J296" s="7"/>
      <c r="K296" s="7" t="s">
        <v>34</v>
      </c>
      <c r="L296" s="7" t="s">
        <v>622</v>
      </c>
      <c r="M296" s="7" t="s">
        <v>622</v>
      </c>
      <c r="N296" s="7" t="s">
        <v>375</v>
      </c>
      <c r="O296" s="7">
        <v>97418.0</v>
      </c>
      <c r="P296" s="7" t="s">
        <v>348</v>
      </c>
      <c r="Q296" s="7" t="s">
        <v>349</v>
      </c>
      <c r="R296" s="7"/>
      <c r="S296" s="7" t="s">
        <v>1094</v>
      </c>
      <c r="T296" s="7" t="s">
        <v>4054</v>
      </c>
      <c r="U296" s="7" t="s">
        <v>353</v>
      </c>
      <c r="V296" s="7">
        <v>2.6259199E8</v>
      </c>
      <c r="W296" s="7"/>
      <c r="X296" s="7"/>
      <c r="Y296" s="7"/>
      <c r="Z296" s="7"/>
      <c r="AA296" s="7">
        <v>40.0</v>
      </c>
      <c r="AB296" s="7"/>
      <c r="AC296" s="7"/>
      <c r="AD296" s="7" t="s">
        <v>4055</v>
      </c>
      <c r="AE296" s="7"/>
      <c r="AF296" s="7"/>
      <c r="AG296" s="7"/>
      <c r="AH296" s="20">
        <v>43739.0</v>
      </c>
      <c r="AI296" s="7"/>
      <c r="AJ296" s="7" t="s">
        <v>4056</v>
      </c>
      <c r="AK296" s="7"/>
      <c r="AL296" s="7" t="s">
        <v>4057</v>
      </c>
      <c r="AM296" s="7" t="s">
        <v>4058</v>
      </c>
      <c r="AN296" s="20">
        <v>43739.0</v>
      </c>
      <c r="AO296" s="7">
        <v>97418.0</v>
      </c>
      <c r="AP296" s="7" t="s">
        <v>362</v>
      </c>
      <c r="AQ296" s="7"/>
      <c r="AR296" s="7"/>
      <c r="AS296" s="7"/>
      <c r="AT296" s="7"/>
      <c r="AU296" s="7">
        <v>0.0</v>
      </c>
      <c r="AV296" s="7" t="s">
        <v>4059</v>
      </c>
      <c r="AW296" s="7"/>
      <c r="AX296" s="7"/>
      <c r="AY296" s="7"/>
      <c r="AZ296" s="7"/>
      <c r="BA296" s="7"/>
      <c r="BB296" s="7"/>
      <c r="BC296" s="7" t="s">
        <v>366</v>
      </c>
      <c r="BD296" s="21">
        <v>44236.072916666664</v>
      </c>
      <c r="BE296" s="7"/>
      <c r="BF296" s="7"/>
      <c r="BG296" s="22">
        <v>44236.0</v>
      </c>
      <c r="BH296" s="7"/>
      <c r="BI296" s="7" t="s">
        <v>4060</v>
      </c>
      <c r="BJ296" s="7"/>
      <c r="BK296" s="7" t="b">
        <v>0</v>
      </c>
      <c r="BL296" s="7" t="b">
        <v>0</v>
      </c>
      <c r="BM296" s="7"/>
      <c r="BN296" s="7" t="str">
        <f>IFERROR(__xludf.DUMMYFUNCTION(" IF( REGEXMATCH(C296 , ""[(].+[)]""),REGEXREPLACE( CONCATENATE(REGEXEXTRACT(C296 , ""[(].+[)]""),IF(REGEXMATCH(C296 , ""[(][Ll]['’][)]""),"""","" ""), REGEXEXTRACT(C296 ,""^(?:(?:[A-Za-zàäéèêîïöôûü0-9 ](?:[A-Za-zàäéèêîïöôûü'0-9 ]+)))"")) , ""[()]"", """")"&amp;",C296 )"),"Fraîcheur du Jour")</f>
        <v>Fraîcheur du Jour</v>
      </c>
      <c r="BO296" s="23"/>
      <c r="BP296" s="7"/>
      <c r="BQ296" s="7"/>
      <c r="BR296" s="7"/>
      <c r="BS296" s="7"/>
      <c r="BT296" s="7"/>
      <c r="BU296" s="7"/>
      <c r="BV296" s="7"/>
      <c r="BW296" s="7"/>
      <c r="BX296" s="7"/>
      <c r="BY296" s="7"/>
      <c r="BZ296" s="7"/>
      <c r="CA296" s="7"/>
      <c r="CB296" s="7"/>
    </row>
    <row r="297" ht="21.75" customHeight="1">
      <c r="A297" s="7">
        <v>2880.0</v>
      </c>
      <c r="B297" s="7">
        <v>296.0</v>
      </c>
      <c r="C297" s="7" t="s">
        <v>4061</v>
      </c>
      <c r="D297" s="7" t="s">
        <v>4062</v>
      </c>
      <c r="E297" s="7"/>
      <c r="F297" s="7" t="s">
        <v>404</v>
      </c>
      <c r="G297" s="7" t="s">
        <v>343</v>
      </c>
      <c r="H297" s="7" t="s">
        <v>344</v>
      </c>
      <c r="I297" s="7" t="s">
        <v>4063</v>
      </c>
      <c r="J297" s="7"/>
      <c r="K297" s="7" t="s">
        <v>58</v>
      </c>
      <c r="L297" s="7" t="s">
        <v>59</v>
      </c>
      <c r="M297" s="7" t="s">
        <v>346</v>
      </c>
      <c r="N297" s="7" t="s">
        <v>455</v>
      </c>
      <c r="O297" s="7">
        <v>97418.0</v>
      </c>
      <c r="P297" s="7" t="s">
        <v>348</v>
      </c>
      <c r="Q297" s="7" t="s">
        <v>349</v>
      </c>
      <c r="R297" s="7" t="s">
        <v>4064</v>
      </c>
      <c r="S297" s="7" t="s">
        <v>1521</v>
      </c>
      <c r="T297" s="7" t="s">
        <v>377</v>
      </c>
      <c r="U297" s="7" t="s">
        <v>378</v>
      </c>
      <c r="V297" s="7">
        <v>2.62273201E8</v>
      </c>
      <c r="W297" s="7">
        <v>6.92768929E8</v>
      </c>
      <c r="X297" s="7"/>
      <c r="Y297" s="7"/>
      <c r="Z297" s="7" t="s">
        <v>489</v>
      </c>
      <c r="AA297" s="7">
        <v>30.0</v>
      </c>
      <c r="AB297" s="7"/>
      <c r="AC297" s="7"/>
      <c r="AD297" s="7" t="s">
        <v>4065</v>
      </c>
      <c r="AE297" s="7" t="s">
        <v>4066</v>
      </c>
      <c r="AF297" s="7"/>
      <c r="AG297" s="7"/>
      <c r="AH297" s="20">
        <v>43739.0</v>
      </c>
      <c r="AI297" s="7"/>
      <c r="AJ297" s="7" t="s">
        <v>491</v>
      </c>
      <c r="AK297" s="7"/>
      <c r="AL297" s="7" t="s">
        <v>492</v>
      </c>
      <c r="AM297" s="7" t="s">
        <v>4067</v>
      </c>
      <c r="AN297" s="20">
        <v>39575.0</v>
      </c>
      <c r="AO297" s="7">
        <v>97430.0</v>
      </c>
      <c r="AP297" s="7" t="s">
        <v>494</v>
      </c>
      <c r="AQ297" s="7"/>
      <c r="AR297" s="7"/>
      <c r="AS297" s="7"/>
      <c r="AT297" s="7"/>
      <c r="AU297" s="7">
        <v>3.0</v>
      </c>
      <c r="AV297" s="7" t="s">
        <v>4068</v>
      </c>
      <c r="AW297" s="7"/>
      <c r="AX297" s="7"/>
      <c r="AY297" s="7"/>
      <c r="AZ297" s="7"/>
      <c r="BA297" s="7"/>
      <c r="BB297" s="7"/>
      <c r="BC297" s="7" t="s">
        <v>366</v>
      </c>
      <c r="BD297" s="21">
        <v>44197.0</v>
      </c>
      <c r="BE297" s="7"/>
      <c r="BF297" s="7"/>
      <c r="BG297" s="22">
        <v>44197.0</v>
      </c>
      <c r="BH297" s="7"/>
      <c r="BI297" s="7" t="s">
        <v>4069</v>
      </c>
      <c r="BJ297" s="7"/>
      <c r="BK297" s="7" t="b">
        <v>0</v>
      </c>
      <c r="BL297" s="7" t="b">
        <v>0</v>
      </c>
      <c r="BM297" s="7"/>
      <c r="BN297" s="7" t="str">
        <f>IFERROR(__xludf.DUMMYFUNCTION(" IF( REGEXMATCH(C297 , ""[(].+[)]""),REGEXREPLACE( CONCATENATE(REGEXEXTRACT(C297 , ""[(].+[)]""),IF(REGEXMATCH(C297 , ""[(][Ll]['’][)]""),"""","" ""), REGEXEXTRACT(C297 ,""^(?:(?:[A-Za-zàäéèêîïöôûü0-9 ](?:[A-Za-zàäéèêîïöôûü'0-9 ]+)))"")) , ""[()]"", """")"&amp;",C297 )"),"Les Framboisiers ")</f>
        <v>Les Framboisiers </v>
      </c>
      <c r="BO297" s="23"/>
      <c r="BP297" s="7"/>
      <c r="BQ297" s="7"/>
      <c r="BR297" s="7"/>
      <c r="BS297" s="7"/>
      <c r="BT297" s="7"/>
      <c r="BU297" s="7"/>
      <c r="BV297" s="7"/>
      <c r="BW297" s="7"/>
      <c r="BX297" s="7"/>
      <c r="BY297" s="7"/>
      <c r="BZ297" s="7"/>
      <c r="CA297" s="7"/>
      <c r="CB297" s="7"/>
    </row>
    <row r="298" ht="21.75" customHeight="1">
      <c r="A298" s="7">
        <v>1978.0</v>
      </c>
      <c r="B298" s="7">
        <v>297.0</v>
      </c>
      <c r="C298" s="7" t="s">
        <v>4070</v>
      </c>
      <c r="D298" s="7"/>
      <c r="E298" s="7"/>
      <c r="F298" s="7" t="s">
        <v>404</v>
      </c>
      <c r="G298" s="7" t="s">
        <v>343</v>
      </c>
      <c r="H298" s="7" t="s">
        <v>344</v>
      </c>
      <c r="I298" s="7" t="s">
        <v>4071</v>
      </c>
      <c r="J298" s="26" t="s">
        <v>4072</v>
      </c>
      <c r="K298" s="7" t="s">
        <v>58</v>
      </c>
      <c r="L298" s="7" t="s">
        <v>59</v>
      </c>
      <c r="M298" s="7" t="s">
        <v>2343</v>
      </c>
      <c r="N298" s="7" t="s">
        <v>455</v>
      </c>
      <c r="O298" s="7">
        <v>97430.0</v>
      </c>
      <c r="P298" s="7" t="s">
        <v>344</v>
      </c>
      <c r="Q298" s="7"/>
      <c r="R298" s="7" t="s">
        <v>4073</v>
      </c>
      <c r="S298" s="7" t="s">
        <v>4074</v>
      </c>
      <c r="T298" s="7" t="s">
        <v>377</v>
      </c>
      <c r="U298" s="7" t="s">
        <v>353</v>
      </c>
      <c r="V298" s="7">
        <v>2.62272726E8</v>
      </c>
      <c r="W298" s="7">
        <v>6.92272726E8</v>
      </c>
      <c r="X298" s="7"/>
      <c r="Y298" s="7"/>
      <c r="Z298" s="7" t="s">
        <v>4075</v>
      </c>
      <c r="AA298" s="7">
        <v>26.0</v>
      </c>
      <c r="AB298" s="7"/>
      <c r="AC298" s="7"/>
      <c r="AD298" s="7" t="s">
        <v>4076</v>
      </c>
      <c r="AE298" s="7"/>
      <c r="AF298" s="7"/>
      <c r="AG298" s="7"/>
      <c r="AH298" s="20">
        <v>43739.0</v>
      </c>
      <c r="AI298" s="7"/>
      <c r="AJ298" s="7" t="s">
        <v>4077</v>
      </c>
      <c r="AK298" s="7"/>
      <c r="AL298" s="7" t="s">
        <v>4078</v>
      </c>
      <c r="AM298" s="7" t="s">
        <v>4079</v>
      </c>
      <c r="AN298" s="20">
        <v>43739.0</v>
      </c>
      <c r="AO298" s="7">
        <v>97430.0</v>
      </c>
      <c r="AP298" s="7" t="s">
        <v>494</v>
      </c>
      <c r="AQ298" s="7"/>
      <c r="AR298" s="7"/>
      <c r="AS298" s="7"/>
      <c r="AT298" s="7"/>
      <c r="AU298" s="7">
        <v>11.0</v>
      </c>
      <c r="AV298" s="7" t="s">
        <v>4080</v>
      </c>
      <c r="AW298" s="7"/>
      <c r="AX298" s="7"/>
      <c r="AY298" s="7"/>
      <c r="AZ298" s="7"/>
      <c r="BA298" s="7"/>
      <c r="BB298" s="7"/>
      <c r="BC298" s="7" t="s">
        <v>366</v>
      </c>
      <c r="BD298" s="21">
        <v>44197.0</v>
      </c>
      <c r="BE298" s="7"/>
      <c r="BF298" s="7"/>
      <c r="BG298" s="22">
        <v>44197.0</v>
      </c>
      <c r="BH298" s="7"/>
      <c r="BI298" s="7" t="s">
        <v>4081</v>
      </c>
      <c r="BJ298" s="7"/>
      <c r="BK298" s="7" t="b">
        <v>0</v>
      </c>
      <c r="BL298" s="7" t="b">
        <v>0</v>
      </c>
      <c r="BM298" s="7"/>
      <c r="BN298" s="7" t="str">
        <f>IFERROR(__xludf.DUMMYFUNCTION(" IF( REGEXMATCH(C298 , ""[(].+[)]""),REGEXREPLACE( CONCATENATE(REGEXEXTRACT(C298 , ""[(].+[)]""),IF(REGEXMATCH(C298 , ""[(][Ll]['’][)]""),"""","" ""), REGEXEXTRACT(C298 ,""^(?:(?:[A-Za-zàäéèêîïöôûü0-9 ](?:[A-Za-zàäéèêîïöôûü'0-9 ]+)))"")) , ""[()]"", """")"&amp;",C298 )"),"Franciscéas")</f>
        <v>Franciscéas</v>
      </c>
      <c r="BO298" s="23"/>
      <c r="BP298" s="7"/>
      <c r="BQ298" s="7"/>
      <c r="BR298" s="7"/>
      <c r="BS298" s="7"/>
      <c r="BT298" s="7"/>
      <c r="BU298" s="7"/>
      <c r="BV298" s="7"/>
      <c r="BW298" s="7"/>
      <c r="BX298" s="7"/>
      <c r="BY298" s="7"/>
      <c r="BZ298" s="7"/>
      <c r="CA298" s="7"/>
      <c r="CB298" s="7"/>
    </row>
    <row r="299" ht="21.75" customHeight="1">
      <c r="A299" s="7">
        <v>337.0</v>
      </c>
      <c r="B299" s="7">
        <v>298.0</v>
      </c>
      <c r="C299" s="7" t="s">
        <v>4082</v>
      </c>
      <c r="D299" s="7" t="s">
        <v>4083</v>
      </c>
      <c r="E299" s="7"/>
      <c r="F299" s="7" t="s">
        <v>404</v>
      </c>
      <c r="G299" s="7" t="s">
        <v>343</v>
      </c>
      <c r="H299" s="7" t="s">
        <v>123</v>
      </c>
      <c r="I299" s="7" t="s">
        <v>4084</v>
      </c>
      <c r="J299" s="7"/>
      <c r="K299" s="7" t="s">
        <v>58</v>
      </c>
      <c r="L299" s="7" t="s">
        <v>59</v>
      </c>
      <c r="M299" s="7" t="s">
        <v>346</v>
      </c>
      <c r="N299" s="7"/>
      <c r="O299" s="7">
        <v>97480.0</v>
      </c>
      <c r="P299" s="7" t="s">
        <v>123</v>
      </c>
      <c r="Q299" s="7"/>
      <c r="R299" s="7"/>
      <c r="S299" s="7"/>
      <c r="T299" s="7"/>
      <c r="U299" s="7" t="s">
        <v>378</v>
      </c>
      <c r="V299" s="7"/>
      <c r="W299" s="7"/>
      <c r="X299" s="7"/>
      <c r="Y299" s="7"/>
      <c r="Z299" s="7"/>
      <c r="AA299" s="7"/>
      <c r="AB299" s="7"/>
      <c r="AC299" s="7"/>
      <c r="AD299" s="7" t="s">
        <v>4085</v>
      </c>
      <c r="AE299" s="7"/>
      <c r="AF299" s="7"/>
      <c r="AG299" s="7"/>
      <c r="AH299" s="20">
        <v>39575.0</v>
      </c>
      <c r="AI299" s="7"/>
      <c r="AJ299" s="7" t="s">
        <v>4082</v>
      </c>
      <c r="AK299" s="7"/>
      <c r="AL299" s="7" t="s">
        <v>4086</v>
      </c>
      <c r="AM299" s="7"/>
      <c r="AN299" s="20">
        <v>39575.0</v>
      </c>
      <c r="AO299" s="7">
        <v>97480.0</v>
      </c>
      <c r="AP299" s="7" t="s">
        <v>385</v>
      </c>
      <c r="AQ299" s="7"/>
      <c r="AR299" s="7"/>
      <c r="AS299" s="7"/>
      <c r="AT299" s="7"/>
      <c r="AU299" s="7">
        <v>0.0</v>
      </c>
      <c r="AV299" s="7" t="s">
        <v>4087</v>
      </c>
      <c r="AW299" s="7"/>
      <c r="AX299" s="7"/>
      <c r="AY299" s="7"/>
      <c r="AZ299" s="7"/>
      <c r="BA299" s="7"/>
      <c r="BB299" s="7"/>
      <c r="BC299" s="7" t="s">
        <v>366</v>
      </c>
      <c r="BD299" s="21">
        <v>44115.510416666664</v>
      </c>
      <c r="BE299" s="7"/>
      <c r="BF299" s="7"/>
      <c r="BG299" s="22">
        <v>44115.0</v>
      </c>
      <c r="BH299" s="7"/>
      <c r="BI299" s="7" t="s">
        <v>4088</v>
      </c>
      <c r="BJ299" s="7"/>
      <c r="BK299" s="7" t="b">
        <v>0</v>
      </c>
      <c r="BL299" s="7" t="b">
        <v>0</v>
      </c>
      <c r="BM299" s="7"/>
      <c r="BN299" s="7" t="str">
        <f>IFERROR(__xludf.DUMMYFUNCTION(" IF( REGEXMATCH(C299 , ""[(].+[)]""),REGEXREPLACE( CONCATENATE(REGEXEXTRACT(C299 , ""[(].+[)]""),IF(REGEXMATCH(C299 , ""[(][Ll]['’][)]""),"""","" ""), REGEXEXTRACT(C299 ,""^(?:(?:[A-Za-zàäéèêîïöôûü0-9 ](?:[A-Za-zàäéèêîïöôûü'0-9 ]+)))"")) , ""[()]"", """")"&amp;",C299 )"),"Francomme Georges")</f>
        <v>Francomme Georges</v>
      </c>
      <c r="BO299" s="23"/>
      <c r="BP299" s="7"/>
      <c r="BQ299" s="7"/>
      <c r="BR299" s="7"/>
      <c r="BS299" s="7"/>
      <c r="BT299" s="7"/>
      <c r="BU299" s="7"/>
      <c r="BV299" s="7"/>
      <c r="BW299" s="7"/>
      <c r="BX299" s="7"/>
      <c r="BY299" s="7"/>
      <c r="BZ299" s="7"/>
      <c r="CA299" s="7"/>
      <c r="CB299" s="7"/>
    </row>
    <row r="300" ht="21.75" customHeight="1">
      <c r="A300" s="7">
        <v>3795.0</v>
      </c>
      <c r="B300" s="7" t="s">
        <v>4089</v>
      </c>
      <c r="C300" s="7" t="s">
        <v>4090</v>
      </c>
      <c r="D300" s="7"/>
      <c r="E300" s="7"/>
      <c r="F300" s="7" t="s">
        <v>342</v>
      </c>
      <c r="G300" s="7" t="s">
        <v>343</v>
      </c>
      <c r="H300" s="7" t="s">
        <v>40</v>
      </c>
      <c r="I300" s="7" t="s">
        <v>4091</v>
      </c>
      <c r="J300" s="26" t="s">
        <v>4092</v>
      </c>
      <c r="K300" s="7" t="s">
        <v>58</v>
      </c>
      <c r="L300" s="7" t="s">
        <v>453</v>
      </c>
      <c r="M300" s="7" t="s">
        <v>454</v>
      </c>
      <c r="N300" s="7" t="s">
        <v>422</v>
      </c>
      <c r="O300" s="7">
        <v>97414.0</v>
      </c>
      <c r="P300" s="7" t="s">
        <v>40</v>
      </c>
      <c r="Q300" s="7"/>
      <c r="R300" s="7" t="s">
        <v>4093</v>
      </c>
      <c r="S300" s="7" t="s">
        <v>4094</v>
      </c>
      <c r="T300" s="7" t="s">
        <v>2938</v>
      </c>
      <c r="U300" s="7" t="s">
        <v>4095</v>
      </c>
      <c r="V300" s="7">
        <v>2.62395108E8</v>
      </c>
      <c r="W300" s="7">
        <v>6.92238919E8</v>
      </c>
      <c r="X300" s="7"/>
      <c r="Y300" s="7"/>
      <c r="Z300" s="7" t="s">
        <v>4096</v>
      </c>
      <c r="AA300" s="7">
        <v>4.0</v>
      </c>
      <c r="AB300" s="7" t="s">
        <v>3460</v>
      </c>
      <c r="AC300" s="7" t="s">
        <v>4097</v>
      </c>
      <c r="AD300" s="7" t="s">
        <v>4098</v>
      </c>
      <c r="AE300" s="7" t="s">
        <v>4099</v>
      </c>
      <c r="AF300" s="7"/>
      <c r="AG300" s="7" t="s">
        <v>751</v>
      </c>
      <c r="AH300" s="20">
        <v>42103.0</v>
      </c>
      <c r="AI300" s="7"/>
      <c r="AJ300" s="7" t="s">
        <v>4100</v>
      </c>
      <c r="AK300" s="7">
        <v>5.1415231300011E13</v>
      </c>
      <c r="AL300" s="7" t="s">
        <v>4101</v>
      </c>
      <c r="AM300" s="7" t="s">
        <v>4102</v>
      </c>
      <c r="AN300" s="20">
        <v>43739.0</v>
      </c>
      <c r="AO300" s="7">
        <v>97414.0</v>
      </c>
      <c r="AP300" s="7" t="s">
        <v>429</v>
      </c>
      <c r="AQ300" s="7"/>
      <c r="AR300" s="7"/>
      <c r="AS300" s="7"/>
      <c r="AT300" s="7"/>
      <c r="AU300" s="7">
        <v>2.0</v>
      </c>
      <c r="AV300" s="7" t="s">
        <v>4103</v>
      </c>
      <c r="AW300" s="7"/>
      <c r="AX300" s="7"/>
      <c r="AY300" s="7"/>
      <c r="AZ300" s="7" t="s">
        <v>4104</v>
      </c>
      <c r="BA300" s="7"/>
      <c r="BB300" s="7"/>
      <c r="BC300" s="7" t="s">
        <v>401</v>
      </c>
      <c r="BD300" s="21">
        <v>44090.0</v>
      </c>
      <c r="BE300" s="7" t="s">
        <v>1047</v>
      </c>
      <c r="BF300" s="7"/>
      <c r="BG300" s="7"/>
      <c r="BH300" s="7">
        <v>5.14152313E8</v>
      </c>
      <c r="BI300" s="7" t="s">
        <v>4105</v>
      </c>
      <c r="BJ300" s="7"/>
      <c r="BK300" s="7" t="b">
        <v>0</v>
      </c>
      <c r="BL300" s="7" t="b">
        <v>0</v>
      </c>
      <c r="BM300" s="7"/>
      <c r="BN300" s="7" t="str">
        <f>IFERROR(__xludf.DUMMYFUNCTION(" IF( REGEXMATCH(C300 , ""[(].+[)]""),REGEXREPLACE( CONCATENATE(REGEXEXTRACT(C300 , ""[(].+[)]""),IF(REGEXMATCH(C300 , ""[(][Ll]['’][)]""),"""","" ""), REGEXEXTRACT(C300 ,""^(?:(?:[A-Za-zàäéèêîïöôûü0-9 ](?:[A-Za-zàäéèêîïöôûü'0-9 ]+)))"")) , ""[()]"", """")"&amp;",C300 )"),"Les Frangipaniers ")</f>
        <v>Les Frangipaniers </v>
      </c>
      <c r="BO300" s="25"/>
      <c r="BP300" s="7"/>
      <c r="BQ300" s="7"/>
      <c r="BR300" s="7"/>
      <c r="BS300" s="7"/>
      <c r="BT300" s="7"/>
      <c r="BU300" s="7"/>
      <c r="BV300" s="7"/>
      <c r="BW300" s="7"/>
      <c r="BX300" s="7"/>
      <c r="BY300" s="7"/>
      <c r="BZ300" s="7"/>
      <c r="CA300" s="7"/>
      <c r="CB300" s="7"/>
    </row>
    <row r="301" ht="21.75" customHeight="1">
      <c r="A301" s="7">
        <v>2374.0</v>
      </c>
      <c r="B301" s="7" t="s">
        <v>4106</v>
      </c>
      <c r="C301" s="7" t="s">
        <v>4090</v>
      </c>
      <c r="D301" s="7" t="s">
        <v>4107</v>
      </c>
      <c r="E301" s="7"/>
      <c r="F301" s="7" t="s">
        <v>342</v>
      </c>
      <c r="G301" s="7" t="s">
        <v>343</v>
      </c>
      <c r="H301" s="7" t="s">
        <v>40</v>
      </c>
      <c r="I301" s="7" t="s">
        <v>4091</v>
      </c>
      <c r="J301" s="26" t="s">
        <v>4092</v>
      </c>
      <c r="K301" s="6" t="s">
        <v>469</v>
      </c>
      <c r="L301" s="7" t="s">
        <v>1549</v>
      </c>
      <c r="M301" s="7" t="s">
        <v>1550</v>
      </c>
      <c r="N301" s="7" t="s">
        <v>422</v>
      </c>
      <c r="O301" s="7">
        <v>97414.0</v>
      </c>
      <c r="P301" s="7" t="s">
        <v>40</v>
      </c>
      <c r="Q301" s="7"/>
      <c r="R301" s="7" t="s">
        <v>4108</v>
      </c>
      <c r="S301" s="7" t="s">
        <v>4109</v>
      </c>
      <c r="T301" s="7" t="s">
        <v>2938</v>
      </c>
      <c r="U301" s="7" t="s">
        <v>4095</v>
      </c>
      <c r="V301" s="7">
        <v>2.62395108E8</v>
      </c>
      <c r="W301" s="7">
        <v>6.92238919E8</v>
      </c>
      <c r="X301" s="7"/>
      <c r="Y301" s="7"/>
      <c r="Z301" s="7" t="s">
        <v>4096</v>
      </c>
      <c r="AA301" s="7"/>
      <c r="AB301" s="7"/>
      <c r="AC301" s="7" t="s">
        <v>4110</v>
      </c>
      <c r="AD301" s="7" t="s">
        <v>4111</v>
      </c>
      <c r="AE301" s="7" t="s">
        <v>4099</v>
      </c>
      <c r="AF301" s="7"/>
      <c r="AG301" s="7"/>
      <c r="AH301" s="20">
        <v>42103.0</v>
      </c>
      <c r="AI301" s="7"/>
      <c r="AJ301" s="7" t="s">
        <v>4100</v>
      </c>
      <c r="AK301" s="7">
        <v>5.1415231300011E13</v>
      </c>
      <c r="AL301" s="7" t="s">
        <v>4101</v>
      </c>
      <c r="AM301" s="7" t="s">
        <v>4102</v>
      </c>
      <c r="AN301" s="20">
        <v>43739.0</v>
      </c>
      <c r="AO301" s="7">
        <v>97414.0</v>
      </c>
      <c r="AP301" s="7" t="s">
        <v>429</v>
      </c>
      <c r="AQ301" s="7"/>
      <c r="AR301" s="7"/>
      <c r="AS301" s="7"/>
      <c r="AT301" s="7"/>
      <c r="AU301" s="7">
        <v>0.0</v>
      </c>
      <c r="AV301" s="7" t="s">
        <v>4103</v>
      </c>
      <c r="AW301" s="7"/>
      <c r="AX301" s="7"/>
      <c r="AY301" s="7"/>
      <c r="AZ301" s="7"/>
      <c r="BA301" s="7"/>
      <c r="BB301" s="7"/>
      <c r="BC301" s="7" t="s">
        <v>401</v>
      </c>
      <c r="BD301" s="21">
        <v>44091.0</v>
      </c>
      <c r="BE301" s="7" t="s">
        <v>449</v>
      </c>
      <c r="BF301" s="7"/>
      <c r="BG301" s="7"/>
      <c r="BH301" s="7">
        <v>5.14152313E8</v>
      </c>
      <c r="BI301" s="7" t="s">
        <v>4105</v>
      </c>
      <c r="BJ301" s="7"/>
      <c r="BK301" s="7" t="b">
        <v>0</v>
      </c>
      <c r="BL301" s="7" t="b">
        <v>0</v>
      </c>
      <c r="BM301" s="7"/>
      <c r="BN301" s="7" t="str">
        <f>IFERROR(__xludf.DUMMYFUNCTION(" IF( REGEXMATCH(C301 , ""[(].+[)]""),REGEXREPLACE( CONCATENATE(REGEXEXTRACT(C301 , ""[(].+[)]""),IF(REGEXMATCH(C301 , ""[(][Ll]['’][)]""),"""","" ""), REGEXEXTRACT(C301 ,""^(?:(?:[A-Za-zàäéèêîïöôûü0-9 ](?:[A-Za-zàäéèêîïöôûü'0-9 ]+)))"")) , ""[()]"", """")"&amp;",C301 )"),"Les Frangipaniers ")</f>
        <v>Les Frangipaniers </v>
      </c>
      <c r="BO301" s="25"/>
      <c r="BP301" s="7"/>
      <c r="BQ301" s="7"/>
      <c r="BR301" s="7"/>
      <c r="BS301" s="7"/>
      <c r="BT301" s="7"/>
      <c r="BU301" s="7"/>
      <c r="BV301" s="7"/>
      <c r="BW301" s="7"/>
      <c r="BX301" s="7"/>
      <c r="BY301" s="7"/>
      <c r="BZ301" s="7"/>
      <c r="CA301" s="7"/>
      <c r="CB301" s="7"/>
    </row>
    <row r="302" ht="21.75" customHeight="1">
      <c r="A302" s="7">
        <v>3987.0</v>
      </c>
      <c r="B302" s="7">
        <v>301.0</v>
      </c>
      <c r="C302" s="7" t="s">
        <v>4112</v>
      </c>
      <c r="D302" s="7"/>
      <c r="E302" s="7"/>
      <c r="F302" s="7" t="s">
        <v>342</v>
      </c>
      <c r="G302" s="7" t="s">
        <v>343</v>
      </c>
      <c r="H302" s="7" t="s">
        <v>123</v>
      </c>
      <c r="I302" s="7" t="s">
        <v>4113</v>
      </c>
      <c r="J302" s="7"/>
      <c r="K302" s="7" t="s">
        <v>34</v>
      </c>
      <c r="L302" s="7" t="s">
        <v>622</v>
      </c>
      <c r="M302" s="7" t="s">
        <v>622</v>
      </c>
      <c r="N302" s="7" t="s">
        <v>375</v>
      </c>
      <c r="O302" s="7">
        <v>97480.0</v>
      </c>
      <c r="P302" s="7" t="s">
        <v>123</v>
      </c>
      <c r="Q302" s="7" t="s">
        <v>3556</v>
      </c>
      <c r="R302" s="7" t="s">
        <v>4114</v>
      </c>
      <c r="S302" s="7" t="s">
        <v>4115</v>
      </c>
      <c r="T302" s="7" t="s">
        <v>377</v>
      </c>
      <c r="U302" s="7" t="s">
        <v>378</v>
      </c>
      <c r="V302" s="7">
        <v>2.62516114E8</v>
      </c>
      <c r="W302" s="7"/>
      <c r="X302" s="7"/>
      <c r="Y302" s="7"/>
      <c r="Z302" s="7"/>
      <c r="AA302" s="7"/>
      <c r="AB302" s="7"/>
      <c r="AC302" s="7"/>
      <c r="AD302" s="7" t="s">
        <v>4116</v>
      </c>
      <c r="AE302" s="7"/>
      <c r="AF302" s="7"/>
      <c r="AG302" s="7"/>
      <c r="AH302" s="20">
        <v>42219.0</v>
      </c>
      <c r="AI302" s="7"/>
      <c r="AJ302" s="7" t="s">
        <v>4112</v>
      </c>
      <c r="AK302" s="7">
        <v>8.0830746600017E13</v>
      </c>
      <c r="AL302" s="7" t="s">
        <v>4117</v>
      </c>
      <c r="AM302" s="7" t="s">
        <v>4118</v>
      </c>
      <c r="AN302" s="20">
        <v>42222.0</v>
      </c>
      <c r="AO302" s="7">
        <v>97480.0</v>
      </c>
      <c r="AP302" s="7" t="s">
        <v>385</v>
      </c>
      <c r="AQ302" s="7"/>
      <c r="AR302" s="7"/>
      <c r="AS302" s="7"/>
      <c r="AT302" s="7"/>
      <c r="AU302" s="7">
        <v>0.0</v>
      </c>
      <c r="AV302" s="7" t="s">
        <v>4119</v>
      </c>
      <c r="AW302" s="7"/>
      <c r="AX302" s="7"/>
      <c r="AY302" s="7"/>
      <c r="AZ302" s="7"/>
      <c r="BA302" s="7"/>
      <c r="BB302" s="7"/>
      <c r="BC302" s="7" t="s">
        <v>366</v>
      </c>
      <c r="BD302" s="21">
        <v>44235.48888888889</v>
      </c>
      <c r="BE302" s="7"/>
      <c r="BF302" s="7"/>
      <c r="BG302" s="22">
        <v>44235.0</v>
      </c>
      <c r="BH302" s="7">
        <v>8.08307466E8</v>
      </c>
      <c r="BI302" s="7" t="s">
        <v>4120</v>
      </c>
      <c r="BJ302" s="7"/>
      <c r="BK302" s="7" t="b">
        <v>0</v>
      </c>
      <c r="BL302" s="7" t="b">
        <v>0</v>
      </c>
      <c r="BM302" s="7"/>
      <c r="BN302" s="7" t="str">
        <f>IFERROR(__xludf.DUMMYFUNCTION(" IF( REGEXMATCH(C302 , ""[(].+[)]""),REGEXREPLACE( CONCATENATE(REGEXEXTRACT(C302 , ""[(].+[)]""),IF(REGEXMATCH(C302 , ""[(][Ll]['’][)]""),"""","" ""), REGEXEXTRACT(C302 ,""^(?:(?:[A-Za-zàäéèêîïöôûü0-9 ](?:[A-Za-zàäéèêîïöôûü'0-9 ]+)))"")) , ""[()]"", """")"&amp;",C302 )"),"Fresh Bourbon")</f>
        <v>Fresh Bourbon</v>
      </c>
      <c r="BO302" s="23"/>
      <c r="BP302" s="7"/>
      <c r="BQ302" s="7"/>
      <c r="BR302" s="7"/>
      <c r="BS302" s="7"/>
      <c r="BT302" s="7"/>
      <c r="BU302" s="7"/>
      <c r="BV302" s="7"/>
      <c r="BW302" s="7"/>
      <c r="BX302" s="7"/>
      <c r="BY302" s="7"/>
      <c r="BZ302" s="7"/>
      <c r="CA302" s="7"/>
      <c r="CB302" s="7"/>
    </row>
    <row r="303" ht="21.75" customHeight="1">
      <c r="A303" s="7">
        <v>5237.0</v>
      </c>
      <c r="B303" s="7" t="s">
        <v>4121</v>
      </c>
      <c r="C303" s="7" t="s">
        <v>4122</v>
      </c>
      <c r="D303" s="7"/>
      <c r="E303" s="7"/>
      <c r="F303" s="7" t="s">
        <v>404</v>
      </c>
      <c r="G303" s="7" t="s">
        <v>343</v>
      </c>
      <c r="H303" s="7" t="s">
        <v>123</v>
      </c>
      <c r="I303" s="7" t="s">
        <v>4123</v>
      </c>
      <c r="J303" s="7"/>
      <c r="K303" s="7" t="s">
        <v>58</v>
      </c>
      <c r="L303" s="7" t="s">
        <v>59</v>
      </c>
      <c r="M303" s="7" t="s">
        <v>346</v>
      </c>
      <c r="N303" s="7" t="s">
        <v>422</v>
      </c>
      <c r="O303" s="7">
        <v>97480.0</v>
      </c>
      <c r="P303" s="7" t="s">
        <v>123</v>
      </c>
      <c r="Q303" s="7" t="s">
        <v>4124</v>
      </c>
      <c r="R303" s="7" t="s">
        <v>4125</v>
      </c>
      <c r="S303" s="7" t="s">
        <v>4126</v>
      </c>
      <c r="T303" s="7" t="s">
        <v>377</v>
      </c>
      <c r="U303" s="7" t="s">
        <v>592</v>
      </c>
      <c r="V303" s="7"/>
      <c r="W303" s="7">
        <v>6.92046051E8</v>
      </c>
      <c r="X303" s="7"/>
      <c r="Y303" s="7"/>
      <c r="Z303" s="7" t="s">
        <v>4127</v>
      </c>
      <c r="AA303" s="7">
        <v>5.0</v>
      </c>
      <c r="AB303" s="7" t="s">
        <v>2716</v>
      </c>
      <c r="AC303" s="7" t="s">
        <v>4128</v>
      </c>
      <c r="AD303" s="7" t="s">
        <v>4129</v>
      </c>
      <c r="AE303" s="7"/>
      <c r="AF303" s="7"/>
      <c r="AG303" s="7"/>
      <c r="AH303" s="7"/>
      <c r="AI303" s="7"/>
      <c r="AJ303" s="7" t="s">
        <v>4130</v>
      </c>
      <c r="AK303" s="7"/>
      <c r="AL303" s="7" t="s">
        <v>4131</v>
      </c>
      <c r="AM303" s="7" t="s">
        <v>4132</v>
      </c>
      <c r="AN303" s="7"/>
      <c r="AO303" s="7">
        <v>97480.0</v>
      </c>
      <c r="AP303" s="7" t="s">
        <v>385</v>
      </c>
      <c r="AQ303" s="7"/>
      <c r="AR303" s="7"/>
      <c r="AS303" s="7"/>
      <c r="AT303" s="7"/>
      <c r="AU303" s="7">
        <v>1.0</v>
      </c>
      <c r="AV303" s="7" t="s">
        <v>4133</v>
      </c>
      <c r="AW303" s="7"/>
      <c r="AX303" s="7" t="s">
        <v>4134</v>
      </c>
      <c r="AY303" s="7" t="s">
        <v>1590</v>
      </c>
      <c r="AZ303" s="7" t="s">
        <v>4135</v>
      </c>
      <c r="BA303" s="7"/>
      <c r="BB303" s="7"/>
      <c r="BC303" s="7" t="s">
        <v>401</v>
      </c>
      <c r="BD303" s="21">
        <v>44098.0</v>
      </c>
      <c r="BE303" s="7" t="s">
        <v>4136</v>
      </c>
      <c r="BF303" s="7"/>
      <c r="BG303" s="7"/>
      <c r="BH303" s="7"/>
      <c r="BI303" s="7" t="s">
        <v>4137</v>
      </c>
      <c r="BJ303" s="7"/>
      <c r="BK303" s="7" t="b">
        <v>0</v>
      </c>
      <c r="BL303" s="7" t="b">
        <v>0</v>
      </c>
      <c r="BM303" s="7"/>
      <c r="BN303" s="7" t="str">
        <f>IFERROR(__xludf.DUMMYFUNCTION(" IF( REGEXMATCH(C303 , ""[(].+[)]""),REGEXREPLACE( CONCATENATE(REGEXEXTRACT(C303 , ""[(].+[)]""),IF(REGEXMATCH(C303 , ""[(][Ll]['’][)]""),"""","" ""), REGEXEXTRACT(C303 ,""^(?:(?:[A-Za-zàäéèêîïöôûü0-9 ](?:[A-Za-zàäéèêîïöôûü'0-9 ]+)))"")) , ""[()]"", """")"&amp;",C303 )"),"Le Fruit à Pain ")</f>
        <v>Le Fruit à Pain </v>
      </c>
      <c r="BO303" s="25"/>
      <c r="BP303" s="7"/>
      <c r="BQ303" s="7"/>
      <c r="BR303" s="7"/>
      <c r="BS303" s="7"/>
      <c r="BT303" s="7"/>
      <c r="BU303" s="7"/>
      <c r="BV303" s="7"/>
      <c r="BW303" s="7"/>
      <c r="BX303" s="7"/>
      <c r="BY303" s="7"/>
      <c r="BZ303" s="7"/>
      <c r="CA303" s="7"/>
      <c r="CB303" s="7"/>
    </row>
    <row r="304" ht="21.75" customHeight="1">
      <c r="A304" s="7">
        <v>3051.0</v>
      </c>
      <c r="B304" s="7">
        <v>303.0</v>
      </c>
      <c r="C304" s="7" t="s">
        <v>4138</v>
      </c>
      <c r="D304" s="7"/>
      <c r="E304" s="7"/>
      <c r="F304" s="7" t="s">
        <v>404</v>
      </c>
      <c r="G304" s="7" t="s">
        <v>343</v>
      </c>
      <c r="H304" s="7" t="s">
        <v>40</v>
      </c>
      <c r="I304" s="7" t="s">
        <v>4139</v>
      </c>
      <c r="J304" s="7"/>
      <c r="K304" s="7" t="s">
        <v>34</v>
      </c>
      <c r="L304" s="7" t="s">
        <v>622</v>
      </c>
      <c r="M304" s="7" t="s">
        <v>622</v>
      </c>
      <c r="N304" s="7" t="s">
        <v>455</v>
      </c>
      <c r="O304" s="7">
        <v>97414.0</v>
      </c>
      <c r="P304" s="7" t="s">
        <v>40</v>
      </c>
      <c r="Q304" s="7"/>
      <c r="R304" s="7"/>
      <c r="S304" s="7"/>
      <c r="T304" s="7" t="s">
        <v>377</v>
      </c>
      <c r="U304" s="7"/>
      <c r="V304" s="7"/>
      <c r="W304" s="7">
        <v>6.92410369E8</v>
      </c>
      <c r="X304" s="7"/>
      <c r="Y304" s="7"/>
      <c r="Z304" s="7"/>
      <c r="AA304" s="7">
        <v>40.0</v>
      </c>
      <c r="AB304" s="7"/>
      <c r="AC304" s="7"/>
      <c r="AD304" s="7" t="s">
        <v>4140</v>
      </c>
      <c r="AE304" s="7"/>
      <c r="AF304" s="7"/>
      <c r="AG304" s="7"/>
      <c r="AH304" s="20">
        <v>43739.0</v>
      </c>
      <c r="AI304" s="7"/>
      <c r="AJ304" s="7" t="s">
        <v>4141</v>
      </c>
      <c r="AK304" s="7"/>
      <c r="AL304" s="7" t="s">
        <v>4142</v>
      </c>
      <c r="AM304" s="7" t="s">
        <v>4143</v>
      </c>
      <c r="AN304" s="20">
        <v>43739.0</v>
      </c>
      <c r="AO304" s="7">
        <v>97414.0</v>
      </c>
      <c r="AP304" s="7" t="s">
        <v>429</v>
      </c>
      <c r="AQ304" s="7"/>
      <c r="AR304" s="7"/>
      <c r="AS304" s="7"/>
      <c r="AT304" s="7"/>
      <c r="AU304" s="7">
        <v>0.0</v>
      </c>
      <c r="AV304" s="7" t="s">
        <v>4144</v>
      </c>
      <c r="AW304" s="7"/>
      <c r="AX304" s="7"/>
      <c r="AY304" s="7"/>
      <c r="AZ304" s="7"/>
      <c r="BA304" s="7"/>
      <c r="BB304" s="7"/>
      <c r="BC304" s="7" t="s">
        <v>366</v>
      </c>
      <c r="BD304" s="21">
        <v>44197.0</v>
      </c>
      <c r="BE304" s="7"/>
      <c r="BF304" s="7"/>
      <c r="BG304" s="22">
        <v>44197.0</v>
      </c>
      <c r="BH304" s="7"/>
      <c r="BI304" s="7" t="s">
        <v>4145</v>
      </c>
      <c r="BJ304" s="7"/>
      <c r="BK304" s="7" t="b">
        <v>0</v>
      </c>
      <c r="BL304" s="7" t="b">
        <v>0</v>
      </c>
      <c r="BM304" s="7"/>
      <c r="BN304" s="7" t="str">
        <f>IFERROR(__xludf.DUMMYFUNCTION(" IF( REGEXMATCH(C304 , ""[(].+[)]""),REGEXREPLACE( CONCATENATE(REGEXEXTRACT(C304 , ""[(].+[)]""),IF(REGEXMATCH(C304 , ""[(][Ll]['’][)]""),"""","" ""), REGEXEXTRACT(C304 ,""^(?:(?:[A-Za-zàäéèêîïöôûü0-9 ](?:[A-Za-zàäéèêîïöôûü'0-9 ]+)))"")) , ""[()]"", """")"&amp;",C304 )"),"Le Gadjack ")</f>
        <v>Le Gadjack </v>
      </c>
      <c r="BO304" s="23"/>
      <c r="BP304" s="7"/>
      <c r="BQ304" s="7"/>
      <c r="BR304" s="7"/>
      <c r="BS304" s="7"/>
      <c r="BT304" s="7"/>
      <c r="BU304" s="7"/>
      <c r="BV304" s="7"/>
      <c r="BW304" s="7"/>
      <c r="BX304" s="7"/>
      <c r="BY304" s="7"/>
      <c r="BZ304" s="7"/>
      <c r="CA304" s="7"/>
      <c r="CB304" s="7"/>
    </row>
    <row r="305" ht="21.75" customHeight="1">
      <c r="A305" s="7">
        <v>4552.0</v>
      </c>
      <c r="B305" s="7" t="s">
        <v>4146</v>
      </c>
      <c r="C305" s="7" t="s">
        <v>4147</v>
      </c>
      <c r="D305" s="7"/>
      <c r="E305" s="7"/>
      <c r="F305" s="7" t="s">
        <v>342</v>
      </c>
      <c r="G305" s="7" t="s">
        <v>343</v>
      </c>
      <c r="H305" s="7" t="s">
        <v>40</v>
      </c>
      <c r="I305" s="7" t="s">
        <v>4148</v>
      </c>
      <c r="J305" s="7"/>
      <c r="K305" s="7" t="s">
        <v>34</v>
      </c>
      <c r="L305" s="7" t="s">
        <v>622</v>
      </c>
      <c r="M305" s="7" t="s">
        <v>622</v>
      </c>
      <c r="N305" s="7" t="s">
        <v>4149</v>
      </c>
      <c r="O305" s="7">
        <v>97414.0</v>
      </c>
      <c r="P305" s="7" t="s">
        <v>40</v>
      </c>
      <c r="Q305" s="7"/>
      <c r="R305" s="7" t="s">
        <v>4150</v>
      </c>
      <c r="S305" s="7"/>
      <c r="T305" s="7" t="s">
        <v>963</v>
      </c>
      <c r="U305" s="7" t="s">
        <v>424</v>
      </c>
      <c r="V305" s="7"/>
      <c r="W305" s="7">
        <v>6.92410369E8</v>
      </c>
      <c r="X305" s="7"/>
      <c r="Y305" s="7"/>
      <c r="Z305" s="7" t="s">
        <v>4151</v>
      </c>
      <c r="AA305" s="7">
        <v>30.0</v>
      </c>
      <c r="AB305" s="7"/>
      <c r="AC305" s="7" t="s">
        <v>4152</v>
      </c>
      <c r="AD305" s="7" t="s">
        <v>4153</v>
      </c>
      <c r="AE305" s="7" t="s">
        <v>4154</v>
      </c>
      <c r="AF305" s="7" t="s">
        <v>4155</v>
      </c>
      <c r="AG305" s="7"/>
      <c r="AH305" s="20">
        <v>43313.0</v>
      </c>
      <c r="AI305" s="7"/>
      <c r="AJ305" s="7" t="s">
        <v>4156</v>
      </c>
      <c r="AK305" s="7">
        <v>5.1032265400029E13</v>
      </c>
      <c r="AL305" s="7" t="s">
        <v>4157</v>
      </c>
      <c r="AM305" s="7" t="s">
        <v>4158</v>
      </c>
      <c r="AN305" s="20">
        <v>43313.0</v>
      </c>
      <c r="AO305" s="7">
        <v>97414.0</v>
      </c>
      <c r="AP305" s="7" t="s">
        <v>429</v>
      </c>
      <c r="AQ305" s="7"/>
      <c r="AR305" s="7"/>
      <c r="AS305" s="7"/>
      <c r="AT305" s="7"/>
      <c r="AU305" s="7">
        <v>0.0</v>
      </c>
      <c r="AV305" s="7" t="s">
        <v>4159</v>
      </c>
      <c r="AW305" s="7"/>
      <c r="AX305" s="7"/>
      <c r="AY305" s="7"/>
      <c r="AZ305" s="7"/>
      <c r="BA305" s="7"/>
      <c r="BB305" s="7"/>
      <c r="BC305" s="7" t="s">
        <v>401</v>
      </c>
      <c r="BD305" s="21">
        <v>44091.49166666667</v>
      </c>
      <c r="BE305" s="7" t="s">
        <v>4160</v>
      </c>
      <c r="BF305" s="7"/>
      <c r="BG305" s="7"/>
      <c r="BH305" s="7">
        <v>5.10322654E8</v>
      </c>
      <c r="BI305" s="7" t="s">
        <v>4145</v>
      </c>
      <c r="BJ305" s="7"/>
      <c r="BK305" s="7" t="b">
        <v>0</v>
      </c>
      <c r="BL305" s="7" t="b">
        <v>0</v>
      </c>
      <c r="BM305" s="7"/>
      <c r="BN305" s="7" t="str">
        <f>IFERROR(__xludf.DUMMYFUNCTION(" IF( REGEXMATCH(C305 , ""[(].+[)]""),REGEXREPLACE( CONCATENATE(REGEXEXTRACT(C305 , ""[(].+[)]""),IF(REGEXMATCH(C305 , ""[(][Ll]['’][)]""),"""","" ""), REGEXEXTRACT(C305 ,""^(?:(?:[A-Za-zàäéèêîïöôûü0-9 ](?:[A-Za-zàäéèêîïöôûü'0-9 ]+)))"")) , ""[()]"", """")"&amp;",C305 )"),"Le Gadjak ")</f>
        <v>Le Gadjak </v>
      </c>
      <c r="BO305" s="25"/>
      <c r="BP305" s="7"/>
      <c r="BQ305" s="7"/>
      <c r="BR305" s="7"/>
      <c r="BS305" s="7"/>
      <c r="BT305" s="7"/>
      <c r="BU305" s="7"/>
      <c r="BV305" s="7"/>
      <c r="BW305" s="7"/>
      <c r="BX305" s="7"/>
      <c r="BY305" s="7"/>
      <c r="BZ305" s="7"/>
      <c r="CA305" s="7"/>
      <c r="CB305" s="7"/>
    </row>
    <row r="306" ht="21.75" customHeight="1">
      <c r="A306" s="7">
        <v>3128.0</v>
      </c>
      <c r="B306" s="7" t="s">
        <v>4161</v>
      </c>
      <c r="C306" s="7" t="s">
        <v>4162</v>
      </c>
      <c r="D306" s="7" t="s">
        <v>4163</v>
      </c>
      <c r="E306" s="7"/>
      <c r="F306" s="7" t="s">
        <v>404</v>
      </c>
      <c r="G306" s="7" t="s">
        <v>343</v>
      </c>
      <c r="H306" s="7" t="s">
        <v>123</v>
      </c>
      <c r="I306" s="7" t="s">
        <v>4164</v>
      </c>
      <c r="J306" s="26" t="s">
        <v>4165</v>
      </c>
      <c r="K306" s="7" t="s">
        <v>58</v>
      </c>
      <c r="L306" s="7" t="s">
        <v>59</v>
      </c>
      <c r="M306" s="7" t="s">
        <v>346</v>
      </c>
      <c r="N306" s="7" t="s">
        <v>455</v>
      </c>
      <c r="O306" s="7">
        <v>97480.0</v>
      </c>
      <c r="P306" s="7" t="s">
        <v>123</v>
      </c>
      <c r="Q306" s="7"/>
      <c r="R306" s="7" t="s">
        <v>4166</v>
      </c>
      <c r="S306" s="7" t="s">
        <v>609</v>
      </c>
      <c r="T306" s="7" t="s">
        <v>377</v>
      </c>
      <c r="U306" s="7" t="s">
        <v>353</v>
      </c>
      <c r="V306" s="7">
        <v>2.62977304E8</v>
      </c>
      <c r="W306" s="7">
        <v>6.92692766E8</v>
      </c>
      <c r="X306" s="7"/>
      <c r="Y306" s="7"/>
      <c r="Z306" s="7" t="s">
        <v>4167</v>
      </c>
      <c r="AA306" s="7">
        <v>6.0</v>
      </c>
      <c r="AB306" s="7" t="s">
        <v>1429</v>
      </c>
      <c r="AC306" s="7" t="s">
        <v>4168</v>
      </c>
      <c r="AD306" s="7" t="s">
        <v>4169</v>
      </c>
      <c r="AE306" s="7" t="s">
        <v>4170</v>
      </c>
      <c r="AF306" s="7"/>
      <c r="AG306" s="7" t="s">
        <v>751</v>
      </c>
      <c r="AH306" s="20">
        <v>40959.0</v>
      </c>
      <c r="AI306" s="7"/>
      <c r="AJ306" s="7" t="s">
        <v>4171</v>
      </c>
      <c r="AK306" s="7"/>
      <c r="AL306" s="7" t="s">
        <v>4172</v>
      </c>
      <c r="AM306" s="7" t="s">
        <v>4173</v>
      </c>
      <c r="AN306" s="20">
        <v>40959.0</v>
      </c>
      <c r="AO306" s="7">
        <v>97480.0</v>
      </c>
      <c r="AP306" s="7" t="s">
        <v>385</v>
      </c>
      <c r="AQ306" s="7"/>
      <c r="AR306" s="7"/>
      <c r="AS306" s="7"/>
      <c r="AT306" s="7"/>
      <c r="AU306" s="7">
        <v>1.0</v>
      </c>
      <c r="AV306" s="7" t="s">
        <v>4174</v>
      </c>
      <c r="AW306" s="7"/>
      <c r="AX306" s="7"/>
      <c r="AY306" s="7"/>
      <c r="AZ306" s="7"/>
      <c r="BA306" s="7"/>
      <c r="BB306" s="7"/>
      <c r="BC306" s="7" t="s">
        <v>401</v>
      </c>
      <c r="BD306" s="21">
        <v>44217.13611111111</v>
      </c>
      <c r="BE306" s="7" t="s">
        <v>449</v>
      </c>
      <c r="BF306" s="7"/>
      <c r="BG306" s="7"/>
      <c r="BH306" s="7"/>
      <c r="BI306" s="7" t="s">
        <v>4175</v>
      </c>
      <c r="BJ306" s="7"/>
      <c r="BK306" s="7" t="b">
        <v>0</v>
      </c>
      <c r="BL306" s="7" t="b">
        <v>0</v>
      </c>
      <c r="BM306" s="7"/>
      <c r="BN306" s="7" t="str">
        <f>IFERROR(__xludf.DUMMYFUNCTION(" IF( REGEXMATCH(C306 , ""[(].+[)]""),REGEXREPLACE( CONCATENATE(REGEXEXTRACT(C306 , ""[(].+[)]""),IF(REGEXMATCH(C306 , ""[(][Ll]['’][)]""),"""","" ""), REGEXEXTRACT(C306 ,""^(?:(?:[A-Za-zàäéèêîïöôûü0-9 ](?:[A-Za-zàäéèêîïöôûü'0-9 ]+)))"")) , ""[()]"", """")"&amp;",C306 )"),"Le Galabert ")</f>
        <v>Le Galabert </v>
      </c>
      <c r="BO306" s="25"/>
      <c r="BP306" s="7"/>
      <c r="BQ306" s="7"/>
      <c r="BR306" s="7"/>
      <c r="BS306" s="7"/>
      <c r="BT306" s="7"/>
      <c r="BU306" s="7"/>
      <c r="BV306" s="7"/>
      <c r="BW306" s="7"/>
      <c r="BX306" s="7"/>
      <c r="BY306" s="7"/>
      <c r="BZ306" s="7"/>
      <c r="CA306" s="7"/>
      <c r="CB306" s="7"/>
    </row>
    <row r="307" ht="21.75" customHeight="1">
      <c r="A307" s="7">
        <v>440.0</v>
      </c>
      <c r="B307" s="7" t="s">
        <v>4176</v>
      </c>
      <c r="C307" s="7" t="s">
        <v>4177</v>
      </c>
      <c r="D307" s="7" t="s">
        <v>4177</v>
      </c>
      <c r="E307" s="7"/>
      <c r="F307" s="7" t="s">
        <v>342</v>
      </c>
      <c r="G307" s="7" t="s">
        <v>343</v>
      </c>
      <c r="H307" s="7" t="s">
        <v>123</v>
      </c>
      <c r="I307" s="7" t="s">
        <v>4178</v>
      </c>
      <c r="J307" s="26" t="s">
        <v>4179</v>
      </c>
      <c r="K307" s="7" t="s">
        <v>58</v>
      </c>
      <c r="L307" s="7" t="s">
        <v>1141</v>
      </c>
      <c r="M307" s="7" t="s">
        <v>1141</v>
      </c>
      <c r="N307" s="7" t="s">
        <v>3431</v>
      </c>
      <c r="O307" s="7">
        <v>97480.0</v>
      </c>
      <c r="P307" s="7" t="s">
        <v>123</v>
      </c>
      <c r="Q307" s="7" t="s">
        <v>2092</v>
      </c>
      <c r="R307" s="7" t="s">
        <v>4180</v>
      </c>
      <c r="S307" s="7" t="s">
        <v>4181</v>
      </c>
      <c r="T307" s="7" t="s">
        <v>499</v>
      </c>
      <c r="U307" s="7" t="s">
        <v>1698</v>
      </c>
      <c r="V307" s="7">
        <v>2.62584559E8</v>
      </c>
      <c r="W307" s="7">
        <v>6.92330936E8</v>
      </c>
      <c r="X307" s="7">
        <v>6.92407839E8</v>
      </c>
      <c r="Y307" s="7"/>
      <c r="Z307" s="7" t="s">
        <v>4182</v>
      </c>
      <c r="AA307" s="7">
        <v>13.0</v>
      </c>
      <c r="AB307" s="7" t="s">
        <v>355</v>
      </c>
      <c r="AC307" s="7" t="s">
        <v>4183</v>
      </c>
      <c r="AD307" s="7" t="s">
        <v>4184</v>
      </c>
      <c r="AE307" s="7" t="s">
        <v>4185</v>
      </c>
      <c r="AF307" s="7"/>
      <c r="AG307" s="7"/>
      <c r="AH307" s="20">
        <v>39575.0</v>
      </c>
      <c r="AI307" s="7"/>
      <c r="AJ307" s="7" t="s">
        <v>4186</v>
      </c>
      <c r="AK307" s="7">
        <v>4.8873967300025E13</v>
      </c>
      <c r="AL307" s="7" t="s">
        <v>4187</v>
      </c>
      <c r="AM307" s="7" t="s">
        <v>4188</v>
      </c>
      <c r="AN307" s="20">
        <v>39575.0</v>
      </c>
      <c r="AO307" s="7">
        <v>97480.0</v>
      </c>
      <c r="AP307" s="7" t="s">
        <v>385</v>
      </c>
      <c r="AQ307" s="7"/>
      <c r="AR307" s="7"/>
      <c r="AS307" s="7"/>
      <c r="AT307" s="7"/>
      <c r="AU307" s="7">
        <v>6.0</v>
      </c>
      <c r="AV307" s="7" t="s">
        <v>4189</v>
      </c>
      <c r="AW307" s="7"/>
      <c r="AX307" s="7"/>
      <c r="AY307" s="7"/>
      <c r="AZ307" s="7" t="s">
        <v>4190</v>
      </c>
      <c r="BA307" s="7"/>
      <c r="BB307" s="7"/>
      <c r="BC307" s="7" t="s">
        <v>401</v>
      </c>
      <c r="BD307" s="7"/>
      <c r="BE307" s="7" t="s">
        <v>4191</v>
      </c>
      <c r="BF307" s="7"/>
      <c r="BG307" s="7"/>
      <c r="BH307" s="7">
        <v>4.88739673E8</v>
      </c>
      <c r="BI307" s="7" t="s">
        <v>4192</v>
      </c>
      <c r="BJ307" s="7"/>
      <c r="BK307" s="7" t="b">
        <v>0</v>
      </c>
      <c r="BL307" s="7" t="b">
        <v>0</v>
      </c>
      <c r="BM307" s="7"/>
      <c r="BN307" s="7" t="str">
        <f>IFERROR(__xludf.DUMMYFUNCTION(" IF( REGEXMATCH(C307 , ""[(].+[)]""),REGEXREPLACE( CONCATENATE(REGEXEXTRACT(C307 , ""[(].+[)]""),IF(REGEXMATCH(C307 , ""[(][Ll]['’][)]""),"""","" ""), REGEXEXTRACT(C307 ,""^(?:(?:[A-Za-zàäéèêîïöôûü0-9 ](?:[A-Za-zàäéèêîïöôûü'0-9 ]+)))"")) , ""[()]"", """")"&amp;",C307 )"),"Gandalf Safari Camp")</f>
        <v>Gandalf Safari Camp</v>
      </c>
      <c r="BO307" s="25"/>
      <c r="BP307" s="7"/>
      <c r="BQ307" s="7"/>
      <c r="BR307" s="7"/>
      <c r="BS307" s="7"/>
      <c r="BT307" s="7"/>
      <c r="BU307" s="7"/>
      <c r="BV307" s="7"/>
      <c r="BW307" s="7"/>
      <c r="BX307" s="7"/>
      <c r="BY307" s="7"/>
      <c r="BZ307" s="7"/>
      <c r="CA307" s="7"/>
      <c r="CB307" s="7"/>
    </row>
    <row r="308" ht="21.75" customHeight="1">
      <c r="A308" s="7">
        <v>5149.0</v>
      </c>
      <c r="B308" s="7" t="s">
        <v>4193</v>
      </c>
      <c r="C308" s="7" t="s">
        <v>4194</v>
      </c>
      <c r="D308" s="7"/>
      <c r="E308" s="7"/>
      <c r="F308" s="7" t="s">
        <v>342</v>
      </c>
      <c r="G308" s="7" t="s">
        <v>343</v>
      </c>
      <c r="H308" s="7" t="s">
        <v>123</v>
      </c>
      <c r="I308" s="7" t="s">
        <v>4195</v>
      </c>
      <c r="J308" s="26" t="s">
        <v>4196</v>
      </c>
      <c r="K308" s="7" t="s">
        <v>58</v>
      </c>
      <c r="L308" s="7" t="s">
        <v>59</v>
      </c>
      <c r="M308" s="7" t="s">
        <v>374</v>
      </c>
      <c r="N308" s="7" t="s">
        <v>422</v>
      </c>
      <c r="O308" s="7">
        <v>97480.0</v>
      </c>
      <c r="P308" s="7" t="s">
        <v>123</v>
      </c>
      <c r="Q308" s="7" t="s">
        <v>2092</v>
      </c>
      <c r="R308" s="7" t="s">
        <v>4197</v>
      </c>
      <c r="S308" s="7" t="s">
        <v>1038</v>
      </c>
      <c r="T308" s="7" t="s">
        <v>1863</v>
      </c>
      <c r="U308" s="7" t="s">
        <v>393</v>
      </c>
      <c r="V308" s="7">
        <v>2.62565849E8</v>
      </c>
      <c r="W308" s="7">
        <v>6.92646996E8</v>
      </c>
      <c r="X308" s="7">
        <v>6.92705791E8</v>
      </c>
      <c r="Y308" s="7"/>
      <c r="Z308" s="7" t="s">
        <v>4198</v>
      </c>
      <c r="AA308" s="7">
        <v>6.0</v>
      </c>
      <c r="AB308" s="7" t="s">
        <v>395</v>
      </c>
      <c r="AC308" s="7" t="s">
        <v>4199</v>
      </c>
      <c r="AD308" s="7" t="s">
        <v>4200</v>
      </c>
      <c r="AE308" s="7" t="s">
        <v>4201</v>
      </c>
      <c r="AF308" s="7"/>
      <c r="AG308" s="7"/>
      <c r="AH308" s="20">
        <v>43647.0</v>
      </c>
      <c r="AI308" s="7"/>
      <c r="AJ308" s="7" t="s">
        <v>4202</v>
      </c>
      <c r="AK308" s="7">
        <v>8.5409099000029E13</v>
      </c>
      <c r="AL308" s="7" t="s">
        <v>4203</v>
      </c>
      <c r="AM308" s="7" t="s">
        <v>4204</v>
      </c>
      <c r="AN308" s="20">
        <v>43867.0</v>
      </c>
      <c r="AO308" s="7">
        <v>97480.0</v>
      </c>
      <c r="AP308" s="7" t="s">
        <v>385</v>
      </c>
      <c r="AQ308" s="7"/>
      <c r="AR308" s="7"/>
      <c r="AS308" s="7"/>
      <c r="AT308" s="7"/>
      <c r="AU308" s="7">
        <v>1.0</v>
      </c>
      <c r="AV308" s="7" t="s">
        <v>4205</v>
      </c>
      <c r="AW308" s="7"/>
      <c r="AX308" s="7" t="s">
        <v>4206</v>
      </c>
      <c r="AY308" s="7" t="s">
        <v>1590</v>
      </c>
      <c r="AZ308" s="7" t="s">
        <v>4207</v>
      </c>
      <c r="BA308" s="7"/>
      <c r="BB308" s="7"/>
      <c r="BC308" s="7" t="s">
        <v>401</v>
      </c>
      <c r="BD308" s="7"/>
      <c r="BE308" s="7" t="s">
        <v>4208</v>
      </c>
      <c r="BF308" s="7"/>
      <c r="BG308" s="7"/>
      <c r="BH308" s="7">
        <v>8.5409099E8</v>
      </c>
      <c r="BI308" s="7" t="s">
        <v>4209</v>
      </c>
      <c r="BJ308" s="7"/>
      <c r="BK308" s="7" t="b">
        <v>0</v>
      </c>
      <c r="BL308" s="7" t="b">
        <v>0</v>
      </c>
      <c r="BM308" s="7"/>
      <c r="BN308" s="7" t="str">
        <f>IFERROR(__xludf.DUMMYFUNCTION(" IF( REGEXMATCH(C308 , ""[(].+[)]""),REGEXREPLACE( CONCATENATE(REGEXEXTRACT(C308 , ""[(].+[)]""),IF(REGEXMATCH(C308 , ""[(][Ll]['’][)]""),"""","" ""), REGEXEXTRACT(C308 ,""^(?:(?:[A-Za-zàäéèêîïöôûü0-9 ](?:[A-Za-zàäéèêîïöôûü'0-9 ]+)))"")) , ""[()]"", """")"&amp;",C308 )"),"Le Gecko Vert ")</f>
        <v>Le Gecko Vert </v>
      </c>
      <c r="BO308" s="25"/>
      <c r="BP308" s="7"/>
      <c r="BQ308" s="7"/>
      <c r="BR308" s="7"/>
      <c r="BS308" s="7"/>
      <c r="BT308" s="7"/>
      <c r="BU308" s="7"/>
      <c r="BV308" s="7"/>
      <c r="BW308" s="7"/>
      <c r="BX308" s="7"/>
      <c r="BY308" s="7"/>
      <c r="BZ308" s="7"/>
      <c r="CA308" s="7"/>
      <c r="CB308" s="7"/>
    </row>
    <row r="309" ht="21.75" customHeight="1">
      <c r="A309" s="7">
        <v>3822.0</v>
      </c>
      <c r="B309" s="7" t="s">
        <v>4210</v>
      </c>
      <c r="C309" s="7" t="s">
        <v>4211</v>
      </c>
      <c r="D309" s="7"/>
      <c r="E309" s="7"/>
      <c r="F309" s="7" t="s">
        <v>342</v>
      </c>
      <c r="G309" s="7" t="s">
        <v>343</v>
      </c>
      <c r="H309" s="7" t="s">
        <v>344</v>
      </c>
      <c r="I309" s="7" t="s">
        <v>4212</v>
      </c>
      <c r="J309" s="26" t="s">
        <v>4213</v>
      </c>
      <c r="K309" s="7" t="s">
        <v>34</v>
      </c>
      <c r="L309" s="7" t="s">
        <v>622</v>
      </c>
      <c r="M309" s="7" t="s">
        <v>1127</v>
      </c>
      <c r="N309" s="7" t="s">
        <v>630</v>
      </c>
      <c r="O309" s="7">
        <v>97418.0</v>
      </c>
      <c r="P309" s="7" t="s">
        <v>348</v>
      </c>
      <c r="Q309" s="7" t="s">
        <v>349</v>
      </c>
      <c r="R309" s="7" t="s">
        <v>4214</v>
      </c>
      <c r="S309" s="7" t="s">
        <v>1094</v>
      </c>
      <c r="T309" s="7" t="s">
        <v>3832</v>
      </c>
      <c r="U309" s="7" t="s">
        <v>592</v>
      </c>
      <c r="V309" s="7">
        <v>2.62591106E8</v>
      </c>
      <c r="W309" s="7">
        <v>6.92709578E8</v>
      </c>
      <c r="X309" s="7"/>
      <c r="Y309" s="7">
        <v>2.62592183E8</v>
      </c>
      <c r="Z309" s="7" t="s">
        <v>4215</v>
      </c>
      <c r="AA309" s="7"/>
      <c r="AB309" s="7"/>
      <c r="AC309" s="7" t="s">
        <v>4216</v>
      </c>
      <c r="AD309" s="7" t="s">
        <v>4217</v>
      </c>
      <c r="AE309" s="7"/>
      <c r="AF309" s="7"/>
      <c r="AG309" s="7"/>
      <c r="AH309" s="20">
        <v>42135.0</v>
      </c>
      <c r="AI309" s="7"/>
      <c r="AJ309" s="7" t="s">
        <v>4218</v>
      </c>
      <c r="AK309" s="7">
        <v>9.5063831200012E13</v>
      </c>
      <c r="AL309" s="7" t="s">
        <v>4219</v>
      </c>
      <c r="AM309" s="7" t="s">
        <v>4220</v>
      </c>
      <c r="AN309" s="20">
        <v>39575.0</v>
      </c>
      <c r="AO309" s="7">
        <v>97418.0</v>
      </c>
      <c r="AP309" s="7" t="s">
        <v>362</v>
      </c>
      <c r="AQ309" s="7"/>
      <c r="AR309" s="7"/>
      <c r="AS309" s="7"/>
      <c r="AT309" s="7"/>
      <c r="AU309" s="7">
        <v>0.0</v>
      </c>
      <c r="AV309" s="7" t="s">
        <v>4221</v>
      </c>
      <c r="AW309" s="7"/>
      <c r="AX309" s="7"/>
      <c r="AY309" s="7"/>
      <c r="AZ309" s="7"/>
      <c r="BA309" s="7"/>
      <c r="BB309" s="7"/>
      <c r="BC309" s="7" t="s">
        <v>401</v>
      </c>
      <c r="BD309" s="21">
        <v>44133.0</v>
      </c>
      <c r="BE309" s="7" t="s">
        <v>4222</v>
      </c>
      <c r="BF309" s="7"/>
      <c r="BG309" s="7"/>
      <c r="BH309" s="7">
        <v>9.50638312E8</v>
      </c>
      <c r="BI309" s="7" t="s">
        <v>4223</v>
      </c>
      <c r="BJ309" s="7"/>
      <c r="BK309" s="7" t="b">
        <v>0</v>
      </c>
      <c r="BL309" s="7" t="b">
        <v>0</v>
      </c>
      <c r="BM309" s="7"/>
      <c r="BN309" s="7" t="str">
        <f>IFERROR(__xludf.DUMMYFUNCTION(" IF( REGEXMATCH(C309 , ""[(].+[)]""),REGEXREPLACE( CONCATENATE(REGEXEXTRACT(C309 , ""[(].+[)]""),IF(REGEXMATCH(C309 , ""[(][Ll]['’][)]""),"""","" ""), REGEXEXTRACT(C309 ,""^(?:(?:[A-Za-zàäéèêîïöôûü0-9 ](?:[A-Za-zàäéèêîïöôûü'0-9 ]+)))"")) , ""[()]"", """")"&amp;",C309 )"),"Les Géraniums ")</f>
        <v>Les Géraniums </v>
      </c>
      <c r="BO309" s="25"/>
      <c r="BP309" s="7"/>
      <c r="BQ309" s="7"/>
      <c r="BR309" s="7"/>
      <c r="BS309" s="7"/>
      <c r="BT309" s="7"/>
      <c r="BU309" s="7"/>
      <c r="BV309" s="7"/>
      <c r="BW309" s="7"/>
      <c r="BX309" s="7"/>
      <c r="BY309" s="7"/>
      <c r="BZ309" s="7"/>
      <c r="CA309" s="7"/>
      <c r="CB309" s="7"/>
    </row>
    <row r="310" ht="21.75" customHeight="1">
      <c r="A310" s="7">
        <v>11.0</v>
      </c>
      <c r="B310" s="7" t="s">
        <v>4224</v>
      </c>
      <c r="C310" s="7" t="s">
        <v>4211</v>
      </c>
      <c r="D310" s="7" t="s">
        <v>4211</v>
      </c>
      <c r="E310" s="7"/>
      <c r="F310" s="7" t="s">
        <v>342</v>
      </c>
      <c r="G310" s="7" t="s">
        <v>343</v>
      </c>
      <c r="H310" s="7" t="s">
        <v>344</v>
      </c>
      <c r="I310" s="7" t="s">
        <v>4225</v>
      </c>
      <c r="J310" s="26" t="s">
        <v>4213</v>
      </c>
      <c r="K310" s="7" t="s">
        <v>58</v>
      </c>
      <c r="L310" s="7" t="s">
        <v>1141</v>
      </c>
      <c r="M310" s="7" t="s">
        <v>1141</v>
      </c>
      <c r="N310" s="7" t="s">
        <v>407</v>
      </c>
      <c r="O310" s="7">
        <v>97418.0</v>
      </c>
      <c r="P310" s="7" t="s">
        <v>348</v>
      </c>
      <c r="Q310" s="7" t="s">
        <v>349</v>
      </c>
      <c r="R310" s="7" t="s">
        <v>4226</v>
      </c>
      <c r="S310" s="7" t="s">
        <v>1094</v>
      </c>
      <c r="T310" s="7" t="s">
        <v>4227</v>
      </c>
      <c r="U310" s="7" t="s">
        <v>592</v>
      </c>
      <c r="V310" s="7">
        <v>2.62591106E8</v>
      </c>
      <c r="W310" s="7">
        <v>6.92709578E8</v>
      </c>
      <c r="X310" s="7"/>
      <c r="Y310" s="7">
        <v>2.62592183E8</v>
      </c>
      <c r="Z310" s="7" t="s">
        <v>4215</v>
      </c>
      <c r="AA310" s="7">
        <v>63.0</v>
      </c>
      <c r="AB310" s="7" t="s">
        <v>355</v>
      </c>
      <c r="AC310" s="7" t="s">
        <v>4228</v>
      </c>
      <c r="AD310" s="7" t="s">
        <v>4229</v>
      </c>
      <c r="AE310" s="7"/>
      <c r="AF310" s="7" t="s">
        <v>1173</v>
      </c>
      <c r="AG310" s="7"/>
      <c r="AH310" s="20">
        <v>39575.0</v>
      </c>
      <c r="AI310" s="7"/>
      <c r="AJ310" s="7" t="s">
        <v>4218</v>
      </c>
      <c r="AK310" s="7">
        <v>9.5063831200012E13</v>
      </c>
      <c r="AL310" s="7" t="s">
        <v>4219</v>
      </c>
      <c r="AM310" s="7" t="s">
        <v>4220</v>
      </c>
      <c r="AN310" s="20">
        <v>39575.0</v>
      </c>
      <c r="AO310" s="7">
        <v>97418.0</v>
      </c>
      <c r="AP310" s="7" t="s">
        <v>362</v>
      </c>
      <c r="AQ310" s="7"/>
      <c r="AR310" s="7"/>
      <c r="AS310" s="7"/>
      <c r="AT310" s="7"/>
      <c r="AU310" s="7">
        <v>23.0</v>
      </c>
      <c r="AV310" s="7" t="s">
        <v>4221</v>
      </c>
      <c r="AW310" s="7"/>
      <c r="AX310" s="7"/>
      <c r="AY310" s="7"/>
      <c r="AZ310" s="7" t="s">
        <v>4230</v>
      </c>
      <c r="BA310" s="7"/>
      <c r="BB310" s="7"/>
      <c r="BC310" s="7" t="s">
        <v>401</v>
      </c>
      <c r="BD310" s="21">
        <v>44134.0</v>
      </c>
      <c r="BE310" s="7" t="s">
        <v>4231</v>
      </c>
      <c r="BF310" s="7"/>
      <c r="BG310" s="7"/>
      <c r="BH310" s="7">
        <v>9.50638312E8</v>
      </c>
      <c r="BI310" s="7" t="s">
        <v>4223</v>
      </c>
      <c r="BJ310" s="7"/>
      <c r="BK310" s="7" t="b">
        <v>0</v>
      </c>
      <c r="BL310" s="7" t="b">
        <v>0</v>
      </c>
      <c r="BM310" s="7"/>
      <c r="BN310" s="7" t="str">
        <f>IFERROR(__xludf.DUMMYFUNCTION(" IF( REGEXMATCH(C310 , ""[(].+[)]""),REGEXREPLACE( CONCATENATE(REGEXEXTRACT(C310 , ""[(].+[)]""),IF(REGEXMATCH(C310 , ""[(][Ll]['’][)]""),"""","" ""), REGEXEXTRACT(C310 ,""^(?:(?:[A-Za-zàäéèêîïöôûü0-9 ](?:[A-Za-zàäéèêîïöôûü'0-9 ]+)))"")) , ""[()]"", """")"&amp;",C310 )"),"Les Géraniums ")</f>
        <v>Les Géraniums </v>
      </c>
      <c r="BO310" s="25"/>
      <c r="BP310" s="7"/>
      <c r="BQ310" s="7"/>
      <c r="BR310" s="7"/>
      <c r="BS310" s="7"/>
      <c r="BT310" s="7"/>
      <c r="BU310" s="7"/>
      <c r="BV310" s="7"/>
      <c r="BW310" s="7"/>
      <c r="BX310" s="7"/>
      <c r="BY310" s="7"/>
      <c r="BZ310" s="7"/>
      <c r="CA310" s="7"/>
      <c r="CB310" s="7"/>
    </row>
    <row r="311" ht="21.75" customHeight="1">
      <c r="A311" s="7">
        <v>2069.0</v>
      </c>
      <c r="B311" s="7">
        <v>310.0</v>
      </c>
      <c r="C311" s="7" t="s">
        <v>4232</v>
      </c>
      <c r="D311" s="7"/>
      <c r="E311" s="7"/>
      <c r="F311" s="7" t="s">
        <v>404</v>
      </c>
      <c r="G311" s="7" t="s">
        <v>343</v>
      </c>
      <c r="H311" s="7" t="s">
        <v>40</v>
      </c>
      <c r="I311" s="7" t="s">
        <v>4233</v>
      </c>
      <c r="J311" s="7"/>
      <c r="K311" s="6" t="s">
        <v>469</v>
      </c>
      <c r="L311" s="7" t="s">
        <v>197</v>
      </c>
      <c r="M311" s="7" t="s">
        <v>559</v>
      </c>
      <c r="N311" s="7" t="s">
        <v>422</v>
      </c>
      <c r="O311" s="7">
        <v>97414.0</v>
      </c>
      <c r="P311" s="7" t="s">
        <v>40</v>
      </c>
      <c r="Q311" s="7"/>
      <c r="R311" s="7"/>
      <c r="S311" s="7" t="s">
        <v>1534</v>
      </c>
      <c r="T311" s="7" t="s">
        <v>377</v>
      </c>
      <c r="U311" s="7" t="s">
        <v>353</v>
      </c>
      <c r="V311" s="7"/>
      <c r="W311" s="7">
        <v>6.9267591E8</v>
      </c>
      <c r="X311" s="7"/>
      <c r="Y311" s="7"/>
      <c r="Z311" s="7"/>
      <c r="AA311" s="7"/>
      <c r="AB311" s="7"/>
      <c r="AC311" s="7"/>
      <c r="AD311" s="7" t="s">
        <v>4234</v>
      </c>
      <c r="AE311" s="7"/>
      <c r="AF311" s="7" t="s">
        <v>1173</v>
      </c>
      <c r="AG311" s="7"/>
      <c r="AH311" s="20">
        <v>40093.0</v>
      </c>
      <c r="AI311" s="7"/>
      <c r="AJ311" s="7" t="s">
        <v>4232</v>
      </c>
      <c r="AK311" s="7"/>
      <c r="AL311" s="7" t="s">
        <v>4235</v>
      </c>
      <c r="AM311" s="7" t="s">
        <v>4236</v>
      </c>
      <c r="AN311" s="20">
        <v>43739.0</v>
      </c>
      <c r="AO311" s="7">
        <v>97414.0</v>
      </c>
      <c r="AP311" s="7" t="s">
        <v>429</v>
      </c>
      <c r="AQ311" s="7"/>
      <c r="AR311" s="7"/>
      <c r="AS311" s="7"/>
      <c r="AT311" s="7"/>
      <c r="AU311" s="7">
        <v>0.0</v>
      </c>
      <c r="AV311" s="7" t="s">
        <v>4237</v>
      </c>
      <c r="AW311" s="7"/>
      <c r="AX311" s="7"/>
      <c r="AY311" s="7"/>
      <c r="AZ311" s="7"/>
      <c r="BA311" s="7"/>
      <c r="BB311" s="7"/>
      <c r="BC311" s="7" t="s">
        <v>366</v>
      </c>
      <c r="BD311" s="21">
        <v>44115.17916666667</v>
      </c>
      <c r="BE311" s="7"/>
      <c r="BF311" s="7"/>
      <c r="BG311" s="22">
        <v>44115.0</v>
      </c>
      <c r="BH311" s="7"/>
      <c r="BI311" s="7" t="s">
        <v>1786</v>
      </c>
      <c r="BJ311" s="7"/>
      <c r="BK311" s="7" t="b">
        <v>0</v>
      </c>
      <c r="BL311" s="7" t="b">
        <v>0</v>
      </c>
      <c r="BM311" s="7"/>
      <c r="BN311" s="7" t="str">
        <f>IFERROR(__xludf.DUMMYFUNCTION(" IF( REGEXMATCH(C311 , ""[(].+[)]""),REGEXREPLACE( CONCATENATE(REGEXEXTRACT(C311 , ""[(].+[)]""),IF(REGEXMATCH(C311 , ""[(][Ll]['’][)]""),"""","" ""), REGEXEXTRACT(C311 ,""^(?:(?:[A-Za-zàäéèêîïöôûü0-9 ](?:[A-Za-zàäéèêîïöôûü'0-9 ]+)))"")) , ""[()]"", """")"&amp;",C311 )"),"Gironcel Guy")</f>
        <v>Gironcel Guy</v>
      </c>
      <c r="BO311" s="23"/>
      <c r="BP311" s="7"/>
      <c r="BQ311" s="7"/>
      <c r="BR311" s="7"/>
      <c r="BS311" s="7"/>
      <c r="BT311" s="7"/>
      <c r="BU311" s="7"/>
      <c r="BV311" s="7"/>
      <c r="BW311" s="7"/>
      <c r="BX311" s="7"/>
      <c r="BY311" s="7"/>
      <c r="BZ311" s="7"/>
      <c r="CA311" s="7"/>
      <c r="CB311" s="7"/>
    </row>
    <row r="312" ht="21.75" customHeight="1">
      <c r="A312" s="7">
        <v>3204.0</v>
      </c>
      <c r="B312" s="7">
        <v>311.0</v>
      </c>
      <c r="C312" s="7" t="s">
        <v>4238</v>
      </c>
      <c r="D312" s="7" t="s">
        <v>4239</v>
      </c>
      <c r="E312" s="7"/>
      <c r="F312" s="7" t="s">
        <v>404</v>
      </c>
      <c r="G312" s="7" t="s">
        <v>343</v>
      </c>
      <c r="H312" s="7" t="s">
        <v>123</v>
      </c>
      <c r="I312" s="7" t="s">
        <v>4240</v>
      </c>
      <c r="J312" s="26" t="s">
        <v>4241</v>
      </c>
      <c r="K312" s="7" t="s">
        <v>34</v>
      </c>
      <c r="L312" s="7" t="s">
        <v>485</v>
      </c>
      <c r="M312" s="7" t="s">
        <v>486</v>
      </c>
      <c r="N312" s="7" t="s">
        <v>407</v>
      </c>
      <c r="O312" s="7">
        <v>97480.0</v>
      </c>
      <c r="P312" s="7" t="s">
        <v>123</v>
      </c>
      <c r="Q312" s="7" t="s">
        <v>2879</v>
      </c>
      <c r="R312" s="7" t="s">
        <v>1153</v>
      </c>
      <c r="S312" s="7" t="s">
        <v>865</v>
      </c>
      <c r="T312" s="7" t="s">
        <v>377</v>
      </c>
      <c r="U312" s="7" t="s">
        <v>353</v>
      </c>
      <c r="V312" s="7">
        <v>2.62561444E8</v>
      </c>
      <c r="W312" s="7">
        <v>6.92001245E8</v>
      </c>
      <c r="X312" s="7"/>
      <c r="Y312" s="7"/>
      <c r="Z312" s="7"/>
      <c r="AA312" s="7">
        <v>30.0</v>
      </c>
      <c r="AB312" s="7"/>
      <c r="AC312" s="7" t="s">
        <v>4242</v>
      </c>
      <c r="AD312" s="7" t="s">
        <v>4243</v>
      </c>
      <c r="AE312" s="7" t="s">
        <v>4244</v>
      </c>
      <c r="AF312" s="7"/>
      <c r="AG312" s="7"/>
      <c r="AH312" s="20">
        <v>41073.0</v>
      </c>
      <c r="AI312" s="7"/>
      <c r="AJ312" s="7" t="s">
        <v>4238</v>
      </c>
      <c r="AK312" s="7">
        <v>3.8807616800029E13</v>
      </c>
      <c r="AL312" s="7" t="s">
        <v>4245</v>
      </c>
      <c r="AM312" s="7" t="s">
        <v>4246</v>
      </c>
      <c r="AN312" s="20">
        <v>39575.0</v>
      </c>
      <c r="AO312" s="7">
        <v>97480.0</v>
      </c>
      <c r="AP312" s="7" t="s">
        <v>385</v>
      </c>
      <c r="AQ312" s="7"/>
      <c r="AR312" s="7"/>
      <c r="AS312" s="7"/>
      <c r="AT312" s="7"/>
      <c r="AU312" s="7">
        <v>0.0</v>
      </c>
      <c r="AV312" s="7" t="s">
        <v>4247</v>
      </c>
      <c r="AW312" s="7"/>
      <c r="AX312" s="7"/>
      <c r="AY312" s="7"/>
      <c r="AZ312" s="7"/>
      <c r="BA312" s="7"/>
      <c r="BB312" s="7"/>
      <c r="BC312" s="7" t="s">
        <v>366</v>
      </c>
      <c r="BD312" s="21">
        <v>44197.0</v>
      </c>
      <c r="BE312" s="7"/>
      <c r="BF312" s="7"/>
      <c r="BG312" s="22">
        <v>44197.0</v>
      </c>
      <c r="BH312" s="7">
        <v>3.88076168E8</v>
      </c>
      <c r="BI312" s="7" t="s">
        <v>4248</v>
      </c>
      <c r="BJ312" s="7"/>
      <c r="BK312" s="7" t="b">
        <v>0</v>
      </c>
      <c r="BL312" s="7" t="b">
        <v>0</v>
      </c>
      <c r="BM312" s="7"/>
      <c r="BN312" s="7" t="str">
        <f>IFERROR(__xludf.DUMMYFUNCTION(" IF( REGEXMATCH(C312 , ""[(].+[)]""),REGEXREPLACE( CONCATENATE(REGEXEXTRACT(C312 , ""[(].+[)]""),IF(REGEXMATCH(C312 , ""[(][Ll]['’][)]""),"""","" ""), REGEXEXTRACT(C312 ,""^(?:(?:[A-Za-zàäéèêîïöôûü0-9 ](?:[A-Za-zàäéèêîïöôûü'0-9 ]+)))"")) , ""[()]"", """")"&amp;",C312 )"),"Gîte Chan Chit Sang Jean Pierre")</f>
        <v>Gîte Chan Chit Sang Jean Pierre</v>
      </c>
      <c r="BO312" s="23"/>
      <c r="BP312" s="7"/>
      <c r="BQ312" s="7"/>
      <c r="BR312" s="7"/>
      <c r="BS312" s="7"/>
      <c r="BT312" s="7"/>
      <c r="BU312" s="7"/>
      <c r="BV312" s="7"/>
      <c r="BW312" s="7"/>
      <c r="BX312" s="7"/>
      <c r="BY312" s="7"/>
      <c r="BZ312" s="7"/>
      <c r="CA312" s="7"/>
      <c r="CB312" s="7"/>
    </row>
    <row r="313" ht="21.75" customHeight="1">
      <c r="A313" s="7">
        <v>3203.0</v>
      </c>
      <c r="B313" s="7">
        <v>312.0</v>
      </c>
      <c r="C313" s="7" t="s">
        <v>4238</v>
      </c>
      <c r="D313" s="7" t="s">
        <v>4249</v>
      </c>
      <c r="E313" s="7"/>
      <c r="F313" s="7" t="s">
        <v>404</v>
      </c>
      <c r="G313" s="7" t="s">
        <v>343</v>
      </c>
      <c r="H313" s="7" t="s">
        <v>123</v>
      </c>
      <c r="I313" s="7" t="s">
        <v>4240</v>
      </c>
      <c r="J313" s="26" t="s">
        <v>4241</v>
      </c>
      <c r="K313" s="7" t="s">
        <v>58</v>
      </c>
      <c r="L313" s="7" t="s">
        <v>59</v>
      </c>
      <c r="M313" s="7" t="s">
        <v>2343</v>
      </c>
      <c r="N313" s="7" t="s">
        <v>407</v>
      </c>
      <c r="O313" s="7">
        <v>97480.0</v>
      </c>
      <c r="P313" s="7" t="s">
        <v>123</v>
      </c>
      <c r="Q313" s="7" t="s">
        <v>2879</v>
      </c>
      <c r="R313" s="7" t="s">
        <v>487</v>
      </c>
      <c r="S313" s="7" t="s">
        <v>865</v>
      </c>
      <c r="T313" s="7" t="s">
        <v>377</v>
      </c>
      <c r="U313" s="7" t="s">
        <v>353</v>
      </c>
      <c r="V313" s="7">
        <v>2.62561444E8</v>
      </c>
      <c r="W313" s="7">
        <v>6.92001245E8</v>
      </c>
      <c r="X313" s="7"/>
      <c r="Y313" s="7"/>
      <c r="Z313" s="7"/>
      <c r="AA313" s="7">
        <v>6.0</v>
      </c>
      <c r="AB313" s="7"/>
      <c r="AC313" s="7" t="s">
        <v>4242</v>
      </c>
      <c r="AD313" s="7" t="s">
        <v>4250</v>
      </c>
      <c r="AE313" s="7" t="s">
        <v>4244</v>
      </c>
      <c r="AF313" s="7"/>
      <c r="AG313" s="7"/>
      <c r="AH313" s="20">
        <v>41073.0</v>
      </c>
      <c r="AI313" s="7"/>
      <c r="AJ313" s="7" t="s">
        <v>4238</v>
      </c>
      <c r="AK313" s="7">
        <v>3.8807616800029E13</v>
      </c>
      <c r="AL313" s="7" t="s">
        <v>4245</v>
      </c>
      <c r="AM313" s="7" t="s">
        <v>4246</v>
      </c>
      <c r="AN313" s="20">
        <v>39575.0</v>
      </c>
      <c r="AO313" s="7">
        <v>97480.0</v>
      </c>
      <c r="AP313" s="7" t="s">
        <v>385</v>
      </c>
      <c r="AQ313" s="7"/>
      <c r="AR313" s="7"/>
      <c r="AS313" s="7"/>
      <c r="AT313" s="7"/>
      <c r="AU313" s="7">
        <v>3.0</v>
      </c>
      <c r="AV313" s="7" t="s">
        <v>4247</v>
      </c>
      <c r="AW313" s="7"/>
      <c r="AX313" s="7"/>
      <c r="AY313" s="7"/>
      <c r="AZ313" s="7"/>
      <c r="BA313" s="7"/>
      <c r="BB313" s="7"/>
      <c r="BC313" s="7" t="s">
        <v>366</v>
      </c>
      <c r="BD313" s="21">
        <v>44197.0</v>
      </c>
      <c r="BE313" s="7"/>
      <c r="BF313" s="7"/>
      <c r="BG313" s="22">
        <v>44197.0</v>
      </c>
      <c r="BH313" s="7">
        <v>3.88076168E8</v>
      </c>
      <c r="BI313" s="7" t="s">
        <v>4248</v>
      </c>
      <c r="BJ313" s="7"/>
      <c r="BK313" s="7" t="b">
        <v>0</v>
      </c>
      <c r="BL313" s="7" t="b">
        <v>0</v>
      </c>
      <c r="BM313" s="7"/>
      <c r="BN313" s="7" t="str">
        <f>IFERROR(__xludf.DUMMYFUNCTION(" IF( REGEXMATCH(C313 , ""[(].+[)]""),REGEXREPLACE( CONCATENATE(REGEXEXTRACT(C313 , ""[(].+[)]""),IF(REGEXMATCH(C313 , ""[(][Ll]['’][)]""),"""","" ""), REGEXEXTRACT(C313 ,""^(?:(?:[A-Za-zàäéèêîïöôûü0-9 ](?:[A-Za-zàäéèêîïöôûü'0-9 ]+)))"")) , ""[()]"", """")"&amp;",C313 )"),"Gîte Chan Chit Sang Jean Pierre")</f>
        <v>Gîte Chan Chit Sang Jean Pierre</v>
      </c>
      <c r="BO313" s="23"/>
      <c r="BP313" s="7"/>
      <c r="BQ313" s="7"/>
      <c r="BR313" s="7"/>
      <c r="BS313" s="7"/>
      <c r="BT313" s="7"/>
      <c r="BU313" s="7"/>
      <c r="BV313" s="7"/>
      <c r="BW313" s="7"/>
      <c r="BX313" s="7"/>
      <c r="BY313" s="7"/>
      <c r="BZ313" s="7"/>
      <c r="CA313" s="7"/>
      <c r="CB313" s="7"/>
    </row>
    <row r="314" ht="21.75" customHeight="1">
      <c r="A314" s="7">
        <v>953.0</v>
      </c>
      <c r="B314" s="7">
        <v>313.0</v>
      </c>
      <c r="C314" s="7" t="s">
        <v>4238</v>
      </c>
      <c r="D314" s="7" t="s">
        <v>4249</v>
      </c>
      <c r="E314" s="7"/>
      <c r="F314" s="7" t="s">
        <v>404</v>
      </c>
      <c r="G314" s="7" t="s">
        <v>343</v>
      </c>
      <c r="H314" s="7" t="s">
        <v>123</v>
      </c>
      <c r="I314" s="7" t="s">
        <v>4240</v>
      </c>
      <c r="J314" s="26" t="s">
        <v>4241</v>
      </c>
      <c r="K314" s="7" t="s">
        <v>58</v>
      </c>
      <c r="L314" s="7" t="s">
        <v>137</v>
      </c>
      <c r="M314" s="7" t="s">
        <v>2280</v>
      </c>
      <c r="N314" s="7" t="s">
        <v>1092</v>
      </c>
      <c r="O314" s="7">
        <v>97480.0</v>
      </c>
      <c r="P314" s="7" t="s">
        <v>123</v>
      </c>
      <c r="Q314" s="7" t="s">
        <v>2879</v>
      </c>
      <c r="R314" s="7" t="s">
        <v>487</v>
      </c>
      <c r="S314" s="7" t="s">
        <v>865</v>
      </c>
      <c r="T314" s="7" t="s">
        <v>648</v>
      </c>
      <c r="U314" s="7" t="s">
        <v>353</v>
      </c>
      <c r="V314" s="7">
        <v>2.62561444E8</v>
      </c>
      <c r="W314" s="7">
        <v>6.92001245E8</v>
      </c>
      <c r="X314" s="7"/>
      <c r="Y314" s="7"/>
      <c r="Z314" s="7"/>
      <c r="AA314" s="7">
        <v>15.0</v>
      </c>
      <c r="AB314" s="7"/>
      <c r="AC314" s="7" t="s">
        <v>4251</v>
      </c>
      <c r="AD314" s="7" t="s">
        <v>4252</v>
      </c>
      <c r="AE314" s="7" t="s">
        <v>4244</v>
      </c>
      <c r="AF314" s="7"/>
      <c r="AG314" s="7"/>
      <c r="AH314" s="20">
        <v>39575.0</v>
      </c>
      <c r="AI314" s="7"/>
      <c r="AJ314" s="7" t="s">
        <v>4238</v>
      </c>
      <c r="AK314" s="7">
        <v>3.8807616800029E13</v>
      </c>
      <c r="AL314" s="7" t="s">
        <v>4245</v>
      </c>
      <c r="AM314" s="7" t="s">
        <v>4246</v>
      </c>
      <c r="AN314" s="20">
        <v>39575.0</v>
      </c>
      <c r="AO314" s="7">
        <v>97480.0</v>
      </c>
      <c r="AP314" s="7" t="s">
        <v>385</v>
      </c>
      <c r="AQ314" s="7"/>
      <c r="AR314" s="7"/>
      <c r="AS314" s="7"/>
      <c r="AT314" s="7"/>
      <c r="AU314" s="7">
        <v>1.0</v>
      </c>
      <c r="AV314" s="7" t="s">
        <v>4247</v>
      </c>
      <c r="AW314" s="7"/>
      <c r="AX314" s="7"/>
      <c r="AY314" s="7"/>
      <c r="AZ314" s="7"/>
      <c r="BA314" s="7"/>
      <c r="BB314" s="7"/>
      <c r="BC314" s="7" t="s">
        <v>366</v>
      </c>
      <c r="BD314" s="21">
        <v>44197.0</v>
      </c>
      <c r="BE314" s="7"/>
      <c r="BF314" s="7"/>
      <c r="BG314" s="22">
        <v>44197.0</v>
      </c>
      <c r="BH314" s="7">
        <v>3.88076168E8</v>
      </c>
      <c r="BI314" s="7" t="s">
        <v>4248</v>
      </c>
      <c r="BJ314" s="7"/>
      <c r="BK314" s="7" t="b">
        <v>0</v>
      </c>
      <c r="BL314" s="7" t="b">
        <v>0</v>
      </c>
      <c r="BM314" s="7"/>
      <c r="BN314" s="7" t="str">
        <f>IFERROR(__xludf.DUMMYFUNCTION(" IF( REGEXMATCH(C314 , ""[(].+[)]""),REGEXREPLACE( CONCATENATE(REGEXEXTRACT(C314 , ""[(].+[)]""),IF(REGEXMATCH(C314 , ""[(][Ll]['’][)]""),"""","" ""), REGEXEXTRACT(C314 ,""^(?:(?:[A-Za-zàäéèêîïöôûü0-9 ](?:[A-Za-zàäéèêîïöôûü'0-9 ]+)))"")) , ""[()]"", """")"&amp;",C314 )"),"Gîte Chan Chit Sang Jean Pierre")</f>
        <v>Gîte Chan Chit Sang Jean Pierre</v>
      </c>
      <c r="BO314" s="23"/>
      <c r="BP314" s="7"/>
      <c r="BQ314" s="7"/>
      <c r="BR314" s="7"/>
      <c r="BS314" s="7"/>
      <c r="BT314" s="7"/>
      <c r="BU314" s="7"/>
      <c r="BV314" s="7"/>
      <c r="BW314" s="7"/>
      <c r="BX314" s="7"/>
      <c r="BY314" s="7"/>
      <c r="BZ314" s="7"/>
      <c r="CA314" s="7"/>
      <c r="CB314" s="7"/>
    </row>
    <row r="315" ht="21.75" customHeight="1">
      <c r="A315" s="7">
        <v>1538.0</v>
      </c>
      <c r="B315" s="7" t="s">
        <v>4253</v>
      </c>
      <c r="C315" s="7" t="s">
        <v>4254</v>
      </c>
      <c r="D315" s="7" t="s">
        <v>4254</v>
      </c>
      <c r="E315" s="7"/>
      <c r="F315" s="7" t="s">
        <v>342</v>
      </c>
      <c r="G315" s="7" t="s">
        <v>343</v>
      </c>
      <c r="H315" s="7" t="s">
        <v>344</v>
      </c>
      <c r="I315" s="7" t="s">
        <v>4255</v>
      </c>
      <c r="J315" s="26" t="s">
        <v>4256</v>
      </c>
      <c r="K315" s="7" t="s">
        <v>58</v>
      </c>
      <c r="L315" s="7" t="s">
        <v>137</v>
      </c>
      <c r="M315" s="7" t="s">
        <v>2280</v>
      </c>
      <c r="N315" s="7" t="s">
        <v>569</v>
      </c>
      <c r="O315" s="7">
        <v>97418.0</v>
      </c>
      <c r="P315" s="7" t="s">
        <v>348</v>
      </c>
      <c r="Q315" s="7" t="s">
        <v>570</v>
      </c>
      <c r="R315" s="7" t="s">
        <v>4257</v>
      </c>
      <c r="S315" s="7"/>
      <c r="T315" s="7" t="s">
        <v>377</v>
      </c>
      <c r="U315" s="7" t="s">
        <v>592</v>
      </c>
      <c r="V315" s="7">
        <v>2.62591502E8</v>
      </c>
      <c r="W315" s="7">
        <v>6.92078083E8</v>
      </c>
      <c r="X315" s="7"/>
      <c r="Y315" s="7"/>
      <c r="Z315" s="7" t="s">
        <v>4258</v>
      </c>
      <c r="AA315" s="7">
        <v>20.0</v>
      </c>
      <c r="AB315" s="7"/>
      <c r="AC315" s="7" t="s">
        <v>4259</v>
      </c>
      <c r="AD315" s="7" t="s">
        <v>4260</v>
      </c>
      <c r="AE315" s="7" t="s">
        <v>4261</v>
      </c>
      <c r="AF315" s="7" t="s">
        <v>1173</v>
      </c>
      <c r="AG315" s="7"/>
      <c r="AH315" s="20">
        <v>43739.0</v>
      </c>
      <c r="AI315" s="7"/>
      <c r="AJ315" s="7" t="s">
        <v>4262</v>
      </c>
      <c r="AK315" s="7">
        <v>4.3916377500026E13</v>
      </c>
      <c r="AL315" s="7" t="s">
        <v>4263</v>
      </c>
      <c r="AM315" s="7" t="s">
        <v>4264</v>
      </c>
      <c r="AN315" s="20">
        <v>43739.0</v>
      </c>
      <c r="AO315" s="7">
        <v>97418.0</v>
      </c>
      <c r="AP315" s="7" t="s">
        <v>362</v>
      </c>
      <c r="AQ315" s="7"/>
      <c r="AR315" s="7"/>
      <c r="AS315" s="7"/>
      <c r="AT315" s="7"/>
      <c r="AU315" s="7">
        <v>4.0</v>
      </c>
      <c r="AV315" s="7" t="s">
        <v>4265</v>
      </c>
      <c r="AW315" s="7"/>
      <c r="AX315" s="7" t="s">
        <v>4266</v>
      </c>
      <c r="AY315" s="7" t="s">
        <v>1590</v>
      </c>
      <c r="AZ315" s="7" t="s">
        <v>4267</v>
      </c>
      <c r="BA315" s="7"/>
      <c r="BB315" s="7"/>
      <c r="BC315" s="7" t="s">
        <v>401</v>
      </c>
      <c r="BD315" s="21">
        <v>44140.0</v>
      </c>
      <c r="BE315" s="7" t="s">
        <v>4268</v>
      </c>
      <c r="BF315" s="7"/>
      <c r="BG315" s="7"/>
      <c r="BH315" s="7">
        <v>4.39163775E8</v>
      </c>
      <c r="BI315" s="7" t="s">
        <v>1504</v>
      </c>
      <c r="BJ315" s="7"/>
      <c r="BK315" s="7" t="b">
        <v>0</v>
      </c>
      <c r="BL315" s="7" t="b">
        <v>0</v>
      </c>
      <c r="BM315" s="7"/>
      <c r="BN315" s="7" t="str">
        <f>IFERROR(__xludf.DUMMYFUNCTION(" IF( REGEXMATCH(C315 , ""[(].+[)]""),REGEXREPLACE( CONCATENATE(REGEXEXTRACT(C315 , ""[(].+[)]""),IF(REGEXMATCH(C315 , ""[(][Ll]['’][)]""),"""","" ""), REGEXEXTRACT(C315 ,""^(?:(?:[A-Za-zàäéèêîïöôûü0-9 ](?:[A-Za-zàäéèêîïöôûü'0-9 ]+)))"")) , ""[()]"", """")"&amp;",C315 )"),"Gîte de Bellevue")</f>
        <v>Gîte de Bellevue</v>
      </c>
      <c r="BO315" s="25"/>
      <c r="BP315" s="7"/>
      <c r="BQ315" s="7"/>
      <c r="BR315" s="7"/>
      <c r="BS315" s="7"/>
      <c r="BT315" s="7"/>
      <c r="BU315" s="7"/>
      <c r="BV315" s="7"/>
      <c r="BW315" s="7"/>
      <c r="BX315" s="7"/>
      <c r="BY315" s="7"/>
      <c r="BZ315" s="7"/>
      <c r="CA315" s="7"/>
      <c r="CB315" s="7"/>
    </row>
    <row r="316" ht="21.75" customHeight="1">
      <c r="A316" s="7">
        <v>3874.0</v>
      </c>
      <c r="B316" s="7" t="s">
        <v>4269</v>
      </c>
      <c r="C316" s="7" t="s">
        <v>4270</v>
      </c>
      <c r="D316" s="7"/>
      <c r="E316" s="7"/>
      <c r="F316" s="7" t="s">
        <v>342</v>
      </c>
      <c r="G316" s="7" t="s">
        <v>343</v>
      </c>
      <c r="H316" s="7" t="s">
        <v>344</v>
      </c>
      <c r="I316" s="7" t="s">
        <v>4271</v>
      </c>
      <c r="J316" s="26" t="s">
        <v>4272</v>
      </c>
      <c r="K316" s="7" t="s">
        <v>58</v>
      </c>
      <c r="L316" s="7" t="s">
        <v>137</v>
      </c>
      <c r="M316" s="7" t="s">
        <v>1091</v>
      </c>
      <c r="N316" s="7" t="s">
        <v>1092</v>
      </c>
      <c r="O316" s="7">
        <v>97418.0</v>
      </c>
      <c r="P316" s="7" t="s">
        <v>348</v>
      </c>
      <c r="Q316" s="7" t="s">
        <v>570</v>
      </c>
      <c r="R316" s="7" t="s">
        <v>2388</v>
      </c>
      <c r="S316" s="7" t="s">
        <v>4273</v>
      </c>
      <c r="T316" s="7" t="s">
        <v>377</v>
      </c>
      <c r="U316" s="7" t="s">
        <v>4274</v>
      </c>
      <c r="V316" s="7">
        <v>2.62592975E8</v>
      </c>
      <c r="W316" s="7">
        <v>6.92228988E8</v>
      </c>
      <c r="X316" s="7"/>
      <c r="Y316" s="7"/>
      <c r="Z316" s="7" t="s">
        <v>4275</v>
      </c>
      <c r="AA316" s="7">
        <v>14.0</v>
      </c>
      <c r="AB316" s="7"/>
      <c r="AC316" s="7" t="s">
        <v>4276</v>
      </c>
      <c r="AD316" s="7" t="s">
        <v>4277</v>
      </c>
      <c r="AE316" s="7" t="s">
        <v>4278</v>
      </c>
      <c r="AF316" s="7" t="s">
        <v>1173</v>
      </c>
      <c r="AG316" s="7"/>
      <c r="AH316" s="20">
        <v>42164.0</v>
      </c>
      <c r="AI316" s="7"/>
      <c r="AJ316" s="7" t="s">
        <v>4279</v>
      </c>
      <c r="AK316" s="7">
        <v>4.4941595900013E13</v>
      </c>
      <c r="AL316" s="7" t="s">
        <v>4280</v>
      </c>
      <c r="AM316" s="7" t="s">
        <v>4281</v>
      </c>
      <c r="AN316" s="20">
        <v>42164.0</v>
      </c>
      <c r="AO316" s="7">
        <v>97418.0</v>
      </c>
      <c r="AP316" s="7" t="s">
        <v>362</v>
      </c>
      <c r="AQ316" s="7"/>
      <c r="AR316" s="7"/>
      <c r="AS316" s="7"/>
      <c r="AT316" s="7"/>
      <c r="AU316" s="7">
        <v>2.0</v>
      </c>
      <c r="AV316" s="7" t="s">
        <v>4282</v>
      </c>
      <c r="AW316" s="7"/>
      <c r="AX316" s="7" t="s">
        <v>4283</v>
      </c>
      <c r="AY316" s="7" t="s">
        <v>1590</v>
      </c>
      <c r="AZ316" s="7" t="s">
        <v>4284</v>
      </c>
      <c r="BA316" s="7"/>
      <c r="BB316" s="7"/>
      <c r="BC316" s="7" t="s">
        <v>401</v>
      </c>
      <c r="BD316" s="21">
        <v>44141.0</v>
      </c>
      <c r="BE316" s="7" t="s">
        <v>4285</v>
      </c>
      <c r="BF316" s="7"/>
      <c r="BG316" s="7"/>
      <c r="BH316" s="7">
        <v>4.49415959E8</v>
      </c>
      <c r="BI316" s="7" t="s">
        <v>4286</v>
      </c>
      <c r="BJ316" s="7"/>
      <c r="BK316" s="7" t="b">
        <v>0</v>
      </c>
      <c r="BL316" s="7" t="b">
        <v>0</v>
      </c>
      <c r="BM316" s="7"/>
      <c r="BN316" s="7" t="str">
        <f>IFERROR(__xludf.DUMMYFUNCTION(" IF( REGEXMATCH(C316 , ""[(].+[)]""),REGEXREPLACE( CONCATENATE(REGEXEXTRACT(C316 , ""[(].+[)]""),IF(REGEXMATCH(C316 , ""[(][Ll]['’][)]""),"""","" ""), REGEXEXTRACT(C316 ,""^(?:(?:[A-Za-zàäéèêîïöôûü0-9 ](?:[A-Za-zàäéèêîïöôûü'0-9 ]+)))"")) , ""[()]"", """")"&amp;",C316 )"),"Gîte de la Fournaise")</f>
        <v>Gîte de la Fournaise</v>
      </c>
      <c r="BO316" s="25"/>
      <c r="BP316" s="7"/>
      <c r="BQ316" s="7"/>
      <c r="BR316" s="7"/>
      <c r="BS316" s="7"/>
      <c r="BT316" s="7"/>
      <c r="BU316" s="7"/>
      <c r="BV316" s="7"/>
      <c r="BW316" s="7"/>
      <c r="BX316" s="7"/>
      <c r="BY316" s="7"/>
      <c r="BZ316" s="7"/>
      <c r="CA316" s="7"/>
      <c r="CB316" s="7"/>
    </row>
    <row r="317" ht="21.75" customHeight="1">
      <c r="A317" s="7">
        <v>3196.0</v>
      </c>
      <c r="B317" s="7">
        <v>316.0</v>
      </c>
      <c r="C317" s="7" t="s">
        <v>4287</v>
      </c>
      <c r="D317" s="7" t="s">
        <v>4288</v>
      </c>
      <c r="E317" s="7"/>
      <c r="F317" s="7" t="s">
        <v>342</v>
      </c>
      <c r="G317" s="7" t="s">
        <v>343</v>
      </c>
      <c r="H317" s="7" t="s">
        <v>344</v>
      </c>
      <c r="I317" s="7" t="s">
        <v>4289</v>
      </c>
      <c r="J317" s="26" t="s">
        <v>4290</v>
      </c>
      <c r="K317" s="7" t="s">
        <v>58</v>
      </c>
      <c r="L317" s="7" t="s">
        <v>59</v>
      </c>
      <c r="M317" s="7" t="s">
        <v>545</v>
      </c>
      <c r="N317" s="7" t="s">
        <v>4291</v>
      </c>
      <c r="O317" s="7">
        <v>97418.0</v>
      </c>
      <c r="P317" s="7" t="s">
        <v>348</v>
      </c>
      <c r="Q317" s="7" t="s">
        <v>349</v>
      </c>
      <c r="R317" s="7" t="s">
        <v>4292</v>
      </c>
      <c r="S317" s="7" t="s">
        <v>3815</v>
      </c>
      <c r="T317" s="7" t="s">
        <v>352</v>
      </c>
      <c r="U317" s="7" t="s">
        <v>353</v>
      </c>
      <c r="V317" s="7">
        <v>2.62451105E8</v>
      </c>
      <c r="W317" s="7">
        <v>6.9269838E8</v>
      </c>
      <c r="X317" s="7"/>
      <c r="Y317" s="7">
        <v>2.62451105E8</v>
      </c>
      <c r="Z317" s="7" t="s">
        <v>4293</v>
      </c>
      <c r="AA317" s="7">
        <v>8.0</v>
      </c>
      <c r="AB317" s="7"/>
      <c r="AC317" s="7" t="s">
        <v>4294</v>
      </c>
      <c r="AD317" s="7" t="s">
        <v>4295</v>
      </c>
      <c r="AE317" s="7" t="s">
        <v>4296</v>
      </c>
      <c r="AF317" s="7"/>
      <c r="AG317" s="7"/>
      <c r="AH317" s="20">
        <v>41060.0</v>
      </c>
      <c r="AI317" s="7"/>
      <c r="AJ317" s="7" t="s">
        <v>4297</v>
      </c>
      <c r="AK317" s="7"/>
      <c r="AL317" s="7" t="s">
        <v>4298</v>
      </c>
      <c r="AM317" s="7" t="s">
        <v>4299</v>
      </c>
      <c r="AN317" s="20">
        <v>39575.0</v>
      </c>
      <c r="AO317" s="7">
        <v>97460.0</v>
      </c>
      <c r="AP317" s="7" t="s">
        <v>2100</v>
      </c>
      <c r="AQ317" s="7"/>
      <c r="AR317" s="7"/>
      <c r="AS317" s="7"/>
      <c r="AT317" s="7"/>
      <c r="AU317" s="7">
        <v>1.0</v>
      </c>
      <c r="AV317" s="7" t="s">
        <v>4300</v>
      </c>
      <c r="AW317" s="7"/>
      <c r="AX317" s="7"/>
      <c r="AY317" s="7"/>
      <c r="AZ317" s="7" t="s">
        <v>4301</v>
      </c>
      <c r="BA317" s="7"/>
      <c r="BB317" s="7"/>
      <c r="BC317" s="7" t="s">
        <v>366</v>
      </c>
      <c r="BD317" s="21">
        <v>44197.0</v>
      </c>
      <c r="BE317" s="7"/>
      <c r="BF317" s="7"/>
      <c r="BG317" s="22">
        <v>44197.0</v>
      </c>
      <c r="BH317" s="7"/>
      <c r="BI317" s="7" t="s">
        <v>4286</v>
      </c>
      <c r="BJ317" s="7"/>
      <c r="BK317" s="7" t="b">
        <v>0</v>
      </c>
      <c r="BL317" s="7" t="b">
        <v>0</v>
      </c>
      <c r="BM317" s="7"/>
      <c r="BN317" s="7" t="str">
        <f>IFERROR(__xludf.DUMMYFUNCTION(" IF( REGEXMATCH(C317 , ""[(].+[)]""),REGEXREPLACE( CONCATENATE(REGEXEXTRACT(C317 , ""[(].+[)]""),IF(REGEXMATCH(C317 , ""[(][Ll]['’][)]""),"""","" ""), REGEXEXTRACT(C317 ,""^(?:(?:[A-Za-zàäéèêîïöôûü0-9 ](?:[A-Za-zàäéèêîïöôûü'0-9 ]+)))"")) , ""[()]"", """")"&amp;",C317 )"),"Gîte de la Plaine")</f>
        <v>Gîte de la Plaine</v>
      </c>
      <c r="BO317" s="23"/>
      <c r="BP317" s="7"/>
      <c r="BQ317" s="7"/>
      <c r="BR317" s="7"/>
      <c r="BS317" s="7"/>
      <c r="BT317" s="7"/>
      <c r="BU317" s="7"/>
      <c r="BV317" s="7"/>
      <c r="BW317" s="7"/>
      <c r="BX317" s="7"/>
      <c r="BY317" s="7"/>
      <c r="BZ317" s="7"/>
      <c r="CA317" s="7"/>
      <c r="CB317" s="7"/>
    </row>
    <row r="318" ht="21.75" customHeight="1">
      <c r="A318" s="7">
        <v>768.0</v>
      </c>
      <c r="B318" s="7" t="s">
        <v>4302</v>
      </c>
      <c r="C318" s="7" t="s">
        <v>4303</v>
      </c>
      <c r="D318" s="7" t="s">
        <v>4304</v>
      </c>
      <c r="E318" s="7"/>
      <c r="F318" s="7" t="s">
        <v>342</v>
      </c>
      <c r="G318" s="7" t="s">
        <v>343</v>
      </c>
      <c r="H318" s="7" t="s">
        <v>123</v>
      </c>
      <c r="I318" s="7" t="s">
        <v>4305</v>
      </c>
      <c r="J318" s="7"/>
      <c r="K318" s="7" t="s">
        <v>58</v>
      </c>
      <c r="L318" s="7" t="s">
        <v>137</v>
      </c>
      <c r="M318" s="7" t="s">
        <v>1091</v>
      </c>
      <c r="N318" s="7" t="s">
        <v>4306</v>
      </c>
      <c r="O318" s="7">
        <v>97480.0</v>
      </c>
      <c r="P318" s="7" t="s">
        <v>123</v>
      </c>
      <c r="Q318" s="7"/>
      <c r="R318" s="7" t="s">
        <v>4307</v>
      </c>
      <c r="S318" s="7" t="s">
        <v>4308</v>
      </c>
      <c r="T318" s="7" t="s">
        <v>499</v>
      </c>
      <c r="U318" s="7" t="s">
        <v>353</v>
      </c>
      <c r="V318" s="7">
        <v>2.62591394E8</v>
      </c>
      <c r="W318" s="7">
        <v>6.92683532E8</v>
      </c>
      <c r="X318" s="7"/>
      <c r="Y318" s="7"/>
      <c r="Z318" s="7" t="s">
        <v>4309</v>
      </c>
      <c r="AA318" s="7">
        <v>31.0</v>
      </c>
      <c r="AB318" s="7"/>
      <c r="AC318" s="7" t="s">
        <v>4310</v>
      </c>
      <c r="AD318" s="7" t="s">
        <v>4311</v>
      </c>
      <c r="AE318" s="7" t="s">
        <v>4312</v>
      </c>
      <c r="AF318" s="7"/>
      <c r="AG318" s="7"/>
      <c r="AH318" s="20">
        <v>39575.0</v>
      </c>
      <c r="AI318" s="7"/>
      <c r="AJ318" s="7" t="s">
        <v>4313</v>
      </c>
      <c r="AK318" s="7">
        <v>4.3909520900029E13</v>
      </c>
      <c r="AL318" s="7" t="s">
        <v>4314</v>
      </c>
      <c r="AM318" s="7" t="s">
        <v>4315</v>
      </c>
      <c r="AN318" s="20">
        <v>39575.0</v>
      </c>
      <c r="AO318" s="7">
        <v>97480.0</v>
      </c>
      <c r="AP318" s="7" t="s">
        <v>385</v>
      </c>
      <c r="AQ318" s="7"/>
      <c r="AR318" s="7"/>
      <c r="AS318" s="7"/>
      <c r="AT318" s="7"/>
      <c r="AU318" s="7">
        <v>1.0</v>
      </c>
      <c r="AV318" s="7" t="s">
        <v>4316</v>
      </c>
      <c r="AW318" s="7" t="s">
        <v>4317</v>
      </c>
      <c r="AX318" s="7" t="s">
        <v>4318</v>
      </c>
      <c r="AY318" s="7" t="s">
        <v>4319</v>
      </c>
      <c r="AZ318" s="7" t="s">
        <v>4320</v>
      </c>
      <c r="BA318" s="7"/>
      <c r="BB318" s="7"/>
      <c r="BC318" s="7" t="s">
        <v>401</v>
      </c>
      <c r="BD318" s="7"/>
      <c r="BE318" s="7" t="s">
        <v>4321</v>
      </c>
      <c r="BF318" s="7"/>
      <c r="BG318" s="7"/>
      <c r="BH318" s="7">
        <v>4.39095209E8</v>
      </c>
      <c r="BI318" s="7" t="s">
        <v>4322</v>
      </c>
      <c r="BJ318" s="7"/>
      <c r="BK318" s="7" t="b">
        <v>0</v>
      </c>
      <c r="BL318" s="7" t="b">
        <v>0</v>
      </c>
      <c r="BM318" s="7"/>
      <c r="BN318" s="7" t="str">
        <f>IFERROR(__xludf.DUMMYFUNCTION(" IF( REGEXMATCH(C318 , ""[(].+[)]""),REGEXREPLACE( CONCATENATE(REGEXEXTRACT(C318 , ""[(].+[)]""),IF(REGEXMATCH(C318 , ""[(][Ll]['’][)]""),"""","" ""), REGEXEXTRACT(C318 ,""^(?:(?:[A-Za-zàäéèêîïöôûü0-9 ](?:[A-Za-zàäéèêîïöôûü'0-9 ]+)))"")) , ""[()]"", """")"&amp;",C318 )"),"Gîte de la Rivière des Remparts")</f>
        <v>Gîte de la Rivière des Remparts</v>
      </c>
      <c r="BO318" s="25"/>
      <c r="BP318" s="7"/>
      <c r="BQ318" s="7"/>
      <c r="BR318" s="7"/>
      <c r="BS318" s="7"/>
      <c r="BT318" s="7"/>
      <c r="BU318" s="7"/>
      <c r="BV318" s="7"/>
      <c r="BW318" s="7"/>
      <c r="BX318" s="7"/>
      <c r="BY318" s="7"/>
      <c r="BZ318" s="7"/>
      <c r="CA318" s="7"/>
      <c r="CB318" s="7"/>
    </row>
    <row r="319" ht="21.75" customHeight="1">
      <c r="A319" s="7">
        <v>407.0</v>
      </c>
      <c r="B319" s="7">
        <v>318.0</v>
      </c>
      <c r="C319" s="7" t="s">
        <v>4323</v>
      </c>
      <c r="D319" s="7" t="s">
        <v>4324</v>
      </c>
      <c r="E319" s="7"/>
      <c r="F319" s="7" t="s">
        <v>404</v>
      </c>
      <c r="G319" s="7" t="s">
        <v>343</v>
      </c>
      <c r="H319" s="7" t="s">
        <v>123</v>
      </c>
      <c r="I319" s="7" t="s">
        <v>4325</v>
      </c>
      <c r="J319" s="26" t="s">
        <v>4326</v>
      </c>
      <c r="K319" s="7" t="s">
        <v>58</v>
      </c>
      <c r="L319" s="7" t="s">
        <v>59</v>
      </c>
      <c r="M319" s="7" t="s">
        <v>374</v>
      </c>
      <c r="N319" s="7" t="s">
        <v>2141</v>
      </c>
      <c r="O319" s="7">
        <v>97480.0</v>
      </c>
      <c r="P319" s="7" t="s">
        <v>123</v>
      </c>
      <c r="Q319" s="7"/>
      <c r="R319" s="7" t="s">
        <v>4327</v>
      </c>
      <c r="S319" s="7" t="s">
        <v>4328</v>
      </c>
      <c r="T319" s="7" t="s">
        <v>377</v>
      </c>
      <c r="U319" s="7" t="s">
        <v>851</v>
      </c>
      <c r="V319" s="7">
        <v>2.62565166E8</v>
      </c>
      <c r="W319" s="7">
        <v>6.92356985E8</v>
      </c>
      <c r="X319" s="7"/>
      <c r="Y319" s="7"/>
      <c r="Z319" s="7" t="s">
        <v>4329</v>
      </c>
      <c r="AA319" s="7">
        <v>22.0</v>
      </c>
      <c r="AB319" s="7"/>
      <c r="AC319" s="7"/>
      <c r="AD319" s="7" t="s">
        <v>4330</v>
      </c>
      <c r="AE319" s="7" t="s">
        <v>4331</v>
      </c>
      <c r="AF319" s="7"/>
      <c r="AG319" s="7"/>
      <c r="AH319" s="20">
        <v>39575.0</v>
      </c>
      <c r="AI319" s="7"/>
      <c r="AJ319" s="7" t="s">
        <v>4332</v>
      </c>
      <c r="AK319" s="7"/>
      <c r="AL319" s="7" t="s">
        <v>4333</v>
      </c>
      <c r="AM319" s="7" t="s">
        <v>4334</v>
      </c>
      <c r="AN319" s="20">
        <v>39575.0</v>
      </c>
      <c r="AO319" s="7">
        <v>97480.0</v>
      </c>
      <c r="AP319" s="7" t="s">
        <v>385</v>
      </c>
      <c r="AQ319" s="7"/>
      <c r="AR319" s="7"/>
      <c r="AS319" s="7"/>
      <c r="AT319" s="7"/>
      <c r="AU319" s="7">
        <v>4.0</v>
      </c>
      <c r="AV319" s="7" t="s">
        <v>4335</v>
      </c>
      <c r="AW319" s="7"/>
      <c r="AX319" s="7"/>
      <c r="AY319" s="7"/>
      <c r="AZ319" s="7"/>
      <c r="BA319" s="7"/>
      <c r="BB319" s="7"/>
      <c r="BC319" s="7" t="s">
        <v>366</v>
      </c>
      <c r="BD319" s="21">
        <v>44097.20208333333</v>
      </c>
      <c r="BE319" s="7"/>
      <c r="BF319" s="7"/>
      <c r="BG319" s="22">
        <v>44097.0</v>
      </c>
      <c r="BH319" s="7"/>
      <c r="BI319" s="7" t="s">
        <v>2384</v>
      </c>
      <c r="BJ319" s="7"/>
      <c r="BK319" s="7" t="b">
        <v>0</v>
      </c>
      <c r="BL319" s="7" t="b">
        <v>0</v>
      </c>
      <c r="BM319" s="7"/>
      <c r="BN319" s="7" t="str">
        <f>IFERROR(__xludf.DUMMYFUNCTION(" IF( REGEXMATCH(C319 , ""[(].+[)]""),REGEXREPLACE( CONCATENATE(REGEXEXTRACT(C319 , ""[(].+[)]""),IF(REGEXMATCH(C319 , ""[(][Ll]['’][)]""),"""","" ""), REGEXEXTRACT(C319 ,""^(?:(?:[A-Za-zàäéèêîïöôûü0-9 ](?:[A-Za-zàäéèêîïöôûü'0-9 ]+)))"")) , ""[()]"", """")"&amp;",C319 )"),"Gîte de Manapany les Bains")</f>
        <v>Gîte de Manapany les Bains</v>
      </c>
      <c r="BO319" s="23"/>
      <c r="BP319" s="7"/>
      <c r="BQ319" s="7"/>
      <c r="BR319" s="7"/>
      <c r="BS319" s="7"/>
      <c r="BT319" s="7"/>
      <c r="BU319" s="7"/>
      <c r="BV319" s="7"/>
      <c r="BW319" s="7"/>
      <c r="BX319" s="7"/>
      <c r="BY319" s="7"/>
      <c r="BZ319" s="7"/>
      <c r="CA319" s="7"/>
      <c r="CB319" s="7"/>
    </row>
    <row r="320" ht="21.75" customHeight="1">
      <c r="A320" s="7">
        <v>1874.0</v>
      </c>
      <c r="B320" s="7" t="s">
        <v>4336</v>
      </c>
      <c r="C320" s="7" t="s">
        <v>4337</v>
      </c>
      <c r="D320" s="7" t="s">
        <v>4337</v>
      </c>
      <c r="E320" s="7"/>
      <c r="F320" s="7" t="s">
        <v>342</v>
      </c>
      <c r="G320" s="7" t="s">
        <v>343</v>
      </c>
      <c r="H320" s="7" t="s">
        <v>123</v>
      </c>
      <c r="I320" s="7" t="s">
        <v>4338</v>
      </c>
      <c r="J320" s="26" t="s">
        <v>4339</v>
      </c>
      <c r="K320" s="7" t="s">
        <v>58</v>
      </c>
      <c r="L320" s="7" t="s">
        <v>59</v>
      </c>
      <c r="M320" s="7" t="s">
        <v>374</v>
      </c>
      <c r="N320" s="7" t="s">
        <v>3431</v>
      </c>
      <c r="O320" s="7">
        <v>97480.0</v>
      </c>
      <c r="P320" s="7" t="s">
        <v>123</v>
      </c>
      <c r="Q320" s="7"/>
      <c r="R320" s="7" t="s">
        <v>4340</v>
      </c>
      <c r="S320" s="7" t="s">
        <v>4341</v>
      </c>
      <c r="T320" s="7" t="s">
        <v>377</v>
      </c>
      <c r="U320" s="7" t="s">
        <v>424</v>
      </c>
      <c r="V320" s="7"/>
      <c r="W320" s="7">
        <v>6.92448215E8</v>
      </c>
      <c r="X320" s="7"/>
      <c r="Y320" s="7"/>
      <c r="Z320" s="7" t="s">
        <v>4342</v>
      </c>
      <c r="AA320" s="7">
        <v>8.0</v>
      </c>
      <c r="AB320" s="7"/>
      <c r="AC320" s="7"/>
      <c r="AD320" s="7" t="s">
        <v>4343</v>
      </c>
      <c r="AE320" s="7" t="s">
        <v>4344</v>
      </c>
      <c r="AF320" s="7"/>
      <c r="AG320" s="7"/>
      <c r="AH320" s="20">
        <v>43739.0</v>
      </c>
      <c r="AI320" s="7"/>
      <c r="AJ320" s="7" t="s">
        <v>4345</v>
      </c>
      <c r="AK320" s="7"/>
      <c r="AL320" s="7" t="s">
        <v>4346</v>
      </c>
      <c r="AM320" s="7" t="s">
        <v>4347</v>
      </c>
      <c r="AN320" s="20">
        <v>43739.0</v>
      </c>
      <c r="AO320" s="7">
        <v>97480.0</v>
      </c>
      <c r="AP320" s="7" t="s">
        <v>385</v>
      </c>
      <c r="AQ320" s="7"/>
      <c r="AR320" s="7"/>
      <c r="AS320" s="7"/>
      <c r="AT320" s="7"/>
      <c r="AU320" s="7">
        <v>3.0</v>
      </c>
      <c r="AV320" s="7" t="s">
        <v>4348</v>
      </c>
      <c r="AW320" s="7"/>
      <c r="AX320" s="7"/>
      <c r="AY320" s="7"/>
      <c r="AZ320" s="7" t="s">
        <v>4349</v>
      </c>
      <c r="BA320" s="7"/>
      <c r="BB320" s="7"/>
      <c r="BC320" s="7" t="s">
        <v>401</v>
      </c>
      <c r="BD320" s="21">
        <v>44238.10763888889</v>
      </c>
      <c r="BE320" s="7" t="s">
        <v>1047</v>
      </c>
      <c r="BF320" s="7"/>
      <c r="BG320" s="7"/>
      <c r="BH320" s="7"/>
      <c r="BI320" s="7" t="s">
        <v>4350</v>
      </c>
      <c r="BJ320" s="7"/>
      <c r="BK320" s="7" t="b">
        <v>0</v>
      </c>
      <c r="BL320" s="7" t="b">
        <v>0</v>
      </c>
      <c r="BM320" s="7"/>
      <c r="BN320" s="7" t="str">
        <f>IFERROR(__xludf.DUMMYFUNCTION(" IF( REGEXMATCH(C320 , ""[(].+[)]""),REGEXREPLACE( CONCATENATE(REGEXEXTRACT(C320 , ""[(].+[)]""),IF(REGEXMATCH(C320 , ""[(][Ll]['’][)]""),"""","" ""), REGEXEXTRACT(C320 ,""^(?:(?:[A-Za-zàäéèêîïöôûü0-9 ](?:[A-Za-zàäéèêîïöôûü'0-9 ]+)))"")) , ""[()]"", """")"&amp;",C320 )"),"Gîte des Cormorans")</f>
        <v>Gîte des Cormorans</v>
      </c>
      <c r="BO320" s="25"/>
      <c r="BP320" s="7"/>
      <c r="BQ320" s="7"/>
      <c r="BR320" s="7"/>
      <c r="BS320" s="7"/>
      <c r="BT320" s="7"/>
      <c r="BU320" s="7"/>
      <c r="BV320" s="7"/>
      <c r="BW320" s="7"/>
      <c r="BX320" s="7"/>
      <c r="BY320" s="7"/>
      <c r="BZ320" s="7"/>
      <c r="CA320" s="7"/>
      <c r="CB320" s="7"/>
    </row>
    <row r="321" ht="21.75" customHeight="1">
      <c r="A321" s="7">
        <v>957.0</v>
      </c>
      <c r="B321" s="7" t="s">
        <v>4351</v>
      </c>
      <c r="C321" s="7" t="s">
        <v>4352</v>
      </c>
      <c r="D321" s="7" t="s">
        <v>4353</v>
      </c>
      <c r="E321" s="7"/>
      <c r="F321" s="7" t="s">
        <v>342</v>
      </c>
      <c r="G321" s="7" t="s">
        <v>343</v>
      </c>
      <c r="H321" s="7" t="s">
        <v>123</v>
      </c>
      <c r="I321" s="7" t="s">
        <v>4354</v>
      </c>
      <c r="J321" s="7"/>
      <c r="K321" s="7" t="s">
        <v>58</v>
      </c>
      <c r="L321" s="7" t="s">
        <v>59</v>
      </c>
      <c r="M321" s="7" t="s">
        <v>346</v>
      </c>
      <c r="N321" s="7" t="s">
        <v>347</v>
      </c>
      <c r="O321" s="7">
        <v>97480.0</v>
      </c>
      <c r="P321" s="7" t="s">
        <v>123</v>
      </c>
      <c r="Q321" s="7" t="s">
        <v>2879</v>
      </c>
      <c r="R321" s="7" t="s">
        <v>2593</v>
      </c>
      <c r="S321" s="7" t="s">
        <v>2106</v>
      </c>
      <c r="T321" s="7" t="s">
        <v>377</v>
      </c>
      <c r="U321" s="7" t="s">
        <v>592</v>
      </c>
      <c r="V321" s="7">
        <v>2.62722003E8</v>
      </c>
      <c r="W321" s="7">
        <v>6.92204849E8</v>
      </c>
      <c r="X321" s="7"/>
      <c r="Y321" s="7"/>
      <c r="Z321" s="7" t="s">
        <v>4355</v>
      </c>
      <c r="AA321" s="7">
        <v>32.0</v>
      </c>
      <c r="AB321" s="7"/>
      <c r="AC321" s="7"/>
      <c r="AD321" s="7" t="s">
        <v>4356</v>
      </c>
      <c r="AE321" s="7" t="s">
        <v>4357</v>
      </c>
      <c r="AF321" s="7"/>
      <c r="AG321" s="7"/>
      <c r="AH321" s="20">
        <v>39575.0</v>
      </c>
      <c r="AI321" s="7"/>
      <c r="AJ321" s="7" t="s">
        <v>4358</v>
      </c>
      <c r="AK321" s="7">
        <v>7.9246334100026E13</v>
      </c>
      <c r="AL321" s="7" t="s">
        <v>4359</v>
      </c>
      <c r="AM321" s="7" t="s">
        <v>4360</v>
      </c>
      <c r="AN321" s="20">
        <v>39575.0</v>
      </c>
      <c r="AO321" s="7">
        <v>97480.0</v>
      </c>
      <c r="AP321" s="7" t="s">
        <v>385</v>
      </c>
      <c r="AQ321" s="7"/>
      <c r="AR321" s="7"/>
      <c r="AS321" s="7"/>
      <c r="AT321" s="7"/>
      <c r="AU321" s="7">
        <v>3.0</v>
      </c>
      <c r="AV321" s="7" t="s">
        <v>4361</v>
      </c>
      <c r="AW321" s="7"/>
      <c r="AX321" s="7" t="s">
        <v>3270</v>
      </c>
      <c r="AY321" s="7" t="s">
        <v>4319</v>
      </c>
      <c r="AZ321" s="7" t="s">
        <v>4362</v>
      </c>
      <c r="BA321" s="7"/>
      <c r="BB321" s="7"/>
      <c r="BC321" s="7" t="s">
        <v>401</v>
      </c>
      <c r="BD321" s="21">
        <v>44172.10277777778</v>
      </c>
      <c r="BE321" s="7" t="s">
        <v>2520</v>
      </c>
      <c r="BF321" s="7"/>
      <c r="BG321" s="7"/>
      <c r="BH321" s="7">
        <v>2.14748364E8</v>
      </c>
      <c r="BI321" s="7" t="s">
        <v>4363</v>
      </c>
      <c r="BJ321" s="7"/>
      <c r="BK321" s="7" t="b">
        <v>0</v>
      </c>
      <c r="BL321" s="7" t="b">
        <v>0</v>
      </c>
      <c r="BM321" s="7"/>
      <c r="BN321" s="7" t="str">
        <f>IFERROR(__xludf.DUMMYFUNCTION(" IF( REGEXMATCH(C321 , ""[(].+[)]""),REGEXREPLACE( CONCATENATE(REGEXEXTRACT(C321 , ""[(].+[)]""),IF(REGEXMATCH(C321 , ""[(][Ll]['’][)]""),"""","" ""), REGEXEXTRACT(C321 ,""^(?:(?:[A-Za-zàäéèêîïöôûü0-9 ](?:[A-Za-zàäéèêîïöôûü'0-9 ]+)))"")) , ""[()]"", """")"&amp;",C321 )"),"Gite du Malmany")</f>
        <v>Gite du Malmany</v>
      </c>
      <c r="BO321" s="25"/>
      <c r="BP321" s="7"/>
      <c r="BQ321" s="7"/>
      <c r="BR321" s="7"/>
      <c r="BS321" s="7"/>
      <c r="BT321" s="7"/>
      <c r="BU321" s="7"/>
      <c r="BV321" s="7"/>
      <c r="BW321" s="7"/>
      <c r="BX321" s="7"/>
      <c r="BY321" s="7"/>
      <c r="BZ321" s="7"/>
      <c r="CA321" s="7"/>
      <c r="CB321" s="7"/>
    </row>
    <row r="322" ht="21.75" customHeight="1">
      <c r="A322" s="7">
        <v>4181.0</v>
      </c>
      <c r="B322" s="7" t="s">
        <v>4364</v>
      </c>
      <c r="C322" s="7" t="s">
        <v>4365</v>
      </c>
      <c r="D322" s="7"/>
      <c r="E322" s="7"/>
      <c r="F322" s="7" t="s">
        <v>342</v>
      </c>
      <c r="G322" s="7" t="s">
        <v>343</v>
      </c>
      <c r="H322" s="7" t="s">
        <v>344</v>
      </c>
      <c r="I322" s="7" t="s">
        <v>4366</v>
      </c>
      <c r="J322" s="7"/>
      <c r="K322" s="7" t="s">
        <v>58</v>
      </c>
      <c r="L322" s="7" t="s">
        <v>59</v>
      </c>
      <c r="M322" s="7" t="s">
        <v>2013</v>
      </c>
      <c r="N322" s="7" t="s">
        <v>1092</v>
      </c>
      <c r="O322" s="7">
        <v>97418.0</v>
      </c>
      <c r="P322" s="7" t="s">
        <v>348</v>
      </c>
      <c r="Q322" s="7" t="s">
        <v>349</v>
      </c>
      <c r="R322" s="7" t="s">
        <v>4367</v>
      </c>
      <c r="S322" s="7"/>
      <c r="T322" s="7" t="s">
        <v>4368</v>
      </c>
      <c r="U322" s="7" t="s">
        <v>4369</v>
      </c>
      <c r="V322" s="7"/>
      <c r="W322" s="7">
        <v>6.92581245E8</v>
      </c>
      <c r="X322" s="7"/>
      <c r="Y322" s="7"/>
      <c r="Z322" s="7" t="s">
        <v>3401</v>
      </c>
      <c r="AA322" s="7">
        <v>4.0</v>
      </c>
      <c r="AB322" s="7" t="s">
        <v>574</v>
      </c>
      <c r="AC322" s="7" t="s">
        <v>4370</v>
      </c>
      <c r="AD322" s="7" t="s">
        <v>4371</v>
      </c>
      <c r="AE322" s="7" t="s">
        <v>4372</v>
      </c>
      <c r="AF322" s="7" t="s">
        <v>1173</v>
      </c>
      <c r="AG322" s="7" t="s">
        <v>578</v>
      </c>
      <c r="AH322" s="20">
        <v>42585.0</v>
      </c>
      <c r="AI322" s="7"/>
      <c r="AJ322" s="7" t="s">
        <v>4373</v>
      </c>
      <c r="AK322" s="7">
        <v>4.3971767900021E13</v>
      </c>
      <c r="AL322" s="7" t="s">
        <v>4374</v>
      </c>
      <c r="AM322" s="7" t="s">
        <v>4375</v>
      </c>
      <c r="AN322" s="20">
        <v>43739.0</v>
      </c>
      <c r="AO322" s="7">
        <v>97418.0</v>
      </c>
      <c r="AP322" s="7" t="s">
        <v>362</v>
      </c>
      <c r="AQ322" s="7"/>
      <c r="AR322" s="7"/>
      <c r="AS322" s="7"/>
      <c r="AT322" s="7"/>
      <c r="AU322" s="7">
        <v>1.0</v>
      </c>
      <c r="AV322" s="7" t="s">
        <v>4376</v>
      </c>
      <c r="AW322" s="7" t="s">
        <v>4377</v>
      </c>
      <c r="AX322" s="7"/>
      <c r="AY322" s="7"/>
      <c r="AZ322" s="7" t="s">
        <v>3408</v>
      </c>
      <c r="BA322" s="7"/>
      <c r="BB322" s="7"/>
      <c r="BC322" s="7" t="s">
        <v>401</v>
      </c>
      <c r="BD322" s="21">
        <v>44140.0</v>
      </c>
      <c r="BE322" s="7" t="s">
        <v>4378</v>
      </c>
      <c r="BF322" s="7"/>
      <c r="BG322" s="7"/>
      <c r="BH322" s="7">
        <v>4.39717679E8</v>
      </c>
      <c r="BI322" s="7" t="s">
        <v>3409</v>
      </c>
      <c r="BJ322" s="7"/>
      <c r="BK322" s="7" t="b">
        <v>0</v>
      </c>
      <c r="BL322" s="7" t="b">
        <v>0</v>
      </c>
      <c r="BM322" s="7"/>
      <c r="BN322" s="7" t="str">
        <f>IFERROR(__xludf.DUMMYFUNCTION(" IF( REGEXMATCH(C322 , ""[(].+[)]""),REGEXREPLACE( CONCATENATE(REGEXEXTRACT(C322 , ""[(].+[)]""),IF(REGEXMATCH(C322 , ""[(][Ll]['’][)]""),"""","" ""), REGEXEXTRACT(C322 ,""^(?:(?:[A-Za-zàäéèêîïöôûü0-9 ](?:[A-Za-zàäéèêîïöôûü'0-9 ]+)))"")) , ""[()]"", """")"&amp;",C322 )"),"Gîte Emi'Liane")</f>
        <v>Gîte Emi'Liane</v>
      </c>
      <c r="BO322" s="25"/>
      <c r="BP322" s="7"/>
      <c r="BQ322" s="7"/>
      <c r="BR322" s="7"/>
      <c r="BS322" s="7"/>
      <c r="BT322" s="7"/>
      <c r="BU322" s="7"/>
      <c r="BV322" s="7"/>
      <c r="BW322" s="7"/>
      <c r="BX322" s="7"/>
      <c r="BY322" s="7"/>
      <c r="BZ322" s="7"/>
      <c r="CA322" s="7"/>
      <c r="CB322" s="7"/>
    </row>
    <row r="323" ht="21.75" customHeight="1">
      <c r="A323" s="7">
        <v>2028.0</v>
      </c>
      <c r="B323" s="7" t="s">
        <v>4379</v>
      </c>
      <c r="C323" s="7" t="s">
        <v>4380</v>
      </c>
      <c r="D323" s="7" t="s">
        <v>4380</v>
      </c>
      <c r="E323" s="7"/>
      <c r="F323" s="7" t="s">
        <v>342</v>
      </c>
      <c r="G323" s="7" t="s">
        <v>343</v>
      </c>
      <c r="H323" s="7" t="s">
        <v>40</v>
      </c>
      <c r="I323" s="7" t="s">
        <v>4381</v>
      </c>
      <c r="J323" s="7"/>
      <c r="K323" s="7" t="s">
        <v>58</v>
      </c>
      <c r="L323" s="7" t="s">
        <v>137</v>
      </c>
      <c r="M323" s="7" t="s">
        <v>2280</v>
      </c>
      <c r="N323" s="7" t="s">
        <v>472</v>
      </c>
      <c r="O323" s="7">
        <v>97414.0</v>
      </c>
      <c r="P323" s="7" t="s">
        <v>40</v>
      </c>
      <c r="Q323" s="7"/>
      <c r="R323" s="7"/>
      <c r="S323" s="7" t="s">
        <v>2842</v>
      </c>
      <c r="T323" s="7" t="s">
        <v>377</v>
      </c>
      <c r="U323" s="7" t="s">
        <v>378</v>
      </c>
      <c r="V323" s="7">
        <v>2.62574303E8</v>
      </c>
      <c r="W323" s="7">
        <v>6.92672454E8</v>
      </c>
      <c r="X323" s="7"/>
      <c r="Y323" s="7"/>
      <c r="Z323" s="7" t="s">
        <v>4382</v>
      </c>
      <c r="AA323" s="7">
        <v>30.0</v>
      </c>
      <c r="AB323" s="7"/>
      <c r="AC323" s="7"/>
      <c r="AD323" s="7" t="s">
        <v>4383</v>
      </c>
      <c r="AE323" s="7"/>
      <c r="AF323" s="7"/>
      <c r="AG323" s="7"/>
      <c r="AH323" s="20">
        <v>43739.0</v>
      </c>
      <c r="AI323" s="7"/>
      <c r="AJ323" s="7" t="s">
        <v>4384</v>
      </c>
      <c r="AK323" s="7"/>
      <c r="AL323" s="7" t="s">
        <v>4385</v>
      </c>
      <c r="AM323" s="7" t="s">
        <v>4386</v>
      </c>
      <c r="AN323" s="20">
        <v>43739.0</v>
      </c>
      <c r="AO323" s="7">
        <v>97414.0</v>
      </c>
      <c r="AP323" s="7" t="s">
        <v>429</v>
      </c>
      <c r="AQ323" s="7"/>
      <c r="AR323" s="7"/>
      <c r="AS323" s="7"/>
      <c r="AT323" s="7"/>
      <c r="AU323" s="7">
        <v>1.0</v>
      </c>
      <c r="AV323" s="7" t="s">
        <v>4387</v>
      </c>
      <c r="AW323" s="7"/>
      <c r="AX323" s="7"/>
      <c r="AY323" s="7"/>
      <c r="AZ323" s="7" t="s">
        <v>4388</v>
      </c>
      <c r="BA323" s="7"/>
      <c r="BB323" s="7"/>
      <c r="BC323" s="7" t="s">
        <v>401</v>
      </c>
      <c r="BD323" s="21">
        <v>43854.0</v>
      </c>
      <c r="BE323" s="7" t="s">
        <v>449</v>
      </c>
      <c r="BF323" s="7"/>
      <c r="BG323" s="7"/>
      <c r="BH323" s="7"/>
      <c r="BI323" s="7" t="s">
        <v>2860</v>
      </c>
      <c r="BJ323" s="7"/>
      <c r="BK323" s="7" t="b">
        <v>0</v>
      </c>
      <c r="BL323" s="7" t="b">
        <v>0</v>
      </c>
      <c r="BM323" s="7"/>
      <c r="BN323" s="7" t="str">
        <f>IFERROR(__xludf.DUMMYFUNCTION(" IF( REGEXMATCH(C323 , ""[(].+[)]""),REGEXREPLACE( CONCATENATE(REGEXEXTRACT(C323 , ""[(].+[)]""),IF(REGEXMATCH(C323 , ""[(][Ll]['’][)]""),"""","" ""), REGEXEXTRACT(C323 ,""^(?:(?:[A-Za-zàäéèêîïöôûü0-9 ](?:[A-Za-zàäéèêîïöôûü'0-9 ]+)))"")) , ""[()]"", """")"&amp;",C323 )"),"Gîte Emile")</f>
        <v>Gîte Emile</v>
      </c>
      <c r="BO323" s="25"/>
      <c r="BP323" s="7"/>
      <c r="BQ323" s="7"/>
      <c r="BR323" s="7"/>
      <c r="BS323" s="7"/>
      <c r="BT323" s="7"/>
      <c r="BU323" s="7"/>
      <c r="BV323" s="7"/>
      <c r="BW323" s="7"/>
      <c r="BX323" s="7"/>
      <c r="BY323" s="7"/>
      <c r="BZ323" s="7"/>
      <c r="CA323" s="7"/>
      <c r="CB323" s="7"/>
    </row>
    <row r="324" ht="21.75" customHeight="1">
      <c r="A324" s="7">
        <v>1767.0</v>
      </c>
      <c r="B324" s="7">
        <v>323.0</v>
      </c>
      <c r="C324" s="7" t="s">
        <v>4389</v>
      </c>
      <c r="D324" s="7"/>
      <c r="E324" s="7"/>
      <c r="F324" s="7" t="s">
        <v>404</v>
      </c>
      <c r="G324" s="7" t="s">
        <v>343</v>
      </c>
      <c r="H324" s="7" t="s">
        <v>344</v>
      </c>
      <c r="I324" s="7" t="s">
        <v>4390</v>
      </c>
      <c r="J324" s="26" t="s">
        <v>4391</v>
      </c>
      <c r="K324" s="7" t="s">
        <v>58</v>
      </c>
      <c r="L324" s="7" t="s">
        <v>59</v>
      </c>
      <c r="M324" s="7" t="s">
        <v>346</v>
      </c>
      <c r="N324" s="7" t="s">
        <v>422</v>
      </c>
      <c r="O324" s="7">
        <v>97430.0</v>
      </c>
      <c r="P324" s="7" t="s">
        <v>344</v>
      </c>
      <c r="Q324" s="7"/>
      <c r="R324" s="7" t="s">
        <v>2604</v>
      </c>
      <c r="S324" s="7" t="s">
        <v>2605</v>
      </c>
      <c r="T324" s="7" t="s">
        <v>439</v>
      </c>
      <c r="U324" s="7" t="s">
        <v>353</v>
      </c>
      <c r="V324" s="7">
        <v>2.62350973E8</v>
      </c>
      <c r="W324" s="7">
        <v>6.92331989E8</v>
      </c>
      <c r="X324" s="7"/>
      <c r="Y324" s="7"/>
      <c r="Z324" s="7" t="s">
        <v>4392</v>
      </c>
      <c r="AA324" s="7">
        <v>4.0</v>
      </c>
      <c r="AB324" s="7"/>
      <c r="AC324" s="7"/>
      <c r="AD324" s="7" t="s">
        <v>4393</v>
      </c>
      <c r="AE324" s="7"/>
      <c r="AF324" s="7"/>
      <c r="AG324" s="7"/>
      <c r="AH324" s="20">
        <v>43739.0</v>
      </c>
      <c r="AI324" s="7"/>
      <c r="AJ324" s="7" t="s">
        <v>4394</v>
      </c>
      <c r="AK324" s="7"/>
      <c r="AL324" s="7" t="s">
        <v>4395</v>
      </c>
      <c r="AM324" s="7" t="s">
        <v>4396</v>
      </c>
      <c r="AN324" s="20">
        <v>43739.0</v>
      </c>
      <c r="AO324" s="7">
        <v>97430.0</v>
      </c>
      <c r="AP324" s="7" t="s">
        <v>494</v>
      </c>
      <c r="AQ324" s="7"/>
      <c r="AR324" s="7"/>
      <c r="AS324" s="7"/>
      <c r="AT324" s="7"/>
      <c r="AU324" s="7">
        <v>1.0</v>
      </c>
      <c r="AV324" s="7" t="s">
        <v>4397</v>
      </c>
      <c r="AW324" s="7"/>
      <c r="AX324" s="7"/>
      <c r="AY324" s="7"/>
      <c r="AZ324" s="7"/>
      <c r="BA324" s="7"/>
      <c r="BB324" s="7"/>
      <c r="BC324" s="7" t="s">
        <v>366</v>
      </c>
      <c r="BD324" s="21">
        <v>44197.0</v>
      </c>
      <c r="BE324" s="7"/>
      <c r="BF324" s="7"/>
      <c r="BG324" s="22">
        <v>44197.0</v>
      </c>
      <c r="BH324" s="7"/>
      <c r="BI324" s="7" t="s">
        <v>4398</v>
      </c>
      <c r="BJ324" s="7"/>
      <c r="BK324" s="7" t="b">
        <v>0</v>
      </c>
      <c r="BL324" s="7" t="b">
        <v>0</v>
      </c>
      <c r="BM324" s="7"/>
      <c r="BN324" s="7" t="str">
        <f>IFERROR(__xludf.DUMMYFUNCTION(" IF( REGEXMATCH(C324 , ""[(].+[)]""),REGEXREPLACE( CONCATENATE(REGEXEXTRACT(C324 , ""[(].+[)]""),IF(REGEXMATCH(C324 , ""[(][Ll]['’][)]""),"""","" ""), REGEXEXTRACT(C324 ,""^(?:(?:[A-Za-zàäéèêîïöôûü0-9 ](?:[A-Za-zàäéèêîïöôûü'0-9 ]+)))"")) , ""[()]"", """")"&amp;",C324 )"),"Gîte les Toulites")</f>
        <v>Gîte les Toulites</v>
      </c>
      <c r="BO324" s="23"/>
      <c r="BP324" s="7"/>
      <c r="BQ324" s="7"/>
      <c r="BR324" s="7"/>
      <c r="BS324" s="7"/>
      <c r="BT324" s="7"/>
      <c r="BU324" s="7"/>
      <c r="BV324" s="7"/>
      <c r="BW324" s="7"/>
      <c r="BX324" s="7"/>
      <c r="BY324" s="7"/>
      <c r="BZ324" s="7"/>
      <c r="CA324" s="7"/>
      <c r="CB324" s="7"/>
    </row>
    <row r="325" ht="21.75" customHeight="1">
      <c r="A325" s="7">
        <v>824.0</v>
      </c>
      <c r="B325" s="7">
        <v>324.0</v>
      </c>
      <c r="C325" s="7" t="s">
        <v>4399</v>
      </c>
      <c r="D325" s="7" t="s">
        <v>4400</v>
      </c>
      <c r="E325" s="7"/>
      <c r="F325" s="7" t="s">
        <v>404</v>
      </c>
      <c r="G325" s="7" t="s">
        <v>343</v>
      </c>
      <c r="H325" s="7" t="s">
        <v>344</v>
      </c>
      <c r="I325" s="7" t="s">
        <v>4401</v>
      </c>
      <c r="J325" s="7"/>
      <c r="K325" s="7" t="s">
        <v>58</v>
      </c>
      <c r="L325" s="7" t="s">
        <v>59</v>
      </c>
      <c r="M325" s="7" t="s">
        <v>2013</v>
      </c>
      <c r="N325" s="7" t="s">
        <v>407</v>
      </c>
      <c r="O325" s="7">
        <v>97430.0</v>
      </c>
      <c r="P325" s="7" t="s">
        <v>344</v>
      </c>
      <c r="Q325" s="7"/>
      <c r="R325" s="7" t="s">
        <v>4402</v>
      </c>
      <c r="S325" s="7" t="s">
        <v>2658</v>
      </c>
      <c r="T325" s="7" t="s">
        <v>4403</v>
      </c>
      <c r="U325" s="7" t="s">
        <v>353</v>
      </c>
      <c r="V325" s="7"/>
      <c r="W325" s="7">
        <v>6.92667137E8</v>
      </c>
      <c r="X325" s="7">
        <v>6.92800518E8</v>
      </c>
      <c r="Y325" s="7"/>
      <c r="Z325" s="7" t="s">
        <v>4404</v>
      </c>
      <c r="AA325" s="7">
        <v>3.0</v>
      </c>
      <c r="AB325" s="7" t="s">
        <v>574</v>
      </c>
      <c r="AC325" s="7"/>
      <c r="AD325" s="7" t="s">
        <v>4405</v>
      </c>
      <c r="AE325" s="7" t="s">
        <v>4406</v>
      </c>
      <c r="AF325" s="7"/>
      <c r="AG325" s="7" t="s">
        <v>578</v>
      </c>
      <c r="AH325" s="20">
        <v>39575.0</v>
      </c>
      <c r="AI325" s="7"/>
      <c r="AJ325" s="7" t="s">
        <v>4407</v>
      </c>
      <c r="AK325" s="7"/>
      <c r="AL325" s="7" t="s">
        <v>4408</v>
      </c>
      <c r="AM325" s="7" t="s">
        <v>4409</v>
      </c>
      <c r="AN325" s="20">
        <v>39575.0</v>
      </c>
      <c r="AO325" s="7">
        <v>97430.0</v>
      </c>
      <c r="AP325" s="7" t="s">
        <v>494</v>
      </c>
      <c r="AQ325" s="7"/>
      <c r="AR325" s="7"/>
      <c r="AS325" s="7"/>
      <c r="AT325" s="7"/>
      <c r="AU325" s="7">
        <v>1.0</v>
      </c>
      <c r="AV325" s="7" t="s">
        <v>4410</v>
      </c>
      <c r="AW325" s="7"/>
      <c r="AX325" s="7"/>
      <c r="AY325" s="7"/>
      <c r="AZ325" s="7"/>
      <c r="BA325" s="7"/>
      <c r="BB325" s="7"/>
      <c r="BC325" s="7" t="s">
        <v>366</v>
      </c>
      <c r="BD325" s="21">
        <v>44139.10833333333</v>
      </c>
      <c r="BE325" s="7"/>
      <c r="BF325" s="7"/>
      <c r="BG325" s="22">
        <v>44139.0</v>
      </c>
      <c r="BH325" s="7"/>
      <c r="BI325" s="7" t="s">
        <v>4411</v>
      </c>
      <c r="BJ325" s="7"/>
      <c r="BK325" s="7" t="b">
        <v>0</v>
      </c>
      <c r="BL325" s="7" t="b">
        <v>0</v>
      </c>
      <c r="BM325" s="7"/>
      <c r="BN325" s="7" t="str">
        <f>IFERROR(__xludf.DUMMYFUNCTION(" IF( REGEXMATCH(C325 , ""[(].+[)]""),REGEXREPLACE( CONCATENATE(REGEXEXTRACT(C325 , ""[(].+[)]""),IF(REGEXMATCH(C325 , ""[(][Ll]['’][)]""),"""","" ""), REGEXEXTRACT(C325 ,""^(?:(?:[A-Za-zàäéèêîïöôûü0-9 ](?:[A-Za-zàäéèêîïöôûü'0-9 ]+)))"")) , ""[()]"", """")"&amp;",C325 )"),"Gîte Mélodie")</f>
        <v>Gîte Mélodie</v>
      </c>
      <c r="BO325" s="23"/>
      <c r="BP325" s="7"/>
      <c r="BQ325" s="7"/>
      <c r="BR325" s="7"/>
      <c r="BS325" s="7"/>
      <c r="BT325" s="7"/>
      <c r="BU325" s="7"/>
      <c r="BV325" s="7"/>
      <c r="BW325" s="7"/>
      <c r="BX325" s="7"/>
      <c r="BY325" s="7"/>
      <c r="BZ325" s="7"/>
      <c r="CA325" s="7"/>
      <c r="CB325" s="7"/>
    </row>
    <row r="326" ht="21.75" customHeight="1">
      <c r="A326" s="7">
        <v>3059.0</v>
      </c>
      <c r="B326" s="7">
        <v>325.0</v>
      </c>
      <c r="C326" s="7" t="s">
        <v>4412</v>
      </c>
      <c r="D326" s="7" t="s">
        <v>4412</v>
      </c>
      <c r="E326" s="7"/>
      <c r="F326" s="7" t="s">
        <v>404</v>
      </c>
      <c r="G326" s="7" t="s">
        <v>343</v>
      </c>
      <c r="H326" s="7" t="s">
        <v>344</v>
      </c>
      <c r="I326" s="7" t="s">
        <v>4413</v>
      </c>
      <c r="J326" s="7"/>
      <c r="K326" s="7" t="s">
        <v>58</v>
      </c>
      <c r="L326" s="7" t="s">
        <v>59</v>
      </c>
      <c r="M326" s="7" t="s">
        <v>346</v>
      </c>
      <c r="N326" s="7" t="s">
        <v>455</v>
      </c>
      <c r="O326" s="7">
        <v>97430.0</v>
      </c>
      <c r="P326" s="7" t="s">
        <v>344</v>
      </c>
      <c r="Q326" s="7"/>
      <c r="R326" s="7" t="s">
        <v>4414</v>
      </c>
      <c r="S326" s="7"/>
      <c r="T326" s="7" t="s">
        <v>377</v>
      </c>
      <c r="U326" s="7" t="s">
        <v>378</v>
      </c>
      <c r="V326" s="7">
        <v>2.62273822E8</v>
      </c>
      <c r="W326" s="7">
        <v>6.92665924E8</v>
      </c>
      <c r="X326" s="7"/>
      <c r="Y326" s="7"/>
      <c r="Z326" s="7" t="s">
        <v>4415</v>
      </c>
      <c r="AA326" s="7">
        <v>6.0</v>
      </c>
      <c r="AB326" s="7"/>
      <c r="AC326" s="7"/>
      <c r="AD326" s="7" t="s">
        <v>4416</v>
      </c>
      <c r="AE326" s="7" t="s">
        <v>4417</v>
      </c>
      <c r="AF326" s="7"/>
      <c r="AG326" s="7"/>
      <c r="AH326" s="20">
        <v>43739.0</v>
      </c>
      <c r="AI326" s="7"/>
      <c r="AJ326" s="7" t="s">
        <v>4418</v>
      </c>
      <c r="AK326" s="7"/>
      <c r="AL326" s="7" t="s">
        <v>4419</v>
      </c>
      <c r="AM326" s="7" t="s">
        <v>4420</v>
      </c>
      <c r="AN326" s="20">
        <v>43739.0</v>
      </c>
      <c r="AO326" s="7">
        <v>97430.0</v>
      </c>
      <c r="AP326" s="7" t="s">
        <v>494</v>
      </c>
      <c r="AQ326" s="7"/>
      <c r="AR326" s="7"/>
      <c r="AS326" s="7"/>
      <c r="AT326" s="7"/>
      <c r="AU326" s="7">
        <v>1.0</v>
      </c>
      <c r="AV326" s="7" t="s">
        <v>4421</v>
      </c>
      <c r="AW326" s="7"/>
      <c r="AX326" s="7"/>
      <c r="AY326" s="7"/>
      <c r="AZ326" s="7"/>
      <c r="BA326" s="7"/>
      <c r="BB326" s="7"/>
      <c r="BC326" s="7" t="s">
        <v>366</v>
      </c>
      <c r="BD326" s="21">
        <v>44197.0</v>
      </c>
      <c r="BE326" s="7"/>
      <c r="BF326" s="7"/>
      <c r="BG326" s="22">
        <v>44197.0</v>
      </c>
      <c r="BH326" s="7"/>
      <c r="BI326" s="7" t="s">
        <v>4422</v>
      </c>
      <c r="BJ326" s="7"/>
      <c r="BK326" s="7" t="b">
        <v>0</v>
      </c>
      <c r="BL326" s="7" t="b">
        <v>0</v>
      </c>
      <c r="BM326" s="7"/>
      <c r="BN326" s="7" t="str">
        <f>IFERROR(__xludf.DUMMYFUNCTION(" IF( REGEXMATCH(C326 , ""[(].+[)]""),REGEXREPLACE( CONCATENATE(REGEXEXTRACT(C326 , ""[(].+[)]""),IF(REGEXMATCH(C326 , ""[(][Ll]['’][)]""),"""","" ""), REGEXEXTRACT(C326 ,""^(?:(?:[A-Za-zàäéèêîïöôûü0-9 ](?:[A-Za-zàäéèêîïöôûü'0-9 ]+)))"")) , ""[()]"", """")"&amp;",C326 )"),"Gîte Tamponna")</f>
        <v>Gîte Tamponna</v>
      </c>
      <c r="BO326" s="23"/>
      <c r="BP326" s="7"/>
      <c r="BQ326" s="7"/>
      <c r="BR326" s="7"/>
      <c r="BS326" s="7"/>
      <c r="BT326" s="7"/>
      <c r="BU326" s="7"/>
      <c r="BV326" s="7"/>
      <c r="BW326" s="7"/>
      <c r="BX326" s="7"/>
      <c r="BY326" s="7"/>
      <c r="BZ326" s="7"/>
      <c r="CA326" s="7"/>
      <c r="CB326" s="7"/>
    </row>
    <row r="327" ht="21.75" customHeight="1">
      <c r="A327" s="7">
        <v>3516.0</v>
      </c>
      <c r="B327" s="7" t="s">
        <v>4423</v>
      </c>
      <c r="C327" s="7" t="s">
        <v>4424</v>
      </c>
      <c r="D327" s="7" t="s">
        <v>4425</v>
      </c>
      <c r="E327" s="7"/>
      <c r="F327" s="7" t="s">
        <v>342</v>
      </c>
      <c r="G327" s="7" t="s">
        <v>343</v>
      </c>
      <c r="H327" s="7" t="s">
        <v>33</v>
      </c>
      <c r="I327" s="7" t="s">
        <v>4426</v>
      </c>
      <c r="J327" s="7"/>
      <c r="K327" s="7" t="s">
        <v>58</v>
      </c>
      <c r="L327" s="7" t="s">
        <v>137</v>
      </c>
      <c r="M327" s="7" t="s">
        <v>1091</v>
      </c>
      <c r="N327" s="7" t="s">
        <v>4427</v>
      </c>
      <c r="O327" s="7">
        <v>97442.0</v>
      </c>
      <c r="P327" s="7" t="s">
        <v>33</v>
      </c>
      <c r="Q327" s="7"/>
      <c r="R327" s="7" t="s">
        <v>4428</v>
      </c>
      <c r="S327" s="7" t="s">
        <v>4429</v>
      </c>
      <c r="T327" s="7" t="s">
        <v>974</v>
      </c>
      <c r="U327" s="7" t="s">
        <v>353</v>
      </c>
      <c r="V327" s="7"/>
      <c r="W327" s="7">
        <v>6.92872543E8</v>
      </c>
      <c r="X327" s="7"/>
      <c r="Y327" s="7"/>
      <c r="Z327" s="7" t="s">
        <v>4430</v>
      </c>
      <c r="AA327" s="7">
        <v>24.0</v>
      </c>
      <c r="AB327" s="7"/>
      <c r="AC327" s="7" t="s">
        <v>4431</v>
      </c>
      <c r="AD327" s="7" t="s">
        <v>4432</v>
      </c>
      <c r="AE327" s="7" t="s">
        <v>4433</v>
      </c>
      <c r="AF327" s="7"/>
      <c r="AG327" s="7"/>
      <c r="AH327" s="20">
        <v>40026.0</v>
      </c>
      <c r="AI327" s="7"/>
      <c r="AJ327" s="7" t="s">
        <v>4434</v>
      </c>
      <c r="AK327" s="7">
        <v>3.5018510400048E13</v>
      </c>
      <c r="AL327" s="7" t="s">
        <v>4435</v>
      </c>
      <c r="AM327" s="7" t="s">
        <v>4436</v>
      </c>
      <c r="AN327" s="20">
        <v>39702.0</v>
      </c>
      <c r="AO327" s="7">
        <v>97442.0</v>
      </c>
      <c r="AP327" s="7" t="s">
        <v>884</v>
      </c>
      <c r="AQ327" s="7"/>
      <c r="AR327" s="7"/>
      <c r="AS327" s="7"/>
      <c r="AT327" s="7"/>
      <c r="AU327" s="7">
        <v>2.0</v>
      </c>
      <c r="AV327" s="7" t="s">
        <v>4437</v>
      </c>
      <c r="AW327" s="7" t="s">
        <v>4438</v>
      </c>
      <c r="AX327" s="7"/>
      <c r="AY327" s="7"/>
      <c r="AZ327" s="7" t="s">
        <v>4439</v>
      </c>
      <c r="BA327" s="7"/>
      <c r="BB327" s="7"/>
      <c r="BC327" s="7" t="s">
        <v>401</v>
      </c>
      <c r="BD327" s="21">
        <v>44089.0</v>
      </c>
      <c r="BE327" s="7" t="s">
        <v>1047</v>
      </c>
      <c r="BF327" s="7"/>
      <c r="BG327" s="7"/>
      <c r="BH327" s="7">
        <v>3.50185104E8</v>
      </c>
      <c r="BI327" s="7" t="s">
        <v>4440</v>
      </c>
      <c r="BJ327" s="7"/>
      <c r="BK327" s="7" t="b">
        <v>0</v>
      </c>
      <c r="BL327" s="7" t="b">
        <v>0</v>
      </c>
      <c r="BM327" s="7"/>
      <c r="BN327" s="7" t="str">
        <f>IFERROR(__xludf.DUMMYFUNCTION(" IF( REGEXMATCH(C327 , ""[(].+[)]""),REGEXREPLACE( CONCATENATE(REGEXEXTRACT(C327 , ""[(].+[)]""),IF(REGEXMATCH(C327 , ""[(][Ll]['’][)]""),"""","" ""), REGEXEXTRACT(C327 ,""^(?:(?:[A-Za-zàäéèêîïöôûü0-9 ](?:[A-Za-zàäéèêîïöôûü'0-9 ]+)))"")) , ""[()]"", """")"&amp;",C327 )"),"Gîte Théophane &amp; Yoleine")</f>
        <v>Gîte Théophane &amp; Yoleine</v>
      </c>
      <c r="BO327" s="25"/>
      <c r="BP327" s="7"/>
      <c r="BQ327" s="7"/>
      <c r="BR327" s="7"/>
      <c r="BS327" s="7"/>
      <c r="BT327" s="7"/>
      <c r="BU327" s="7"/>
      <c r="BV327" s="7"/>
      <c r="BW327" s="7"/>
      <c r="BX327" s="7"/>
      <c r="BY327" s="7"/>
      <c r="BZ327" s="7"/>
      <c r="CA327" s="7"/>
      <c r="CB327" s="7"/>
    </row>
    <row r="328" ht="21.75" customHeight="1">
      <c r="A328" s="7">
        <v>3876.0</v>
      </c>
      <c r="B328" s="7">
        <v>327.0</v>
      </c>
      <c r="C328" s="7" t="s">
        <v>4441</v>
      </c>
      <c r="D328" s="7"/>
      <c r="E328" s="7"/>
      <c r="F328" s="7" t="s">
        <v>404</v>
      </c>
      <c r="G328" s="7" t="s">
        <v>343</v>
      </c>
      <c r="H328" s="7" t="s">
        <v>344</v>
      </c>
      <c r="I328" s="7" t="s">
        <v>4442</v>
      </c>
      <c r="J328" s="26" t="s">
        <v>4443</v>
      </c>
      <c r="K328" s="7" t="s">
        <v>58</v>
      </c>
      <c r="L328" s="7" t="s">
        <v>59</v>
      </c>
      <c r="M328" s="7" t="s">
        <v>374</v>
      </c>
      <c r="N328" s="7" t="s">
        <v>375</v>
      </c>
      <c r="O328" s="7">
        <v>97430.0</v>
      </c>
      <c r="P328" s="7" t="s">
        <v>344</v>
      </c>
      <c r="Q328" s="7"/>
      <c r="R328" s="7" t="s">
        <v>4444</v>
      </c>
      <c r="S328" s="7" t="s">
        <v>4445</v>
      </c>
      <c r="T328" s="7" t="s">
        <v>377</v>
      </c>
      <c r="U328" s="7"/>
      <c r="V328" s="7"/>
      <c r="W328" s="7">
        <v>6.92249815E8</v>
      </c>
      <c r="X328" s="7"/>
      <c r="Y328" s="7"/>
      <c r="Z328" s="7" t="s">
        <v>4446</v>
      </c>
      <c r="AA328" s="7">
        <v>6.0</v>
      </c>
      <c r="AB328" s="7"/>
      <c r="AC328" s="7" t="s">
        <v>4447</v>
      </c>
      <c r="AD328" s="7" t="s">
        <v>4448</v>
      </c>
      <c r="AE328" s="7"/>
      <c r="AF328" s="7"/>
      <c r="AG328" s="7"/>
      <c r="AH328" s="20">
        <v>42165.0</v>
      </c>
      <c r="AI328" s="7"/>
      <c r="AJ328" s="7" t="s">
        <v>4441</v>
      </c>
      <c r="AK328" s="7"/>
      <c r="AL328" s="7" t="s">
        <v>4449</v>
      </c>
      <c r="AM328" s="7" t="s">
        <v>4450</v>
      </c>
      <c r="AN328" s="20">
        <v>42165.0</v>
      </c>
      <c r="AO328" s="7">
        <v>97430.0</v>
      </c>
      <c r="AP328" s="7" t="s">
        <v>494</v>
      </c>
      <c r="AQ328" s="7"/>
      <c r="AR328" s="7"/>
      <c r="AS328" s="7"/>
      <c r="AT328" s="7"/>
      <c r="AU328" s="7">
        <v>2.0</v>
      </c>
      <c r="AV328" s="7" t="s">
        <v>4451</v>
      </c>
      <c r="AW328" s="7"/>
      <c r="AX328" s="7"/>
      <c r="AY328" s="7"/>
      <c r="AZ328" s="7"/>
      <c r="BA328" s="7"/>
      <c r="BB328" s="7"/>
      <c r="BC328" s="7" t="s">
        <v>366</v>
      </c>
      <c r="BD328" s="21">
        <v>44197.0</v>
      </c>
      <c r="BE328" s="7"/>
      <c r="BF328" s="7"/>
      <c r="BG328" s="22">
        <v>44197.0</v>
      </c>
      <c r="BH328" s="7"/>
      <c r="BI328" s="7" t="s">
        <v>4452</v>
      </c>
      <c r="BJ328" s="7"/>
      <c r="BK328" s="7" t="b">
        <v>0</v>
      </c>
      <c r="BL328" s="7" t="b">
        <v>0</v>
      </c>
      <c r="BM328" s="7"/>
      <c r="BN328" s="7" t="str">
        <f>IFERROR(__xludf.DUMMYFUNCTION(" IF( REGEXMATCH(C328 , ""[(].+[)]""),REGEXREPLACE( CONCATENATE(REGEXEXTRACT(C328 , ""[(].+[)]""),IF(REGEXMATCH(C328 , ""[(][Ll]['’][)]""),"""","" ""), REGEXEXTRACT(C328 ,""^(?:(?:[A-Za-zàäéèêîïöôûü0-9 ](?:[A-Za-zàäéèêîïöôûü'0-9 ]+)))"")) , ""[()]"", """")"&amp;",C328 )"),"Gîte Ti Bon'Er")</f>
        <v>Gîte Ti Bon'Er</v>
      </c>
      <c r="BO328" s="23"/>
      <c r="BP328" s="7"/>
      <c r="BQ328" s="7"/>
      <c r="BR328" s="7"/>
      <c r="BS328" s="7"/>
      <c r="BT328" s="7"/>
      <c r="BU328" s="7"/>
      <c r="BV328" s="7"/>
      <c r="BW328" s="7"/>
      <c r="BX328" s="7"/>
      <c r="BY328" s="7"/>
      <c r="BZ328" s="7"/>
      <c r="CA328" s="7"/>
      <c r="CB328" s="7"/>
    </row>
    <row r="329" ht="21.75" customHeight="1">
      <c r="A329" s="7">
        <v>4417.0</v>
      </c>
      <c r="B329" s="7" t="s">
        <v>4453</v>
      </c>
      <c r="C329" s="7" t="s">
        <v>4454</v>
      </c>
      <c r="D329" s="7"/>
      <c r="E329" s="7"/>
      <c r="F329" s="7" t="s">
        <v>342</v>
      </c>
      <c r="G329" s="7" t="s">
        <v>343</v>
      </c>
      <c r="H329" s="7" t="s">
        <v>123</v>
      </c>
      <c r="I329" s="7" t="s">
        <v>4455</v>
      </c>
      <c r="J329" s="7"/>
      <c r="K329" s="7" t="s">
        <v>58</v>
      </c>
      <c r="L329" s="7" t="s">
        <v>59</v>
      </c>
      <c r="M329" s="7" t="s">
        <v>346</v>
      </c>
      <c r="N329" s="7" t="s">
        <v>422</v>
      </c>
      <c r="O329" s="7">
        <v>97480.0</v>
      </c>
      <c r="P329" s="7" t="s">
        <v>123</v>
      </c>
      <c r="Q329" s="7" t="s">
        <v>4456</v>
      </c>
      <c r="R329" s="7" t="s">
        <v>4457</v>
      </c>
      <c r="S329" s="7" t="s">
        <v>4458</v>
      </c>
      <c r="T329" s="7" t="s">
        <v>377</v>
      </c>
      <c r="U329" s="7" t="s">
        <v>424</v>
      </c>
      <c r="V329" s="7">
        <v>2.62239737E8</v>
      </c>
      <c r="W329" s="7">
        <v>6.92767643E8</v>
      </c>
      <c r="X329" s="7"/>
      <c r="Y329" s="7"/>
      <c r="Z329" s="7" t="s">
        <v>4459</v>
      </c>
      <c r="AA329" s="7">
        <v>7.0</v>
      </c>
      <c r="AB329" s="7"/>
      <c r="AC329" s="7" t="s">
        <v>4460</v>
      </c>
      <c r="AD329" s="7" t="s">
        <v>4461</v>
      </c>
      <c r="AE329" s="7" t="s">
        <v>4462</v>
      </c>
      <c r="AF329" s="7" t="s">
        <v>1173</v>
      </c>
      <c r="AG329" s="7"/>
      <c r="AH329" s="20">
        <v>43025.0</v>
      </c>
      <c r="AI329" s="7"/>
      <c r="AJ329" s="7" t="s">
        <v>4463</v>
      </c>
      <c r="AK329" s="7">
        <v>4.3102534500015E13</v>
      </c>
      <c r="AL329" s="7" t="s">
        <v>4464</v>
      </c>
      <c r="AM329" s="7" t="s">
        <v>4465</v>
      </c>
      <c r="AN329" s="20">
        <v>43025.0</v>
      </c>
      <c r="AO329" s="7">
        <v>97480.0</v>
      </c>
      <c r="AP329" s="7" t="s">
        <v>385</v>
      </c>
      <c r="AQ329" s="7"/>
      <c r="AR329" s="7"/>
      <c r="AS329" s="7"/>
      <c r="AT329" s="7"/>
      <c r="AU329" s="7">
        <v>2.0</v>
      </c>
      <c r="AV329" s="7" t="s">
        <v>4466</v>
      </c>
      <c r="AW329" s="7"/>
      <c r="AX329" s="7" t="s">
        <v>2358</v>
      </c>
      <c r="AY329" s="7" t="s">
        <v>1829</v>
      </c>
      <c r="AZ329" s="7" t="s">
        <v>4467</v>
      </c>
      <c r="BA329" s="7"/>
      <c r="BB329" s="7"/>
      <c r="BC329" s="7" t="s">
        <v>401</v>
      </c>
      <c r="BD329" s="21">
        <v>44101.0</v>
      </c>
      <c r="BE329" s="7" t="s">
        <v>4468</v>
      </c>
      <c r="BF329" s="7"/>
      <c r="BG329" s="7"/>
      <c r="BH329" s="7">
        <v>4.31025345E8</v>
      </c>
      <c r="BI329" s="7" t="s">
        <v>4469</v>
      </c>
      <c r="BJ329" s="7"/>
      <c r="BK329" s="7" t="b">
        <v>0</v>
      </c>
      <c r="BL329" s="7" t="b">
        <v>0</v>
      </c>
      <c r="BM329" s="7"/>
      <c r="BN329" s="7" t="str">
        <f>IFERROR(__xludf.DUMMYFUNCTION(" IF( REGEXMATCH(C329 , ""[(].+[)]""),REGEXREPLACE( CONCATENATE(REGEXEXTRACT(C329 , ""[(].+[)]""),IF(REGEXMATCH(C329 , ""[(][Ll]['’][)]""),"""","" ""), REGEXEXTRACT(C329 ,""^(?:(?:[A-Za-zàäéèêîïöôûü0-9 ](?:[A-Za-zàäéèêîïöôûü'0-9 ]+)))"")) , ""[()]"", """")"&amp;",C329 )"),"Gîtes Bassin Julien")</f>
        <v>Gîtes Bassin Julien</v>
      </c>
      <c r="BO329" s="25"/>
      <c r="BP329" s="7"/>
      <c r="BQ329" s="7"/>
      <c r="BR329" s="7"/>
      <c r="BS329" s="7"/>
      <c r="BT329" s="7"/>
      <c r="BU329" s="7"/>
      <c r="BV329" s="7"/>
      <c r="BW329" s="7"/>
      <c r="BX329" s="7"/>
      <c r="BY329" s="7"/>
      <c r="BZ329" s="7"/>
      <c r="CA329" s="7"/>
      <c r="CB329" s="7"/>
    </row>
    <row r="330" ht="21.75" customHeight="1">
      <c r="A330" s="7">
        <v>5118.0</v>
      </c>
      <c r="B330" s="7" t="s">
        <v>4470</v>
      </c>
      <c r="C330" s="7" t="s">
        <v>4471</v>
      </c>
      <c r="D330" s="7"/>
      <c r="E330" s="7"/>
      <c r="F330" s="7" t="s">
        <v>342</v>
      </c>
      <c r="G330" s="7" t="s">
        <v>343</v>
      </c>
      <c r="H330" s="7" t="s">
        <v>40</v>
      </c>
      <c r="I330" s="7" t="s">
        <v>4472</v>
      </c>
      <c r="J330" s="7"/>
      <c r="K330" s="7" t="s">
        <v>58</v>
      </c>
      <c r="L330" s="7" t="s">
        <v>59</v>
      </c>
      <c r="M330" s="7" t="s">
        <v>346</v>
      </c>
      <c r="N330" s="7" t="s">
        <v>422</v>
      </c>
      <c r="O330" s="7">
        <v>97414.0</v>
      </c>
      <c r="P330" s="7" t="s">
        <v>40</v>
      </c>
      <c r="Q330" s="7"/>
      <c r="R330" s="7" t="s">
        <v>4473</v>
      </c>
      <c r="S330" s="7" t="s">
        <v>4474</v>
      </c>
      <c r="T330" s="7" t="s">
        <v>499</v>
      </c>
      <c r="U330" s="7" t="s">
        <v>592</v>
      </c>
      <c r="V330" s="7"/>
      <c r="W330" s="7">
        <v>6.92698538E8</v>
      </c>
      <c r="X330" s="7">
        <v>6.92697431E8</v>
      </c>
      <c r="Y330" s="7"/>
      <c r="Z330" s="7"/>
      <c r="AA330" s="7">
        <v>8.0</v>
      </c>
      <c r="AB330" s="7"/>
      <c r="AC330" s="7" t="s">
        <v>4475</v>
      </c>
      <c r="AD330" s="7" t="s">
        <v>4476</v>
      </c>
      <c r="AE330" s="7" t="s">
        <v>4477</v>
      </c>
      <c r="AF330" s="7"/>
      <c r="AG330" s="7"/>
      <c r="AH330" s="20">
        <v>43818.0</v>
      </c>
      <c r="AI330" s="7"/>
      <c r="AJ330" s="7" t="s">
        <v>4478</v>
      </c>
      <c r="AK330" s="7">
        <v>8.7836951100026E13</v>
      </c>
      <c r="AL330" s="7" t="s">
        <v>4479</v>
      </c>
      <c r="AM330" s="7" t="s">
        <v>4480</v>
      </c>
      <c r="AN330" s="20">
        <v>43818.0</v>
      </c>
      <c r="AO330" s="7">
        <v>97414.0</v>
      </c>
      <c r="AP330" s="7" t="s">
        <v>429</v>
      </c>
      <c r="AQ330" s="7"/>
      <c r="AR330" s="7"/>
      <c r="AS330" s="7"/>
      <c r="AT330" s="7"/>
      <c r="AU330" s="7">
        <v>2.0</v>
      </c>
      <c r="AV330" s="7" t="s">
        <v>4481</v>
      </c>
      <c r="AW330" s="7"/>
      <c r="AX330" s="7"/>
      <c r="AY330" s="7"/>
      <c r="AZ330" s="7"/>
      <c r="BA330" s="7"/>
      <c r="BB330" s="7"/>
      <c r="BC330" s="7" t="s">
        <v>401</v>
      </c>
      <c r="BD330" s="21">
        <v>44094.470138888886</v>
      </c>
      <c r="BE330" s="7" t="s">
        <v>4482</v>
      </c>
      <c r="BF330" s="7"/>
      <c r="BG330" s="7"/>
      <c r="BH330" s="7">
        <v>8.78369511E8</v>
      </c>
      <c r="BI330" s="7" t="s">
        <v>4483</v>
      </c>
      <c r="BJ330" s="7"/>
      <c r="BK330" s="7" t="b">
        <v>0</v>
      </c>
      <c r="BL330" s="7" t="b">
        <v>0</v>
      </c>
      <c r="BM330" s="7"/>
      <c r="BN330" s="7" t="str">
        <f>IFERROR(__xludf.DUMMYFUNCTION(" IF( REGEXMATCH(C330 , ""[(].+[)]""),REGEXREPLACE( CONCATENATE(REGEXEXTRACT(C330 , ""[(].+[)]""),IF(REGEXMATCH(C330 , ""[(][Ll]['’][)]""),"""","" ""), REGEXEXTRACT(C330 ,""^(?:(?:[A-Za-zàäéèêîïöôûü0-9 ](?:[A-Za-zàäéèêîïöôûü'0-9 ]+)))"")) , ""[()]"", """")"&amp;",C330 )"),"Gîtes des Canelles")</f>
        <v>Gîtes des Canelles</v>
      </c>
      <c r="BO330" s="25"/>
      <c r="BP330" s="7"/>
      <c r="BQ330" s="7"/>
      <c r="BR330" s="7"/>
      <c r="BS330" s="7"/>
      <c r="BT330" s="7"/>
      <c r="BU330" s="7"/>
      <c r="BV330" s="7"/>
      <c r="BW330" s="7"/>
      <c r="BX330" s="7"/>
      <c r="BY330" s="7"/>
      <c r="BZ330" s="7"/>
      <c r="CA330" s="7"/>
      <c r="CB330" s="7"/>
    </row>
    <row r="331" ht="21.75" customHeight="1">
      <c r="A331" s="7">
        <v>985.0</v>
      </c>
      <c r="B331" s="7">
        <v>330.0</v>
      </c>
      <c r="C331" s="7" t="s">
        <v>4484</v>
      </c>
      <c r="D331" s="7" t="s">
        <v>4485</v>
      </c>
      <c r="E331" s="7"/>
      <c r="F331" s="7" t="s">
        <v>404</v>
      </c>
      <c r="G331" s="7" t="s">
        <v>343</v>
      </c>
      <c r="H331" s="7" t="s">
        <v>40</v>
      </c>
      <c r="I331" s="7" t="s">
        <v>4486</v>
      </c>
      <c r="J331" s="7"/>
      <c r="K331" s="7" t="s">
        <v>34</v>
      </c>
      <c r="L331" s="7" t="s">
        <v>622</v>
      </c>
      <c r="M331" s="7" t="s">
        <v>1347</v>
      </c>
      <c r="N331" s="7" t="s">
        <v>407</v>
      </c>
      <c r="O331" s="7">
        <v>97414.0</v>
      </c>
      <c r="P331" s="7" t="s">
        <v>40</v>
      </c>
      <c r="Q331" s="7"/>
      <c r="R331" s="7" t="s">
        <v>646</v>
      </c>
      <c r="S331" s="7" t="s">
        <v>438</v>
      </c>
      <c r="T331" s="7" t="s">
        <v>377</v>
      </c>
      <c r="U331" s="7" t="s">
        <v>353</v>
      </c>
      <c r="V331" s="7"/>
      <c r="W331" s="7">
        <v>6.92339004E8</v>
      </c>
      <c r="X331" s="7"/>
      <c r="Y331" s="7"/>
      <c r="Z331" s="7"/>
      <c r="AA331" s="7">
        <v>20.0</v>
      </c>
      <c r="AB331" s="7"/>
      <c r="AC331" s="7"/>
      <c r="AD331" s="7" t="s">
        <v>4487</v>
      </c>
      <c r="AE331" s="7" t="s">
        <v>4488</v>
      </c>
      <c r="AF331" s="7"/>
      <c r="AG331" s="7"/>
      <c r="AH331" s="20">
        <v>39575.0</v>
      </c>
      <c r="AI331" s="7"/>
      <c r="AJ331" s="7" t="s">
        <v>4485</v>
      </c>
      <c r="AK331" s="7">
        <v>4.7795240200014E13</v>
      </c>
      <c r="AL331" s="7" t="s">
        <v>4489</v>
      </c>
      <c r="AM331" s="7" t="s">
        <v>4490</v>
      </c>
      <c r="AN331" s="20">
        <v>39575.0</v>
      </c>
      <c r="AO331" s="7">
        <v>97414.0</v>
      </c>
      <c r="AP331" s="7" t="s">
        <v>429</v>
      </c>
      <c r="AQ331" s="7"/>
      <c r="AR331" s="7"/>
      <c r="AS331" s="7"/>
      <c r="AT331" s="7"/>
      <c r="AU331" s="7">
        <v>0.0</v>
      </c>
      <c r="AV331" s="7" t="s">
        <v>4491</v>
      </c>
      <c r="AW331" s="7"/>
      <c r="AX331" s="7"/>
      <c r="AY331" s="7"/>
      <c r="AZ331" s="7"/>
      <c r="BA331" s="7"/>
      <c r="BB331" s="7"/>
      <c r="BC331" s="7" t="s">
        <v>366</v>
      </c>
      <c r="BD331" s="21">
        <v>44110.506944444445</v>
      </c>
      <c r="BE331" s="7"/>
      <c r="BF331" s="7"/>
      <c r="BG331" s="22">
        <v>44110.0</v>
      </c>
      <c r="BH331" s="7">
        <v>4.77952402E8</v>
      </c>
      <c r="BI331" s="7" t="s">
        <v>4492</v>
      </c>
      <c r="BJ331" s="7"/>
      <c r="BK331" s="7" t="b">
        <v>0</v>
      </c>
      <c r="BL331" s="7" t="b">
        <v>0</v>
      </c>
      <c r="BM331" s="7"/>
      <c r="BN331" s="7" t="str">
        <f>IFERROR(__xludf.DUMMYFUNCTION(" IF( REGEXMATCH(C331 , ""[(].+[)]""),REGEXREPLACE( CONCATENATE(REGEXEXTRACT(C331 , ""[(].+[)]""),IF(REGEXMATCH(C331 , ""[(][Ll]['’][)]""),"""","" ""), REGEXEXTRACT(C331 ,""^(?:(?:[A-Za-zàäéèêîïöôûü0-9 ](?:[A-Za-zàäéèêîïöôûü'0-9 ]+)))"")) , ""[()]"", """")"&amp;",C331 )"),"Gourmandise Créole")</f>
        <v>Gourmandise Créole</v>
      </c>
      <c r="BO331" s="23"/>
      <c r="BP331" s="7"/>
      <c r="BQ331" s="7"/>
      <c r="BR331" s="7"/>
      <c r="BS331" s="7"/>
      <c r="BT331" s="7"/>
      <c r="BU331" s="7"/>
      <c r="BV331" s="7"/>
      <c r="BW331" s="7"/>
      <c r="BX331" s="7"/>
      <c r="BY331" s="7"/>
      <c r="BZ331" s="7"/>
      <c r="CA331" s="7"/>
      <c r="CB331" s="7"/>
    </row>
    <row r="332" ht="21.75" customHeight="1">
      <c r="A332" s="7">
        <v>875.0</v>
      </c>
      <c r="B332" s="7">
        <v>331.0</v>
      </c>
      <c r="C332" s="7" t="s">
        <v>4493</v>
      </c>
      <c r="D332" s="7" t="s">
        <v>2754</v>
      </c>
      <c r="E332" s="7"/>
      <c r="F332" s="7" t="s">
        <v>404</v>
      </c>
      <c r="G332" s="7" t="s">
        <v>343</v>
      </c>
      <c r="H332" s="7" t="s">
        <v>123</v>
      </c>
      <c r="I332" s="7" t="s">
        <v>4494</v>
      </c>
      <c r="J332" s="7"/>
      <c r="K332" s="7" t="s">
        <v>58</v>
      </c>
      <c r="L332" s="7" t="s">
        <v>59</v>
      </c>
      <c r="M332" s="7" t="s">
        <v>374</v>
      </c>
      <c r="N332" s="7" t="s">
        <v>422</v>
      </c>
      <c r="O332" s="7">
        <v>97480.0</v>
      </c>
      <c r="P332" s="7" t="s">
        <v>123</v>
      </c>
      <c r="Q332" s="7"/>
      <c r="R332" s="7" t="s">
        <v>4495</v>
      </c>
      <c r="S332" s="7" t="s">
        <v>2757</v>
      </c>
      <c r="T332" s="7" t="s">
        <v>4496</v>
      </c>
      <c r="U332" s="7" t="s">
        <v>2758</v>
      </c>
      <c r="V332" s="7">
        <v>2.62560102E8</v>
      </c>
      <c r="W332" s="7">
        <v>6.9243707E8</v>
      </c>
      <c r="X332" s="7"/>
      <c r="Y332" s="7">
        <v>2.6231949E8</v>
      </c>
      <c r="Z332" s="7" t="s">
        <v>2759</v>
      </c>
      <c r="AA332" s="7">
        <v>6.0</v>
      </c>
      <c r="AB332" s="7"/>
      <c r="AC332" s="7"/>
      <c r="AD332" s="7" t="s">
        <v>4497</v>
      </c>
      <c r="AE332" s="7" t="s">
        <v>2761</v>
      </c>
      <c r="AF332" s="7"/>
      <c r="AG332" s="7"/>
      <c r="AH332" s="20">
        <v>39575.0</v>
      </c>
      <c r="AI332" s="7"/>
      <c r="AJ332" s="7" t="s">
        <v>2762</v>
      </c>
      <c r="AK332" s="7">
        <v>4.5366983000011E13</v>
      </c>
      <c r="AL332" s="7" t="s">
        <v>4498</v>
      </c>
      <c r="AM332" s="7" t="s">
        <v>2764</v>
      </c>
      <c r="AN332" s="20">
        <v>39575.0</v>
      </c>
      <c r="AO332" s="7">
        <v>97480.0</v>
      </c>
      <c r="AP332" s="7" t="s">
        <v>385</v>
      </c>
      <c r="AQ332" s="7"/>
      <c r="AR332" s="7"/>
      <c r="AS332" s="7"/>
      <c r="AT332" s="7"/>
      <c r="AU332" s="7">
        <v>0.0</v>
      </c>
      <c r="AV332" s="7" t="s">
        <v>4499</v>
      </c>
      <c r="AW332" s="7"/>
      <c r="AX332" s="7"/>
      <c r="AY332" s="7"/>
      <c r="AZ332" s="7"/>
      <c r="BA332" s="7"/>
      <c r="BB332" s="7"/>
      <c r="BC332" s="7" t="s">
        <v>366</v>
      </c>
      <c r="BD332" s="21">
        <v>44115.48888888889</v>
      </c>
      <c r="BE332" s="7"/>
      <c r="BF332" s="7"/>
      <c r="BG332" s="22">
        <v>44115.0</v>
      </c>
      <c r="BH332" s="7">
        <v>2.14748364E8</v>
      </c>
      <c r="BI332" s="7" t="s">
        <v>2766</v>
      </c>
      <c r="BJ332" s="7"/>
      <c r="BK332" s="7" t="b">
        <v>0</v>
      </c>
      <c r="BL332" s="7" t="b">
        <v>0</v>
      </c>
      <c r="BM332" s="7"/>
      <c r="BN332" s="7" t="str">
        <f>IFERROR(__xludf.DUMMYFUNCTION(" IF( REGEXMATCH(C332 , ""[(].+[)]""),REGEXREPLACE( CONCATENATE(REGEXEXTRACT(C332 , ""[(].+[)]""),IF(REGEXMATCH(C332 , ""[(][Ll]['’][)]""),"""","" ""), REGEXEXTRACT(C332 ,""^(?:(?:[A-Za-zàäéèêîïöôûü0-9 ](?:[A-Za-zàäéèêîïöôûü'0-9 ]+)))"")) , ""[()]"", """")"&amp;",C332 )"),"Gousse de Vanille")</f>
        <v>Gousse de Vanille</v>
      </c>
      <c r="BO332" s="23"/>
      <c r="BP332" s="7"/>
      <c r="BQ332" s="7"/>
      <c r="BR332" s="7"/>
      <c r="BS332" s="7"/>
      <c r="BT332" s="7"/>
      <c r="BU332" s="7"/>
      <c r="BV332" s="7"/>
      <c r="BW332" s="7"/>
      <c r="BX332" s="7"/>
      <c r="BY332" s="7"/>
      <c r="BZ332" s="7"/>
      <c r="CA332" s="7"/>
      <c r="CB332" s="7"/>
    </row>
    <row r="333" ht="21.75" customHeight="1">
      <c r="A333" s="7">
        <v>491.0</v>
      </c>
      <c r="B333" s="7">
        <v>332.0</v>
      </c>
      <c r="C333" s="7" t="s">
        <v>4500</v>
      </c>
      <c r="D333" s="7" t="s">
        <v>4500</v>
      </c>
      <c r="E333" s="7"/>
      <c r="F333" s="7" t="s">
        <v>404</v>
      </c>
      <c r="G333" s="7" t="s">
        <v>343</v>
      </c>
      <c r="H333" s="7" t="s">
        <v>123</v>
      </c>
      <c r="I333" s="7" t="s">
        <v>4501</v>
      </c>
      <c r="J333" s="7"/>
      <c r="K333" s="7"/>
      <c r="L333" s="7"/>
      <c r="M333" s="7"/>
      <c r="N333" s="7"/>
      <c r="O333" s="7">
        <v>97480.0</v>
      </c>
      <c r="P333" s="7" t="s">
        <v>123</v>
      </c>
      <c r="Q333" s="7"/>
      <c r="R333" s="7"/>
      <c r="S333" s="7"/>
      <c r="T333" s="7"/>
      <c r="U333" s="7"/>
      <c r="V333" s="7"/>
      <c r="W333" s="7"/>
      <c r="X333" s="7"/>
      <c r="Y333" s="7"/>
      <c r="Z333" s="7"/>
      <c r="AA333" s="7"/>
      <c r="AB333" s="7"/>
      <c r="AC333" s="7"/>
      <c r="AD333" s="7"/>
      <c r="AE333" s="7"/>
      <c r="AF333" s="7"/>
      <c r="AG333" s="7"/>
      <c r="AH333" s="7"/>
      <c r="AI333" s="7"/>
      <c r="AJ333" s="7" t="s">
        <v>4500</v>
      </c>
      <c r="AK333" s="7"/>
      <c r="AL333" s="7" t="s">
        <v>4502</v>
      </c>
      <c r="AM333" s="7"/>
      <c r="AN333" s="20">
        <v>39575.0</v>
      </c>
      <c r="AO333" s="7">
        <v>97480.0</v>
      </c>
      <c r="AP333" s="7" t="s">
        <v>385</v>
      </c>
      <c r="AQ333" s="7"/>
      <c r="AR333" s="7"/>
      <c r="AS333" s="7"/>
      <c r="AT333" s="7"/>
      <c r="AU333" s="7">
        <v>0.0</v>
      </c>
      <c r="AV333" s="7" t="s">
        <v>4503</v>
      </c>
      <c r="AW333" s="7"/>
      <c r="AX333" s="7"/>
      <c r="AY333" s="7"/>
      <c r="AZ333" s="7"/>
      <c r="BA333" s="7"/>
      <c r="BB333" s="7"/>
      <c r="BC333" s="7" t="s">
        <v>366</v>
      </c>
      <c r="BD333" s="21">
        <v>44197.0</v>
      </c>
      <c r="BE333" s="7"/>
      <c r="BF333" s="7"/>
      <c r="BG333" s="22">
        <v>44197.0</v>
      </c>
      <c r="BH333" s="7"/>
      <c r="BI333" s="7" t="s">
        <v>4504</v>
      </c>
      <c r="BJ333" s="7"/>
      <c r="BK333" s="7" t="b">
        <v>0</v>
      </c>
      <c r="BL333" s="7" t="b">
        <v>0</v>
      </c>
      <c r="BM333" s="7"/>
      <c r="BN333" s="7" t="str">
        <f>IFERROR(__xludf.DUMMYFUNCTION(" IF( REGEXMATCH(C333 , ""[(].+[)]""),REGEXREPLACE( CONCATENATE(REGEXEXTRACT(C333 , ""[(].+[)]""),IF(REGEXMATCH(C333 , ""[(][Ll]['’][)]""),"""","" ""), REGEXEXTRACT(C333 ,""^(?:(?:[A-Za-zàäéèêîïöôûü0-9 ](?:[A-Za-zàäéèêîïöôûü'0-9 ]+)))"")) , ""[()]"", """")"&amp;",C333 )"),"Le Grand Bleu ")</f>
        <v>Le Grand Bleu </v>
      </c>
      <c r="BO333" s="23"/>
      <c r="BP333" s="7"/>
      <c r="BQ333" s="7"/>
      <c r="BR333" s="7"/>
      <c r="BS333" s="7"/>
      <c r="BT333" s="7"/>
      <c r="BU333" s="7"/>
      <c r="BV333" s="7"/>
      <c r="BW333" s="7"/>
      <c r="BX333" s="7"/>
      <c r="BY333" s="7"/>
      <c r="BZ333" s="7"/>
      <c r="CA333" s="7"/>
      <c r="CB333" s="7"/>
    </row>
    <row r="334" ht="21.75" customHeight="1">
      <c r="A334" s="7">
        <v>2841.0</v>
      </c>
      <c r="B334" s="7" t="s">
        <v>4505</v>
      </c>
      <c r="C334" s="7" t="s">
        <v>4506</v>
      </c>
      <c r="D334" s="7"/>
      <c r="E334" s="7"/>
      <c r="F334" s="7" t="s">
        <v>342</v>
      </c>
      <c r="G334" s="7" t="s">
        <v>343</v>
      </c>
      <c r="H334" s="7" t="s">
        <v>123</v>
      </c>
      <c r="I334" s="7" t="s">
        <v>4507</v>
      </c>
      <c r="J334" s="7"/>
      <c r="K334" s="7" t="s">
        <v>58</v>
      </c>
      <c r="L334" s="7" t="s">
        <v>59</v>
      </c>
      <c r="M334" s="7" t="s">
        <v>346</v>
      </c>
      <c r="N334" s="7"/>
      <c r="O334" s="7">
        <v>97480.0</v>
      </c>
      <c r="P334" s="7" t="s">
        <v>123</v>
      </c>
      <c r="Q334" s="7"/>
      <c r="R334" s="7" t="s">
        <v>4508</v>
      </c>
      <c r="S334" s="7"/>
      <c r="T334" s="7" t="s">
        <v>377</v>
      </c>
      <c r="U334" s="7" t="s">
        <v>353</v>
      </c>
      <c r="V334" s="7">
        <v>2.62236016E8</v>
      </c>
      <c r="W334" s="7">
        <v>6.92121021E8</v>
      </c>
      <c r="X334" s="7"/>
      <c r="Y334" s="7"/>
      <c r="Z334" s="7" t="s">
        <v>4509</v>
      </c>
      <c r="AA334" s="7">
        <v>14.0</v>
      </c>
      <c r="AB334" s="7"/>
      <c r="AC334" s="7" t="s">
        <v>4510</v>
      </c>
      <c r="AD334" s="7" t="s">
        <v>4511</v>
      </c>
      <c r="AE334" s="7" t="s">
        <v>4512</v>
      </c>
      <c r="AF334" s="7"/>
      <c r="AG334" s="7"/>
      <c r="AH334" s="20">
        <v>40604.0</v>
      </c>
      <c r="AI334" s="7"/>
      <c r="AJ334" s="7" t="s">
        <v>4513</v>
      </c>
      <c r="AK334" s="7"/>
      <c r="AL334" s="7" t="s">
        <v>4514</v>
      </c>
      <c r="AM334" s="7" t="s">
        <v>4515</v>
      </c>
      <c r="AN334" s="20">
        <v>40604.0</v>
      </c>
      <c r="AO334" s="7">
        <v>97480.0</v>
      </c>
      <c r="AP334" s="7" t="s">
        <v>385</v>
      </c>
      <c r="AQ334" s="7"/>
      <c r="AR334" s="7"/>
      <c r="AS334" s="7"/>
      <c r="AT334" s="7"/>
      <c r="AU334" s="7">
        <v>1.0</v>
      </c>
      <c r="AV334" s="7" t="s">
        <v>4516</v>
      </c>
      <c r="AW334" s="7"/>
      <c r="AX334" s="7" t="s">
        <v>4517</v>
      </c>
      <c r="AY334" s="7" t="s">
        <v>1962</v>
      </c>
      <c r="AZ334" s="7" t="s">
        <v>4518</v>
      </c>
      <c r="BA334" s="7"/>
      <c r="BB334" s="7"/>
      <c r="BC334" s="7" t="s">
        <v>401</v>
      </c>
      <c r="BD334" s="21">
        <v>44217.0</v>
      </c>
      <c r="BE334" s="7" t="s">
        <v>4519</v>
      </c>
      <c r="BF334" s="7"/>
      <c r="BG334" s="7"/>
      <c r="BH334" s="7"/>
      <c r="BI334" s="7" t="s">
        <v>4520</v>
      </c>
      <c r="BJ334" s="7"/>
      <c r="BK334" s="7" t="b">
        <v>0</v>
      </c>
      <c r="BL334" s="7" t="b">
        <v>0</v>
      </c>
      <c r="BM334" s="7"/>
      <c r="BN334" s="7" t="str">
        <f>IFERROR(__xludf.DUMMYFUNCTION(" IF( REGEXMATCH(C334 , ""[(].+[)]""),REGEXREPLACE( CONCATENATE(REGEXEXTRACT(C334 , ""[(].+[)]""),IF(REGEXMATCH(C334 , ""[(][Ll]['’][)]""),"""","" ""), REGEXEXTRACT(C334 ,""^(?:(?:[A-Za-zàäéèêîïöôûü0-9 ](?:[A-Za-zàäéèêîïöôûü'0-9 ]+)))"")) , ""[()]"", """")"&amp;",C334 )"),"Les Grands Monts ")</f>
        <v>Les Grands Monts </v>
      </c>
      <c r="BO334" s="25"/>
      <c r="BP334" s="7"/>
      <c r="BQ334" s="7"/>
      <c r="BR334" s="7"/>
      <c r="BS334" s="7"/>
      <c r="BT334" s="7"/>
      <c r="BU334" s="7"/>
      <c r="BV334" s="7"/>
      <c r="BW334" s="7"/>
      <c r="BX334" s="7"/>
      <c r="BY334" s="7"/>
      <c r="BZ334" s="7"/>
      <c r="CA334" s="7"/>
      <c r="CB334" s="7"/>
    </row>
    <row r="335" ht="21.75" customHeight="1">
      <c r="A335" s="7">
        <v>3084.0</v>
      </c>
      <c r="B335" s="7" t="s">
        <v>4521</v>
      </c>
      <c r="C335" s="7" t="s">
        <v>4522</v>
      </c>
      <c r="D335" s="7"/>
      <c r="E335" s="7"/>
      <c r="F335" s="7" t="s">
        <v>342</v>
      </c>
      <c r="G335" s="7" t="s">
        <v>343</v>
      </c>
      <c r="H335" s="7" t="s">
        <v>123</v>
      </c>
      <c r="I335" s="7" t="s">
        <v>4523</v>
      </c>
      <c r="J335" s="7"/>
      <c r="K335" s="7" t="s">
        <v>34</v>
      </c>
      <c r="L335" s="7" t="s">
        <v>622</v>
      </c>
      <c r="M335" s="7" t="s">
        <v>622</v>
      </c>
      <c r="N335" s="7" t="s">
        <v>422</v>
      </c>
      <c r="O335" s="7">
        <v>97480.0</v>
      </c>
      <c r="P335" s="7" t="s">
        <v>123</v>
      </c>
      <c r="Q335" s="7" t="s">
        <v>1278</v>
      </c>
      <c r="R335" s="7"/>
      <c r="S335" s="7" t="s">
        <v>4524</v>
      </c>
      <c r="T335" s="7" t="s">
        <v>377</v>
      </c>
      <c r="U335" s="7" t="s">
        <v>353</v>
      </c>
      <c r="V335" s="7"/>
      <c r="W335" s="7">
        <v>6.92684454E8</v>
      </c>
      <c r="X335" s="7"/>
      <c r="Y335" s="7"/>
      <c r="Z335" s="7" t="s">
        <v>4525</v>
      </c>
      <c r="AA335" s="7"/>
      <c r="AB335" s="7"/>
      <c r="AC335" s="7" t="s">
        <v>4526</v>
      </c>
      <c r="AD335" s="7" t="s">
        <v>4527</v>
      </c>
      <c r="AE335" s="7"/>
      <c r="AF335" s="7"/>
      <c r="AG335" s="7"/>
      <c r="AH335" s="20">
        <v>43739.0</v>
      </c>
      <c r="AI335" s="7"/>
      <c r="AJ335" s="7" t="s">
        <v>4528</v>
      </c>
      <c r="AK335" s="7">
        <v>3.4778160100021E13</v>
      </c>
      <c r="AL335" s="7" t="s">
        <v>4529</v>
      </c>
      <c r="AM335" s="7" t="s">
        <v>4530</v>
      </c>
      <c r="AN335" s="20">
        <v>43739.0</v>
      </c>
      <c r="AO335" s="7">
        <v>97480.0</v>
      </c>
      <c r="AP335" s="7" t="s">
        <v>385</v>
      </c>
      <c r="AQ335" s="7"/>
      <c r="AR335" s="7"/>
      <c r="AS335" s="7"/>
      <c r="AT335" s="7"/>
      <c r="AU335" s="7">
        <v>1.0</v>
      </c>
      <c r="AV335" s="7" t="s">
        <v>4531</v>
      </c>
      <c r="AW335" s="7"/>
      <c r="AX335" s="7"/>
      <c r="AY335" s="7"/>
      <c r="AZ335" s="7"/>
      <c r="BA335" s="7"/>
      <c r="BB335" s="7"/>
      <c r="BC335" s="7" t="s">
        <v>401</v>
      </c>
      <c r="BD335" s="7"/>
      <c r="BE335" s="7" t="s">
        <v>4532</v>
      </c>
      <c r="BF335" s="7"/>
      <c r="BG335" s="7"/>
      <c r="BH335" s="7">
        <v>3.47781601E8</v>
      </c>
      <c r="BI335" s="7" t="s">
        <v>4533</v>
      </c>
      <c r="BJ335" s="7"/>
      <c r="BK335" s="7" t="b">
        <v>0</v>
      </c>
      <c r="BL335" s="7" t="b">
        <v>0</v>
      </c>
      <c r="BM335" s="7"/>
      <c r="BN335" s="7" t="str">
        <f>IFERROR(__xludf.DUMMYFUNCTION(" IF( REGEXMATCH(C335 , ""[(].+[)]""),REGEXREPLACE( CONCATENATE(REGEXEXTRACT(C335 , ""[(].+[)]""),IF(REGEXMATCH(C335 , ""[(][Ll]['’][)]""),"""","" ""), REGEXEXTRACT(C335 ,""^(?:(?:[A-Za-zàäéèêîïöôûü0-9 ](?:[A-Za-zàäéèêîïöôûü'0-9 ]+)))"")) , ""[()]"", """")"&amp;",C335 )"),"Le Gréguois ")</f>
        <v>Le Gréguois </v>
      </c>
      <c r="BO335" s="25"/>
      <c r="BP335" s="7"/>
      <c r="BQ335" s="7"/>
      <c r="BR335" s="7"/>
      <c r="BS335" s="7"/>
      <c r="BT335" s="7"/>
      <c r="BU335" s="7"/>
      <c r="BV335" s="7"/>
      <c r="BW335" s="7"/>
      <c r="BX335" s="7"/>
      <c r="BY335" s="7"/>
      <c r="BZ335" s="7"/>
      <c r="CA335" s="7"/>
      <c r="CB335" s="7"/>
    </row>
    <row r="336" ht="21.75" customHeight="1">
      <c r="A336" s="7">
        <v>3615.0</v>
      </c>
      <c r="B336" s="7">
        <v>335.0</v>
      </c>
      <c r="C336" s="7" t="s">
        <v>4534</v>
      </c>
      <c r="D336" s="7" t="s">
        <v>4535</v>
      </c>
      <c r="E336" s="7"/>
      <c r="F336" s="7" t="s">
        <v>404</v>
      </c>
      <c r="G336" s="7" t="s">
        <v>343</v>
      </c>
      <c r="H336" s="7" t="s">
        <v>123</v>
      </c>
      <c r="I336" s="7" t="s">
        <v>4536</v>
      </c>
      <c r="J336" s="7"/>
      <c r="K336" s="7" t="s">
        <v>58</v>
      </c>
      <c r="L336" s="7" t="s">
        <v>453</v>
      </c>
      <c r="M336" s="7" t="s">
        <v>454</v>
      </c>
      <c r="N336" s="7" t="s">
        <v>455</v>
      </c>
      <c r="O336" s="7">
        <v>97480.0</v>
      </c>
      <c r="P336" s="7" t="s">
        <v>123</v>
      </c>
      <c r="Q336" s="7" t="s">
        <v>726</v>
      </c>
      <c r="R336" s="7" t="s">
        <v>4537</v>
      </c>
      <c r="S336" s="7" t="s">
        <v>1296</v>
      </c>
      <c r="T336" s="7" t="s">
        <v>377</v>
      </c>
      <c r="U336" s="7" t="s">
        <v>592</v>
      </c>
      <c r="V336" s="7">
        <v>2.62882571E8</v>
      </c>
      <c r="W336" s="7">
        <v>6.92467564E8</v>
      </c>
      <c r="X336" s="7"/>
      <c r="Y336" s="7"/>
      <c r="Z336" s="7" t="s">
        <v>4538</v>
      </c>
      <c r="AA336" s="7">
        <v>10.0</v>
      </c>
      <c r="AB336" s="7"/>
      <c r="AC336" s="7" t="s">
        <v>4539</v>
      </c>
      <c r="AD336" s="7" t="s">
        <v>4540</v>
      </c>
      <c r="AE336" s="7" t="s">
        <v>4541</v>
      </c>
      <c r="AF336" s="7"/>
      <c r="AG336" s="7"/>
      <c r="AH336" s="20">
        <v>41795.0</v>
      </c>
      <c r="AI336" s="7"/>
      <c r="AJ336" s="7" t="s">
        <v>4542</v>
      </c>
      <c r="AK336" s="7"/>
      <c r="AL336" s="7" t="s">
        <v>734</v>
      </c>
      <c r="AM336" s="7" t="s">
        <v>4543</v>
      </c>
      <c r="AN336" s="20">
        <v>41795.0</v>
      </c>
      <c r="AO336" s="7">
        <v>97480.0</v>
      </c>
      <c r="AP336" s="7" t="s">
        <v>385</v>
      </c>
      <c r="AQ336" s="7"/>
      <c r="AR336" s="7"/>
      <c r="AS336" s="7"/>
      <c r="AT336" s="7"/>
      <c r="AU336" s="7">
        <v>4.0</v>
      </c>
      <c r="AV336" s="7" t="s">
        <v>4544</v>
      </c>
      <c r="AW336" s="7"/>
      <c r="AX336" s="7"/>
      <c r="AY336" s="7"/>
      <c r="AZ336" s="7"/>
      <c r="BA336" s="7"/>
      <c r="BB336" s="7"/>
      <c r="BC336" s="7" t="s">
        <v>366</v>
      </c>
      <c r="BD336" s="21">
        <v>44197.0</v>
      </c>
      <c r="BE336" s="7"/>
      <c r="BF336" s="7"/>
      <c r="BG336" s="22">
        <v>44197.0</v>
      </c>
      <c r="BH336" s="7"/>
      <c r="BI336" s="7" t="s">
        <v>740</v>
      </c>
      <c r="BJ336" s="7"/>
      <c r="BK336" s="7" t="b">
        <v>0</v>
      </c>
      <c r="BL336" s="7" t="b">
        <v>0</v>
      </c>
      <c r="BM336" s="7"/>
      <c r="BN336" s="7" t="str">
        <f>IFERROR(__xludf.DUMMYFUNCTION(" IF( REGEXMATCH(C336 , ""[(].+[)]""),REGEXREPLACE( CONCATENATE(REGEXEXTRACT(C336 , ""[(].+[)]""),IF(REGEXMATCH(C336 , ""[(][Ll]['’][)]""),"""","" ""), REGEXEXTRACT(C336 ,""^(?:(?:[A-Za-zàäéèêîïöôûü0-9 ](?:[A-Za-zàäéèêîïöôûü'0-9 ]+)))"")) , ""[()]"", """")"&amp;",C336 )"),"La Grenouillère ")</f>
        <v>La Grenouillère </v>
      </c>
      <c r="BO336" s="23"/>
      <c r="BP336" s="7"/>
      <c r="BQ336" s="7"/>
      <c r="BR336" s="7"/>
      <c r="BS336" s="7"/>
      <c r="BT336" s="7"/>
      <c r="BU336" s="7"/>
      <c r="BV336" s="7"/>
      <c r="BW336" s="7"/>
      <c r="BX336" s="7"/>
      <c r="BY336" s="7"/>
      <c r="BZ336" s="7"/>
      <c r="CA336" s="7"/>
      <c r="CB336" s="7"/>
    </row>
    <row r="337" ht="21.75" customHeight="1">
      <c r="A337" s="7">
        <v>15.0</v>
      </c>
      <c r="B337" s="7" t="s">
        <v>4545</v>
      </c>
      <c r="C337" s="7" t="s">
        <v>4546</v>
      </c>
      <c r="D337" s="7" t="s">
        <v>4547</v>
      </c>
      <c r="E337" s="7"/>
      <c r="F337" s="7" t="s">
        <v>342</v>
      </c>
      <c r="G337" s="7" t="s">
        <v>343</v>
      </c>
      <c r="H337" s="7" t="s">
        <v>344</v>
      </c>
      <c r="I337" s="7" t="s">
        <v>4548</v>
      </c>
      <c r="J337" s="26" t="s">
        <v>3574</v>
      </c>
      <c r="K337" s="7" t="s">
        <v>58</v>
      </c>
      <c r="L337" s="7" t="s">
        <v>453</v>
      </c>
      <c r="M337" s="7" t="s">
        <v>454</v>
      </c>
      <c r="N337" s="7" t="s">
        <v>455</v>
      </c>
      <c r="O337" s="7">
        <v>97418.0</v>
      </c>
      <c r="P337" s="7" t="s">
        <v>348</v>
      </c>
      <c r="Q337" s="7" t="s">
        <v>349</v>
      </c>
      <c r="R337" s="7" t="s">
        <v>4549</v>
      </c>
      <c r="S337" s="7"/>
      <c r="T337" s="7" t="s">
        <v>352</v>
      </c>
      <c r="U337" s="7" t="s">
        <v>353</v>
      </c>
      <c r="V337" s="7">
        <v>2.62591797E8</v>
      </c>
      <c r="W337" s="7">
        <v>6.92692614E8</v>
      </c>
      <c r="X337" s="7"/>
      <c r="Y337" s="7">
        <v>2.62591797E8</v>
      </c>
      <c r="Z337" s="7" t="s">
        <v>3576</v>
      </c>
      <c r="AA337" s="7">
        <v>13.0</v>
      </c>
      <c r="AB337" s="7" t="s">
        <v>574</v>
      </c>
      <c r="AC337" s="7" t="s">
        <v>4550</v>
      </c>
      <c r="AD337" s="7" t="s">
        <v>4551</v>
      </c>
      <c r="AE337" s="7" t="s">
        <v>4552</v>
      </c>
      <c r="AF337" s="7" t="s">
        <v>4553</v>
      </c>
      <c r="AG337" s="7" t="s">
        <v>578</v>
      </c>
      <c r="AH337" s="20">
        <v>39575.0</v>
      </c>
      <c r="AI337" s="7"/>
      <c r="AJ337" s="7" t="s">
        <v>3579</v>
      </c>
      <c r="AK337" s="7">
        <v>4.3909838500016E13</v>
      </c>
      <c r="AL337" s="7" t="s">
        <v>3580</v>
      </c>
      <c r="AM337" s="7" t="s">
        <v>3581</v>
      </c>
      <c r="AN337" s="20">
        <v>39575.0</v>
      </c>
      <c r="AO337" s="7">
        <v>97418.0</v>
      </c>
      <c r="AP337" s="7" t="s">
        <v>362</v>
      </c>
      <c r="AQ337" s="7"/>
      <c r="AR337" s="7"/>
      <c r="AS337" s="7"/>
      <c r="AT337" s="7"/>
      <c r="AU337" s="7">
        <v>3.0</v>
      </c>
      <c r="AV337" s="7" t="s">
        <v>3582</v>
      </c>
      <c r="AW337" s="7" t="s">
        <v>4554</v>
      </c>
      <c r="AX337" s="7" t="s">
        <v>4555</v>
      </c>
      <c r="AY337" s="7" t="s">
        <v>1829</v>
      </c>
      <c r="AZ337" s="7" t="s">
        <v>4556</v>
      </c>
      <c r="BA337" s="7"/>
      <c r="BB337" s="7"/>
      <c r="BC337" s="7" t="s">
        <v>401</v>
      </c>
      <c r="BD337" s="21">
        <v>44131.0</v>
      </c>
      <c r="BE337" s="7" t="s">
        <v>4557</v>
      </c>
      <c r="BF337" s="7"/>
      <c r="BG337" s="7"/>
      <c r="BH337" s="7">
        <v>4.39098385E8</v>
      </c>
      <c r="BI337" s="7" t="s">
        <v>4558</v>
      </c>
      <c r="BJ337" s="7"/>
      <c r="BK337" s="7" t="b">
        <v>0</v>
      </c>
      <c r="BL337" s="7" t="b">
        <v>0</v>
      </c>
      <c r="BM337" s="7"/>
      <c r="BN337" s="7" t="str">
        <f>IFERROR(__xludf.DUMMYFUNCTION(" IF( REGEXMATCH(C337 , ""[(].+[)]""),REGEXREPLACE( CONCATENATE(REGEXEXTRACT(C337 , ""[(].+[)]""),IF(REGEXMATCH(C337 , ""[(][Ll]['’][)]""),"""","" ""), REGEXEXTRACT(C337 ,""^(?:(?:[A-Za-zàäéèêîïöôûü0-9 ](?:[A-Za-zàäéèêîïöôûü'0-9 ]+)))"")) , ""[()]"", """")"&amp;",C337 )"),"Les Grévilléas ")</f>
        <v>Les Grévilléas </v>
      </c>
      <c r="BO337" s="25"/>
      <c r="BP337" s="7"/>
      <c r="BQ337" s="7"/>
      <c r="BR337" s="7"/>
      <c r="BS337" s="7"/>
      <c r="BT337" s="7"/>
      <c r="BU337" s="7"/>
      <c r="BV337" s="7"/>
      <c r="BW337" s="7"/>
      <c r="BX337" s="7"/>
      <c r="BY337" s="7"/>
      <c r="BZ337" s="7"/>
      <c r="CA337" s="7"/>
      <c r="CB337" s="7"/>
    </row>
    <row r="338" ht="21.75" customHeight="1">
      <c r="A338" s="7">
        <v>1982.0</v>
      </c>
      <c r="B338" s="7" t="s">
        <v>4559</v>
      </c>
      <c r="C338" s="7" t="s">
        <v>4560</v>
      </c>
      <c r="D338" s="7"/>
      <c r="E338" s="7"/>
      <c r="F338" s="7" t="s">
        <v>342</v>
      </c>
      <c r="G338" s="7" t="s">
        <v>343</v>
      </c>
      <c r="H338" s="7" t="s">
        <v>344</v>
      </c>
      <c r="I338" s="7" t="s">
        <v>4561</v>
      </c>
      <c r="J338" s="7"/>
      <c r="K338" s="7" t="s">
        <v>34</v>
      </c>
      <c r="L338" s="7" t="s">
        <v>622</v>
      </c>
      <c r="M338" s="7" t="s">
        <v>622</v>
      </c>
      <c r="N338" s="7" t="s">
        <v>455</v>
      </c>
      <c r="O338" s="7">
        <v>97418.0</v>
      </c>
      <c r="P338" s="7" t="s">
        <v>348</v>
      </c>
      <c r="Q338" s="7" t="s">
        <v>349</v>
      </c>
      <c r="R338" s="7" t="s">
        <v>801</v>
      </c>
      <c r="S338" s="7" t="s">
        <v>4562</v>
      </c>
      <c r="T338" s="7" t="s">
        <v>377</v>
      </c>
      <c r="U338" s="7" t="s">
        <v>378</v>
      </c>
      <c r="V338" s="7">
        <v>2.62592957E8</v>
      </c>
      <c r="W338" s="7"/>
      <c r="X338" s="7"/>
      <c r="Y338" s="7"/>
      <c r="Z338" s="7"/>
      <c r="AA338" s="7">
        <v>65.0</v>
      </c>
      <c r="AB338" s="7"/>
      <c r="AC338" s="7"/>
      <c r="AD338" s="7" t="s">
        <v>4563</v>
      </c>
      <c r="AE338" s="7"/>
      <c r="AF338" s="7"/>
      <c r="AG338" s="7"/>
      <c r="AH338" s="20">
        <v>43739.0</v>
      </c>
      <c r="AI338" s="7"/>
      <c r="AJ338" s="7" t="s">
        <v>4560</v>
      </c>
      <c r="AK338" s="7"/>
      <c r="AL338" s="7" t="s">
        <v>4564</v>
      </c>
      <c r="AM338" s="7" t="s">
        <v>4565</v>
      </c>
      <c r="AN338" s="20">
        <v>43739.0</v>
      </c>
      <c r="AO338" s="7">
        <v>97418.0</v>
      </c>
      <c r="AP338" s="7" t="s">
        <v>362</v>
      </c>
      <c r="AQ338" s="7"/>
      <c r="AR338" s="7"/>
      <c r="AS338" s="7"/>
      <c r="AT338" s="7"/>
      <c r="AU338" s="7">
        <v>0.0</v>
      </c>
      <c r="AV338" s="7" t="s">
        <v>4566</v>
      </c>
      <c r="AW338" s="7"/>
      <c r="AX338" s="7"/>
      <c r="AY338" s="7"/>
      <c r="AZ338" s="7"/>
      <c r="BA338" s="7"/>
      <c r="BB338" s="7"/>
      <c r="BC338" s="7" t="s">
        <v>401</v>
      </c>
      <c r="BD338" s="21">
        <v>44201.39236111111</v>
      </c>
      <c r="BE338" s="7" t="s">
        <v>1047</v>
      </c>
      <c r="BF338" s="7"/>
      <c r="BG338" s="7"/>
      <c r="BH338" s="7"/>
      <c r="BI338" s="7" t="s">
        <v>4567</v>
      </c>
      <c r="BJ338" s="7"/>
      <c r="BK338" s="7" t="b">
        <v>0</v>
      </c>
      <c r="BL338" s="7" t="b">
        <v>0</v>
      </c>
      <c r="BM338" s="7"/>
      <c r="BN338" s="7" t="str">
        <f>IFERROR(__xludf.DUMMYFUNCTION(" IF( REGEXMATCH(C338 , ""[(].+[)]""),REGEXREPLACE( CONCATENATE(REGEXEXTRACT(C338 , ""[(].+[)]""),IF(REGEXMATCH(C338 , ""[(][Ll]['’][)]""),"""","" ""), REGEXEXTRACT(C338 ,""^(?:(?:[A-Za-zàäéèêîïöôûü0-9 ](?:[A-Za-zàäéèêîïöôûü'0-9 ]+)))"")) , ""[()]"", """")"&amp;",C338 )"),"Le Grill de Virginie ")</f>
        <v>Le Grill de Virginie </v>
      </c>
      <c r="BO338" s="25"/>
      <c r="BP338" s="7"/>
      <c r="BQ338" s="7"/>
      <c r="BR338" s="7"/>
      <c r="BS338" s="7"/>
      <c r="BT338" s="7"/>
      <c r="BU338" s="7"/>
      <c r="BV338" s="7"/>
      <c r="BW338" s="7"/>
      <c r="BX338" s="7"/>
      <c r="BY338" s="7"/>
      <c r="BZ338" s="7"/>
      <c r="CA338" s="7"/>
      <c r="CB338" s="7"/>
    </row>
    <row r="339" ht="21.75" customHeight="1">
      <c r="A339" s="7">
        <v>2249.0</v>
      </c>
      <c r="B339" s="7" t="s">
        <v>4568</v>
      </c>
      <c r="C339" s="7" t="s">
        <v>4569</v>
      </c>
      <c r="D339" s="7" t="s">
        <v>4570</v>
      </c>
      <c r="E339" s="7"/>
      <c r="F339" s="7" t="s">
        <v>342</v>
      </c>
      <c r="G339" s="7" t="s">
        <v>343</v>
      </c>
      <c r="H339" s="7" t="s">
        <v>344</v>
      </c>
      <c r="I339" s="7" t="s">
        <v>4571</v>
      </c>
      <c r="J339" s="26" t="s">
        <v>4572</v>
      </c>
      <c r="K339" s="7" t="s">
        <v>34</v>
      </c>
      <c r="L339" s="7" t="s">
        <v>622</v>
      </c>
      <c r="M339" s="7" t="s">
        <v>622</v>
      </c>
      <c r="N339" s="7" t="s">
        <v>347</v>
      </c>
      <c r="O339" s="7">
        <v>97418.0</v>
      </c>
      <c r="P339" s="7" t="s">
        <v>348</v>
      </c>
      <c r="Q339" s="7" t="s">
        <v>570</v>
      </c>
      <c r="R339" s="7" t="s">
        <v>4573</v>
      </c>
      <c r="S339" s="7" t="s">
        <v>4562</v>
      </c>
      <c r="T339" s="7" t="s">
        <v>4574</v>
      </c>
      <c r="U339" s="7" t="s">
        <v>592</v>
      </c>
      <c r="V339" s="7">
        <v>2.6259101E8</v>
      </c>
      <c r="W339" s="7">
        <v>6.92224711E8</v>
      </c>
      <c r="X339" s="7"/>
      <c r="Y339" s="7"/>
      <c r="Z339" s="7" t="s">
        <v>4575</v>
      </c>
      <c r="AA339" s="7">
        <v>220.0</v>
      </c>
      <c r="AB339" s="7"/>
      <c r="AC339" s="7" t="s">
        <v>4576</v>
      </c>
      <c r="AD339" s="7" t="s">
        <v>4577</v>
      </c>
      <c r="AE339" s="7" t="s">
        <v>4578</v>
      </c>
      <c r="AF339" s="7"/>
      <c r="AG339" s="7"/>
      <c r="AH339" s="20">
        <v>40241.0</v>
      </c>
      <c r="AI339" s="7"/>
      <c r="AJ339" s="7" t="s">
        <v>4579</v>
      </c>
      <c r="AK339" s="7"/>
      <c r="AL339" s="7" t="s">
        <v>4580</v>
      </c>
      <c r="AM339" s="7" t="s">
        <v>4581</v>
      </c>
      <c r="AN339" s="20">
        <v>40241.0</v>
      </c>
      <c r="AO339" s="7">
        <v>97418.0</v>
      </c>
      <c r="AP339" s="7" t="s">
        <v>362</v>
      </c>
      <c r="AQ339" s="7"/>
      <c r="AR339" s="7"/>
      <c r="AS339" s="7"/>
      <c r="AT339" s="7"/>
      <c r="AU339" s="7">
        <v>0.0</v>
      </c>
      <c r="AV339" s="7" t="s">
        <v>4582</v>
      </c>
      <c r="AW339" s="7"/>
      <c r="AX339" s="7"/>
      <c r="AY339" s="7"/>
      <c r="AZ339" s="7" t="s">
        <v>4583</v>
      </c>
      <c r="BA339" s="7"/>
      <c r="BB339" s="7"/>
      <c r="BC339" s="7" t="s">
        <v>401</v>
      </c>
      <c r="BD339" s="21">
        <v>44236.427777777775</v>
      </c>
      <c r="BE339" s="7" t="s">
        <v>4584</v>
      </c>
      <c r="BF339" s="7"/>
      <c r="BG339" s="7"/>
      <c r="BH339" s="7"/>
      <c r="BI339" s="7" t="s">
        <v>1504</v>
      </c>
      <c r="BJ339" s="7"/>
      <c r="BK339" s="7" t="b">
        <v>0</v>
      </c>
      <c r="BL339" s="7" t="b">
        <v>0</v>
      </c>
      <c r="BM339" s="7"/>
      <c r="BN339" s="7" t="str">
        <f>IFERROR(__xludf.DUMMYFUNCTION(" IF( REGEXMATCH(C339 , ""[(].+[)]""),REGEXREPLACE( CONCATENATE(REGEXEXTRACT(C339 , ""[(].+[)]""),IF(REGEXMATCH(C339 , ""[(][Ll]['’][)]""),"""","" ""), REGEXEXTRACT(C339 ,""^(?:(?:[A-Za-zàäéèêîïöôûü0-9 ](?:[A-Za-zàäéèêîïöôûü'0-9 ]+)))"")) , ""[()]"", """")"&amp;",C339 )"),"Le Grillanoo ")</f>
        <v>Le Grillanoo </v>
      </c>
      <c r="BO339" s="25"/>
      <c r="BP339" s="7"/>
      <c r="BQ339" s="7"/>
      <c r="BR339" s="7"/>
      <c r="BS339" s="7"/>
      <c r="BT339" s="7"/>
      <c r="BU339" s="7"/>
      <c r="BV339" s="7"/>
      <c r="BW339" s="7"/>
      <c r="BX339" s="7"/>
      <c r="BY339" s="7"/>
      <c r="BZ339" s="7"/>
      <c r="CA339" s="7"/>
      <c r="CB339" s="7"/>
    </row>
    <row r="340" ht="21.75" customHeight="1">
      <c r="A340" s="7">
        <v>987.0</v>
      </c>
      <c r="B340" s="7">
        <v>339.0</v>
      </c>
      <c r="C340" s="7" t="s">
        <v>4585</v>
      </c>
      <c r="D340" s="7" t="s">
        <v>4586</v>
      </c>
      <c r="E340" s="7"/>
      <c r="F340" s="7" t="s">
        <v>404</v>
      </c>
      <c r="G340" s="7" t="s">
        <v>343</v>
      </c>
      <c r="H340" s="7" t="s">
        <v>344</v>
      </c>
      <c r="I340" s="7" t="s">
        <v>4587</v>
      </c>
      <c r="J340" s="7"/>
      <c r="K340" s="7" t="s">
        <v>34</v>
      </c>
      <c r="L340" s="7" t="s">
        <v>622</v>
      </c>
      <c r="M340" s="7" t="s">
        <v>622</v>
      </c>
      <c r="N340" s="7" t="s">
        <v>664</v>
      </c>
      <c r="O340" s="7">
        <v>97430.0</v>
      </c>
      <c r="P340" s="7" t="s">
        <v>344</v>
      </c>
      <c r="Q340" s="7"/>
      <c r="R340" s="7" t="s">
        <v>1986</v>
      </c>
      <c r="S340" s="7" t="s">
        <v>4588</v>
      </c>
      <c r="T340" s="7" t="s">
        <v>1838</v>
      </c>
      <c r="U340" s="7" t="s">
        <v>4589</v>
      </c>
      <c r="V340" s="7">
        <v>2.62576796E8</v>
      </c>
      <c r="W340" s="7"/>
      <c r="X340" s="7"/>
      <c r="Y340" s="7"/>
      <c r="Z340" s="7"/>
      <c r="AA340" s="7">
        <v>24.0</v>
      </c>
      <c r="AB340" s="7"/>
      <c r="AC340" s="7"/>
      <c r="AD340" s="7" t="s">
        <v>4590</v>
      </c>
      <c r="AE340" s="7"/>
      <c r="AF340" s="7"/>
      <c r="AG340" s="7"/>
      <c r="AH340" s="20">
        <v>39575.0</v>
      </c>
      <c r="AI340" s="7"/>
      <c r="AJ340" s="7" t="s">
        <v>4586</v>
      </c>
      <c r="AK340" s="7">
        <v>4.4225292000016E13</v>
      </c>
      <c r="AL340" s="7" t="s">
        <v>4591</v>
      </c>
      <c r="AM340" s="7" t="s">
        <v>4592</v>
      </c>
      <c r="AN340" s="20">
        <v>39575.0</v>
      </c>
      <c r="AO340" s="7">
        <v>97430.0</v>
      </c>
      <c r="AP340" s="7" t="s">
        <v>494</v>
      </c>
      <c r="AQ340" s="7"/>
      <c r="AR340" s="7"/>
      <c r="AS340" s="7"/>
      <c r="AT340" s="7"/>
      <c r="AU340" s="7">
        <v>0.0</v>
      </c>
      <c r="AV340" s="7" t="s">
        <v>4593</v>
      </c>
      <c r="AW340" s="7"/>
      <c r="AX340" s="7"/>
      <c r="AY340" s="7"/>
      <c r="AZ340" s="7"/>
      <c r="BA340" s="7"/>
      <c r="BB340" s="7"/>
      <c r="BC340" s="7" t="s">
        <v>366</v>
      </c>
      <c r="BD340" s="21">
        <v>44197.0</v>
      </c>
      <c r="BE340" s="7"/>
      <c r="BF340" s="7"/>
      <c r="BG340" s="22">
        <v>44197.0</v>
      </c>
      <c r="BH340" s="7">
        <v>4.4225292E8</v>
      </c>
      <c r="BI340" s="7" t="s">
        <v>4594</v>
      </c>
      <c r="BJ340" s="7"/>
      <c r="BK340" s="7" t="b">
        <v>0</v>
      </c>
      <c r="BL340" s="7" t="b">
        <v>0</v>
      </c>
      <c r="BM340" s="7"/>
      <c r="BN340" s="7" t="str">
        <f>IFERROR(__xludf.DUMMYFUNCTION(" IF( REGEXMATCH(C340 , ""[(].+[)]""),REGEXREPLACE( CONCATENATE(REGEXEXTRACT(C340 , ""[(].+[)]""),IF(REGEXMATCH(C340 , ""[(][Ll]['’][)]""),"""","" ""), REGEXEXTRACT(C340 ,""^(?:(?:[A-Za-zàäéèêîïöôûü0-9 ](?:[A-Za-zàäéèêîïöôûü'0-9 ]+)))"")) , ""[()]"", """")"&amp;",C340 )"),"Le Guang Dong ")</f>
        <v>Le Guang Dong </v>
      </c>
      <c r="BO340" s="23"/>
      <c r="BP340" s="7"/>
      <c r="BQ340" s="7"/>
      <c r="BR340" s="7"/>
      <c r="BS340" s="7"/>
      <c r="BT340" s="7"/>
      <c r="BU340" s="7"/>
      <c r="BV340" s="7"/>
      <c r="BW340" s="7"/>
      <c r="BX340" s="7"/>
      <c r="BY340" s="7"/>
      <c r="BZ340" s="7"/>
      <c r="CA340" s="7"/>
      <c r="CB340" s="7"/>
    </row>
    <row r="341" ht="21.75" customHeight="1">
      <c r="A341" s="7">
        <v>50.0</v>
      </c>
      <c r="B341" s="7">
        <v>340.0</v>
      </c>
      <c r="C341" s="7" t="s">
        <v>4595</v>
      </c>
      <c r="D341" s="7" t="s">
        <v>4596</v>
      </c>
      <c r="E341" s="7"/>
      <c r="F341" s="7" t="s">
        <v>342</v>
      </c>
      <c r="G341" s="7" t="s">
        <v>343</v>
      </c>
      <c r="H341" s="7" t="s">
        <v>344</v>
      </c>
      <c r="I341" s="7" t="s">
        <v>4597</v>
      </c>
      <c r="J341" s="7"/>
      <c r="K341" s="7" t="s">
        <v>58</v>
      </c>
      <c r="L341" s="7" t="s">
        <v>453</v>
      </c>
      <c r="M341" s="7" t="s">
        <v>454</v>
      </c>
      <c r="N341" s="7" t="s">
        <v>407</v>
      </c>
      <c r="O341" s="7">
        <v>97418.0</v>
      </c>
      <c r="P341" s="7" t="s">
        <v>348</v>
      </c>
      <c r="Q341" s="7" t="s">
        <v>349</v>
      </c>
      <c r="R341" s="7" t="s">
        <v>4598</v>
      </c>
      <c r="S341" s="7" t="s">
        <v>506</v>
      </c>
      <c r="T341" s="6" t="s">
        <v>4599</v>
      </c>
      <c r="U341" s="7" t="s">
        <v>353</v>
      </c>
      <c r="V341" s="7">
        <v>2.62275925E8</v>
      </c>
      <c r="W341" s="7">
        <v>6.92823502E8</v>
      </c>
      <c r="X341" s="7"/>
      <c r="Y341" s="7"/>
      <c r="Z341" s="7" t="s">
        <v>4600</v>
      </c>
      <c r="AA341" s="7">
        <v>5.0</v>
      </c>
      <c r="AB341" s="7"/>
      <c r="AC341" s="7"/>
      <c r="AD341" s="7" t="s">
        <v>4601</v>
      </c>
      <c r="AE341" s="7" t="s">
        <v>4602</v>
      </c>
      <c r="AF341" s="7"/>
      <c r="AG341" s="7"/>
      <c r="AH341" s="20">
        <v>39575.0</v>
      </c>
      <c r="AI341" s="7"/>
      <c r="AJ341" s="7" t="s">
        <v>4595</v>
      </c>
      <c r="AK341" s="7">
        <v>4.2476852100017E13</v>
      </c>
      <c r="AL341" s="7" t="s">
        <v>4603</v>
      </c>
      <c r="AM341" s="7" t="s">
        <v>4604</v>
      </c>
      <c r="AN341" s="20">
        <v>39575.0</v>
      </c>
      <c r="AO341" s="7">
        <v>97418.0</v>
      </c>
      <c r="AP341" s="7" t="s">
        <v>362</v>
      </c>
      <c r="AQ341" s="7"/>
      <c r="AR341" s="7"/>
      <c r="AS341" s="7"/>
      <c r="AT341" s="7"/>
      <c r="AU341" s="7">
        <v>2.0</v>
      </c>
      <c r="AV341" s="7" t="s">
        <v>4605</v>
      </c>
      <c r="AW341" s="7"/>
      <c r="AX341" s="7"/>
      <c r="AY341" s="7"/>
      <c r="AZ341" s="7" t="s">
        <v>4606</v>
      </c>
      <c r="BA341" s="7"/>
      <c r="BB341" s="7"/>
      <c r="BC341" s="7" t="s">
        <v>366</v>
      </c>
      <c r="BD341" s="21">
        <v>44225.14027777778</v>
      </c>
      <c r="BE341" s="7"/>
      <c r="BF341" s="7"/>
      <c r="BG341" s="22">
        <v>44225.0</v>
      </c>
      <c r="BH341" s="7">
        <v>4.24768521E8</v>
      </c>
      <c r="BI341" s="7" t="s">
        <v>4607</v>
      </c>
      <c r="BJ341" s="7"/>
      <c r="BK341" s="7" t="b">
        <v>0</v>
      </c>
      <c r="BL341" s="7" t="b">
        <v>0</v>
      </c>
      <c r="BM341" s="7"/>
      <c r="BN341" s="7" t="str">
        <f>IFERROR(__xludf.DUMMYFUNCTION(" IF( REGEXMATCH(C341 , ""[(].+[)]""),REGEXREPLACE( CONCATENATE(REGEXEXTRACT(C341 , ""[(].+[)]""),IF(REGEXMATCH(C341 , ""[(][Ll]['’][)]""),"""","" ""), REGEXEXTRACT(C341 ,""^(?:(?:[A-Za-zàäéèêîïöôûü0-9 ](?:[A-Za-zàäéèêîïöôûü'0-9 ]+)))"")) , ""[()]"", """")"&amp;",C341 )"),"Guesdon Chantal")</f>
        <v>Guesdon Chantal</v>
      </c>
      <c r="BO341" s="23"/>
      <c r="BP341" s="7"/>
      <c r="BQ341" s="7"/>
      <c r="BR341" s="7"/>
      <c r="BS341" s="7"/>
      <c r="BT341" s="7"/>
      <c r="BU341" s="7"/>
      <c r="BV341" s="7"/>
      <c r="BW341" s="7"/>
      <c r="BX341" s="7"/>
      <c r="BY341" s="7"/>
      <c r="BZ341" s="7"/>
      <c r="CA341" s="7"/>
      <c r="CB341" s="7"/>
    </row>
    <row r="342" ht="21.75" customHeight="1">
      <c r="A342" s="7">
        <v>2331.0</v>
      </c>
      <c r="B342" s="7">
        <v>341.0</v>
      </c>
      <c r="C342" s="7" t="s">
        <v>4608</v>
      </c>
      <c r="D342" s="7" t="s">
        <v>4608</v>
      </c>
      <c r="E342" s="7"/>
      <c r="F342" s="7" t="s">
        <v>404</v>
      </c>
      <c r="G342" s="7" t="s">
        <v>343</v>
      </c>
      <c r="H342" s="7" t="s">
        <v>40</v>
      </c>
      <c r="I342" s="7" t="s">
        <v>4609</v>
      </c>
      <c r="J342" s="7"/>
      <c r="K342" s="7" t="s">
        <v>58</v>
      </c>
      <c r="L342" s="7" t="s">
        <v>59</v>
      </c>
      <c r="M342" s="7" t="s">
        <v>346</v>
      </c>
      <c r="N342" s="7" t="s">
        <v>422</v>
      </c>
      <c r="O342" s="7">
        <v>97414.0</v>
      </c>
      <c r="P342" s="7" t="s">
        <v>40</v>
      </c>
      <c r="Q342" s="7"/>
      <c r="R342" s="7" t="s">
        <v>423</v>
      </c>
      <c r="S342" s="7" t="s">
        <v>2198</v>
      </c>
      <c r="T342" s="7" t="s">
        <v>377</v>
      </c>
      <c r="U342" s="7" t="s">
        <v>378</v>
      </c>
      <c r="V342" s="7">
        <v>2.62388904E8</v>
      </c>
      <c r="W342" s="7">
        <v>6.92760959E8</v>
      </c>
      <c r="X342" s="7"/>
      <c r="Y342" s="7"/>
      <c r="Z342" s="7"/>
      <c r="AA342" s="7">
        <v>6.0</v>
      </c>
      <c r="AB342" s="7"/>
      <c r="AC342" s="7"/>
      <c r="AD342" s="7" t="s">
        <v>4610</v>
      </c>
      <c r="AE342" s="7"/>
      <c r="AF342" s="7"/>
      <c r="AG342" s="7"/>
      <c r="AH342" s="20">
        <v>43739.0</v>
      </c>
      <c r="AI342" s="7"/>
      <c r="AJ342" s="7" t="s">
        <v>4611</v>
      </c>
      <c r="AK342" s="7"/>
      <c r="AL342" s="7" t="s">
        <v>4612</v>
      </c>
      <c r="AM342" s="7" t="s">
        <v>4613</v>
      </c>
      <c r="AN342" s="20">
        <v>43739.0</v>
      </c>
      <c r="AO342" s="7">
        <v>97414.0</v>
      </c>
      <c r="AP342" s="7" t="s">
        <v>429</v>
      </c>
      <c r="AQ342" s="7"/>
      <c r="AR342" s="7"/>
      <c r="AS342" s="7"/>
      <c r="AT342" s="7"/>
      <c r="AU342" s="7">
        <v>1.0</v>
      </c>
      <c r="AV342" s="7" t="s">
        <v>4614</v>
      </c>
      <c r="AW342" s="7"/>
      <c r="AX342" s="7"/>
      <c r="AY342" s="7"/>
      <c r="AZ342" s="7"/>
      <c r="BA342" s="7"/>
      <c r="BB342" s="7"/>
      <c r="BC342" s="7" t="s">
        <v>366</v>
      </c>
      <c r="BD342" s="21">
        <v>44076.0625</v>
      </c>
      <c r="BE342" s="7"/>
      <c r="BF342" s="7"/>
      <c r="BG342" s="22">
        <v>44076.0</v>
      </c>
      <c r="BH342" s="7"/>
      <c r="BI342" s="7" t="s">
        <v>3176</v>
      </c>
      <c r="BJ342" s="7"/>
      <c r="BK342" s="7" t="b">
        <v>0</v>
      </c>
      <c r="BL342" s="7" t="b">
        <v>0</v>
      </c>
      <c r="BM342" s="7"/>
      <c r="BN342" s="7" t="str">
        <f>IFERROR(__xludf.DUMMYFUNCTION(" IF( REGEXMATCH(C342 , ""[(].+[)]""),REGEXREPLACE( CONCATENATE(REGEXEXTRACT(C342 , ""[(].+[)]""),IF(REGEXMATCH(C342 , ""[(][Ll]['’][)]""),"""","" ""), REGEXEXTRACT(C342 ,""^(?:(?:[A-Za-zàäéèêîïöôûü0-9 ](?:[A-Za-zàäéèêîïöôûü'0-9 ]+)))"")) , ""[()]"", """")"&amp;",C342 )"),"Hibiscus")</f>
        <v>Hibiscus</v>
      </c>
      <c r="BO342" s="23"/>
      <c r="BP342" s="7"/>
      <c r="BQ342" s="7"/>
      <c r="BR342" s="7"/>
      <c r="BS342" s="7"/>
      <c r="BT342" s="7"/>
      <c r="BU342" s="7"/>
      <c r="BV342" s="7"/>
      <c r="BW342" s="7"/>
      <c r="BX342" s="7"/>
      <c r="BY342" s="7"/>
      <c r="BZ342" s="7"/>
      <c r="CA342" s="7"/>
      <c r="CB342" s="7"/>
    </row>
    <row r="343" ht="21.75" customHeight="1">
      <c r="A343" s="7">
        <v>2892.0</v>
      </c>
      <c r="B343" s="7">
        <v>342.0</v>
      </c>
      <c r="C343" s="7" t="s">
        <v>4615</v>
      </c>
      <c r="D343" s="7"/>
      <c r="E343" s="7"/>
      <c r="F343" s="7" t="s">
        <v>342</v>
      </c>
      <c r="G343" s="7" t="s">
        <v>343</v>
      </c>
      <c r="H343" s="7" t="s">
        <v>33</v>
      </c>
      <c r="I343" s="7" t="s">
        <v>4616</v>
      </c>
      <c r="J343" s="7"/>
      <c r="K343" s="7" t="s">
        <v>58</v>
      </c>
      <c r="L343" s="7" t="s">
        <v>453</v>
      </c>
      <c r="M343" s="7" t="s">
        <v>454</v>
      </c>
      <c r="N343" s="7" t="s">
        <v>455</v>
      </c>
      <c r="O343" s="7">
        <v>97442.0</v>
      </c>
      <c r="P343" s="7" t="s">
        <v>33</v>
      </c>
      <c r="Q343" s="7"/>
      <c r="R343" s="7" t="s">
        <v>4617</v>
      </c>
      <c r="S343" s="7" t="s">
        <v>646</v>
      </c>
      <c r="T343" s="7" t="s">
        <v>377</v>
      </c>
      <c r="U343" s="7" t="s">
        <v>1508</v>
      </c>
      <c r="V343" s="7">
        <v>2.62536246E8</v>
      </c>
      <c r="W343" s="7">
        <v>6.922411E8</v>
      </c>
      <c r="X343" s="7">
        <v>6.922411E8</v>
      </c>
      <c r="Y343" s="7"/>
      <c r="Z343" s="7" t="s">
        <v>4618</v>
      </c>
      <c r="AA343" s="7">
        <v>5.0</v>
      </c>
      <c r="AB343" s="7"/>
      <c r="AC343" s="7"/>
      <c r="AD343" s="7" t="s">
        <v>4619</v>
      </c>
      <c r="AE343" s="7" t="s">
        <v>4620</v>
      </c>
      <c r="AF343" s="7"/>
      <c r="AG343" s="7"/>
      <c r="AH343" s="20">
        <v>43739.0</v>
      </c>
      <c r="AI343" s="7"/>
      <c r="AJ343" s="7" t="s">
        <v>4621</v>
      </c>
      <c r="AK343" s="7"/>
      <c r="AL343" s="7" t="s">
        <v>4622</v>
      </c>
      <c r="AM343" s="7" t="s">
        <v>4623</v>
      </c>
      <c r="AN343" s="20">
        <v>43739.0</v>
      </c>
      <c r="AO343" s="7">
        <v>97442.0</v>
      </c>
      <c r="AP343" s="7" t="s">
        <v>884</v>
      </c>
      <c r="AQ343" s="7"/>
      <c r="AR343" s="7"/>
      <c r="AS343" s="7"/>
      <c r="AT343" s="7"/>
      <c r="AU343" s="7">
        <v>1.0</v>
      </c>
      <c r="AV343" s="7" t="s">
        <v>4624</v>
      </c>
      <c r="AW343" s="7"/>
      <c r="AX343" s="7"/>
      <c r="AY343" s="7"/>
      <c r="AZ343" s="7" t="s">
        <v>4625</v>
      </c>
      <c r="BA343" s="7"/>
      <c r="BB343" s="7"/>
      <c r="BC343" s="7" t="s">
        <v>366</v>
      </c>
      <c r="BD343" s="21">
        <v>44094.21319444444</v>
      </c>
      <c r="BE343" s="7"/>
      <c r="BF343" s="7"/>
      <c r="BG343" s="22">
        <v>44094.0</v>
      </c>
      <c r="BH343" s="7"/>
      <c r="BI343" s="7" t="s">
        <v>4626</v>
      </c>
      <c r="BJ343" s="7"/>
      <c r="BK343" s="7" t="b">
        <v>0</v>
      </c>
      <c r="BL343" s="7" t="b">
        <v>0</v>
      </c>
      <c r="BM343" s="7"/>
      <c r="BN343" s="7" t="str">
        <f>IFERROR(__xludf.DUMMYFUNCTION(" IF( REGEXMATCH(C343 , ""[(].+[)]""),REGEXREPLACE( CONCATENATE(REGEXEXTRACT(C343 , ""[(].+[)]""),IF(REGEXMATCH(C343 , ""[(][Ll]['’][)]""),"""","" ""), REGEXEXTRACT(C343 ,""^(?:(?:[A-Za-zàäéèêîïöôûü0-9 ](?:[A-Za-zàäéèêîïöôûü'0-9 ]+)))"")) , ""[()]"", """")"&amp;",C343 )"),"Les Hibiscus ")</f>
        <v>Les Hibiscus </v>
      </c>
      <c r="BO343" s="23"/>
      <c r="BP343" s="7"/>
      <c r="BQ343" s="7"/>
      <c r="BR343" s="7"/>
      <c r="BS343" s="7"/>
      <c r="BT343" s="7"/>
      <c r="BU343" s="7"/>
      <c r="BV343" s="7"/>
      <c r="BW343" s="7"/>
      <c r="BX343" s="7"/>
      <c r="BY343" s="7"/>
      <c r="BZ343" s="7"/>
      <c r="CA343" s="7"/>
      <c r="CB343" s="7"/>
    </row>
    <row r="344" ht="21.75" customHeight="1">
      <c r="A344" s="7">
        <v>988.0</v>
      </c>
      <c r="B344" s="7">
        <v>343.0</v>
      </c>
      <c r="C344" s="7" t="s">
        <v>4627</v>
      </c>
      <c r="D344" s="7" t="s">
        <v>4628</v>
      </c>
      <c r="E344" s="7"/>
      <c r="F344" s="7" t="s">
        <v>342</v>
      </c>
      <c r="G344" s="7" t="s">
        <v>343</v>
      </c>
      <c r="H344" s="7" t="s">
        <v>123</v>
      </c>
      <c r="I344" s="7" t="s">
        <v>4629</v>
      </c>
      <c r="J344" s="7"/>
      <c r="K344" s="7" t="s">
        <v>34</v>
      </c>
      <c r="L344" s="7" t="s">
        <v>1414</v>
      </c>
      <c r="M344" s="7" t="s">
        <v>1414</v>
      </c>
      <c r="N344" s="7" t="s">
        <v>422</v>
      </c>
      <c r="O344" s="7">
        <v>97480.0</v>
      </c>
      <c r="P344" s="7" t="s">
        <v>123</v>
      </c>
      <c r="Q344" s="7"/>
      <c r="R344" s="7" t="s">
        <v>1836</v>
      </c>
      <c r="S344" s="7" t="s">
        <v>4630</v>
      </c>
      <c r="T344" s="7" t="s">
        <v>4631</v>
      </c>
      <c r="U344" s="7" t="s">
        <v>353</v>
      </c>
      <c r="V344" s="7">
        <v>2.62315711E8</v>
      </c>
      <c r="W344" s="7"/>
      <c r="X344" s="7"/>
      <c r="Y344" s="7"/>
      <c r="Z344" s="7"/>
      <c r="AA344" s="7">
        <v>80.0</v>
      </c>
      <c r="AB344" s="7"/>
      <c r="AC344" s="7"/>
      <c r="AD344" s="7" t="s">
        <v>4632</v>
      </c>
      <c r="AE344" s="7" t="s">
        <v>4633</v>
      </c>
      <c r="AF344" s="7"/>
      <c r="AG344" s="7"/>
      <c r="AH344" s="20">
        <v>39575.0</v>
      </c>
      <c r="AI344" s="7"/>
      <c r="AJ344" s="7" t="s">
        <v>4634</v>
      </c>
      <c r="AK344" s="7">
        <v>3.4025273300035E13</v>
      </c>
      <c r="AL344" s="7" t="s">
        <v>4635</v>
      </c>
      <c r="AM344" s="7" t="s">
        <v>4636</v>
      </c>
      <c r="AN344" s="20">
        <v>39575.0</v>
      </c>
      <c r="AO344" s="7">
        <v>97480.0</v>
      </c>
      <c r="AP344" s="7" t="s">
        <v>385</v>
      </c>
      <c r="AQ344" s="7"/>
      <c r="AR344" s="7"/>
      <c r="AS344" s="7"/>
      <c r="AT344" s="7"/>
      <c r="AU344" s="7">
        <v>0.0</v>
      </c>
      <c r="AV344" s="7" t="s">
        <v>4637</v>
      </c>
      <c r="AW344" s="7"/>
      <c r="AX344" s="7"/>
      <c r="AY344" s="7"/>
      <c r="AZ344" s="7"/>
      <c r="BA344" s="7"/>
      <c r="BB344" s="7"/>
      <c r="BC344" s="7" t="s">
        <v>366</v>
      </c>
      <c r="BD344" s="21">
        <v>44197.0</v>
      </c>
      <c r="BE344" s="7"/>
      <c r="BF344" s="7"/>
      <c r="BG344" s="22">
        <v>44197.0</v>
      </c>
      <c r="BH344" s="7">
        <v>3.40252733E8</v>
      </c>
      <c r="BI344" s="7" t="s">
        <v>4638</v>
      </c>
      <c r="BJ344" s="7"/>
      <c r="BK344" s="7" t="b">
        <v>0</v>
      </c>
      <c r="BL344" s="7" t="b">
        <v>0</v>
      </c>
      <c r="BM344" s="7"/>
      <c r="BN344" s="7" t="str">
        <f>IFERROR(__xludf.DUMMYFUNCTION(" IF( REGEXMATCH(C344 , ""[(].+[)]""),REGEXREPLACE( CONCATENATE(REGEXEXTRACT(C344 , ""[(].+[)]""),IF(REGEXMATCH(C344 , ""[(][Ll]['’][)]""),"""","" ""), REGEXEXTRACT(C344 ,""^(?:(?:[A-Za-zàäéèêîïöôûü0-9 ](?:[A-Za-zàäéèêîïöôûü'0-9 ]+)))"")) , ""[()]"", """")"&amp;",C344 )"),"L'Hirondelle ")</f>
        <v>L'Hirondelle </v>
      </c>
      <c r="BO344" s="23"/>
      <c r="BP344" s="7"/>
      <c r="BQ344" s="7"/>
      <c r="BR344" s="7"/>
      <c r="BS344" s="7"/>
      <c r="BT344" s="7"/>
      <c r="BU344" s="7"/>
      <c r="BV344" s="7"/>
      <c r="BW344" s="7"/>
      <c r="BX344" s="7"/>
      <c r="BY344" s="7"/>
      <c r="BZ344" s="7"/>
      <c r="CA344" s="7"/>
      <c r="CB344" s="7"/>
    </row>
    <row r="345" ht="21.75" customHeight="1">
      <c r="A345" s="7">
        <v>4010.0</v>
      </c>
      <c r="B345" s="7" t="s">
        <v>4639</v>
      </c>
      <c r="C345" s="7" t="s">
        <v>4640</v>
      </c>
      <c r="D345" s="7"/>
      <c r="E345" s="7"/>
      <c r="F345" s="7" t="s">
        <v>342</v>
      </c>
      <c r="G345" s="7" t="s">
        <v>343</v>
      </c>
      <c r="H345" s="7" t="s">
        <v>123</v>
      </c>
      <c r="I345" s="7" t="s">
        <v>4641</v>
      </c>
      <c r="J345" s="7"/>
      <c r="K345" s="6" t="s">
        <v>469</v>
      </c>
      <c r="L345" s="7" t="s">
        <v>1405</v>
      </c>
      <c r="M345" s="7" t="s">
        <v>1406</v>
      </c>
      <c r="N345" s="7" t="s">
        <v>455</v>
      </c>
      <c r="O345" s="7">
        <v>97480.0</v>
      </c>
      <c r="P345" s="7" t="s">
        <v>123</v>
      </c>
      <c r="Q345" s="7" t="s">
        <v>1278</v>
      </c>
      <c r="R345" s="7"/>
      <c r="S345" s="7"/>
      <c r="T345" s="7" t="s">
        <v>377</v>
      </c>
      <c r="U345" s="7" t="s">
        <v>378</v>
      </c>
      <c r="V345" s="7"/>
      <c r="W345" s="7">
        <v>6.92665948E8</v>
      </c>
      <c r="X345" s="7"/>
      <c r="Y345" s="7"/>
      <c r="Z345" s="7" t="s">
        <v>4642</v>
      </c>
      <c r="AA345" s="7">
        <v>40.0</v>
      </c>
      <c r="AB345" s="7"/>
      <c r="AC345" s="7" t="s">
        <v>4643</v>
      </c>
      <c r="AD345" s="7" t="s">
        <v>4644</v>
      </c>
      <c r="AE345" s="7" t="s">
        <v>4645</v>
      </c>
      <c r="AF345" s="7"/>
      <c r="AG345" s="7"/>
      <c r="AH345" s="20">
        <v>42233.0</v>
      </c>
      <c r="AI345" s="7"/>
      <c r="AJ345" s="7" t="s">
        <v>4640</v>
      </c>
      <c r="AK345" s="7">
        <v>4.3919702100017E13</v>
      </c>
      <c r="AL345" s="7" t="s">
        <v>4646</v>
      </c>
      <c r="AM345" s="7" t="s">
        <v>4647</v>
      </c>
      <c r="AN345" s="20">
        <v>42233.0</v>
      </c>
      <c r="AO345" s="7">
        <v>97480.0</v>
      </c>
      <c r="AP345" s="7" t="s">
        <v>385</v>
      </c>
      <c r="AQ345" s="7"/>
      <c r="AR345" s="7"/>
      <c r="AS345" s="7"/>
      <c r="AT345" s="7"/>
      <c r="AU345" s="7">
        <v>0.0</v>
      </c>
      <c r="AV345" s="7" t="s">
        <v>4648</v>
      </c>
      <c r="AW345" s="7"/>
      <c r="AX345" s="7"/>
      <c r="AY345" s="7"/>
      <c r="AZ345" s="7"/>
      <c r="BA345" s="7"/>
      <c r="BB345" s="7"/>
      <c r="BC345" s="7" t="s">
        <v>401</v>
      </c>
      <c r="BD345" s="21">
        <v>44236.438888888886</v>
      </c>
      <c r="BE345" s="7" t="s">
        <v>449</v>
      </c>
      <c r="BF345" s="7"/>
      <c r="BG345" s="7"/>
      <c r="BH345" s="7">
        <v>4.39197021E8</v>
      </c>
      <c r="BI345" s="7" t="s">
        <v>4649</v>
      </c>
      <c r="BJ345" s="7"/>
      <c r="BK345" s="7" t="b">
        <v>0</v>
      </c>
      <c r="BL345" s="7" t="b">
        <v>0</v>
      </c>
      <c r="BM345" s="7"/>
      <c r="BN345" s="7" t="str">
        <f>IFERROR(__xludf.DUMMYFUNCTION(" IF( REGEXMATCH(C345 , ""[(].+[)]""),REGEXREPLACE( CONCATENATE(REGEXEXTRACT(C345 , ""[(].+[)]""),IF(REGEXMATCH(C345 , ""[(][Ll]['’][)]""),"""","" ""), REGEXEXTRACT(C345 ,""^(?:(?:[A-Za-zàäéèêîïöôûü0-9 ](?:[A-Za-zàäéèêîïöôûü'0-9 ]+)))"")) , ""[()]"", """")"&amp;",C345 )"),"Hoareau Guibert")</f>
        <v>Hoareau Guibert</v>
      </c>
      <c r="BO345" s="25"/>
      <c r="BP345" s="7"/>
      <c r="BQ345" s="7"/>
      <c r="BR345" s="7"/>
      <c r="BS345" s="7"/>
      <c r="BT345" s="7"/>
      <c r="BU345" s="7"/>
      <c r="BV345" s="7"/>
      <c r="BW345" s="7"/>
      <c r="BX345" s="7"/>
      <c r="BY345" s="7"/>
      <c r="BZ345" s="7"/>
      <c r="CA345" s="7"/>
      <c r="CB345" s="7"/>
    </row>
    <row r="346" ht="21.75" customHeight="1">
      <c r="A346" s="7">
        <v>339.0</v>
      </c>
      <c r="B346" s="7">
        <v>345.0</v>
      </c>
      <c r="C346" s="7" t="s">
        <v>4650</v>
      </c>
      <c r="D346" s="7" t="s">
        <v>4651</v>
      </c>
      <c r="E346" s="7"/>
      <c r="F346" s="7" t="s">
        <v>404</v>
      </c>
      <c r="G346" s="7" t="s">
        <v>343</v>
      </c>
      <c r="H346" s="7" t="s">
        <v>123</v>
      </c>
      <c r="I346" s="7" t="s">
        <v>4652</v>
      </c>
      <c r="J346" s="26" t="s">
        <v>4653</v>
      </c>
      <c r="K346" s="7" t="s">
        <v>58</v>
      </c>
      <c r="L346" s="7" t="s">
        <v>453</v>
      </c>
      <c r="M346" s="7" t="s">
        <v>454</v>
      </c>
      <c r="N346" s="7" t="s">
        <v>455</v>
      </c>
      <c r="O346" s="7">
        <v>97480.0</v>
      </c>
      <c r="P346" s="7" t="s">
        <v>123</v>
      </c>
      <c r="Q346" s="7"/>
      <c r="R346" s="7" t="s">
        <v>4654</v>
      </c>
      <c r="S346" s="7" t="s">
        <v>1108</v>
      </c>
      <c r="T346" s="7" t="s">
        <v>377</v>
      </c>
      <c r="U346" s="7" t="s">
        <v>353</v>
      </c>
      <c r="V346" s="7">
        <v>2.62376192E8</v>
      </c>
      <c r="W346" s="7"/>
      <c r="X346" s="7"/>
      <c r="Y346" s="7">
        <v>2.62376192E8</v>
      </c>
      <c r="Z346" s="7" t="s">
        <v>4655</v>
      </c>
      <c r="AA346" s="7">
        <v>6.0</v>
      </c>
      <c r="AB346" s="7" t="s">
        <v>788</v>
      </c>
      <c r="AC346" s="7"/>
      <c r="AD346" s="7" t="s">
        <v>4656</v>
      </c>
      <c r="AE346" s="7" t="s">
        <v>4657</v>
      </c>
      <c r="AF346" s="7"/>
      <c r="AG346" s="7" t="s">
        <v>578</v>
      </c>
      <c r="AH346" s="20">
        <v>39689.0</v>
      </c>
      <c r="AI346" s="7"/>
      <c r="AJ346" s="7" t="s">
        <v>4650</v>
      </c>
      <c r="AK346" s="7"/>
      <c r="AL346" s="7" t="s">
        <v>4658</v>
      </c>
      <c r="AM346" s="7" t="s">
        <v>4659</v>
      </c>
      <c r="AN346" s="20">
        <v>39575.0</v>
      </c>
      <c r="AO346" s="7">
        <v>97480.0</v>
      </c>
      <c r="AP346" s="7" t="s">
        <v>385</v>
      </c>
      <c r="AQ346" s="7"/>
      <c r="AR346" s="7"/>
      <c r="AS346" s="7"/>
      <c r="AT346" s="7"/>
      <c r="AU346" s="7">
        <v>2.0</v>
      </c>
      <c r="AV346" s="7" t="s">
        <v>3761</v>
      </c>
      <c r="AW346" s="7"/>
      <c r="AX346" s="7"/>
      <c r="AY346" s="7"/>
      <c r="AZ346" s="7" t="s">
        <v>4660</v>
      </c>
      <c r="BA346" s="7"/>
      <c r="BB346" s="7"/>
      <c r="BC346" s="7" t="s">
        <v>366</v>
      </c>
      <c r="BD346" s="21">
        <v>44197.0</v>
      </c>
      <c r="BE346" s="7"/>
      <c r="BF346" s="7"/>
      <c r="BG346" s="22">
        <v>44197.0</v>
      </c>
      <c r="BH346" s="7"/>
      <c r="BI346" s="7" t="s">
        <v>4661</v>
      </c>
      <c r="BJ346" s="7"/>
      <c r="BK346" s="7" t="b">
        <v>0</v>
      </c>
      <c r="BL346" s="7" t="b">
        <v>0</v>
      </c>
      <c r="BM346" s="7"/>
      <c r="BN346" s="7" t="str">
        <f>IFERROR(__xludf.DUMMYFUNCTION(" IF( REGEXMATCH(C346 , ""[(].+[)]""),REGEXREPLACE( CONCATENATE(REGEXEXTRACT(C346 , ""[(].+[)]""),IF(REGEXMATCH(C346 , ""[(][Ll]['’][)]""),"""","" ""), REGEXEXTRACT(C346 ,""^(?:(?:[A-Za-zàäéèêîïöôûü0-9 ](?:[A-Za-zàäéèêîïöôûü'0-9 ]+)))"")) , ""[()]"", """")"&amp;",C346 )"),"Hoareau Didier")</f>
        <v>Hoareau Didier</v>
      </c>
      <c r="BO346" s="23"/>
      <c r="BP346" s="7"/>
      <c r="BQ346" s="7"/>
      <c r="BR346" s="7"/>
      <c r="BS346" s="7"/>
      <c r="BT346" s="7"/>
      <c r="BU346" s="7"/>
      <c r="BV346" s="7"/>
      <c r="BW346" s="7"/>
      <c r="BX346" s="7"/>
      <c r="BY346" s="7"/>
      <c r="BZ346" s="7"/>
      <c r="CA346" s="7"/>
      <c r="CB346" s="7"/>
    </row>
    <row r="347" ht="21.75" customHeight="1">
      <c r="A347" s="7">
        <v>4058.0</v>
      </c>
      <c r="B347" s="7">
        <v>346.0</v>
      </c>
      <c r="C347" s="7" t="s">
        <v>4662</v>
      </c>
      <c r="D347" s="7"/>
      <c r="E347" s="7"/>
      <c r="F347" s="7" t="s">
        <v>404</v>
      </c>
      <c r="G347" s="7" t="s">
        <v>343</v>
      </c>
      <c r="H347" s="7" t="s">
        <v>344</v>
      </c>
      <c r="I347" s="7" t="s">
        <v>4663</v>
      </c>
      <c r="J347" s="7" t="s">
        <v>4664</v>
      </c>
      <c r="K347" s="7" t="s">
        <v>58</v>
      </c>
      <c r="L347" s="7" t="s">
        <v>453</v>
      </c>
      <c r="M347" s="7" t="s">
        <v>454</v>
      </c>
      <c r="N347" s="7" t="s">
        <v>407</v>
      </c>
      <c r="O347" s="7">
        <v>97418.0</v>
      </c>
      <c r="P347" s="7" t="s">
        <v>348</v>
      </c>
      <c r="Q347" s="7" t="s">
        <v>349</v>
      </c>
      <c r="R347" s="7" t="s">
        <v>4665</v>
      </c>
      <c r="S347" s="7" t="s">
        <v>1725</v>
      </c>
      <c r="T347" s="7" t="s">
        <v>377</v>
      </c>
      <c r="U347" s="7" t="s">
        <v>592</v>
      </c>
      <c r="V347" s="7">
        <v>2.62496408E8</v>
      </c>
      <c r="W347" s="7">
        <v>6.92241433E8</v>
      </c>
      <c r="X347" s="7"/>
      <c r="Y347" s="7"/>
      <c r="Z347" s="7" t="s">
        <v>2391</v>
      </c>
      <c r="AA347" s="7">
        <v>8.0</v>
      </c>
      <c r="AB347" s="7" t="s">
        <v>788</v>
      </c>
      <c r="AC347" s="7" t="s">
        <v>4666</v>
      </c>
      <c r="AD347" s="7" t="s">
        <v>4667</v>
      </c>
      <c r="AE347" s="7" t="s">
        <v>4668</v>
      </c>
      <c r="AF347" s="7"/>
      <c r="AG347" s="7" t="s">
        <v>578</v>
      </c>
      <c r="AH347" s="20">
        <v>42304.0</v>
      </c>
      <c r="AI347" s="7"/>
      <c r="AJ347" s="7" t="s">
        <v>4669</v>
      </c>
      <c r="AK347" s="7"/>
      <c r="AL347" s="7" t="s">
        <v>4670</v>
      </c>
      <c r="AM347" s="7" t="s">
        <v>4671</v>
      </c>
      <c r="AN347" s="20">
        <v>42304.0</v>
      </c>
      <c r="AO347" s="7">
        <v>97418.0</v>
      </c>
      <c r="AP347" s="7" t="s">
        <v>362</v>
      </c>
      <c r="AQ347" s="7"/>
      <c r="AR347" s="7"/>
      <c r="AS347" s="7"/>
      <c r="AT347" s="7"/>
      <c r="AU347" s="7">
        <v>4.0</v>
      </c>
      <c r="AV347" s="7" t="s">
        <v>4672</v>
      </c>
      <c r="AW347" s="7" t="s">
        <v>4673</v>
      </c>
      <c r="AX347" s="7"/>
      <c r="AY347" s="7"/>
      <c r="AZ347" s="7" t="s">
        <v>2400</v>
      </c>
      <c r="BA347" s="7"/>
      <c r="BB347" s="7"/>
      <c r="BC347" s="7" t="s">
        <v>366</v>
      </c>
      <c r="BD347" s="21">
        <v>44197.0</v>
      </c>
      <c r="BE347" s="7"/>
      <c r="BF347" s="7"/>
      <c r="BG347" s="22">
        <v>44197.0</v>
      </c>
      <c r="BH347" s="7"/>
      <c r="BI347" s="7" t="s">
        <v>2402</v>
      </c>
      <c r="BJ347" s="7"/>
      <c r="BK347" s="7" t="b">
        <v>0</v>
      </c>
      <c r="BL347" s="7" t="b">
        <v>0</v>
      </c>
      <c r="BM347" s="7"/>
      <c r="BN347" s="7" t="str">
        <f>IFERROR(__xludf.DUMMYFUNCTION(" IF( REGEXMATCH(C347 , ""[(].+[)]""),REGEXREPLACE( CONCATENATE(REGEXEXTRACT(C347 , ""[(].+[)]""),IF(REGEXMATCH(C347 , ""[(][Ll]['’][)]""),"""","" ""), REGEXEXTRACT(C347 ,""^(?:(?:[A-Za-zàäéèêîïöôûü0-9 ](?:[A-Za-zàäéèêîïöôûü'0-9 ]+)))"")) , ""[()]"", """")"&amp;",C347 )"),"Les Hortensias ")</f>
        <v>Les Hortensias </v>
      </c>
      <c r="BO347" s="23"/>
      <c r="BP347" s="7"/>
      <c r="BQ347" s="7"/>
      <c r="BR347" s="7"/>
      <c r="BS347" s="7"/>
      <c r="BT347" s="7"/>
      <c r="BU347" s="7"/>
      <c r="BV347" s="7"/>
      <c r="BW347" s="7"/>
      <c r="BX347" s="7"/>
      <c r="BY347" s="7"/>
      <c r="BZ347" s="7"/>
      <c r="CA347" s="7"/>
      <c r="CB347" s="7"/>
    </row>
    <row r="348" ht="21.75" customHeight="1">
      <c r="A348" s="7">
        <v>4541.0</v>
      </c>
      <c r="B348" s="7" t="s">
        <v>4674</v>
      </c>
      <c r="C348" s="7" t="s">
        <v>4675</v>
      </c>
      <c r="D348" s="7"/>
      <c r="E348" s="7"/>
      <c r="F348" s="7" t="s">
        <v>342</v>
      </c>
      <c r="G348" s="7" t="s">
        <v>343</v>
      </c>
      <c r="H348" s="7" t="s">
        <v>33</v>
      </c>
      <c r="I348" s="7" t="s">
        <v>4676</v>
      </c>
      <c r="J348" s="7"/>
      <c r="K348" s="7" t="s">
        <v>58</v>
      </c>
      <c r="L348" s="7" t="s">
        <v>1141</v>
      </c>
      <c r="M348" s="7" t="s">
        <v>1141</v>
      </c>
      <c r="N348" s="7" t="s">
        <v>375</v>
      </c>
      <c r="O348" s="7">
        <v>97442.0</v>
      </c>
      <c r="P348" s="7" t="s">
        <v>33</v>
      </c>
      <c r="Q348" s="7" t="s">
        <v>1396</v>
      </c>
      <c r="R348" s="7" t="s">
        <v>4677</v>
      </c>
      <c r="S348" s="7"/>
      <c r="T348" s="7" t="s">
        <v>974</v>
      </c>
      <c r="U348" s="7" t="s">
        <v>424</v>
      </c>
      <c r="V348" s="7">
        <v>2.62200717E8</v>
      </c>
      <c r="W348" s="7">
        <v>6.92721725E8</v>
      </c>
      <c r="X348" s="7"/>
      <c r="Y348" s="7"/>
      <c r="Z348" s="7" t="s">
        <v>4678</v>
      </c>
      <c r="AA348" s="7">
        <v>30.0</v>
      </c>
      <c r="AB348" s="7"/>
      <c r="AC348" s="7" t="s">
        <v>4679</v>
      </c>
      <c r="AD348" s="7" t="s">
        <v>4680</v>
      </c>
      <c r="AE348" s="7" t="s">
        <v>4681</v>
      </c>
      <c r="AF348" s="7"/>
      <c r="AG348" s="7"/>
      <c r="AH348" s="20">
        <v>43298.0</v>
      </c>
      <c r="AI348" s="7"/>
      <c r="AJ348" s="7" t="s">
        <v>4682</v>
      </c>
      <c r="AK348" s="7">
        <v>5.0054650200021E13</v>
      </c>
      <c r="AL348" s="7" t="s">
        <v>4683</v>
      </c>
      <c r="AM348" s="7" t="s">
        <v>4684</v>
      </c>
      <c r="AN348" s="20">
        <v>43298.0</v>
      </c>
      <c r="AO348" s="7">
        <v>97470.0</v>
      </c>
      <c r="AP348" s="7" t="s">
        <v>4685</v>
      </c>
      <c r="AQ348" s="7"/>
      <c r="AR348" s="7"/>
      <c r="AS348" s="7"/>
      <c r="AT348" s="7"/>
      <c r="AU348" s="7">
        <v>14.0</v>
      </c>
      <c r="AV348" s="7" t="s">
        <v>1386</v>
      </c>
      <c r="AW348" s="7" t="s">
        <v>4686</v>
      </c>
      <c r="AX348" s="7"/>
      <c r="AY348" s="7"/>
      <c r="AZ348" s="7" t="s">
        <v>4687</v>
      </c>
      <c r="BA348" s="7"/>
      <c r="BB348" s="7"/>
      <c r="BC348" s="7" t="s">
        <v>401</v>
      </c>
      <c r="BD348" s="21">
        <v>44091.23541666667</v>
      </c>
      <c r="BE348" s="7" t="s">
        <v>449</v>
      </c>
      <c r="BF348" s="7"/>
      <c r="BG348" s="7"/>
      <c r="BH348" s="7">
        <v>5.00546502E8</v>
      </c>
      <c r="BI348" s="7" t="s">
        <v>2860</v>
      </c>
      <c r="BJ348" s="7"/>
      <c r="BK348" s="7" t="b">
        <v>0</v>
      </c>
      <c r="BL348" s="7" t="b">
        <v>0</v>
      </c>
      <c r="BM348" s="7"/>
      <c r="BN348" s="7" t="str">
        <f>IFERROR(__xludf.DUMMYFUNCTION(" IF( REGEXMATCH(C348 , ""[(].+[)]""),REGEXREPLACE( CONCATENATE(REGEXEXTRACT(C348 , ""[(].+[)]""),IF(REGEXMATCH(C348 , ""[(][Ll]['’][)]""),"""","" ""), REGEXEXTRACT(C348 ,""^(?:(?:[A-Za-zàäéèêîïöôûü0-9 ](?:[A-Za-zàäéèêîïöôûü'0-9 ]+)))"")) , ""[()]"", """")"&amp;",C348 )"),"Hôtel les Embruns du Baril")</f>
        <v>Hôtel les Embruns du Baril</v>
      </c>
      <c r="BO348" s="25"/>
      <c r="BP348" s="7"/>
      <c r="BQ348" s="7"/>
      <c r="BR348" s="7"/>
      <c r="BS348" s="7"/>
      <c r="BT348" s="7"/>
      <c r="BU348" s="7"/>
      <c r="BV348" s="7"/>
      <c r="BW348" s="7"/>
      <c r="BX348" s="7"/>
      <c r="BY348" s="7"/>
      <c r="BZ348" s="7"/>
      <c r="CA348" s="7"/>
      <c r="CB348" s="7"/>
    </row>
    <row r="349" ht="21.75" customHeight="1">
      <c r="A349" s="7">
        <v>1551.0</v>
      </c>
      <c r="B349" s="7" t="s">
        <v>4688</v>
      </c>
      <c r="C349" s="7" t="s">
        <v>4689</v>
      </c>
      <c r="D349" s="7" t="s">
        <v>4689</v>
      </c>
      <c r="E349" s="7"/>
      <c r="F349" s="7" t="s">
        <v>342</v>
      </c>
      <c r="G349" s="7" t="s">
        <v>343</v>
      </c>
      <c r="H349" s="7" t="s">
        <v>344</v>
      </c>
      <c r="I349" s="7" t="s">
        <v>4690</v>
      </c>
      <c r="J349" s="7"/>
      <c r="K349" s="7" t="s">
        <v>58</v>
      </c>
      <c r="L349" s="7" t="s">
        <v>1141</v>
      </c>
      <c r="M349" s="7" t="s">
        <v>1141</v>
      </c>
      <c r="N349" s="7" t="s">
        <v>664</v>
      </c>
      <c r="O349" s="7">
        <v>97430.0</v>
      </c>
      <c r="P349" s="7" t="s">
        <v>344</v>
      </c>
      <c r="Q349" s="7"/>
      <c r="R349" s="7" t="s">
        <v>4691</v>
      </c>
      <c r="S349" s="7" t="s">
        <v>2436</v>
      </c>
      <c r="T349" s="7" t="s">
        <v>1076</v>
      </c>
      <c r="U349" s="7" t="s">
        <v>592</v>
      </c>
      <c r="V349" s="7">
        <v>2.6257303E8</v>
      </c>
      <c r="W349" s="7">
        <v>6.92830133E8</v>
      </c>
      <c r="X349" s="7"/>
      <c r="Y349" s="7">
        <v>2.62572929E8</v>
      </c>
      <c r="Z349" s="7" t="s">
        <v>4692</v>
      </c>
      <c r="AA349" s="7">
        <v>40.0</v>
      </c>
      <c r="AB349" s="7"/>
      <c r="AC349" s="7" t="s">
        <v>4693</v>
      </c>
      <c r="AD349" s="7" t="s">
        <v>4694</v>
      </c>
      <c r="AE349" s="7" t="s">
        <v>4695</v>
      </c>
      <c r="AF349" s="7" t="s">
        <v>1173</v>
      </c>
      <c r="AG349" s="7"/>
      <c r="AH349" s="20">
        <v>43739.0</v>
      </c>
      <c r="AI349" s="7"/>
      <c r="AJ349" s="7" t="s">
        <v>4696</v>
      </c>
      <c r="AK349" s="7">
        <v>3.8345527600014E13</v>
      </c>
      <c r="AL349" s="7" t="s">
        <v>4697</v>
      </c>
      <c r="AM349" s="7" t="s">
        <v>4698</v>
      </c>
      <c r="AN349" s="20">
        <v>43739.0</v>
      </c>
      <c r="AO349" s="7">
        <v>97430.0</v>
      </c>
      <c r="AP349" s="7" t="s">
        <v>494</v>
      </c>
      <c r="AQ349" s="7"/>
      <c r="AR349" s="7"/>
      <c r="AS349" s="7"/>
      <c r="AT349" s="7"/>
      <c r="AU349" s="7">
        <v>20.0</v>
      </c>
      <c r="AV349" s="7" t="s">
        <v>4699</v>
      </c>
      <c r="AW349" s="7"/>
      <c r="AX349" s="7" t="s">
        <v>3806</v>
      </c>
      <c r="AY349" s="7" t="s">
        <v>1829</v>
      </c>
      <c r="AZ349" s="7" t="s">
        <v>4700</v>
      </c>
      <c r="BA349" s="7"/>
      <c r="BB349" s="7"/>
      <c r="BC349" s="7" t="s">
        <v>401</v>
      </c>
      <c r="BD349" s="21">
        <v>44228.0</v>
      </c>
      <c r="BE349" s="7" t="s">
        <v>4701</v>
      </c>
      <c r="BF349" s="7"/>
      <c r="BG349" s="7"/>
      <c r="BH349" s="7">
        <v>3.83455276E8</v>
      </c>
      <c r="BI349" s="7" t="s">
        <v>4702</v>
      </c>
      <c r="BJ349" s="7"/>
      <c r="BK349" s="7" t="b">
        <v>0</v>
      </c>
      <c r="BL349" s="7" t="b">
        <v>0</v>
      </c>
      <c r="BM349" s="7"/>
      <c r="BN349" s="7" t="str">
        <f>IFERROR(__xludf.DUMMYFUNCTION(" IF( REGEXMATCH(C349 , ""[(].+[)]""),REGEXREPLACE( CONCATENATE(REGEXEXTRACT(C349 , ""[(].+[)]""),IF(REGEXMATCH(C349 , ""[(][Ll]['’][)]""),"""","" ""), REGEXEXTRACT(C349 ,""^(?:(?:[A-Za-zàäéèêîïöôûü0-9 ](?:[A-Za-zàäéèêîïöôûü'0-9 ]+)))"")) , ""[()]"", """")"&amp;",C349 )"),"Hôtel Outre Mer")</f>
        <v>Hôtel Outre Mer</v>
      </c>
      <c r="BO349" s="25"/>
      <c r="BP349" s="7"/>
      <c r="BQ349" s="7"/>
      <c r="BR349" s="7"/>
      <c r="BS349" s="7"/>
      <c r="BT349" s="7"/>
      <c r="BU349" s="7"/>
      <c r="BV349" s="7"/>
      <c r="BW349" s="7"/>
      <c r="BX349" s="7"/>
      <c r="BY349" s="7"/>
      <c r="BZ349" s="7"/>
      <c r="CA349" s="7"/>
      <c r="CB349" s="7"/>
    </row>
    <row r="350" ht="21.75" customHeight="1">
      <c r="A350" s="7">
        <v>257.0</v>
      </c>
      <c r="B350" s="7">
        <v>349.0</v>
      </c>
      <c r="C350" s="7" t="s">
        <v>4703</v>
      </c>
      <c r="D350" s="7" t="s">
        <v>4704</v>
      </c>
      <c r="E350" s="7"/>
      <c r="F350" s="7" t="s">
        <v>404</v>
      </c>
      <c r="G350" s="7" t="s">
        <v>343</v>
      </c>
      <c r="H350" s="7" t="s">
        <v>344</v>
      </c>
      <c r="I350" s="7" t="s">
        <v>4705</v>
      </c>
      <c r="J350" s="7"/>
      <c r="K350" s="7" t="s">
        <v>58</v>
      </c>
      <c r="L350" s="7" t="s">
        <v>1141</v>
      </c>
      <c r="M350" s="7" t="s">
        <v>1141</v>
      </c>
      <c r="N350" s="7" t="s">
        <v>407</v>
      </c>
      <c r="O350" s="7">
        <v>97418.0</v>
      </c>
      <c r="P350" s="7" t="s">
        <v>348</v>
      </c>
      <c r="Q350" s="7" t="s">
        <v>570</v>
      </c>
      <c r="R350" s="7" t="s">
        <v>1142</v>
      </c>
      <c r="S350" s="7" t="s">
        <v>506</v>
      </c>
      <c r="T350" s="7" t="s">
        <v>1129</v>
      </c>
      <c r="U350" s="7" t="s">
        <v>592</v>
      </c>
      <c r="V350" s="7"/>
      <c r="W350" s="7">
        <v>6.9273337E8</v>
      </c>
      <c r="X350" s="7"/>
      <c r="Y350" s="7"/>
      <c r="Z350" s="7" t="s">
        <v>4706</v>
      </c>
      <c r="AA350" s="7">
        <v>35.0</v>
      </c>
      <c r="AB350" s="7"/>
      <c r="AC350" s="7"/>
      <c r="AD350" s="7" t="s">
        <v>4707</v>
      </c>
      <c r="AE350" s="7"/>
      <c r="AF350" s="7"/>
      <c r="AG350" s="7"/>
      <c r="AH350" s="20">
        <v>39671.0</v>
      </c>
      <c r="AI350" s="7"/>
      <c r="AJ350" s="7" t="s">
        <v>4708</v>
      </c>
      <c r="AK350" s="7">
        <v>8.3258395900016E13</v>
      </c>
      <c r="AL350" s="7" t="s">
        <v>1134</v>
      </c>
      <c r="AM350" s="7" t="s">
        <v>4709</v>
      </c>
      <c r="AN350" s="20">
        <v>39575.0</v>
      </c>
      <c r="AO350" s="7">
        <v>97418.0</v>
      </c>
      <c r="AP350" s="7" t="s">
        <v>362</v>
      </c>
      <c r="AQ350" s="7"/>
      <c r="AR350" s="7"/>
      <c r="AS350" s="7"/>
      <c r="AT350" s="7"/>
      <c r="AU350" s="7">
        <v>12.0</v>
      </c>
      <c r="AV350" s="7" t="s">
        <v>4710</v>
      </c>
      <c r="AW350" s="7"/>
      <c r="AX350" s="7"/>
      <c r="AY350" s="7"/>
      <c r="AZ350" s="7"/>
      <c r="BA350" s="7"/>
      <c r="BB350" s="7"/>
      <c r="BC350" s="7" t="s">
        <v>366</v>
      </c>
      <c r="BD350" s="21">
        <v>44242.146527777775</v>
      </c>
      <c r="BE350" s="7"/>
      <c r="BF350" s="7"/>
      <c r="BG350" s="22">
        <v>44242.0</v>
      </c>
      <c r="BH350" s="7">
        <v>2.14748364E8</v>
      </c>
      <c r="BI350" s="7" t="s">
        <v>4711</v>
      </c>
      <c r="BJ350" s="7"/>
      <c r="BK350" s="7" t="b">
        <v>0</v>
      </c>
      <c r="BL350" s="7" t="b">
        <v>0</v>
      </c>
      <c r="BM350" s="7"/>
      <c r="BN350" s="7" t="str">
        <f>IFERROR(__xludf.DUMMYFUNCTION(" IF( REGEXMATCH(C350 , ""[(].+[)]""),REGEXREPLACE( CONCATENATE(REGEXEXTRACT(C350 , ""[(].+[)]""),IF(REGEXMATCH(C350 , ""[(][Ll]['’][)]""),"""","" ""), REGEXEXTRACT(C350 ,""^(?:(?:[A-Za-zàäéèêîïöôûü0-9 ](?:[A-Za-zàäéèêîïöôûü'0-9 ]+)))"")) , ""[()]"", """")"&amp;",C350 )"),"L'Hôtel Piton des Forges ")</f>
        <v>L'Hôtel Piton des Forges </v>
      </c>
      <c r="BO350" s="23"/>
      <c r="BP350" s="7"/>
      <c r="BQ350" s="7"/>
      <c r="BR350" s="7"/>
      <c r="BS350" s="7"/>
      <c r="BT350" s="7"/>
      <c r="BU350" s="7"/>
      <c r="BV350" s="7"/>
      <c r="BW350" s="7"/>
      <c r="BX350" s="7"/>
      <c r="BY350" s="7"/>
      <c r="BZ350" s="7"/>
      <c r="CA350" s="7"/>
      <c r="CB350" s="7"/>
    </row>
    <row r="351" ht="21.75" customHeight="1">
      <c r="A351" s="7">
        <v>3115.0</v>
      </c>
      <c r="B351" s="7" t="s">
        <v>4712</v>
      </c>
      <c r="C351" s="7" t="s">
        <v>4713</v>
      </c>
      <c r="D351" s="7"/>
      <c r="E351" s="7"/>
      <c r="F351" s="7" t="s">
        <v>342</v>
      </c>
      <c r="G351" s="7" t="s">
        <v>343</v>
      </c>
      <c r="H351" s="7" t="s">
        <v>123</v>
      </c>
      <c r="I351" s="7" t="s">
        <v>4714</v>
      </c>
      <c r="J351" s="7"/>
      <c r="K351" s="7" t="s">
        <v>58</v>
      </c>
      <c r="L351" s="7" t="s">
        <v>453</v>
      </c>
      <c r="M351" s="7" t="s">
        <v>454</v>
      </c>
      <c r="N351" s="7" t="s">
        <v>455</v>
      </c>
      <c r="O351" s="7">
        <v>97480.0</v>
      </c>
      <c r="P351" s="7" t="s">
        <v>123</v>
      </c>
      <c r="Q351" s="7" t="s">
        <v>726</v>
      </c>
      <c r="R351" s="7" t="s">
        <v>4715</v>
      </c>
      <c r="S351" s="7" t="s">
        <v>4716</v>
      </c>
      <c r="T351" s="7" t="s">
        <v>377</v>
      </c>
      <c r="U351" s="7" t="s">
        <v>4717</v>
      </c>
      <c r="V351" s="7">
        <v>2.62202114E8</v>
      </c>
      <c r="W351" s="7">
        <v>6.92204158E8</v>
      </c>
      <c r="X351" s="7"/>
      <c r="Y351" s="7"/>
      <c r="Z351" s="7" t="s">
        <v>4718</v>
      </c>
      <c r="AA351" s="7">
        <v>7.0</v>
      </c>
      <c r="AB351" s="7" t="s">
        <v>574</v>
      </c>
      <c r="AC351" s="7" t="s">
        <v>4719</v>
      </c>
      <c r="AD351" s="7" t="s">
        <v>4720</v>
      </c>
      <c r="AE351" s="7" t="s">
        <v>4721</v>
      </c>
      <c r="AF351" s="7" t="s">
        <v>1173</v>
      </c>
      <c r="AG351" s="7" t="s">
        <v>578</v>
      </c>
      <c r="AH351" s="20">
        <v>40919.0</v>
      </c>
      <c r="AI351" s="7"/>
      <c r="AJ351" s="7" t="s">
        <v>4722</v>
      </c>
      <c r="AK351" s="7">
        <v>3.8292111200019E13</v>
      </c>
      <c r="AL351" s="7" t="s">
        <v>4723</v>
      </c>
      <c r="AM351" s="7" t="s">
        <v>4724</v>
      </c>
      <c r="AN351" s="20">
        <v>40919.0</v>
      </c>
      <c r="AO351" s="7">
        <v>97480.0</v>
      </c>
      <c r="AP351" s="7" t="s">
        <v>385</v>
      </c>
      <c r="AQ351" s="7"/>
      <c r="AR351" s="7"/>
      <c r="AS351" s="7"/>
      <c r="AT351" s="7"/>
      <c r="AU351" s="7">
        <v>2.0</v>
      </c>
      <c r="AV351" s="7" t="s">
        <v>4725</v>
      </c>
      <c r="AW351" s="7" t="s">
        <v>4726</v>
      </c>
      <c r="AX351" s="7"/>
      <c r="AY351" s="7"/>
      <c r="AZ351" s="7" t="s">
        <v>4727</v>
      </c>
      <c r="BA351" s="7"/>
      <c r="BB351" s="7"/>
      <c r="BC351" s="7" t="s">
        <v>401</v>
      </c>
      <c r="BD351" s="21">
        <v>44221.0</v>
      </c>
      <c r="BE351" s="7" t="s">
        <v>4728</v>
      </c>
      <c r="BF351" s="7"/>
      <c r="BG351" s="7"/>
      <c r="BH351" s="7">
        <v>3.82921112E8</v>
      </c>
      <c r="BI351" s="7" t="s">
        <v>4729</v>
      </c>
      <c r="BJ351" s="7"/>
      <c r="BK351" s="7" t="b">
        <v>0</v>
      </c>
      <c r="BL351" s="7" t="b">
        <v>0</v>
      </c>
      <c r="BM351" s="7"/>
      <c r="BN351" s="7" t="str">
        <f>IFERROR(__xludf.DUMMYFUNCTION(" IF( REGEXMATCH(C351 , ""[(].+[)]""),REGEXREPLACE( CONCATENATE(REGEXEXTRACT(C351 , ""[(].+[)]""),IF(REGEXMATCH(C351 , ""[(][Ll]['’][)]""),"""","" ""), REGEXEXTRACT(C351 ,""^(?:(?:[A-Za-zàäéèêîïöôûü0-9 ](?:[A-Za-zàäéèêîïöôûü'0-9 ]+)))"")) , ""[()]"", """")"&amp;",C351 )"),"Ilet aux Palmistes")</f>
        <v>Ilet aux Palmistes</v>
      </c>
      <c r="BO351" s="25"/>
      <c r="BP351" s="7"/>
      <c r="BQ351" s="7"/>
      <c r="BR351" s="7"/>
      <c r="BS351" s="7"/>
      <c r="BT351" s="7"/>
      <c r="BU351" s="7"/>
      <c r="BV351" s="7"/>
      <c r="BW351" s="7"/>
      <c r="BX351" s="7"/>
      <c r="BY351" s="7"/>
      <c r="BZ351" s="7"/>
      <c r="CA351" s="7"/>
      <c r="CB351" s="7"/>
    </row>
    <row r="352" ht="21.75" customHeight="1">
      <c r="A352" s="7">
        <v>925.0</v>
      </c>
      <c r="B352" s="7">
        <v>351.0</v>
      </c>
      <c r="C352" s="7" t="s">
        <v>4730</v>
      </c>
      <c r="D352" s="7" t="s">
        <v>4731</v>
      </c>
      <c r="E352" s="7"/>
      <c r="F352" s="7" t="s">
        <v>404</v>
      </c>
      <c r="G352" s="7" t="s">
        <v>343</v>
      </c>
      <c r="H352" s="7" t="s">
        <v>40</v>
      </c>
      <c r="I352" s="7" t="s">
        <v>4732</v>
      </c>
      <c r="J352" s="7"/>
      <c r="K352" s="7" t="s">
        <v>58</v>
      </c>
      <c r="L352" s="7" t="s">
        <v>59</v>
      </c>
      <c r="M352" s="7" t="s">
        <v>545</v>
      </c>
      <c r="N352" s="7" t="s">
        <v>407</v>
      </c>
      <c r="O352" s="7">
        <v>97414.0</v>
      </c>
      <c r="P352" s="7" t="s">
        <v>40</v>
      </c>
      <c r="Q352" s="7"/>
      <c r="R352" s="7" t="s">
        <v>1333</v>
      </c>
      <c r="S352" s="7" t="s">
        <v>4588</v>
      </c>
      <c r="T352" s="7" t="s">
        <v>499</v>
      </c>
      <c r="U352" s="7" t="s">
        <v>353</v>
      </c>
      <c r="V352" s="7">
        <v>2.6239696E8</v>
      </c>
      <c r="W352" s="7">
        <v>6.92433232E8</v>
      </c>
      <c r="X352" s="7"/>
      <c r="Y352" s="7"/>
      <c r="Z352" s="7" t="s">
        <v>4733</v>
      </c>
      <c r="AA352" s="7">
        <v>51.0</v>
      </c>
      <c r="AB352" s="7"/>
      <c r="AC352" s="7"/>
      <c r="AD352" s="7" t="s">
        <v>4734</v>
      </c>
      <c r="AE352" s="7" t="s">
        <v>4735</v>
      </c>
      <c r="AF352" s="7"/>
      <c r="AG352" s="7"/>
      <c r="AH352" s="20">
        <v>39575.0</v>
      </c>
      <c r="AI352" s="7"/>
      <c r="AJ352" s="7" t="s">
        <v>2109</v>
      </c>
      <c r="AK352" s="7">
        <v>3.9760462000021E13</v>
      </c>
      <c r="AL352" s="7" t="s">
        <v>2110</v>
      </c>
      <c r="AM352" s="7" t="s">
        <v>2111</v>
      </c>
      <c r="AN352" s="20">
        <v>39575.0</v>
      </c>
      <c r="AO352" s="7">
        <v>97414.0</v>
      </c>
      <c r="AP352" s="7" t="s">
        <v>429</v>
      </c>
      <c r="AQ352" s="7"/>
      <c r="AR352" s="7"/>
      <c r="AS352" s="7"/>
      <c r="AT352" s="7"/>
      <c r="AU352" s="7">
        <v>11.0</v>
      </c>
      <c r="AV352" s="7" t="s">
        <v>4736</v>
      </c>
      <c r="AW352" s="7"/>
      <c r="AX352" s="7"/>
      <c r="AY352" s="7"/>
      <c r="AZ352" s="7"/>
      <c r="BA352" s="7"/>
      <c r="BB352" s="7"/>
      <c r="BC352" s="7" t="s">
        <v>366</v>
      </c>
      <c r="BD352" s="21">
        <v>44076.49166666667</v>
      </c>
      <c r="BE352" s="7"/>
      <c r="BF352" s="7"/>
      <c r="BG352" s="22">
        <v>44076.0</v>
      </c>
      <c r="BH352" s="7">
        <v>3.9760462E8</v>
      </c>
      <c r="BI352" s="7" t="s">
        <v>4737</v>
      </c>
      <c r="BJ352" s="7"/>
      <c r="BK352" s="7" t="b">
        <v>0</v>
      </c>
      <c r="BL352" s="7" t="b">
        <v>0</v>
      </c>
      <c r="BM352" s="7"/>
      <c r="BN352" s="7" t="str">
        <f>IFERROR(__xludf.DUMMYFUNCTION(" IF( REGEXMATCH(C352 , ""[(].+[)]""),REGEXREPLACE( CONCATENATE(REGEXEXTRACT(C352 , ""[(].+[)]""),IF(REGEXMATCH(C352 , ""[(][Ll]['’][)]""),"""","" ""), REGEXEXTRACT(C352 ,""^(?:(?:[A-Za-zàäéèêîïöôûü0-9 ](?:[A-Za-zàäéèêîïöôûü'0-9 ]+)))"")) , ""[()]"", """")"&amp;",C352 )"),"Ilet Créole")</f>
        <v>Ilet Créole</v>
      </c>
      <c r="BO352" s="23"/>
      <c r="BP352" s="7"/>
      <c r="BQ352" s="7"/>
      <c r="BR352" s="7"/>
      <c r="BS352" s="7"/>
      <c r="BT352" s="7"/>
      <c r="BU352" s="7"/>
      <c r="BV352" s="7"/>
      <c r="BW352" s="7"/>
      <c r="BX352" s="7"/>
      <c r="BY352" s="7"/>
      <c r="BZ352" s="7"/>
      <c r="CA352" s="7"/>
      <c r="CB352" s="7"/>
    </row>
    <row r="353" ht="21.75" customHeight="1">
      <c r="A353" s="7">
        <v>3568.0</v>
      </c>
      <c r="B353" s="7">
        <v>352.0</v>
      </c>
      <c r="C353" s="7" t="s">
        <v>4738</v>
      </c>
      <c r="D353" s="7" t="s">
        <v>4738</v>
      </c>
      <c r="E353" s="7"/>
      <c r="F353" s="7" t="s">
        <v>342</v>
      </c>
      <c r="G353" s="7" t="s">
        <v>343</v>
      </c>
      <c r="H353" s="7" t="s">
        <v>123</v>
      </c>
      <c r="I353" s="7" t="s">
        <v>4739</v>
      </c>
      <c r="J353" s="7"/>
      <c r="K353" s="7" t="s">
        <v>58</v>
      </c>
      <c r="L353" s="7" t="s">
        <v>59</v>
      </c>
      <c r="M353" s="7" t="s">
        <v>346</v>
      </c>
      <c r="N353" s="7" t="s">
        <v>407</v>
      </c>
      <c r="O353" s="7">
        <v>97480.0</v>
      </c>
      <c r="P353" s="7" t="s">
        <v>123</v>
      </c>
      <c r="Q353" s="7"/>
      <c r="R353" s="7" t="s">
        <v>4740</v>
      </c>
      <c r="S353" s="7" t="s">
        <v>1296</v>
      </c>
      <c r="T353" s="7" t="s">
        <v>377</v>
      </c>
      <c r="U353" s="7" t="s">
        <v>378</v>
      </c>
      <c r="V353" s="7">
        <v>2.62560127E8</v>
      </c>
      <c r="W353" s="7">
        <v>6.92860671E8</v>
      </c>
      <c r="X353" s="7"/>
      <c r="Y353" s="7"/>
      <c r="Z353" s="7" t="s">
        <v>4741</v>
      </c>
      <c r="AA353" s="7">
        <v>6.0</v>
      </c>
      <c r="AB353" s="7"/>
      <c r="AC353" s="7" t="s">
        <v>4742</v>
      </c>
      <c r="AD353" s="7" t="s">
        <v>4743</v>
      </c>
      <c r="AE353" s="7" t="s">
        <v>4744</v>
      </c>
      <c r="AF353" s="7"/>
      <c r="AG353" s="7"/>
      <c r="AH353" s="20">
        <v>41736.0</v>
      </c>
      <c r="AI353" s="7"/>
      <c r="AJ353" s="7" t="s">
        <v>4745</v>
      </c>
      <c r="AK353" s="7"/>
      <c r="AL353" s="7" t="s">
        <v>4746</v>
      </c>
      <c r="AM353" s="7" t="s">
        <v>4747</v>
      </c>
      <c r="AN353" s="20">
        <v>41736.0</v>
      </c>
      <c r="AO353" s="7">
        <v>97480.0</v>
      </c>
      <c r="AP353" s="7" t="s">
        <v>385</v>
      </c>
      <c r="AQ353" s="7"/>
      <c r="AR353" s="7"/>
      <c r="AS353" s="7"/>
      <c r="AT353" s="7"/>
      <c r="AU353" s="7">
        <v>1.0</v>
      </c>
      <c r="AV353" s="7" t="s">
        <v>4748</v>
      </c>
      <c r="AW353" s="7"/>
      <c r="AX353" s="7"/>
      <c r="AY353" s="7"/>
      <c r="AZ353" s="7" t="s">
        <v>4749</v>
      </c>
      <c r="BA353" s="7"/>
      <c r="BB353" s="7"/>
      <c r="BC353" s="7" t="s">
        <v>366</v>
      </c>
      <c r="BD353" s="21">
        <v>44119.18402777778</v>
      </c>
      <c r="BE353" s="7"/>
      <c r="BF353" s="7"/>
      <c r="BG353" s="22">
        <v>44119.0</v>
      </c>
      <c r="BH353" s="7"/>
      <c r="BI353" s="7" t="s">
        <v>4750</v>
      </c>
      <c r="BJ353" s="7"/>
      <c r="BK353" s="7" t="b">
        <v>0</v>
      </c>
      <c r="BL353" s="7" t="b">
        <v>0</v>
      </c>
      <c r="BM353" s="7"/>
      <c r="BN353" s="7" t="str">
        <f>IFERROR(__xludf.DUMMYFUNCTION(" IF( REGEXMATCH(C353 , ""[(].+[)]""),REGEXREPLACE( CONCATENATE(REGEXEXTRACT(C353 , ""[(].+[)]""),IF(REGEXMATCH(C353 , ""[(][Ll]['’][)]""),"""","" ""), REGEXEXTRACT(C353 ,""^(?:(?:[A-Za-zàäéèêîïöôûü0-9 ](?:[A-Za-zàäéèêîïöôûü'0-9 ]+)))"")) , ""[()]"", """")"&amp;",C353 )"),"Ilot Palmiers")</f>
        <v>Ilot Palmiers</v>
      </c>
      <c r="BO353" s="23"/>
      <c r="BP353" s="7"/>
      <c r="BQ353" s="7"/>
      <c r="BR353" s="7"/>
      <c r="BS353" s="7"/>
      <c r="BT353" s="7"/>
      <c r="BU353" s="7"/>
      <c r="BV353" s="7"/>
      <c r="BW353" s="7"/>
      <c r="BX353" s="7"/>
      <c r="BY353" s="7"/>
      <c r="BZ353" s="7"/>
      <c r="CA353" s="7"/>
      <c r="CB353" s="7"/>
    </row>
    <row r="354" ht="21.75" customHeight="1">
      <c r="A354" s="7">
        <v>3912.0</v>
      </c>
      <c r="B354" s="7">
        <v>353.0</v>
      </c>
      <c r="C354" s="7" t="s">
        <v>4751</v>
      </c>
      <c r="D354" s="7"/>
      <c r="E354" s="7"/>
      <c r="F354" s="7" t="s">
        <v>404</v>
      </c>
      <c r="G354" s="7" t="s">
        <v>343</v>
      </c>
      <c r="H354" s="7" t="s">
        <v>344</v>
      </c>
      <c r="I354" s="7" t="s">
        <v>4752</v>
      </c>
      <c r="J354" s="7"/>
      <c r="K354" s="6" t="s">
        <v>469</v>
      </c>
      <c r="L354" s="7" t="s">
        <v>197</v>
      </c>
      <c r="M354" s="7" t="s">
        <v>559</v>
      </c>
      <c r="N354" s="7" t="s">
        <v>455</v>
      </c>
      <c r="O354" s="7">
        <v>97430.0</v>
      </c>
      <c r="P354" s="7" t="s">
        <v>344</v>
      </c>
      <c r="Q354" s="7"/>
      <c r="R354" s="7"/>
      <c r="S354" s="7"/>
      <c r="T354" s="7"/>
      <c r="U354" s="7"/>
      <c r="V354" s="7"/>
      <c r="W354" s="7">
        <v>6.92484762E8</v>
      </c>
      <c r="X354" s="7"/>
      <c r="Y354" s="7"/>
      <c r="Z354" s="7"/>
      <c r="AA354" s="7"/>
      <c r="AB354" s="7"/>
      <c r="AC354" s="7"/>
      <c r="AD354" s="7" t="s">
        <v>4753</v>
      </c>
      <c r="AE354" s="7"/>
      <c r="AF354" s="7"/>
      <c r="AG354" s="7"/>
      <c r="AH354" s="20">
        <v>42171.0</v>
      </c>
      <c r="AI354" s="7"/>
      <c r="AJ354" s="7" t="s">
        <v>4751</v>
      </c>
      <c r="AK354" s="7"/>
      <c r="AL354" s="7" t="s">
        <v>4754</v>
      </c>
      <c r="AM354" s="7" t="s">
        <v>4755</v>
      </c>
      <c r="AN354" s="20">
        <v>42171.0</v>
      </c>
      <c r="AO354" s="7">
        <v>97430.0</v>
      </c>
      <c r="AP354" s="7" t="s">
        <v>494</v>
      </c>
      <c r="AQ354" s="7"/>
      <c r="AR354" s="7"/>
      <c r="AS354" s="7"/>
      <c r="AT354" s="7"/>
      <c r="AU354" s="7">
        <v>0.0</v>
      </c>
      <c r="AV354" s="7" t="s">
        <v>4756</v>
      </c>
      <c r="AW354" s="7"/>
      <c r="AX354" s="7"/>
      <c r="AY354" s="7"/>
      <c r="AZ354" s="7"/>
      <c r="BA354" s="7"/>
      <c r="BB354" s="7"/>
      <c r="BC354" s="7" t="s">
        <v>366</v>
      </c>
      <c r="BD354" s="21">
        <v>44195.37847222222</v>
      </c>
      <c r="BE354" s="7"/>
      <c r="BF354" s="7"/>
      <c r="BG354" s="22">
        <v>44195.0</v>
      </c>
      <c r="BH354" s="7"/>
      <c r="BI354" s="7" t="s">
        <v>4757</v>
      </c>
      <c r="BJ354" s="7"/>
      <c r="BK354" s="7" t="b">
        <v>0</v>
      </c>
      <c r="BL354" s="7" t="b">
        <v>0</v>
      </c>
      <c r="BM354" s="7"/>
      <c r="BN354" s="7" t="str">
        <f>IFERROR(__xludf.DUMMYFUNCTION(" IF( REGEXMATCH(C354 , ""[(].+[)]""),REGEXREPLACE( CONCATENATE(REGEXEXTRACT(C354 , ""[(].+[)]""),IF(REGEXMATCH(C354 , ""[(][Ll]['’][)]""),"""","" ""), REGEXEXTRACT(C354 ,""^(?:(?:[A-Za-zàäéèêîïöôûü0-9 ](?:[A-Za-zàäéèêîïöôûü'0-9 ]+)))"")) , ""[()]"", """")"&amp;",C354 )"),"L'Ilot Perles ")</f>
        <v>L'Ilot Perles </v>
      </c>
      <c r="BO354" s="23"/>
      <c r="BP354" s="7"/>
      <c r="BQ354" s="7"/>
      <c r="BR354" s="7"/>
      <c r="BS354" s="7"/>
      <c r="BT354" s="7"/>
      <c r="BU354" s="7"/>
      <c r="BV354" s="7"/>
      <c r="BW354" s="7"/>
      <c r="BX354" s="7"/>
      <c r="BY354" s="7"/>
      <c r="BZ354" s="7"/>
      <c r="CA354" s="7"/>
      <c r="CB354" s="7"/>
    </row>
    <row r="355" ht="21.75" customHeight="1">
      <c r="A355" s="7">
        <v>990.0</v>
      </c>
      <c r="B355" s="7" t="s">
        <v>4758</v>
      </c>
      <c r="C355" s="7" t="s">
        <v>4759</v>
      </c>
      <c r="D355" s="7" t="s">
        <v>4760</v>
      </c>
      <c r="E355" s="7"/>
      <c r="F355" s="7" t="s">
        <v>342</v>
      </c>
      <c r="G355" s="7" t="s">
        <v>343</v>
      </c>
      <c r="H355" s="7" t="s">
        <v>344</v>
      </c>
      <c r="I355" s="7" t="s">
        <v>4761</v>
      </c>
      <c r="J355" s="26" t="s">
        <v>4762</v>
      </c>
      <c r="K355" s="7" t="s">
        <v>34</v>
      </c>
      <c r="L355" s="7" t="s">
        <v>4763</v>
      </c>
      <c r="M355" s="7" t="s">
        <v>4764</v>
      </c>
      <c r="N355" s="7" t="s">
        <v>664</v>
      </c>
      <c r="O355" s="7">
        <v>97430.0</v>
      </c>
      <c r="P355" s="7" t="s">
        <v>344</v>
      </c>
      <c r="Q355" s="7"/>
      <c r="R355" s="7"/>
      <c r="S355" s="7" t="s">
        <v>4765</v>
      </c>
      <c r="T355" s="7" t="s">
        <v>1612</v>
      </c>
      <c r="U355" s="7" t="s">
        <v>1508</v>
      </c>
      <c r="V355" s="7">
        <v>2.62575527E8</v>
      </c>
      <c r="W355" s="7">
        <v>6.9394038E8</v>
      </c>
      <c r="X355" s="7"/>
      <c r="Y355" s="7"/>
      <c r="Z355" s="7" t="s">
        <v>4766</v>
      </c>
      <c r="AA355" s="7">
        <v>30.0</v>
      </c>
      <c r="AB355" s="7"/>
      <c r="AC355" s="7" t="s">
        <v>4767</v>
      </c>
      <c r="AD355" s="7" t="s">
        <v>4768</v>
      </c>
      <c r="AE355" s="7" t="s">
        <v>4769</v>
      </c>
      <c r="AF355" s="7"/>
      <c r="AG355" s="7"/>
      <c r="AH355" s="20">
        <v>39575.0</v>
      </c>
      <c r="AI355" s="7"/>
      <c r="AJ355" s="7" t="s">
        <v>4770</v>
      </c>
      <c r="AK355" s="7">
        <v>4.5122636100018E13</v>
      </c>
      <c r="AL355" s="7" t="s">
        <v>4591</v>
      </c>
      <c r="AM355" s="7" t="s">
        <v>4771</v>
      </c>
      <c r="AN355" s="20">
        <v>39672.0</v>
      </c>
      <c r="AO355" s="7">
        <v>97430.0</v>
      </c>
      <c r="AP355" s="7" t="s">
        <v>494</v>
      </c>
      <c r="AQ355" s="7"/>
      <c r="AR355" s="7"/>
      <c r="AS355" s="7"/>
      <c r="AT355" s="7"/>
      <c r="AU355" s="7">
        <v>0.0</v>
      </c>
      <c r="AV355" s="7" t="s">
        <v>4772</v>
      </c>
      <c r="AW355" s="7"/>
      <c r="AX355" s="7"/>
      <c r="AY355" s="7"/>
      <c r="AZ355" s="7"/>
      <c r="BA355" s="7"/>
      <c r="BB355" s="7"/>
      <c r="BC355" s="7" t="s">
        <v>401</v>
      </c>
      <c r="BD355" s="21">
        <v>44207.0</v>
      </c>
      <c r="BE355" s="7" t="s">
        <v>449</v>
      </c>
      <c r="BF355" s="7"/>
      <c r="BG355" s="7"/>
      <c r="BH355" s="7">
        <v>4.51226361E8</v>
      </c>
      <c r="BI355" s="7" t="s">
        <v>4773</v>
      </c>
      <c r="BJ355" s="7"/>
      <c r="BK355" s="7" t="b">
        <v>0</v>
      </c>
      <c r="BL355" s="7" t="b">
        <v>0</v>
      </c>
      <c r="BM355" s="7"/>
      <c r="BN355" s="7" t="str">
        <f>IFERROR(__xludf.DUMMYFUNCTION(" IF( REGEXMATCH(C355 , ""[(].+[)]""),REGEXREPLACE( CONCATENATE(REGEXEXTRACT(C355 , ""[(].+[)]""),IF(REGEXMATCH(C355 , ""[(][Ll]['’][)]""),"""","" ""), REGEXEXTRACT(C355 ,""^(?:(?:[A-Za-zàäéèêîïöôûü0-9 ](?:[A-Za-zàäéèêîïöôûü'0-9 ]+)))"")) , ""[()]"", """")"&amp;",C355 )"),"L'Impériale Pirun Pizzeria ")</f>
        <v>L'Impériale Pirun Pizzeria </v>
      </c>
      <c r="BO355" s="25"/>
      <c r="BP355" s="7"/>
      <c r="BQ355" s="7"/>
      <c r="BR355" s="7"/>
      <c r="BS355" s="7"/>
      <c r="BT355" s="7"/>
      <c r="BU355" s="7"/>
      <c r="BV355" s="7"/>
      <c r="BW355" s="7"/>
      <c r="BX355" s="7"/>
      <c r="BY355" s="7"/>
      <c r="BZ355" s="7"/>
      <c r="CA355" s="7"/>
      <c r="CB355" s="7"/>
    </row>
    <row r="356" ht="21.75" customHeight="1">
      <c r="A356" s="7">
        <v>2205.0</v>
      </c>
      <c r="B356" s="7">
        <v>355.0</v>
      </c>
      <c r="C356" s="7" t="s">
        <v>4774</v>
      </c>
      <c r="D356" s="7"/>
      <c r="E356" s="7"/>
      <c r="F356" s="7" t="s">
        <v>404</v>
      </c>
      <c r="G356" s="7" t="s">
        <v>343</v>
      </c>
      <c r="H356" s="7" t="s">
        <v>123</v>
      </c>
      <c r="I356" s="7" t="s">
        <v>4775</v>
      </c>
      <c r="J356" s="7"/>
      <c r="K356" s="7" t="s">
        <v>58</v>
      </c>
      <c r="L356" s="7" t="s">
        <v>59</v>
      </c>
      <c r="M356" s="7" t="s">
        <v>346</v>
      </c>
      <c r="N356" s="7" t="s">
        <v>407</v>
      </c>
      <c r="O356" s="7">
        <v>97480.0</v>
      </c>
      <c r="P356" s="7" t="s">
        <v>123</v>
      </c>
      <c r="Q356" s="7"/>
      <c r="R356" s="7" t="s">
        <v>4776</v>
      </c>
      <c r="S356" s="7" t="s">
        <v>4777</v>
      </c>
      <c r="T356" s="7" t="s">
        <v>377</v>
      </c>
      <c r="U356" s="7" t="s">
        <v>353</v>
      </c>
      <c r="V356" s="7"/>
      <c r="W356" s="7">
        <v>6.92695144E8</v>
      </c>
      <c r="X356" s="7"/>
      <c r="Y356" s="7">
        <v>2.62374538E8</v>
      </c>
      <c r="Z356" s="7" t="s">
        <v>4778</v>
      </c>
      <c r="AA356" s="7">
        <v>4.0</v>
      </c>
      <c r="AB356" s="7" t="s">
        <v>2716</v>
      </c>
      <c r="AC356" s="7"/>
      <c r="AD356" s="7" t="s">
        <v>4779</v>
      </c>
      <c r="AE356" s="7"/>
      <c r="AF356" s="7"/>
      <c r="AG356" s="7"/>
      <c r="AH356" s="20">
        <v>43739.0</v>
      </c>
      <c r="AI356" s="7"/>
      <c r="AJ356" s="7" t="s">
        <v>4780</v>
      </c>
      <c r="AK356" s="7"/>
      <c r="AL356" s="7" t="s">
        <v>4781</v>
      </c>
      <c r="AM356" s="7" t="s">
        <v>4782</v>
      </c>
      <c r="AN356" s="20">
        <v>40158.0</v>
      </c>
      <c r="AO356" s="7">
        <v>97480.0</v>
      </c>
      <c r="AP356" s="7" t="s">
        <v>385</v>
      </c>
      <c r="AQ356" s="7"/>
      <c r="AR356" s="7"/>
      <c r="AS356" s="7"/>
      <c r="AT356" s="7"/>
      <c r="AU356" s="7">
        <v>1.0</v>
      </c>
      <c r="AV356" s="7" t="s">
        <v>4783</v>
      </c>
      <c r="AW356" s="7"/>
      <c r="AX356" s="7"/>
      <c r="AY356" s="7"/>
      <c r="AZ356" s="7"/>
      <c r="BA356" s="7"/>
      <c r="BB356" s="7"/>
      <c r="BC356" s="7" t="s">
        <v>366</v>
      </c>
      <c r="BD356" s="21">
        <v>44197.0</v>
      </c>
      <c r="BE356" s="7"/>
      <c r="BF356" s="7"/>
      <c r="BG356" s="22">
        <v>44197.0</v>
      </c>
      <c r="BH356" s="7"/>
      <c r="BI356" s="7" t="s">
        <v>4784</v>
      </c>
      <c r="BJ356" s="7"/>
      <c r="BK356" s="7" t="b">
        <v>0</v>
      </c>
      <c r="BL356" s="7" t="b">
        <v>0</v>
      </c>
      <c r="BM356" s="7"/>
      <c r="BN356" s="7" t="str">
        <f>IFERROR(__xludf.DUMMYFUNCTION(" IF( REGEXMATCH(C356 , ""[(].+[)]""),REGEXREPLACE( CONCATENATE(REGEXEXTRACT(C356 , ""[(].+[)]""),IF(REGEXMATCH(C356 , ""[(][Ll]['’][)]""),"""","" ""), REGEXEXTRACT(C356 ,""^(?:(?:[A-Za-zàäéèêîïöôûü0-9 ](?:[A-Za-zàäéèêîïöôûü'0-9 ]+)))"")) , ""[()]"", """")"&amp;",C356 )"),"Le Jam")</f>
        <v>Le Jam</v>
      </c>
      <c r="BO356" s="23"/>
      <c r="BP356" s="7"/>
      <c r="BQ356" s="7"/>
      <c r="BR356" s="7"/>
      <c r="BS356" s="7"/>
      <c r="BT356" s="7"/>
      <c r="BU356" s="7"/>
      <c r="BV356" s="7"/>
      <c r="BW356" s="7"/>
      <c r="BX356" s="7"/>
      <c r="BY356" s="7"/>
      <c r="BZ356" s="7"/>
      <c r="CA356" s="7"/>
      <c r="CB356" s="7"/>
    </row>
    <row r="357" ht="21.75" customHeight="1">
      <c r="A357" s="7">
        <v>3566.0</v>
      </c>
      <c r="B357" s="7" t="s">
        <v>4785</v>
      </c>
      <c r="C357" s="7" t="s">
        <v>4786</v>
      </c>
      <c r="D357" s="7" t="s">
        <v>4786</v>
      </c>
      <c r="E357" s="7"/>
      <c r="F357" s="7" t="s">
        <v>342</v>
      </c>
      <c r="G357" s="7" t="s">
        <v>343</v>
      </c>
      <c r="H357" s="7" t="s">
        <v>123</v>
      </c>
      <c r="I357" s="7" t="s">
        <v>4787</v>
      </c>
      <c r="J357" s="26" t="s">
        <v>4788</v>
      </c>
      <c r="K357" s="7" t="s">
        <v>822</v>
      </c>
      <c r="L357" s="7" t="s">
        <v>4789</v>
      </c>
      <c r="M357" s="7" t="s">
        <v>4790</v>
      </c>
      <c r="N357" s="7" t="s">
        <v>407</v>
      </c>
      <c r="O357" s="7">
        <v>97480.0</v>
      </c>
      <c r="P357" s="7" t="s">
        <v>123</v>
      </c>
      <c r="Q357" s="7"/>
      <c r="R357" s="7"/>
      <c r="S357" s="7" t="s">
        <v>1296</v>
      </c>
      <c r="T357" s="7" t="s">
        <v>377</v>
      </c>
      <c r="U357" s="7" t="s">
        <v>592</v>
      </c>
      <c r="V357" s="7"/>
      <c r="W357" s="7">
        <v>6.92077495E8</v>
      </c>
      <c r="X357" s="7"/>
      <c r="Y357" s="7"/>
      <c r="Z357" s="7" t="s">
        <v>4791</v>
      </c>
      <c r="AA357" s="7">
        <v>20.0</v>
      </c>
      <c r="AB357" s="7"/>
      <c r="AC357" s="7" t="s">
        <v>4792</v>
      </c>
      <c r="AD357" s="7" t="s">
        <v>4793</v>
      </c>
      <c r="AE357" s="7" t="s">
        <v>4794</v>
      </c>
      <c r="AF357" s="7"/>
      <c r="AG357" s="7"/>
      <c r="AH357" s="20">
        <v>41736.0</v>
      </c>
      <c r="AI357" s="7"/>
      <c r="AJ357" s="7" t="s">
        <v>4795</v>
      </c>
      <c r="AK357" s="7">
        <v>7.5044380600013E13</v>
      </c>
      <c r="AL357" s="7" t="s">
        <v>4796</v>
      </c>
      <c r="AM357" s="7" t="s">
        <v>4797</v>
      </c>
      <c r="AN357" s="20">
        <v>41736.0</v>
      </c>
      <c r="AO357" s="7">
        <v>97438.0</v>
      </c>
      <c r="AP357" s="7" t="s">
        <v>2314</v>
      </c>
      <c r="AQ357" s="7"/>
      <c r="AR357" s="7"/>
      <c r="AS357" s="7"/>
      <c r="AT357" s="7"/>
      <c r="AU357" s="7">
        <v>0.0</v>
      </c>
      <c r="AV357" s="7" t="s">
        <v>4798</v>
      </c>
      <c r="AW357" s="7"/>
      <c r="AX357" s="7"/>
      <c r="AY357" s="7"/>
      <c r="AZ357" s="7"/>
      <c r="BA357" s="7"/>
      <c r="BB357" s="7"/>
      <c r="BC357" s="7" t="s">
        <v>401</v>
      </c>
      <c r="BD357" s="21">
        <v>44237.37708333333</v>
      </c>
      <c r="BE357" s="7" t="s">
        <v>1355</v>
      </c>
      <c r="BF357" s="7"/>
      <c r="BG357" s="7"/>
      <c r="BH357" s="7">
        <v>7.50443806E8</v>
      </c>
      <c r="BI357" s="7" t="s">
        <v>4799</v>
      </c>
      <c r="BJ357" s="7"/>
      <c r="BK357" s="7" t="b">
        <v>0</v>
      </c>
      <c r="BL357" s="7" t="b">
        <v>0</v>
      </c>
      <c r="BM357" s="7"/>
      <c r="BN357" s="7" t="str">
        <f>IFERROR(__xludf.DUMMYFUNCTION(" IF( REGEXMATCH(C357 , ""[(].+[)]""),REGEXREPLACE( CONCATENATE(REGEXEXTRACT(C357 , ""[(].+[)]""),IF(REGEXMATCH(C357 , ""[(][Ll]['’][)]""),"""","" ""), REGEXEXTRACT(C357 ,""^(?:(?:[A-Za-zàäéèêîïöôûü0-9 ](?:[A-Za-zàäéèêîïöôûü'0-9 ]+)))"")) , ""[()]"", """")"&amp;",C357 )"),"Jardin de Vandas")</f>
        <v>Jardin de Vandas</v>
      </c>
      <c r="BO357" s="25"/>
      <c r="BP357" s="7"/>
      <c r="BQ357" s="7"/>
      <c r="BR357" s="7"/>
      <c r="BS357" s="7"/>
      <c r="BT357" s="7"/>
      <c r="BU357" s="7"/>
      <c r="BV357" s="7"/>
      <c r="BW357" s="7"/>
      <c r="BX357" s="7"/>
      <c r="BY357" s="7"/>
      <c r="BZ357" s="7"/>
      <c r="CA357" s="7"/>
      <c r="CB357" s="7"/>
    </row>
    <row r="358" ht="21.75" customHeight="1">
      <c r="A358" s="7">
        <v>4561.0</v>
      </c>
      <c r="B358" s="7" t="s">
        <v>4800</v>
      </c>
      <c r="C358" s="7" t="s">
        <v>4801</v>
      </c>
      <c r="D358" s="7"/>
      <c r="E358" s="7"/>
      <c r="F358" s="7" t="s">
        <v>342</v>
      </c>
      <c r="G358" s="7" t="s">
        <v>343</v>
      </c>
      <c r="H358" s="7" t="s">
        <v>123</v>
      </c>
      <c r="I358" s="7" t="s">
        <v>4802</v>
      </c>
      <c r="J358" s="7"/>
      <c r="K358" s="7" t="s">
        <v>822</v>
      </c>
      <c r="L358" s="7" t="s">
        <v>1805</v>
      </c>
      <c r="M358" s="7" t="s">
        <v>1806</v>
      </c>
      <c r="N358" s="7" t="s">
        <v>422</v>
      </c>
      <c r="O358" s="7">
        <v>97480.0</v>
      </c>
      <c r="P358" s="7" t="s">
        <v>123</v>
      </c>
      <c r="Q358" s="7" t="s">
        <v>2879</v>
      </c>
      <c r="R358" s="7" t="s">
        <v>4803</v>
      </c>
      <c r="S358" s="7"/>
      <c r="T358" s="7" t="s">
        <v>377</v>
      </c>
      <c r="U358" s="7" t="s">
        <v>353</v>
      </c>
      <c r="V358" s="7">
        <v>2.6250447E8</v>
      </c>
      <c r="W358" s="7">
        <v>6.93916284E8</v>
      </c>
      <c r="X358" s="7"/>
      <c r="Y358" s="7"/>
      <c r="Z358" s="7" t="s">
        <v>4804</v>
      </c>
      <c r="AA358" s="7"/>
      <c r="AB358" s="7"/>
      <c r="AC358" s="7" t="s">
        <v>4805</v>
      </c>
      <c r="AD358" s="7" t="s">
        <v>4806</v>
      </c>
      <c r="AE358" s="7"/>
      <c r="AF358" s="7" t="s">
        <v>1173</v>
      </c>
      <c r="AG358" s="7"/>
      <c r="AH358" s="20">
        <v>43348.0</v>
      </c>
      <c r="AI358" s="7"/>
      <c r="AJ358" s="7" t="s">
        <v>4807</v>
      </c>
      <c r="AK358" s="7">
        <v>8.4036985400012E13</v>
      </c>
      <c r="AL358" s="7" t="s">
        <v>4808</v>
      </c>
      <c r="AM358" s="7" t="s">
        <v>4809</v>
      </c>
      <c r="AN358" s="20">
        <v>43348.0</v>
      </c>
      <c r="AO358" s="7">
        <v>97480.0</v>
      </c>
      <c r="AP358" s="7" t="s">
        <v>385</v>
      </c>
      <c r="AQ358" s="7"/>
      <c r="AR358" s="7"/>
      <c r="AS358" s="7"/>
      <c r="AT358" s="7"/>
      <c r="AU358" s="7">
        <v>0.0</v>
      </c>
      <c r="AV358" s="7" t="s">
        <v>4810</v>
      </c>
      <c r="AW358" s="7"/>
      <c r="AX358" s="7"/>
      <c r="AY358" s="7"/>
      <c r="AZ358" s="7"/>
      <c r="BA358" s="7"/>
      <c r="BB358" s="7"/>
      <c r="BC358" s="7" t="s">
        <v>401</v>
      </c>
      <c r="BD358" s="21">
        <v>44222.0</v>
      </c>
      <c r="BE358" s="7" t="s">
        <v>449</v>
      </c>
      <c r="BF358" s="7"/>
      <c r="BG358" s="7"/>
      <c r="BH358" s="7">
        <v>8.40369854E8</v>
      </c>
      <c r="BI358" s="7" t="s">
        <v>4811</v>
      </c>
      <c r="BJ358" s="7"/>
      <c r="BK358" s="7" t="b">
        <v>0</v>
      </c>
      <c r="BL358" s="7" t="b">
        <v>0</v>
      </c>
      <c r="BM358" s="7"/>
      <c r="BN358" s="7" t="str">
        <f>IFERROR(__xludf.DUMMYFUNCTION(" IF( REGEXMATCH(C358 , ""[(].+[)]""),REGEXREPLACE( CONCATENATE(REGEXEXTRACT(C358 , ""[(].+[)]""),IF(REGEXMATCH(C358 , ""[(][Ll]['’][)]""),"""","" ""), REGEXEXTRACT(C358 ,""^(?:(?:[A-Za-zàäéèêîïöôûü0-9 ](?:[A-Za-zàäéèêîïöôûü'0-9 ]+)))"")) , ""[()]"", """")"&amp;",C358 )"),"Le Jardin des Bestioles ")</f>
        <v>Le Jardin des Bestioles </v>
      </c>
      <c r="BO358" s="25"/>
      <c r="BP358" s="7"/>
      <c r="BQ358" s="7"/>
      <c r="BR358" s="7"/>
      <c r="BS358" s="7"/>
      <c r="BT358" s="7"/>
      <c r="BU358" s="7"/>
      <c r="BV358" s="7"/>
      <c r="BW358" s="7"/>
      <c r="BX358" s="7"/>
      <c r="BY358" s="7"/>
      <c r="BZ358" s="7"/>
      <c r="CA358" s="7"/>
      <c r="CB358" s="7"/>
    </row>
    <row r="359" ht="21.75" customHeight="1">
      <c r="A359" s="7">
        <v>2976.0</v>
      </c>
      <c r="B359" s="7">
        <v>358.0</v>
      </c>
      <c r="C359" s="7" t="s">
        <v>4812</v>
      </c>
      <c r="D359" s="7"/>
      <c r="E359" s="7"/>
      <c r="F359" s="7" t="s">
        <v>342</v>
      </c>
      <c r="G359" s="7" t="s">
        <v>343</v>
      </c>
      <c r="H359" s="7" t="s">
        <v>33</v>
      </c>
      <c r="I359" s="7" t="s">
        <v>4813</v>
      </c>
      <c r="J359" s="7"/>
      <c r="K359" s="7" t="s">
        <v>34</v>
      </c>
      <c r="L359" s="7" t="s">
        <v>622</v>
      </c>
      <c r="M359" s="7" t="s">
        <v>622</v>
      </c>
      <c r="N359" s="7" t="s">
        <v>1001</v>
      </c>
      <c r="O359" s="7">
        <v>97442.0</v>
      </c>
      <c r="P359" s="7" t="s">
        <v>33</v>
      </c>
      <c r="Q359" s="7"/>
      <c r="R359" s="7"/>
      <c r="S359" s="7"/>
      <c r="T359" s="7" t="s">
        <v>377</v>
      </c>
      <c r="U359" s="7" t="s">
        <v>592</v>
      </c>
      <c r="V359" s="7"/>
      <c r="W359" s="7">
        <v>6.92301342E8</v>
      </c>
      <c r="X359" s="7"/>
      <c r="Y359" s="7"/>
      <c r="Z359" s="7"/>
      <c r="AA359" s="7">
        <v>70.0</v>
      </c>
      <c r="AB359" s="7"/>
      <c r="AC359" s="7"/>
      <c r="AD359" s="7" t="s">
        <v>4814</v>
      </c>
      <c r="AE359" s="7" t="s">
        <v>4815</v>
      </c>
      <c r="AF359" s="7"/>
      <c r="AG359" s="7"/>
      <c r="AH359" s="20">
        <v>43739.0</v>
      </c>
      <c r="AI359" s="7"/>
      <c r="AJ359" s="7" t="s">
        <v>4816</v>
      </c>
      <c r="AK359" s="7"/>
      <c r="AL359" s="7" t="s">
        <v>4817</v>
      </c>
      <c r="AM359" s="7" t="s">
        <v>4818</v>
      </c>
      <c r="AN359" s="20">
        <v>43739.0</v>
      </c>
      <c r="AO359" s="7">
        <v>97442.0</v>
      </c>
      <c r="AP359" s="7" t="s">
        <v>884</v>
      </c>
      <c r="AQ359" s="7"/>
      <c r="AR359" s="7"/>
      <c r="AS359" s="7"/>
      <c r="AT359" s="7"/>
      <c r="AU359" s="7">
        <v>0.0</v>
      </c>
      <c r="AV359" s="7" t="s">
        <v>4819</v>
      </c>
      <c r="AW359" s="7"/>
      <c r="AX359" s="7"/>
      <c r="AY359" s="7"/>
      <c r="AZ359" s="7"/>
      <c r="BA359" s="7"/>
      <c r="BB359" s="7"/>
      <c r="BC359" s="7" t="s">
        <v>366</v>
      </c>
      <c r="BD359" s="21">
        <v>44166.424305555556</v>
      </c>
      <c r="BE359" s="7"/>
      <c r="BF359" s="7"/>
      <c r="BG359" s="22">
        <v>44166.0</v>
      </c>
      <c r="BH359" s="7"/>
      <c r="BI359" s="7" t="s">
        <v>4820</v>
      </c>
      <c r="BJ359" s="7"/>
      <c r="BK359" s="7" t="b">
        <v>0</v>
      </c>
      <c r="BL359" s="7" t="b">
        <v>0</v>
      </c>
      <c r="BM359" s="7"/>
      <c r="BN359" s="7" t="str">
        <f>IFERROR(__xludf.DUMMYFUNCTION(" IF( REGEXMATCH(C359 , ""[(].+[)]""),REGEXREPLACE( CONCATENATE(REGEXEXTRACT(C359 , ""[(].+[)]""),IF(REGEXMATCH(C359 , ""[(][Ll]['’][)]""),"""","" ""), REGEXEXTRACT(C359 ,""^(?:(?:[A-Za-zàäéèêîïöôûü0-9 ](?:[A-Za-zàäéèêîïöôûü'0-9 ]+)))"")) , ""[()]"", """")"&amp;",C359 )"),"Le Jardin des Délices ")</f>
        <v>Le Jardin des Délices </v>
      </c>
      <c r="BO359" s="23"/>
      <c r="BP359" s="7"/>
      <c r="BQ359" s="7"/>
      <c r="BR359" s="7"/>
      <c r="BS359" s="7"/>
      <c r="BT359" s="7"/>
      <c r="BU359" s="7"/>
      <c r="BV359" s="7"/>
      <c r="BW359" s="7"/>
      <c r="BX359" s="7"/>
      <c r="BY359" s="7"/>
      <c r="BZ359" s="7"/>
      <c r="CA359" s="7"/>
      <c r="CB359" s="7"/>
    </row>
    <row r="360" ht="21.75" customHeight="1">
      <c r="A360" s="7">
        <v>1789.0</v>
      </c>
      <c r="B360" s="7" t="s">
        <v>4821</v>
      </c>
      <c r="C360" s="7" t="s">
        <v>4822</v>
      </c>
      <c r="D360" s="7" t="s">
        <v>4823</v>
      </c>
      <c r="E360" s="7"/>
      <c r="F360" s="7" t="s">
        <v>342</v>
      </c>
      <c r="G360" s="7" t="s">
        <v>343</v>
      </c>
      <c r="H360" s="7" t="s">
        <v>33</v>
      </c>
      <c r="I360" s="7" t="s">
        <v>4824</v>
      </c>
      <c r="J360" s="26" t="s">
        <v>4825</v>
      </c>
      <c r="K360" s="7" t="s">
        <v>822</v>
      </c>
      <c r="L360" s="7" t="s">
        <v>4826</v>
      </c>
      <c r="M360" s="7" t="s">
        <v>4827</v>
      </c>
      <c r="N360" s="7" t="s">
        <v>375</v>
      </c>
      <c r="O360" s="7">
        <v>97442.0</v>
      </c>
      <c r="P360" s="7" t="s">
        <v>33</v>
      </c>
      <c r="Q360" s="7"/>
      <c r="R360" s="7" t="s">
        <v>4828</v>
      </c>
      <c r="S360" s="7" t="s">
        <v>2842</v>
      </c>
      <c r="T360" s="7" t="s">
        <v>3832</v>
      </c>
      <c r="U360" s="7" t="s">
        <v>592</v>
      </c>
      <c r="V360" s="7">
        <v>2.62370636E8</v>
      </c>
      <c r="W360" s="7">
        <v>6.92660901E8</v>
      </c>
      <c r="X360" s="7"/>
      <c r="Y360" s="7">
        <v>2.62371508E8</v>
      </c>
      <c r="Z360" s="7" t="s">
        <v>4829</v>
      </c>
      <c r="AA360" s="7"/>
      <c r="AB360" s="7"/>
      <c r="AC360" s="7" t="s">
        <v>4830</v>
      </c>
      <c r="AD360" s="7" t="s">
        <v>4831</v>
      </c>
      <c r="AE360" s="7" t="s">
        <v>4832</v>
      </c>
      <c r="AF360" s="7" t="s">
        <v>880</v>
      </c>
      <c r="AG360" s="7" t="s">
        <v>597</v>
      </c>
      <c r="AH360" s="20">
        <v>39966.0</v>
      </c>
      <c r="AI360" s="7"/>
      <c r="AJ360" s="7" t="s">
        <v>4833</v>
      </c>
      <c r="AK360" s="7"/>
      <c r="AL360" s="7" t="s">
        <v>4834</v>
      </c>
      <c r="AM360" s="7" t="s">
        <v>4835</v>
      </c>
      <c r="AN360" s="20">
        <v>39966.0</v>
      </c>
      <c r="AO360" s="7">
        <v>97442.0</v>
      </c>
      <c r="AP360" s="7" t="s">
        <v>884</v>
      </c>
      <c r="AQ360" s="7"/>
      <c r="AR360" s="7"/>
      <c r="AS360" s="7"/>
      <c r="AT360" s="7"/>
      <c r="AU360" s="7">
        <v>0.0</v>
      </c>
      <c r="AV360" s="7" t="s">
        <v>4836</v>
      </c>
      <c r="AW360" s="7"/>
      <c r="AX360" s="7"/>
      <c r="AY360" s="7"/>
      <c r="AZ360" s="7"/>
      <c r="BA360" s="7"/>
      <c r="BB360" s="7"/>
      <c r="BC360" s="7" t="s">
        <v>401</v>
      </c>
      <c r="BD360" s="21">
        <v>44185.0</v>
      </c>
      <c r="BE360" s="7" t="s">
        <v>3621</v>
      </c>
      <c r="BF360" s="7"/>
      <c r="BG360" s="7"/>
      <c r="BH360" s="7"/>
      <c r="BI360" s="7" t="s">
        <v>4837</v>
      </c>
      <c r="BJ360" s="7"/>
      <c r="BK360" s="7" t="b">
        <v>0</v>
      </c>
      <c r="BL360" s="7" t="b">
        <v>0</v>
      </c>
      <c r="BM360" s="7"/>
      <c r="BN360" s="7" t="str">
        <f>IFERROR(__xludf.DUMMYFUNCTION(" IF( REGEXMATCH(C360 , ""[(].+[)]""),REGEXREPLACE( CONCATENATE(REGEXEXTRACT(C360 , ""[(].+[)]""),IF(REGEXMATCH(C360 , ""[(][Ll]['’][)]""),"""","" ""), REGEXEXTRACT(C360 ,""^(?:(?:[A-Za-zàäéèêîïöôûü0-9 ](?:[A-Za-zàäéèêîïöôûü'0-9 ]+)))"")) , ""[()]"", """")"&amp;",C360 )"),"Le Jardin des Parfums et des Epices ")</f>
        <v>Le Jardin des Parfums et des Epices </v>
      </c>
      <c r="BO360" s="25"/>
      <c r="BP360" s="7"/>
      <c r="BQ360" s="7"/>
      <c r="BR360" s="7"/>
      <c r="BS360" s="7"/>
      <c r="BT360" s="7"/>
      <c r="BU360" s="7"/>
      <c r="BV360" s="7"/>
      <c r="BW360" s="7"/>
      <c r="BX360" s="7"/>
      <c r="BY360" s="7"/>
      <c r="BZ360" s="7"/>
      <c r="CA360" s="7"/>
      <c r="CB360" s="7"/>
    </row>
    <row r="361" ht="21.75" customHeight="1">
      <c r="A361" s="7">
        <v>4560.0</v>
      </c>
      <c r="B361" s="7" t="s">
        <v>4838</v>
      </c>
      <c r="C361" s="7" t="s">
        <v>4839</v>
      </c>
      <c r="D361" s="7"/>
      <c r="E361" s="7"/>
      <c r="F361" s="7" t="s">
        <v>342</v>
      </c>
      <c r="G361" s="7" t="s">
        <v>343</v>
      </c>
      <c r="H361" s="7" t="s">
        <v>344</v>
      </c>
      <c r="I361" s="7" t="s">
        <v>4840</v>
      </c>
      <c r="J361" s="7"/>
      <c r="K361" s="7" t="s">
        <v>58</v>
      </c>
      <c r="L361" s="7" t="s">
        <v>59</v>
      </c>
      <c r="M361" s="7" t="s">
        <v>346</v>
      </c>
      <c r="N361" s="7"/>
      <c r="O361" s="7">
        <v>97430.0</v>
      </c>
      <c r="P361" s="7" t="s">
        <v>344</v>
      </c>
      <c r="Q361" s="7"/>
      <c r="R361" s="7" t="s">
        <v>4841</v>
      </c>
      <c r="S361" s="7"/>
      <c r="T361" s="7" t="s">
        <v>377</v>
      </c>
      <c r="U361" s="7" t="s">
        <v>378</v>
      </c>
      <c r="V361" s="7">
        <v>2.62272996E8</v>
      </c>
      <c r="W361" s="7">
        <v>6.924914E8</v>
      </c>
      <c r="X361" s="7"/>
      <c r="Y361" s="7"/>
      <c r="Z361" s="7" t="s">
        <v>4842</v>
      </c>
      <c r="AA361" s="7">
        <v>8.0</v>
      </c>
      <c r="AB361" s="7"/>
      <c r="AC361" s="7" t="s">
        <v>4843</v>
      </c>
      <c r="AD361" s="7" t="s">
        <v>4844</v>
      </c>
      <c r="AE361" s="7" t="s">
        <v>4845</v>
      </c>
      <c r="AF361" s="7"/>
      <c r="AG361" s="7"/>
      <c r="AH361" s="20">
        <v>43348.0</v>
      </c>
      <c r="AI361" s="7"/>
      <c r="AJ361" s="7" t="s">
        <v>4846</v>
      </c>
      <c r="AK361" s="7">
        <v>8.3438785400013E13</v>
      </c>
      <c r="AL361" s="7" t="s">
        <v>4847</v>
      </c>
      <c r="AM361" s="7" t="s">
        <v>4848</v>
      </c>
      <c r="AN361" s="20">
        <v>43348.0</v>
      </c>
      <c r="AO361" s="7">
        <v>97430.0</v>
      </c>
      <c r="AP361" s="7" t="s">
        <v>494</v>
      </c>
      <c r="AQ361" s="7"/>
      <c r="AR361" s="7"/>
      <c r="AS361" s="7"/>
      <c r="AT361" s="7"/>
      <c r="AU361" s="7">
        <v>1.0</v>
      </c>
      <c r="AV361" s="7" t="s">
        <v>4849</v>
      </c>
      <c r="AW361" s="7"/>
      <c r="AX361" s="7"/>
      <c r="AY361" s="7"/>
      <c r="AZ361" s="7" t="s">
        <v>4850</v>
      </c>
      <c r="BA361" s="7"/>
      <c r="BB361" s="7"/>
      <c r="BC361" s="7" t="s">
        <v>401</v>
      </c>
      <c r="BD361" s="7"/>
      <c r="BE361" s="7" t="s">
        <v>1011</v>
      </c>
      <c r="BF361" s="7"/>
      <c r="BG361" s="7"/>
      <c r="BH361" s="7">
        <v>8.34387854E8</v>
      </c>
      <c r="BI361" s="7" t="s">
        <v>4851</v>
      </c>
      <c r="BJ361" s="7"/>
      <c r="BK361" s="7" t="b">
        <v>0</v>
      </c>
      <c r="BL361" s="7" t="b">
        <v>0</v>
      </c>
      <c r="BM361" s="7"/>
      <c r="BN361" s="7" t="str">
        <f>IFERROR(__xludf.DUMMYFUNCTION(" IF( REGEXMATCH(C361 , ""[(].+[)]""),REGEXREPLACE( CONCATENATE(REGEXEXTRACT(C361 , ""[(].+[)]""),IF(REGEXMATCH(C361 , ""[(][Ll]['’][)]""),"""","" ""), REGEXEXTRACT(C361 ,""^(?:(?:[A-Za-zàäéèêîïöôûü0-9 ](?:[A-Za-zàäéèêîïöôûü'0-9 ]+)))"")) , ""[()]"", """")"&amp;",C361 )"),"Les Jardins De Lé ")</f>
        <v>Les Jardins De Lé </v>
      </c>
      <c r="BO361" s="25"/>
      <c r="BP361" s="7"/>
      <c r="BQ361" s="7"/>
      <c r="BR361" s="7"/>
      <c r="BS361" s="7"/>
      <c r="BT361" s="7"/>
      <c r="BU361" s="7"/>
      <c r="BV361" s="7"/>
      <c r="BW361" s="7"/>
      <c r="BX361" s="7"/>
      <c r="BY361" s="7"/>
      <c r="BZ361" s="7"/>
      <c r="CA361" s="7"/>
      <c r="CB361" s="7"/>
    </row>
    <row r="362" ht="21.75" customHeight="1">
      <c r="A362" s="7">
        <v>3898.0</v>
      </c>
      <c r="B362" s="7" t="s">
        <v>4852</v>
      </c>
      <c r="C362" s="7" t="s">
        <v>4853</v>
      </c>
      <c r="D362" s="7"/>
      <c r="E362" s="7"/>
      <c r="F362" s="7" t="s">
        <v>404</v>
      </c>
      <c r="G362" s="7" t="s">
        <v>343</v>
      </c>
      <c r="H362" s="7" t="s">
        <v>344</v>
      </c>
      <c r="I362" s="7" t="s">
        <v>4854</v>
      </c>
      <c r="J362" s="7"/>
      <c r="K362" s="7" t="s">
        <v>58</v>
      </c>
      <c r="L362" s="7" t="s">
        <v>59</v>
      </c>
      <c r="M362" s="7" t="s">
        <v>346</v>
      </c>
      <c r="N362" s="7"/>
      <c r="O362" s="7">
        <v>97430.0</v>
      </c>
      <c r="P362" s="7" t="s">
        <v>344</v>
      </c>
      <c r="Q362" s="7"/>
      <c r="R362" s="7"/>
      <c r="S362" s="7"/>
      <c r="T362" s="7"/>
      <c r="U362" s="7"/>
      <c r="V362" s="7">
        <v>2.62270973E8</v>
      </c>
      <c r="W362" s="7">
        <v>6.92666631E8</v>
      </c>
      <c r="X362" s="7"/>
      <c r="Y362" s="7"/>
      <c r="Z362" s="7" t="s">
        <v>4855</v>
      </c>
      <c r="AA362" s="7">
        <v>10.0</v>
      </c>
      <c r="AB362" s="7"/>
      <c r="AC362" s="7" t="s">
        <v>4856</v>
      </c>
      <c r="AD362" s="7" t="s">
        <v>4857</v>
      </c>
      <c r="AE362" s="7"/>
      <c r="AF362" s="7"/>
      <c r="AG362" s="7"/>
      <c r="AH362" s="20">
        <v>42170.0</v>
      </c>
      <c r="AI362" s="7"/>
      <c r="AJ362" s="7" t="s">
        <v>4858</v>
      </c>
      <c r="AK362" s="7"/>
      <c r="AL362" s="7" t="s">
        <v>4859</v>
      </c>
      <c r="AM362" s="7" t="s">
        <v>4860</v>
      </c>
      <c r="AN362" s="20">
        <v>42170.0</v>
      </c>
      <c r="AO362" s="7">
        <v>97430.0</v>
      </c>
      <c r="AP362" s="7" t="s">
        <v>494</v>
      </c>
      <c r="AQ362" s="7"/>
      <c r="AR362" s="7"/>
      <c r="AS362" s="7"/>
      <c r="AT362" s="7"/>
      <c r="AU362" s="7">
        <v>3.0</v>
      </c>
      <c r="AV362" s="7" t="s">
        <v>4861</v>
      </c>
      <c r="AW362" s="7"/>
      <c r="AX362" s="7"/>
      <c r="AY362" s="7"/>
      <c r="AZ362" s="7" t="s">
        <v>4862</v>
      </c>
      <c r="BA362" s="7"/>
      <c r="BB362" s="7"/>
      <c r="BC362" s="7" t="s">
        <v>401</v>
      </c>
      <c r="BD362" s="7"/>
      <c r="BE362" s="7" t="s">
        <v>4863</v>
      </c>
      <c r="BF362" s="7"/>
      <c r="BG362" s="7"/>
      <c r="BH362" s="7"/>
      <c r="BI362" s="7" t="s">
        <v>4864</v>
      </c>
      <c r="BJ362" s="7"/>
      <c r="BK362" s="7" t="b">
        <v>0</v>
      </c>
      <c r="BL362" s="7" t="b">
        <v>0</v>
      </c>
      <c r="BM362" s="7"/>
      <c r="BN362" s="7" t="str">
        <f>IFERROR(__xludf.DUMMYFUNCTION(" IF( REGEXMATCH(C362 , ""[(].+[)]""),REGEXREPLACE( CONCATENATE(REGEXEXTRACT(C362 , ""[(].+[)]""),IF(REGEXMATCH(C362 , ""[(][Ll]['’][)]""),"""","" ""), REGEXEXTRACT(C362 ,""^(?:(?:[A-Za-zàäéèêîïöôûü0-9 ](?:[A-Za-zàäéèêîïöôûü'0-9 ]+)))"")) , ""[()]"", """")"&amp;",C362 )"),"Les Jasmins ")</f>
        <v>Les Jasmins </v>
      </c>
      <c r="BO362" s="25"/>
      <c r="BP362" s="7"/>
      <c r="BQ362" s="7"/>
      <c r="BR362" s="7"/>
      <c r="BS362" s="7"/>
      <c r="BT362" s="7"/>
      <c r="BU362" s="7"/>
      <c r="BV362" s="7"/>
      <c r="BW362" s="7"/>
      <c r="BX362" s="7"/>
      <c r="BY362" s="7"/>
      <c r="BZ362" s="7"/>
      <c r="CA362" s="7"/>
      <c r="CB362" s="7"/>
    </row>
    <row r="363" ht="21.75" customHeight="1">
      <c r="A363" s="7">
        <v>2592.0</v>
      </c>
      <c r="B363" s="7">
        <v>362.0</v>
      </c>
      <c r="C363" s="7" t="s">
        <v>4865</v>
      </c>
      <c r="D363" s="7" t="s">
        <v>4866</v>
      </c>
      <c r="E363" s="7"/>
      <c r="F363" s="7" t="s">
        <v>404</v>
      </c>
      <c r="G363" s="7" t="s">
        <v>343</v>
      </c>
      <c r="H363" s="7" t="s">
        <v>123</v>
      </c>
      <c r="I363" s="7" t="s">
        <v>4867</v>
      </c>
      <c r="J363" s="26" t="s">
        <v>4868</v>
      </c>
      <c r="K363" s="7" t="s">
        <v>58</v>
      </c>
      <c r="L363" s="7" t="s">
        <v>453</v>
      </c>
      <c r="M363" s="7" t="s">
        <v>454</v>
      </c>
      <c r="N363" s="7" t="s">
        <v>455</v>
      </c>
      <c r="O363" s="7">
        <v>97480.0</v>
      </c>
      <c r="P363" s="7" t="s">
        <v>123</v>
      </c>
      <c r="Q363" s="7"/>
      <c r="R363" s="7" t="s">
        <v>4869</v>
      </c>
      <c r="S363" s="7" t="s">
        <v>4870</v>
      </c>
      <c r="T363" s="7" t="s">
        <v>377</v>
      </c>
      <c r="U363" s="7" t="s">
        <v>592</v>
      </c>
      <c r="V363" s="7">
        <v>2.62563547E8</v>
      </c>
      <c r="W363" s="7">
        <v>6.92308948E8</v>
      </c>
      <c r="X363" s="7"/>
      <c r="Y363" s="7">
        <v>2.62563547E8</v>
      </c>
      <c r="Z363" s="7" t="s">
        <v>4871</v>
      </c>
      <c r="AA363" s="7">
        <v>10.0</v>
      </c>
      <c r="AB363" s="7"/>
      <c r="AC363" s="7" t="s">
        <v>4872</v>
      </c>
      <c r="AD363" s="7" t="s">
        <v>4873</v>
      </c>
      <c r="AE363" s="7" t="s">
        <v>4874</v>
      </c>
      <c r="AF363" s="7"/>
      <c r="AG363" s="7"/>
      <c r="AH363" s="20">
        <v>40268.0</v>
      </c>
      <c r="AI363" s="7"/>
      <c r="AJ363" s="7" t="s">
        <v>4865</v>
      </c>
      <c r="AK363" s="7"/>
      <c r="AL363" s="7" t="s">
        <v>4875</v>
      </c>
      <c r="AM363" s="7" t="s">
        <v>4876</v>
      </c>
      <c r="AN363" s="20">
        <v>40268.0</v>
      </c>
      <c r="AO363" s="7">
        <v>97480.0</v>
      </c>
      <c r="AP363" s="7" t="s">
        <v>385</v>
      </c>
      <c r="AQ363" s="7"/>
      <c r="AR363" s="7"/>
      <c r="AS363" s="7"/>
      <c r="AT363" s="7"/>
      <c r="AU363" s="7">
        <v>4.0</v>
      </c>
      <c r="AV363" s="7" t="s">
        <v>4877</v>
      </c>
      <c r="AW363" s="7"/>
      <c r="AX363" s="7"/>
      <c r="AY363" s="7"/>
      <c r="AZ363" s="7"/>
      <c r="BA363" s="7"/>
      <c r="BB363" s="7"/>
      <c r="BC363" s="7" t="s">
        <v>366</v>
      </c>
      <c r="BD363" s="21">
        <v>44197.0</v>
      </c>
      <c r="BE363" s="7"/>
      <c r="BF363" s="7"/>
      <c r="BG363" s="22">
        <v>44197.0</v>
      </c>
      <c r="BH363" s="7"/>
      <c r="BI363" s="7" t="s">
        <v>4878</v>
      </c>
      <c r="BJ363" s="7"/>
      <c r="BK363" s="7" t="b">
        <v>0</v>
      </c>
      <c r="BL363" s="7" t="b">
        <v>0</v>
      </c>
      <c r="BM363" s="7"/>
      <c r="BN363" s="7" t="str">
        <f>IFERROR(__xludf.DUMMYFUNCTION(" IF( REGEXMATCH(C363 , ""[(].+[)]""),REGEXREPLACE( CONCATENATE(REGEXEXTRACT(C363 , ""[(].+[)]""),IF(REGEXMATCH(C363 , ""[(][Ll]['’][)]""),"""","" ""), REGEXEXTRACT(C363 ,""^(?:(?:[A-Za-zàäéèêîïöôûü0-9 ](?:[A-Za-zàäéèêîïöôûü'0-9 ]+)))"")) , ""[()]"", """")"&amp;",C363 )"),"Le Jolool ")</f>
        <v>Le Jolool </v>
      </c>
      <c r="BO363" s="23"/>
      <c r="BP363" s="7"/>
      <c r="BQ363" s="7"/>
      <c r="BR363" s="7"/>
      <c r="BS363" s="7"/>
      <c r="BT363" s="7"/>
      <c r="BU363" s="7"/>
      <c r="BV363" s="7"/>
      <c r="BW363" s="7"/>
      <c r="BX363" s="7"/>
      <c r="BY363" s="7"/>
      <c r="BZ363" s="7"/>
      <c r="CA363" s="7"/>
      <c r="CB363" s="7"/>
    </row>
    <row r="364" ht="21.75" customHeight="1">
      <c r="A364" s="7">
        <v>2508.0</v>
      </c>
      <c r="B364" s="7" t="s">
        <v>4879</v>
      </c>
      <c r="C364" s="7" t="s">
        <v>4880</v>
      </c>
      <c r="D364" s="7"/>
      <c r="E364" s="7"/>
      <c r="F364" s="7" t="s">
        <v>342</v>
      </c>
      <c r="G364" s="7" t="s">
        <v>343</v>
      </c>
      <c r="H364" s="7" t="s">
        <v>123</v>
      </c>
      <c r="I364" s="7" t="s">
        <v>4881</v>
      </c>
      <c r="J364" s="7"/>
      <c r="K364" s="7" t="s">
        <v>822</v>
      </c>
      <c r="L364" s="7" t="s">
        <v>4826</v>
      </c>
      <c r="M364" s="7" t="s">
        <v>4827</v>
      </c>
      <c r="N364" s="7" t="s">
        <v>347</v>
      </c>
      <c r="O364" s="7">
        <v>97480.0</v>
      </c>
      <c r="P364" s="7" t="s">
        <v>123</v>
      </c>
      <c r="Q364" s="7" t="s">
        <v>2879</v>
      </c>
      <c r="R364" s="7"/>
      <c r="S364" s="7"/>
      <c r="T364" s="7" t="s">
        <v>377</v>
      </c>
      <c r="U364" s="7" t="s">
        <v>786</v>
      </c>
      <c r="V364" s="7"/>
      <c r="W364" s="7">
        <v>6.92687873E8</v>
      </c>
      <c r="X364" s="7"/>
      <c r="Y364" s="7"/>
      <c r="Z364" s="7"/>
      <c r="AA364" s="7"/>
      <c r="AB364" s="7"/>
      <c r="AC364" s="7" t="s">
        <v>4882</v>
      </c>
      <c r="AD364" s="7" t="s">
        <v>4883</v>
      </c>
      <c r="AE364" s="7" t="s">
        <v>4884</v>
      </c>
      <c r="AF364" s="7" t="s">
        <v>4885</v>
      </c>
      <c r="AG364" s="7"/>
      <c r="AH364" s="20">
        <v>43739.0</v>
      </c>
      <c r="AI364" s="7"/>
      <c r="AJ364" s="7" t="s">
        <v>3700</v>
      </c>
      <c r="AK364" s="7"/>
      <c r="AL364" s="7" t="s">
        <v>3701</v>
      </c>
      <c r="AM364" s="7" t="s">
        <v>3702</v>
      </c>
      <c r="AN364" s="20">
        <v>39575.0</v>
      </c>
      <c r="AO364" s="7">
        <v>97480.0</v>
      </c>
      <c r="AP364" s="7" t="s">
        <v>385</v>
      </c>
      <c r="AQ364" s="7"/>
      <c r="AR364" s="7"/>
      <c r="AS364" s="7"/>
      <c r="AT364" s="7"/>
      <c r="AU364" s="7">
        <v>0.0</v>
      </c>
      <c r="AV364" s="7" t="s">
        <v>3703</v>
      </c>
      <c r="AW364" s="7"/>
      <c r="AX364" s="7"/>
      <c r="AY364" s="7"/>
      <c r="AZ364" s="7"/>
      <c r="BA364" s="7"/>
      <c r="BB364" s="7"/>
      <c r="BC364" s="7" t="s">
        <v>401</v>
      </c>
      <c r="BD364" s="7"/>
      <c r="BE364" s="7" t="s">
        <v>1355</v>
      </c>
      <c r="BF364" s="7"/>
      <c r="BG364" s="7"/>
      <c r="BH364" s="7"/>
      <c r="BI364" s="7" t="s">
        <v>4886</v>
      </c>
      <c r="BJ364" s="7"/>
      <c r="BK364" s="7" t="b">
        <v>0</v>
      </c>
      <c r="BL364" s="7" t="b">
        <v>0</v>
      </c>
      <c r="BM364" s="7"/>
      <c r="BN364" s="7" t="str">
        <f>IFERROR(__xludf.DUMMYFUNCTION(" IF( REGEXMATCH(C364 , ""[(].+[)]""),REGEXREPLACE( CONCATENATE(REGEXEXTRACT(C364 , ""[(].+[)]""),IF(REGEXMATCH(C364 , ""[(][Ll]['’][)]""),"""","" ""), REGEXEXTRACT(C364 ,""^(?:(?:[A-Za-zàäéèêîïöôûü0-9 ](?:[A-Za-zàäéèêîïöôûü'0-9 ]+)))"")) , ""[()]"", """")"&amp;",C364 )"),"Journée Lontan au Coeur de la Nature")</f>
        <v>Journée Lontan au Coeur de la Nature</v>
      </c>
      <c r="BO364" s="25"/>
      <c r="BP364" s="7"/>
      <c r="BQ364" s="7"/>
      <c r="BR364" s="7"/>
      <c r="BS364" s="7"/>
      <c r="BT364" s="7"/>
      <c r="BU364" s="7"/>
      <c r="BV364" s="7"/>
      <c r="BW364" s="7"/>
      <c r="BX364" s="7"/>
      <c r="BY364" s="7"/>
      <c r="BZ364" s="7"/>
      <c r="CA364" s="7"/>
      <c r="CB364" s="7"/>
    </row>
    <row r="365" ht="21.75" customHeight="1">
      <c r="A365" s="7">
        <v>3036.0</v>
      </c>
      <c r="B365" s="7" t="s">
        <v>4887</v>
      </c>
      <c r="C365" s="7" t="s">
        <v>4888</v>
      </c>
      <c r="D365" s="7" t="s">
        <v>4889</v>
      </c>
      <c r="E365" s="7"/>
      <c r="F365" s="7" t="s">
        <v>342</v>
      </c>
      <c r="G365" s="7" t="s">
        <v>343</v>
      </c>
      <c r="H365" s="7" t="s">
        <v>123</v>
      </c>
      <c r="I365" s="7" t="s">
        <v>4890</v>
      </c>
      <c r="J365" s="7"/>
      <c r="K365" s="7" t="s">
        <v>34</v>
      </c>
      <c r="L365" s="7" t="s">
        <v>622</v>
      </c>
      <c r="M365" s="7" t="s">
        <v>622</v>
      </c>
      <c r="N365" s="7" t="s">
        <v>422</v>
      </c>
      <c r="O365" s="7">
        <v>97480.0</v>
      </c>
      <c r="P365" s="7" t="s">
        <v>123</v>
      </c>
      <c r="Q365" s="7" t="s">
        <v>1278</v>
      </c>
      <c r="R365" s="7"/>
      <c r="S365" s="7"/>
      <c r="T365" s="7" t="s">
        <v>377</v>
      </c>
      <c r="U365" s="7" t="s">
        <v>378</v>
      </c>
      <c r="V365" s="7"/>
      <c r="W365" s="7">
        <v>6.92639817E8</v>
      </c>
      <c r="X365" s="7"/>
      <c r="Y365" s="7"/>
      <c r="Z365" s="7"/>
      <c r="AA365" s="7">
        <v>15.0</v>
      </c>
      <c r="AB365" s="7"/>
      <c r="AC365" s="7"/>
      <c r="AD365" s="7" t="s">
        <v>4891</v>
      </c>
      <c r="AE365" s="7" t="s">
        <v>4892</v>
      </c>
      <c r="AF365" s="7"/>
      <c r="AG365" s="7"/>
      <c r="AH365" s="20">
        <v>43739.0</v>
      </c>
      <c r="AI365" s="7"/>
      <c r="AJ365" s="7" t="s">
        <v>4893</v>
      </c>
      <c r="AK365" s="7"/>
      <c r="AL365" s="7" t="s">
        <v>4894</v>
      </c>
      <c r="AM365" s="7" t="s">
        <v>4895</v>
      </c>
      <c r="AN365" s="20">
        <v>40763.0</v>
      </c>
      <c r="AO365" s="7">
        <v>97480.0</v>
      </c>
      <c r="AP365" s="7" t="s">
        <v>385</v>
      </c>
      <c r="AQ365" s="7"/>
      <c r="AR365" s="7"/>
      <c r="AS365" s="7"/>
      <c r="AT365" s="7"/>
      <c r="AU365" s="7">
        <v>0.0</v>
      </c>
      <c r="AV365" s="7" t="s">
        <v>4896</v>
      </c>
      <c r="AW365" s="7"/>
      <c r="AX365" s="7"/>
      <c r="AY365" s="7"/>
      <c r="AZ365" s="7"/>
      <c r="BA365" s="7"/>
      <c r="BB365" s="7"/>
      <c r="BC365" s="7" t="s">
        <v>401</v>
      </c>
      <c r="BD365" s="21">
        <v>44237.0</v>
      </c>
      <c r="BE365" s="7" t="s">
        <v>4897</v>
      </c>
      <c r="BF365" s="7"/>
      <c r="BG365" s="7"/>
      <c r="BH365" s="7"/>
      <c r="BI365" s="7" t="s">
        <v>4898</v>
      </c>
      <c r="BJ365" s="7"/>
      <c r="BK365" s="7" t="b">
        <v>0</v>
      </c>
      <c r="BL365" s="7" t="b">
        <v>0</v>
      </c>
      <c r="BM365" s="7"/>
      <c r="BN365" s="7" t="str">
        <f>IFERROR(__xludf.DUMMYFUNCTION(" IF( REGEXMATCH(C365 , ""[(].+[)]""),REGEXREPLACE( CONCATENATE(REGEXEXTRACT(C365 , ""[(].+[)]""),IF(REGEXMATCH(C365 , ""[(][Ll]['’][)]""),"""","" ""), REGEXEXTRACT(C365 ,""^(?:(?:[A-Za-zàäéèêîïöôûü0-9 ](?:[A-Za-zàäéèêîïöôûü'0-9 ]+)))"")) , ""[()]"", """")"&amp;",C365 )"),"Le Jubilé ")</f>
        <v>Le Jubilé </v>
      </c>
      <c r="BO365" s="25"/>
      <c r="BP365" s="7"/>
      <c r="BQ365" s="7"/>
      <c r="BR365" s="7"/>
      <c r="BS365" s="7"/>
      <c r="BT365" s="7"/>
      <c r="BU365" s="7"/>
      <c r="BV365" s="7"/>
      <c r="BW365" s="7"/>
      <c r="BX365" s="7"/>
      <c r="BY365" s="7"/>
      <c r="BZ365" s="7"/>
      <c r="CA365" s="7"/>
      <c r="CB365" s="7"/>
    </row>
    <row r="366" ht="21.75" customHeight="1">
      <c r="A366" s="7">
        <v>2073.0</v>
      </c>
      <c r="B366" s="7">
        <v>365.0</v>
      </c>
      <c r="C366" s="7" t="s">
        <v>4899</v>
      </c>
      <c r="D366" s="7"/>
      <c r="E366" s="7"/>
      <c r="F366" s="7" t="s">
        <v>342</v>
      </c>
      <c r="G366" s="7" t="s">
        <v>343</v>
      </c>
      <c r="H366" s="7" t="s">
        <v>40</v>
      </c>
      <c r="I366" s="7" t="s">
        <v>4900</v>
      </c>
      <c r="J366" s="7"/>
      <c r="K366" s="6" t="s">
        <v>469</v>
      </c>
      <c r="L366" s="7" t="s">
        <v>197</v>
      </c>
      <c r="M366" s="7" t="s">
        <v>1696</v>
      </c>
      <c r="N366" s="7" t="s">
        <v>422</v>
      </c>
      <c r="O366" s="7">
        <v>97414.0</v>
      </c>
      <c r="P366" s="7" t="s">
        <v>40</v>
      </c>
      <c r="Q366" s="7"/>
      <c r="R366" s="7"/>
      <c r="S366" s="7"/>
      <c r="T366" s="7" t="s">
        <v>2390</v>
      </c>
      <c r="U366" s="7" t="s">
        <v>353</v>
      </c>
      <c r="V366" s="7">
        <v>2.62273218E8</v>
      </c>
      <c r="W366" s="7">
        <v>6.92654081E8</v>
      </c>
      <c r="X366" s="7"/>
      <c r="Y366" s="7"/>
      <c r="Z366" s="7"/>
      <c r="AA366" s="7"/>
      <c r="AB366" s="7"/>
      <c r="AC366" s="7"/>
      <c r="AD366" s="7" t="s">
        <v>4901</v>
      </c>
      <c r="AE366" s="7"/>
      <c r="AF366" s="7"/>
      <c r="AG366" s="7"/>
      <c r="AH366" s="20">
        <v>43739.0</v>
      </c>
      <c r="AI366" s="7"/>
      <c r="AJ366" s="7" t="s">
        <v>4899</v>
      </c>
      <c r="AK366" s="7"/>
      <c r="AL366" s="7" t="s">
        <v>4902</v>
      </c>
      <c r="AM366" s="7" t="s">
        <v>4903</v>
      </c>
      <c r="AN366" s="20">
        <v>43739.0</v>
      </c>
      <c r="AO366" s="7">
        <v>97414.0</v>
      </c>
      <c r="AP366" s="7" t="s">
        <v>429</v>
      </c>
      <c r="AQ366" s="7"/>
      <c r="AR366" s="7"/>
      <c r="AS366" s="7"/>
      <c r="AT366" s="7"/>
      <c r="AU366" s="7">
        <v>0.0</v>
      </c>
      <c r="AV366" s="7" t="s">
        <v>4904</v>
      </c>
      <c r="AW366" s="7"/>
      <c r="AX366" s="7"/>
      <c r="AY366" s="7"/>
      <c r="AZ366" s="7"/>
      <c r="BA366" s="7"/>
      <c r="BB366" s="7"/>
      <c r="BC366" s="7" t="s">
        <v>366</v>
      </c>
      <c r="BD366" s="21">
        <v>44053.44930555556</v>
      </c>
      <c r="BE366" s="7"/>
      <c r="BF366" s="7"/>
      <c r="BG366" s="22">
        <v>44053.0</v>
      </c>
      <c r="BH366" s="7"/>
      <c r="BI366" s="7" t="s">
        <v>1786</v>
      </c>
      <c r="BJ366" s="7"/>
      <c r="BK366" s="7" t="b">
        <v>0</v>
      </c>
      <c r="BL366" s="7" t="b">
        <v>0</v>
      </c>
      <c r="BM366" s="7"/>
      <c r="BN366" s="7" t="str">
        <f>IFERROR(__xludf.DUMMYFUNCTION(" IF( REGEXMATCH(C366 , ""[(].+[)]""),REGEXREPLACE( CONCATENATE(REGEXEXTRACT(C366 , ""[(].+[)]""),IF(REGEXMATCH(C366 , ""[(][Ll]['’][)]""),"""","" ""), REGEXEXTRACT(C366 ,""^(?:(?:[A-Za-zàäéèêîïöôûü0-9 ](?:[A-Za-zàäéèêîïöôûü'0-9 ]+)))"")) , ""[()]"", """")"&amp;",C366 )"),"Kado Kréol")</f>
        <v>Kado Kréol</v>
      </c>
      <c r="BO366" s="23"/>
      <c r="BP366" s="7"/>
      <c r="BQ366" s="7"/>
      <c r="BR366" s="7"/>
      <c r="BS366" s="7"/>
      <c r="BT366" s="7"/>
      <c r="BU366" s="7"/>
      <c r="BV366" s="7"/>
      <c r="BW366" s="7"/>
      <c r="BX366" s="7"/>
      <c r="BY366" s="7"/>
      <c r="BZ366" s="7"/>
      <c r="CA366" s="7"/>
      <c r="CB366" s="7"/>
    </row>
    <row r="367" ht="21.75" customHeight="1">
      <c r="A367" s="7">
        <v>4676.0</v>
      </c>
      <c r="B367" s="7">
        <v>366.0</v>
      </c>
      <c r="C367" s="7" t="s">
        <v>4905</v>
      </c>
      <c r="D367" s="7"/>
      <c r="E367" s="7"/>
      <c r="F367" s="7" t="s">
        <v>342</v>
      </c>
      <c r="G367" s="7" t="s">
        <v>343</v>
      </c>
      <c r="H367" s="7" t="s">
        <v>40</v>
      </c>
      <c r="I367" s="7" t="s">
        <v>4906</v>
      </c>
      <c r="J367" s="7"/>
      <c r="K367" s="7" t="s">
        <v>34</v>
      </c>
      <c r="L367" s="7" t="s">
        <v>622</v>
      </c>
      <c r="M367" s="7" t="s">
        <v>1347</v>
      </c>
      <c r="N367" s="7"/>
      <c r="O367" s="7">
        <v>97414.0</v>
      </c>
      <c r="P367" s="7" t="s">
        <v>40</v>
      </c>
      <c r="Q367" s="7"/>
      <c r="R367" s="7"/>
      <c r="S367" s="7"/>
      <c r="T367" s="7"/>
      <c r="U367" s="7" t="s">
        <v>378</v>
      </c>
      <c r="V367" s="7"/>
      <c r="W367" s="7">
        <v>6.92332005E8</v>
      </c>
      <c r="X367" s="7"/>
      <c r="Y367" s="7"/>
      <c r="Z367" s="7"/>
      <c r="AA367" s="7"/>
      <c r="AB367" s="7"/>
      <c r="AC367" s="7" t="s">
        <v>4907</v>
      </c>
      <c r="AD367" s="7" t="s">
        <v>4908</v>
      </c>
      <c r="AE367" s="7"/>
      <c r="AF367" s="7"/>
      <c r="AG367" s="7"/>
      <c r="AH367" s="20">
        <v>43392.0</v>
      </c>
      <c r="AI367" s="7"/>
      <c r="AJ367" s="7" t="s">
        <v>4905</v>
      </c>
      <c r="AK367" s="7"/>
      <c r="AL367" s="7" t="s">
        <v>4909</v>
      </c>
      <c r="AM367" s="7" t="s">
        <v>4910</v>
      </c>
      <c r="AN367" s="20">
        <v>43392.0</v>
      </c>
      <c r="AO367" s="7">
        <v>97414.0</v>
      </c>
      <c r="AP367" s="7" t="s">
        <v>429</v>
      </c>
      <c r="AQ367" s="7"/>
      <c r="AR367" s="7"/>
      <c r="AS367" s="7"/>
      <c r="AT367" s="7"/>
      <c r="AU367" s="7">
        <v>0.0</v>
      </c>
      <c r="AV367" s="7" t="s">
        <v>4911</v>
      </c>
      <c r="AW367" s="7"/>
      <c r="AX367" s="7"/>
      <c r="AY367" s="7"/>
      <c r="AZ367" s="7"/>
      <c r="BA367" s="7"/>
      <c r="BB367" s="7"/>
      <c r="BC367" s="7" t="s">
        <v>366</v>
      </c>
      <c r="BD367" s="21">
        <v>44053.493055555555</v>
      </c>
      <c r="BE367" s="7"/>
      <c r="BF367" s="7"/>
      <c r="BG367" s="22">
        <v>44053.0</v>
      </c>
      <c r="BH367" s="7"/>
      <c r="BI367" s="7" t="s">
        <v>4912</v>
      </c>
      <c r="BJ367" s="7"/>
      <c r="BK367" s="7" t="b">
        <v>0</v>
      </c>
      <c r="BL367" s="7" t="b">
        <v>0</v>
      </c>
      <c r="BM367" s="7"/>
      <c r="BN367" s="7" t="str">
        <f>IFERROR(__xludf.DUMMYFUNCTION(" IF( REGEXMATCH(C367 , ""[(].+[)]""),REGEXREPLACE( CONCATENATE(REGEXEXTRACT(C367 , ""[(].+[)]""),IF(REGEXMATCH(C367 , ""[(][Ll]['’][)]""),"""","" ""), REGEXEXTRACT(C367 ,""^(?:(?:[A-Za-zàäéèêîïöôûü0-9 ](?:[A-Za-zàäéèêîïöôûü'0-9 ]+)))"")) , ""[()]"", """")"&amp;",C367 )"),"Le Kaïcia Snack ")</f>
        <v>Le Kaïcia Snack </v>
      </c>
      <c r="BO367" s="23"/>
      <c r="BP367" s="7"/>
      <c r="BQ367" s="7"/>
      <c r="BR367" s="7"/>
      <c r="BS367" s="7"/>
      <c r="BT367" s="7"/>
      <c r="BU367" s="7"/>
      <c r="BV367" s="7"/>
      <c r="BW367" s="7"/>
      <c r="BX367" s="7"/>
      <c r="BY367" s="7"/>
      <c r="BZ367" s="7"/>
      <c r="CA367" s="7"/>
      <c r="CB367" s="7"/>
    </row>
    <row r="368" ht="21.75" customHeight="1">
      <c r="A368" s="7">
        <v>2842.0</v>
      </c>
      <c r="B368" s="7">
        <v>367.0</v>
      </c>
      <c r="C368" s="7" t="s">
        <v>4913</v>
      </c>
      <c r="D368" s="7"/>
      <c r="E368" s="7"/>
      <c r="F368" s="7" t="s">
        <v>404</v>
      </c>
      <c r="G368" s="7" t="s">
        <v>343</v>
      </c>
      <c r="H368" s="7" t="s">
        <v>123</v>
      </c>
      <c r="I368" s="7" t="s">
        <v>4914</v>
      </c>
      <c r="J368" s="26" t="s">
        <v>4915</v>
      </c>
      <c r="K368" s="7" t="s">
        <v>58</v>
      </c>
      <c r="L368" s="7" t="s">
        <v>59</v>
      </c>
      <c r="M368" s="7" t="s">
        <v>374</v>
      </c>
      <c r="N368" s="7"/>
      <c r="O368" s="7">
        <v>97480.0</v>
      </c>
      <c r="P368" s="7" t="s">
        <v>123</v>
      </c>
      <c r="Q368" s="7"/>
      <c r="R368" s="7" t="s">
        <v>4444</v>
      </c>
      <c r="S368" s="7"/>
      <c r="T368" s="7" t="s">
        <v>377</v>
      </c>
      <c r="U368" s="7" t="s">
        <v>378</v>
      </c>
      <c r="V368" s="7">
        <v>2.62881049E8</v>
      </c>
      <c r="W368" s="7">
        <v>6.92236648E8</v>
      </c>
      <c r="X368" s="7"/>
      <c r="Y368" s="7"/>
      <c r="Z368" s="7" t="s">
        <v>4916</v>
      </c>
      <c r="AA368" s="7">
        <v>3.0</v>
      </c>
      <c r="AB368" s="7"/>
      <c r="AC368" s="7"/>
      <c r="AD368" s="7" t="s">
        <v>4917</v>
      </c>
      <c r="AE368" s="7"/>
      <c r="AF368" s="7"/>
      <c r="AG368" s="7"/>
      <c r="AH368" s="20">
        <v>43739.0</v>
      </c>
      <c r="AI368" s="7"/>
      <c r="AJ368" s="7" t="s">
        <v>4918</v>
      </c>
      <c r="AK368" s="7"/>
      <c r="AL368" s="7" t="s">
        <v>4919</v>
      </c>
      <c r="AM368" s="7" t="s">
        <v>4920</v>
      </c>
      <c r="AN368" s="20">
        <v>43739.0</v>
      </c>
      <c r="AO368" s="7">
        <v>97480.0</v>
      </c>
      <c r="AP368" s="7" t="s">
        <v>385</v>
      </c>
      <c r="AQ368" s="7"/>
      <c r="AR368" s="7"/>
      <c r="AS368" s="7"/>
      <c r="AT368" s="7"/>
      <c r="AU368" s="7">
        <v>1.0</v>
      </c>
      <c r="AV368" s="7" t="s">
        <v>4921</v>
      </c>
      <c r="AW368" s="7"/>
      <c r="AX368" s="7"/>
      <c r="AY368" s="7"/>
      <c r="AZ368" s="7"/>
      <c r="BA368" s="7"/>
      <c r="BB368" s="7"/>
      <c r="BC368" s="7" t="s">
        <v>366</v>
      </c>
      <c r="BD368" s="21">
        <v>44197.0</v>
      </c>
      <c r="BE368" s="7"/>
      <c r="BF368" s="7"/>
      <c r="BG368" s="22">
        <v>44197.0</v>
      </c>
      <c r="BH368" s="7"/>
      <c r="BI368" s="7" t="s">
        <v>4922</v>
      </c>
      <c r="BJ368" s="7"/>
      <c r="BK368" s="7" t="b">
        <v>0</v>
      </c>
      <c r="BL368" s="7" t="b">
        <v>0</v>
      </c>
      <c r="BM368" s="7"/>
      <c r="BN368" s="7" t="str">
        <f>IFERROR(__xludf.DUMMYFUNCTION(" IF( REGEXMATCH(C368 , ""[(].+[)]""),REGEXREPLACE( CONCATENATE(REGEXEXTRACT(C368 , ""[(].+[)]""),IF(REGEXMATCH(C368 , ""[(][Ll]['’][)]""),"""","" ""), REGEXEXTRACT(C368 ,""^(?:(?:[A-Za-zàäéèêîïöôûü0-9 ](?:[A-Za-zàäéèêîïöôûü'0-9 ]+)))"")) , ""[()]"", """")"&amp;",C368 )"),"La Kasali ")</f>
        <v>La Kasali </v>
      </c>
      <c r="BO368" s="23"/>
      <c r="BP368" s="7"/>
      <c r="BQ368" s="7"/>
      <c r="BR368" s="7"/>
      <c r="BS368" s="7"/>
      <c r="BT368" s="7"/>
      <c r="BU368" s="7"/>
      <c r="BV368" s="7"/>
      <c r="BW368" s="7"/>
      <c r="BX368" s="7"/>
      <c r="BY368" s="7"/>
      <c r="BZ368" s="7"/>
      <c r="CA368" s="7"/>
      <c r="CB368" s="7"/>
    </row>
    <row r="369" ht="21.75" customHeight="1">
      <c r="A369" s="7">
        <v>3871.0</v>
      </c>
      <c r="B369" s="7">
        <v>368.0</v>
      </c>
      <c r="C369" s="7" t="s">
        <v>4923</v>
      </c>
      <c r="D369" s="7"/>
      <c r="E369" s="7"/>
      <c r="F369" s="7" t="s">
        <v>404</v>
      </c>
      <c r="G369" s="7" t="s">
        <v>343</v>
      </c>
      <c r="H369" s="7" t="s">
        <v>344</v>
      </c>
      <c r="I369" s="7" t="s">
        <v>4924</v>
      </c>
      <c r="J369" s="7" t="s">
        <v>4925</v>
      </c>
      <c r="K369" s="7" t="s">
        <v>58</v>
      </c>
      <c r="L369" s="7" t="s">
        <v>59</v>
      </c>
      <c r="M369" s="7" t="s">
        <v>346</v>
      </c>
      <c r="N369" s="7" t="s">
        <v>455</v>
      </c>
      <c r="O369" s="7">
        <v>97430.0</v>
      </c>
      <c r="P369" s="7" t="s">
        <v>344</v>
      </c>
      <c r="Q369" s="7"/>
      <c r="R369" s="7" t="s">
        <v>4926</v>
      </c>
      <c r="S369" s="7" t="s">
        <v>763</v>
      </c>
      <c r="T369" s="7" t="s">
        <v>377</v>
      </c>
      <c r="U369" s="7"/>
      <c r="V369" s="7">
        <v>2.62227846E8</v>
      </c>
      <c r="W369" s="7">
        <v>6.92044239E8</v>
      </c>
      <c r="X369" s="7"/>
      <c r="Y369" s="7"/>
      <c r="Z369" s="7" t="s">
        <v>4927</v>
      </c>
      <c r="AA369" s="7">
        <v>8.0</v>
      </c>
      <c r="AB369" s="7"/>
      <c r="AC369" s="7" t="s">
        <v>4928</v>
      </c>
      <c r="AD369" s="7" t="s">
        <v>4929</v>
      </c>
      <c r="AE369" s="7"/>
      <c r="AF369" s="7"/>
      <c r="AG369" s="7"/>
      <c r="AH369" s="20">
        <v>42164.0</v>
      </c>
      <c r="AI369" s="7"/>
      <c r="AJ369" s="7" t="s">
        <v>4930</v>
      </c>
      <c r="AK369" s="7"/>
      <c r="AL369" s="7" t="s">
        <v>4931</v>
      </c>
      <c r="AM369" s="7" t="s">
        <v>4932</v>
      </c>
      <c r="AN369" s="20">
        <v>42164.0</v>
      </c>
      <c r="AO369" s="7">
        <v>97430.0</v>
      </c>
      <c r="AP369" s="7" t="s">
        <v>494</v>
      </c>
      <c r="AQ369" s="7"/>
      <c r="AR369" s="7"/>
      <c r="AS369" s="7"/>
      <c r="AT369" s="7"/>
      <c r="AU369" s="7">
        <v>2.0</v>
      </c>
      <c r="AV369" s="7" t="s">
        <v>4933</v>
      </c>
      <c r="AW369" s="7"/>
      <c r="AX369" s="7"/>
      <c r="AY369" s="7"/>
      <c r="AZ369" s="7"/>
      <c r="BA369" s="7"/>
      <c r="BB369" s="7"/>
      <c r="BC369" s="7" t="s">
        <v>366</v>
      </c>
      <c r="BD369" s="21">
        <v>44225.09097222222</v>
      </c>
      <c r="BE369" s="7"/>
      <c r="BF369" s="7"/>
      <c r="BG369" s="22">
        <v>44225.0</v>
      </c>
      <c r="BH369" s="7"/>
      <c r="BI369" s="7" t="s">
        <v>4934</v>
      </c>
      <c r="BJ369" s="7"/>
      <c r="BK369" s="7" t="b">
        <v>0</v>
      </c>
      <c r="BL369" s="7" t="b">
        <v>0</v>
      </c>
      <c r="BM369" s="7"/>
      <c r="BN369" s="7" t="str">
        <f>IFERROR(__xludf.DUMMYFUNCTION(" IF( REGEXMATCH(C369 , ""[(].+[)]""),REGEXREPLACE( CONCATENATE(REGEXEXTRACT(C369 , ""[(].+[)]""),IF(REGEXMATCH(C369 , ""[(][Ll]['’][)]""),"""","" ""), REGEXEXTRACT(C369 ,""^(?:(?:[A-Za-zàäéèêîïöôûü0-9 ](?:[A-Za-zàäéèêîïöôûü'0-9 ]+)))"")) , ""[()]"", """")"&amp;",C369 )"),"Le Kauri ")</f>
        <v>Le Kauri </v>
      </c>
      <c r="BO369" s="23"/>
      <c r="BP369" s="7"/>
      <c r="BQ369" s="7"/>
      <c r="BR369" s="7"/>
      <c r="BS369" s="7"/>
      <c r="BT369" s="7"/>
      <c r="BU369" s="7"/>
      <c r="BV369" s="7"/>
      <c r="BW369" s="7"/>
      <c r="BX369" s="7"/>
      <c r="BY369" s="7"/>
      <c r="BZ369" s="7"/>
      <c r="CA369" s="7"/>
      <c r="CB369" s="7"/>
    </row>
    <row r="370" ht="21.75" customHeight="1">
      <c r="A370" s="7">
        <v>4535.0</v>
      </c>
      <c r="B370" s="7" t="s">
        <v>4935</v>
      </c>
      <c r="C370" s="7" t="s">
        <v>4936</v>
      </c>
      <c r="D370" s="7"/>
      <c r="E370" s="7"/>
      <c r="F370" s="7" t="s">
        <v>342</v>
      </c>
      <c r="G370" s="7" t="s">
        <v>343</v>
      </c>
      <c r="H370" s="7" t="s">
        <v>344</v>
      </c>
      <c r="I370" s="7" t="s">
        <v>4937</v>
      </c>
      <c r="J370" s="26" t="s">
        <v>4938</v>
      </c>
      <c r="K370" s="7" t="s">
        <v>58</v>
      </c>
      <c r="L370" s="7" t="s">
        <v>59</v>
      </c>
      <c r="M370" s="7" t="s">
        <v>346</v>
      </c>
      <c r="N370" s="7" t="s">
        <v>407</v>
      </c>
      <c r="O370" s="7">
        <v>97430.0</v>
      </c>
      <c r="P370" s="7" t="s">
        <v>344</v>
      </c>
      <c r="Q370" s="7"/>
      <c r="R370" s="7" t="s">
        <v>4939</v>
      </c>
      <c r="S370" s="7" t="s">
        <v>1712</v>
      </c>
      <c r="T370" s="7" t="s">
        <v>377</v>
      </c>
      <c r="U370" s="7" t="s">
        <v>353</v>
      </c>
      <c r="V370" s="7">
        <v>2.62572819E8</v>
      </c>
      <c r="W370" s="7">
        <v>6.92004332E8</v>
      </c>
      <c r="X370" s="7"/>
      <c r="Y370" s="7"/>
      <c r="Z370" s="7" t="s">
        <v>4940</v>
      </c>
      <c r="AA370" s="7">
        <v>2.0</v>
      </c>
      <c r="AB370" s="7" t="s">
        <v>2716</v>
      </c>
      <c r="AC370" s="7" t="s">
        <v>4941</v>
      </c>
      <c r="AD370" s="7" t="s">
        <v>4942</v>
      </c>
      <c r="AE370" s="7" t="s">
        <v>4943</v>
      </c>
      <c r="AF370" s="7"/>
      <c r="AG370" s="7" t="s">
        <v>1869</v>
      </c>
      <c r="AH370" s="20">
        <v>43292.0</v>
      </c>
      <c r="AI370" s="7"/>
      <c r="AJ370" s="7" t="s">
        <v>4944</v>
      </c>
      <c r="AK370" s="7"/>
      <c r="AL370" s="7" t="s">
        <v>4945</v>
      </c>
      <c r="AM370" s="7" t="s">
        <v>4946</v>
      </c>
      <c r="AN370" s="20">
        <v>43739.0</v>
      </c>
      <c r="AO370" s="7">
        <v>97418.0</v>
      </c>
      <c r="AP370" s="7" t="s">
        <v>362</v>
      </c>
      <c r="AQ370" s="7"/>
      <c r="AR370" s="7"/>
      <c r="AS370" s="7"/>
      <c r="AT370" s="7"/>
      <c r="AU370" s="7">
        <v>1.0</v>
      </c>
      <c r="AV370" s="7" t="s">
        <v>4947</v>
      </c>
      <c r="AW370" s="7" t="s">
        <v>4948</v>
      </c>
      <c r="AX370" s="7"/>
      <c r="AY370" s="7"/>
      <c r="AZ370" s="7" t="s">
        <v>4949</v>
      </c>
      <c r="BA370" s="7"/>
      <c r="BB370" s="7"/>
      <c r="BC370" s="7" t="s">
        <v>401</v>
      </c>
      <c r="BD370" s="21">
        <v>44228.15694444445</v>
      </c>
      <c r="BE370" s="7" t="s">
        <v>4950</v>
      </c>
      <c r="BF370" s="7"/>
      <c r="BG370" s="7"/>
      <c r="BH370" s="7"/>
      <c r="BI370" s="7" t="s">
        <v>4951</v>
      </c>
      <c r="BJ370" s="7"/>
      <c r="BK370" s="7" t="b">
        <v>0</v>
      </c>
      <c r="BL370" s="7" t="b">
        <v>0</v>
      </c>
      <c r="BM370" s="7"/>
      <c r="BN370" s="7" t="str">
        <f>IFERROR(__xludf.DUMMYFUNCTION(" IF( REGEXMATCH(C370 , ""[(].+[)]""),REGEXREPLACE( CONCATENATE(REGEXEXTRACT(C370 , ""[(].+[)]""),IF(REGEXMATCH(C370 , ""[(][Ll]['’][)]""),"""","" ""), REGEXEXTRACT(C370 ,""^(?:(?:[A-Za-zàäéèêîïöôûü0-9 ](?:[A-Za-zàäéèêîïöôûü'0-9 ]+)))"")) , ""[()]"", """")"&amp;",C370 )"),"La Kaz à Mélina ")</f>
        <v>La Kaz à Mélina </v>
      </c>
      <c r="BO370" s="25"/>
      <c r="BP370" s="7"/>
      <c r="BQ370" s="7"/>
      <c r="BR370" s="7"/>
      <c r="BS370" s="7"/>
      <c r="BT370" s="7"/>
      <c r="BU370" s="7"/>
      <c r="BV370" s="7"/>
      <c r="BW370" s="7"/>
      <c r="BX370" s="7"/>
      <c r="BY370" s="7"/>
      <c r="BZ370" s="7"/>
      <c r="CA370" s="7"/>
      <c r="CB370" s="7"/>
    </row>
    <row r="371" ht="21.75" customHeight="1">
      <c r="A371" s="7">
        <v>1542.0</v>
      </c>
      <c r="B371" s="7" t="s">
        <v>4952</v>
      </c>
      <c r="C371" s="7" t="s">
        <v>4936</v>
      </c>
      <c r="D371" s="7" t="s">
        <v>4936</v>
      </c>
      <c r="E371" s="7"/>
      <c r="F371" s="7" t="s">
        <v>342</v>
      </c>
      <c r="G371" s="7" t="s">
        <v>343</v>
      </c>
      <c r="H371" s="7" t="s">
        <v>344</v>
      </c>
      <c r="I371" s="7" t="s">
        <v>4937</v>
      </c>
      <c r="J371" s="26" t="s">
        <v>4938</v>
      </c>
      <c r="K371" s="7" t="s">
        <v>58</v>
      </c>
      <c r="L371" s="7" t="s">
        <v>59</v>
      </c>
      <c r="M371" s="7" t="s">
        <v>2013</v>
      </c>
      <c r="N371" s="7" t="s">
        <v>407</v>
      </c>
      <c r="O371" s="7">
        <v>97430.0</v>
      </c>
      <c r="P371" s="7" t="s">
        <v>344</v>
      </c>
      <c r="Q371" s="7"/>
      <c r="R371" s="7" t="s">
        <v>2604</v>
      </c>
      <c r="S371" s="7" t="s">
        <v>1712</v>
      </c>
      <c r="T371" s="7" t="s">
        <v>377</v>
      </c>
      <c r="U371" s="7" t="s">
        <v>353</v>
      </c>
      <c r="V371" s="7">
        <v>2.62572819E8</v>
      </c>
      <c r="W371" s="7">
        <v>6.92004332E8</v>
      </c>
      <c r="X371" s="7"/>
      <c r="Y371" s="7"/>
      <c r="Z371" s="7" t="s">
        <v>4940</v>
      </c>
      <c r="AA371" s="7">
        <v>4.0</v>
      </c>
      <c r="AB371" s="7" t="s">
        <v>2716</v>
      </c>
      <c r="AC371" s="7" t="s">
        <v>4941</v>
      </c>
      <c r="AD371" s="7" t="s">
        <v>4953</v>
      </c>
      <c r="AE371" s="7" t="s">
        <v>4943</v>
      </c>
      <c r="AF371" s="7"/>
      <c r="AG371" s="7" t="s">
        <v>4954</v>
      </c>
      <c r="AH371" s="20">
        <v>43739.0</v>
      </c>
      <c r="AI371" s="7"/>
      <c r="AJ371" s="7" t="s">
        <v>4944</v>
      </c>
      <c r="AK371" s="7"/>
      <c r="AL371" s="7" t="s">
        <v>4945</v>
      </c>
      <c r="AM371" s="7" t="s">
        <v>4946</v>
      </c>
      <c r="AN371" s="20">
        <v>43739.0</v>
      </c>
      <c r="AO371" s="7">
        <v>97418.0</v>
      </c>
      <c r="AP371" s="7" t="s">
        <v>362</v>
      </c>
      <c r="AQ371" s="7"/>
      <c r="AR371" s="7"/>
      <c r="AS371" s="7"/>
      <c r="AT371" s="7"/>
      <c r="AU371" s="7">
        <v>1.0</v>
      </c>
      <c r="AV371" s="7" t="s">
        <v>4947</v>
      </c>
      <c r="AW371" s="7" t="s">
        <v>4955</v>
      </c>
      <c r="AX371" s="7"/>
      <c r="AY371" s="7"/>
      <c r="AZ371" s="7" t="s">
        <v>4956</v>
      </c>
      <c r="BA371" s="7"/>
      <c r="BB371" s="7"/>
      <c r="BC371" s="7" t="s">
        <v>401</v>
      </c>
      <c r="BD371" s="21">
        <v>44228.15694444445</v>
      </c>
      <c r="BE371" s="7" t="s">
        <v>4957</v>
      </c>
      <c r="BF371" s="7"/>
      <c r="BG371" s="7"/>
      <c r="BH371" s="7"/>
      <c r="BI371" s="7" t="s">
        <v>4951</v>
      </c>
      <c r="BJ371" s="7"/>
      <c r="BK371" s="7" t="b">
        <v>0</v>
      </c>
      <c r="BL371" s="7" t="b">
        <v>0</v>
      </c>
      <c r="BM371" s="7"/>
      <c r="BN371" s="7" t="str">
        <f>IFERROR(__xludf.DUMMYFUNCTION(" IF( REGEXMATCH(C371 , ""[(].+[)]""),REGEXREPLACE( CONCATENATE(REGEXEXTRACT(C371 , ""[(].+[)]""),IF(REGEXMATCH(C371 , ""[(][Ll]['’][)]""),"""","" ""), REGEXEXTRACT(C371 ,""^(?:(?:[A-Za-zàäéèêîïöôûü0-9 ](?:[A-Za-zàäéèêîïöôûü'0-9 ]+)))"")) , ""[()]"", """")"&amp;",C371 )"),"La Kaz à Mélina ")</f>
        <v>La Kaz à Mélina </v>
      </c>
      <c r="BO371" s="25"/>
      <c r="BP371" s="7"/>
      <c r="BQ371" s="7"/>
      <c r="BR371" s="7"/>
      <c r="BS371" s="7"/>
      <c r="BT371" s="7"/>
      <c r="BU371" s="7"/>
      <c r="BV371" s="7"/>
      <c r="BW371" s="7"/>
      <c r="BX371" s="7"/>
      <c r="BY371" s="7"/>
      <c r="BZ371" s="7"/>
      <c r="CA371" s="7"/>
      <c r="CB371" s="7"/>
    </row>
    <row r="372" ht="21.75" customHeight="1">
      <c r="A372" s="7">
        <v>3916.0</v>
      </c>
      <c r="B372" s="7">
        <v>371.0</v>
      </c>
      <c r="C372" s="7" t="s">
        <v>4958</v>
      </c>
      <c r="D372" s="7"/>
      <c r="E372" s="7"/>
      <c r="F372" s="7" t="s">
        <v>404</v>
      </c>
      <c r="G372" s="7" t="s">
        <v>343</v>
      </c>
      <c r="H372" s="7" t="s">
        <v>344</v>
      </c>
      <c r="I372" s="7" t="s">
        <v>4959</v>
      </c>
      <c r="J372" s="26" t="s">
        <v>4960</v>
      </c>
      <c r="K372" s="7" t="s">
        <v>58</v>
      </c>
      <c r="L372" s="7" t="s">
        <v>59</v>
      </c>
      <c r="M372" s="7" t="s">
        <v>346</v>
      </c>
      <c r="N372" s="7" t="s">
        <v>1092</v>
      </c>
      <c r="O372" s="7">
        <v>97418.0</v>
      </c>
      <c r="P372" s="7" t="s">
        <v>348</v>
      </c>
      <c r="Q372" s="7" t="s">
        <v>349</v>
      </c>
      <c r="R372" s="7"/>
      <c r="S372" s="7"/>
      <c r="T372" s="7"/>
      <c r="U372" s="7"/>
      <c r="V372" s="7"/>
      <c r="W372" s="7">
        <v>6.92656501E8</v>
      </c>
      <c r="X372" s="7"/>
      <c r="Y372" s="7"/>
      <c r="Z372" s="7"/>
      <c r="AA372" s="7">
        <v>7.0</v>
      </c>
      <c r="AB372" s="7"/>
      <c r="AC372" s="7" t="s">
        <v>4961</v>
      </c>
      <c r="AD372" s="7" t="s">
        <v>4962</v>
      </c>
      <c r="AE372" s="7"/>
      <c r="AF372" s="7"/>
      <c r="AG372" s="7"/>
      <c r="AH372" s="20">
        <v>42173.0</v>
      </c>
      <c r="AI372" s="7"/>
      <c r="AJ372" s="7" t="s">
        <v>4963</v>
      </c>
      <c r="AK372" s="7"/>
      <c r="AL372" s="7" t="s">
        <v>4964</v>
      </c>
      <c r="AM372" s="7" t="s">
        <v>4965</v>
      </c>
      <c r="AN372" s="20">
        <v>42173.0</v>
      </c>
      <c r="AO372" s="7">
        <v>97418.0</v>
      </c>
      <c r="AP372" s="7" t="s">
        <v>362</v>
      </c>
      <c r="AQ372" s="7"/>
      <c r="AR372" s="7"/>
      <c r="AS372" s="7"/>
      <c r="AT372" s="7"/>
      <c r="AU372" s="7">
        <v>1.0</v>
      </c>
      <c r="AV372" s="7" t="s">
        <v>4966</v>
      </c>
      <c r="AW372" s="7"/>
      <c r="AX372" s="7"/>
      <c r="AY372" s="7"/>
      <c r="AZ372" s="7" t="s">
        <v>4967</v>
      </c>
      <c r="BA372" s="7"/>
      <c r="BB372" s="7"/>
      <c r="BC372" s="7" t="s">
        <v>366</v>
      </c>
      <c r="BD372" s="21">
        <v>44139.07013888889</v>
      </c>
      <c r="BE372" s="7"/>
      <c r="BF372" s="7"/>
      <c r="BG372" s="22">
        <v>44139.0</v>
      </c>
      <c r="BH372" s="7"/>
      <c r="BI372" s="7" t="s">
        <v>4968</v>
      </c>
      <c r="BJ372" s="7"/>
      <c r="BK372" s="7" t="b">
        <v>0</v>
      </c>
      <c r="BL372" s="7" t="b">
        <v>0</v>
      </c>
      <c r="BM372" s="7"/>
      <c r="BN372" s="7" t="str">
        <f>IFERROR(__xludf.DUMMYFUNCTION(" IF( REGEXMATCH(C372 , ""[(].+[)]""),REGEXREPLACE( CONCATENATE(REGEXEXTRACT(C372 , ""[(].+[)]""),IF(REGEXMATCH(C372 , ""[(][Ll]['’][)]""),"""","" ""), REGEXEXTRACT(C372 ,""^(?:(?:[A-Za-zàäéèêîïöôûü0-9 ](?:[A-Za-zàäéèêîïöôûü'0-9 ]+)))"")) , ""[()]"", """")"&amp;",C372 )"),"Kaz Biloute")</f>
        <v>Kaz Biloute</v>
      </c>
      <c r="BO372" s="23"/>
      <c r="BP372" s="7"/>
      <c r="BQ372" s="7"/>
      <c r="BR372" s="7"/>
      <c r="BS372" s="7"/>
      <c r="BT372" s="7"/>
      <c r="BU372" s="7"/>
      <c r="BV372" s="7"/>
      <c r="BW372" s="7"/>
      <c r="BX372" s="7"/>
      <c r="BY372" s="7"/>
      <c r="BZ372" s="7"/>
      <c r="CA372" s="7"/>
      <c r="CB372" s="7"/>
    </row>
    <row r="373" ht="21.75" customHeight="1">
      <c r="A373" s="7">
        <v>4283.0</v>
      </c>
      <c r="B373" s="7" t="s">
        <v>4969</v>
      </c>
      <c r="C373" s="7" t="s">
        <v>4970</v>
      </c>
      <c r="D373" s="7"/>
      <c r="E373" s="7"/>
      <c r="F373" s="7" t="s">
        <v>342</v>
      </c>
      <c r="G373" s="7" t="s">
        <v>343</v>
      </c>
      <c r="H373" s="7" t="s">
        <v>344</v>
      </c>
      <c r="I373" s="7" t="s">
        <v>4971</v>
      </c>
      <c r="J373" s="7"/>
      <c r="K373" s="7" t="s">
        <v>58</v>
      </c>
      <c r="L373" s="7" t="s">
        <v>59</v>
      </c>
      <c r="M373" s="7" t="s">
        <v>374</v>
      </c>
      <c r="N373" s="7" t="s">
        <v>375</v>
      </c>
      <c r="O373" s="7">
        <v>97430.0</v>
      </c>
      <c r="P373" s="7" t="s">
        <v>344</v>
      </c>
      <c r="Q373" s="7"/>
      <c r="R373" s="7" t="s">
        <v>4972</v>
      </c>
      <c r="S373" s="7" t="s">
        <v>2787</v>
      </c>
      <c r="T373" s="7" t="s">
        <v>4973</v>
      </c>
      <c r="U373" s="7" t="s">
        <v>424</v>
      </c>
      <c r="V373" s="7"/>
      <c r="W373" s="7">
        <v>6.92321475E8</v>
      </c>
      <c r="X373" s="7"/>
      <c r="Y373" s="7"/>
      <c r="Z373" s="7" t="s">
        <v>4974</v>
      </c>
      <c r="AA373" s="7">
        <v>8.0</v>
      </c>
      <c r="AB373" s="7" t="s">
        <v>395</v>
      </c>
      <c r="AC373" s="7" t="s">
        <v>4975</v>
      </c>
      <c r="AD373" s="7" t="s">
        <v>4976</v>
      </c>
      <c r="AE373" s="7" t="s">
        <v>4977</v>
      </c>
      <c r="AF373" s="7"/>
      <c r="AG373" s="7"/>
      <c r="AH373" s="20">
        <v>42831.0</v>
      </c>
      <c r="AI373" s="7"/>
      <c r="AJ373" s="7" t="s">
        <v>4978</v>
      </c>
      <c r="AK373" s="7">
        <v>8.2791448200019E13</v>
      </c>
      <c r="AL373" s="7" t="s">
        <v>4979</v>
      </c>
      <c r="AM373" s="7" t="s">
        <v>4980</v>
      </c>
      <c r="AN373" s="20">
        <v>42831.0</v>
      </c>
      <c r="AO373" s="7">
        <v>97430.0</v>
      </c>
      <c r="AP373" s="7" t="s">
        <v>494</v>
      </c>
      <c r="AQ373" s="7"/>
      <c r="AR373" s="7"/>
      <c r="AS373" s="7"/>
      <c r="AT373" s="7"/>
      <c r="AU373" s="7">
        <v>1.0</v>
      </c>
      <c r="AV373" s="7" t="s">
        <v>4981</v>
      </c>
      <c r="AW373" s="7"/>
      <c r="AX373" s="7"/>
      <c r="AY373" s="7"/>
      <c r="AZ373" s="7" t="s">
        <v>4982</v>
      </c>
      <c r="BA373" s="7"/>
      <c r="BB373" s="7"/>
      <c r="BC373" s="7" t="s">
        <v>401</v>
      </c>
      <c r="BD373" s="21">
        <v>44068.197222222225</v>
      </c>
      <c r="BE373" s="7" t="s">
        <v>4983</v>
      </c>
      <c r="BF373" s="7"/>
      <c r="BG373" s="7"/>
      <c r="BH373" s="7">
        <v>8.27914482E8</v>
      </c>
      <c r="BI373" s="7" t="s">
        <v>4984</v>
      </c>
      <c r="BJ373" s="7"/>
      <c r="BK373" s="7" t="b">
        <v>0</v>
      </c>
      <c r="BL373" s="7" t="b">
        <v>0</v>
      </c>
      <c r="BM373" s="7"/>
      <c r="BN373" s="7" t="str">
        <f>IFERROR(__xludf.DUMMYFUNCTION(" IF( REGEXMATCH(C373 , ""[(].+[)]""),REGEXREPLACE( CONCATENATE(REGEXEXTRACT(C373 , ""[(].+[)]""),IF(REGEXMATCH(C373 , ""[(][Ll]['’][)]""),"""","" ""), REGEXEXTRACT(C373 ,""^(?:(?:[A-Za-zàäéèêîïöôûü0-9 ](?:[A-Za-zàäéèêîïöôûü'0-9 ]+)))"")) , ""[()]"", """")"&amp;",C373 )"),"Kaz Héliconia")</f>
        <v>Kaz Héliconia</v>
      </c>
      <c r="BO373" s="25"/>
      <c r="BP373" s="7"/>
      <c r="BQ373" s="7"/>
      <c r="BR373" s="7"/>
      <c r="BS373" s="7"/>
      <c r="BT373" s="7"/>
      <c r="BU373" s="7"/>
      <c r="BV373" s="7"/>
      <c r="BW373" s="7"/>
      <c r="BX373" s="7"/>
      <c r="BY373" s="7"/>
      <c r="BZ373" s="7"/>
      <c r="CA373" s="7"/>
      <c r="CB373" s="7"/>
    </row>
    <row r="374" ht="21.75" customHeight="1">
      <c r="A374" s="7">
        <v>3380.0</v>
      </c>
      <c r="B374" s="7" t="s">
        <v>4985</v>
      </c>
      <c r="C374" s="7" t="s">
        <v>4986</v>
      </c>
      <c r="D374" s="7" t="s">
        <v>4987</v>
      </c>
      <c r="E374" s="7"/>
      <c r="F374" s="7" t="s">
        <v>342</v>
      </c>
      <c r="G374" s="7" t="s">
        <v>343</v>
      </c>
      <c r="H374" s="7" t="s">
        <v>123</v>
      </c>
      <c r="I374" s="7" t="s">
        <v>4988</v>
      </c>
      <c r="J374" s="26" t="s">
        <v>4989</v>
      </c>
      <c r="K374" s="7" t="s">
        <v>58</v>
      </c>
      <c r="L374" s="7" t="s">
        <v>453</v>
      </c>
      <c r="M374" s="7" t="s">
        <v>454</v>
      </c>
      <c r="N374" s="7" t="s">
        <v>422</v>
      </c>
      <c r="O374" s="7">
        <v>97480.0</v>
      </c>
      <c r="P374" s="7" t="s">
        <v>123</v>
      </c>
      <c r="Q374" s="7" t="s">
        <v>1278</v>
      </c>
      <c r="R374" s="7" t="s">
        <v>4990</v>
      </c>
      <c r="S374" s="7" t="s">
        <v>3815</v>
      </c>
      <c r="T374" s="7" t="s">
        <v>377</v>
      </c>
      <c r="U374" s="7" t="s">
        <v>378</v>
      </c>
      <c r="V374" s="7"/>
      <c r="W374" s="7">
        <v>6.92698487E8</v>
      </c>
      <c r="X374" s="7"/>
      <c r="Y374" s="7"/>
      <c r="Z374" s="7" t="s">
        <v>4991</v>
      </c>
      <c r="AA374" s="7">
        <v>2.0</v>
      </c>
      <c r="AB374" s="7"/>
      <c r="AC374" s="7" t="s">
        <v>4992</v>
      </c>
      <c r="AD374" s="7" t="s">
        <v>4993</v>
      </c>
      <c r="AE374" s="7" t="s">
        <v>4994</v>
      </c>
      <c r="AF374" s="7" t="s">
        <v>1173</v>
      </c>
      <c r="AG374" s="7"/>
      <c r="AH374" s="20">
        <v>41451.0</v>
      </c>
      <c r="AI374" s="7"/>
      <c r="AJ374" s="7" t="s">
        <v>4995</v>
      </c>
      <c r="AK374" s="7">
        <v>3.8050314400038E13</v>
      </c>
      <c r="AL374" s="7" t="s">
        <v>4996</v>
      </c>
      <c r="AM374" s="7" t="s">
        <v>4997</v>
      </c>
      <c r="AN374" s="20">
        <v>41451.0</v>
      </c>
      <c r="AO374" s="7">
        <v>97480.0</v>
      </c>
      <c r="AP374" s="7" t="s">
        <v>385</v>
      </c>
      <c r="AQ374" s="7"/>
      <c r="AR374" s="7"/>
      <c r="AS374" s="7"/>
      <c r="AT374" s="7"/>
      <c r="AU374" s="7">
        <v>1.0</v>
      </c>
      <c r="AV374" s="7" t="s">
        <v>4998</v>
      </c>
      <c r="AW374" s="7"/>
      <c r="AX374" s="7" t="s">
        <v>4999</v>
      </c>
      <c r="AY374" s="7" t="s">
        <v>1590</v>
      </c>
      <c r="AZ374" s="7" t="s">
        <v>5000</v>
      </c>
      <c r="BA374" s="7"/>
      <c r="BB374" s="7"/>
      <c r="BC374" s="7" t="s">
        <v>5001</v>
      </c>
      <c r="BD374" s="21">
        <v>44222.0</v>
      </c>
      <c r="BE374" s="7" t="s">
        <v>5002</v>
      </c>
      <c r="BF374" s="7"/>
      <c r="BG374" s="7"/>
      <c r="BH374" s="7">
        <v>3.80503144E8</v>
      </c>
      <c r="BI374" s="7" t="s">
        <v>5003</v>
      </c>
      <c r="BJ374" s="7"/>
      <c r="BK374" s="7" t="b">
        <v>0</v>
      </c>
      <c r="BL374" s="7" t="b">
        <v>0</v>
      </c>
      <c r="BM374" s="7"/>
      <c r="BN374" s="7" t="str">
        <f>IFERROR(__xludf.DUMMYFUNCTION(" IF( REGEXMATCH(C374 , ""[(].+[)]""),REGEXREPLACE( CONCATENATE(REGEXEXTRACT(C374 , ""[(].+[)]""),IF(REGEXMATCH(C374 , ""[(][Ll]['’][)]""),"""","" ""), REGEXEXTRACT(C374 ,""^(?:(?:[A-Za-zàäéèêîïöôûü0-9 ](?:[A-Za-zàäéèêîïöôûü'0-9 ]+)))"")) , ""[()]"", """")"&amp;",C374 )"),"La Kaz Lizette ")</f>
        <v>La Kaz Lizette </v>
      </c>
      <c r="BO374" s="25"/>
      <c r="BP374" s="7"/>
      <c r="BQ374" s="7"/>
      <c r="BR374" s="7"/>
      <c r="BS374" s="7"/>
      <c r="BT374" s="7"/>
      <c r="BU374" s="7"/>
      <c r="BV374" s="7"/>
      <c r="BW374" s="7"/>
      <c r="BX374" s="7"/>
      <c r="BY374" s="7"/>
      <c r="BZ374" s="7"/>
      <c r="CA374" s="7"/>
      <c r="CB374" s="7"/>
    </row>
    <row r="375" ht="21.75" customHeight="1">
      <c r="A375" s="7">
        <v>2333.0</v>
      </c>
      <c r="B375" s="7">
        <v>374.0</v>
      </c>
      <c r="C375" s="7" t="s">
        <v>5004</v>
      </c>
      <c r="D375" s="7" t="s">
        <v>5004</v>
      </c>
      <c r="E375" s="7"/>
      <c r="F375" s="7" t="s">
        <v>404</v>
      </c>
      <c r="G375" s="7" t="s">
        <v>343</v>
      </c>
      <c r="H375" s="7" t="s">
        <v>40</v>
      </c>
      <c r="I375" s="7" t="s">
        <v>5005</v>
      </c>
      <c r="J375" s="7"/>
      <c r="K375" s="7" t="s">
        <v>58</v>
      </c>
      <c r="L375" s="7" t="s">
        <v>59</v>
      </c>
      <c r="M375" s="7" t="s">
        <v>346</v>
      </c>
      <c r="N375" s="7" t="s">
        <v>422</v>
      </c>
      <c r="O375" s="7">
        <v>97414.0</v>
      </c>
      <c r="P375" s="7" t="s">
        <v>40</v>
      </c>
      <c r="Q375" s="7"/>
      <c r="R375" s="7" t="s">
        <v>5006</v>
      </c>
      <c r="S375" s="7" t="s">
        <v>2198</v>
      </c>
      <c r="T375" s="7" t="s">
        <v>377</v>
      </c>
      <c r="U375" s="7" t="s">
        <v>378</v>
      </c>
      <c r="V375" s="7"/>
      <c r="W375" s="7">
        <v>6.92285557E8</v>
      </c>
      <c r="X375" s="7"/>
      <c r="Y375" s="7"/>
      <c r="Z375" s="7" t="s">
        <v>5007</v>
      </c>
      <c r="AA375" s="7">
        <v>6.0</v>
      </c>
      <c r="AB375" s="7"/>
      <c r="AC375" s="7"/>
      <c r="AD375" s="7" t="s">
        <v>5008</v>
      </c>
      <c r="AE375" s="7"/>
      <c r="AF375" s="7"/>
      <c r="AG375" s="7"/>
      <c r="AH375" s="20">
        <v>43739.0</v>
      </c>
      <c r="AI375" s="7"/>
      <c r="AJ375" s="7" t="s">
        <v>5009</v>
      </c>
      <c r="AK375" s="7"/>
      <c r="AL375" s="7" t="s">
        <v>5010</v>
      </c>
      <c r="AM375" s="7" t="s">
        <v>5011</v>
      </c>
      <c r="AN375" s="20">
        <v>43739.0</v>
      </c>
      <c r="AO375" s="7">
        <v>97414.0</v>
      </c>
      <c r="AP375" s="7" t="s">
        <v>429</v>
      </c>
      <c r="AQ375" s="7"/>
      <c r="AR375" s="7"/>
      <c r="AS375" s="7"/>
      <c r="AT375" s="7"/>
      <c r="AU375" s="7">
        <v>1.0</v>
      </c>
      <c r="AV375" s="7" t="s">
        <v>5012</v>
      </c>
      <c r="AW375" s="7"/>
      <c r="AX375" s="7"/>
      <c r="AY375" s="7"/>
      <c r="AZ375" s="7"/>
      <c r="BA375" s="7"/>
      <c r="BB375" s="7"/>
      <c r="BC375" s="7" t="s">
        <v>366</v>
      </c>
      <c r="BD375" s="21">
        <v>44095.160416666666</v>
      </c>
      <c r="BE375" s="7"/>
      <c r="BF375" s="7"/>
      <c r="BG375" s="22">
        <v>44095.0</v>
      </c>
      <c r="BH375" s="7"/>
      <c r="BI375" s="7" t="s">
        <v>5013</v>
      </c>
      <c r="BJ375" s="7"/>
      <c r="BK375" s="7" t="b">
        <v>0</v>
      </c>
      <c r="BL375" s="7" t="b">
        <v>0</v>
      </c>
      <c r="BM375" s="7"/>
      <c r="BN375" s="7" t="str">
        <f>IFERROR(__xludf.DUMMYFUNCTION(" IF( REGEXMATCH(C375 , ""[(].+[)]""),REGEXREPLACE( CONCATENATE(REGEXEXTRACT(C375 , ""[(].+[)]""),IF(REGEXMATCH(C375 , ""[(][Ll]['’][)]""),"""","" ""), REGEXEXTRACT(C375 ,""^(?:(?:[A-Za-zàäéèêîïöôûü0-9 ](?:[A-Za-zàäéèêîïöôûü'0-9 ]+)))"")) , ""[()]"", """")"&amp;",C375 )"),"Kaz Madi")</f>
        <v>Kaz Madi</v>
      </c>
      <c r="BO375" s="23"/>
      <c r="BP375" s="7"/>
      <c r="BQ375" s="7"/>
      <c r="BR375" s="7"/>
      <c r="BS375" s="7"/>
      <c r="BT375" s="7"/>
      <c r="BU375" s="7"/>
      <c r="BV375" s="7"/>
      <c r="BW375" s="7"/>
      <c r="BX375" s="7"/>
      <c r="BY375" s="7"/>
      <c r="BZ375" s="7"/>
      <c r="CA375" s="7"/>
      <c r="CB375" s="7"/>
    </row>
    <row r="376" ht="21.75" customHeight="1">
      <c r="A376" s="7">
        <v>2716.0</v>
      </c>
      <c r="B376" s="7">
        <v>375.0</v>
      </c>
      <c r="C376" s="7" t="s">
        <v>5014</v>
      </c>
      <c r="D376" s="7" t="s">
        <v>5014</v>
      </c>
      <c r="E376" s="7"/>
      <c r="F376" s="7" t="s">
        <v>404</v>
      </c>
      <c r="G376" s="7" t="s">
        <v>343</v>
      </c>
      <c r="H376" s="7" t="s">
        <v>40</v>
      </c>
      <c r="I376" s="7" t="s">
        <v>5015</v>
      </c>
      <c r="J376" s="7"/>
      <c r="K376" s="7" t="s">
        <v>58</v>
      </c>
      <c r="L376" s="7" t="s">
        <v>59</v>
      </c>
      <c r="M376" s="7" t="s">
        <v>346</v>
      </c>
      <c r="N376" s="7"/>
      <c r="O376" s="7">
        <v>97414.0</v>
      </c>
      <c r="P376" s="7" t="s">
        <v>40</v>
      </c>
      <c r="Q376" s="7"/>
      <c r="R376" s="7" t="s">
        <v>5016</v>
      </c>
      <c r="S376" s="7" t="s">
        <v>1075</v>
      </c>
      <c r="T376" s="7" t="s">
        <v>377</v>
      </c>
      <c r="U376" s="7" t="s">
        <v>424</v>
      </c>
      <c r="V376" s="7">
        <v>2.62395309E8</v>
      </c>
      <c r="W376" s="7">
        <v>6.92214264E8</v>
      </c>
      <c r="X376" s="7">
        <v>6.92732728E8</v>
      </c>
      <c r="Y376" s="7"/>
      <c r="Z376" s="7" t="s">
        <v>5017</v>
      </c>
      <c r="AA376" s="7">
        <v>6.0</v>
      </c>
      <c r="AB376" s="7"/>
      <c r="AC376" s="7" t="s">
        <v>5018</v>
      </c>
      <c r="AD376" s="7" t="s">
        <v>5019</v>
      </c>
      <c r="AE376" s="7"/>
      <c r="AF376" s="7"/>
      <c r="AG376" s="7"/>
      <c r="AH376" s="20">
        <v>40422.0</v>
      </c>
      <c r="AI376" s="7"/>
      <c r="AJ376" s="7" t="s">
        <v>5020</v>
      </c>
      <c r="AK376" s="7"/>
      <c r="AL376" s="7" t="s">
        <v>5021</v>
      </c>
      <c r="AM376" s="7" t="s">
        <v>5022</v>
      </c>
      <c r="AN376" s="20">
        <v>40422.0</v>
      </c>
      <c r="AO376" s="7">
        <v>97414.0</v>
      </c>
      <c r="AP376" s="7" t="s">
        <v>429</v>
      </c>
      <c r="AQ376" s="7"/>
      <c r="AR376" s="7"/>
      <c r="AS376" s="7"/>
      <c r="AT376" s="7"/>
      <c r="AU376" s="7">
        <v>2.0</v>
      </c>
      <c r="AV376" s="7" t="s">
        <v>5023</v>
      </c>
      <c r="AW376" s="7"/>
      <c r="AX376" s="7"/>
      <c r="AY376" s="7"/>
      <c r="AZ376" s="7"/>
      <c r="BA376" s="7"/>
      <c r="BB376" s="7"/>
      <c r="BC376" s="7" t="s">
        <v>366</v>
      </c>
      <c r="BD376" s="21">
        <v>44197.0</v>
      </c>
      <c r="BE376" s="7"/>
      <c r="BF376" s="7"/>
      <c r="BG376" s="22">
        <v>44197.0</v>
      </c>
      <c r="BH376" s="7"/>
      <c r="BI376" s="7" t="s">
        <v>1786</v>
      </c>
      <c r="BJ376" s="7"/>
      <c r="BK376" s="7" t="b">
        <v>0</v>
      </c>
      <c r="BL376" s="7" t="b">
        <v>0</v>
      </c>
      <c r="BM376" s="7"/>
      <c r="BN376" s="7" t="str">
        <f>IFERROR(__xludf.DUMMYFUNCTION(" IF( REGEXMATCH(C376 , ""[(].+[)]""),REGEXREPLACE( CONCATENATE(REGEXEXTRACT(C376 , ""[(].+[)]""),IF(REGEXMATCH(C376 , ""[(][Ll]['’][)]""),"""","" ""), REGEXEXTRACT(C376 ,""^(?:(?:[A-Za-zàäéèêîïöôûü0-9 ](?:[A-Za-zàäéèêîïöôûü'0-9 ]+)))"")) , ""[()]"", """")"&amp;",C376 )"),"Kaz Poule d'Eau")</f>
        <v>Kaz Poule d'Eau</v>
      </c>
      <c r="BO376" s="23"/>
      <c r="BP376" s="7"/>
      <c r="BQ376" s="7"/>
      <c r="BR376" s="7"/>
      <c r="BS376" s="7"/>
      <c r="BT376" s="7"/>
      <c r="BU376" s="7"/>
      <c r="BV376" s="7"/>
      <c r="BW376" s="7"/>
      <c r="BX376" s="7"/>
      <c r="BY376" s="7"/>
      <c r="BZ376" s="7"/>
      <c r="CA376" s="7"/>
      <c r="CB376" s="7"/>
    </row>
    <row r="377" ht="21.75" customHeight="1">
      <c r="A377" s="7">
        <v>5057.0</v>
      </c>
      <c r="B377" s="7">
        <v>376.0</v>
      </c>
      <c r="C377" s="7" t="s">
        <v>5024</v>
      </c>
      <c r="D377" s="7"/>
      <c r="E377" s="7"/>
      <c r="F377" s="7" t="s">
        <v>342</v>
      </c>
      <c r="G377" s="7" t="s">
        <v>343</v>
      </c>
      <c r="H377" s="7" t="s">
        <v>123</v>
      </c>
      <c r="I377" s="7" t="s">
        <v>5025</v>
      </c>
      <c r="J377" s="7"/>
      <c r="K377" s="7" t="s">
        <v>58</v>
      </c>
      <c r="L377" s="7" t="s">
        <v>59</v>
      </c>
      <c r="M377" s="7" t="s">
        <v>346</v>
      </c>
      <c r="N377" s="7" t="s">
        <v>422</v>
      </c>
      <c r="O377" s="7">
        <v>97480.0</v>
      </c>
      <c r="P377" s="7" t="s">
        <v>123</v>
      </c>
      <c r="Q377" s="7"/>
      <c r="R377" s="7" t="s">
        <v>5026</v>
      </c>
      <c r="S377" s="7" t="s">
        <v>2714</v>
      </c>
      <c r="T377" s="7" t="s">
        <v>499</v>
      </c>
      <c r="U377" s="7" t="s">
        <v>592</v>
      </c>
      <c r="V377" s="7"/>
      <c r="W377" s="7">
        <v>6.92934548E8</v>
      </c>
      <c r="X377" s="7"/>
      <c r="Y377" s="7"/>
      <c r="Z377" s="7" t="s">
        <v>5027</v>
      </c>
      <c r="AA377" s="7">
        <v>6.0</v>
      </c>
      <c r="AB377" s="7"/>
      <c r="AC377" s="7" t="s">
        <v>5028</v>
      </c>
      <c r="AD377" s="7" t="s">
        <v>5029</v>
      </c>
      <c r="AE377" s="7" t="s">
        <v>5030</v>
      </c>
      <c r="AF377" s="7"/>
      <c r="AG377" s="7"/>
      <c r="AH377" s="20">
        <v>43706.0</v>
      </c>
      <c r="AI377" s="7"/>
      <c r="AJ377" s="7" t="s">
        <v>5031</v>
      </c>
      <c r="AK377" s="7">
        <v>8.0758955100025E13</v>
      </c>
      <c r="AL377" s="7" t="s">
        <v>5032</v>
      </c>
      <c r="AM377" s="7" t="s">
        <v>5033</v>
      </c>
      <c r="AN377" s="20">
        <v>43706.0</v>
      </c>
      <c r="AO377" s="7">
        <v>97480.0</v>
      </c>
      <c r="AP377" s="7" t="s">
        <v>385</v>
      </c>
      <c r="AQ377" s="7"/>
      <c r="AR377" s="7"/>
      <c r="AS377" s="7"/>
      <c r="AT377" s="7"/>
      <c r="AU377" s="7">
        <v>1.0</v>
      </c>
      <c r="AV377" s="7" t="s">
        <v>5034</v>
      </c>
      <c r="AW377" s="7"/>
      <c r="AX377" s="7"/>
      <c r="AY377" s="7"/>
      <c r="AZ377" s="7" t="s">
        <v>5035</v>
      </c>
      <c r="BA377" s="7"/>
      <c r="BB377" s="7"/>
      <c r="BC377" s="7" t="s">
        <v>366</v>
      </c>
      <c r="BD377" s="21">
        <v>44242.120833333334</v>
      </c>
      <c r="BE377" s="7"/>
      <c r="BF377" s="7"/>
      <c r="BG377" s="22">
        <v>44242.0</v>
      </c>
      <c r="BH377" s="7">
        <v>8.07589551E8</v>
      </c>
      <c r="BI377" s="7" t="s">
        <v>5036</v>
      </c>
      <c r="BJ377" s="7"/>
      <c r="BK377" s="7" t="b">
        <v>0</v>
      </c>
      <c r="BL377" s="7" t="b">
        <v>0</v>
      </c>
      <c r="BM377" s="7"/>
      <c r="BN377" s="7" t="str">
        <f>IFERROR(__xludf.DUMMYFUNCTION(" IF( REGEXMATCH(C377 , ""[(].+[)]""),REGEXREPLACE( CONCATENATE(REGEXEXTRACT(C377 , ""[(].+[)]""),IF(REGEXMATCH(C377 , ""[(][Ll]['’][)]""),"""","" ""), REGEXEXTRACT(C377 ,""^(?:(?:[A-Za-zàäéèêîïöôûü0-9 ](?:[A-Za-zàäéèêîïöôûü'0-9 ]+)))"")) , ""[()]"", """")"&amp;",C377 )"),"La Kaz Ti Gens ")</f>
        <v>La Kaz Ti Gens </v>
      </c>
      <c r="BO377" s="23"/>
      <c r="BP377" s="7"/>
      <c r="BQ377" s="7"/>
      <c r="BR377" s="7"/>
      <c r="BS377" s="7"/>
      <c r="BT377" s="7"/>
      <c r="BU377" s="7"/>
      <c r="BV377" s="7"/>
      <c r="BW377" s="7"/>
      <c r="BX377" s="7"/>
      <c r="BY377" s="7"/>
      <c r="BZ377" s="7"/>
      <c r="CA377" s="7"/>
      <c r="CB377" s="7"/>
    </row>
    <row r="378" ht="21.75" customHeight="1">
      <c r="A378" s="7">
        <v>4508.0</v>
      </c>
      <c r="B378" s="7" t="s">
        <v>5037</v>
      </c>
      <c r="C378" s="7" t="s">
        <v>5038</v>
      </c>
      <c r="D378" s="7"/>
      <c r="E378" s="7"/>
      <c r="F378" s="7" t="s">
        <v>342</v>
      </c>
      <c r="G378" s="7" t="s">
        <v>343</v>
      </c>
      <c r="H378" s="7" t="s">
        <v>344</v>
      </c>
      <c r="I378" s="7" t="s">
        <v>5039</v>
      </c>
      <c r="J378" s="7"/>
      <c r="K378" s="7" t="s">
        <v>58</v>
      </c>
      <c r="L378" s="7" t="s">
        <v>59</v>
      </c>
      <c r="M378" s="7" t="s">
        <v>346</v>
      </c>
      <c r="N378" s="7" t="s">
        <v>407</v>
      </c>
      <c r="O378" s="7">
        <v>97418.0</v>
      </c>
      <c r="P378" s="7" t="s">
        <v>348</v>
      </c>
      <c r="Q378" s="7" t="s">
        <v>349</v>
      </c>
      <c r="R378" s="7" t="s">
        <v>5040</v>
      </c>
      <c r="S378" s="7" t="s">
        <v>2714</v>
      </c>
      <c r="T378" s="7" t="s">
        <v>377</v>
      </c>
      <c r="U378" s="7" t="s">
        <v>378</v>
      </c>
      <c r="V378" s="7"/>
      <c r="W378" s="7">
        <v>6.92607912E8</v>
      </c>
      <c r="X378" s="7"/>
      <c r="Y378" s="7"/>
      <c r="Z378" s="7" t="s">
        <v>5041</v>
      </c>
      <c r="AA378" s="7">
        <v>6.0</v>
      </c>
      <c r="AB378" s="7"/>
      <c r="AC378" s="7" t="s">
        <v>5042</v>
      </c>
      <c r="AD378" s="7" t="s">
        <v>5043</v>
      </c>
      <c r="AE378" s="7" t="s">
        <v>5044</v>
      </c>
      <c r="AF378" s="7"/>
      <c r="AG378" s="7"/>
      <c r="AH378" s="20">
        <v>43223.0</v>
      </c>
      <c r="AI378" s="7"/>
      <c r="AJ378" s="7" t="s">
        <v>5045</v>
      </c>
      <c r="AK378" s="7">
        <v>8.2976428100012E13</v>
      </c>
      <c r="AL378" s="7" t="s">
        <v>5046</v>
      </c>
      <c r="AM378" s="7" t="s">
        <v>5047</v>
      </c>
      <c r="AN378" s="20">
        <v>43172.0</v>
      </c>
      <c r="AO378" s="7">
        <v>97430.0</v>
      </c>
      <c r="AP378" s="7" t="s">
        <v>494</v>
      </c>
      <c r="AQ378" s="7"/>
      <c r="AR378" s="7"/>
      <c r="AS378" s="7"/>
      <c r="AT378" s="7"/>
      <c r="AU378" s="7">
        <v>1.0</v>
      </c>
      <c r="AV378" s="7" t="s">
        <v>5048</v>
      </c>
      <c r="AW378" s="7"/>
      <c r="AX378" s="7"/>
      <c r="AY378" s="7"/>
      <c r="AZ378" s="7" t="s">
        <v>5049</v>
      </c>
      <c r="BA378" s="7"/>
      <c r="BB378" s="7"/>
      <c r="BC378" s="7" t="s">
        <v>401</v>
      </c>
      <c r="BD378" s="21">
        <v>44228.12013888889</v>
      </c>
      <c r="BE378" s="7" t="s">
        <v>1011</v>
      </c>
      <c r="BF378" s="7"/>
      <c r="BG378" s="7"/>
      <c r="BH378" s="7">
        <v>8.29764281E8</v>
      </c>
      <c r="BI378" s="7" t="s">
        <v>5050</v>
      </c>
      <c r="BJ378" s="7"/>
      <c r="BK378" s="7" t="b">
        <v>0</v>
      </c>
      <c r="BL378" s="7" t="b">
        <v>0</v>
      </c>
      <c r="BM378" s="7"/>
      <c r="BN378" s="7" t="str">
        <f>IFERROR(__xludf.DUMMYFUNCTION(" IF( REGEXMATCH(C378 , ""[(].+[)]""),REGEXREPLACE( CONCATENATE(REGEXEXTRACT(C378 , ""[(].+[)]""),IF(REGEXMATCH(C378 , ""[(][Ll]['’][)]""),"""","" ""), REGEXEXTRACT(C378 ,""^(?:(?:[A-Za-zàäéèêîïöôûü0-9 ](?:[A-Za-zàäéèêîïöôûü'0-9 ]+)))"")) , ""[()]"", """")"&amp;",C378 )"),"La Kaz Ti Martin Dé O La Réunion ")</f>
        <v>La Kaz Ti Martin Dé O La Réunion </v>
      </c>
      <c r="BO378" s="25"/>
      <c r="BP378" s="7"/>
      <c r="BQ378" s="7"/>
      <c r="BR378" s="7"/>
      <c r="BS378" s="7"/>
      <c r="BT378" s="7"/>
      <c r="BU378" s="7"/>
      <c r="BV378" s="7"/>
      <c r="BW378" s="7"/>
      <c r="BX378" s="7"/>
      <c r="BY378" s="7"/>
      <c r="BZ378" s="7"/>
      <c r="CA378" s="7"/>
      <c r="CB378" s="7"/>
    </row>
    <row r="379" ht="21.75" customHeight="1">
      <c r="A379" s="7">
        <v>2259.0</v>
      </c>
      <c r="B379" s="7">
        <v>378.0</v>
      </c>
      <c r="C379" s="7" t="s">
        <v>5051</v>
      </c>
      <c r="D379" s="7"/>
      <c r="E379" s="7"/>
      <c r="F379" s="7" t="s">
        <v>342</v>
      </c>
      <c r="G379" s="7" t="s">
        <v>343</v>
      </c>
      <c r="H379" s="7" t="s">
        <v>40</v>
      </c>
      <c r="I379" s="7" t="s">
        <v>5052</v>
      </c>
      <c r="J379" s="7"/>
      <c r="K379" s="7" t="s">
        <v>34</v>
      </c>
      <c r="L379" s="7" t="s">
        <v>678</v>
      </c>
      <c r="M379" s="7" t="s">
        <v>5053</v>
      </c>
      <c r="N379" s="7" t="s">
        <v>407</v>
      </c>
      <c r="O379" s="7">
        <v>97414.0</v>
      </c>
      <c r="P379" s="7" t="s">
        <v>40</v>
      </c>
      <c r="Q379" s="7"/>
      <c r="R379" s="7"/>
      <c r="S379" s="7" t="s">
        <v>2658</v>
      </c>
      <c r="T379" s="7" t="s">
        <v>377</v>
      </c>
      <c r="U379" s="7" t="s">
        <v>378</v>
      </c>
      <c r="V379" s="7"/>
      <c r="W379" s="7">
        <v>6.92094854E8</v>
      </c>
      <c r="X379" s="7"/>
      <c r="Y379" s="7"/>
      <c r="Z379" s="7"/>
      <c r="AA379" s="7"/>
      <c r="AB379" s="7"/>
      <c r="AC379" s="7"/>
      <c r="AD379" s="7" t="s">
        <v>5054</v>
      </c>
      <c r="AE379" s="7"/>
      <c r="AF379" s="7"/>
      <c r="AG379" s="7"/>
      <c r="AH379" s="20">
        <v>43739.0</v>
      </c>
      <c r="AI379" s="7"/>
      <c r="AJ379" s="7" t="s">
        <v>5051</v>
      </c>
      <c r="AK379" s="7"/>
      <c r="AL379" s="7" t="s">
        <v>5055</v>
      </c>
      <c r="AM379" s="7">
        <v>6.92094854E8</v>
      </c>
      <c r="AN379" s="20">
        <v>43739.0</v>
      </c>
      <c r="AO379" s="7">
        <v>97414.0</v>
      </c>
      <c r="AP379" s="7" t="s">
        <v>429</v>
      </c>
      <c r="AQ379" s="7"/>
      <c r="AR379" s="7"/>
      <c r="AS379" s="7"/>
      <c r="AT379" s="7"/>
      <c r="AU379" s="7">
        <v>0.0</v>
      </c>
      <c r="AV379" s="7" t="s">
        <v>5056</v>
      </c>
      <c r="AW379" s="7"/>
      <c r="AX379" s="7"/>
      <c r="AY379" s="7"/>
      <c r="AZ379" s="7"/>
      <c r="BA379" s="7"/>
      <c r="BB379" s="7"/>
      <c r="BC379" s="7" t="s">
        <v>366</v>
      </c>
      <c r="BD379" s="21">
        <v>44095.18194444444</v>
      </c>
      <c r="BE379" s="7"/>
      <c r="BF379" s="7"/>
      <c r="BG379" s="22">
        <v>44095.0</v>
      </c>
      <c r="BH379" s="7"/>
      <c r="BI379" s="7" t="s">
        <v>5057</v>
      </c>
      <c r="BJ379" s="7"/>
      <c r="BK379" s="7" t="b">
        <v>0</v>
      </c>
      <c r="BL379" s="7" t="b">
        <v>0</v>
      </c>
      <c r="BM379" s="7"/>
      <c r="BN379" s="7" t="str">
        <f>IFERROR(__xludf.DUMMYFUNCTION(" IF( REGEXMATCH(C379 , ""[(].+[)]""),REGEXREPLACE( CONCATENATE(REGEXEXTRACT(C379 , ""[(].+[)]""),IF(REGEXMATCH(C379 , ""[(][Ll]['’][)]""),"""","" ""), REGEXEXTRACT(C379 ,""^(?:(?:[A-Za-zàäéèêîïöôûü0-9 ](?:[A-Za-zàäéèêîïöôûü'0-9 ]+)))"")) , ""[()]"", """")"&amp;",C379 )"),"Kaza Pizza")</f>
        <v>Kaza Pizza</v>
      </c>
      <c r="BO379" s="23"/>
      <c r="BP379" s="7"/>
      <c r="BQ379" s="7"/>
      <c r="BR379" s="7"/>
      <c r="BS379" s="7"/>
      <c r="BT379" s="7"/>
      <c r="BU379" s="7"/>
      <c r="BV379" s="7"/>
      <c r="BW379" s="7"/>
      <c r="BX379" s="7"/>
      <c r="BY379" s="7"/>
      <c r="BZ379" s="7"/>
      <c r="CA379" s="7"/>
      <c r="CB379" s="7"/>
    </row>
    <row r="380" ht="21.75" customHeight="1">
      <c r="A380" s="7">
        <v>1980.0</v>
      </c>
      <c r="B380" s="7">
        <v>379.0</v>
      </c>
      <c r="C380" s="7" t="s">
        <v>5058</v>
      </c>
      <c r="D380" s="7"/>
      <c r="E380" s="7"/>
      <c r="F380" s="7" t="s">
        <v>404</v>
      </c>
      <c r="G380" s="7" t="s">
        <v>343</v>
      </c>
      <c r="H380" s="7" t="s">
        <v>344</v>
      </c>
      <c r="I380" s="7" t="s">
        <v>5059</v>
      </c>
      <c r="J380" s="7"/>
      <c r="K380" s="7" t="s">
        <v>34</v>
      </c>
      <c r="L380" s="7" t="s">
        <v>678</v>
      </c>
      <c r="M380" s="7" t="s">
        <v>5053</v>
      </c>
      <c r="N380" s="7" t="s">
        <v>455</v>
      </c>
      <c r="O380" s="7">
        <v>97418.0</v>
      </c>
      <c r="P380" s="7" t="s">
        <v>348</v>
      </c>
      <c r="Q380" s="7" t="s">
        <v>349</v>
      </c>
      <c r="R380" s="7" t="s">
        <v>801</v>
      </c>
      <c r="S380" s="7" t="s">
        <v>5060</v>
      </c>
      <c r="T380" s="7" t="s">
        <v>377</v>
      </c>
      <c r="U380" s="7" t="s">
        <v>353</v>
      </c>
      <c r="V380" s="7">
        <v>2.62592531E8</v>
      </c>
      <c r="W380" s="7">
        <v>6.92606479E8</v>
      </c>
      <c r="X380" s="7"/>
      <c r="Y380" s="7"/>
      <c r="Z380" s="7" t="s">
        <v>5061</v>
      </c>
      <c r="AA380" s="7"/>
      <c r="AB380" s="7"/>
      <c r="AC380" s="7"/>
      <c r="AD380" s="7" t="s">
        <v>5062</v>
      </c>
      <c r="AE380" s="7"/>
      <c r="AF380" s="7"/>
      <c r="AG380" s="7"/>
      <c r="AH380" s="20">
        <v>43739.0</v>
      </c>
      <c r="AI380" s="7"/>
      <c r="AJ380" s="7" t="s">
        <v>5058</v>
      </c>
      <c r="AK380" s="7"/>
      <c r="AL380" s="7" t="s">
        <v>5063</v>
      </c>
      <c r="AM380" s="7" t="s">
        <v>5064</v>
      </c>
      <c r="AN380" s="20">
        <v>43739.0</v>
      </c>
      <c r="AO380" s="7">
        <v>97418.0</v>
      </c>
      <c r="AP380" s="7" t="s">
        <v>362</v>
      </c>
      <c r="AQ380" s="7"/>
      <c r="AR380" s="7"/>
      <c r="AS380" s="7"/>
      <c r="AT380" s="7"/>
      <c r="AU380" s="7">
        <v>0.0</v>
      </c>
      <c r="AV380" s="7" t="s">
        <v>5065</v>
      </c>
      <c r="AW380" s="7"/>
      <c r="AX380" s="7"/>
      <c r="AY380" s="7"/>
      <c r="AZ380" s="7"/>
      <c r="BA380" s="7"/>
      <c r="BB380" s="7"/>
      <c r="BC380" s="7" t="s">
        <v>366</v>
      </c>
      <c r="BD380" s="21">
        <v>44194.118055555555</v>
      </c>
      <c r="BE380" s="7"/>
      <c r="BF380" s="7"/>
      <c r="BG380" s="22">
        <v>44194.0</v>
      </c>
      <c r="BH380" s="7"/>
      <c r="BI380" s="7" t="s">
        <v>5066</v>
      </c>
      <c r="BJ380" s="7"/>
      <c r="BK380" s="7" t="b">
        <v>0</v>
      </c>
      <c r="BL380" s="7" t="b">
        <v>0</v>
      </c>
      <c r="BM380" s="7"/>
      <c r="BN380" s="7" t="str">
        <f>IFERROR(__xludf.DUMMYFUNCTION(" IF( REGEXMATCH(C380 , ""[(].+[)]""),REGEXREPLACE( CONCATENATE(REGEXEXTRACT(C380 , ""[(].+[)]""),IF(REGEXMATCH(C380 , ""[(][Ll]['’][)]""),"""","" ""), REGEXEXTRACT(C380 ,""^(?:(?:[A-Za-zàäéèêîïöôûü0-9 ](?:[A-Za-zàäéèêîïöôûü'0-9 ]+)))"")) , ""[()]"", """")"&amp;",C380 )"),"Kios'q Pizza")</f>
        <v>Kios'q Pizza</v>
      </c>
      <c r="BO380" s="23"/>
      <c r="BP380" s="7"/>
      <c r="BQ380" s="7"/>
      <c r="BR380" s="7"/>
      <c r="BS380" s="7"/>
      <c r="BT380" s="7"/>
      <c r="BU380" s="7"/>
      <c r="BV380" s="7"/>
      <c r="BW380" s="7"/>
      <c r="BX380" s="7"/>
      <c r="BY380" s="7"/>
      <c r="BZ380" s="7"/>
      <c r="CA380" s="7"/>
      <c r="CB380" s="7"/>
    </row>
    <row r="381" ht="21.75" customHeight="1">
      <c r="A381" s="7">
        <v>1920.0</v>
      </c>
      <c r="B381" s="7" t="s">
        <v>5067</v>
      </c>
      <c r="C381" s="7" t="s">
        <v>5068</v>
      </c>
      <c r="D381" s="7" t="s">
        <v>5068</v>
      </c>
      <c r="E381" s="7"/>
      <c r="F381" s="7" t="s">
        <v>342</v>
      </c>
      <c r="G381" s="7" t="s">
        <v>343</v>
      </c>
      <c r="H381" s="7" t="s">
        <v>344</v>
      </c>
      <c r="I381" s="7" t="s">
        <v>5069</v>
      </c>
      <c r="J381" s="26" t="s">
        <v>5070</v>
      </c>
      <c r="K381" s="6" t="s">
        <v>469</v>
      </c>
      <c r="L381" s="7" t="s">
        <v>470</v>
      </c>
      <c r="M381" s="7" t="s">
        <v>1295</v>
      </c>
      <c r="N381" s="7" t="s">
        <v>407</v>
      </c>
      <c r="O381" s="7">
        <v>97430.0</v>
      </c>
      <c r="P381" s="7" t="s">
        <v>344</v>
      </c>
      <c r="Q381" s="7"/>
      <c r="R381" s="7"/>
      <c r="S381" s="7" t="s">
        <v>1094</v>
      </c>
      <c r="T381" s="7" t="s">
        <v>377</v>
      </c>
      <c r="U381" s="7" t="s">
        <v>424</v>
      </c>
      <c r="V381" s="7">
        <v>2.62333014E8</v>
      </c>
      <c r="W381" s="7">
        <v>6.92699414E8</v>
      </c>
      <c r="X381" s="7">
        <v>6.9269945E8</v>
      </c>
      <c r="Y381" s="7">
        <v>2.62333014E8</v>
      </c>
      <c r="Z381" s="7" t="s">
        <v>5071</v>
      </c>
      <c r="AA381" s="7">
        <v>8.0</v>
      </c>
      <c r="AB381" s="7"/>
      <c r="AC381" s="7" t="s">
        <v>5072</v>
      </c>
      <c r="AD381" s="7" t="s">
        <v>5073</v>
      </c>
      <c r="AE381" s="7" t="s">
        <v>5074</v>
      </c>
      <c r="AF381" s="7"/>
      <c r="AG381" s="7" t="s">
        <v>597</v>
      </c>
      <c r="AH381" s="20">
        <v>43739.0</v>
      </c>
      <c r="AI381" s="7"/>
      <c r="AJ381" s="7" t="s">
        <v>5075</v>
      </c>
      <c r="AK381" s="7">
        <v>5.1005464600011E13</v>
      </c>
      <c r="AL381" s="7" t="s">
        <v>5076</v>
      </c>
      <c r="AM381" s="7" t="s">
        <v>5077</v>
      </c>
      <c r="AN381" s="20">
        <v>43739.0</v>
      </c>
      <c r="AO381" s="7">
        <v>97430.0</v>
      </c>
      <c r="AP381" s="7" t="s">
        <v>494</v>
      </c>
      <c r="AQ381" s="7"/>
      <c r="AR381" s="7"/>
      <c r="AS381" s="7"/>
      <c r="AT381" s="7"/>
      <c r="AU381" s="7">
        <v>0.0</v>
      </c>
      <c r="AV381" s="7" t="s">
        <v>5078</v>
      </c>
      <c r="AW381" s="7"/>
      <c r="AX381" s="7"/>
      <c r="AY381" s="7"/>
      <c r="AZ381" s="7"/>
      <c r="BA381" s="7"/>
      <c r="BB381" s="7"/>
      <c r="BC381" s="7" t="s">
        <v>401</v>
      </c>
      <c r="BD381" s="21">
        <v>44102.18194444444</v>
      </c>
      <c r="BE381" s="7" t="s">
        <v>5079</v>
      </c>
      <c r="BF381" s="7"/>
      <c r="BG381" s="7"/>
      <c r="BH381" s="7">
        <v>5.10054646E8</v>
      </c>
      <c r="BI381" s="7" t="s">
        <v>5080</v>
      </c>
      <c r="BJ381" s="7"/>
      <c r="BK381" s="7" t="b">
        <v>0</v>
      </c>
      <c r="BL381" s="7" t="b">
        <v>0</v>
      </c>
      <c r="BM381" s="7"/>
      <c r="BN381" s="7" t="str">
        <f>IFERROR(__xludf.DUMMYFUNCTION(" IF( REGEXMATCH(C381 , ""[(].+[)]""),REGEXREPLACE( CONCATENATE(REGEXEXTRACT(C381 , ""[(].+[)]""),IF(REGEXMATCH(C381 , ""[(][Ll]['’][)]""),"""","" ""), REGEXEXTRACT(C381 ,""^(?:(?:[A-Za-zàäéèêîïöôûü0-9 ](?:[A-Za-zàäéèêîïöôûü'0-9 ]+)))"")) , ""[()]"", """")"&amp;",C381 )"),"Kokapat Rando")</f>
        <v>Kokapat Rando</v>
      </c>
      <c r="BO381" s="25"/>
      <c r="BP381" s="7"/>
      <c r="BQ381" s="7"/>
      <c r="BR381" s="7"/>
      <c r="BS381" s="7"/>
      <c r="BT381" s="7"/>
      <c r="BU381" s="7"/>
      <c r="BV381" s="7"/>
      <c r="BW381" s="7"/>
      <c r="BX381" s="7"/>
      <c r="BY381" s="7"/>
      <c r="BZ381" s="7"/>
      <c r="CA381" s="7"/>
      <c r="CB381" s="7"/>
    </row>
    <row r="382" ht="21.75" customHeight="1">
      <c r="A382" s="7">
        <v>3894.0</v>
      </c>
      <c r="B382" s="7">
        <v>381.0</v>
      </c>
      <c r="C382" s="7" t="s">
        <v>5081</v>
      </c>
      <c r="D382" s="7"/>
      <c r="E382" s="7"/>
      <c r="F382" s="7" t="s">
        <v>404</v>
      </c>
      <c r="G382" s="7" t="s">
        <v>343</v>
      </c>
      <c r="H382" s="7" t="s">
        <v>344</v>
      </c>
      <c r="I382" s="7" t="s">
        <v>5082</v>
      </c>
      <c r="J382" s="7"/>
      <c r="K382" s="7" t="s">
        <v>58</v>
      </c>
      <c r="L382" s="7" t="s">
        <v>59</v>
      </c>
      <c r="M382" s="7" t="s">
        <v>374</v>
      </c>
      <c r="N382" s="7" t="s">
        <v>455</v>
      </c>
      <c r="O382" s="7">
        <v>97430.0</v>
      </c>
      <c r="P382" s="7" t="s">
        <v>344</v>
      </c>
      <c r="Q382" s="7"/>
      <c r="R382" s="7"/>
      <c r="S382" s="7"/>
      <c r="T382" s="7"/>
      <c r="U382" s="7"/>
      <c r="V382" s="7">
        <v>2.6238804E8</v>
      </c>
      <c r="W382" s="7">
        <v>6.92777177E8</v>
      </c>
      <c r="X382" s="7"/>
      <c r="Y382" s="7"/>
      <c r="Z382" s="7" t="s">
        <v>5083</v>
      </c>
      <c r="AA382" s="7">
        <v>6.0</v>
      </c>
      <c r="AB382" s="7"/>
      <c r="AC382" s="7" t="s">
        <v>5084</v>
      </c>
      <c r="AD382" s="7" t="s">
        <v>5085</v>
      </c>
      <c r="AE382" s="7"/>
      <c r="AF382" s="7"/>
      <c r="AG382" s="7"/>
      <c r="AH382" s="20">
        <v>42170.0</v>
      </c>
      <c r="AI382" s="7"/>
      <c r="AJ382" s="7" t="s">
        <v>5086</v>
      </c>
      <c r="AK382" s="7"/>
      <c r="AL382" s="7" t="s">
        <v>5087</v>
      </c>
      <c r="AM382" s="7" t="s">
        <v>5088</v>
      </c>
      <c r="AN382" s="20">
        <v>42170.0</v>
      </c>
      <c r="AO382" s="7">
        <v>97430.0</v>
      </c>
      <c r="AP382" s="7" t="s">
        <v>494</v>
      </c>
      <c r="AQ382" s="7"/>
      <c r="AR382" s="7"/>
      <c r="AS382" s="7"/>
      <c r="AT382" s="7"/>
      <c r="AU382" s="7">
        <v>2.0</v>
      </c>
      <c r="AV382" s="7" t="s">
        <v>5089</v>
      </c>
      <c r="AW382" s="7"/>
      <c r="AX382" s="7"/>
      <c r="AY382" s="7"/>
      <c r="AZ382" s="7"/>
      <c r="BA382" s="7"/>
      <c r="BB382" s="7"/>
      <c r="BC382" s="7" t="s">
        <v>366</v>
      </c>
      <c r="BD382" s="21">
        <v>44197.0</v>
      </c>
      <c r="BE382" s="7"/>
      <c r="BF382" s="7"/>
      <c r="BG382" s="22">
        <v>44197.0</v>
      </c>
      <c r="BH382" s="7"/>
      <c r="BI382" s="7" t="s">
        <v>5090</v>
      </c>
      <c r="BJ382" s="7"/>
      <c r="BK382" s="7" t="b">
        <v>0</v>
      </c>
      <c r="BL382" s="7" t="b">
        <v>0</v>
      </c>
      <c r="BM382" s="7"/>
      <c r="BN382" s="7" t="str">
        <f>IFERROR(__xludf.DUMMYFUNCTION(" IF( REGEXMATCH(C382 , ""[(].+[)]""),REGEXREPLACE( CONCATENATE(REGEXEXTRACT(C382 , ""[(].+[)]""),IF(REGEXMATCH(C382 , ""[(][Ll]['’][)]""),"""","" ""), REGEXEXTRACT(C382 ,""^(?:(?:[A-Za-zàäéèêîïöôûü0-9 ](?:[A-Za-zàäéèêîïöôûü'0-9 ]+)))"")) , ""[()]"", """")"&amp;",C382 )"),"Komboutcha")</f>
        <v>Komboutcha</v>
      </c>
      <c r="BO382" s="23"/>
      <c r="BP382" s="7"/>
      <c r="BQ382" s="7"/>
      <c r="BR382" s="7"/>
      <c r="BS382" s="7"/>
      <c r="BT382" s="7"/>
      <c r="BU382" s="7"/>
      <c r="BV382" s="7"/>
      <c r="BW382" s="7"/>
      <c r="BX382" s="7"/>
      <c r="BY382" s="7"/>
      <c r="BZ382" s="7"/>
      <c r="CA382" s="7"/>
      <c r="CB382" s="7"/>
    </row>
    <row r="383" ht="21.75" customHeight="1">
      <c r="A383" s="7">
        <v>4926.0</v>
      </c>
      <c r="B383" s="7" t="s">
        <v>5091</v>
      </c>
      <c r="C383" s="7" t="s">
        <v>5092</v>
      </c>
      <c r="D383" s="7"/>
      <c r="E383" s="7"/>
      <c r="F383" s="7" t="s">
        <v>342</v>
      </c>
      <c r="G383" s="7" t="s">
        <v>343</v>
      </c>
      <c r="H383" s="7" t="s">
        <v>344</v>
      </c>
      <c r="I383" s="7" t="s">
        <v>5093</v>
      </c>
      <c r="J383" s="7"/>
      <c r="K383" s="7" t="s">
        <v>34</v>
      </c>
      <c r="L383" s="7" t="s">
        <v>678</v>
      </c>
      <c r="M383" s="7" t="s">
        <v>5094</v>
      </c>
      <c r="N383" s="7" t="s">
        <v>664</v>
      </c>
      <c r="O383" s="7">
        <v>97430.0</v>
      </c>
      <c r="P383" s="7" t="s">
        <v>344</v>
      </c>
      <c r="Q383" s="7"/>
      <c r="R383" s="7" t="s">
        <v>4150</v>
      </c>
      <c r="S383" s="7" t="s">
        <v>5095</v>
      </c>
      <c r="T383" s="7" t="s">
        <v>5096</v>
      </c>
      <c r="U383" s="7" t="s">
        <v>424</v>
      </c>
      <c r="V383" s="7">
        <v>2.6287072E8</v>
      </c>
      <c r="W383" s="7"/>
      <c r="X383" s="7"/>
      <c r="Y383" s="7"/>
      <c r="Z383" s="7" t="s">
        <v>5097</v>
      </c>
      <c r="AA383" s="7">
        <v>50.0</v>
      </c>
      <c r="AB383" s="7"/>
      <c r="AC383" s="7" t="s">
        <v>5098</v>
      </c>
      <c r="AD383" s="7" t="s">
        <v>5099</v>
      </c>
      <c r="AE383" s="7" t="s">
        <v>5100</v>
      </c>
      <c r="AF383" s="7"/>
      <c r="AG383" s="7"/>
      <c r="AH383" s="20">
        <v>43607.0</v>
      </c>
      <c r="AI383" s="7"/>
      <c r="AJ383" s="7" t="s">
        <v>5101</v>
      </c>
      <c r="AK383" s="7">
        <v>8.3788800700023E13</v>
      </c>
      <c r="AL383" s="7" t="s">
        <v>5102</v>
      </c>
      <c r="AM383" s="7" t="s">
        <v>5103</v>
      </c>
      <c r="AN383" s="20">
        <v>43607.0</v>
      </c>
      <c r="AO383" s="7">
        <v>97430.0</v>
      </c>
      <c r="AP383" s="7" t="s">
        <v>494</v>
      </c>
      <c r="AQ383" s="7"/>
      <c r="AR383" s="7"/>
      <c r="AS383" s="7"/>
      <c r="AT383" s="7"/>
      <c r="AU383" s="7">
        <v>0.0</v>
      </c>
      <c r="AV383" s="7" t="s">
        <v>5104</v>
      </c>
      <c r="AW383" s="7"/>
      <c r="AX383" s="7"/>
      <c r="AY383" s="7"/>
      <c r="AZ383" s="7"/>
      <c r="BA383" s="7"/>
      <c r="BB383" s="7"/>
      <c r="BC383" s="7" t="s">
        <v>401</v>
      </c>
      <c r="BD383" s="21">
        <v>44207.0</v>
      </c>
      <c r="BE383" s="7" t="s">
        <v>449</v>
      </c>
      <c r="BF383" s="7"/>
      <c r="BG383" s="7"/>
      <c r="BH383" s="7">
        <v>8.37888007E8</v>
      </c>
      <c r="BI383" s="7" t="s">
        <v>2708</v>
      </c>
      <c r="BJ383" s="7"/>
      <c r="BK383" s="7" t="b">
        <v>0</v>
      </c>
      <c r="BL383" s="7" t="b">
        <v>0</v>
      </c>
      <c r="BM383" s="7"/>
      <c r="BN383" s="7" t="str">
        <f>IFERROR(__xludf.DUMMYFUNCTION(" IF( REGEXMATCH(C383 , ""[(].+[)]""),REGEXREPLACE( CONCATENATE(REGEXEXTRACT(C383 , ""[(].+[)]""),IF(REGEXMATCH(C383 , ""[(][Ll]['’][)]""),"""","" ""), REGEXEXTRACT(C383 ,""^(?:(?:[A-Za-zàäéèêîïöôûü0-9 ](?:[A-Za-zàäéèêîïöôûü'0-9 ]+)))"")) , ""[()]"", """")"&amp;",C383 )"),"Les Korrigans ")</f>
        <v>Les Korrigans </v>
      </c>
      <c r="BO383" s="25"/>
      <c r="BP383" s="7"/>
      <c r="BQ383" s="7"/>
      <c r="BR383" s="7"/>
      <c r="BS383" s="7"/>
      <c r="BT383" s="7"/>
      <c r="BU383" s="7"/>
      <c r="BV383" s="7"/>
      <c r="BW383" s="7"/>
      <c r="BX383" s="7"/>
      <c r="BY383" s="7"/>
      <c r="BZ383" s="7"/>
      <c r="CA383" s="7"/>
      <c r="CB383" s="7"/>
    </row>
    <row r="384" ht="21.75" customHeight="1">
      <c r="A384" s="7">
        <v>318.0</v>
      </c>
      <c r="B384" s="7" t="s">
        <v>276</v>
      </c>
      <c r="C384" s="7" t="s">
        <v>5105</v>
      </c>
      <c r="D384" s="7" t="s">
        <v>5106</v>
      </c>
      <c r="E384" s="7"/>
      <c r="F384" s="7" t="s">
        <v>342</v>
      </c>
      <c r="G384" s="7" t="s">
        <v>343</v>
      </c>
      <c r="H384" s="7" t="s">
        <v>40</v>
      </c>
      <c r="I384" s="7" t="s">
        <v>5107</v>
      </c>
      <c r="J384" s="26" t="s">
        <v>5108</v>
      </c>
      <c r="K384" s="6" t="s">
        <v>469</v>
      </c>
      <c r="L384" s="7" t="s">
        <v>470</v>
      </c>
      <c r="M384" s="7" t="s">
        <v>5109</v>
      </c>
      <c r="N384" s="7" t="s">
        <v>407</v>
      </c>
      <c r="O384" s="7">
        <v>97414.0</v>
      </c>
      <c r="P384" s="7" t="s">
        <v>40</v>
      </c>
      <c r="Q384" s="7"/>
      <c r="R384" s="7"/>
      <c r="S384" s="7" t="s">
        <v>1052</v>
      </c>
      <c r="T384" s="7" t="s">
        <v>392</v>
      </c>
      <c r="U384" s="7" t="s">
        <v>592</v>
      </c>
      <c r="V384" s="7">
        <v>2.62395087E8</v>
      </c>
      <c r="W384" s="7">
        <v>6.92865226E8</v>
      </c>
      <c r="X384" s="7"/>
      <c r="Y384" s="7"/>
      <c r="Z384" s="7" t="s">
        <v>5110</v>
      </c>
      <c r="AA384" s="7">
        <v>30.0</v>
      </c>
      <c r="AB384" s="7"/>
      <c r="AC384" s="7" t="s">
        <v>5111</v>
      </c>
      <c r="AD384" s="7" t="s">
        <v>5112</v>
      </c>
      <c r="AE384" s="7"/>
      <c r="AF384" s="7" t="s">
        <v>613</v>
      </c>
      <c r="AG384" s="7" t="s">
        <v>597</v>
      </c>
      <c r="AH384" s="20">
        <v>39629.0</v>
      </c>
      <c r="AI384" s="7"/>
      <c r="AJ384" s="7" t="s">
        <v>5113</v>
      </c>
      <c r="AK384" s="7">
        <v>3.9959384700029E13</v>
      </c>
      <c r="AL384" s="7" t="s">
        <v>5114</v>
      </c>
      <c r="AM384" s="7" t="s">
        <v>5115</v>
      </c>
      <c r="AN384" s="20">
        <v>39629.0</v>
      </c>
      <c r="AO384" s="7">
        <v>97414.0</v>
      </c>
      <c r="AP384" s="7" t="s">
        <v>429</v>
      </c>
      <c r="AQ384" s="7"/>
      <c r="AR384" s="7"/>
      <c r="AS384" s="7"/>
      <c r="AT384" s="7"/>
      <c r="AU384" s="7">
        <v>0.0</v>
      </c>
      <c r="AV384" s="7" t="s">
        <v>5116</v>
      </c>
      <c r="AW384" s="7" t="s">
        <v>5117</v>
      </c>
      <c r="AX384" s="7"/>
      <c r="AY384" s="7"/>
      <c r="AZ384" s="7"/>
      <c r="BA384" s="7"/>
      <c r="BB384" s="7"/>
      <c r="BC384" s="7" t="s">
        <v>401</v>
      </c>
      <c r="BD384" s="21">
        <v>44053.52291666667</v>
      </c>
      <c r="BE384" s="7" t="s">
        <v>449</v>
      </c>
      <c r="BF384" s="7"/>
      <c r="BG384" s="7"/>
      <c r="BH384" s="7">
        <v>3.99593847E8</v>
      </c>
      <c r="BI384" s="7" t="s">
        <v>5118</v>
      </c>
      <c r="BJ384" s="7"/>
      <c r="BK384" s="7" t="b">
        <v>0</v>
      </c>
      <c r="BL384" s="7" t="b">
        <v>0</v>
      </c>
      <c r="BM384" s="7"/>
      <c r="BN384" s="7" t="str">
        <f>IFERROR(__xludf.DUMMYFUNCTION(" IF( REGEXMATCH(C384 , ""[(].+[)]""),REGEXREPLACE( CONCATENATE(REGEXEXTRACT(C384 , ""[(].+[)]""),IF(REGEXMATCH(C384 , ""[(][Ll]['’][)]""),"""","" ""), REGEXEXTRACT(C384 ,""^(?:(?:[A-Za-zàäéèêîïöôûü0-9 ](?:[A-Za-zàäéèêîïöôûü'0-9 ]+)))"")) , ""[()]"", """")"&amp;",C384 )"),"Kréolie 4x4")</f>
        <v>Kréolie 4x4</v>
      </c>
      <c r="BO384" s="25"/>
      <c r="BP384" s="7"/>
      <c r="BQ384" s="7"/>
      <c r="BR384" s="7"/>
      <c r="BS384" s="7"/>
      <c r="BT384" s="7"/>
      <c r="BU384" s="7"/>
      <c r="BV384" s="7"/>
      <c r="BW384" s="7"/>
      <c r="BX384" s="7"/>
      <c r="BY384" s="7"/>
      <c r="BZ384" s="7"/>
      <c r="CA384" s="7"/>
      <c r="CB384" s="7"/>
    </row>
    <row r="385" ht="21.75" customHeight="1">
      <c r="A385" s="7">
        <v>2988.0</v>
      </c>
      <c r="B385" s="7" t="s">
        <v>5119</v>
      </c>
      <c r="C385" s="7" t="s">
        <v>5120</v>
      </c>
      <c r="D385" s="7"/>
      <c r="E385" s="7"/>
      <c r="F385" s="7" t="s">
        <v>342</v>
      </c>
      <c r="G385" s="7" t="s">
        <v>343</v>
      </c>
      <c r="H385" s="7" t="s">
        <v>33</v>
      </c>
      <c r="I385" s="7" t="s">
        <v>5121</v>
      </c>
      <c r="J385" s="7"/>
      <c r="K385" s="6" t="s">
        <v>469</v>
      </c>
      <c r="L385" s="7" t="s">
        <v>197</v>
      </c>
      <c r="M385" s="7" t="s">
        <v>1696</v>
      </c>
      <c r="N385" s="7"/>
      <c r="O385" s="7">
        <v>97442.0</v>
      </c>
      <c r="P385" s="7" t="s">
        <v>33</v>
      </c>
      <c r="Q385" s="7"/>
      <c r="R385" s="7"/>
      <c r="S385" s="7"/>
      <c r="T385" s="7" t="s">
        <v>377</v>
      </c>
      <c r="U385" s="7" t="s">
        <v>353</v>
      </c>
      <c r="V385" s="7"/>
      <c r="W385" s="7">
        <v>6.9244822E8</v>
      </c>
      <c r="X385" s="7"/>
      <c r="Y385" s="7"/>
      <c r="Z385" s="7"/>
      <c r="AA385" s="7"/>
      <c r="AB385" s="7"/>
      <c r="AC385" s="7"/>
      <c r="AD385" s="7" t="s">
        <v>5122</v>
      </c>
      <c r="AE385" s="7" t="s">
        <v>5123</v>
      </c>
      <c r="AF385" s="7"/>
      <c r="AG385" s="7"/>
      <c r="AH385" s="20">
        <v>43739.0</v>
      </c>
      <c r="AI385" s="7"/>
      <c r="AJ385" s="7" t="s">
        <v>5124</v>
      </c>
      <c r="AK385" s="7"/>
      <c r="AL385" s="7" t="s">
        <v>5125</v>
      </c>
      <c r="AM385" s="7" t="s">
        <v>5126</v>
      </c>
      <c r="AN385" s="20">
        <v>43739.0</v>
      </c>
      <c r="AO385" s="7">
        <v>97442.0</v>
      </c>
      <c r="AP385" s="7" t="s">
        <v>884</v>
      </c>
      <c r="AQ385" s="7"/>
      <c r="AR385" s="7"/>
      <c r="AS385" s="7"/>
      <c r="AT385" s="7"/>
      <c r="AU385" s="7">
        <v>0.0</v>
      </c>
      <c r="AV385" s="7" t="s">
        <v>980</v>
      </c>
      <c r="AW385" s="7"/>
      <c r="AX385" s="7"/>
      <c r="AY385" s="7"/>
      <c r="AZ385" s="7"/>
      <c r="BA385" s="7"/>
      <c r="BB385" s="7"/>
      <c r="BC385" s="7" t="s">
        <v>401</v>
      </c>
      <c r="BD385" s="7"/>
      <c r="BE385" s="7" t="s">
        <v>5127</v>
      </c>
      <c r="BF385" s="7"/>
      <c r="BG385" s="7"/>
      <c r="BH385" s="7"/>
      <c r="BI385" s="7" t="s">
        <v>5128</v>
      </c>
      <c r="BJ385" s="7"/>
      <c r="BK385" s="7" t="b">
        <v>0</v>
      </c>
      <c r="BL385" s="7" t="b">
        <v>0</v>
      </c>
      <c r="BM385" s="7"/>
      <c r="BN385" s="7" t="str">
        <f>IFERROR(__xludf.DUMMYFUNCTION(" IF( REGEXMATCH(C385 , ""[(].+[)]""),REGEXREPLACE( CONCATENATE(REGEXEXTRACT(C385 , ""[(].+[)]""),IF(REGEXMATCH(C385 , ""[(][Ll]['’][)]""),"""","" ""), REGEXEXTRACT(C385 ,""^(?:(?:[A-Za-zàäéèêîïöôûü0-9 ](?:[A-Za-zàäéèêîïöôûü'0-9 ]+)))"")) , ""[()]"", """")"&amp;",C385 )"),"Kreolivan")</f>
        <v>Kreolivan</v>
      </c>
      <c r="BO385" s="25"/>
      <c r="BP385" s="7"/>
      <c r="BQ385" s="7"/>
      <c r="BR385" s="7"/>
      <c r="BS385" s="7"/>
      <c r="BT385" s="7"/>
      <c r="BU385" s="7"/>
      <c r="BV385" s="7"/>
      <c r="BW385" s="7"/>
      <c r="BX385" s="7"/>
      <c r="BY385" s="7"/>
      <c r="BZ385" s="7"/>
      <c r="CA385" s="7"/>
      <c r="CB385" s="7"/>
    </row>
    <row r="386" ht="21.75" customHeight="1">
      <c r="A386" s="7">
        <v>4146.0</v>
      </c>
      <c r="B386" s="7" t="s">
        <v>5129</v>
      </c>
      <c r="C386" s="7" t="s">
        <v>5130</v>
      </c>
      <c r="D386" s="7"/>
      <c r="E386" s="7"/>
      <c r="F386" s="7" t="s">
        <v>342</v>
      </c>
      <c r="G386" s="7" t="s">
        <v>343</v>
      </c>
      <c r="H386" s="7" t="s">
        <v>344</v>
      </c>
      <c r="I386" s="7" t="s">
        <v>5131</v>
      </c>
      <c r="J386" s="7"/>
      <c r="K386" s="7" t="s">
        <v>34</v>
      </c>
      <c r="L386" s="7" t="s">
        <v>622</v>
      </c>
      <c r="M386" s="7" t="s">
        <v>622</v>
      </c>
      <c r="N386" s="7" t="s">
        <v>1092</v>
      </c>
      <c r="O386" s="7">
        <v>97418.0</v>
      </c>
      <c r="P386" s="7" t="s">
        <v>348</v>
      </c>
      <c r="Q386" s="7" t="s">
        <v>570</v>
      </c>
      <c r="R386" s="7"/>
      <c r="S386" s="7" t="s">
        <v>1725</v>
      </c>
      <c r="T386" s="7" t="s">
        <v>1612</v>
      </c>
      <c r="U386" s="7" t="s">
        <v>592</v>
      </c>
      <c r="V386" s="7">
        <v>2.62574059E8</v>
      </c>
      <c r="W386" s="7">
        <v>6.93603776E8</v>
      </c>
      <c r="X386" s="7"/>
      <c r="Y386" s="7"/>
      <c r="Z386" s="7" t="s">
        <v>5132</v>
      </c>
      <c r="AA386" s="7">
        <v>60.0</v>
      </c>
      <c r="AB386" s="7"/>
      <c r="AC386" s="7" t="s">
        <v>5133</v>
      </c>
      <c r="AD386" s="7" t="s">
        <v>5134</v>
      </c>
      <c r="AE386" s="7"/>
      <c r="AF386" s="7"/>
      <c r="AG386" s="7"/>
      <c r="AH386" s="20">
        <v>42521.0</v>
      </c>
      <c r="AI386" s="7"/>
      <c r="AJ386" s="7" t="s">
        <v>5135</v>
      </c>
      <c r="AK386" s="7">
        <v>8.1859571200014E13</v>
      </c>
      <c r="AL386" s="7" t="s">
        <v>5136</v>
      </c>
      <c r="AM386" s="7" t="s">
        <v>5137</v>
      </c>
      <c r="AN386" s="20">
        <v>42521.0</v>
      </c>
      <c r="AO386" s="7">
        <v>97418.0</v>
      </c>
      <c r="AP386" s="7" t="s">
        <v>362</v>
      </c>
      <c r="AQ386" s="7"/>
      <c r="AR386" s="7"/>
      <c r="AS386" s="7"/>
      <c r="AT386" s="7"/>
      <c r="AU386" s="7">
        <v>0.0</v>
      </c>
      <c r="AV386" s="7" t="s">
        <v>5138</v>
      </c>
      <c r="AW386" s="7"/>
      <c r="AX386" s="7"/>
      <c r="AY386" s="7"/>
      <c r="AZ386" s="7"/>
      <c r="BA386" s="7"/>
      <c r="BB386" s="7"/>
      <c r="BC386" s="7" t="s">
        <v>401</v>
      </c>
      <c r="BD386" s="21">
        <v>44068.197222222225</v>
      </c>
      <c r="BE386" s="7" t="s">
        <v>449</v>
      </c>
      <c r="BF386" s="7"/>
      <c r="BG386" s="7"/>
      <c r="BH386" s="7">
        <v>8.18595712E8</v>
      </c>
      <c r="BI386" s="7" t="s">
        <v>2413</v>
      </c>
      <c r="BJ386" s="7"/>
      <c r="BK386" s="7" t="b">
        <v>0</v>
      </c>
      <c r="BL386" s="7" t="b">
        <v>0</v>
      </c>
      <c r="BM386" s="7"/>
      <c r="BN386" s="7" t="str">
        <f>IFERROR(__xludf.DUMMYFUNCTION(" IF( REGEXMATCH(C386 , ""[(].+[)]""),REGEXREPLACE( CONCATENATE(REGEXEXTRACT(C386 , ""[(].+[)]""),IF(REGEXMATCH(C386 , ""[(][Ll]['’][)]""),"""","" ""), REGEXEXTRACT(C386 ,""^(?:(?:[A-Za-zàäéèêîïöôûü0-9 ](?:[A-Za-zàäéèêîïöôûü'0-9 ]+)))"")) , ""[()]"", """")"&amp;",C386 )"),"La Kaz ")</f>
        <v>La Kaz </v>
      </c>
      <c r="BO386" s="25"/>
      <c r="BP386" s="7"/>
      <c r="BQ386" s="7"/>
      <c r="BR386" s="7"/>
      <c r="BS386" s="7"/>
      <c r="BT386" s="7"/>
      <c r="BU386" s="7"/>
      <c r="BV386" s="7"/>
      <c r="BW386" s="7"/>
      <c r="BX386" s="7"/>
      <c r="BY386" s="7"/>
      <c r="BZ386" s="7"/>
      <c r="CA386" s="7"/>
      <c r="CB386" s="7"/>
    </row>
    <row r="387" ht="21.75" customHeight="1">
      <c r="A387" s="7">
        <v>3919.0</v>
      </c>
      <c r="B387" s="7" t="s">
        <v>5139</v>
      </c>
      <c r="C387" s="7" t="s">
        <v>5140</v>
      </c>
      <c r="D387" s="7"/>
      <c r="E387" s="7"/>
      <c r="F387" s="7" t="s">
        <v>342</v>
      </c>
      <c r="G387" s="7" t="s">
        <v>343</v>
      </c>
      <c r="H387" s="7" t="s">
        <v>123</v>
      </c>
      <c r="I387" s="7" t="s">
        <v>5141</v>
      </c>
      <c r="J387" s="7"/>
      <c r="K387" s="7" t="s">
        <v>34</v>
      </c>
      <c r="L387" s="7" t="s">
        <v>485</v>
      </c>
      <c r="M387" s="7" t="s">
        <v>486</v>
      </c>
      <c r="N387" s="7" t="s">
        <v>455</v>
      </c>
      <c r="O387" s="7">
        <v>97480.0</v>
      </c>
      <c r="P387" s="7" t="s">
        <v>123</v>
      </c>
      <c r="Q387" s="7"/>
      <c r="R387" s="7" t="s">
        <v>1026</v>
      </c>
      <c r="S387" s="7" t="s">
        <v>5142</v>
      </c>
      <c r="T387" s="7" t="s">
        <v>377</v>
      </c>
      <c r="U387" s="7" t="s">
        <v>353</v>
      </c>
      <c r="V387" s="7"/>
      <c r="W387" s="7">
        <v>6.92617347E8</v>
      </c>
      <c r="X387" s="7"/>
      <c r="Y387" s="7"/>
      <c r="Z387" s="7" t="s">
        <v>5143</v>
      </c>
      <c r="AA387" s="7">
        <v>25.0</v>
      </c>
      <c r="AB387" s="7"/>
      <c r="AC387" s="7" t="s">
        <v>5144</v>
      </c>
      <c r="AD387" s="7" t="s">
        <v>5145</v>
      </c>
      <c r="AE387" s="7" t="s">
        <v>5146</v>
      </c>
      <c r="AF387" s="7"/>
      <c r="AG387" s="7"/>
      <c r="AH387" s="20">
        <v>42184.0</v>
      </c>
      <c r="AI387" s="7"/>
      <c r="AJ387" s="7" t="s">
        <v>5147</v>
      </c>
      <c r="AK387" s="7"/>
      <c r="AL387" s="7" t="s">
        <v>5148</v>
      </c>
      <c r="AM387" s="7" t="s">
        <v>5149</v>
      </c>
      <c r="AN387" s="20">
        <v>39575.0</v>
      </c>
      <c r="AO387" s="7">
        <v>97480.0</v>
      </c>
      <c r="AP387" s="7" t="s">
        <v>385</v>
      </c>
      <c r="AQ387" s="7"/>
      <c r="AR387" s="7"/>
      <c r="AS387" s="7"/>
      <c r="AT387" s="7"/>
      <c r="AU387" s="7">
        <v>0.0</v>
      </c>
      <c r="AV387" s="7" t="s">
        <v>5150</v>
      </c>
      <c r="AW387" s="7"/>
      <c r="AX387" s="7"/>
      <c r="AY387" s="7"/>
      <c r="AZ387" s="7"/>
      <c r="BA387" s="7"/>
      <c r="BB387" s="7"/>
      <c r="BC387" s="7" t="s">
        <v>401</v>
      </c>
      <c r="BD387" s="21">
        <v>44228.0</v>
      </c>
      <c r="BE387" s="7" t="s">
        <v>5151</v>
      </c>
      <c r="BF387" s="7"/>
      <c r="BG387" s="7"/>
      <c r="BH387" s="7"/>
      <c r="BI387" s="7" t="s">
        <v>5152</v>
      </c>
      <c r="BJ387" s="7"/>
      <c r="BK387" s="7" t="b">
        <v>0</v>
      </c>
      <c r="BL387" s="7" t="b">
        <v>0</v>
      </c>
      <c r="BM387" s="7"/>
      <c r="BN387" s="7" t="str">
        <f>IFERROR(__xludf.DUMMYFUNCTION(" IF( REGEXMATCH(C387 , ""[(].+[)]""),REGEXREPLACE( CONCATENATE(REGEXEXTRACT(C387 , ""[(].+[)]""),IF(REGEXMATCH(C387 , ""[(][Ll]['’][)]""),"""","" ""), REGEXEXTRACT(C387 ,""^(?:(?:[A-Za-zàäéèêîïöôûü0-9 ](?:[A-Za-zàäéèêîïöôûü'0-9 ]+)))"")) , ""[()]"", """")"&amp;",C387 )"),"La Table des Randonneurs ")</f>
        <v>La Table des Randonneurs </v>
      </c>
      <c r="BO387" s="25"/>
      <c r="BP387" s="7"/>
      <c r="BQ387" s="7"/>
      <c r="BR387" s="7"/>
      <c r="BS387" s="7"/>
      <c r="BT387" s="7"/>
      <c r="BU387" s="7"/>
      <c r="BV387" s="7"/>
      <c r="BW387" s="7"/>
      <c r="BX387" s="7"/>
      <c r="BY387" s="7"/>
      <c r="BZ387" s="7"/>
      <c r="CA387" s="7"/>
      <c r="CB387" s="7"/>
    </row>
    <row r="388" ht="21.75" customHeight="1">
      <c r="A388" s="7">
        <v>1790.0</v>
      </c>
      <c r="B388" s="7" t="s">
        <v>255</v>
      </c>
      <c r="C388" s="7" t="s">
        <v>5153</v>
      </c>
      <c r="D388" s="7" t="s">
        <v>5154</v>
      </c>
      <c r="E388" s="7"/>
      <c r="F388" s="7" t="s">
        <v>342</v>
      </c>
      <c r="G388" s="7" t="s">
        <v>343</v>
      </c>
      <c r="H388" s="7" t="s">
        <v>123</v>
      </c>
      <c r="I388" s="7" t="s">
        <v>5155</v>
      </c>
      <c r="J388" s="26" t="s">
        <v>5156</v>
      </c>
      <c r="K388" s="7" t="s">
        <v>822</v>
      </c>
      <c r="L388" s="7" t="s">
        <v>2840</v>
      </c>
      <c r="M388" s="7" t="s">
        <v>2852</v>
      </c>
      <c r="N388" s="7" t="s">
        <v>407</v>
      </c>
      <c r="O388" s="7">
        <v>97480.0</v>
      </c>
      <c r="P388" s="7" t="s">
        <v>123</v>
      </c>
      <c r="Q388" s="7" t="s">
        <v>2879</v>
      </c>
      <c r="R388" s="7"/>
      <c r="S388" s="7" t="s">
        <v>865</v>
      </c>
      <c r="T388" s="7" t="s">
        <v>648</v>
      </c>
      <c r="U388" s="7" t="s">
        <v>592</v>
      </c>
      <c r="V388" s="7">
        <v>2.6256414E8</v>
      </c>
      <c r="W388" s="7">
        <v>6.92601888E8</v>
      </c>
      <c r="X388" s="7"/>
      <c r="Y388" s="7">
        <v>2.6256414E8</v>
      </c>
      <c r="Z388" s="7" t="s">
        <v>5157</v>
      </c>
      <c r="AA388" s="7"/>
      <c r="AB388" s="7"/>
      <c r="AC388" s="7" t="s">
        <v>5158</v>
      </c>
      <c r="AD388" s="7" t="s">
        <v>5159</v>
      </c>
      <c r="AE388" s="7" t="s">
        <v>5160</v>
      </c>
      <c r="AF388" s="7" t="s">
        <v>613</v>
      </c>
      <c r="AG388" s="7" t="s">
        <v>3939</v>
      </c>
      <c r="AH388" s="20">
        <v>39966.0</v>
      </c>
      <c r="AI388" s="7"/>
      <c r="AJ388" s="7" t="s">
        <v>5161</v>
      </c>
      <c r="AK388" s="7">
        <v>4.8303651300024E13</v>
      </c>
      <c r="AL388" s="7" t="s">
        <v>5162</v>
      </c>
      <c r="AM388" s="7" t="s">
        <v>5163</v>
      </c>
      <c r="AN388" s="20">
        <v>39966.0</v>
      </c>
      <c r="AO388" s="7">
        <v>97480.0</v>
      </c>
      <c r="AP388" s="7" t="s">
        <v>385</v>
      </c>
      <c r="AQ388" s="7"/>
      <c r="AR388" s="7"/>
      <c r="AS388" s="7"/>
      <c r="AT388" s="7"/>
      <c r="AU388" s="7">
        <v>0.0</v>
      </c>
      <c r="AV388" s="7" t="s">
        <v>5164</v>
      </c>
      <c r="AW388" s="7" t="s">
        <v>5165</v>
      </c>
      <c r="AX388" s="7"/>
      <c r="AY388" s="7"/>
      <c r="AZ388" s="7"/>
      <c r="BA388" s="7"/>
      <c r="BB388" s="7"/>
      <c r="BC388" s="7" t="s">
        <v>401</v>
      </c>
      <c r="BD388" s="21">
        <v>43861.0</v>
      </c>
      <c r="BE388" s="7" t="s">
        <v>5166</v>
      </c>
      <c r="BF388" s="7"/>
      <c r="BG388" s="7"/>
      <c r="BH388" s="7">
        <v>4.83036513E8</v>
      </c>
      <c r="BI388" s="7" t="s">
        <v>4811</v>
      </c>
      <c r="BJ388" s="7"/>
      <c r="BK388" s="7" t="b">
        <v>0</v>
      </c>
      <c r="BL388" s="7" t="b">
        <v>0</v>
      </c>
      <c r="BM388" s="7"/>
      <c r="BN388" s="7" t="str">
        <f>IFERROR(__xludf.DUMMYFUNCTION(" IF( REGEXMATCH(C388 , ""[(].+[)]""),REGEXREPLACE( CONCATENATE(REGEXEXTRACT(C388 , ""[(].+[)]""),IF(REGEXMATCH(C388 , ""[(][Ll]['’][)]""),"""","" ""), REGEXEXTRACT(C388 ,""^(?:(?:[A-Za-zàäéèêîïöôûü0-9 ](?:[A-Za-zàäéèêîïöôûü'0-9 ]+)))"")) , ""[()]"", """")"&amp;",C388 )"),"Le Labyrinthe en Champ Thé ")</f>
        <v>Le Labyrinthe en Champ Thé </v>
      </c>
      <c r="BO388" s="25"/>
      <c r="BP388" s="7"/>
      <c r="BQ388" s="7"/>
      <c r="BR388" s="7"/>
      <c r="BS388" s="7"/>
      <c r="BT388" s="7"/>
      <c r="BU388" s="7"/>
      <c r="BV388" s="7"/>
      <c r="BW388" s="7"/>
      <c r="BX388" s="7"/>
      <c r="BY388" s="7"/>
      <c r="BZ388" s="7"/>
      <c r="CA388" s="7"/>
      <c r="CB388" s="7"/>
    </row>
    <row r="389" ht="21.75" customHeight="1">
      <c r="A389" s="7">
        <v>51.0</v>
      </c>
      <c r="B389" s="7">
        <v>388.0</v>
      </c>
      <c r="C389" s="7" t="s">
        <v>5167</v>
      </c>
      <c r="D389" s="7" t="s">
        <v>5167</v>
      </c>
      <c r="E389" s="7"/>
      <c r="F389" s="7" t="s">
        <v>404</v>
      </c>
      <c r="G389" s="7" t="s">
        <v>343</v>
      </c>
      <c r="H389" s="7" t="s">
        <v>344</v>
      </c>
      <c r="I389" s="7" t="s">
        <v>5168</v>
      </c>
      <c r="J389" s="7"/>
      <c r="K389" s="7" t="s">
        <v>58</v>
      </c>
      <c r="L389" s="7" t="s">
        <v>59</v>
      </c>
      <c r="M389" s="7" t="s">
        <v>2013</v>
      </c>
      <c r="N389" s="7" t="s">
        <v>407</v>
      </c>
      <c r="O389" s="7">
        <v>97418.0</v>
      </c>
      <c r="P389" s="7" t="s">
        <v>348</v>
      </c>
      <c r="Q389" s="7" t="s">
        <v>349</v>
      </c>
      <c r="R389" s="7" t="s">
        <v>5169</v>
      </c>
      <c r="S389" s="7" t="s">
        <v>5170</v>
      </c>
      <c r="T389" s="7" t="s">
        <v>377</v>
      </c>
      <c r="U389" s="7" t="s">
        <v>353</v>
      </c>
      <c r="V389" s="7">
        <v>2.62590491E8</v>
      </c>
      <c r="W389" s="7">
        <v>6.92045665E8</v>
      </c>
      <c r="X389" s="7"/>
      <c r="Y389" s="7"/>
      <c r="Z389" s="7" t="s">
        <v>5171</v>
      </c>
      <c r="AA389" s="7"/>
      <c r="AB389" s="7" t="s">
        <v>2017</v>
      </c>
      <c r="AC389" s="7"/>
      <c r="AD389" s="7" t="s">
        <v>5172</v>
      </c>
      <c r="AE389" s="7" t="s">
        <v>5173</v>
      </c>
      <c r="AF389" s="7"/>
      <c r="AG389" s="7" t="s">
        <v>578</v>
      </c>
      <c r="AH389" s="20">
        <v>39575.0</v>
      </c>
      <c r="AI389" s="7"/>
      <c r="AJ389" s="7" t="s">
        <v>5167</v>
      </c>
      <c r="AK389" s="7"/>
      <c r="AL389" s="7" t="s">
        <v>5174</v>
      </c>
      <c r="AM389" s="7" t="s">
        <v>5175</v>
      </c>
      <c r="AN389" s="20">
        <v>39575.0</v>
      </c>
      <c r="AO389" s="7">
        <v>97418.0</v>
      </c>
      <c r="AP389" s="7" t="s">
        <v>362</v>
      </c>
      <c r="AQ389" s="7"/>
      <c r="AR389" s="7"/>
      <c r="AS389" s="7"/>
      <c r="AT389" s="7"/>
      <c r="AU389" s="7">
        <v>0.0</v>
      </c>
      <c r="AV389" s="7" t="s">
        <v>5176</v>
      </c>
      <c r="AW389" s="7" t="s">
        <v>5177</v>
      </c>
      <c r="AX389" s="7"/>
      <c r="AY389" s="7"/>
      <c r="AZ389" s="7"/>
      <c r="BA389" s="7"/>
      <c r="BB389" s="7"/>
      <c r="BC389" s="7" t="s">
        <v>366</v>
      </c>
      <c r="BD389" s="21">
        <v>44197.0</v>
      </c>
      <c r="BE389" s="7"/>
      <c r="BF389" s="7"/>
      <c r="BG389" s="22">
        <v>44197.0</v>
      </c>
      <c r="BH389" s="7"/>
      <c r="BI389" s="7" t="s">
        <v>4567</v>
      </c>
      <c r="BJ389" s="7"/>
      <c r="BK389" s="7" t="b">
        <v>0</v>
      </c>
      <c r="BL389" s="7" t="b">
        <v>0</v>
      </c>
      <c r="BM389" s="7"/>
      <c r="BN389" s="7" t="str">
        <f>IFERROR(__xludf.DUMMYFUNCTION(" IF( REGEXMATCH(C389 , ""[(].+[)]""),REGEXREPLACE( CONCATENATE(REGEXEXTRACT(C389 , ""[(].+[)]""),IF(REGEXMATCH(C389 , ""[(][Ll]['’][)]""),"""","" ""), REGEXEXTRACT(C389 ,""^(?:(?:[A-Za-zàäéèêîïöôûü0-9 ](?:[A-Za-zàäéèêîïöôûü'0-9 ]+)))"")) , ""[()]"", """")"&amp;",C389 )"),"Lacouture Jean-Louis")</f>
        <v>Lacouture Jean-Louis</v>
      </c>
      <c r="BO389" s="23"/>
      <c r="BP389" s="7"/>
      <c r="BQ389" s="7"/>
      <c r="BR389" s="7"/>
      <c r="BS389" s="7"/>
      <c r="BT389" s="7"/>
      <c r="BU389" s="7"/>
      <c r="BV389" s="7"/>
      <c r="BW389" s="7"/>
      <c r="BX389" s="7"/>
      <c r="BY389" s="7"/>
      <c r="BZ389" s="7"/>
      <c r="CA389" s="7"/>
      <c r="CB389" s="7"/>
    </row>
    <row r="390" ht="21.75" customHeight="1">
      <c r="A390" s="7">
        <v>2162.0</v>
      </c>
      <c r="B390" s="7">
        <v>389.0</v>
      </c>
      <c r="C390" s="7" t="s">
        <v>5178</v>
      </c>
      <c r="D390" s="7"/>
      <c r="E390" s="7"/>
      <c r="F390" s="7" t="s">
        <v>404</v>
      </c>
      <c r="G390" s="7" t="s">
        <v>343</v>
      </c>
      <c r="H390" s="7" t="s">
        <v>123</v>
      </c>
      <c r="I390" s="7" t="s">
        <v>5179</v>
      </c>
      <c r="J390" s="26" t="s">
        <v>5180</v>
      </c>
      <c r="K390" s="7" t="s">
        <v>58</v>
      </c>
      <c r="L390" s="7" t="s">
        <v>59</v>
      </c>
      <c r="M390" s="7" t="s">
        <v>346</v>
      </c>
      <c r="N390" s="7" t="s">
        <v>3431</v>
      </c>
      <c r="O390" s="7">
        <v>97480.0</v>
      </c>
      <c r="P390" s="7" t="s">
        <v>123</v>
      </c>
      <c r="Q390" s="7" t="s">
        <v>946</v>
      </c>
      <c r="R390" s="7" t="s">
        <v>5181</v>
      </c>
      <c r="S390" s="7" t="s">
        <v>5182</v>
      </c>
      <c r="T390" s="7" t="s">
        <v>377</v>
      </c>
      <c r="U390" s="7" t="s">
        <v>353</v>
      </c>
      <c r="V390" s="7"/>
      <c r="W390" s="7">
        <v>6.92607217E8</v>
      </c>
      <c r="X390" s="7"/>
      <c r="Y390" s="7"/>
      <c r="Z390" s="7" t="s">
        <v>5183</v>
      </c>
      <c r="AA390" s="7">
        <v>4.0</v>
      </c>
      <c r="AB390" s="7" t="s">
        <v>1939</v>
      </c>
      <c r="AC390" s="7"/>
      <c r="AD390" s="7" t="s">
        <v>5184</v>
      </c>
      <c r="AE390" s="7"/>
      <c r="AF390" s="7"/>
      <c r="AG390" s="7" t="s">
        <v>751</v>
      </c>
      <c r="AH390" s="20">
        <v>40161.0</v>
      </c>
      <c r="AI390" s="7"/>
      <c r="AJ390" s="7" t="s">
        <v>5185</v>
      </c>
      <c r="AK390" s="7"/>
      <c r="AL390" s="7" t="s">
        <v>5186</v>
      </c>
      <c r="AM390" s="7" t="s">
        <v>5187</v>
      </c>
      <c r="AN390" s="20">
        <v>43739.0</v>
      </c>
      <c r="AO390" s="7">
        <v>97410.0</v>
      </c>
      <c r="AP390" s="7" t="s">
        <v>512</v>
      </c>
      <c r="AQ390" s="7"/>
      <c r="AR390" s="7"/>
      <c r="AS390" s="7"/>
      <c r="AT390" s="7"/>
      <c r="AU390" s="7">
        <v>1.0</v>
      </c>
      <c r="AV390" s="7" t="s">
        <v>5188</v>
      </c>
      <c r="AW390" s="7"/>
      <c r="AX390" s="7"/>
      <c r="AY390" s="7"/>
      <c r="AZ390" s="7"/>
      <c r="BA390" s="7"/>
      <c r="BB390" s="7"/>
      <c r="BC390" s="7" t="s">
        <v>366</v>
      </c>
      <c r="BD390" s="21">
        <v>44235.13402777778</v>
      </c>
      <c r="BE390" s="7"/>
      <c r="BF390" s="7"/>
      <c r="BG390" s="22">
        <v>44235.0</v>
      </c>
      <c r="BH390" s="7"/>
      <c r="BI390" s="7" t="s">
        <v>5189</v>
      </c>
      <c r="BJ390" s="7"/>
      <c r="BK390" s="7" t="b">
        <v>0</v>
      </c>
      <c r="BL390" s="7" t="b">
        <v>0</v>
      </c>
      <c r="BM390" s="7"/>
      <c r="BN390" s="7" t="str">
        <f>IFERROR(__xludf.DUMMYFUNCTION(" IF( REGEXMATCH(C390 , ""[(].+[)]""),REGEXREPLACE( CONCATENATE(REGEXEXTRACT(C390 , ""[(].+[)]""),IF(REGEXMATCH(C390 , ""[(][Ll]['’][)]""),"""","" ""), REGEXEXTRACT(C390 ,""^(?:(?:[A-Za-zàäéèêîïöôûü0-9 ](?:[A-Za-zàäéèêîïöôûü'0-9 ]+)))"")) , ""[()]"", """")"&amp;",C390 )"),"Le Langevin ")</f>
        <v>Le Langevin </v>
      </c>
      <c r="BO390" s="23"/>
      <c r="BP390" s="7"/>
      <c r="BQ390" s="7"/>
      <c r="BR390" s="7"/>
      <c r="BS390" s="7"/>
      <c r="BT390" s="7"/>
      <c r="BU390" s="7"/>
      <c r="BV390" s="7"/>
      <c r="BW390" s="7"/>
      <c r="BX390" s="7"/>
      <c r="BY390" s="7"/>
      <c r="BZ390" s="7"/>
      <c r="CA390" s="7"/>
      <c r="CB390" s="7"/>
    </row>
    <row r="391" ht="21.75" customHeight="1">
      <c r="A391" s="7">
        <v>4769.0</v>
      </c>
      <c r="B391" s="7">
        <v>390.0</v>
      </c>
      <c r="C391" s="7" t="s">
        <v>5190</v>
      </c>
      <c r="D391" s="7"/>
      <c r="E391" s="7"/>
      <c r="F391" s="7" t="s">
        <v>342</v>
      </c>
      <c r="G391" s="7" t="s">
        <v>343</v>
      </c>
      <c r="H391" s="7" t="s">
        <v>344</v>
      </c>
      <c r="I391" s="7" t="s">
        <v>5191</v>
      </c>
      <c r="J391" s="7"/>
      <c r="K391" s="7" t="s">
        <v>34</v>
      </c>
      <c r="L391" s="7" t="s">
        <v>622</v>
      </c>
      <c r="M391" s="7" t="s">
        <v>622</v>
      </c>
      <c r="N391" s="7"/>
      <c r="O391" s="7">
        <v>97430.0</v>
      </c>
      <c r="P391" s="7" t="s">
        <v>344</v>
      </c>
      <c r="Q391" s="7"/>
      <c r="R391" s="7"/>
      <c r="S391" s="7"/>
      <c r="T391" s="7"/>
      <c r="U391" s="7" t="s">
        <v>378</v>
      </c>
      <c r="V391" s="7"/>
      <c r="W391" s="7"/>
      <c r="X391" s="7"/>
      <c r="Y391" s="7"/>
      <c r="Z391" s="7"/>
      <c r="AA391" s="7"/>
      <c r="AB391" s="7"/>
      <c r="AC391" s="7" t="s">
        <v>5192</v>
      </c>
      <c r="AD391" s="7" t="s">
        <v>5193</v>
      </c>
      <c r="AE391" s="7"/>
      <c r="AF391" s="7"/>
      <c r="AG391" s="7"/>
      <c r="AH391" s="20">
        <v>43434.0</v>
      </c>
      <c r="AI391" s="7"/>
      <c r="AJ391" s="7" t="s">
        <v>5190</v>
      </c>
      <c r="AK391" s="7"/>
      <c r="AL391" s="7" t="s">
        <v>5194</v>
      </c>
      <c r="AM391" s="7" t="s">
        <v>5195</v>
      </c>
      <c r="AN391" s="20">
        <v>43434.0</v>
      </c>
      <c r="AO391" s="7">
        <v>97430.0</v>
      </c>
      <c r="AP391" s="7" t="s">
        <v>494</v>
      </c>
      <c r="AQ391" s="7"/>
      <c r="AR391" s="7"/>
      <c r="AS391" s="7"/>
      <c r="AT391" s="7"/>
      <c r="AU391" s="7">
        <v>0.0</v>
      </c>
      <c r="AV391" s="7" t="s">
        <v>5196</v>
      </c>
      <c r="AW391" s="7"/>
      <c r="AX391" s="7"/>
      <c r="AY391" s="7"/>
      <c r="AZ391" s="7"/>
      <c r="BA391" s="7"/>
      <c r="BB391" s="7"/>
      <c r="BC391" s="7" t="s">
        <v>366</v>
      </c>
      <c r="BD391" s="21">
        <v>44197.0</v>
      </c>
      <c r="BE391" s="7"/>
      <c r="BF391" s="7"/>
      <c r="BG391" s="22">
        <v>44197.0</v>
      </c>
      <c r="BH391" s="7"/>
      <c r="BI391" s="7" t="s">
        <v>5197</v>
      </c>
      <c r="BJ391" s="7"/>
      <c r="BK391" s="7" t="b">
        <v>0</v>
      </c>
      <c r="BL391" s="7" t="b">
        <v>0</v>
      </c>
      <c r="BM391" s="7"/>
      <c r="BN391" s="7" t="str">
        <f>IFERROR(__xludf.DUMMYFUNCTION(" IF( REGEXMATCH(C391 , ""[(].+[)]""),REGEXREPLACE( CONCATENATE(REGEXEXTRACT(C391 , ""[(].+[)]""),IF(REGEXMATCH(C391 , ""[(][Ll]['’][)]""),"""","" ""), REGEXEXTRACT(C391 ,""^(?:(?:[A-Za-zàäéèêîïöôûü0-9 ](?:[A-Za-zàäéèêîïöôûü'0-9 ]+)))"")) , ""[()]"", """")"&amp;",C391 )"),"Le Paradise - Chez Lindley Le Mauricien Restaurant")</f>
        <v>Le Paradise - Chez Lindley Le Mauricien Restaurant</v>
      </c>
      <c r="BO391" s="23"/>
      <c r="BP391" s="7"/>
      <c r="BQ391" s="7"/>
      <c r="BR391" s="7"/>
      <c r="BS391" s="7"/>
      <c r="BT391" s="7"/>
      <c r="BU391" s="7"/>
      <c r="BV391" s="7"/>
      <c r="BW391" s="7"/>
      <c r="BX391" s="7"/>
      <c r="BY391" s="7"/>
      <c r="BZ391" s="7"/>
      <c r="CA391" s="7"/>
      <c r="CB391" s="7"/>
    </row>
    <row r="392" ht="21.75" customHeight="1">
      <c r="A392" s="7">
        <v>2989.0</v>
      </c>
      <c r="B392" s="7">
        <v>391.0</v>
      </c>
      <c r="C392" s="7" t="s">
        <v>5198</v>
      </c>
      <c r="D392" s="7"/>
      <c r="E392" s="7"/>
      <c r="F392" s="7" t="s">
        <v>404</v>
      </c>
      <c r="G392" s="7" t="s">
        <v>343</v>
      </c>
      <c r="H392" s="7" t="s">
        <v>344</v>
      </c>
      <c r="I392" s="7" t="s">
        <v>5199</v>
      </c>
      <c r="J392" s="7"/>
      <c r="K392" s="6" t="s">
        <v>469</v>
      </c>
      <c r="L392" s="7" t="s">
        <v>5200</v>
      </c>
      <c r="M392" s="7" t="s">
        <v>5201</v>
      </c>
      <c r="N392" s="7"/>
      <c r="O392" s="7">
        <v>97418.0</v>
      </c>
      <c r="P392" s="7" t="s">
        <v>348</v>
      </c>
      <c r="Q392" s="7"/>
      <c r="R392" s="7"/>
      <c r="S392" s="7"/>
      <c r="T392" s="7"/>
      <c r="U392" s="7"/>
      <c r="V392" s="7"/>
      <c r="W392" s="7"/>
      <c r="X392" s="7"/>
      <c r="Y392" s="7"/>
      <c r="Z392" s="7"/>
      <c r="AA392" s="7"/>
      <c r="AB392" s="7"/>
      <c r="AC392" s="7"/>
      <c r="AD392" s="7" t="s">
        <v>5202</v>
      </c>
      <c r="AE392" s="7"/>
      <c r="AF392" s="7"/>
      <c r="AG392" s="7"/>
      <c r="AH392" s="20">
        <v>43739.0</v>
      </c>
      <c r="AI392" s="7"/>
      <c r="AJ392" s="7" t="s">
        <v>5203</v>
      </c>
      <c r="AK392" s="7"/>
      <c r="AL392" s="7" t="s">
        <v>5204</v>
      </c>
      <c r="AM392" s="7"/>
      <c r="AN392" s="20">
        <v>43739.0</v>
      </c>
      <c r="AO392" s="7">
        <v>97418.0</v>
      </c>
      <c r="AP392" s="7" t="s">
        <v>362</v>
      </c>
      <c r="AQ392" s="7"/>
      <c r="AR392" s="7"/>
      <c r="AS392" s="7"/>
      <c r="AT392" s="7"/>
      <c r="AU392" s="7">
        <v>0.0</v>
      </c>
      <c r="AV392" s="7" t="s">
        <v>5205</v>
      </c>
      <c r="AW392" s="7"/>
      <c r="AX392" s="7"/>
      <c r="AY392" s="7"/>
      <c r="AZ392" s="7"/>
      <c r="BA392" s="7"/>
      <c r="BB392" s="7"/>
      <c r="BC392" s="7" t="s">
        <v>366</v>
      </c>
      <c r="BD392" s="21">
        <v>44148.13125</v>
      </c>
      <c r="BE392" s="7"/>
      <c r="BF392" s="7"/>
      <c r="BG392" s="22">
        <v>44148.0</v>
      </c>
      <c r="BH392" s="7"/>
      <c r="BI392" s="7" t="s">
        <v>2590</v>
      </c>
      <c r="BJ392" s="7"/>
      <c r="BK392" s="7" t="b">
        <v>0</v>
      </c>
      <c r="BL392" s="7" t="b">
        <v>0</v>
      </c>
      <c r="BM392" s="7"/>
      <c r="BN392" s="7" t="str">
        <f>IFERROR(__xludf.DUMMYFUNCTION(" IF( REGEXMATCH(C392 , ""[(].+[)]""),REGEXREPLACE( CONCATENATE(REGEXEXTRACT(C392 , ""[(].+[)]""),IF(REGEXMATCH(C392 , ""[(][Ll]['’][)]""),"""","" ""), REGEXEXTRACT(C392 ,""^(?:(?:[A-Za-zàäéèêîïöôûü0-9 ](?:[A-Za-zàäéèêîïöôûü'0-9 ]+)))"")) , ""[()]"", """")"&amp;",C392 )"),"Le Volcan ")</f>
        <v>Le Volcan </v>
      </c>
      <c r="BO392" s="23"/>
      <c r="BP392" s="7"/>
      <c r="BQ392" s="7"/>
      <c r="BR392" s="7"/>
      <c r="BS392" s="7"/>
      <c r="BT392" s="7"/>
      <c r="BU392" s="7"/>
      <c r="BV392" s="7"/>
      <c r="BW392" s="7"/>
      <c r="BX392" s="7"/>
      <c r="BY392" s="7"/>
      <c r="BZ392" s="7"/>
      <c r="CA392" s="7"/>
      <c r="CB392" s="7"/>
    </row>
    <row r="393" ht="21.75" customHeight="1">
      <c r="A393" s="7">
        <v>5074.0</v>
      </c>
      <c r="B393" s="7" t="s">
        <v>5206</v>
      </c>
      <c r="C393" s="7" t="s">
        <v>5207</v>
      </c>
      <c r="D393" s="7" t="s">
        <v>5207</v>
      </c>
      <c r="E393" s="7"/>
      <c r="F393" s="7" t="s">
        <v>342</v>
      </c>
      <c r="G393" s="7" t="s">
        <v>343</v>
      </c>
      <c r="H393" s="7" t="s">
        <v>344</v>
      </c>
      <c r="I393" s="7" t="s">
        <v>5208</v>
      </c>
      <c r="J393" s="26" t="s">
        <v>5209</v>
      </c>
      <c r="K393" s="7" t="s">
        <v>1198</v>
      </c>
      <c r="L393" s="7" t="s">
        <v>1199</v>
      </c>
      <c r="M393" s="7" t="s">
        <v>1200</v>
      </c>
      <c r="N393" s="7" t="s">
        <v>455</v>
      </c>
      <c r="O393" s="7">
        <v>97430.0</v>
      </c>
      <c r="P393" s="7" t="s">
        <v>344</v>
      </c>
      <c r="Q393" s="7"/>
      <c r="R393" s="7" t="s">
        <v>3059</v>
      </c>
      <c r="S393" s="7"/>
      <c r="T393" s="7" t="s">
        <v>1201</v>
      </c>
      <c r="U393" s="7" t="s">
        <v>592</v>
      </c>
      <c r="V393" s="7">
        <v>2.62013289E8</v>
      </c>
      <c r="W393" s="7">
        <v>6.9259035E8</v>
      </c>
      <c r="X393" s="7"/>
      <c r="Y393" s="7"/>
      <c r="Z393" s="7" t="s">
        <v>5210</v>
      </c>
      <c r="AA393" s="7"/>
      <c r="AB393" s="7"/>
      <c r="AC393" s="7" t="s">
        <v>5211</v>
      </c>
      <c r="AD393" s="7" t="s">
        <v>5212</v>
      </c>
      <c r="AE393" s="7"/>
      <c r="AF393" s="7"/>
      <c r="AG393" s="7"/>
      <c r="AH393" s="20">
        <v>43746.0</v>
      </c>
      <c r="AI393" s="7"/>
      <c r="AJ393" s="7" t="s">
        <v>5213</v>
      </c>
      <c r="AK393" s="7">
        <v>8.5298373300019E13</v>
      </c>
      <c r="AL393" s="7" t="s">
        <v>5214</v>
      </c>
      <c r="AM393" s="7" t="s">
        <v>5215</v>
      </c>
      <c r="AN393" s="20">
        <v>43746.0</v>
      </c>
      <c r="AO393" s="7">
        <v>97430.0</v>
      </c>
      <c r="AP393" s="7" t="s">
        <v>494</v>
      </c>
      <c r="AQ393" s="7"/>
      <c r="AR393" s="7"/>
      <c r="AS393" s="7"/>
      <c r="AT393" s="7"/>
      <c r="AU393" s="7">
        <v>0.0</v>
      </c>
      <c r="AV393" s="7" t="s">
        <v>5216</v>
      </c>
      <c r="AW393" s="7"/>
      <c r="AX393" s="7"/>
      <c r="AY393" s="7"/>
      <c r="AZ393" s="7"/>
      <c r="BA393" s="7"/>
      <c r="BB393" s="7"/>
      <c r="BC393" s="7" t="s">
        <v>401</v>
      </c>
      <c r="BD393" s="21">
        <v>44228.0</v>
      </c>
      <c r="BE393" s="7" t="s">
        <v>5217</v>
      </c>
      <c r="BF393" s="7"/>
      <c r="BG393" s="7"/>
      <c r="BH393" s="7">
        <v>8.52983733E8</v>
      </c>
      <c r="BI393" s="7" t="s">
        <v>5218</v>
      </c>
      <c r="BJ393" s="7"/>
      <c r="BK393" s="7" t="b">
        <v>0</v>
      </c>
      <c r="BL393" s="7" t="b">
        <v>0</v>
      </c>
      <c r="BM393" s="7"/>
      <c r="BN393" s="7" t="str">
        <f>IFERROR(__xludf.DUMMYFUNCTION(" IF( REGEXMATCH(C393 , ""[(].+[)]""),REGEXREPLACE( CONCATENATE(REGEXEXTRACT(C393 , ""[(].+[)]""),IF(REGEXMATCH(C393 , ""[(][Ll]['’][)]""),"""","" ""), REGEXEXTRACT(C393 ,""^(?:(?:[A-Za-zàäéèêîïöôûü0-9 ](?:[A-Za-zàäéèêîïöôûü'0-9 ]+)))"")) , ""[()]"", """")"&amp;",C393 )"),"Lebeau Ti Tour")</f>
        <v>Lebeau Ti Tour</v>
      </c>
      <c r="BO393" s="25"/>
      <c r="BP393" s="7"/>
      <c r="BQ393" s="7"/>
      <c r="BR393" s="7"/>
      <c r="BS393" s="7"/>
      <c r="BT393" s="7"/>
      <c r="BU393" s="7"/>
      <c r="BV393" s="7"/>
      <c r="BW393" s="7"/>
      <c r="BX393" s="7"/>
      <c r="BY393" s="7"/>
      <c r="BZ393" s="7"/>
      <c r="CA393" s="7"/>
      <c r="CB393" s="7"/>
    </row>
    <row r="394" ht="21.75" customHeight="1">
      <c r="A394" s="7">
        <v>2070.0</v>
      </c>
      <c r="B394" s="7" t="s">
        <v>5219</v>
      </c>
      <c r="C394" s="7" t="s">
        <v>5220</v>
      </c>
      <c r="D394" s="7"/>
      <c r="E394" s="7"/>
      <c r="F394" s="7" t="s">
        <v>404</v>
      </c>
      <c r="G394" s="7" t="s">
        <v>343</v>
      </c>
      <c r="H394" s="7" t="s">
        <v>40</v>
      </c>
      <c r="I394" s="7" t="s">
        <v>5221</v>
      </c>
      <c r="J394" s="7"/>
      <c r="K394" s="6" t="s">
        <v>469</v>
      </c>
      <c r="L394" s="7" t="s">
        <v>1405</v>
      </c>
      <c r="M394" s="7" t="s">
        <v>1406</v>
      </c>
      <c r="N394" s="7" t="s">
        <v>455</v>
      </c>
      <c r="O394" s="7">
        <v>97414.0</v>
      </c>
      <c r="P394" s="7" t="s">
        <v>40</v>
      </c>
      <c r="Q394" s="7"/>
      <c r="R394" s="7"/>
      <c r="S394" s="7"/>
      <c r="T394" s="7" t="s">
        <v>2390</v>
      </c>
      <c r="U394" s="7" t="s">
        <v>378</v>
      </c>
      <c r="V394" s="7">
        <v>2.62396203E8</v>
      </c>
      <c r="W394" s="7">
        <v>6.92838187E8</v>
      </c>
      <c r="X394" s="7"/>
      <c r="Y394" s="7"/>
      <c r="Z394" s="7"/>
      <c r="AA394" s="7"/>
      <c r="AB394" s="7"/>
      <c r="AC394" s="7"/>
      <c r="AD394" s="7" t="s">
        <v>5222</v>
      </c>
      <c r="AE394" s="7"/>
      <c r="AF394" s="7"/>
      <c r="AG394" s="7"/>
      <c r="AH394" s="20">
        <v>40093.0</v>
      </c>
      <c r="AI394" s="7"/>
      <c r="AJ394" s="7" t="s">
        <v>5223</v>
      </c>
      <c r="AK394" s="7">
        <v>4.2947860500018E13</v>
      </c>
      <c r="AL394" s="7" t="s">
        <v>5224</v>
      </c>
      <c r="AM394" s="7" t="s">
        <v>5225</v>
      </c>
      <c r="AN394" s="20">
        <v>43739.0</v>
      </c>
      <c r="AO394" s="7">
        <v>97414.0</v>
      </c>
      <c r="AP394" s="7" t="s">
        <v>429</v>
      </c>
      <c r="AQ394" s="7"/>
      <c r="AR394" s="7"/>
      <c r="AS394" s="7"/>
      <c r="AT394" s="7"/>
      <c r="AU394" s="7">
        <v>0.0</v>
      </c>
      <c r="AV394" s="7" t="s">
        <v>4237</v>
      </c>
      <c r="AW394" s="7"/>
      <c r="AX394" s="7"/>
      <c r="AY394" s="7"/>
      <c r="AZ394" s="7"/>
      <c r="BA394" s="7"/>
      <c r="BB394" s="7"/>
      <c r="BC394" s="7" t="s">
        <v>401</v>
      </c>
      <c r="BD394" s="21">
        <v>44097.46875</v>
      </c>
      <c r="BE394" s="7" t="s">
        <v>5226</v>
      </c>
      <c r="BF394" s="7"/>
      <c r="BG394" s="7"/>
      <c r="BH394" s="7">
        <v>4.29478605E8</v>
      </c>
      <c r="BI394" s="7" t="s">
        <v>1786</v>
      </c>
      <c r="BJ394" s="7"/>
      <c r="BK394" s="7" t="b">
        <v>0</v>
      </c>
      <c r="BL394" s="7" t="b">
        <v>0</v>
      </c>
      <c r="BM394" s="7"/>
      <c r="BN394" s="7" t="str">
        <f>IFERROR(__xludf.DUMMYFUNCTION(" IF( REGEXMATCH(C394 , ""[(].+[)]""),REGEXREPLACE( CONCATENATE(REGEXEXTRACT(C394 , ""[(].+[)]""),IF(REGEXMATCH(C394 , ""[(][Ll]['’][)]""),"""","" ""), REGEXEXTRACT(C394 ,""^(?:(?:[A-Za-zàäéèêîïöôûü0-9 ](?:[A-Za-zàäéèêîïöôûü'0-9 ]+)))"")) , ""[()]"", """")"&amp;",C394 )"),"Kakouk Tisaneur Ledoyen Frantz ")</f>
        <v>Kakouk Tisaneur Ledoyen Frantz </v>
      </c>
      <c r="BO394" s="25"/>
      <c r="BP394" s="7"/>
      <c r="BQ394" s="7"/>
      <c r="BR394" s="7"/>
      <c r="BS394" s="7"/>
      <c r="BT394" s="7"/>
      <c r="BU394" s="7"/>
      <c r="BV394" s="7"/>
      <c r="BW394" s="7"/>
      <c r="BX394" s="7"/>
      <c r="BY394" s="7"/>
      <c r="BZ394" s="7"/>
      <c r="CA394" s="7"/>
      <c r="CB394" s="7"/>
    </row>
    <row r="395" ht="21.75" customHeight="1">
      <c r="A395" s="7">
        <v>3864.0</v>
      </c>
      <c r="B395" s="7">
        <v>394.0</v>
      </c>
      <c r="C395" s="7" t="s">
        <v>5227</v>
      </c>
      <c r="D395" s="7"/>
      <c r="E395" s="7"/>
      <c r="F395" s="7" t="s">
        <v>342</v>
      </c>
      <c r="G395" s="7" t="s">
        <v>343</v>
      </c>
      <c r="H395" s="7" t="s">
        <v>344</v>
      </c>
      <c r="I395" s="7" t="s">
        <v>5228</v>
      </c>
      <c r="J395" s="7"/>
      <c r="K395" s="7" t="s">
        <v>58</v>
      </c>
      <c r="L395" s="7" t="s">
        <v>59</v>
      </c>
      <c r="M395" s="7" t="s">
        <v>346</v>
      </c>
      <c r="N395" s="7" t="s">
        <v>1092</v>
      </c>
      <c r="O395" s="7">
        <v>97418.0</v>
      </c>
      <c r="P395" s="7" t="s">
        <v>348</v>
      </c>
      <c r="Q395" s="7" t="s">
        <v>349</v>
      </c>
      <c r="R395" s="7" t="s">
        <v>5229</v>
      </c>
      <c r="S395" s="7" t="s">
        <v>4094</v>
      </c>
      <c r="T395" s="7" t="s">
        <v>377</v>
      </c>
      <c r="U395" s="7" t="s">
        <v>353</v>
      </c>
      <c r="V395" s="7">
        <v>2.62575283E8</v>
      </c>
      <c r="W395" s="7">
        <v>6.92087449E8</v>
      </c>
      <c r="X395" s="7"/>
      <c r="Y395" s="7"/>
      <c r="Z395" s="7" t="s">
        <v>5230</v>
      </c>
      <c r="AA395" s="7">
        <v>6.0</v>
      </c>
      <c r="AB395" s="7"/>
      <c r="AC395" s="7" t="s">
        <v>5231</v>
      </c>
      <c r="AD395" s="7" t="s">
        <v>5232</v>
      </c>
      <c r="AE395" s="7" t="s">
        <v>5233</v>
      </c>
      <c r="AF395" s="7"/>
      <c r="AG395" s="7"/>
      <c r="AH395" s="20">
        <v>42164.0</v>
      </c>
      <c r="AI395" s="7"/>
      <c r="AJ395" s="7" t="s">
        <v>5234</v>
      </c>
      <c r="AK395" s="7">
        <v>7.9274757800013E13</v>
      </c>
      <c r="AL395" s="7" t="s">
        <v>5235</v>
      </c>
      <c r="AM395" s="7" t="s">
        <v>5236</v>
      </c>
      <c r="AN395" s="20">
        <v>42164.0</v>
      </c>
      <c r="AO395" s="7">
        <v>97418.0</v>
      </c>
      <c r="AP395" s="7" t="s">
        <v>362</v>
      </c>
      <c r="AQ395" s="7"/>
      <c r="AR395" s="7"/>
      <c r="AS395" s="7"/>
      <c r="AT395" s="7"/>
      <c r="AU395" s="7">
        <v>3.0</v>
      </c>
      <c r="AV395" s="7" t="s">
        <v>5237</v>
      </c>
      <c r="AW395" s="7"/>
      <c r="AX395" s="7"/>
      <c r="AY395" s="7"/>
      <c r="AZ395" s="7" t="s">
        <v>5238</v>
      </c>
      <c r="BA395" s="7"/>
      <c r="BB395" s="7"/>
      <c r="BC395" s="7" t="s">
        <v>366</v>
      </c>
      <c r="BD395" s="21">
        <v>44197.0</v>
      </c>
      <c r="BE395" s="7"/>
      <c r="BF395" s="7"/>
      <c r="BG395" s="22">
        <v>44197.0</v>
      </c>
      <c r="BH395" s="7">
        <v>7.92747578E8</v>
      </c>
      <c r="BI395" s="7" t="s">
        <v>5239</v>
      </c>
      <c r="BJ395" s="7"/>
      <c r="BK395" s="7" t="b">
        <v>0</v>
      </c>
      <c r="BL395" s="7" t="b">
        <v>0</v>
      </c>
      <c r="BM395" s="7"/>
      <c r="BN395" s="7" t="str">
        <f>IFERROR(__xludf.DUMMYFUNCTION(" IF( REGEXMATCH(C395 , ""[(].+[)]""),REGEXREPLACE( CONCATENATE(REGEXEXTRACT(C395 , ""[(].+[)]""),IF(REGEXMATCH(C395 , ""[(][Ll]['’][)]""),"""","" ""), REGEXEXTRACT(C395 ,""^(?:(?:[A-Za-zàäéèêîïöôûü0-9 ](?:[A-Za-zàäéèêîïöôûü'0-9 ]+)))"")) , ""[()]"", """")"&amp;",C395 )"),"Lélokalizé")</f>
        <v>Lélokalizé</v>
      </c>
      <c r="BO395" s="23"/>
      <c r="BP395" s="7"/>
      <c r="BQ395" s="7"/>
      <c r="BR395" s="7"/>
      <c r="BS395" s="7"/>
      <c r="BT395" s="7"/>
      <c r="BU395" s="7"/>
      <c r="BV395" s="7"/>
      <c r="BW395" s="7"/>
      <c r="BX395" s="7"/>
      <c r="BY395" s="7"/>
      <c r="BZ395" s="7"/>
      <c r="CA395" s="7"/>
      <c r="CB395" s="7"/>
    </row>
    <row r="396" ht="21.75" customHeight="1">
      <c r="A396" s="7">
        <v>3911.0</v>
      </c>
      <c r="B396" s="7" t="s">
        <v>5240</v>
      </c>
      <c r="C396" s="7" t="s">
        <v>5241</v>
      </c>
      <c r="D396" s="7"/>
      <c r="E396" s="7"/>
      <c r="F396" s="7" t="s">
        <v>404</v>
      </c>
      <c r="G396" s="7" t="s">
        <v>343</v>
      </c>
      <c r="H396" s="7" t="s">
        <v>344</v>
      </c>
      <c r="I396" s="7" t="s">
        <v>5242</v>
      </c>
      <c r="J396" s="7"/>
      <c r="K396" s="6" t="s">
        <v>469</v>
      </c>
      <c r="L396" s="7" t="s">
        <v>197</v>
      </c>
      <c r="M396" s="7" t="s">
        <v>559</v>
      </c>
      <c r="N396" s="7" t="s">
        <v>455</v>
      </c>
      <c r="O396" s="7">
        <v>97418.0</v>
      </c>
      <c r="P396" s="7" t="s">
        <v>348</v>
      </c>
      <c r="Q396" s="7" t="s">
        <v>349</v>
      </c>
      <c r="R396" s="7"/>
      <c r="S396" s="7"/>
      <c r="T396" s="7"/>
      <c r="U396" s="7"/>
      <c r="V396" s="7">
        <v>2.62175736E8</v>
      </c>
      <c r="W396" s="7">
        <v>6.92896156E8</v>
      </c>
      <c r="X396" s="7"/>
      <c r="Y396" s="7"/>
      <c r="Z396" s="7" t="s">
        <v>5243</v>
      </c>
      <c r="AA396" s="7"/>
      <c r="AB396" s="7"/>
      <c r="AC396" s="7" t="s">
        <v>5244</v>
      </c>
      <c r="AD396" s="7" t="s">
        <v>5245</v>
      </c>
      <c r="AE396" s="7"/>
      <c r="AF396" s="7"/>
      <c r="AG396" s="7"/>
      <c r="AH396" s="20">
        <v>42171.0</v>
      </c>
      <c r="AI396" s="7"/>
      <c r="AJ396" s="7" t="s">
        <v>5246</v>
      </c>
      <c r="AK396" s="7"/>
      <c r="AL396" s="7" t="s">
        <v>5247</v>
      </c>
      <c r="AM396" s="7" t="s">
        <v>5248</v>
      </c>
      <c r="AN396" s="20">
        <v>42171.0</v>
      </c>
      <c r="AO396" s="7">
        <v>97418.0</v>
      </c>
      <c r="AP396" s="7" t="s">
        <v>362</v>
      </c>
      <c r="AQ396" s="7"/>
      <c r="AR396" s="7"/>
      <c r="AS396" s="7"/>
      <c r="AT396" s="7"/>
      <c r="AU396" s="7">
        <v>0.0</v>
      </c>
      <c r="AV396" s="7" t="s">
        <v>2218</v>
      </c>
      <c r="AW396" s="7"/>
      <c r="AX396" s="7"/>
      <c r="AY396" s="7"/>
      <c r="AZ396" s="7"/>
      <c r="BA396" s="7"/>
      <c r="BB396" s="7"/>
      <c r="BC396" s="7" t="s">
        <v>401</v>
      </c>
      <c r="BD396" s="21">
        <v>44201.39236111111</v>
      </c>
      <c r="BE396" s="7"/>
      <c r="BF396" s="7"/>
      <c r="BG396" s="7"/>
      <c r="BH396" s="7"/>
      <c r="BI396" s="7" t="s">
        <v>514</v>
      </c>
      <c r="BJ396" s="7"/>
      <c r="BK396" s="7" t="b">
        <v>0</v>
      </c>
      <c r="BL396" s="7" t="b">
        <v>0</v>
      </c>
      <c r="BM396" s="7"/>
      <c r="BN396" s="7" t="str">
        <f>IFERROR(__xludf.DUMMYFUNCTION(" IF( REGEXMATCH(C396 , ""[(].+[)]""),REGEXREPLACE( CONCATENATE(REGEXEXTRACT(C396 , ""[(].+[)]""),IF(REGEXMATCH(C396 , ""[(][Ll]['’][)]""),"""","" ""), REGEXEXTRACT(C396 ,""^(?:(?:[A-Za-zàäéèêîïöôûü0-9 ](?:[A-Za-zàäéèêîïöôûü'0-9 ]+)))"")) , ""[()]"", """")"&amp;",C396 )"),"Les Bougies de Cathy ")</f>
        <v>Les Bougies de Cathy </v>
      </c>
      <c r="BO396" s="25"/>
      <c r="BP396" s="7"/>
      <c r="BQ396" s="7"/>
      <c r="BR396" s="7"/>
      <c r="BS396" s="7"/>
      <c r="BT396" s="7"/>
      <c r="BU396" s="7"/>
      <c r="BV396" s="7"/>
      <c r="BW396" s="7"/>
      <c r="BX396" s="7"/>
      <c r="BY396" s="7"/>
      <c r="BZ396" s="7"/>
      <c r="CA396" s="7"/>
      <c r="CB396" s="7"/>
    </row>
    <row r="397" ht="21.75" customHeight="1">
      <c r="A397" s="7">
        <v>2984.0</v>
      </c>
      <c r="B397" s="7" t="s">
        <v>5249</v>
      </c>
      <c r="C397" s="7" t="s">
        <v>5250</v>
      </c>
      <c r="D397" s="7"/>
      <c r="E397" s="7"/>
      <c r="F397" s="7" t="s">
        <v>342</v>
      </c>
      <c r="G397" s="7" t="s">
        <v>343</v>
      </c>
      <c r="H397" s="7" t="s">
        <v>33</v>
      </c>
      <c r="I397" s="7" t="s">
        <v>5251</v>
      </c>
      <c r="J397" s="7"/>
      <c r="K397" s="7" t="s">
        <v>34</v>
      </c>
      <c r="L397" s="7" t="s">
        <v>622</v>
      </c>
      <c r="M397" s="7" t="s">
        <v>622</v>
      </c>
      <c r="N397" s="7" t="s">
        <v>1001</v>
      </c>
      <c r="O397" s="7">
        <v>97442.0</v>
      </c>
      <c r="P397" s="7" t="s">
        <v>33</v>
      </c>
      <c r="Q397" s="7"/>
      <c r="R397" s="7"/>
      <c r="S397" s="7"/>
      <c r="T397" s="7" t="s">
        <v>974</v>
      </c>
      <c r="U397" s="7" t="s">
        <v>592</v>
      </c>
      <c r="V397" s="7">
        <v>2.62201481E8</v>
      </c>
      <c r="W397" s="7">
        <v>6.92726718E8</v>
      </c>
      <c r="X397" s="7"/>
      <c r="Y397" s="7"/>
      <c r="Z397" s="7"/>
      <c r="AA397" s="7">
        <v>50.0</v>
      </c>
      <c r="AB397" s="7"/>
      <c r="AC397" s="7"/>
      <c r="AD397" s="7" t="s">
        <v>5252</v>
      </c>
      <c r="AE397" s="7" t="s">
        <v>5253</v>
      </c>
      <c r="AF397" s="7"/>
      <c r="AG397" s="7"/>
      <c r="AH397" s="20">
        <v>43739.0</v>
      </c>
      <c r="AI397" s="7"/>
      <c r="AJ397" s="7" t="s">
        <v>5254</v>
      </c>
      <c r="AK397" s="7"/>
      <c r="AL397" s="7" t="s">
        <v>5255</v>
      </c>
      <c r="AM397" s="7" t="s">
        <v>5256</v>
      </c>
      <c r="AN397" s="20">
        <v>43739.0</v>
      </c>
      <c r="AO397" s="7">
        <v>97442.0</v>
      </c>
      <c r="AP397" s="7" t="s">
        <v>884</v>
      </c>
      <c r="AQ397" s="7"/>
      <c r="AR397" s="7"/>
      <c r="AS397" s="7"/>
      <c r="AT397" s="7"/>
      <c r="AU397" s="7">
        <v>0.0</v>
      </c>
      <c r="AV397" s="7" t="s">
        <v>5257</v>
      </c>
      <c r="AW397" s="7"/>
      <c r="AX397" s="7"/>
      <c r="AY397" s="7"/>
      <c r="AZ397" s="7"/>
      <c r="BA397" s="7"/>
      <c r="BB397" s="7"/>
      <c r="BC397" s="7" t="s">
        <v>401</v>
      </c>
      <c r="BD397" s="7"/>
      <c r="BE397" s="7" t="s">
        <v>5258</v>
      </c>
      <c r="BF397" s="7"/>
      <c r="BG397" s="7"/>
      <c r="BH397" s="7"/>
      <c r="BI397" s="7" t="s">
        <v>5259</v>
      </c>
      <c r="BJ397" s="7"/>
      <c r="BK397" s="7" t="b">
        <v>0</v>
      </c>
      <c r="BL397" s="7" t="b">
        <v>0</v>
      </c>
      <c r="BM397" s="7"/>
      <c r="BN397" s="7" t="str">
        <f>IFERROR(__xludf.DUMMYFUNCTION(" IF( REGEXMATCH(C397 , ""[(].+[)]""),REGEXREPLACE( CONCATENATE(REGEXEXTRACT(C397 , ""[(].+[)]""),IF(REGEXMATCH(C397 , ""[(][Ll]['’][)]""),"""","" ""), REGEXEXTRACT(C397 ,""^(?:(?:[A-Za-zàäéèêîïöôûü0-9 ](?:[A-Za-zàäéèêîïöôûü'0-9 ]+)))"")) , ""[()]"", """")"&amp;",C397 )"),"Leu 57")</f>
        <v>Leu 57</v>
      </c>
      <c r="BO397" s="25"/>
      <c r="BP397" s="7"/>
      <c r="BQ397" s="7"/>
      <c r="BR397" s="7"/>
      <c r="BS397" s="7"/>
      <c r="BT397" s="7"/>
      <c r="BU397" s="7"/>
      <c r="BV397" s="7"/>
      <c r="BW397" s="7"/>
      <c r="BX397" s="7"/>
      <c r="BY397" s="7"/>
      <c r="BZ397" s="7"/>
      <c r="CA397" s="7"/>
      <c r="CB397" s="7"/>
    </row>
    <row r="398" ht="21.75" customHeight="1">
      <c r="A398" s="7">
        <v>446.0</v>
      </c>
      <c r="B398" s="7" t="s">
        <v>5260</v>
      </c>
      <c r="C398" s="7" t="s">
        <v>5261</v>
      </c>
      <c r="D398" s="7" t="s">
        <v>5262</v>
      </c>
      <c r="E398" s="7"/>
      <c r="F398" s="7" t="s">
        <v>342</v>
      </c>
      <c r="G398" s="7" t="s">
        <v>343</v>
      </c>
      <c r="H398" s="7" t="s">
        <v>40</v>
      </c>
      <c r="I398" s="7" t="s">
        <v>5263</v>
      </c>
      <c r="J398" s="26" t="s">
        <v>5264</v>
      </c>
      <c r="K398" s="7" t="s">
        <v>58</v>
      </c>
      <c r="L398" s="7" t="s">
        <v>59</v>
      </c>
      <c r="M398" s="7" t="s">
        <v>545</v>
      </c>
      <c r="N398" s="7" t="s">
        <v>422</v>
      </c>
      <c r="O398" s="7">
        <v>97414.0</v>
      </c>
      <c r="P398" s="7" t="s">
        <v>40</v>
      </c>
      <c r="Q398" s="7"/>
      <c r="R398" s="7" t="s">
        <v>5265</v>
      </c>
      <c r="S398" s="7" t="s">
        <v>2363</v>
      </c>
      <c r="T398" s="7" t="s">
        <v>377</v>
      </c>
      <c r="U398" s="7" t="s">
        <v>378</v>
      </c>
      <c r="V398" s="7">
        <v>2.62646056E8</v>
      </c>
      <c r="W398" s="7">
        <v>6.92602104E8</v>
      </c>
      <c r="X398" s="7"/>
      <c r="Y398" s="7"/>
      <c r="Z398" s="7" t="s">
        <v>5266</v>
      </c>
      <c r="AA398" s="7">
        <v>5.0</v>
      </c>
      <c r="AB398" s="7"/>
      <c r="AC398" s="7" t="s">
        <v>5267</v>
      </c>
      <c r="AD398" s="7" t="s">
        <v>5268</v>
      </c>
      <c r="AE398" s="7" t="s">
        <v>5269</v>
      </c>
      <c r="AF398" s="7"/>
      <c r="AG398" s="7"/>
      <c r="AH398" s="20">
        <v>39575.0</v>
      </c>
      <c r="AI398" s="7"/>
      <c r="AJ398" s="7" t="s">
        <v>5270</v>
      </c>
      <c r="AK398" s="7">
        <v>4.7976905100018E13</v>
      </c>
      <c r="AL398" s="7" t="s">
        <v>5271</v>
      </c>
      <c r="AM398" s="7" t="s">
        <v>5272</v>
      </c>
      <c r="AN398" s="20">
        <v>39575.0</v>
      </c>
      <c r="AO398" s="7">
        <v>97414.0</v>
      </c>
      <c r="AP398" s="7" t="s">
        <v>429</v>
      </c>
      <c r="AQ398" s="7"/>
      <c r="AR398" s="7"/>
      <c r="AS398" s="7"/>
      <c r="AT398" s="7"/>
      <c r="AU398" s="7">
        <v>1.0</v>
      </c>
      <c r="AV398" s="7" t="s">
        <v>5273</v>
      </c>
      <c r="AW398" s="7"/>
      <c r="AX398" s="7"/>
      <c r="AY398" s="7"/>
      <c r="AZ398" s="7" t="s">
        <v>5274</v>
      </c>
      <c r="BA398" s="7"/>
      <c r="BB398" s="7"/>
      <c r="BC398" s="7" t="s">
        <v>401</v>
      </c>
      <c r="BD398" s="21">
        <v>44053.0</v>
      </c>
      <c r="BE398" s="7" t="s">
        <v>5275</v>
      </c>
      <c r="BF398" s="7"/>
      <c r="BG398" s="7"/>
      <c r="BH398" s="7">
        <v>4.79769051E8</v>
      </c>
      <c r="BI398" s="7" t="s">
        <v>5276</v>
      </c>
      <c r="BJ398" s="7"/>
      <c r="BK398" s="7" t="b">
        <v>0</v>
      </c>
      <c r="BL398" s="7" t="b">
        <v>0</v>
      </c>
      <c r="BM398" s="7"/>
      <c r="BN398" s="7" t="str">
        <f>IFERROR(__xludf.DUMMYFUNCTION(" IF( REGEXMATCH(C398 , ""[(].+[)]""),REGEXREPLACE( CONCATENATE(REGEXEXTRACT(C398 , ""[(].+[)]""),IF(REGEXMATCH(C398 , ""[(][Ll]['’][)]""),"""","" ""), REGEXEXTRACT(C398 ,""^(?:(?:[A-Za-zàäéèêîïöôûü0-9 ](?:[A-Za-zàäéèêîïöôûü'0-9 ]+)))"")) , ""[()]"", """")"&amp;",C398 )"),"Les Lilas ")</f>
        <v>Les Lilas </v>
      </c>
      <c r="BO398" s="25"/>
      <c r="BP398" s="7"/>
      <c r="BQ398" s="7"/>
      <c r="BR398" s="7"/>
      <c r="BS398" s="7"/>
      <c r="BT398" s="7"/>
      <c r="BU398" s="7"/>
      <c r="BV398" s="7"/>
      <c r="BW398" s="7"/>
      <c r="BX398" s="7"/>
      <c r="BY398" s="7"/>
      <c r="BZ398" s="7"/>
      <c r="CA398" s="7"/>
      <c r="CB398" s="7"/>
    </row>
    <row r="399" ht="21.75" customHeight="1">
      <c r="A399" s="7">
        <v>3895.0</v>
      </c>
      <c r="B399" s="7" t="s">
        <v>5277</v>
      </c>
      <c r="C399" s="7" t="s">
        <v>5278</v>
      </c>
      <c r="D399" s="7"/>
      <c r="E399" s="7"/>
      <c r="F399" s="7" t="s">
        <v>404</v>
      </c>
      <c r="G399" s="7" t="s">
        <v>343</v>
      </c>
      <c r="H399" s="7" t="s">
        <v>344</v>
      </c>
      <c r="I399" s="7" t="s">
        <v>5279</v>
      </c>
      <c r="J399" s="7"/>
      <c r="K399" s="7" t="s">
        <v>58</v>
      </c>
      <c r="L399" s="7" t="s">
        <v>59</v>
      </c>
      <c r="M399" s="7" t="s">
        <v>346</v>
      </c>
      <c r="N399" s="7" t="s">
        <v>455</v>
      </c>
      <c r="O399" s="7">
        <v>97418.0</v>
      </c>
      <c r="P399" s="7" t="s">
        <v>348</v>
      </c>
      <c r="Q399" s="7" t="s">
        <v>349</v>
      </c>
      <c r="R399" s="7"/>
      <c r="S399" s="7"/>
      <c r="T399" s="7"/>
      <c r="U399" s="7"/>
      <c r="V399" s="7">
        <v>2.62592059E8</v>
      </c>
      <c r="W399" s="7">
        <v>6.9287366E8</v>
      </c>
      <c r="X399" s="7">
        <v>6.92703889E8</v>
      </c>
      <c r="Y399" s="7"/>
      <c r="Z399" s="7" t="s">
        <v>5280</v>
      </c>
      <c r="AA399" s="7">
        <v>4.0</v>
      </c>
      <c r="AB399" s="7"/>
      <c r="AC399" s="7" t="s">
        <v>5281</v>
      </c>
      <c r="AD399" s="7" t="s">
        <v>5282</v>
      </c>
      <c r="AE399" s="7"/>
      <c r="AF399" s="7"/>
      <c r="AG399" s="7"/>
      <c r="AH399" s="20">
        <v>42170.0</v>
      </c>
      <c r="AI399" s="7"/>
      <c r="AJ399" s="7" t="s">
        <v>5283</v>
      </c>
      <c r="AK399" s="7"/>
      <c r="AL399" s="7" t="s">
        <v>5284</v>
      </c>
      <c r="AM399" s="7" t="s">
        <v>5285</v>
      </c>
      <c r="AN399" s="20">
        <v>42170.0</v>
      </c>
      <c r="AO399" s="7">
        <v>97418.0</v>
      </c>
      <c r="AP399" s="7" t="s">
        <v>362</v>
      </c>
      <c r="AQ399" s="7"/>
      <c r="AR399" s="7"/>
      <c r="AS399" s="7"/>
      <c r="AT399" s="7"/>
      <c r="AU399" s="7">
        <v>1.0</v>
      </c>
      <c r="AV399" s="7" t="s">
        <v>2218</v>
      </c>
      <c r="AW399" s="7"/>
      <c r="AX399" s="7"/>
      <c r="AY399" s="7"/>
      <c r="AZ399" s="7" t="s">
        <v>5286</v>
      </c>
      <c r="BA399" s="7"/>
      <c r="BB399" s="7"/>
      <c r="BC399" s="7" t="s">
        <v>5287</v>
      </c>
      <c r="BD399" s="21">
        <v>44246.521527777775</v>
      </c>
      <c r="BE399" s="7" t="s">
        <v>5288</v>
      </c>
      <c r="BF399" s="7" t="s">
        <v>5289</v>
      </c>
      <c r="BG399" s="7"/>
      <c r="BH399" s="7"/>
      <c r="BI399" s="7" t="s">
        <v>514</v>
      </c>
      <c r="BJ399" s="7"/>
      <c r="BK399" s="7" t="b">
        <v>0</v>
      </c>
      <c r="BL399" s="7" t="b">
        <v>0</v>
      </c>
      <c r="BM399" s="7"/>
      <c r="BN399" s="7" t="str">
        <f>IFERROR(__xludf.DUMMYFUNCTION(" IF( REGEXMATCH(C399 , ""[(].+[)]""),REGEXREPLACE( CONCATENATE(REGEXEXTRACT(C399 , ""[(].+[)]""),IF(REGEXMATCH(C399 , ""[(][Ll]['’][)]""),"""","" ""), REGEXEXTRACT(C399 ,""^(?:(?:[A-Za-zàäéèêîïöôûü0-9 ](?:[A-Za-zàäéèêîïöôûü'0-9 ]+)))"")) , ""[()]"", """")"&amp;",C399 )"),"Le Limousin ")</f>
        <v>Le Limousin </v>
      </c>
      <c r="BO399" s="25"/>
      <c r="BP399" s="7"/>
      <c r="BQ399" s="7"/>
      <c r="BR399" s="7"/>
      <c r="BS399" s="7"/>
      <c r="BT399" s="7"/>
      <c r="BU399" s="7"/>
      <c r="BV399" s="7"/>
      <c r="BW399" s="7"/>
      <c r="BX399" s="7"/>
      <c r="BY399" s="7"/>
      <c r="BZ399" s="7"/>
      <c r="CA399" s="7"/>
      <c r="CB399" s="7"/>
    </row>
    <row r="400" ht="21.75" customHeight="1">
      <c r="A400" s="7">
        <v>2248.0</v>
      </c>
      <c r="B400" s="7">
        <v>399.0</v>
      </c>
      <c r="C400" s="7" t="s">
        <v>5290</v>
      </c>
      <c r="D400" s="7"/>
      <c r="E400" s="7"/>
      <c r="F400" s="7" t="s">
        <v>404</v>
      </c>
      <c r="G400" s="7" t="s">
        <v>343</v>
      </c>
      <c r="H400" s="7" t="s">
        <v>344</v>
      </c>
      <c r="I400" s="7" t="s">
        <v>5291</v>
      </c>
      <c r="J400" s="7"/>
      <c r="K400" s="7" t="s">
        <v>34</v>
      </c>
      <c r="L400" s="7" t="s">
        <v>622</v>
      </c>
      <c r="M400" s="7" t="s">
        <v>622</v>
      </c>
      <c r="N400" s="7" t="s">
        <v>1609</v>
      </c>
      <c r="O400" s="7">
        <v>97430.0</v>
      </c>
      <c r="P400" s="7" t="s">
        <v>344</v>
      </c>
      <c r="Q400" s="7"/>
      <c r="R400" s="7"/>
      <c r="S400" s="7" t="s">
        <v>2658</v>
      </c>
      <c r="T400" s="7" t="s">
        <v>963</v>
      </c>
      <c r="U400" s="7" t="s">
        <v>424</v>
      </c>
      <c r="V400" s="7">
        <v>2.62271027E8</v>
      </c>
      <c r="W400" s="7">
        <v>6.92883647E8</v>
      </c>
      <c r="X400" s="7"/>
      <c r="Y400" s="7"/>
      <c r="Z400" s="7"/>
      <c r="AA400" s="7">
        <v>100.0</v>
      </c>
      <c r="AB400" s="7"/>
      <c r="AC400" s="7" t="s">
        <v>5292</v>
      </c>
      <c r="AD400" s="7" t="s">
        <v>5293</v>
      </c>
      <c r="AE400" s="7" t="s">
        <v>5294</v>
      </c>
      <c r="AF400" s="7"/>
      <c r="AG400" s="7"/>
      <c r="AH400" s="20">
        <v>43739.0</v>
      </c>
      <c r="AI400" s="7"/>
      <c r="AJ400" s="7" t="s">
        <v>5295</v>
      </c>
      <c r="AK400" s="7"/>
      <c r="AL400" s="7" t="s">
        <v>5296</v>
      </c>
      <c r="AM400" s="7" t="s">
        <v>5297</v>
      </c>
      <c r="AN400" s="20">
        <v>40213.0</v>
      </c>
      <c r="AO400" s="7">
        <v>97430.0</v>
      </c>
      <c r="AP400" s="7" t="s">
        <v>494</v>
      </c>
      <c r="AQ400" s="7"/>
      <c r="AR400" s="7"/>
      <c r="AS400" s="7"/>
      <c r="AT400" s="7"/>
      <c r="AU400" s="7">
        <v>0.0</v>
      </c>
      <c r="AV400" s="7" t="s">
        <v>5298</v>
      </c>
      <c r="AW400" s="7"/>
      <c r="AX400" s="7"/>
      <c r="AY400" s="7"/>
      <c r="AZ400" s="7"/>
      <c r="BA400" s="7"/>
      <c r="BB400" s="7"/>
      <c r="BC400" s="7" t="s">
        <v>366</v>
      </c>
      <c r="BD400" s="21">
        <v>44197.0</v>
      </c>
      <c r="BE400" s="7"/>
      <c r="BF400" s="7"/>
      <c r="BG400" s="22">
        <v>44197.0</v>
      </c>
      <c r="BH400" s="7"/>
      <c r="BI400" s="7" t="s">
        <v>5299</v>
      </c>
      <c r="BJ400" s="7"/>
      <c r="BK400" s="7" t="b">
        <v>0</v>
      </c>
      <c r="BL400" s="7" t="b">
        <v>0</v>
      </c>
      <c r="BM400" s="7"/>
      <c r="BN400" s="7" t="str">
        <f>IFERROR(__xludf.DUMMYFUNCTION(" IF( REGEXMATCH(C400 , ""[(].+[)]""),REGEXREPLACE( CONCATENATE(REGEXEXTRACT(C400 , ""[(].+[)]""),IF(REGEXMATCH(C400 , ""[(][Ll]['’][)]""),"""","" ""), REGEXEXTRACT(C400 ,""^(?:(?:[A-Za-zàäéèêîïöôûü0-9 ](?:[A-Za-zàäéèêîïöôûü'0-9 ]+)))"")) , ""[()]"", """")"&amp;",C400 )"),"Le Long Board ")</f>
        <v>Le Long Board </v>
      </c>
      <c r="BO400" s="23"/>
      <c r="BP400" s="7"/>
      <c r="BQ400" s="7"/>
      <c r="BR400" s="7"/>
      <c r="BS400" s="7"/>
      <c r="BT400" s="7"/>
      <c r="BU400" s="7"/>
      <c r="BV400" s="7"/>
      <c r="BW400" s="7"/>
      <c r="BX400" s="7"/>
      <c r="BY400" s="7"/>
      <c r="BZ400" s="7"/>
      <c r="CA400" s="7"/>
      <c r="CB400" s="7"/>
    </row>
    <row r="401" ht="21.75" customHeight="1">
      <c r="A401" s="7">
        <v>793.0</v>
      </c>
      <c r="B401" s="7" t="s">
        <v>5300</v>
      </c>
      <c r="C401" s="7" t="s">
        <v>5301</v>
      </c>
      <c r="D401" s="7" t="s">
        <v>5302</v>
      </c>
      <c r="E401" s="7"/>
      <c r="F401" s="7" t="s">
        <v>342</v>
      </c>
      <c r="G401" s="7" t="s">
        <v>343</v>
      </c>
      <c r="H401" s="7" t="s">
        <v>40</v>
      </c>
      <c r="I401" s="7" t="s">
        <v>5303</v>
      </c>
      <c r="J401" s="7"/>
      <c r="K401" s="7" t="s">
        <v>34</v>
      </c>
      <c r="L401" s="7" t="s">
        <v>622</v>
      </c>
      <c r="M401" s="7" t="s">
        <v>622</v>
      </c>
      <c r="N401" s="7" t="s">
        <v>5304</v>
      </c>
      <c r="O401" s="7">
        <v>97414.0</v>
      </c>
      <c r="P401" s="7" t="s">
        <v>40</v>
      </c>
      <c r="Q401" s="7"/>
      <c r="R401" s="7"/>
      <c r="S401" s="7" t="s">
        <v>5305</v>
      </c>
      <c r="T401" s="7" t="s">
        <v>1612</v>
      </c>
      <c r="U401" s="7" t="s">
        <v>592</v>
      </c>
      <c r="V401" s="7">
        <v>2.62397056E8</v>
      </c>
      <c r="W401" s="7">
        <v>6.93010272E8</v>
      </c>
      <c r="X401" s="7"/>
      <c r="Y401" s="7"/>
      <c r="Z401" s="7" t="s">
        <v>5306</v>
      </c>
      <c r="AA401" s="7">
        <v>70.0</v>
      </c>
      <c r="AB401" s="7"/>
      <c r="AC401" s="7"/>
      <c r="AD401" s="7" t="s">
        <v>5307</v>
      </c>
      <c r="AE401" s="7" t="s">
        <v>5308</v>
      </c>
      <c r="AF401" s="7" t="s">
        <v>1173</v>
      </c>
      <c r="AG401" s="7"/>
      <c r="AH401" s="20">
        <v>39575.0</v>
      </c>
      <c r="AI401" s="7"/>
      <c r="AJ401" s="7" t="s">
        <v>5309</v>
      </c>
      <c r="AK401" s="7">
        <v>8.7966710300011E13</v>
      </c>
      <c r="AL401" s="7" t="s">
        <v>5310</v>
      </c>
      <c r="AM401" s="7" t="s">
        <v>5311</v>
      </c>
      <c r="AN401" s="20">
        <v>39575.0</v>
      </c>
      <c r="AO401" s="7">
        <v>97414.0</v>
      </c>
      <c r="AP401" s="7" t="s">
        <v>429</v>
      </c>
      <c r="AQ401" s="7"/>
      <c r="AR401" s="7"/>
      <c r="AS401" s="7"/>
      <c r="AT401" s="7"/>
      <c r="AU401" s="7">
        <v>0.0</v>
      </c>
      <c r="AV401" s="7" t="s">
        <v>5312</v>
      </c>
      <c r="AW401" s="7"/>
      <c r="AX401" s="7"/>
      <c r="AY401" s="7"/>
      <c r="AZ401" s="7"/>
      <c r="BA401" s="7"/>
      <c r="BB401" s="7"/>
      <c r="BC401" s="7" t="s">
        <v>401</v>
      </c>
      <c r="BD401" s="7"/>
      <c r="BE401" s="7" t="s">
        <v>5313</v>
      </c>
      <c r="BF401" s="7"/>
      <c r="BG401" s="7"/>
      <c r="BH401" s="7">
        <v>8.79667103E8</v>
      </c>
      <c r="BI401" s="7" t="s">
        <v>1786</v>
      </c>
      <c r="BJ401" s="7"/>
      <c r="BK401" s="7" t="b">
        <v>0</v>
      </c>
      <c r="BL401" s="7" t="b">
        <v>0</v>
      </c>
      <c r="BM401" s="7"/>
      <c r="BN401" s="7" t="str">
        <f>IFERROR(__xludf.DUMMYFUNCTION(" IF( REGEXMATCH(C401 , ""[(].+[)]""),REGEXREPLACE( CONCATENATE(REGEXEXTRACT(C401 , ""[(].+[)]""),IF(REGEXMATCH(C401 , ""[(][Ll]['’][)]""),"""","" ""), REGEXEXTRACT(C401 ,""^(?:(?:[A-Za-zàäéèêîïöôûü0-9 ](?:[A-Za-zàäéèêîïöôûü'0-9 ]+)))"")) , ""[()]"", """")"&amp;",C401 )"),"Le Longanis ")</f>
        <v>Le Longanis </v>
      </c>
      <c r="BO401" s="25"/>
      <c r="BP401" s="7"/>
      <c r="BQ401" s="7"/>
      <c r="BR401" s="7"/>
      <c r="BS401" s="7"/>
      <c r="BT401" s="7"/>
      <c r="BU401" s="7"/>
      <c r="BV401" s="7"/>
      <c r="BW401" s="7"/>
      <c r="BX401" s="7"/>
      <c r="BY401" s="7"/>
      <c r="BZ401" s="7"/>
      <c r="CA401" s="7"/>
      <c r="CB401" s="7"/>
    </row>
    <row r="402" ht="21.75" customHeight="1">
      <c r="A402" s="7">
        <v>4337.0</v>
      </c>
      <c r="B402" s="7" t="s">
        <v>5314</v>
      </c>
      <c r="C402" s="7" t="s">
        <v>5315</v>
      </c>
      <c r="D402" s="7"/>
      <c r="E402" s="7"/>
      <c r="F402" s="7" t="s">
        <v>342</v>
      </c>
      <c r="G402" s="7" t="s">
        <v>343</v>
      </c>
      <c r="H402" s="7" t="s">
        <v>344</v>
      </c>
      <c r="I402" s="7" t="s">
        <v>5316</v>
      </c>
      <c r="J402" s="7"/>
      <c r="K402" s="7" t="s">
        <v>34</v>
      </c>
      <c r="L402" s="7" t="s">
        <v>622</v>
      </c>
      <c r="M402" s="7" t="s">
        <v>622</v>
      </c>
      <c r="N402" s="7" t="s">
        <v>664</v>
      </c>
      <c r="O402" s="7">
        <v>97430.0</v>
      </c>
      <c r="P402" s="7" t="s">
        <v>344</v>
      </c>
      <c r="Q402" s="7"/>
      <c r="R402" s="7"/>
      <c r="S402" s="7"/>
      <c r="T402" s="7" t="s">
        <v>5317</v>
      </c>
      <c r="U402" s="7" t="s">
        <v>353</v>
      </c>
      <c r="V402" s="7">
        <v>2.62271027E8</v>
      </c>
      <c r="W402" s="7">
        <v>6.92833648E8</v>
      </c>
      <c r="X402" s="7"/>
      <c r="Y402" s="7"/>
      <c r="Z402" s="7" t="s">
        <v>5318</v>
      </c>
      <c r="AA402" s="7">
        <v>100.0</v>
      </c>
      <c r="AB402" s="7"/>
      <c r="AC402" s="7" t="s">
        <v>5319</v>
      </c>
      <c r="AD402" s="7" t="s">
        <v>5320</v>
      </c>
      <c r="AE402" s="7"/>
      <c r="AF402" s="7"/>
      <c r="AG402" s="7"/>
      <c r="AH402" s="20">
        <v>42878.0</v>
      </c>
      <c r="AI402" s="7"/>
      <c r="AJ402" s="7" t="s">
        <v>5321</v>
      </c>
      <c r="AK402" s="7"/>
      <c r="AL402" s="7" t="s">
        <v>5322</v>
      </c>
      <c r="AM402" s="7" t="s">
        <v>5323</v>
      </c>
      <c r="AN402" s="20">
        <v>43739.0</v>
      </c>
      <c r="AO402" s="7">
        <v>97430.0</v>
      </c>
      <c r="AP402" s="7" t="s">
        <v>494</v>
      </c>
      <c r="AQ402" s="7"/>
      <c r="AR402" s="7"/>
      <c r="AS402" s="7"/>
      <c r="AT402" s="7"/>
      <c r="AU402" s="7">
        <v>0.0</v>
      </c>
      <c r="AV402" s="7" t="s">
        <v>5324</v>
      </c>
      <c r="AW402" s="7"/>
      <c r="AX402" s="7"/>
      <c r="AY402" s="7"/>
      <c r="AZ402" s="7"/>
      <c r="BA402" s="7"/>
      <c r="BB402" s="7"/>
      <c r="BC402" s="7" t="s">
        <v>401</v>
      </c>
      <c r="BD402" s="7"/>
      <c r="BE402" s="7" t="s">
        <v>5325</v>
      </c>
      <c r="BF402" s="7"/>
      <c r="BG402" s="7"/>
      <c r="BH402" s="7"/>
      <c r="BI402" s="7" t="s">
        <v>5299</v>
      </c>
      <c r="BJ402" s="7"/>
      <c r="BK402" s="7" t="b">
        <v>0</v>
      </c>
      <c r="BL402" s="7" t="b">
        <v>0</v>
      </c>
      <c r="BM402" s="7"/>
      <c r="BN402" s="7" t="str">
        <f>IFERROR(__xludf.DUMMYFUNCTION(" IF( REGEXMATCH(C402 , ""[(].+[)]""),REGEXREPLACE( CONCATENATE(REGEXEXTRACT(C402 , ""[(].+[)]""),IF(REGEXMATCH(C402 , ""[(][Ll]['’][)]""),"""","" ""), REGEXEXTRACT(C402 ,""^(?:(?:[A-Za-zàäéèêîïöôûü0-9 ](?:[A-Za-zàäéèêîïöôûü'0-9 ]+)))"")) , ""[()]"", """")"&amp;",C402 )"),"Le Longboard ")</f>
        <v>Le Longboard </v>
      </c>
      <c r="BO402" s="25"/>
      <c r="BP402" s="7"/>
      <c r="BQ402" s="7"/>
      <c r="BR402" s="7"/>
      <c r="BS402" s="7"/>
      <c r="BT402" s="7"/>
      <c r="BU402" s="7"/>
      <c r="BV402" s="7"/>
      <c r="BW402" s="7"/>
      <c r="BX402" s="7"/>
      <c r="BY402" s="7"/>
      <c r="BZ402" s="7"/>
      <c r="CA402" s="7"/>
      <c r="CB402" s="7"/>
    </row>
    <row r="403" ht="21.75" customHeight="1">
      <c r="A403" s="7">
        <v>496.0</v>
      </c>
      <c r="B403" s="7">
        <v>402.0</v>
      </c>
      <c r="C403" s="7" t="s">
        <v>5326</v>
      </c>
      <c r="D403" s="7" t="s">
        <v>5326</v>
      </c>
      <c r="E403" s="7"/>
      <c r="F403" s="7" t="s">
        <v>404</v>
      </c>
      <c r="G403" s="7" t="s">
        <v>343</v>
      </c>
      <c r="H403" s="7" t="s">
        <v>123</v>
      </c>
      <c r="I403" s="7" t="s">
        <v>5327</v>
      </c>
      <c r="J403" s="7"/>
      <c r="K403" s="7"/>
      <c r="L403" s="7"/>
      <c r="M403" s="7"/>
      <c r="N403" s="7"/>
      <c r="O403" s="7">
        <v>97480.0</v>
      </c>
      <c r="P403" s="7" t="s">
        <v>123</v>
      </c>
      <c r="Q403" s="7"/>
      <c r="R403" s="7"/>
      <c r="S403" s="7"/>
      <c r="T403" s="7"/>
      <c r="U403" s="7"/>
      <c r="V403" s="7"/>
      <c r="W403" s="7"/>
      <c r="X403" s="7"/>
      <c r="Y403" s="7"/>
      <c r="Z403" s="7"/>
      <c r="AA403" s="7"/>
      <c r="AB403" s="7"/>
      <c r="AC403" s="7"/>
      <c r="AD403" s="7"/>
      <c r="AE403" s="7"/>
      <c r="AF403" s="7"/>
      <c r="AG403" s="7"/>
      <c r="AH403" s="7"/>
      <c r="AI403" s="7"/>
      <c r="AJ403" s="7" t="s">
        <v>5326</v>
      </c>
      <c r="AK403" s="7"/>
      <c r="AL403" s="7" t="s">
        <v>5328</v>
      </c>
      <c r="AM403" s="7">
        <v>2.62560156E8</v>
      </c>
      <c r="AN403" s="20">
        <v>39575.0</v>
      </c>
      <c r="AO403" s="7">
        <v>97480.0</v>
      </c>
      <c r="AP403" s="7" t="s">
        <v>385</v>
      </c>
      <c r="AQ403" s="7"/>
      <c r="AR403" s="7"/>
      <c r="AS403" s="7"/>
      <c r="AT403" s="7"/>
      <c r="AU403" s="7">
        <v>0.0</v>
      </c>
      <c r="AV403" s="7" t="s">
        <v>5329</v>
      </c>
      <c r="AW403" s="7"/>
      <c r="AX403" s="7"/>
      <c r="AY403" s="7"/>
      <c r="AZ403" s="7"/>
      <c r="BA403" s="7"/>
      <c r="BB403" s="7"/>
      <c r="BC403" s="7" t="s">
        <v>366</v>
      </c>
      <c r="BD403" s="21">
        <v>44228.09722222222</v>
      </c>
      <c r="BE403" s="7"/>
      <c r="BF403" s="7"/>
      <c r="BG403" s="22">
        <v>44228.0</v>
      </c>
      <c r="BH403" s="7"/>
      <c r="BI403" s="7" t="s">
        <v>5330</v>
      </c>
      <c r="BJ403" s="7"/>
      <c r="BK403" s="7" t="b">
        <v>0</v>
      </c>
      <c r="BL403" s="7" t="b">
        <v>0</v>
      </c>
      <c r="BM403" s="7"/>
      <c r="BN403" s="7" t="str">
        <f>IFERROR(__xludf.DUMMYFUNCTION(" IF( REGEXMATCH(C403 , ""[(].+[)]""),REGEXREPLACE( CONCATENATE(REGEXEXTRACT(C403 , ""[(].+[)]""),IF(REGEXMATCH(C403 , ""[(][Ll]['’][)]""),"""","" ""), REGEXEXTRACT(C403 ,""^(?:(?:[A-Za-zàäéèêîïöôûü0-9 ](?:[A-Za-zàäéèêîïöôûü'0-9 ]+)))"")) , ""[()]"", """")"&amp;",C403 )"),"Le Lotus ")</f>
        <v>Le Lotus </v>
      </c>
      <c r="BO403" s="23"/>
      <c r="BP403" s="7"/>
      <c r="BQ403" s="7"/>
      <c r="BR403" s="7"/>
      <c r="BS403" s="7"/>
      <c r="BT403" s="7"/>
      <c r="BU403" s="7"/>
      <c r="BV403" s="7"/>
      <c r="BW403" s="7"/>
      <c r="BX403" s="7"/>
      <c r="BY403" s="7"/>
      <c r="BZ403" s="7"/>
      <c r="CA403" s="7"/>
      <c r="CB403" s="7"/>
    </row>
    <row r="404" ht="21.75" customHeight="1">
      <c r="A404" s="7">
        <v>2650.0</v>
      </c>
      <c r="B404" s="7" t="s">
        <v>5331</v>
      </c>
      <c r="C404" s="7" t="s">
        <v>5332</v>
      </c>
      <c r="D404" s="7"/>
      <c r="E404" s="7"/>
      <c r="F404" s="7" t="s">
        <v>404</v>
      </c>
      <c r="G404" s="7" t="s">
        <v>343</v>
      </c>
      <c r="H404" s="7" t="s">
        <v>344</v>
      </c>
      <c r="I404" s="7" t="s">
        <v>5333</v>
      </c>
      <c r="J404" s="7"/>
      <c r="K404" s="7" t="s">
        <v>58</v>
      </c>
      <c r="L404" s="7" t="s">
        <v>59</v>
      </c>
      <c r="M404" s="7" t="s">
        <v>346</v>
      </c>
      <c r="N404" s="7" t="s">
        <v>455</v>
      </c>
      <c r="O404" s="7">
        <v>97418.0</v>
      </c>
      <c r="P404" s="7" t="s">
        <v>348</v>
      </c>
      <c r="Q404" s="7" t="s">
        <v>349</v>
      </c>
      <c r="R404" s="7" t="s">
        <v>5334</v>
      </c>
      <c r="S404" s="7" t="s">
        <v>409</v>
      </c>
      <c r="T404" s="7" t="s">
        <v>377</v>
      </c>
      <c r="U404" s="7" t="s">
        <v>353</v>
      </c>
      <c r="V404" s="7">
        <v>2.62593348E8</v>
      </c>
      <c r="W404" s="7">
        <v>6.92900813E8</v>
      </c>
      <c r="X404" s="7"/>
      <c r="Y404" s="7"/>
      <c r="Z404" s="7" t="s">
        <v>5335</v>
      </c>
      <c r="AA404" s="7">
        <v>15.0</v>
      </c>
      <c r="AB404" s="7"/>
      <c r="AC404" s="7"/>
      <c r="AD404" s="7" t="s">
        <v>5336</v>
      </c>
      <c r="AE404" s="7" t="s">
        <v>5337</v>
      </c>
      <c r="AF404" s="7"/>
      <c r="AG404" s="7"/>
      <c r="AH404" s="20">
        <v>43739.0</v>
      </c>
      <c r="AI404" s="7"/>
      <c r="AJ404" s="7" t="s">
        <v>5338</v>
      </c>
      <c r="AK404" s="7">
        <v>3.4374774700057E13</v>
      </c>
      <c r="AL404" s="7" t="s">
        <v>5339</v>
      </c>
      <c r="AM404" s="7" t="s">
        <v>5340</v>
      </c>
      <c r="AN404" s="20">
        <v>43739.0</v>
      </c>
      <c r="AO404" s="7">
        <v>97418.0</v>
      </c>
      <c r="AP404" s="7" t="s">
        <v>362</v>
      </c>
      <c r="AQ404" s="7"/>
      <c r="AR404" s="7"/>
      <c r="AS404" s="7"/>
      <c r="AT404" s="7"/>
      <c r="AU404" s="7">
        <v>5.0</v>
      </c>
      <c r="AV404" s="7" t="s">
        <v>5341</v>
      </c>
      <c r="AW404" s="7"/>
      <c r="AX404" s="7" t="s">
        <v>5342</v>
      </c>
      <c r="AY404" s="7" t="s">
        <v>2046</v>
      </c>
      <c r="AZ404" s="7"/>
      <c r="BA404" s="7"/>
      <c r="BB404" s="7"/>
      <c r="BC404" s="7" t="s">
        <v>401</v>
      </c>
      <c r="BD404" s="21">
        <v>44088.17361111111</v>
      </c>
      <c r="BE404" s="7" t="s">
        <v>5343</v>
      </c>
      <c r="BF404" s="7"/>
      <c r="BG404" s="7"/>
      <c r="BH404" s="7">
        <v>3.43747747E8</v>
      </c>
      <c r="BI404" s="7" t="s">
        <v>5344</v>
      </c>
      <c r="BJ404" s="7"/>
      <c r="BK404" s="7" t="b">
        <v>0</v>
      </c>
      <c r="BL404" s="7" t="b">
        <v>0</v>
      </c>
      <c r="BM404" s="7"/>
      <c r="BN404" s="7" t="str">
        <f>IFERROR(__xludf.DUMMYFUNCTION(" IF( REGEXMATCH(C404 , ""[(].+[)]""),REGEXREPLACE( CONCATENATE(REGEXEXTRACT(C404 , ""[(].+[)]""),IF(REGEXMATCH(C404 , ""[(][Ll]['’][)]""),"""","" ""), REGEXEXTRACT(C404 ,""^(?:(?:[A-Za-zàäéèêîïöôûü0-9 ](?:[A-Za-zàäéèêîïöôûü'0-9 ]+)))"")) , ""[()]"", """")"&amp;",C404 )"),"Lune de Miel")</f>
        <v>Lune de Miel</v>
      </c>
      <c r="BO404" s="25"/>
      <c r="BP404" s="7"/>
      <c r="BQ404" s="7"/>
      <c r="BR404" s="7"/>
      <c r="BS404" s="7"/>
      <c r="BT404" s="7"/>
      <c r="BU404" s="7"/>
      <c r="BV404" s="7"/>
      <c r="BW404" s="7"/>
      <c r="BX404" s="7"/>
      <c r="BY404" s="7"/>
      <c r="BZ404" s="7"/>
      <c r="CA404" s="7"/>
      <c r="CB404" s="7"/>
    </row>
    <row r="405" ht="21.75" customHeight="1">
      <c r="A405" s="7">
        <v>1548.0</v>
      </c>
      <c r="B405" s="7" t="s">
        <v>5345</v>
      </c>
      <c r="C405" s="7" t="s">
        <v>5346</v>
      </c>
      <c r="D405" s="7" t="s">
        <v>5346</v>
      </c>
      <c r="E405" s="7"/>
      <c r="F405" s="7" t="s">
        <v>342</v>
      </c>
      <c r="G405" s="7" t="s">
        <v>343</v>
      </c>
      <c r="H405" s="7" t="s">
        <v>344</v>
      </c>
      <c r="I405" s="7" t="s">
        <v>5347</v>
      </c>
      <c r="J405" s="7"/>
      <c r="K405" s="7" t="s">
        <v>58</v>
      </c>
      <c r="L405" s="7" t="s">
        <v>59</v>
      </c>
      <c r="M405" s="7" t="s">
        <v>346</v>
      </c>
      <c r="N405" s="7" t="s">
        <v>407</v>
      </c>
      <c r="O405" s="7">
        <v>97418.0</v>
      </c>
      <c r="P405" s="7" t="s">
        <v>348</v>
      </c>
      <c r="Q405" s="7" t="s">
        <v>349</v>
      </c>
      <c r="R405" s="7" t="s">
        <v>5348</v>
      </c>
      <c r="S405" s="7"/>
      <c r="T405" s="7"/>
      <c r="U405" s="7" t="s">
        <v>592</v>
      </c>
      <c r="V405" s="7">
        <v>2.62497057E8</v>
      </c>
      <c r="W405" s="7">
        <v>6.92818419E8</v>
      </c>
      <c r="X405" s="7"/>
      <c r="Y405" s="7">
        <v>2.62497057E8</v>
      </c>
      <c r="Z405" s="7" t="s">
        <v>5349</v>
      </c>
      <c r="AA405" s="7">
        <v>26.0</v>
      </c>
      <c r="AB405" s="7"/>
      <c r="AC405" s="7" t="s">
        <v>5350</v>
      </c>
      <c r="AD405" s="7" t="s">
        <v>5351</v>
      </c>
      <c r="AE405" s="7" t="s">
        <v>5352</v>
      </c>
      <c r="AF405" s="7"/>
      <c r="AG405" s="7"/>
      <c r="AH405" s="20">
        <v>39883.0</v>
      </c>
      <c r="AI405" s="7"/>
      <c r="AJ405" s="7" t="s">
        <v>5353</v>
      </c>
      <c r="AK405" s="7">
        <v>3.7781169000025E13</v>
      </c>
      <c r="AL405" s="7" t="s">
        <v>5354</v>
      </c>
      <c r="AM405" s="7" t="s">
        <v>5355</v>
      </c>
      <c r="AN405" s="20">
        <v>43739.0</v>
      </c>
      <c r="AO405" s="7">
        <v>97418.0</v>
      </c>
      <c r="AP405" s="7" t="s">
        <v>362</v>
      </c>
      <c r="AQ405" s="7"/>
      <c r="AR405" s="7"/>
      <c r="AS405" s="7"/>
      <c r="AT405" s="7"/>
      <c r="AU405" s="7">
        <v>2.0</v>
      </c>
      <c r="AV405" s="7" t="s">
        <v>5356</v>
      </c>
      <c r="AW405" s="7"/>
      <c r="AX405" s="7" t="s">
        <v>5357</v>
      </c>
      <c r="AY405" s="7" t="s">
        <v>2046</v>
      </c>
      <c r="AZ405" s="7" t="s">
        <v>5358</v>
      </c>
      <c r="BA405" s="7"/>
      <c r="BB405" s="7"/>
      <c r="BC405" s="7" t="s">
        <v>401</v>
      </c>
      <c r="BD405" s="21">
        <v>44166.0</v>
      </c>
      <c r="BE405" s="7" t="s">
        <v>5359</v>
      </c>
      <c r="BF405" s="7"/>
      <c r="BG405" s="7"/>
      <c r="BH405" s="7">
        <v>3.7781169E8</v>
      </c>
      <c r="BI405" s="7" t="s">
        <v>5360</v>
      </c>
      <c r="BJ405" s="7"/>
      <c r="BK405" s="7" t="b">
        <v>0</v>
      </c>
      <c r="BL405" s="7" t="b">
        <v>0</v>
      </c>
      <c r="BM405" s="7"/>
      <c r="BN405" s="7" t="str">
        <f>IFERROR(__xludf.DUMMYFUNCTION(" IF( REGEXMATCH(C405 , ""[(].+[)]""),REGEXREPLACE( CONCATENATE(REGEXEXTRACT(C405 , ""[(].+[)]""),IF(REGEXMATCH(C405 , ""[(][Ll]['’][)]""),"""","" ""), REGEXEXTRACT(C405 ,""^(?:(?:[A-Za-zàäéèêîïöôûü0-9 ](?:[A-Za-zàäéèêîïöôûü'0-9 ]+)))"")) , ""[()]"", """")"&amp;",C405 )"),"Les Lys ")</f>
        <v>Les Lys </v>
      </c>
      <c r="BO405" s="25"/>
      <c r="BP405" s="7"/>
      <c r="BQ405" s="7"/>
      <c r="BR405" s="7"/>
      <c r="BS405" s="7"/>
      <c r="BT405" s="7"/>
      <c r="BU405" s="7"/>
      <c r="BV405" s="7"/>
      <c r="BW405" s="7"/>
      <c r="BX405" s="7"/>
      <c r="BY405" s="7"/>
      <c r="BZ405" s="7"/>
      <c r="CA405" s="7"/>
      <c r="CB405" s="7"/>
    </row>
    <row r="406" ht="21.75" customHeight="1">
      <c r="A406" s="7">
        <v>2474.0</v>
      </c>
      <c r="B406" s="7" t="s">
        <v>5361</v>
      </c>
      <c r="C406" s="7" t="s">
        <v>5362</v>
      </c>
      <c r="D406" s="7"/>
      <c r="E406" s="7"/>
      <c r="F406" s="7" t="s">
        <v>342</v>
      </c>
      <c r="G406" s="7" t="s">
        <v>343</v>
      </c>
      <c r="H406" s="7" t="s">
        <v>33</v>
      </c>
      <c r="I406" s="7" t="s">
        <v>5363</v>
      </c>
      <c r="J406" s="7"/>
      <c r="K406" s="7" t="s">
        <v>34</v>
      </c>
      <c r="L406" s="7" t="s">
        <v>622</v>
      </c>
      <c r="M406" s="7" t="s">
        <v>622</v>
      </c>
      <c r="N406" s="7" t="s">
        <v>422</v>
      </c>
      <c r="O406" s="7">
        <v>97442.0</v>
      </c>
      <c r="P406" s="7" t="s">
        <v>33</v>
      </c>
      <c r="Q406" s="7"/>
      <c r="R406" s="7"/>
      <c r="S406" s="7"/>
      <c r="T406" s="7" t="s">
        <v>963</v>
      </c>
      <c r="U406" s="7" t="s">
        <v>592</v>
      </c>
      <c r="V406" s="7">
        <v>2.6237153E8</v>
      </c>
      <c r="W406" s="7"/>
      <c r="X406" s="7"/>
      <c r="Y406" s="7"/>
      <c r="Z406" s="7" t="s">
        <v>5364</v>
      </c>
      <c r="AA406" s="7">
        <v>60.0</v>
      </c>
      <c r="AB406" s="7"/>
      <c r="AC406" s="7"/>
      <c r="AD406" s="7" t="s">
        <v>5365</v>
      </c>
      <c r="AE406" s="7" t="s">
        <v>5366</v>
      </c>
      <c r="AF406" s="7"/>
      <c r="AG406" s="7"/>
      <c r="AH406" s="20">
        <v>43739.0</v>
      </c>
      <c r="AI406" s="7"/>
      <c r="AJ406" s="7" t="s">
        <v>5367</v>
      </c>
      <c r="AK406" s="7">
        <v>3.438675860002E13</v>
      </c>
      <c r="AL406" s="7" t="s">
        <v>5368</v>
      </c>
      <c r="AM406" s="7">
        <v>2.6237153E8</v>
      </c>
      <c r="AN406" s="20">
        <v>43739.0</v>
      </c>
      <c r="AO406" s="7">
        <v>97442.0</v>
      </c>
      <c r="AP406" s="7" t="s">
        <v>884</v>
      </c>
      <c r="AQ406" s="7"/>
      <c r="AR406" s="7"/>
      <c r="AS406" s="7"/>
      <c r="AT406" s="7"/>
      <c r="AU406" s="7">
        <v>0.0</v>
      </c>
      <c r="AV406" s="7" t="s">
        <v>5369</v>
      </c>
      <c r="AW406" s="7"/>
      <c r="AX406" s="7"/>
      <c r="AY406" s="7"/>
      <c r="AZ406" s="7"/>
      <c r="BA406" s="7"/>
      <c r="BB406" s="7"/>
      <c r="BC406" s="7" t="s">
        <v>401</v>
      </c>
      <c r="BD406" s="21">
        <v>44068.22361111111</v>
      </c>
      <c r="BE406" s="7" t="s">
        <v>5370</v>
      </c>
      <c r="BF406" s="7"/>
      <c r="BG406" s="7"/>
      <c r="BH406" s="7">
        <v>3.43867586E8</v>
      </c>
      <c r="BI406" s="7" t="s">
        <v>5371</v>
      </c>
      <c r="BJ406" s="7"/>
      <c r="BK406" s="7" t="b">
        <v>0</v>
      </c>
      <c r="BL406" s="7" t="b">
        <v>0</v>
      </c>
      <c r="BM406" s="7"/>
      <c r="BN406" s="7" t="str">
        <f>IFERROR(__xludf.DUMMYFUNCTION(" IF( REGEXMATCH(C406 , ""[(].+[)]""),REGEXREPLACE( CONCATENATE(REGEXEXTRACT(C406 , ""[(].+[)]""),IF(REGEXMATCH(C406 , ""[(][Ll]['’][)]""),"""","" ""), REGEXEXTRACT(C406 ,""^(?:(?:[A-Za-zàäéèêîïöôûü0-9 ](?:[A-Za-zàäéèêîïöôûü'0-9 ]+)))"")) , ""[()]"", """")"&amp;",C406 )"),"Le Maccabit ")</f>
        <v>Le Maccabit </v>
      </c>
      <c r="BO406" s="25"/>
      <c r="BP406" s="7"/>
      <c r="BQ406" s="7"/>
      <c r="BR406" s="7"/>
      <c r="BS406" s="7"/>
      <c r="BT406" s="7"/>
      <c r="BU406" s="7"/>
      <c r="BV406" s="7"/>
      <c r="BW406" s="7"/>
      <c r="BX406" s="7"/>
      <c r="BY406" s="7"/>
      <c r="BZ406" s="7"/>
      <c r="CA406" s="7"/>
      <c r="CB406" s="7"/>
    </row>
    <row r="407" ht="21.75" customHeight="1">
      <c r="A407" s="7">
        <v>5268.0</v>
      </c>
      <c r="B407" s="7" t="s">
        <v>5372</v>
      </c>
      <c r="C407" s="7" t="s">
        <v>5373</v>
      </c>
      <c r="D407" s="7"/>
      <c r="E407" s="7"/>
      <c r="F407" s="7" t="s">
        <v>342</v>
      </c>
      <c r="G407" s="7" t="s">
        <v>343</v>
      </c>
      <c r="H407" s="7" t="s">
        <v>344</v>
      </c>
      <c r="I407" s="7" t="s">
        <v>5374</v>
      </c>
      <c r="J407" s="26" t="s">
        <v>5375</v>
      </c>
      <c r="K407" s="7" t="s">
        <v>58</v>
      </c>
      <c r="L407" s="7" t="s">
        <v>59</v>
      </c>
      <c r="M407" s="7" t="s">
        <v>346</v>
      </c>
      <c r="N407" s="7"/>
      <c r="O407" s="7">
        <v>97430.0</v>
      </c>
      <c r="P407" s="7" t="s">
        <v>344</v>
      </c>
      <c r="Q407" s="7"/>
      <c r="R407" s="7" t="s">
        <v>5376</v>
      </c>
      <c r="S407" s="7" t="s">
        <v>5377</v>
      </c>
      <c r="T407" s="7" t="s">
        <v>1567</v>
      </c>
      <c r="U407" s="7" t="s">
        <v>592</v>
      </c>
      <c r="V407" s="7"/>
      <c r="W407" s="7">
        <v>6.93484156E8</v>
      </c>
      <c r="X407" s="7"/>
      <c r="Y407" s="7"/>
      <c r="Z407" s="7" t="s">
        <v>5378</v>
      </c>
      <c r="AA407" s="7">
        <v>4.0</v>
      </c>
      <c r="AB407" s="7" t="s">
        <v>2716</v>
      </c>
      <c r="AC407" s="7" t="s">
        <v>5379</v>
      </c>
      <c r="AD407" s="7" t="s">
        <v>5380</v>
      </c>
      <c r="AE407" s="7"/>
      <c r="AF407" s="7"/>
      <c r="AG407" s="7"/>
      <c r="AH407" s="7"/>
      <c r="AI407" s="7"/>
      <c r="AJ407" s="7" t="s">
        <v>5381</v>
      </c>
      <c r="AK407" s="7"/>
      <c r="AL407" s="7" t="s">
        <v>5382</v>
      </c>
      <c r="AM407" s="7" t="s">
        <v>5383</v>
      </c>
      <c r="AN407" s="20">
        <v>43916.0</v>
      </c>
      <c r="AO407" s="7">
        <v>97430.0</v>
      </c>
      <c r="AP407" s="7" t="s">
        <v>494</v>
      </c>
      <c r="AQ407" s="7"/>
      <c r="AR407" s="7"/>
      <c r="AS407" s="7"/>
      <c r="AT407" s="7"/>
      <c r="AU407" s="7">
        <v>1.0</v>
      </c>
      <c r="AV407" s="7" t="s">
        <v>5384</v>
      </c>
      <c r="AW407" s="7"/>
      <c r="AX407" s="7" t="s">
        <v>1828</v>
      </c>
      <c r="AY407" s="7" t="s">
        <v>1590</v>
      </c>
      <c r="AZ407" s="7" t="s">
        <v>5385</v>
      </c>
      <c r="BA407" s="7"/>
      <c r="BB407" s="7"/>
      <c r="BC407" s="7" t="s">
        <v>401</v>
      </c>
      <c r="BD407" s="21">
        <v>44246.53888888889</v>
      </c>
      <c r="BE407" s="7" t="s">
        <v>5386</v>
      </c>
      <c r="BF407" s="7"/>
      <c r="BG407" s="7"/>
      <c r="BH407" s="7"/>
      <c r="BI407" s="7" t="s">
        <v>5387</v>
      </c>
      <c r="BJ407" s="7"/>
      <c r="BK407" s="7" t="b">
        <v>0</v>
      </c>
      <c r="BL407" s="7" t="b">
        <v>0</v>
      </c>
      <c r="BM407" s="7"/>
      <c r="BN407" s="7" t="str">
        <f>IFERROR(__xludf.DUMMYFUNCTION(" IF( REGEXMATCH(C407 , ""[(].+[)]""),REGEXREPLACE( CONCATENATE(REGEXEXTRACT(C407 , ""[(].+[)]""),IF(REGEXMATCH(C407 , ""[(][Ll]['’][)]""),"""","" ""), REGEXEXTRACT(C407 ,""^(?:(?:[A-Za-zàäéèêîïöôûü0-9 ](?:[A-Za-zàäéèêîïöôûü'0-9 ]+)))"")) , ""[()]"", """")"&amp;",C407 )"),"Le Magnolia ")</f>
        <v>Le Magnolia </v>
      </c>
      <c r="BO407" s="25"/>
      <c r="BP407" s="7"/>
      <c r="BQ407" s="7"/>
      <c r="BR407" s="7"/>
      <c r="BS407" s="7"/>
      <c r="BT407" s="7"/>
      <c r="BU407" s="7"/>
      <c r="BV407" s="7"/>
      <c r="BW407" s="7"/>
      <c r="BX407" s="7"/>
      <c r="BY407" s="7"/>
      <c r="BZ407" s="7"/>
      <c r="CA407" s="7"/>
      <c r="CB407" s="7"/>
    </row>
    <row r="408" ht="21.75" customHeight="1">
      <c r="A408" s="7">
        <v>910.0</v>
      </c>
      <c r="B408" s="7" t="s">
        <v>5388</v>
      </c>
      <c r="C408" s="7" t="s">
        <v>5389</v>
      </c>
      <c r="D408" s="7" t="s">
        <v>5390</v>
      </c>
      <c r="E408" s="7"/>
      <c r="F408" s="7" t="s">
        <v>342</v>
      </c>
      <c r="G408" s="7" t="s">
        <v>343</v>
      </c>
      <c r="H408" s="7" t="s">
        <v>123</v>
      </c>
      <c r="I408" s="7" t="s">
        <v>5391</v>
      </c>
      <c r="J408" s="7"/>
      <c r="K408" s="7" t="s">
        <v>58</v>
      </c>
      <c r="L408" s="7" t="s">
        <v>137</v>
      </c>
      <c r="M408" s="7" t="s">
        <v>1091</v>
      </c>
      <c r="N408" s="7" t="s">
        <v>4306</v>
      </c>
      <c r="O408" s="7">
        <v>97480.0</v>
      </c>
      <c r="P408" s="7" t="s">
        <v>123</v>
      </c>
      <c r="Q408" s="7"/>
      <c r="R408" s="7" t="s">
        <v>4307</v>
      </c>
      <c r="S408" s="7" t="s">
        <v>2842</v>
      </c>
      <c r="T408" s="7" t="s">
        <v>439</v>
      </c>
      <c r="U408" s="7" t="s">
        <v>353</v>
      </c>
      <c r="V408" s="7"/>
      <c r="W408" s="7">
        <v>6.92207652E8</v>
      </c>
      <c r="X408" s="7"/>
      <c r="Y408" s="7"/>
      <c r="Z408" s="7"/>
      <c r="AA408" s="7">
        <v>25.0</v>
      </c>
      <c r="AB408" s="7"/>
      <c r="AC408" s="7" t="s">
        <v>5392</v>
      </c>
      <c r="AD408" s="7" t="s">
        <v>5393</v>
      </c>
      <c r="AE408" s="7"/>
      <c r="AF408" s="7"/>
      <c r="AG408" s="7"/>
      <c r="AH408" s="20">
        <v>39575.0</v>
      </c>
      <c r="AI408" s="7"/>
      <c r="AJ408" s="7" t="s">
        <v>5394</v>
      </c>
      <c r="AK408" s="7"/>
      <c r="AL408" s="7" t="s">
        <v>5395</v>
      </c>
      <c r="AM408" s="7" t="s">
        <v>5396</v>
      </c>
      <c r="AN408" s="20">
        <v>39575.0</v>
      </c>
      <c r="AO408" s="7">
        <v>97480.0</v>
      </c>
      <c r="AP408" s="7" t="s">
        <v>385</v>
      </c>
      <c r="AQ408" s="7"/>
      <c r="AR408" s="7"/>
      <c r="AS408" s="7"/>
      <c r="AT408" s="7"/>
      <c r="AU408" s="7">
        <v>1.0</v>
      </c>
      <c r="AV408" s="7" t="s">
        <v>5397</v>
      </c>
      <c r="AW408" s="7"/>
      <c r="AX408" s="7"/>
      <c r="AY408" s="7"/>
      <c r="AZ408" s="7" t="s">
        <v>5398</v>
      </c>
      <c r="BA408" s="7"/>
      <c r="BB408" s="7"/>
      <c r="BC408" s="7" t="s">
        <v>401</v>
      </c>
      <c r="BD408" s="21">
        <v>44101.20486111111</v>
      </c>
      <c r="BE408" s="7" t="s">
        <v>449</v>
      </c>
      <c r="BF408" s="7"/>
      <c r="BG408" s="7"/>
      <c r="BH408" s="7"/>
      <c r="BI408" s="7" t="s">
        <v>5399</v>
      </c>
      <c r="BJ408" s="7"/>
      <c r="BK408" s="7" t="b">
        <v>0</v>
      </c>
      <c r="BL408" s="7" t="b">
        <v>0</v>
      </c>
      <c r="BM408" s="7"/>
      <c r="BN408" s="7" t="str">
        <f>IFERROR(__xludf.DUMMYFUNCTION(" IF( REGEXMATCH(C408 , ""[(].+[)]""),REGEXREPLACE( CONCATENATE(REGEXEXTRACT(C408 , ""[(].+[)]""),IF(REGEXMATCH(C408 , ""[(][Ll]['’][)]""),"""","" ""), REGEXEXTRACT(C408 ,""^(?:(?:[A-Za-zàäéèêîïöôûü0-9 ](?:[A-Za-zàäéèêîïöôûü'0-9 ]+)))"")) , ""[()]"", """")"&amp;",C408 )"),"Le Mahavel ")</f>
        <v>Le Mahavel </v>
      </c>
      <c r="BO408" s="25"/>
      <c r="BP408" s="7"/>
      <c r="BQ408" s="7"/>
      <c r="BR408" s="7"/>
      <c r="BS408" s="7"/>
      <c r="BT408" s="7"/>
      <c r="BU408" s="7"/>
      <c r="BV408" s="7"/>
      <c r="BW408" s="7"/>
      <c r="BX408" s="7"/>
      <c r="BY408" s="7"/>
      <c r="BZ408" s="7"/>
      <c r="CA408" s="7"/>
      <c r="CB408" s="7"/>
    </row>
    <row r="409" ht="21.75" customHeight="1">
      <c r="A409" s="7">
        <v>3067.0</v>
      </c>
      <c r="B409" s="7">
        <v>408.0</v>
      </c>
      <c r="C409" s="7" t="s">
        <v>5400</v>
      </c>
      <c r="D409" s="7" t="s">
        <v>5400</v>
      </c>
      <c r="E409" s="7"/>
      <c r="F409" s="7" t="s">
        <v>342</v>
      </c>
      <c r="G409" s="7" t="s">
        <v>343</v>
      </c>
      <c r="H409" s="7" t="s">
        <v>344</v>
      </c>
      <c r="I409" s="7" t="s">
        <v>5401</v>
      </c>
      <c r="J409" s="7"/>
      <c r="K409" s="7" t="s">
        <v>58</v>
      </c>
      <c r="L409" s="7" t="s">
        <v>59</v>
      </c>
      <c r="M409" s="7" t="s">
        <v>346</v>
      </c>
      <c r="N409" s="7" t="s">
        <v>455</v>
      </c>
      <c r="O409" s="7">
        <v>97418.0</v>
      </c>
      <c r="P409" s="7" t="s">
        <v>348</v>
      </c>
      <c r="Q409" s="7" t="s">
        <v>349</v>
      </c>
      <c r="R409" s="7" t="s">
        <v>5402</v>
      </c>
      <c r="S409" s="7" t="s">
        <v>5403</v>
      </c>
      <c r="T409" s="7" t="s">
        <v>377</v>
      </c>
      <c r="U409" s="7" t="s">
        <v>424</v>
      </c>
      <c r="V409" s="7">
        <v>2.62384936E8</v>
      </c>
      <c r="W409" s="7">
        <v>6.9226638E8</v>
      </c>
      <c r="X409" s="7"/>
      <c r="Y409" s="7"/>
      <c r="Z409" s="7" t="s">
        <v>5404</v>
      </c>
      <c r="AA409" s="7">
        <v>4.0</v>
      </c>
      <c r="AB409" s="7"/>
      <c r="AC409" s="7"/>
      <c r="AD409" s="7" t="s">
        <v>5405</v>
      </c>
      <c r="AE409" s="7" t="s">
        <v>5406</v>
      </c>
      <c r="AF409" s="7"/>
      <c r="AG409" s="7"/>
      <c r="AH409" s="20">
        <v>43739.0</v>
      </c>
      <c r="AI409" s="7"/>
      <c r="AJ409" s="7" t="s">
        <v>5407</v>
      </c>
      <c r="AK409" s="7"/>
      <c r="AL409" s="7" t="s">
        <v>5408</v>
      </c>
      <c r="AM409" s="7" t="s">
        <v>5409</v>
      </c>
      <c r="AN409" s="20">
        <v>40802.0</v>
      </c>
      <c r="AO409" s="7">
        <v>97418.0</v>
      </c>
      <c r="AP409" s="7" t="s">
        <v>362</v>
      </c>
      <c r="AQ409" s="7"/>
      <c r="AR409" s="7"/>
      <c r="AS409" s="7"/>
      <c r="AT409" s="7"/>
      <c r="AU409" s="7">
        <v>1.0</v>
      </c>
      <c r="AV409" s="7" t="s">
        <v>5410</v>
      </c>
      <c r="AW409" s="7"/>
      <c r="AX409" s="7"/>
      <c r="AY409" s="7"/>
      <c r="AZ409" s="7"/>
      <c r="BA409" s="7"/>
      <c r="BB409" s="7"/>
      <c r="BC409" s="7" t="s">
        <v>366</v>
      </c>
      <c r="BD409" s="21">
        <v>44160.11111111111</v>
      </c>
      <c r="BE409" s="7"/>
      <c r="BF409" s="7"/>
      <c r="BG409" s="22">
        <v>44160.0</v>
      </c>
      <c r="BH409" s="7"/>
      <c r="BI409" s="7" t="s">
        <v>5411</v>
      </c>
      <c r="BJ409" s="7"/>
      <c r="BK409" s="7" t="b">
        <v>0</v>
      </c>
      <c r="BL409" s="7" t="b">
        <v>0</v>
      </c>
      <c r="BM409" s="7"/>
      <c r="BN409" s="7" t="str">
        <f>IFERROR(__xludf.DUMMYFUNCTION(" IF( REGEXMATCH(C409 , ""[(].+[)]""),REGEXREPLACE( CONCATENATE(REGEXEXTRACT(C409 , ""[(].+[)]""),IF(REGEXMATCH(C409 , ""[(][Ll]['’][)]""),"""","" ""), REGEXEXTRACT(C409 ,""^(?:(?:[A-Za-zàäéèêîïöôûü0-9 ](?:[A-Za-zàäéèêîïöôûü'0-9 ]+)))"")) , ""[()]"", """")"&amp;",C409 )"),"Le Mahot ")</f>
        <v>Le Mahot </v>
      </c>
      <c r="BO409" s="23"/>
      <c r="BP409" s="7"/>
      <c r="BQ409" s="7"/>
      <c r="BR409" s="7"/>
      <c r="BS409" s="7"/>
      <c r="BT409" s="7"/>
      <c r="BU409" s="7"/>
      <c r="BV409" s="7"/>
      <c r="BW409" s="7"/>
      <c r="BX409" s="7"/>
      <c r="BY409" s="7"/>
      <c r="BZ409" s="7"/>
      <c r="CA409" s="7"/>
      <c r="CB409" s="7"/>
    </row>
    <row r="410" ht="21.75" customHeight="1">
      <c r="A410" s="7">
        <v>3483.0</v>
      </c>
      <c r="B410" s="7">
        <v>409.0</v>
      </c>
      <c r="C410" s="7" t="s">
        <v>5412</v>
      </c>
      <c r="D410" s="7" t="s">
        <v>5413</v>
      </c>
      <c r="E410" s="7"/>
      <c r="F410" s="7" t="s">
        <v>404</v>
      </c>
      <c r="G410" s="7" t="s">
        <v>343</v>
      </c>
      <c r="H410" s="7" t="s">
        <v>344</v>
      </c>
      <c r="I410" s="7" t="s">
        <v>5414</v>
      </c>
      <c r="J410" s="26" t="s">
        <v>5415</v>
      </c>
      <c r="K410" s="7" t="s">
        <v>822</v>
      </c>
      <c r="L410" s="7" t="s">
        <v>2840</v>
      </c>
      <c r="M410" s="7" t="s">
        <v>2852</v>
      </c>
      <c r="N410" s="7" t="s">
        <v>455</v>
      </c>
      <c r="O410" s="7">
        <v>97430.0</v>
      </c>
      <c r="P410" s="7" t="s">
        <v>344</v>
      </c>
      <c r="Q410" s="7"/>
      <c r="R410" s="7"/>
      <c r="S410" s="7"/>
      <c r="T410" s="7" t="s">
        <v>377</v>
      </c>
      <c r="U410" s="7" t="s">
        <v>378</v>
      </c>
      <c r="V410" s="7"/>
      <c r="W410" s="7">
        <v>6.9271782E8</v>
      </c>
      <c r="X410" s="7"/>
      <c r="Y410" s="7"/>
      <c r="Z410" s="7" t="s">
        <v>5416</v>
      </c>
      <c r="AA410" s="7"/>
      <c r="AB410" s="7"/>
      <c r="AC410" s="7" t="s">
        <v>5417</v>
      </c>
      <c r="AD410" s="7" t="s">
        <v>5418</v>
      </c>
      <c r="AE410" s="7"/>
      <c r="AF410" s="7" t="s">
        <v>5419</v>
      </c>
      <c r="AG410" s="7"/>
      <c r="AH410" s="20">
        <v>41529.0</v>
      </c>
      <c r="AI410" s="7"/>
      <c r="AJ410" s="7" t="s">
        <v>5420</v>
      </c>
      <c r="AK410" s="7"/>
      <c r="AL410" s="7" t="s">
        <v>5421</v>
      </c>
      <c r="AM410" s="7" t="s">
        <v>5422</v>
      </c>
      <c r="AN410" s="20">
        <v>41529.0</v>
      </c>
      <c r="AO410" s="7">
        <v>97400.0</v>
      </c>
      <c r="AP410" s="7" t="s">
        <v>2899</v>
      </c>
      <c r="AQ410" s="7"/>
      <c r="AR410" s="7"/>
      <c r="AS410" s="7"/>
      <c r="AT410" s="7"/>
      <c r="AU410" s="7">
        <v>0.0</v>
      </c>
      <c r="AV410" s="7" t="s">
        <v>5423</v>
      </c>
      <c r="AW410" s="7" t="s">
        <v>5424</v>
      </c>
      <c r="AX410" s="7"/>
      <c r="AY410" s="7"/>
      <c r="AZ410" s="7"/>
      <c r="BA410" s="7"/>
      <c r="BB410" s="7"/>
      <c r="BC410" s="7" t="s">
        <v>366</v>
      </c>
      <c r="BD410" s="21">
        <v>44235.072222222225</v>
      </c>
      <c r="BE410" s="7"/>
      <c r="BF410" s="7"/>
      <c r="BG410" s="22">
        <v>44235.0</v>
      </c>
      <c r="BH410" s="7"/>
      <c r="BI410" s="7" t="s">
        <v>5425</v>
      </c>
      <c r="BJ410" s="7"/>
      <c r="BK410" s="7" t="b">
        <v>0</v>
      </c>
      <c r="BL410" s="7" t="b">
        <v>0</v>
      </c>
      <c r="BM410" s="7"/>
      <c r="BN410" s="7" t="str">
        <f>IFERROR(__xludf.DUMMYFUNCTION(" IF( REGEXMATCH(C410 , ""[(].+[)]""),REGEXREPLACE( CONCATENATE(REGEXEXTRACT(C410 , ""[(].+[)]""),IF(REGEXMATCH(C410 , ""[(][Ll]['’][)]""),"""","" ""), REGEXEXTRACT(C410 ,""^(?:(?:[A-Za-zàäéèêîïöôûü0-9 ](?:[A-Za-zàäéèêîïöôûü'0-9 ]+)))"")) , ""[()]"", """")"&amp;",C410 )"),"La Maison de l'Ananas ")</f>
        <v>La Maison de l'Ananas </v>
      </c>
      <c r="BO410" s="23"/>
      <c r="BP410" s="7"/>
      <c r="BQ410" s="7"/>
      <c r="BR410" s="7"/>
      <c r="BS410" s="7"/>
      <c r="BT410" s="7"/>
      <c r="BU410" s="7"/>
      <c r="BV410" s="7"/>
      <c r="BW410" s="7"/>
      <c r="BX410" s="7"/>
      <c r="BY410" s="7"/>
      <c r="BZ410" s="7"/>
      <c r="CA410" s="7"/>
      <c r="CB410" s="7"/>
    </row>
    <row r="411" ht="21.75" customHeight="1">
      <c r="A411" s="7">
        <v>5266.0</v>
      </c>
      <c r="B411" s="7" t="s">
        <v>5426</v>
      </c>
      <c r="C411" s="7" t="s">
        <v>5427</v>
      </c>
      <c r="D411" s="7"/>
      <c r="E411" s="7"/>
      <c r="F411" s="7" t="s">
        <v>404</v>
      </c>
      <c r="G411" s="7" t="s">
        <v>343</v>
      </c>
      <c r="H411" s="7" t="s">
        <v>344</v>
      </c>
      <c r="I411" s="7" t="s">
        <v>5428</v>
      </c>
      <c r="J411" s="7"/>
      <c r="K411" s="7" t="s">
        <v>58</v>
      </c>
      <c r="L411" s="7" t="s">
        <v>59</v>
      </c>
      <c r="M411" s="7" t="s">
        <v>346</v>
      </c>
      <c r="N411" s="7"/>
      <c r="O411" s="7">
        <v>97430.0</v>
      </c>
      <c r="P411" s="7" t="s">
        <v>344</v>
      </c>
      <c r="Q411" s="7"/>
      <c r="R411" s="7"/>
      <c r="S411" s="7"/>
      <c r="T411" s="7"/>
      <c r="U411" s="7"/>
      <c r="V411" s="7"/>
      <c r="W411" s="7">
        <v>6.41030726E8</v>
      </c>
      <c r="X411" s="7"/>
      <c r="Y411" s="7"/>
      <c r="Z411" s="7" t="s">
        <v>5429</v>
      </c>
      <c r="AA411" s="7">
        <v>8.0</v>
      </c>
      <c r="AB411" s="7" t="s">
        <v>2716</v>
      </c>
      <c r="AC411" s="7"/>
      <c r="AD411" s="7" t="s">
        <v>5430</v>
      </c>
      <c r="AE411" s="7"/>
      <c r="AF411" s="7"/>
      <c r="AG411" s="7"/>
      <c r="AH411" s="7"/>
      <c r="AI411" s="7"/>
      <c r="AJ411" s="7"/>
      <c r="AK411" s="7"/>
      <c r="AL411" s="7"/>
      <c r="AM411" s="7"/>
      <c r="AN411" s="7"/>
      <c r="AO411" s="7"/>
      <c r="AP411" s="7"/>
      <c r="AQ411" s="7"/>
      <c r="AR411" s="7"/>
      <c r="AS411" s="7"/>
      <c r="AT411" s="7"/>
      <c r="AU411" s="7">
        <v>1.0</v>
      </c>
      <c r="AV411" s="7" t="s">
        <v>5431</v>
      </c>
      <c r="AW411" s="7"/>
      <c r="AX411" s="7"/>
      <c r="AY411" s="7"/>
      <c r="AZ411" s="7"/>
      <c r="BA411" s="7"/>
      <c r="BB411" s="7"/>
      <c r="BC411" s="7" t="s">
        <v>5432</v>
      </c>
      <c r="BD411" s="7"/>
      <c r="BE411" s="7"/>
      <c r="BF411" s="7"/>
      <c r="BG411" s="7"/>
      <c r="BH411" s="7"/>
      <c r="BI411" s="7" t="s">
        <v>5433</v>
      </c>
      <c r="BJ411" s="7"/>
      <c r="BK411" s="7" t="b">
        <v>0</v>
      </c>
      <c r="BL411" s="7" t="b">
        <v>0</v>
      </c>
      <c r="BM411" s="7"/>
      <c r="BN411" s="7" t="str">
        <f>IFERROR(__xludf.DUMMYFUNCTION(" IF( REGEXMATCH(C411 , ""[(].+[)]""),REGEXREPLACE( CONCATENATE(REGEXEXTRACT(C411 , ""[(].+[)]""),IF(REGEXMATCH(C411 , ""[(][Ll]['’][)]""),"""","" ""), REGEXEXTRACT(C411 ,""^(?:(?:[A-Za-zàäéèêîïöôûü0-9 ](?:[A-Za-zàäéèêîïöôûü'0-9 ]+)))"")) , ""[()]"", """")"&amp;",C411 )"),"Maison de la Pointe")</f>
        <v>Maison de la Pointe</v>
      </c>
      <c r="BO411" s="25"/>
      <c r="BP411" s="7"/>
      <c r="BQ411" s="7"/>
      <c r="BR411" s="7"/>
      <c r="BS411" s="7"/>
      <c r="BT411" s="7"/>
      <c r="BU411" s="7"/>
      <c r="BV411" s="7"/>
      <c r="BW411" s="7"/>
      <c r="BX411" s="7"/>
      <c r="BY411" s="7"/>
      <c r="BZ411" s="7"/>
      <c r="CA411" s="7"/>
      <c r="CB411" s="7"/>
    </row>
    <row r="412" ht="21.75" customHeight="1">
      <c r="A412" s="7">
        <v>3020.0</v>
      </c>
      <c r="B412" s="7" t="s">
        <v>5434</v>
      </c>
      <c r="C412" s="7" t="s">
        <v>5435</v>
      </c>
      <c r="D412" s="7"/>
      <c r="E412" s="7"/>
      <c r="F412" s="7" t="s">
        <v>342</v>
      </c>
      <c r="G412" s="7" t="s">
        <v>343</v>
      </c>
      <c r="H412" s="7" t="s">
        <v>344</v>
      </c>
      <c r="I412" s="7" t="s">
        <v>5436</v>
      </c>
      <c r="J412" s="26" t="s">
        <v>5437</v>
      </c>
      <c r="K412" s="6" t="s">
        <v>469</v>
      </c>
      <c r="L412" s="7" t="s">
        <v>1405</v>
      </c>
      <c r="M412" s="7" t="s">
        <v>1406</v>
      </c>
      <c r="N412" s="7" t="s">
        <v>455</v>
      </c>
      <c r="O412" s="7">
        <v>97418.0</v>
      </c>
      <c r="P412" s="7" t="s">
        <v>348</v>
      </c>
      <c r="Q412" s="7" t="s">
        <v>349</v>
      </c>
      <c r="R412" s="7"/>
      <c r="S412" s="7"/>
      <c r="T412" s="7" t="s">
        <v>377</v>
      </c>
      <c r="U412" s="7" t="s">
        <v>378</v>
      </c>
      <c r="V412" s="7">
        <v>2.62989286E8</v>
      </c>
      <c r="W412" s="7">
        <v>6.92757377E8</v>
      </c>
      <c r="X412" s="7"/>
      <c r="Y412" s="7">
        <v>2.62989286E8</v>
      </c>
      <c r="Z412" s="7" t="s">
        <v>5438</v>
      </c>
      <c r="AA412" s="7"/>
      <c r="AB412" s="7"/>
      <c r="AC412" s="7"/>
      <c r="AD412" s="7" t="s">
        <v>5439</v>
      </c>
      <c r="AE412" s="7" t="s">
        <v>5440</v>
      </c>
      <c r="AF412" s="7"/>
      <c r="AG412" s="7"/>
      <c r="AH412" s="20">
        <v>43739.0</v>
      </c>
      <c r="AI412" s="7"/>
      <c r="AJ412" s="7" t="s">
        <v>5441</v>
      </c>
      <c r="AK412" s="7">
        <v>7.9472501000019E13</v>
      </c>
      <c r="AL412" s="7" t="s">
        <v>5442</v>
      </c>
      <c r="AM412" s="7" t="s">
        <v>5443</v>
      </c>
      <c r="AN412" s="20">
        <v>43739.0</v>
      </c>
      <c r="AO412" s="7">
        <v>97418.0</v>
      </c>
      <c r="AP412" s="7" t="s">
        <v>362</v>
      </c>
      <c r="AQ412" s="7"/>
      <c r="AR412" s="7"/>
      <c r="AS412" s="7"/>
      <c r="AT412" s="7"/>
      <c r="AU412" s="7">
        <v>0.0</v>
      </c>
      <c r="AV412" s="7" t="s">
        <v>5444</v>
      </c>
      <c r="AW412" s="7"/>
      <c r="AX412" s="7"/>
      <c r="AY412" s="7"/>
      <c r="AZ412" s="7"/>
      <c r="BA412" s="7"/>
      <c r="BB412" s="7"/>
      <c r="BC412" s="7" t="s">
        <v>401</v>
      </c>
      <c r="BD412" s="21">
        <v>44222.106944444444</v>
      </c>
      <c r="BE412" s="7" t="s">
        <v>2339</v>
      </c>
      <c r="BF412" s="7"/>
      <c r="BG412" s="7"/>
      <c r="BH412" s="7">
        <v>7.9472501E8</v>
      </c>
      <c r="BI412" s="7" t="s">
        <v>5445</v>
      </c>
      <c r="BJ412" s="7"/>
      <c r="BK412" s="7" t="b">
        <v>0</v>
      </c>
      <c r="BL412" s="7" t="b">
        <v>0</v>
      </c>
      <c r="BM412" s="7"/>
      <c r="BN412" s="7" t="str">
        <f>IFERROR(__xludf.DUMMYFUNCTION(" IF( REGEXMATCH(C412 , ""[(].+[)]""),REGEXREPLACE( CONCATENATE(REGEXEXTRACT(C412 , ""[(].+[)]""),IF(REGEXMATCH(C412 , ""[(][Ll]['’][)]""),"""","" ""), REGEXEXTRACT(C412 ,""^(?:(?:[A-Za-zàäéèêîïöôûü0-9 ](?:[A-Za-zàäéèêîïöôûü'0-9 ]+)))"")) , ""[()]"", """")"&amp;",C412 )"),"Maison des Délices")</f>
        <v>Maison des Délices</v>
      </c>
      <c r="BO412" s="25"/>
      <c r="BP412" s="7"/>
      <c r="BQ412" s="7"/>
      <c r="BR412" s="7"/>
      <c r="BS412" s="7"/>
      <c r="BT412" s="7"/>
      <c r="BU412" s="7"/>
      <c r="BV412" s="7"/>
      <c r="BW412" s="7"/>
      <c r="BX412" s="7"/>
      <c r="BY412" s="7"/>
      <c r="BZ412" s="7"/>
      <c r="CA412" s="7"/>
      <c r="CB412" s="7"/>
    </row>
    <row r="413" ht="21.75" customHeight="1">
      <c r="A413" s="7">
        <v>5150.0</v>
      </c>
      <c r="B413" s="7" t="s">
        <v>5446</v>
      </c>
      <c r="C413" s="7" t="s">
        <v>5447</v>
      </c>
      <c r="D413" s="7"/>
      <c r="E413" s="7"/>
      <c r="F413" s="7" t="s">
        <v>342</v>
      </c>
      <c r="G413" s="7" t="s">
        <v>343</v>
      </c>
      <c r="H413" s="7" t="s">
        <v>123</v>
      </c>
      <c r="I413" s="7" t="s">
        <v>5448</v>
      </c>
      <c r="J413" s="26" t="s">
        <v>5449</v>
      </c>
      <c r="K413" s="7" t="s">
        <v>58</v>
      </c>
      <c r="L413" s="7" t="s">
        <v>59</v>
      </c>
      <c r="M413" s="7" t="s">
        <v>346</v>
      </c>
      <c r="N413" s="7"/>
      <c r="O413" s="7">
        <v>97480.0</v>
      </c>
      <c r="P413" s="7" t="s">
        <v>123</v>
      </c>
      <c r="Q413" s="7"/>
      <c r="R413" s="7" t="s">
        <v>5450</v>
      </c>
      <c r="S413" s="7" t="s">
        <v>5451</v>
      </c>
      <c r="T413" s="7" t="s">
        <v>1863</v>
      </c>
      <c r="U413" s="7" t="s">
        <v>4369</v>
      </c>
      <c r="V413" s="7">
        <v>2.62565849E8</v>
      </c>
      <c r="W413" s="7">
        <v>6.92705791E8</v>
      </c>
      <c r="X413" s="7">
        <v>6.92646996E8</v>
      </c>
      <c r="Y413" s="7"/>
      <c r="Z413" s="7" t="s">
        <v>4198</v>
      </c>
      <c r="AA413" s="7">
        <v>6.0</v>
      </c>
      <c r="AB413" s="7" t="s">
        <v>395</v>
      </c>
      <c r="AC413" s="7" t="s">
        <v>5452</v>
      </c>
      <c r="AD413" s="7" t="s">
        <v>5453</v>
      </c>
      <c r="AE413" s="7" t="s">
        <v>5454</v>
      </c>
      <c r="AF413" s="7"/>
      <c r="AG413" s="7"/>
      <c r="AH413" s="20">
        <v>43647.0</v>
      </c>
      <c r="AI413" s="7"/>
      <c r="AJ413" s="7" t="s">
        <v>5455</v>
      </c>
      <c r="AK413" s="7">
        <v>8.5409099000029E13</v>
      </c>
      <c r="AL413" s="7" t="s">
        <v>5456</v>
      </c>
      <c r="AM413" s="7" t="s">
        <v>4204</v>
      </c>
      <c r="AN413" s="20">
        <v>43867.0</v>
      </c>
      <c r="AO413" s="7">
        <v>97480.0</v>
      </c>
      <c r="AP413" s="7" t="s">
        <v>385</v>
      </c>
      <c r="AQ413" s="7"/>
      <c r="AR413" s="7"/>
      <c r="AS413" s="7"/>
      <c r="AT413" s="7"/>
      <c r="AU413" s="7">
        <v>1.0</v>
      </c>
      <c r="AV413" s="7" t="s">
        <v>5457</v>
      </c>
      <c r="AW413" s="7"/>
      <c r="AX413" s="7" t="s">
        <v>3806</v>
      </c>
      <c r="AY413" s="7" t="s">
        <v>1829</v>
      </c>
      <c r="AZ413" s="7" t="s">
        <v>5458</v>
      </c>
      <c r="BA413" s="7"/>
      <c r="BB413" s="7"/>
      <c r="BC413" s="7" t="s">
        <v>401</v>
      </c>
      <c r="BD413" s="21">
        <v>44122.17291666667</v>
      </c>
      <c r="BE413" s="7" t="s">
        <v>5459</v>
      </c>
      <c r="BF413" s="7"/>
      <c r="BG413" s="7"/>
      <c r="BH413" s="7">
        <v>8.5409099E8</v>
      </c>
      <c r="BI413" s="7" t="s">
        <v>5460</v>
      </c>
      <c r="BJ413" s="7"/>
      <c r="BK413" s="7" t="b">
        <v>0</v>
      </c>
      <c r="BL413" s="7" t="b">
        <v>0</v>
      </c>
      <c r="BM413" s="7"/>
      <c r="BN413" s="7" t="str">
        <f>IFERROR(__xludf.DUMMYFUNCTION(" IF( REGEXMATCH(C413 , ""[(].+[)]""),REGEXREPLACE( CONCATENATE(REGEXEXTRACT(C413 , ""[(].+[)]""),IF(REGEXMATCH(C413 , ""[(][Ll]['’][)]""),"""","" ""), REGEXEXTRACT(C413 ,""^(?:(?:[A-Za-zàäéèêîïöôûü0-9 ](?:[A-Za-zàäéèêîïöôûü'0-9 ]+)))"")) , ""[()]"", """")"&amp;",C413 )"),"La Maison des Hôtes ")</f>
        <v>La Maison des Hôtes </v>
      </c>
      <c r="BO413" s="25"/>
      <c r="BP413" s="7"/>
      <c r="BQ413" s="7"/>
      <c r="BR413" s="7"/>
      <c r="BS413" s="7"/>
      <c r="BT413" s="7"/>
      <c r="BU413" s="7"/>
      <c r="BV413" s="7"/>
      <c r="BW413" s="7"/>
      <c r="BX413" s="7"/>
      <c r="BY413" s="7"/>
      <c r="BZ413" s="7"/>
      <c r="CA413" s="7"/>
      <c r="CB413" s="7"/>
    </row>
    <row r="414" ht="21.75" customHeight="1">
      <c r="A414" s="7">
        <v>1721.0</v>
      </c>
      <c r="B414" s="7" t="s">
        <v>5461</v>
      </c>
      <c r="C414" s="7" t="s">
        <v>5462</v>
      </c>
      <c r="D414" s="7"/>
      <c r="E414" s="7"/>
      <c r="F414" s="7" t="s">
        <v>342</v>
      </c>
      <c r="G414" s="7" t="s">
        <v>343</v>
      </c>
      <c r="H414" s="7" t="s">
        <v>123</v>
      </c>
      <c r="I414" s="7" t="s">
        <v>5463</v>
      </c>
      <c r="J414" s="7"/>
      <c r="K414" s="7" t="s">
        <v>822</v>
      </c>
      <c r="L414" s="7" t="s">
        <v>1805</v>
      </c>
      <c r="M414" s="7" t="s">
        <v>1806</v>
      </c>
      <c r="N414" s="7" t="s">
        <v>455</v>
      </c>
      <c r="O414" s="7">
        <v>97480.0</v>
      </c>
      <c r="P414" s="7" t="s">
        <v>123</v>
      </c>
      <c r="Q414" s="7" t="s">
        <v>1278</v>
      </c>
      <c r="R414" s="7" t="s">
        <v>3611</v>
      </c>
      <c r="S414" s="7" t="s">
        <v>1052</v>
      </c>
      <c r="T414" s="7" t="s">
        <v>377</v>
      </c>
      <c r="U414" s="7" t="s">
        <v>353</v>
      </c>
      <c r="V414" s="7">
        <v>2.62375466E8</v>
      </c>
      <c r="W414" s="7">
        <v>6.92935757E8</v>
      </c>
      <c r="X414" s="7"/>
      <c r="Y414" s="7">
        <v>2.62375466E8</v>
      </c>
      <c r="Z414" s="7" t="s">
        <v>5464</v>
      </c>
      <c r="AA414" s="7"/>
      <c r="AB414" s="7"/>
      <c r="AC414" s="7"/>
      <c r="AD414" s="7" t="s">
        <v>5465</v>
      </c>
      <c r="AE414" s="7"/>
      <c r="AF414" s="7" t="s">
        <v>5466</v>
      </c>
      <c r="AG414" s="7"/>
      <c r="AH414" s="20">
        <v>43739.0</v>
      </c>
      <c r="AI414" s="7"/>
      <c r="AJ414" s="7" t="s">
        <v>5467</v>
      </c>
      <c r="AK414" s="7">
        <v>4.0849729500019E13</v>
      </c>
      <c r="AL414" s="7" t="s">
        <v>5468</v>
      </c>
      <c r="AM414" s="7" t="s">
        <v>5469</v>
      </c>
      <c r="AN414" s="20">
        <v>43739.0</v>
      </c>
      <c r="AO414" s="7">
        <v>97480.0</v>
      </c>
      <c r="AP414" s="7" t="s">
        <v>385</v>
      </c>
      <c r="AQ414" s="7"/>
      <c r="AR414" s="7"/>
      <c r="AS414" s="7"/>
      <c r="AT414" s="7"/>
      <c r="AU414" s="7">
        <v>0.0</v>
      </c>
      <c r="AV414" s="7" t="s">
        <v>5470</v>
      </c>
      <c r="AW414" s="7"/>
      <c r="AX414" s="7"/>
      <c r="AY414" s="7"/>
      <c r="AZ414" s="7"/>
      <c r="BA414" s="7"/>
      <c r="BB414" s="7"/>
      <c r="BC414" s="7" t="s">
        <v>401</v>
      </c>
      <c r="BD414" s="21">
        <v>44236.38611111111</v>
      </c>
      <c r="BE414" s="7" t="s">
        <v>818</v>
      </c>
      <c r="BF414" s="7"/>
      <c r="BG414" s="7"/>
      <c r="BH414" s="7">
        <v>4.08497295E8</v>
      </c>
      <c r="BI414" s="7" t="s">
        <v>5471</v>
      </c>
      <c r="BJ414" s="7"/>
      <c r="BK414" s="7" t="b">
        <v>0</v>
      </c>
      <c r="BL414" s="7" t="b">
        <v>0</v>
      </c>
      <c r="BM414" s="7"/>
      <c r="BN414" s="7" t="str">
        <f>IFERROR(__xludf.DUMMYFUNCTION(" IF( REGEXMATCH(C414 , ""[(].+[)]""),REGEXREPLACE( CONCATENATE(REGEXEXTRACT(C414 , ""[(].+[)]""),IF(REGEXMATCH(C414 , ""[(][Ll]['’][)]""),"""","" ""), REGEXEXTRACT(C414 ,""^(?:(?:[A-Za-zàäéèêîïöôûü0-9 ](?:[A-Za-zàäéèêîïöôûü'0-9 ]+)))"")) , ""[()]"", """")"&amp;",C414 )"),"Maison du Curcuma")</f>
        <v>Maison du Curcuma</v>
      </c>
      <c r="BO414" s="25"/>
      <c r="BP414" s="7"/>
      <c r="BQ414" s="7"/>
      <c r="BR414" s="7"/>
      <c r="BS414" s="7"/>
      <c r="BT414" s="7"/>
      <c r="BU414" s="7"/>
      <c r="BV414" s="7"/>
      <c r="BW414" s="7"/>
      <c r="BX414" s="7"/>
      <c r="BY414" s="7"/>
      <c r="BZ414" s="7"/>
      <c r="CA414" s="7"/>
      <c r="CB414" s="7"/>
    </row>
    <row r="415" ht="21.75" customHeight="1">
      <c r="A415" s="7">
        <v>2031.0</v>
      </c>
      <c r="B415" s="7" t="s">
        <v>5472</v>
      </c>
      <c r="C415" s="7" t="s">
        <v>5473</v>
      </c>
      <c r="D415" s="7"/>
      <c r="E415" s="7"/>
      <c r="F415" s="7" t="s">
        <v>342</v>
      </c>
      <c r="G415" s="7" t="s">
        <v>343</v>
      </c>
      <c r="H415" s="7" t="s">
        <v>123</v>
      </c>
      <c r="I415" s="7" t="s">
        <v>5474</v>
      </c>
      <c r="J415" s="26" t="s">
        <v>5475</v>
      </c>
      <c r="K415" s="7" t="s">
        <v>822</v>
      </c>
      <c r="L415" s="7" t="s">
        <v>4789</v>
      </c>
      <c r="M415" s="7" t="s">
        <v>4790</v>
      </c>
      <c r="N415" s="7" t="s">
        <v>455</v>
      </c>
      <c r="O415" s="7">
        <v>97480.0</v>
      </c>
      <c r="P415" s="7" t="s">
        <v>123</v>
      </c>
      <c r="Q415" s="7" t="s">
        <v>2879</v>
      </c>
      <c r="R415" s="7" t="s">
        <v>801</v>
      </c>
      <c r="S415" s="7"/>
      <c r="T415" s="7" t="s">
        <v>377</v>
      </c>
      <c r="U415" s="7" t="s">
        <v>424</v>
      </c>
      <c r="V415" s="7"/>
      <c r="W415" s="7">
        <v>6.92687872E8</v>
      </c>
      <c r="X415" s="7">
        <v>6.92035478E8</v>
      </c>
      <c r="Y415" s="7"/>
      <c r="Z415" s="7" t="s">
        <v>5476</v>
      </c>
      <c r="AA415" s="7">
        <v>15.0</v>
      </c>
      <c r="AB415" s="7"/>
      <c r="AC415" s="7" t="s">
        <v>5477</v>
      </c>
      <c r="AD415" s="7" t="s">
        <v>5478</v>
      </c>
      <c r="AE415" s="7"/>
      <c r="AF415" s="7" t="s">
        <v>613</v>
      </c>
      <c r="AG415" s="7"/>
      <c r="AH415" s="20">
        <v>40085.0</v>
      </c>
      <c r="AI415" s="7"/>
      <c r="AJ415" s="7" t="s">
        <v>5479</v>
      </c>
      <c r="AK415" s="7">
        <v>8.1817059900018E13</v>
      </c>
      <c r="AL415" s="7" t="s">
        <v>5480</v>
      </c>
      <c r="AM415" s="7" t="s">
        <v>5481</v>
      </c>
      <c r="AN415" s="20">
        <v>43739.0</v>
      </c>
      <c r="AO415" s="7">
        <v>97480.0</v>
      </c>
      <c r="AP415" s="7" t="s">
        <v>385</v>
      </c>
      <c r="AQ415" s="7"/>
      <c r="AR415" s="7"/>
      <c r="AS415" s="7"/>
      <c r="AT415" s="7"/>
      <c r="AU415" s="7">
        <v>0.0</v>
      </c>
      <c r="AV415" s="7" t="s">
        <v>5482</v>
      </c>
      <c r="AW415" s="7"/>
      <c r="AX415" s="7"/>
      <c r="AY415" s="7"/>
      <c r="AZ415" s="7"/>
      <c r="BA415" s="7"/>
      <c r="BB415" s="7"/>
      <c r="BC415" s="7" t="s">
        <v>401</v>
      </c>
      <c r="BD415" s="21">
        <v>44122.17291666667</v>
      </c>
      <c r="BE415" s="7" t="s">
        <v>5483</v>
      </c>
      <c r="BF415" s="7"/>
      <c r="BG415" s="7"/>
      <c r="BH415" s="7">
        <v>8.18170599E8</v>
      </c>
      <c r="BI415" s="7" t="s">
        <v>3705</v>
      </c>
      <c r="BJ415" s="7"/>
      <c r="BK415" s="7" t="b">
        <v>0</v>
      </c>
      <c r="BL415" s="7" t="b">
        <v>0</v>
      </c>
      <c r="BM415" s="7"/>
      <c r="BN415" s="7" t="str">
        <f>IFERROR(__xludf.DUMMYFUNCTION(" IF( REGEXMATCH(C415 , ""[(].+[)]""),REGEXREPLACE( CONCATENATE(REGEXEXTRACT(C415 , ""[(].+[)]""),IF(REGEXMATCH(C415 , ""[(][Ll]['’][)]""),"""","" ""), REGEXEXTRACT(C415 ,""^(?:(?:[A-Za-zàäéèêîïöôûü0-9 ](?:[A-Za-zàäéèêîïöôûü'0-9 ]+)))"")) , ""[()]"", """")"&amp;",C415 )"),"La Maison du Laurina ")</f>
        <v>La Maison du Laurina </v>
      </c>
      <c r="BO415" s="25"/>
      <c r="BP415" s="7"/>
      <c r="BQ415" s="7"/>
      <c r="BR415" s="7"/>
      <c r="BS415" s="7"/>
      <c r="BT415" s="7"/>
      <c r="BU415" s="7"/>
      <c r="BV415" s="7"/>
      <c r="BW415" s="7"/>
      <c r="BX415" s="7"/>
      <c r="BY415" s="7"/>
      <c r="BZ415" s="7"/>
      <c r="CA415" s="7"/>
      <c r="CB415" s="7"/>
    </row>
    <row r="416" ht="21.75" customHeight="1">
      <c r="A416" s="7">
        <v>1722.0</v>
      </c>
      <c r="B416" s="7" t="s">
        <v>5484</v>
      </c>
      <c r="C416" s="7" t="s">
        <v>5485</v>
      </c>
      <c r="D416" s="7"/>
      <c r="E416" s="7"/>
      <c r="F416" s="7" t="s">
        <v>342</v>
      </c>
      <c r="G416" s="7" t="s">
        <v>343</v>
      </c>
      <c r="H416" s="7" t="s">
        <v>123</v>
      </c>
      <c r="I416" s="7" t="s">
        <v>5486</v>
      </c>
      <c r="J416" s="26" t="s">
        <v>5487</v>
      </c>
      <c r="K416" s="7" t="s">
        <v>2832</v>
      </c>
      <c r="L416" s="7" t="s">
        <v>2833</v>
      </c>
      <c r="M416" s="7" t="s">
        <v>5488</v>
      </c>
      <c r="N416" s="7" t="s">
        <v>375</v>
      </c>
      <c r="O416" s="7">
        <v>97480.0</v>
      </c>
      <c r="P416" s="7" t="s">
        <v>123</v>
      </c>
      <c r="Q416" s="7"/>
      <c r="R416" s="7" t="s">
        <v>3059</v>
      </c>
      <c r="S416" s="7" t="s">
        <v>1108</v>
      </c>
      <c r="T416" s="7"/>
      <c r="U416" s="7" t="s">
        <v>592</v>
      </c>
      <c r="V416" s="7">
        <v>2.62373711E8</v>
      </c>
      <c r="W416" s="7"/>
      <c r="X416" s="7"/>
      <c r="Y416" s="7">
        <v>2.62373715E8</v>
      </c>
      <c r="Z416" s="7" t="s">
        <v>5489</v>
      </c>
      <c r="AA416" s="7"/>
      <c r="AB416" s="7"/>
      <c r="AC416" s="7" t="s">
        <v>5490</v>
      </c>
      <c r="AD416" s="7" t="s">
        <v>5491</v>
      </c>
      <c r="AE416" s="7"/>
      <c r="AF416" s="7" t="s">
        <v>5492</v>
      </c>
      <c r="AG416" s="7"/>
      <c r="AH416" s="20">
        <v>43739.0</v>
      </c>
      <c r="AI416" s="7"/>
      <c r="AJ416" s="7" t="s">
        <v>5485</v>
      </c>
      <c r="AK416" s="7"/>
      <c r="AL416" s="7" t="s">
        <v>5493</v>
      </c>
      <c r="AM416" s="7" t="s">
        <v>5494</v>
      </c>
      <c r="AN416" s="20">
        <v>43739.0</v>
      </c>
      <c r="AO416" s="7">
        <v>97480.0</v>
      </c>
      <c r="AP416" s="7" t="s">
        <v>385</v>
      </c>
      <c r="AQ416" s="7"/>
      <c r="AR416" s="7"/>
      <c r="AS416" s="7"/>
      <c r="AT416" s="7"/>
      <c r="AU416" s="7">
        <v>0.0</v>
      </c>
      <c r="AV416" s="7" t="s">
        <v>5495</v>
      </c>
      <c r="AW416" s="7"/>
      <c r="AX416" s="7"/>
      <c r="AY416" s="7"/>
      <c r="AZ416" s="7"/>
      <c r="BA416" s="7"/>
      <c r="BB416" s="7"/>
      <c r="BC416" s="7" t="s">
        <v>401</v>
      </c>
      <c r="BD416" s="21">
        <v>44122.17291666667</v>
      </c>
      <c r="BE416" s="7" t="s">
        <v>5496</v>
      </c>
      <c r="BF416" s="7"/>
      <c r="BG416" s="7"/>
      <c r="BH416" s="7"/>
      <c r="BI416" s="7" t="s">
        <v>5497</v>
      </c>
      <c r="BJ416" s="7"/>
      <c r="BK416" s="7" t="b">
        <v>0</v>
      </c>
      <c r="BL416" s="7" t="b">
        <v>0</v>
      </c>
      <c r="BM416" s="7"/>
      <c r="BN416" s="7" t="str">
        <f>IFERROR(__xludf.DUMMYFUNCTION(" IF( REGEXMATCH(C416 , ""[(].+[)]""),REGEXREPLACE( CONCATENATE(REGEXEXTRACT(C416 , ""[(].+[)]""),IF(REGEXMATCH(C416 , ""[(][Ll]['’][)]""),"""","" ""), REGEXEXTRACT(C416 ,""^(?:(?:[A-Za-zàäéèêîïöôûü0-9 ](?:[A-Za-zàäéèêîïöôûü'0-9 ]+)))"")) , ""[()]"", """")"&amp;",C416 )"),"Maison du Tourisme du Sud Sauvage")</f>
        <v>Maison du Tourisme du Sud Sauvage</v>
      </c>
      <c r="BO416" s="25"/>
      <c r="BP416" s="7"/>
      <c r="BQ416" s="7"/>
      <c r="BR416" s="7"/>
      <c r="BS416" s="7"/>
      <c r="BT416" s="7"/>
      <c r="BU416" s="7"/>
      <c r="BV416" s="7"/>
      <c r="BW416" s="7"/>
      <c r="BX416" s="7"/>
      <c r="BY416" s="7"/>
      <c r="BZ416" s="7"/>
      <c r="CA416" s="7"/>
      <c r="CB416" s="7"/>
    </row>
    <row r="417" ht="21.75" customHeight="1">
      <c r="A417" s="7">
        <v>1723.0</v>
      </c>
      <c r="B417" s="7">
        <v>416.0</v>
      </c>
      <c r="C417" s="7" t="s">
        <v>5498</v>
      </c>
      <c r="D417" s="7"/>
      <c r="E417" s="7"/>
      <c r="F417" s="7" t="s">
        <v>404</v>
      </c>
      <c r="G417" s="7" t="s">
        <v>343</v>
      </c>
      <c r="H417" s="7" t="s">
        <v>33</v>
      </c>
      <c r="I417" s="7" t="s">
        <v>5499</v>
      </c>
      <c r="J417" s="26" t="s">
        <v>5500</v>
      </c>
      <c r="K417" s="7" t="s">
        <v>2832</v>
      </c>
      <c r="L417" s="7" t="s">
        <v>2833</v>
      </c>
      <c r="M417" s="7" t="s">
        <v>5488</v>
      </c>
      <c r="N417" s="7" t="s">
        <v>1001</v>
      </c>
      <c r="O417" s="7">
        <v>97442.0</v>
      </c>
      <c r="P417" s="7" t="s">
        <v>33</v>
      </c>
      <c r="Q417" s="7"/>
      <c r="R417" s="7"/>
      <c r="S417" s="7" t="s">
        <v>1108</v>
      </c>
      <c r="T417" s="7"/>
      <c r="U417" s="7" t="s">
        <v>353</v>
      </c>
      <c r="V417" s="7">
        <v>2.62371043E8</v>
      </c>
      <c r="W417" s="7"/>
      <c r="X417" s="7"/>
      <c r="Y417" s="7">
        <v>2.62371043E8</v>
      </c>
      <c r="Z417" s="7" t="s">
        <v>5489</v>
      </c>
      <c r="AA417" s="7"/>
      <c r="AB417" s="7"/>
      <c r="AC417" s="7"/>
      <c r="AD417" s="7" t="s">
        <v>5501</v>
      </c>
      <c r="AE417" s="7"/>
      <c r="AF417" s="7" t="s">
        <v>5502</v>
      </c>
      <c r="AG417" s="7"/>
      <c r="AH417" s="20">
        <v>43739.0</v>
      </c>
      <c r="AI417" s="7"/>
      <c r="AJ417" s="7" t="s">
        <v>5485</v>
      </c>
      <c r="AK417" s="7"/>
      <c r="AL417" s="7" t="s">
        <v>5493</v>
      </c>
      <c r="AM417" s="7" t="s">
        <v>5494</v>
      </c>
      <c r="AN417" s="20">
        <v>43739.0</v>
      </c>
      <c r="AO417" s="7">
        <v>97480.0</v>
      </c>
      <c r="AP417" s="7" t="s">
        <v>385</v>
      </c>
      <c r="AQ417" s="7"/>
      <c r="AR417" s="7"/>
      <c r="AS417" s="7"/>
      <c r="AT417" s="7"/>
      <c r="AU417" s="7">
        <v>0.0</v>
      </c>
      <c r="AV417" s="7" t="s">
        <v>5503</v>
      </c>
      <c r="AW417" s="7"/>
      <c r="AX417" s="7"/>
      <c r="AY417" s="7"/>
      <c r="AZ417" s="7"/>
      <c r="BA417" s="7"/>
      <c r="BB417" s="7"/>
      <c r="BC417" s="7" t="s">
        <v>366</v>
      </c>
      <c r="BD417" s="21">
        <v>44197.0</v>
      </c>
      <c r="BE417" s="7"/>
      <c r="BF417" s="7"/>
      <c r="BG417" s="22">
        <v>44197.0</v>
      </c>
      <c r="BH417" s="7"/>
      <c r="BI417" s="7" t="s">
        <v>5504</v>
      </c>
      <c r="BJ417" s="7"/>
      <c r="BK417" s="7" t="b">
        <v>0</v>
      </c>
      <c r="BL417" s="7" t="b">
        <v>0</v>
      </c>
      <c r="BM417" s="7"/>
      <c r="BN417" s="7" t="str">
        <f>IFERROR(__xludf.DUMMYFUNCTION(" IF( REGEXMATCH(C417 , ""[(].+[)]""),REGEXREPLACE( CONCATENATE(REGEXEXTRACT(C417 , ""[(].+[)]""),IF(REGEXMATCH(C417 , ""[(][Ll]['’][)]""),"""","" ""), REGEXEXTRACT(C417 ,""^(?:(?:[A-Za-zàäéèêîïöôûü0-9 ](?:[A-Za-zàäéèêîïöôûü'0-9 ]+)))"")) , ""[()]"", """")"&amp;",C417 )"),"Maison du Tourisme du Sud Sauvage - Antenne de Saint-Philippe")</f>
        <v>Maison du Tourisme du Sud Sauvage - Antenne de Saint-Philippe</v>
      </c>
      <c r="BO417" s="23"/>
      <c r="BP417" s="7"/>
      <c r="BQ417" s="7"/>
      <c r="BR417" s="7"/>
      <c r="BS417" s="7"/>
      <c r="BT417" s="7"/>
      <c r="BU417" s="7"/>
      <c r="BV417" s="7"/>
      <c r="BW417" s="7"/>
      <c r="BX417" s="7"/>
      <c r="BY417" s="7"/>
      <c r="BZ417" s="7"/>
      <c r="CA417" s="7"/>
      <c r="CB417" s="7"/>
    </row>
    <row r="418" ht="21.75" customHeight="1">
      <c r="A418" s="7">
        <v>4911.0</v>
      </c>
      <c r="B418" s="7">
        <v>417.0</v>
      </c>
      <c r="C418" s="7" t="s">
        <v>5505</v>
      </c>
      <c r="D418" s="7"/>
      <c r="E418" s="7"/>
      <c r="F418" s="7" t="s">
        <v>342</v>
      </c>
      <c r="G418" s="7" t="s">
        <v>343</v>
      </c>
      <c r="H418" s="7" t="s">
        <v>40</v>
      </c>
      <c r="I418" s="7" t="s">
        <v>5506</v>
      </c>
      <c r="J418" s="26" t="s">
        <v>5507</v>
      </c>
      <c r="K418" s="7" t="s">
        <v>34</v>
      </c>
      <c r="L418" s="7" t="s">
        <v>678</v>
      </c>
      <c r="M418" s="7" t="s">
        <v>5508</v>
      </c>
      <c r="N418" s="7" t="s">
        <v>422</v>
      </c>
      <c r="O418" s="7">
        <v>97414.0</v>
      </c>
      <c r="P418" s="7" t="s">
        <v>40</v>
      </c>
      <c r="Q418" s="7"/>
      <c r="R418" s="7"/>
      <c r="S418" s="7" t="s">
        <v>5509</v>
      </c>
      <c r="T418" s="7" t="s">
        <v>2627</v>
      </c>
      <c r="U418" s="7" t="s">
        <v>378</v>
      </c>
      <c r="V418" s="7"/>
      <c r="W418" s="7">
        <v>6.93503553E8</v>
      </c>
      <c r="X418" s="7"/>
      <c r="Y418" s="7"/>
      <c r="Z418" s="7" t="s">
        <v>5510</v>
      </c>
      <c r="AA418" s="7">
        <v>18.0</v>
      </c>
      <c r="AB418" s="7"/>
      <c r="AC418" s="7" t="s">
        <v>5511</v>
      </c>
      <c r="AD418" s="7" t="s">
        <v>5512</v>
      </c>
      <c r="AE418" s="7" t="s">
        <v>5513</v>
      </c>
      <c r="AF418" s="7"/>
      <c r="AG418" s="7"/>
      <c r="AH418" s="20">
        <v>43570.0</v>
      </c>
      <c r="AI418" s="7"/>
      <c r="AJ418" s="7" t="s">
        <v>5514</v>
      </c>
      <c r="AK418" s="7">
        <v>8.4160850800013E13</v>
      </c>
      <c r="AL418" s="7" t="s">
        <v>5515</v>
      </c>
      <c r="AM418" s="7" t="s">
        <v>5516</v>
      </c>
      <c r="AN418" s="20">
        <v>43570.0</v>
      </c>
      <c r="AO418" s="7">
        <v>97414.0</v>
      </c>
      <c r="AP418" s="7" t="s">
        <v>429</v>
      </c>
      <c r="AQ418" s="7"/>
      <c r="AR418" s="7"/>
      <c r="AS418" s="7"/>
      <c r="AT418" s="7"/>
      <c r="AU418" s="7">
        <v>0.0</v>
      </c>
      <c r="AV418" s="7" t="s">
        <v>5517</v>
      </c>
      <c r="AW418" s="7"/>
      <c r="AX418" s="7"/>
      <c r="AY418" s="7"/>
      <c r="AZ418" s="7"/>
      <c r="BA418" s="7"/>
      <c r="BB418" s="7"/>
      <c r="BC418" s="7" t="s">
        <v>366</v>
      </c>
      <c r="BD418" s="21">
        <v>44095.17291666667</v>
      </c>
      <c r="BE418" s="7"/>
      <c r="BF418" s="7"/>
      <c r="BG418" s="22">
        <v>44095.0</v>
      </c>
      <c r="BH418" s="7">
        <v>8.41608508E8</v>
      </c>
      <c r="BI418" s="7" t="s">
        <v>5518</v>
      </c>
      <c r="BJ418" s="7"/>
      <c r="BK418" s="7" t="b">
        <v>0</v>
      </c>
      <c r="BL418" s="7" t="b">
        <v>0</v>
      </c>
      <c r="BM418" s="7"/>
      <c r="BN418" s="7" t="str">
        <f>IFERROR(__xludf.DUMMYFUNCTION(" IF( REGEXMATCH(C418 , ""[(].+[)]""),REGEXREPLACE( CONCATENATE(REGEXEXTRACT(C418 , ""[(].+[)]""),IF(REGEXMATCH(C418 , ""[(][Ll]['’][)]""),"""","" ""), REGEXEXTRACT(C418 ,""^(?:(?:[A-Za-zàäéèêîïöôûü0-9 ](?:[A-Za-zàäéèêîïöôûü'0-9 ]+)))"")) , ""[()]"", """")"&amp;",C418 )"),"Maison Everest")</f>
        <v>Maison Everest</v>
      </c>
      <c r="BO418" s="23"/>
      <c r="BP418" s="7"/>
      <c r="BQ418" s="7"/>
      <c r="BR418" s="7"/>
      <c r="BS418" s="7"/>
      <c r="BT418" s="7"/>
      <c r="BU418" s="7"/>
      <c r="BV418" s="7"/>
      <c r="BW418" s="7"/>
      <c r="BX418" s="7"/>
      <c r="BY418" s="7"/>
      <c r="BZ418" s="7"/>
      <c r="CA418" s="7"/>
      <c r="CB418" s="7"/>
    </row>
    <row r="419" ht="21.75" customHeight="1">
      <c r="A419" s="7">
        <v>2631.0</v>
      </c>
      <c r="B419" s="7" t="s">
        <v>5519</v>
      </c>
      <c r="C419" s="7" t="s">
        <v>5520</v>
      </c>
      <c r="D419" s="7"/>
      <c r="E419" s="7"/>
      <c r="F419" s="7" t="s">
        <v>342</v>
      </c>
      <c r="G419" s="7" t="s">
        <v>343</v>
      </c>
      <c r="H419" s="7" t="s">
        <v>344</v>
      </c>
      <c r="I419" s="7" t="s">
        <v>5521</v>
      </c>
      <c r="J419" s="7"/>
      <c r="K419" s="7" t="s">
        <v>58</v>
      </c>
      <c r="L419" s="7" t="s">
        <v>59</v>
      </c>
      <c r="M419" s="7" t="s">
        <v>346</v>
      </c>
      <c r="N419" s="7" t="s">
        <v>455</v>
      </c>
      <c r="O419" s="7">
        <v>97418.0</v>
      </c>
      <c r="P419" s="7" t="s">
        <v>348</v>
      </c>
      <c r="Q419" s="7" t="s">
        <v>349</v>
      </c>
      <c r="R419" s="7" t="s">
        <v>5522</v>
      </c>
      <c r="S419" s="7" t="s">
        <v>5523</v>
      </c>
      <c r="T419" s="7" t="s">
        <v>694</v>
      </c>
      <c r="U419" s="7" t="s">
        <v>353</v>
      </c>
      <c r="V419" s="7"/>
      <c r="W419" s="7">
        <v>6.92690002E8</v>
      </c>
      <c r="X419" s="7"/>
      <c r="Y419" s="7"/>
      <c r="Z419" s="7" t="s">
        <v>5524</v>
      </c>
      <c r="AA419" s="7">
        <v>15.0</v>
      </c>
      <c r="AB419" s="7"/>
      <c r="AC419" s="7" t="s">
        <v>5525</v>
      </c>
      <c r="AD419" s="7" t="s">
        <v>5526</v>
      </c>
      <c r="AE419" s="7" t="s">
        <v>5527</v>
      </c>
      <c r="AF419" s="7"/>
      <c r="AG419" s="7" t="s">
        <v>3787</v>
      </c>
      <c r="AH419" s="20">
        <v>40292.0</v>
      </c>
      <c r="AI419" s="7"/>
      <c r="AJ419" s="7" t="s">
        <v>5528</v>
      </c>
      <c r="AK419" s="7">
        <v>3.9942255900019E13</v>
      </c>
      <c r="AL419" s="7" t="s">
        <v>5529</v>
      </c>
      <c r="AM419" s="7" t="s">
        <v>5530</v>
      </c>
      <c r="AN419" s="20">
        <v>40292.0</v>
      </c>
      <c r="AO419" s="7">
        <v>97418.0</v>
      </c>
      <c r="AP419" s="7" t="s">
        <v>362</v>
      </c>
      <c r="AQ419" s="7"/>
      <c r="AR419" s="7"/>
      <c r="AS419" s="7"/>
      <c r="AT419" s="7"/>
      <c r="AU419" s="7">
        <v>3.0</v>
      </c>
      <c r="AV419" s="7" t="s">
        <v>5531</v>
      </c>
      <c r="AW419" s="7"/>
      <c r="AX419" s="7" t="s">
        <v>5532</v>
      </c>
      <c r="AY419" s="7" t="s">
        <v>5533</v>
      </c>
      <c r="AZ419" s="7" t="s">
        <v>5534</v>
      </c>
      <c r="BA419" s="7"/>
      <c r="BB419" s="7"/>
      <c r="BC419" s="7" t="s">
        <v>401</v>
      </c>
      <c r="BD419" s="21">
        <v>44160.11111111111</v>
      </c>
      <c r="BE419" s="7" t="s">
        <v>5535</v>
      </c>
      <c r="BF419" s="7"/>
      <c r="BG419" s="7"/>
      <c r="BH419" s="7">
        <v>3.99422559E8</v>
      </c>
      <c r="BI419" s="7" t="s">
        <v>418</v>
      </c>
      <c r="BJ419" s="7"/>
      <c r="BK419" s="7" t="b">
        <v>0</v>
      </c>
      <c r="BL419" s="7" t="b">
        <v>0</v>
      </c>
      <c r="BM419" s="7"/>
      <c r="BN419" s="7" t="str">
        <f>IFERROR(__xludf.DUMMYFUNCTION(" IF( REGEXMATCH(C419 , ""[(].+[)]""),REGEXREPLACE( CONCATENATE(REGEXEXTRACT(C419 , ""[(].+[)]""),IF(REGEXMATCH(C419 , ""[(][Ll]['’][)]""),"""","" ""), REGEXEXTRACT(C419 ,""^(?:(?:[A-Za-zàäéèêîïöôûü0-9 ](?:[A-Za-zàäéèêîïöôûü'0-9 ]+)))"")) , ""[()]"", """")"&amp;",C419 )"),"Les Maisonnettes de Standing du Piton Mahot ")</f>
        <v>Les Maisonnettes de Standing du Piton Mahot </v>
      </c>
      <c r="BO419" s="25"/>
      <c r="BP419" s="7"/>
      <c r="BQ419" s="7"/>
      <c r="BR419" s="7"/>
      <c r="BS419" s="7"/>
      <c r="BT419" s="7"/>
      <c r="BU419" s="7"/>
      <c r="BV419" s="7"/>
      <c r="BW419" s="7"/>
      <c r="BX419" s="7"/>
      <c r="BY419" s="7"/>
      <c r="BZ419" s="7"/>
      <c r="CA419" s="7"/>
      <c r="CB419" s="7"/>
    </row>
    <row r="420" ht="21.75" customHeight="1">
      <c r="A420" s="7">
        <v>3878.0</v>
      </c>
      <c r="B420" s="7">
        <v>419.0</v>
      </c>
      <c r="C420" s="7" t="s">
        <v>5536</v>
      </c>
      <c r="D420" s="7"/>
      <c r="E420" s="7"/>
      <c r="F420" s="7" t="s">
        <v>404</v>
      </c>
      <c r="G420" s="7" t="s">
        <v>343</v>
      </c>
      <c r="H420" s="7" t="s">
        <v>344</v>
      </c>
      <c r="I420" s="7" t="s">
        <v>5537</v>
      </c>
      <c r="J420" s="7"/>
      <c r="K420" s="7" t="s">
        <v>58</v>
      </c>
      <c r="L420" s="7" t="s">
        <v>59</v>
      </c>
      <c r="M420" s="7" t="s">
        <v>346</v>
      </c>
      <c r="N420" s="7" t="s">
        <v>1092</v>
      </c>
      <c r="O420" s="7">
        <v>97418.0</v>
      </c>
      <c r="P420" s="7" t="s">
        <v>348</v>
      </c>
      <c r="Q420" s="7" t="s">
        <v>349</v>
      </c>
      <c r="R420" s="7" t="s">
        <v>5538</v>
      </c>
      <c r="S420" s="7" t="s">
        <v>1725</v>
      </c>
      <c r="T420" s="7" t="s">
        <v>377</v>
      </c>
      <c r="U420" s="7"/>
      <c r="V420" s="7"/>
      <c r="W420" s="7">
        <v>6.92689393E8</v>
      </c>
      <c r="X420" s="7"/>
      <c r="Y420" s="7"/>
      <c r="Z420" s="7"/>
      <c r="AA420" s="7">
        <v>15.0</v>
      </c>
      <c r="AB420" s="7"/>
      <c r="AC420" s="7" t="s">
        <v>5539</v>
      </c>
      <c r="AD420" s="7" t="s">
        <v>5540</v>
      </c>
      <c r="AE420" s="7"/>
      <c r="AF420" s="7"/>
      <c r="AG420" s="7"/>
      <c r="AH420" s="20">
        <v>42165.0</v>
      </c>
      <c r="AI420" s="7"/>
      <c r="AJ420" s="7" t="s">
        <v>5536</v>
      </c>
      <c r="AK420" s="7"/>
      <c r="AL420" s="7" t="s">
        <v>5541</v>
      </c>
      <c r="AM420" s="7" t="s">
        <v>5542</v>
      </c>
      <c r="AN420" s="20">
        <v>42165.0</v>
      </c>
      <c r="AO420" s="7">
        <v>97418.0</v>
      </c>
      <c r="AP420" s="7" t="s">
        <v>362</v>
      </c>
      <c r="AQ420" s="7"/>
      <c r="AR420" s="7"/>
      <c r="AS420" s="7"/>
      <c r="AT420" s="7"/>
      <c r="AU420" s="7">
        <v>3.0</v>
      </c>
      <c r="AV420" s="7" t="s">
        <v>5543</v>
      </c>
      <c r="AW420" s="7"/>
      <c r="AX420" s="7"/>
      <c r="AY420" s="7"/>
      <c r="AZ420" s="7"/>
      <c r="BA420" s="7"/>
      <c r="BB420" s="7"/>
      <c r="BC420" s="7" t="s">
        <v>366</v>
      </c>
      <c r="BD420" s="21">
        <v>44088.15277777778</v>
      </c>
      <c r="BE420" s="7"/>
      <c r="BF420" s="7"/>
      <c r="BG420" s="22">
        <v>44088.0</v>
      </c>
      <c r="BH420" s="7"/>
      <c r="BI420" s="7" t="s">
        <v>5544</v>
      </c>
      <c r="BJ420" s="7"/>
      <c r="BK420" s="7" t="b">
        <v>0</v>
      </c>
      <c r="BL420" s="7" t="b">
        <v>0</v>
      </c>
      <c r="BM420" s="7"/>
      <c r="BN420" s="7" t="str">
        <f>IFERROR(__xludf.DUMMYFUNCTION(" IF( REGEXMATCH(C420 , ""[(].+[)]""),REGEXREPLACE( CONCATENATE(REGEXEXTRACT(C420 , ""[(].+[)]""),IF(REGEXMATCH(C420 , ""[(][Ll]['’][)]""),"""","" ""), REGEXEXTRACT(C420 ,""^(?:(?:[A-Za-zàäéèêîïöôûü0-9 ](?:[A-Za-zàäéèêîïöôûü'0-9 ]+)))"")) , ""[()]"", """")"&amp;",C420 )"),"Maisons de Marie")</f>
        <v>Maisons de Marie</v>
      </c>
      <c r="BO420" s="23"/>
      <c r="BP420" s="7"/>
      <c r="BQ420" s="7"/>
      <c r="BR420" s="7"/>
      <c r="BS420" s="7"/>
      <c r="BT420" s="7"/>
      <c r="BU420" s="7"/>
      <c r="BV420" s="7"/>
      <c r="BW420" s="7"/>
      <c r="BX420" s="7"/>
      <c r="BY420" s="7"/>
      <c r="BZ420" s="7"/>
      <c r="CA420" s="7"/>
      <c r="CB420" s="7"/>
    </row>
    <row r="421" ht="21.75" customHeight="1">
      <c r="A421" s="7">
        <v>3809.0</v>
      </c>
      <c r="B421" s="7" t="s">
        <v>5545</v>
      </c>
      <c r="C421" s="7" t="s">
        <v>5546</v>
      </c>
      <c r="D421" s="7"/>
      <c r="E421" s="7"/>
      <c r="F421" s="7" t="s">
        <v>342</v>
      </c>
      <c r="G421" s="7" t="s">
        <v>343</v>
      </c>
      <c r="H421" s="7" t="s">
        <v>123</v>
      </c>
      <c r="I421" s="7" t="s">
        <v>5547</v>
      </c>
      <c r="J421" s="26" t="s">
        <v>5548</v>
      </c>
      <c r="K421" s="7" t="s">
        <v>58</v>
      </c>
      <c r="L421" s="7" t="s">
        <v>59</v>
      </c>
      <c r="M421" s="7" t="s">
        <v>374</v>
      </c>
      <c r="N421" s="7" t="s">
        <v>375</v>
      </c>
      <c r="O421" s="7">
        <v>97480.0</v>
      </c>
      <c r="P421" s="7" t="s">
        <v>123</v>
      </c>
      <c r="Q421" s="7" t="s">
        <v>2092</v>
      </c>
      <c r="R421" s="7" t="s">
        <v>5549</v>
      </c>
      <c r="S421" s="7" t="s">
        <v>5550</v>
      </c>
      <c r="T421" s="7" t="s">
        <v>648</v>
      </c>
      <c r="U421" s="7" t="s">
        <v>5551</v>
      </c>
      <c r="V421" s="7">
        <v>2.62509252E8</v>
      </c>
      <c r="W421" s="7">
        <v>6.92870857E8</v>
      </c>
      <c r="X421" s="7"/>
      <c r="Y421" s="7"/>
      <c r="Z421" s="7" t="s">
        <v>5552</v>
      </c>
      <c r="AA421" s="7">
        <v>18.0</v>
      </c>
      <c r="AB421" s="7" t="s">
        <v>2716</v>
      </c>
      <c r="AC421" s="7" t="s">
        <v>5553</v>
      </c>
      <c r="AD421" s="7" t="s">
        <v>5554</v>
      </c>
      <c r="AE421" s="7" t="s">
        <v>5555</v>
      </c>
      <c r="AF421" s="7" t="s">
        <v>1173</v>
      </c>
      <c r="AG421" s="7"/>
      <c r="AH421" s="20">
        <v>42117.0</v>
      </c>
      <c r="AI421" s="7"/>
      <c r="AJ421" s="7" t="s">
        <v>5556</v>
      </c>
      <c r="AK421" s="7">
        <v>8.0812805200012E13</v>
      </c>
      <c r="AL421" s="7" t="s">
        <v>5557</v>
      </c>
      <c r="AM421" s="7" t="s">
        <v>5558</v>
      </c>
      <c r="AN421" s="20">
        <v>42117.0</v>
      </c>
      <c r="AO421" s="7">
        <v>97480.0</v>
      </c>
      <c r="AP421" s="7" t="s">
        <v>385</v>
      </c>
      <c r="AQ421" s="7"/>
      <c r="AR421" s="7"/>
      <c r="AS421" s="7"/>
      <c r="AT421" s="7"/>
      <c r="AU421" s="7">
        <v>4.0</v>
      </c>
      <c r="AV421" s="7" t="s">
        <v>5559</v>
      </c>
      <c r="AW421" s="7"/>
      <c r="AX421" s="7" t="s">
        <v>2358</v>
      </c>
      <c r="AY421" s="7" t="s">
        <v>1590</v>
      </c>
      <c r="AZ421" s="7" t="s">
        <v>5560</v>
      </c>
      <c r="BA421" s="7"/>
      <c r="BB421" s="7"/>
      <c r="BC421" s="7" t="s">
        <v>401</v>
      </c>
      <c r="BD421" s="21">
        <v>44223.0</v>
      </c>
      <c r="BE421" s="7" t="s">
        <v>5561</v>
      </c>
      <c r="BF421" s="7"/>
      <c r="BG421" s="7"/>
      <c r="BH421" s="7">
        <v>8.08128052E8</v>
      </c>
      <c r="BI421" s="7" t="s">
        <v>5562</v>
      </c>
      <c r="BJ421" s="7"/>
      <c r="BK421" s="7" t="b">
        <v>0</v>
      </c>
      <c r="BL421" s="7" t="b">
        <v>0</v>
      </c>
      <c r="BM421" s="7"/>
      <c r="BN421" s="7" t="str">
        <f>IFERROR(__xludf.DUMMYFUNCTION(" IF( REGEXMATCH(C421 , ""[(].+[)]""),REGEXREPLACE( CONCATENATE(REGEXEXTRACT(C421 , ""[(].+[)]""),IF(REGEXMATCH(C421 , ""[(][Ll]['’][)]""),"""","" ""), REGEXEXTRACT(C421 ,""^(?:(?:[A-Za-zàäéèêîïöôûü0-9 ](?:[A-Za-zàäéèêîïöôûü'0-9 ]+)))"")) , ""[()]"", """")"&amp;",C421 )"),"Le Malaya ")</f>
        <v>Le Malaya </v>
      </c>
      <c r="BO421" s="25"/>
      <c r="BP421" s="7"/>
      <c r="BQ421" s="7"/>
      <c r="BR421" s="7"/>
      <c r="BS421" s="7"/>
      <c r="BT421" s="7"/>
      <c r="BU421" s="7"/>
      <c r="BV421" s="7"/>
      <c r="BW421" s="7"/>
      <c r="BX421" s="7"/>
      <c r="BY421" s="7"/>
      <c r="BZ421" s="7"/>
      <c r="CA421" s="7"/>
      <c r="CB421" s="7"/>
    </row>
    <row r="422" ht="21.75" customHeight="1">
      <c r="A422" s="7">
        <v>958.0</v>
      </c>
      <c r="B422" s="7" t="s">
        <v>5563</v>
      </c>
      <c r="C422" s="7" t="s">
        <v>5564</v>
      </c>
      <c r="D422" s="7" t="s">
        <v>4353</v>
      </c>
      <c r="E422" s="7"/>
      <c r="F422" s="7" t="s">
        <v>342</v>
      </c>
      <c r="G422" s="7" t="s">
        <v>343</v>
      </c>
      <c r="H422" s="7" t="s">
        <v>123</v>
      </c>
      <c r="I422" s="7" t="s">
        <v>5565</v>
      </c>
      <c r="J422" s="7"/>
      <c r="K422" s="7" t="s">
        <v>34</v>
      </c>
      <c r="L422" s="7" t="s">
        <v>485</v>
      </c>
      <c r="M422" s="7" t="s">
        <v>486</v>
      </c>
      <c r="N422" s="7" t="s">
        <v>347</v>
      </c>
      <c r="O422" s="7">
        <v>97480.0</v>
      </c>
      <c r="P422" s="7" t="s">
        <v>123</v>
      </c>
      <c r="Q422" s="7" t="s">
        <v>2879</v>
      </c>
      <c r="R422" s="7" t="s">
        <v>646</v>
      </c>
      <c r="S422" s="7" t="s">
        <v>2106</v>
      </c>
      <c r="T422" s="7" t="s">
        <v>377</v>
      </c>
      <c r="U422" s="7" t="s">
        <v>592</v>
      </c>
      <c r="V422" s="7">
        <v>2.62722003E8</v>
      </c>
      <c r="W422" s="7">
        <v>6.92204849E8</v>
      </c>
      <c r="X422" s="7"/>
      <c r="Y422" s="7"/>
      <c r="Z422" s="7" t="s">
        <v>4355</v>
      </c>
      <c r="AA422" s="7">
        <v>100.0</v>
      </c>
      <c r="AB422" s="7"/>
      <c r="AC422" s="7"/>
      <c r="AD422" s="7" t="s">
        <v>5566</v>
      </c>
      <c r="AE422" s="7" t="s">
        <v>5567</v>
      </c>
      <c r="AF422" s="7" t="s">
        <v>4885</v>
      </c>
      <c r="AG422" s="7"/>
      <c r="AH422" s="20">
        <v>39594.0</v>
      </c>
      <c r="AI422" s="7"/>
      <c r="AJ422" s="7" t="s">
        <v>5568</v>
      </c>
      <c r="AK422" s="7">
        <v>7.9246334100026E13</v>
      </c>
      <c r="AL422" s="7" t="s">
        <v>4359</v>
      </c>
      <c r="AM422" s="7" t="s">
        <v>5569</v>
      </c>
      <c r="AN422" s="20">
        <v>39575.0</v>
      </c>
      <c r="AO422" s="7">
        <v>97480.0</v>
      </c>
      <c r="AP422" s="7" t="s">
        <v>385</v>
      </c>
      <c r="AQ422" s="7"/>
      <c r="AR422" s="7"/>
      <c r="AS422" s="7"/>
      <c r="AT422" s="7"/>
      <c r="AU422" s="7">
        <v>0.0</v>
      </c>
      <c r="AV422" s="7" t="s">
        <v>4361</v>
      </c>
      <c r="AW422" s="7"/>
      <c r="AX422" s="7"/>
      <c r="AY422" s="7"/>
      <c r="AZ422" s="7"/>
      <c r="BA422" s="7"/>
      <c r="BB422" s="7"/>
      <c r="BC422" s="7" t="s">
        <v>401</v>
      </c>
      <c r="BD422" s="21">
        <v>44172.10277777778</v>
      </c>
      <c r="BE422" s="7" t="s">
        <v>5570</v>
      </c>
      <c r="BF422" s="7"/>
      <c r="BG422" s="7"/>
      <c r="BH422" s="7">
        <v>2.14748364E8</v>
      </c>
      <c r="BI422" s="7" t="s">
        <v>4363</v>
      </c>
      <c r="BJ422" s="7"/>
      <c r="BK422" s="7" t="b">
        <v>0</v>
      </c>
      <c r="BL422" s="7" t="b">
        <v>0</v>
      </c>
      <c r="BM422" s="7"/>
      <c r="BN422" s="7" t="str">
        <f>IFERROR(__xludf.DUMMYFUNCTION(" IF( REGEXMATCH(C422 , ""[(].+[)]""),REGEXREPLACE( CONCATENATE(REGEXEXTRACT(C422 , ""[(].+[)]""),IF(REGEXMATCH(C422 , ""[(][Ll]['’][)]""),"""","" ""), REGEXEXTRACT(C422 ,""^(?:(?:[A-Za-zàäéèêîïöôûü0-9 ](?:[A-Za-zàäéèêîïöôûü'0-9 ]+)))"")) , ""[()]"", """")"&amp;",C422 )"),"Le Malmany ")</f>
        <v>Le Malmany </v>
      </c>
      <c r="BO422" s="25"/>
      <c r="BP422" s="7"/>
      <c r="BQ422" s="7"/>
      <c r="BR422" s="7"/>
      <c r="BS422" s="7"/>
      <c r="BT422" s="7"/>
      <c r="BU422" s="7"/>
      <c r="BV422" s="7"/>
      <c r="BW422" s="7"/>
      <c r="BX422" s="7"/>
      <c r="BY422" s="7"/>
      <c r="BZ422" s="7"/>
      <c r="CA422" s="7"/>
      <c r="CB422" s="7"/>
    </row>
    <row r="423" ht="21.75" customHeight="1">
      <c r="A423" s="7">
        <v>879.0</v>
      </c>
      <c r="B423" s="7">
        <v>422.0</v>
      </c>
      <c r="C423" s="7" t="s">
        <v>5571</v>
      </c>
      <c r="D423" s="7" t="s">
        <v>2754</v>
      </c>
      <c r="E423" s="7"/>
      <c r="F423" s="7" t="s">
        <v>404</v>
      </c>
      <c r="G423" s="7" t="s">
        <v>343</v>
      </c>
      <c r="H423" s="7" t="s">
        <v>123</v>
      </c>
      <c r="I423" s="7" t="s">
        <v>5572</v>
      </c>
      <c r="J423" s="7"/>
      <c r="K423" s="7" t="s">
        <v>58</v>
      </c>
      <c r="L423" s="7" t="s">
        <v>59</v>
      </c>
      <c r="M423" s="7" t="s">
        <v>374</v>
      </c>
      <c r="N423" s="7"/>
      <c r="O423" s="7">
        <v>97480.0</v>
      </c>
      <c r="P423" s="7" t="s">
        <v>123</v>
      </c>
      <c r="Q423" s="7"/>
      <c r="R423" s="7" t="s">
        <v>1457</v>
      </c>
      <c r="S423" s="7" t="s">
        <v>2757</v>
      </c>
      <c r="T423" s="7" t="s">
        <v>648</v>
      </c>
      <c r="U423" s="7" t="s">
        <v>2758</v>
      </c>
      <c r="V423" s="7">
        <v>2.62563106E8</v>
      </c>
      <c r="W423" s="7">
        <v>6.93016161E8</v>
      </c>
      <c r="X423" s="7"/>
      <c r="Y423" s="7"/>
      <c r="Z423" s="7" t="s">
        <v>5573</v>
      </c>
      <c r="AA423" s="7">
        <v>10.0</v>
      </c>
      <c r="AB423" s="7"/>
      <c r="AC423" s="7"/>
      <c r="AD423" s="7" t="s">
        <v>5574</v>
      </c>
      <c r="AE423" s="7" t="s">
        <v>2761</v>
      </c>
      <c r="AF423" s="7"/>
      <c r="AG423" s="7"/>
      <c r="AH423" s="20">
        <v>39592.0</v>
      </c>
      <c r="AI423" s="7"/>
      <c r="AJ423" s="7" t="s">
        <v>2762</v>
      </c>
      <c r="AK423" s="7">
        <v>4.5366983000011E13</v>
      </c>
      <c r="AL423" s="7" t="s">
        <v>2763</v>
      </c>
      <c r="AM423" s="7" t="s">
        <v>2764</v>
      </c>
      <c r="AN423" s="20">
        <v>39575.0</v>
      </c>
      <c r="AO423" s="7">
        <v>97480.0</v>
      </c>
      <c r="AP423" s="7" t="s">
        <v>385</v>
      </c>
      <c r="AQ423" s="7"/>
      <c r="AR423" s="7"/>
      <c r="AS423" s="7"/>
      <c r="AT423" s="7"/>
      <c r="AU423" s="7">
        <v>3.0</v>
      </c>
      <c r="AV423" s="7" t="s">
        <v>5575</v>
      </c>
      <c r="AW423" s="7"/>
      <c r="AX423" s="7"/>
      <c r="AY423" s="7"/>
      <c r="AZ423" s="7"/>
      <c r="BA423" s="7"/>
      <c r="BB423" s="7"/>
      <c r="BC423" s="7" t="s">
        <v>366</v>
      </c>
      <c r="BD423" s="21">
        <v>44197.0</v>
      </c>
      <c r="BE423" s="7"/>
      <c r="BF423" s="7"/>
      <c r="BG423" s="22">
        <v>44197.0</v>
      </c>
      <c r="BH423" s="7">
        <v>2.14748364E8</v>
      </c>
      <c r="BI423" s="7" t="s">
        <v>5576</v>
      </c>
      <c r="BJ423" s="7"/>
      <c r="BK423" s="7" t="b">
        <v>0</v>
      </c>
      <c r="BL423" s="7" t="b">
        <v>0</v>
      </c>
      <c r="BM423" s="7"/>
      <c r="BN423" s="7" t="str">
        <f>IFERROR(__xludf.DUMMYFUNCTION(" IF( REGEXMATCH(C423 , ""[(].+[)]""),REGEXREPLACE( CONCATENATE(REGEXEXTRACT(C423 , ""[(].+[)]""),IF(REGEXMATCH(C423 , ""[(][Ll]['’][)]""),"""","" ""), REGEXEXTRACT(C423 ,""^(?:(?:[A-Za-zàäéèêîïöôûü0-9 ](?:[A-Za-zàäéèêîïöôûü'0-9 ]+)))"")) , ""[()]"", """")"&amp;",C423 )"),"Le Manaco")</f>
        <v>Le Manaco</v>
      </c>
      <c r="BO423" s="23"/>
      <c r="BP423" s="7"/>
      <c r="BQ423" s="7"/>
      <c r="BR423" s="7"/>
      <c r="BS423" s="7"/>
      <c r="BT423" s="7"/>
      <c r="BU423" s="7"/>
      <c r="BV423" s="7"/>
      <c r="BW423" s="7"/>
      <c r="BX423" s="7"/>
      <c r="BY423" s="7"/>
      <c r="BZ423" s="7"/>
      <c r="CA423" s="7"/>
      <c r="CB423" s="7"/>
    </row>
    <row r="424" ht="21.75" customHeight="1">
      <c r="A424" s="7">
        <v>881.0</v>
      </c>
      <c r="B424" s="7">
        <v>423.0</v>
      </c>
      <c r="C424" s="7" t="s">
        <v>5577</v>
      </c>
      <c r="D424" s="7" t="s">
        <v>2754</v>
      </c>
      <c r="E424" s="7"/>
      <c r="F424" s="7" t="s">
        <v>404</v>
      </c>
      <c r="G424" s="7" t="s">
        <v>343</v>
      </c>
      <c r="H424" s="7" t="s">
        <v>123</v>
      </c>
      <c r="I424" s="7" t="s">
        <v>5578</v>
      </c>
      <c r="J424" s="7"/>
      <c r="K424" s="7" t="s">
        <v>58</v>
      </c>
      <c r="L424" s="7" t="s">
        <v>59</v>
      </c>
      <c r="M424" s="7" t="s">
        <v>374</v>
      </c>
      <c r="N424" s="7" t="s">
        <v>407</v>
      </c>
      <c r="O424" s="7">
        <v>97480.0</v>
      </c>
      <c r="P424" s="7" t="s">
        <v>123</v>
      </c>
      <c r="Q424" s="7"/>
      <c r="R424" s="7" t="s">
        <v>1457</v>
      </c>
      <c r="S424" s="7" t="s">
        <v>2757</v>
      </c>
      <c r="T424" s="7" t="s">
        <v>5579</v>
      </c>
      <c r="U424" s="7" t="s">
        <v>2758</v>
      </c>
      <c r="V424" s="7">
        <v>2.62560102E8</v>
      </c>
      <c r="W424" s="7">
        <v>6.9243707E8</v>
      </c>
      <c r="X424" s="7"/>
      <c r="Y424" s="7">
        <v>2.6231949E8</v>
      </c>
      <c r="Z424" s="7" t="s">
        <v>2759</v>
      </c>
      <c r="AA424" s="7">
        <v>2.0</v>
      </c>
      <c r="AB424" s="7"/>
      <c r="AC424" s="7"/>
      <c r="AD424" s="7" t="s">
        <v>5580</v>
      </c>
      <c r="AE424" s="7" t="s">
        <v>5581</v>
      </c>
      <c r="AF424" s="7"/>
      <c r="AG424" s="7"/>
      <c r="AH424" s="20">
        <v>39592.0</v>
      </c>
      <c r="AI424" s="7"/>
      <c r="AJ424" s="7" t="s">
        <v>2762</v>
      </c>
      <c r="AK424" s="7">
        <v>4.5366983000011E13</v>
      </c>
      <c r="AL424" s="7" t="s">
        <v>2763</v>
      </c>
      <c r="AM424" s="7" t="s">
        <v>2764</v>
      </c>
      <c r="AN424" s="20">
        <v>39575.0</v>
      </c>
      <c r="AO424" s="7">
        <v>97480.0</v>
      </c>
      <c r="AP424" s="7" t="s">
        <v>385</v>
      </c>
      <c r="AQ424" s="7"/>
      <c r="AR424" s="7"/>
      <c r="AS424" s="7"/>
      <c r="AT424" s="7"/>
      <c r="AU424" s="7">
        <v>0.0</v>
      </c>
      <c r="AV424" s="7" t="s">
        <v>5582</v>
      </c>
      <c r="AW424" s="7"/>
      <c r="AX424" s="7"/>
      <c r="AY424" s="7"/>
      <c r="AZ424" s="7"/>
      <c r="BA424" s="7"/>
      <c r="BB424" s="7"/>
      <c r="BC424" s="7" t="s">
        <v>366</v>
      </c>
      <c r="BD424" s="21">
        <v>44197.0</v>
      </c>
      <c r="BE424" s="7"/>
      <c r="BF424" s="7"/>
      <c r="BG424" s="22">
        <v>44197.0</v>
      </c>
      <c r="BH424" s="7">
        <v>2.14748364E8</v>
      </c>
      <c r="BI424" s="7" t="s">
        <v>5576</v>
      </c>
      <c r="BJ424" s="7"/>
      <c r="BK424" s="7" t="b">
        <v>0</v>
      </c>
      <c r="BL424" s="7" t="b">
        <v>0</v>
      </c>
      <c r="BM424" s="7"/>
      <c r="BN424" s="7" t="str">
        <f>IFERROR(__xludf.DUMMYFUNCTION(" IF( REGEXMATCH(C424 , ""[(].+[)]""),REGEXREPLACE( CONCATENATE(REGEXEXTRACT(C424 , ""[(].+[)]""),IF(REGEXMATCH(C424 , ""[(][Ll]['’][)]""),"""","" ""), REGEXEXTRACT(C424 ,""^(?:(?:[A-Za-zàäéèêîïöôûü0-9 ](?:[A-Za-zàäéèêîïöôûü'0-9 ]+)))"")) , ""[()]"", """")"&amp;",C424 )"),"Le Manaco")</f>
        <v>Le Manaco</v>
      </c>
      <c r="BO424" s="23"/>
      <c r="BP424" s="7"/>
      <c r="BQ424" s="7"/>
      <c r="BR424" s="7"/>
      <c r="BS424" s="7"/>
      <c r="BT424" s="7"/>
      <c r="BU424" s="7"/>
      <c r="BV424" s="7"/>
      <c r="BW424" s="7"/>
      <c r="BX424" s="7"/>
      <c r="BY424" s="7"/>
      <c r="BZ424" s="7"/>
      <c r="CA424" s="7"/>
      <c r="CB424" s="7"/>
    </row>
    <row r="425" ht="21.75" customHeight="1">
      <c r="A425" s="7">
        <v>880.0</v>
      </c>
      <c r="B425" s="7">
        <v>424.0</v>
      </c>
      <c r="C425" s="7" t="s">
        <v>5583</v>
      </c>
      <c r="D425" s="7" t="s">
        <v>2754</v>
      </c>
      <c r="E425" s="7"/>
      <c r="F425" s="7" t="s">
        <v>404</v>
      </c>
      <c r="G425" s="7" t="s">
        <v>343</v>
      </c>
      <c r="H425" s="7" t="s">
        <v>123</v>
      </c>
      <c r="I425" s="7" t="s">
        <v>5584</v>
      </c>
      <c r="J425" s="7"/>
      <c r="K425" s="7" t="s">
        <v>58</v>
      </c>
      <c r="L425" s="7" t="s">
        <v>59</v>
      </c>
      <c r="M425" s="7" t="s">
        <v>374</v>
      </c>
      <c r="N425" s="7" t="s">
        <v>407</v>
      </c>
      <c r="O425" s="7">
        <v>97480.0</v>
      </c>
      <c r="P425" s="7" t="s">
        <v>123</v>
      </c>
      <c r="Q425" s="7"/>
      <c r="R425" s="7" t="s">
        <v>1457</v>
      </c>
      <c r="S425" s="7" t="s">
        <v>2757</v>
      </c>
      <c r="T425" s="7" t="s">
        <v>648</v>
      </c>
      <c r="U425" s="7" t="s">
        <v>2758</v>
      </c>
      <c r="V425" s="7">
        <v>2.62563106E8</v>
      </c>
      <c r="W425" s="7">
        <v>6.93016161E8</v>
      </c>
      <c r="X425" s="7"/>
      <c r="Y425" s="7"/>
      <c r="Z425" s="7" t="s">
        <v>5573</v>
      </c>
      <c r="AA425" s="7">
        <v>5.0</v>
      </c>
      <c r="AB425" s="7"/>
      <c r="AC425" s="7"/>
      <c r="AD425" s="7" t="s">
        <v>5585</v>
      </c>
      <c r="AE425" s="7" t="s">
        <v>5581</v>
      </c>
      <c r="AF425" s="7"/>
      <c r="AG425" s="7"/>
      <c r="AH425" s="20">
        <v>39592.0</v>
      </c>
      <c r="AI425" s="7"/>
      <c r="AJ425" s="7" t="s">
        <v>2762</v>
      </c>
      <c r="AK425" s="7">
        <v>4.5366983000011E13</v>
      </c>
      <c r="AL425" s="7" t="s">
        <v>2763</v>
      </c>
      <c r="AM425" s="7" t="s">
        <v>2764</v>
      </c>
      <c r="AN425" s="20">
        <v>39575.0</v>
      </c>
      <c r="AO425" s="7">
        <v>97480.0</v>
      </c>
      <c r="AP425" s="7" t="s">
        <v>385</v>
      </c>
      <c r="AQ425" s="7"/>
      <c r="AR425" s="7"/>
      <c r="AS425" s="7"/>
      <c r="AT425" s="7"/>
      <c r="AU425" s="7">
        <v>0.0</v>
      </c>
      <c r="AV425" s="7" t="s">
        <v>5582</v>
      </c>
      <c r="AW425" s="7"/>
      <c r="AX425" s="7"/>
      <c r="AY425" s="7"/>
      <c r="AZ425" s="7"/>
      <c r="BA425" s="7"/>
      <c r="BB425" s="7"/>
      <c r="BC425" s="7" t="s">
        <v>366</v>
      </c>
      <c r="BD425" s="21">
        <v>44197.0</v>
      </c>
      <c r="BE425" s="7"/>
      <c r="BF425" s="7"/>
      <c r="BG425" s="22">
        <v>44197.0</v>
      </c>
      <c r="BH425" s="7">
        <v>2.14748364E8</v>
      </c>
      <c r="BI425" s="7" t="s">
        <v>5576</v>
      </c>
      <c r="BJ425" s="7"/>
      <c r="BK425" s="7" t="b">
        <v>0</v>
      </c>
      <c r="BL425" s="7" t="b">
        <v>0</v>
      </c>
      <c r="BM425" s="7"/>
      <c r="BN425" s="7" t="str">
        <f>IFERROR(__xludf.DUMMYFUNCTION(" IF( REGEXMATCH(C425 , ""[(].+[)]""),REGEXREPLACE( CONCATENATE(REGEXEXTRACT(C425 , ""[(].+[)]""),IF(REGEXMATCH(C425 , ""[(][Ll]['’][)]""),"""","" ""), REGEXEXTRACT(C425 ,""^(?:(?:[A-Za-zàäéèêîïöôûü0-9 ](?:[A-Za-zàäéèêîïöôûü'0-9 ]+)))"")) , ""[()]"", """")"&amp;",C425 )"),"Le Manaco")</f>
        <v>Le Manaco</v>
      </c>
      <c r="BO425" s="23"/>
      <c r="BP425" s="7"/>
      <c r="BQ425" s="7"/>
      <c r="BR425" s="7"/>
      <c r="BS425" s="7"/>
      <c r="BT425" s="7"/>
      <c r="BU425" s="7"/>
      <c r="BV425" s="7"/>
      <c r="BW425" s="7"/>
      <c r="BX425" s="7"/>
      <c r="BY425" s="7"/>
      <c r="BZ425" s="7"/>
      <c r="CA425" s="7"/>
      <c r="CB425" s="7"/>
    </row>
    <row r="426" ht="21.75" customHeight="1">
      <c r="A426" s="7">
        <v>2597.0</v>
      </c>
      <c r="B426" s="7" t="s">
        <v>5586</v>
      </c>
      <c r="C426" s="7" t="s">
        <v>5587</v>
      </c>
      <c r="D426" s="7" t="s">
        <v>5587</v>
      </c>
      <c r="E426" s="7"/>
      <c r="F426" s="7" t="s">
        <v>342</v>
      </c>
      <c r="G426" s="7" t="s">
        <v>343</v>
      </c>
      <c r="H426" s="7" t="s">
        <v>123</v>
      </c>
      <c r="I426" s="7" t="s">
        <v>5588</v>
      </c>
      <c r="J426" s="26" t="s">
        <v>5589</v>
      </c>
      <c r="K426" s="7" t="s">
        <v>58</v>
      </c>
      <c r="L426" s="7" t="s">
        <v>59</v>
      </c>
      <c r="M426" s="7" t="s">
        <v>454</v>
      </c>
      <c r="N426" s="7" t="s">
        <v>375</v>
      </c>
      <c r="O426" s="7">
        <v>97480.0</v>
      </c>
      <c r="P426" s="7" t="s">
        <v>123</v>
      </c>
      <c r="Q426" s="7"/>
      <c r="R426" s="7" t="s">
        <v>5590</v>
      </c>
      <c r="S426" s="7" t="s">
        <v>5591</v>
      </c>
      <c r="T426" s="7" t="s">
        <v>377</v>
      </c>
      <c r="U426" s="7" t="s">
        <v>378</v>
      </c>
      <c r="V426" s="7">
        <v>2.62563183E8</v>
      </c>
      <c r="W426" s="7">
        <v>6.92221038E8</v>
      </c>
      <c r="X426" s="7"/>
      <c r="Y426" s="7"/>
      <c r="Z426" s="7" t="s">
        <v>5592</v>
      </c>
      <c r="AA426" s="7">
        <v>5.0</v>
      </c>
      <c r="AB426" s="7" t="s">
        <v>2716</v>
      </c>
      <c r="AC426" s="7" t="s">
        <v>5593</v>
      </c>
      <c r="AD426" s="7" t="s">
        <v>5594</v>
      </c>
      <c r="AE426" s="7"/>
      <c r="AF426" s="7"/>
      <c r="AG426" s="7"/>
      <c r="AH426" s="20">
        <v>40258.0</v>
      </c>
      <c r="AI426" s="7"/>
      <c r="AJ426" s="7" t="s">
        <v>5595</v>
      </c>
      <c r="AK426" s="7">
        <v>8.4367388000012E13</v>
      </c>
      <c r="AL426" s="7" t="s">
        <v>5596</v>
      </c>
      <c r="AM426" s="7" t="s">
        <v>5597</v>
      </c>
      <c r="AN426" s="20">
        <v>40258.0</v>
      </c>
      <c r="AO426" s="7">
        <v>97480.0</v>
      </c>
      <c r="AP426" s="7" t="s">
        <v>385</v>
      </c>
      <c r="AQ426" s="7"/>
      <c r="AR426" s="7"/>
      <c r="AS426" s="7"/>
      <c r="AT426" s="7"/>
      <c r="AU426" s="7">
        <v>1.0</v>
      </c>
      <c r="AV426" s="7" t="s">
        <v>5598</v>
      </c>
      <c r="AW426" s="7"/>
      <c r="AX426" s="7" t="s">
        <v>2399</v>
      </c>
      <c r="AY426" s="7" t="s">
        <v>1829</v>
      </c>
      <c r="AZ426" s="7" t="s">
        <v>5599</v>
      </c>
      <c r="BA426" s="7"/>
      <c r="BB426" s="7"/>
      <c r="BC426" s="7" t="s">
        <v>401</v>
      </c>
      <c r="BD426" s="21">
        <v>44246.53333333333</v>
      </c>
      <c r="BE426" s="7" t="s">
        <v>5600</v>
      </c>
      <c r="BF426" s="7"/>
      <c r="BG426" s="7"/>
      <c r="BH426" s="7">
        <v>8.4367388E8</v>
      </c>
      <c r="BI426" s="7" t="s">
        <v>5601</v>
      </c>
      <c r="BJ426" s="7"/>
      <c r="BK426" s="7" t="b">
        <v>0</v>
      </c>
      <c r="BL426" s="7" t="b">
        <v>0</v>
      </c>
      <c r="BM426" s="7"/>
      <c r="BN426" s="7" t="str">
        <f>IFERROR(__xludf.DUMMYFUNCTION(" IF( REGEXMATCH(C426 , ""[(].+[)]""),REGEXREPLACE( CONCATENATE(REGEXEXTRACT(C426 , ""[(].+[)]""),IF(REGEXMATCH(C426 , ""[(][Ll]['’][)]""),"""","" ""), REGEXEXTRACT(C426 ,""^(?:(?:[A-Za-zàäéèêîïöôûü0-9 ](?:[A-Za-zàäéèêîïöôûü'0-9 ]+)))"")) , ""[()]"", """")"&amp;",C426 )"),"Manap'Escale")</f>
        <v>Manap'Escale</v>
      </c>
      <c r="BO426" s="25"/>
      <c r="BP426" s="7"/>
      <c r="BQ426" s="7"/>
      <c r="BR426" s="7"/>
      <c r="BS426" s="7"/>
      <c r="BT426" s="7"/>
      <c r="BU426" s="7"/>
      <c r="BV426" s="7"/>
      <c r="BW426" s="7"/>
      <c r="BX426" s="7"/>
      <c r="BY426" s="7"/>
      <c r="BZ426" s="7"/>
      <c r="CA426" s="7"/>
      <c r="CB426" s="7"/>
    </row>
    <row r="427" ht="21.75" customHeight="1">
      <c r="A427" s="7">
        <v>5224.0</v>
      </c>
      <c r="B427" s="7">
        <v>426.0</v>
      </c>
      <c r="C427" s="7" t="s">
        <v>5602</v>
      </c>
      <c r="D427" s="7"/>
      <c r="E427" s="7"/>
      <c r="F427" s="7" t="s">
        <v>404</v>
      </c>
      <c r="G427" s="7" t="s">
        <v>343</v>
      </c>
      <c r="H427" s="7" t="s">
        <v>123</v>
      </c>
      <c r="I427" s="7" t="s">
        <v>5588</v>
      </c>
      <c r="J427" s="26" t="s">
        <v>5589</v>
      </c>
      <c r="K427" s="7" t="s">
        <v>58</v>
      </c>
      <c r="L427" s="7" t="s">
        <v>59</v>
      </c>
      <c r="M427" s="7" t="s">
        <v>346</v>
      </c>
      <c r="N427" s="7"/>
      <c r="O427" s="7">
        <v>97480.0</v>
      </c>
      <c r="P427" s="7" t="s">
        <v>123</v>
      </c>
      <c r="Q427" s="7"/>
      <c r="R427" s="7"/>
      <c r="S427" s="7"/>
      <c r="T427" s="7"/>
      <c r="U427" s="7"/>
      <c r="V427" s="7"/>
      <c r="W427" s="7">
        <v>6.92221038E8</v>
      </c>
      <c r="X427" s="7"/>
      <c r="Y427" s="7"/>
      <c r="Z427" s="7" t="s">
        <v>5592</v>
      </c>
      <c r="AA427" s="7">
        <v>6.0</v>
      </c>
      <c r="AB427" s="7" t="s">
        <v>2716</v>
      </c>
      <c r="AC427" s="7" t="s">
        <v>5593</v>
      </c>
      <c r="AD427" s="7" t="s">
        <v>5594</v>
      </c>
      <c r="AE427" s="7"/>
      <c r="AF427" s="7"/>
      <c r="AG427" s="7"/>
      <c r="AH427" s="7"/>
      <c r="AI427" s="7"/>
      <c r="AJ427" s="7" t="s">
        <v>5603</v>
      </c>
      <c r="AK427" s="7">
        <v>8.4367388000012E13</v>
      </c>
      <c r="AL427" s="7" t="s">
        <v>5596</v>
      </c>
      <c r="AM427" s="7" t="s">
        <v>5597</v>
      </c>
      <c r="AN427" s="20">
        <v>43903.0</v>
      </c>
      <c r="AO427" s="7">
        <v>97480.0</v>
      </c>
      <c r="AP427" s="7" t="s">
        <v>385</v>
      </c>
      <c r="AQ427" s="7"/>
      <c r="AR427" s="7"/>
      <c r="AS427" s="7"/>
      <c r="AT427" s="7"/>
      <c r="AU427" s="7">
        <v>1.0</v>
      </c>
      <c r="AV427" s="7" t="s">
        <v>5598</v>
      </c>
      <c r="AW427" s="7"/>
      <c r="AX427" s="7"/>
      <c r="AY427" s="7"/>
      <c r="AZ427" s="7" t="s">
        <v>5599</v>
      </c>
      <c r="BA427" s="7"/>
      <c r="BB427" s="7"/>
      <c r="BC427" s="7" t="s">
        <v>366</v>
      </c>
      <c r="BD427" s="21">
        <v>44197.0</v>
      </c>
      <c r="BE427" s="7"/>
      <c r="BF427" s="7"/>
      <c r="BG427" s="22">
        <v>44197.0</v>
      </c>
      <c r="BH427" s="7">
        <v>8.4367388E8</v>
      </c>
      <c r="BI427" s="7" t="s">
        <v>5601</v>
      </c>
      <c r="BJ427" s="7"/>
      <c r="BK427" s="7" t="b">
        <v>0</v>
      </c>
      <c r="BL427" s="7" t="b">
        <v>0</v>
      </c>
      <c r="BM427" s="7"/>
      <c r="BN427" s="7" t="str">
        <f>IFERROR(__xludf.DUMMYFUNCTION(" IF( REGEXMATCH(C427 , ""[(].+[)]""),REGEXREPLACE( CONCATENATE(REGEXEXTRACT(C427 , ""[(].+[)]""),IF(REGEXMATCH(C427 , ""[(][Ll]['’][)]""),"""","" ""), REGEXEXTRACT(C427 ,""^(?:(?:[A-Za-zàäéèêîïöôûü0-9 ](?:[A-Za-zàäéèêîïöôûü'0-9 ]+)))"")) , ""[()]"", """")"&amp;",C427 )"),"Manap'Escale Meublé")</f>
        <v>Manap'Escale Meublé</v>
      </c>
      <c r="BO427" s="23"/>
      <c r="BP427" s="7"/>
      <c r="BQ427" s="7"/>
      <c r="BR427" s="7"/>
      <c r="BS427" s="7"/>
      <c r="BT427" s="7"/>
      <c r="BU427" s="7"/>
      <c r="BV427" s="7"/>
      <c r="BW427" s="7"/>
      <c r="BX427" s="7"/>
      <c r="BY427" s="7"/>
      <c r="BZ427" s="7"/>
      <c r="CA427" s="7"/>
      <c r="CB427" s="7"/>
    </row>
    <row r="428" ht="21.75" customHeight="1">
      <c r="A428" s="7">
        <v>5031.0</v>
      </c>
      <c r="B428" s="7" t="s">
        <v>5604</v>
      </c>
      <c r="C428" s="7" t="s">
        <v>5605</v>
      </c>
      <c r="D428" s="7" t="s">
        <v>5605</v>
      </c>
      <c r="E428" s="7"/>
      <c r="F428" s="7" t="s">
        <v>342</v>
      </c>
      <c r="G428" s="7" t="s">
        <v>343</v>
      </c>
      <c r="H428" s="7" t="s">
        <v>123</v>
      </c>
      <c r="I428" s="7" t="s">
        <v>5606</v>
      </c>
      <c r="J428" s="26" t="s">
        <v>5607</v>
      </c>
      <c r="K428" s="7" t="s">
        <v>58</v>
      </c>
      <c r="L428" s="7" t="s">
        <v>59</v>
      </c>
      <c r="M428" s="7" t="s">
        <v>374</v>
      </c>
      <c r="N428" s="7" t="s">
        <v>375</v>
      </c>
      <c r="O428" s="7">
        <v>97480.0</v>
      </c>
      <c r="P428" s="7" t="s">
        <v>123</v>
      </c>
      <c r="Q428" s="7" t="s">
        <v>2092</v>
      </c>
      <c r="R428" s="7" t="s">
        <v>5608</v>
      </c>
      <c r="S428" s="7" t="s">
        <v>5609</v>
      </c>
      <c r="T428" s="7" t="s">
        <v>2390</v>
      </c>
      <c r="U428" s="7" t="s">
        <v>1698</v>
      </c>
      <c r="V428" s="7">
        <v>2.6241444E8</v>
      </c>
      <c r="W428" s="7">
        <v>6.92143647E8</v>
      </c>
      <c r="X428" s="7"/>
      <c r="Y428" s="7"/>
      <c r="Z428" s="7" t="s">
        <v>5610</v>
      </c>
      <c r="AA428" s="7">
        <v>2.0</v>
      </c>
      <c r="AB428" s="7"/>
      <c r="AC428" s="7" t="s">
        <v>5611</v>
      </c>
      <c r="AD428" s="7" t="s">
        <v>5612</v>
      </c>
      <c r="AE428" s="7" t="s">
        <v>5613</v>
      </c>
      <c r="AF428" s="7"/>
      <c r="AG428" s="7"/>
      <c r="AH428" s="20">
        <v>43683.0</v>
      </c>
      <c r="AI428" s="7"/>
      <c r="AJ428" s="7" t="s">
        <v>5614</v>
      </c>
      <c r="AK428" s="7">
        <v>8.2921853600011E13</v>
      </c>
      <c r="AL428" s="7" t="s">
        <v>5615</v>
      </c>
      <c r="AM428" s="7" t="s">
        <v>5616</v>
      </c>
      <c r="AN428" s="20">
        <v>43683.0</v>
      </c>
      <c r="AO428" s="7">
        <v>97480.0</v>
      </c>
      <c r="AP428" s="7" t="s">
        <v>385</v>
      </c>
      <c r="AQ428" s="7"/>
      <c r="AR428" s="7"/>
      <c r="AS428" s="7"/>
      <c r="AT428" s="7"/>
      <c r="AU428" s="7">
        <v>1.0</v>
      </c>
      <c r="AV428" s="7" t="s">
        <v>5617</v>
      </c>
      <c r="AW428" s="7"/>
      <c r="AX428" s="7" t="s">
        <v>3451</v>
      </c>
      <c r="AY428" s="7" t="s">
        <v>1590</v>
      </c>
      <c r="AZ428" s="7"/>
      <c r="BA428" s="7"/>
      <c r="BB428" s="7"/>
      <c r="BC428" s="7" t="s">
        <v>401</v>
      </c>
      <c r="BD428" s="21">
        <v>44166.4125</v>
      </c>
      <c r="BE428" s="7" t="s">
        <v>5618</v>
      </c>
      <c r="BF428" s="7"/>
      <c r="BG428" s="7"/>
      <c r="BH428" s="7">
        <v>8.29218536E8</v>
      </c>
      <c r="BI428" s="7" t="s">
        <v>5619</v>
      </c>
      <c r="BJ428" s="7"/>
      <c r="BK428" s="7" t="b">
        <v>0</v>
      </c>
      <c r="BL428" s="7" t="b">
        <v>0</v>
      </c>
      <c r="BM428" s="7"/>
      <c r="BN428" s="7" t="str">
        <f>IFERROR(__xludf.DUMMYFUNCTION(" IF( REGEXMATCH(C428 , ""[(].+[)]""),REGEXREPLACE( CONCATENATE(REGEXEXTRACT(C428 , ""[(].+[)]""),IF(REGEXMATCH(C428 , ""[(][Ll]['’][)]""),"""","" ""), REGEXEXTRACT(C428 ,""^(?:(?:[A-Za-zàäéèêîïöôûü0-9 ](?:[A-Za-zàäéèêîïöôûü'0-9 ]+)))"")) , ""[()]"", """")"&amp;",C428 )"),"Margayillat")</f>
        <v>Margayillat</v>
      </c>
      <c r="BO428" s="25"/>
      <c r="BP428" s="7"/>
      <c r="BQ428" s="7"/>
      <c r="BR428" s="7"/>
      <c r="BS428" s="7"/>
      <c r="BT428" s="7"/>
      <c r="BU428" s="7"/>
      <c r="BV428" s="7"/>
      <c r="BW428" s="7"/>
      <c r="BX428" s="7"/>
      <c r="BY428" s="7"/>
      <c r="BZ428" s="7"/>
      <c r="CA428" s="7"/>
      <c r="CB428" s="7"/>
    </row>
    <row r="429" ht="21.75" customHeight="1">
      <c r="A429" s="7">
        <v>3896.0</v>
      </c>
      <c r="B429" s="7" t="s">
        <v>5620</v>
      </c>
      <c r="C429" s="7" t="s">
        <v>5621</v>
      </c>
      <c r="D429" s="7"/>
      <c r="E429" s="7"/>
      <c r="F429" s="7" t="s">
        <v>404</v>
      </c>
      <c r="G429" s="7" t="s">
        <v>343</v>
      </c>
      <c r="H429" s="7" t="s">
        <v>344</v>
      </c>
      <c r="I429" s="7" t="s">
        <v>5622</v>
      </c>
      <c r="J429" s="7"/>
      <c r="K429" s="7" t="s">
        <v>58</v>
      </c>
      <c r="L429" s="7" t="s">
        <v>59</v>
      </c>
      <c r="M429" s="7" t="s">
        <v>346</v>
      </c>
      <c r="N429" s="7" t="s">
        <v>455</v>
      </c>
      <c r="O429" s="7">
        <v>97430.0</v>
      </c>
      <c r="P429" s="7" t="s">
        <v>344</v>
      </c>
      <c r="Q429" s="7"/>
      <c r="R429" s="7"/>
      <c r="S429" s="7"/>
      <c r="T429" s="7"/>
      <c r="U429" s="7"/>
      <c r="V429" s="7">
        <v>2.62346135E8</v>
      </c>
      <c r="W429" s="7">
        <v>6.92097861E8</v>
      </c>
      <c r="X429" s="7"/>
      <c r="Y429" s="7">
        <v>2.62346135E8</v>
      </c>
      <c r="Z429" s="7" t="s">
        <v>5623</v>
      </c>
      <c r="AA429" s="7">
        <v>5.0</v>
      </c>
      <c r="AB429" s="7"/>
      <c r="AC429" s="7" t="s">
        <v>5624</v>
      </c>
      <c r="AD429" s="7" t="s">
        <v>5625</v>
      </c>
      <c r="AE429" s="7"/>
      <c r="AF429" s="7"/>
      <c r="AG429" s="7"/>
      <c r="AH429" s="20">
        <v>42170.0</v>
      </c>
      <c r="AI429" s="7"/>
      <c r="AJ429" s="7" t="s">
        <v>5626</v>
      </c>
      <c r="AK429" s="7">
        <v>5.0974952900012E13</v>
      </c>
      <c r="AL429" s="7" t="s">
        <v>5627</v>
      </c>
      <c r="AM429" s="7" t="s">
        <v>5628</v>
      </c>
      <c r="AN429" s="20">
        <v>42170.0</v>
      </c>
      <c r="AO429" s="7">
        <v>97430.0</v>
      </c>
      <c r="AP429" s="7" t="s">
        <v>494</v>
      </c>
      <c r="AQ429" s="7"/>
      <c r="AR429" s="7"/>
      <c r="AS429" s="7"/>
      <c r="AT429" s="7"/>
      <c r="AU429" s="7">
        <v>1.0</v>
      </c>
      <c r="AV429" s="7" t="s">
        <v>5629</v>
      </c>
      <c r="AW429" s="7"/>
      <c r="AX429" s="7"/>
      <c r="AY429" s="7"/>
      <c r="AZ429" s="7" t="s">
        <v>5630</v>
      </c>
      <c r="BA429" s="7"/>
      <c r="BB429" s="7"/>
      <c r="BC429" s="7" t="s">
        <v>401</v>
      </c>
      <c r="BD429" s="7"/>
      <c r="BE429" s="7" t="s">
        <v>5631</v>
      </c>
      <c r="BF429" s="7"/>
      <c r="BG429" s="7"/>
      <c r="BH429" s="7">
        <v>5.09749529E8</v>
      </c>
      <c r="BI429" s="7" t="s">
        <v>5632</v>
      </c>
      <c r="BJ429" s="7"/>
      <c r="BK429" s="7" t="b">
        <v>0</v>
      </c>
      <c r="BL429" s="7" t="b">
        <v>0</v>
      </c>
      <c r="BM429" s="7"/>
      <c r="BN429" s="7" t="str">
        <f>IFERROR(__xludf.DUMMYFUNCTION(" IF( REGEXMATCH(C429 , ""[(].+[)]""),REGEXREPLACE( CONCATENATE(REGEXEXTRACT(C429 , ""[(].+[)]""),IF(REGEXMATCH(C429 , ""[(][Ll]['’][)]""),"""","" ""), REGEXEXTRACT(C429 ,""^(?:(?:[A-Za-zàäéèêîïöôûü0-9 ](?:[A-Za-zàäéèêîïöôûü'0-9 ]+)))"")) , ""[()]"", """")"&amp;",C429 )"),"Le Margouillat ")</f>
        <v>Le Margouillat </v>
      </c>
      <c r="BO429" s="25"/>
      <c r="BP429" s="7"/>
      <c r="BQ429" s="7"/>
      <c r="BR429" s="7"/>
      <c r="BS429" s="7"/>
      <c r="BT429" s="7"/>
      <c r="BU429" s="7"/>
      <c r="BV429" s="7"/>
      <c r="BW429" s="7"/>
      <c r="BX429" s="7"/>
      <c r="BY429" s="7"/>
      <c r="BZ429" s="7"/>
      <c r="CA429" s="7"/>
      <c r="CB429" s="7"/>
    </row>
    <row r="430" ht="21.75" customHeight="1">
      <c r="A430" s="7">
        <v>320.0</v>
      </c>
      <c r="B430" s="7" t="s">
        <v>5633</v>
      </c>
      <c r="C430" s="7" t="s">
        <v>5634</v>
      </c>
      <c r="D430" s="7" t="s">
        <v>5634</v>
      </c>
      <c r="E430" s="7"/>
      <c r="F430" s="7" t="s">
        <v>342</v>
      </c>
      <c r="G430" s="7" t="s">
        <v>343</v>
      </c>
      <c r="H430" s="7" t="s">
        <v>33</v>
      </c>
      <c r="I430" s="7" t="s">
        <v>5635</v>
      </c>
      <c r="J430" s="7"/>
      <c r="K430" s="7" t="s">
        <v>34</v>
      </c>
      <c r="L430" s="7" t="s">
        <v>4763</v>
      </c>
      <c r="M430" s="7" t="s">
        <v>5636</v>
      </c>
      <c r="N430" s="7" t="s">
        <v>1001</v>
      </c>
      <c r="O430" s="7">
        <v>97442.0</v>
      </c>
      <c r="P430" s="7" t="s">
        <v>33</v>
      </c>
      <c r="Q430" s="7"/>
      <c r="R430" s="7" t="s">
        <v>5637</v>
      </c>
      <c r="S430" s="7" t="s">
        <v>5638</v>
      </c>
      <c r="T430" s="7" t="s">
        <v>5639</v>
      </c>
      <c r="U430" s="7" t="s">
        <v>592</v>
      </c>
      <c r="V430" s="7">
        <v>2.62370101E8</v>
      </c>
      <c r="W430" s="7">
        <v>6.92852484E8</v>
      </c>
      <c r="X430" s="7"/>
      <c r="Y430" s="7">
        <v>2.62374409E8</v>
      </c>
      <c r="Z430" s="7" t="s">
        <v>5640</v>
      </c>
      <c r="AA430" s="7">
        <v>150.0</v>
      </c>
      <c r="AB430" s="7"/>
      <c r="AC430" s="7" t="s">
        <v>5641</v>
      </c>
      <c r="AD430" s="7" t="s">
        <v>5642</v>
      </c>
      <c r="AE430" s="7" t="s">
        <v>5643</v>
      </c>
      <c r="AF430" s="7" t="s">
        <v>613</v>
      </c>
      <c r="AG430" s="7" t="s">
        <v>5644</v>
      </c>
      <c r="AH430" s="20">
        <v>39692.0</v>
      </c>
      <c r="AI430" s="7"/>
      <c r="AJ430" s="7" t="s">
        <v>5645</v>
      </c>
      <c r="AK430" s="7">
        <v>4.1004179200012E13</v>
      </c>
      <c r="AL430" s="7" t="s">
        <v>5646</v>
      </c>
      <c r="AM430" s="7" t="s">
        <v>5647</v>
      </c>
      <c r="AN430" s="20">
        <v>39575.0</v>
      </c>
      <c r="AO430" s="7">
        <v>97442.0</v>
      </c>
      <c r="AP430" s="7" t="s">
        <v>884</v>
      </c>
      <c r="AQ430" s="7"/>
      <c r="AR430" s="7"/>
      <c r="AS430" s="7"/>
      <c r="AT430" s="7"/>
      <c r="AU430" s="7">
        <v>0.0</v>
      </c>
      <c r="AV430" s="7" t="s">
        <v>5648</v>
      </c>
      <c r="AW430" s="7"/>
      <c r="AX430" s="7"/>
      <c r="AY430" s="7"/>
      <c r="AZ430" s="7"/>
      <c r="BA430" s="7"/>
      <c r="BB430" s="7"/>
      <c r="BC430" s="7" t="s">
        <v>401</v>
      </c>
      <c r="BD430" s="21">
        <v>44185.43819444445</v>
      </c>
      <c r="BE430" s="7" t="s">
        <v>5649</v>
      </c>
      <c r="BF430" s="7"/>
      <c r="BG430" s="7"/>
      <c r="BH430" s="7">
        <v>4.10041792E8</v>
      </c>
      <c r="BI430" s="7" t="s">
        <v>5650</v>
      </c>
      <c r="BJ430" s="7"/>
      <c r="BK430" s="7" t="b">
        <v>0</v>
      </c>
      <c r="BL430" s="7" t="b">
        <v>0</v>
      </c>
      <c r="BM430" s="7"/>
      <c r="BN430" s="7" t="str">
        <f>IFERROR(__xludf.DUMMYFUNCTION(" IF( REGEXMATCH(C430 , ""[(].+[)]""),REGEXREPLACE( CONCATENATE(REGEXEXTRACT(C430 , ""[(].+[)]""),IF(REGEXMATCH(C430 , ""[(][Ll]['’][)]""),"""","" ""), REGEXEXTRACT(C430 ,""^(?:(?:[A-Za-zàäéèêîïöôûü0-9 ](?:[A-Za-zàäéèêîïöôûü'0-9 ]+)))"")) , ""[()]"", """")"&amp;",C430 )"),"La Marmite du Pêcheur ")</f>
        <v>La Marmite du Pêcheur </v>
      </c>
      <c r="BO430" s="25"/>
      <c r="BP430" s="7"/>
      <c r="BQ430" s="7"/>
      <c r="BR430" s="7"/>
      <c r="BS430" s="7"/>
      <c r="BT430" s="7"/>
      <c r="BU430" s="7"/>
      <c r="BV430" s="7"/>
      <c r="BW430" s="7"/>
      <c r="BX430" s="7"/>
      <c r="BY430" s="7"/>
      <c r="BZ430" s="7"/>
      <c r="CA430" s="7"/>
      <c r="CB430" s="7"/>
    </row>
    <row r="431" ht="21.75" customHeight="1">
      <c r="A431" s="7">
        <v>262.0</v>
      </c>
      <c r="B431" s="7" t="s">
        <v>5651</v>
      </c>
      <c r="C431" s="7" t="s">
        <v>5652</v>
      </c>
      <c r="D431" s="7" t="s">
        <v>5652</v>
      </c>
      <c r="E431" s="7"/>
      <c r="F431" s="7" t="s">
        <v>342</v>
      </c>
      <c r="G431" s="7" t="s">
        <v>343</v>
      </c>
      <c r="H431" s="7" t="s">
        <v>344</v>
      </c>
      <c r="I431" s="7" t="s">
        <v>5653</v>
      </c>
      <c r="J431" s="7"/>
      <c r="K431" s="7" t="s">
        <v>58</v>
      </c>
      <c r="L431" s="7" t="s">
        <v>137</v>
      </c>
      <c r="M431" s="7" t="s">
        <v>1091</v>
      </c>
      <c r="N431" s="7" t="s">
        <v>569</v>
      </c>
      <c r="O431" s="7">
        <v>97418.0</v>
      </c>
      <c r="P431" s="7" t="s">
        <v>348</v>
      </c>
      <c r="Q431" s="7" t="s">
        <v>349</v>
      </c>
      <c r="R431" s="7" t="s">
        <v>5654</v>
      </c>
      <c r="S431" s="7" t="s">
        <v>506</v>
      </c>
      <c r="T431" s="7" t="s">
        <v>377</v>
      </c>
      <c r="U431" s="7" t="s">
        <v>592</v>
      </c>
      <c r="V431" s="7">
        <v>2.62574609E8</v>
      </c>
      <c r="W431" s="7">
        <v>6.92605138E8</v>
      </c>
      <c r="X431" s="7"/>
      <c r="Y431" s="7"/>
      <c r="Z431" s="7"/>
      <c r="AA431" s="7">
        <v>8.0</v>
      </c>
      <c r="AB431" s="7"/>
      <c r="AC431" s="7" t="s">
        <v>5655</v>
      </c>
      <c r="AD431" s="7" t="s">
        <v>5656</v>
      </c>
      <c r="AE431" s="7" t="s">
        <v>5657</v>
      </c>
      <c r="AF431" s="7" t="s">
        <v>1173</v>
      </c>
      <c r="AG431" s="7"/>
      <c r="AH431" s="20">
        <v>39666.0</v>
      </c>
      <c r="AI431" s="7"/>
      <c r="AJ431" s="7" t="s">
        <v>5658</v>
      </c>
      <c r="AK431" s="7">
        <v>3.8339598000031E13</v>
      </c>
      <c r="AL431" s="7" t="s">
        <v>5659</v>
      </c>
      <c r="AM431" s="7" t="s">
        <v>5660</v>
      </c>
      <c r="AN431" s="20">
        <v>39575.0</v>
      </c>
      <c r="AO431" s="7">
        <v>97418.0</v>
      </c>
      <c r="AP431" s="7" t="s">
        <v>362</v>
      </c>
      <c r="AQ431" s="7"/>
      <c r="AR431" s="7"/>
      <c r="AS431" s="7"/>
      <c r="AT431" s="7"/>
      <c r="AU431" s="7">
        <v>4.0</v>
      </c>
      <c r="AV431" s="7" t="s">
        <v>5661</v>
      </c>
      <c r="AW431" s="7"/>
      <c r="AX431" s="7" t="s">
        <v>4318</v>
      </c>
      <c r="AY431" s="7" t="s">
        <v>1876</v>
      </c>
      <c r="AZ431" s="7" t="s">
        <v>5662</v>
      </c>
      <c r="BA431" s="7"/>
      <c r="BB431" s="7"/>
      <c r="BC431" s="7" t="s">
        <v>401</v>
      </c>
      <c r="BD431" s="21">
        <v>44221.0</v>
      </c>
      <c r="BE431" s="7" t="s">
        <v>5663</v>
      </c>
      <c r="BF431" s="7"/>
      <c r="BG431" s="7"/>
      <c r="BH431" s="7">
        <v>3.8339598E8</v>
      </c>
      <c r="BI431" s="7" t="s">
        <v>1138</v>
      </c>
      <c r="BJ431" s="7"/>
      <c r="BK431" s="7" t="b">
        <v>0</v>
      </c>
      <c r="BL431" s="7" t="b">
        <v>0</v>
      </c>
      <c r="BM431" s="7"/>
      <c r="BN431" s="7" t="str">
        <f>IFERROR(__xludf.DUMMYFUNCTION(" IF( REGEXMATCH(C431 , ""[(].+[)]""),REGEXREPLACE( CONCATENATE(REGEXEXTRACT(C431 , ""[(].+[)]""),IF(REGEXMATCH(C431 , ""[(][Ll]['’][)]""),"""","" ""), REGEXEXTRACT(C431 ,""^(?:(?:[A-Za-zàäéèêîïöôûü0-9 ](?:[A-Za-zàäéèêîïöôûü'0-9 ]+)))"")) , ""[()]"", """")"&amp;",C431 )"),"Marmite Lontan")</f>
        <v>Marmite Lontan</v>
      </c>
      <c r="BO431" s="25"/>
      <c r="BP431" s="7"/>
      <c r="BQ431" s="7"/>
      <c r="BR431" s="7"/>
      <c r="BS431" s="7"/>
      <c r="BT431" s="7"/>
      <c r="BU431" s="7"/>
      <c r="BV431" s="7"/>
      <c r="BW431" s="7"/>
      <c r="BX431" s="7"/>
      <c r="BY431" s="7"/>
      <c r="BZ431" s="7"/>
      <c r="CA431" s="7"/>
      <c r="CB431" s="7"/>
    </row>
    <row r="432" ht="21.75" customHeight="1">
      <c r="A432" s="7">
        <v>1549.0</v>
      </c>
      <c r="B432" s="7">
        <v>431.0</v>
      </c>
      <c r="C432" s="7" t="s">
        <v>5664</v>
      </c>
      <c r="D432" s="7" t="s">
        <v>5664</v>
      </c>
      <c r="E432" s="7"/>
      <c r="F432" s="7" t="s">
        <v>404</v>
      </c>
      <c r="G432" s="7" t="s">
        <v>343</v>
      </c>
      <c r="H432" s="7" t="s">
        <v>344</v>
      </c>
      <c r="I432" s="7" t="s">
        <v>5665</v>
      </c>
      <c r="J432" s="7"/>
      <c r="K432" s="7" t="s">
        <v>58</v>
      </c>
      <c r="L432" s="7" t="s">
        <v>59</v>
      </c>
      <c r="M432" s="7" t="s">
        <v>346</v>
      </c>
      <c r="N432" s="7" t="s">
        <v>455</v>
      </c>
      <c r="O432" s="7">
        <v>97430.0</v>
      </c>
      <c r="P432" s="7" t="s">
        <v>344</v>
      </c>
      <c r="Q432" s="7"/>
      <c r="R432" s="7" t="s">
        <v>5666</v>
      </c>
      <c r="S432" s="7" t="s">
        <v>2605</v>
      </c>
      <c r="T432" s="6" t="s">
        <v>352</v>
      </c>
      <c r="U432" s="7" t="s">
        <v>353</v>
      </c>
      <c r="V432" s="7">
        <v>2.62276413E8</v>
      </c>
      <c r="W432" s="7">
        <v>6.92875592E8</v>
      </c>
      <c r="X432" s="7"/>
      <c r="Y432" s="7"/>
      <c r="Z432" s="7" t="s">
        <v>4940</v>
      </c>
      <c r="AA432" s="7">
        <v>8.0</v>
      </c>
      <c r="AB432" s="7" t="s">
        <v>5667</v>
      </c>
      <c r="AC432" s="7" t="s">
        <v>5668</v>
      </c>
      <c r="AD432" s="7" t="s">
        <v>5669</v>
      </c>
      <c r="AE432" s="7" t="s">
        <v>5670</v>
      </c>
      <c r="AF432" s="7"/>
      <c r="AG432" s="7"/>
      <c r="AH432" s="20">
        <v>43739.0</v>
      </c>
      <c r="AI432" s="7"/>
      <c r="AJ432" s="7" t="s">
        <v>5671</v>
      </c>
      <c r="AK432" s="7"/>
      <c r="AL432" s="7" t="s">
        <v>5672</v>
      </c>
      <c r="AM432" s="7" t="s">
        <v>5673</v>
      </c>
      <c r="AN432" s="20">
        <v>43739.0</v>
      </c>
      <c r="AO432" s="7">
        <v>97430.0</v>
      </c>
      <c r="AP432" s="7" t="s">
        <v>494</v>
      </c>
      <c r="AQ432" s="7"/>
      <c r="AR432" s="7"/>
      <c r="AS432" s="7"/>
      <c r="AT432" s="7"/>
      <c r="AU432" s="7">
        <v>2.0</v>
      </c>
      <c r="AV432" s="7" t="s">
        <v>5674</v>
      </c>
      <c r="AW432" s="7"/>
      <c r="AX432" s="7"/>
      <c r="AY432" s="7"/>
      <c r="AZ432" s="7"/>
      <c r="BA432" s="7"/>
      <c r="BB432" s="7"/>
      <c r="BC432" s="7" t="s">
        <v>366</v>
      </c>
      <c r="BD432" s="21">
        <v>44160.10833333333</v>
      </c>
      <c r="BE432" s="7"/>
      <c r="BF432" s="7"/>
      <c r="BG432" s="22">
        <v>44160.0</v>
      </c>
      <c r="BH432" s="7"/>
      <c r="BI432" s="7" t="s">
        <v>5675</v>
      </c>
      <c r="BJ432" s="7"/>
      <c r="BK432" s="7" t="b">
        <v>0</v>
      </c>
      <c r="BL432" s="7" t="b">
        <v>0</v>
      </c>
      <c r="BM432" s="7"/>
      <c r="BN432" s="7" t="str">
        <f>IFERROR(__xludf.DUMMYFUNCTION(" IF( REGEXMATCH(C432 , ""[(].+[)]""),REGEXREPLACE( CONCATENATE(REGEXEXTRACT(C432 , ""[(].+[)]""),IF(REGEXMATCH(C432 , ""[(][Ll]['’][)]""),"""","" ""), REGEXEXTRACT(C432 ,""^(?:(?:[A-Za-zàäéèêîïöôûü0-9 ](?:[A-Za-zàäéèêîïöôûü'0-9 ]+)))"")) , ""[()]"", """")"&amp;",C432 )"),"Mary Lu")</f>
        <v>Mary Lu</v>
      </c>
      <c r="BO432" s="23"/>
      <c r="BP432" s="7"/>
      <c r="BQ432" s="7"/>
      <c r="BR432" s="7"/>
      <c r="BS432" s="7"/>
      <c r="BT432" s="7"/>
      <c r="BU432" s="7"/>
      <c r="BV432" s="7"/>
      <c r="BW432" s="7"/>
      <c r="BX432" s="7"/>
      <c r="BY432" s="7"/>
      <c r="BZ432" s="7"/>
      <c r="CA432" s="7"/>
      <c r="CB432" s="7"/>
    </row>
    <row r="433" ht="21.75" customHeight="1">
      <c r="A433" s="7">
        <v>2980.0</v>
      </c>
      <c r="B433" s="7" t="s">
        <v>5676</v>
      </c>
      <c r="C433" s="7" t="s">
        <v>5677</v>
      </c>
      <c r="D433" s="7"/>
      <c r="E433" s="7"/>
      <c r="F433" s="7" t="s">
        <v>342</v>
      </c>
      <c r="G433" s="7" t="s">
        <v>343</v>
      </c>
      <c r="H433" s="7" t="s">
        <v>33</v>
      </c>
      <c r="I433" s="7" t="s">
        <v>5678</v>
      </c>
      <c r="J433" s="7"/>
      <c r="K433" s="7" t="s">
        <v>34</v>
      </c>
      <c r="L433" s="7" t="s">
        <v>622</v>
      </c>
      <c r="M433" s="7" t="s">
        <v>622</v>
      </c>
      <c r="N433" s="7" t="s">
        <v>1001</v>
      </c>
      <c r="O433" s="7">
        <v>97442.0</v>
      </c>
      <c r="P433" s="7" t="s">
        <v>33</v>
      </c>
      <c r="Q433" s="7"/>
      <c r="R433" s="7"/>
      <c r="S433" s="7"/>
      <c r="T433" s="7" t="s">
        <v>377</v>
      </c>
      <c r="U433" s="7" t="s">
        <v>353</v>
      </c>
      <c r="V433" s="7"/>
      <c r="W433" s="7">
        <v>6.92605482E8</v>
      </c>
      <c r="X433" s="7"/>
      <c r="Y433" s="7"/>
      <c r="Z433" s="7"/>
      <c r="AA433" s="7">
        <v>110.0</v>
      </c>
      <c r="AB433" s="7"/>
      <c r="AC433" s="7"/>
      <c r="AD433" s="7" t="s">
        <v>5679</v>
      </c>
      <c r="AE433" s="7" t="s">
        <v>5680</v>
      </c>
      <c r="AF433" s="7"/>
      <c r="AG433" s="7"/>
      <c r="AH433" s="20">
        <v>43739.0</v>
      </c>
      <c r="AI433" s="7"/>
      <c r="AJ433" s="7" t="s">
        <v>5681</v>
      </c>
      <c r="AK433" s="7">
        <v>4.0355445400021E13</v>
      </c>
      <c r="AL433" s="7" t="s">
        <v>5682</v>
      </c>
      <c r="AM433" s="7" t="s">
        <v>5683</v>
      </c>
      <c r="AN433" s="20">
        <v>43739.0</v>
      </c>
      <c r="AO433" s="7">
        <v>97442.0</v>
      </c>
      <c r="AP433" s="7" t="s">
        <v>884</v>
      </c>
      <c r="AQ433" s="7"/>
      <c r="AR433" s="7"/>
      <c r="AS433" s="7"/>
      <c r="AT433" s="7"/>
      <c r="AU433" s="7">
        <v>0.0</v>
      </c>
      <c r="AV433" s="7" t="s">
        <v>5684</v>
      </c>
      <c r="AW433" s="7"/>
      <c r="AX433" s="7"/>
      <c r="AY433" s="7"/>
      <c r="AZ433" s="7"/>
      <c r="BA433" s="7"/>
      <c r="BB433" s="7"/>
      <c r="BC433" s="7" t="s">
        <v>401</v>
      </c>
      <c r="BD433" s="21">
        <v>44185.47083333333</v>
      </c>
      <c r="BE433" s="7" t="s">
        <v>5685</v>
      </c>
      <c r="BF433" s="7"/>
      <c r="BG433" s="7"/>
      <c r="BH433" s="7">
        <v>4.03554454E8</v>
      </c>
      <c r="BI433" s="7" t="s">
        <v>5371</v>
      </c>
      <c r="BJ433" s="7"/>
      <c r="BK433" s="7" t="b">
        <v>0</v>
      </c>
      <c r="BL433" s="7" t="b">
        <v>0</v>
      </c>
      <c r="BM433" s="7"/>
      <c r="BN433" s="7" t="str">
        <f>IFERROR(__xludf.DUMMYFUNCTION(" IF( REGEXMATCH(C433 , ""[(].+[)]""),REGEXREPLACE( CONCATENATE(REGEXEXTRACT(C433 , ""[(].+[)]""),IF(REGEXMATCH(C433 , ""[(][Ll]['’][)]""),"""","" ""), REGEXEXTRACT(C433 ,""^(?:(?:[A-Za-zàäéèêîïöôûü0-9 ](?:[A-Za-zàäéèêîïöôûü'0-9 ]+)))"")) , ""[()]"", """")"&amp;",C433 )"),"Le Mascarin ")</f>
        <v>Le Mascarin </v>
      </c>
      <c r="BO433" s="25"/>
      <c r="BP433" s="7"/>
      <c r="BQ433" s="7"/>
      <c r="BR433" s="7"/>
      <c r="BS433" s="7"/>
      <c r="BT433" s="7"/>
      <c r="BU433" s="7"/>
      <c r="BV433" s="7"/>
      <c r="BW433" s="7"/>
      <c r="BX433" s="7"/>
      <c r="BY433" s="7"/>
      <c r="BZ433" s="7"/>
      <c r="CA433" s="7"/>
      <c r="CB433" s="7"/>
    </row>
    <row r="434" ht="21.75" customHeight="1">
      <c r="A434" s="7">
        <v>2961.0</v>
      </c>
      <c r="B434" s="7">
        <v>433.0</v>
      </c>
      <c r="C434" s="7" t="s">
        <v>5686</v>
      </c>
      <c r="D434" s="7"/>
      <c r="E434" s="7"/>
      <c r="F434" s="7" t="s">
        <v>404</v>
      </c>
      <c r="G434" s="7" t="s">
        <v>343</v>
      </c>
      <c r="H434" s="7" t="s">
        <v>40</v>
      </c>
      <c r="I434" s="7" t="s">
        <v>5687</v>
      </c>
      <c r="J434" s="7"/>
      <c r="K434" s="7" t="s">
        <v>58</v>
      </c>
      <c r="L434" s="7" t="s">
        <v>137</v>
      </c>
      <c r="M434" s="7" t="s">
        <v>1106</v>
      </c>
      <c r="N434" s="7"/>
      <c r="O434" s="7">
        <v>97414.0</v>
      </c>
      <c r="P434" s="7" t="s">
        <v>40</v>
      </c>
      <c r="Q434" s="7"/>
      <c r="R434" s="7"/>
      <c r="S434" s="7"/>
      <c r="T434" s="7"/>
      <c r="U434" s="7" t="s">
        <v>5688</v>
      </c>
      <c r="V434" s="7"/>
      <c r="W434" s="7"/>
      <c r="X434" s="7"/>
      <c r="Y434" s="7"/>
      <c r="Z434" s="7"/>
      <c r="AA434" s="7"/>
      <c r="AB434" s="7"/>
      <c r="AC434" s="7"/>
      <c r="AD434" s="7" t="s">
        <v>5689</v>
      </c>
      <c r="AE434" s="7"/>
      <c r="AF434" s="7"/>
      <c r="AG434" s="7"/>
      <c r="AH434" s="20">
        <v>43739.0</v>
      </c>
      <c r="AI434" s="7"/>
      <c r="AJ434" s="7" t="s">
        <v>5690</v>
      </c>
      <c r="AK434" s="7"/>
      <c r="AL434" s="7" t="s">
        <v>5691</v>
      </c>
      <c r="AM434" s="7"/>
      <c r="AN434" s="20">
        <v>43739.0</v>
      </c>
      <c r="AO434" s="7">
        <v>97414.0</v>
      </c>
      <c r="AP434" s="7" t="s">
        <v>429</v>
      </c>
      <c r="AQ434" s="7"/>
      <c r="AR434" s="7"/>
      <c r="AS434" s="7"/>
      <c r="AT434" s="7"/>
      <c r="AU434" s="7">
        <v>0.0</v>
      </c>
      <c r="AV434" s="7"/>
      <c r="AW434" s="7"/>
      <c r="AX434" s="7"/>
      <c r="AY434" s="7"/>
      <c r="AZ434" s="7"/>
      <c r="BA434" s="7"/>
      <c r="BB434" s="7"/>
      <c r="BC434" s="7" t="s">
        <v>366</v>
      </c>
      <c r="BD434" s="21">
        <v>44098.45</v>
      </c>
      <c r="BE434" s="7"/>
      <c r="BF434" s="7"/>
      <c r="BG434" s="22">
        <v>44098.0</v>
      </c>
      <c r="BH434" s="7"/>
      <c r="BI434" s="7"/>
      <c r="BJ434" s="7"/>
      <c r="BK434" s="7" t="b">
        <v>0</v>
      </c>
      <c r="BL434" s="7" t="b">
        <v>0</v>
      </c>
      <c r="BM434" s="7"/>
      <c r="BN434" s="7" t="str">
        <f>IFERROR(__xludf.DUMMYFUNCTION(" IF( REGEXMATCH(C434 , ""[(].+[)]""),REGEXREPLACE( CONCATENATE(REGEXEXTRACT(C434 , ""[(].+[)]""),IF(REGEXMATCH(C434 , ""[(][Ll]['’][)]""),"""","" ""), REGEXEXTRACT(C434 ,""^(?:(?:[A-Za-zàäéèêîïöôûü0-9 ](?:[A-Za-zàäéèêîïöôûü'0-9 ]+)))"")) , ""[()]"", """")"&amp;",C434 )"),"med 1")</f>
        <v>med 1</v>
      </c>
      <c r="BO434" s="23"/>
      <c r="BP434" s="7"/>
      <c r="BQ434" s="7"/>
      <c r="BR434" s="7"/>
      <c r="BS434" s="7"/>
      <c r="BT434" s="7"/>
      <c r="BU434" s="7"/>
      <c r="BV434" s="7"/>
      <c r="BW434" s="7"/>
      <c r="BX434" s="7"/>
      <c r="BY434" s="7"/>
      <c r="BZ434" s="7"/>
      <c r="CA434" s="7"/>
      <c r="CB434" s="7"/>
    </row>
    <row r="435" ht="21.75" customHeight="1">
      <c r="A435" s="7">
        <v>3908.0</v>
      </c>
      <c r="B435" s="7" t="s">
        <v>5692</v>
      </c>
      <c r="C435" s="7" t="s">
        <v>5693</v>
      </c>
      <c r="D435" s="7"/>
      <c r="E435" s="7"/>
      <c r="F435" s="7" t="s">
        <v>342</v>
      </c>
      <c r="G435" s="7" t="s">
        <v>343</v>
      </c>
      <c r="H435" s="7" t="s">
        <v>344</v>
      </c>
      <c r="I435" s="7" t="s">
        <v>5694</v>
      </c>
      <c r="J435" s="26" t="s">
        <v>5695</v>
      </c>
      <c r="K435" s="6" t="s">
        <v>469</v>
      </c>
      <c r="L435" s="7" t="s">
        <v>1792</v>
      </c>
      <c r="M435" s="7" t="s">
        <v>1696</v>
      </c>
      <c r="N435" s="7" t="s">
        <v>375</v>
      </c>
      <c r="O435" s="7">
        <v>97430.0</v>
      </c>
      <c r="P435" s="7" t="s">
        <v>344</v>
      </c>
      <c r="Q435" s="7"/>
      <c r="R435" s="7"/>
      <c r="S435" s="7"/>
      <c r="T435" s="7"/>
      <c r="U435" s="7" t="s">
        <v>378</v>
      </c>
      <c r="V435" s="7">
        <v>2.62550219E8</v>
      </c>
      <c r="W435" s="7"/>
      <c r="X435" s="7"/>
      <c r="Y435" s="7">
        <v>2.62349766E8</v>
      </c>
      <c r="Z435" s="7" t="s">
        <v>5696</v>
      </c>
      <c r="AA435" s="7"/>
      <c r="AB435" s="7"/>
      <c r="AC435" s="7" t="s">
        <v>5697</v>
      </c>
      <c r="AD435" s="7" t="s">
        <v>5698</v>
      </c>
      <c r="AE435" s="7"/>
      <c r="AF435" s="7"/>
      <c r="AG435" s="7"/>
      <c r="AH435" s="20">
        <v>42171.0</v>
      </c>
      <c r="AI435" s="7"/>
      <c r="AJ435" s="7" t="s">
        <v>5699</v>
      </c>
      <c r="AK435" s="7"/>
      <c r="AL435" s="7" t="s">
        <v>5700</v>
      </c>
      <c r="AM435" s="7" t="s">
        <v>5701</v>
      </c>
      <c r="AN435" s="20">
        <v>42171.0</v>
      </c>
      <c r="AO435" s="7">
        <v>97430.0</v>
      </c>
      <c r="AP435" s="7" t="s">
        <v>494</v>
      </c>
      <c r="AQ435" s="7"/>
      <c r="AR435" s="7"/>
      <c r="AS435" s="7"/>
      <c r="AT435" s="7"/>
      <c r="AU435" s="7">
        <v>0.0</v>
      </c>
      <c r="AV435" s="7" t="s">
        <v>5702</v>
      </c>
      <c r="AW435" s="7"/>
      <c r="AX435" s="7"/>
      <c r="AY435" s="7"/>
      <c r="AZ435" s="7"/>
      <c r="BA435" s="7"/>
      <c r="BB435" s="7"/>
      <c r="BC435" s="7" t="s">
        <v>401</v>
      </c>
      <c r="BD435" s="21">
        <v>44235.0</v>
      </c>
      <c r="BE435" s="7" t="s">
        <v>5703</v>
      </c>
      <c r="BF435" s="7"/>
      <c r="BG435" s="7"/>
      <c r="BH435" s="7"/>
      <c r="BI435" s="7" t="s">
        <v>5704</v>
      </c>
      <c r="BJ435" s="7"/>
      <c r="BK435" s="7" t="b">
        <v>0</v>
      </c>
      <c r="BL435" s="7" t="b">
        <v>0</v>
      </c>
      <c r="BM435" s="7"/>
      <c r="BN435" s="7" t="str">
        <f>IFERROR(__xludf.DUMMYFUNCTION(" IF( REGEXMATCH(C435 , ""[(].+[)]""),REGEXREPLACE( CONCATENATE(REGEXEXTRACT(C435 , ""[(].+[)]""),IF(REGEXMATCH(C435 , ""[(][Ll]['’][)]""),"""","" ""), REGEXEXTRACT(C435 ,""^(?:(?:[A-Za-zàäéèêîïöôûü0-9 ](?:[A-Za-zàäéèêîïöôûü'0-9 ]+)))"")) , ""[()]"", """")"&amp;",C435 )"),"Médiathèque")</f>
        <v>Médiathèque</v>
      </c>
      <c r="BO435" s="25"/>
      <c r="BP435" s="7"/>
      <c r="BQ435" s="7"/>
      <c r="BR435" s="7"/>
      <c r="BS435" s="7"/>
      <c r="BT435" s="7"/>
      <c r="BU435" s="7"/>
      <c r="BV435" s="7"/>
      <c r="BW435" s="7"/>
      <c r="BX435" s="7"/>
      <c r="BY435" s="7"/>
      <c r="BZ435" s="7"/>
      <c r="CA435" s="7"/>
      <c r="CB435" s="7"/>
    </row>
    <row r="436" ht="21.75" customHeight="1">
      <c r="A436" s="7">
        <v>366.0</v>
      </c>
      <c r="B436" s="7">
        <v>435.0</v>
      </c>
      <c r="C436" s="7" t="s">
        <v>5705</v>
      </c>
      <c r="D436" s="7" t="s">
        <v>5705</v>
      </c>
      <c r="E436" s="7"/>
      <c r="F436" s="7" t="s">
        <v>342</v>
      </c>
      <c r="G436" s="7" t="s">
        <v>343</v>
      </c>
      <c r="H436" s="7" t="s">
        <v>123</v>
      </c>
      <c r="I436" s="7" t="s">
        <v>5706</v>
      </c>
      <c r="J436" s="26" t="s">
        <v>5707</v>
      </c>
      <c r="K436" s="7" t="s">
        <v>58</v>
      </c>
      <c r="L436" s="7" t="s">
        <v>59</v>
      </c>
      <c r="M436" s="7" t="s">
        <v>374</v>
      </c>
      <c r="N436" s="7" t="s">
        <v>375</v>
      </c>
      <c r="O436" s="7">
        <v>97480.0</v>
      </c>
      <c r="P436" s="7" t="s">
        <v>123</v>
      </c>
      <c r="Q436" s="7"/>
      <c r="R436" s="7" t="s">
        <v>1474</v>
      </c>
      <c r="S436" s="7" t="s">
        <v>1458</v>
      </c>
      <c r="T436" s="7" t="s">
        <v>974</v>
      </c>
      <c r="U436" s="7" t="s">
        <v>5708</v>
      </c>
      <c r="V436" s="7"/>
      <c r="W436" s="7">
        <v>6.92610756E8</v>
      </c>
      <c r="X436" s="7">
        <v>6.92885924E8</v>
      </c>
      <c r="Y436" s="7"/>
      <c r="Z436" s="7" t="s">
        <v>5709</v>
      </c>
      <c r="AA436" s="7">
        <v>12.0</v>
      </c>
      <c r="AB436" s="7"/>
      <c r="AC436" s="7" t="s">
        <v>5710</v>
      </c>
      <c r="AD436" s="7" t="s">
        <v>5711</v>
      </c>
      <c r="AE436" s="7"/>
      <c r="AF436" s="7"/>
      <c r="AG436" s="7"/>
      <c r="AH436" s="20">
        <v>39575.0</v>
      </c>
      <c r="AI436" s="7"/>
      <c r="AJ436" s="7" t="s">
        <v>5712</v>
      </c>
      <c r="AK436" s="7"/>
      <c r="AL436" s="7" t="s">
        <v>5713</v>
      </c>
      <c r="AM436" s="7" t="s">
        <v>5714</v>
      </c>
      <c r="AN436" s="20">
        <v>39575.0</v>
      </c>
      <c r="AO436" s="7">
        <v>97480.0</v>
      </c>
      <c r="AP436" s="7" t="s">
        <v>385</v>
      </c>
      <c r="AQ436" s="7"/>
      <c r="AR436" s="7"/>
      <c r="AS436" s="7"/>
      <c r="AT436" s="7"/>
      <c r="AU436" s="7">
        <v>4.0</v>
      </c>
      <c r="AV436" s="7" t="s">
        <v>5715</v>
      </c>
      <c r="AW436" s="7"/>
      <c r="AX436" s="7"/>
      <c r="AY436" s="7"/>
      <c r="AZ436" s="7" t="s">
        <v>5716</v>
      </c>
      <c r="BA436" s="7"/>
      <c r="BB436" s="7"/>
      <c r="BC436" s="7" t="s">
        <v>366</v>
      </c>
      <c r="BD436" s="21">
        <v>44242.38333333333</v>
      </c>
      <c r="BE436" s="7"/>
      <c r="BF436" s="7"/>
      <c r="BG436" s="22">
        <v>44242.0</v>
      </c>
      <c r="BH436" s="7"/>
      <c r="BI436" s="7" t="s">
        <v>5717</v>
      </c>
      <c r="BJ436" s="7"/>
      <c r="BK436" s="7" t="b">
        <v>0</v>
      </c>
      <c r="BL436" s="7" t="b">
        <v>0</v>
      </c>
      <c r="BM436" s="7"/>
      <c r="BN436" s="7" t="str">
        <f>IFERROR(__xludf.DUMMYFUNCTION(" IF( REGEXMATCH(C436 , ""[(].+[)]""),REGEXREPLACE( CONCATENATE(REGEXEXTRACT(C436 , ""[(].+[)]""),IF(REGEXMATCH(C436 , ""[(][Ll]['’][)]""),"""","" ""), REGEXEXTRACT(C436 ,""^(?:(?:[A-Za-zàäéèêîïöôûü0-9 ](?:[A-Za-zàäéèêîïöôûü'0-9 ]+)))"")) , ""[()]"", """")"&amp;",C436 )"),"La Médina du Sud ")</f>
        <v>La Médina du Sud </v>
      </c>
      <c r="BO436" s="23"/>
      <c r="BP436" s="7"/>
      <c r="BQ436" s="7"/>
      <c r="BR436" s="7"/>
      <c r="BS436" s="7"/>
      <c r="BT436" s="7"/>
      <c r="BU436" s="7"/>
      <c r="BV436" s="7"/>
      <c r="BW436" s="7"/>
      <c r="BX436" s="7"/>
      <c r="BY436" s="7"/>
      <c r="BZ436" s="7"/>
      <c r="CA436" s="7"/>
      <c r="CB436" s="7"/>
    </row>
    <row r="437" ht="21.75" customHeight="1">
      <c r="A437" s="7">
        <v>2588.0</v>
      </c>
      <c r="B437" s="7" t="s">
        <v>5718</v>
      </c>
      <c r="C437" s="7" t="s">
        <v>5719</v>
      </c>
      <c r="D437" s="7" t="s">
        <v>5719</v>
      </c>
      <c r="E437" s="7"/>
      <c r="F437" s="7" t="s">
        <v>342</v>
      </c>
      <c r="G437" s="7" t="s">
        <v>343</v>
      </c>
      <c r="H437" s="7" t="s">
        <v>40</v>
      </c>
      <c r="I437" s="7" t="s">
        <v>5720</v>
      </c>
      <c r="J437" s="7"/>
      <c r="K437" s="6" t="s">
        <v>469</v>
      </c>
      <c r="L437" s="7" t="s">
        <v>197</v>
      </c>
      <c r="M437" s="7" t="s">
        <v>559</v>
      </c>
      <c r="N437" s="7" t="s">
        <v>407</v>
      </c>
      <c r="O437" s="7">
        <v>97414.0</v>
      </c>
      <c r="P437" s="7" t="s">
        <v>40</v>
      </c>
      <c r="Q437" s="7"/>
      <c r="R437" s="7"/>
      <c r="S437" s="7"/>
      <c r="T437" s="7" t="s">
        <v>377</v>
      </c>
      <c r="U437" s="7" t="s">
        <v>424</v>
      </c>
      <c r="V437" s="7"/>
      <c r="W437" s="7">
        <v>6.93026462E8</v>
      </c>
      <c r="X437" s="7"/>
      <c r="Y437" s="7"/>
      <c r="Z437" s="7" t="s">
        <v>5721</v>
      </c>
      <c r="AA437" s="7">
        <v>15.0</v>
      </c>
      <c r="AB437" s="7"/>
      <c r="AC437" s="7"/>
      <c r="AD437" s="7" t="s">
        <v>5722</v>
      </c>
      <c r="AE437" s="7" t="s">
        <v>5723</v>
      </c>
      <c r="AF437" s="7"/>
      <c r="AG437" s="7"/>
      <c r="AH437" s="20">
        <v>41423.0</v>
      </c>
      <c r="AI437" s="7"/>
      <c r="AJ437" s="7" t="s">
        <v>5724</v>
      </c>
      <c r="AK437" s="7">
        <v>5.0180726700015E13</v>
      </c>
      <c r="AL437" s="7" t="s">
        <v>5725</v>
      </c>
      <c r="AM437" s="7" t="s">
        <v>5726</v>
      </c>
      <c r="AN437" s="20">
        <v>40267.0</v>
      </c>
      <c r="AO437" s="7">
        <v>97414.0</v>
      </c>
      <c r="AP437" s="7" t="s">
        <v>429</v>
      </c>
      <c r="AQ437" s="7"/>
      <c r="AR437" s="7"/>
      <c r="AS437" s="7"/>
      <c r="AT437" s="7"/>
      <c r="AU437" s="7">
        <v>0.0</v>
      </c>
      <c r="AV437" s="7" t="s">
        <v>5727</v>
      </c>
      <c r="AW437" s="7"/>
      <c r="AX437" s="7"/>
      <c r="AY437" s="7"/>
      <c r="AZ437" s="7"/>
      <c r="BA437" s="7"/>
      <c r="BB437" s="7"/>
      <c r="BC437" s="7" t="s">
        <v>401</v>
      </c>
      <c r="BD437" s="21">
        <v>44094.0</v>
      </c>
      <c r="BE437" s="7" t="s">
        <v>1047</v>
      </c>
      <c r="BF437" s="7"/>
      <c r="BG437" s="7"/>
      <c r="BH437" s="7">
        <v>5.01807267E8</v>
      </c>
      <c r="BI437" s="7" t="s">
        <v>1786</v>
      </c>
      <c r="BJ437" s="7"/>
      <c r="BK437" s="7" t="b">
        <v>0</v>
      </c>
      <c r="BL437" s="7" t="b">
        <v>0</v>
      </c>
      <c r="BM437" s="7"/>
      <c r="BN437" s="7" t="str">
        <f>IFERROR(__xludf.DUMMYFUNCTION(" IF( REGEXMATCH(C437 , ""[(].+[)]""),REGEXREPLACE( CONCATENATE(REGEXEXTRACT(C437 , ""[(].+[)]""),IF(REGEXMATCH(C437 , ""[(][Ll]['’][)]""),"""","" ""), REGEXEXTRACT(C437 ,""^(?:(?:[A-Za-zàäéèêîïöôûü0-9 ](?:[A-Za-zàäéèêîïöôûü'0-9 ]+)))"")) , ""[()]"", """")"&amp;",C437 )"),"Mémoire D'Sens")</f>
        <v>Mémoire D'Sens</v>
      </c>
      <c r="BO437" s="25"/>
      <c r="BP437" s="7"/>
      <c r="BQ437" s="7"/>
      <c r="BR437" s="7"/>
      <c r="BS437" s="7"/>
      <c r="BT437" s="7"/>
      <c r="BU437" s="7"/>
      <c r="BV437" s="7"/>
      <c r="BW437" s="7"/>
      <c r="BX437" s="7"/>
      <c r="BY437" s="7"/>
      <c r="BZ437" s="7"/>
      <c r="CA437" s="7"/>
      <c r="CB437" s="7"/>
    </row>
    <row r="438" ht="21.75" customHeight="1">
      <c r="A438" s="7">
        <v>1476.0</v>
      </c>
      <c r="B438" s="7" t="s">
        <v>5728</v>
      </c>
      <c r="C438" s="7" t="s">
        <v>5729</v>
      </c>
      <c r="D438" s="7"/>
      <c r="E438" s="7"/>
      <c r="F438" s="7" t="s">
        <v>342</v>
      </c>
      <c r="G438" s="7" t="s">
        <v>343</v>
      </c>
      <c r="H438" s="7" t="s">
        <v>33</v>
      </c>
      <c r="I438" s="7" t="s">
        <v>5730</v>
      </c>
      <c r="J438" s="7"/>
      <c r="K438" s="7" t="s">
        <v>34</v>
      </c>
      <c r="L438" s="7" t="s">
        <v>622</v>
      </c>
      <c r="M438" s="7" t="s">
        <v>1347</v>
      </c>
      <c r="N438" s="7" t="s">
        <v>375</v>
      </c>
      <c r="O438" s="7">
        <v>97442.0</v>
      </c>
      <c r="P438" s="7" t="s">
        <v>33</v>
      </c>
      <c r="Q438" s="7"/>
      <c r="R438" s="7"/>
      <c r="S438" s="7"/>
      <c r="T438" s="7" t="s">
        <v>377</v>
      </c>
      <c r="U438" s="7" t="s">
        <v>592</v>
      </c>
      <c r="V438" s="7">
        <v>2.62465618E8</v>
      </c>
      <c r="W438" s="7"/>
      <c r="X438" s="7"/>
      <c r="Y438" s="7"/>
      <c r="Z438" s="7"/>
      <c r="AA438" s="7">
        <v>30.0</v>
      </c>
      <c r="AB438" s="7"/>
      <c r="AC438" s="7"/>
      <c r="AD438" s="7" t="s">
        <v>5731</v>
      </c>
      <c r="AE438" s="7" t="s">
        <v>5732</v>
      </c>
      <c r="AF438" s="7"/>
      <c r="AG438" s="7"/>
      <c r="AH438" s="20">
        <v>43739.0</v>
      </c>
      <c r="AI438" s="7"/>
      <c r="AJ438" s="7" t="s">
        <v>5733</v>
      </c>
      <c r="AK438" s="7">
        <v>5.2325970300016E13</v>
      </c>
      <c r="AL438" s="7" t="s">
        <v>5734</v>
      </c>
      <c r="AM438" s="7" t="s">
        <v>5735</v>
      </c>
      <c r="AN438" s="20">
        <v>43739.0</v>
      </c>
      <c r="AO438" s="7">
        <v>97442.0</v>
      </c>
      <c r="AP438" s="7" t="s">
        <v>884</v>
      </c>
      <c r="AQ438" s="7"/>
      <c r="AR438" s="7"/>
      <c r="AS438" s="7"/>
      <c r="AT438" s="7"/>
      <c r="AU438" s="7">
        <v>0.0</v>
      </c>
      <c r="AV438" s="7" t="s">
        <v>5736</v>
      </c>
      <c r="AW438" s="7"/>
      <c r="AX438" s="7"/>
      <c r="AY438" s="7"/>
      <c r="AZ438" s="7"/>
      <c r="BA438" s="7"/>
      <c r="BB438" s="7"/>
      <c r="BC438" s="7" t="s">
        <v>401</v>
      </c>
      <c r="BD438" s="21">
        <v>44228.0</v>
      </c>
      <c r="BE438" s="7" t="s">
        <v>5737</v>
      </c>
      <c r="BF438" s="7"/>
      <c r="BG438" s="7"/>
      <c r="BH438" s="7">
        <v>5.23259703E8</v>
      </c>
      <c r="BI438" s="7" t="s">
        <v>5738</v>
      </c>
      <c r="BJ438" s="7"/>
      <c r="BK438" s="7" t="b">
        <v>0</v>
      </c>
      <c r="BL438" s="7" t="b">
        <v>0</v>
      </c>
      <c r="BM438" s="7"/>
      <c r="BN438" s="7" t="str">
        <f>IFERROR(__xludf.DUMMYFUNCTION(" IF( REGEXMATCH(C438 , ""[(].+[)]""),REGEXREPLACE( CONCATENATE(REGEXEXTRACT(C438 , ""[(].+[)]""),IF(REGEXMATCH(C438 , ""[(][Ll]['’][)]""),"""","" ""), REGEXEXTRACT(C438 ,""^(?:(?:[A-Za-zàäéèêîïöôûü0-9 ](?:[A-Za-zàäéèêîïöôûü'0-9 ]+)))"")) , ""[()]"", """")"&amp;",C438 )"),"La Mer Cassée ")</f>
        <v>La Mer Cassée </v>
      </c>
      <c r="BO438" s="25"/>
      <c r="BP438" s="7"/>
      <c r="BQ438" s="7"/>
      <c r="BR438" s="7"/>
      <c r="BS438" s="7"/>
      <c r="BT438" s="7"/>
      <c r="BU438" s="7"/>
      <c r="BV438" s="7"/>
      <c r="BW438" s="7"/>
      <c r="BX438" s="7"/>
      <c r="BY438" s="7"/>
      <c r="BZ438" s="7"/>
      <c r="CA438" s="7"/>
      <c r="CB438" s="7"/>
    </row>
    <row r="439" ht="21.75" customHeight="1">
      <c r="A439" s="7">
        <v>3013.0</v>
      </c>
      <c r="B439" s="7" t="s">
        <v>5739</v>
      </c>
      <c r="C439" s="7" t="s">
        <v>5740</v>
      </c>
      <c r="D439" s="7"/>
      <c r="E439" s="7"/>
      <c r="F439" s="7" t="s">
        <v>342</v>
      </c>
      <c r="G439" s="7" t="s">
        <v>343</v>
      </c>
      <c r="H439" s="7" t="s">
        <v>344</v>
      </c>
      <c r="I439" s="7" t="s">
        <v>5741</v>
      </c>
      <c r="J439" s="7"/>
      <c r="K439" s="6" t="s">
        <v>469</v>
      </c>
      <c r="L439" s="7" t="s">
        <v>197</v>
      </c>
      <c r="M439" s="7" t="s">
        <v>559</v>
      </c>
      <c r="N439" s="7" t="s">
        <v>455</v>
      </c>
      <c r="O439" s="7">
        <v>97418.0</v>
      </c>
      <c r="P439" s="7" t="s">
        <v>348</v>
      </c>
      <c r="Q439" s="7" t="s">
        <v>349</v>
      </c>
      <c r="R439" s="7"/>
      <c r="S439" s="7"/>
      <c r="T439" s="7" t="s">
        <v>377</v>
      </c>
      <c r="U439" s="7" t="s">
        <v>378</v>
      </c>
      <c r="V439" s="7"/>
      <c r="W439" s="7">
        <v>6.92837877E8</v>
      </c>
      <c r="X439" s="7"/>
      <c r="Y439" s="7"/>
      <c r="Z439" s="7"/>
      <c r="AA439" s="7"/>
      <c r="AB439" s="7"/>
      <c r="AC439" s="7"/>
      <c r="AD439" s="7" t="s">
        <v>5742</v>
      </c>
      <c r="AE439" s="7"/>
      <c r="AF439" s="7"/>
      <c r="AG439" s="7"/>
      <c r="AH439" s="20">
        <v>43739.0</v>
      </c>
      <c r="AI439" s="7"/>
      <c r="AJ439" s="7" t="s">
        <v>5743</v>
      </c>
      <c r="AK439" s="7"/>
      <c r="AL439" s="7" t="s">
        <v>5744</v>
      </c>
      <c r="AM439" s="7" t="s">
        <v>5745</v>
      </c>
      <c r="AN439" s="20">
        <v>43739.0</v>
      </c>
      <c r="AO439" s="7">
        <v>97418.0</v>
      </c>
      <c r="AP439" s="7" t="s">
        <v>362</v>
      </c>
      <c r="AQ439" s="7"/>
      <c r="AR439" s="7"/>
      <c r="AS439" s="7"/>
      <c r="AT439" s="7"/>
      <c r="AU439" s="7">
        <v>0.0</v>
      </c>
      <c r="AV439" s="7" t="s">
        <v>5746</v>
      </c>
      <c r="AW439" s="7"/>
      <c r="AX439" s="7"/>
      <c r="AY439" s="7"/>
      <c r="AZ439" s="7"/>
      <c r="BA439" s="7"/>
      <c r="BB439" s="7"/>
      <c r="BC439" s="7" t="s">
        <v>401</v>
      </c>
      <c r="BD439" s="21">
        <v>44235.0</v>
      </c>
      <c r="BE439" s="7" t="s">
        <v>5151</v>
      </c>
      <c r="BF439" s="7"/>
      <c r="BG439" s="7"/>
      <c r="BH439" s="7"/>
      <c r="BI439" s="7" t="s">
        <v>5747</v>
      </c>
      <c r="BJ439" s="7"/>
      <c r="BK439" s="7" t="b">
        <v>0</v>
      </c>
      <c r="BL439" s="7" t="b">
        <v>0</v>
      </c>
      <c r="BM439" s="7"/>
      <c r="BN439" s="7" t="str">
        <f>IFERROR(__xludf.DUMMYFUNCTION(" IF( REGEXMATCH(C439 , ""[(].+[)]""),REGEXREPLACE( CONCATENATE(REGEXEXTRACT(C439 , ""[(].+[)]""),IF(REGEXMATCH(C439 , ""[(][Ll]['’][)]""),"""","" ""), REGEXEXTRACT(C439 ,""^(?:(?:[A-Za-zàäéèêîïöôûü0-9 ](?:[A-Za-zàäéèêîïöôûü'0-9 ]+)))"")) , ""[()]"", """")"&amp;",C439 )"),"Metis Kreation")</f>
        <v>Metis Kreation</v>
      </c>
      <c r="BO439" s="25"/>
      <c r="BP439" s="7"/>
      <c r="BQ439" s="7"/>
      <c r="BR439" s="7"/>
      <c r="BS439" s="7"/>
      <c r="BT439" s="7"/>
      <c r="BU439" s="7"/>
      <c r="BV439" s="7"/>
      <c r="BW439" s="7"/>
      <c r="BX439" s="7"/>
      <c r="BY439" s="7"/>
      <c r="BZ439" s="7"/>
      <c r="CA439" s="7"/>
      <c r="CB439" s="7"/>
    </row>
    <row r="440" ht="21.75" customHeight="1">
      <c r="A440" s="7">
        <v>1652.0</v>
      </c>
      <c r="B440" s="7" t="s">
        <v>5748</v>
      </c>
      <c r="C440" s="7" t="s">
        <v>5749</v>
      </c>
      <c r="D440" s="7"/>
      <c r="E440" s="7"/>
      <c r="F440" s="7" t="s">
        <v>404</v>
      </c>
      <c r="G440" s="7" t="s">
        <v>343</v>
      </c>
      <c r="H440" s="7" t="s">
        <v>40</v>
      </c>
      <c r="I440" s="7" t="s">
        <v>5750</v>
      </c>
      <c r="J440" s="7"/>
      <c r="K440" s="7" t="s">
        <v>58</v>
      </c>
      <c r="L440" s="7" t="s">
        <v>59</v>
      </c>
      <c r="M440" s="7" t="s">
        <v>346</v>
      </c>
      <c r="N440" s="7" t="s">
        <v>455</v>
      </c>
      <c r="O440" s="7">
        <v>97414.0</v>
      </c>
      <c r="P440" s="7" t="s">
        <v>40</v>
      </c>
      <c r="Q440" s="7"/>
      <c r="R440" s="7" t="s">
        <v>5751</v>
      </c>
      <c r="S440" s="7" t="s">
        <v>351</v>
      </c>
      <c r="T440" s="7" t="s">
        <v>439</v>
      </c>
      <c r="U440" s="7" t="s">
        <v>592</v>
      </c>
      <c r="V440" s="7">
        <v>2.62440314E8</v>
      </c>
      <c r="W440" s="7">
        <v>6.93918501E8</v>
      </c>
      <c r="X440" s="7"/>
      <c r="Y440" s="7"/>
      <c r="Z440" s="7" t="s">
        <v>5752</v>
      </c>
      <c r="AA440" s="7">
        <v>8.0</v>
      </c>
      <c r="AB440" s="7"/>
      <c r="AC440" s="7"/>
      <c r="AD440" s="7" t="s">
        <v>5753</v>
      </c>
      <c r="AE440" s="7"/>
      <c r="AF440" s="7" t="s">
        <v>613</v>
      </c>
      <c r="AG440" s="7"/>
      <c r="AH440" s="20">
        <v>43739.0</v>
      </c>
      <c r="AI440" s="7"/>
      <c r="AJ440" s="7" t="s">
        <v>5754</v>
      </c>
      <c r="AK440" s="7"/>
      <c r="AL440" s="7" t="s">
        <v>5755</v>
      </c>
      <c r="AM440" s="7" t="s">
        <v>5756</v>
      </c>
      <c r="AN440" s="20">
        <v>43739.0</v>
      </c>
      <c r="AO440" s="7">
        <v>97414.0</v>
      </c>
      <c r="AP440" s="7" t="s">
        <v>429</v>
      </c>
      <c r="AQ440" s="7"/>
      <c r="AR440" s="7"/>
      <c r="AS440" s="7"/>
      <c r="AT440" s="7"/>
      <c r="AU440" s="7">
        <v>1.0</v>
      </c>
      <c r="AV440" s="7" t="s">
        <v>5757</v>
      </c>
      <c r="AW440" s="7"/>
      <c r="AX440" s="7" t="s">
        <v>5758</v>
      </c>
      <c r="AY440" s="7" t="s">
        <v>1962</v>
      </c>
      <c r="AZ440" s="7"/>
      <c r="BA440" s="7"/>
      <c r="BB440" s="7"/>
      <c r="BC440" s="7" t="s">
        <v>401</v>
      </c>
      <c r="BD440" s="21">
        <v>44094.0</v>
      </c>
      <c r="BE440" s="7" t="s">
        <v>4897</v>
      </c>
      <c r="BF440" s="7"/>
      <c r="BG440" s="7"/>
      <c r="BH440" s="7"/>
      <c r="BI440" s="7" t="s">
        <v>1786</v>
      </c>
      <c r="BJ440" s="7"/>
      <c r="BK440" s="7" t="b">
        <v>0</v>
      </c>
      <c r="BL440" s="7" t="b">
        <v>0</v>
      </c>
      <c r="BM440" s="7"/>
      <c r="BN440" s="7" t="str">
        <f>IFERROR(__xludf.DUMMYFUNCTION(" IF( REGEXMATCH(C440 , ""[(].+[)]""),REGEXREPLACE( CONCATENATE(REGEXEXTRACT(C440 , ""[(].+[)]""),IF(REGEXMATCH(C440 , ""[(][Ll]['’][)]""),"""","" ""), REGEXEXTRACT(C440 ,""^(?:(?:[A-Za-zàäéèêîïöôûü0-9 ](?:[A-Za-zàäéèêîïöôûü'0-9 ]+)))"")) , ""[()]"", """")"&amp;",C440 )"),"Meublé Arc-en-Ciel")</f>
        <v>Meublé Arc-en-Ciel</v>
      </c>
      <c r="BO440" s="25"/>
      <c r="BP440" s="7"/>
      <c r="BQ440" s="7"/>
      <c r="BR440" s="7"/>
      <c r="BS440" s="7"/>
      <c r="BT440" s="7"/>
      <c r="BU440" s="7"/>
      <c r="BV440" s="7"/>
      <c r="BW440" s="7"/>
      <c r="BX440" s="7"/>
      <c r="BY440" s="7"/>
      <c r="BZ440" s="7"/>
      <c r="CA440" s="7"/>
      <c r="CB440" s="7"/>
    </row>
    <row r="441" ht="21.75" customHeight="1">
      <c r="A441" s="7">
        <v>418.0</v>
      </c>
      <c r="B441" s="7">
        <v>440.0</v>
      </c>
      <c r="C441" s="7" t="s">
        <v>5759</v>
      </c>
      <c r="D441" s="7" t="s">
        <v>5760</v>
      </c>
      <c r="E441" s="7"/>
      <c r="F441" s="7" t="s">
        <v>404</v>
      </c>
      <c r="G441" s="7" t="s">
        <v>343</v>
      </c>
      <c r="H441" s="7" t="s">
        <v>40</v>
      </c>
      <c r="I441" s="7" t="s">
        <v>5761</v>
      </c>
      <c r="J441" s="7"/>
      <c r="K441" s="7"/>
      <c r="L441" s="7"/>
      <c r="M441" s="7"/>
      <c r="N441" s="7"/>
      <c r="O441" s="7">
        <v>97414.0</v>
      </c>
      <c r="P441" s="7" t="s">
        <v>40</v>
      </c>
      <c r="Q441" s="7"/>
      <c r="R441" s="7"/>
      <c r="S441" s="7"/>
      <c r="T441" s="7"/>
      <c r="U441" s="7"/>
      <c r="V441" s="7"/>
      <c r="W441" s="7"/>
      <c r="X441" s="7"/>
      <c r="Y441" s="7"/>
      <c r="Z441" s="7"/>
      <c r="AA441" s="7"/>
      <c r="AB441" s="7"/>
      <c r="AC441" s="7"/>
      <c r="AD441" s="7"/>
      <c r="AE441" s="7"/>
      <c r="AF441" s="7"/>
      <c r="AG441" s="7"/>
      <c r="AH441" s="7"/>
      <c r="AI441" s="7"/>
      <c r="AJ441" s="7" t="s">
        <v>5759</v>
      </c>
      <c r="AK441" s="7"/>
      <c r="AL441" s="7" t="s">
        <v>5762</v>
      </c>
      <c r="AM441" s="7">
        <v>6.9212346E8</v>
      </c>
      <c r="AN441" s="20">
        <v>39575.0</v>
      </c>
      <c r="AO441" s="7">
        <v>97414.0</v>
      </c>
      <c r="AP441" s="7" t="s">
        <v>429</v>
      </c>
      <c r="AQ441" s="7"/>
      <c r="AR441" s="7"/>
      <c r="AS441" s="7"/>
      <c r="AT441" s="7"/>
      <c r="AU441" s="7">
        <v>0.0</v>
      </c>
      <c r="AV441" s="7" t="s">
        <v>5763</v>
      </c>
      <c r="AW441" s="7"/>
      <c r="AX441" s="7"/>
      <c r="AY441" s="7"/>
      <c r="AZ441" s="7"/>
      <c r="BA441" s="7"/>
      <c r="BB441" s="7"/>
      <c r="BC441" s="7" t="s">
        <v>366</v>
      </c>
      <c r="BD441" s="21">
        <v>44077.45625</v>
      </c>
      <c r="BE441" s="7"/>
      <c r="BF441" s="7"/>
      <c r="BG441" s="22">
        <v>44077.0</v>
      </c>
      <c r="BH441" s="7"/>
      <c r="BI441" s="7" t="s">
        <v>5764</v>
      </c>
      <c r="BJ441" s="7"/>
      <c r="BK441" s="7" t="b">
        <v>0</v>
      </c>
      <c r="BL441" s="7" t="b">
        <v>0</v>
      </c>
      <c r="BM441" s="7"/>
      <c r="BN441" s="7" t="str">
        <f>IFERROR(__xludf.DUMMYFUNCTION(" IF( REGEXMATCH(C441 , ""[(].+[)]""),REGEXREPLACE( CONCATENATE(REGEXEXTRACT(C441 , ""[(].+[)]""),IF(REGEXMATCH(C441 , ""[(][Ll]['’][)]""),"""","" ""), REGEXEXTRACT(C441 ,""^(?:(?:[A-Za-zàäéèêîïöôûü0-9 ](?:[A-Za-zàäéèêîïöôûü'0-9 ]+)))"")) , ""[()]"", """")"&amp;",C441 )"),"Meublé Oté La Réunion")</f>
        <v>Meublé Oté La Réunion</v>
      </c>
      <c r="BO441" s="23"/>
      <c r="BP441" s="7"/>
      <c r="BQ441" s="7"/>
      <c r="BR441" s="7"/>
      <c r="BS441" s="7"/>
      <c r="BT441" s="7"/>
      <c r="BU441" s="7"/>
      <c r="BV441" s="7"/>
      <c r="BW441" s="7"/>
      <c r="BX441" s="7"/>
      <c r="BY441" s="7"/>
      <c r="BZ441" s="7"/>
      <c r="CA441" s="7"/>
      <c r="CB441" s="7"/>
    </row>
    <row r="442" ht="21.75" customHeight="1">
      <c r="A442" s="7">
        <v>2659.0</v>
      </c>
      <c r="B442" s="7">
        <v>441.0</v>
      </c>
      <c r="C442" s="7" t="s">
        <v>5765</v>
      </c>
      <c r="D442" s="7" t="s">
        <v>5765</v>
      </c>
      <c r="E442" s="7"/>
      <c r="F442" s="7" t="s">
        <v>342</v>
      </c>
      <c r="G442" s="7" t="s">
        <v>343</v>
      </c>
      <c r="H442" s="7" t="s">
        <v>123</v>
      </c>
      <c r="I442" s="7" t="s">
        <v>5766</v>
      </c>
      <c r="J442" s="26" t="s">
        <v>5767</v>
      </c>
      <c r="K442" s="7" t="s">
        <v>58</v>
      </c>
      <c r="L442" s="7" t="s">
        <v>59</v>
      </c>
      <c r="M442" s="7" t="s">
        <v>2343</v>
      </c>
      <c r="N442" s="7" t="s">
        <v>1456</v>
      </c>
      <c r="O442" s="7">
        <v>97480.0</v>
      </c>
      <c r="P442" s="7" t="s">
        <v>123</v>
      </c>
      <c r="Q442" s="7"/>
      <c r="R442" s="7" t="s">
        <v>3770</v>
      </c>
      <c r="S442" s="7" t="s">
        <v>1458</v>
      </c>
      <c r="T442" s="7" t="s">
        <v>377</v>
      </c>
      <c r="U442" s="7" t="s">
        <v>592</v>
      </c>
      <c r="V442" s="7">
        <v>2.6256075E8</v>
      </c>
      <c r="W442" s="7">
        <v>6.92885953E8</v>
      </c>
      <c r="X442" s="7"/>
      <c r="Y442" s="7"/>
      <c r="Z442" s="7" t="s">
        <v>5768</v>
      </c>
      <c r="AA442" s="7">
        <v>6.0</v>
      </c>
      <c r="AB442" s="7" t="s">
        <v>355</v>
      </c>
      <c r="AC442" s="7"/>
      <c r="AD442" s="7" t="s">
        <v>5769</v>
      </c>
      <c r="AE442" s="7" t="s">
        <v>5770</v>
      </c>
      <c r="AF442" s="7"/>
      <c r="AG442" s="7"/>
      <c r="AH442" s="20">
        <v>43739.0</v>
      </c>
      <c r="AI442" s="7"/>
      <c r="AJ442" s="7" t="s">
        <v>5771</v>
      </c>
      <c r="AK442" s="7">
        <v>5.0174168000018E13</v>
      </c>
      <c r="AL442" s="7" t="s">
        <v>5772</v>
      </c>
      <c r="AM442" s="7" t="s">
        <v>5773</v>
      </c>
      <c r="AN442" s="20">
        <v>39575.0</v>
      </c>
      <c r="AO442" s="7">
        <v>97480.0</v>
      </c>
      <c r="AP442" s="7" t="s">
        <v>385</v>
      </c>
      <c r="AQ442" s="7"/>
      <c r="AR442" s="7"/>
      <c r="AS442" s="7"/>
      <c r="AT442" s="7"/>
      <c r="AU442" s="7">
        <v>3.0</v>
      </c>
      <c r="AV442" s="7" t="s">
        <v>5774</v>
      </c>
      <c r="AW442" s="7"/>
      <c r="AX442" s="7"/>
      <c r="AY442" s="7"/>
      <c r="AZ442" s="7" t="s">
        <v>5775</v>
      </c>
      <c r="BA442" s="7"/>
      <c r="BB442" s="7"/>
      <c r="BC442" s="7" t="s">
        <v>366</v>
      </c>
      <c r="BD442" s="21">
        <v>44052.188888888886</v>
      </c>
      <c r="BE442" s="7"/>
      <c r="BF442" s="7"/>
      <c r="BG442" s="22">
        <v>44052.0</v>
      </c>
      <c r="BH442" s="7">
        <v>5.0174168E8</v>
      </c>
      <c r="BI442" s="7" t="s">
        <v>5776</v>
      </c>
      <c r="BJ442" s="7"/>
      <c r="BK442" s="7" t="b">
        <v>0</v>
      </c>
      <c r="BL442" s="7" t="b">
        <v>0</v>
      </c>
      <c r="BM442" s="7"/>
      <c r="BN442" s="7" t="str">
        <f>IFERROR(__xludf.DUMMYFUNCTION(" IF( REGEXMATCH(C442 , ""[(].+[)]""),REGEXREPLACE( CONCATENATE(REGEXEXTRACT(C442 , ""[(].+[)]""),IF(REGEXMATCH(C442 , ""[(][Ll]['’][)]""),"""","" ""), REGEXEXTRACT(C442 ,""^(?:(?:[A-Za-zàäéèêîïöôûü0-9 ](?:[A-Za-zàäéèêîïöôûü'0-9 ]+)))"")) , ""[()]"", """")"&amp;",C442 )"),"Meublés La Case")</f>
        <v>Meublés La Case</v>
      </c>
      <c r="BO442" s="23"/>
      <c r="BP442" s="7"/>
      <c r="BQ442" s="7"/>
      <c r="BR442" s="7"/>
      <c r="BS442" s="7"/>
      <c r="BT442" s="7"/>
      <c r="BU442" s="7"/>
      <c r="BV442" s="7"/>
      <c r="BW442" s="7"/>
      <c r="BX442" s="7"/>
      <c r="BY442" s="7"/>
      <c r="BZ442" s="7"/>
      <c r="CA442" s="7"/>
      <c r="CB442" s="7"/>
    </row>
    <row r="443" ht="21.75" customHeight="1">
      <c r="A443" s="7">
        <v>882.0</v>
      </c>
      <c r="B443" s="7">
        <v>442.0</v>
      </c>
      <c r="C443" s="7" t="s">
        <v>5765</v>
      </c>
      <c r="D443" s="7" t="s">
        <v>5777</v>
      </c>
      <c r="E443" s="7"/>
      <c r="F443" s="7" t="s">
        <v>342</v>
      </c>
      <c r="G443" s="7" t="s">
        <v>343</v>
      </c>
      <c r="H443" s="7" t="s">
        <v>123</v>
      </c>
      <c r="I443" s="7" t="s">
        <v>5766</v>
      </c>
      <c r="J443" s="26" t="s">
        <v>5767</v>
      </c>
      <c r="K443" s="7" t="s">
        <v>58</v>
      </c>
      <c r="L443" s="7" t="s">
        <v>59</v>
      </c>
      <c r="M443" s="7" t="s">
        <v>374</v>
      </c>
      <c r="N443" s="7" t="s">
        <v>1456</v>
      </c>
      <c r="O443" s="7">
        <v>97480.0</v>
      </c>
      <c r="P443" s="7" t="s">
        <v>123</v>
      </c>
      <c r="Q443" s="7"/>
      <c r="R443" s="7" t="s">
        <v>3557</v>
      </c>
      <c r="S443" s="7" t="s">
        <v>1458</v>
      </c>
      <c r="T443" s="7" t="s">
        <v>1677</v>
      </c>
      <c r="U443" s="7" t="s">
        <v>592</v>
      </c>
      <c r="V443" s="7">
        <v>2.6256075E8</v>
      </c>
      <c r="W443" s="7">
        <v>6.92885953E8</v>
      </c>
      <c r="X443" s="7"/>
      <c r="Y443" s="7"/>
      <c r="Z443" s="7" t="s">
        <v>5768</v>
      </c>
      <c r="AA443" s="7">
        <v>12.0</v>
      </c>
      <c r="AB443" s="7" t="s">
        <v>355</v>
      </c>
      <c r="AC443" s="7"/>
      <c r="AD443" s="7" t="s">
        <v>5778</v>
      </c>
      <c r="AE443" s="7" t="s">
        <v>5770</v>
      </c>
      <c r="AF443" s="7"/>
      <c r="AG443" s="7"/>
      <c r="AH443" s="20">
        <v>39575.0</v>
      </c>
      <c r="AI443" s="7"/>
      <c r="AJ443" s="7" t="s">
        <v>5771</v>
      </c>
      <c r="AK443" s="7">
        <v>5.0174168000018E13</v>
      </c>
      <c r="AL443" s="7" t="s">
        <v>5772</v>
      </c>
      <c r="AM443" s="7" t="s">
        <v>5773</v>
      </c>
      <c r="AN443" s="20">
        <v>39575.0</v>
      </c>
      <c r="AO443" s="7">
        <v>97480.0</v>
      </c>
      <c r="AP443" s="7" t="s">
        <v>385</v>
      </c>
      <c r="AQ443" s="7"/>
      <c r="AR443" s="7"/>
      <c r="AS443" s="7"/>
      <c r="AT443" s="7"/>
      <c r="AU443" s="7">
        <v>5.0</v>
      </c>
      <c r="AV443" s="7" t="s">
        <v>5774</v>
      </c>
      <c r="AW443" s="7"/>
      <c r="AX443" s="7"/>
      <c r="AY443" s="7"/>
      <c r="AZ443" s="7" t="s">
        <v>5779</v>
      </c>
      <c r="BA443" s="7"/>
      <c r="BB443" s="7"/>
      <c r="BC443" s="7" t="s">
        <v>366</v>
      </c>
      <c r="BD443" s="21">
        <v>44052.188888888886</v>
      </c>
      <c r="BE443" s="7"/>
      <c r="BF443" s="7"/>
      <c r="BG443" s="22">
        <v>44052.0</v>
      </c>
      <c r="BH443" s="7">
        <v>5.0174168E8</v>
      </c>
      <c r="BI443" s="7" t="s">
        <v>5776</v>
      </c>
      <c r="BJ443" s="7"/>
      <c r="BK443" s="7" t="b">
        <v>0</v>
      </c>
      <c r="BL443" s="7" t="b">
        <v>0</v>
      </c>
      <c r="BM443" s="7"/>
      <c r="BN443" s="7" t="str">
        <f>IFERROR(__xludf.DUMMYFUNCTION(" IF( REGEXMATCH(C443 , ""[(].+[)]""),REGEXREPLACE( CONCATENATE(REGEXEXTRACT(C443 , ""[(].+[)]""),IF(REGEXMATCH(C443 , ""[(][Ll]['’][)]""),"""","" ""), REGEXEXTRACT(C443 ,""^(?:(?:[A-Za-zàäéèêîïöôûü0-9 ](?:[A-Za-zàäéèêîïöôûü'0-9 ]+)))"")) , ""[()]"", """")"&amp;",C443 )"),"Meublés La Case")</f>
        <v>Meublés La Case</v>
      </c>
      <c r="BO443" s="23"/>
      <c r="BP443" s="7"/>
      <c r="BQ443" s="7"/>
      <c r="BR443" s="7"/>
      <c r="BS443" s="7"/>
      <c r="BT443" s="7"/>
      <c r="BU443" s="7"/>
      <c r="BV443" s="7"/>
      <c r="BW443" s="7"/>
      <c r="BX443" s="7"/>
      <c r="BY443" s="7"/>
      <c r="BZ443" s="7"/>
      <c r="CA443" s="7"/>
      <c r="CB443" s="7"/>
    </row>
    <row r="444" ht="21.75" customHeight="1">
      <c r="A444" s="7">
        <v>3006.0</v>
      </c>
      <c r="B444" s="7">
        <v>443.0</v>
      </c>
      <c r="C444" s="7" t="s">
        <v>5780</v>
      </c>
      <c r="D444" s="7"/>
      <c r="E444" s="7"/>
      <c r="F444" s="7" t="s">
        <v>342</v>
      </c>
      <c r="G444" s="7" t="s">
        <v>343</v>
      </c>
      <c r="H444" s="7" t="s">
        <v>344</v>
      </c>
      <c r="I444" s="7" t="s">
        <v>5781</v>
      </c>
      <c r="J444" s="7"/>
      <c r="K444" s="7" t="s">
        <v>34</v>
      </c>
      <c r="L444" s="7" t="s">
        <v>678</v>
      </c>
      <c r="M444" s="7" t="s">
        <v>5053</v>
      </c>
      <c r="N444" s="7" t="s">
        <v>664</v>
      </c>
      <c r="O444" s="7">
        <v>97430.0</v>
      </c>
      <c r="P444" s="7" t="s">
        <v>344</v>
      </c>
      <c r="Q444" s="7"/>
      <c r="R444" s="7"/>
      <c r="S444" s="7"/>
      <c r="T444" s="7" t="s">
        <v>974</v>
      </c>
      <c r="U444" s="7" t="s">
        <v>378</v>
      </c>
      <c r="V444" s="7">
        <v>2.62276871E8</v>
      </c>
      <c r="W444" s="7"/>
      <c r="X444" s="7"/>
      <c r="Y444" s="7"/>
      <c r="Z444" s="7"/>
      <c r="AA444" s="7"/>
      <c r="AB444" s="7"/>
      <c r="AC444" s="7"/>
      <c r="AD444" s="7" t="s">
        <v>5782</v>
      </c>
      <c r="AE444" s="7"/>
      <c r="AF444" s="7"/>
      <c r="AG444" s="7"/>
      <c r="AH444" s="20">
        <v>43739.0</v>
      </c>
      <c r="AI444" s="7"/>
      <c r="AJ444" s="7" t="s">
        <v>5783</v>
      </c>
      <c r="AK444" s="7"/>
      <c r="AL444" s="7" t="s">
        <v>5784</v>
      </c>
      <c r="AM444" s="7" t="s">
        <v>5785</v>
      </c>
      <c r="AN444" s="20">
        <v>43739.0</v>
      </c>
      <c r="AO444" s="7">
        <v>97430.0</v>
      </c>
      <c r="AP444" s="7" t="s">
        <v>494</v>
      </c>
      <c r="AQ444" s="7"/>
      <c r="AR444" s="7"/>
      <c r="AS444" s="7"/>
      <c r="AT444" s="7"/>
      <c r="AU444" s="7">
        <v>0.0</v>
      </c>
      <c r="AV444" s="7" t="s">
        <v>5786</v>
      </c>
      <c r="AW444" s="7"/>
      <c r="AX444" s="7"/>
      <c r="AY444" s="7"/>
      <c r="AZ444" s="7"/>
      <c r="BA444" s="7"/>
      <c r="BB444" s="7"/>
      <c r="BC444" s="7" t="s">
        <v>366</v>
      </c>
      <c r="BD444" s="21">
        <v>44197.0</v>
      </c>
      <c r="BE444" s="7"/>
      <c r="BF444" s="7"/>
      <c r="BG444" s="22">
        <v>44197.0</v>
      </c>
      <c r="BH444" s="7"/>
      <c r="BI444" s="7" t="s">
        <v>5787</v>
      </c>
      <c r="BJ444" s="7"/>
      <c r="BK444" s="7" t="b">
        <v>0</v>
      </c>
      <c r="BL444" s="7" t="b">
        <v>0</v>
      </c>
      <c r="BM444" s="7"/>
      <c r="BN444" s="7" t="str">
        <f>IFERROR(__xludf.DUMMYFUNCTION(" IF( REGEXMATCH(C444 , ""[(].+[)]""),REGEXREPLACE( CONCATENATE(REGEXEXTRACT(C444 , ""[(].+[)]""),IF(REGEXMATCH(C444 , ""[(][Ll]['’][)]""),"""","" ""), REGEXEXTRACT(C444 ,""^(?:(?:[A-Za-zàäéèêîïöôûü0-9 ](?:[A-Za-zàäéèêîïöôûü'0-9 ]+)))"")) , ""[()]"", """")"&amp;",C444 )"),"Mezina")</f>
        <v>Mezina</v>
      </c>
      <c r="BO444" s="23"/>
      <c r="BP444" s="7"/>
      <c r="BQ444" s="7"/>
      <c r="BR444" s="7"/>
      <c r="BS444" s="7"/>
      <c r="BT444" s="7"/>
      <c r="BU444" s="7"/>
      <c r="BV444" s="7"/>
      <c r="BW444" s="7"/>
      <c r="BX444" s="7"/>
      <c r="BY444" s="7"/>
      <c r="BZ444" s="7"/>
      <c r="CA444" s="7"/>
      <c r="CB444" s="7"/>
    </row>
    <row r="445" ht="21.75" customHeight="1">
      <c r="A445" s="7">
        <v>3083.0</v>
      </c>
      <c r="B445" s="7" t="s">
        <v>5788</v>
      </c>
      <c r="C445" s="7" t="s">
        <v>5789</v>
      </c>
      <c r="D445" s="7"/>
      <c r="E445" s="7"/>
      <c r="F445" s="7" t="s">
        <v>404</v>
      </c>
      <c r="G445" s="7" t="s">
        <v>343</v>
      </c>
      <c r="H445" s="7" t="s">
        <v>123</v>
      </c>
      <c r="I445" s="7" t="s">
        <v>5790</v>
      </c>
      <c r="J445" s="7"/>
      <c r="K445" s="7" t="s">
        <v>34</v>
      </c>
      <c r="L445" s="7" t="s">
        <v>4763</v>
      </c>
      <c r="M445" s="7" t="s">
        <v>5636</v>
      </c>
      <c r="N445" s="7" t="s">
        <v>664</v>
      </c>
      <c r="O445" s="7">
        <v>97480.0</v>
      </c>
      <c r="P445" s="7" t="s">
        <v>123</v>
      </c>
      <c r="Q445" s="7"/>
      <c r="R445" s="7"/>
      <c r="S445" s="7"/>
      <c r="T445" s="7" t="s">
        <v>377</v>
      </c>
      <c r="U445" s="7" t="s">
        <v>353</v>
      </c>
      <c r="V445" s="7">
        <v>2.62409162E8</v>
      </c>
      <c r="W445" s="7">
        <v>6.92589148E8</v>
      </c>
      <c r="X445" s="7"/>
      <c r="Y445" s="7">
        <v>2.62409162E8</v>
      </c>
      <c r="Z445" s="7"/>
      <c r="AA445" s="7"/>
      <c r="AB445" s="7"/>
      <c r="AC445" s="7" t="s">
        <v>5791</v>
      </c>
      <c r="AD445" s="7" t="s">
        <v>5792</v>
      </c>
      <c r="AE445" s="7"/>
      <c r="AF445" s="7"/>
      <c r="AG445" s="7"/>
      <c r="AH445" s="20">
        <v>43739.0</v>
      </c>
      <c r="AI445" s="7"/>
      <c r="AJ445" s="7" t="s">
        <v>5793</v>
      </c>
      <c r="AK445" s="7">
        <v>4.8765844500027E13</v>
      </c>
      <c r="AL445" s="7" t="s">
        <v>5794</v>
      </c>
      <c r="AM445" s="7" t="s">
        <v>5795</v>
      </c>
      <c r="AN445" s="20">
        <v>43739.0</v>
      </c>
      <c r="AO445" s="7">
        <v>97480.0</v>
      </c>
      <c r="AP445" s="7" t="s">
        <v>385</v>
      </c>
      <c r="AQ445" s="7"/>
      <c r="AR445" s="7"/>
      <c r="AS445" s="7"/>
      <c r="AT445" s="7"/>
      <c r="AU445" s="7">
        <v>0.0</v>
      </c>
      <c r="AV445" s="7" t="s">
        <v>5796</v>
      </c>
      <c r="AW445" s="7"/>
      <c r="AX445" s="7"/>
      <c r="AY445" s="7"/>
      <c r="AZ445" s="7"/>
      <c r="BA445" s="7"/>
      <c r="BB445" s="7"/>
      <c r="BC445" s="7" t="s">
        <v>401</v>
      </c>
      <c r="BD445" s="21">
        <v>44241.37013888889</v>
      </c>
      <c r="BE445" s="7" t="s">
        <v>5797</v>
      </c>
      <c r="BF445" s="7"/>
      <c r="BG445" s="7"/>
      <c r="BH445" s="7">
        <v>4.87658445E8</v>
      </c>
      <c r="BI445" s="7" t="s">
        <v>5798</v>
      </c>
      <c r="BJ445" s="7"/>
      <c r="BK445" s="7" t="b">
        <v>0</v>
      </c>
      <c r="BL445" s="7" t="b">
        <v>0</v>
      </c>
      <c r="BM445" s="7"/>
      <c r="BN445" s="7" t="str">
        <f>IFERROR(__xludf.DUMMYFUNCTION(" IF( REGEXMATCH(C445 , ""[(].+[)]""),REGEXREPLACE( CONCATENATE(REGEXEXTRACT(C445 , ""[(].+[)]""),IF(REGEXMATCH(C445 , ""[(][Ll]['’][)]""),"""","" ""), REGEXEXTRACT(C445 ,""^(?:(?:[A-Za-zàäéèêîïöôûü0-9 ](?:[A-Za-zàäéèêîïöôûü'0-9 ]+)))"")) , ""[()]"", """")"&amp;",C445 )"),"Le Milena's ")</f>
        <v>Le Milena's </v>
      </c>
      <c r="BO445" s="25"/>
      <c r="BP445" s="7"/>
      <c r="BQ445" s="7"/>
      <c r="BR445" s="7"/>
      <c r="BS445" s="7"/>
      <c r="BT445" s="7"/>
      <c r="BU445" s="7"/>
      <c r="BV445" s="7"/>
      <c r="BW445" s="7"/>
      <c r="BX445" s="7"/>
      <c r="BY445" s="7"/>
      <c r="BZ445" s="7"/>
      <c r="CA445" s="7"/>
      <c r="CB445" s="7"/>
    </row>
    <row r="446" ht="21.75" customHeight="1">
      <c r="A446" s="7">
        <v>3015.0</v>
      </c>
      <c r="B446" s="7">
        <v>445.0</v>
      </c>
      <c r="C446" s="7" t="s">
        <v>5799</v>
      </c>
      <c r="D446" s="7"/>
      <c r="E446" s="7"/>
      <c r="F446" s="7" t="s">
        <v>342</v>
      </c>
      <c r="G446" s="7" t="s">
        <v>343</v>
      </c>
      <c r="H446" s="7" t="s">
        <v>344</v>
      </c>
      <c r="I446" s="7" t="s">
        <v>5800</v>
      </c>
      <c r="J446" s="7"/>
      <c r="K446" s="6" t="s">
        <v>469</v>
      </c>
      <c r="L446" s="7" t="s">
        <v>197</v>
      </c>
      <c r="M446" s="7" t="s">
        <v>559</v>
      </c>
      <c r="N446" s="7" t="s">
        <v>455</v>
      </c>
      <c r="O446" s="7">
        <v>97418.0</v>
      </c>
      <c r="P446" s="7" t="s">
        <v>348</v>
      </c>
      <c r="Q446" s="7" t="s">
        <v>349</v>
      </c>
      <c r="R446" s="7"/>
      <c r="S446" s="7"/>
      <c r="T446" s="7" t="s">
        <v>377</v>
      </c>
      <c r="U446" s="7" t="s">
        <v>378</v>
      </c>
      <c r="V446" s="7">
        <v>2.62591984E8</v>
      </c>
      <c r="W446" s="7">
        <v>6.92667026E8</v>
      </c>
      <c r="X446" s="7"/>
      <c r="Y446" s="7"/>
      <c r="Z446" s="7" t="s">
        <v>5801</v>
      </c>
      <c r="AA446" s="7"/>
      <c r="AB446" s="7"/>
      <c r="AC446" s="7"/>
      <c r="AD446" s="7" t="s">
        <v>5802</v>
      </c>
      <c r="AE446" s="7"/>
      <c r="AF446" s="7"/>
      <c r="AG446" s="7"/>
      <c r="AH446" s="20">
        <v>43739.0</v>
      </c>
      <c r="AI446" s="7"/>
      <c r="AJ446" s="7" t="s">
        <v>5803</v>
      </c>
      <c r="AK446" s="7"/>
      <c r="AL446" s="7" t="s">
        <v>5804</v>
      </c>
      <c r="AM446" s="7" t="s">
        <v>5805</v>
      </c>
      <c r="AN446" s="20">
        <v>43739.0</v>
      </c>
      <c r="AO446" s="7">
        <v>97418.0</v>
      </c>
      <c r="AP446" s="7" t="s">
        <v>362</v>
      </c>
      <c r="AQ446" s="7"/>
      <c r="AR446" s="7"/>
      <c r="AS446" s="7"/>
      <c r="AT446" s="7"/>
      <c r="AU446" s="7">
        <v>0.0</v>
      </c>
      <c r="AV446" s="7" t="s">
        <v>5806</v>
      </c>
      <c r="AW446" s="7"/>
      <c r="AX446" s="7"/>
      <c r="AY446" s="7"/>
      <c r="AZ446" s="7"/>
      <c r="BA446" s="7"/>
      <c r="BB446" s="7"/>
      <c r="BC446" s="7" t="s">
        <v>366</v>
      </c>
      <c r="BD446" s="21">
        <v>44237.38611111111</v>
      </c>
      <c r="BE446" s="7"/>
      <c r="BF446" s="7"/>
      <c r="BG446" s="22">
        <v>44237.0</v>
      </c>
      <c r="BH446" s="7"/>
      <c r="BI446" s="7" t="s">
        <v>5807</v>
      </c>
      <c r="BJ446" s="7"/>
      <c r="BK446" s="7" t="b">
        <v>0</v>
      </c>
      <c r="BL446" s="7" t="b">
        <v>0</v>
      </c>
      <c r="BM446" s="7"/>
      <c r="BN446" s="7" t="str">
        <f>IFERROR(__xludf.DUMMYFUNCTION(" IF( REGEXMATCH(C446 , ""[(].+[)]""),REGEXREPLACE( CONCATENATE(REGEXEXTRACT(C446 , ""[(].+[)]""),IF(REGEXMATCH(C446 , ""[(][Ll]['’][)]""),"""","" ""), REGEXEXTRACT(C446 ,""^(?:(?:[A-Za-zàäéèêîïöôûü0-9 ](?:[A-Za-zàäéèêîïöôûü'0-9 ]+)))"")) , ""[()]"", """")"&amp;",C446 )"),"Mille et Une Couleurs")</f>
        <v>Mille et Une Couleurs</v>
      </c>
      <c r="BO446" s="23"/>
      <c r="BP446" s="7"/>
      <c r="BQ446" s="7"/>
      <c r="BR446" s="7"/>
      <c r="BS446" s="7"/>
      <c r="BT446" s="7"/>
      <c r="BU446" s="7"/>
      <c r="BV446" s="7"/>
      <c r="BW446" s="7"/>
      <c r="BX446" s="7"/>
      <c r="BY446" s="7"/>
      <c r="BZ446" s="7"/>
      <c r="CA446" s="7"/>
      <c r="CB446" s="7"/>
    </row>
    <row r="447" ht="21.75" customHeight="1">
      <c r="A447" s="7">
        <v>54.0</v>
      </c>
      <c r="B447" s="7" t="s">
        <v>5808</v>
      </c>
      <c r="C447" s="7" t="s">
        <v>5809</v>
      </c>
      <c r="D447" s="7" t="s">
        <v>5809</v>
      </c>
      <c r="E447" s="7"/>
      <c r="F447" s="7" t="s">
        <v>342</v>
      </c>
      <c r="G447" s="7" t="s">
        <v>343</v>
      </c>
      <c r="H447" s="7" t="s">
        <v>344</v>
      </c>
      <c r="I447" s="7" t="s">
        <v>5810</v>
      </c>
      <c r="J447" s="26" t="s">
        <v>5811</v>
      </c>
      <c r="K447" s="7" t="s">
        <v>58</v>
      </c>
      <c r="L447" s="7" t="s">
        <v>453</v>
      </c>
      <c r="M447" s="7" t="s">
        <v>454</v>
      </c>
      <c r="N447" s="7" t="s">
        <v>407</v>
      </c>
      <c r="O447" s="7">
        <v>97418.0</v>
      </c>
      <c r="P447" s="7" t="s">
        <v>348</v>
      </c>
      <c r="Q447" s="7" t="s">
        <v>349</v>
      </c>
      <c r="R447" s="7" t="s">
        <v>4598</v>
      </c>
      <c r="S447" s="7" t="s">
        <v>506</v>
      </c>
      <c r="T447" s="7" t="s">
        <v>377</v>
      </c>
      <c r="U447" s="7" t="s">
        <v>592</v>
      </c>
      <c r="V447" s="7"/>
      <c r="W447" s="7">
        <v>6.92563905E8</v>
      </c>
      <c r="X447" s="7"/>
      <c r="Y447" s="7"/>
      <c r="Z447" s="7" t="s">
        <v>5812</v>
      </c>
      <c r="AA447" s="7">
        <v>5.0</v>
      </c>
      <c r="AB447" s="7" t="s">
        <v>574</v>
      </c>
      <c r="AC447" s="7" t="s">
        <v>5813</v>
      </c>
      <c r="AD447" s="7" t="s">
        <v>5814</v>
      </c>
      <c r="AE447" s="7" t="s">
        <v>5815</v>
      </c>
      <c r="AF447" s="7"/>
      <c r="AG447" s="7" t="s">
        <v>578</v>
      </c>
      <c r="AH447" s="20">
        <v>39575.0</v>
      </c>
      <c r="AI447" s="7"/>
      <c r="AJ447" s="7" t="s">
        <v>5816</v>
      </c>
      <c r="AK447" s="7">
        <v>4.5360186600016E13</v>
      </c>
      <c r="AL447" s="7" t="s">
        <v>5817</v>
      </c>
      <c r="AM447" s="7" t="s">
        <v>5818</v>
      </c>
      <c r="AN447" s="20">
        <v>39575.0</v>
      </c>
      <c r="AO447" s="7">
        <v>97418.0</v>
      </c>
      <c r="AP447" s="7" t="s">
        <v>362</v>
      </c>
      <c r="AQ447" s="7"/>
      <c r="AR447" s="7"/>
      <c r="AS447" s="7"/>
      <c r="AT447" s="7"/>
      <c r="AU447" s="7">
        <v>2.0</v>
      </c>
      <c r="AV447" s="7" t="s">
        <v>5819</v>
      </c>
      <c r="AW447" s="7" t="s">
        <v>5820</v>
      </c>
      <c r="AX447" s="7"/>
      <c r="AY447" s="7"/>
      <c r="AZ447" s="7" t="s">
        <v>5821</v>
      </c>
      <c r="BA447" s="7"/>
      <c r="BB447" s="7"/>
      <c r="BC447" s="7" t="s">
        <v>401</v>
      </c>
      <c r="BD447" s="21">
        <v>44233.0</v>
      </c>
      <c r="BE447" s="7" t="s">
        <v>555</v>
      </c>
      <c r="BF447" s="7"/>
      <c r="BG447" s="7"/>
      <c r="BH447" s="7">
        <v>4.53601866E8</v>
      </c>
      <c r="BI447" s="7" t="s">
        <v>5822</v>
      </c>
      <c r="BJ447" s="7"/>
      <c r="BK447" s="7" t="b">
        <v>0</v>
      </c>
      <c r="BL447" s="7" t="b">
        <v>0</v>
      </c>
      <c r="BM447" s="7"/>
      <c r="BN447" s="7" t="str">
        <f>IFERROR(__xludf.DUMMYFUNCTION(" IF( REGEXMATCH(C447 , ""[(].+[)]""),REGEXREPLACE( CONCATENATE(REGEXEXTRACT(C447 , ""[(].+[)]""),IF(REGEXMATCH(C447 , ""[(][Ll]['’][)]""),"""","" ""), REGEXEXTRACT(C447 ,""^(?:(?:[A-Za-zàäéèêîïöôûü0-9 ](?:[A-Za-zàäéèêîïöôûü'0-9 ]+)))"")) , ""[()]"", """")"&amp;",C447 )"),"Le Millepertuis ")</f>
        <v>Le Millepertuis </v>
      </c>
      <c r="BO447" s="25"/>
      <c r="BP447" s="7"/>
      <c r="BQ447" s="7"/>
      <c r="BR447" s="7"/>
      <c r="BS447" s="7"/>
      <c r="BT447" s="7"/>
      <c r="BU447" s="7"/>
      <c r="BV447" s="7"/>
      <c r="BW447" s="7"/>
      <c r="BX447" s="7"/>
      <c r="BY447" s="7"/>
      <c r="BZ447" s="7"/>
      <c r="CA447" s="7"/>
      <c r="CB447" s="7"/>
    </row>
    <row r="448" ht="21.75" customHeight="1">
      <c r="A448" s="7">
        <v>3236.0</v>
      </c>
      <c r="B448" s="7" t="s">
        <v>5823</v>
      </c>
      <c r="C448" s="7" t="s">
        <v>5824</v>
      </c>
      <c r="D448" s="7" t="s">
        <v>5825</v>
      </c>
      <c r="E448" s="7"/>
      <c r="F448" s="7" t="s">
        <v>342</v>
      </c>
      <c r="G448" s="7" t="s">
        <v>343</v>
      </c>
      <c r="H448" s="7" t="s">
        <v>344</v>
      </c>
      <c r="I448" s="7" t="s">
        <v>5826</v>
      </c>
      <c r="J448" s="26" t="s">
        <v>5827</v>
      </c>
      <c r="K448" s="7" t="s">
        <v>58</v>
      </c>
      <c r="L448" s="7" t="s">
        <v>453</v>
      </c>
      <c r="M448" s="7" t="s">
        <v>454</v>
      </c>
      <c r="N448" s="7" t="s">
        <v>5828</v>
      </c>
      <c r="O448" s="7">
        <v>97418.0</v>
      </c>
      <c r="P448" s="7" t="s">
        <v>348</v>
      </c>
      <c r="Q448" s="7" t="s">
        <v>349</v>
      </c>
      <c r="R448" s="7" t="s">
        <v>5829</v>
      </c>
      <c r="S448" s="7" t="s">
        <v>5830</v>
      </c>
      <c r="T448" s="7" t="s">
        <v>1076</v>
      </c>
      <c r="U448" s="7" t="s">
        <v>378</v>
      </c>
      <c r="V448" s="7"/>
      <c r="W448" s="7">
        <v>6.92618888E8</v>
      </c>
      <c r="X448" s="7">
        <v>6.9216099E8</v>
      </c>
      <c r="Y448" s="7"/>
      <c r="Z448" s="7" t="s">
        <v>5831</v>
      </c>
      <c r="AA448" s="7">
        <v>4.0</v>
      </c>
      <c r="AB448" s="7"/>
      <c r="AC448" s="7" t="s">
        <v>5832</v>
      </c>
      <c r="AD448" s="7" t="s">
        <v>5833</v>
      </c>
      <c r="AE448" s="7" t="s">
        <v>5834</v>
      </c>
      <c r="AF448" s="7"/>
      <c r="AG448" s="7"/>
      <c r="AH448" s="20">
        <v>41135.0</v>
      </c>
      <c r="AI448" s="7"/>
      <c r="AJ448" s="7" t="s">
        <v>5835</v>
      </c>
      <c r="AK448" s="7">
        <v>5.1293470400028E13</v>
      </c>
      <c r="AL448" s="7" t="s">
        <v>1098</v>
      </c>
      <c r="AM448" s="7" t="s">
        <v>5836</v>
      </c>
      <c r="AN448" s="20">
        <v>41135.0</v>
      </c>
      <c r="AO448" s="7">
        <v>97418.0</v>
      </c>
      <c r="AP448" s="7" t="s">
        <v>362</v>
      </c>
      <c r="AQ448" s="7"/>
      <c r="AR448" s="7"/>
      <c r="AS448" s="7"/>
      <c r="AT448" s="7"/>
      <c r="AU448" s="7">
        <v>2.0</v>
      </c>
      <c r="AV448" s="7" t="s">
        <v>5837</v>
      </c>
      <c r="AW448" s="7"/>
      <c r="AX448" s="7"/>
      <c r="AY448" s="7"/>
      <c r="AZ448" s="7" t="s">
        <v>5838</v>
      </c>
      <c r="BA448" s="7"/>
      <c r="BB448" s="7"/>
      <c r="BC448" s="7" t="s">
        <v>401</v>
      </c>
      <c r="BD448" s="21">
        <v>44233.0</v>
      </c>
      <c r="BE448" s="7" t="s">
        <v>5839</v>
      </c>
      <c r="BF448" s="7"/>
      <c r="BG448" s="7"/>
      <c r="BH448" s="7">
        <v>5.12934704E8</v>
      </c>
      <c r="BI448" s="7" t="s">
        <v>5840</v>
      </c>
      <c r="BJ448" s="7"/>
      <c r="BK448" s="7" t="b">
        <v>0</v>
      </c>
      <c r="BL448" s="7" t="b">
        <v>0</v>
      </c>
      <c r="BM448" s="7"/>
      <c r="BN448" s="7" t="str">
        <f>IFERROR(__xludf.DUMMYFUNCTION(" IF( REGEXMATCH(C448 , ""[(].+[)]""),REGEXREPLACE( CONCATENATE(REGEXEXTRACT(C448 , ""[(].+[)]""),IF(REGEXMATCH(C448 , ""[(][Ll]['’][)]""),"""","" ""), REGEXEXTRACT(C448 ,""^(?:(?:[A-Za-zàäéèêîïöôûü0-9 ](?:[A-Za-zàäéèêîïöôûü'0-9 ]+)))"")) , ""[()]"", """")"&amp;",C448 )"),"Les Mimosas ")</f>
        <v>Les Mimosas </v>
      </c>
      <c r="BO448" s="25"/>
      <c r="BP448" s="7"/>
      <c r="BQ448" s="7"/>
      <c r="BR448" s="7"/>
      <c r="BS448" s="7"/>
      <c r="BT448" s="7"/>
      <c r="BU448" s="7"/>
      <c r="BV448" s="7"/>
      <c r="BW448" s="7"/>
      <c r="BX448" s="7"/>
      <c r="BY448" s="7"/>
      <c r="BZ448" s="7"/>
      <c r="CA448" s="7"/>
      <c r="CB448" s="7"/>
    </row>
    <row r="449" ht="21.75" customHeight="1">
      <c r="A449" s="7">
        <v>264.0</v>
      </c>
      <c r="B449" s="7" t="s">
        <v>5841</v>
      </c>
      <c r="C449" s="7" t="s">
        <v>5842</v>
      </c>
      <c r="D449" s="7" t="s">
        <v>5842</v>
      </c>
      <c r="E449" s="7"/>
      <c r="F449" s="7" t="s">
        <v>404</v>
      </c>
      <c r="G449" s="7" t="s">
        <v>343</v>
      </c>
      <c r="H449" s="7" t="s">
        <v>344</v>
      </c>
      <c r="I449" s="7" t="s">
        <v>5843</v>
      </c>
      <c r="J449" s="7"/>
      <c r="K449" s="7" t="s">
        <v>34</v>
      </c>
      <c r="L449" s="7" t="s">
        <v>622</v>
      </c>
      <c r="M449" s="7" t="s">
        <v>1347</v>
      </c>
      <c r="N449" s="7" t="s">
        <v>407</v>
      </c>
      <c r="O449" s="7">
        <v>97418.0</v>
      </c>
      <c r="P449" s="7" t="s">
        <v>348</v>
      </c>
      <c r="Q449" s="7" t="s">
        <v>570</v>
      </c>
      <c r="R449" s="7" t="s">
        <v>5844</v>
      </c>
      <c r="S449" s="7" t="s">
        <v>506</v>
      </c>
      <c r="T449" s="7" t="s">
        <v>1612</v>
      </c>
      <c r="U449" s="7" t="s">
        <v>353</v>
      </c>
      <c r="V449" s="7">
        <v>2.62599198E8</v>
      </c>
      <c r="W449" s="7">
        <v>6.92689356E8</v>
      </c>
      <c r="X449" s="7"/>
      <c r="Y449" s="7">
        <v>2.62599198E8</v>
      </c>
      <c r="Z449" s="7"/>
      <c r="AA449" s="7"/>
      <c r="AB449" s="7"/>
      <c r="AC449" s="7"/>
      <c r="AD449" s="7" t="s">
        <v>5845</v>
      </c>
      <c r="AE449" s="7" t="s">
        <v>5846</v>
      </c>
      <c r="AF449" s="7"/>
      <c r="AG449" s="7"/>
      <c r="AH449" s="20">
        <v>39575.0</v>
      </c>
      <c r="AI449" s="7"/>
      <c r="AJ449" s="7" t="s">
        <v>5847</v>
      </c>
      <c r="AK449" s="7">
        <v>3.8027497700038E13</v>
      </c>
      <c r="AL449" s="7" t="s">
        <v>5848</v>
      </c>
      <c r="AM449" s="7" t="s">
        <v>5849</v>
      </c>
      <c r="AN449" s="20">
        <v>39575.0</v>
      </c>
      <c r="AO449" s="7">
        <v>97418.0</v>
      </c>
      <c r="AP449" s="7" t="s">
        <v>362</v>
      </c>
      <c r="AQ449" s="7"/>
      <c r="AR449" s="7"/>
      <c r="AS449" s="7"/>
      <c r="AT449" s="7"/>
      <c r="AU449" s="7">
        <v>0.0</v>
      </c>
      <c r="AV449" s="7" t="s">
        <v>5850</v>
      </c>
      <c r="AW449" s="7"/>
      <c r="AX449" s="7"/>
      <c r="AY449" s="7"/>
      <c r="AZ449" s="7"/>
      <c r="BA449" s="7"/>
      <c r="BB449" s="7"/>
      <c r="BC449" s="7" t="s">
        <v>401</v>
      </c>
      <c r="BD449" s="21">
        <v>44237.0</v>
      </c>
      <c r="BE449" s="7" t="s">
        <v>2339</v>
      </c>
      <c r="BF449" s="7"/>
      <c r="BG449" s="7"/>
      <c r="BH449" s="7">
        <v>3.80274977E8</v>
      </c>
      <c r="BI449" s="7" t="s">
        <v>3330</v>
      </c>
      <c r="BJ449" s="7"/>
      <c r="BK449" s="7" t="b">
        <v>0</v>
      </c>
      <c r="BL449" s="7" t="b">
        <v>0</v>
      </c>
      <c r="BM449" s="7"/>
      <c r="BN449" s="7" t="str">
        <f>IFERROR(__xludf.DUMMYFUNCTION(" IF( REGEXMATCH(C449 , ""[(].+[)]""),REGEXREPLACE( CONCATENATE(REGEXEXTRACT(C449 , ""[(].+[)]""),IF(REGEXMATCH(C449 , ""[(][Ll]['’][)]""),"""","" ""), REGEXEXTRACT(C449 ,""^(?:(?:[A-Za-zàäéèêîïöôûü0-9 ](?:[A-Za-zàäéèêîïöôûü'0-9 ]+)))"")) , ""[()]"", """")"&amp;",C449 )"),"Le Mirédo ")</f>
        <v>Le Mirédo </v>
      </c>
      <c r="BO449" s="25"/>
      <c r="BP449" s="7"/>
      <c r="BQ449" s="7"/>
      <c r="BR449" s="7"/>
      <c r="BS449" s="7"/>
      <c r="BT449" s="7"/>
      <c r="BU449" s="7"/>
      <c r="BV449" s="7"/>
      <c r="BW449" s="7"/>
      <c r="BX449" s="7"/>
      <c r="BY449" s="7"/>
      <c r="BZ449" s="7"/>
      <c r="CA449" s="7"/>
      <c r="CB449" s="7"/>
    </row>
    <row r="450" ht="21.75" customHeight="1">
      <c r="A450" s="7">
        <v>330.0</v>
      </c>
      <c r="B450" s="7">
        <v>449.0</v>
      </c>
      <c r="C450" s="7" t="s">
        <v>5851</v>
      </c>
      <c r="D450" s="7" t="s">
        <v>5852</v>
      </c>
      <c r="E450" s="7"/>
      <c r="F450" s="7" t="s">
        <v>404</v>
      </c>
      <c r="G450" s="7" t="s">
        <v>343</v>
      </c>
      <c r="H450" s="7" t="s">
        <v>40</v>
      </c>
      <c r="I450" s="7" t="s">
        <v>5853</v>
      </c>
      <c r="J450" s="7"/>
      <c r="K450" s="7" t="s">
        <v>58</v>
      </c>
      <c r="L450" s="7" t="s">
        <v>453</v>
      </c>
      <c r="M450" s="7" t="s">
        <v>454</v>
      </c>
      <c r="N450" s="7" t="s">
        <v>455</v>
      </c>
      <c r="O450" s="7">
        <v>97414.0</v>
      </c>
      <c r="P450" s="7" t="s">
        <v>40</v>
      </c>
      <c r="Q450" s="7"/>
      <c r="R450" s="7" t="s">
        <v>5854</v>
      </c>
      <c r="S450" s="7" t="s">
        <v>865</v>
      </c>
      <c r="T450" s="7" t="s">
        <v>377</v>
      </c>
      <c r="U450" s="7" t="s">
        <v>353</v>
      </c>
      <c r="V450" s="7">
        <v>2.62396543E8</v>
      </c>
      <c r="W450" s="7"/>
      <c r="X450" s="7"/>
      <c r="Y450" s="7">
        <v>2.62396995E8</v>
      </c>
      <c r="Z450" s="7" t="s">
        <v>5855</v>
      </c>
      <c r="AA450" s="7">
        <v>6.0</v>
      </c>
      <c r="AB450" s="7" t="s">
        <v>574</v>
      </c>
      <c r="AC450" s="7" t="s">
        <v>5856</v>
      </c>
      <c r="AD450" s="7" t="s">
        <v>5857</v>
      </c>
      <c r="AE450" s="7" t="s">
        <v>5858</v>
      </c>
      <c r="AF450" s="7" t="s">
        <v>613</v>
      </c>
      <c r="AG450" s="7" t="s">
        <v>578</v>
      </c>
      <c r="AH450" s="20">
        <v>39575.0</v>
      </c>
      <c r="AI450" s="7"/>
      <c r="AJ450" s="7" t="s">
        <v>5859</v>
      </c>
      <c r="AK450" s="7"/>
      <c r="AL450" s="7" t="s">
        <v>5860</v>
      </c>
      <c r="AM450" s="7" t="s">
        <v>5861</v>
      </c>
      <c r="AN450" s="20">
        <v>39575.0</v>
      </c>
      <c r="AO450" s="7">
        <v>97414.0</v>
      </c>
      <c r="AP450" s="7" t="s">
        <v>429</v>
      </c>
      <c r="AQ450" s="7"/>
      <c r="AR450" s="7"/>
      <c r="AS450" s="7"/>
      <c r="AT450" s="7"/>
      <c r="AU450" s="7">
        <v>3.0</v>
      </c>
      <c r="AV450" s="7" t="s">
        <v>5862</v>
      </c>
      <c r="AW450" s="7" t="s">
        <v>5863</v>
      </c>
      <c r="AX450" s="7"/>
      <c r="AY450" s="7"/>
      <c r="AZ450" s="7" t="s">
        <v>5864</v>
      </c>
      <c r="BA450" s="7"/>
      <c r="BB450" s="7"/>
      <c r="BC450" s="7" t="s">
        <v>366</v>
      </c>
      <c r="BD450" s="21">
        <v>44077.07430555556</v>
      </c>
      <c r="BE450" s="7"/>
      <c r="BF450" s="7"/>
      <c r="BG450" s="22">
        <v>44077.0</v>
      </c>
      <c r="BH450" s="7"/>
      <c r="BI450" s="7" t="s">
        <v>5865</v>
      </c>
      <c r="BJ450" s="7"/>
      <c r="BK450" s="7" t="b">
        <v>0</v>
      </c>
      <c r="BL450" s="7" t="b">
        <v>0</v>
      </c>
      <c r="BM450" s="7"/>
      <c r="BN450" s="7" t="str">
        <f>IFERROR(__xludf.DUMMYFUNCTION(" IF( REGEXMATCH(C450 , ""[(].+[)]""),REGEXREPLACE( CONCATENATE(REGEXEXTRACT(C450 , ""[(].+[)]""),IF(REGEXMATCH(C450 , ""[(][Ll]['’][)]""),"""","" ""), REGEXEXTRACT(C450 ,""^(?:(?:[A-Za-zàäéèêîïöôûü0-9 ](?:[A-Za-zàäéèêîïöôûü'0-9 ]+)))"")) , ""[()]"", """")"&amp;",C450 )"),"Mirest")</f>
        <v>Mirest</v>
      </c>
      <c r="BO450" s="23"/>
      <c r="BP450" s="7"/>
      <c r="BQ450" s="7"/>
      <c r="BR450" s="7"/>
      <c r="BS450" s="7"/>
      <c r="BT450" s="7"/>
      <c r="BU450" s="7"/>
      <c r="BV450" s="7"/>
      <c r="BW450" s="7"/>
      <c r="BX450" s="7"/>
      <c r="BY450" s="7"/>
      <c r="BZ450" s="7"/>
      <c r="CA450" s="7"/>
      <c r="CB450" s="7"/>
    </row>
    <row r="451" ht="21.75" customHeight="1">
      <c r="A451" s="7">
        <v>331.0</v>
      </c>
      <c r="B451" s="7">
        <v>450.0</v>
      </c>
      <c r="C451" s="7" t="s">
        <v>5851</v>
      </c>
      <c r="D451" s="7" t="s">
        <v>5852</v>
      </c>
      <c r="E451" s="7"/>
      <c r="F451" s="7" t="s">
        <v>404</v>
      </c>
      <c r="G451" s="7" t="s">
        <v>343</v>
      </c>
      <c r="H451" s="7" t="s">
        <v>40</v>
      </c>
      <c r="I451" s="7" t="s">
        <v>5853</v>
      </c>
      <c r="J451" s="7"/>
      <c r="K451" s="7" t="s">
        <v>34</v>
      </c>
      <c r="L451" s="7" t="s">
        <v>485</v>
      </c>
      <c r="M451" s="7" t="s">
        <v>486</v>
      </c>
      <c r="N451" s="7" t="s">
        <v>455</v>
      </c>
      <c r="O451" s="7">
        <v>97414.0</v>
      </c>
      <c r="P451" s="7" t="s">
        <v>40</v>
      </c>
      <c r="Q451" s="7"/>
      <c r="R451" s="7" t="s">
        <v>1026</v>
      </c>
      <c r="S451" s="7" t="s">
        <v>3334</v>
      </c>
      <c r="T451" s="7" t="s">
        <v>377</v>
      </c>
      <c r="U451" s="7" t="s">
        <v>353</v>
      </c>
      <c r="V451" s="7">
        <v>2.62396543E8</v>
      </c>
      <c r="W451" s="7"/>
      <c r="X451" s="7"/>
      <c r="Y451" s="7">
        <v>2.62396995E8</v>
      </c>
      <c r="Z451" s="7" t="s">
        <v>5855</v>
      </c>
      <c r="AA451" s="7">
        <v>25.0</v>
      </c>
      <c r="AB451" s="7"/>
      <c r="AC451" s="7" t="s">
        <v>5866</v>
      </c>
      <c r="AD451" s="7" t="s">
        <v>5867</v>
      </c>
      <c r="AE451" s="7" t="s">
        <v>5868</v>
      </c>
      <c r="AF451" s="7"/>
      <c r="AG451" s="7" t="s">
        <v>578</v>
      </c>
      <c r="AH451" s="20">
        <v>39629.0</v>
      </c>
      <c r="AI451" s="7"/>
      <c r="AJ451" s="7" t="s">
        <v>5859</v>
      </c>
      <c r="AK451" s="7"/>
      <c r="AL451" s="7" t="s">
        <v>5860</v>
      </c>
      <c r="AM451" s="7" t="s">
        <v>5861</v>
      </c>
      <c r="AN451" s="20">
        <v>39575.0</v>
      </c>
      <c r="AO451" s="7">
        <v>97414.0</v>
      </c>
      <c r="AP451" s="7" t="s">
        <v>429</v>
      </c>
      <c r="AQ451" s="7"/>
      <c r="AR451" s="7"/>
      <c r="AS451" s="7"/>
      <c r="AT451" s="7"/>
      <c r="AU451" s="7">
        <v>0.0</v>
      </c>
      <c r="AV451" s="7" t="s">
        <v>5862</v>
      </c>
      <c r="AW451" s="7"/>
      <c r="AX451" s="7"/>
      <c r="AY451" s="7"/>
      <c r="AZ451" s="7"/>
      <c r="BA451" s="7"/>
      <c r="BB451" s="7"/>
      <c r="BC451" s="7" t="s">
        <v>366</v>
      </c>
      <c r="BD451" s="21">
        <v>44077.07430555556</v>
      </c>
      <c r="BE451" s="7"/>
      <c r="BF451" s="7"/>
      <c r="BG451" s="22">
        <v>44077.0</v>
      </c>
      <c r="BH451" s="7"/>
      <c r="BI451" s="7" t="s">
        <v>5865</v>
      </c>
      <c r="BJ451" s="7"/>
      <c r="BK451" s="7" t="b">
        <v>0</v>
      </c>
      <c r="BL451" s="7" t="b">
        <v>0</v>
      </c>
      <c r="BM451" s="7"/>
      <c r="BN451" s="7" t="str">
        <f>IFERROR(__xludf.DUMMYFUNCTION(" IF( REGEXMATCH(C451 , ""[(].+[)]""),REGEXREPLACE( CONCATENATE(REGEXEXTRACT(C451 , ""[(].+[)]""),IF(REGEXMATCH(C451 , ""[(][Ll]['’][)]""),"""","" ""), REGEXEXTRACT(C451 ,""^(?:(?:[A-Za-zàäéèêîïöôûü0-9 ](?:[A-Za-zàäéèêîïöôûü'0-9 ]+)))"")) , ""[()]"", """")"&amp;",C451 )"),"Mirest")</f>
        <v>Mirest</v>
      </c>
      <c r="BO451" s="23"/>
      <c r="BP451" s="7"/>
      <c r="BQ451" s="7"/>
      <c r="BR451" s="7"/>
      <c r="BS451" s="7"/>
      <c r="BT451" s="7"/>
      <c r="BU451" s="7"/>
      <c r="BV451" s="7"/>
      <c r="BW451" s="7"/>
      <c r="BX451" s="7"/>
      <c r="BY451" s="7"/>
      <c r="BZ451" s="7"/>
      <c r="CA451" s="7"/>
      <c r="CB451" s="7"/>
    </row>
    <row r="452" ht="21.75" customHeight="1">
      <c r="A452" s="7">
        <v>1892.0</v>
      </c>
      <c r="B452" s="7">
        <v>451.0</v>
      </c>
      <c r="C452" s="7" t="s">
        <v>5869</v>
      </c>
      <c r="D452" s="7" t="s">
        <v>5870</v>
      </c>
      <c r="E452" s="7"/>
      <c r="F452" s="7" t="s">
        <v>404</v>
      </c>
      <c r="G452" s="7" t="s">
        <v>343</v>
      </c>
      <c r="H452" s="7" t="s">
        <v>123</v>
      </c>
      <c r="I452" s="7" t="s">
        <v>5871</v>
      </c>
      <c r="J452" s="7"/>
      <c r="K452" s="6" t="s">
        <v>469</v>
      </c>
      <c r="L452" s="7" t="s">
        <v>1792</v>
      </c>
      <c r="M452" s="7" t="s">
        <v>2729</v>
      </c>
      <c r="N452" s="7" t="s">
        <v>375</v>
      </c>
      <c r="O452" s="7">
        <v>97480.0</v>
      </c>
      <c r="P452" s="7" t="s">
        <v>123</v>
      </c>
      <c r="Q452" s="7"/>
      <c r="R452" s="7"/>
      <c r="S452" s="7"/>
      <c r="T452" s="7" t="s">
        <v>377</v>
      </c>
      <c r="U452" s="7" t="s">
        <v>378</v>
      </c>
      <c r="V452" s="7">
        <v>2.6256274E8</v>
      </c>
      <c r="W452" s="7"/>
      <c r="X452" s="7"/>
      <c r="Y452" s="7"/>
      <c r="Z452" s="7"/>
      <c r="AA452" s="7"/>
      <c r="AB452" s="7"/>
      <c r="AC452" s="7"/>
      <c r="AD452" s="7" t="s">
        <v>5872</v>
      </c>
      <c r="AE452" s="7"/>
      <c r="AF452" s="7" t="s">
        <v>5873</v>
      </c>
      <c r="AG452" s="7"/>
      <c r="AH452" s="20">
        <v>43739.0</v>
      </c>
      <c r="AI452" s="7"/>
      <c r="AJ452" s="7" t="s">
        <v>5874</v>
      </c>
      <c r="AK452" s="7"/>
      <c r="AL452" s="7" t="s">
        <v>5875</v>
      </c>
      <c r="AM452" s="7" t="s">
        <v>5876</v>
      </c>
      <c r="AN452" s="20">
        <v>43739.0</v>
      </c>
      <c r="AO452" s="7">
        <v>97480.0</v>
      </c>
      <c r="AP452" s="7" t="s">
        <v>385</v>
      </c>
      <c r="AQ452" s="7"/>
      <c r="AR452" s="7"/>
      <c r="AS452" s="7"/>
      <c r="AT452" s="7"/>
      <c r="AU452" s="7">
        <v>0.0</v>
      </c>
      <c r="AV452" s="7" t="s">
        <v>5877</v>
      </c>
      <c r="AW452" s="7"/>
      <c r="AX452" s="7"/>
      <c r="AY452" s="7"/>
      <c r="AZ452" s="7"/>
      <c r="BA452" s="7"/>
      <c r="BB452" s="7"/>
      <c r="BC452" s="7" t="s">
        <v>366</v>
      </c>
      <c r="BD452" s="21">
        <v>44228.15902777778</v>
      </c>
      <c r="BE452" s="7"/>
      <c r="BF452" s="7"/>
      <c r="BG452" s="22">
        <v>44228.0</v>
      </c>
      <c r="BH452" s="7"/>
      <c r="BI452" s="7" t="s">
        <v>5878</v>
      </c>
      <c r="BJ452" s="7"/>
      <c r="BK452" s="7" t="b">
        <v>0</v>
      </c>
      <c r="BL452" s="7" t="b">
        <v>0</v>
      </c>
      <c r="BM452" s="7"/>
      <c r="BN452" s="7" t="str">
        <f>IFERROR(__xludf.DUMMYFUNCTION(" IF( REGEXMATCH(C452 , ""[(].+[)]""),REGEXREPLACE( CONCATENATE(REGEXEXTRACT(C452 , ""[(].+[)]""),IF(REGEXMATCH(C452 , ""[(][Ll]['’][)]""),"""","" ""), REGEXEXTRACT(C452 ,""^(?:(?:[A-Za-zàäéèêîïöôûü0-9 ](?:[A-Za-zàäéèêîïöôûü'0-9 ]+)))"")) , ""[()]"", """")"&amp;",C452 )"),"le Moulin Rouge ")</f>
        <v>le Moulin Rouge </v>
      </c>
      <c r="BO452" s="23"/>
      <c r="BP452" s="7"/>
      <c r="BQ452" s="7"/>
      <c r="BR452" s="7"/>
      <c r="BS452" s="7"/>
      <c r="BT452" s="7"/>
      <c r="BU452" s="7"/>
      <c r="BV452" s="7"/>
      <c r="BW452" s="7"/>
      <c r="BX452" s="7"/>
      <c r="BY452" s="7"/>
      <c r="BZ452" s="7"/>
      <c r="CA452" s="7"/>
      <c r="CB452" s="7"/>
    </row>
    <row r="453" ht="21.75" customHeight="1">
      <c r="A453" s="7">
        <v>1921.0</v>
      </c>
      <c r="B453" s="7">
        <v>452.0</v>
      </c>
      <c r="C453" s="7" t="s">
        <v>5879</v>
      </c>
      <c r="D453" s="7" t="s">
        <v>5880</v>
      </c>
      <c r="E453" s="7"/>
      <c r="F453" s="7" t="s">
        <v>404</v>
      </c>
      <c r="G453" s="7" t="s">
        <v>343</v>
      </c>
      <c r="H453" s="7" t="s">
        <v>344</v>
      </c>
      <c r="I453" s="7" t="s">
        <v>5881</v>
      </c>
      <c r="J453" s="26" t="s">
        <v>5882</v>
      </c>
      <c r="K453" s="6" t="s">
        <v>469</v>
      </c>
      <c r="L453" s="7" t="s">
        <v>197</v>
      </c>
      <c r="M453" s="7" t="s">
        <v>559</v>
      </c>
      <c r="N453" s="7"/>
      <c r="O453" s="7">
        <v>97418.0</v>
      </c>
      <c r="P453" s="7" t="s">
        <v>348</v>
      </c>
      <c r="Q453" s="7" t="s">
        <v>570</v>
      </c>
      <c r="R453" s="7"/>
      <c r="S453" s="7"/>
      <c r="T453" s="7"/>
      <c r="U453" s="7" t="s">
        <v>378</v>
      </c>
      <c r="V453" s="7">
        <v>2.62592206E8</v>
      </c>
      <c r="W453" s="7">
        <v>6.92822575E8</v>
      </c>
      <c r="X453" s="7"/>
      <c r="Y453" s="7"/>
      <c r="Z453" s="7" t="s">
        <v>5883</v>
      </c>
      <c r="AA453" s="7"/>
      <c r="AB453" s="7"/>
      <c r="AC453" s="7"/>
      <c r="AD453" s="7" t="s">
        <v>5884</v>
      </c>
      <c r="AE453" s="7"/>
      <c r="AF453" s="7" t="s">
        <v>3837</v>
      </c>
      <c r="AG453" s="7"/>
      <c r="AH453" s="20">
        <v>43739.0</v>
      </c>
      <c r="AI453" s="7"/>
      <c r="AJ453" s="7" t="s">
        <v>5885</v>
      </c>
      <c r="AK453" s="7"/>
      <c r="AL453" s="7" t="s">
        <v>5886</v>
      </c>
      <c r="AM453" s="7" t="s">
        <v>5887</v>
      </c>
      <c r="AN453" s="20">
        <v>43739.0</v>
      </c>
      <c r="AO453" s="7">
        <v>97418.0</v>
      </c>
      <c r="AP453" s="7" t="s">
        <v>362</v>
      </c>
      <c r="AQ453" s="7"/>
      <c r="AR453" s="7"/>
      <c r="AS453" s="7"/>
      <c r="AT453" s="7"/>
      <c r="AU453" s="7">
        <v>0.0</v>
      </c>
      <c r="AV453" s="7" t="s">
        <v>5888</v>
      </c>
      <c r="AW453" s="7"/>
      <c r="AX453" s="7"/>
      <c r="AY453" s="7"/>
      <c r="AZ453" s="7"/>
      <c r="BA453" s="7"/>
      <c r="BB453" s="7"/>
      <c r="BC453" s="7" t="s">
        <v>366</v>
      </c>
      <c r="BD453" s="21">
        <v>44197.0</v>
      </c>
      <c r="BE453" s="7"/>
      <c r="BF453" s="7"/>
      <c r="BG453" s="22">
        <v>44197.0</v>
      </c>
      <c r="BH453" s="7"/>
      <c r="BI453" s="7" t="s">
        <v>5889</v>
      </c>
      <c r="BJ453" s="7"/>
      <c r="BK453" s="7" t="b">
        <v>0</v>
      </c>
      <c r="BL453" s="7" t="b">
        <v>0</v>
      </c>
      <c r="BM453" s="7"/>
      <c r="BN453" s="7" t="str">
        <f>IFERROR(__xludf.DUMMYFUNCTION(" IF( REGEXMATCH(C453 , ""[(].+[)]""),REGEXREPLACE( CONCATENATE(REGEXEXTRACT(C453 , ""[(].+[)]""),IF(REGEXMATCH(C453 , ""[(][Ll]['’][)]""),"""","" ""), REGEXEXTRACT(C453 ,""^(?:(?:[A-Za-zàäéèêîïöôûü0-9 ](?:[A-Za-zàäéèêîïöôûü'0-9 ]+)))"")) , ""[()]"", """")"&amp;",C453 )"),"Mozaïk Bambou")</f>
        <v>Mozaïk Bambou</v>
      </c>
      <c r="BO453" s="23"/>
      <c r="BP453" s="7"/>
      <c r="BQ453" s="7"/>
      <c r="BR453" s="7"/>
      <c r="BS453" s="7"/>
      <c r="BT453" s="7"/>
      <c r="BU453" s="7"/>
      <c r="BV453" s="7"/>
      <c r="BW453" s="7"/>
      <c r="BX453" s="7"/>
      <c r="BY453" s="7"/>
      <c r="BZ453" s="7"/>
      <c r="CA453" s="7"/>
      <c r="CB453" s="7"/>
    </row>
    <row r="454" ht="21.75" customHeight="1">
      <c r="A454" s="7">
        <v>55.0</v>
      </c>
      <c r="B454" s="7">
        <v>453.0</v>
      </c>
      <c r="C454" s="7" t="s">
        <v>5890</v>
      </c>
      <c r="D454" s="7" t="s">
        <v>5890</v>
      </c>
      <c r="E454" s="7"/>
      <c r="F454" s="7" t="s">
        <v>404</v>
      </c>
      <c r="G454" s="7" t="s">
        <v>343</v>
      </c>
      <c r="H454" s="7" t="s">
        <v>344</v>
      </c>
      <c r="I454" s="7" t="s">
        <v>5891</v>
      </c>
      <c r="J454" s="7"/>
      <c r="K454" s="7" t="s">
        <v>58</v>
      </c>
      <c r="L454" s="7" t="s">
        <v>453</v>
      </c>
      <c r="M454" s="7" t="s">
        <v>454</v>
      </c>
      <c r="N454" s="7" t="s">
        <v>407</v>
      </c>
      <c r="O454" s="7">
        <v>97418.0</v>
      </c>
      <c r="P454" s="7" t="s">
        <v>348</v>
      </c>
      <c r="Q454" s="7" t="s">
        <v>349</v>
      </c>
      <c r="R454" s="7" t="s">
        <v>5892</v>
      </c>
      <c r="S454" s="7" t="s">
        <v>1521</v>
      </c>
      <c r="T454" s="7" t="s">
        <v>377</v>
      </c>
      <c r="U454" s="7" t="s">
        <v>353</v>
      </c>
      <c r="V454" s="7">
        <v>2.62275759E8</v>
      </c>
      <c r="W454" s="7"/>
      <c r="X454" s="7"/>
      <c r="Y454" s="7">
        <v>2.62275759E8</v>
      </c>
      <c r="Z454" s="7"/>
      <c r="AA454" s="7">
        <v>5.0</v>
      </c>
      <c r="AB454" s="7" t="s">
        <v>5893</v>
      </c>
      <c r="AC454" s="7"/>
      <c r="AD454" s="7" t="s">
        <v>5894</v>
      </c>
      <c r="AE454" s="7" t="s">
        <v>5895</v>
      </c>
      <c r="AF454" s="7"/>
      <c r="AG454" s="7" t="s">
        <v>578</v>
      </c>
      <c r="AH454" s="20">
        <v>39575.0</v>
      </c>
      <c r="AI454" s="7"/>
      <c r="AJ454" s="7" t="s">
        <v>5890</v>
      </c>
      <c r="AK454" s="7"/>
      <c r="AL454" s="7" t="s">
        <v>5896</v>
      </c>
      <c r="AM454" s="7" t="s">
        <v>5897</v>
      </c>
      <c r="AN454" s="20">
        <v>39575.0</v>
      </c>
      <c r="AO454" s="7">
        <v>97418.0</v>
      </c>
      <c r="AP454" s="7" t="s">
        <v>362</v>
      </c>
      <c r="AQ454" s="7"/>
      <c r="AR454" s="7"/>
      <c r="AS454" s="7"/>
      <c r="AT454" s="7"/>
      <c r="AU454" s="7">
        <v>2.0</v>
      </c>
      <c r="AV454" s="7" t="s">
        <v>5898</v>
      </c>
      <c r="AW454" s="7"/>
      <c r="AX454" s="7"/>
      <c r="AY454" s="7"/>
      <c r="AZ454" s="7"/>
      <c r="BA454" s="7"/>
      <c r="BB454" s="7"/>
      <c r="BC454" s="7" t="s">
        <v>366</v>
      </c>
      <c r="BD454" s="21">
        <v>44080.53333333333</v>
      </c>
      <c r="BE454" s="7"/>
      <c r="BF454" s="7"/>
      <c r="BG454" s="22">
        <v>44080.0</v>
      </c>
      <c r="BH454" s="7"/>
      <c r="BI454" s="7"/>
      <c r="BJ454" s="7"/>
      <c r="BK454" s="7" t="b">
        <v>0</v>
      </c>
      <c r="BL454" s="7" t="b">
        <v>0</v>
      </c>
      <c r="BM454" s="7"/>
      <c r="BN454" s="7" t="str">
        <f>IFERROR(__xludf.DUMMYFUNCTION(" IF( REGEXMATCH(C454 , ""[(].+[)]""),REGEXREPLACE( CONCATENATE(REGEXEXTRACT(C454 , ""[(].+[)]""),IF(REGEXMATCH(C454 , ""[(][Ll]['’][)]""),"""","" ""), REGEXEXTRACT(C454 ,""^(?:(?:[A-Za-zàäéèêîïöôûü0-9 ](?:[A-Za-zàäéèêîïöôûü'0-9 ]+)))"")) , ""[()]"", """")"&amp;",C454 )"),"Mussard Thérèse")</f>
        <v>Mussard Thérèse</v>
      </c>
      <c r="BO454" s="23"/>
      <c r="BP454" s="7"/>
      <c r="BQ454" s="7"/>
      <c r="BR454" s="7"/>
      <c r="BS454" s="7"/>
      <c r="BT454" s="7"/>
      <c r="BU454" s="7"/>
      <c r="BV454" s="7"/>
      <c r="BW454" s="7"/>
      <c r="BX454" s="7"/>
      <c r="BY454" s="7"/>
      <c r="BZ454" s="7"/>
      <c r="CA454" s="7"/>
      <c r="CB454" s="7"/>
    </row>
    <row r="455" ht="21.75" customHeight="1">
      <c r="A455" s="7">
        <v>5160.0</v>
      </c>
      <c r="B455" s="7" t="s">
        <v>5899</v>
      </c>
      <c r="C455" s="7" t="s">
        <v>5900</v>
      </c>
      <c r="D455" s="7"/>
      <c r="E455" s="7"/>
      <c r="F455" s="7" t="s">
        <v>342</v>
      </c>
      <c r="G455" s="7" t="s">
        <v>343</v>
      </c>
      <c r="H455" s="7" t="s">
        <v>33</v>
      </c>
      <c r="I455" s="7" t="s">
        <v>5901</v>
      </c>
      <c r="J455" s="7"/>
      <c r="K455" s="6" t="s">
        <v>469</v>
      </c>
      <c r="L455" s="7" t="s">
        <v>197</v>
      </c>
      <c r="M455" s="7" t="s">
        <v>1696</v>
      </c>
      <c r="N455" s="7" t="s">
        <v>664</v>
      </c>
      <c r="O455" s="7">
        <v>97442.0</v>
      </c>
      <c r="P455" s="7" t="s">
        <v>33</v>
      </c>
      <c r="Q455" s="7"/>
      <c r="R455" s="7"/>
      <c r="S455" s="7"/>
      <c r="T455" s="7" t="s">
        <v>974</v>
      </c>
      <c r="U455" s="7" t="s">
        <v>5902</v>
      </c>
      <c r="V455" s="7">
        <v>2.62517635E8</v>
      </c>
      <c r="W455" s="7">
        <v>6.92651983E8</v>
      </c>
      <c r="X455" s="7"/>
      <c r="Y455" s="7"/>
      <c r="Z455" s="7" t="s">
        <v>5903</v>
      </c>
      <c r="AA455" s="7"/>
      <c r="AB455" s="7"/>
      <c r="AC455" s="7" t="s">
        <v>5904</v>
      </c>
      <c r="AD455" s="7" t="s">
        <v>5905</v>
      </c>
      <c r="AE455" s="7" t="s">
        <v>5906</v>
      </c>
      <c r="AF455" s="7"/>
      <c r="AG455" s="7"/>
      <c r="AH455" s="20">
        <v>43875.0</v>
      </c>
      <c r="AI455" s="7"/>
      <c r="AJ455" s="7" t="s">
        <v>5907</v>
      </c>
      <c r="AK455" s="7">
        <v>3.4788055100028E13</v>
      </c>
      <c r="AL455" s="7" t="s">
        <v>5908</v>
      </c>
      <c r="AM455" s="7" t="s">
        <v>5909</v>
      </c>
      <c r="AN455" s="20">
        <v>43875.0</v>
      </c>
      <c r="AO455" s="7">
        <v>97442.0</v>
      </c>
      <c r="AP455" s="7" t="s">
        <v>884</v>
      </c>
      <c r="AQ455" s="7"/>
      <c r="AR455" s="7"/>
      <c r="AS455" s="7"/>
      <c r="AT455" s="7"/>
      <c r="AU455" s="7">
        <v>0.0</v>
      </c>
      <c r="AV455" s="7" t="s">
        <v>5910</v>
      </c>
      <c r="AW455" s="7"/>
      <c r="AX455" s="7"/>
      <c r="AY455" s="7"/>
      <c r="AZ455" s="7"/>
      <c r="BA455" s="7"/>
      <c r="BB455" s="7"/>
      <c r="BC455" s="7" t="s">
        <v>401</v>
      </c>
      <c r="BD455" s="21">
        <v>44153.47083333333</v>
      </c>
      <c r="BE455" s="7" t="s">
        <v>5911</v>
      </c>
      <c r="BF455" s="7"/>
      <c r="BG455" s="7"/>
      <c r="BH455" s="7">
        <v>3.47880551E8</v>
      </c>
      <c r="BI455" s="7" t="s">
        <v>5912</v>
      </c>
      <c r="BJ455" s="7"/>
      <c r="BK455" s="7" t="b">
        <v>0</v>
      </c>
      <c r="BL455" s="7" t="b">
        <v>0</v>
      </c>
      <c r="BM455" s="7"/>
      <c r="BN455" s="7" t="str">
        <f>IFERROR(__xludf.DUMMYFUNCTION(" IF( REGEXMATCH(C455 , ""[(].+[)]""),REGEXREPLACE( CONCATENATE(REGEXEXTRACT(C455 , ""[(].+[)]""),IF(REGEXMATCH(C455 , ""[(][Ll]['’][)]""),"""","" ""), REGEXEXTRACT(C455 ,""^(?:(?:[A-Za-zàäéèêîïöôûü0-9 ](?:[A-Za-zàäéèêîïöôûü'0-9 ]+)))"")) , ""[()]"", """")"&amp;",C455 )"),"Nancy Boutique")</f>
        <v>Nancy Boutique</v>
      </c>
      <c r="BO455" s="25"/>
      <c r="BP455" s="7"/>
      <c r="BQ455" s="7"/>
      <c r="BR455" s="7"/>
      <c r="BS455" s="7"/>
      <c r="BT455" s="7"/>
      <c r="BU455" s="7"/>
      <c r="BV455" s="7"/>
      <c r="BW455" s="7"/>
      <c r="BX455" s="7"/>
      <c r="BY455" s="7"/>
      <c r="BZ455" s="7"/>
      <c r="CA455" s="7"/>
      <c r="CB455" s="7"/>
    </row>
    <row r="456" ht="21.75" customHeight="1">
      <c r="A456" s="7">
        <v>1750.0</v>
      </c>
      <c r="B456" s="7">
        <v>455.0</v>
      </c>
      <c r="C456" s="7" t="s">
        <v>5913</v>
      </c>
      <c r="D456" s="7"/>
      <c r="E456" s="7"/>
      <c r="F456" s="7" t="s">
        <v>404</v>
      </c>
      <c r="G456" s="7" t="s">
        <v>343</v>
      </c>
      <c r="H456" s="7" t="s">
        <v>344</v>
      </c>
      <c r="I456" s="7" t="s">
        <v>5914</v>
      </c>
      <c r="J456" s="7"/>
      <c r="K456" s="7" t="s">
        <v>58</v>
      </c>
      <c r="L456" s="7" t="s">
        <v>59</v>
      </c>
      <c r="M456" s="7" t="s">
        <v>2013</v>
      </c>
      <c r="N456" s="7" t="s">
        <v>455</v>
      </c>
      <c r="O456" s="7">
        <v>97418.0</v>
      </c>
      <c r="P456" s="7" t="s">
        <v>348</v>
      </c>
      <c r="Q456" s="7" t="s">
        <v>349</v>
      </c>
      <c r="R456" s="7" t="s">
        <v>5915</v>
      </c>
      <c r="S456" s="7" t="s">
        <v>5916</v>
      </c>
      <c r="T456" s="7" t="s">
        <v>439</v>
      </c>
      <c r="U456" s="7" t="s">
        <v>353</v>
      </c>
      <c r="V456" s="7">
        <v>2.62354791E8</v>
      </c>
      <c r="W456" s="7">
        <v>6.92691226E8</v>
      </c>
      <c r="X456" s="7"/>
      <c r="Y456" s="7">
        <v>2.62259587E8</v>
      </c>
      <c r="Z456" s="7" t="s">
        <v>5917</v>
      </c>
      <c r="AA456" s="7">
        <v>10.0</v>
      </c>
      <c r="AB456" s="7"/>
      <c r="AC456" s="7" t="s">
        <v>5918</v>
      </c>
      <c r="AD456" s="7" t="s">
        <v>5919</v>
      </c>
      <c r="AE456" s="7" t="s">
        <v>5920</v>
      </c>
      <c r="AF456" s="7"/>
      <c r="AG456" s="7"/>
      <c r="AH456" s="20">
        <v>43739.0</v>
      </c>
      <c r="AI456" s="7"/>
      <c r="AJ456" s="7" t="s">
        <v>5913</v>
      </c>
      <c r="AK456" s="7"/>
      <c r="AL456" s="7" t="s">
        <v>5921</v>
      </c>
      <c r="AM456" s="7" t="s">
        <v>5922</v>
      </c>
      <c r="AN456" s="20">
        <v>39575.0</v>
      </c>
      <c r="AO456" s="7">
        <v>97410.0</v>
      </c>
      <c r="AP456" s="7" t="s">
        <v>512</v>
      </c>
      <c r="AQ456" s="7"/>
      <c r="AR456" s="7"/>
      <c r="AS456" s="7"/>
      <c r="AT456" s="7"/>
      <c r="AU456" s="7">
        <v>1.0</v>
      </c>
      <c r="AV456" s="7" t="s">
        <v>5923</v>
      </c>
      <c r="AW456" s="7"/>
      <c r="AX456" s="7"/>
      <c r="AY456" s="7"/>
      <c r="AZ456" s="7"/>
      <c r="BA456" s="7"/>
      <c r="BB456" s="7"/>
      <c r="BC456" s="7" t="s">
        <v>366</v>
      </c>
      <c r="BD456" s="21">
        <v>44197.0</v>
      </c>
      <c r="BE456" s="7"/>
      <c r="BF456" s="7"/>
      <c r="BG456" s="22">
        <v>44197.0</v>
      </c>
      <c r="BH456" s="7"/>
      <c r="BI456" s="7" t="s">
        <v>3962</v>
      </c>
      <c r="BJ456" s="7"/>
      <c r="BK456" s="7" t="b">
        <v>0</v>
      </c>
      <c r="BL456" s="7" t="b">
        <v>0</v>
      </c>
      <c r="BM456" s="7"/>
      <c r="BN456" s="7" t="str">
        <f>IFERROR(__xludf.DUMMYFUNCTION(" IF( REGEXMATCH(C456 , ""[(].+[)]""),REGEXREPLACE( CONCATENATE(REGEXEXTRACT(C456 , ""[(].+[)]""),IF(REGEXMATCH(C456 , ""[(][Ll]['’][)]""),"""","" ""), REGEXEXTRACT(C456 ,""^(?:(?:[A-Za-zàäéèêîïöôûü0-9 ](?:[A-Za-zàäéèêîïöôûü'0-9 ]+)))"")) , ""[()]"", """")"&amp;",C456 )"),"Nassibou Jean-David")</f>
        <v>Nassibou Jean-David</v>
      </c>
      <c r="BO456" s="23"/>
      <c r="BP456" s="7"/>
      <c r="BQ456" s="7"/>
      <c r="BR456" s="7"/>
      <c r="BS456" s="7"/>
      <c r="BT456" s="7"/>
      <c r="BU456" s="7"/>
      <c r="BV456" s="7"/>
      <c r="BW456" s="7"/>
      <c r="BX456" s="7"/>
      <c r="BY456" s="7"/>
      <c r="BZ456" s="7"/>
      <c r="CA456" s="7"/>
      <c r="CB456" s="7"/>
    </row>
    <row r="457" ht="21.75" customHeight="1">
      <c r="A457" s="7">
        <v>4553.0</v>
      </c>
      <c r="B457" s="7" t="s">
        <v>5924</v>
      </c>
      <c r="C457" s="7" t="s">
        <v>5925</v>
      </c>
      <c r="D457" s="7"/>
      <c r="E457" s="7"/>
      <c r="F457" s="7" t="s">
        <v>342</v>
      </c>
      <c r="G457" s="7" t="s">
        <v>343</v>
      </c>
      <c r="H457" s="7" t="s">
        <v>344</v>
      </c>
      <c r="I457" s="7" t="s">
        <v>5926</v>
      </c>
      <c r="J457" s="26" t="s">
        <v>5927</v>
      </c>
      <c r="K457" s="7" t="s">
        <v>822</v>
      </c>
      <c r="L457" s="7" t="s">
        <v>1805</v>
      </c>
      <c r="M457" s="7" t="s">
        <v>1806</v>
      </c>
      <c r="N457" s="7"/>
      <c r="O457" s="7">
        <v>97430.0</v>
      </c>
      <c r="P457" s="7" t="s">
        <v>344</v>
      </c>
      <c r="Q457" s="7"/>
      <c r="R457" s="7"/>
      <c r="S457" s="7"/>
      <c r="T457" s="7" t="s">
        <v>377</v>
      </c>
      <c r="U457" s="7" t="s">
        <v>851</v>
      </c>
      <c r="V457" s="7"/>
      <c r="W457" s="7">
        <v>6.92721173E8</v>
      </c>
      <c r="X457" s="7"/>
      <c r="Y457" s="7"/>
      <c r="Z457" s="7" t="s">
        <v>5928</v>
      </c>
      <c r="AA457" s="7"/>
      <c r="AB457" s="7"/>
      <c r="AC457" s="7" t="s">
        <v>5929</v>
      </c>
      <c r="AD457" s="7" t="s">
        <v>5930</v>
      </c>
      <c r="AE457" s="7"/>
      <c r="AF457" s="7"/>
      <c r="AG457" s="7"/>
      <c r="AH457" s="20">
        <v>43314.0</v>
      </c>
      <c r="AI457" s="7"/>
      <c r="AJ457" s="7" t="s">
        <v>5931</v>
      </c>
      <c r="AK457" s="7">
        <v>8.2386178600015E13</v>
      </c>
      <c r="AL457" s="7" t="s">
        <v>5932</v>
      </c>
      <c r="AM457" s="7" t="s">
        <v>5933</v>
      </c>
      <c r="AN457" s="20">
        <v>43314.0</v>
      </c>
      <c r="AO457" s="7">
        <v>97430.0</v>
      </c>
      <c r="AP457" s="7" t="s">
        <v>494</v>
      </c>
      <c r="AQ457" s="7"/>
      <c r="AR457" s="7"/>
      <c r="AS457" s="7"/>
      <c r="AT457" s="7"/>
      <c r="AU457" s="7">
        <v>0.0</v>
      </c>
      <c r="AV457" s="7" t="s">
        <v>5934</v>
      </c>
      <c r="AW457" s="7"/>
      <c r="AX457" s="7"/>
      <c r="AY457" s="7"/>
      <c r="AZ457" s="7"/>
      <c r="BA457" s="7"/>
      <c r="BB457" s="7"/>
      <c r="BC457" s="7" t="s">
        <v>401</v>
      </c>
      <c r="BD457" s="21">
        <v>44233.0</v>
      </c>
      <c r="BE457" s="7" t="s">
        <v>1917</v>
      </c>
      <c r="BF457" s="7"/>
      <c r="BG457" s="7"/>
      <c r="BH457" s="7">
        <v>8.23861786E8</v>
      </c>
      <c r="BI457" s="7" t="s">
        <v>5935</v>
      </c>
      <c r="BJ457" s="7"/>
      <c r="BK457" s="7" t="b">
        <v>0</v>
      </c>
      <c r="BL457" s="7" t="b">
        <v>0</v>
      </c>
      <c r="BM457" s="7"/>
      <c r="BN457" s="7" t="str">
        <f>IFERROR(__xludf.DUMMYFUNCTION(" IF( REGEXMATCH(C457 , ""[(].+[)]""),REGEXREPLACE( CONCATENATE(REGEXEXTRACT(C457 , ""[(].+[)]""),IF(REGEXMATCH(C457 , ""[(][Ll]['’][)]""),"""","" ""), REGEXEXTRACT(C457 ,""^(?:(?:[A-Za-zàäéèêîïöôûü0-9 ](?:[A-Za-zàäéèêîïöôûü'0-9 ]+)))"")) , ""[()]"", """")"&amp;",C457 )"),"Naturev")</f>
        <v>Naturev</v>
      </c>
      <c r="BO457" s="25"/>
      <c r="BP457" s="7"/>
      <c r="BQ457" s="7"/>
      <c r="BR457" s="7"/>
      <c r="BS457" s="7"/>
      <c r="BT457" s="7"/>
      <c r="BU457" s="7"/>
      <c r="BV457" s="7"/>
      <c r="BW457" s="7"/>
      <c r="BX457" s="7"/>
      <c r="BY457" s="7"/>
      <c r="BZ457" s="7"/>
      <c r="CA457" s="7"/>
      <c r="CB457" s="7"/>
    </row>
    <row r="458" ht="21.75" customHeight="1">
      <c r="A458" s="7">
        <v>2945.0</v>
      </c>
      <c r="B458" s="7" t="s">
        <v>5936</v>
      </c>
      <c r="C458" s="7" t="s">
        <v>5937</v>
      </c>
      <c r="D458" s="7" t="s">
        <v>5937</v>
      </c>
      <c r="E458" s="7"/>
      <c r="F458" s="7" t="s">
        <v>342</v>
      </c>
      <c r="G458" s="7" t="s">
        <v>343</v>
      </c>
      <c r="H458" s="7" t="s">
        <v>123</v>
      </c>
      <c r="I458" s="7" t="s">
        <v>5938</v>
      </c>
      <c r="J458" s="7"/>
      <c r="K458" s="6" t="s">
        <v>469</v>
      </c>
      <c r="L458" s="7" t="s">
        <v>197</v>
      </c>
      <c r="M458" s="7" t="s">
        <v>559</v>
      </c>
      <c r="N458" s="7" t="s">
        <v>422</v>
      </c>
      <c r="O458" s="7">
        <v>97480.0</v>
      </c>
      <c r="P458" s="7" t="s">
        <v>123</v>
      </c>
      <c r="Q458" s="7"/>
      <c r="R458" s="7"/>
      <c r="S458" s="7"/>
      <c r="T458" s="7" t="s">
        <v>377</v>
      </c>
      <c r="U458" s="7" t="s">
        <v>378</v>
      </c>
      <c r="V458" s="7"/>
      <c r="W458" s="7">
        <v>6.92617016E8</v>
      </c>
      <c r="X458" s="7"/>
      <c r="Y458" s="7"/>
      <c r="Z458" s="7" t="s">
        <v>5939</v>
      </c>
      <c r="AA458" s="7"/>
      <c r="AB458" s="7"/>
      <c r="AC458" s="7"/>
      <c r="AD458" s="7" t="s">
        <v>5940</v>
      </c>
      <c r="AE458" s="7"/>
      <c r="AF458" s="7"/>
      <c r="AG458" s="7"/>
      <c r="AH458" s="20">
        <v>43739.0</v>
      </c>
      <c r="AI458" s="7"/>
      <c r="AJ458" s="7" t="s">
        <v>5941</v>
      </c>
      <c r="AK458" s="7"/>
      <c r="AL458" s="7" t="s">
        <v>5942</v>
      </c>
      <c r="AM458" s="7" t="s">
        <v>5943</v>
      </c>
      <c r="AN458" s="20">
        <v>43739.0</v>
      </c>
      <c r="AO458" s="7">
        <v>97480.0</v>
      </c>
      <c r="AP458" s="7" t="s">
        <v>385</v>
      </c>
      <c r="AQ458" s="7"/>
      <c r="AR458" s="7"/>
      <c r="AS458" s="7"/>
      <c r="AT458" s="7"/>
      <c r="AU458" s="7">
        <v>0.0</v>
      </c>
      <c r="AV458" s="7" t="s">
        <v>5944</v>
      </c>
      <c r="AW458" s="7"/>
      <c r="AX458" s="7"/>
      <c r="AY458" s="7"/>
      <c r="AZ458" s="7"/>
      <c r="BA458" s="7"/>
      <c r="BB458" s="7"/>
      <c r="BC458" s="7" t="s">
        <v>401</v>
      </c>
      <c r="BD458" s="21">
        <v>44221.43472222222</v>
      </c>
      <c r="BE458" s="7" t="s">
        <v>1047</v>
      </c>
      <c r="BF458" s="7"/>
      <c r="BG458" s="7"/>
      <c r="BH458" s="7"/>
      <c r="BI458" s="7" t="s">
        <v>5945</v>
      </c>
      <c r="BJ458" s="7"/>
      <c r="BK458" s="7" t="b">
        <v>0</v>
      </c>
      <c r="BL458" s="7" t="b">
        <v>0</v>
      </c>
      <c r="BM458" s="7"/>
      <c r="BN458" s="7" t="str">
        <f>IFERROR(__xludf.DUMMYFUNCTION(" IF( REGEXMATCH(C458 , ""[(].+[)]""),REGEXREPLACE( CONCATENATE(REGEXEXTRACT(C458 , ""[(].+[)]""),IF(REGEXMATCH(C458 , ""[(][Ll]['’][)]""),"""","" ""), REGEXEXTRACT(C458 ,""^(?:(?:[A-Za-zàäéèêîïöôûü0-9 ](?:[A-Za-zàäéèêîïöôûü'0-9 ]+)))"")) , ""[()]"", """")"&amp;",C458 )"),"Nelson Boyer")</f>
        <v>Nelson Boyer</v>
      </c>
      <c r="BO458" s="25"/>
      <c r="BP458" s="7"/>
      <c r="BQ458" s="7"/>
      <c r="BR458" s="7"/>
      <c r="BS458" s="7"/>
      <c r="BT458" s="7"/>
      <c r="BU458" s="7"/>
      <c r="BV458" s="7"/>
      <c r="BW458" s="7"/>
      <c r="BX458" s="7"/>
      <c r="BY458" s="7"/>
      <c r="BZ458" s="7"/>
      <c r="CA458" s="7"/>
      <c r="CB458" s="7"/>
    </row>
    <row r="459" ht="21.75" customHeight="1">
      <c r="A459" s="7">
        <v>5082.0</v>
      </c>
      <c r="B459" s="7">
        <v>458.0</v>
      </c>
      <c r="C459" s="7" t="s">
        <v>5946</v>
      </c>
      <c r="D459" s="7"/>
      <c r="E459" s="7"/>
      <c r="F459" s="7" t="s">
        <v>342</v>
      </c>
      <c r="G459" s="7" t="s">
        <v>343</v>
      </c>
      <c r="H459" s="7" t="s">
        <v>40</v>
      </c>
      <c r="I459" s="7" t="s">
        <v>5947</v>
      </c>
      <c r="J459" s="26" t="s">
        <v>5948</v>
      </c>
      <c r="K459" s="7" t="s">
        <v>34</v>
      </c>
      <c r="L459" s="7" t="s">
        <v>622</v>
      </c>
      <c r="M459" s="7" t="s">
        <v>622</v>
      </c>
      <c r="N459" s="7"/>
      <c r="O459" s="7">
        <v>97414.0</v>
      </c>
      <c r="P459" s="7" t="s">
        <v>40</v>
      </c>
      <c r="Q459" s="7"/>
      <c r="R459" s="7"/>
      <c r="S459" s="7"/>
      <c r="T459" s="7" t="s">
        <v>1076</v>
      </c>
      <c r="U459" s="7" t="s">
        <v>378</v>
      </c>
      <c r="V459" s="7"/>
      <c r="W459" s="7">
        <v>6.9224821E8</v>
      </c>
      <c r="X459" s="7"/>
      <c r="Y459" s="7"/>
      <c r="Z459" s="7" t="s">
        <v>5949</v>
      </c>
      <c r="AA459" s="7"/>
      <c r="AB459" s="7"/>
      <c r="AC459" s="7" t="s">
        <v>5950</v>
      </c>
      <c r="AD459" s="7" t="s">
        <v>5951</v>
      </c>
      <c r="AE459" s="7"/>
      <c r="AF459" s="7"/>
      <c r="AG459" s="7"/>
      <c r="AH459" s="20">
        <v>43755.0</v>
      </c>
      <c r="AI459" s="7"/>
      <c r="AJ459" s="7" t="s">
        <v>5946</v>
      </c>
      <c r="AK459" s="7"/>
      <c r="AL459" s="7" t="s">
        <v>5952</v>
      </c>
      <c r="AM459" s="7"/>
      <c r="AN459" s="20">
        <v>43755.0</v>
      </c>
      <c r="AO459" s="7">
        <v>97414.0</v>
      </c>
      <c r="AP459" s="7" t="s">
        <v>429</v>
      </c>
      <c r="AQ459" s="7"/>
      <c r="AR459" s="7"/>
      <c r="AS459" s="7"/>
      <c r="AT459" s="7"/>
      <c r="AU459" s="7">
        <v>0.0</v>
      </c>
      <c r="AV459" s="7" t="s">
        <v>5953</v>
      </c>
      <c r="AW459" s="7"/>
      <c r="AX459" s="7"/>
      <c r="AY459" s="7"/>
      <c r="AZ459" s="7"/>
      <c r="BA459" s="7"/>
      <c r="BB459" s="7"/>
      <c r="BC459" s="7" t="s">
        <v>366</v>
      </c>
      <c r="BD459" s="21">
        <v>44040.53611111111</v>
      </c>
      <c r="BE459" s="7"/>
      <c r="BF459" s="7"/>
      <c r="BG459" s="22">
        <v>44040.0</v>
      </c>
      <c r="BH459" s="7"/>
      <c r="BI459" s="7" t="s">
        <v>5954</v>
      </c>
      <c r="BJ459" s="7"/>
      <c r="BK459" s="7" t="b">
        <v>0</v>
      </c>
      <c r="BL459" s="7" t="b">
        <v>0</v>
      </c>
      <c r="BM459" s="7"/>
      <c r="BN459" s="7" t="str">
        <f>IFERROR(__xludf.DUMMYFUNCTION(" IF( REGEXMATCH(C459 , ""[(].+[)]""),REGEXREPLACE( CONCATENATE(REGEXEXTRACT(C459 , ""[(].+[)]""),IF(REGEXMATCH(C459 , ""[(][Ll]['’][)]""),"""","" ""), REGEXEXTRACT(C459 ,""^(?:(?:[A-Za-zàäéèêîïöôûü0-9 ](?:[A-Za-zàäéèêîïöôûü'0-9 ]+)))"")) , ""[()]"", """")"&amp;",C459 )"),"Ô Libané")</f>
        <v>Ô Libané</v>
      </c>
      <c r="BO459" s="23"/>
      <c r="BP459" s="7"/>
      <c r="BQ459" s="7"/>
      <c r="BR459" s="7"/>
      <c r="BS459" s="7"/>
      <c r="BT459" s="7"/>
      <c r="BU459" s="7"/>
      <c r="BV459" s="7"/>
      <c r="BW459" s="7"/>
      <c r="BX459" s="7"/>
      <c r="BY459" s="7"/>
      <c r="BZ459" s="7"/>
      <c r="CA459" s="7"/>
      <c r="CB459" s="7"/>
    </row>
    <row r="460" ht="21.75" customHeight="1">
      <c r="A460" s="7">
        <v>5185.0</v>
      </c>
      <c r="B460" s="7" t="s">
        <v>5955</v>
      </c>
      <c r="C460" s="7" t="s">
        <v>5956</v>
      </c>
      <c r="D460" s="7"/>
      <c r="E460" s="7"/>
      <c r="F460" s="7" t="s">
        <v>342</v>
      </c>
      <c r="G460" s="7" t="s">
        <v>343</v>
      </c>
      <c r="H460" s="7" t="s">
        <v>123</v>
      </c>
      <c r="I460" s="7" t="s">
        <v>5957</v>
      </c>
      <c r="J460" s="7"/>
      <c r="K460" s="7" t="s">
        <v>58</v>
      </c>
      <c r="L460" s="7" t="s">
        <v>59</v>
      </c>
      <c r="M460" s="7" t="s">
        <v>346</v>
      </c>
      <c r="N460" s="7"/>
      <c r="O460" s="7">
        <v>97480.0</v>
      </c>
      <c r="P460" s="7" t="s">
        <v>123</v>
      </c>
      <c r="Q460" s="7"/>
      <c r="R460" s="7" t="s">
        <v>5958</v>
      </c>
      <c r="S460" s="7"/>
      <c r="T460" s="7" t="s">
        <v>499</v>
      </c>
      <c r="U460" s="7" t="s">
        <v>5959</v>
      </c>
      <c r="V460" s="7">
        <v>2.6224176E8</v>
      </c>
      <c r="W460" s="7">
        <v>6.93101776E8</v>
      </c>
      <c r="X460" s="7"/>
      <c r="Y460" s="7"/>
      <c r="Z460" s="7" t="s">
        <v>5960</v>
      </c>
      <c r="AA460" s="7">
        <v>4.0</v>
      </c>
      <c r="AB460" s="7"/>
      <c r="AC460" s="7" t="s">
        <v>5961</v>
      </c>
      <c r="AD460" s="7" t="s">
        <v>5962</v>
      </c>
      <c r="AE460" s="7" t="s">
        <v>5963</v>
      </c>
      <c r="AF460" s="7"/>
      <c r="AG460" s="7"/>
      <c r="AH460" s="20">
        <v>43887.0</v>
      </c>
      <c r="AI460" s="7"/>
      <c r="AJ460" s="7" t="s">
        <v>5964</v>
      </c>
      <c r="AK460" s="7">
        <v>8.285687900002E13</v>
      </c>
      <c r="AL460" s="7" t="s">
        <v>5965</v>
      </c>
      <c r="AM460" s="7" t="s">
        <v>5966</v>
      </c>
      <c r="AN460" s="20">
        <v>43887.0</v>
      </c>
      <c r="AO460" s="7">
        <v>97480.0</v>
      </c>
      <c r="AP460" s="7" t="s">
        <v>385</v>
      </c>
      <c r="AQ460" s="7"/>
      <c r="AR460" s="7"/>
      <c r="AS460" s="7"/>
      <c r="AT460" s="7"/>
      <c r="AU460" s="7">
        <v>1.0</v>
      </c>
      <c r="AV460" s="7" t="s">
        <v>5967</v>
      </c>
      <c r="AW460" s="7"/>
      <c r="AX460" s="7" t="s">
        <v>5342</v>
      </c>
      <c r="AY460" s="7" t="s">
        <v>1962</v>
      </c>
      <c r="AZ460" s="7"/>
      <c r="BA460" s="7"/>
      <c r="BB460" s="7"/>
      <c r="BC460" s="7" t="s">
        <v>401</v>
      </c>
      <c r="BD460" s="21">
        <v>44080.513194444444</v>
      </c>
      <c r="BE460" s="7" t="s">
        <v>5968</v>
      </c>
      <c r="BF460" s="7"/>
      <c r="BG460" s="7"/>
      <c r="BH460" s="7">
        <v>8.2856879E8</v>
      </c>
      <c r="BI460" s="7" t="s">
        <v>5969</v>
      </c>
      <c r="BJ460" s="7"/>
      <c r="BK460" s="7" t="b">
        <v>0</v>
      </c>
      <c r="BL460" s="7" t="b">
        <v>0</v>
      </c>
      <c r="BM460" s="7"/>
      <c r="BN460" s="7" t="str">
        <f>IFERROR(__xludf.DUMMYFUNCTION(" IF( REGEXMATCH(C460 , ""[(].+[)]""),REGEXREPLACE( CONCATENATE(REGEXEXTRACT(C460 , ""[(].+[)]""),IF(REGEXMATCH(C460 , ""[(][Ll]['’][)]""),"""","" ""), REGEXEXTRACT(C460 ,""^(?:(?:[A-Za-zàäéèêîïöôûü0-9 ](?:[A-Za-zàäéèêîïöôûü'0-9 ]+)))"")) , ""[()]"", """")"&amp;",C460 )"),"O Ti Colibri")</f>
        <v>O Ti Colibri</v>
      </c>
      <c r="BO460" s="25"/>
      <c r="BP460" s="7"/>
      <c r="BQ460" s="7"/>
      <c r="BR460" s="7"/>
      <c r="BS460" s="7"/>
      <c r="BT460" s="7"/>
      <c r="BU460" s="7"/>
      <c r="BV460" s="7"/>
      <c r="BW460" s="7"/>
      <c r="BX460" s="7"/>
      <c r="BY460" s="7"/>
      <c r="BZ460" s="7"/>
      <c r="CA460" s="7"/>
      <c r="CB460" s="7"/>
    </row>
    <row r="461" ht="21.75" customHeight="1">
      <c r="A461" s="7">
        <v>2718.0</v>
      </c>
      <c r="B461" s="7" t="s">
        <v>5970</v>
      </c>
      <c r="C461" s="7" t="s">
        <v>5971</v>
      </c>
      <c r="D461" s="7"/>
      <c r="E461" s="7"/>
      <c r="F461" s="7" t="s">
        <v>342</v>
      </c>
      <c r="G461" s="7" t="s">
        <v>343</v>
      </c>
      <c r="H461" s="7" t="s">
        <v>40</v>
      </c>
      <c r="I461" s="7" t="s">
        <v>5972</v>
      </c>
      <c r="J461" s="7"/>
      <c r="K461" s="7" t="s">
        <v>58</v>
      </c>
      <c r="L461" s="7" t="s">
        <v>59</v>
      </c>
      <c r="M461" s="7" t="s">
        <v>545</v>
      </c>
      <c r="N461" s="7" t="s">
        <v>422</v>
      </c>
      <c r="O461" s="7">
        <v>97414.0</v>
      </c>
      <c r="P461" s="7" t="s">
        <v>40</v>
      </c>
      <c r="Q461" s="7"/>
      <c r="R461" s="7" t="s">
        <v>5016</v>
      </c>
      <c r="S461" s="7" t="s">
        <v>2053</v>
      </c>
      <c r="T461" s="7" t="s">
        <v>377</v>
      </c>
      <c r="U461" s="7" t="s">
        <v>378</v>
      </c>
      <c r="V461" s="7"/>
      <c r="W461" s="7">
        <v>6.9268315E8</v>
      </c>
      <c r="X461" s="7"/>
      <c r="Y461" s="7"/>
      <c r="Z461" s="7"/>
      <c r="AA461" s="7">
        <v>2.0</v>
      </c>
      <c r="AB461" s="7"/>
      <c r="AC461" s="7" t="s">
        <v>5973</v>
      </c>
      <c r="AD461" s="7" t="s">
        <v>5974</v>
      </c>
      <c r="AE461" s="7"/>
      <c r="AF461" s="7"/>
      <c r="AG461" s="7"/>
      <c r="AH461" s="20">
        <v>43739.0</v>
      </c>
      <c r="AI461" s="7"/>
      <c r="AJ461" s="7" t="s">
        <v>5975</v>
      </c>
      <c r="AK461" s="7"/>
      <c r="AL461" s="7" t="s">
        <v>5976</v>
      </c>
      <c r="AM461" s="7" t="s">
        <v>5977</v>
      </c>
      <c r="AN461" s="20">
        <v>43739.0</v>
      </c>
      <c r="AO461" s="7">
        <v>97414.0</v>
      </c>
      <c r="AP461" s="7" t="s">
        <v>429</v>
      </c>
      <c r="AQ461" s="7"/>
      <c r="AR461" s="7"/>
      <c r="AS461" s="7"/>
      <c r="AT461" s="7"/>
      <c r="AU461" s="7">
        <v>1.0</v>
      </c>
      <c r="AV461" s="7" t="s">
        <v>5978</v>
      </c>
      <c r="AW461" s="7"/>
      <c r="AX461" s="7"/>
      <c r="AY461" s="7"/>
      <c r="AZ461" s="7" t="s">
        <v>5979</v>
      </c>
      <c r="BA461" s="7"/>
      <c r="BB461" s="7"/>
      <c r="BC461" s="7" t="s">
        <v>401</v>
      </c>
      <c r="BD461" s="21">
        <v>44026.0</v>
      </c>
      <c r="BE461" s="7" t="s">
        <v>1194</v>
      </c>
      <c r="BF461" s="7"/>
      <c r="BG461" s="7"/>
      <c r="BH461" s="7"/>
      <c r="BI461" s="7" t="s">
        <v>5980</v>
      </c>
      <c r="BJ461" s="7"/>
      <c r="BK461" s="7" t="b">
        <v>0</v>
      </c>
      <c r="BL461" s="7" t="b">
        <v>0</v>
      </c>
      <c r="BM461" s="7"/>
      <c r="BN461" s="7" t="str">
        <f>IFERROR(__xludf.DUMMYFUNCTION(" IF( REGEXMATCH(C461 , ""[(].+[)]""),REGEXREPLACE( CONCATENATE(REGEXEXTRACT(C461 , ""[(].+[)]""),IF(REGEXMATCH(C461 , ""[(][Ll]['’][)]""),"""","" ""), REGEXEXTRACT(C461 ,""^(?:(?:[A-Za-zàäéèêîïöôûü0-9 ](?:[A-Za-zàäéèêîïöôûü'0-9 ]+)))"")) , ""[()]"", """")"&amp;",C461 )"),"O'Ptit Nid Douillet")</f>
        <v>O'Ptit Nid Douillet</v>
      </c>
      <c r="BO461" s="25"/>
      <c r="BP461" s="7"/>
      <c r="BQ461" s="7"/>
      <c r="BR461" s="7"/>
      <c r="BS461" s="7"/>
      <c r="BT461" s="7"/>
      <c r="BU461" s="7"/>
      <c r="BV461" s="7"/>
      <c r="BW461" s="7"/>
      <c r="BX461" s="7"/>
      <c r="BY461" s="7"/>
      <c r="BZ461" s="7"/>
      <c r="CA461" s="7"/>
      <c r="CB461" s="7"/>
    </row>
    <row r="462" ht="21.75" customHeight="1">
      <c r="A462" s="7">
        <v>1708.0</v>
      </c>
      <c r="B462" s="7" t="s">
        <v>5981</v>
      </c>
      <c r="C462" s="7" t="s">
        <v>5982</v>
      </c>
      <c r="D462" s="7" t="s">
        <v>5982</v>
      </c>
      <c r="E462" s="7"/>
      <c r="F462" s="7" t="s">
        <v>342</v>
      </c>
      <c r="G462" s="7" t="s">
        <v>343</v>
      </c>
      <c r="H462" s="7" t="s">
        <v>344</v>
      </c>
      <c r="I462" s="7" t="s">
        <v>5983</v>
      </c>
      <c r="J462" s="7"/>
      <c r="K462" s="7" t="s">
        <v>58</v>
      </c>
      <c r="L462" s="7" t="s">
        <v>137</v>
      </c>
      <c r="M462" s="7" t="s">
        <v>2280</v>
      </c>
      <c r="N462" s="7" t="s">
        <v>1092</v>
      </c>
      <c r="O462" s="7">
        <v>97418.0</v>
      </c>
      <c r="P462" s="7" t="s">
        <v>348</v>
      </c>
      <c r="Q462" s="7" t="s">
        <v>349</v>
      </c>
      <c r="R462" s="7"/>
      <c r="S462" s="7" t="s">
        <v>5984</v>
      </c>
      <c r="T462" s="7" t="s">
        <v>377</v>
      </c>
      <c r="U462" s="7" t="s">
        <v>353</v>
      </c>
      <c r="V462" s="7">
        <v>2.62275191E8</v>
      </c>
      <c r="W462" s="7">
        <v>6.92250232E8</v>
      </c>
      <c r="X462" s="7">
        <v>6.92103005E8</v>
      </c>
      <c r="Y462" s="7"/>
      <c r="Z462" s="7" t="s">
        <v>5985</v>
      </c>
      <c r="AA462" s="7">
        <v>30.0</v>
      </c>
      <c r="AB462" s="7"/>
      <c r="AC462" s="7"/>
      <c r="AD462" s="7" t="s">
        <v>5986</v>
      </c>
      <c r="AE462" s="7"/>
      <c r="AF462" s="7"/>
      <c r="AG462" s="7"/>
      <c r="AH462" s="20">
        <v>43739.0</v>
      </c>
      <c r="AI462" s="7"/>
      <c r="AJ462" s="7" t="s">
        <v>5987</v>
      </c>
      <c r="AK462" s="7">
        <v>8.3347785400016E13</v>
      </c>
      <c r="AL462" s="7" t="s">
        <v>1098</v>
      </c>
      <c r="AM462" s="7" t="s">
        <v>5988</v>
      </c>
      <c r="AN462" s="20">
        <v>43739.0</v>
      </c>
      <c r="AO462" s="7">
        <v>97418.0</v>
      </c>
      <c r="AP462" s="7" t="s">
        <v>362</v>
      </c>
      <c r="AQ462" s="7"/>
      <c r="AR462" s="7"/>
      <c r="AS462" s="7"/>
      <c r="AT462" s="7"/>
      <c r="AU462" s="7">
        <v>1.0</v>
      </c>
      <c r="AV462" s="7" t="s">
        <v>5989</v>
      </c>
      <c r="AW462" s="7"/>
      <c r="AX462" s="7"/>
      <c r="AY462" s="7"/>
      <c r="AZ462" s="7" t="s">
        <v>5990</v>
      </c>
      <c r="BA462" s="7"/>
      <c r="BB462" s="7"/>
      <c r="BC462" s="7" t="s">
        <v>401</v>
      </c>
      <c r="BD462" s="21">
        <v>44227.447916666664</v>
      </c>
      <c r="BE462" s="7" t="s">
        <v>5991</v>
      </c>
      <c r="BF462" s="7"/>
      <c r="BG462" s="7"/>
      <c r="BH462" s="7">
        <v>8.33477854E8</v>
      </c>
      <c r="BI462" s="7" t="s">
        <v>5992</v>
      </c>
      <c r="BJ462" s="7"/>
      <c r="BK462" s="7" t="b">
        <v>0</v>
      </c>
      <c r="BL462" s="7" t="b">
        <v>0</v>
      </c>
      <c r="BM462" s="7"/>
      <c r="BN462" s="7" t="str">
        <f>IFERROR(__xludf.DUMMYFUNCTION(" IF( REGEXMATCH(C462 , ""[(].+[)]""),REGEXREPLACE( CONCATENATE(REGEXEXTRACT(C462 , ""[(].+[)]""),IF(REGEXMATCH(C462 , ""[(][Ll]['’][)]""),"""","" ""), REGEXEXTRACT(C462 ,""^(?:(?:[A-Za-zàäéèêîïöôûü0-9 ](?:[A-Za-zàäéèêîïöôûü'0-9 ]+)))"")) , ""[()]"", """")"&amp;",C462 )"),"L'Oasis ")</f>
        <v>L'Oasis </v>
      </c>
      <c r="BO462" s="25"/>
      <c r="BP462" s="7"/>
      <c r="BQ462" s="7"/>
      <c r="BR462" s="7"/>
      <c r="BS462" s="7"/>
      <c r="BT462" s="7"/>
      <c r="BU462" s="7"/>
      <c r="BV462" s="7"/>
      <c r="BW462" s="7"/>
      <c r="BX462" s="7"/>
      <c r="BY462" s="7"/>
      <c r="BZ462" s="7"/>
      <c r="CA462" s="7"/>
      <c r="CB462" s="7"/>
    </row>
    <row r="463" ht="21.75" customHeight="1">
      <c r="A463" s="7">
        <v>2651.0</v>
      </c>
      <c r="B463" s="7">
        <v>462.0</v>
      </c>
      <c r="C463" s="7" t="s">
        <v>5993</v>
      </c>
      <c r="D463" s="7"/>
      <c r="E463" s="7"/>
      <c r="F463" s="7" t="s">
        <v>404</v>
      </c>
      <c r="G463" s="7" t="s">
        <v>343</v>
      </c>
      <c r="H463" s="7" t="s">
        <v>344</v>
      </c>
      <c r="I463" s="7" t="s">
        <v>5994</v>
      </c>
      <c r="J463" s="26" t="s">
        <v>5995</v>
      </c>
      <c r="K463" s="7" t="s">
        <v>58</v>
      </c>
      <c r="L463" s="7" t="s">
        <v>453</v>
      </c>
      <c r="M463" s="7" t="s">
        <v>454</v>
      </c>
      <c r="N463" s="7" t="s">
        <v>407</v>
      </c>
      <c r="O463" s="7">
        <v>97430.0</v>
      </c>
      <c r="P463" s="7" t="s">
        <v>344</v>
      </c>
      <c r="Q463" s="7"/>
      <c r="R463" s="7" t="s">
        <v>5996</v>
      </c>
      <c r="S463" s="7"/>
      <c r="T463" s="7" t="s">
        <v>377</v>
      </c>
      <c r="U463" s="7" t="s">
        <v>378</v>
      </c>
      <c r="V463" s="7"/>
      <c r="W463" s="7">
        <v>6.92307342E8</v>
      </c>
      <c r="X463" s="7">
        <v>6.92209452E8</v>
      </c>
      <c r="Y463" s="7"/>
      <c r="Z463" s="7" t="s">
        <v>5997</v>
      </c>
      <c r="AA463" s="7">
        <v>12.0</v>
      </c>
      <c r="AB463" s="7"/>
      <c r="AC463" s="7" t="s">
        <v>5998</v>
      </c>
      <c r="AD463" s="7" t="s">
        <v>5999</v>
      </c>
      <c r="AE463" s="7" t="s">
        <v>6000</v>
      </c>
      <c r="AF463" s="7"/>
      <c r="AG463" s="7"/>
      <c r="AH463" s="20">
        <v>43739.0</v>
      </c>
      <c r="AI463" s="7"/>
      <c r="AJ463" s="7" t="s">
        <v>6001</v>
      </c>
      <c r="AK463" s="7"/>
      <c r="AL463" s="7" t="s">
        <v>6002</v>
      </c>
      <c r="AM463" s="7" t="s">
        <v>6003</v>
      </c>
      <c r="AN463" s="20">
        <v>40309.0</v>
      </c>
      <c r="AO463" s="7">
        <v>97430.0</v>
      </c>
      <c r="AP463" s="7" t="s">
        <v>494</v>
      </c>
      <c r="AQ463" s="7"/>
      <c r="AR463" s="7"/>
      <c r="AS463" s="7"/>
      <c r="AT463" s="7"/>
      <c r="AU463" s="7">
        <v>4.0</v>
      </c>
      <c r="AV463" s="7" t="s">
        <v>6004</v>
      </c>
      <c r="AW463" s="7"/>
      <c r="AX463" s="7"/>
      <c r="AY463" s="7"/>
      <c r="AZ463" s="7"/>
      <c r="BA463" s="7"/>
      <c r="BB463" s="7"/>
      <c r="BC463" s="7" t="s">
        <v>366</v>
      </c>
      <c r="BD463" s="21">
        <v>44223.39444444444</v>
      </c>
      <c r="BE463" s="7"/>
      <c r="BF463" s="7"/>
      <c r="BG463" s="22">
        <v>44223.0</v>
      </c>
      <c r="BH463" s="7"/>
      <c r="BI463" s="7" t="s">
        <v>1437</v>
      </c>
      <c r="BJ463" s="7"/>
      <c r="BK463" s="7" t="b">
        <v>0</v>
      </c>
      <c r="BL463" s="7" t="b">
        <v>0</v>
      </c>
      <c r="BM463" s="7"/>
      <c r="BN463" s="7" t="str">
        <f>IFERROR(__xludf.DUMMYFUNCTION(" IF( REGEXMATCH(C463 , ""[(].+[)]""),REGEXREPLACE( CONCATENATE(REGEXEXTRACT(C463 , ""[(].+[)]""),IF(REGEXMATCH(C463 , ""[(][Ll]['’][)]""),"""","" ""), REGEXEXTRACT(C463 ,""^(?:(?:[A-Za-zàäéèêîïöôûü0-9 ](?:[A-Za-zàäéèêîïöôûü'0-9 ]+)))"")) , ""[()]"", """")"&amp;",C463 )"),"L'Oasis des Senteurs ")</f>
        <v>L'Oasis des Senteurs </v>
      </c>
      <c r="BO463" s="23"/>
      <c r="BP463" s="7"/>
      <c r="BQ463" s="7"/>
      <c r="BR463" s="7"/>
      <c r="BS463" s="7"/>
      <c r="BT463" s="7"/>
      <c r="BU463" s="7"/>
      <c r="BV463" s="7"/>
      <c r="BW463" s="7"/>
      <c r="BX463" s="7"/>
      <c r="BY463" s="7"/>
      <c r="BZ463" s="7"/>
      <c r="CA463" s="7"/>
      <c r="CB463" s="7"/>
    </row>
    <row r="464" ht="21.75" customHeight="1">
      <c r="A464" s="7">
        <v>1726.0</v>
      </c>
      <c r="B464" s="7">
        <v>463.0</v>
      </c>
      <c r="C464" s="7" t="s">
        <v>6005</v>
      </c>
      <c r="D464" s="7"/>
      <c r="E464" s="7"/>
      <c r="F464" s="7" t="s">
        <v>342</v>
      </c>
      <c r="G464" s="7" t="s">
        <v>343</v>
      </c>
      <c r="H464" s="7" t="s">
        <v>40</v>
      </c>
      <c r="I464" s="7" t="s">
        <v>6006</v>
      </c>
      <c r="J464" s="26" t="s">
        <v>6007</v>
      </c>
      <c r="K464" s="7" t="s">
        <v>2832</v>
      </c>
      <c r="L464" s="7" t="s">
        <v>2833</v>
      </c>
      <c r="M464" s="7" t="s">
        <v>5488</v>
      </c>
      <c r="N464" s="7" t="s">
        <v>455</v>
      </c>
      <c r="O464" s="7">
        <v>97414.0</v>
      </c>
      <c r="P464" s="7" t="s">
        <v>40</v>
      </c>
      <c r="Q464" s="7"/>
      <c r="R464" s="7"/>
      <c r="S464" s="7" t="s">
        <v>6008</v>
      </c>
      <c r="T464" s="7"/>
      <c r="U464" s="7" t="s">
        <v>592</v>
      </c>
      <c r="V464" s="7">
        <v>2.6239698E8</v>
      </c>
      <c r="W464" s="7"/>
      <c r="X464" s="7"/>
      <c r="Y464" s="7"/>
      <c r="Z464" s="7" t="s">
        <v>1807</v>
      </c>
      <c r="AA464" s="7"/>
      <c r="AB464" s="7"/>
      <c r="AC464" s="7" t="s">
        <v>6009</v>
      </c>
      <c r="AD464" s="7" t="s">
        <v>6010</v>
      </c>
      <c r="AE464" s="7" t="s">
        <v>6011</v>
      </c>
      <c r="AF464" s="7" t="s">
        <v>6012</v>
      </c>
      <c r="AG464" s="7"/>
      <c r="AH464" s="20">
        <v>43739.0</v>
      </c>
      <c r="AI464" s="7"/>
      <c r="AJ464" s="7" t="s">
        <v>6005</v>
      </c>
      <c r="AK464" s="7">
        <v>4.1800734000015E13</v>
      </c>
      <c r="AL464" s="7" t="s">
        <v>6013</v>
      </c>
      <c r="AM464" s="7" t="s">
        <v>6014</v>
      </c>
      <c r="AN464" s="20">
        <v>43739.0</v>
      </c>
      <c r="AO464" s="7">
        <v>97414.0</v>
      </c>
      <c r="AP464" s="7" t="s">
        <v>429</v>
      </c>
      <c r="AQ464" s="7"/>
      <c r="AR464" s="7"/>
      <c r="AS464" s="7"/>
      <c r="AT464" s="7"/>
      <c r="AU464" s="7">
        <v>0.0</v>
      </c>
      <c r="AV464" s="7" t="s">
        <v>1813</v>
      </c>
      <c r="AW464" s="7"/>
      <c r="AX464" s="7"/>
      <c r="AY464" s="7"/>
      <c r="AZ464" s="7"/>
      <c r="BA464" s="7"/>
      <c r="BB464" s="7"/>
      <c r="BC464" s="7" t="s">
        <v>366</v>
      </c>
      <c r="BD464" s="21">
        <v>44197.0</v>
      </c>
      <c r="BE464" s="7"/>
      <c r="BF464" s="7"/>
      <c r="BG464" s="22">
        <v>44197.0</v>
      </c>
      <c r="BH464" s="7">
        <v>4.1800734E8</v>
      </c>
      <c r="BI464" s="7" t="s">
        <v>5057</v>
      </c>
      <c r="BJ464" s="7"/>
      <c r="BK464" s="7" t="b">
        <v>0</v>
      </c>
      <c r="BL464" s="7" t="b">
        <v>0</v>
      </c>
      <c r="BM464" s="7"/>
      <c r="BN464" s="7" t="str">
        <f>IFERROR(__xludf.DUMMYFUNCTION(" IF( REGEXMATCH(C464 , ""[(].+[)]""),REGEXREPLACE( CONCATENATE(REGEXEXTRACT(C464 , ""[(].+[)]""),IF(REGEXMATCH(C464 , ""[(][Ll]['’][)]""),"""","" ""), REGEXEXTRACT(C464 ,""^(?:(?:[A-Za-zàäéèêîïöôûü0-9 ](?:[A-Za-zàäéèêîïöôûü'0-9 ]+)))"")) , ""[()]"", """")"&amp;",C464 )"),"Office de Tourisme de l'Entre-Deux")</f>
        <v>Office de Tourisme de l'Entre-Deux</v>
      </c>
      <c r="BO464" s="23"/>
      <c r="BP464" s="7"/>
      <c r="BQ464" s="7"/>
      <c r="BR464" s="7"/>
      <c r="BS464" s="7"/>
      <c r="BT464" s="7"/>
      <c r="BU464" s="7"/>
      <c r="BV464" s="7"/>
      <c r="BW464" s="7"/>
      <c r="BX464" s="7"/>
      <c r="BY464" s="7"/>
      <c r="BZ464" s="7"/>
      <c r="CA464" s="7"/>
      <c r="CB464" s="7"/>
    </row>
    <row r="465" ht="21.75" customHeight="1">
      <c r="A465" s="7">
        <v>2755.0</v>
      </c>
      <c r="B465" s="7">
        <v>464.0</v>
      </c>
      <c r="C465" s="7" t="s">
        <v>6015</v>
      </c>
      <c r="D465" s="7" t="s">
        <v>6016</v>
      </c>
      <c r="E465" s="7"/>
      <c r="F465" s="7" t="s">
        <v>342</v>
      </c>
      <c r="G465" s="7" t="s">
        <v>343</v>
      </c>
      <c r="H465" s="7" t="s">
        <v>33</v>
      </c>
      <c r="I465" s="7" t="s">
        <v>6017</v>
      </c>
      <c r="J465" s="7"/>
      <c r="K465" s="7" t="s">
        <v>2832</v>
      </c>
      <c r="L465" s="7" t="s">
        <v>2833</v>
      </c>
      <c r="M465" s="7" t="s">
        <v>5488</v>
      </c>
      <c r="N465" s="7" t="s">
        <v>455</v>
      </c>
      <c r="O465" s="7">
        <v>97442.0</v>
      </c>
      <c r="P465" s="7" t="s">
        <v>33</v>
      </c>
      <c r="Q465" s="7"/>
      <c r="R465" s="7" t="s">
        <v>6018</v>
      </c>
      <c r="S465" s="7"/>
      <c r="T465" s="7"/>
      <c r="U465" s="7" t="s">
        <v>424</v>
      </c>
      <c r="V465" s="7">
        <v>2.62977584E8</v>
      </c>
      <c r="W465" s="7"/>
      <c r="X465" s="7"/>
      <c r="Y465" s="7">
        <v>2.62977584E8</v>
      </c>
      <c r="Z465" s="7" t="s">
        <v>6019</v>
      </c>
      <c r="AA465" s="7"/>
      <c r="AB465" s="7"/>
      <c r="AC465" s="7" t="s">
        <v>6020</v>
      </c>
      <c r="AD465" s="7" t="s">
        <v>6021</v>
      </c>
      <c r="AE465" s="7" t="s">
        <v>6022</v>
      </c>
      <c r="AF465" s="7"/>
      <c r="AG465" s="7"/>
      <c r="AH465" s="20">
        <v>43739.0</v>
      </c>
      <c r="AI465" s="7"/>
      <c r="AJ465" s="7" t="s">
        <v>6015</v>
      </c>
      <c r="AK465" s="7"/>
      <c r="AL465" s="7" t="s">
        <v>6023</v>
      </c>
      <c r="AM465" s="7" t="s">
        <v>6024</v>
      </c>
      <c r="AN465" s="20">
        <v>43739.0</v>
      </c>
      <c r="AO465" s="7">
        <v>97442.0</v>
      </c>
      <c r="AP465" s="7" t="s">
        <v>884</v>
      </c>
      <c r="AQ465" s="7"/>
      <c r="AR465" s="7"/>
      <c r="AS465" s="7"/>
      <c r="AT465" s="7"/>
      <c r="AU465" s="7">
        <v>0.0</v>
      </c>
      <c r="AV465" s="7" t="s">
        <v>6025</v>
      </c>
      <c r="AW465" s="7"/>
      <c r="AX465" s="7"/>
      <c r="AY465" s="7"/>
      <c r="AZ465" s="7"/>
      <c r="BA465" s="7"/>
      <c r="BB465" s="7"/>
      <c r="BC465" s="7" t="s">
        <v>366</v>
      </c>
      <c r="BD465" s="21">
        <v>44197.0</v>
      </c>
      <c r="BE465" s="7"/>
      <c r="BF465" s="7"/>
      <c r="BG465" s="22">
        <v>44197.0</v>
      </c>
      <c r="BH465" s="7"/>
      <c r="BI465" s="7" t="s">
        <v>5504</v>
      </c>
      <c r="BJ465" s="7"/>
      <c r="BK465" s="7" t="b">
        <v>0</v>
      </c>
      <c r="BL465" s="7" t="b">
        <v>0</v>
      </c>
      <c r="BM465" s="7"/>
      <c r="BN465" s="7" t="str">
        <f>IFERROR(__xludf.DUMMYFUNCTION(" IF( REGEXMATCH(C465 , ""[(].+[)]""),REGEXREPLACE( CONCATENATE(REGEXEXTRACT(C465 , ""[(].+[)]""),IF(REGEXMATCH(C465 , ""[(][Ll]['’][)]""),"""","" ""), REGEXEXTRACT(C465 ,""^(?:(?:[A-Za-zàäéèêîïöôûü0-9 ](?:[A-Za-zàäéèêîïöôûü'0-9 ]+)))"")) , ""[()]"", """")"&amp;",C465 )"),"Office de Tourisme de Saint-Philippe")</f>
        <v>Office de Tourisme de Saint-Philippe</v>
      </c>
      <c r="BO465" s="23"/>
      <c r="BP465" s="7"/>
      <c r="BQ465" s="7"/>
      <c r="BR465" s="7"/>
      <c r="BS465" s="7"/>
      <c r="BT465" s="7"/>
      <c r="BU465" s="7"/>
      <c r="BV465" s="7"/>
      <c r="BW465" s="7"/>
      <c r="BX465" s="7"/>
      <c r="BY465" s="7"/>
      <c r="BZ465" s="7"/>
      <c r="CA465" s="7"/>
      <c r="CB465" s="7"/>
    </row>
    <row r="466" ht="21.75" customHeight="1">
      <c r="A466" s="7">
        <v>3480.0</v>
      </c>
      <c r="B466" s="7">
        <v>465.0</v>
      </c>
      <c r="C466" s="7" t="s">
        <v>6026</v>
      </c>
      <c r="D466" s="7" t="s">
        <v>6016</v>
      </c>
      <c r="E466" s="7"/>
      <c r="F466" s="7" t="s">
        <v>404</v>
      </c>
      <c r="G466" s="7" t="s">
        <v>343</v>
      </c>
      <c r="H466" s="7" t="s">
        <v>344</v>
      </c>
      <c r="I466" s="7" t="s">
        <v>6027</v>
      </c>
      <c r="J466" s="26" t="s">
        <v>6028</v>
      </c>
      <c r="K466" s="7" t="s">
        <v>2832</v>
      </c>
      <c r="L466" s="7" t="s">
        <v>2833</v>
      </c>
      <c r="M466" s="7" t="s">
        <v>5488</v>
      </c>
      <c r="N466" s="7" t="s">
        <v>664</v>
      </c>
      <c r="O466" s="7">
        <v>97430.0</v>
      </c>
      <c r="P466" s="7" t="s">
        <v>344</v>
      </c>
      <c r="Q466" s="7"/>
      <c r="R466" s="7"/>
      <c r="S466" s="7" t="s">
        <v>6029</v>
      </c>
      <c r="T466" s="7"/>
      <c r="U466" s="7" t="s">
        <v>592</v>
      </c>
      <c r="V466" s="7">
        <v>2.62334275E8</v>
      </c>
      <c r="W466" s="7"/>
      <c r="X466" s="7"/>
      <c r="Y466" s="7"/>
      <c r="Z466" s="7" t="s">
        <v>6030</v>
      </c>
      <c r="AA466" s="7"/>
      <c r="AB466" s="7"/>
      <c r="AC466" s="7" t="s">
        <v>6031</v>
      </c>
      <c r="AD466" s="7" t="s">
        <v>6032</v>
      </c>
      <c r="AE466" s="7"/>
      <c r="AF466" s="7" t="s">
        <v>6033</v>
      </c>
      <c r="AG466" s="7"/>
      <c r="AH466" s="20">
        <v>41529.0</v>
      </c>
      <c r="AI466" s="7"/>
      <c r="AJ466" s="7" t="s">
        <v>6034</v>
      </c>
      <c r="AK466" s="7"/>
      <c r="AL466" s="7" t="s">
        <v>6035</v>
      </c>
      <c r="AM466" s="7" t="s">
        <v>6036</v>
      </c>
      <c r="AN466" s="20">
        <v>39909.0</v>
      </c>
      <c r="AO466" s="7">
        <v>97430.0</v>
      </c>
      <c r="AP466" s="7" t="s">
        <v>494</v>
      </c>
      <c r="AQ466" s="7"/>
      <c r="AR466" s="7"/>
      <c r="AS466" s="7"/>
      <c r="AT466" s="7"/>
      <c r="AU466" s="7">
        <v>0.0</v>
      </c>
      <c r="AV466" s="7" t="s">
        <v>6037</v>
      </c>
      <c r="AW466" s="7"/>
      <c r="AX466" s="7"/>
      <c r="AY466" s="7"/>
      <c r="AZ466" s="7"/>
      <c r="BA466" s="7"/>
      <c r="BB466" s="7"/>
      <c r="BC466" s="7" t="s">
        <v>366</v>
      </c>
      <c r="BD466" s="21">
        <v>44197.0</v>
      </c>
      <c r="BE466" s="7"/>
      <c r="BF466" s="7"/>
      <c r="BG466" s="22">
        <v>44197.0</v>
      </c>
      <c r="BH466" s="7"/>
      <c r="BI466" s="7" t="s">
        <v>6038</v>
      </c>
      <c r="BJ466" s="7"/>
      <c r="BK466" s="7" t="b">
        <v>0</v>
      </c>
      <c r="BL466" s="7" t="b">
        <v>0</v>
      </c>
      <c r="BM466" s="7"/>
      <c r="BN466" s="7" t="str">
        <f>IFERROR(__xludf.DUMMYFUNCTION(" IF( REGEXMATCH(C466 , ""[(].+[)]""),REGEXREPLACE( CONCATENATE(REGEXEXTRACT(C466 , ""[(].+[)]""),IF(REGEXMATCH(C466 , ""[(][Ll]['’][)]""),"""","" ""), REGEXEXTRACT(C466 ,""^(?:(?:[A-Za-zàäéèêîïöôûü0-9 ](?:[A-Za-zàäéèêîïöôûü'0-9 ]+)))"")) , ""[()]"", """")"&amp;",C466 )"),"Office de Tourisme du Tampon")</f>
        <v>Office de Tourisme du Tampon</v>
      </c>
      <c r="BO466" s="23"/>
      <c r="BP466" s="7"/>
      <c r="BQ466" s="7"/>
      <c r="BR466" s="7"/>
      <c r="BS466" s="7"/>
      <c r="BT466" s="7"/>
      <c r="BU466" s="7"/>
      <c r="BV466" s="7"/>
      <c r="BW466" s="7"/>
      <c r="BX466" s="7"/>
      <c r="BY466" s="7"/>
      <c r="BZ466" s="7"/>
      <c r="CA466" s="7"/>
      <c r="CB466" s="7"/>
    </row>
    <row r="467" ht="21.75" customHeight="1">
      <c r="A467" s="7">
        <v>1593.0</v>
      </c>
      <c r="B467" s="7">
        <v>466.0</v>
      </c>
      <c r="C467" s="7" t="s">
        <v>6034</v>
      </c>
      <c r="D467" s="7"/>
      <c r="E467" s="7"/>
      <c r="F467" s="7" t="s">
        <v>342</v>
      </c>
      <c r="G467" s="7" t="s">
        <v>343</v>
      </c>
      <c r="H467" s="7" t="s">
        <v>344</v>
      </c>
      <c r="I467" s="7" t="s">
        <v>6039</v>
      </c>
      <c r="J467" s="26" t="s">
        <v>5487</v>
      </c>
      <c r="K467" s="7" t="s">
        <v>2832</v>
      </c>
      <c r="L467" s="7" t="s">
        <v>2833</v>
      </c>
      <c r="M467" s="7" t="s">
        <v>5488</v>
      </c>
      <c r="N467" s="7" t="s">
        <v>455</v>
      </c>
      <c r="O467" s="7">
        <v>97418.0</v>
      </c>
      <c r="P467" s="7" t="s">
        <v>348</v>
      </c>
      <c r="Q467" s="7" t="s">
        <v>570</v>
      </c>
      <c r="R467" s="7"/>
      <c r="S467" s="7" t="s">
        <v>4562</v>
      </c>
      <c r="T467" s="7"/>
      <c r="U467" s="7" t="s">
        <v>592</v>
      </c>
      <c r="V467" s="7">
        <v>2.62274E8</v>
      </c>
      <c r="W467" s="7"/>
      <c r="X467" s="7"/>
      <c r="Y467" s="7"/>
      <c r="Z467" s="7" t="s">
        <v>6030</v>
      </c>
      <c r="AA467" s="7"/>
      <c r="AB467" s="7"/>
      <c r="AC467" s="7" t="s">
        <v>6040</v>
      </c>
      <c r="AD467" s="7" t="s">
        <v>6041</v>
      </c>
      <c r="AE467" s="7" t="s">
        <v>6042</v>
      </c>
      <c r="AF467" s="7" t="s">
        <v>6043</v>
      </c>
      <c r="AG467" s="7"/>
      <c r="AH467" s="20">
        <v>39909.0</v>
      </c>
      <c r="AI467" s="7"/>
      <c r="AJ467" s="7" t="s">
        <v>6034</v>
      </c>
      <c r="AK467" s="7"/>
      <c r="AL467" s="7" t="s">
        <v>6035</v>
      </c>
      <c r="AM467" s="7" t="s">
        <v>6036</v>
      </c>
      <c r="AN467" s="20">
        <v>39909.0</v>
      </c>
      <c r="AO467" s="7">
        <v>97430.0</v>
      </c>
      <c r="AP467" s="7" t="s">
        <v>494</v>
      </c>
      <c r="AQ467" s="7"/>
      <c r="AR467" s="7"/>
      <c r="AS467" s="7"/>
      <c r="AT467" s="7"/>
      <c r="AU467" s="7">
        <v>0.0</v>
      </c>
      <c r="AV467" s="7" t="s">
        <v>6044</v>
      </c>
      <c r="AW467" s="7"/>
      <c r="AX467" s="7"/>
      <c r="AY467" s="7"/>
      <c r="AZ467" s="7"/>
      <c r="BA467" s="7"/>
      <c r="BB467" s="7"/>
      <c r="BC467" s="7" t="s">
        <v>366</v>
      </c>
      <c r="BD467" s="21">
        <v>44197.0</v>
      </c>
      <c r="BE467" s="7"/>
      <c r="BF467" s="7"/>
      <c r="BG467" s="22">
        <v>44197.0</v>
      </c>
      <c r="BH467" s="7"/>
      <c r="BI467" s="7" t="s">
        <v>6038</v>
      </c>
      <c r="BJ467" s="7"/>
      <c r="BK467" s="7" t="b">
        <v>0</v>
      </c>
      <c r="BL467" s="7" t="b">
        <v>0</v>
      </c>
      <c r="BM467" s="7"/>
      <c r="BN467" s="7" t="str">
        <f>IFERROR(__xludf.DUMMYFUNCTION(" IF( REGEXMATCH(C467 , ""[(].+[)]""),REGEXREPLACE( CONCATENATE(REGEXEXTRACT(C467 , ""[(].+[)]""),IF(REGEXMATCH(C467 , ""[(][Ll]['’][)]""),"""","" ""), REGEXEXTRACT(C467 ,""^(?:(?:[A-Za-zàäéèêîïöôûü0-9 ](?:[A-Za-zàäéèêîïöôûü'0-9 ]+)))"")) , ""[()]"", """")"&amp;",C467 )"),"Office de Tourisme du Tampon/Plaine des Cafres")</f>
        <v>Office de Tourisme du Tampon/Plaine des Cafres</v>
      </c>
      <c r="BO467" s="23"/>
      <c r="BP467" s="7"/>
      <c r="BQ467" s="7"/>
      <c r="BR467" s="7"/>
      <c r="BS467" s="7"/>
      <c r="BT467" s="7"/>
      <c r="BU467" s="7"/>
      <c r="BV467" s="7"/>
      <c r="BW467" s="7"/>
      <c r="BX467" s="7"/>
      <c r="BY467" s="7"/>
      <c r="BZ467" s="7"/>
      <c r="CA467" s="7"/>
      <c r="CB467" s="7"/>
    </row>
    <row r="468" ht="21.75" customHeight="1">
      <c r="A468" s="7">
        <v>503.0</v>
      </c>
      <c r="B468" s="7">
        <v>467.0</v>
      </c>
      <c r="C468" s="7" t="s">
        <v>6045</v>
      </c>
      <c r="D468" s="7" t="s">
        <v>6045</v>
      </c>
      <c r="E468" s="7"/>
      <c r="F468" s="7" t="s">
        <v>404</v>
      </c>
      <c r="G468" s="7" t="s">
        <v>343</v>
      </c>
      <c r="H468" s="7" t="s">
        <v>123</v>
      </c>
      <c r="I468" s="7" t="s">
        <v>6046</v>
      </c>
      <c r="J468" s="7"/>
      <c r="K468" s="7"/>
      <c r="L468" s="7"/>
      <c r="M468" s="7"/>
      <c r="N468" s="7"/>
      <c r="O468" s="7">
        <v>97480.0</v>
      </c>
      <c r="P468" s="7" t="s">
        <v>123</v>
      </c>
      <c r="Q468" s="7"/>
      <c r="R468" s="7"/>
      <c r="S468" s="7"/>
      <c r="T468" s="7"/>
      <c r="U468" s="7"/>
      <c r="V468" s="7"/>
      <c r="W468" s="7"/>
      <c r="X468" s="7"/>
      <c r="Y468" s="7"/>
      <c r="Z468" s="7"/>
      <c r="AA468" s="7"/>
      <c r="AB468" s="7"/>
      <c r="AC468" s="7"/>
      <c r="AD468" s="7"/>
      <c r="AE468" s="7"/>
      <c r="AF468" s="7"/>
      <c r="AG468" s="7"/>
      <c r="AH468" s="7"/>
      <c r="AI468" s="7"/>
      <c r="AJ468" s="7" t="s">
        <v>6045</v>
      </c>
      <c r="AK468" s="7"/>
      <c r="AL468" s="7" t="s">
        <v>6047</v>
      </c>
      <c r="AM468" s="7"/>
      <c r="AN468" s="20">
        <v>39575.0</v>
      </c>
      <c r="AO468" s="7">
        <v>97480.0</v>
      </c>
      <c r="AP468" s="7" t="s">
        <v>385</v>
      </c>
      <c r="AQ468" s="7"/>
      <c r="AR468" s="7"/>
      <c r="AS468" s="7"/>
      <c r="AT468" s="7"/>
      <c r="AU468" s="7">
        <v>0.0</v>
      </c>
      <c r="AV468" s="7" t="s">
        <v>6048</v>
      </c>
      <c r="AW468" s="7"/>
      <c r="AX468" s="7"/>
      <c r="AY468" s="7"/>
      <c r="AZ468" s="7"/>
      <c r="BA468" s="7"/>
      <c r="BB468" s="7"/>
      <c r="BC468" s="7" t="s">
        <v>366</v>
      </c>
      <c r="BD468" s="21">
        <v>44097.52222222222</v>
      </c>
      <c r="BE468" s="7"/>
      <c r="BF468" s="7"/>
      <c r="BG468" s="22">
        <v>44097.0</v>
      </c>
      <c r="BH468" s="7"/>
      <c r="BI468" s="7" t="s">
        <v>1087</v>
      </c>
      <c r="BJ468" s="7"/>
      <c r="BK468" s="7" t="b">
        <v>0</v>
      </c>
      <c r="BL468" s="7" t="b">
        <v>0</v>
      </c>
      <c r="BM468" s="7"/>
      <c r="BN468" s="7" t="str">
        <f>IFERROR(__xludf.DUMMYFUNCTION(" IF( REGEXMATCH(C468 , ""[(].+[)]""),REGEXREPLACE( CONCATENATE(REGEXEXTRACT(C468 , ""[(].+[)]""),IF(REGEXMATCH(C468 , ""[(][Ll]['’][)]""),"""","" ""), REGEXEXTRACT(C468 ,""^(?:(?:[A-Za-zàäéèêîïöôûü0-9 ](?:[A-Za-zàäéèêîïöôûü'0-9 ]+)))"")) , ""[()]"", """")"&amp;",C468 )"),"L’Oiseau de Mer ")</f>
        <v>L’Oiseau de Mer </v>
      </c>
      <c r="BO468" s="23"/>
      <c r="BP468" s="7"/>
      <c r="BQ468" s="7"/>
      <c r="BR468" s="7"/>
      <c r="BS468" s="7"/>
      <c r="BT468" s="7"/>
      <c r="BU468" s="7"/>
      <c r="BV468" s="7"/>
      <c r="BW468" s="7"/>
      <c r="BX468" s="7"/>
      <c r="BY468" s="7"/>
      <c r="BZ468" s="7"/>
      <c r="CA468" s="7"/>
      <c r="CB468" s="7"/>
    </row>
    <row r="469" ht="21.75" customHeight="1">
      <c r="A469" s="7">
        <v>4333.0</v>
      </c>
      <c r="B469" s="7" t="s">
        <v>6049</v>
      </c>
      <c r="C469" s="7" t="s">
        <v>6050</v>
      </c>
      <c r="D469" s="7"/>
      <c r="E469" s="7"/>
      <c r="F469" s="7" t="s">
        <v>342</v>
      </c>
      <c r="G469" s="7" t="s">
        <v>343</v>
      </c>
      <c r="H469" s="7" t="s">
        <v>344</v>
      </c>
      <c r="I469" s="7" t="s">
        <v>6051</v>
      </c>
      <c r="J469" s="7"/>
      <c r="K469" s="7" t="s">
        <v>34</v>
      </c>
      <c r="L469" s="7" t="s">
        <v>622</v>
      </c>
      <c r="M469" s="7" t="s">
        <v>622</v>
      </c>
      <c r="N469" s="7"/>
      <c r="O469" s="7">
        <v>97430.0</v>
      </c>
      <c r="P469" s="7" t="s">
        <v>344</v>
      </c>
      <c r="Q469" s="7"/>
      <c r="R469" s="7"/>
      <c r="S469" s="7"/>
      <c r="T469" s="7" t="s">
        <v>377</v>
      </c>
      <c r="U469" s="7" t="s">
        <v>353</v>
      </c>
      <c r="V469" s="7">
        <v>2.6288776E8</v>
      </c>
      <c r="W469" s="7">
        <v>6.93115441E8</v>
      </c>
      <c r="X469" s="7"/>
      <c r="Y469" s="7"/>
      <c r="Z469" s="7" t="s">
        <v>6052</v>
      </c>
      <c r="AA469" s="7"/>
      <c r="AB469" s="7"/>
      <c r="AC469" s="7"/>
      <c r="AD469" s="7" t="s">
        <v>6053</v>
      </c>
      <c r="AE469" s="7"/>
      <c r="AF469" s="7"/>
      <c r="AG469" s="7"/>
      <c r="AH469" s="20">
        <v>42877.0</v>
      </c>
      <c r="AI469" s="7"/>
      <c r="AJ469" s="7" t="s">
        <v>6054</v>
      </c>
      <c r="AK469" s="7">
        <v>8.1738901800018E13</v>
      </c>
      <c r="AL469" s="7" t="s">
        <v>6055</v>
      </c>
      <c r="AM469" s="7" t="s">
        <v>6056</v>
      </c>
      <c r="AN469" s="20">
        <v>42877.0</v>
      </c>
      <c r="AO469" s="7">
        <v>97430.0</v>
      </c>
      <c r="AP469" s="7" t="s">
        <v>494</v>
      </c>
      <c r="AQ469" s="7"/>
      <c r="AR469" s="7"/>
      <c r="AS469" s="7"/>
      <c r="AT469" s="7"/>
      <c r="AU469" s="7">
        <v>0.0</v>
      </c>
      <c r="AV469" s="7" t="s">
        <v>6057</v>
      </c>
      <c r="AW469" s="7"/>
      <c r="AX469" s="7"/>
      <c r="AY469" s="7"/>
      <c r="AZ469" s="7"/>
      <c r="BA469" s="7"/>
      <c r="BB469" s="7"/>
      <c r="BC469" s="7" t="s">
        <v>401</v>
      </c>
      <c r="BD469" s="21">
        <v>44068.53958333333</v>
      </c>
      <c r="BE469" s="7" t="s">
        <v>6058</v>
      </c>
      <c r="BF469" s="7"/>
      <c r="BG469" s="7"/>
      <c r="BH469" s="7">
        <v>8.17389018E8</v>
      </c>
      <c r="BI469" s="7" t="s">
        <v>6059</v>
      </c>
      <c r="BJ469" s="7"/>
      <c r="BK469" s="7" t="b">
        <v>0</v>
      </c>
      <c r="BL469" s="7" t="b">
        <v>0</v>
      </c>
      <c r="BM469" s="7"/>
      <c r="BN469" s="7" t="str">
        <f>IFERROR(__xludf.DUMMYFUNCTION(" IF( REGEXMATCH(C469 , ""[(].+[)]""),REGEXREPLACE( CONCATENATE(REGEXEXTRACT(C469 , ""[(].+[)]""),IF(REGEXMATCH(C469 , ""[(][Ll]['’][)]""),"""","" ""), REGEXEXTRACT(C469 ,""^(?:(?:[A-Za-zàäéèêîïöôûü0-9 ](?:[A-Za-zàäéèêîïöôûü'0-9 ]+)))"")) , ""[()]"", """")"&amp;",C469 )"),"L'Olivier")</f>
        <v>L'Olivier</v>
      </c>
      <c r="BO469" s="25"/>
      <c r="BP469" s="7"/>
      <c r="BQ469" s="7"/>
      <c r="BR469" s="7"/>
      <c r="BS469" s="7"/>
      <c r="BT469" s="7"/>
      <c r="BU469" s="7"/>
      <c r="BV469" s="7"/>
      <c r="BW469" s="7"/>
      <c r="BX469" s="7"/>
      <c r="BY469" s="7"/>
      <c r="BZ469" s="7"/>
      <c r="CA469" s="7"/>
      <c r="CB469" s="7"/>
    </row>
    <row r="470" ht="21.75" customHeight="1">
      <c r="A470" s="7">
        <v>4008.0</v>
      </c>
      <c r="B470" s="7">
        <v>469.0</v>
      </c>
      <c r="C470" s="7" t="s">
        <v>6060</v>
      </c>
      <c r="D470" s="7"/>
      <c r="E470" s="7"/>
      <c r="F470" s="7" t="s">
        <v>342</v>
      </c>
      <c r="G470" s="7" t="s">
        <v>343</v>
      </c>
      <c r="H470" s="7" t="s">
        <v>123</v>
      </c>
      <c r="I470" s="7" t="s">
        <v>6061</v>
      </c>
      <c r="J470" s="7"/>
      <c r="K470" s="6" t="s">
        <v>469</v>
      </c>
      <c r="L470" s="7" t="s">
        <v>197</v>
      </c>
      <c r="M470" s="7" t="s">
        <v>559</v>
      </c>
      <c r="N470" s="7" t="s">
        <v>455</v>
      </c>
      <c r="O470" s="7">
        <v>97480.0</v>
      </c>
      <c r="P470" s="7" t="s">
        <v>123</v>
      </c>
      <c r="Q470" s="7"/>
      <c r="R470" s="7"/>
      <c r="S470" s="7" t="s">
        <v>1370</v>
      </c>
      <c r="T470" s="7" t="s">
        <v>377</v>
      </c>
      <c r="U470" s="7" t="s">
        <v>353</v>
      </c>
      <c r="V470" s="7"/>
      <c r="W470" s="7">
        <v>6.93025869E8</v>
      </c>
      <c r="X470" s="7"/>
      <c r="Y470" s="7"/>
      <c r="Z470" s="7" t="s">
        <v>6062</v>
      </c>
      <c r="AA470" s="7"/>
      <c r="AB470" s="7"/>
      <c r="AC470" s="7" t="s">
        <v>6063</v>
      </c>
      <c r="AD470" s="7" t="s">
        <v>6064</v>
      </c>
      <c r="AE470" s="7" t="s">
        <v>6065</v>
      </c>
      <c r="AF470" s="7"/>
      <c r="AG470" s="7"/>
      <c r="AH470" s="20">
        <v>42229.0</v>
      </c>
      <c r="AI470" s="7"/>
      <c r="AJ470" s="7" t="s">
        <v>6066</v>
      </c>
      <c r="AK470" s="7">
        <v>4.8244172200022E13</v>
      </c>
      <c r="AL470" s="7" t="s">
        <v>6067</v>
      </c>
      <c r="AM470" s="7" t="s">
        <v>6068</v>
      </c>
      <c r="AN470" s="20">
        <v>42229.0</v>
      </c>
      <c r="AO470" s="7">
        <v>97480.0</v>
      </c>
      <c r="AP470" s="7" t="s">
        <v>385</v>
      </c>
      <c r="AQ470" s="7"/>
      <c r="AR470" s="7"/>
      <c r="AS470" s="7"/>
      <c r="AT470" s="7"/>
      <c r="AU470" s="7">
        <v>0.0</v>
      </c>
      <c r="AV470" s="7" t="s">
        <v>6069</v>
      </c>
      <c r="AW470" s="7"/>
      <c r="AX470" s="7"/>
      <c r="AY470" s="7"/>
      <c r="AZ470" s="7"/>
      <c r="BA470" s="7"/>
      <c r="BB470" s="7"/>
      <c r="BC470" s="7" t="s">
        <v>366</v>
      </c>
      <c r="BD470" s="21">
        <v>44115.48472222222</v>
      </c>
      <c r="BE470" s="7"/>
      <c r="BF470" s="7"/>
      <c r="BG470" s="22">
        <v>44115.0</v>
      </c>
      <c r="BH470" s="7">
        <v>4.82441722E8</v>
      </c>
      <c r="BI470" s="7" t="s">
        <v>6070</v>
      </c>
      <c r="BJ470" s="7"/>
      <c r="BK470" s="7" t="b">
        <v>0</v>
      </c>
      <c r="BL470" s="7" t="b">
        <v>0</v>
      </c>
      <c r="BM470" s="7"/>
      <c r="BN470" s="7" t="str">
        <f>IFERROR(__xludf.DUMMYFUNCTION(" IF( REGEXMATCH(C470 , ""[(].+[)]""),REGEXREPLACE( CONCATENATE(REGEXEXTRACT(C470 , ""[(].+[)]""),IF(REGEXMATCH(C470 , ""[(][Ll]['’][)]""),"""","" ""), REGEXEXTRACT(C470 ,""^(?:(?:[A-Za-zàäéèêîïöôûü0-9 ](?:[A-Za-zàäéèêîïöôûü'0-9 ]+)))"")) , ""[()]"", """")"&amp;",C470 )"),"OM créations Art Vacoa")</f>
        <v>OM créations Art Vacoa</v>
      </c>
      <c r="BO470" s="23"/>
      <c r="BP470" s="7"/>
      <c r="BQ470" s="7"/>
      <c r="BR470" s="7"/>
      <c r="BS470" s="7"/>
      <c r="BT470" s="7"/>
      <c r="BU470" s="7"/>
      <c r="BV470" s="7"/>
      <c r="BW470" s="7"/>
      <c r="BX470" s="7"/>
      <c r="BY470" s="7"/>
      <c r="BZ470" s="7"/>
      <c r="CA470" s="7"/>
      <c r="CB470" s="7"/>
    </row>
    <row r="471" ht="21.75" customHeight="1">
      <c r="A471" s="7">
        <v>3860.0</v>
      </c>
      <c r="B471" s="7" t="s">
        <v>6071</v>
      </c>
      <c r="C471" s="7" t="s">
        <v>6072</v>
      </c>
      <c r="D471" s="7"/>
      <c r="E471" s="7"/>
      <c r="F471" s="7" t="s">
        <v>342</v>
      </c>
      <c r="G471" s="7" t="s">
        <v>343</v>
      </c>
      <c r="H471" s="7" t="s">
        <v>344</v>
      </c>
      <c r="I471" s="7" t="s">
        <v>6073</v>
      </c>
      <c r="J471" s="7"/>
      <c r="K471" s="7" t="s">
        <v>34</v>
      </c>
      <c r="L471" s="7" t="s">
        <v>622</v>
      </c>
      <c r="M471" s="7" t="s">
        <v>622</v>
      </c>
      <c r="N471" s="7" t="s">
        <v>375</v>
      </c>
      <c r="O471" s="7">
        <v>97430.0</v>
      </c>
      <c r="P471" s="7" t="s">
        <v>344</v>
      </c>
      <c r="Q471" s="7"/>
      <c r="R471" s="7" t="s">
        <v>801</v>
      </c>
      <c r="S471" s="7"/>
      <c r="T471" s="7" t="s">
        <v>1612</v>
      </c>
      <c r="U471" s="7" t="s">
        <v>378</v>
      </c>
      <c r="V471" s="7">
        <v>2.62321187E8</v>
      </c>
      <c r="W471" s="7">
        <v>6.92864989E8</v>
      </c>
      <c r="X471" s="7"/>
      <c r="Y471" s="7">
        <v>2.62321187E8</v>
      </c>
      <c r="Z471" s="7"/>
      <c r="AA471" s="7">
        <v>300.0</v>
      </c>
      <c r="AB471" s="7"/>
      <c r="AC471" s="7" t="s">
        <v>6074</v>
      </c>
      <c r="AD471" s="7" t="s">
        <v>6075</v>
      </c>
      <c r="AE471" s="7"/>
      <c r="AF471" s="7"/>
      <c r="AG471" s="7"/>
      <c r="AH471" s="20">
        <v>42152.0</v>
      </c>
      <c r="AI471" s="7"/>
      <c r="AJ471" s="7" t="s">
        <v>6076</v>
      </c>
      <c r="AK471" s="7"/>
      <c r="AL471" s="7" t="s">
        <v>6077</v>
      </c>
      <c r="AM471" s="7" t="s">
        <v>6078</v>
      </c>
      <c r="AN471" s="20">
        <v>42152.0</v>
      </c>
      <c r="AO471" s="7">
        <v>97430.0</v>
      </c>
      <c r="AP471" s="7" t="s">
        <v>494</v>
      </c>
      <c r="AQ471" s="7"/>
      <c r="AR471" s="7"/>
      <c r="AS471" s="7"/>
      <c r="AT471" s="7"/>
      <c r="AU471" s="7">
        <v>0.0</v>
      </c>
      <c r="AV471" s="7" t="s">
        <v>6079</v>
      </c>
      <c r="AW471" s="7"/>
      <c r="AX471" s="7"/>
      <c r="AY471" s="7"/>
      <c r="AZ471" s="7"/>
      <c r="BA471" s="7"/>
      <c r="BB471" s="7"/>
      <c r="BC471" s="7" t="s">
        <v>401</v>
      </c>
      <c r="BD471" s="21">
        <v>44228.0</v>
      </c>
      <c r="BE471" s="7" t="s">
        <v>2339</v>
      </c>
      <c r="BF471" s="7"/>
      <c r="BG471" s="7"/>
      <c r="BH471" s="7"/>
      <c r="BI471" s="7" t="s">
        <v>6080</v>
      </c>
      <c r="BJ471" s="7"/>
      <c r="BK471" s="7" t="b">
        <v>0</v>
      </c>
      <c r="BL471" s="7" t="b">
        <v>0</v>
      </c>
      <c r="BM471" s="7"/>
      <c r="BN471" s="7" t="str">
        <f>IFERROR(__xludf.DUMMYFUNCTION(" IF( REGEXMATCH(C471 , ""[(].+[)]""),REGEXREPLACE( CONCATENATE(REGEXEXTRACT(C471 , ""[(].+[)]""),IF(REGEXMATCH(C471 , ""[(][Ll]['’][)]""),"""","" ""), REGEXEXTRACT(C471 ,""^(?:(?:[A-Za-zàäéèêîïöôûü0-9 ](?:[A-Za-zàäéèêîïöôûü'0-9 ]+)))"")) , ""[()]"", """")"&amp;",C471 )"),"L'Orchidéa ")</f>
        <v>L'Orchidéa </v>
      </c>
      <c r="BO471" s="25"/>
      <c r="BP471" s="7"/>
      <c r="BQ471" s="7"/>
      <c r="BR471" s="7"/>
      <c r="BS471" s="7"/>
      <c r="BT471" s="7"/>
      <c r="BU471" s="7"/>
      <c r="BV471" s="7"/>
      <c r="BW471" s="7"/>
      <c r="BX471" s="7"/>
      <c r="BY471" s="7"/>
      <c r="BZ471" s="7"/>
      <c r="CA471" s="7"/>
      <c r="CB471" s="7"/>
    </row>
    <row r="472" ht="21.75" customHeight="1">
      <c r="A472" s="7">
        <v>2654.0</v>
      </c>
      <c r="B472" s="7" t="s">
        <v>6081</v>
      </c>
      <c r="C472" s="7" t="s">
        <v>6082</v>
      </c>
      <c r="D472" s="7"/>
      <c r="E472" s="7"/>
      <c r="F472" s="7" t="s">
        <v>342</v>
      </c>
      <c r="G472" s="7" t="s">
        <v>343</v>
      </c>
      <c r="H472" s="7" t="s">
        <v>344</v>
      </c>
      <c r="I472" s="7" t="s">
        <v>6083</v>
      </c>
      <c r="J472" s="7"/>
      <c r="K472" s="7" t="s">
        <v>58</v>
      </c>
      <c r="L472" s="7" t="s">
        <v>137</v>
      </c>
      <c r="M472" s="7" t="s">
        <v>1091</v>
      </c>
      <c r="N472" s="7" t="s">
        <v>472</v>
      </c>
      <c r="O472" s="7">
        <v>97418.0</v>
      </c>
      <c r="P472" s="7" t="s">
        <v>348</v>
      </c>
      <c r="Q472" s="7" t="s">
        <v>349</v>
      </c>
      <c r="R472" s="7" t="s">
        <v>6084</v>
      </c>
      <c r="S472" s="7"/>
      <c r="T472" s="7" t="s">
        <v>377</v>
      </c>
      <c r="U472" s="7" t="s">
        <v>353</v>
      </c>
      <c r="V472" s="7">
        <v>2.62380273E8</v>
      </c>
      <c r="W472" s="7">
        <v>6.92173457E8</v>
      </c>
      <c r="X472" s="7"/>
      <c r="Y472" s="7"/>
      <c r="Z472" s="7" t="s">
        <v>6085</v>
      </c>
      <c r="AA472" s="7">
        <v>18.0</v>
      </c>
      <c r="AB472" s="7"/>
      <c r="AC472" s="7" t="s">
        <v>6086</v>
      </c>
      <c r="AD472" s="7" t="s">
        <v>6087</v>
      </c>
      <c r="AE472" s="7" t="s">
        <v>6088</v>
      </c>
      <c r="AF472" s="7"/>
      <c r="AG472" s="7"/>
      <c r="AH472" s="20">
        <v>43739.0</v>
      </c>
      <c r="AI472" s="7"/>
      <c r="AJ472" s="7" t="s">
        <v>6089</v>
      </c>
      <c r="AK472" s="7"/>
      <c r="AL472" s="7" t="s">
        <v>1098</v>
      </c>
      <c r="AM472" s="7" t="s">
        <v>6090</v>
      </c>
      <c r="AN472" s="20">
        <v>43739.0</v>
      </c>
      <c r="AO472" s="7">
        <v>97418.0</v>
      </c>
      <c r="AP472" s="7" t="s">
        <v>362</v>
      </c>
      <c r="AQ472" s="7"/>
      <c r="AR472" s="7"/>
      <c r="AS472" s="7"/>
      <c r="AT472" s="7"/>
      <c r="AU472" s="7">
        <v>3.0</v>
      </c>
      <c r="AV472" s="7" t="s">
        <v>6091</v>
      </c>
      <c r="AW472" s="7"/>
      <c r="AX472" s="7"/>
      <c r="AY472" s="7"/>
      <c r="AZ472" s="7" t="s">
        <v>6092</v>
      </c>
      <c r="BA472" s="7"/>
      <c r="BB472" s="7"/>
      <c r="BC472" s="7" t="s">
        <v>401</v>
      </c>
      <c r="BD472" s="21">
        <v>44232.0</v>
      </c>
      <c r="BE472" s="7" t="s">
        <v>6093</v>
      </c>
      <c r="BF472" s="7"/>
      <c r="BG472" s="7"/>
      <c r="BH472" s="7"/>
      <c r="BI472" s="7" t="s">
        <v>5992</v>
      </c>
      <c r="BJ472" s="7"/>
      <c r="BK472" s="7" t="b">
        <v>0</v>
      </c>
      <c r="BL472" s="7" t="b">
        <v>0</v>
      </c>
      <c r="BM472" s="7"/>
      <c r="BN472" s="7" t="str">
        <f>IFERROR(__xludf.DUMMYFUNCTION(" IF( REGEXMATCH(C472 , ""[(].+[)]""),REGEXREPLACE( CONCATENATE(REGEXEXTRACT(C472 , ""[(].+[)]""),IF(REGEXMATCH(C472 , ""[(][Ll]['’][)]""),"""","" ""), REGEXEXTRACT(C472 ,""^(?:(?:[A-Za-zàäéèêîïöôûü0-9 ](?:[A-Za-zàäéèêîïöôûü'0-9 ]+)))"")) , ""[()]"", """")"&amp;",C472 )"),"Les Orchidées ")</f>
        <v>Les Orchidées </v>
      </c>
      <c r="BO472" s="25"/>
      <c r="BP472" s="7"/>
      <c r="BQ472" s="7"/>
      <c r="BR472" s="7"/>
      <c r="BS472" s="7"/>
      <c r="BT472" s="7"/>
      <c r="BU472" s="7"/>
      <c r="BV472" s="7"/>
      <c r="BW472" s="7"/>
      <c r="BX472" s="7"/>
      <c r="BY472" s="7"/>
      <c r="BZ472" s="7"/>
      <c r="CA472" s="7"/>
      <c r="CB472" s="7"/>
    </row>
    <row r="473" ht="21.75" customHeight="1">
      <c r="A473" s="7">
        <v>997.0</v>
      </c>
      <c r="B473" s="7" t="s">
        <v>6094</v>
      </c>
      <c r="C473" s="7" t="s">
        <v>6095</v>
      </c>
      <c r="D473" s="7" t="s">
        <v>6096</v>
      </c>
      <c r="E473" s="7"/>
      <c r="F473" s="7" t="s">
        <v>342</v>
      </c>
      <c r="G473" s="7" t="s">
        <v>343</v>
      </c>
      <c r="H473" s="7" t="s">
        <v>123</v>
      </c>
      <c r="I473" s="7" t="s">
        <v>6097</v>
      </c>
      <c r="J473" s="7"/>
      <c r="K473" s="7" t="s">
        <v>34</v>
      </c>
      <c r="L473" s="7" t="s">
        <v>622</v>
      </c>
      <c r="M473" s="7" t="s">
        <v>622</v>
      </c>
      <c r="N473" s="7" t="s">
        <v>664</v>
      </c>
      <c r="O473" s="7">
        <v>97480.0</v>
      </c>
      <c r="P473" s="7" t="s">
        <v>123</v>
      </c>
      <c r="Q473" s="7"/>
      <c r="R473" s="7" t="s">
        <v>6098</v>
      </c>
      <c r="S473" s="7" t="s">
        <v>6099</v>
      </c>
      <c r="T473" s="7" t="s">
        <v>6100</v>
      </c>
      <c r="U473" s="7" t="s">
        <v>592</v>
      </c>
      <c r="V473" s="7">
        <v>2.62562838E8</v>
      </c>
      <c r="W473" s="7">
        <v>6.92773097E8</v>
      </c>
      <c r="X473" s="7"/>
      <c r="Y473" s="7"/>
      <c r="Z473" s="7"/>
      <c r="AA473" s="7">
        <v>80.0</v>
      </c>
      <c r="AB473" s="7"/>
      <c r="AC473" s="7"/>
      <c r="AD473" s="7" t="s">
        <v>6101</v>
      </c>
      <c r="AE473" s="7"/>
      <c r="AF473" s="7"/>
      <c r="AG473" s="7"/>
      <c r="AH473" s="20">
        <v>39575.0</v>
      </c>
      <c r="AI473" s="7"/>
      <c r="AJ473" s="7" t="s">
        <v>6102</v>
      </c>
      <c r="AK473" s="7">
        <v>3.5369737800019E13</v>
      </c>
      <c r="AL473" s="7" t="s">
        <v>6103</v>
      </c>
      <c r="AM473" s="7" t="s">
        <v>6104</v>
      </c>
      <c r="AN473" s="20">
        <v>39575.0</v>
      </c>
      <c r="AO473" s="7">
        <v>97480.0</v>
      </c>
      <c r="AP473" s="7" t="s">
        <v>385</v>
      </c>
      <c r="AQ473" s="7"/>
      <c r="AR473" s="7"/>
      <c r="AS473" s="7"/>
      <c r="AT473" s="7"/>
      <c r="AU473" s="7">
        <v>0.0</v>
      </c>
      <c r="AV473" s="7" t="s">
        <v>6105</v>
      </c>
      <c r="AW473" s="7"/>
      <c r="AX473" s="7"/>
      <c r="AY473" s="7"/>
      <c r="AZ473" s="7"/>
      <c r="BA473" s="7"/>
      <c r="BB473" s="7"/>
      <c r="BC473" s="7" t="s">
        <v>401</v>
      </c>
      <c r="BD473" s="7"/>
      <c r="BE473" s="7" t="s">
        <v>1071</v>
      </c>
      <c r="BF473" s="7"/>
      <c r="BG473" s="7"/>
      <c r="BH473" s="7">
        <v>3.53697378E8</v>
      </c>
      <c r="BI473" s="7" t="s">
        <v>6106</v>
      </c>
      <c r="BJ473" s="7"/>
      <c r="BK473" s="7" t="b">
        <v>0</v>
      </c>
      <c r="BL473" s="7" t="b">
        <v>0</v>
      </c>
      <c r="BM473" s="7"/>
      <c r="BN473" s="7" t="str">
        <f>IFERROR(__xludf.DUMMYFUNCTION(" IF( REGEXMATCH(C473 , ""[(].+[)]""),REGEXREPLACE( CONCATENATE(REGEXEXTRACT(C473 , ""[(].+[)]""),IF(REGEXMATCH(C473 , ""[(][Ll]['’][)]""),"""","" ""), REGEXEXTRACT(C473 ,""^(?:(?:[A-Za-zàäéèêîïöôûü0-9 ](?:[A-Za-zàäéèêîïöôûü'0-9 ]+)))"")) , ""[()]"", """")"&amp;",C473 )"),"L'Orient Express ")</f>
        <v>L'Orient Express </v>
      </c>
      <c r="BO473" s="25"/>
      <c r="BP473" s="7"/>
      <c r="BQ473" s="7"/>
      <c r="BR473" s="7"/>
      <c r="BS473" s="7"/>
      <c r="BT473" s="7"/>
      <c r="BU473" s="7"/>
      <c r="BV473" s="7"/>
      <c r="BW473" s="7"/>
      <c r="BX473" s="7"/>
      <c r="BY473" s="7"/>
      <c r="BZ473" s="7"/>
      <c r="CA473" s="7"/>
      <c r="CB473" s="7"/>
    </row>
    <row r="474" ht="21.75" customHeight="1">
      <c r="A474" s="7">
        <v>3900.0</v>
      </c>
      <c r="B474" s="7" t="s">
        <v>6107</v>
      </c>
      <c r="C474" s="7" t="s">
        <v>6108</v>
      </c>
      <c r="D474" s="7"/>
      <c r="E474" s="7"/>
      <c r="F474" s="7" t="s">
        <v>404</v>
      </c>
      <c r="G474" s="7" t="s">
        <v>343</v>
      </c>
      <c r="H474" s="7" t="s">
        <v>344</v>
      </c>
      <c r="I474" s="7" t="s">
        <v>6109</v>
      </c>
      <c r="J474" s="7"/>
      <c r="K474" s="7" t="s">
        <v>58</v>
      </c>
      <c r="L474" s="7" t="s">
        <v>59</v>
      </c>
      <c r="M474" s="7" t="s">
        <v>545</v>
      </c>
      <c r="N474" s="7" t="s">
        <v>455</v>
      </c>
      <c r="O474" s="7">
        <v>97430.0</v>
      </c>
      <c r="P474" s="7" t="s">
        <v>344</v>
      </c>
      <c r="Q474" s="7"/>
      <c r="R474" s="7"/>
      <c r="S474" s="7"/>
      <c r="T474" s="7"/>
      <c r="U474" s="7"/>
      <c r="V474" s="7"/>
      <c r="W474" s="7">
        <v>6.93001177E8</v>
      </c>
      <c r="X474" s="7"/>
      <c r="Y474" s="7"/>
      <c r="Z474" s="7" t="s">
        <v>6110</v>
      </c>
      <c r="AA474" s="7">
        <v>24.0</v>
      </c>
      <c r="AB474" s="7"/>
      <c r="AC474" s="7" t="s">
        <v>6111</v>
      </c>
      <c r="AD474" s="7" t="s">
        <v>6112</v>
      </c>
      <c r="AE474" s="7"/>
      <c r="AF474" s="7"/>
      <c r="AG474" s="7"/>
      <c r="AH474" s="20">
        <v>42170.0</v>
      </c>
      <c r="AI474" s="7"/>
      <c r="AJ474" s="7" t="s">
        <v>6108</v>
      </c>
      <c r="AK474" s="7"/>
      <c r="AL474" s="7" t="s">
        <v>6113</v>
      </c>
      <c r="AM474" s="7" t="s">
        <v>6114</v>
      </c>
      <c r="AN474" s="20">
        <v>42170.0</v>
      </c>
      <c r="AO474" s="7">
        <v>97430.0</v>
      </c>
      <c r="AP474" s="7" t="s">
        <v>494</v>
      </c>
      <c r="AQ474" s="7"/>
      <c r="AR474" s="7"/>
      <c r="AS474" s="7"/>
      <c r="AT474" s="7"/>
      <c r="AU474" s="7">
        <v>6.0</v>
      </c>
      <c r="AV474" s="7" t="s">
        <v>6115</v>
      </c>
      <c r="AW474" s="7"/>
      <c r="AX474" s="7"/>
      <c r="AY474" s="7"/>
      <c r="AZ474" s="7"/>
      <c r="BA474" s="7"/>
      <c r="BB474" s="7"/>
      <c r="BC474" s="7" t="s">
        <v>401</v>
      </c>
      <c r="BD474" s="7"/>
      <c r="BE474" s="7" t="s">
        <v>305</v>
      </c>
      <c r="BF474" s="7"/>
      <c r="BG474" s="7"/>
      <c r="BH474" s="7"/>
      <c r="BI474" s="7" t="s">
        <v>6116</v>
      </c>
      <c r="BJ474" s="7"/>
      <c r="BK474" s="7" t="b">
        <v>0</v>
      </c>
      <c r="BL474" s="7" t="b">
        <v>0</v>
      </c>
      <c r="BM474" s="7"/>
      <c r="BN474" s="7" t="str">
        <f>IFERROR(__xludf.DUMMYFUNCTION(" IF( REGEXMATCH(C474 , ""[(].+[)]""),REGEXREPLACE( CONCATENATE(REGEXEXTRACT(C474 , ""[(].+[)]""),IF(REGEXMATCH(C474 , ""[(][Ll]['’][)]""),"""","" ""), REGEXEXTRACT(C474 ,""^(?:(?:[A-Za-zàäéèêîïöôûü0-9 ](?:[A-Za-zàäéèêîïöôûü'0-9 ]+)))"")) , ""[()]"", """")"&amp;",C474 )"),"P'tit Case Lontan")</f>
        <v>P'tit Case Lontan</v>
      </c>
      <c r="BO474" s="25"/>
      <c r="BP474" s="7"/>
      <c r="BQ474" s="7"/>
      <c r="BR474" s="7"/>
      <c r="BS474" s="7"/>
      <c r="BT474" s="7"/>
      <c r="BU474" s="7"/>
      <c r="BV474" s="7"/>
      <c r="BW474" s="7"/>
      <c r="BX474" s="7"/>
      <c r="BY474" s="7"/>
      <c r="BZ474" s="7"/>
      <c r="CA474" s="7"/>
      <c r="CB474" s="7"/>
    </row>
    <row r="475" ht="21.75" customHeight="1">
      <c r="A475" s="7">
        <v>369.0</v>
      </c>
      <c r="B475" s="7">
        <v>474.0</v>
      </c>
      <c r="C475" s="7" t="s">
        <v>6117</v>
      </c>
      <c r="D475" s="7" t="s">
        <v>6118</v>
      </c>
      <c r="E475" s="7"/>
      <c r="F475" s="7" t="s">
        <v>404</v>
      </c>
      <c r="G475" s="7" t="s">
        <v>343</v>
      </c>
      <c r="H475" s="7" t="s">
        <v>123</v>
      </c>
      <c r="I475" s="7" t="s">
        <v>6119</v>
      </c>
      <c r="J475" s="7"/>
      <c r="K475" s="7" t="s">
        <v>58</v>
      </c>
      <c r="L475" s="7" t="s">
        <v>59</v>
      </c>
      <c r="M475" s="7" t="s">
        <v>374</v>
      </c>
      <c r="N475" s="7" t="s">
        <v>455</v>
      </c>
      <c r="O475" s="7">
        <v>97480.0</v>
      </c>
      <c r="P475" s="7" t="s">
        <v>123</v>
      </c>
      <c r="Q475" s="7"/>
      <c r="R475" s="7" t="s">
        <v>6120</v>
      </c>
      <c r="S475" s="7" t="s">
        <v>3910</v>
      </c>
      <c r="T475" s="7" t="s">
        <v>377</v>
      </c>
      <c r="U475" s="7" t="s">
        <v>6121</v>
      </c>
      <c r="V475" s="7">
        <v>2.62561428E8</v>
      </c>
      <c r="W475" s="7">
        <v>6.92211158E8</v>
      </c>
      <c r="X475" s="7"/>
      <c r="Y475" s="7"/>
      <c r="Z475" s="7" t="s">
        <v>6122</v>
      </c>
      <c r="AA475" s="7">
        <v>4.0</v>
      </c>
      <c r="AB475" s="7" t="s">
        <v>355</v>
      </c>
      <c r="AC475" s="7"/>
      <c r="AD475" s="7" t="s">
        <v>6123</v>
      </c>
      <c r="AE475" s="7" t="s">
        <v>6124</v>
      </c>
      <c r="AF475" s="7"/>
      <c r="AG475" s="7"/>
      <c r="AH475" s="20">
        <v>39575.0</v>
      </c>
      <c r="AI475" s="7"/>
      <c r="AJ475" s="7" t="s">
        <v>6125</v>
      </c>
      <c r="AK475" s="7"/>
      <c r="AL475" s="7" t="s">
        <v>6126</v>
      </c>
      <c r="AM475" s="7" t="s">
        <v>6127</v>
      </c>
      <c r="AN475" s="20">
        <v>39575.0</v>
      </c>
      <c r="AO475" s="7">
        <v>97480.0</v>
      </c>
      <c r="AP475" s="7" t="s">
        <v>385</v>
      </c>
      <c r="AQ475" s="7"/>
      <c r="AR475" s="7"/>
      <c r="AS475" s="7"/>
      <c r="AT475" s="7"/>
      <c r="AU475" s="7">
        <v>1.0</v>
      </c>
      <c r="AV475" s="7" t="s">
        <v>6128</v>
      </c>
      <c r="AW475" s="7"/>
      <c r="AX475" s="7"/>
      <c r="AY475" s="7"/>
      <c r="AZ475" s="7"/>
      <c r="BA475" s="7"/>
      <c r="BB475" s="7"/>
      <c r="BC475" s="7" t="s">
        <v>366</v>
      </c>
      <c r="BD475" s="21">
        <v>44161.427083333336</v>
      </c>
      <c r="BE475" s="7"/>
      <c r="BF475" s="7"/>
      <c r="BG475" s="22">
        <v>44161.0</v>
      </c>
      <c r="BH475" s="7"/>
      <c r="BI475" s="7" t="s">
        <v>6129</v>
      </c>
      <c r="BJ475" s="7"/>
      <c r="BK475" s="7" t="b">
        <v>0</v>
      </c>
      <c r="BL475" s="7" t="b">
        <v>0</v>
      </c>
      <c r="BM475" s="7"/>
      <c r="BN475" s="7" t="str">
        <f>IFERROR(__xludf.DUMMYFUNCTION(" IF( REGEXMATCH(C475 , ""[(].+[)]""),REGEXREPLACE( CONCATENATE(REGEXEXTRACT(C475 , ""[(].+[)]""),IF(REGEXMATCH(C475 , ""[(][Ll]['’][)]""),"""","" ""), REGEXEXTRACT(C475 ,""^(?:(?:[A-Za-zàäéèêîïöôûü0-9 ](?:[A-Za-zàäéèêîïöôûü'0-9 ]+)))"")) , ""[()]"", """")"&amp;",C475 )"),"Le P'tit Margouillat ")</f>
        <v>Le P'tit Margouillat </v>
      </c>
      <c r="BO475" s="23"/>
      <c r="BP475" s="7"/>
      <c r="BQ475" s="7"/>
      <c r="BR475" s="7"/>
      <c r="BS475" s="7"/>
      <c r="BT475" s="7"/>
      <c r="BU475" s="7"/>
      <c r="BV475" s="7"/>
      <c r="BW475" s="7"/>
      <c r="BX475" s="7"/>
      <c r="BY475" s="7"/>
      <c r="BZ475" s="7"/>
      <c r="CA475" s="7"/>
      <c r="CB475" s="7"/>
    </row>
    <row r="476" ht="21.75" customHeight="1">
      <c r="A476" s="7">
        <v>3077.0</v>
      </c>
      <c r="B476" s="7" t="s">
        <v>6130</v>
      </c>
      <c r="C476" s="7" t="s">
        <v>6131</v>
      </c>
      <c r="D476" s="7" t="s">
        <v>6131</v>
      </c>
      <c r="E476" s="7"/>
      <c r="F476" s="7" t="s">
        <v>342</v>
      </c>
      <c r="G476" s="7" t="s">
        <v>343</v>
      </c>
      <c r="H476" s="7" t="s">
        <v>40</v>
      </c>
      <c r="I476" s="7" t="s">
        <v>6132</v>
      </c>
      <c r="J476" s="7"/>
      <c r="K476" s="7" t="s">
        <v>58</v>
      </c>
      <c r="L476" s="7" t="s">
        <v>59</v>
      </c>
      <c r="M476" s="7" t="s">
        <v>346</v>
      </c>
      <c r="N476" s="7" t="s">
        <v>422</v>
      </c>
      <c r="O476" s="7">
        <v>97414.0</v>
      </c>
      <c r="P476" s="7" t="s">
        <v>40</v>
      </c>
      <c r="Q476" s="7"/>
      <c r="R476" s="7" t="s">
        <v>6133</v>
      </c>
      <c r="S476" s="7" t="s">
        <v>2053</v>
      </c>
      <c r="T476" s="7" t="s">
        <v>377</v>
      </c>
      <c r="U476" s="7" t="s">
        <v>353</v>
      </c>
      <c r="V476" s="7">
        <v>2.62710063E8</v>
      </c>
      <c r="W476" s="7">
        <v>6.92056119E8</v>
      </c>
      <c r="X476" s="7">
        <v>6.92056115E8</v>
      </c>
      <c r="Y476" s="7"/>
      <c r="Z476" s="7" t="s">
        <v>6134</v>
      </c>
      <c r="AA476" s="7">
        <v>6.0</v>
      </c>
      <c r="AB476" s="7"/>
      <c r="AC476" s="7"/>
      <c r="AD476" s="7" t="s">
        <v>6135</v>
      </c>
      <c r="AE476" s="7" t="s">
        <v>6136</v>
      </c>
      <c r="AF476" s="7"/>
      <c r="AG476" s="7"/>
      <c r="AH476" s="20">
        <v>43739.0</v>
      </c>
      <c r="AI476" s="7"/>
      <c r="AJ476" s="7" t="s">
        <v>6137</v>
      </c>
      <c r="AK476" s="7"/>
      <c r="AL476" s="7" t="s">
        <v>6138</v>
      </c>
      <c r="AM476" s="7" t="s">
        <v>6139</v>
      </c>
      <c r="AN476" s="20">
        <v>43739.0</v>
      </c>
      <c r="AO476" s="7">
        <v>97438.0</v>
      </c>
      <c r="AP476" s="7" t="s">
        <v>2314</v>
      </c>
      <c r="AQ476" s="7"/>
      <c r="AR476" s="7"/>
      <c r="AS476" s="7"/>
      <c r="AT476" s="7"/>
      <c r="AU476" s="7">
        <v>1.0</v>
      </c>
      <c r="AV476" s="7" t="s">
        <v>6140</v>
      </c>
      <c r="AW476" s="7"/>
      <c r="AX476" s="7" t="s">
        <v>6141</v>
      </c>
      <c r="AY476" s="7" t="s">
        <v>1962</v>
      </c>
      <c r="AZ476" s="7" t="s">
        <v>6142</v>
      </c>
      <c r="BA476" s="7"/>
      <c r="BB476" s="7"/>
      <c r="BC476" s="7" t="s">
        <v>401</v>
      </c>
      <c r="BD476" s="21">
        <v>44028.06875</v>
      </c>
      <c r="BE476" s="7" t="s">
        <v>6143</v>
      </c>
      <c r="BF476" s="7"/>
      <c r="BG476" s="7"/>
      <c r="BH476" s="7"/>
      <c r="BI476" s="7" t="s">
        <v>6144</v>
      </c>
      <c r="BJ476" s="7"/>
      <c r="BK476" s="7" t="b">
        <v>0</v>
      </c>
      <c r="BL476" s="7" t="b">
        <v>0</v>
      </c>
      <c r="BM476" s="7"/>
      <c r="BN476" s="7" t="str">
        <f>IFERROR(__xludf.DUMMYFUNCTION(" IF( REGEXMATCH(C476 , ""[(].+[)]""),REGEXREPLACE( CONCATENATE(REGEXEXTRACT(C476 , ""[(].+[)]""),IF(REGEXMATCH(C476 , ""[(][Ll]['’][)]""),"""","" ""), REGEXEXTRACT(C476 ,""^(?:(?:[A-Za-zàäéèêîïöôûü0-9 ](?:[A-Za-zàäéèêîïöôûü'0-9 ]+)))"")) , ""[()]"", """")"&amp;",C476 )"),"Le P'tit Marron ")</f>
        <v>Le P'tit Marron </v>
      </c>
      <c r="BO476" s="25"/>
      <c r="BP476" s="7"/>
      <c r="BQ476" s="7"/>
      <c r="BR476" s="7"/>
      <c r="BS476" s="7"/>
      <c r="BT476" s="7"/>
      <c r="BU476" s="7"/>
      <c r="BV476" s="7"/>
      <c r="BW476" s="7"/>
      <c r="BX476" s="7"/>
      <c r="BY476" s="7"/>
      <c r="BZ476" s="7"/>
      <c r="CA476" s="7"/>
      <c r="CB476" s="7"/>
    </row>
    <row r="477" ht="21.75" customHeight="1">
      <c r="A477" s="7">
        <v>1707.0</v>
      </c>
      <c r="B477" s="7" t="s">
        <v>6145</v>
      </c>
      <c r="C477" s="7" t="s">
        <v>6146</v>
      </c>
      <c r="D477" s="7" t="s">
        <v>6146</v>
      </c>
      <c r="E477" s="7"/>
      <c r="F477" s="7" t="s">
        <v>342</v>
      </c>
      <c r="G477" s="7" t="s">
        <v>343</v>
      </c>
      <c r="H477" s="7" t="s">
        <v>344</v>
      </c>
      <c r="I477" s="7" t="s">
        <v>6147</v>
      </c>
      <c r="J477" s="7"/>
      <c r="K477" s="7" t="s">
        <v>58</v>
      </c>
      <c r="L477" s="7" t="s">
        <v>137</v>
      </c>
      <c r="M477" s="7" t="s">
        <v>1091</v>
      </c>
      <c r="N477" s="7" t="s">
        <v>6148</v>
      </c>
      <c r="O477" s="7">
        <v>97418.0</v>
      </c>
      <c r="P477" s="7" t="s">
        <v>348</v>
      </c>
      <c r="Q477" s="7" t="s">
        <v>349</v>
      </c>
      <c r="R477" s="7" t="s">
        <v>6149</v>
      </c>
      <c r="S477" s="7" t="s">
        <v>6150</v>
      </c>
      <c r="T477" s="7" t="s">
        <v>377</v>
      </c>
      <c r="U477" s="7" t="s">
        <v>353</v>
      </c>
      <c r="V477" s="7">
        <v>2.62590366E8</v>
      </c>
      <c r="W477" s="7">
        <v>6.92243173E8</v>
      </c>
      <c r="X477" s="7"/>
      <c r="Y477" s="7"/>
      <c r="Z477" s="7"/>
      <c r="AA477" s="7">
        <v>29.0</v>
      </c>
      <c r="AB477" s="7"/>
      <c r="AC477" s="7" t="s">
        <v>6151</v>
      </c>
      <c r="AD477" s="7" t="s">
        <v>6152</v>
      </c>
      <c r="AE477" s="7" t="s">
        <v>6153</v>
      </c>
      <c r="AF477" s="7"/>
      <c r="AG477" s="7"/>
      <c r="AH477" s="20">
        <v>43739.0</v>
      </c>
      <c r="AI477" s="7"/>
      <c r="AJ477" s="7" t="s">
        <v>6154</v>
      </c>
      <c r="AK477" s="7">
        <v>4.4464363900016E13</v>
      </c>
      <c r="AL477" s="7" t="s">
        <v>6155</v>
      </c>
      <c r="AM477" s="7" t="s">
        <v>6156</v>
      </c>
      <c r="AN477" s="20">
        <v>39925.0</v>
      </c>
      <c r="AO477" s="7">
        <v>97418.0</v>
      </c>
      <c r="AP477" s="7" t="s">
        <v>362</v>
      </c>
      <c r="AQ477" s="7"/>
      <c r="AR477" s="7"/>
      <c r="AS477" s="7"/>
      <c r="AT477" s="7"/>
      <c r="AU477" s="7">
        <v>1.0</v>
      </c>
      <c r="AV477" s="7" t="s">
        <v>6157</v>
      </c>
      <c r="AW477" s="7"/>
      <c r="AX477" s="7"/>
      <c r="AY477" s="7"/>
      <c r="AZ477" s="7" t="s">
        <v>6158</v>
      </c>
      <c r="BA477" s="7"/>
      <c r="BB477" s="7"/>
      <c r="BC477" s="7" t="s">
        <v>401</v>
      </c>
      <c r="BD477" s="21">
        <v>44227.416666666664</v>
      </c>
      <c r="BE477" s="7" t="s">
        <v>871</v>
      </c>
      <c r="BF477" s="7"/>
      <c r="BG477" s="7"/>
      <c r="BH477" s="7">
        <v>4.44643639E8</v>
      </c>
      <c r="BI477" s="7" t="s">
        <v>1734</v>
      </c>
      <c r="BJ477" s="7"/>
      <c r="BK477" s="7" t="b">
        <v>0</v>
      </c>
      <c r="BL477" s="7" t="b">
        <v>0</v>
      </c>
      <c r="BM477" s="7"/>
      <c r="BN477" s="7" t="str">
        <f>IFERROR(__xludf.DUMMYFUNCTION(" IF( REGEXMATCH(C477 , ""[(].+[)]""),REGEXREPLACE( CONCATENATE(REGEXEXTRACT(C477 , ""[(].+[)]""),IF(REGEXMATCH(C477 , ""[(][Ll]['’][)]""),"""","" ""), REGEXEXTRACT(C477 ,""^(?:(?:[A-Za-zàäéèêîïöôûü0-9 ](?:[A-Za-zàäéèêîïöôûü'0-9 ]+)))"")) , ""[()]"", """")"&amp;",C477 )"),"Le Paille en Queue ")</f>
        <v>Le Paille en Queue </v>
      </c>
      <c r="BO477" s="25"/>
      <c r="BP477" s="7"/>
      <c r="BQ477" s="7"/>
      <c r="BR477" s="7"/>
      <c r="BS477" s="7"/>
      <c r="BT477" s="7"/>
      <c r="BU477" s="7"/>
      <c r="BV477" s="7"/>
      <c r="BW477" s="7"/>
      <c r="BX477" s="7"/>
      <c r="BY477" s="7"/>
      <c r="BZ477" s="7"/>
      <c r="CA477" s="7"/>
      <c r="CB477" s="7"/>
    </row>
    <row r="478" ht="21.75" customHeight="1">
      <c r="A478" s="7">
        <v>1693.0</v>
      </c>
      <c r="B478" s="7" t="s">
        <v>6159</v>
      </c>
      <c r="C478" s="7" t="s">
        <v>6160</v>
      </c>
      <c r="D478" s="7" t="s">
        <v>6160</v>
      </c>
      <c r="E478" s="7"/>
      <c r="F478" s="7" t="s">
        <v>342</v>
      </c>
      <c r="G478" s="7" t="s">
        <v>343</v>
      </c>
      <c r="H478" s="7" t="s">
        <v>344</v>
      </c>
      <c r="I478" s="7" t="s">
        <v>6161</v>
      </c>
      <c r="J478" s="7"/>
      <c r="K478" s="7" t="s">
        <v>34</v>
      </c>
      <c r="L478" s="7" t="s">
        <v>622</v>
      </c>
      <c r="M478" s="7" t="s">
        <v>622</v>
      </c>
      <c r="N478" s="7" t="s">
        <v>375</v>
      </c>
      <c r="O478" s="7">
        <v>97430.0</v>
      </c>
      <c r="P478" s="7" t="s">
        <v>344</v>
      </c>
      <c r="Q478" s="7"/>
      <c r="R478" s="7"/>
      <c r="S478" s="7"/>
      <c r="T478" s="7" t="s">
        <v>5639</v>
      </c>
      <c r="U478" s="7" t="s">
        <v>378</v>
      </c>
      <c r="V478" s="7">
        <v>2.62597278E8</v>
      </c>
      <c r="W478" s="7"/>
      <c r="X478" s="7"/>
      <c r="Y478" s="7"/>
      <c r="Z478" s="7"/>
      <c r="AA478" s="7">
        <v>40.0</v>
      </c>
      <c r="AB478" s="7"/>
      <c r="AC478" s="7"/>
      <c r="AD478" s="7" t="s">
        <v>6162</v>
      </c>
      <c r="AE478" s="7" t="s">
        <v>6163</v>
      </c>
      <c r="AF478" s="7"/>
      <c r="AG478" s="7"/>
      <c r="AH478" s="20">
        <v>43739.0</v>
      </c>
      <c r="AI478" s="7"/>
      <c r="AJ478" s="7" t="s">
        <v>6164</v>
      </c>
      <c r="AK478" s="7">
        <v>4.3456837400012E13</v>
      </c>
      <c r="AL478" s="7" t="s">
        <v>6165</v>
      </c>
      <c r="AM478" s="7" t="s">
        <v>6166</v>
      </c>
      <c r="AN478" s="20">
        <v>43739.0</v>
      </c>
      <c r="AO478" s="7">
        <v>97430.0</v>
      </c>
      <c r="AP478" s="7" t="s">
        <v>494</v>
      </c>
      <c r="AQ478" s="7"/>
      <c r="AR478" s="7"/>
      <c r="AS478" s="7"/>
      <c r="AT478" s="7"/>
      <c r="AU478" s="7">
        <v>0.0</v>
      </c>
      <c r="AV478" s="7" t="s">
        <v>6167</v>
      </c>
      <c r="AW478" s="7"/>
      <c r="AX478" s="7"/>
      <c r="AY478" s="7"/>
      <c r="AZ478" s="7"/>
      <c r="BA478" s="7"/>
      <c r="BB478" s="7"/>
      <c r="BC478" s="7" t="s">
        <v>401</v>
      </c>
      <c r="BD478" s="21">
        <v>44244.0</v>
      </c>
      <c r="BE478" s="7" t="s">
        <v>5685</v>
      </c>
      <c r="BF478" s="7"/>
      <c r="BG478" s="7"/>
      <c r="BH478" s="7">
        <v>4.34568374E8</v>
      </c>
      <c r="BI478" s="7" t="s">
        <v>6168</v>
      </c>
      <c r="BJ478" s="7"/>
      <c r="BK478" s="7" t="b">
        <v>0</v>
      </c>
      <c r="BL478" s="7" t="b">
        <v>0</v>
      </c>
      <c r="BM478" s="7"/>
      <c r="BN478" s="7" t="str">
        <f>IFERROR(__xludf.DUMMYFUNCTION(" IF( REGEXMATCH(C478 , ""[(].+[)]""),REGEXREPLACE( CONCATENATE(REGEXEXTRACT(C478 , ""[(].+[)]""),IF(REGEXMATCH(C478 , ""[(][Ll]['’][)]""),"""","" ""), REGEXEXTRACT(C478 ,""^(?:(?:[A-Za-zàäéèêîïöôûü0-9 ](?:[A-Za-zàäéèêîïöôûü'0-9 ]+)))"")) , ""[()]"", """")"&amp;",C478 )"),"Paillote")</f>
        <v>Paillote</v>
      </c>
      <c r="BO478" s="25"/>
      <c r="BP478" s="7"/>
      <c r="BQ478" s="7"/>
      <c r="BR478" s="7"/>
      <c r="BS478" s="7"/>
      <c r="BT478" s="7"/>
      <c r="BU478" s="7"/>
      <c r="BV478" s="7"/>
      <c r="BW478" s="7"/>
      <c r="BX478" s="7"/>
      <c r="BY478" s="7"/>
      <c r="BZ478" s="7"/>
      <c r="CA478" s="7"/>
      <c r="CB478" s="7"/>
    </row>
    <row r="479" ht="21.75" customHeight="1">
      <c r="A479" s="7">
        <v>2481.0</v>
      </c>
      <c r="B479" s="7">
        <v>478.0</v>
      </c>
      <c r="C479" s="7" t="s">
        <v>6169</v>
      </c>
      <c r="D479" s="7"/>
      <c r="E479" s="7"/>
      <c r="F479" s="7" t="s">
        <v>404</v>
      </c>
      <c r="G479" s="7" t="s">
        <v>343</v>
      </c>
      <c r="H479" s="7" t="s">
        <v>40</v>
      </c>
      <c r="I479" s="7" t="s">
        <v>6170</v>
      </c>
      <c r="J479" s="7"/>
      <c r="K479" s="7" t="s">
        <v>34</v>
      </c>
      <c r="L479" s="7" t="s">
        <v>622</v>
      </c>
      <c r="M479" s="7" t="s">
        <v>622</v>
      </c>
      <c r="N479" s="7" t="s">
        <v>407</v>
      </c>
      <c r="O479" s="7">
        <v>97414.0</v>
      </c>
      <c r="P479" s="7" t="s">
        <v>40</v>
      </c>
      <c r="Q479" s="7"/>
      <c r="R479" s="7"/>
      <c r="S479" s="7"/>
      <c r="T479" s="7" t="s">
        <v>6171</v>
      </c>
      <c r="U479" s="7"/>
      <c r="V479" s="7">
        <v>2.62398199E8</v>
      </c>
      <c r="W479" s="7"/>
      <c r="X479" s="7"/>
      <c r="Y479" s="7"/>
      <c r="Z479" s="7"/>
      <c r="AA479" s="7"/>
      <c r="AB479" s="7"/>
      <c r="AC479" s="7"/>
      <c r="AD479" s="7" t="s">
        <v>6172</v>
      </c>
      <c r="AE479" s="7"/>
      <c r="AF479" s="7"/>
      <c r="AG479" s="7"/>
      <c r="AH479" s="20">
        <v>43739.0</v>
      </c>
      <c r="AI479" s="7"/>
      <c r="AJ479" s="7" t="s">
        <v>6169</v>
      </c>
      <c r="AK479" s="7"/>
      <c r="AL479" s="7" t="s">
        <v>6173</v>
      </c>
      <c r="AM479" s="7">
        <v>2.62398199E8</v>
      </c>
      <c r="AN479" s="20">
        <v>43739.0</v>
      </c>
      <c r="AO479" s="7">
        <v>97414.0</v>
      </c>
      <c r="AP479" s="7" t="s">
        <v>429</v>
      </c>
      <c r="AQ479" s="7"/>
      <c r="AR479" s="7"/>
      <c r="AS479" s="7"/>
      <c r="AT479" s="7"/>
      <c r="AU479" s="7">
        <v>0.0</v>
      </c>
      <c r="AV479" s="7" t="s">
        <v>6174</v>
      </c>
      <c r="AW479" s="7"/>
      <c r="AX479" s="7"/>
      <c r="AY479" s="7"/>
      <c r="AZ479" s="7"/>
      <c r="BA479" s="7"/>
      <c r="BB479" s="7"/>
      <c r="BC479" s="7" t="s">
        <v>366</v>
      </c>
      <c r="BD479" s="21">
        <v>44042.19930555556</v>
      </c>
      <c r="BE479" s="7"/>
      <c r="BF479" s="7"/>
      <c r="BG479" s="22">
        <v>44042.0</v>
      </c>
      <c r="BH479" s="7"/>
      <c r="BI479" s="7" t="s">
        <v>5518</v>
      </c>
      <c r="BJ479" s="7"/>
      <c r="BK479" s="7" t="b">
        <v>0</v>
      </c>
      <c r="BL479" s="7" t="b">
        <v>0</v>
      </c>
      <c r="BM479" s="7"/>
      <c r="BN479" s="7" t="str">
        <f>IFERROR(__xludf.DUMMYFUNCTION(" IF( REGEXMATCH(C479 , ""[(].+[)]""),REGEXREPLACE( CONCATENATE(REGEXEXTRACT(C479 , ""[(].+[)]""),IF(REGEXMATCH(C479 , ""[(][Ll]['’][)]""),"""","" ""), REGEXEXTRACT(C479 ,""^(?:(?:[A-Za-zàäéèêîïöôûü0-9 ](?:[A-Za-zàäéèêîïöôûü'0-9 ]+)))"")) , ""[()]"", """")"&amp;",C479 )"),"Pain d'Antan")</f>
        <v>Pain d'Antan</v>
      </c>
      <c r="BO479" s="23"/>
      <c r="BP479" s="7"/>
      <c r="BQ479" s="7"/>
      <c r="BR479" s="7"/>
      <c r="BS479" s="7"/>
      <c r="BT479" s="7"/>
      <c r="BU479" s="7"/>
      <c r="BV479" s="7"/>
      <c r="BW479" s="7"/>
      <c r="BX479" s="7"/>
      <c r="BY479" s="7"/>
      <c r="BZ479" s="7"/>
      <c r="CA479" s="7"/>
      <c r="CB479" s="7"/>
    </row>
    <row r="480" ht="21.75" customHeight="1">
      <c r="A480" s="7">
        <v>3906.0</v>
      </c>
      <c r="B480" s="7">
        <v>479.0</v>
      </c>
      <c r="C480" s="7" t="s">
        <v>6175</v>
      </c>
      <c r="D480" s="7"/>
      <c r="E480" s="7"/>
      <c r="F480" s="7" t="s">
        <v>404</v>
      </c>
      <c r="G480" s="7" t="s">
        <v>343</v>
      </c>
      <c r="H480" s="7" t="s">
        <v>344</v>
      </c>
      <c r="I480" s="7" t="s">
        <v>6176</v>
      </c>
      <c r="J480" s="7"/>
      <c r="K480" s="6" t="s">
        <v>469</v>
      </c>
      <c r="L480" s="7" t="s">
        <v>1792</v>
      </c>
      <c r="M480" s="7" t="s">
        <v>6177</v>
      </c>
      <c r="N480" s="7" t="s">
        <v>455</v>
      </c>
      <c r="O480" s="7">
        <v>97418.0</v>
      </c>
      <c r="P480" s="7" t="s">
        <v>348</v>
      </c>
      <c r="Q480" s="7" t="s">
        <v>349</v>
      </c>
      <c r="R480" s="7"/>
      <c r="S480" s="7"/>
      <c r="T480" s="7"/>
      <c r="U480" s="7"/>
      <c r="V480" s="7"/>
      <c r="W480" s="7">
        <v>6.92687486E8</v>
      </c>
      <c r="X480" s="7"/>
      <c r="Y480" s="7"/>
      <c r="Z480" s="7" t="s">
        <v>6178</v>
      </c>
      <c r="AA480" s="7"/>
      <c r="AB480" s="7"/>
      <c r="AC480" s="7" t="s">
        <v>6179</v>
      </c>
      <c r="AD480" s="7" t="s">
        <v>6180</v>
      </c>
      <c r="AE480" s="7"/>
      <c r="AF480" s="7"/>
      <c r="AG480" s="7"/>
      <c r="AH480" s="20">
        <v>42171.0</v>
      </c>
      <c r="AI480" s="7"/>
      <c r="AJ480" s="7" t="s">
        <v>6175</v>
      </c>
      <c r="AK480" s="7"/>
      <c r="AL480" s="7" t="s">
        <v>6181</v>
      </c>
      <c r="AM480" s="7" t="s">
        <v>6182</v>
      </c>
      <c r="AN480" s="20">
        <v>42171.0</v>
      </c>
      <c r="AO480" s="7">
        <v>97418.0</v>
      </c>
      <c r="AP480" s="7" t="s">
        <v>362</v>
      </c>
      <c r="AQ480" s="7"/>
      <c r="AR480" s="7"/>
      <c r="AS480" s="7"/>
      <c r="AT480" s="7"/>
      <c r="AU480" s="7">
        <v>0.0</v>
      </c>
      <c r="AV480" s="7" t="s">
        <v>6183</v>
      </c>
      <c r="AW480" s="7"/>
      <c r="AX480" s="7"/>
      <c r="AY480" s="7"/>
      <c r="AZ480" s="7"/>
      <c r="BA480" s="7"/>
      <c r="BB480" s="7"/>
      <c r="BC480" s="7" t="s">
        <v>366</v>
      </c>
      <c r="BD480" s="21">
        <v>44197.0</v>
      </c>
      <c r="BE480" s="7"/>
      <c r="BF480" s="7"/>
      <c r="BG480" s="22">
        <v>44197.0</v>
      </c>
      <c r="BH480" s="7"/>
      <c r="BI480" s="7" t="s">
        <v>6184</v>
      </c>
      <c r="BJ480" s="7"/>
      <c r="BK480" s="7" t="b">
        <v>0</v>
      </c>
      <c r="BL480" s="7" t="b">
        <v>0</v>
      </c>
      <c r="BM480" s="7"/>
      <c r="BN480" s="7" t="str">
        <f>IFERROR(__xludf.DUMMYFUNCTION(" IF( REGEXMATCH(C480 , ""[(].+[)]""),REGEXREPLACE( CONCATENATE(REGEXEXTRACT(C480 , ""[(].+[)]""),IF(REGEXMATCH(C480 , ""[(][Ll]['’][)]""),"""","" ""), REGEXEXTRACT(C480 ,""^(?:(?:[A-Za-zàäéèêîïöôûü0-9 ](?:[A-Za-zàäéèêîïöôûü'0-9 ]+)))"")) , ""[()]"", """")"&amp;",C480 )"),"Paintball Colors Distribution")</f>
        <v>Paintball Colors Distribution</v>
      </c>
      <c r="BO480" s="23"/>
      <c r="BP480" s="7"/>
      <c r="BQ480" s="7"/>
      <c r="BR480" s="7"/>
      <c r="BS480" s="7"/>
      <c r="BT480" s="7"/>
      <c r="BU480" s="7"/>
      <c r="BV480" s="7"/>
      <c r="BW480" s="7"/>
      <c r="BX480" s="7"/>
      <c r="BY480" s="7"/>
      <c r="BZ480" s="7"/>
      <c r="CA480" s="7"/>
      <c r="CB480" s="7"/>
    </row>
    <row r="481" ht="21.75" customHeight="1">
      <c r="A481" s="7">
        <v>3019.0</v>
      </c>
      <c r="B481" s="7" t="s">
        <v>6185</v>
      </c>
      <c r="C481" s="7" t="s">
        <v>6186</v>
      </c>
      <c r="D481" s="7"/>
      <c r="E481" s="7"/>
      <c r="F481" s="7" t="s">
        <v>342</v>
      </c>
      <c r="G481" s="7" t="s">
        <v>343</v>
      </c>
      <c r="H481" s="7" t="s">
        <v>344</v>
      </c>
      <c r="I481" s="7" t="s">
        <v>6187</v>
      </c>
      <c r="J481" s="7"/>
      <c r="K481" s="6" t="s">
        <v>469</v>
      </c>
      <c r="L481" s="7" t="s">
        <v>1405</v>
      </c>
      <c r="M481" s="7" t="s">
        <v>1406</v>
      </c>
      <c r="N481" s="7" t="s">
        <v>455</v>
      </c>
      <c r="O481" s="7">
        <v>97418.0</v>
      </c>
      <c r="P481" s="7" t="s">
        <v>348</v>
      </c>
      <c r="Q481" s="7" t="s">
        <v>570</v>
      </c>
      <c r="R481" s="7"/>
      <c r="S481" s="7"/>
      <c r="T481" s="7" t="s">
        <v>377</v>
      </c>
      <c r="U481" s="7" t="s">
        <v>378</v>
      </c>
      <c r="V481" s="7">
        <v>2.62592715E8</v>
      </c>
      <c r="W481" s="7">
        <v>6.9261015E8</v>
      </c>
      <c r="X481" s="7"/>
      <c r="Y481" s="7"/>
      <c r="Z481" s="7"/>
      <c r="AA481" s="7">
        <v>8.0</v>
      </c>
      <c r="AB481" s="7"/>
      <c r="AC481" s="7"/>
      <c r="AD481" s="7" t="s">
        <v>6188</v>
      </c>
      <c r="AE481" s="7" t="s">
        <v>6189</v>
      </c>
      <c r="AF481" s="7" t="s">
        <v>6190</v>
      </c>
      <c r="AG481" s="7"/>
      <c r="AH481" s="20">
        <v>43739.0</v>
      </c>
      <c r="AI481" s="7"/>
      <c r="AJ481" s="7" t="s">
        <v>6191</v>
      </c>
      <c r="AK481" s="7"/>
      <c r="AL481" s="7" t="s">
        <v>6192</v>
      </c>
      <c r="AM481" s="7" t="s">
        <v>6193</v>
      </c>
      <c r="AN481" s="20">
        <v>43739.0</v>
      </c>
      <c r="AO481" s="7">
        <v>97418.0</v>
      </c>
      <c r="AP481" s="7" t="s">
        <v>362</v>
      </c>
      <c r="AQ481" s="7"/>
      <c r="AR481" s="7"/>
      <c r="AS481" s="7"/>
      <c r="AT481" s="7"/>
      <c r="AU481" s="7">
        <v>0.0</v>
      </c>
      <c r="AV481" s="7" t="s">
        <v>6194</v>
      </c>
      <c r="AW481" s="7"/>
      <c r="AX481" s="7"/>
      <c r="AY481" s="7"/>
      <c r="AZ481" s="7"/>
      <c r="BA481" s="7"/>
      <c r="BB481" s="7"/>
      <c r="BC481" s="7" t="s">
        <v>401</v>
      </c>
      <c r="BD481" s="21">
        <v>44098.45277777778</v>
      </c>
      <c r="BE481" s="7" t="s">
        <v>6195</v>
      </c>
      <c r="BF481" s="7"/>
      <c r="BG481" s="7"/>
      <c r="BH481" s="7"/>
      <c r="BI481" s="7" t="s">
        <v>6196</v>
      </c>
      <c r="BJ481" s="7"/>
      <c r="BK481" s="7" t="b">
        <v>0</v>
      </c>
      <c r="BL481" s="7" t="b">
        <v>0</v>
      </c>
      <c r="BM481" s="7"/>
      <c r="BN481" s="7" t="str">
        <f>IFERROR(__xludf.DUMMYFUNCTION(" IF( REGEXMATCH(C481 , ""[(].+[)]""),REGEXREPLACE( CONCATENATE(REGEXEXTRACT(C481 , ""[(].+[)]""),IF(REGEXMATCH(C481 , ""[(][Ll]['’][)]""),"""","" ""), REGEXEXTRACT(C481 ,""^(?:(?:[A-Za-zàäéèêîïöôûü0-9 ](?:[A-Za-zàäéèêîïöôûü'0-9 ]+)))"")) , ""[()]"", """")"&amp;",C481 )"),"Le Palais du Fromage ")</f>
        <v>Le Palais du Fromage </v>
      </c>
      <c r="BO481" s="25"/>
      <c r="BP481" s="7"/>
      <c r="BQ481" s="7"/>
      <c r="BR481" s="7"/>
      <c r="BS481" s="7"/>
      <c r="BT481" s="7"/>
      <c r="BU481" s="7"/>
      <c r="BV481" s="7"/>
      <c r="BW481" s="7"/>
      <c r="BX481" s="7"/>
      <c r="BY481" s="7"/>
      <c r="BZ481" s="7"/>
      <c r="CA481" s="7"/>
      <c r="CB481" s="7"/>
    </row>
    <row r="482" ht="21.75" customHeight="1">
      <c r="A482" s="7">
        <v>1695.0</v>
      </c>
      <c r="B482" s="7" t="s">
        <v>6197</v>
      </c>
      <c r="C482" s="7" t="s">
        <v>6198</v>
      </c>
      <c r="D482" s="7" t="s">
        <v>6199</v>
      </c>
      <c r="E482" s="7"/>
      <c r="F482" s="7" t="s">
        <v>404</v>
      </c>
      <c r="G482" s="7" t="s">
        <v>343</v>
      </c>
      <c r="H482" s="7" t="s">
        <v>344</v>
      </c>
      <c r="I482" s="7" t="s">
        <v>6200</v>
      </c>
      <c r="J482" s="7"/>
      <c r="K482" s="7" t="s">
        <v>34</v>
      </c>
      <c r="L482" s="7" t="s">
        <v>622</v>
      </c>
      <c r="M482" s="7" t="s">
        <v>622</v>
      </c>
      <c r="N482" s="7" t="s">
        <v>375</v>
      </c>
      <c r="O482" s="7">
        <v>97430.0</v>
      </c>
      <c r="P482" s="7" t="s">
        <v>344</v>
      </c>
      <c r="Q482" s="7"/>
      <c r="R482" s="7"/>
      <c r="S482" s="7"/>
      <c r="T482" s="7" t="s">
        <v>377</v>
      </c>
      <c r="U482" s="7" t="s">
        <v>378</v>
      </c>
      <c r="V482" s="7">
        <v>2.62577311E8</v>
      </c>
      <c r="W482" s="7">
        <v>6.92081324E8</v>
      </c>
      <c r="X482" s="7"/>
      <c r="Y482" s="7"/>
      <c r="Z482" s="7"/>
      <c r="AA482" s="7">
        <v>50.0</v>
      </c>
      <c r="AB482" s="7"/>
      <c r="AC482" s="7"/>
      <c r="AD482" s="7" t="s">
        <v>6201</v>
      </c>
      <c r="AE482" s="7" t="s">
        <v>6202</v>
      </c>
      <c r="AF482" s="7"/>
      <c r="AG482" s="7"/>
      <c r="AH482" s="20">
        <v>43739.0</v>
      </c>
      <c r="AI482" s="7"/>
      <c r="AJ482" s="7" t="s">
        <v>6203</v>
      </c>
      <c r="AK482" s="7">
        <v>5.1974641600022E13</v>
      </c>
      <c r="AL482" s="7" t="s">
        <v>6204</v>
      </c>
      <c r="AM482" s="7" t="s">
        <v>6205</v>
      </c>
      <c r="AN482" s="20">
        <v>43739.0</v>
      </c>
      <c r="AO482" s="7">
        <v>97430.0</v>
      </c>
      <c r="AP482" s="7" t="s">
        <v>494</v>
      </c>
      <c r="AQ482" s="7"/>
      <c r="AR482" s="7"/>
      <c r="AS482" s="7"/>
      <c r="AT482" s="7"/>
      <c r="AU482" s="7">
        <v>0.0</v>
      </c>
      <c r="AV482" s="7" t="s">
        <v>6206</v>
      </c>
      <c r="AW482" s="7"/>
      <c r="AX482" s="7"/>
      <c r="AY482" s="7"/>
      <c r="AZ482" s="7"/>
      <c r="BA482" s="7"/>
      <c r="BB482" s="7"/>
      <c r="BC482" s="7" t="s">
        <v>401</v>
      </c>
      <c r="BD482" s="21">
        <v>44244.0</v>
      </c>
      <c r="BE482" s="7" t="s">
        <v>6207</v>
      </c>
      <c r="BF482" s="7"/>
      <c r="BG482" s="7"/>
      <c r="BH482" s="7">
        <v>5.19746416E8</v>
      </c>
      <c r="BI482" s="7" t="s">
        <v>6208</v>
      </c>
      <c r="BJ482" s="7"/>
      <c r="BK482" s="7" t="b">
        <v>0</v>
      </c>
      <c r="BL482" s="7" t="b">
        <v>0</v>
      </c>
      <c r="BM482" s="7"/>
      <c r="BN482" s="7" t="str">
        <f>IFERROR(__xludf.DUMMYFUNCTION(" IF( REGEXMATCH(C482 , ""[(].+[)]""),REGEXREPLACE( CONCATENATE(REGEXEXTRACT(C482 , ""[(].+[)]""),IF(REGEXMATCH(C482 , ""[(][Ll]['’][)]""),"""","" ""), REGEXEXTRACT(C482 ,""^(?:(?:[A-Za-zàäéèêîïöôûü0-9 ](?:[A-Za-zàäéèêîïöôûü'0-9 ]+)))"")) , ""[()]"", """")"&amp;",C482 )"),"Le Palais Indien ")</f>
        <v>Le Palais Indien </v>
      </c>
      <c r="BO482" s="25"/>
      <c r="BP482" s="7"/>
      <c r="BQ482" s="7"/>
      <c r="BR482" s="7"/>
      <c r="BS482" s="7"/>
      <c r="BT482" s="7"/>
      <c r="BU482" s="7"/>
      <c r="BV482" s="7"/>
      <c r="BW482" s="7"/>
      <c r="BX482" s="7"/>
      <c r="BY482" s="7"/>
      <c r="BZ482" s="7"/>
      <c r="CA482" s="7"/>
      <c r="CB482" s="7"/>
    </row>
    <row r="483" ht="21.75" customHeight="1">
      <c r="A483" s="7">
        <v>2780.0</v>
      </c>
      <c r="B483" s="7" t="s">
        <v>6209</v>
      </c>
      <c r="C483" s="7" t="s">
        <v>6210</v>
      </c>
      <c r="D483" s="7" t="s">
        <v>6211</v>
      </c>
      <c r="E483" s="7"/>
      <c r="F483" s="7" t="s">
        <v>342</v>
      </c>
      <c r="G483" s="7" t="s">
        <v>343</v>
      </c>
      <c r="H483" s="7" t="s">
        <v>33</v>
      </c>
      <c r="I483" s="7" t="s">
        <v>6212</v>
      </c>
      <c r="J483" s="7"/>
      <c r="K483" s="7" t="s">
        <v>34</v>
      </c>
      <c r="L483" s="7" t="s">
        <v>1414</v>
      </c>
      <c r="M483" s="7" t="s">
        <v>1414</v>
      </c>
      <c r="N483" s="7" t="s">
        <v>455</v>
      </c>
      <c r="O483" s="7">
        <v>97442.0</v>
      </c>
      <c r="P483" s="7" t="s">
        <v>33</v>
      </c>
      <c r="Q483" s="7"/>
      <c r="R483" s="7"/>
      <c r="S483" s="7" t="s">
        <v>6213</v>
      </c>
      <c r="T483" s="7" t="s">
        <v>377</v>
      </c>
      <c r="U483" s="7" t="s">
        <v>353</v>
      </c>
      <c r="V483" s="7"/>
      <c r="W483" s="7">
        <v>6.92690348E8</v>
      </c>
      <c r="X483" s="7"/>
      <c r="Y483" s="7"/>
      <c r="Z483" s="7" t="s">
        <v>6214</v>
      </c>
      <c r="AA483" s="7">
        <v>50.0</v>
      </c>
      <c r="AB483" s="7"/>
      <c r="AC483" s="7" t="s">
        <v>6215</v>
      </c>
      <c r="AD483" s="7" t="s">
        <v>6216</v>
      </c>
      <c r="AE483" s="7" t="s">
        <v>6217</v>
      </c>
      <c r="AF483" s="7"/>
      <c r="AG483" s="7" t="s">
        <v>3787</v>
      </c>
      <c r="AH483" s="20">
        <v>43739.0</v>
      </c>
      <c r="AI483" s="7"/>
      <c r="AJ483" s="7" t="s">
        <v>6218</v>
      </c>
      <c r="AK483" s="7"/>
      <c r="AL483" s="7" t="s">
        <v>6219</v>
      </c>
      <c r="AM483" s="7" t="s">
        <v>6220</v>
      </c>
      <c r="AN483" s="20">
        <v>43739.0</v>
      </c>
      <c r="AO483" s="7">
        <v>97442.0</v>
      </c>
      <c r="AP483" s="7" t="s">
        <v>884</v>
      </c>
      <c r="AQ483" s="7"/>
      <c r="AR483" s="7"/>
      <c r="AS483" s="7"/>
      <c r="AT483" s="7"/>
      <c r="AU483" s="7">
        <v>0.0</v>
      </c>
      <c r="AV483" s="7" t="s">
        <v>6221</v>
      </c>
      <c r="AW483" s="7"/>
      <c r="AX483" s="7"/>
      <c r="AY483" s="7"/>
      <c r="AZ483" s="7"/>
      <c r="BA483" s="7"/>
      <c r="BB483" s="7"/>
      <c r="BC483" s="7" t="s">
        <v>401</v>
      </c>
      <c r="BD483" s="21">
        <v>44222.49097222222</v>
      </c>
      <c r="BE483" s="7" t="s">
        <v>6222</v>
      </c>
      <c r="BF483" s="7"/>
      <c r="BG483" s="7"/>
      <c r="BH483" s="7"/>
      <c r="BI483" s="7" t="s">
        <v>6223</v>
      </c>
      <c r="BJ483" s="7"/>
      <c r="BK483" s="7" t="b">
        <v>0</v>
      </c>
      <c r="BL483" s="7" t="b">
        <v>0</v>
      </c>
      <c r="BM483" s="7"/>
      <c r="BN483" s="7" t="str">
        <f>IFERROR(__xludf.DUMMYFUNCTION(" IF( REGEXMATCH(C483 , ""[(].+[)]""),REGEXREPLACE( CONCATENATE(REGEXEXTRACT(C483 , ""[(].+[)]""),IF(REGEXMATCH(C483 , ""[(][Ll]['’][)]""),"""","" ""), REGEXEXTRACT(C483 ,""^(?:(?:[A-Za-zàäéèêîïöôûü0-9 ](?:[A-Za-zàäéèêîïöôûü'0-9 ]+)))"")) , ""[()]"", """")"&amp;",C483 )"),"Auberge Le Palmier")</f>
        <v>Auberge Le Palmier</v>
      </c>
      <c r="BO483" s="25"/>
      <c r="BP483" s="7"/>
      <c r="BQ483" s="7"/>
      <c r="BR483" s="7"/>
      <c r="BS483" s="7"/>
      <c r="BT483" s="7"/>
      <c r="BU483" s="7"/>
      <c r="BV483" s="7"/>
      <c r="BW483" s="7"/>
      <c r="BX483" s="7"/>
      <c r="BY483" s="7"/>
      <c r="BZ483" s="7"/>
      <c r="CA483" s="7"/>
      <c r="CB483" s="7"/>
    </row>
    <row r="484" ht="21.75" customHeight="1">
      <c r="A484" s="7">
        <v>2596.0</v>
      </c>
      <c r="B484" s="7" t="s">
        <v>6224</v>
      </c>
      <c r="C484" s="7" t="s">
        <v>6225</v>
      </c>
      <c r="D484" s="7" t="s">
        <v>6211</v>
      </c>
      <c r="E484" s="7"/>
      <c r="F484" s="7" t="s">
        <v>342</v>
      </c>
      <c r="G484" s="7" t="s">
        <v>343</v>
      </c>
      <c r="H484" s="7" t="s">
        <v>33</v>
      </c>
      <c r="I484" s="7" t="s">
        <v>6226</v>
      </c>
      <c r="J484" s="7"/>
      <c r="K484" s="7" t="s">
        <v>58</v>
      </c>
      <c r="L484" s="7" t="s">
        <v>453</v>
      </c>
      <c r="M484" s="7" t="s">
        <v>454</v>
      </c>
      <c r="N484" s="7" t="s">
        <v>375</v>
      </c>
      <c r="O484" s="7">
        <v>97442.0</v>
      </c>
      <c r="P484" s="7" t="s">
        <v>33</v>
      </c>
      <c r="Q484" s="7"/>
      <c r="R484" s="7" t="s">
        <v>6227</v>
      </c>
      <c r="S484" s="7" t="s">
        <v>6228</v>
      </c>
      <c r="T484" s="7" t="s">
        <v>377</v>
      </c>
      <c r="U484" s="7" t="s">
        <v>353</v>
      </c>
      <c r="V484" s="7">
        <v>2.62370411E8</v>
      </c>
      <c r="W484" s="7">
        <v>6.92028571E8</v>
      </c>
      <c r="X484" s="7"/>
      <c r="Y484" s="7"/>
      <c r="Z484" s="7" t="s">
        <v>6229</v>
      </c>
      <c r="AA484" s="7">
        <v>7.0</v>
      </c>
      <c r="AB484" s="7"/>
      <c r="AC484" s="7" t="s">
        <v>6230</v>
      </c>
      <c r="AD484" s="7" t="s">
        <v>6231</v>
      </c>
      <c r="AE484" s="7" t="s">
        <v>6232</v>
      </c>
      <c r="AF484" s="7"/>
      <c r="AG484" s="7"/>
      <c r="AH484" s="20">
        <v>40268.0</v>
      </c>
      <c r="AI484" s="7"/>
      <c r="AJ484" s="7" t="s">
        <v>6233</v>
      </c>
      <c r="AK484" s="7"/>
      <c r="AL484" s="7" t="s">
        <v>6234</v>
      </c>
      <c r="AM484" s="7" t="s">
        <v>6235</v>
      </c>
      <c r="AN484" s="20">
        <v>40268.0</v>
      </c>
      <c r="AO484" s="7">
        <v>97442.0</v>
      </c>
      <c r="AP484" s="7" t="s">
        <v>884</v>
      </c>
      <c r="AQ484" s="7"/>
      <c r="AR484" s="7"/>
      <c r="AS484" s="7"/>
      <c r="AT484" s="7"/>
      <c r="AU484" s="7">
        <v>3.0</v>
      </c>
      <c r="AV484" s="7" t="s">
        <v>6236</v>
      </c>
      <c r="AW484" s="7"/>
      <c r="AX484" s="7"/>
      <c r="AY484" s="7"/>
      <c r="AZ484" s="7" t="s">
        <v>6237</v>
      </c>
      <c r="BA484" s="7"/>
      <c r="BB484" s="7"/>
      <c r="BC484" s="7" t="s">
        <v>401</v>
      </c>
      <c r="BD484" s="21">
        <v>44222.49097222222</v>
      </c>
      <c r="BE484" s="7" t="s">
        <v>5217</v>
      </c>
      <c r="BF484" s="7"/>
      <c r="BG484" s="7"/>
      <c r="BH484" s="7"/>
      <c r="BI484" s="7" t="s">
        <v>6238</v>
      </c>
      <c r="BJ484" s="7"/>
      <c r="BK484" s="7" t="b">
        <v>0</v>
      </c>
      <c r="BL484" s="7" t="b">
        <v>0</v>
      </c>
      <c r="BM484" s="7"/>
      <c r="BN484" s="7" t="str">
        <f>IFERROR(__xludf.DUMMYFUNCTION(" IF( REGEXMATCH(C484 , ""[(].+[)]""),REGEXREPLACE( CONCATENATE(REGEXEXTRACT(C484 , ""[(].+[)]""),IF(REGEXMATCH(C484 , ""[(][Ll]['’][)]""),"""","" ""), REGEXEXTRACT(C484 ,""^(?:(?:[A-Za-zàäéèêîïöôûü0-9 ](?:[A-Za-zàäéèêîïöôûü'0-9 ]+)))"")) , ""[()]"", """")"&amp;",C484 )"),"Le Palmier ")</f>
        <v>Le Palmier </v>
      </c>
      <c r="BO484" s="25"/>
      <c r="BP484" s="7"/>
      <c r="BQ484" s="7"/>
      <c r="BR484" s="7"/>
      <c r="BS484" s="7"/>
      <c r="BT484" s="7"/>
      <c r="BU484" s="7"/>
      <c r="BV484" s="7"/>
      <c r="BW484" s="7"/>
      <c r="BX484" s="7"/>
      <c r="BY484" s="7"/>
      <c r="BZ484" s="7"/>
      <c r="CA484" s="7"/>
      <c r="CB484" s="7"/>
    </row>
    <row r="485" ht="21.75" customHeight="1">
      <c r="A485" s="7">
        <v>1552.0</v>
      </c>
      <c r="B485" s="7" t="s">
        <v>6239</v>
      </c>
      <c r="C485" s="7" t="s">
        <v>6240</v>
      </c>
      <c r="D485" s="7" t="s">
        <v>6240</v>
      </c>
      <c r="E485" s="7"/>
      <c r="F485" s="7" t="s">
        <v>342</v>
      </c>
      <c r="G485" s="7" t="s">
        <v>343</v>
      </c>
      <c r="H485" s="7" t="s">
        <v>344</v>
      </c>
      <c r="I485" s="7" t="s">
        <v>6241</v>
      </c>
      <c r="J485" s="26" t="s">
        <v>6242</v>
      </c>
      <c r="K485" s="7" t="s">
        <v>58</v>
      </c>
      <c r="L485" s="7" t="s">
        <v>59</v>
      </c>
      <c r="M485" s="7" t="s">
        <v>374</v>
      </c>
      <c r="N485" s="7" t="s">
        <v>455</v>
      </c>
      <c r="O485" s="7">
        <v>97430.0</v>
      </c>
      <c r="P485" s="7" t="s">
        <v>344</v>
      </c>
      <c r="Q485" s="7"/>
      <c r="R485" s="7" t="s">
        <v>6243</v>
      </c>
      <c r="S485" s="7" t="s">
        <v>2605</v>
      </c>
      <c r="T485" s="7" t="s">
        <v>377</v>
      </c>
      <c r="U485" s="7" t="s">
        <v>353</v>
      </c>
      <c r="V485" s="7">
        <v>2.62271749E8</v>
      </c>
      <c r="W485" s="7">
        <v>6.92604846E8</v>
      </c>
      <c r="X485" s="7"/>
      <c r="Y485" s="7"/>
      <c r="Z485" s="7" t="s">
        <v>6244</v>
      </c>
      <c r="AA485" s="7">
        <v>2.0</v>
      </c>
      <c r="AB485" s="7" t="s">
        <v>355</v>
      </c>
      <c r="AC485" s="7" t="s">
        <v>6245</v>
      </c>
      <c r="AD485" s="7" t="s">
        <v>6246</v>
      </c>
      <c r="AE485" s="7" t="s">
        <v>6247</v>
      </c>
      <c r="AF485" s="7"/>
      <c r="AG485" s="7"/>
      <c r="AH485" s="20">
        <v>43739.0</v>
      </c>
      <c r="AI485" s="7"/>
      <c r="AJ485" s="7" t="s">
        <v>6248</v>
      </c>
      <c r="AK485" s="7"/>
      <c r="AL485" s="7" t="s">
        <v>6249</v>
      </c>
      <c r="AM485" s="7" t="s">
        <v>6250</v>
      </c>
      <c r="AN485" s="20">
        <v>43739.0</v>
      </c>
      <c r="AO485" s="7">
        <v>97430.0</v>
      </c>
      <c r="AP485" s="7" t="s">
        <v>494</v>
      </c>
      <c r="AQ485" s="7"/>
      <c r="AR485" s="7"/>
      <c r="AS485" s="7"/>
      <c r="AT485" s="7"/>
      <c r="AU485" s="7">
        <v>1.0</v>
      </c>
      <c r="AV485" s="7" t="s">
        <v>6251</v>
      </c>
      <c r="AW485" s="7"/>
      <c r="AX485" s="7"/>
      <c r="AY485" s="7"/>
      <c r="AZ485" s="7" t="s">
        <v>6252</v>
      </c>
      <c r="BA485" s="7"/>
      <c r="BB485" s="7"/>
      <c r="BC485" s="7" t="s">
        <v>401</v>
      </c>
      <c r="BD485" s="21">
        <v>44222.47986111111</v>
      </c>
      <c r="BE485" s="7" t="s">
        <v>6253</v>
      </c>
      <c r="BF485" s="7"/>
      <c r="BG485" s="7"/>
      <c r="BH485" s="7"/>
      <c r="BI485" s="7" t="s">
        <v>6254</v>
      </c>
      <c r="BJ485" s="7"/>
      <c r="BK485" s="7" t="b">
        <v>0</v>
      </c>
      <c r="BL485" s="7" t="b">
        <v>0</v>
      </c>
      <c r="BM485" s="7"/>
      <c r="BN485" s="7" t="str">
        <f>IFERROR(__xludf.DUMMYFUNCTION(" IF( REGEXMATCH(C485 , ""[(].+[)]""),REGEXREPLACE( CONCATENATE(REGEXEXTRACT(C485 , ""[(].+[)]""),IF(REGEXMATCH(C485 , ""[(][Ll]['’][)]""),"""","" ""), REGEXEXTRACT(C485 ,""^(?:(?:[A-Za-zàäéèêîïöôûü0-9 ](?:[A-Za-zàäéèêîïöôûü'0-9 ]+)))"")) , ""[()]"", """")"&amp;",C485 )"),"Les Palmiers ")</f>
        <v>Les Palmiers </v>
      </c>
      <c r="BO485" s="25"/>
      <c r="BP485" s="7"/>
      <c r="BQ485" s="7"/>
      <c r="BR485" s="7"/>
      <c r="BS485" s="7"/>
      <c r="BT485" s="7"/>
      <c r="BU485" s="7"/>
      <c r="BV485" s="7"/>
      <c r="BW485" s="7"/>
      <c r="BX485" s="7"/>
      <c r="BY485" s="7"/>
      <c r="BZ485" s="7"/>
      <c r="CA485" s="7"/>
      <c r="CB485" s="7"/>
    </row>
    <row r="486" ht="21.75" customHeight="1">
      <c r="A486" s="7">
        <v>871.0</v>
      </c>
      <c r="B486" s="7" t="s">
        <v>6255</v>
      </c>
      <c r="C486" s="7" t="s">
        <v>6256</v>
      </c>
      <c r="D486" s="7" t="s">
        <v>6256</v>
      </c>
      <c r="E486" s="7"/>
      <c r="F486" s="7" t="s">
        <v>342</v>
      </c>
      <c r="G486" s="7" t="s">
        <v>343</v>
      </c>
      <c r="H486" s="7" t="s">
        <v>344</v>
      </c>
      <c r="I486" s="7" t="s">
        <v>6257</v>
      </c>
      <c r="J486" s="7"/>
      <c r="K486" s="7" t="s">
        <v>58</v>
      </c>
      <c r="L486" s="7" t="s">
        <v>59</v>
      </c>
      <c r="M486" s="7" t="s">
        <v>374</v>
      </c>
      <c r="N486" s="7" t="s">
        <v>1456</v>
      </c>
      <c r="O486" s="7">
        <v>97430.0</v>
      </c>
      <c r="P486" s="7" t="s">
        <v>344</v>
      </c>
      <c r="Q486" s="7"/>
      <c r="R486" s="7" t="s">
        <v>5666</v>
      </c>
      <c r="S486" s="7" t="s">
        <v>2605</v>
      </c>
      <c r="T486" s="7" t="s">
        <v>377</v>
      </c>
      <c r="U486" s="7" t="s">
        <v>353</v>
      </c>
      <c r="V486" s="7">
        <v>2.62578376E8</v>
      </c>
      <c r="W486" s="7">
        <v>6.92951074E8</v>
      </c>
      <c r="X486" s="7"/>
      <c r="Y486" s="7"/>
      <c r="Z486" s="7" t="s">
        <v>6258</v>
      </c>
      <c r="AA486" s="7">
        <v>4.0</v>
      </c>
      <c r="AB486" s="7" t="s">
        <v>355</v>
      </c>
      <c r="AC486" s="7"/>
      <c r="AD486" s="7" t="s">
        <v>6259</v>
      </c>
      <c r="AE486" s="7" t="s">
        <v>6260</v>
      </c>
      <c r="AF486" s="7"/>
      <c r="AG486" s="7"/>
      <c r="AH486" s="20">
        <v>39632.0</v>
      </c>
      <c r="AI486" s="7"/>
      <c r="AJ486" s="7" t="s">
        <v>6261</v>
      </c>
      <c r="AK486" s="7"/>
      <c r="AL486" s="7" t="s">
        <v>6262</v>
      </c>
      <c r="AM486" s="7" t="s">
        <v>6263</v>
      </c>
      <c r="AN486" s="20">
        <v>39632.0</v>
      </c>
      <c r="AO486" s="7">
        <v>97425.0</v>
      </c>
      <c r="AP486" s="7" t="s">
        <v>6264</v>
      </c>
      <c r="AQ486" s="7"/>
      <c r="AR486" s="7"/>
      <c r="AS486" s="7"/>
      <c r="AT486" s="7"/>
      <c r="AU486" s="7">
        <v>1.0</v>
      </c>
      <c r="AV486" s="7" t="s">
        <v>6265</v>
      </c>
      <c r="AW486" s="7"/>
      <c r="AX486" s="7"/>
      <c r="AY486" s="7"/>
      <c r="AZ486" s="7" t="s">
        <v>6266</v>
      </c>
      <c r="BA486" s="7"/>
      <c r="BB486" s="7"/>
      <c r="BC486" s="7" t="s">
        <v>401</v>
      </c>
      <c r="BD486" s="7"/>
      <c r="BE486" s="7" t="s">
        <v>6267</v>
      </c>
      <c r="BF486" s="7"/>
      <c r="BG486" s="7"/>
      <c r="BH486" s="7"/>
      <c r="BI486" s="7" t="s">
        <v>6268</v>
      </c>
      <c r="BJ486" s="7"/>
      <c r="BK486" s="7" t="b">
        <v>0</v>
      </c>
      <c r="BL486" s="7" t="b">
        <v>0</v>
      </c>
      <c r="BM486" s="7"/>
      <c r="BN486" s="7" t="str">
        <f>IFERROR(__xludf.DUMMYFUNCTION(" IF( REGEXMATCH(C486 , ""[(].+[)]""),REGEXREPLACE( CONCATENATE(REGEXEXTRACT(C486 , ""[(].+[)]""),IF(REGEXMATCH(C486 , ""[(][Ll]['’][)]""),"""","" ""), REGEXEXTRACT(C486 ,""^(?:(?:[A-Za-zàäéèêîïöôûü0-9 ](?:[A-Za-zàäéèêîïöôûü'0-9 ]+)))"")) , ""[()]"", """")"&amp;",C486 )"),"Les Palmistes ")</f>
        <v>Les Palmistes </v>
      </c>
      <c r="BO486" s="25"/>
      <c r="BP486" s="7"/>
      <c r="BQ486" s="7"/>
      <c r="BR486" s="7"/>
      <c r="BS486" s="7"/>
      <c r="BT486" s="7"/>
      <c r="BU486" s="7"/>
      <c r="BV486" s="7"/>
      <c r="BW486" s="7"/>
      <c r="BX486" s="7"/>
      <c r="BY486" s="7"/>
      <c r="BZ486" s="7"/>
      <c r="CA486" s="7"/>
      <c r="CB486" s="7"/>
    </row>
    <row r="487" ht="21.75" customHeight="1">
      <c r="A487" s="7">
        <v>2591.0</v>
      </c>
      <c r="B487" s="7" t="s">
        <v>6269</v>
      </c>
      <c r="C487" s="7" t="s">
        <v>6270</v>
      </c>
      <c r="D487" s="7" t="s">
        <v>6271</v>
      </c>
      <c r="E487" s="7"/>
      <c r="F487" s="7" t="s">
        <v>342</v>
      </c>
      <c r="G487" s="7" t="s">
        <v>343</v>
      </c>
      <c r="H487" s="7" t="s">
        <v>123</v>
      </c>
      <c r="I487" s="7" t="s">
        <v>6272</v>
      </c>
      <c r="J487" s="7"/>
      <c r="K487" s="7" t="s">
        <v>58</v>
      </c>
      <c r="L487" s="7" t="s">
        <v>59</v>
      </c>
      <c r="M487" s="7" t="s">
        <v>374</v>
      </c>
      <c r="N487" s="7" t="s">
        <v>455</v>
      </c>
      <c r="O487" s="7">
        <v>97480.0</v>
      </c>
      <c r="P487" s="7" t="s">
        <v>123</v>
      </c>
      <c r="Q487" s="7"/>
      <c r="R487" s="7" t="s">
        <v>6273</v>
      </c>
      <c r="S487" s="7" t="s">
        <v>6274</v>
      </c>
      <c r="T487" s="7" t="s">
        <v>377</v>
      </c>
      <c r="U487" s="7" t="s">
        <v>378</v>
      </c>
      <c r="V487" s="7">
        <v>2.62974688E8</v>
      </c>
      <c r="W487" s="7">
        <v>6.92031667E8</v>
      </c>
      <c r="X487" s="7"/>
      <c r="Y487" s="7"/>
      <c r="Z487" s="7" t="s">
        <v>6275</v>
      </c>
      <c r="AA487" s="7">
        <v>15.0</v>
      </c>
      <c r="AB487" s="7"/>
      <c r="AC487" s="7" t="s">
        <v>6276</v>
      </c>
      <c r="AD487" s="7" t="s">
        <v>6277</v>
      </c>
      <c r="AE487" s="7"/>
      <c r="AF487" s="7"/>
      <c r="AG487" s="7"/>
      <c r="AH487" s="20">
        <v>40268.0</v>
      </c>
      <c r="AI487" s="7"/>
      <c r="AJ487" s="7" t="s">
        <v>6278</v>
      </c>
      <c r="AK487" s="7"/>
      <c r="AL487" s="7" t="s">
        <v>6279</v>
      </c>
      <c r="AM487" s="7" t="s">
        <v>6280</v>
      </c>
      <c r="AN487" s="20">
        <v>40268.0</v>
      </c>
      <c r="AO487" s="7">
        <v>97480.0</v>
      </c>
      <c r="AP487" s="7" t="s">
        <v>385</v>
      </c>
      <c r="AQ487" s="7"/>
      <c r="AR487" s="7"/>
      <c r="AS487" s="7"/>
      <c r="AT487" s="7"/>
      <c r="AU487" s="7">
        <v>3.0</v>
      </c>
      <c r="AV487" s="7" t="s">
        <v>6281</v>
      </c>
      <c r="AW487" s="7"/>
      <c r="AX487" s="7"/>
      <c r="AY487" s="7"/>
      <c r="AZ487" s="7" t="s">
        <v>6282</v>
      </c>
      <c r="BA487" s="7"/>
      <c r="BB487" s="7"/>
      <c r="BC487" s="7" t="s">
        <v>401</v>
      </c>
      <c r="BD487" s="21">
        <v>44159.0</v>
      </c>
      <c r="BE487" s="7" t="s">
        <v>6283</v>
      </c>
      <c r="BF487" s="7"/>
      <c r="BG487" s="7"/>
      <c r="BH487" s="7"/>
      <c r="BI487" s="7" t="s">
        <v>6284</v>
      </c>
      <c r="BJ487" s="7"/>
      <c r="BK487" s="7" t="b">
        <v>0</v>
      </c>
      <c r="BL487" s="7" t="b">
        <v>0</v>
      </c>
      <c r="BM487" s="7"/>
      <c r="BN487" s="7" t="str">
        <f>IFERROR(__xludf.DUMMYFUNCTION(" IF( REGEXMATCH(C487 , ""[(].+[)]""),REGEXREPLACE( CONCATENATE(REGEXEXTRACT(C487 , ""[(].+[)]""),IF(REGEXMATCH(C487 , ""[(][Ll]['’][)]""),"""","" ""), REGEXEXTRACT(C487 ,""^(?:(?:[A-Za-zàäéèêîïöôûü0-9 ](?:[A-Za-zàäéèêîïöôûü'0-9 ]+)))"")) , ""[()]"", """")"&amp;",C487 )"),"Les Pamplemousses ")</f>
        <v>Les Pamplemousses </v>
      </c>
      <c r="BO487" s="25"/>
      <c r="BP487" s="7"/>
      <c r="BQ487" s="7"/>
      <c r="BR487" s="7"/>
      <c r="BS487" s="7"/>
      <c r="BT487" s="7"/>
      <c r="BU487" s="7"/>
      <c r="BV487" s="7"/>
      <c r="BW487" s="7"/>
      <c r="BX487" s="7"/>
      <c r="BY487" s="7"/>
      <c r="BZ487" s="7"/>
      <c r="CA487" s="7"/>
      <c r="CB487" s="7"/>
    </row>
    <row r="488" ht="21.75" customHeight="1">
      <c r="A488" s="7">
        <v>2594.0</v>
      </c>
      <c r="B488" s="7">
        <v>487.0</v>
      </c>
      <c r="C488" s="7" t="s">
        <v>6285</v>
      </c>
      <c r="D488" s="7"/>
      <c r="E488" s="7"/>
      <c r="F488" s="7" t="s">
        <v>404</v>
      </c>
      <c r="G488" s="7" t="s">
        <v>343</v>
      </c>
      <c r="H488" s="7" t="s">
        <v>123</v>
      </c>
      <c r="I488" s="7" t="s">
        <v>6286</v>
      </c>
      <c r="J488" s="7"/>
      <c r="K488" s="7" t="s">
        <v>58</v>
      </c>
      <c r="L488" s="7" t="s">
        <v>59</v>
      </c>
      <c r="M488" s="7" t="s">
        <v>374</v>
      </c>
      <c r="N488" s="7" t="s">
        <v>375</v>
      </c>
      <c r="O488" s="7">
        <v>97480.0</v>
      </c>
      <c r="P488" s="7" t="s">
        <v>123</v>
      </c>
      <c r="Q488" s="7"/>
      <c r="R488" s="7" t="s">
        <v>6287</v>
      </c>
      <c r="S488" s="7"/>
      <c r="T488" s="7" t="s">
        <v>377</v>
      </c>
      <c r="U488" s="7" t="s">
        <v>378</v>
      </c>
      <c r="V488" s="7">
        <v>2.6227848E8</v>
      </c>
      <c r="W488" s="7">
        <v>6.93002397E8</v>
      </c>
      <c r="X488" s="7"/>
      <c r="Y488" s="7">
        <v>2.6227848E8</v>
      </c>
      <c r="Z488" s="7"/>
      <c r="AA488" s="7">
        <v>4.0</v>
      </c>
      <c r="AB488" s="7"/>
      <c r="AC488" s="7"/>
      <c r="AD488" s="7" t="s">
        <v>6288</v>
      </c>
      <c r="AE488" s="7"/>
      <c r="AF488" s="7"/>
      <c r="AG488" s="7"/>
      <c r="AH488" s="20">
        <v>43739.0</v>
      </c>
      <c r="AI488" s="7"/>
      <c r="AJ488" s="7" t="s">
        <v>6285</v>
      </c>
      <c r="AK488" s="7"/>
      <c r="AL488" s="7" t="s">
        <v>6289</v>
      </c>
      <c r="AM488" s="7" t="s">
        <v>6290</v>
      </c>
      <c r="AN488" s="20">
        <v>43739.0</v>
      </c>
      <c r="AO488" s="7">
        <v>97480.0</v>
      </c>
      <c r="AP488" s="7" t="s">
        <v>385</v>
      </c>
      <c r="AQ488" s="7"/>
      <c r="AR488" s="7"/>
      <c r="AS488" s="7"/>
      <c r="AT488" s="7"/>
      <c r="AU488" s="7">
        <v>1.0</v>
      </c>
      <c r="AV488" s="7" t="s">
        <v>6291</v>
      </c>
      <c r="AW488" s="7"/>
      <c r="AX488" s="7"/>
      <c r="AY488" s="7"/>
      <c r="AZ488" s="7"/>
      <c r="BA488" s="7"/>
      <c r="BB488" s="7"/>
      <c r="BC488" s="7" t="s">
        <v>366</v>
      </c>
      <c r="BD488" s="21">
        <v>44159.13958333333</v>
      </c>
      <c r="BE488" s="7"/>
      <c r="BF488" s="7"/>
      <c r="BG488" s="22">
        <v>44159.0</v>
      </c>
      <c r="BH488" s="7"/>
      <c r="BI488" s="7" t="s">
        <v>5562</v>
      </c>
      <c r="BJ488" s="7"/>
      <c r="BK488" s="7" t="b">
        <v>0</v>
      </c>
      <c r="BL488" s="7" t="b">
        <v>0</v>
      </c>
      <c r="BM488" s="7"/>
      <c r="BN488" s="7" t="str">
        <f>IFERROR(__xludf.DUMMYFUNCTION(" IF( REGEXMATCH(C488 , ""[(].+[)]""),REGEXREPLACE( CONCATENATE(REGEXEXTRACT(C488 , ""[(].+[)]""),IF(REGEXMATCH(C488 , ""[(][Ll]['’][)]""),"""","" ""), REGEXEXTRACT(C488 ,""^(?:(?:[A-Za-zàäéèêîïöôûü0-9 ](?:[A-Za-zàäéèêîïöôûü'0-9 ]+)))"")) , ""[()]"", """")"&amp;",C488 )"),"Le Panama ")</f>
        <v>Le Panama </v>
      </c>
      <c r="BO488" s="23"/>
      <c r="BP488" s="7"/>
      <c r="BQ488" s="7"/>
      <c r="BR488" s="7"/>
      <c r="BS488" s="7"/>
      <c r="BT488" s="7"/>
      <c r="BU488" s="7"/>
      <c r="BV488" s="7"/>
      <c r="BW488" s="7"/>
      <c r="BX488" s="7"/>
      <c r="BY488" s="7"/>
      <c r="BZ488" s="7"/>
      <c r="CA488" s="7"/>
      <c r="CB488" s="7"/>
    </row>
    <row r="489" ht="21.75" customHeight="1">
      <c r="A489" s="7">
        <v>1557.0</v>
      </c>
      <c r="B489" s="7" t="s">
        <v>6292</v>
      </c>
      <c r="C489" s="7" t="s">
        <v>6293</v>
      </c>
      <c r="D489" s="7" t="s">
        <v>6293</v>
      </c>
      <c r="E489" s="7"/>
      <c r="F489" s="7" t="s">
        <v>342</v>
      </c>
      <c r="G489" s="7" t="s">
        <v>343</v>
      </c>
      <c r="H489" s="7" t="s">
        <v>344</v>
      </c>
      <c r="I489" s="7" t="s">
        <v>6294</v>
      </c>
      <c r="J489" s="7"/>
      <c r="K489" s="7" t="s">
        <v>34</v>
      </c>
      <c r="L489" s="7" t="s">
        <v>622</v>
      </c>
      <c r="M489" s="7" t="s">
        <v>622</v>
      </c>
      <c r="N489" s="7" t="s">
        <v>407</v>
      </c>
      <c r="O489" s="7">
        <v>97418.0</v>
      </c>
      <c r="P489" s="7" t="s">
        <v>348</v>
      </c>
      <c r="Q489" s="7" t="s">
        <v>570</v>
      </c>
      <c r="R489" s="7" t="s">
        <v>801</v>
      </c>
      <c r="S489" s="7" t="s">
        <v>647</v>
      </c>
      <c r="T489" s="7" t="s">
        <v>5639</v>
      </c>
      <c r="U489" s="7" t="s">
        <v>592</v>
      </c>
      <c r="V489" s="7">
        <v>2.62593612E8</v>
      </c>
      <c r="W489" s="7">
        <v>6.92886475E8</v>
      </c>
      <c r="X489" s="7"/>
      <c r="Y489" s="7"/>
      <c r="Z489" s="7" t="s">
        <v>6295</v>
      </c>
      <c r="AA489" s="7"/>
      <c r="AB489" s="7"/>
      <c r="AC489" s="7" t="s">
        <v>6296</v>
      </c>
      <c r="AD489" s="7" t="s">
        <v>6297</v>
      </c>
      <c r="AE489" s="7" t="s">
        <v>6298</v>
      </c>
      <c r="AF489" s="7"/>
      <c r="AG489" s="7"/>
      <c r="AH489" s="20">
        <v>43739.0</v>
      </c>
      <c r="AI489" s="7"/>
      <c r="AJ489" s="7" t="s">
        <v>6299</v>
      </c>
      <c r="AK489" s="7"/>
      <c r="AL489" s="7" t="s">
        <v>6300</v>
      </c>
      <c r="AM489" s="7" t="s">
        <v>6301</v>
      </c>
      <c r="AN489" s="20">
        <v>39884.0</v>
      </c>
      <c r="AO489" s="7">
        <v>97418.0</v>
      </c>
      <c r="AP489" s="7" t="s">
        <v>362</v>
      </c>
      <c r="AQ489" s="7"/>
      <c r="AR489" s="7"/>
      <c r="AS489" s="7"/>
      <c r="AT489" s="7"/>
      <c r="AU489" s="7">
        <v>0.0</v>
      </c>
      <c r="AV489" s="7" t="s">
        <v>6302</v>
      </c>
      <c r="AW489" s="7"/>
      <c r="AX489" s="7"/>
      <c r="AY489" s="7"/>
      <c r="AZ489" s="7"/>
      <c r="BA489" s="7"/>
      <c r="BB489" s="7"/>
      <c r="BC489" s="7" t="s">
        <v>401</v>
      </c>
      <c r="BD489" s="21">
        <v>44228.0</v>
      </c>
      <c r="BE489" s="7" t="s">
        <v>2828</v>
      </c>
      <c r="BF489" s="7"/>
      <c r="BG489" s="7"/>
      <c r="BH489" s="7"/>
      <c r="BI489" s="7" t="s">
        <v>6303</v>
      </c>
      <c r="BJ489" s="7"/>
      <c r="BK489" s="7" t="b">
        <v>0</v>
      </c>
      <c r="BL489" s="7" t="b">
        <v>0</v>
      </c>
      <c r="BM489" s="7"/>
      <c r="BN489" s="7" t="str">
        <f>IFERROR(__xludf.DUMMYFUNCTION(" IF( REGEXMATCH(C489 , ""[(].+[)]""),REGEXREPLACE( CONCATENATE(REGEXEXTRACT(C489 , ""[(].+[)]""),IF(REGEXMATCH(C489 , ""[(][Ll]['’][)]""),"""","" ""), REGEXEXTRACT(C489 ,""^(?:(?:[A-Za-zàäéèêîïöôûü0-9 ](?:[A-Za-zàäéèêîïöôûü'0-9 ]+)))"")) , ""[()]"", """")"&amp;",C489 )"),"Le Panoramic ")</f>
        <v>Le Panoramic </v>
      </c>
      <c r="BO489" s="25"/>
      <c r="BP489" s="7"/>
      <c r="BQ489" s="7"/>
      <c r="BR489" s="7"/>
      <c r="BS489" s="7"/>
      <c r="BT489" s="7"/>
      <c r="BU489" s="7"/>
      <c r="BV489" s="7"/>
      <c r="BW489" s="7"/>
      <c r="BX489" s="7"/>
      <c r="BY489" s="7"/>
      <c r="BZ489" s="7"/>
      <c r="CA489" s="7"/>
      <c r="CB489" s="7"/>
    </row>
    <row r="490" ht="21.75" customHeight="1">
      <c r="A490" s="7">
        <v>2061.0</v>
      </c>
      <c r="B490" s="7">
        <v>489.0</v>
      </c>
      <c r="C490" s="7" t="s">
        <v>6304</v>
      </c>
      <c r="D490" s="7" t="s">
        <v>6305</v>
      </c>
      <c r="E490" s="7"/>
      <c r="F490" s="7" t="s">
        <v>404</v>
      </c>
      <c r="G490" s="7" t="s">
        <v>343</v>
      </c>
      <c r="H490" s="7" t="s">
        <v>123</v>
      </c>
      <c r="I490" s="7" t="s">
        <v>6306</v>
      </c>
      <c r="J490" s="7"/>
      <c r="K490" s="7" t="s">
        <v>822</v>
      </c>
      <c r="L490" s="7" t="s">
        <v>1805</v>
      </c>
      <c r="M490" s="7" t="s">
        <v>1806</v>
      </c>
      <c r="N490" s="7" t="s">
        <v>422</v>
      </c>
      <c r="O490" s="7">
        <v>97480.0</v>
      </c>
      <c r="P490" s="7" t="s">
        <v>123</v>
      </c>
      <c r="Q490" s="7"/>
      <c r="R490" s="7"/>
      <c r="S490" s="7"/>
      <c r="T490" s="7" t="s">
        <v>377</v>
      </c>
      <c r="U490" s="7" t="s">
        <v>378</v>
      </c>
      <c r="V490" s="7"/>
      <c r="W490" s="7">
        <v>6.92924175E8</v>
      </c>
      <c r="X490" s="7">
        <v>6.92983473E8</v>
      </c>
      <c r="Y490" s="7"/>
      <c r="Z490" s="7" t="s">
        <v>6307</v>
      </c>
      <c r="AA490" s="7"/>
      <c r="AB490" s="7"/>
      <c r="AC490" s="7"/>
      <c r="AD490" s="7" t="s">
        <v>6308</v>
      </c>
      <c r="AE490" s="7"/>
      <c r="AF490" s="7" t="s">
        <v>613</v>
      </c>
      <c r="AG490" s="7"/>
      <c r="AH490" s="20">
        <v>43739.0</v>
      </c>
      <c r="AI490" s="7"/>
      <c r="AJ490" s="7" t="s">
        <v>6309</v>
      </c>
      <c r="AK490" s="7"/>
      <c r="AL490" s="7" t="s">
        <v>6310</v>
      </c>
      <c r="AM490" s="7" t="s">
        <v>6311</v>
      </c>
      <c r="AN490" s="20">
        <v>43739.0</v>
      </c>
      <c r="AO490" s="7">
        <v>97480.0</v>
      </c>
      <c r="AP490" s="7" t="s">
        <v>385</v>
      </c>
      <c r="AQ490" s="7"/>
      <c r="AR490" s="7"/>
      <c r="AS490" s="7"/>
      <c r="AT490" s="7"/>
      <c r="AU490" s="7">
        <v>0.0</v>
      </c>
      <c r="AV490" s="7" t="s">
        <v>6312</v>
      </c>
      <c r="AW490" s="7"/>
      <c r="AX490" s="7"/>
      <c r="AY490" s="7"/>
      <c r="AZ490" s="7"/>
      <c r="BA490" s="7"/>
      <c r="BB490" s="7"/>
      <c r="BC490" s="7" t="s">
        <v>366</v>
      </c>
      <c r="BD490" s="21">
        <v>44179.10763888889</v>
      </c>
      <c r="BE490" s="7"/>
      <c r="BF490" s="7"/>
      <c r="BG490" s="22">
        <v>44179.0</v>
      </c>
      <c r="BH490" s="7"/>
      <c r="BI490" s="7" t="s">
        <v>6313</v>
      </c>
      <c r="BJ490" s="7"/>
      <c r="BK490" s="7" t="b">
        <v>0</v>
      </c>
      <c r="BL490" s="7" t="b">
        <v>0</v>
      </c>
      <c r="BM490" s="7"/>
      <c r="BN490" s="7" t="str">
        <f>IFERROR(__xludf.DUMMYFUNCTION(" IF( REGEXMATCH(C490 , ""[(].+[)]""),REGEXREPLACE( CONCATENATE(REGEXEXTRACT(C490 , ""[(].+[)]""),IF(REGEXMATCH(C490 , ""[(][Ll]['’][)]""),"""","" ""), REGEXEXTRACT(C490 ,""^(?:(?:[A-Za-zàäéèêîïöôûü0-9 ](?:[A-Za-zàäéèêîïöôûü'0-9 ]+)))"")) , ""[()]"", """")"&amp;",C490 )"),"Le Parc Biologique Joseph Hubert ")</f>
        <v>Le Parc Biologique Joseph Hubert </v>
      </c>
      <c r="BO490" s="23"/>
      <c r="BP490" s="7"/>
      <c r="BQ490" s="7"/>
      <c r="BR490" s="7"/>
      <c r="BS490" s="7"/>
      <c r="BT490" s="7"/>
      <c r="BU490" s="7"/>
      <c r="BV490" s="7"/>
      <c r="BW490" s="7"/>
      <c r="BX490" s="7"/>
      <c r="BY490" s="7"/>
      <c r="BZ490" s="7"/>
      <c r="CA490" s="7"/>
      <c r="CB490" s="7"/>
    </row>
    <row r="491" ht="21.75" customHeight="1">
      <c r="A491" s="7">
        <v>3163.0</v>
      </c>
      <c r="B491" s="7" t="s">
        <v>6314</v>
      </c>
      <c r="C491" s="7" t="s">
        <v>6315</v>
      </c>
      <c r="D491" s="7" t="s">
        <v>6316</v>
      </c>
      <c r="E491" s="7"/>
      <c r="F491" s="7" t="s">
        <v>342</v>
      </c>
      <c r="G491" s="7" t="s">
        <v>343</v>
      </c>
      <c r="H491" s="7" t="s">
        <v>123</v>
      </c>
      <c r="I491" s="7" t="s">
        <v>6317</v>
      </c>
      <c r="J491" s="26" t="s">
        <v>6318</v>
      </c>
      <c r="K491" s="6" t="s">
        <v>469</v>
      </c>
      <c r="L491" s="7" t="s">
        <v>1908</v>
      </c>
      <c r="M491" s="7" t="s">
        <v>6319</v>
      </c>
      <c r="N491" s="7" t="s">
        <v>455</v>
      </c>
      <c r="O491" s="7">
        <v>97480.0</v>
      </c>
      <c r="P491" s="7" t="s">
        <v>123</v>
      </c>
      <c r="Q491" s="7" t="s">
        <v>946</v>
      </c>
      <c r="R491" s="7"/>
      <c r="S491" s="7"/>
      <c r="T491" s="7" t="s">
        <v>377</v>
      </c>
      <c r="U491" s="7" t="s">
        <v>378</v>
      </c>
      <c r="V491" s="7">
        <v>2.62560065E8</v>
      </c>
      <c r="W491" s="7">
        <v>6.9261404E8</v>
      </c>
      <c r="X491" s="7">
        <v>6.92055382E8</v>
      </c>
      <c r="Y491" s="7"/>
      <c r="Z491" s="7" t="s">
        <v>6320</v>
      </c>
      <c r="AA491" s="7">
        <v>100.0</v>
      </c>
      <c r="AB491" s="7"/>
      <c r="AC491" s="7" t="s">
        <v>6321</v>
      </c>
      <c r="AD491" s="7" t="s">
        <v>6322</v>
      </c>
      <c r="AE491" s="7" t="s">
        <v>6323</v>
      </c>
      <c r="AF491" s="7"/>
      <c r="AG491" s="7"/>
      <c r="AH491" s="20">
        <v>41011.0</v>
      </c>
      <c r="AI491" s="7"/>
      <c r="AJ491" s="7" t="s">
        <v>6324</v>
      </c>
      <c r="AK491" s="7">
        <v>5.3079712500016E13</v>
      </c>
      <c r="AL491" s="7" t="s">
        <v>6325</v>
      </c>
      <c r="AM491" s="7" t="s">
        <v>6326</v>
      </c>
      <c r="AN491" s="20">
        <v>39612.0</v>
      </c>
      <c r="AO491" s="7">
        <v>97480.0</v>
      </c>
      <c r="AP491" s="7" t="s">
        <v>385</v>
      </c>
      <c r="AQ491" s="7"/>
      <c r="AR491" s="7"/>
      <c r="AS491" s="7"/>
      <c r="AT491" s="7"/>
      <c r="AU491" s="7">
        <v>0.0</v>
      </c>
      <c r="AV491" s="7" t="s">
        <v>6327</v>
      </c>
      <c r="AW491" s="7"/>
      <c r="AX491" s="7"/>
      <c r="AY491" s="7"/>
      <c r="AZ491" s="7"/>
      <c r="BA491" s="7"/>
      <c r="BB491" s="7"/>
      <c r="BC491" s="7" t="s">
        <v>401</v>
      </c>
      <c r="BD491" s="21">
        <v>44171.4875</v>
      </c>
      <c r="BE491" s="7" t="s">
        <v>6328</v>
      </c>
      <c r="BF491" s="7"/>
      <c r="BG491" s="7"/>
      <c r="BH491" s="7">
        <v>5.30797125E8</v>
      </c>
      <c r="BI491" s="7" t="s">
        <v>6329</v>
      </c>
      <c r="BJ491" s="7"/>
      <c r="BK491" s="7" t="b">
        <v>0</v>
      </c>
      <c r="BL491" s="7" t="b">
        <v>0</v>
      </c>
      <c r="BM491" s="7"/>
      <c r="BN491" s="7" t="str">
        <f>IFERROR(__xludf.DUMMYFUNCTION(" IF( REGEXMATCH(C491 , ""[(].+[)]""),REGEXREPLACE( CONCATENATE(REGEXEXTRACT(C491 , ""[(].+[)]""),IF(REGEXMATCH(C491 , ""[(][Ll]['’][)]""),"""","" ""), REGEXEXTRACT(C491 ,""^(?:(?:[A-Za-zàäéèêîïöôûü0-9 ](?:[A-Za-zàäéèêîïöôûü'0-9 ]+)))"")) , ""[()]"", """")"&amp;",C491 )"),"Parc Piscicole de Langevin")</f>
        <v>Parc Piscicole de Langevin</v>
      </c>
      <c r="BO491" s="25"/>
      <c r="BP491" s="7"/>
      <c r="BQ491" s="7"/>
      <c r="BR491" s="7"/>
      <c r="BS491" s="7"/>
      <c r="BT491" s="7"/>
      <c r="BU491" s="7"/>
      <c r="BV491" s="7"/>
      <c r="BW491" s="7"/>
      <c r="BX491" s="7"/>
      <c r="BY491" s="7"/>
      <c r="BZ491" s="7"/>
      <c r="CA491" s="7"/>
      <c r="CB491" s="7"/>
    </row>
    <row r="492" ht="21.75" customHeight="1">
      <c r="A492" s="7">
        <v>4533.0</v>
      </c>
      <c r="B492" s="7" t="s">
        <v>6330</v>
      </c>
      <c r="C492" s="7" t="s">
        <v>6331</v>
      </c>
      <c r="D492" s="7"/>
      <c r="E492" s="7"/>
      <c r="F492" s="7" t="s">
        <v>342</v>
      </c>
      <c r="G492" s="7" t="s">
        <v>343</v>
      </c>
      <c r="H492" s="7" t="s">
        <v>344</v>
      </c>
      <c r="I492" s="7" t="s">
        <v>6332</v>
      </c>
      <c r="J492" s="26" t="s">
        <v>6333</v>
      </c>
      <c r="K492" s="7" t="s">
        <v>58</v>
      </c>
      <c r="L492" s="7" t="s">
        <v>453</v>
      </c>
      <c r="M492" s="7" t="s">
        <v>454</v>
      </c>
      <c r="N492" s="7" t="s">
        <v>6334</v>
      </c>
      <c r="O492" s="7">
        <v>97418.0</v>
      </c>
      <c r="P492" s="7" t="s">
        <v>348</v>
      </c>
      <c r="Q492" s="7" t="s">
        <v>349</v>
      </c>
      <c r="R492" s="7"/>
      <c r="S492" s="7"/>
      <c r="T492" s="7" t="s">
        <v>377</v>
      </c>
      <c r="U492" s="7" t="s">
        <v>378</v>
      </c>
      <c r="V492" s="7"/>
      <c r="W492" s="7">
        <v>6.92773844E8</v>
      </c>
      <c r="X492" s="7"/>
      <c r="Y492" s="7"/>
      <c r="Z492" s="7" t="s">
        <v>6335</v>
      </c>
      <c r="AA492" s="7">
        <v>4.0</v>
      </c>
      <c r="AB492" s="7"/>
      <c r="AC492" s="7" t="s">
        <v>6336</v>
      </c>
      <c r="AD492" s="7" t="s">
        <v>6337</v>
      </c>
      <c r="AE492" s="7"/>
      <c r="AF492" s="7"/>
      <c r="AG492" s="7"/>
      <c r="AH492" s="20">
        <v>43290.0</v>
      </c>
      <c r="AI492" s="7"/>
      <c r="AJ492" s="7" t="s">
        <v>6338</v>
      </c>
      <c r="AK492" s="7">
        <v>8.0079589000014E13</v>
      </c>
      <c r="AL492" s="7" t="s">
        <v>6339</v>
      </c>
      <c r="AM492" s="7" t="s">
        <v>6340</v>
      </c>
      <c r="AN492" s="20">
        <v>43290.0</v>
      </c>
      <c r="AO492" s="7">
        <v>97418.0</v>
      </c>
      <c r="AP492" s="7" t="s">
        <v>362</v>
      </c>
      <c r="AQ492" s="7"/>
      <c r="AR492" s="7"/>
      <c r="AS492" s="7"/>
      <c r="AT492" s="7"/>
      <c r="AU492" s="7">
        <v>2.0</v>
      </c>
      <c r="AV492" s="7" t="s">
        <v>6341</v>
      </c>
      <c r="AW492" s="7"/>
      <c r="AX492" s="7"/>
      <c r="AY492" s="7"/>
      <c r="AZ492" s="7" t="s">
        <v>6342</v>
      </c>
      <c r="BA492" s="7"/>
      <c r="BB492" s="7"/>
      <c r="BC492" s="7" t="s">
        <v>401</v>
      </c>
      <c r="BD492" s="21">
        <v>44223.09583333333</v>
      </c>
      <c r="BE492" s="7" t="s">
        <v>1917</v>
      </c>
      <c r="BF492" s="7"/>
      <c r="BG492" s="7"/>
      <c r="BH492" s="7">
        <v>8.0079589E8</v>
      </c>
      <c r="BI492" s="7" t="s">
        <v>1734</v>
      </c>
      <c r="BJ492" s="7"/>
      <c r="BK492" s="7" t="b">
        <v>0</v>
      </c>
      <c r="BL492" s="7" t="b">
        <v>0</v>
      </c>
      <c r="BM492" s="7"/>
      <c r="BN492" s="7" t="str">
        <f>IFERROR(__xludf.DUMMYFUNCTION(" IF( REGEXMATCH(C492 , ""[(].+[)]""),REGEXREPLACE( CONCATENATE(REGEXEXTRACT(C492 , ""[(].+[)]""),IF(REGEXMATCH(C492 , ""[(][Ll]['’][)]""),"""","" ""), REGEXEXTRACT(C492 ,""^(?:(?:[A-Za-zàäéèêîïöôûü0-9 ](?:[A-Za-zàäéèêîïöôûü'0-9 ]+)))"")) , ""[()]"", """")"&amp;",C492 )"),"Parenthèse Inattendue")</f>
        <v>Parenthèse Inattendue</v>
      </c>
      <c r="BO492" s="25"/>
      <c r="BP492" s="7"/>
      <c r="BQ492" s="7"/>
      <c r="BR492" s="7"/>
      <c r="BS492" s="7"/>
      <c r="BT492" s="7"/>
      <c r="BU492" s="7"/>
      <c r="BV492" s="7"/>
      <c r="BW492" s="7"/>
      <c r="BX492" s="7"/>
      <c r="BY492" s="7"/>
      <c r="BZ492" s="7"/>
      <c r="CA492" s="7"/>
      <c r="CB492" s="7"/>
    </row>
    <row r="493" ht="21.75" customHeight="1">
      <c r="A493" s="7">
        <v>2080.0</v>
      </c>
      <c r="B493" s="7" t="s">
        <v>6343</v>
      </c>
      <c r="C493" s="7" t="s">
        <v>6344</v>
      </c>
      <c r="D493" s="7"/>
      <c r="E493" s="7"/>
      <c r="F493" s="7" t="s">
        <v>404</v>
      </c>
      <c r="G493" s="7" t="s">
        <v>343</v>
      </c>
      <c r="H493" s="7" t="s">
        <v>123</v>
      </c>
      <c r="I493" s="7" t="s">
        <v>6345</v>
      </c>
      <c r="J493" s="7"/>
      <c r="K493" s="7" t="s">
        <v>822</v>
      </c>
      <c r="L493" s="7" t="s">
        <v>6346</v>
      </c>
      <c r="M493" s="7" t="s">
        <v>6347</v>
      </c>
      <c r="N493" s="7" t="s">
        <v>455</v>
      </c>
      <c r="O493" s="7">
        <v>97480.0</v>
      </c>
      <c r="P493" s="7" t="s">
        <v>123</v>
      </c>
      <c r="Q493" s="7"/>
      <c r="R493" s="7"/>
      <c r="S493" s="7"/>
      <c r="T493" s="7" t="s">
        <v>377</v>
      </c>
      <c r="U493" s="7" t="s">
        <v>378</v>
      </c>
      <c r="V493" s="7">
        <v>2.62561333E8</v>
      </c>
      <c r="W493" s="7">
        <v>6.92651048E8</v>
      </c>
      <c r="X493" s="7"/>
      <c r="Y493" s="7"/>
      <c r="Z493" s="7" t="s">
        <v>6348</v>
      </c>
      <c r="AA493" s="7"/>
      <c r="AB493" s="7"/>
      <c r="AC493" s="7"/>
      <c r="AD493" s="7" t="s">
        <v>6349</v>
      </c>
      <c r="AE493" s="7"/>
      <c r="AF493" s="7" t="s">
        <v>6350</v>
      </c>
      <c r="AG493" s="7"/>
      <c r="AH493" s="20">
        <v>40093.0</v>
      </c>
      <c r="AI493" s="7"/>
      <c r="AJ493" s="7" t="s">
        <v>6351</v>
      </c>
      <c r="AK493" s="7">
        <v>4.842533150001E13</v>
      </c>
      <c r="AL493" s="7" t="s">
        <v>6352</v>
      </c>
      <c r="AM493" s="7" t="s">
        <v>6353</v>
      </c>
      <c r="AN493" s="20">
        <v>43739.0</v>
      </c>
      <c r="AO493" s="7">
        <v>97480.0</v>
      </c>
      <c r="AP493" s="7" t="s">
        <v>385</v>
      </c>
      <c r="AQ493" s="7"/>
      <c r="AR493" s="7"/>
      <c r="AS493" s="7"/>
      <c r="AT493" s="7"/>
      <c r="AU493" s="7">
        <v>0.0</v>
      </c>
      <c r="AV493" s="7" t="s">
        <v>6354</v>
      </c>
      <c r="AW493" s="7"/>
      <c r="AX493" s="7"/>
      <c r="AY493" s="7"/>
      <c r="AZ493" s="7"/>
      <c r="BA493" s="7"/>
      <c r="BB493" s="7"/>
      <c r="BC493" s="7" t="s">
        <v>401</v>
      </c>
      <c r="BD493" s="21">
        <v>44185.42361111111</v>
      </c>
      <c r="BE493" s="7" t="s">
        <v>871</v>
      </c>
      <c r="BF493" s="7"/>
      <c r="BG493" s="7"/>
      <c r="BH493" s="7">
        <v>4.84253315E8</v>
      </c>
      <c r="BI493" s="7" t="s">
        <v>6355</v>
      </c>
      <c r="BJ493" s="7"/>
      <c r="BK493" s="7" t="b">
        <v>0</v>
      </c>
      <c r="BL493" s="7" t="b">
        <v>0</v>
      </c>
      <c r="BM493" s="7"/>
      <c r="BN493" s="7" t="str">
        <f>IFERROR(__xludf.DUMMYFUNCTION(" IF( REGEXMATCH(C493 , ""[(].+[)]""),REGEXREPLACE( CONCATENATE(REGEXEXTRACT(C493 , ""[(].+[)]""),IF(REGEXMATCH(C493 , ""[(][Ll]['’][)]""),"""","" ""), REGEXEXTRACT(C493 ,""^(?:(?:[A-Za-zàäéèêîïöôûü0-9 ](?:[A-Za-zàäéèêîïöôûü'0-9 ]+)))"")) , ""[()]"", """")"&amp;",C493 )"),"Parfum de Géranium")</f>
        <v>Parfum de Géranium</v>
      </c>
      <c r="BO493" s="25"/>
      <c r="BP493" s="7"/>
      <c r="BQ493" s="7"/>
      <c r="BR493" s="7"/>
      <c r="BS493" s="7"/>
      <c r="BT493" s="7"/>
      <c r="BU493" s="7"/>
      <c r="BV493" s="7"/>
      <c r="BW493" s="7"/>
      <c r="BX493" s="7"/>
      <c r="BY493" s="7"/>
      <c r="BZ493" s="7"/>
      <c r="CA493" s="7"/>
      <c r="CB493" s="7"/>
    </row>
    <row r="494" ht="21.75" customHeight="1">
      <c r="A494" s="7">
        <v>2813.0</v>
      </c>
      <c r="B494" s="7">
        <v>493.0</v>
      </c>
      <c r="C494" s="7" t="s">
        <v>6356</v>
      </c>
      <c r="D494" s="7" t="s">
        <v>6356</v>
      </c>
      <c r="E494" s="7"/>
      <c r="F494" s="7" t="s">
        <v>342</v>
      </c>
      <c r="G494" s="7" t="s">
        <v>343</v>
      </c>
      <c r="H494" s="7" t="s">
        <v>123</v>
      </c>
      <c r="I494" s="7" t="s">
        <v>6357</v>
      </c>
      <c r="J494" s="7"/>
      <c r="K494" s="7" t="s">
        <v>58</v>
      </c>
      <c r="L494" s="7" t="s">
        <v>59</v>
      </c>
      <c r="M494" s="7" t="s">
        <v>374</v>
      </c>
      <c r="N494" s="7" t="s">
        <v>455</v>
      </c>
      <c r="O494" s="7">
        <v>97480.0</v>
      </c>
      <c r="P494" s="7" t="s">
        <v>123</v>
      </c>
      <c r="Q494" s="7"/>
      <c r="R494" s="7" t="s">
        <v>6358</v>
      </c>
      <c r="S494" s="7"/>
      <c r="T494" s="7" t="s">
        <v>377</v>
      </c>
      <c r="U494" s="7" t="s">
        <v>378</v>
      </c>
      <c r="V494" s="7">
        <v>2.62569879E8</v>
      </c>
      <c r="W494" s="7">
        <v>6.86841903E8</v>
      </c>
      <c r="X494" s="7"/>
      <c r="Y494" s="7"/>
      <c r="Z494" s="7" t="s">
        <v>6359</v>
      </c>
      <c r="AA494" s="7">
        <v>4.0</v>
      </c>
      <c r="AB494" s="7"/>
      <c r="AC494" s="7"/>
      <c r="AD494" s="7" t="s">
        <v>6360</v>
      </c>
      <c r="AE494" s="7" t="s">
        <v>6361</v>
      </c>
      <c r="AF494" s="7"/>
      <c r="AG494" s="7"/>
      <c r="AH494" s="20">
        <v>43739.0</v>
      </c>
      <c r="AI494" s="7"/>
      <c r="AJ494" s="7" t="s">
        <v>6362</v>
      </c>
      <c r="AK494" s="7"/>
      <c r="AL494" s="7" t="s">
        <v>6363</v>
      </c>
      <c r="AM494" s="7" t="s">
        <v>6364</v>
      </c>
      <c r="AN494" s="20">
        <v>43739.0</v>
      </c>
      <c r="AO494" s="7">
        <v>97480.0</v>
      </c>
      <c r="AP494" s="7" t="s">
        <v>385</v>
      </c>
      <c r="AQ494" s="7"/>
      <c r="AR494" s="7"/>
      <c r="AS494" s="7"/>
      <c r="AT494" s="7"/>
      <c r="AU494" s="7">
        <v>1.0</v>
      </c>
      <c r="AV494" s="7" t="s">
        <v>6365</v>
      </c>
      <c r="AW494" s="7"/>
      <c r="AX494" s="7"/>
      <c r="AY494" s="7"/>
      <c r="AZ494" s="7" t="s">
        <v>6366</v>
      </c>
      <c r="BA494" s="7"/>
      <c r="BB494" s="7"/>
      <c r="BC494" s="7" t="s">
        <v>366</v>
      </c>
      <c r="BD494" s="21">
        <v>44161.145833333336</v>
      </c>
      <c r="BE494" s="7"/>
      <c r="BF494" s="7"/>
      <c r="BG494" s="22">
        <v>44161.0</v>
      </c>
      <c r="BH494" s="7"/>
      <c r="BI494" s="7" t="s">
        <v>6367</v>
      </c>
      <c r="BJ494" s="7"/>
      <c r="BK494" s="7" t="b">
        <v>0</v>
      </c>
      <c r="BL494" s="7" t="b">
        <v>0</v>
      </c>
      <c r="BM494" s="7"/>
      <c r="BN494" s="7" t="str">
        <f>IFERROR(__xludf.DUMMYFUNCTION(" IF( REGEXMATCH(C494 , ""[(].+[)]""),REGEXREPLACE( CONCATENATE(REGEXEXTRACT(C494 , ""[(].+[)]""),IF(REGEXMATCH(C494 , ""[(][Ll]['’][)]""),"""","" ""), REGEXEXTRACT(C494 ,""^(?:(?:[A-Za-zàäéèêîïöôûü0-9 ](?:[A-Za-zàäéèêîïöôûü'0-9 ]+)))"")) , ""[()]"", """")"&amp;",C494 )"),"Passiflore")</f>
        <v>Passiflore</v>
      </c>
      <c r="BO494" s="23"/>
      <c r="BP494" s="7"/>
      <c r="BQ494" s="7"/>
      <c r="BR494" s="7"/>
      <c r="BS494" s="7"/>
      <c r="BT494" s="7"/>
      <c r="BU494" s="7"/>
      <c r="BV494" s="7"/>
      <c r="BW494" s="7"/>
      <c r="BX494" s="7"/>
      <c r="BY494" s="7"/>
      <c r="BZ494" s="7"/>
      <c r="CA494" s="7"/>
      <c r="CB494" s="7"/>
    </row>
    <row r="495" ht="21.75" customHeight="1">
      <c r="A495" s="7">
        <v>4444.0</v>
      </c>
      <c r="B495" s="7">
        <v>494.0</v>
      </c>
      <c r="C495" s="7" t="s">
        <v>6368</v>
      </c>
      <c r="D495" s="7"/>
      <c r="E495" s="7"/>
      <c r="F495" s="7" t="s">
        <v>404</v>
      </c>
      <c r="G495" s="7" t="s">
        <v>343</v>
      </c>
      <c r="H495" s="7" t="s">
        <v>344</v>
      </c>
      <c r="I495" s="7" t="s">
        <v>6369</v>
      </c>
      <c r="J495" s="7"/>
      <c r="K495" s="7" t="s">
        <v>58</v>
      </c>
      <c r="L495" s="7" t="s">
        <v>59</v>
      </c>
      <c r="M495" s="7" t="s">
        <v>545</v>
      </c>
      <c r="N495" s="7" t="s">
        <v>375</v>
      </c>
      <c r="O495" s="7">
        <v>97418.0</v>
      </c>
      <c r="P495" s="7" t="s">
        <v>348</v>
      </c>
      <c r="Q495" s="7" t="s">
        <v>349</v>
      </c>
      <c r="R495" s="7" t="s">
        <v>6370</v>
      </c>
      <c r="S495" s="7" t="s">
        <v>3815</v>
      </c>
      <c r="T495" s="7" t="s">
        <v>377</v>
      </c>
      <c r="U495" s="7" t="s">
        <v>378</v>
      </c>
      <c r="V495" s="7">
        <v>2.62240026E8</v>
      </c>
      <c r="W495" s="7">
        <v>6.92327583E8</v>
      </c>
      <c r="X495" s="7"/>
      <c r="Y495" s="7"/>
      <c r="Z495" s="7" t="s">
        <v>6371</v>
      </c>
      <c r="AA495" s="7">
        <v>6.0</v>
      </c>
      <c r="AB495" s="7"/>
      <c r="AC495" s="7" t="s">
        <v>6372</v>
      </c>
      <c r="AD495" s="7" t="s">
        <v>6373</v>
      </c>
      <c r="AE495" s="7" t="s">
        <v>6374</v>
      </c>
      <c r="AF495" s="7"/>
      <c r="AG495" s="7"/>
      <c r="AH495" s="20">
        <v>43081.0</v>
      </c>
      <c r="AI495" s="7"/>
      <c r="AJ495" s="7" t="s">
        <v>6375</v>
      </c>
      <c r="AK495" s="7">
        <v>4.8061085600027E13</v>
      </c>
      <c r="AL495" s="7" t="s">
        <v>6376</v>
      </c>
      <c r="AM495" s="7" t="s">
        <v>6377</v>
      </c>
      <c r="AN495" s="20">
        <v>43081.0</v>
      </c>
      <c r="AO495" s="7">
        <v>97430.0</v>
      </c>
      <c r="AP495" s="7" t="s">
        <v>494</v>
      </c>
      <c r="AQ495" s="7"/>
      <c r="AR495" s="7"/>
      <c r="AS495" s="7"/>
      <c r="AT495" s="7"/>
      <c r="AU495" s="7">
        <v>1.0</v>
      </c>
      <c r="AV495" s="7" t="s">
        <v>6378</v>
      </c>
      <c r="AW495" s="7" t="s">
        <v>3450</v>
      </c>
      <c r="AX495" s="7"/>
      <c r="AY495" s="7"/>
      <c r="AZ495" s="7"/>
      <c r="BA495" s="7"/>
      <c r="BB495" s="7"/>
      <c r="BC495" s="7" t="s">
        <v>366</v>
      </c>
      <c r="BD495" s="21">
        <v>44223.38958333333</v>
      </c>
      <c r="BE495" s="7"/>
      <c r="BF495" s="7"/>
      <c r="BG495" s="22">
        <v>44223.0</v>
      </c>
      <c r="BH495" s="7">
        <v>4.80610856E8</v>
      </c>
      <c r="BI495" s="7" t="s">
        <v>3962</v>
      </c>
      <c r="BJ495" s="7"/>
      <c r="BK495" s="7" t="b">
        <v>0</v>
      </c>
      <c r="BL495" s="7" t="b">
        <v>0</v>
      </c>
      <c r="BM495" s="7"/>
      <c r="BN495" s="7" t="str">
        <f>IFERROR(__xludf.DUMMYFUNCTION(" IF( REGEXMATCH(C495 , ""[(].+[)]""),REGEXREPLACE( CONCATENATE(REGEXEXTRACT(C495 , ""[(].+[)]""),IF(REGEXMATCH(C495 , ""[(][Ll]['’][)]""),"""","" ""), REGEXEXTRACT(C495 ,""^(?:(?:[A-Za-zàäéèêîïöôûü0-9 ](?:[A-Za-zàäéèêîïöôûü'0-9 ]+)))"")) , ""[()]"", """")"&amp;",C495 )"),"La Passion du Chalet ")</f>
        <v>La Passion du Chalet </v>
      </c>
      <c r="BO495" s="23"/>
      <c r="BP495" s="7"/>
      <c r="BQ495" s="7"/>
      <c r="BR495" s="7"/>
      <c r="BS495" s="7"/>
      <c r="BT495" s="7"/>
      <c r="BU495" s="7"/>
      <c r="BV495" s="7"/>
      <c r="BW495" s="7"/>
      <c r="BX495" s="7"/>
      <c r="BY495" s="7"/>
      <c r="BZ495" s="7"/>
      <c r="CA495" s="7"/>
      <c r="CB495" s="7"/>
    </row>
    <row r="496" ht="21.75" customHeight="1">
      <c r="A496" s="7">
        <v>3007.0</v>
      </c>
      <c r="B496" s="7" t="s">
        <v>6379</v>
      </c>
      <c r="C496" s="7" t="s">
        <v>6380</v>
      </c>
      <c r="D496" s="7"/>
      <c r="E496" s="7"/>
      <c r="F496" s="7" t="s">
        <v>404</v>
      </c>
      <c r="G496" s="7" t="s">
        <v>343</v>
      </c>
      <c r="H496" s="7" t="s">
        <v>344</v>
      </c>
      <c r="I496" s="7" t="s">
        <v>6381</v>
      </c>
      <c r="J496" s="7"/>
      <c r="K496" s="7" t="s">
        <v>34</v>
      </c>
      <c r="L496" s="7" t="s">
        <v>622</v>
      </c>
      <c r="M496" s="7" t="s">
        <v>622</v>
      </c>
      <c r="N496" s="7"/>
      <c r="O496" s="7">
        <v>97430.0</v>
      </c>
      <c r="P496" s="7" t="s">
        <v>344</v>
      </c>
      <c r="Q496" s="7"/>
      <c r="R496" s="7"/>
      <c r="S496" s="7"/>
      <c r="T496" s="7" t="s">
        <v>963</v>
      </c>
      <c r="U496" s="7" t="s">
        <v>424</v>
      </c>
      <c r="V496" s="7">
        <v>2.62241079E8</v>
      </c>
      <c r="W496" s="7">
        <v>6.92875197E8</v>
      </c>
      <c r="X496" s="7"/>
      <c r="Y496" s="7">
        <v>2.62241079E8</v>
      </c>
      <c r="Z496" s="7"/>
      <c r="AA496" s="7">
        <v>80.0</v>
      </c>
      <c r="AB496" s="7"/>
      <c r="AC496" s="7"/>
      <c r="AD496" s="7" t="s">
        <v>6382</v>
      </c>
      <c r="AE496" s="7" t="s">
        <v>6383</v>
      </c>
      <c r="AF496" s="7"/>
      <c r="AG496" s="7"/>
      <c r="AH496" s="20">
        <v>43739.0</v>
      </c>
      <c r="AI496" s="7"/>
      <c r="AJ496" s="7" t="s">
        <v>6384</v>
      </c>
      <c r="AK496" s="7"/>
      <c r="AL496" s="7" t="s">
        <v>6385</v>
      </c>
      <c r="AM496" s="7" t="s">
        <v>6386</v>
      </c>
      <c r="AN496" s="20">
        <v>43739.0</v>
      </c>
      <c r="AO496" s="7">
        <v>97430.0</v>
      </c>
      <c r="AP496" s="7" t="s">
        <v>494</v>
      </c>
      <c r="AQ496" s="7"/>
      <c r="AR496" s="7"/>
      <c r="AS496" s="7"/>
      <c r="AT496" s="7"/>
      <c r="AU496" s="7">
        <v>0.0</v>
      </c>
      <c r="AV496" s="7" t="s">
        <v>6387</v>
      </c>
      <c r="AW496" s="7"/>
      <c r="AX496" s="7"/>
      <c r="AY496" s="7"/>
      <c r="AZ496" s="7"/>
      <c r="BA496" s="7"/>
      <c r="BB496" s="7"/>
      <c r="BC496" s="7" t="s">
        <v>401</v>
      </c>
      <c r="BD496" s="21">
        <v>44229.0</v>
      </c>
      <c r="BE496" s="7" t="s">
        <v>6388</v>
      </c>
      <c r="BF496" s="7"/>
      <c r="BG496" s="7"/>
      <c r="BH496" s="7"/>
      <c r="BI496" s="7" t="s">
        <v>6389</v>
      </c>
      <c r="BJ496" s="7"/>
      <c r="BK496" s="7" t="b">
        <v>0</v>
      </c>
      <c r="BL496" s="7" t="b">
        <v>0</v>
      </c>
      <c r="BM496" s="7"/>
      <c r="BN496" s="7" t="str">
        <f>IFERROR(__xludf.DUMMYFUNCTION(" IF( REGEXMATCH(C496 , ""[(].+[)]""),REGEXREPLACE( CONCATENATE(REGEXEXTRACT(C496 , ""[(].+[)]""),IF(REGEXMATCH(C496 , ""[(][Ll]['’][)]""),"""","" ""), REGEXEXTRACT(C496 ,""^(?:(?:[A-Za-zàäéèêîïöôûü0-9 ](?:[A-Za-zàäéèêîïöôûü'0-9 ]+)))"")) , ""[()]"", """")"&amp;",C496 )"),"Pause Cafet")</f>
        <v>Pause Cafet</v>
      </c>
      <c r="BO496" s="25"/>
      <c r="BP496" s="7"/>
      <c r="BQ496" s="7"/>
      <c r="BR496" s="7"/>
      <c r="BS496" s="7"/>
      <c r="BT496" s="7"/>
      <c r="BU496" s="7"/>
      <c r="BV496" s="7"/>
      <c r="BW496" s="7"/>
      <c r="BX496" s="7"/>
      <c r="BY496" s="7"/>
      <c r="BZ496" s="7"/>
      <c r="CA496" s="7"/>
      <c r="CB496" s="7"/>
    </row>
    <row r="497" ht="21.75" customHeight="1">
      <c r="A497" s="7">
        <v>1696.0</v>
      </c>
      <c r="B497" s="7" t="s">
        <v>6390</v>
      </c>
      <c r="C497" s="7" t="s">
        <v>6391</v>
      </c>
      <c r="D497" s="7" t="s">
        <v>6391</v>
      </c>
      <c r="E497" s="7"/>
      <c r="F497" s="7" t="s">
        <v>342</v>
      </c>
      <c r="G497" s="7" t="s">
        <v>343</v>
      </c>
      <c r="H497" s="7" t="s">
        <v>344</v>
      </c>
      <c r="I497" s="7" t="s">
        <v>6392</v>
      </c>
      <c r="J497" s="7"/>
      <c r="K497" s="7" t="s">
        <v>34</v>
      </c>
      <c r="L497" s="7" t="s">
        <v>622</v>
      </c>
      <c r="M497" s="7" t="s">
        <v>622</v>
      </c>
      <c r="N497" s="7" t="s">
        <v>375</v>
      </c>
      <c r="O497" s="7">
        <v>97430.0</v>
      </c>
      <c r="P497" s="7" t="s">
        <v>344</v>
      </c>
      <c r="Q497" s="7"/>
      <c r="R497" s="7"/>
      <c r="S497" s="7"/>
      <c r="T497" s="7" t="s">
        <v>1612</v>
      </c>
      <c r="U497" s="7" t="s">
        <v>353</v>
      </c>
      <c r="V497" s="7">
        <v>2.62575465E8</v>
      </c>
      <c r="W497" s="7"/>
      <c r="X497" s="7"/>
      <c r="Y497" s="7"/>
      <c r="Z497" s="7"/>
      <c r="AA497" s="7">
        <v>120.0</v>
      </c>
      <c r="AB497" s="7"/>
      <c r="AC497" s="7"/>
      <c r="AD497" s="7" t="s">
        <v>6393</v>
      </c>
      <c r="AE497" s="7" t="s">
        <v>6394</v>
      </c>
      <c r="AF497" s="7"/>
      <c r="AG497" s="7"/>
      <c r="AH497" s="20">
        <v>43739.0</v>
      </c>
      <c r="AI497" s="7"/>
      <c r="AJ497" s="7" t="s">
        <v>6395</v>
      </c>
      <c r="AK497" s="7"/>
      <c r="AL497" s="7" t="s">
        <v>6396</v>
      </c>
      <c r="AM497" s="7" t="s">
        <v>6397</v>
      </c>
      <c r="AN497" s="20">
        <v>43739.0</v>
      </c>
      <c r="AO497" s="7">
        <v>97430.0</v>
      </c>
      <c r="AP497" s="7" t="s">
        <v>494</v>
      </c>
      <c r="AQ497" s="7"/>
      <c r="AR497" s="7"/>
      <c r="AS497" s="7"/>
      <c r="AT497" s="7"/>
      <c r="AU497" s="7">
        <v>0.0</v>
      </c>
      <c r="AV497" s="7" t="s">
        <v>6398</v>
      </c>
      <c r="AW497" s="7"/>
      <c r="AX497" s="7"/>
      <c r="AY497" s="7"/>
      <c r="AZ497" s="7"/>
      <c r="BA497" s="7"/>
      <c r="BB497" s="7"/>
      <c r="BC497" s="7" t="s">
        <v>401</v>
      </c>
      <c r="BD497" s="21">
        <v>44202.0</v>
      </c>
      <c r="BE497" s="7" t="s">
        <v>1011</v>
      </c>
      <c r="BF497" s="7"/>
      <c r="BG497" s="7"/>
      <c r="BH497" s="7"/>
      <c r="BI497" s="7" t="s">
        <v>6399</v>
      </c>
      <c r="BJ497" s="7"/>
      <c r="BK497" s="7" t="b">
        <v>0</v>
      </c>
      <c r="BL497" s="7" t="b">
        <v>0</v>
      </c>
      <c r="BM497" s="7"/>
      <c r="BN497" s="7" t="str">
        <f>IFERROR(__xludf.DUMMYFUNCTION(" IF( REGEXMATCH(C497 , ""[(].+[)]""),REGEXREPLACE( CONCATENATE(REGEXEXTRACT(C497 , ""[(].+[)]""),IF(REGEXMATCH(C497 , ""[(][Ll]['’][)]""),"""","" ""), REGEXEXTRACT(C497 ,""^(?:(?:[A-Za-zàäéèêîïöôûü0-9 ](?:[A-Za-zàäéèêîïöôûü'0-9 ]+)))"")) , ""[()]"", """")"&amp;",C497 )"),"Pavillon Créole")</f>
        <v>Pavillon Créole</v>
      </c>
      <c r="BO497" s="25"/>
      <c r="BP497" s="7"/>
      <c r="BQ497" s="7"/>
      <c r="BR497" s="7"/>
      <c r="BS497" s="7"/>
      <c r="BT497" s="7"/>
      <c r="BU497" s="7"/>
      <c r="BV497" s="7"/>
      <c r="BW497" s="7"/>
      <c r="BX497" s="7"/>
      <c r="BY497" s="7"/>
      <c r="BZ497" s="7"/>
      <c r="CA497" s="7"/>
      <c r="CB497" s="7"/>
    </row>
    <row r="498" ht="21.75" customHeight="1">
      <c r="A498" s="7">
        <v>365.0</v>
      </c>
      <c r="B498" s="7">
        <v>497.0</v>
      </c>
      <c r="C498" s="7" t="s">
        <v>6400</v>
      </c>
      <c r="D498" s="7" t="s">
        <v>6400</v>
      </c>
      <c r="E498" s="7"/>
      <c r="F498" s="7" t="s">
        <v>404</v>
      </c>
      <c r="G498" s="7" t="s">
        <v>343</v>
      </c>
      <c r="H498" s="7" t="s">
        <v>123</v>
      </c>
      <c r="I498" s="7" t="s">
        <v>6401</v>
      </c>
      <c r="J498" s="26" t="s">
        <v>6402</v>
      </c>
      <c r="K498" s="7" t="s">
        <v>58</v>
      </c>
      <c r="L498" s="7" t="s">
        <v>59</v>
      </c>
      <c r="M498" s="7" t="s">
        <v>346</v>
      </c>
      <c r="N498" s="7" t="s">
        <v>664</v>
      </c>
      <c r="O498" s="7">
        <v>97480.0</v>
      </c>
      <c r="P498" s="7" t="s">
        <v>123</v>
      </c>
      <c r="Q498" s="7"/>
      <c r="R498" s="7" t="s">
        <v>5181</v>
      </c>
      <c r="S498" s="7" t="s">
        <v>1458</v>
      </c>
      <c r="T498" s="7" t="s">
        <v>377</v>
      </c>
      <c r="U498" s="7" t="s">
        <v>353</v>
      </c>
      <c r="V498" s="7">
        <v>2.62314336E8</v>
      </c>
      <c r="W498" s="7">
        <v>6.92861784E8</v>
      </c>
      <c r="X498" s="7"/>
      <c r="Y498" s="7"/>
      <c r="Z498" s="7" t="s">
        <v>6403</v>
      </c>
      <c r="AA498" s="7">
        <v>4.0</v>
      </c>
      <c r="AB498" s="7"/>
      <c r="AC498" s="7"/>
      <c r="AD498" s="7" t="s">
        <v>6404</v>
      </c>
      <c r="AE498" s="7" t="s">
        <v>6405</v>
      </c>
      <c r="AF498" s="7"/>
      <c r="AG498" s="7"/>
      <c r="AH498" s="20">
        <v>39592.0</v>
      </c>
      <c r="AI498" s="7"/>
      <c r="AJ498" s="7" t="s">
        <v>6406</v>
      </c>
      <c r="AK498" s="7"/>
      <c r="AL498" s="7" t="s">
        <v>6407</v>
      </c>
      <c r="AM498" s="7" t="s">
        <v>6408</v>
      </c>
      <c r="AN498" s="20">
        <v>39592.0</v>
      </c>
      <c r="AO498" s="7">
        <v>97480.0</v>
      </c>
      <c r="AP498" s="7" t="s">
        <v>385</v>
      </c>
      <c r="AQ498" s="7"/>
      <c r="AR498" s="7"/>
      <c r="AS498" s="7"/>
      <c r="AT498" s="7"/>
      <c r="AU498" s="7">
        <v>1.0</v>
      </c>
      <c r="AV498" s="7" t="s">
        <v>6409</v>
      </c>
      <c r="AW498" s="7"/>
      <c r="AX498" s="7"/>
      <c r="AY498" s="7"/>
      <c r="AZ498" s="7"/>
      <c r="BA498" s="7"/>
      <c r="BB498" s="7"/>
      <c r="BC498" s="7" t="s">
        <v>366</v>
      </c>
      <c r="BD498" s="21">
        <v>44122.19583333333</v>
      </c>
      <c r="BE498" s="7"/>
      <c r="BF498" s="7"/>
      <c r="BG498" s="22">
        <v>44122.0</v>
      </c>
      <c r="BH498" s="7"/>
      <c r="BI498" s="7" t="s">
        <v>6410</v>
      </c>
      <c r="BJ498" s="7"/>
      <c r="BK498" s="7" t="b">
        <v>0</v>
      </c>
      <c r="BL498" s="7" t="b">
        <v>0</v>
      </c>
      <c r="BM498" s="7"/>
      <c r="BN498" s="7" t="str">
        <f>IFERROR(__xludf.DUMMYFUNCTION(" IF( REGEXMATCH(C498 , ""[(].+[)]""),REGEXREPLACE( CONCATENATE(REGEXEXTRACT(C498 , ""[(].+[)]""),IF(REGEXMATCH(C498 , ""[(][Ll]['’][)]""),"""","" ""), REGEXEXTRACT(C498 ,""^(?:(?:[A-Za-zàäéèêîïöôûü0-9 ](?:[A-Za-zàäéèêîïöôûü'0-9 ]+)))"")) , ""[()]"", """")"&amp;",C498 )"),"Le Payanke ")</f>
        <v>Le Payanke </v>
      </c>
      <c r="BO498" s="23"/>
      <c r="BP498" s="7"/>
      <c r="BQ498" s="7"/>
      <c r="BR498" s="7"/>
      <c r="BS498" s="7"/>
      <c r="BT498" s="7"/>
      <c r="BU498" s="7"/>
      <c r="BV498" s="7"/>
      <c r="BW498" s="7"/>
      <c r="BX498" s="7"/>
      <c r="BY498" s="7"/>
      <c r="BZ498" s="7"/>
      <c r="CA498" s="7"/>
      <c r="CB498" s="7"/>
    </row>
    <row r="499" ht="21.75" customHeight="1">
      <c r="A499" s="7">
        <v>2065.0</v>
      </c>
      <c r="B499" s="7" t="s">
        <v>6411</v>
      </c>
      <c r="C499" s="7" t="s">
        <v>6412</v>
      </c>
      <c r="D499" s="7"/>
      <c r="E499" s="7"/>
      <c r="F499" s="7" t="s">
        <v>342</v>
      </c>
      <c r="G499" s="7" t="s">
        <v>343</v>
      </c>
      <c r="H499" s="7" t="s">
        <v>40</v>
      </c>
      <c r="I499" s="7" t="s">
        <v>6413</v>
      </c>
      <c r="J499" s="7"/>
      <c r="K499" s="6" t="s">
        <v>469</v>
      </c>
      <c r="L499" s="7" t="s">
        <v>197</v>
      </c>
      <c r="M499" s="7" t="s">
        <v>559</v>
      </c>
      <c r="N499" s="7" t="s">
        <v>422</v>
      </c>
      <c r="O499" s="7">
        <v>97414.0</v>
      </c>
      <c r="P499" s="7" t="s">
        <v>40</v>
      </c>
      <c r="Q499" s="7"/>
      <c r="R499" s="7"/>
      <c r="S499" s="7"/>
      <c r="T499" s="7" t="s">
        <v>377</v>
      </c>
      <c r="U499" s="7" t="s">
        <v>353</v>
      </c>
      <c r="V499" s="7">
        <v>2.62395228E8</v>
      </c>
      <c r="W499" s="7"/>
      <c r="X499" s="7"/>
      <c r="Y499" s="7"/>
      <c r="Z499" s="7"/>
      <c r="AA499" s="7"/>
      <c r="AB499" s="7"/>
      <c r="AC499" s="7"/>
      <c r="AD499" s="7" t="s">
        <v>6414</v>
      </c>
      <c r="AE499" s="7"/>
      <c r="AF499" s="7"/>
      <c r="AG499" s="7"/>
      <c r="AH499" s="20">
        <v>40093.0</v>
      </c>
      <c r="AI499" s="7"/>
      <c r="AJ499" s="7" t="s">
        <v>6412</v>
      </c>
      <c r="AK499" s="7"/>
      <c r="AL499" s="7" t="s">
        <v>6415</v>
      </c>
      <c r="AM499" s="7" t="s">
        <v>6416</v>
      </c>
      <c r="AN499" s="20">
        <v>43739.0</v>
      </c>
      <c r="AO499" s="7">
        <v>97414.0</v>
      </c>
      <c r="AP499" s="7" t="s">
        <v>429</v>
      </c>
      <c r="AQ499" s="7"/>
      <c r="AR499" s="7"/>
      <c r="AS499" s="7"/>
      <c r="AT499" s="7"/>
      <c r="AU499" s="7">
        <v>0.0</v>
      </c>
      <c r="AV499" s="7" t="s">
        <v>6417</v>
      </c>
      <c r="AW499" s="7"/>
      <c r="AX499" s="7"/>
      <c r="AY499" s="7"/>
      <c r="AZ499" s="7"/>
      <c r="BA499" s="7"/>
      <c r="BB499" s="7"/>
      <c r="BC499" s="7" t="s">
        <v>401</v>
      </c>
      <c r="BD499" s="21">
        <v>44042.0</v>
      </c>
      <c r="BE499" s="7" t="s">
        <v>449</v>
      </c>
      <c r="BF499" s="7"/>
      <c r="BG499" s="7"/>
      <c r="BH499" s="7"/>
      <c r="BI499" s="7" t="s">
        <v>6418</v>
      </c>
      <c r="BJ499" s="7"/>
      <c r="BK499" s="7" t="b">
        <v>0</v>
      </c>
      <c r="BL499" s="7" t="b">
        <v>0</v>
      </c>
      <c r="BM499" s="7"/>
      <c r="BN499" s="7" t="str">
        <f>IFERROR(__xludf.DUMMYFUNCTION(" IF( REGEXMATCH(C499 , ""[(].+[)]""),REGEXREPLACE( CONCATENATE(REGEXEXTRACT(C499 , ""[(].+[)]""),IF(REGEXMATCH(C499 , ""[(][Ll]['’][)]""),"""","" ""), REGEXEXTRACT(C499 ,""^(?:(?:[A-Za-zàäéèêîïöôûü0-9 ](?:[A-Za-zàäéèêîïöôûü'0-9 ]+)))"")) , ""[()]"", """")"&amp;",C499 )"),"Payet Françoise")</f>
        <v>Payet Françoise</v>
      </c>
      <c r="BO499" s="25"/>
      <c r="BP499" s="7"/>
      <c r="BQ499" s="7"/>
      <c r="BR499" s="7"/>
      <c r="BS499" s="7"/>
      <c r="BT499" s="7"/>
      <c r="BU499" s="7"/>
      <c r="BV499" s="7"/>
      <c r="BW499" s="7"/>
      <c r="BX499" s="7"/>
      <c r="BY499" s="7"/>
      <c r="BZ499" s="7"/>
      <c r="CA499" s="7"/>
      <c r="CB499" s="7"/>
    </row>
    <row r="500" ht="21.75" customHeight="1">
      <c r="A500" s="7">
        <v>2072.0</v>
      </c>
      <c r="B500" s="7">
        <v>499.0</v>
      </c>
      <c r="C500" s="7" t="s">
        <v>6419</v>
      </c>
      <c r="D500" s="7"/>
      <c r="E500" s="7"/>
      <c r="F500" s="7" t="s">
        <v>342</v>
      </c>
      <c r="G500" s="7" t="s">
        <v>343</v>
      </c>
      <c r="H500" s="7" t="s">
        <v>40</v>
      </c>
      <c r="I500" s="7" t="s">
        <v>6420</v>
      </c>
      <c r="J500" s="7"/>
      <c r="K500" s="6" t="s">
        <v>469</v>
      </c>
      <c r="L500" s="7" t="s">
        <v>197</v>
      </c>
      <c r="M500" s="7" t="s">
        <v>559</v>
      </c>
      <c r="N500" s="7" t="s">
        <v>422</v>
      </c>
      <c r="O500" s="7">
        <v>97414.0</v>
      </c>
      <c r="P500" s="7" t="s">
        <v>40</v>
      </c>
      <c r="Q500" s="7"/>
      <c r="R500" s="7"/>
      <c r="S500" s="7"/>
      <c r="T500" s="7" t="s">
        <v>2390</v>
      </c>
      <c r="U500" s="7" t="s">
        <v>378</v>
      </c>
      <c r="V500" s="7">
        <v>2.62395791E8</v>
      </c>
      <c r="W500" s="7"/>
      <c r="X500" s="7"/>
      <c r="Y500" s="7"/>
      <c r="Z500" s="7"/>
      <c r="AA500" s="7"/>
      <c r="AB500" s="7"/>
      <c r="AC500" s="7"/>
      <c r="AD500" s="7" t="s">
        <v>6421</v>
      </c>
      <c r="AE500" s="7"/>
      <c r="AF500" s="7"/>
      <c r="AG500" s="7"/>
      <c r="AH500" s="20">
        <v>40093.0</v>
      </c>
      <c r="AI500" s="7"/>
      <c r="AJ500" s="7" t="s">
        <v>6419</v>
      </c>
      <c r="AK500" s="7"/>
      <c r="AL500" s="7" t="s">
        <v>6422</v>
      </c>
      <c r="AM500" s="7" t="s">
        <v>6423</v>
      </c>
      <c r="AN500" s="20">
        <v>43739.0</v>
      </c>
      <c r="AO500" s="7">
        <v>97414.0</v>
      </c>
      <c r="AP500" s="7" t="s">
        <v>429</v>
      </c>
      <c r="AQ500" s="7"/>
      <c r="AR500" s="7"/>
      <c r="AS500" s="7"/>
      <c r="AT500" s="7"/>
      <c r="AU500" s="7">
        <v>0.0</v>
      </c>
      <c r="AV500" s="7" t="s">
        <v>6424</v>
      </c>
      <c r="AW500" s="7"/>
      <c r="AX500" s="7"/>
      <c r="AY500" s="7"/>
      <c r="AZ500" s="7"/>
      <c r="BA500" s="7"/>
      <c r="BB500" s="7"/>
      <c r="BC500" s="7" t="s">
        <v>366</v>
      </c>
      <c r="BD500" s="21">
        <v>44042.19861111111</v>
      </c>
      <c r="BE500" s="7"/>
      <c r="BF500" s="7"/>
      <c r="BG500" s="22">
        <v>44042.0</v>
      </c>
      <c r="BH500" s="7"/>
      <c r="BI500" s="7" t="s">
        <v>6425</v>
      </c>
      <c r="BJ500" s="7"/>
      <c r="BK500" s="7" t="b">
        <v>0</v>
      </c>
      <c r="BL500" s="7" t="b">
        <v>0</v>
      </c>
      <c r="BM500" s="7"/>
      <c r="BN500" s="7" t="str">
        <f>IFERROR(__xludf.DUMMYFUNCTION(" IF( REGEXMATCH(C500 , ""[(].+[)]""),REGEXREPLACE( CONCATENATE(REGEXEXTRACT(C500 , ""[(].+[)]""),IF(REGEXMATCH(C500 , ""[(][Ll]['’][)]""),"""","" ""), REGEXEXTRACT(C500 ,""^(?:(?:[A-Za-zàäéèêîïöôûü0-9 ](?:[A-Za-zàäéèêîïöôûü'0-9 ]+)))"")) , ""[()]"", """")"&amp;",C500 )"),"Payet Jean-Marie")</f>
        <v>Payet Jean-Marie</v>
      </c>
      <c r="BO500" s="23"/>
      <c r="BP500" s="7"/>
      <c r="BQ500" s="7"/>
      <c r="BR500" s="7"/>
      <c r="BS500" s="7"/>
      <c r="BT500" s="7"/>
      <c r="BU500" s="7"/>
      <c r="BV500" s="7"/>
      <c r="BW500" s="7"/>
      <c r="BX500" s="7"/>
      <c r="BY500" s="7"/>
      <c r="BZ500" s="7"/>
      <c r="CA500" s="7"/>
      <c r="CB500" s="7"/>
    </row>
    <row r="501" ht="21.75" customHeight="1">
      <c r="A501" s="7">
        <v>2066.0</v>
      </c>
      <c r="B501" s="7">
        <v>500.0</v>
      </c>
      <c r="C501" s="7" t="s">
        <v>6426</v>
      </c>
      <c r="D501" s="7"/>
      <c r="E501" s="7"/>
      <c r="F501" s="7" t="s">
        <v>342</v>
      </c>
      <c r="G501" s="7" t="s">
        <v>343</v>
      </c>
      <c r="H501" s="7" t="s">
        <v>40</v>
      </c>
      <c r="I501" s="7" t="s">
        <v>6427</v>
      </c>
      <c r="J501" s="7"/>
      <c r="K501" s="6" t="s">
        <v>469</v>
      </c>
      <c r="L501" s="7" t="s">
        <v>197</v>
      </c>
      <c r="M501" s="7" t="s">
        <v>559</v>
      </c>
      <c r="N501" s="7" t="s">
        <v>422</v>
      </c>
      <c r="O501" s="7">
        <v>97414.0</v>
      </c>
      <c r="P501" s="7" t="s">
        <v>40</v>
      </c>
      <c r="Q501" s="7"/>
      <c r="R501" s="7"/>
      <c r="S501" s="7"/>
      <c r="T501" s="7" t="s">
        <v>377</v>
      </c>
      <c r="U501" s="7" t="s">
        <v>378</v>
      </c>
      <c r="V501" s="7">
        <v>2.6239585E8</v>
      </c>
      <c r="W501" s="7"/>
      <c r="X501" s="7"/>
      <c r="Y501" s="7"/>
      <c r="Z501" s="7"/>
      <c r="AA501" s="7"/>
      <c r="AB501" s="7"/>
      <c r="AC501" s="7"/>
      <c r="AD501" s="7" t="s">
        <v>6428</v>
      </c>
      <c r="AE501" s="7"/>
      <c r="AF501" s="7"/>
      <c r="AG501" s="7"/>
      <c r="AH501" s="20">
        <v>40093.0</v>
      </c>
      <c r="AI501" s="7"/>
      <c r="AJ501" s="7" t="s">
        <v>6426</v>
      </c>
      <c r="AK501" s="7"/>
      <c r="AL501" s="7" t="s">
        <v>6429</v>
      </c>
      <c r="AM501" s="7" t="s">
        <v>6430</v>
      </c>
      <c r="AN501" s="20">
        <v>43739.0</v>
      </c>
      <c r="AO501" s="7">
        <v>97414.0</v>
      </c>
      <c r="AP501" s="7" t="s">
        <v>429</v>
      </c>
      <c r="AQ501" s="7"/>
      <c r="AR501" s="7"/>
      <c r="AS501" s="7"/>
      <c r="AT501" s="7"/>
      <c r="AU501" s="7">
        <v>0.0</v>
      </c>
      <c r="AV501" s="7" t="s">
        <v>6431</v>
      </c>
      <c r="AW501" s="7"/>
      <c r="AX501" s="7"/>
      <c r="AY501" s="7"/>
      <c r="AZ501" s="7"/>
      <c r="BA501" s="7"/>
      <c r="BB501" s="7"/>
      <c r="BC501" s="7" t="s">
        <v>366</v>
      </c>
      <c r="BD501" s="21">
        <v>44041.19375</v>
      </c>
      <c r="BE501" s="7"/>
      <c r="BF501" s="7"/>
      <c r="BG501" s="22">
        <v>44041.0</v>
      </c>
      <c r="BH501" s="7"/>
      <c r="BI501" s="7" t="s">
        <v>6432</v>
      </c>
      <c r="BJ501" s="7"/>
      <c r="BK501" s="7" t="b">
        <v>0</v>
      </c>
      <c r="BL501" s="7" t="b">
        <v>0</v>
      </c>
      <c r="BM501" s="7"/>
      <c r="BN501" s="7" t="str">
        <f>IFERROR(__xludf.DUMMYFUNCTION(" IF( REGEXMATCH(C501 , ""[(].+[)]""),REGEXREPLACE( CONCATENATE(REGEXEXTRACT(C501 , ""[(].+[)]""),IF(REGEXMATCH(C501 , ""[(][Ll]['’][)]""),"""","" ""), REGEXEXTRACT(C501 ,""^(?:(?:[A-Za-zàäéèêîïöôûü0-9 ](?:[A-Za-zàäéèêîïöôûü'0-9 ]+)))"")) , ""[()]"", """")"&amp;",C501 )"),"Payet Marie-Laure")</f>
        <v>Payet Marie-Laure</v>
      </c>
      <c r="BO501" s="23"/>
      <c r="BP501" s="7"/>
      <c r="BQ501" s="7"/>
      <c r="BR501" s="7"/>
      <c r="BS501" s="7"/>
      <c r="BT501" s="7"/>
      <c r="BU501" s="7"/>
      <c r="BV501" s="7"/>
      <c r="BW501" s="7"/>
      <c r="BX501" s="7"/>
      <c r="BY501" s="7"/>
      <c r="BZ501" s="7"/>
      <c r="CA501" s="7"/>
      <c r="CB501" s="7"/>
    </row>
    <row r="502" ht="21.75" customHeight="1">
      <c r="A502" s="7">
        <v>1002.0</v>
      </c>
      <c r="B502" s="7" t="s">
        <v>6433</v>
      </c>
      <c r="C502" s="7" t="s">
        <v>6434</v>
      </c>
      <c r="D502" s="7" t="s">
        <v>6435</v>
      </c>
      <c r="E502" s="7"/>
      <c r="F502" s="7" t="s">
        <v>342</v>
      </c>
      <c r="G502" s="7" t="s">
        <v>343</v>
      </c>
      <c r="H502" s="7" t="s">
        <v>123</v>
      </c>
      <c r="I502" s="7" t="s">
        <v>6436</v>
      </c>
      <c r="J502" s="7"/>
      <c r="K502" s="7" t="s">
        <v>34</v>
      </c>
      <c r="L502" s="7" t="s">
        <v>622</v>
      </c>
      <c r="M502" s="7" t="s">
        <v>622</v>
      </c>
      <c r="N502" s="7" t="s">
        <v>407</v>
      </c>
      <c r="O502" s="7">
        <v>97480.0</v>
      </c>
      <c r="P502" s="7" t="s">
        <v>123</v>
      </c>
      <c r="Q502" s="7"/>
      <c r="R502" s="7"/>
      <c r="S502" s="7" t="s">
        <v>1482</v>
      </c>
      <c r="T502" s="7" t="s">
        <v>1838</v>
      </c>
      <c r="U502" s="7" t="s">
        <v>592</v>
      </c>
      <c r="V502" s="7">
        <v>2.62371364E8</v>
      </c>
      <c r="W502" s="7">
        <v>6.92250138E8</v>
      </c>
      <c r="X502" s="7"/>
      <c r="Y502" s="7"/>
      <c r="Z502" s="7"/>
      <c r="AA502" s="7">
        <v>100.0</v>
      </c>
      <c r="AB502" s="7"/>
      <c r="AC502" s="7"/>
      <c r="AD502" s="7" t="s">
        <v>6437</v>
      </c>
      <c r="AE502" s="7" t="s">
        <v>6438</v>
      </c>
      <c r="AF502" s="7"/>
      <c r="AG502" s="7"/>
      <c r="AH502" s="20">
        <v>39575.0</v>
      </c>
      <c r="AI502" s="7"/>
      <c r="AJ502" s="7" t="s">
        <v>6439</v>
      </c>
      <c r="AK502" s="7">
        <v>4.5034534300047E13</v>
      </c>
      <c r="AL502" s="7" t="s">
        <v>6440</v>
      </c>
      <c r="AM502" s="7" t="s">
        <v>6441</v>
      </c>
      <c r="AN502" s="20">
        <v>39575.0</v>
      </c>
      <c r="AO502" s="7">
        <v>97480.0</v>
      </c>
      <c r="AP502" s="7" t="s">
        <v>385</v>
      </c>
      <c r="AQ502" s="7"/>
      <c r="AR502" s="7"/>
      <c r="AS502" s="7"/>
      <c r="AT502" s="7"/>
      <c r="AU502" s="7">
        <v>0.0</v>
      </c>
      <c r="AV502" s="7" t="s">
        <v>6442</v>
      </c>
      <c r="AW502" s="7"/>
      <c r="AX502" s="7"/>
      <c r="AY502" s="7"/>
      <c r="AZ502" s="7"/>
      <c r="BA502" s="7"/>
      <c r="BB502" s="7"/>
      <c r="BC502" s="7" t="s">
        <v>401</v>
      </c>
      <c r="BD502" s="21">
        <v>44225.0</v>
      </c>
      <c r="BE502" s="7" t="s">
        <v>1047</v>
      </c>
      <c r="BF502" s="7"/>
      <c r="BG502" s="7"/>
      <c r="BH502" s="7">
        <v>4.50345343E8</v>
      </c>
      <c r="BI502" s="7" t="s">
        <v>6443</v>
      </c>
      <c r="BJ502" s="7"/>
      <c r="BK502" s="7" t="b">
        <v>0</v>
      </c>
      <c r="BL502" s="7" t="b">
        <v>0</v>
      </c>
      <c r="BM502" s="7"/>
      <c r="BN502" s="7" t="str">
        <f>IFERROR(__xludf.DUMMYFUNCTION(" IF( REGEXMATCH(C502 , ""[(].+[)]""),REGEXREPLACE( CONCATENATE(REGEXEXTRACT(C502 , ""[(].+[)]""),IF(REGEXMATCH(C502 , ""[(][Ll]['’][)]""),"""","" ""), REGEXEXTRACT(C502 ,""^(?:(?:[A-Za-zàäéèêîïöôûü0-9 ](?:[A-Za-zàäéèêîïöôûü'0-9 ]+)))"")) , ""[()]"", """")"&amp;",C502 )"),"Les Pieds Dans l'Eau ")</f>
        <v>Les Pieds Dans l'Eau </v>
      </c>
      <c r="BO502" s="25"/>
      <c r="BP502" s="7"/>
      <c r="BQ502" s="7"/>
      <c r="BR502" s="7"/>
      <c r="BS502" s="7"/>
      <c r="BT502" s="7"/>
      <c r="BU502" s="7"/>
      <c r="BV502" s="7"/>
      <c r="BW502" s="7"/>
      <c r="BX502" s="7"/>
      <c r="BY502" s="7"/>
      <c r="BZ502" s="7"/>
      <c r="CA502" s="7"/>
      <c r="CB502" s="7"/>
    </row>
    <row r="503" ht="21.75" customHeight="1">
      <c r="A503" s="7">
        <v>796.0</v>
      </c>
      <c r="B503" s="7" t="s">
        <v>6444</v>
      </c>
      <c r="C503" s="7" t="s">
        <v>6445</v>
      </c>
      <c r="D503" s="7" t="s">
        <v>6446</v>
      </c>
      <c r="E503" s="7"/>
      <c r="F503" s="7" t="s">
        <v>342</v>
      </c>
      <c r="G503" s="7" t="s">
        <v>343</v>
      </c>
      <c r="H503" s="7" t="s">
        <v>33</v>
      </c>
      <c r="I503" s="7" t="s">
        <v>6447</v>
      </c>
      <c r="J503" s="7"/>
      <c r="K503" s="7" t="s">
        <v>34</v>
      </c>
      <c r="L503" s="7" t="s">
        <v>622</v>
      </c>
      <c r="M503" s="7" t="s">
        <v>622</v>
      </c>
      <c r="N503" s="7" t="s">
        <v>1001</v>
      </c>
      <c r="O503" s="7">
        <v>97442.0</v>
      </c>
      <c r="P503" s="7" t="s">
        <v>33</v>
      </c>
      <c r="Q503" s="7"/>
      <c r="R503" s="7" t="s">
        <v>2970</v>
      </c>
      <c r="S503" s="7" t="s">
        <v>6448</v>
      </c>
      <c r="T503" s="7" t="s">
        <v>6449</v>
      </c>
      <c r="U503" s="7" t="s">
        <v>592</v>
      </c>
      <c r="V503" s="7">
        <v>2.62370419E8</v>
      </c>
      <c r="W503" s="7">
        <v>6.92081826E8</v>
      </c>
      <c r="X503" s="7"/>
      <c r="Y503" s="7"/>
      <c r="Z503" s="7" t="s">
        <v>6450</v>
      </c>
      <c r="AA503" s="7">
        <v>300.0</v>
      </c>
      <c r="AB503" s="7"/>
      <c r="AC503" s="7"/>
      <c r="AD503" s="7" t="s">
        <v>6451</v>
      </c>
      <c r="AE503" s="7" t="s">
        <v>6452</v>
      </c>
      <c r="AF503" s="7" t="s">
        <v>613</v>
      </c>
      <c r="AG503" s="7"/>
      <c r="AH503" s="20">
        <v>39575.0</v>
      </c>
      <c r="AI503" s="7"/>
      <c r="AJ503" s="7" t="s">
        <v>6453</v>
      </c>
      <c r="AK503" s="7">
        <v>3.8885169300019E13</v>
      </c>
      <c r="AL503" s="7" t="s">
        <v>6454</v>
      </c>
      <c r="AM503" s="7" t="s">
        <v>6455</v>
      </c>
      <c r="AN503" s="20">
        <v>39575.0</v>
      </c>
      <c r="AO503" s="7">
        <v>97442.0</v>
      </c>
      <c r="AP503" s="7" t="s">
        <v>884</v>
      </c>
      <c r="AQ503" s="7"/>
      <c r="AR503" s="7"/>
      <c r="AS503" s="7"/>
      <c r="AT503" s="7"/>
      <c r="AU503" s="7">
        <v>0.0</v>
      </c>
      <c r="AV503" s="7" t="s">
        <v>6456</v>
      </c>
      <c r="AW503" s="7"/>
      <c r="AX503" s="7"/>
      <c r="AY503" s="7"/>
      <c r="AZ503" s="7"/>
      <c r="BA503" s="7"/>
      <c r="BB503" s="7"/>
      <c r="BC503" s="7" t="s">
        <v>401</v>
      </c>
      <c r="BD503" s="21">
        <v>44153.40833333333</v>
      </c>
      <c r="BE503" s="7" t="s">
        <v>1047</v>
      </c>
      <c r="BF503" s="7"/>
      <c r="BG503" s="7"/>
      <c r="BH503" s="7">
        <v>3.88851693E8</v>
      </c>
      <c r="BI503" s="7" t="s">
        <v>6457</v>
      </c>
      <c r="BJ503" s="7"/>
      <c r="BK503" s="7" t="b">
        <v>0</v>
      </c>
      <c r="BL503" s="7" t="b">
        <v>0</v>
      </c>
      <c r="BM503" s="7"/>
      <c r="BN503" s="7" t="str">
        <f>IFERROR(__xludf.DUMMYFUNCTION(" IF( REGEXMATCH(C503 , ""[(].+[)]""),REGEXREPLACE( CONCATENATE(REGEXEXTRACT(C503 , ""[(].+[)]""),IF(REGEXMATCH(C503 , ""[(][Ll]['’][)]""),"""","" ""), REGEXEXTRACT(C503 ,""^(?:(?:[A-Za-zàäéèêîïöôûü0-9 ](?:[A-Za-zàäéèêîïöôûü'0-9 ]+)))"")) , ""[()]"", """")"&amp;",C503 )"),"Le Pinpin ")</f>
        <v>Le Pinpin </v>
      </c>
      <c r="BO503" s="25"/>
      <c r="BP503" s="7"/>
      <c r="BQ503" s="7"/>
      <c r="BR503" s="7"/>
      <c r="BS503" s="7"/>
      <c r="BT503" s="7"/>
      <c r="BU503" s="7"/>
      <c r="BV503" s="7"/>
      <c r="BW503" s="7"/>
      <c r="BX503" s="7"/>
      <c r="BY503" s="7"/>
      <c r="BZ503" s="7"/>
      <c r="CA503" s="7"/>
      <c r="CB503" s="7"/>
    </row>
    <row r="504" ht="21.75" customHeight="1">
      <c r="A504" s="7">
        <v>323.0</v>
      </c>
      <c r="B504" s="7" t="s">
        <v>6458</v>
      </c>
      <c r="C504" s="7" t="s">
        <v>6459</v>
      </c>
      <c r="D504" s="7" t="s">
        <v>6460</v>
      </c>
      <c r="E504" s="7"/>
      <c r="F504" s="7" t="s">
        <v>342</v>
      </c>
      <c r="G504" s="7" t="s">
        <v>343</v>
      </c>
      <c r="H504" s="7" t="s">
        <v>33</v>
      </c>
      <c r="I504" s="7" t="s">
        <v>6461</v>
      </c>
      <c r="J504" s="26" t="s">
        <v>6462</v>
      </c>
      <c r="K504" s="7" t="s">
        <v>34</v>
      </c>
      <c r="L504" s="7" t="s">
        <v>485</v>
      </c>
      <c r="M504" s="7" t="s">
        <v>486</v>
      </c>
      <c r="N504" s="7" t="s">
        <v>1001</v>
      </c>
      <c r="O504" s="7">
        <v>97442.0</v>
      </c>
      <c r="P504" s="7" t="s">
        <v>33</v>
      </c>
      <c r="Q504" s="7"/>
      <c r="R504" s="7" t="s">
        <v>1026</v>
      </c>
      <c r="S504" s="7" t="s">
        <v>6463</v>
      </c>
      <c r="T504" s="7" t="s">
        <v>974</v>
      </c>
      <c r="U504" s="7" t="s">
        <v>440</v>
      </c>
      <c r="V504" s="7">
        <v>2.62371486E8</v>
      </c>
      <c r="W504" s="7">
        <v>6.92643744E8</v>
      </c>
      <c r="X504" s="7"/>
      <c r="Y504" s="7">
        <v>2.62371486E8</v>
      </c>
      <c r="Z504" s="7" t="s">
        <v>6464</v>
      </c>
      <c r="AA504" s="7">
        <v>25.0</v>
      </c>
      <c r="AB504" s="7"/>
      <c r="AC504" s="7" t="s">
        <v>6465</v>
      </c>
      <c r="AD504" s="7" t="s">
        <v>6466</v>
      </c>
      <c r="AE504" s="7" t="s">
        <v>6467</v>
      </c>
      <c r="AF504" s="7" t="s">
        <v>613</v>
      </c>
      <c r="AG504" s="7" t="s">
        <v>578</v>
      </c>
      <c r="AH504" s="20">
        <v>39692.0</v>
      </c>
      <c r="AI504" s="7"/>
      <c r="AJ504" s="7" t="s">
        <v>6468</v>
      </c>
      <c r="AK504" s="7">
        <v>4.4155755000015E13</v>
      </c>
      <c r="AL504" s="7" t="s">
        <v>6469</v>
      </c>
      <c r="AM504" s="7" t="s">
        <v>6470</v>
      </c>
      <c r="AN504" s="20">
        <v>39575.0</v>
      </c>
      <c r="AO504" s="7">
        <v>97442.0</v>
      </c>
      <c r="AP504" s="7" t="s">
        <v>884</v>
      </c>
      <c r="AQ504" s="7"/>
      <c r="AR504" s="7"/>
      <c r="AS504" s="7"/>
      <c r="AT504" s="7"/>
      <c r="AU504" s="7">
        <v>0.0</v>
      </c>
      <c r="AV504" s="7" t="s">
        <v>6471</v>
      </c>
      <c r="AW504" s="7"/>
      <c r="AX504" s="7"/>
      <c r="AY504" s="7"/>
      <c r="AZ504" s="7"/>
      <c r="BA504" s="7"/>
      <c r="BB504" s="7"/>
      <c r="BC504" s="7" t="s">
        <v>401</v>
      </c>
      <c r="BD504" s="21">
        <v>44186.095138888886</v>
      </c>
      <c r="BE504" s="7" t="s">
        <v>3621</v>
      </c>
      <c r="BF504" s="7"/>
      <c r="BG504" s="7"/>
      <c r="BH504" s="7">
        <v>4.4155755E8</v>
      </c>
      <c r="BI504" s="7" t="s">
        <v>6472</v>
      </c>
      <c r="BJ504" s="7"/>
      <c r="BK504" s="7" t="b">
        <v>0</v>
      </c>
      <c r="BL504" s="7" t="b">
        <v>0</v>
      </c>
      <c r="BM504" s="7"/>
      <c r="BN504" s="7" t="str">
        <f>IFERROR(__xludf.DUMMYFUNCTION(" IF( REGEXMATCH(C504 , ""[(].+[)]""),REGEXREPLACE( CONCATENATE(REGEXEXTRACT(C504 , ""[(].+[)]""),IF(REGEXMATCH(C504 , ""[(][Ll]['’][)]""),"""","" ""), REGEXEXTRACT(C504 ,""^(?:(?:[A-Za-zàäéèêîïöôûü0-9 ](?:[A-Za-zàäéèêîïöôûü'0-9 ]+)))"")) , ""[()]"", """")"&amp;",C504 )"),"Le Pinpin d'Amour ")</f>
        <v>Le Pinpin d'Amour </v>
      </c>
      <c r="BO504" s="25"/>
      <c r="BP504" s="7"/>
      <c r="BQ504" s="7"/>
      <c r="BR504" s="7"/>
      <c r="BS504" s="7"/>
      <c r="BT504" s="7"/>
      <c r="BU504" s="7"/>
      <c r="BV504" s="7"/>
      <c r="BW504" s="7"/>
      <c r="BX504" s="7"/>
      <c r="BY504" s="7"/>
      <c r="BZ504" s="7"/>
      <c r="CA504" s="7"/>
      <c r="CB504" s="7"/>
    </row>
    <row r="505" ht="21.75" customHeight="1">
      <c r="A505" s="7">
        <v>322.0</v>
      </c>
      <c r="B505" s="7" t="s">
        <v>6473</v>
      </c>
      <c r="C505" s="7" t="s">
        <v>6459</v>
      </c>
      <c r="D505" s="7" t="s">
        <v>6460</v>
      </c>
      <c r="E505" s="7"/>
      <c r="F505" s="7" t="s">
        <v>342</v>
      </c>
      <c r="G505" s="7" t="s">
        <v>343</v>
      </c>
      <c r="H505" s="7" t="s">
        <v>33</v>
      </c>
      <c r="I505" s="7" t="s">
        <v>6461</v>
      </c>
      <c r="J505" s="26" t="s">
        <v>6462</v>
      </c>
      <c r="K505" s="7" t="s">
        <v>58</v>
      </c>
      <c r="L505" s="7" t="s">
        <v>453</v>
      </c>
      <c r="M505" s="7" t="s">
        <v>454</v>
      </c>
      <c r="N505" s="7" t="s">
        <v>1001</v>
      </c>
      <c r="O505" s="7">
        <v>97442.0</v>
      </c>
      <c r="P505" s="7" t="s">
        <v>33</v>
      </c>
      <c r="Q505" s="7"/>
      <c r="R505" s="7" t="s">
        <v>4654</v>
      </c>
      <c r="S505" s="7" t="s">
        <v>6463</v>
      </c>
      <c r="T505" s="7" t="s">
        <v>974</v>
      </c>
      <c r="U505" s="7" t="s">
        <v>440</v>
      </c>
      <c r="V505" s="7">
        <v>2.62371486E8</v>
      </c>
      <c r="W505" s="7">
        <v>6.92643744E8</v>
      </c>
      <c r="X505" s="7"/>
      <c r="Y505" s="7">
        <v>2.62371486E8</v>
      </c>
      <c r="Z505" s="7" t="s">
        <v>6464</v>
      </c>
      <c r="AA505" s="7">
        <v>12.0</v>
      </c>
      <c r="AB505" s="7" t="s">
        <v>574</v>
      </c>
      <c r="AC505" s="7" t="s">
        <v>6474</v>
      </c>
      <c r="AD505" s="7" t="s">
        <v>6475</v>
      </c>
      <c r="AE505" s="7" t="s">
        <v>6467</v>
      </c>
      <c r="AF505" s="7"/>
      <c r="AG505" s="7" t="s">
        <v>6476</v>
      </c>
      <c r="AH505" s="20">
        <v>39575.0</v>
      </c>
      <c r="AI505" s="7"/>
      <c r="AJ505" s="7" t="s">
        <v>6468</v>
      </c>
      <c r="AK505" s="7">
        <v>4.4155755000015E13</v>
      </c>
      <c r="AL505" s="7" t="s">
        <v>6469</v>
      </c>
      <c r="AM505" s="7" t="s">
        <v>6470</v>
      </c>
      <c r="AN505" s="20">
        <v>39575.0</v>
      </c>
      <c r="AO505" s="7">
        <v>97442.0</v>
      </c>
      <c r="AP505" s="7" t="s">
        <v>884</v>
      </c>
      <c r="AQ505" s="7"/>
      <c r="AR505" s="7"/>
      <c r="AS505" s="7"/>
      <c r="AT505" s="7"/>
      <c r="AU505" s="7">
        <v>5.0</v>
      </c>
      <c r="AV505" s="7" t="s">
        <v>6471</v>
      </c>
      <c r="AW505" s="7" t="s">
        <v>6477</v>
      </c>
      <c r="AX505" s="7"/>
      <c r="AY505" s="7"/>
      <c r="AZ505" s="7" t="s">
        <v>6478</v>
      </c>
      <c r="BA505" s="7"/>
      <c r="BB505" s="7"/>
      <c r="BC505" s="7" t="s">
        <v>401</v>
      </c>
      <c r="BD505" s="21">
        <v>44186.095138888886</v>
      </c>
      <c r="BE505" s="7" t="s">
        <v>3621</v>
      </c>
      <c r="BF505" s="7"/>
      <c r="BG505" s="7"/>
      <c r="BH505" s="7">
        <v>4.4155755E8</v>
      </c>
      <c r="BI505" s="7" t="s">
        <v>6472</v>
      </c>
      <c r="BJ505" s="7"/>
      <c r="BK505" s="7" t="b">
        <v>0</v>
      </c>
      <c r="BL505" s="7" t="b">
        <v>0</v>
      </c>
      <c r="BM505" s="7"/>
      <c r="BN505" s="7" t="str">
        <f>IFERROR(__xludf.DUMMYFUNCTION(" IF( REGEXMATCH(C505 , ""[(].+[)]""),REGEXREPLACE( CONCATENATE(REGEXEXTRACT(C505 , ""[(].+[)]""),IF(REGEXMATCH(C505 , ""[(][Ll]['’][)]""),"""","" ""), REGEXEXTRACT(C505 ,""^(?:(?:[A-Za-zàäéèêîïöôûü0-9 ](?:[A-Za-zàäéèêîïöôûü'0-9 ]+)))"")) , ""[()]"", """")"&amp;",C505 )"),"Le Pinpin d'Amour ")</f>
        <v>Le Pinpin d'Amour </v>
      </c>
      <c r="BO505" s="25"/>
      <c r="BP505" s="7"/>
      <c r="BQ505" s="7"/>
      <c r="BR505" s="7"/>
      <c r="BS505" s="7"/>
      <c r="BT505" s="7"/>
      <c r="BU505" s="7"/>
      <c r="BV505" s="7"/>
      <c r="BW505" s="7"/>
      <c r="BX505" s="7"/>
      <c r="BY505" s="7"/>
      <c r="BZ505" s="7"/>
      <c r="CA505" s="7"/>
      <c r="CB505" s="7"/>
    </row>
    <row r="506" ht="21.75" customHeight="1">
      <c r="A506" s="7">
        <v>23.0</v>
      </c>
      <c r="B506" s="7">
        <v>505.0</v>
      </c>
      <c r="C506" s="7" t="s">
        <v>6479</v>
      </c>
      <c r="D506" s="7" t="s">
        <v>6480</v>
      </c>
      <c r="E506" s="7"/>
      <c r="F506" s="7" t="s">
        <v>404</v>
      </c>
      <c r="G506" s="7" t="s">
        <v>343</v>
      </c>
      <c r="H506" s="7" t="s">
        <v>344</v>
      </c>
      <c r="I506" s="7" t="s">
        <v>6481</v>
      </c>
      <c r="J506" s="7"/>
      <c r="K506" s="7" t="s">
        <v>58</v>
      </c>
      <c r="L506" s="7" t="s">
        <v>453</v>
      </c>
      <c r="M506" s="7" t="s">
        <v>454</v>
      </c>
      <c r="N506" s="7" t="s">
        <v>347</v>
      </c>
      <c r="O506" s="7">
        <v>97418.0</v>
      </c>
      <c r="P506" s="7" t="s">
        <v>348</v>
      </c>
      <c r="Q506" s="7" t="s">
        <v>349</v>
      </c>
      <c r="R506" s="7" t="s">
        <v>6482</v>
      </c>
      <c r="S506" s="7" t="s">
        <v>1094</v>
      </c>
      <c r="T506" s="7" t="s">
        <v>377</v>
      </c>
      <c r="U506" s="7" t="s">
        <v>353</v>
      </c>
      <c r="V506" s="7">
        <v>2.62592807E8</v>
      </c>
      <c r="W506" s="7">
        <v>6.9268616E8</v>
      </c>
      <c r="X506" s="7"/>
      <c r="Y506" s="7"/>
      <c r="Z506" s="7"/>
      <c r="AA506" s="7"/>
      <c r="AB506" s="7" t="s">
        <v>574</v>
      </c>
      <c r="AC506" s="7"/>
      <c r="AD506" s="7" t="s">
        <v>6483</v>
      </c>
      <c r="AE506" s="7" t="s">
        <v>6484</v>
      </c>
      <c r="AF506" s="7"/>
      <c r="AG506" s="7" t="s">
        <v>578</v>
      </c>
      <c r="AH506" s="20">
        <v>39575.0</v>
      </c>
      <c r="AI506" s="7"/>
      <c r="AJ506" s="7" t="s">
        <v>6485</v>
      </c>
      <c r="AK506" s="7"/>
      <c r="AL506" s="7" t="s">
        <v>6486</v>
      </c>
      <c r="AM506" s="7" t="s">
        <v>6487</v>
      </c>
      <c r="AN506" s="20">
        <v>39575.0</v>
      </c>
      <c r="AO506" s="7">
        <v>97418.0</v>
      </c>
      <c r="AP506" s="7" t="s">
        <v>362</v>
      </c>
      <c r="AQ506" s="7"/>
      <c r="AR506" s="7"/>
      <c r="AS506" s="7"/>
      <c r="AT506" s="7"/>
      <c r="AU506" s="7">
        <v>0.0</v>
      </c>
      <c r="AV506" s="7" t="s">
        <v>6488</v>
      </c>
      <c r="AW506" s="7"/>
      <c r="AX506" s="7"/>
      <c r="AY506" s="7"/>
      <c r="AZ506" s="7"/>
      <c r="BA506" s="7"/>
      <c r="BB506" s="7"/>
      <c r="BC506" s="7" t="s">
        <v>366</v>
      </c>
      <c r="BD506" s="21">
        <v>44224.11944444444</v>
      </c>
      <c r="BE506" s="7"/>
      <c r="BF506" s="7"/>
      <c r="BG506" s="22">
        <v>44224.0</v>
      </c>
      <c r="BH506" s="7"/>
      <c r="BI506" s="7" t="s">
        <v>6489</v>
      </c>
      <c r="BJ506" s="7"/>
      <c r="BK506" s="7" t="b">
        <v>0</v>
      </c>
      <c r="BL506" s="7" t="b">
        <v>0</v>
      </c>
      <c r="BM506" s="7"/>
      <c r="BN506" s="7" t="str">
        <f>IFERROR(__xludf.DUMMYFUNCTION(" IF( REGEXMATCH(C506 , ""[(].+[)]""),REGEXREPLACE( CONCATENATE(REGEXEXTRACT(C506 , ""[(].+[)]""),IF(REGEXMATCH(C506 , ""[(][Ll]['’][)]""),"""","" ""), REGEXEXTRACT(C506 ,""^(?:(?:[A-Za-zàäéèêîïöôûü0-9 ](?:[A-Za-zàäéèêîïöôûü'0-9 ]+)))"")) , ""[()]"", """")"&amp;",C506 )"),"Le Piton de l'Eau ")</f>
        <v>Le Piton de l'Eau </v>
      </c>
      <c r="BO506" s="23"/>
      <c r="BP506" s="7"/>
      <c r="BQ506" s="7"/>
      <c r="BR506" s="7"/>
      <c r="BS506" s="7"/>
      <c r="BT506" s="7"/>
      <c r="BU506" s="7"/>
      <c r="BV506" s="7"/>
      <c r="BW506" s="7"/>
      <c r="BX506" s="7"/>
      <c r="BY506" s="7"/>
      <c r="BZ506" s="7"/>
      <c r="CA506" s="7"/>
      <c r="CB506" s="7"/>
    </row>
    <row r="507" ht="21.75" customHeight="1">
      <c r="A507" s="7">
        <v>508.0</v>
      </c>
      <c r="B507" s="7" t="s">
        <v>6490</v>
      </c>
      <c r="C507" s="7" t="s">
        <v>6491</v>
      </c>
      <c r="D507" s="7" t="s">
        <v>6491</v>
      </c>
      <c r="E507" s="7"/>
      <c r="F507" s="7" t="s">
        <v>342</v>
      </c>
      <c r="G507" s="7" t="s">
        <v>343</v>
      </c>
      <c r="H507" s="7" t="s">
        <v>123</v>
      </c>
      <c r="I507" s="7" t="s">
        <v>6492</v>
      </c>
      <c r="J507" s="7"/>
      <c r="K507" s="7" t="s">
        <v>34</v>
      </c>
      <c r="L507" s="7" t="s">
        <v>678</v>
      </c>
      <c r="M507" s="7" t="s">
        <v>5053</v>
      </c>
      <c r="N507" s="7" t="s">
        <v>422</v>
      </c>
      <c r="O507" s="7">
        <v>97480.0</v>
      </c>
      <c r="P507" s="7" t="s">
        <v>123</v>
      </c>
      <c r="Q507" s="7"/>
      <c r="R507" s="7" t="s">
        <v>1026</v>
      </c>
      <c r="S507" s="7" t="s">
        <v>6493</v>
      </c>
      <c r="T507" s="7" t="s">
        <v>1612</v>
      </c>
      <c r="U507" s="7" t="s">
        <v>353</v>
      </c>
      <c r="V507" s="7">
        <v>2.62373567E8</v>
      </c>
      <c r="W507" s="7"/>
      <c r="X507" s="7"/>
      <c r="Y507" s="7"/>
      <c r="Z507" s="7"/>
      <c r="AA507" s="7">
        <v>30.0</v>
      </c>
      <c r="AB507" s="7"/>
      <c r="AC507" s="7"/>
      <c r="AD507" s="7" t="s">
        <v>6494</v>
      </c>
      <c r="AE507" s="7" t="s">
        <v>6495</v>
      </c>
      <c r="AF507" s="7"/>
      <c r="AG507" s="7"/>
      <c r="AH507" s="20">
        <v>39575.0</v>
      </c>
      <c r="AI507" s="7"/>
      <c r="AJ507" s="7" t="s">
        <v>6496</v>
      </c>
      <c r="AK507" s="7">
        <v>3.3507156900032E13</v>
      </c>
      <c r="AL507" s="7" t="s">
        <v>6497</v>
      </c>
      <c r="AM507" s="7" t="s">
        <v>6498</v>
      </c>
      <c r="AN507" s="20">
        <v>39575.0</v>
      </c>
      <c r="AO507" s="7">
        <v>97480.0</v>
      </c>
      <c r="AP507" s="7" t="s">
        <v>385</v>
      </c>
      <c r="AQ507" s="7"/>
      <c r="AR507" s="7"/>
      <c r="AS507" s="7"/>
      <c r="AT507" s="7"/>
      <c r="AU507" s="7">
        <v>0.0</v>
      </c>
      <c r="AV507" s="7" t="s">
        <v>6499</v>
      </c>
      <c r="AW507" s="7"/>
      <c r="AX507" s="7"/>
      <c r="AY507" s="7"/>
      <c r="AZ507" s="7"/>
      <c r="BA507" s="7"/>
      <c r="BB507" s="7"/>
      <c r="BC507" s="7" t="s">
        <v>401</v>
      </c>
      <c r="BD507" s="21">
        <v>44231.416666666664</v>
      </c>
      <c r="BE507" s="7" t="s">
        <v>1047</v>
      </c>
      <c r="BF507" s="7"/>
      <c r="BG507" s="7"/>
      <c r="BH507" s="7">
        <v>3.35071569E8</v>
      </c>
      <c r="BI507" s="7" t="s">
        <v>6500</v>
      </c>
      <c r="BJ507" s="7"/>
      <c r="BK507" s="7" t="b">
        <v>0</v>
      </c>
      <c r="BL507" s="7" t="b">
        <v>0</v>
      </c>
      <c r="BM507" s="7"/>
      <c r="BN507" s="7" t="str">
        <f>IFERROR(__xludf.DUMMYFUNCTION(" IF( REGEXMATCH(C507 , ""[(].+[)]""),REGEXREPLACE( CONCATENATE(REGEXEXTRACT(C507 , ""[(].+[)]""),IF(REGEXMATCH(C507 , ""[(][Ll]['’][)]""),"""","" ""), REGEXEXTRACT(C507 ,""^(?:(?:[A-Za-zàäéèêîïöôûü0-9 ](?:[A-Za-zàäéèêîïöôûü'0-9 ]+)))"")) , ""[()]"", """")"&amp;",C507 )"),"Pizzeria Bella Attina")</f>
        <v>Pizzeria Bella Attina</v>
      </c>
      <c r="BO507" s="25"/>
      <c r="BP507" s="7"/>
      <c r="BQ507" s="7"/>
      <c r="BR507" s="7"/>
      <c r="BS507" s="7"/>
      <c r="BT507" s="7"/>
      <c r="BU507" s="7"/>
      <c r="BV507" s="7"/>
      <c r="BW507" s="7"/>
      <c r="BX507" s="7"/>
      <c r="BY507" s="7"/>
      <c r="BZ507" s="7"/>
      <c r="CA507" s="7"/>
      <c r="CB507" s="7"/>
    </row>
    <row r="508" ht="21.75" customHeight="1">
      <c r="A508" s="7">
        <v>4648.0</v>
      </c>
      <c r="B508" s="7" t="s">
        <v>6501</v>
      </c>
      <c r="C508" s="7" t="s">
        <v>6502</v>
      </c>
      <c r="D508" s="7"/>
      <c r="E508" s="7"/>
      <c r="F508" s="7" t="s">
        <v>342</v>
      </c>
      <c r="G508" s="7" t="s">
        <v>343</v>
      </c>
      <c r="H508" s="7" t="s">
        <v>123</v>
      </c>
      <c r="I508" s="7" t="s">
        <v>6503</v>
      </c>
      <c r="J508" s="7"/>
      <c r="K508" s="7" t="s">
        <v>34</v>
      </c>
      <c r="L508" s="7" t="s">
        <v>678</v>
      </c>
      <c r="M508" s="7" t="s">
        <v>5053</v>
      </c>
      <c r="N508" s="7" t="s">
        <v>6504</v>
      </c>
      <c r="O508" s="7">
        <v>97480.0</v>
      </c>
      <c r="P508" s="7" t="s">
        <v>123</v>
      </c>
      <c r="Q508" s="7"/>
      <c r="R508" s="7"/>
      <c r="S508" s="7"/>
      <c r="T508" s="7"/>
      <c r="U508" s="7" t="s">
        <v>378</v>
      </c>
      <c r="V508" s="7">
        <v>2.62982312E8</v>
      </c>
      <c r="W508" s="7"/>
      <c r="X508" s="7"/>
      <c r="Y508" s="7"/>
      <c r="Z508" s="7"/>
      <c r="AA508" s="7"/>
      <c r="AB508" s="7"/>
      <c r="AC508" s="7" t="s">
        <v>6505</v>
      </c>
      <c r="AD508" s="7" t="s">
        <v>6506</v>
      </c>
      <c r="AE508" s="7"/>
      <c r="AF508" s="7"/>
      <c r="AG508" s="7"/>
      <c r="AH508" s="20">
        <v>43378.0</v>
      </c>
      <c r="AI508" s="7"/>
      <c r="AJ508" s="7" t="s">
        <v>6507</v>
      </c>
      <c r="AK508" s="7"/>
      <c r="AL508" s="7" t="s">
        <v>6508</v>
      </c>
      <c r="AM508" s="7" t="s">
        <v>6509</v>
      </c>
      <c r="AN508" s="20">
        <v>43378.0</v>
      </c>
      <c r="AO508" s="7">
        <v>97480.0</v>
      </c>
      <c r="AP508" s="7" t="s">
        <v>385</v>
      </c>
      <c r="AQ508" s="7"/>
      <c r="AR508" s="7"/>
      <c r="AS508" s="7"/>
      <c r="AT508" s="7"/>
      <c r="AU508" s="7">
        <v>0.0</v>
      </c>
      <c r="AV508" s="7" t="s">
        <v>6510</v>
      </c>
      <c r="AW508" s="7"/>
      <c r="AX508" s="7"/>
      <c r="AY508" s="7"/>
      <c r="AZ508" s="7"/>
      <c r="BA508" s="7"/>
      <c r="BB508" s="7"/>
      <c r="BC508" s="7" t="s">
        <v>401</v>
      </c>
      <c r="BD508" s="21">
        <v>44232.07361111111</v>
      </c>
      <c r="BE508" s="7" t="s">
        <v>6511</v>
      </c>
      <c r="BF508" s="7"/>
      <c r="BG508" s="7"/>
      <c r="BH508" s="7"/>
      <c r="BI508" s="7" t="s">
        <v>6512</v>
      </c>
      <c r="BJ508" s="7"/>
      <c r="BK508" s="7" t="b">
        <v>0</v>
      </c>
      <c r="BL508" s="7" t="b">
        <v>0</v>
      </c>
      <c r="BM508" s="7"/>
      <c r="BN508" s="7" t="str">
        <f>IFERROR(__xludf.DUMMYFUNCTION(" IF( REGEXMATCH(C508 , ""[(].+[)]""),REGEXREPLACE( CONCATENATE(REGEXEXTRACT(C508 , ""[(].+[)]""),IF(REGEXMATCH(C508 , ""[(][Ll]['’][)]""),"""","" ""), REGEXEXTRACT(C508 ,""^(?:(?:[A-Za-zàäéèêîïöôûü0-9 ](?:[A-Za-zàäéèêîïöôûü'0-9 ]+)))"")) , ""[()]"", """")"&amp;",C508 )"),"Pizzeria L'Andalouse")</f>
        <v>Pizzeria L'Andalouse</v>
      </c>
      <c r="BO508" s="25"/>
      <c r="BP508" s="7"/>
      <c r="BQ508" s="7"/>
      <c r="BR508" s="7"/>
      <c r="BS508" s="7"/>
      <c r="BT508" s="7"/>
      <c r="BU508" s="7"/>
      <c r="BV508" s="7"/>
      <c r="BW508" s="7"/>
      <c r="BX508" s="7"/>
      <c r="BY508" s="7"/>
      <c r="BZ508" s="7"/>
      <c r="CA508" s="7"/>
      <c r="CB508" s="7"/>
    </row>
    <row r="509" ht="21.75" customHeight="1">
      <c r="A509" s="7">
        <v>1003.0</v>
      </c>
      <c r="B509" s="7" t="s">
        <v>6513</v>
      </c>
      <c r="C509" s="7" t="s">
        <v>6514</v>
      </c>
      <c r="D509" s="7" t="s">
        <v>6515</v>
      </c>
      <c r="E509" s="7"/>
      <c r="F509" s="7" t="s">
        <v>342</v>
      </c>
      <c r="G509" s="7" t="s">
        <v>343</v>
      </c>
      <c r="H509" s="7" t="s">
        <v>123</v>
      </c>
      <c r="I509" s="7" t="s">
        <v>6516</v>
      </c>
      <c r="J509" s="7"/>
      <c r="K509" s="7" t="s">
        <v>34</v>
      </c>
      <c r="L509" s="7" t="s">
        <v>622</v>
      </c>
      <c r="M509" s="7" t="s">
        <v>622</v>
      </c>
      <c r="N509" s="7" t="s">
        <v>664</v>
      </c>
      <c r="O509" s="7">
        <v>97480.0</v>
      </c>
      <c r="P509" s="7" t="s">
        <v>123</v>
      </c>
      <c r="Q509" s="7"/>
      <c r="R509" s="7" t="s">
        <v>6517</v>
      </c>
      <c r="S509" s="7" t="s">
        <v>6518</v>
      </c>
      <c r="T509" s="7" t="s">
        <v>1612</v>
      </c>
      <c r="U509" s="7" t="s">
        <v>592</v>
      </c>
      <c r="V509" s="7">
        <v>2.62561612E8</v>
      </c>
      <c r="W509" s="7">
        <v>6.92683406E8</v>
      </c>
      <c r="X509" s="7"/>
      <c r="Y509" s="7"/>
      <c r="Z509" s="7"/>
      <c r="AA509" s="7">
        <v>100.0</v>
      </c>
      <c r="AB509" s="7"/>
      <c r="AC509" s="7"/>
      <c r="AD509" s="7" t="s">
        <v>6519</v>
      </c>
      <c r="AE509" s="7" t="s">
        <v>6520</v>
      </c>
      <c r="AF509" s="7"/>
      <c r="AG509" s="7"/>
      <c r="AH509" s="20">
        <v>39575.0</v>
      </c>
      <c r="AI509" s="7"/>
      <c r="AJ509" s="7" t="s">
        <v>6521</v>
      </c>
      <c r="AK509" s="7">
        <v>3.9814642300015E13</v>
      </c>
      <c r="AL509" s="7" t="s">
        <v>6522</v>
      </c>
      <c r="AM509" s="7" t="s">
        <v>6523</v>
      </c>
      <c r="AN509" s="20">
        <v>39575.0</v>
      </c>
      <c r="AO509" s="7">
        <v>97480.0</v>
      </c>
      <c r="AP509" s="7" t="s">
        <v>385</v>
      </c>
      <c r="AQ509" s="7"/>
      <c r="AR509" s="7"/>
      <c r="AS509" s="7"/>
      <c r="AT509" s="7"/>
      <c r="AU509" s="7">
        <v>0.0</v>
      </c>
      <c r="AV509" s="7" t="s">
        <v>6524</v>
      </c>
      <c r="AW509" s="7"/>
      <c r="AX509" s="7"/>
      <c r="AY509" s="7"/>
      <c r="AZ509" s="7"/>
      <c r="BA509" s="7"/>
      <c r="BB509" s="7"/>
      <c r="BC509" s="7" t="s">
        <v>401</v>
      </c>
      <c r="BD509" s="21">
        <v>44232.066666666666</v>
      </c>
      <c r="BE509" s="7" t="s">
        <v>6525</v>
      </c>
      <c r="BF509" s="7"/>
      <c r="BG509" s="7"/>
      <c r="BH509" s="7">
        <v>3.98146423E8</v>
      </c>
      <c r="BI509" s="7" t="s">
        <v>6526</v>
      </c>
      <c r="BJ509" s="7"/>
      <c r="BK509" s="7" t="b">
        <v>0</v>
      </c>
      <c r="BL509" s="7" t="b">
        <v>0</v>
      </c>
      <c r="BM509" s="7"/>
      <c r="BN509" s="7" t="str">
        <f>IFERROR(__xludf.DUMMYFUNCTION(" IF( REGEXMATCH(C509 , ""[(].+[)]""),REGEXREPLACE( CONCATENATE(REGEXEXTRACT(C509 , ""[(].+[)]""),IF(REGEXMATCH(C509 , ""[(][Ll]['’][)]""),"""","" ""), REGEXEXTRACT(C509 ,""^(?:(?:[A-Za-zàäéèêîïöôûü0-9 ](?:[A-Za-zàäéèêîïöôûü'0-9 ]+)))"")) , ""[()]"", """")"&amp;",C509 )"),"Pizzeria La Gondole")</f>
        <v>Pizzeria La Gondole</v>
      </c>
      <c r="BO509" s="25"/>
      <c r="BP509" s="7"/>
      <c r="BQ509" s="7"/>
      <c r="BR509" s="7"/>
      <c r="BS509" s="7"/>
      <c r="BT509" s="7"/>
      <c r="BU509" s="7"/>
      <c r="BV509" s="7"/>
      <c r="BW509" s="7"/>
      <c r="BX509" s="7"/>
      <c r="BY509" s="7"/>
      <c r="BZ509" s="7"/>
      <c r="CA509" s="7"/>
      <c r="CB509" s="7"/>
    </row>
    <row r="510" ht="21.75" customHeight="1">
      <c r="A510" s="7">
        <v>3999.0</v>
      </c>
      <c r="B510" s="7" t="s">
        <v>6527</v>
      </c>
      <c r="C510" s="7" t="s">
        <v>6528</v>
      </c>
      <c r="D510" s="7"/>
      <c r="E510" s="7"/>
      <c r="F510" s="7" t="s">
        <v>342</v>
      </c>
      <c r="G510" s="7" t="s">
        <v>343</v>
      </c>
      <c r="H510" s="7" t="s">
        <v>344</v>
      </c>
      <c r="I510" s="7" t="s">
        <v>6529</v>
      </c>
      <c r="J510" s="7"/>
      <c r="K510" s="7" t="s">
        <v>34</v>
      </c>
      <c r="L510" s="7" t="s">
        <v>622</v>
      </c>
      <c r="M510" s="7" t="s">
        <v>622</v>
      </c>
      <c r="N510" s="7"/>
      <c r="O510" s="7">
        <v>97430.0</v>
      </c>
      <c r="P510" s="7" t="s">
        <v>344</v>
      </c>
      <c r="Q510" s="7"/>
      <c r="R510" s="7"/>
      <c r="S510" s="7"/>
      <c r="T510" s="7" t="s">
        <v>377</v>
      </c>
      <c r="U510" s="7" t="s">
        <v>378</v>
      </c>
      <c r="V510" s="7">
        <v>2.62263981E8</v>
      </c>
      <c r="W510" s="7">
        <v>6.9360055E8</v>
      </c>
      <c r="X510" s="7"/>
      <c r="Y510" s="7"/>
      <c r="Z510" s="7"/>
      <c r="AA510" s="7"/>
      <c r="AB510" s="7"/>
      <c r="AC510" s="7" t="s">
        <v>6530</v>
      </c>
      <c r="AD510" s="7" t="s">
        <v>6531</v>
      </c>
      <c r="AE510" s="7"/>
      <c r="AF510" s="7"/>
      <c r="AG510" s="7"/>
      <c r="AH510" s="20">
        <v>42221.0</v>
      </c>
      <c r="AI510" s="7"/>
      <c r="AJ510" s="7" t="s">
        <v>6532</v>
      </c>
      <c r="AK510" s="7">
        <v>5.3167288900015E13</v>
      </c>
      <c r="AL510" s="7" t="s">
        <v>6533</v>
      </c>
      <c r="AM510" s="7" t="s">
        <v>6534</v>
      </c>
      <c r="AN510" s="20">
        <v>42221.0</v>
      </c>
      <c r="AO510" s="7">
        <v>97430.0</v>
      </c>
      <c r="AP510" s="7" t="s">
        <v>494</v>
      </c>
      <c r="AQ510" s="7"/>
      <c r="AR510" s="7"/>
      <c r="AS510" s="7"/>
      <c r="AT510" s="7"/>
      <c r="AU510" s="7">
        <v>0.0</v>
      </c>
      <c r="AV510" s="7" t="s">
        <v>6535</v>
      </c>
      <c r="AW510" s="7"/>
      <c r="AX510" s="7"/>
      <c r="AY510" s="7"/>
      <c r="AZ510" s="7"/>
      <c r="BA510" s="7"/>
      <c r="BB510" s="7"/>
      <c r="BC510" s="7" t="s">
        <v>401</v>
      </c>
      <c r="BD510" s="21">
        <v>44244.0</v>
      </c>
      <c r="BE510" s="7" t="s">
        <v>6536</v>
      </c>
      <c r="BF510" s="7"/>
      <c r="BG510" s="7"/>
      <c r="BH510" s="7">
        <v>5.31672889E8</v>
      </c>
      <c r="BI510" s="7" t="s">
        <v>6537</v>
      </c>
      <c r="BJ510" s="7"/>
      <c r="BK510" s="7" t="b">
        <v>0</v>
      </c>
      <c r="BL510" s="7" t="b">
        <v>0</v>
      </c>
      <c r="BM510" s="7"/>
      <c r="BN510" s="7" t="str">
        <f>IFERROR(__xludf.DUMMYFUNCTION(" IF( REGEXMATCH(C510 , ""[(].+[)]""),REGEXREPLACE( CONCATENATE(REGEXEXTRACT(C510 , ""[(].+[)]""),IF(REGEXMATCH(C510 , ""[(][Ll]['’][)]""),"""","" ""), REGEXEXTRACT(C510 ,""^(?:(?:[A-Za-zàäéèêîïöôûü0-9 ](?:[A-Za-zàäéèêîïöôûü'0-9 ]+)))"")) , ""[()]"", """")"&amp;",C510 )"),"Le Plamétys ")</f>
        <v>Le Plamétys </v>
      </c>
      <c r="BO510" s="25"/>
      <c r="BP510" s="7"/>
      <c r="BQ510" s="7"/>
      <c r="BR510" s="7"/>
      <c r="BS510" s="7"/>
      <c r="BT510" s="7"/>
      <c r="BU510" s="7"/>
      <c r="BV510" s="7"/>
      <c r="BW510" s="7"/>
      <c r="BX510" s="7"/>
      <c r="BY510" s="7"/>
      <c r="BZ510" s="7"/>
      <c r="CA510" s="7"/>
      <c r="CB510" s="7"/>
    </row>
    <row r="511" ht="21.75" customHeight="1">
      <c r="A511" s="7">
        <v>946.0</v>
      </c>
      <c r="B511" s="7" t="s">
        <v>271</v>
      </c>
      <c r="C511" s="7" t="s">
        <v>6538</v>
      </c>
      <c r="D511" s="7" t="s">
        <v>6538</v>
      </c>
      <c r="E511" s="7"/>
      <c r="F511" s="7" t="s">
        <v>342</v>
      </c>
      <c r="G511" s="7" t="s">
        <v>343</v>
      </c>
      <c r="H511" s="7" t="s">
        <v>123</v>
      </c>
      <c r="I511" s="7" t="s">
        <v>6539</v>
      </c>
      <c r="J511" s="26" t="s">
        <v>6540</v>
      </c>
      <c r="K511" s="7" t="s">
        <v>58</v>
      </c>
      <c r="L511" s="7" t="s">
        <v>453</v>
      </c>
      <c r="M511" s="7" t="s">
        <v>454</v>
      </c>
      <c r="N511" s="7" t="s">
        <v>455</v>
      </c>
      <c r="O511" s="7">
        <v>97480.0</v>
      </c>
      <c r="P511" s="7" t="s">
        <v>123</v>
      </c>
      <c r="Q511" s="7"/>
      <c r="R511" s="7" t="s">
        <v>6541</v>
      </c>
      <c r="S511" s="7" t="s">
        <v>1987</v>
      </c>
      <c r="T511" s="7" t="s">
        <v>499</v>
      </c>
      <c r="U511" s="7" t="s">
        <v>424</v>
      </c>
      <c r="V511" s="7">
        <v>2.62560886E8</v>
      </c>
      <c r="W511" s="7">
        <v>6.92335492E8</v>
      </c>
      <c r="X511" s="7"/>
      <c r="Y511" s="7"/>
      <c r="Z511" s="7" t="s">
        <v>6542</v>
      </c>
      <c r="AA511" s="7">
        <v>8.0</v>
      </c>
      <c r="AB511" s="7"/>
      <c r="AC511" s="7" t="s">
        <v>6543</v>
      </c>
      <c r="AD511" s="7" t="s">
        <v>6544</v>
      </c>
      <c r="AE511" s="7" t="s">
        <v>6545</v>
      </c>
      <c r="AF511" s="7"/>
      <c r="AG511" s="7"/>
      <c r="AH511" s="20">
        <v>39575.0</v>
      </c>
      <c r="AI511" s="7"/>
      <c r="AJ511" s="7" t="s">
        <v>6546</v>
      </c>
      <c r="AK511" s="7">
        <v>5.3359369500018E13</v>
      </c>
      <c r="AL511" s="7" t="s">
        <v>6547</v>
      </c>
      <c r="AM511" s="7" t="s">
        <v>6548</v>
      </c>
      <c r="AN511" s="20">
        <v>39575.0</v>
      </c>
      <c r="AO511" s="7">
        <v>97480.0</v>
      </c>
      <c r="AP511" s="7" t="s">
        <v>385</v>
      </c>
      <c r="AQ511" s="7"/>
      <c r="AR511" s="7"/>
      <c r="AS511" s="7"/>
      <c r="AT511" s="7"/>
      <c r="AU511" s="7">
        <v>4.0</v>
      </c>
      <c r="AV511" s="7" t="s">
        <v>6549</v>
      </c>
      <c r="AW511" s="7"/>
      <c r="AX511" s="7"/>
      <c r="AY511" s="7"/>
      <c r="AZ511" s="7" t="s">
        <v>6550</v>
      </c>
      <c r="BA511" s="7"/>
      <c r="BB511" s="7"/>
      <c r="BC511" s="7" t="s">
        <v>401</v>
      </c>
      <c r="BD511" s="21">
        <v>44304.81186342592</v>
      </c>
      <c r="BE511" s="7" t="s">
        <v>6551</v>
      </c>
      <c r="BF511" s="7" t="s">
        <v>6552</v>
      </c>
      <c r="BG511" s="27">
        <v>44304.81240740741</v>
      </c>
      <c r="BH511" s="7">
        <v>5.33593695E8</v>
      </c>
      <c r="BI511" s="7" t="s">
        <v>6553</v>
      </c>
      <c r="BJ511" s="7"/>
      <c r="BK511" s="7" t="b">
        <v>0</v>
      </c>
      <c r="BL511" s="7" t="b">
        <v>1</v>
      </c>
      <c r="BM511" s="7"/>
      <c r="BN511" s="7" t="str">
        <f>IFERROR(__xludf.DUMMYFUNCTION(" IF( REGEXMATCH(C511 , ""[(].+[)]""),REGEXREPLACE( CONCATENATE(REGEXEXTRACT(C511 , ""[(].+[)]""),IF(REGEXMATCH(C511 , ""[(][Ll]['’][)]""),"""","" ""), REGEXEXTRACT(C511 ,""^(?:(?:[A-Za-zàäéèêîïöôûü0-9 ](?:[A-Za-zàäéèêîïöôûü'0-9 ]+)))"")) , ""[()]"", """")"&amp;",C511 )"),"La Plantation ")</f>
        <v>La Plantation </v>
      </c>
      <c r="BO511" s="25"/>
      <c r="BP511" s="7"/>
      <c r="BQ511" s="7"/>
      <c r="BR511" s="7"/>
      <c r="BS511" s="7"/>
      <c r="BT511" s="7"/>
      <c r="BU511" s="7"/>
      <c r="BV511" s="7"/>
      <c r="BW511" s="7"/>
      <c r="BX511" s="7"/>
      <c r="BY511" s="7"/>
      <c r="BZ511" s="7"/>
      <c r="CA511" s="7"/>
      <c r="CB511" s="7"/>
    </row>
    <row r="512" ht="21.75" customHeight="1">
      <c r="A512" s="7">
        <v>2258.0</v>
      </c>
      <c r="B512" s="7" t="s">
        <v>6554</v>
      </c>
      <c r="C512" s="7" t="s">
        <v>6555</v>
      </c>
      <c r="D512" s="7"/>
      <c r="E512" s="7"/>
      <c r="F512" s="7" t="s">
        <v>342</v>
      </c>
      <c r="G512" s="7" t="s">
        <v>343</v>
      </c>
      <c r="H512" s="7" t="s">
        <v>40</v>
      </c>
      <c r="I512" s="7" t="s">
        <v>6556</v>
      </c>
      <c r="J512" s="7"/>
      <c r="K512" s="7" t="s">
        <v>34</v>
      </c>
      <c r="L512" s="7" t="s">
        <v>622</v>
      </c>
      <c r="M512" s="7" t="s">
        <v>1347</v>
      </c>
      <c r="N512" s="7" t="s">
        <v>407</v>
      </c>
      <c r="O512" s="7">
        <v>97414.0</v>
      </c>
      <c r="P512" s="7" t="s">
        <v>40</v>
      </c>
      <c r="Q512" s="7"/>
      <c r="R512" s="7" t="s">
        <v>6557</v>
      </c>
      <c r="S512" s="7" t="s">
        <v>2658</v>
      </c>
      <c r="T512" s="7" t="s">
        <v>377</v>
      </c>
      <c r="U512" s="7" t="s">
        <v>353</v>
      </c>
      <c r="V512" s="7"/>
      <c r="W512" s="7">
        <v>6.93458528E8</v>
      </c>
      <c r="X512" s="7"/>
      <c r="Y512" s="7"/>
      <c r="Z512" s="7"/>
      <c r="AA512" s="7"/>
      <c r="AB512" s="7"/>
      <c r="AC512" s="7"/>
      <c r="AD512" s="7" t="s">
        <v>6558</v>
      </c>
      <c r="AE512" s="7"/>
      <c r="AF512" s="7"/>
      <c r="AG512" s="7"/>
      <c r="AH512" s="20">
        <v>43739.0</v>
      </c>
      <c r="AI512" s="7"/>
      <c r="AJ512" s="7" t="s">
        <v>6559</v>
      </c>
      <c r="AK512" s="7"/>
      <c r="AL512" s="7" t="s">
        <v>6560</v>
      </c>
      <c r="AM512" s="7" t="s">
        <v>6561</v>
      </c>
      <c r="AN512" s="20">
        <v>43739.0</v>
      </c>
      <c r="AO512" s="7">
        <v>97414.0</v>
      </c>
      <c r="AP512" s="7" t="s">
        <v>429</v>
      </c>
      <c r="AQ512" s="7"/>
      <c r="AR512" s="7"/>
      <c r="AS512" s="7"/>
      <c r="AT512" s="7"/>
      <c r="AU512" s="7">
        <v>0.0</v>
      </c>
      <c r="AV512" s="7" t="s">
        <v>6562</v>
      </c>
      <c r="AW512" s="7"/>
      <c r="AX512" s="7"/>
      <c r="AY512" s="7"/>
      <c r="AZ512" s="7"/>
      <c r="BA512" s="7"/>
      <c r="BB512" s="7"/>
      <c r="BC512" s="7" t="s">
        <v>401</v>
      </c>
      <c r="BD512" s="21">
        <v>44077.44583333333</v>
      </c>
      <c r="BE512" s="7" t="s">
        <v>6563</v>
      </c>
      <c r="BF512" s="7"/>
      <c r="BG512" s="7"/>
      <c r="BH512" s="7"/>
      <c r="BI512" s="7" t="s">
        <v>1786</v>
      </c>
      <c r="BJ512" s="7"/>
      <c r="BK512" s="7" t="b">
        <v>0</v>
      </c>
      <c r="BL512" s="7" t="b">
        <v>0</v>
      </c>
      <c r="BM512" s="7"/>
      <c r="BN512" s="7" t="str">
        <f>IFERROR(__xludf.DUMMYFUNCTION(" IF( REGEXMATCH(C512 , ""[(].+[)]""),REGEXREPLACE( CONCATENATE(REGEXEXTRACT(C512 , ""[(].+[)]""),IF(REGEXMATCH(C512 , ""[(][Ll]['’][)]""),"""","" ""), REGEXEXTRACT(C512 ,""^(?:(?:[A-Za-zàäéèêîïöôûü0-9 ](?:[A-Za-zàäéèêîïöôûü'0-9 ]+)))"")) , ""[()]"", """")"&amp;",C512 )"),"Le Plat Garni ")</f>
        <v>Le Plat Garni </v>
      </c>
      <c r="BO512" s="25"/>
      <c r="BP512" s="7"/>
      <c r="BQ512" s="7"/>
      <c r="BR512" s="7"/>
      <c r="BS512" s="7"/>
      <c r="BT512" s="7"/>
      <c r="BU512" s="7"/>
      <c r="BV512" s="7"/>
      <c r="BW512" s="7"/>
      <c r="BX512" s="7"/>
      <c r="BY512" s="7"/>
      <c r="BZ512" s="7"/>
      <c r="CA512" s="7"/>
      <c r="CB512" s="7"/>
    </row>
    <row r="513" ht="21.75" customHeight="1">
      <c r="A513" s="7">
        <v>797.0</v>
      </c>
      <c r="B513" s="7">
        <v>512.0</v>
      </c>
      <c r="C513" s="7" t="s">
        <v>6564</v>
      </c>
      <c r="D513" s="7" t="s">
        <v>6565</v>
      </c>
      <c r="E513" s="7"/>
      <c r="F513" s="7" t="s">
        <v>404</v>
      </c>
      <c r="G513" s="7" t="s">
        <v>343</v>
      </c>
      <c r="H513" s="7" t="s">
        <v>40</v>
      </c>
      <c r="I513" s="7" t="s">
        <v>6566</v>
      </c>
      <c r="J513" s="7"/>
      <c r="K513" s="7" t="s">
        <v>58</v>
      </c>
      <c r="L513" s="7" t="s">
        <v>59</v>
      </c>
      <c r="M513" s="7" t="s">
        <v>374</v>
      </c>
      <c r="N513" s="7" t="s">
        <v>407</v>
      </c>
      <c r="O513" s="7">
        <v>97414.0</v>
      </c>
      <c r="P513" s="7" t="s">
        <v>40</v>
      </c>
      <c r="Q513" s="7"/>
      <c r="R513" s="7" t="s">
        <v>1221</v>
      </c>
      <c r="S513" s="7" t="s">
        <v>351</v>
      </c>
      <c r="T513" s="7" t="s">
        <v>439</v>
      </c>
      <c r="U513" s="7" t="s">
        <v>353</v>
      </c>
      <c r="V513" s="7">
        <v>2.6239623E8</v>
      </c>
      <c r="W513" s="7"/>
      <c r="X513" s="7"/>
      <c r="Y513" s="7"/>
      <c r="Z513" s="7" t="s">
        <v>6567</v>
      </c>
      <c r="AA513" s="7">
        <v>6.0</v>
      </c>
      <c r="AB513" s="7" t="s">
        <v>355</v>
      </c>
      <c r="AC513" s="7" t="s">
        <v>6568</v>
      </c>
      <c r="AD513" s="7" t="s">
        <v>6569</v>
      </c>
      <c r="AE513" s="7" t="s">
        <v>6570</v>
      </c>
      <c r="AF513" s="7"/>
      <c r="AG513" s="7"/>
      <c r="AH513" s="20">
        <v>39575.0</v>
      </c>
      <c r="AI513" s="7"/>
      <c r="AJ513" s="7" t="s">
        <v>6571</v>
      </c>
      <c r="AK513" s="7">
        <v>3.3758676200029E13</v>
      </c>
      <c r="AL513" s="7" t="s">
        <v>6572</v>
      </c>
      <c r="AM513" s="7" t="s">
        <v>6573</v>
      </c>
      <c r="AN513" s="20">
        <v>39575.0</v>
      </c>
      <c r="AO513" s="7">
        <v>97414.0</v>
      </c>
      <c r="AP513" s="7" t="s">
        <v>429</v>
      </c>
      <c r="AQ513" s="7"/>
      <c r="AR513" s="7"/>
      <c r="AS513" s="7"/>
      <c r="AT513" s="7"/>
      <c r="AU513" s="7">
        <v>1.0</v>
      </c>
      <c r="AV513" s="7" t="s">
        <v>6574</v>
      </c>
      <c r="AW513" s="7"/>
      <c r="AX513" s="7"/>
      <c r="AY513" s="7"/>
      <c r="AZ513" s="7"/>
      <c r="BA513" s="7"/>
      <c r="BB513" s="7"/>
      <c r="BC513" s="7" t="s">
        <v>366</v>
      </c>
      <c r="BD513" s="21">
        <v>44197.0</v>
      </c>
      <c r="BE513" s="7"/>
      <c r="BF513" s="7"/>
      <c r="BG513" s="22">
        <v>44197.0</v>
      </c>
      <c r="BH513" s="7">
        <v>3.37586762E8</v>
      </c>
      <c r="BI513" s="7" t="s">
        <v>6575</v>
      </c>
      <c r="BJ513" s="7"/>
      <c r="BK513" s="7" t="b">
        <v>0</v>
      </c>
      <c r="BL513" s="7" t="b">
        <v>0</v>
      </c>
      <c r="BM513" s="7"/>
      <c r="BN513" s="7" t="str">
        <f>IFERROR(__xludf.DUMMYFUNCTION(" IF( REGEXMATCH(C513 , ""[(].+[)]""),REGEXREPLACE( CONCATENATE(REGEXEXTRACT(C513 , ""[(].+[)]""),IF(REGEXMATCH(C513 , ""[(][Ll]['’][)]""),"""","" ""), REGEXEXTRACT(C513 ,""^(?:(?:[A-Za-zàäéèêîïöôûü0-9 ](?:[A-Za-zàäéèêîïöôûü'0-9 ]+)))"")) , ""[()]"", """")"&amp;",C513 )"),"Les Pluies D'or ")</f>
        <v>Les Pluies D'or </v>
      </c>
      <c r="BO513" s="23"/>
      <c r="BP513" s="7"/>
      <c r="BQ513" s="7"/>
      <c r="BR513" s="7"/>
      <c r="BS513" s="7"/>
      <c r="BT513" s="7"/>
      <c r="BU513" s="7"/>
      <c r="BV513" s="7"/>
      <c r="BW513" s="7"/>
      <c r="BX513" s="7"/>
      <c r="BY513" s="7"/>
      <c r="BZ513" s="7"/>
      <c r="CA513" s="7"/>
      <c r="CB513" s="7"/>
    </row>
    <row r="514" ht="21.75" customHeight="1">
      <c r="A514" s="7">
        <v>4699.0</v>
      </c>
      <c r="B514" s="7">
        <v>513.0</v>
      </c>
      <c r="C514" s="7" t="s">
        <v>6576</v>
      </c>
      <c r="D514" s="7"/>
      <c r="E514" s="7"/>
      <c r="F514" s="7" t="s">
        <v>342</v>
      </c>
      <c r="G514" s="7" t="s">
        <v>343</v>
      </c>
      <c r="H514" s="7" t="s">
        <v>123</v>
      </c>
      <c r="I514" s="7" t="s">
        <v>6577</v>
      </c>
      <c r="J514" s="7"/>
      <c r="K514" s="7" t="s">
        <v>34</v>
      </c>
      <c r="L514" s="7" t="s">
        <v>622</v>
      </c>
      <c r="M514" s="7" t="s">
        <v>1347</v>
      </c>
      <c r="N514" s="7"/>
      <c r="O514" s="7">
        <v>97480.0</v>
      </c>
      <c r="P514" s="7" t="s">
        <v>123</v>
      </c>
      <c r="Q514" s="7"/>
      <c r="R514" s="7"/>
      <c r="S514" s="7"/>
      <c r="T514" s="7"/>
      <c r="U514" s="7" t="s">
        <v>378</v>
      </c>
      <c r="V514" s="7"/>
      <c r="W514" s="7">
        <v>6.92655245E8</v>
      </c>
      <c r="X514" s="7"/>
      <c r="Y514" s="7"/>
      <c r="Z514" s="7"/>
      <c r="AA514" s="7"/>
      <c r="AB514" s="7"/>
      <c r="AC514" s="7"/>
      <c r="AD514" s="7" t="s">
        <v>6578</v>
      </c>
      <c r="AE514" s="7"/>
      <c r="AF514" s="7"/>
      <c r="AG514" s="7"/>
      <c r="AH514" s="20">
        <v>43406.0</v>
      </c>
      <c r="AI514" s="7"/>
      <c r="AJ514" s="7" t="s">
        <v>6576</v>
      </c>
      <c r="AK514" s="7"/>
      <c r="AL514" s="7" t="s">
        <v>6579</v>
      </c>
      <c r="AM514" s="7" t="s">
        <v>6580</v>
      </c>
      <c r="AN514" s="20">
        <v>43406.0</v>
      </c>
      <c r="AO514" s="7">
        <v>97480.0</v>
      </c>
      <c r="AP514" s="7" t="s">
        <v>385</v>
      </c>
      <c r="AQ514" s="7"/>
      <c r="AR514" s="7"/>
      <c r="AS514" s="7"/>
      <c r="AT514" s="7"/>
      <c r="AU514" s="7">
        <v>0.0</v>
      </c>
      <c r="AV514" s="7" t="s">
        <v>6581</v>
      </c>
      <c r="AW514" s="7"/>
      <c r="AX514" s="7"/>
      <c r="AY514" s="7"/>
      <c r="AZ514" s="7"/>
      <c r="BA514" s="7"/>
      <c r="BB514" s="7"/>
      <c r="BC514" s="7" t="s">
        <v>366</v>
      </c>
      <c r="BD514" s="21">
        <v>44228.48472222222</v>
      </c>
      <c r="BE514" s="7"/>
      <c r="BF514" s="7"/>
      <c r="BG514" s="22">
        <v>44228.0</v>
      </c>
      <c r="BH514" s="7"/>
      <c r="BI514" s="7" t="s">
        <v>6582</v>
      </c>
      <c r="BJ514" s="7"/>
      <c r="BK514" s="7" t="b">
        <v>0</v>
      </c>
      <c r="BL514" s="7" t="b">
        <v>0</v>
      </c>
      <c r="BM514" s="7"/>
      <c r="BN514" s="7" t="str">
        <f>IFERROR(__xludf.DUMMYFUNCTION(" IF( REGEXMATCH(C514 , ""[(].+[)]""),REGEXREPLACE( CONCATENATE(REGEXEXTRACT(C514 , ""[(].+[)]""),IF(REGEXMATCH(C514 , ""[(][Ll]['’][)]""),"""","" ""), REGEXEXTRACT(C514 ,""^(?:(?:[A-Za-zàäéèêîïöôûü0-9 ](?:[A-Za-zàäéèêîïöôûü'0-9 ]+)))"")) , ""[()]"", """")"&amp;",C514 )"),"Le Poivrier ")</f>
        <v>Le Poivrier </v>
      </c>
      <c r="BO514" s="23"/>
      <c r="BP514" s="7"/>
      <c r="BQ514" s="7"/>
      <c r="BR514" s="7"/>
      <c r="BS514" s="7"/>
      <c r="BT514" s="7"/>
      <c r="BU514" s="7"/>
      <c r="BV514" s="7"/>
      <c r="BW514" s="7"/>
      <c r="BX514" s="7"/>
      <c r="BY514" s="7"/>
      <c r="BZ514" s="7"/>
      <c r="CA514" s="7"/>
      <c r="CB514" s="7"/>
    </row>
    <row r="515" ht="21.75" customHeight="1">
      <c r="A515" s="7">
        <v>4538.0</v>
      </c>
      <c r="B515" s="7" t="s">
        <v>6583</v>
      </c>
      <c r="C515" s="7" t="s">
        <v>6584</v>
      </c>
      <c r="D515" s="7"/>
      <c r="E515" s="7"/>
      <c r="F515" s="7" t="s">
        <v>342</v>
      </c>
      <c r="G515" s="7" t="s">
        <v>343</v>
      </c>
      <c r="H515" s="7" t="s">
        <v>123</v>
      </c>
      <c r="I515" s="7" t="s">
        <v>6585</v>
      </c>
      <c r="J515" s="7"/>
      <c r="K515" s="7" t="s">
        <v>58</v>
      </c>
      <c r="L515" s="7" t="s">
        <v>453</v>
      </c>
      <c r="M515" s="7" t="s">
        <v>454</v>
      </c>
      <c r="N515" s="7" t="s">
        <v>407</v>
      </c>
      <c r="O515" s="7">
        <v>97480.0</v>
      </c>
      <c r="P515" s="7" t="s">
        <v>123</v>
      </c>
      <c r="Q515" s="7"/>
      <c r="R515" s="7" t="s">
        <v>6586</v>
      </c>
      <c r="S515" s="7"/>
      <c r="T515" s="7" t="s">
        <v>1076</v>
      </c>
      <c r="U515" s="7" t="s">
        <v>378</v>
      </c>
      <c r="V515" s="7"/>
      <c r="W515" s="7">
        <v>6.92360151E8</v>
      </c>
      <c r="X515" s="7"/>
      <c r="Y515" s="7"/>
      <c r="Z515" s="7" t="s">
        <v>6587</v>
      </c>
      <c r="AA515" s="7">
        <v>6.0</v>
      </c>
      <c r="AB515" s="7"/>
      <c r="AC515" s="7" t="s">
        <v>6588</v>
      </c>
      <c r="AD515" s="7" t="s">
        <v>6589</v>
      </c>
      <c r="AE515" s="7" t="s">
        <v>6590</v>
      </c>
      <c r="AF515" s="7"/>
      <c r="AG515" s="7"/>
      <c r="AH515" s="20">
        <v>43294.0</v>
      </c>
      <c r="AI515" s="7"/>
      <c r="AJ515" s="7" t="s">
        <v>6591</v>
      </c>
      <c r="AK515" s="7">
        <v>7.8945739700022E13</v>
      </c>
      <c r="AL515" s="7" t="s">
        <v>6592</v>
      </c>
      <c r="AM515" s="7" t="s">
        <v>6593</v>
      </c>
      <c r="AN515" s="20">
        <v>43294.0</v>
      </c>
      <c r="AO515" s="7">
        <v>97480.0</v>
      </c>
      <c r="AP515" s="7" t="s">
        <v>385</v>
      </c>
      <c r="AQ515" s="7"/>
      <c r="AR515" s="7"/>
      <c r="AS515" s="7"/>
      <c r="AT515" s="7"/>
      <c r="AU515" s="7">
        <v>3.0</v>
      </c>
      <c r="AV515" s="7" t="s">
        <v>6594</v>
      </c>
      <c r="AW515" s="7"/>
      <c r="AX515" s="7"/>
      <c r="AY515" s="7"/>
      <c r="AZ515" s="7" t="s">
        <v>6595</v>
      </c>
      <c r="BA515" s="7"/>
      <c r="BB515" s="7"/>
      <c r="BC515" s="7" t="s">
        <v>401</v>
      </c>
      <c r="BD515" s="21">
        <v>44052.188888888886</v>
      </c>
      <c r="BE515" s="7" t="s">
        <v>1011</v>
      </c>
      <c r="BF515" s="7"/>
      <c r="BG515" s="7"/>
      <c r="BH515" s="7">
        <v>7.89457397E8</v>
      </c>
      <c r="BI515" s="7" t="s">
        <v>6596</v>
      </c>
      <c r="BJ515" s="7"/>
      <c r="BK515" s="7" t="b">
        <v>0</v>
      </c>
      <c r="BL515" s="7" t="b">
        <v>0</v>
      </c>
      <c r="BM515" s="7"/>
      <c r="BN515" s="7" t="str">
        <f>IFERROR(__xludf.DUMMYFUNCTION(" IF( REGEXMATCH(C515 , ""[(].+[)]""),REGEXREPLACE( CONCATENATE(REGEXEXTRACT(C515 , ""[(].+[)]""),IF(REGEXMATCH(C515 , ""[(][Ll]['’][)]""),"""","" ""), REGEXEXTRACT(C515 ,""^(?:(?:[A-Za-zàäéèêîïöôûü0-9 ](?:[A-Za-zàäéèêîïöôûü'0-9 ]+)))"")) , ""[()]"", """")"&amp;",C515 )"),"Pti Case d'Eléna")</f>
        <v>Pti Case d'Eléna</v>
      </c>
      <c r="BO515" s="25"/>
      <c r="BP515" s="7"/>
      <c r="BQ515" s="7"/>
      <c r="BR515" s="7"/>
      <c r="BS515" s="7"/>
      <c r="BT515" s="7"/>
      <c r="BU515" s="7"/>
      <c r="BV515" s="7"/>
      <c r="BW515" s="7"/>
      <c r="BX515" s="7"/>
      <c r="BY515" s="7"/>
      <c r="BZ515" s="7"/>
      <c r="CA515" s="7"/>
      <c r="CB515" s="7"/>
    </row>
    <row r="516" ht="21.75" customHeight="1">
      <c r="A516" s="7">
        <v>2977.0</v>
      </c>
      <c r="B516" s="7">
        <v>515.0</v>
      </c>
      <c r="C516" s="7" t="s">
        <v>6597</v>
      </c>
      <c r="D516" s="7"/>
      <c r="E516" s="7"/>
      <c r="F516" s="7" t="s">
        <v>342</v>
      </c>
      <c r="G516" s="7" t="s">
        <v>343</v>
      </c>
      <c r="H516" s="7" t="s">
        <v>33</v>
      </c>
      <c r="I516" s="7" t="s">
        <v>6598</v>
      </c>
      <c r="J516" s="7"/>
      <c r="K516" s="7" t="s">
        <v>34</v>
      </c>
      <c r="L516" s="7" t="s">
        <v>622</v>
      </c>
      <c r="M516" s="7" t="s">
        <v>622</v>
      </c>
      <c r="N516" s="7" t="s">
        <v>1001</v>
      </c>
      <c r="O516" s="7">
        <v>97442.0</v>
      </c>
      <c r="P516" s="7" t="s">
        <v>33</v>
      </c>
      <c r="Q516" s="7"/>
      <c r="R516" s="7"/>
      <c r="S516" s="7"/>
      <c r="T516" s="7" t="s">
        <v>377</v>
      </c>
      <c r="U516" s="7" t="s">
        <v>592</v>
      </c>
      <c r="V516" s="7"/>
      <c r="W516" s="7">
        <v>6.92683033E8</v>
      </c>
      <c r="X516" s="7"/>
      <c r="Y516" s="7"/>
      <c r="Z516" s="7"/>
      <c r="AA516" s="7">
        <v>30.0</v>
      </c>
      <c r="AB516" s="7"/>
      <c r="AC516" s="7"/>
      <c r="AD516" s="7" t="s">
        <v>6599</v>
      </c>
      <c r="AE516" s="7" t="s">
        <v>6600</v>
      </c>
      <c r="AF516" s="7"/>
      <c r="AG516" s="7"/>
      <c r="AH516" s="20">
        <v>43739.0</v>
      </c>
      <c r="AI516" s="7"/>
      <c r="AJ516" s="7" t="s">
        <v>6601</v>
      </c>
      <c r="AK516" s="7"/>
      <c r="AL516" s="7" t="s">
        <v>6602</v>
      </c>
      <c r="AM516" s="7" t="s">
        <v>6603</v>
      </c>
      <c r="AN516" s="20">
        <v>43739.0</v>
      </c>
      <c r="AO516" s="7">
        <v>97442.0</v>
      </c>
      <c r="AP516" s="7" t="s">
        <v>884</v>
      </c>
      <c r="AQ516" s="7"/>
      <c r="AR516" s="7"/>
      <c r="AS516" s="7"/>
      <c r="AT516" s="7"/>
      <c r="AU516" s="7">
        <v>0.0</v>
      </c>
      <c r="AV516" s="7" t="s">
        <v>6604</v>
      </c>
      <c r="AW516" s="7"/>
      <c r="AX516" s="7"/>
      <c r="AY516" s="7"/>
      <c r="AZ516" s="7"/>
      <c r="BA516" s="7"/>
      <c r="BB516" s="7"/>
      <c r="BC516" s="7" t="s">
        <v>366</v>
      </c>
      <c r="BD516" s="21">
        <v>44159.10486111111</v>
      </c>
      <c r="BE516" s="7"/>
      <c r="BF516" s="7"/>
      <c r="BG516" s="22">
        <v>44159.0</v>
      </c>
      <c r="BH516" s="7"/>
      <c r="BI516" s="7" t="s">
        <v>5371</v>
      </c>
      <c r="BJ516" s="7"/>
      <c r="BK516" s="7" t="b">
        <v>0</v>
      </c>
      <c r="BL516" s="7" t="b">
        <v>0</v>
      </c>
      <c r="BM516" s="7"/>
      <c r="BN516" s="7" t="str">
        <f>IFERROR(__xludf.DUMMYFUNCTION(" IF( REGEXMATCH(C516 , ""[(].+[)]""),REGEXREPLACE( CONCATENATE(REGEXEXTRACT(C516 , ""[(].+[)]""),IF(REGEXMATCH(C516 , ""[(][Ll]['’][)]""),"""","" ""), REGEXEXTRACT(C516 ,""^(?:(?:[A-Za-zàäéèêîïöôûü0-9 ](?:[A-Za-zàäéèêîïöôûü'0-9 ]+)))"")) , ""[()]"", """")"&amp;",C516 )"),"Le Puits des Anglais ")</f>
        <v>Le Puits des Anglais </v>
      </c>
      <c r="BO516" s="23"/>
      <c r="BP516" s="7"/>
      <c r="BQ516" s="7"/>
      <c r="BR516" s="7"/>
      <c r="BS516" s="7"/>
      <c r="BT516" s="7"/>
      <c r="BU516" s="7"/>
      <c r="BV516" s="7"/>
      <c r="BW516" s="7"/>
      <c r="BX516" s="7"/>
      <c r="BY516" s="7"/>
      <c r="BZ516" s="7"/>
      <c r="CA516" s="7"/>
      <c r="CB516" s="7"/>
    </row>
    <row r="517" ht="21.75" customHeight="1">
      <c r="A517" s="7">
        <v>2767.0</v>
      </c>
      <c r="B517" s="7" t="s">
        <v>6605</v>
      </c>
      <c r="C517" s="7" t="s">
        <v>6606</v>
      </c>
      <c r="D517" s="7"/>
      <c r="E517" s="7"/>
      <c r="F517" s="7" t="s">
        <v>342</v>
      </c>
      <c r="G517" s="7" t="s">
        <v>343</v>
      </c>
      <c r="H517" s="7" t="s">
        <v>33</v>
      </c>
      <c r="I517" s="7" t="s">
        <v>6607</v>
      </c>
      <c r="J517" s="7"/>
      <c r="K517" s="7" t="s">
        <v>58</v>
      </c>
      <c r="L517" s="7" t="s">
        <v>453</v>
      </c>
      <c r="M517" s="7" t="s">
        <v>454</v>
      </c>
      <c r="N517" s="7" t="s">
        <v>455</v>
      </c>
      <c r="O517" s="7">
        <v>97442.0</v>
      </c>
      <c r="P517" s="7" t="s">
        <v>33</v>
      </c>
      <c r="Q517" s="7"/>
      <c r="R517" s="7" t="s">
        <v>6608</v>
      </c>
      <c r="S517" s="7" t="s">
        <v>2053</v>
      </c>
      <c r="T517" s="7" t="s">
        <v>377</v>
      </c>
      <c r="U517" s="7" t="s">
        <v>353</v>
      </c>
      <c r="V517" s="7">
        <v>2.6228575E8</v>
      </c>
      <c r="W517" s="7">
        <v>6.92362616E8</v>
      </c>
      <c r="X517" s="7"/>
      <c r="Y517" s="7"/>
      <c r="Z517" s="7" t="s">
        <v>6609</v>
      </c>
      <c r="AA517" s="7">
        <v>10.0</v>
      </c>
      <c r="AB517" s="7" t="s">
        <v>574</v>
      </c>
      <c r="AC517" s="7" t="s">
        <v>6610</v>
      </c>
      <c r="AD517" s="7" t="s">
        <v>6611</v>
      </c>
      <c r="AE517" s="7" t="s">
        <v>6612</v>
      </c>
      <c r="AF517" s="7"/>
      <c r="AG517" s="7" t="s">
        <v>1869</v>
      </c>
      <c r="AH517" s="20">
        <v>43739.0</v>
      </c>
      <c r="AI517" s="7"/>
      <c r="AJ517" s="7" t="s">
        <v>6613</v>
      </c>
      <c r="AK517" s="7">
        <v>4.4804168100017E13</v>
      </c>
      <c r="AL517" s="7" t="s">
        <v>6614</v>
      </c>
      <c r="AM517" s="7" t="s">
        <v>6615</v>
      </c>
      <c r="AN517" s="20">
        <v>43739.0</v>
      </c>
      <c r="AO517" s="7">
        <v>97442.0</v>
      </c>
      <c r="AP517" s="7" t="s">
        <v>884</v>
      </c>
      <c r="AQ517" s="7"/>
      <c r="AR517" s="7"/>
      <c r="AS517" s="7"/>
      <c r="AT517" s="7"/>
      <c r="AU517" s="7">
        <v>5.0</v>
      </c>
      <c r="AV517" s="7" t="s">
        <v>6616</v>
      </c>
      <c r="AW517" s="7" t="s">
        <v>6617</v>
      </c>
      <c r="AX517" s="7"/>
      <c r="AY517" s="7"/>
      <c r="AZ517" s="7" t="s">
        <v>6618</v>
      </c>
      <c r="BA517" s="7"/>
      <c r="BB517" s="7"/>
      <c r="BC517" s="7" t="s">
        <v>401</v>
      </c>
      <c r="BD517" s="21">
        <v>44153.14861111111</v>
      </c>
      <c r="BE517" s="7" t="s">
        <v>6267</v>
      </c>
      <c r="BF517" s="7"/>
      <c r="BG517" s="7"/>
      <c r="BH517" s="7">
        <v>4.48041681E8</v>
      </c>
      <c r="BI517" s="7" t="s">
        <v>6619</v>
      </c>
      <c r="BJ517" s="7"/>
      <c r="BK517" s="7" t="b">
        <v>0</v>
      </c>
      <c r="BL517" s="7" t="b">
        <v>0</v>
      </c>
      <c r="BM517" s="7"/>
      <c r="BN517" s="7" t="str">
        <f>IFERROR(__xludf.DUMMYFUNCTION(" IF( REGEXMATCH(C517 , ""[(].+[)]""),REGEXREPLACE( CONCATENATE(REGEXEXTRACT(C517 , ""[(].+[)]""),IF(REGEXMATCH(C517 , ""[(][Ll]['’][)]""),"""","" ""), REGEXEXTRACT(C517 ,""^(?:(?:[A-Za-zàäéèêîïöôûü0-9 ](?:[A-Za-zàäéèêîïöôûü'0-9 ]+)))"")) , ""[()]"", """")"&amp;",C517 )"),"Le Puits des Fran")</f>
        <v>Le Puits des Fran</v>
      </c>
      <c r="BO517" s="25"/>
      <c r="BP517" s="7"/>
      <c r="BQ517" s="7"/>
      <c r="BR517" s="7"/>
      <c r="BS517" s="7"/>
      <c r="BT517" s="7"/>
      <c r="BU517" s="7"/>
      <c r="BV517" s="7"/>
      <c r="BW517" s="7"/>
      <c r="BX517" s="7"/>
      <c r="BY517" s="7"/>
      <c r="BZ517" s="7"/>
      <c r="CA517" s="7"/>
      <c r="CB517" s="7"/>
    </row>
    <row r="518" ht="21.75" customHeight="1">
      <c r="A518" s="7">
        <v>2688.0</v>
      </c>
      <c r="B518" s="7" t="s">
        <v>6620</v>
      </c>
      <c r="C518" s="7" t="s">
        <v>6621</v>
      </c>
      <c r="D518" s="7"/>
      <c r="E518" s="7"/>
      <c r="F518" s="7" t="s">
        <v>342</v>
      </c>
      <c r="G518" s="7" t="s">
        <v>343</v>
      </c>
      <c r="H518" s="7" t="s">
        <v>344</v>
      </c>
      <c r="I518" s="7" t="s">
        <v>6622</v>
      </c>
      <c r="J518" s="26" t="s">
        <v>6623</v>
      </c>
      <c r="K518" s="7" t="s">
        <v>34</v>
      </c>
      <c r="L518" s="7" t="s">
        <v>622</v>
      </c>
      <c r="M518" s="7" t="s">
        <v>622</v>
      </c>
      <c r="N518" s="7" t="s">
        <v>407</v>
      </c>
      <c r="O518" s="7">
        <v>97418.0</v>
      </c>
      <c r="P518" s="7" t="s">
        <v>348</v>
      </c>
      <c r="Q518" s="7" t="s">
        <v>570</v>
      </c>
      <c r="R518" s="7"/>
      <c r="S518" s="7"/>
      <c r="T518" s="7" t="s">
        <v>963</v>
      </c>
      <c r="U518" s="7" t="s">
        <v>424</v>
      </c>
      <c r="V518" s="7">
        <v>2.62382855E8</v>
      </c>
      <c r="W518" s="7">
        <v>6.92317372E8</v>
      </c>
      <c r="X518" s="7"/>
      <c r="Y518" s="7"/>
      <c r="Z518" s="7" t="s">
        <v>6624</v>
      </c>
      <c r="AA518" s="7">
        <v>170.0</v>
      </c>
      <c r="AB518" s="7"/>
      <c r="AC518" s="7" t="s">
        <v>6625</v>
      </c>
      <c r="AD518" s="7" t="s">
        <v>6626</v>
      </c>
      <c r="AE518" s="7" t="s">
        <v>6627</v>
      </c>
      <c r="AF518" s="7" t="s">
        <v>1173</v>
      </c>
      <c r="AG518" s="7"/>
      <c r="AH518" s="20">
        <v>43739.0</v>
      </c>
      <c r="AI518" s="7"/>
      <c r="AJ518" s="7" t="s">
        <v>6628</v>
      </c>
      <c r="AK518" s="7"/>
      <c r="AL518" s="7" t="s">
        <v>6629</v>
      </c>
      <c r="AM518" s="7" t="s">
        <v>6630</v>
      </c>
      <c r="AN518" s="20">
        <v>43739.0</v>
      </c>
      <c r="AO518" s="7">
        <v>97418.0</v>
      </c>
      <c r="AP518" s="7" t="s">
        <v>362</v>
      </c>
      <c r="AQ518" s="7"/>
      <c r="AR518" s="7"/>
      <c r="AS518" s="7"/>
      <c r="AT518" s="7"/>
      <c r="AU518" s="7">
        <v>0.0</v>
      </c>
      <c r="AV518" s="7" t="s">
        <v>6631</v>
      </c>
      <c r="AW518" s="7"/>
      <c r="AX518" s="7"/>
      <c r="AY518" s="7"/>
      <c r="AZ518" s="7"/>
      <c r="BA518" s="7"/>
      <c r="BB518" s="7"/>
      <c r="BC518" s="7" t="s">
        <v>401</v>
      </c>
      <c r="BD518" s="21">
        <v>44098.53194444445</v>
      </c>
      <c r="BE518" s="7" t="s">
        <v>6632</v>
      </c>
      <c r="BF518" s="7"/>
      <c r="BG518" s="7"/>
      <c r="BH518" s="7"/>
      <c r="BI518" s="7" t="s">
        <v>6633</v>
      </c>
      <c r="BJ518" s="7"/>
      <c r="BK518" s="7" t="b">
        <v>0</v>
      </c>
      <c r="BL518" s="7" t="b">
        <v>0</v>
      </c>
      <c r="BM518" s="7"/>
      <c r="BN518" s="7" t="str">
        <f>IFERROR(__xludf.DUMMYFUNCTION(" IF( REGEXMATCH(C518 , ""[(].+[)]""),REGEXREPLACE( CONCATENATE(REGEXEXTRACT(C518 , ""[(].+[)]""),IF(REGEXMATCH(C518 , ""[(][Ll]['’][)]""),"""","" ""), REGEXEXTRACT(C518 ,""^(?:(?:[A-Za-zàäéèêîïöôûü0-9 ](?:[A-Za-zàäéèêîïöôûü'0-9 ]+)))"")) , ""[()]"", """")"&amp;",C518 )"),"Le QG ")</f>
        <v>Le QG </v>
      </c>
      <c r="BO518" s="25"/>
      <c r="BP518" s="7"/>
      <c r="BQ518" s="7"/>
      <c r="BR518" s="7"/>
      <c r="BS518" s="7"/>
      <c r="BT518" s="7"/>
      <c r="BU518" s="7"/>
      <c r="BV518" s="7"/>
      <c r="BW518" s="7"/>
      <c r="BX518" s="7"/>
      <c r="BY518" s="7"/>
      <c r="BZ518" s="7"/>
      <c r="CA518" s="7"/>
      <c r="CB518" s="7"/>
    </row>
    <row r="519" ht="21.75" customHeight="1">
      <c r="A519" s="7">
        <v>1957.0</v>
      </c>
      <c r="B519" s="7">
        <v>518.0</v>
      </c>
      <c r="C519" s="7" t="s">
        <v>6634</v>
      </c>
      <c r="D519" s="7"/>
      <c r="E519" s="7"/>
      <c r="F519" s="7" t="s">
        <v>404</v>
      </c>
      <c r="G519" s="7" t="s">
        <v>343</v>
      </c>
      <c r="H519" s="7" t="s">
        <v>344</v>
      </c>
      <c r="I519" s="7" t="s">
        <v>6635</v>
      </c>
      <c r="J519" s="26" t="s">
        <v>6636</v>
      </c>
      <c r="K519" s="6" t="s">
        <v>469</v>
      </c>
      <c r="L519" s="7" t="s">
        <v>470</v>
      </c>
      <c r="M519" s="7" t="s">
        <v>6637</v>
      </c>
      <c r="N519" s="7" t="s">
        <v>455</v>
      </c>
      <c r="O519" s="7">
        <v>97418.0</v>
      </c>
      <c r="P519" s="7" t="s">
        <v>348</v>
      </c>
      <c r="Q519" s="7"/>
      <c r="R519" s="7"/>
      <c r="S519" s="7"/>
      <c r="T519" s="7" t="s">
        <v>377</v>
      </c>
      <c r="U519" s="7" t="s">
        <v>353</v>
      </c>
      <c r="V519" s="7"/>
      <c r="W519" s="7"/>
      <c r="X519" s="7"/>
      <c r="Y519" s="7"/>
      <c r="Z519" s="7"/>
      <c r="AA519" s="7"/>
      <c r="AB519" s="7"/>
      <c r="AC519" s="7"/>
      <c r="AD519" s="7" t="s">
        <v>6638</v>
      </c>
      <c r="AE519" s="7"/>
      <c r="AF519" s="7"/>
      <c r="AG519" s="7"/>
      <c r="AH519" s="20">
        <v>43739.0</v>
      </c>
      <c r="AI519" s="7"/>
      <c r="AJ519" s="7" t="s">
        <v>6634</v>
      </c>
      <c r="AK519" s="7"/>
      <c r="AL519" s="7" t="s">
        <v>6639</v>
      </c>
      <c r="AM519" s="7" t="s">
        <v>6640</v>
      </c>
      <c r="AN519" s="20">
        <v>43739.0</v>
      </c>
      <c r="AO519" s="7">
        <v>97418.0</v>
      </c>
      <c r="AP519" s="7" t="s">
        <v>362</v>
      </c>
      <c r="AQ519" s="7"/>
      <c r="AR519" s="7"/>
      <c r="AS519" s="7"/>
      <c r="AT519" s="7"/>
      <c r="AU519" s="7">
        <v>0.0</v>
      </c>
      <c r="AV519" s="7" t="s">
        <v>6641</v>
      </c>
      <c r="AW519" s="7"/>
      <c r="AX519" s="7"/>
      <c r="AY519" s="7"/>
      <c r="AZ519" s="7"/>
      <c r="BA519" s="7"/>
      <c r="BB519" s="7"/>
      <c r="BC519" s="7" t="s">
        <v>366</v>
      </c>
      <c r="BD519" s="21">
        <v>44197.0</v>
      </c>
      <c r="BE519" s="7"/>
      <c r="BF519" s="7"/>
      <c r="BG519" s="22">
        <v>44197.0</v>
      </c>
      <c r="BH519" s="7"/>
      <c r="BI519" s="7" t="s">
        <v>6642</v>
      </c>
      <c r="BJ519" s="7"/>
      <c r="BK519" s="7" t="b">
        <v>0</v>
      </c>
      <c r="BL519" s="7" t="b">
        <v>0</v>
      </c>
      <c r="BM519" s="7"/>
      <c r="BN519" s="7" t="str">
        <f>IFERROR(__xludf.DUMMYFUNCTION(" IF( REGEXMATCH(C519 , ""[(].+[)]""),REGEXREPLACE( CONCATENATE(REGEXEXTRACT(C519 , ""[(].+[)]""),IF(REGEXMATCH(C519 , ""[(][Ll]['’][)]""),"""","" ""), REGEXEXTRACT(C519 ,""^(?:(?:[A-Za-zàäéèêîïöôûü0-9 ](?:[A-Za-zàäéèêîïöôûü'0-9 ]+)))"")) , ""[()]"", """")"&amp;",C519 )"),"Quads Evolution Mobile")</f>
        <v>Quads Evolution Mobile</v>
      </c>
      <c r="BO519" s="23"/>
      <c r="BP519" s="7"/>
      <c r="BQ519" s="7"/>
      <c r="BR519" s="7"/>
      <c r="BS519" s="7"/>
      <c r="BT519" s="7"/>
      <c r="BU519" s="7"/>
      <c r="BV519" s="7"/>
      <c r="BW519" s="7"/>
      <c r="BX519" s="7"/>
      <c r="BY519" s="7"/>
      <c r="BZ519" s="7"/>
      <c r="CA519" s="7"/>
      <c r="CB519" s="7"/>
    </row>
    <row r="520" ht="21.75" customHeight="1">
      <c r="A520" s="7">
        <v>2923.0</v>
      </c>
      <c r="B520" s="7">
        <v>519.0</v>
      </c>
      <c r="C520" s="7" t="s">
        <v>6643</v>
      </c>
      <c r="D520" s="7" t="s">
        <v>6644</v>
      </c>
      <c r="E520" s="7"/>
      <c r="F520" s="7" t="s">
        <v>342</v>
      </c>
      <c r="G520" s="7" t="s">
        <v>343</v>
      </c>
      <c r="H520" s="7" t="s">
        <v>123</v>
      </c>
      <c r="I520" s="7" t="s">
        <v>6645</v>
      </c>
      <c r="J520" s="26" t="s">
        <v>6646</v>
      </c>
      <c r="K520" s="7" t="s">
        <v>34</v>
      </c>
      <c r="L520" s="7" t="s">
        <v>622</v>
      </c>
      <c r="M520" s="7" t="s">
        <v>6647</v>
      </c>
      <c r="N520" s="7"/>
      <c r="O520" s="7">
        <v>97480.0</v>
      </c>
      <c r="P520" s="7" t="s">
        <v>123</v>
      </c>
      <c r="Q520" s="7"/>
      <c r="R520" s="7" t="s">
        <v>6648</v>
      </c>
      <c r="S520" s="7"/>
      <c r="T520" s="7" t="s">
        <v>648</v>
      </c>
      <c r="U520" s="7" t="s">
        <v>378</v>
      </c>
      <c r="V520" s="7">
        <v>2.62563828E8</v>
      </c>
      <c r="W520" s="7"/>
      <c r="X520" s="7"/>
      <c r="Y520" s="7"/>
      <c r="Z520" s="7"/>
      <c r="AA520" s="7"/>
      <c r="AB520" s="7"/>
      <c r="AC520" s="7"/>
      <c r="AD520" s="7" t="s">
        <v>6649</v>
      </c>
      <c r="AE520" s="7"/>
      <c r="AF520" s="7"/>
      <c r="AG520" s="7"/>
      <c r="AH520" s="20">
        <v>43739.0</v>
      </c>
      <c r="AI520" s="7"/>
      <c r="AJ520" s="7" t="s">
        <v>6644</v>
      </c>
      <c r="AK520" s="7"/>
      <c r="AL520" s="7" t="s">
        <v>6650</v>
      </c>
      <c r="AM520" s="7" t="s">
        <v>6651</v>
      </c>
      <c r="AN520" s="20">
        <v>43739.0</v>
      </c>
      <c r="AO520" s="7">
        <v>97450.0</v>
      </c>
      <c r="AP520" s="7" t="s">
        <v>2695</v>
      </c>
      <c r="AQ520" s="7"/>
      <c r="AR520" s="7"/>
      <c r="AS520" s="7"/>
      <c r="AT520" s="7"/>
      <c r="AU520" s="7">
        <v>0.0</v>
      </c>
      <c r="AV520" s="7" t="s">
        <v>6652</v>
      </c>
      <c r="AW520" s="7"/>
      <c r="AX520" s="7"/>
      <c r="AY520" s="7"/>
      <c r="AZ520" s="7"/>
      <c r="BA520" s="7"/>
      <c r="BB520" s="7"/>
      <c r="BC520" s="7" t="s">
        <v>366</v>
      </c>
      <c r="BD520" s="21">
        <v>44228.40069444444</v>
      </c>
      <c r="BE520" s="7"/>
      <c r="BF520" s="7"/>
      <c r="BG520" s="22">
        <v>44228.0</v>
      </c>
      <c r="BH520" s="7"/>
      <c r="BI520" s="7" t="s">
        <v>6653</v>
      </c>
      <c r="BJ520" s="7"/>
      <c r="BK520" s="7" t="b">
        <v>0</v>
      </c>
      <c r="BL520" s="7" t="b">
        <v>0</v>
      </c>
      <c r="BM520" s="7"/>
      <c r="BN520" s="7" t="str">
        <f>IFERROR(__xludf.DUMMYFUNCTION(" IF( REGEXMATCH(C520 , ""[(].+[)]""),REGEXREPLACE( CONCATENATE(REGEXEXTRACT(C520 , ""[(].+[)]""),IF(REGEXMATCH(C520 , ""[(][Ll]['’][)]""),"""","" ""), REGEXEXTRACT(C520 ,""^(?:(?:[A-Za-zàäéèêîïöôûü0-9 ](?:[A-Za-zàäéèêîïöôûü'0-9 ]+)))"")) , ""[()]"", """")"&amp;",C520 )"),"Quick")</f>
        <v>Quick</v>
      </c>
      <c r="BO520" s="23"/>
      <c r="BP520" s="7"/>
      <c r="BQ520" s="7"/>
      <c r="BR520" s="7"/>
      <c r="BS520" s="7"/>
      <c r="BT520" s="7"/>
      <c r="BU520" s="7"/>
      <c r="BV520" s="7"/>
      <c r="BW520" s="7"/>
      <c r="BX520" s="7"/>
      <c r="BY520" s="7"/>
      <c r="BZ520" s="7"/>
      <c r="CA520" s="7"/>
      <c r="CB520" s="7"/>
    </row>
    <row r="521" ht="21.75" customHeight="1">
      <c r="A521" s="7">
        <v>342.0</v>
      </c>
      <c r="B521" s="7">
        <v>520.0</v>
      </c>
      <c r="C521" s="7" t="s">
        <v>6654</v>
      </c>
      <c r="D521" s="7" t="s">
        <v>6655</v>
      </c>
      <c r="E521" s="7"/>
      <c r="F521" s="7" t="s">
        <v>342</v>
      </c>
      <c r="G521" s="7" t="s">
        <v>343</v>
      </c>
      <c r="H521" s="7" t="s">
        <v>40</v>
      </c>
      <c r="I521" s="7" t="s">
        <v>6656</v>
      </c>
      <c r="J521" s="7"/>
      <c r="K521" s="7" t="s">
        <v>58</v>
      </c>
      <c r="L521" s="7" t="s">
        <v>453</v>
      </c>
      <c r="M521" s="7" t="s">
        <v>454</v>
      </c>
      <c r="N521" s="7" t="s">
        <v>455</v>
      </c>
      <c r="O521" s="7">
        <v>97414.0</v>
      </c>
      <c r="P521" s="7" t="s">
        <v>40</v>
      </c>
      <c r="Q521" s="7"/>
      <c r="R521" s="7" t="s">
        <v>6657</v>
      </c>
      <c r="S521" s="7" t="s">
        <v>6658</v>
      </c>
      <c r="T521" s="7" t="s">
        <v>439</v>
      </c>
      <c r="U521" s="7" t="s">
        <v>592</v>
      </c>
      <c r="V521" s="7">
        <v>2.62396062E8</v>
      </c>
      <c r="W521" s="7">
        <v>6.9278516E8</v>
      </c>
      <c r="X521" s="7"/>
      <c r="Y521" s="7">
        <v>2.62396062E8</v>
      </c>
      <c r="Z521" s="7" t="s">
        <v>6659</v>
      </c>
      <c r="AA521" s="7">
        <v>4.0</v>
      </c>
      <c r="AB521" s="7"/>
      <c r="AC521" s="7"/>
      <c r="AD521" s="7" t="s">
        <v>6660</v>
      </c>
      <c r="AE521" s="7" t="s">
        <v>6661</v>
      </c>
      <c r="AF521" s="7"/>
      <c r="AG521" s="7"/>
      <c r="AH521" s="20">
        <v>39575.0</v>
      </c>
      <c r="AI521" s="7"/>
      <c r="AJ521" s="7" t="s">
        <v>6662</v>
      </c>
      <c r="AK521" s="7">
        <v>3.9007472200039E13</v>
      </c>
      <c r="AL521" s="7" t="s">
        <v>6663</v>
      </c>
      <c r="AM521" s="7" t="s">
        <v>6664</v>
      </c>
      <c r="AN521" s="20">
        <v>39575.0</v>
      </c>
      <c r="AO521" s="7">
        <v>97414.0</v>
      </c>
      <c r="AP521" s="7" t="s">
        <v>429</v>
      </c>
      <c r="AQ521" s="7"/>
      <c r="AR521" s="7"/>
      <c r="AS521" s="7"/>
      <c r="AT521" s="7"/>
      <c r="AU521" s="7">
        <v>2.0</v>
      </c>
      <c r="AV521" s="7" t="s">
        <v>6665</v>
      </c>
      <c r="AW521" s="7"/>
      <c r="AX521" s="7"/>
      <c r="AY521" s="7"/>
      <c r="AZ521" s="7" t="s">
        <v>6666</v>
      </c>
      <c r="BA521" s="7"/>
      <c r="BB521" s="7"/>
      <c r="BC521" s="7" t="s">
        <v>366</v>
      </c>
      <c r="BD521" s="21">
        <v>44250.35902777778</v>
      </c>
      <c r="BE521" s="7"/>
      <c r="BF521" s="7"/>
      <c r="BG521" s="22">
        <v>44250.0</v>
      </c>
      <c r="BH521" s="7">
        <v>3.90074722E8</v>
      </c>
      <c r="BI521" s="7" t="s">
        <v>6667</v>
      </c>
      <c r="BJ521" s="7"/>
      <c r="BK521" s="7" t="b">
        <v>0</v>
      </c>
      <c r="BL521" s="7" t="b">
        <v>0</v>
      </c>
      <c r="BM521" s="7"/>
      <c r="BN521" s="7" t="str">
        <f>IFERROR(__xludf.DUMMYFUNCTION(" IF( REGEXMATCH(C521 , ""[(].+[)]""),REGEXREPLACE( CONCATENATE(REGEXEXTRACT(C521 , ""[(].+[)]""),IF(REGEXMATCH(C521 , ""[(][Ll]['’][)]""),"""","" ""), REGEXEXTRACT(C521 ,""^(?:(?:[A-Za-zàäéèêîïöôûü0-9 ](?:[A-Za-zàäéèêîïöôûü'0-9 ]+)))"")) , ""[()]"", """")"&amp;",C521 )"),"Ranch Kikouyou")</f>
        <v>Ranch Kikouyou</v>
      </c>
      <c r="BO521" s="23"/>
      <c r="BP521" s="7"/>
      <c r="BQ521" s="7"/>
      <c r="BR521" s="7"/>
      <c r="BS521" s="7"/>
      <c r="BT521" s="7"/>
      <c r="BU521" s="7"/>
      <c r="BV521" s="7"/>
      <c r="BW521" s="7"/>
      <c r="BX521" s="7"/>
      <c r="BY521" s="7"/>
      <c r="BZ521" s="7"/>
      <c r="CA521" s="7"/>
      <c r="CB521" s="7"/>
    </row>
    <row r="522" ht="21.75" customHeight="1">
      <c r="A522" s="7">
        <v>1847.0</v>
      </c>
      <c r="B522" s="7">
        <v>521.0</v>
      </c>
      <c r="C522" s="7" t="s">
        <v>6668</v>
      </c>
      <c r="D522" s="7" t="s">
        <v>6668</v>
      </c>
      <c r="E522" s="7"/>
      <c r="F522" s="7" t="s">
        <v>342</v>
      </c>
      <c r="G522" s="7" t="s">
        <v>343</v>
      </c>
      <c r="H522" s="7" t="s">
        <v>344</v>
      </c>
      <c r="I522" s="7" t="s">
        <v>6669</v>
      </c>
      <c r="J522" s="26" t="s">
        <v>6670</v>
      </c>
      <c r="K522" s="6" t="s">
        <v>469</v>
      </c>
      <c r="L522" s="7" t="s">
        <v>470</v>
      </c>
      <c r="M522" s="7" t="s">
        <v>591</v>
      </c>
      <c r="N522" s="7" t="s">
        <v>455</v>
      </c>
      <c r="O522" s="7">
        <v>97430.0</v>
      </c>
      <c r="P522" s="7" t="s">
        <v>344</v>
      </c>
      <c r="Q522" s="7"/>
      <c r="R522" s="7"/>
      <c r="S522" s="7"/>
      <c r="T522" s="7" t="s">
        <v>377</v>
      </c>
      <c r="U522" s="7" t="s">
        <v>378</v>
      </c>
      <c r="V522" s="7">
        <v>2.62575581E8</v>
      </c>
      <c r="W522" s="7">
        <v>6.92653218E8</v>
      </c>
      <c r="X522" s="7"/>
      <c r="Y522" s="7"/>
      <c r="Z522" s="7" t="s">
        <v>6671</v>
      </c>
      <c r="AA522" s="7"/>
      <c r="AB522" s="7"/>
      <c r="AC522" s="7" t="s">
        <v>6672</v>
      </c>
      <c r="AD522" s="7" t="s">
        <v>6673</v>
      </c>
      <c r="AE522" s="7"/>
      <c r="AF522" s="7"/>
      <c r="AG522" s="7" t="s">
        <v>597</v>
      </c>
      <c r="AH522" s="20">
        <v>40021.0</v>
      </c>
      <c r="AI522" s="7"/>
      <c r="AJ522" s="7" t="s">
        <v>6674</v>
      </c>
      <c r="AK522" s="7">
        <v>4.3903759900024E13</v>
      </c>
      <c r="AL522" s="7" t="s">
        <v>6675</v>
      </c>
      <c r="AM522" s="7" t="s">
        <v>6676</v>
      </c>
      <c r="AN522" s="20">
        <v>40021.0</v>
      </c>
      <c r="AO522" s="7">
        <v>97430.0</v>
      </c>
      <c r="AP522" s="7" t="s">
        <v>494</v>
      </c>
      <c r="AQ522" s="7"/>
      <c r="AR522" s="7"/>
      <c r="AS522" s="7"/>
      <c r="AT522" s="7"/>
      <c r="AU522" s="7">
        <v>0.0</v>
      </c>
      <c r="AV522" s="7" t="s">
        <v>6677</v>
      </c>
      <c r="AW522" s="7"/>
      <c r="AX522" s="7"/>
      <c r="AY522" s="7"/>
      <c r="AZ522" s="7"/>
      <c r="BA522" s="7"/>
      <c r="BB522" s="7"/>
      <c r="BC522" s="7" t="s">
        <v>366</v>
      </c>
      <c r="BD522" s="21">
        <v>44197.0</v>
      </c>
      <c r="BE522" s="7"/>
      <c r="BF522" s="7"/>
      <c r="BG522" s="22">
        <v>44197.0</v>
      </c>
      <c r="BH522" s="7">
        <v>4.39037599E8</v>
      </c>
      <c r="BI522" s="7" t="s">
        <v>6678</v>
      </c>
      <c r="BJ522" s="7"/>
      <c r="BK522" s="7" t="b">
        <v>0</v>
      </c>
      <c r="BL522" s="7" t="b">
        <v>0</v>
      </c>
      <c r="BM522" s="7"/>
      <c r="BN522" s="7" t="str">
        <f>IFERROR(__xludf.DUMMYFUNCTION(" IF( REGEXMATCH(C522 , ""[(].+[)]""),REGEXREPLACE( CONCATENATE(REGEXEXTRACT(C522 , ""[(].+[)]""),IF(REGEXMATCH(C522 , ""[(][Ll]['’][)]""),"""","" ""), REGEXEXTRACT(C522 ,""^(?:(?:[A-Za-zàäéèêîïöôûü0-9 ](?:[A-Za-zàäéèêîïöôûü'0-9 ]+)))"")) , ""[()]"", """")"&amp;",C522 )"),"Rando Outre Mer")</f>
        <v>Rando Outre Mer</v>
      </c>
      <c r="BO522" s="23"/>
      <c r="BP522" s="7"/>
      <c r="BQ522" s="7"/>
      <c r="BR522" s="7"/>
      <c r="BS522" s="7"/>
      <c r="BT522" s="7"/>
      <c r="BU522" s="7"/>
      <c r="BV522" s="7"/>
      <c r="BW522" s="7"/>
      <c r="BX522" s="7"/>
      <c r="BY522" s="7"/>
      <c r="BZ522" s="7"/>
      <c r="CA522" s="7"/>
      <c r="CB522" s="7"/>
    </row>
    <row r="523" ht="21.75" customHeight="1">
      <c r="A523" s="7">
        <v>1919.0</v>
      </c>
      <c r="B523" s="7" t="s">
        <v>6679</v>
      </c>
      <c r="C523" s="7" t="s">
        <v>6680</v>
      </c>
      <c r="D523" s="7" t="s">
        <v>6681</v>
      </c>
      <c r="E523" s="7"/>
      <c r="F523" s="7" t="s">
        <v>342</v>
      </c>
      <c r="G523" s="7" t="s">
        <v>343</v>
      </c>
      <c r="H523" s="7" t="s">
        <v>123</v>
      </c>
      <c r="I523" s="7" t="s">
        <v>6682</v>
      </c>
      <c r="J523" s="7"/>
      <c r="K523" s="6" t="s">
        <v>469</v>
      </c>
      <c r="L523" s="7" t="s">
        <v>470</v>
      </c>
      <c r="M523" s="7" t="s">
        <v>1295</v>
      </c>
      <c r="N523" s="7" t="s">
        <v>375</v>
      </c>
      <c r="O523" s="7">
        <v>97480.0</v>
      </c>
      <c r="P523" s="7" t="s">
        <v>123</v>
      </c>
      <c r="Q523" s="7"/>
      <c r="R523" s="7"/>
      <c r="S523" s="7" t="s">
        <v>6683</v>
      </c>
      <c r="T523" s="7" t="s">
        <v>377</v>
      </c>
      <c r="U523" s="7" t="s">
        <v>592</v>
      </c>
      <c r="V523" s="7"/>
      <c r="W523" s="7">
        <v>6.92015956E8</v>
      </c>
      <c r="X523" s="7"/>
      <c r="Y523" s="7"/>
      <c r="Z523" s="7" t="s">
        <v>6684</v>
      </c>
      <c r="AA523" s="7"/>
      <c r="AB523" s="7"/>
      <c r="AC523" s="7" t="s">
        <v>6685</v>
      </c>
      <c r="AD523" s="7" t="s">
        <v>6686</v>
      </c>
      <c r="AE523" s="7"/>
      <c r="AF523" s="7"/>
      <c r="AG523" s="7"/>
      <c r="AH523" s="20">
        <v>43739.0</v>
      </c>
      <c r="AI523" s="7"/>
      <c r="AJ523" s="7" t="s">
        <v>6687</v>
      </c>
      <c r="AK523" s="7">
        <v>5.0535041300017E13</v>
      </c>
      <c r="AL523" s="7" t="s">
        <v>6688</v>
      </c>
      <c r="AM523" s="7" t="s">
        <v>6689</v>
      </c>
      <c r="AN523" s="20">
        <v>43739.0</v>
      </c>
      <c r="AO523" s="7">
        <v>97480.0</v>
      </c>
      <c r="AP523" s="7" t="s">
        <v>385</v>
      </c>
      <c r="AQ523" s="7"/>
      <c r="AR523" s="7"/>
      <c r="AS523" s="7"/>
      <c r="AT523" s="7"/>
      <c r="AU523" s="7">
        <v>0.0</v>
      </c>
      <c r="AV523" s="7" t="s">
        <v>6690</v>
      </c>
      <c r="AW523" s="7"/>
      <c r="AX523" s="7"/>
      <c r="AY523" s="7"/>
      <c r="AZ523" s="7"/>
      <c r="BA523" s="7"/>
      <c r="BB523" s="7"/>
      <c r="BC523" s="7" t="s">
        <v>401</v>
      </c>
      <c r="BD523" s="21">
        <v>44176.10277777778</v>
      </c>
      <c r="BE523" s="7" t="s">
        <v>449</v>
      </c>
      <c r="BF523" s="7"/>
      <c r="BG523" s="7"/>
      <c r="BH523" s="7">
        <v>5.05350413E8</v>
      </c>
      <c r="BI523" s="7" t="s">
        <v>6691</v>
      </c>
      <c r="BJ523" s="7"/>
      <c r="BK523" s="7" t="b">
        <v>0</v>
      </c>
      <c r="BL523" s="7" t="b">
        <v>0</v>
      </c>
      <c r="BM523" s="7"/>
      <c r="BN523" s="7" t="str">
        <f>IFERROR(__xludf.DUMMYFUNCTION(" IF( REGEXMATCH(C523 , ""[(].+[)]""),REGEXREPLACE( CONCATENATE(REGEXEXTRACT(C523 , ""[(].+[)]""),IF(REGEXMATCH(C523 , ""[(][Ll]['’][)]""),"""","" ""), REGEXEXTRACT(C523 ,""^(?:(?:[A-Za-zàäéèêîïöôûü0-9 ](?:[A-Za-zàäéèêîïöôûü'0-9 ]+)))"")) , ""[()]"", """")"&amp;",C523 )"),"Rando Trek Réunion")</f>
        <v>Rando Trek Réunion</v>
      </c>
      <c r="BO523" s="25"/>
      <c r="BP523" s="7"/>
      <c r="BQ523" s="7"/>
      <c r="BR523" s="7"/>
      <c r="BS523" s="7"/>
      <c r="BT523" s="7"/>
      <c r="BU523" s="7"/>
      <c r="BV523" s="7"/>
      <c r="BW523" s="7"/>
      <c r="BX523" s="7"/>
      <c r="BY523" s="7"/>
      <c r="BZ523" s="7"/>
      <c r="CA523" s="7"/>
      <c r="CB523" s="7"/>
    </row>
    <row r="524" ht="21.75" customHeight="1">
      <c r="A524" s="7">
        <v>1727.0</v>
      </c>
      <c r="B524" s="7" t="s">
        <v>6692</v>
      </c>
      <c r="C524" s="7" t="s">
        <v>6693</v>
      </c>
      <c r="D524" s="7" t="s">
        <v>6693</v>
      </c>
      <c r="E524" s="7"/>
      <c r="F524" s="7" t="s">
        <v>342</v>
      </c>
      <c r="G524" s="7" t="s">
        <v>343</v>
      </c>
      <c r="H524" s="7" t="s">
        <v>344</v>
      </c>
      <c r="I524" s="7" t="s">
        <v>6694</v>
      </c>
      <c r="J524" s="26" t="s">
        <v>6695</v>
      </c>
      <c r="K524" s="7" t="s">
        <v>58</v>
      </c>
      <c r="L524" s="7" t="s">
        <v>137</v>
      </c>
      <c r="M524" s="7" t="s">
        <v>1091</v>
      </c>
      <c r="N524" s="7" t="s">
        <v>1092</v>
      </c>
      <c r="O524" s="7">
        <v>97418.0</v>
      </c>
      <c r="P524" s="7" t="s">
        <v>348</v>
      </c>
      <c r="Q524" s="7" t="s">
        <v>349</v>
      </c>
      <c r="R524" s="7" t="s">
        <v>1093</v>
      </c>
      <c r="S524" s="7" t="s">
        <v>1094</v>
      </c>
      <c r="T524" s="7" t="s">
        <v>377</v>
      </c>
      <c r="U524" s="7" t="s">
        <v>353</v>
      </c>
      <c r="V524" s="7">
        <v>2.6244986E8</v>
      </c>
      <c r="W524" s="7">
        <v>6.9278045E8</v>
      </c>
      <c r="X524" s="7"/>
      <c r="Y524" s="7"/>
      <c r="Z524" s="7" t="s">
        <v>6696</v>
      </c>
      <c r="AA524" s="7">
        <v>21.0</v>
      </c>
      <c r="AB524" s="7"/>
      <c r="AC524" s="7" t="s">
        <v>6697</v>
      </c>
      <c r="AD524" s="7" t="s">
        <v>6698</v>
      </c>
      <c r="AE524" s="7"/>
      <c r="AF524" s="7"/>
      <c r="AG524" s="7"/>
      <c r="AH524" s="20">
        <v>43739.0</v>
      </c>
      <c r="AI524" s="7"/>
      <c r="AJ524" s="7" t="s">
        <v>6699</v>
      </c>
      <c r="AK524" s="7">
        <v>4.9829011300022E13</v>
      </c>
      <c r="AL524" s="7" t="s">
        <v>6700</v>
      </c>
      <c r="AM524" s="7" t="s">
        <v>6701</v>
      </c>
      <c r="AN524" s="20">
        <v>43739.0</v>
      </c>
      <c r="AO524" s="7">
        <v>97418.0</v>
      </c>
      <c r="AP524" s="7" t="s">
        <v>362</v>
      </c>
      <c r="AQ524" s="7"/>
      <c r="AR524" s="7"/>
      <c r="AS524" s="7"/>
      <c r="AT524" s="7"/>
      <c r="AU524" s="7">
        <v>6.0</v>
      </c>
      <c r="AV524" s="7" t="s">
        <v>6702</v>
      </c>
      <c r="AW524" s="7"/>
      <c r="AX524" s="7"/>
      <c r="AY524" s="7"/>
      <c r="AZ524" s="7" t="s">
        <v>6703</v>
      </c>
      <c r="BA524" s="7"/>
      <c r="BB524" s="7"/>
      <c r="BC524" s="7" t="s">
        <v>401</v>
      </c>
      <c r="BD524" s="21">
        <v>44237.0</v>
      </c>
      <c r="BE524" s="7" t="s">
        <v>6704</v>
      </c>
      <c r="BF524" s="7"/>
      <c r="BG524" s="7"/>
      <c r="BH524" s="7">
        <v>4.98290113E8</v>
      </c>
      <c r="BI524" s="7" t="s">
        <v>1974</v>
      </c>
      <c r="BJ524" s="7"/>
      <c r="BK524" s="7" t="b">
        <v>0</v>
      </c>
      <c r="BL524" s="7" t="b">
        <v>0</v>
      </c>
      <c r="BM524" s="7"/>
      <c r="BN524" s="7" t="str">
        <f>IFERROR(__xludf.DUMMYFUNCTION(" IF( REGEXMATCH(C524 , ""[(].+[)]""),REGEXREPLACE( CONCATENATE(REGEXEXTRACT(C524 , ""[(].+[)]""),IF(REGEXMATCH(C524 , ""[(][Ll]['’][)]""),"""","" ""), REGEXEXTRACT(C524 ,""^(?:(?:[A-Za-zàäéèêîïöôûü0-9 ](?:[A-Za-zàäéèêîïöôûü'0-9 ]+)))"")) , ""[()]"", """")"&amp;",C524 )"),"Le Randonneur ")</f>
        <v>Le Randonneur </v>
      </c>
      <c r="BO524" s="25"/>
      <c r="BP524" s="7"/>
      <c r="BQ524" s="7"/>
      <c r="BR524" s="7"/>
      <c r="BS524" s="7"/>
      <c r="BT524" s="7"/>
      <c r="BU524" s="7"/>
      <c r="BV524" s="7"/>
      <c r="BW524" s="7"/>
      <c r="BX524" s="7"/>
      <c r="BY524" s="7"/>
      <c r="BZ524" s="7"/>
      <c r="CA524" s="7"/>
      <c r="CB524" s="7"/>
    </row>
    <row r="525" ht="21.75" customHeight="1">
      <c r="A525" s="7">
        <v>4584.0</v>
      </c>
      <c r="B525" s="7" t="s">
        <v>6705</v>
      </c>
      <c r="C525" s="7" t="s">
        <v>6706</v>
      </c>
      <c r="D525" s="7"/>
      <c r="E525" s="7"/>
      <c r="F525" s="7" t="s">
        <v>342</v>
      </c>
      <c r="G525" s="7" t="s">
        <v>343</v>
      </c>
      <c r="H525" s="7" t="s">
        <v>123</v>
      </c>
      <c r="I525" s="7" t="s">
        <v>6707</v>
      </c>
      <c r="J525" s="7"/>
      <c r="K525" s="7" t="s">
        <v>34</v>
      </c>
      <c r="L525" s="7" t="s">
        <v>622</v>
      </c>
      <c r="M525" s="7" t="s">
        <v>1347</v>
      </c>
      <c r="N525" s="7"/>
      <c r="O525" s="7">
        <v>97480.0</v>
      </c>
      <c r="P525" s="7" t="s">
        <v>123</v>
      </c>
      <c r="Q525" s="7"/>
      <c r="R525" s="7"/>
      <c r="S525" s="7"/>
      <c r="T525" s="7"/>
      <c r="U525" s="7" t="s">
        <v>378</v>
      </c>
      <c r="V525" s="7">
        <v>2.62401923E8</v>
      </c>
      <c r="W525" s="7"/>
      <c r="X525" s="7"/>
      <c r="Y525" s="7"/>
      <c r="Z525" s="7"/>
      <c r="AA525" s="7"/>
      <c r="AB525" s="7"/>
      <c r="AC525" s="7" t="s">
        <v>6708</v>
      </c>
      <c r="AD525" s="7" t="s">
        <v>6709</v>
      </c>
      <c r="AE525" s="7"/>
      <c r="AF525" s="7"/>
      <c r="AG525" s="7"/>
      <c r="AH525" s="20">
        <v>43357.0</v>
      </c>
      <c r="AI525" s="7"/>
      <c r="AJ525" s="7" t="s">
        <v>6710</v>
      </c>
      <c r="AK525" s="7"/>
      <c r="AL525" s="7" t="s">
        <v>6711</v>
      </c>
      <c r="AM525" s="7" t="s">
        <v>6712</v>
      </c>
      <c r="AN525" s="20">
        <v>43357.0</v>
      </c>
      <c r="AO525" s="7">
        <v>97480.0</v>
      </c>
      <c r="AP525" s="7" t="s">
        <v>385</v>
      </c>
      <c r="AQ525" s="7"/>
      <c r="AR525" s="7"/>
      <c r="AS525" s="7"/>
      <c r="AT525" s="7"/>
      <c r="AU525" s="7">
        <v>0.0</v>
      </c>
      <c r="AV525" s="7" t="s">
        <v>6713</v>
      </c>
      <c r="AW525" s="7"/>
      <c r="AX525" s="7"/>
      <c r="AY525" s="7"/>
      <c r="AZ525" s="7"/>
      <c r="BA525" s="7"/>
      <c r="BB525" s="7"/>
      <c r="BC525" s="7" t="s">
        <v>401</v>
      </c>
      <c r="BD525" s="21">
        <v>44230.4125</v>
      </c>
      <c r="BE525" s="7" t="s">
        <v>6714</v>
      </c>
      <c r="BF525" s="7"/>
      <c r="BG525" s="7"/>
      <c r="BH525" s="7"/>
      <c r="BI525" s="7" t="s">
        <v>6715</v>
      </c>
      <c r="BJ525" s="7"/>
      <c r="BK525" s="7" t="b">
        <v>0</v>
      </c>
      <c r="BL525" s="7" t="b">
        <v>0</v>
      </c>
      <c r="BM525" s="7"/>
      <c r="BN525" s="7" t="str">
        <f>IFERROR(__xludf.DUMMYFUNCTION(" IF( REGEXMATCH(C525 , ""[(].+[)]""),REGEXREPLACE( CONCATENATE(REGEXEXTRACT(C525 , ""[(].+[)]""),IF(REGEXMATCH(C525 , ""[(][Ll]['’][)]""),"""","" ""), REGEXEXTRACT(C525 ,""^(?:(?:[A-Za-zàäéèêîïöôûü0-9 ](?:[A-Za-zàäéèêîïöôûü'0-9 ]+)))"")) , ""[()]"", """")"&amp;",C525 )"),"La Récrée Idéale by Ludo ")</f>
        <v>La Récrée Idéale by Ludo </v>
      </c>
      <c r="BO525" s="25"/>
      <c r="BP525" s="7"/>
      <c r="BQ525" s="7"/>
      <c r="BR525" s="7"/>
      <c r="BS525" s="7"/>
      <c r="BT525" s="7"/>
      <c r="BU525" s="7"/>
      <c r="BV525" s="7"/>
      <c r="BW525" s="7"/>
      <c r="BX525" s="7"/>
      <c r="BY525" s="7"/>
      <c r="BZ525" s="7"/>
      <c r="CA525" s="7"/>
      <c r="CB525" s="7"/>
    </row>
    <row r="526" ht="21.75" customHeight="1">
      <c r="A526" s="7">
        <v>764.0</v>
      </c>
      <c r="B526" s="7" t="s">
        <v>6716</v>
      </c>
      <c r="C526" s="7" t="s">
        <v>6717</v>
      </c>
      <c r="D526" s="7" t="s">
        <v>6718</v>
      </c>
      <c r="E526" s="7"/>
      <c r="F526" s="7" t="s">
        <v>342</v>
      </c>
      <c r="G526" s="7" t="s">
        <v>343</v>
      </c>
      <c r="H526" s="7" t="s">
        <v>33</v>
      </c>
      <c r="I526" s="7" t="s">
        <v>6719</v>
      </c>
      <c r="J526" s="7"/>
      <c r="K526" s="7" t="s">
        <v>58</v>
      </c>
      <c r="L526" s="7" t="s">
        <v>137</v>
      </c>
      <c r="M526" s="7" t="s">
        <v>1091</v>
      </c>
      <c r="N526" s="7" t="s">
        <v>1001</v>
      </c>
      <c r="O526" s="7">
        <v>97442.0</v>
      </c>
      <c r="P526" s="7" t="s">
        <v>33</v>
      </c>
      <c r="Q526" s="7"/>
      <c r="R526" s="7" t="s">
        <v>6720</v>
      </c>
      <c r="S526" s="7" t="s">
        <v>6721</v>
      </c>
      <c r="T526" s="7" t="s">
        <v>499</v>
      </c>
      <c r="U526" s="7" t="s">
        <v>353</v>
      </c>
      <c r="V526" s="7"/>
      <c r="W526" s="7">
        <v>6.92233193E8</v>
      </c>
      <c r="X526" s="7"/>
      <c r="Y526" s="7"/>
      <c r="Z526" s="7" t="s">
        <v>6722</v>
      </c>
      <c r="AA526" s="7">
        <v>16.0</v>
      </c>
      <c r="AB526" s="7"/>
      <c r="AC526" s="7" t="s">
        <v>6723</v>
      </c>
      <c r="AD526" s="7" t="s">
        <v>6724</v>
      </c>
      <c r="AE526" s="7" t="s">
        <v>6725</v>
      </c>
      <c r="AF526" s="7"/>
      <c r="AG526" s="7"/>
      <c r="AH526" s="20">
        <v>39663.0</v>
      </c>
      <c r="AI526" s="7"/>
      <c r="AJ526" s="7" t="s">
        <v>6726</v>
      </c>
      <c r="AK526" s="7">
        <v>4.0418112500018E13</v>
      </c>
      <c r="AL526" s="7" t="s">
        <v>6727</v>
      </c>
      <c r="AM526" s="7" t="s">
        <v>6728</v>
      </c>
      <c r="AN526" s="20">
        <v>39575.0</v>
      </c>
      <c r="AO526" s="7">
        <v>97442.0</v>
      </c>
      <c r="AP526" s="7" t="s">
        <v>884</v>
      </c>
      <c r="AQ526" s="7"/>
      <c r="AR526" s="7"/>
      <c r="AS526" s="7"/>
      <c r="AT526" s="7"/>
      <c r="AU526" s="7">
        <v>1.0</v>
      </c>
      <c r="AV526" s="7" t="s">
        <v>6729</v>
      </c>
      <c r="AW526" s="7" t="s">
        <v>6730</v>
      </c>
      <c r="AX526" s="7"/>
      <c r="AY526" s="7"/>
      <c r="AZ526" s="7" t="s">
        <v>6731</v>
      </c>
      <c r="BA526" s="7"/>
      <c r="BB526" s="7"/>
      <c r="BC526" s="7" t="s">
        <v>401</v>
      </c>
      <c r="BD526" s="21">
        <v>44157.44027777778</v>
      </c>
      <c r="BE526" s="7" t="s">
        <v>6732</v>
      </c>
      <c r="BF526" s="7"/>
      <c r="BG526" s="7"/>
      <c r="BH526" s="7">
        <v>4.04181125E8</v>
      </c>
      <c r="BI526" s="7" t="s">
        <v>6733</v>
      </c>
      <c r="BJ526" s="7"/>
      <c r="BK526" s="7" t="b">
        <v>0</v>
      </c>
      <c r="BL526" s="7" t="b">
        <v>0</v>
      </c>
      <c r="BM526" s="7"/>
      <c r="BN526" s="7" t="str">
        <f>IFERROR(__xludf.DUMMYFUNCTION(" IF( REGEXMATCH(C526 , ""[(].+[)]""),REGEXREPLACE( CONCATENATE(REGEXEXTRACT(C526 , ""[(].+[)]""),IF(REGEXMATCH(C526 , ""[(][Ll]['’][)]""),"""","" ""), REGEXEXTRACT(C526 ,""^(?:(?:[A-Za-zàäéèêîïöôûü0-9 ](?:[A-Za-zàäéèêîïöôûü'0-9 ]+)))"")) , ""[()]"", """")"&amp;",C526 )"),"Refuge de Basse Vallée")</f>
        <v>Refuge de Basse Vallée</v>
      </c>
      <c r="BO526" s="25"/>
      <c r="BP526" s="7"/>
      <c r="BQ526" s="7"/>
      <c r="BR526" s="7"/>
      <c r="BS526" s="7"/>
      <c r="BT526" s="7"/>
      <c r="BU526" s="7"/>
      <c r="BV526" s="7"/>
      <c r="BW526" s="7"/>
      <c r="BX526" s="7"/>
      <c r="BY526" s="7"/>
      <c r="BZ526" s="7"/>
      <c r="CA526" s="7"/>
      <c r="CB526" s="7"/>
    </row>
    <row r="527" ht="21.75" customHeight="1">
      <c r="A527" s="7">
        <v>510.0</v>
      </c>
      <c r="B527" s="7">
        <v>526.0</v>
      </c>
      <c r="C527" s="7" t="s">
        <v>6734</v>
      </c>
      <c r="D527" s="7" t="s">
        <v>6734</v>
      </c>
      <c r="E527" s="7"/>
      <c r="F527" s="7" t="s">
        <v>342</v>
      </c>
      <c r="G527" s="7" t="s">
        <v>343</v>
      </c>
      <c r="H527" s="7" t="s">
        <v>123</v>
      </c>
      <c r="I527" s="7" t="s">
        <v>6735</v>
      </c>
      <c r="J527" s="7"/>
      <c r="K527" s="7" t="s">
        <v>34</v>
      </c>
      <c r="L527" s="7" t="s">
        <v>678</v>
      </c>
      <c r="M527" s="7" t="s">
        <v>5053</v>
      </c>
      <c r="N527" s="7" t="s">
        <v>664</v>
      </c>
      <c r="O527" s="7">
        <v>97480.0</v>
      </c>
      <c r="P527" s="7" t="s">
        <v>123</v>
      </c>
      <c r="Q527" s="7"/>
      <c r="R527" s="7"/>
      <c r="S527" s="7" t="s">
        <v>1987</v>
      </c>
      <c r="T527" s="7" t="s">
        <v>377</v>
      </c>
      <c r="U527" s="7" t="s">
        <v>6121</v>
      </c>
      <c r="V527" s="7">
        <v>2.62560815E8</v>
      </c>
      <c r="W527" s="7"/>
      <c r="X527" s="7"/>
      <c r="Y527" s="7"/>
      <c r="Z527" s="7"/>
      <c r="AA527" s="7"/>
      <c r="AB527" s="7"/>
      <c r="AC527" s="7"/>
      <c r="AD527" s="7" t="s">
        <v>6736</v>
      </c>
      <c r="AE527" s="7"/>
      <c r="AF527" s="7"/>
      <c r="AG527" s="7"/>
      <c r="AH527" s="20">
        <v>39575.0</v>
      </c>
      <c r="AI527" s="7"/>
      <c r="AJ527" s="7" t="s">
        <v>6734</v>
      </c>
      <c r="AK527" s="7"/>
      <c r="AL527" s="7" t="s">
        <v>6737</v>
      </c>
      <c r="AM527" s="7" t="s">
        <v>6738</v>
      </c>
      <c r="AN527" s="20">
        <v>39575.0</v>
      </c>
      <c r="AO527" s="7">
        <v>97480.0</v>
      </c>
      <c r="AP527" s="7" t="s">
        <v>385</v>
      </c>
      <c r="AQ527" s="7"/>
      <c r="AR527" s="7"/>
      <c r="AS527" s="7"/>
      <c r="AT527" s="7"/>
      <c r="AU527" s="7">
        <v>0.0</v>
      </c>
      <c r="AV527" s="7" t="s">
        <v>6739</v>
      </c>
      <c r="AW527" s="7"/>
      <c r="AX527" s="7"/>
      <c r="AY527" s="7"/>
      <c r="AZ527" s="7"/>
      <c r="BA527" s="7"/>
      <c r="BB527" s="7"/>
      <c r="BC527" s="7" t="s">
        <v>366</v>
      </c>
      <c r="BD527" s="21">
        <v>44197.0</v>
      </c>
      <c r="BE527" s="7"/>
      <c r="BF527" s="7"/>
      <c r="BG527" s="22">
        <v>44197.0</v>
      </c>
      <c r="BH527" s="7"/>
      <c r="BI527" s="7" t="s">
        <v>6740</v>
      </c>
      <c r="BJ527" s="7"/>
      <c r="BK527" s="7" t="b">
        <v>0</v>
      </c>
      <c r="BL527" s="7" t="b">
        <v>0</v>
      </c>
      <c r="BM527" s="7"/>
      <c r="BN527" s="7" t="str">
        <f>IFERROR(__xludf.DUMMYFUNCTION(" IF( REGEXMATCH(C527 , ""[(].+[)]""),REGEXREPLACE( CONCATENATE(REGEXEXTRACT(C527 , ""[(].+[)]""),IF(REGEXMATCH(C527 , ""[(][Ll]['’][)]""),"""","" ""), REGEXEXTRACT(C527 ,""^(?:(?:[A-Za-zàäéèêîïöôûü0-9 ](?:[A-Za-zàäéèêîïöôûü'0-9 ]+)))"")) , ""[()]"", """")"&amp;",C527 )"),"Régal Pizza")</f>
        <v>Régal Pizza</v>
      </c>
      <c r="BO527" s="23"/>
      <c r="BP527" s="7"/>
      <c r="BQ527" s="7"/>
      <c r="BR527" s="7"/>
      <c r="BS527" s="7"/>
      <c r="BT527" s="7"/>
      <c r="BU527" s="7"/>
      <c r="BV527" s="7"/>
      <c r="BW527" s="7"/>
      <c r="BX527" s="7"/>
      <c r="BY527" s="7"/>
      <c r="BZ527" s="7"/>
      <c r="CA527" s="7"/>
      <c r="CB527" s="7"/>
    </row>
    <row r="528" ht="21.75" customHeight="1">
      <c r="A528" s="7">
        <v>265.0</v>
      </c>
      <c r="B528" s="7">
        <v>527.0</v>
      </c>
      <c r="C528" s="7" t="s">
        <v>6741</v>
      </c>
      <c r="D528" s="7" t="s">
        <v>6742</v>
      </c>
      <c r="E528" s="7"/>
      <c r="F528" s="7" t="s">
        <v>404</v>
      </c>
      <c r="G528" s="7" t="s">
        <v>343</v>
      </c>
      <c r="H528" s="7" t="s">
        <v>344</v>
      </c>
      <c r="I528" s="7" t="s">
        <v>6743</v>
      </c>
      <c r="J528" s="7"/>
      <c r="K528" s="7" t="s">
        <v>34</v>
      </c>
      <c r="L528" s="7" t="s">
        <v>622</v>
      </c>
      <c r="M528" s="7" t="s">
        <v>622</v>
      </c>
      <c r="N528" s="7" t="s">
        <v>407</v>
      </c>
      <c r="O528" s="7">
        <v>97418.0</v>
      </c>
      <c r="P528" s="7" t="s">
        <v>348</v>
      </c>
      <c r="Q528" s="7" t="s">
        <v>349</v>
      </c>
      <c r="R528" s="7" t="s">
        <v>2281</v>
      </c>
      <c r="S528" s="7" t="s">
        <v>506</v>
      </c>
      <c r="T528" s="7" t="s">
        <v>377</v>
      </c>
      <c r="U528" s="7" t="s">
        <v>1508</v>
      </c>
      <c r="V528" s="7"/>
      <c r="W528" s="7"/>
      <c r="X528" s="7"/>
      <c r="Y528" s="7"/>
      <c r="Z528" s="7" t="s">
        <v>6744</v>
      </c>
      <c r="AA528" s="7">
        <v>50.0</v>
      </c>
      <c r="AB528" s="7"/>
      <c r="AC528" s="7" t="s">
        <v>6745</v>
      </c>
      <c r="AD528" s="7" t="s">
        <v>6746</v>
      </c>
      <c r="AE528" s="7"/>
      <c r="AF528" s="7"/>
      <c r="AG528" s="7"/>
      <c r="AH528" s="20">
        <v>39575.0</v>
      </c>
      <c r="AI528" s="7"/>
      <c r="AJ528" s="7" t="s">
        <v>6747</v>
      </c>
      <c r="AK528" s="7">
        <v>3.4537641200036E13</v>
      </c>
      <c r="AL528" s="7" t="s">
        <v>6748</v>
      </c>
      <c r="AM528" s="7" t="s">
        <v>6749</v>
      </c>
      <c r="AN528" s="20">
        <v>39575.0</v>
      </c>
      <c r="AO528" s="7">
        <v>97418.0</v>
      </c>
      <c r="AP528" s="7" t="s">
        <v>362</v>
      </c>
      <c r="AQ528" s="7"/>
      <c r="AR528" s="7"/>
      <c r="AS528" s="7"/>
      <c r="AT528" s="7"/>
      <c r="AU528" s="7">
        <v>0.0</v>
      </c>
      <c r="AV528" s="7" t="s">
        <v>6750</v>
      </c>
      <c r="AW528" s="7"/>
      <c r="AX528" s="7"/>
      <c r="AY528" s="7"/>
      <c r="AZ528" s="7"/>
      <c r="BA528" s="7"/>
      <c r="BB528" s="7"/>
      <c r="BC528" s="7" t="s">
        <v>366</v>
      </c>
      <c r="BD528" s="21">
        <v>44197.0</v>
      </c>
      <c r="BE528" s="7"/>
      <c r="BF528" s="7"/>
      <c r="BG528" s="22">
        <v>44197.0</v>
      </c>
      <c r="BH528" s="7">
        <v>2.14748364E8</v>
      </c>
      <c r="BI528" s="7" t="s">
        <v>6751</v>
      </c>
      <c r="BJ528" s="7"/>
      <c r="BK528" s="7" t="b">
        <v>0</v>
      </c>
      <c r="BL528" s="7" t="b">
        <v>0</v>
      </c>
      <c r="BM528" s="7"/>
      <c r="BN528" s="7" t="str">
        <f>IFERROR(__xludf.DUMMYFUNCTION(" IF( REGEXMATCH(C528 , ""[(].+[)]""),REGEXREPLACE( CONCATENATE(REGEXEXTRACT(C528 , ""[(].+[)]""),IF(REGEXMATCH(C528 , ""[(][Ll]['’][)]""),"""","" ""), REGEXEXTRACT(C528 ,""^(?:(?:[A-Za-zàäéèêîïöôûü0-9 ](?:[A-Za-zàäéèêîïöôûü'0-9 ]+)))"")) , ""[()]"", """")"&amp;",C528 )"),"Le Relais ")</f>
        <v>Le Relais </v>
      </c>
      <c r="BO528" s="23"/>
      <c r="BP528" s="7"/>
      <c r="BQ528" s="7"/>
      <c r="BR528" s="7"/>
      <c r="BS528" s="7"/>
      <c r="BT528" s="7"/>
      <c r="BU528" s="7"/>
      <c r="BV528" s="7"/>
      <c r="BW528" s="7"/>
      <c r="BX528" s="7"/>
      <c r="BY528" s="7"/>
      <c r="BZ528" s="7"/>
      <c r="CA528" s="7"/>
      <c r="CB528" s="7"/>
    </row>
    <row r="529" ht="21.75" customHeight="1">
      <c r="A529" s="7">
        <v>24.0</v>
      </c>
      <c r="B529" s="7" t="s">
        <v>6752</v>
      </c>
      <c r="C529" s="7" t="s">
        <v>6753</v>
      </c>
      <c r="D529" s="7" t="s">
        <v>6754</v>
      </c>
      <c r="E529" s="7"/>
      <c r="F529" s="7" t="s">
        <v>342</v>
      </c>
      <c r="G529" s="7" t="s">
        <v>343</v>
      </c>
      <c r="H529" s="7" t="s">
        <v>344</v>
      </c>
      <c r="I529" s="7" t="s">
        <v>6755</v>
      </c>
      <c r="J529" s="7"/>
      <c r="K529" s="7" t="s">
        <v>34</v>
      </c>
      <c r="L529" s="7" t="s">
        <v>622</v>
      </c>
      <c r="M529" s="7" t="s">
        <v>622</v>
      </c>
      <c r="N529" s="7" t="s">
        <v>407</v>
      </c>
      <c r="O529" s="7">
        <v>97418.0</v>
      </c>
      <c r="P529" s="7" t="s">
        <v>348</v>
      </c>
      <c r="Q529" s="7" t="s">
        <v>570</v>
      </c>
      <c r="R529" s="7" t="s">
        <v>801</v>
      </c>
      <c r="S529" s="7" t="s">
        <v>647</v>
      </c>
      <c r="T529" s="7" t="s">
        <v>963</v>
      </c>
      <c r="U529" s="7" t="s">
        <v>353</v>
      </c>
      <c r="V529" s="7">
        <v>2.62275287E8</v>
      </c>
      <c r="W529" s="7">
        <v>6.92600544E8</v>
      </c>
      <c r="X529" s="7"/>
      <c r="Y529" s="7">
        <v>2.62275286E8</v>
      </c>
      <c r="Z529" s="7" t="s">
        <v>6756</v>
      </c>
      <c r="AA529" s="7">
        <v>120.0</v>
      </c>
      <c r="AB529" s="7"/>
      <c r="AC529" s="7" t="s">
        <v>6757</v>
      </c>
      <c r="AD529" s="7" t="s">
        <v>6758</v>
      </c>
      <c r="AE529" s="7" t="s">
        <v>6759</v>
      </c>
      <c r="AF529" s="7" t="s">
        <v>3377</v>
      </c>
      <c r="AG529" s="7" t="s">
        <v>653</v>
      </c>
      <c r="AH529" s="20">
        <v>39575.0</v>
      </c>
      <c r="AI529" s="7"/>
      <c r="AJ529" s="7" t="s">
        <v>6760</v>
      </c>
      <c r="AK529" s="7">
        <v>4.8138444400024E13</v>
      </c>
      <c r="AL529" s="7" t="s">
        <v>637</v>
      </c>
      <c r="AM529" s="7" t="s">
        <v>6761</v>
      </c>
      <c r="AN529" s="20">
        <v>39575.0</v>
      </c>
      <c r="AO529" s="7">
        <v>97418.0</v>
      </c>
      <c r="AP529" s="7" t="s">
        <v>362</v>
      </c>
      <c r="AQ529" s="7"/>
      <c r="AR529" s="7"/>
      <c r="AS529" s="7"/>
      <c r="AT529" s="7"/>
      <c r="AU529" s="7">
        <v>0.0</v>
      </c>
      <c r="AV529" s="7" t="s">
        <v>6762</v>
      </c>
      <c r="AW529" s="7"/>
      <c r="AX529" s="7"/>
      <c r="AY529" s="7"/>
      <c r="AZ529" s="7"/>
      <c r="BA529" s="7"/>
      <c r="BB529" s="7"/>
      <c r="BC529" s="7" t="s">
        <v>401</v>
      </c>
      <c r="BD529" s="21">
        <v>44244.0</v>
      </c>
      <c r="BE529" s="7" t="s">
        <v>6763</v>
      </c>
      <c r="BF529" s="7"/>
      <c r="BG529" s="7"/>
      <c r="BH529" s="7">
        <v>4.81384444E8</v>
      </c>
      <c r="BI529" s="7" t="s">
        <v>2413</v>
      </c>
      <c r="BJ529" s="7"/>
      <c r="BK529" s="7" t="b">
        <v>0</v>
      </c>
      <c r="BL529" s="7" t="b">
        <v>0</v>
      </c>
      <c r="BM529" s="7"/>
      <c r="BN529" s="7" t="str">
        <f>IFERROR(__xludf.DUMMYFUNCTION(" IF( REGEXMATCH(C529 , ""[(].+[)]""),REGEXREPLACE( CONCATENATE(REGEXEXTRACT(C529 , ""[(].+[)]""),IF(REGEXMATCH(C529 , ""[(][Ll]['’][)]""),"""","" ""), REGEXEXTRACT(C529 ,""^(?:(?:[A-Za-zàäéèêîïöôûü0-9 ](?:[A-Za-zàäéèêîïöôûü'0-9 ]+)))"")) , ""[()]"", """")"&amp;",C529 )"),"Le Relais Commerson ")</f>
        <v>Le Relais Commerson </v>
      </c>
      <c r="BO529" s="25"/>
      <c r="BP529" s="7"/>
      <c r="BQ529" s="7"/>
      <c r="BR529" s="7"/>
      <c r="BS529" s="7"/>
      <c r="BT529" s="7"/>
      <c r="BU529" s="7"/>
      <c r="BV529" s="7"/>
      <c r="BW529" s="7"/>
      <c r="BX529" s="7"/>
      <c r="BY529" s="7"/>
      <c r="BZ529" s="7"/>
      <c r="CA529" s="7"/>
      <c r="CB529" s="7"/>
    </row>
    <row r="530" ht="21.75" customHeight="1">
      <c r="A530" s="7">
        <v>2831.0</v>
      </c>
      <c r="B530" s="7" t="s">
        <v>6764</v>
      </c>
      <c r="C530" s="7" t="s">
        <v>6765</v>
      </c>
      <c r="D530" s="7"/>
      <c r="E530" s="7"/>
      <c r="F530" s="7" t="s">
        <v>342</v>
      </c>
      <c r="G530" s="7" t="s">
        <v>343</v>
      </c>
      <c r="H530" s="7" t="s">
        <v>344</v>
      </c>
      <c r="I530" s="7" t="s">
        <v>6766</v>
      </c>
      <c r="J530" s="26" t="s">
        <v>6767</v>
      </c>
      <c r="K530" s="7" t="s">
        <v>58</v>
      </c>
      <c r="L530" s="7" t="s">
        <v>453</v>
      </c>
      <c r="M530" s="7" t="s">
        <v>454</v>
      </c>
      <c r="N530" s="7" t="s">
        <v>2474</v>
      </c>
      <c r="O530" s="7">
        <v>97418.0</v>
      </c>
      <c r="P530" s="7" t="s">
        <v>348</v>
      </c>
      <c r="Q530" s="7" t="s">
        <v>349</v>
      </c>
      <c r="R530" s="7" t="s">
        <v>6768</v>
      </c>
      <c r="S530" s="7" t="s">
        <v>1521</v>
      </c>
      <c r="T530" s="7" t="s">
        <v>377</v>
      </c>
      <c r="U530" s="7" t="s">
        <v>378</v>
      </c>
      <c r="V530" s="7">
        <v>2.62593084E8</v>
      </c>
      <c r="W530" s="7">
        <v>6.92748933E8</v>
      </c>
      <c r="X530" s="7"/>
      <c r="Y530" s="7"/>
      <c r="Z530" s="7" t="s">
        <v>6769</v>
      </c>
      <c r="AA530" s="7">
        <v>7.0</v>
      </c>
      <c r="AB530" s="7"/>
      <c r="AC530" s="7" t="s">
        <v>6770</v>
      </c>
      <c r="AD530" s="7" t="s">
        <v>6771</v>
      </c>
      <c r="AE530" s="7" t="s">
        <v>6772</v>
      </c>
      <c r="AF530" s="7"/>
      <c r="AG530" s="7"/>
      <c r="AH530" s="20">
        <v>43739.0</v>
      </c>
      <c r="AI530" s="7"/>
      <c r="AJ530" s="7" t="s">
        <v>6773</v>
      </c>
      <c r="AK530" s="7">
        <v>4.4337258600018E13</v>
      </c>
      <c r="AL530" s="7" t="s">
        <v>6774</v>
      </c>
      <c r="AM530" s="7" t="s">
        <v>6775</v>
      </c>
      <c r="AN530" s="20">
        <v>43739.0</v>
      </c>
      <c r="AO530" s="7">
        <v>97418.0</v>
      </c>
      <c r="AP530" s="7" t="s">
        <v>362</v>
      </c>
      <c r="AQ530" s="7"/>
      <c r="AR530" s="7"/>
      <c r="AS530" s="7"/>
      <c r="AT530" s="7"/>
      <c r="AU530" s="7">
        <v>3.0</v>
      </c>
      <c r="AV530" s="7" t="s">
        <v>6776</v>
      </c>
      <c r="AW530" s="7"/>
      <c r="AX530" s="7" t="s">
        <v>3849</v>
      </c>
      <c r="AY530" s="7" t="s">
        <v>1829</v>
      </c>
      <c r="AZ530" s="7" t="s">
        <v>6777</v>
      </c>
      <c r="BA530" s="7"/>
      <c r="BB530" s="7"/>
      <c r="BC530" s="7" t="s">
        <v>401</v>
      </c>
      <c r="BD530" s="21">
        <v>44148.13125</v>
      </c>
      <c r="BE530" s="7" t="s">
        <v>3763</v>
      </c>
      <c r="BF530" s="7"/>
      <c r="BG530" s="7"/>
      <c r="BH530" s="7">
        <v>4.43372586E8</v>
      </c>
      <c r="BI530" s="7" t="s">
        <v>6778</v>
      </c>
      <c r="BJ530" s="7"/>
      <c r="BK530" s="7" t="b">
        <v>0</v>
      </c>
      <c r="BL530" s="7" t="b">
        <v>0</v>
      </c>
      <c r="BM530" s="7"/>
      <c r="BN530" s="7" t="str">
        <f>IFERROR(__xludf.DUMMYFUNCTION(" IF( REGEXMATCH(C530 , ""[(].+[)]""),REGEXREPLACE( CONCATENATE(REGEXEXTRACT(C530 , ""[(].+[)]""),IF(REGEXMATCH(C530 , ""[(][Ll]['’][)]""),"""","" ""), REGEXEXTRACT(C530 ,""^(?:(?:[A-Za-zàäéèêîïöôûü0-9 ](?:[A-Za-zàäéèêîïöôûü'0-9 ]+)))"")) , ""[()]"", """")"&amp;",C530 )"),"Relais du Volcan")</f>
        <v>Relais du Volcan</v>
      </c>
      <c r="BO530" s="25"/>
      <c r="BP530" s="7"/>
      <c r="BQ530" s="7"/>
      <c r="BR530" s="7"/>
      <c r="BS530" s="7"/>
      <c r="BT530" s="7"/>
      <c r="BU530" s="7"/>
      <c r="BV530" s="7"/>
      <c r="BW530" s="7"/>
      <c r="BX530" s="7"/>
      <c r="BY530" s="7"/>
      <c r="BZ530" s="7"/>
      <c r="CA530" s="7"/>
      <c r="CB530" s="7"/>
    </row>
    <row r="531" ht="21.75" customHeight="1">
      <c r="A531" s="7">
        <v>4999.0</v>
      </c>
      <c r="B531" s="7" t="s">
        <v>6779</v>
      </c>
      <c r="C531" s="7" t="s">
        <v>6780</v>
      </c>
      <c r="D531" s="7"/>
      <c r="E531" s="7"/>
      <c r="F531" s="7" t="s">
        <v>342</v>
      </c>
      <c r="G531" s="7" t="s">
        <v>343</v>
      </c>
      <c r="H531" s="7" t="s">
        <v>123</v>
      </c>
      <c r="I531" s="7" t="s">
        <v>6781</v>
      </c>
      <c r="J531" s="7"/>
      <c r="K531" s="7" t="s">
        <v>58</v>
      </c>
      <c r="L531" s="7" t="s">
        <v>59</v>
      </c>
      <c r="M531" s="7" t="s">
        <v>346</v>
      </c>
      <c r="N531" s="7"/>
      <c r="O531" s="7">
        <v>97480.0</v>
      </c>
      <c r="P531" s="7" t="s">
        <v>123</v>
      </c>
      <c r="Q531" s="7"/>
      <c r="R531" s="7" t="s">
        <v>6782</v>
      </c>
      <c r="S531" s="7" t="s">
        <v>2907</v>
      </c>
      <c r="T531" s="7" t="s">
        <v>1119</v>
      </c>
      <c r="U531" s="7" t="s">
        <v>592</v>
      </c>
      <c r="V531" s="7"/>
      <c r="W531" s="7">
        <v>6.92431332E8</v>
      </c>
      <c r="X531" s="7">
        <v>6.92429406E8</v>
      </c>
      <c r="Y531" s="7"/>
      <c r="Z531" s="7" t="s">
        <v>6783</v>
      </c>
      <c r="AA531" s="7">
        <v>18.0</v>
      </c>
      <c r="AB531" s="7"/>
      <c r="AC531" s="7" t="s">
        <v>6784</v>
      </c>
      <c r="AD531" s="7" t="s">
        <v>6785</v>
      </c>
      <c r="AE531" s="7"/>
      <c r="AF531" s="7"/>
      <c r="AG531" s="7"/>
      <c r="AH531" s="20">
        <v>43670.0</v>
      </c>
      <c r="AI531" s="7"/>
      <c r="AJ531" s="7" t="s">
        <v>6786</v>
      </c>
      <c r="AK531" s="7">
        <v>8.4824906600012E13</v>
      </c>
      <c r="AL531" s="7" t="s">
        <v>6787</v>
      </c>
      <c r="AM531" s="7" t="s">
        <v>6788</v>
      </c>
      <c r="AN531" s="20">
        <v>43669.0</v>
      </c>
      <c r="AO531" s="7">
        <v>97480.0</v>
      </c>
      <c r="AP531" s="7" t="s">
        <v>385</v>
      </c>
      <c r="AQ531" s="7"/>
      <c r="AR531" s="7"/>
      <c r="AS531" s="7"/>
      <c r="AT531" s="7"/>
      <c r="AU531" s="7">
        <v>4.0</v>
      </c>
      <c r="AV531" s="7" t="s">
        <v>6789</v>
      </c>
      <c r="AW531" s="7"/>
      <c r="AX531" s="7"/>
      <c r="AY531" s="7"/>
      <c r="AZ531" s="7" t="s">
        <v>6790</v>
      </c>
      <c r="BA531" s="7"/>
      <c r="BB531" s="7"/>
      <c r="BC531" s="7" t="s">
        <v>401</v>
      </c>
      <c r="BD531" s="21">
        <v>44194.0</v>
      </c>
      <c r="BE531" s="7" t="s">
        <v>6791</v>
      </c>
      <c r="BF531" s="7"/>
      <c r="BG531" s="7"/>
      <c r="BH531" s="7">
        <v>8.48249066E8</v>
      </c>
      <c r="BI531" s="7" t="s">
        <v>6792</v>
      </c>
      <c r="BJ531" s="7"/>
      <c r="BK531" s="7" t="b">
        <v>0</v>
      </c>
      <c r="BL531" s="7" t="b">
        <v>0</v>
      </c>
      <c r="BM531" s="7"/>
      <c r="BN531" s="7" t="str">
        <f>IFERROR(__xludf.DUMMYFUNCTION(" IF( REGEXMATCH(C531 , ""[(].+[)]""),REGEXREPLACE( CONCATENATE(REGEXEXTRACT(C531 , ""[(].+[)]""),IF(REGEXMATCH(C531 , ""[(][Ll]['’][)]""),"""","" ""), REGEXEXTRACT(C531 ,""^(?:(?:[A-Za-zàäéèêîïöôûü0-9 ](?:[A-Za-zàäéèêîïöôûü'0-9 ]+)))"")) , ""[()]"", """")"&amp;",C531 )"),"Le Repos d'Or ")</f>
        <v>Le Repos d'Or </v>
      </c>
      <c r="BO531" s="25"/>
      <c r="BP531" s="7"/>
      <c r="BQ531" s="7"/>
      <c r="BR531" s="7"/>
      <c r="BS531" s="7"/>
      <c r="BT531" s="7"/>
      <c r="BU531" s="7"/>
      <c r="BV531" s="7"/>
      <c r="BW531" s="7"/>
      <c r="BX531" s="7"/>
      <c r="BY531" s="7"/>
      <c r="BZ531" s="7"/>
      <c r="CA531" s="7"/>
      <c r="CB531" s="7"/>
    </row>
    <row r="532" ht="21.75" customHeight="1">
      <c r="A532" s="7">
        <v>3119.0</v>
      </c>
      <c r="B532" s="7">
        <v>531.0</v>
      </c>
      <c r="C532" s="7" t="s">
        <v>6780</v>
      </c>
      <c r="D532" s="7" t="s">
        <v>6793</v>
      </c>
      <c r="E532" s="7"/>
      <c r="F532" s="7" t="s">
        <v>404</v>
      </c>
      <c r="G532" s="7" t="s">
        <v>343</v>
      </c>
      <c r="H532" s="7" t="s">
        <v>123</v>
      </c>
      <c r="I532" s="7" t="s">
        <v>6794</v>
      </c>
      <c r="J532" s="26" t="s">
        <v>6795</v>
      </c>
      <c r="K532" s="7" t="s">
        <v>58</v>
      </c>
      <c r="L532" s="7" t="s">
        <v>59</v>
      </c>
      <c r="M532" s="7" t="s">
        <v>374</v>
      </c>
      <c r="N532" s="7" t="s">
        <v>375</v>
      </c>
      <c r="O532" s="7">
        <v>97480.0</v>
      </c>
      <c r="P532" s="7" t="s">
        <v>123</v>
      </c>
      <c r="Q532" s="7"/>
      <c r="R532" s="7" t="s">
        <v>1474</v>
      </c>
      <c r="S532" s="7" t="s">
        <v>5182</v>
      </c>
      <c r="T532" s="7" t="s">
        <v>377</v>
      </c>
      <c r="U532" s="7" t="s">
        <v>378</v>
      </c>
      <c r="V532" s="7">
        <v>2.62566592E8</v>
      </c>
      <c r="W532" s="7">
        <v>6.92690073E8</v>
      </c>
      <c r="X532" s="7"/>
      <c r="Y532" s="7"/>
      <c r="Z532" s="7" t="s">
        <v>6796</v>
      </c>
      <c r="AA532" s="7">
        <v>4.0</v>
      </c>
      <c r="AB532" s="7" t="s">
        <v>2716</v>
      </c>
      <c r="AC532" s="7" t="s">
        <v>6797</v>
      </c>
      <c r="AD532" s="7" t="s">
        <v>6798</v>
      </c>
      <c r="AE532" s="7" t="s">
        <v>6799</v>
      </c>
      <c r="AF532" s="7"/>
      <c r="AG532" s="7"/>
      <c r="AH532" s="20">
        <v>40931.0</v>
      </c>
      <c r="AI532" s="7"/>
      <c r="AJ532" s="7" t="s">
        <v>6800</v>
      </c>
      <c r="AK532" s="7"/>
      <c r="AL532" s="7" t="s">
        <v>6801</v>
      </c>
      <c r="AM532" s="7" t="s">
        <v>6802</v>
      </c>
      <c r="AN532" s="20">
        <v>43739.0</v>
      </c>
      <c r="AO532" s="7">
        <v>97480.0</v>
      </c>
      <c r="AP532" s="7" t="s">
        <v>385</v>
      </c>
      <c r="AQ532" s="7"/>
      <c r="AR532" s="7"/>
      <c r="AS532" s="7"/>
      <c r="AT532" s="7"/>
      <c r="AU532" s="7">
        <v>1.0</v>
      </c>
      <c r="AV532" s="7" t="s">
        <v>6803</v>
      </c>
      <c r="AW532" s="7"/>
      <c r="AX532" s="7"/>
      <c r="AY532" s="7"/>
      <c r="AZ532" s="7"/>
      <c r="BA532" s="7"/>
      <c r="BB532" s="7"/>
      <c r="BC532" s="7" t="s">
        <v>366</v>
      </c>
      <c r="BD532" s="21">
        <v>44197.0</v>
      </c>
      <c r="BE532" s="7"/>
      <c r="BF532" s="7"/>
      <c r="BG532" s="22">
        <v>44197.0</v>
      </c>
      <c r="BH532" s="7"/>
      <c r="BI532" s="7" t="s">
        <v>6792</v>
      </c>
      <c r="BJ532" s="7"/>
      <c r="BK532" s="7" t="b">
        <v>0</v>
      </c>
      <c r="BL532" s="7" t="b">
        <v>0</v>
      </c>
      <c r="BM532" s="7"/>
      <c r="BN532" s="7" t="str">
        <f>IFERROR(__xludf.DUMMYFUNCTION(" IF( REGEXMATCH(C532 , ""[(].+[)]""),REGEXREPLACE( CONCATENATE(REGEXEXTRACT(C532 , ""[(].+[)]""),IF(REGEXMATCH(C532 , ""[(][Ll]['’][)]""),"""","" ""), REGEXEXTRACT(C532 ,""^(?:(?:[A-Za-zàäéèêîïöôûü0-9 ](?:[A-Za-zàäéèêîïöôûü'0-9 ]+)))"")) , ""[()]"", """")"&amp;",C532 )"),"Le Repos d'Or ")</f>
        <v>Le Repos d'Or </v>
      </c>
      <c r="BO532" s="23"/>
      <c r="BP532" s="7"/>
      <c r="BQ532" s="7"/>
      <c r="BR532" s="7"/>
      <c r="BS532" s="7"/>
      <c r="BT532" s="7"/>
      <c r="BU532" s="7"/>
      <c r="BV532" s="7"/>
      <c r="BW532" s="7"/>
      <c r="BX532" s="7"/>
      <c r="BY532" s="7"/>
      <c r="BZ532" s="7"/>
      <c r="CA532" s="7"/>
      <c r="CB532" s="7"/>
    </row>
    <row r="533" ht="21.75" customHeight="1">
      <c r="A533" s="7">
        <v>2206.0</v>
      </c>
      <c r="B533" s="7">
        <v>532.0</v>
      </c>
      <c r="C533" s="7" t="s">
        <v>6780</v>
      </c>
      <c r="D533" s="7" t="s">
        <v>6793</v>
      </c>
      <c r="E533" s="7"/>
      <c r="F533" s="7" t="s">
        <v>404</v>
      </c>
      <c r="G533" s="7" t="s">
        <v>343</v>
      </c>
      <c r="H533" s="7" t="s">
        <v>123</v>
      </c>
      <c r="I533" s="7" t="s">
        <v>6804</v>
      </c>
      <c r="J533" s="26" t="s">
        <v>6795</v>
      </c>
      <c r="K533" s="7" t="s">
        <v>58</v>
      </c>
      <c r="L533" s="7" t="s">
        <v>59</v>
      </c>
      <c r="M533" s="7" t="s">
        <v>374</v>
      </c>
      <c r="N533" s="7" t="s">
        <v>375</v>
      </c>
      <c r="O533" s="7">
        <v>97480.0</v>
      </c>
      <c r="P533" s="7" t="s">
        <v>123</v>
      </c>
      <c r="Q533" s="7"/>
      <c r="R533" s="7" t="s">
        <v>1474</v>
      </c>
      <c r="S533" s="7" t="s">
        <v>5182</v>
      </c>
      <c r="T533" s="7" t="s">
        <v>377</v>
      </c>
      <c r="U533" s="7" t="s">
        <v>378</v>
      </c>
      <c r="V533" s="7">
        <v>2.62566592E8</v>
      </c>
      <c r="W533" s="7">
        <v>6.92690073E8</v>
      </c>
      <c r="X533" s="7"/>
      <c r="Y533" s="7"/>
      <c r="Z533" s="7" t="s">
        <v>6796</v>
      </c>
      <c r="AA533" s="7">
        <v>2.0</v>
      </c>
      <c r="AB533" s="7" t="s">
        <v>355</v>
      </c>
      <c r="AC533" s="7" t="s">
        <v>6805</v>
      </c>
      <c r="AD533" s="7" t="s">
        <v>6806</v>
      </c>
      <c r="AE533" s="7" t="s">
        <v>6799</v>
      </c>
      <c r="AF533" s="7"/>
      <c r="AG533" s="7"/>
      <c r="AH533" s="20">
        <v>40158.0</v>
      </c>
      <c r="AI533" s="7"/>
      <c r="AJ533" s="7" t="s">
        <v>6800</v>
      </c>
      <c r="AK533" s="7"/>
      <c r="AL533" s="7" t="s">
        <v>6801</v>
      </c>
      <c r="AM533" s="7" t="s">
        <v>6802</v>
      </c>
      <c r="AN533" s="20">
        <v>43739.0</v>
      </c>
      <c r="AO533" s="7">
        <v>97480.0</v>
      </c>
      <c r="AP533" s="7" t="s">
        <v>385</v>
      </c>
      <c r="AQ533" s="7"/>
      <c r="AR533" s="7"/>
      <c r="AS533" s="7"/>
      <c r="AT533" s="7"/>
      <c r="AU533" s="7">
        <v>1.0</v>
      </c>
      <c r="AV533" s="7" t="s">
        <v>6803</v>
      </c>
      <c r="AW533" s="7"/>
      <c r="AX533" s="7"/>
      <c r="AY533" s="7"/>
      <c r="AZ533" s="7"/>
      <c r="BA533" s="7"/>
      <c r="BB533" s="7"/>
      <c r="BC533" s="7" t="s">
        <v>366</v>
      </c>
      <c r="BD533" s="21">
        <v>44197.0</v>
      </c>
      <c r="BE533" s="7"/>
      <c r="BF533" s="7"/>
      <c r="BG533" s="22">
        <v>44197.0</v>
      </c>
      <c r="BH533" s="7"/>
      <c r="BI533" s="7" t="s">
        <v>6792</v>
      </c>
      <c r="BJ533" s="7"/>
      <c r="BK533" s="7" t="b">
        <v>0</v>
      </c>
      <c r="BL533" s="7" t="b">
        <v>0</v>
      </c>
      <c r="BM533" s="7"/>
      <c r="BN533" s="7" t="str">
        <f>IFERROR(__xludf.DUMMYFUNCTION(" IF( REGEXMATCH(C533 , ""[(].+[)]""),REGEXREPLACE( CONCATENATE(REGEXEXTRACT(C533 , ""[(].+[)]""),IF(REGEXMATCH(C533 , ""[(][Ll]['’][)]""),"""","" ""), REGEXEXTRACT(C533 ,""^(?:(?:[A-Za-zàäéèêîïöôûü0-9 ](?:[A-Za-zàäéèêîïöôûü'0-9 ]+)))"")) , ""[()]"", """")"&amp;",C533 )"),"Le Repos d'Or ")</f>
        <v>Le Repos d'Or </v>
      </c>
      <c r="BO533" s="23"/>
      <c r="BP533" s="7"/>
      <c r="BQ533" s="7"/>
      <c r="BR533" s="7"/>
      <c r="BS533" s="7"/>
      <c r="BT533" s="7"/>
      <c r="BU533" s="7"/>
      <c r="BV533" s="7"/>
      <c r="BW533" s="7"/>
      <c r="BX533" s="7"/>
      <c r="BY533" s="7"/>
      <c r="BZ533" s="7"/>
      <c r="CA533" s="7"/>
      <c r="CB533" s="7"/>
    </row>
    <row r="534" ht="21.75" customHeight="1">
      <c r="A534" s="7">
        <v>1556.0</v>
      </c>
      <c r="B534" s="7" t="s">
        <v>6807</v>
      </c>
      <c r="C534" s="7" t="s">
        <v>6808</v>
      </c>
      <c r="D534" s="7" t="s">
        <v>6808</v>
      </c>
      <c r="E534" s="7"/>
      <c r="F534" s="7" t="s">
        <v>342</v>
      </c>
      <c r="G534" s="7" t="s">
        <v>343</v>
      </c>
      <c r="H534" s="7" t="s">
        <v>344</v>
      </c>
      <c r="I534" s="7" t="s">
        <v>6809</v>
      </c>
      <c r="J534" s="7"/>
      <c r="K534" s="7" t="s">
        <v>58</v>
      </c>
      <c r="L534" s="7" t="s">
        <v>59</v>
      </c>
      <c r="M534" s="7" t="s">
        <v>374</v>
      </c>
      <c r="N534" s="7" t="s">
        <v>455</v>
      </c>
      <c r="O534" s="7">
        <v>97430.0</v>
      </c>
      <c r="P534" s="7" t="s">
        <v>344</v>
      </c>
      <c r="Q534" s="7"/>
      <c r="R534" s="7" t="s">
        <v>6810</v>
      </c>
      <c r="S534" s="7" t="s">
        <v>2605</v>
      </c>
      <c r="T534" s="7" t="s">
        <v>6449</v>
      </c>
      <c r="U534" s="7" t="s">
        <v>353</v>
      </c>
      <c r="V534" s="7">
        <v>2.62577181E8</v>
      </c>
      <c r="W534" s="7">
        <v>6.92653294E8</v>
      </c>
      <c r="X534" s="7"/>
      <c r="Y534" s="7">
        <v>2.6257718E8</v>
      </c>
      <c r="Z534" s="7" t="s">
        <v>6811</v>
      </c>
      <c r="AA534" s="7">
        <v>6.0</v>
      </c>
      <c r="AB534" s="7" t="s">
        <v>355</v>
      </c>
      <c r="AC534" s="7"/>
      <c r="AD534" s="7" t="s">
        <v>6812</v>
      </c>
      <c r="AE534" s="7" t="s">
        <v>6813</v>
      </c>
      <c r="AF534" s="7"/>
      <c r="AG534" s="7"/>
      <c r="AH534" s="20">
        <v>43739.0</v>
      </c>
      <c r="AI534" s="7"/>
      <c r="AJ534" s="7" t="s">
        <v>6814</v>
      </c>
      <c r="AK534" s="7">
        <v>4.3019202100011E13</v>
      </c>
      <c r="AL534" s="7" t="s">
        <v>6815</v>
      </c>
      <c r="AM534" s="7" t="s">
        <v>6816</v>
      </c>
      <c r="AN534" s="20">
        <v>43739.0</v>
      </c>
      <c r="AO534" s="7">
        <v>97430.0</v>
      </c>
      <c r="AP534" s="7" t="s">
        <v>494</v>
      </c>
      <c r="AQ534" s="7"/>
      <c r="AR534" s="7"/>
      <c r="AS534" s="7"/>
      <c r="AT534" s="7"/>
      <c r="AU534" s="7">
        <v>2.0</v>
      </c>
      <c r="AV534" s="7" t="s">
        <v>6817</v>
      </c>
      <c r="AW534" s="7"/>
      <c r="AX534" s="7"/>
      <c r="AY534" s="7"/>
      <c r="AZ534" s="7" t="s">
        <v>6818</v>
      </c>
      <c r="BA534" s="7"/>
      <c r="BB534" s="7"/>
      <c r="BC534" s="7" t="s">
        <v>401</v>
      </c>
      <c r="BD534" s="21">
        <v>44244.0</v>
      </c>
      <c r="BE534" s="7" t="s">
        <v>6819</v>
      </c>
      <c r="BF534" s="7"/>
      <c r="BG534" s="7"/>
      <c r="BH534" s="7">
        <v>4.30192021E8</v>
      </c>
      <c r="BI534" s="7" t="s">
        <v>6820</v>
      </c>
      <c r="BJ534" s="7"/>
      <c r="BK534" s="7" t="b">
        <v>0</v>
      </c>
      <c r="BL534" s="7" t="b">
        <v>0</v>
      </c>
      <c r="BM534" s="7"/>
      <c r="BN534" s="7" t="str">
        <f>IFERROR(__xludf.DUMMYFUNCTION(" IF( REGEXMATCH(C534 , ""[(].+[)]""),REGEXREPLACE( CONCATENATE(REGEXEXTRACT(C534 , ""[(].+[)]""),IF(REGEXMATCH(C534 , ""[(][Ll]['’][)]""),"""","" ""), REGEXEXTRACT(C534 ,""^(?:(?:[A-Za-zàäéèêîïöôûü0-9 ](?:[A-Za-zàäéèêîïöôûü'0-9 ]+)))"")) , ""[()]"", """")"&amp;",C534 )"),"Résidence Annaïk")</f>
        <v>Résidence Annaïk</v>
      </c>
      <c r="BO534" s="25"/>
      <c r="BP534" s="7"/>
      <c r="BQ534" s="7"/>
      <c r="BR534" s="7"/>
      <c r="BS534" s="7"/>
      <c r="BT534" s="7"/>
      <c r="BU534" s="7"/>
      <c r="BV534" s="7"/>
      <c r="BW534" s="7"/>
      <c r="BX534" s="7"/>
      <c r="BY534" s="7"/>
      <c r="BZ534" s="7"/>
      <c r="CA534" s="7"/>
      <c r="CB534" s="7"/>
    </row>
    <row r="535" ht="21.75" customHeight="1">
      <c r="A535" s="7">
        <v>2632.0</v>
      </c>
      <c r="B535" s="7">
        <v>534.0</v>
      </c>
      <c r="C535" s="7" t="s">
        <v>6821</v>
      </c>
      <c r="D535" s="7"/>
      <c r="E535" s="7"/>
      <c r="F535" s="7" t="s">
        <v>404</v>
      </c>
      <c r="G535" s="7" t="s">
        <v>343</v>
      </c>
      <c r="H535" s="7" t="s">
        <v>344</v>
      </c>
      <c r="I535" s="7" t="s">
        <v>6822</v>
      </c>
      <c r="J535" s="7" t="s">
        <v>6823</v>
      </c>
      <c r="K535" s="7" t="s">
        <v>58</v>
      </c>
      <c r="L535" s="7" t="s">
        <v>59</v>
      </c>
      <c r="M535" s="7" t="s">
        <v>346</v>
      </c>
      <c r="N535" s="7" t="s">
        <v>407</v>
      </c>
      <c r="O535" s="7">
        <v>97430.0</v>
      </c>
      <c r="P535" s="7" t="s">
        <v>344</v>
      </c>
      <c r="Q535" s="7"/>
      <c r="R535" s="7" t="s">
        <v>6824</v>
      </c>
      <c r="S535" s="7" t="s">
        <v>6825</v>
      </c>
      <c r="T535" s="7" t="s">
        <v>377</v>
      </c>
      <c r="U535" s="7" t="s">
        <v>378</v>
      </c>
      <c r="V535" s="7"/>
      <c r="W535" s="7"/>
      <c r="X535" s="7"/>
      <c r="Y535" s="7"/>
      <c r="Z535" s="7"/>
      <c r="AA535" s="7">
        <v>10.0</v>
      </c>
      <c r="AB535" s="7"/>
      <c r="AC535" s="7"/>
      <c r="AD535" s="7" t="s">
        <v>6826</v>
      </c>
      <c r="AE535" s="7" t="s">
        <v>6827</v>
      </c>
      <c r="AF535" s="7"/>
      <c r="AG535" s="7"/>
      <c r="AH535" s="20">
        <v>43739.0</v>
      </c>
      <c r="AI535" s="7"/>
      <c r="AJ535" s="7" t="s">
        <v>6821</v>
      </c>
      <c r="AK535" s="7"/>
      <c r="AL535" s="7" t="s">
        <v>6828</v>
      </c>
      <c r="AM535" s="7" t="s">
        <v>6829</v>
      </c>
      <c r="AN535" s="20">
        <v>43739.0</v>
      </c>
      <c r="AO535" s="7">
        <v>97430.0</v>
      </c>
      <c r="AP535" s="7" t="s">
        <v>494</v>
      </c>
      <c r="AQ535" s="7"/>
      <c r="AR535" s="7"/>
      <c r="AS535" s="7"/>
      <c r="AT535" s="7"/>
      <c r="AU535" s="7">
        <v>2.0</v>
      </c>
      <c r="AV535" s="7" t="s">
        <v>6830</v>
      </c>
      <c r="AW535" s="7"/>
      <c r="AX535" s="7"/>
      <c r="AY535" s="7"/>
      <c r="AZ535" s="7"/>
      <c r="BA535" s="7"/>
      <c r="BB535" s="7"/>
      <c r="BC535" s="7" t="s">
        <v>366</v>
      </c>
      <c r="BD535" s="21">
        <v>44197.0</v>
      </c>
      <c r="BE535" s="7"/>
      <c r="BF535" s="7"/>
      <c r="BG535" s="22">
        <v>44197.0</v>
      </c>
      <c r="BH535" s="7"/>
      <c r="BI535" s="7" t="s">
        <v>6831</v>
      </c>
      <c r="BJ535" s="7"/>
      <c r="BK535" s="7" t="b">
        <v>0</v>
      </c>
      <c r="BL535" s="7" t="b">
        <v>0</v>
      </c>
      <c r="BM535" s="7"/>
      <c r="BN535" s="7" t="str">
        <f>IFERROR(__xludf.DUMMYFUNCTION(" IF( REGEXMATCH(C535 , ""[(].+[)]""),REGEXREPLACE( CONCATENATE(REGEXEXTRACT(C535 , ""[(].+[)]""),IF(REGEXMATCH(C535 , ""[(][Ll]['’][)]""),"""","" ""), REGEXEXTRACT(C535 ,""^(?:(?:[A-Za-zàäéèêîïöôûü0-9 ](?:[A-Za-zàäéèêîïöôûü'0-9 ]+)))"")) , ""[()]"", """")"&amp;",C535 )"),"Résidence la Rose des Bois")</f>
        <v>Résidence la Rose des Bois</v>
      </c>
      <c r="BO535" s="23"/>
      <c r="BP535" s="7"/>
      <c r="BQ535" s="7"/>
      <c r="BR535" s="7"/>
      <c r="BS535" s="7"/>
      <c r="BT535" s="7"/>
      <c r="BU535" s="7"/>
      <c r="BV535" s="7"/>
      <c r="BW535" s="7"/>
      <c r="BX535" s="7"/>
      <c r="BY535" s="7"/>
      <c r="BZ535" s="7"/>
      <c r="CA535" s="7"/>
      <c r="CB535" s="7"/>
    </row>
    <row r="536" ht="21.75" customHeight="1">
      <c r="A536" s="7">
        <v>3673.0</v>
      </c>
      <c r="B536" s="7">
        <v>535.0</v>
      </c>
      <c r="C536" s="7" t="s">
        <v>6832</v>
      </c>
      <c r="D536" s="7"/>
      <c r="E536" s="7"/>
      <c r="F536" s="7" t="s">
        <v>404</v>
      </c>
      <c r="G536" s="7" t="s">
        <v>343</v>
      </c>
      <c r="H536" s="7" t="s">
        <v>123</v>
      </c>
      <c r="I536" s="7" t="s">
        <v>6833</v>
      </c>
      <c r="J536" s="26" t="s">
        <v>6834</v>
      </c>
      <c r="K536" s="7" t="s">
        <v>58</v>
      </c>
      <c r="L536" s="7" t="s">
        <v>59</v>
      </c>
      <c r="M536" s="7" t="s">
        <v>346</v>
      </c>
      <c r="N536" s="7" t="s">
        <v>455</v>
      </c>
      <c r="O536" s="7">
        <v>97480.0</v>
      </c>
      <c r="P536" s="7" t="s">
        <v>123</v>
      </c>
      <c r="Q536" s="7" t="s">
        <v>2092</v>
      </c>
      <c r="R536" s="7" t="s">
        <v>6835</v>
      </c>
      <c r="S536" s="7" t="s">
        <v>1566</v>
      </c>
      <c r="T536" s="7" t="s">
        <v>377</v>
      </c>
      <c r="U536" s="7" t="s">
        <v>424</v>
      </c>
      <c r="V536" s="7"/>
      <c r="W536" s="7">
        <v>6.92340952E8</v>
      </c>
      <c r="X536" s="7"/>
      <c r="Y536" s="7"/>
      <c r="Z536" s="7" t="s">
        <v>6836</v>
      </c>
      <c r="AA536" s="7">
        <v>10.0</v>
      </c>
      <c r="AB536" s="7"/>
      <c r="AC536" s="7" t="s">
        <v>6837</v>
      </c>
      <c r="AD536" s="7" t="s">
        <v>6838</v>
      </c>
      <c r="AE536" s="7"/>
      <c r="AF536" s="7"/>
      <c r="AG536" s="7"/>
      <c r="AH536" s="20">
        <v>41886.0</v>
      </c>
      <c r="AI536" s="7"/>
      <c r="AJ536" s="7" t="s">
        <v>6839</v>
      </c>
      <c r="AK536" s="7"/>
      <c r="AL536" s="7" t="s">
        <v>6840</v>
      </c>
      <c r="AM536" s="7" t="s">
        <v>6841</v>
      </c>
      <c r="AN536" s="20">
        <v>41886.0</v>
      </c>
      <c r="AO536" s="7">
        <v>97480.0</v>
      </c>
      <c r="AP536" s="7" t="s">
        <v>385</v>
      </c>
      <c r="AQ536" s="7"/>
      <c r="AR536" s="7"/>
      <c r="AS536" s="7"/>
      <c r="AT536" s="7"/>
      <c r="AU536" s="7">
        <v>2.0</v>
      </c>
      <c r="AV536" s="7" t="s">
        <v>6842</v>
      </c>
      <c r="AW536" s="7"/>
      <c r="AX536" s="7"/>
      <c r="AY536" s="7"/>
      <c r="AZ536" s="7"/>
      <c r="BA536" s="7"/>
      <c r="BB536" s="7"/>
      <c r="BC536" s="7" t="s">
        <v>366</v>
      </c>
      <c r="BD536" s="21">
        <v>44197.0</v>
      </c>
      <c r="BE536" s="7"/>
      <c r="BF536" s="7"/>
      <c r="BG536" s="22">
        <v>44197.0</v>
      </c>
      <c r="BH536" s="7"/>
      <c r="BI536" s="7" t="s">
        <v>6843</v>
      </c>
      <c r="BJ536" s="7"/>
      <c r="BK536" s="7" t="b">
        <v>0</v>
      </c>
      <c r="BL536" s="7" t="b">
        <v>0</v>
      </c>
      <c r="BM536" s="7"/>
      <c r="BN536" s="7" t="str">
        <f>IFERROR(__xludf.DUMMYFUNCTION(" IF( REGEXMATCH(C536 , ""[(].+[)]""),REGEXREPLACE( CONCATENATE(REGEXEXTRACT(C536 , ""[(].+[)]""),IF(REGEXMATCH(C536 , ""[(][Ll]['’][)]""),"""","" ""), REGEXEXTRACT(C536 ,""^(?:(?:[A-Za-zàäéèêîïöôûü0-9 ](?:[A-Za-zàäéèêîïöôûü'0-9 ]+)))"")) , ""[()]"", """")"&amp;",C536 )"),"Résidence Les Cazala")</f>
        <v>Résidence Les Cazala</v>
      </c>
      <c r="BO536" s="23"/>
      <c r="BP536" s="7"/>
      <c r="BQ536" s="7"/>
      <c r="BR536" s="7"/>
      <c r="BS536" s="7"/>
      <c r="BT536" s="7"/>
      <c r="BU536" s="7"/>
      <c r="BV536" s="7"/>
      <c r="BW536" s="7"/>
      <c r="BX536" s="7"/>
      <c r="BY536" s="7"/>
      <c r="BZ536" s="7"/>
      <c r="CA536" s="7"/>
      <c r="CB536" s="7"/>
    </row>
    <row r="537" ht="21.75" customHeight="1">
      <c r="A537" s="7">
        <v>1555.0</v>
      </c>
      <c r="B537" s="7">
        <v>536.0</v>
      </c>
      <c r="C537" s="7" t="s">
        <v>6844</v>
      </c>
      <c r="D537" s="7" t="s">
        <v>6844</v>
      </c>
      <c r="E537" s="7"/>
      <c r="F537" s="7" t="s">
        <v>404</v>
      </c>
      <c r="G537" s="7" t="s">
        <v>343</v>
      </c>
      <c r="H537" s="7" t="s">
        <v>344</v>
      </c>
      <c r="I537" s="7" t="s">
        <v>6845</v>
      </c>
      <c r="J537" s="7"/>
      <c r="K537" s="7" t="s">
        <v>58</v>
      </c>
      <c r="L537" s="7" t="s">
        <v>59</v>
      </c>
      <c r="M537" s="7" t="s">
        <v>346</v>
      </c>
      <c r="N537" s="7" t="s">
        <v>664</v>
      </c>
      <c r="O537" s="7">
        <v>97430.0</v>
      </c>
      <c r="P537" s="7" t="s">
        <v>344</v>
      </c>
      <c r="Q537" s="7"/>
      <c r="R537" s="7" t="s">
        <v>6720</v>
      </c>
      <c r="S537" s="7"/>
      <c r="T537" s="7" t="s">
        <v>377</v>
      </c>
      <c r="U537" s="7" t="s">
        <v>592</v>
      </c>
      <c r="V537" s="7"/>
      <c r="W537" s="7"/>
      <c r="X537" s="7"/>
      <c r="Y537" s="7">
        <v>2.62271115E8</v>
      </c>
      <c r="Z537" s="7" t="s">
        <v>6846</v>
      </c>
      <c r="AA537" s="7">
        <v>24.0</v>
      </c>
      <c r="AB537" s="7"/>
      <c r="AC537" s="7"/>
      <c r="AD537" s="7" t="s">
        <v>6847</v>
      </c>
      <c r="AE537" s="7" t="s">
        <v>6848</v>
      </c>
      <c r="AF537" s="7"/>
      <c r="AG537" s="7"/>
      <c r="AH537" s="20">
        <v>43739.0</v>
      </c>
      <c r="AI537" s="7"/>
      <c r="AJ537" s="7" t="s">
        <v>6849</v>
      </c>
      <c r="AK537" s="7"/>
      <c r="AL537" s="7" t="s">
        <v>6850</v>
      </c>
      <c r="AM537" s="7" t="s">
        <v>6851</v>
      </c>
      <c r="AN537" s="20">
        <v>43739.0</v>
      </c>
      <c r="AO537" s="7">
        <v>97430.0</v>
      </c>
      <c r="AP537" s="7" t="s">
        <v>494</v>
      </c>
      <c r="AQ537" s="7"/>
      <c r="AR537" s="7"/>
      <c r="AS537" s="7"/>
      <c r="AT537" s="7"/>
      <c r="AU537" s="7">
        <v>10.0</v>
      </c>
      <c r="AV537" s="7" t="s">
        <v>6852</v>
      </c>
      <c r="AW537" s="7"/>
      <c r="AX537" s="7"/>
      <c r="AY537" s="7"/>
      <c r="AZ537" s="7"/>
      <c r="BA537" s="7"/>
      <c r="BB537" s="7"/>
      <c r="BC537" s="7" t="s">
        <v>366</v>
      </c>
      <c r="BD537" s="21">
        <v>44232.1375</v>
      </c>
      <c r="BE537" s="7"/>
      <c r="BF537" s="7"/>
      <c r="BG537" s="22">
        <v>44232.0</v>
      </c>
      <c r="BH537" s="7"/>
      <c r="BI537" s="7" t="s">
        <v>6853</v>
      </c>
      <c r="BJ537" s="7"/>
      <c r="BK537" s="7" t="b">
        <v>0</v>
      </c>
      <c r="BL537" s="7" t="b">
        <v>0</v>
      </c>
      <c r="BM537" s="7"/>
      <c r="BN537" s="7" t="str">
        <f>IFERROR(__xludf.DUMMYFUNCTION(" IF( REGEXMATCH(C537 , ""[(].+[)]""),REGEXREPLACE( CONCATENATE(REGEXEXTRACT(C537 , ""[(].+[)]""),IF(REGEXMATCH(C537 , ""[(][Ll]['’][)]""),"""","" ""), REGEXEXTRACT(C537 ,""^(?:(?:[A-Za-zàäéèêîïöôûü0-9 ](?:[A-Za-zàäéèêîïöôûü'0-9 ]+)))"")) , ""[()]"", """")"&amp;",C537 )"),"Résidence les Orchidées")</f>
        <v>Résidence les Orchidées</v>
      </c>
      <c r="BO537" s="23"/>
      <c r="BP537" s="7"/>
      <c r="BQ537" s="7"/>
      <c r="BR537" s="7"/>
      <c r="BS537" s="7"/>
      <c r="BT537" s="7"/>
      <c r="BU537" s="7"/>
      <c r="BV537" s="7"/>
      <c r="BW537" s="7"/>
      <c r="BX537" s="7"/>
      <c r="BY537" s="7"/>
      <c r="BZ537" s="7"/>
      <c r="CA537" s="7"/>
      <c r="CB537" s="7"/>
    </row>
    <row r="538" ht="21.75" customHeight="1">
      <c r="A538" s="7">
        <v>3039.0</v>
      </c>
      <c r="B538" s="7" t="s">
        <v>6854</v>
      </c>
      <c r="C538" s="7" t="s">
        <v>6855</v>
      </c>
      <c r="D538" s="7"/>
      <c r="E538" s="7"/>
      <c r="F538" s="7" t="s">
        <v>342</v>
      </c>
      <c r="G538" s="7" t="s">
        <v>343</v>
      </c>
      <c r="H538" s="7" t="s">
        <v>344</v>
      </c>
      <c r="I538" s="7" t="s">
        <v>6856</v>
      </c>
      <c r="J538" s="7"/>
      <c r="K538" s="7" t="s">
        <v>58</v>
      </c>
      <c r="L538" s="7" t="s">
        <v>59</v>
      </c>
      <c r="M538" s="7" t="s">
        <v>374</v>
      </c>
      <c r="N538" s="7" t="s">
        <v>455</v>
      </c>
      <c r="O538" s="7">
        <v>97430.0</v>
      </c>
      <c r="P538" s="7" t="s">
        <v>344</v>
      </c>
      <c r="Q538" s="7"/>
      <c r="R538" s="7" t="s">
        <v>6857</v>
      </c>
      <c r="S538" s="7" t="s">
        <v>6858</v>
      </c>
      <c r="T538" s="7" t="s">
        <v>377</v>
      </c>
      <c r="U538" s="7" t="s">
        <v>378</v>
      </c>
      <c r="V538" s="7">
        <v>2.6204533E8</v>
      </c>
      <c r="W538" s="7">
        <v>6.9204533E8</v>
      </c>
      <c r="X538" s="7"/>
      <c r="Y538" s="7">
        <v>2.62598793E8</v>
      </c>
      <c r="Z538" s="7" t="s">
        <v>6859</v>
      </c>
      <c r="AA538" s="7">
        <v>20.0</v>
      </c>
      <c r="AB538" s="7"/>
      <c r="AC538" s="7"/>
      <c r="AD538" s="7" t="s">
        <v>6860</v>
      </c>
      <c r="AE538" s="7"/>
      <c r="AF538" s="7"/>
      <c r="AG538" s="7"/>
      <c r="AH538" s="20">
        <v>43739.0</v>
      </c>
      <c r="AI538" s="7"/>
      <c r="AJ538" s="7" t="s">
        <v>6861</v>
      </c>
      <c r="AK538" s="7"/>
      <c r="AL538" s="7" t="s">
        <v>6862</v>
      </c>
      <c r="AM538" s="7" t="s">
        <v>6863</v>
      </c>
      <c r="AN538" s="20">
        <v>43739.0</v>
      </c>
      <c r="AO538" s="7">
        <v>97430.0</v>
      </c>
      <c r="AP538" s="7" t="s">
        <v>494</v>
      </c>
      <c r="AQ538" s="7"/>
      <c r="AR538" s="7"/>
      <c r="AS538" s="7"/>
      <c r="AT538" s="7"/>
      <c r="AU538" s="7">
        <v>7.0</v>
      </c>
      <c r="AV538" s="7" t="s">
        <v>6864</v>
      </c>
      <c r="AW538" s="7"/>
      <c r="AX538" s="7"/>
      <c r="AY538" s="7"/>
      <c r="AZ538" s="7" t="s">
        <v>6865</v>
      </c>
      <c r="BA538" s="7"/>
      <c r="BB538" s="7"/>
      <c r="BC538" s="7" t="s">
        <v>401</v>
      </c>
      <c r="BD538" s="21">
        <v>44244.0</v>
      </c>
      <c r="BE538" s="7" t="s">
        <v>2992</v>
      </c>
      <c r="BF538" s="7"/>
      <c r="BG538" s="7"/>
      <c r="BH538" s="7"/>
      <c r="BI538" s="7" t="s">
        <v>6866</v>
      </c>
      <c r="BJ538" s="7"/>
      <c r="BK538" s="7" t="b">
        <v>0</v>
      </c>
      <c r="BL538" s="7" t="b">
        <v>0</v>
      </c>
      <c r="BM538" s="7"/>
      <c r="BN538" s="7" t="str">
        <f>IFERROR(__xludf.DUMMYFUNCTION(" IF( REGEXMATCH(C538 , ""[(].+[)]""),REGEXREPLACE( CONCATENATE(REGEXEXTRACT(C538 , ""[(].+[)]""),IF(REGEXMATCH(C538 , ""[(][Ll]['’][)]""),"""","" ""), REGEXEXTRACT(C538 ,""^(?:(?:[A-Za-zàäéèêîïöôûü0-9 ](?:[A-Za-zàäéèêîïöôûü'0-9 ]+)))"")) , ""[()]"", """")"&amp;",C538 )"),"Résidence les Tiarès")</f>
        <v>Résidence les Tiarès</v>
      </c>
      <c r="BO538" s="25"/>
      <c r="BP538" s="7"/>
      <c r="BQ538" s="7"/>
      <c r="BR538" s="7"/>
      <c r="BS538" s="7"/>
      <c r="BT538" s="7"/>
      <c r="BU538" s="7"/>
      <c r="BV538" s="7"/>
      <c r="BW538" s="7"/>
      <c r="BX538" s="7"/>
      <c r="BY538" s="7"/>
      <c r="BZ538" s="7"/>
      <c r="CA538" s="7"/>
      <c r="CB538" s="7"/>
    </row>
    <row r="539" ht="21.75" customHeight="1">
      <c r="A539" s="7">
        <v>945.0</v>
      </c>
      <c r="B539" s="7">
        <v>538.0</v>
      </c>
      <c r="C539" s="7" t="s">
        <v>6867</v>
      </c>
      <c r="D539" s="7" t="s">
        <v>6868</v>
      </c>
      <c r="E539" s="7"/>
      <c r="F539" s="7" t="s">
        <v>404</v>
      </c>
      <c r="G539" s="7" t="s">
        <v>343</v>
      </c>
      <c r="H539" s="7" t="s">
        <v>123</v>
      </c>
      <c r="I539" s="7" t="s">
        <v>6869</v>
      </c>
      <c r="J539" s="7"/>
      <c r="K539" s="7" t="s">
        <v>58</v>
      </c>
      <c r="L539" s="7" t="s">
        <v>59</v>
      </c>
      <c r="M539" s="7" t="s">
        <v>374</v>
      </c>
      <c r="N539" s="7" t="s">
        <v>422</v>
      </c>
      <c r="O539" s="7">
        <v>97480.0</v>
      </c>
      <c r="P539" s="7" t="s">
        <v>123</v>
      </c>
      <c r="Q539" s="7"/>
      <c r="R539" s="7" t="s">
        <v>6870</v>
      </c>
      <c r="S539" s="7" t="s">
        <v>6871</v>
      </c>
      <c r="T539" s="7" t="s">
        <v>6872</v>
      </c>
      <c r="U539" s="7" t="s">
        <v>353</v>
      </c>
      <c r="V539" s="7">
        <v>2.62560289E8</v>
      </c>
      <c r="W539" s="7">
        <v>6.92693584E8</v>
      </c>
      <c r="X539" s="7"/>
      <c r="Y539" s="7"/>
      <c r="Z539" s="7"/>
      <c r="AA539" s="7">
        <v>16.0</v>
      </c>
      <c r="AB539" s="7"/>
      <c r="AC539" s="7" t="s">
        <v>6873</v>
      </c>
      <c r="AD539" s="7" t="s">
        <v>6874</v>
      </c>
      <c r="AE539" s="7" t="s">
        <v>6875</v>
      </c>
      <c r="AF539" s="7"/>
      <c r="AG539" s="7"/>
      <c r="AH539" s="20">
        <v>39575.0</v>
      </c>
      <c r="AI539" s="7"/>
      <c r="AJ539" s="7" t="s">
        <v>6868</v>
      </c>
      <c r="AK539" s="7"/>
      <c r="AL539" s="7" t="s">
        <v>6876</v>
      </c>
      <c r="AM539" s="7" t="s">
        <v>6877</v>
      </c>
      <c r="AN539" s="20">
        <v>39575.0</v>
      </c>
      <c r="AO539" s="7">
        <v>97480.0</v>
      </c>
      <c r="AP539" s="7" t="s">
        <v>385</v>
      </c>
      <c r="AQ539" s="7"/>
      <c r="AR539" s="7"/>
      <c r="AS539" s="7"/>
      <c r="AT539" s="7"/>
      <c r="AU539" s="7">
        <v>4.0</v>
      </c>
      <c r="AV539" s="7" t="s">
        <v>6878</v>
      </c>
      <c r="AW539" s="7"/>
      <c r="AX539" s="7"/>
      <c r="AY539" s="7"/>
      <c r="AZ539" s="7"/>
      <c r="BA539" s="7"/>
      <c r="BB539" s="7"/>
      <c r="BC539" s="7" t="s">
        <v>366</v>
      </c>
      <c r="BD539" s="21">
        <v>44197.0</v>
      </c>
      <c r="BE539" s="7"/>
      <c r="BF539" s="7"/>
      <c r="BG539" s="22">
        <v>44197.0</v>
      </c>
      <c r="BH539" s="7"/>
      <c r="BI539" s="7" t="s">
        <v>6879</v>
      </c>
      <c r="BJ539" s="7"/>
      <c r="BK539" s="7" t="b">
        <v>0</v>
      </c>
      <c r="BL539" s="7" t="b">
        <v>0</v>
      </c>
      <c r="BM539" s="7"/>
      <c r="BN539" s="7" t="str">
        <f>IFERROR(__xludf.DUMMYFUNCTION(" IF( REGEXMATCH(C539 , ""[(].+[)]""),REGEXREPLACE( CONCATENATE(REGEXEXTRACT(C539 , ""[(].+[)]""),IF(REGEXMATCH(C539 , ""[(][Ll]['’][)]""),"""","" ""), REGEXEXTRACT(C539 ,""^(?:(?:[A-Za-zàäéèêîïöôûü0-9 ](?:[A-Za-zàäéèêîïöôûü'0-9 ]+)))"")) , ""[()]"", """")"&amp;",C539 )"),"Résidence touristique Cascade Jacqueline")</f>
        <v>Résidence touristique Cascade Jacqueline</v>
      </c>
      <c r="BO539" s="23"/>
      <c r="BP539" s="7"/>
      <c r="BQ539" s="7"/>
      <c r="BR539" s="7"/>
      <c r="BS539" s="7"/>
      <c r="BT539" s="7"/>
      <c r="BU539" s="7"/>
      <c r="BV539" s="7"/>
      <c r="BW539" s="7"/>
      <c r="BX539" s="7"/>
      <c r="BY539" s="7"/>
      <c r="BZ539" s="7"/>
      <c r="CA539" s="7"/>
      <c r="CB539" s="7"/>
    </row>
    <row r="540" ht="21.75" customHeight="1">
      <c r="A540" s="7">
        <v>2844.0</v>
      </c>
      <c r="B540" s="7" t="s">
        <v>6880</v>
      </c>
      <c r="C540" s="7" t="s">
        <v>6881</v>
      </c>
      <c r="D540" s="7"/>
      <c r="E540" s="7"/>
      <c r="F540" s="7" t="s">
        <v>342</v>
      </c>
      <c r="G540" s="7" t="s">
        <v>343</v>
      </c>
      <c r="H540" s="7" t="s">
        <v>123</v>
      </c>
      <c r="I540" s="7" t="s">
        <v>6882</v>
      </c>
      <c r="J540" s="7"/>
      <c r="K540" s="7" t="s">
        <v>58</v>
      </c>
      <c r="L540" s="7" t="s">
        <v>59</v>
      </c>
      <c r="M540" s="7" t="s">
        <v>346</v>
      </c>
      <c r="N540" s="7" t="s">
        <v>422</v>
      </c>
      <c r="O540" s="7">
        <v>97480.0</v>
      </c>
      <c r="P540" s="7" t="s">
        <v>123</v>
      </c>
      <c r="Q540" s="7"/>
      <c r="R540" s="7" t="s">
        <v>6883</v>
      </c>
      <c r="S540" s="7" t="s">
        <v>6884</v>
      </c>
      <c r="T540" s="7" t="s">
        <v>377</v>
      </c>
      <c r="U540" s="7" t="s">
        <v>378</v>
      </c>
      <c r="V540" s="7"/>
      <c r="W540" s="7">
        <v>6.92687118E8</v>
      </c>
      <c r="X540" s="7"/>
      <c r="Y540" s="7"/>
      <c r="Z540" s="7"/>
      <c r="AA540" s="7">
        <v>20.0</v>
      </c>
      <c r="AB540" s="7"/>
      <c r="AC540" s="7" t="s">
        <v>6885</v>
      </c>
      <c r="AD540" s="7" t="s">
        <v>6886</v>
      </c>
      <c r="AE540" s="7"/>
      <c r="AF540" s="7"/>
      <c r="AG540" s="7"/>
      <c r="AH540" s="20">
        <v>43739.0</v>
      </c>
      <c r="AI540" s="7"/>
      <c r="AJ540" s="7" t="s">
        <v>6887</v>
      </c>
      <c r="AK540" s="7"/>
      <c r="AL540" s="7" t="s">
        <v>6888</v>
      </c>
      <c r="AM540" s="7" t="s">
        <v>6889</v>
      </c>
      <c r="AN540" s="20">
        <v>43739.0</v>
      </c>
      <c r="AO540" s="7">
        <v>97480.0</v>
      </c>
      <c r="AP540" s="7" t="s">
        <v>385</v>
      </c>
      <c r="AQ540" s="7"/>
      <c r="AR540" s="7"/>
      <c r="AS540" s="7"/>
      <c r="AT540" s="7"/>
      <c r="AU540" s="7">
        <v>4.0</v>
      </c>
      <c r="AV540" s="7" t="s">
        <v>6890</v>
      </c>
      <c r="AW540" s="7"/>
      <c r="AX540" s="7"/>
      <c r="AY540" s="7"/>
      <c r="AZ540" s="7"/>
      <c r="BA540" s="7"/>
      <c r="BB540" s="7"/>
      <c r="BC540" s="7" t="s">
        <v>401</v>
      </c>
      <c r="BD540" s="21">
        <v>44165.0</v>
      </c>
      <c r="BE540" s="7" t="s">
        <v>1047</v>
      </c>
      <c r="BF540" s="7"/>
      <c r="BG540" s="7"/>
      <c r="BH540" s="7"/>
      <c r="BI540" s="7" t="s">
        <v>6891</v>
      </c>
      <c r="BJ540" s="7"/>
      <c r="BK540" s="7" t="b">
        <v>0</v>
      </c>
      <c r="BL540" s="7" t="b">
        <v>0</v>
      </c>
      <c r="BM540" s="7"/>
      <c r="BN540" s="7" t="str">
        <f>IFERROR(__xludf.DUMMYFUNCTION(" IF( REGEXMATCH(C540 , ""[(].+[)]""),REGEXREPLACE( CONCATENATE(REGEXEXTRACT(C540 , ""[(].+[)]""),IF(REGEXMATCH(C540 , ""[(][Ll]['’][)]""),"""","" ""), REGEXEXTRACT(C540 ,""^(?:(?:[A-Za-zàäéèêîïöôûü0-9 ](?:[A-Za-zàäéèêîïöôûü'0-9 ]+)))"")) , ""[()]"", """")"&amp;",C540 )"),"Résidence Touristiques des Thés")</f>
        <v>Résidence Touristiques des Thés</v>
      </c>
      <c r="BO540" s="25"/>
      <c r="BP540" s="7"/>
      <c r="BQ540" s="7"/>
      <c r="BR540" s="7"/>
      <c r="BS540" s="7"/>
      <c r="BT540" s="7"/>
      <c r="BU540" s="7"/>
      <c r="BV540" s="7"/>
      <c r="BW540" s="7"/>
      <c r="BX540" s="7"/>
      <c r="BY540" s="7"/>
      <c r="BZ540" s="7"/>
      <c r="CA540" s="7"/>
      <c r="CB540" s="7"/>
    </row>
    <row r="541" ht="21.75" customHeight="1">
      <c r="A541" s="7">
        <v>1731.0</v>
      </c>
      <c r="B541" s="7">
        <v>540.0</v>
      </c>
      <c r="C541" s="7" t="s">
        <v>6892</v>
      </c>
      <c r="D541" s="7" t="s">
        <v>6892</v>
      </c>
      <c r="E541" s="7"/>
      <c r="F541" s="7" t="s">
        <v>342</v>
      </c>
      <c r="G541" s="7" t="s">
        <v>343</v>
      </c>
      <c r="H541" s="7" t="s">
        <v>344</v>
      </c>
      <c r="I541" s="7" t="s">
        <v>6893</v>
      </c>
      <c r="J541" s="7"/>
      <c r="K541" s="7" t="s">
        <v>58</v>
      </c>
      <c r="L541" s="7" t="s">
        <v>59</v>
      </c>
      <c r="M541" s="7" t="s">
        <v>6894</v>
      </c>
      <c r="N541" s="7" t="s">
        <v>407</v>
      </c>
      <c r="O541" s="7">
        <v>97418.0</v>
      </c>
      <c r="P541" s="7" t="s">
        <v>348</v>
      </c>
      <c r="Q541" s="7" t="s">
        <v>349</v>
      </c>
      <c r="R541" s="7" t="s">
        <v>6895</v>
      </c>
      <c r="S541" s="7" t="s">
        <v>1937</v>
      </c>
      <c r="T541" s="7" t="s">
        <v>377</v>
      </c>
      <c r="U541" s="7" t="s">
        <v>353</v>
      </c>
      <c r="V541" s="7">
        <v>2.62328413E8</v>
      </c>
      <c r="W541" s="7">
        <v>6.92251657E8</v>
      </c>
      <c r="X541" s="7"/>
      <c r="Y541" s="7"/>
      <c r="Z541" s="7" t="s">
        <v>6896</v>
      </c>
      <c r="AA541" s="7">
        <v>13.0</v>
      </c>
      <c r="AB541" s="7"/>
      <c r="AC541" s="7"/>
      <c r="AD541" s="7" t="s">
        <v>6897</v>
      </c>
      <c r="AE541" s="7"/>
      <c r="AF541" s="7"/>
      <c r="AG541" s="7"/>
      <c r="AH541" s="20">
        <v>39925.0</v>
      </c>
      <c r="AI541" s="7"/>
      <c r="AJ541" s="7" t="s">
        <v>6898</v>
      </c>
      <c r="AK541" s="7"/>
      <c r="AL541" s="7" t="s">
        <v>6899</v>
      </c>
      <c r="AM541" s="7" t="s">
        <v>6900</v>
      </c>
      <c r="AN541" s="20">
        <v>39925.0</v>
      </c>
      <c r="AO541" s="7">
        <v>97418.0</v>
      </c>
      <c r="AP541" s="7" t="s">
        <v>362</v>
      </c>
      <c r="AQ541" s="7"/>
      <c r="AR541" s="7"/>
      <c r="AS541" s="7"/>
      <c r="AT541" s="7"/>
      <c r="AU541" s="7">
        <v>3.0</v>
      </c>
      <c r="AV541" s="7" t="s">
        <v>6901</v>
      </c>
      <c r="AW541" s="7"/>
      <c r="AX541" s="7"/>
      <c r="AY541" s="7"/>
      <c r="AZ541" s="7"/>
      <c r="BA541" s="7"/>
      <c r="BB541" s="7"/>
      <c r="BC541" s="7" t="s">
        <v>366</v>
      </c>
      <c r="BD541" s="21">
        <v>44197.0</v>
      </c>
      <c r="BE541" s="7"/>
      <c r="BF541" s="7"/>
      <c r="BG541" s="22">
        <v>44197.0</v>
      </c>
      <c r="BH541" s="7"/>
      <c r="BI541" s="7" t="s">
        <v>6902</v>
      </c>
      <c r="BJ541" s="7"/>
      <c r="BK541" s="7" t="b">
        <v>0</v>
      </c>
      <c r="BL541" s="7" t="b">
        <v>0</v>
      </c>
      <c r="BM541" s="7"/>
      <c r="BN541" s="7" t="str">
        <f>IFERROR(__xludf.DUMMYFUNCTION(" IF( REGEXMATCH(C541 , ""[(].+[)]""),REGEXREPLACE( CONCATENATE(REGEXEXTRACT(C541 , ""[(].+[)]""),IF(REGEXMATCH(C541 , ""[(][Ll]['’][)]""),"""","" ""), REGEXEXTRACT(C541 ,""^(?:(?:[A-Za-zàäéèêîïöôûü0-9 ](?:[A-Za-zàäéèêîïöôûü'0-9 ]+)))"")) , ""[()]"", """")"&amp;",C541 )"),"Résidences La Rocaille")</f>
        <v>Résidences La Rocaille</v>
      </c>
      <c r="BO541" s="23"/>
      <c r="BP541" s="7"/>
      <c r="BQ541" s="7"/>
      <c r="BR541" s="7"/>
      <c r="BS541" s="7"/>
      <c r="BT541" s="7"/>
      <c r="BU541" s="7"/>
      <c r="BV541" s="7"/>
      <c r="BW541" s="7"/>
      <c r="BX541" s="7"/>
      <c r="BY541" s="7"/>
      <c r="BZ541" s="7"/>
      <c r="CA541" s="7"/>
      <c r="CB541" s="7"/>
    </row>
    <row r="542" ht="21.75" customHeight="1">
      <c r="A542" s="7">
        <v>512.0</v>
      </c>
      <c r="B542" s="7">
        <v>541.0</v>
      </c>
      <c r="C542" s="7" t="s">
        <v>6903</v>
      </c>
      <c r="D542" s="7" t="s">
        <v>6904</v>
      </c>
      <c r="E542" s="7"/>
      <c r="F542" s="7" t="s">
        <v>404</v>
      </c>
      <c r="G542" s="7" t="s">
        <v>343</v>
      </c>
      <c r="H542" s="7" t="s">
        <v>123</v>
      </c>
      <c r="I542" s="7" t="s">
        <v>6905</v>
      </c>
      <c r="J542" s="7"/>
      <c r="K542" s="7" t="s">
        <v>34</v>
      </c>
      <c r="L542" s="7"/>
      <c r="M542" s="7"/>
      <c r="N542" s="7"/>
      <c r="O542" s="7">
        <v>97480.0</v>
      </c>
      <c r="P542" s="7" t="s">
        <v>123</v>
      </c>
      <c r="Q542" s="7"/>
      <c r="R542" s="7"/>
      <c r="S542" s="7"/>
      <c r="T542" s="7"/>
      <c r="U542" s="7"/>
      <c r="V542" s="7"/>
      <c r="W542" s="7"/>
      <c r="X542" s="7"/>
      <c r="Y542" s="7"/>
      <c r="Z542" s="7"/>
      <c r="AA542" s="7"/>
      <c r="AB542" s="7"/>
      <c r="AC542" s="7"/>
      <c r="AD542" s="7"/>
      <c r="AE542" s="7"/>
      <c r="AF542" s="7"/>
      <c r="AG542" s="7"/>
      <c r="AH542" s="7"/>
      <c r="AI542" s="7"/>
      <c r="AJ542" s="7" t="s">
        <v>6903</v>
      </c>
      <c r="AK542" s="7"/>
      <c r="AL542" s="7" t="s">
        <v>6906</v>
      </c>
      <c r="AM542" s="7"/>
      <c r="AN542" s="20">
        <v>39575.0</v>
      </c>
      <c r="AO542" s="7">
        <v>97480.0</v>
      </c>
      <c r="AP542" s="7" t="s">
        <v>385</v>
      </c>
      <c r="AQ542" s="7"/>
      <c r="AR542" s="7"/>
      <c r="AS542" s="7"/>
      <c r="AT542" s="7"/>
      <c r="AU542" s="7">
        <v>0.0</v>
      </c>
      <c r="AV542" s="7" t="s">
        <v>6907</v>
      </c>
      <c r="AW542" s="7"/>
      <c r="AX542" s="7"/>
      <c r="AY542" s="7"/>
      <c r="AZ542" s="7"/>
      <c r="BA542" s="7"/>
      <c r="BB542" s="7"/>
      <c r="BC542" s="7" t="s">
        <v>366</v>
      </c>
      <c r="BD542" s="21">
        <v>44232.13888888889</v>
      </c>
      <c r="BE542" s="7"/>
      <c r="BF542" s="7"/>
      <c r="BG542" s="22">
        <v>44232.0</v>
      </c>
      <c r="BH542" s="7"/>
      <c r="BI542" s="7" t="s">
        <v>6329</v>
      </c>
      <c r="BJ542" s="7"/>
      <c r="BK542" s="7" t="b">
        <v>0</v>
      </c>
      <c r="BL542" s="7" t="b">
        <v>0</v>
      </c>
      <c r="BM542" s="7"/>
      <c r="BN542" s="7" t="str">
        <f>IFERROR(__xludf.DUMMYFUNCTION(" IF( REGEXMATCH(C542 , ""[(].+[)]""),REGEXREPLACE( CONCATENATE(REGEXEXTRACT(C542 , ""[(].+[)]""),IF(REGEXMATCH(C542 , ""[(][Ll]['’][)]""),"""","" ""), REGEXEXTRACT(C542 ,""^(?:(?:[A-Za-zàäéèêîïöôûü0-9 ](?:[A-Za-zàäéèêîïöôûü'0-9 ]+)))"")) , ""[()]"", """")"&amp;",C542 )"),"Restaurant de la Grande Cascade")</f>
        <v>Restaurant de la Grande Cascade</v>
      </c>
      <c r="BO542" s="23"/>
      <c r="BP542" s="7"/>
      <c r="BQ542" s="7"/>
      <c r="BR542" s="7"/>
      <c r="BS542" s="7"/>
      <c r="BT542" s="7"/>
      <c r="BU542" s="7"/>
      <c r="BV542" s="7"/>
      <c r="BW542" s="7"/>
      <c r="BX542" s="7"/>
      <c r="BY542" s="7"/>
      <c r="BZ542" s="7"/>
      <c r="CA542" s="7"/>
      <c r="CB542" s="7"/>
    </row>
    <row r="543" ht="21.75" customHeight="1">
      <c r="A543" s="7">
        <v>2981.0</v>
      </c>
      <c r="B543" s="7" t="s">
        <v>6908</v>
      </c>
      <c r="C543" s="7" t="s">
        <v>6909</v>
      </c>
      <c r="D543" s="7"/>
      <c r="E543" s="7"/>
      <c r="F543" s="7" t="s">
        <v>342</v>
      </c>
      <c r="G543" s="7" t="s">
        <v>343</v>
      </c>
      <c r="H543" s="7" t="s">
        <v>33</v>
      </c>
      <c r="I543" s="7" t="s">
        <v>6910</v>
      </c>
      <c r="J543" s="7"/>
      <c r="K543" s="7" t="s">
        <v>34</v>
      </c>
      <c r="L543" s="7" t="s">
        <v>622</v>
      </c>
      <c r="M543" s="7" t="s">
        <v>622</v>
      </c>
      <c r="N543" s="7" t="s">
        <v>1001</v>
      </c>
      <c r="O543" s="7">
        <v>97442.0</v>
      </c>
      <c r="P543" s="7" t="s">
        <v>33</v>
      </c>
      <c r="Q543" s="7"/>
      <c r="R543" s="7"/>
      <c r="S543" s="7"/>
      <c r="T543" s="7" t="s">
        <v>352</v>
      </c>
      <c r="U543" s="7" t="s">
        <v>592</v>
      </c>
      <c r="V543" s="7"/>
      <c r="W543" s="7">
        <v>6.92066725E8</v>
      </c>
      <c r="X543" s="7">
        <v>6.92153818E8</v>
      </c>
      <c r="Y543" s="7"/>
      <c r="Z543" s="7"/>
      <c r="AA543" s="7">
        <v>80.0</v>
      </c>
      <c r="AB543" s="7"/>
      <c r="AC543" s="7" t="s">
        <v>6911</v>
      </c>
      <c r="AD543" s="7" t="s">
        <v>6912</v>
      </c>
      <c r="AE543" s="7" t="s">
        <v>6913</v>
      </c>
      <c r="AF543" s="7"/>
      <c r="AG543" s="7"/>
      <c r="AH543" s="20">
        <v>41438.0</v>
      </c>
      <c r="AI543" s="7"/>
      <c r="AJ543" s="7" t="s">
        <v>6914</v>
      </c>
      <c r="AK543" s="7"/>
      <c r="AL543" s="7" t="s">
        <v>6915</v>
      </c>
      <c r="AM543" s="7" t="s">
        <v>6916</v>
      </c>
      <c r="AN543" s="20">
        <v>43739.0</v>
      </c>
      <c r="AO543" s="7">
        <v>97442.0</v>
      </c>
      <c r="AP543" s="7" t="s">
        <v>884</v>
      </c>
      <c r="AQ543" s="7"/>
      <c r="AR543" s="7"/>
      <c r="AS543" s="7"/>
      <c r="AT543" s="7"/>
      <c r="AU543" s="7">
        <v>0.0</v>
      </c>
      <c r="AV543" s="7" t="s">
        <v>6917</v>
      </c>
      <c r="AW543" s="7"/>
      <c r="AX543" s="7"/>
      <c r="AY543" s="7"/>
      <c r="AZ543" s="7"/>
      <c r="BA543" s="7"/>
      <c r="BB543" s="7"/>
      <c r="BC543" s="7" t="s">
        <v>401</v>
      </c>
      <c r="BD543" s="21">
        <v>44153.14027777778</v>
      </c>
      <c r="BE543" s="7" t="s">
        <v>2919</v>
      </c>
      <c r="BF543" s="7"/>
      <c r="BG543" s="7"/>
      <c r="BH543" s="7"/>
      <c r="BI543" s="7" t="s">
        <v>6918</v>
      </c>
      <c r="BJ543" s="7"/>
      <c r="BK543" s="7" t="b">
        <v>0</v>
      </c>
      <c r="BL543" s="7" t="b">
        <v>0</v>
      </c>
      <c r="BM543" s="7"/>
      <c r="BN543" s="7" t="str">
        <f>IFERROR(__xludf.DUMMYFUNCTION(" IF( REGEXMATCH(C543 , ""[(].+[)]""),REGEXREPLACE( CONCATENATE(REGEXEXTRACT(C543 , ""[(].+[)]""),IF(REGEXMATCH(C543 , ""[(][Ll]['’][)]""),"""","" ""), REGEXEXTRACT(C543 ,""^(?:(?:[A-Za-zàäéèêîïöôûü0-9 ](?:[A-Za-zàäéèêîïöôûü'0-9 ]+)))"")) , ""[()]"", """")"&amp;",C543 )"),"Restaurant des Laves")</f>
        <v>Restaurant des Laves</v>
      </c>
      <c r="BO543" s="25"/>
      <c r="BP543" s="7"/>
      <c r="BQ543" s="7"/>
      <c r="BR543" s="7"/>
      <c r="BS543" s="7"/>
      <c r="BT543" s="7"/>
      <c r="BU543" s="7"/>
      <c r="BV543" s="7"/>
      <c r="BW543" s="7"/>
      <c r="BX543" s="7"/>
      <c r="BY543" s="7"/>
      <c r="BZ543" s="7"/>
      <c r="CA543" s="7"/>
      <c r="CB543" s="7"/>
    </row>
    <row r="544" ht="21.75" customHeight="1">
      <c r="A544" s="7">
        <v>3858.0</v>
      </c>
      <c r="B544" s="7">
        <v>543.0</v>
      </c>
      <c r="C544" s="7" t="s">
        <v>6919</v>
      </c>
      <c r="D544" s="7"/>
      <c r="E544" s="7"/>
      <c r="F544" s="7" t="s">
        <v>404</v>
      </c>
      <c r="G544" s="7" t="s">
        <v>343</v>
      </c>
      <c r="H544" s="7" t="s">
        <v>344</v>
      </c>
      <c r="I544" s="7" t="s">
        <v>6920</v>
      </c>
      <c r="J544" s="7"/>
      <c r="K544" s="7" t="s">
        <v>34</v>
      </c>
      <c r="L544" s="7" t="s">
        <v>622</v>
      </c>
      <c r="M544" s="7" t="s">
        <v>622</v>
      </c>
      <c r="N544" s="7" t="s">
        <v>6921</v>
      </c>
      <c r="O544" s="7">
        <v>97418.0</v>
      </c>
      <c r="P544" s="7" t="s">
        <v>348</v>
      </c>
      <c r="Q544" s="7" t="s">
        <v>349</v>
      </c>
      <c r="R544" s="7"/>
      <c r="S544" s="7" t="s">
        <v>2891</v>
      </c>
      <c r="T544" s="7" t="s">
        <v>377</v>
      </c>
      <c r="U544" s="7" t="s">
        <v>378</v>
      </c>
      <c r="V544" s="7"/>
      <c r="W544" s="7"/>
      <c r="X544" s="7"/>
      <c r="Y544" s="7"/>
      <c r="Z544" s="7"/>
      <c r="AA544" s="7"/>
      <c r="AB544" s="7"/>
      <c r="AC544" s="7" t="s">
        <v>6922</v>
      </c>
      <c r="AD544" s="7" t="s">
        <v>6923</v>
      </c>
      <c r="AE544" s="7"/>
      <c r="AF544" s="7"/>
      <c r="AG544" s="7"/>
      <c r="AH544" s="20">
        <v>42152.0</v>
      </c>
      <c r="AI544" s="7"/>
      <c r="AJ544" s="7" t="s">
        <v>6924</v>
      </c>
      <c r="AK544" s="7"/>
      <c r="AL544" s="7" t="s">
        <v>6925</v>
      </c>
      <c r="AM544" s="7" t="s">
        <v>6926</v>
      </c>
      <c r="AN544" s="20">
        <v>42152.0</v>
      </c>
      <c r="AO544" s="7">
        <v>97418.0</v>
      </c>
      <c r="AP544" s="7" t="s">
        <v>362</v>
      </c>
      <c r="AQ544" s="7"/>
      <c r="AR544" s="7"/>
      <c r="AS544" s="7"/>
      <c r="AT544" s="7"/>
      <c r="AU544" s="7">
        <v>0.0</v>
      </c>
      <c r="AV544" s="7" t="s">
        <v>6927</v>
      </c>
      <c r="AW544" s="7"/>
      <c r="AX544" s="7"/>
      <c r="AY544" s="7"/>
      <c r="AZ544" s="7"/>
      <c r="BA544" s="7"/>
      <c r="BB544" s="7"/>
      <c r="BC544" s="7" t="s">
        <v>366</v>
      </c>
      <c r="BD544" s="21">
        <v>44197.0</v>
      </c>
      <c r="BE544" s="7"/>
      <c r="BF544" s="7"/>
      <c r="BG544" s="22">
        <v>44197.0</v>
      </c>
      <c r="BH544" s="7"/>
      <c r="BI544" s="7" t="s">
        <v>2482</v>
      </c>
      <c r="BJ544" s="7"/>
      <c r="BK544" s="7" t="b">
        <v>0</v>
      </c>
      <c r="BL544" s="7" t="b">
        <v>0</v>
      </c>
      <c r="BM544" s="7"/>
      <c r="BN544" s="7" t="str">
        <f>IFERROR(__xludf.DUMMYFUNCTION(" IF( REGEXMATCH(C544 , ""[(].+[)]""),REGEXREPLACE( CONCATENATE(REGEXEXTRACT(C544 , ""[(].+[)]""),IF(REGEXMATCH(C544 , ""[(][Ll]['’][)]""),"""","" ""), REGEXEXTRACT(C544 ,""^(?:(?:[A-Za-zàäéèêîïöôûü0-9 ](?:[A-Za-zàäéèêîïöôûü'0-9 ]+)))"")) , ""[()]"", """")"&amp;",C544 )"),"Restaurant Le Yab")</f>
        <v>Restaurant Le Yab</v>
      </c>
      <c r="BO544" s="23"/>
      <c r="BP544" s="7"/>
      <c r="BQ544" s="7"/>
      <c r="BR544" s="7"/>
      <c r="BS544" s="7"/>
      <c r="BT544" s="7"/>
      <c r="BU544" s="7"/>
      <c r="BV544" s="7"/>
      <c r="BW544" s="7"/>
      <c r="BX544" s="7"/>
      <c r="BY544" s="7"/>
      <c r="BZ544" s="7"/>
      <c r="CA544" s="7"/>
      <c r="CB544" s="7"/>
    </row>
    <row r="545" ht="21.75" customHeight="1">
      <c r="A545" s="7">
        <v>4542.0</v>
      </c>
      <c r="B545" s="7" t="s">
        <v>6928</v>
      </c>
      <c r="C545" s="7" t="s">
        <v>6929</v>
      </c>
      <c r="D545" s="7"/>
      <c r="E545" s="7"/>
      <c r="F545" s="7" t="s">
        <v>342</v>
      </c>
      <c r="G545" s="7" t="s">
        <v>343</v>
      </c>
      <c r="H545" s="7" t="s">
        <v>33</v>
      </c>
      <c r="I545" s="7" t="s">
        <v>6930</v>
      </c>
      <c r="J545" s="7"/>
      <c r="K545" s="7" t="s">
        <v>34</v>
      </c>
      <c r="L545" s="7" t="s">
        <v>622</v>
      </c>
      <c r="M545" s="7" t="s">
        <v>1127</v>
      </c>
      <c r="N545" s="7" t="s">
        <v>375</v>
      </c>
      <c r="O545" s="7">
        <v>97442.0</v>
      </c>
      <c r="P545" s="7" t="s">
        <v>33</v>
      </c>
      <c r="Q545" s="7" t="s">
        <v>1396</v>
      </c>
      <c r="R545" s="7" t="s">
        <v>6931</v>
      </c>
      <c r="S545" s="7"/>
      <c r="T545" s="7" t="s">
        <v>974</v>
      </c>
      <c r="U545" s="7" t="s">
        <v>424</v>
      </c>
      <c r="V545" s="7">
        <v>2.62200717E8</v>
      </c>
      <c r="W545" s="7">
        <v>6.92721725E8</v>
      </c>
      <c r="X545" s="7"/>
      <c r="Y545" s="7"/>
      <c r="Z545" s="7" t="s">
        <v>4678</v>
      </c>
      <c r="AA545" s="7">
        <v>200.0</v>
      </c>
      <c r="AB545" s="7"/>
      <c r="AC545" s="7" t="s">
        <v>6932</v>
      </c>
      <c r="AD545" s="7" t="s">
        <v>6933</v>
      </c>
      <c r="AE545" s="7" t="s">
        <v>4681</v>
      </c>
      <c r="AF545" s="7"/>
      <c r="AG545" s="7"/>
      <c r="AH545" s="20">
        <v>43298.0</v>
      </c>
      <c r="AI545" s="7"/>
      <c r="AJ545" s="7" t="s">
        <v>4682</v>
      </c>
      <c r="AK545" s="7">
        <v>5.0054650200021E13</v>
      </c>
      <c r="AL545" s="7" t="s">
        <v>4683</v>
      </c>
      <c r="AM545" s="7" t="s">
        <v>4684</v>
      </c>
      <c r="AN545" s="20">
        <v>43298.0</v>
      </c>
      <c r="AO545" s="7">
        <v>97470.0</v>
      </c>
      <c r="AP545" s="7" t="s">
        <v>4685</v>
      </c>
      <c r="AQ545" s="7"/>
      <c r="AR545" s="7"/>
      <c r="AS545" s="7"/>
      <c r="AT545" s="7"/>
      <c r="AU545" s="7">
        <v>0.0</v>
      </c>
      <c r="AV545" s="7" t="s">
        <v>1386</v>
      </c>
      <c r="AW545" s="7"/>
      <c r="AX545" s="7"/>
      <c r="AY545" s="7"/>
      <c r="AZ545" s="7"/>
      <c r="BA545" s="7"/>
      <c r="BB545" s="7"/>
      <c r="BC545" s="7" t="s">
        <v>401</v>
      </c>
      <c r="BD545" s="21">
        <v>44091.23541666667</v>
      </c>
      <c r="BE545" s="7" t="s">
        <v>1424</v>
      </c>
      <c r="BF545" s="7"/>
      <c r="BG545" s="7"/>
      <c r="BH545" s="7">
        <v>5.00546502E8</v>
      </c>
      <c r="BI545" s="7" t="s">
        <v>1387</v>
      </c>
      <c r="BJ545" s="7"/>
      <c r="BK545" s="7" t="b">
        <v>0</v>
      </c>
      <c r="BL545" s="7" t="b">
        <v>0</v>
      </c>
      <c r="BM545" s="7"/>
      <c r="BN545" s="7" t="str">
        <f>IFERROR(__xludf.DUMMYFUNCTION(" IF( REGEXMATCH(C545 , ""[(].+[)]""),REGEXREPLACE( CONCATENATE(REGEXEXTRACT(C545 , ""[(].+[)]""),IF(REGEXMATCH(C545 , ""[(][Ll]['’][)]""),"""","" ""), REGEXEXTRACT(C545 ,""^(?:(?:[A-Za-zàäéèêîïöôûü0-9 ](?:[A-Za-zàäéèêîïöôûü'0-9 ]+)))"")) , ""[()]"", """")"&amp;",C545 )"),"Restaurant les Embruns du Baril")</f>
        <v>Restaurant les Embruns du Baril</v>
      </c>
      <c r="BO545" s="25"/>
      <c r="BP545" s="7"/>
      <c r="BQ545" s="7"/>
      <c r="BR545" s="7"/>
      <c r="BS545" s="7"/>
      <c r="BT545" s="7"/>
      <c r="BU545" s="7"/>
      <c r="BV545" s="7"/>
      <c r="BW545" s="7"/>
      <c r="BX545" s="7"/>
      <c r="BY545" s="7"/>
      <c r="BZ545" s="7"/>
      <c r="CA545" s="7"/>
      <c r="CB545" s="7"/>
    </row>
    <row r="546" ht="21.75" customHeight="1">
      <c r="A546" s="7">
        <v>3692.0</v>
      </c>
      <c r="B546" s="7" t="s">
        <v>6934</v>
      </c>
      <c r="C546" s="7" t="s">
        <v>6935</v>
      </c>
      <c r="D546" s="7"/>
      <c r="E546" s="7"/>
      <c r="F546" s="7" t="s">
        <v>342</v>
      </c>
      <c r="G546" s="7" t="s">
        <v>343</v>
      </c>
      <c r="H546" s="7" t="s">
        <v>123</v>
      </c>
      <c r="I546" s="7" t="s">
        <v>6936</v>
      </c>
      <c r="J546" s="26" t="s">
        <v>6937</v>
      </c>
      <c r="K546" s="7" t="s">
        <v>34</v>
      </c>
      <c r="L546" s="7" t="s">
        <v>678</v>
      </c>
      <c r="M546" s="7" t="s">
        <v>5053</v>
      </c>
      <c r="N546" s="7" t="s">
        <v>455</v>
      </c>
      <c r="O546" s="7">
        <v>97480.0</v>
      </c>
      <c r="P546" s="7" t="s">
        <v>123</v>
      </c>
      <c r="Q546" s="7" t="s">
        <v>726</v>
      </c>
      <c r="R546" s="7"/>
      <c r="S546" s="7"/>
      <c r="T546" s="7" t="s">
        <v>6938</v>
      </c>
      <c r="U546" s="7" t="s">
        <v>353</v>
      </c>
      <c r="V546" s="7"/>
      <c r="W546" s="7">
        <v>6.92507899E8</v>
      </c>
      <c r="X546" s="7"/>
      <c r="Y546" s="7"/>
      <c r="Z546" s="7" t="s">
        <v>6939</v>
      </c>
      <c r="AA546" s="7"/>
      <c r="AB546" s="7"/>
      <c r="AC546" s="7" t="s">
        <v>6940</v>
      </c>
      <c r="AD546" s="7" t="s">
        <v>6941</v>
      </c>
      <c r="AE546" s="7"/>
      <c r="AF546" s="7"/>
      <c r="AG546" s="7"/>
      <c r="AH546" s="20">
        <v>41926.0</v>
      </c>
      <c r="AI546" s="7"/>
      <c r="AJ546" s="7" t="s">
        <v>6942</v>
      </c>
      <c r="AK546" s="7">
        <v>7.9096592500023E13</v>
      </c>
      <c r="AL546" s="7" t="s">
        <v>6943</v>
      </c>
      <c r="AM546" s="7" t="s">
        <v>6944</v>
      </c>
      <c r="AN546" s="20">
        <v>41926.0</v>
      </c>
      <c r="AO546" s="7">
        <v>97480.0</v>
      </c>
      <c r="AP546" s="7" t="s">
        <v>385</v>
      </c>
      <c r="AQ546" s="7"/>
      <c r="AR546" s="7"/>
      <c r="AS546" s="7"/>
      <c r="AT546" s="7"/>
      <c r="AU546" s="7">
        <v>0.0</v>
      </c>
      <c r="AV546" s="7" t="s">
        <v>6945</v>
      </c>
      <c r="AW546" s="7"/>
      <c r="AX546" s="7"/>
      <c r="AY546" s="7"/>
      <c r="AZ546" s="7"/>
      <c r="BA546" s="7"/>
      <c r="BB546" s="7"/>
      <c r="BC546" s="7" t="s">
        <v>401</v>
      </c>
      <c r="BD546" s="21">
        <v>44232.0</v>
      </c>
      <c r="BE546" s="7" t="s">
        <v>2781</v>
      </c>
      <c r="BF546" s="7"/>
      <c r="BG546" s="7"/>
      <c r="BH546" s="7">
        <v>7.90965925E8</v>
      </c>
      <c r="BI546" s="7" t="s">
        <v>6946</v>
      </c>
      <c r="BJ546" s="7"/>
      <c r="BK546" s="7" t="b">
        <v>0</v>
      </c>
      <c r="BL546" s="7" t="b">
        <v>0</v>
      </c>
      <c r="BM546" s="7"/>
      <c r="BN546" s="7" t="str">
        <f>IFERROR(__xludf.DUMMYFUNCTION(" IF( REGEXMATCH(C546 , ""[(].+[)]""),REGEXREPLACE( CONCATENATE(REGEXEXTRACT(C546 , ""[(].+[)]""),IF(REGEXMATCH(C546 , ""[(][Ll]['’][)]""),"""","" ""), REGEXEXTRACT(C546 ,""^(?:(?:[A-Za-zàäéèêîïöôûü0-9 ](?:[A-Za-zàäéèêîïöôûü'0-9 ]+)))"")) , ""[()]"", """")"&amp;",C546 )"),"Resto Bar Don Camillo")</f>
        <v>Resto Bar Don Camillo</v>
      </c>
      <c r="BO546" s="25"/>
      <c r="BP546" s="7"/>
      <c r="BQ546" s="7"/>
      <c r="BR546" s="7"/>
      <c r="BS546" s="7"/>
      <c r="BT546" s="7"/>
      <c r="BU546" s="7"/>
      <c r="BV546" s="7"/>
      <c r="BW546" s="7"/>
      <c r="BX546" s="7"/>
      <c r="BY546" s="7"/>
      <c r="BZ546" s="7"/>
      <c r="CA546" s="7"/>
      <c r="CB546" s="7"/>
    </row>
    <row r="547" ht="21.75" customHeight="1">
      <c r="A547" s="7">
        <v>1981.0</v>
      </c>
      <c r="B547" s="7" t="s">
        <v>6947</v>
      </c>
      <c r="C547" s="7" t="s">
        <v>6948</v>
      </c>
      <c r="D547" s="7"/>
      <c r="E547" s="7"/>
      <c r="F547" s="7" t="s">
        <v>342</v>
      </c>
      <c r="G547" s="7" t="s">
        <v>343</v>
      </c>
      <c r="H547" s="7" t="s">
        <v>344</v>
      </c>
      <c r="I547" s="7" t="s">
        <v>6949</v>
      </c>
      <c r="J547" s="7"/>
      <c r="K547" s="7" t="s">
        <v>34</v>
      </c>
      <c r="L547" s="7" t="s">
        <v>622</v>
      </c>
      <c r="M547" s="7" t="s">
        <v>622</v>
      </c>
      <c r="N547" s="7" t="s">
        <v>455</v>
      </c>
      <c r="O547" s="7">
        <v>97418.0</v>
      </c>
      <c r="P547" s="7" t="s">
        <v>348</v>
      </c>
      <c r="Q547" s="7" t="s">
        <v>349</v>
      </c>
      <c r="R547" s="7" t="s">
        <v>801</v>
      </c>
      <c r="S547" s="7" t="s">
        <v>802</v>
      </c>
      <c r="T547" s="7" t="s">
        <v>377</v>
      </c>
      <c r="U547" s="7" t="s">
        <v>353</v>
      </c>
      <c r="V547" s="7">
        <v>2.62591138E8</v>
      </c>
      <c r="W547" s="7"/>
      <c r="X547" s="7"/>
      <c r="Y547" s="7"/>
      <c r="Z547" s="7"/>
      <c r="AA547" s="7">
        <v>60.0</v>
      </c>
      <c r="AB547" s="7"/>
      <c r="AC547" s="7"/>
      <c r="AD547" s="7" t="s">
        <v>6950</v>
      </c>
      <c r="AE547" s="7"/>
      <c r="AF547" s="7"/>
      <c r="AG547" s="7"/>
      <c r="AH547" s="20">
        <v>43739.0</v>
      </c>
      <c r="AI547" s="7"/>
      <c r="AJ547" s="7" t="s">
        <v>6951</v>
      </c>
      <c r="AK547" s="7">
        <v>3.8283286300023E13</v>
      </c>
      <c r="AL547" s="7" t="s">
        <v>6952</v>
      </c>
      <c r="AM547" s="7" t="s">
        <v>6953</v>
      </c>
      <c r="AN547" s="20">
        <v>43739.0</v>
      </c>
      <c r="AO547" s="7">
        <v>97418.0</v>
      </c>
      <c r="AP547" s="7" t="s">
        <v>362</v>
      </c>
      <c r="AQ547" s="7"/>
      <c r="AR547" s="7"/>
      <c r="AS547" s="7"/>
      <c r="AT547" s="7"/>
      <c r="AU547" s="7">
        <v>0.0</v>
      </c>
      <c r="AV547" s="7" t="s">
        <v>6954</v>
      </c>
      <c r="AW547" s="7"/>
      <c r="AX547" s="7"/>
      <c r="AY547" s="7"/>
      <c r="AZ547" s="7"/>
      <c r="BA547" s="7"/>
      <c r="BB547" s="7"/>
      <c r="BC547" s="7" t="s">
        <v>401</v>
      </c>
      <c r="BD547" s="21">
        <v>44244.0</v>
      </c>
      <c r="BE547" s="7" t="s">
        <v>6955</v>
      </c>
      <c r="BF547" s="7"/>
      <c r="BG547" s="7"/>
      <c r="BH547" s="7">
        <v>3.82832863E8</v>
      </c>
      <c r="BI547" s="7" t="s">
        <v>6956</v>
      </c>
      <c r="BJ547" s="7"/>
      <c r="BK547" s="7" t="b">
        <v>0</v>
      </c>
      <c r="BL547" s="7" t="b">
        <v>0</v>
      </c>
      <c r="BM547" s="7"/>
      <c r="BN547" s="7" t="str">
        <f>IFERROR(__xludf.DUMMYFUNCTION(" IF( REGEXMATCH(C547 , ""[(].+[)]""),REGEXREPLACE( CONCATENATE(REGEXEXTRACT(C547 , ""[(].+[)]""),IF(REGEXMATCH(C547 , ""[(][Ll]['’][)]""),"""","" ""), REGEXEXTRACT(C547 ,""^(?:(?:[A-Za-zàäéèêîïöôûü0-9 ](?:[A-Za-zàäéèêîïöôûü'0-9 ]+)))"")) , ""[()]"", """")"&amp;",C547 )"),"Resto-Self de la Fournaise")</f>
        <v>Resto-Self de la Fournaise</v>
      </c>
      <c r="BO547" s="25"/>
      <c r="BP547" s="7"/>
      <c r="BQ547" s="7"/>
      <c r="BR547" s="7"/>
      <c r="BS547" s="7"/>
      <c r="BT547" s="7"/>
      <c r="BU547" s="7"/>
      <c r="BV547" s="7"/>
      <c r="BW547" s="7"/>
      <c r="BX547" s="7"/>
      <c r="BY547" s="7"/>
      <c r="BZ547" s="7"/>
      <c r="CA547" s="7"/>
      <c r="CB547" s="7"/>
    </row>
    <row r="548" ht="21.75" customHeight="1">
      <c r="A548" s="7">
        <v>5119.0</v>
      </c>
      <c r="B548" s="7">
        <v>547.0</v>
      </c>
      <c r="C548" s="7" t="s">
        <v>6957</v>
      </c>
      <c r="D548" s="7"/>
      <c r="E548" s="7"/>
      <c r="F548" s="7" t="s">
        <v>342</v>
      </c>
      <c r="G548" s="7" t="s">
        <v>343</v>
      </c>
      <c r="H548" s="7" t="s">
        <v>344</v>
      </c>
      <c r="I548" s="7" t="s">
        <v>6958</v>
      </c>
      <c r="J548" s="26" t="s">
        <v>6959</v>
      </c>
      <c r="K548" s="7" t="s">
        <v>1198</v>
      </c>
      <c r="L548" s="7" t="s">
        <v>6960</v>
      </c>
      <c r="M548" s="7" t="s">
        <v>6961</v>
      </c>
      <c r="N548" s="7"/>
      <c r="O548" s="7">
        <v>97430.0</v>
      </c>
      <c r="P548" s="7" t="s">
        <v>344</v>
      </c>
      <c r="Q548" s="7"/>
      <c r="R548" s="7"/>
      <c r="S548" s="7"/>
      <c r="T548" s="7" t="s">
        <v>2142</v>
      </c>
      <c r="U548" s="7" t="s">
        <v>592</v>
      </c>
      <c r="V548" s="7"/>
      <c r="W548" s="7">
        <v>6.92140028E8</v>
      </c>
      <c r="X548" s="7"/>
      <c r="Y548" s="7"/>
      <c r="Z548" s="7" t="s">
        <v>6962</v>
      </c>
      <c r="AA548" s="7"/>
      <c r="AB548" s="7"/>
      <c r="AC548" s="7" t="s">
        <v>6963</v>
      </c>
      <c r="AD548" s="7" t="s">
        <v>6964</v>
      </c>
      <c r="AE548" s="7"/>
      <c r="AF548" s="7"/>
      <c r="AG548" s="7"/>
      <c r="AH548" s="20">
        <v>43818.0</v>
      </c>
      <c r="AI548" s="7"/>
      <c r="AJ548" s="7" t="s">
        <v>6965</v>
      </c>
      <c r="AK548" s="7">
        <v>5.1749853100014E13</v>
      </c>
      <c r="AL548" s="7" t="s">
        <v>6966</v>
      </c>
      <c r="AM548" s="7" t="s">
        <v>6967</v>
      </c>
      <c r="AN548" s="20">
        <v>43818.0</v>
      </c>
      <c r="AO548" s="7">
        <v>97430.0</v>
      </c>
      <c r="AP548" s="7" t="s">
        <v>494</v>
      </c>
      <c r="AQ548" s="7"/>
      <c r="AR548" s="7"/>
      <c r="AS548" s="7"/>
      <c r="AT548" s="7"/>
      <c r="AU548" s="7">
        <v>0.0</v>
      </c>
      <c r="AV548" s="7" t="s">
        <v>6968</v>
      </c>
      <c r="AW548" s="7"/>
      <c r="AX548" s="7"/>
      <c r="AY548" s="7"/>
      <c r="AZ548" s="7"/>
      <c r="BA548" s="7"/>
      <c r="BB548" s="7"/>
      <c r="BC548" s="7" t="s">
        <v>366</v>
      </c>
      <c r="BD548" s="21">
        <v>44197.0</v>
      </c>
      <c r="BE548" s="7"/>
      <c r="BF548" s="7"/>
      <c r="BG548" s="22">
        <v>44197.0</v>
      </c>
      <c r="BH548" s="7">
        <v>5.17498531E8</v>
      </c>
      <c r="BI548" s="7" t="s">
        <v>6969</v>
      </c>
      <c r="BJ548" s="7"/>
      <c r="BK548" s="7" t="b">
        <v>0</v>
      </c>
      <c r="BL548" s="7" t="b">
        <v>0</v>
      </c>
      <c r="BM548" s="7"/>
      <c r="BN548" s="7" t="str">
        <f>IFERROR(__xludf.DUMMYFUNCTION(" IF( REGEXMATCH(C548 , ""[(].+[)]""),REGEXREPLACE( CONCATENATE(REGEXEXTRACT(C548 , ""[(].+[)]""),IF(REGEXMATCH(C548 , ""[(][Ll]['’][)]""),"""","" ""), REGEXEXTRACT(C548 ,""^(?:(?:[A-Za-zàäéèêîïöôûü0-9 ](?:[A-Za-zàäéèêîïöôûü'0-9 ]+)))"")) , ""[()]"", """")"&amp;",C548 )"),"Réunion Moto Tour")</f>
        <v>Réunion Moto Tour</v>
      </c>
      <c r="BO548" s="23"/>
      <c r="BP548" s="7"/>
      <c r="BQ548" s="7"/>
      <c r="BR548" s="7"/>
      <c r="BS548" s="7"/>
      <c r="BT548" s="7"/>
      <c r="BU548" s="7"/>
      <c r="BV548" s="7"/>
      <c r="BW548" s="7"/>
      <c r="BX548" s="7"/>
      <c r="BY548" s="7"/>
      <c r="BZ548" s="7"/>
      <c r="CA548" s="7"/>
      <c r="CB548" s="7"/>
    </row>
    <row r="549" ht="21.75" customHeight="1">
      <c r="A549" s="7">
        <v>2979.0</v>
      </c>
      <c r="B549" s="7">
        <v>548.0</v>
      </c>
      <c r="C549" s="7" t="s">
        <v>6970</v>
      </c>
      <c r="D549" s="7"/>
      <c r="E549" s="7"/>
      <c r="F549" s="7" t="s">
        <v>342</v>
      </c>
      <c r="G549" s="7" t="s">
        <v>343</v>
      </c>
      <c r="H549" s="7" t="s">
        <v>33</v>
      </c>
      <c r="I549" s="7" t="s">
        <v>6971</v>
      </c>
      <c r="J549" s="7"/>
      <c r="K549" s="7" t="s">
        <v>34</v>
      </c>
      <c r="L549" s="7" t="s">
        <v>622</v>
      </c>
      <c r="M549" s="7" t="s">
        <v>622</v>
      </c>
      <c r="N549" s="7" t="s">
        <v>455</v>
      </c>
      <c r="O549" s="7">
        <v>97442.0</v>
      </c>
      <c r="P549" s="7" t="s">
        <v>33</v>
      </c>
      <c r="Q549" s="7"/>
      <c r="R549" s="7"/>
      <c r="S549" s="7"/>
      <c r="T549" s="7" t="s">
        <v>963</v>
      </c>
      <c r="U549" s="7" t="s">
        <v>353</v>
      </c>
      <c r="V549" s="7">
        <v>2.62371128E8</v>
      </c>
      <c r="W549" s="7">
        <v>6.92208137E8</v>
      </c>
      <c r="X549" s="7"/>
      <c r="Y549" s="7"/>
      <c r="Z549" s="7"/>
      <c r="AA549" s="7">
        <v>100.0</v>
      </c>
      <c r="AB549" s="7"/>
      <c r="AC549" s="7"/>
      <c r="AD549" s="7" t="s">
        <v>6972</v>
      </c>
      <c r="AE549" s="7" t="s">
        <v>6973</v>
      </c>
      <c r="AF549" s="7"/>
      <c r="AG549" s="7"/>
      <c r="AH549" s="20">
        <v>43739.0</v>
      </c>
      <c r="AI549" s="7"/>
      <c r="AJ549" s="7" t="s">
        <v>6974</v>
      </c>
      <c r="AK549" s="7"/>
      <c r="AL549" s="7" t="s">
        <v>6975</v>
      </c>
      <c r="AM549" s="7" t="s">
        <v>6976</v>
      </c>
      <c r="AN549" s="20">
        <v>43739.0</v>
      </c>
      <c r="AO549" s="7">
        <v>97442.0</v>
      </c>
      <c r="AP549" s="7" t="s">
        <v>884</v>
      </c>
      <c r="AQ549" s="7"/>
      <c r="AR549" s="7"/>
      <c r="AS549" s="7"/>
      <c r="AT549" s="7"/>
      <c r="AU549" s="7">
        <v>0.0</v>
      </c>
      <c r="AV549" s="7" t="s">
        <v>6977</v>
      </c>
      <c r="AW549" s="7"/>
      <c r="AX549" s="7"/>
      <c r="AY549" s="7"/>
      <c r="AZ549" s="7"/>
      <c r="BA549" s="7"/>
      <c r="BB549" s="7"/>
      <c r="BC549" s="7" t="s">
        <v>366</v>
      </c>
      <c r="BD549" s="21">
        <v>44158.410416666666</v>
      </c>
      <c r="BE549" s="7"/>
      <c r="BF549" s="7"/>
      <c r="BG549" s="22">
        <v>44158.0</v>
      </c>
      <c r="BH549" s="7"/>
      <c r="BI549" s="7" t="s">
        <v>6978</v>
      </c>
      <c r="BJ549" s="7"/>
      <c r="BK549" s="7" t="b">
        <v>0</v>
      </c>
      <c r="BL549" s="7" t="b">
        <v>0</v>
      </c>
      <c r="BM549" s="7"/>
      <c r="BN549" s="7" t="str">
        <f>IFERROR(__xludf.DUMMYFUNCTION(" IF( REGEXMATCH(C549 , ""[(].+[)]""),REGEXREPLACE( CONCATENATE(REGEXEXTRACT(C549 , ""[(].+[)]""),IF(REGEXMATCH(C549 , ""[(][Ll]['’][)]""),"""","" ""), REGEXEXTRACT(C549 ,""^(?:(?:[A-Za-zàäéèêîïöôûü0-9 ](?:[A-Za-zàäéèêîïöôûü'0-9 ]+)))"")) , ""[()]"", """")"&amp;",C549 )"),"Le Réveil du Village ")</f>
        <v>Le Réveil du Village </v>
      </c>
      <c r="BO549" s="23"/>
      <c r="BP549" s="7"/>
      <c r="BQ549" s="7"/>
      <c r="BR549" s="7"/>
      <c r="BS549" s="7"/>
      <c r="BT549" s="7"/>
      <c r="BU549" s="7"/>
      <c r="BV549" s="7"/>
      <c r="BW549" s="7"/>
      <c r="BX549" s="7"/>
      <c r="BY549" s="7"/>
      <c r="BZ549" s="7"/>
      <c r="CA549" s="7"/>
      <c r="CB549" s="7"/>
    </row>
    <row r="550" ht="21.75" customHeight="1">
      <c r="A550" s="7">
        <v>3862.0</v>
      </c>
      <c r="B550" s="7">
        <v>549.0</v>
      </c>
      <c r="C550" s="7" t="s">
        <v>6979</v>
      </c>
      <c r="D550" s="7"/>
      <c r="E550" s="7"/>
      <c r="F550" s="7" t="s">
        <v>404</v>
      </c>
      <c r="G550" s="7" t="s">
        <v>343</v>
      </c>
      <c r="H550" s="7" t="s">
        <v>344</v>
      </c>
      <c r="I550" s="7" t="s">
        <v>6980</v>
      </c>
      <c r="J550" s="26" t="s">
        <v>6981</v>
      </c>
      <c r="K550" s="7" t="s">
        <v>58</v>
      </c>
      <c r="L550" s="7" t="s">
        <v>453</v>
      </c>
      <c r="M550" s="7" t="s">
        <v>454</v>
      </c>
      <c r="N550" s="7" t="s">
        <v>375</v>
      </c>
      <c r="O550" s="7">
        <v>97430.0</v>
      </c>
      <c r="P550" s="7" t="s">
        <v>344</v>
      </c>
      <c r="Q550" s="7"/>
      <c r="R550" s="7" t="s">
        <v>6982</v>
      </c>
      <c r="S550" s="7" t="s">
        <v>1566</v>
      </c>
      <c r="T550" s="7" t="s">
        <v>377</v>
      </c>
      <c r="U550" s="7" t="s">
        <v>6983</v>
      </c>
      <c r="V550" s="7">
        <v>2.6229673E8</v>
      </c>
      <c r="W550" s="7"/>
      <c r="X550" s="7"/>
      <c r="Y550" s="7"/>
      <c r="Z550" s="7" t="s">
        <v>6984</v>
      </c>
      <c r="AA550" s="7">
        <v>9.0</v>
      </c>
      <c r="AB550" s="7"/>
      <c r="AC550" s="7" t="s">
        <v>6985</v>
      </c>
      <c r="AD550" s="7" t="s">
        <v>6986</v>
      </c>
      <c r="AE550" s="7"/>
      <c r="AF550" s="7"/>
      <c r="AG550" s="7"/>
      <c r="AH550" s="20">
        <v>42153.0</v>
      </c>
      <c r="AI550" s="7"/>
      <c r="AJ550" s="7" t="s">
        <v>6979</v>
      </c>
      <c r="AK550" s="7"/>
      <c r="AL550" s="7" t="s">
        <v>1824</v>
      </c>
      <c r="AM550" s="7" t="s">
        <v>6987</v>
      </c>
      <c r="AN550" s="20">
        <v>42153.0</v>
      </c>
      <c r="AO550" s="7">
        <v>97430.0</v>
      </c>
      <c r="AP550" s="7" t="s">
        <v>494</v>
      </c>
      <c r="AQ550" s="7"/>
      <c r="AR550" s="7"/>
      <c r="AS550" s="7"/>
      <c r="AT550" s="7"/>
      <c r="AU550" s="7">
        <v>4.0</v>
      </c>
      <c r="AV550" s="7" t="s">
        <v>6988</v>
      </c>
      <c r="AW550" s="7"/>
      <c r="AX550" s="7"/>
      <c r="AY550" s="7"/>
      <c r="AZ550" s="7"/>
      <c r="BA550" s="7"/>
      <c r="BB550" s="7"/>
      <c r="BC550" s="7" t="s">
        <v>366</v>
      </c>
      <c r="BD550" s="21">
        <v>44197.0</v>
      </c>
      <c r="BE550" s="7"/>
      <c r="BF550" s="7"/>
      <c r="BG550" s="22">
        <v>44197.0</v>
      </c>
      <c r="BH550" s="7"/>
      <c r="BI550" s="7" t="s">
        <v>1832</v>
      </c>
      <c r="BJ550" s="7"/>
      <c r="BK550" s="7" t="b">
        <v>0</v>
      </c>
      <c r="BL550" s="7" t="b">
        <v>0</v>
      </c>
      <c r="BM550" s="7"/>
      <c r="BN550" s="7" t="str">
        <f>IFERROR(__xludf.DUMMYFUNCTION(" IF( REGEXMATCH(C550 , ""[(].+[)]""),REGEXREPLACE( CONCATENATE(REGEXEXTRACT(C550 , ""[(].+[)]""),IF(REGEXMATCH(C550 , ""[(][Ll]['’][)]""),"""","" ""), REGEXEXTRACT(C550 ,""^(?:(?:[A-Za-zàäéèêîïöôûü0-9 ](?:[A-Za-zàäéèêîïöôûü'0-9 ]+)))"")) , ""[()]"", """")"&amp;",C550 )"),"La Rivière des Sens ")</f>
        <v>La Rivière des Sens </v>
      </c>
      <c r="BO550" s="23"/>
      <c r="BP550" s="7"/>
      <c r="BQ550" s="7"/>
      <c r="BR550" s="7"/>
      <c r="BS550" s="7"/>
      <c r="BT550" s="7"/>
      <c r="BU550" s="7"/>
      <c r="BV550" s="7"/>
      <c r="BW550" s="7"/>
      <c r="BX550" s="7"/>
      <c r="BY550" s="7"/>
      <c r="BZ550" s="7"/>
      <c r="CA550" s="7"/>
      <c r="CB550" s="7"/>
    </row>
    <row r="551" ht="21.75" customHeight="1">
      <c r="A551" s="7">
        <v>344.0</v>
      </c>
      <c r="B551" s="7" t="s">
        <v>6989</v>
      </c>
      <c r="C551" s="7" t="s">
        <v>6990</v>
      </c>
      <c r="D551" s="7" t="s">
        <v>6991</v>
      </c>
      <c r="E551" s="7"/>
      <c r="F551" s="7" t="s">
        <v>342</v>
      </c>
      <c r="G551" s="7" t="s">
        <v>343</v>
      </c>
      <c r="H551" s="7" t="s">
        <v>33</v>
      </c>
      <c r="I551" s="7" t="s">
        <v>6992</v>
      </c>
      <c r="J551" s="7"/>
      <c r="K551" s="7" t="s">
        <v>34</v>
      </c>
      <c r="L551" s="7" t="s">
        <v>1414</v>
      </c>
      <c r="M551" s="7" t="s">
        <v>1415</v>
      </c>
      <c r="N551" s="7" t="s">
        <v>1001</v>
      </c>
      <c r="O551" s="7">
        <v>97442.0</v>
      </c>
      <c r="P551" s="7" t="s">
        <v>33</v>
      </c>
      <c r="Q551" s="7"/>
      <c r="R551" s="7" t="s">
        <v>1026</v>
      </c>
      <c r="S551" s="7" t="s">
        <v>1922</v>
      </c>
      <c r="T551" s="7" t="s">
        <v>377</v>
      </c>
      <c r="U551" s="7" t="s">
        <v>353</v>
      </c>
      <c r="V551" s="7"/>
      <c r="W551" s="7">
        <v>6.92854037E8</v>
      </c>
      <c r="X551" s="7">
        <v>6.92696551E8</v>
      </c>
      <c r="Y551" s="7"/>
      <c r="Z551" s="7" t="s">
        <v>6993</v>
      </c>
      <c r="AA551" s="7">
        <v>80.0</v>
      </c>
      <c r="AB551" s="7"/>
      <c r="AC551" s="7"/>
      <c r="AD551" s="7" t="s">
        <v>6994</v>
      </c>
      <c r="AE551" s="7" t="s">
        <v>6995</v>
      </c>
      <c r="AF551" s="7"/>
      <c r="AG551" s="7" t="s">
        <v>1419</v>
      </c>
      <c r="AH551" s="20">
        <v>39609.0</v>
      </c>
      <c r="AI551" s="7"/>
      <c r="AJ551" s="7" t="s">
        <v>6996</v>
      </c>
      <c r="AK551" s="7">
        <v>3.936451550001E13</v>
      </c>
      <c r="AL551" s="7" t="s">
        <v>6997</v>
      </c>
      <c r="AM551" s="7" t="s">
        <v>6998</v>
      </c>
      <c r="AN551" s="20">
        <v>39575.0</v>
      </c>
      <c r="AO551" s="7">
        <v>97442.0</v>
      </c>
      <c r="AP551" s="7" t="s">
        <v>884</v>
      </c>
      <c r="AQ551" s="7"/>
      <c r="AR551" s="7"/>
      <c r="AS551" s="7"/>
      <c r="AT551" s="7"/>
      <c r="AU551" s="7">
        <v>0.0</v>
      </c>
      <c r="AV551" s="7" t="s">
        <v>6999</v>
      </c>
      <c r="AW551" s="7"/>
      <c r="AX551" s="7"/>
      <c r="AY551" s="7"/>
      <c r="AZ551" s="7"/>
      <c r="BA551" s="7"/>
      <c r="BB551" s="7"/>
      <c r="BC551" s="7" t="s">
        <v>401</v>
      </c>
      <c r="BD551" s="21">
        <v>44158.10208333333</v>
      </c>
      <c r="BE551" s="7" t="s">
        <v>7000</v>
      </c>
      <c r="BF551" s="7"/>
      <c r="BG551" s="7"/>
      <c r="BH551" s="7">
        <v>3.93645155E8</v>
      </c>
      <c r="BI551" s="7" t="s">
        <v>4440</v>
      </c>
      <c r="BJ551" s="7"/>
      <c r="BK551" s="7" t="b">
        <v>0</v>
      </c>
      <c r="BL551" s="7" t="b">
        <v>0</v>
      </c>
      <c r="BM551" s="7"/>
      <c r="BN551" s="7" t="str">
        <f>IFERROR(__xludf.DUMMYFUNCTION(" IF( REGEXMATCH(C551 , ""[(].+[)]""),REGEXREPLACE( CONCATENATE(REGEXEXTRACT(C551 , ""[(].+[)]""),IF(REGEXMATCH(C551 , ""[(][Ll]['’][)]""),"""","" ""), REGEXEXTRACT(C551 ,""^(?:(?:[A-Za-zàäéèêîïöôûü0-9 ](?:[A-Za-zàäéèêîïöôûü'0-9 ]+)))"")) , ""[()]"", """")"&amp;",C551 )"),"Le Rond de Basse Vallée ")</f>
        <v>Le Rond de Basse Vallée </v>
      </c>
      <c r="BO551" s="25"/>
      <c r="BP551" s="7"/>
      <c r="BQ551" s="7"/>
      <c r="BR551" s="7"/>
      <c r="BS551" s="7"/>
      <c r="BT551" s="7"/>
      <c r="BU551" s="7"/>
      <c r="BV551" s="7"/>
      <c r="BW551" s="7"/>
      <c r="BX551" s="7"/>
      <c r="BY551" s="7"/>
      <c r="BZ551" s="7"/>
      <c r="CA551" s="7"/>
      <c r="CB551" s="7"/>
    </row>
    <row r="552" ht="21.75" customHeight="1">
      <c r="A552" s="7">
        <v>343.0</v>
      </c>
      <c r="B552" s="7" t="s">
        <v>7001</v>
      </c>
      <c r="C552" s="7" t="s">
        <v>6990</v>
      </c>
      <c r="D552" s="7" t="s">
        <v>6991</v>
      </c>
      <c r="E552" s="7"/>
      <c r="F552" s="7" t="s">
        <v>342</v>
      </c>
      <c r="G552" s="7" t="s">
        <v>343</v>
      </c>
      <c r="H552" s="7" t="s">
        <v>33</v>
      </c>
      <c r="I552" s="7" t="s">
        <v>6992</v>
      </c>
      <c r="J552" s="7"/>
      <c r="K552" s="7" t="s">
        <v>58</v>
      </c>
      <c r="L552" s="7" t="s">
        <v>453</v>
      </c>
      <c r="M552" s="7" t="s">
        <v>454</v>
      </c>
      <c r="N552" s="7" t="s">
        <v>1001</v>
      </c>
      <c r="O552" s="7">
        <v>97442.0</v>
      </c>
      <c r="P552" s="7" t="s">
        <v>33</v>
      </c>
      <c r="Q552" s="7"/>
      <c r="R552" s="7" t="s">
        <v>7002</v>
      </c>
      <c r="S552" s="7" t="s">
        <v>1108</v>
      </c>
      <c r="T552" s="7" t="s">
        <v>377</v>
      </c>
      <c r="U552" s="7" t="s">
        <v>353</v>
      </c>
      <c r="V552" s="7"/>
      <c r="W552" s="7">
        <v>6.92696551E8</v>
      </c>
      <c r="X552" s="7">
        <v>6.92854037E8</v>
      </c>
      <c r="Y552" s="7"/>
      <c r="Z552" s="7" t="s">
        <v>6993</v>
      </c>
      <c r="AA552" s="7">
        <v>8.0</v>
      </c>
      <c r="AB552" s="7" t="s">
        <v>788</v>
      </c>
      <c r="AC552" s="7" t="s">
        <v>7003</v>
      </c>
      <c r="AD552" s="7" t="s">
        <v>7004</v>
      </c>
      <c r="AE552" s="7" t="s">
        <v>7005</v>
      </c>
      <c r="AF552" s="7"/>
      <c r="AG552" s="7" t="s">
        <v>578</v>
      </c>
      <c r="AH552" s="20">
        <v>39575.0</v>
      </c>
      <c r="AI552" s="7"/>
      <c r="AJ552" s="7" t="s">
        <v>6996</v>
      </c>
      <c r="AK552" s="7">
        <v>3.936451550001E13</v>
      </c>
      <c r="AL552" s="7" t="s">
        <v>6997</v>
      </c>
      <c r="AM552" s="7" t="s">
        <v>6998</v>
      </c>
      <c r="AN552" s="20">
        <v>39575.0</v>
      </c>
      <c r="AO552" s="7">
        <v>97442.0</v>
      </c>
      <c r="AP552" s="7" t="s">
        <v>884</v>
      </c>
      <c r="AQ552" s="7"/>
      <c r="AR552" s="7"/>
      <c r="AS552" s="7"/>
      <c r="AT552" s="7"/>
      <c r="AU552" s="7">
        <v>4.0</v>
      </c>
      <c r="AV552" s="7" t="s">
        <v>6999</v>
      </c>
      <c r="AW552" s="7" t="s">
        <v>7006</v>
      </c>
      <c r="AX552" s="7"/>
      <c r="AY552" s="7"/>
      <c r="AZ552" s="7" t="s">
        <v>7007</v>
      </c>
      <c r="BA552" s="7"/>
      <c r="BB552" s="7"/>
      <c r="BC552" s="7" t="s">
        <v>401</v>
      </c>
      <c r="BD552" s="21">
        <v>44158.10208333333</v>
      </c>
      <c r="BE552" s="7" t="s">
        <v>7000</v>
      </c>
      <c r="BF552" s="7"/>
      <c r="BG552" s="7"/>
      <c r="BH552" s="7">
        <v>3.93645155E8</v>
      </c>
      <c r="BI552" s="7" t="s">
        <v>4440</v>
      </c>
      <c r="BJ552" s="7"/>
      <c r="BK552" s="7" t="b">
        <v>0</v>
      </c>
      <c r="BL552" s="7" t="b">
        <v>0</v>
      </c>
      <c r="BM552" s="7"/>
      <c r="BN552" s="7" t="str">
        <f>IFERROR(__xludf.DUMMYFUNCTION(" IF( REGEXMATCH(C552 , ""[(].+[)]""),REGEXREPLACE( CONCATENATE(REGEXEXTRACT(C552 , ""[(].+[)]""),IF(REGEXMATCH(C552 , ""[(][Ll]['’][)]""),"""","" ""), REGEXEXTRACT(C552 ,""^(?:(?:[A-Za-zàäéèêîïöôûü0-9 ](?:[A-Za-zàäéèêîïöôûü'0-9 ]+)))"")) , ""[()]"", """")"&amp;",C552 )"),"Le Rond de Basse Vallée ")</f>
        <v>Le Rond de Basse Vallée </v>
      </c>
      <c r="BO552" s="25"/>
      <c r="BP552" s="7"/>
      <c r="BQ552" s="7"/>
      <c r="BR552" s="7"/>
      <c r="BS552" s="7"/>
      <c r="BT552" s="7"/>
      <c r="BU552" s="7"/>
      <c r="BV552" s="7"/>
      <c r="BW552" s="7"/>
      <c r="BX552" s="7"/>
      <c r="BY552" s="7"/>
      <c r="BZ552" s="7"/>
      <c r="CA552" s="7"/>
      <c r="CB552" s="7"/>
    </row>
    <row r="553" ht="21.75" customHeight="1">
      <c r="A553" s="7">
        <v>2231.0</v>
      </c>
      <c r="B553" s="7" t="s">
        <v>7008</v>
      </c>
      <c r="C553" s="7" t="s">
        <v>7009</v>
      </c>
      <c r="D553" s="7" t="s">
        <v>7009</v>
      </c>
      <c r="E553" s="7"/>
      <c r="F553" s="7" t="s">
        <v>342</v>
      </c>
      <c r="G553" s="7" t="s">
        <v>343</v>
      </c>
      <c r="H553" s="7" t="s">
        <v>344</v>
      </c>
      <c r="I553" s="7" t="s">
        <v>7010</v>
      </c>
      <c r="J553" s="7"/>
      <c r="K553" s="7" t="s">
        <v>34</v>
      </c>
      <c r="L553" s="7" t="s">
        <v>485</v>
      </c>
      <c r="M553" s="7" t="s">
        <v>486</v>
      </c>
      <c r="N553" s="7" t="s">
        <v>455</v>
      </c>
      <c r="O553" s="7">
        <v>97430.0</v>
      </c>
      <c r="P553" s="7" t="s">
        <v>344</v>
      </c>
      <c r="Q553" s="7"/>
      <c r="R553" s="7" t="s">
        <v>487</v>
      </c>
      <c r="S553" s="7" t="s">
        <v>7011</v>
      </c>
      <c r="T553" s="7" t="s">
        <v>377</v>
      </c>
      <c r="U553" s="7" t="s">
        <v>378</v>
      </c>
      <c r="V553" s="7">
        <v>2.62278315E8</v>
      </c>
      <c r="W553" s="7"/>
      <c r="X553" s="7"/>
      <c r="Y553" s="7"/>
      <c r="Z553" s="7" t="s">
        <v>7012</v>
      </c>
      <c r="AA553" s="7">
        <v>25.0</v>
      </c>
      <c r="AB553" s="7"/>
      <c r="AC553" s="7"/>
      <c r="AD553" s="7" t="s">
        <v>7013</v>
      </c>
      <c r="AE553" s="7" t="s">
        <v>7014</v>
      </c>
      <c r="AF553" s="7"/>
      <c r="AG553" s="7" t="s">
        <v>578</v>
      </c>
      <c r="AH553" s="20">
        <v>43739.0</v>
      </c>
      <c r="AI553" s="7"/>
      <c r="AJ553" s="7" t="s">
        <v>7015</v>
      </c>
      <c r="AK553" s="7"/>
      <c r="AL553" s="7" t="s">
        <v>7016</v>
      </c>
      <c r="AM553" s="7" t="s">
        <v>7017</v>
      </c>
      <c r="AN553" s="20">
        <v>43739.0</v>
      </c>
      <c r="AO553" s="7">
        <v>97430.0</v>
      </c>
      <c r="AP553" s="7" t="s">
        <v>494</v>
      </c>
      <c r="AQ553" s="7"/>
      <c r="AR553" s="7"/>
      <c r="AS553" s="7"/>
      <c r="AT553" s="7"/>
      <c r="AU553" s="7">
        <v>0.0</v>
      </c>
      <c r="AV553" s="7" t="s">
        <v>7018</v>
      </c>
      <c r="AW553" s="7"/>
      <c r="AX553" s="7"/>
      <c r="AY553" s="7"/>
      <c r="AZ553" s="7"/>
      <c r="BA553" s="7"/>
      <c r="BB553" s="7"/>
      <c r="BC553" s="7" t="s">
        <v>401</v>
      </c>
      <c r="BD553" s="21">
        <v>44244.0</v>
      </c>
      <c r="BE553" s="7" t="s">
        <v>5151</v>
      </c>
      <c r="BF553" s="7"/>
      <c r="BG553" s="7"/>
      <c r="BH553" s="7"/>
      <c r="BI553" s="7" t="s">
        <v>7019</v>
      </c>
      <c r="BJ553" s="7"/>
      <c r="BK553" s="7" t="b">
        <v>0</v>
      </c>
      <c r="BL553" s="7" t="b">
        <v>0</v>
      </c>
      <c r="BM553" s="7"/>
      <c r="BN553" s="7" t="str">
        <f>IFERROR(__xludf.DUMMYFUNCTION(" IF( REGEXMATCH(C553 , ""[(].+[)]""),REGEXREPLACE( CONCATENATE(REGEXEXTRACT(C553 , ""[(].+[)]""),IF(REGEXMATCH(C553 , ""[(][Ll]['’][)]""),"""","" ""), REGEXEXTRACT(C553 ,""^(?:(?:[A-Za-zàäéèêîïöôûü0-9 ](?:[A-Za-zàäéèêîïöôûü'0-9 ]+)))"")) , ""[()]"", """")"&amp;",C553 )"),"Rosaces")</f>
        <v>Rosaces</v>
      </c>
      <c r="BO553" s="25"/>
      <c r="BP553" s="7"/>
      <c r="BQ553" s="7"/>
      <c r="BR553" s="7"/>
      <c r="BS553" s="7"/>
      <c r="BT553" s="7"/>
      <c r="BU553" s="7"/>
      <c r="BV553" s="7"/>
      <c r="BW553" s="7"/>
      <c r="BX553" s="7"/>
      <c r="BY553" s="7"/>
      <c r="BZ553" s="7"/>
      <c r="CA553" s="7"/>
      <c r="CB553" s="7"/>
    </row>
    <row r="554" ht="21.75" customHeight="1">
      <c r="A554" s="7">
        <v>1785.0</v>
      </c>
      <c r="B554" s="7" t="s">
        <v>7020</v>
      </c>
      <c r="C554" s="7" t="s">
        <v>7009</v>
      </c>
      <c r="D554" s="7"/>
      <c r="E554" s="7"/>
      <c r="F554" s="7" t="s">
        <v>342</v>
      </c>
      <c r="G554" s="7" t="s">
        <v>343</v>
      </c>
      <c r="H554" s="7" t="s">
        <v>344</v>
      </c>
      <c r="I554" s="7" t="s">
        <v>7010</v>
      </c>
      <c r="J554" s="7"/>
      <c r="K554" s="7" t="s">
        <v>58</v>
      </c>
      <c r="L554" s="7" t="s">
        <v>453</v>
      </c>
      <c r="M554" s="7" t="s">
        <v>454</v>
      </c>
      <c r="N554" s="7" t="s">
        <v>455</v>
      </c>
      <c r="O554" s="7">
        <v>97430.0</v>
      </c>
      <c r="P554" s="7" t="s">
        <v>344</v>
      </c>
      <c r="Q554" s="7"/>
      <c r="R554" s="7" t="s">
        <v>7021</v>
      </c>
      <c r="S554" s="7" t="s">
        <v>7022</v>
      </c>
      <c r="T554" s="7" t="s">
        <v>377</v>
      </c>
      <c r="U554" s="7" t="s">
        <v>353</v>
      </c>
      <c r="V554" s="7">
        <v>2.62278315E8</v>
      </c>
      <c r="W554" s="7"/>
      <c r="X554" s="7"/>
      <c r="Y554" s="7"/>
      <c r="Z554" s="7" t="s">
        <v>7012</v>
      </c>
      <c r="AA554" s="7">
        <v>2.0</v>
      </c>
      <c r="AB554" s="7" t="s">
        <v>788</v>
      </c>
      <c r="AC554" s="7"/>
      <c r="AD554" s="7" t="s">
        <v>7023</v>
      </c>
      <c r="AE554" s="7" t="s">
        <v>7014</v>
      </c>
      <c r="AF554" s="7"/>
      <c r="AG554" s="7" t="s">
        <v>578</v>
      </c>
      <c r="AH554" s="20">
        <v>43739.0</v>
      </c>
      <c r="AI554" s="7"/>
      <c r="AJ554" s="7" t="s">
        <v>7015</v>
      </c>
      <c r="AK554" s="7"/>
      <c r="AL554" s="7" t="s">
        <v>7016</v>
      </c>
      <c r="AM554" s="7" t="s">
        <v>7017</v>
      </c>
      <c r="AN554" s="20">
        <v>43739.0</v>
      </c>
      <c r="AO554" s="7">
        <v>97430.0</v>
      </c>
      <c r="AP554" s="7" t="s">
        <v>494</v>
      </c>
      <c r="AQ554" s="7"/>
      <c r="AR554" s="7"/>
      <c r="AS554" s="7"/>
      <c r="AT554" s="7"/>
      <c r="AU554" s="7">
        <v>1.0</v>
      </c>
      <c r="AV554" s="7" t="s">
        <v>7018</v>
      </c>
      <c r="AW554" s="7"/>
      <c r="AX554" s="7" t="s">
        <v>7024</v>
      </c>
      <c r="AY554" s="7" t="s">
        <v>1829</v>
      </c>
      <c r="AZ554" s="7" t="s">
        <v>7025</v>
      </c>
      <c r="BA554" s="7"/>
      <c r="BB554" s="7"/>
      <c r="BC554" s="7" t="s">
        <v>401</v>
      </c>
      <c r="BD554" s="21">
        <v>44244.0</v>
      </c>
      <c r="BE554" s="7" t="s">
        <v>5151</v>
      </c>
      <c r="BF554" s="7"/>
      <c r="BG554" s="7"/>
      <c r="BH554" s="7"/>
      <c r="BI554" s="7" t="s">
        <v>7019</v>
      </c>
      <c r="BJ554" s="7"/>
      <c r="BK554" s="7" t="b">
        <v>0</v>
      </c>
      <c r="BL554" s="7" t="b">
        <v>0</v>
      </c>
      <c r="BM554" s="7"/>
      <c r="BN554" s="7" t="str">
        <f>IFERROR(__xludf.DUMMYFUNCTION(" IF( REGEXMATCH(C554 , ""[(].+[)]""),REGEXREPLACE( CONCATENATE(REGEXEXTRACT(C554 , ""[(].+[)]""),IF(REGEXMATCH(C554 , ""[(][Ll]['’][)]""),"""","" ""), REGEXEXTRACT(C554 ,""^(?:(?:[A-Za-zàäéèêîïöôûü0-9 ](?:[A-Za-zàäéèêîïöôûü'0-9 ]+)))"")) , ""[()]"", """")"&amp;",C554 )"),"Rosaces")</f>
        <v>Rosaces</v>
      </c>
      <c r="BO554" s="25"/>
      <c r="BP554" s="7"/>
      <c r="BQ554" s="7"/>
      <c r="BR554" s="7"/>
      <c r="BS554" s="7"/>
      <c r="BT554" s="7"/>
      <c r="BU554" s="7"/>
      <c r="BV554" s="7"/>
      <c r="BW554" s="7"/>
      <c r="BX554" s="7"/>
      <c r="BY554" s="7"/>
      <c r="BZ554" s="7"/>
      <c r="CA554" s="7"/>
      <c r="CB554" s="7"/>
    </row>
    <row r="555" ht="21.75" customHeight="1">
      <c r="A555" s="7">
        <v>3391.0</v>
      </c>
      <c r="B555" s="7" t="s">
        <v>7026</v>
      </c>
      <c r="C555" s="7" t="s">
        <v>7027</v>
      </c>
      <c r="D555" s="7" t="s">
        <v>4425</v>
      </c>
      <c r="E555" s="7"/>
      <c r="F555" s="7" t="s">
        <v>342</v>
      </c>
      <c r="G555" s="7" t="s">
        <v>343</v>
      </c>
      <c r="H555" s="7" t="s">
        <v>123</v>
      </c>
      <c r="I555" s="7" t="s">
        <v>7028</v>
      </c>
      <c r="J555" s="26" t="s">
        <v>7029</v>
      </c>
      <c r="K555" s="7" t="s">
        <v>58</v>
      </c>
      <c r="L555" s="7" t="s">
        <v>453</v>
      </c>
      <c r="M555" s="7" t="s">
        <v>454</v>
      </c>
      <c r="N555" s="7" t="s">
        <v>407</v>
      </c>
      <c r="O555" s="7">
        <v>97480.0</v>
      </c>
      <c r="P555" s="7" t="s">
        <v>123</v>
      </c>
      <c r="Q555" s="7" t="s">
        <v>946</v>
      </c>
      <c r="R555" s="7" t="s">
        <v>7030</v>
      </c>
      <c r="S555" s="7" t="s">
        <v>1551</v>
      </c>
      <c r="T555" s="7" t="s">
        <v>377</v>
      </c>
      <c r="U555" s="7" t="s">
        <v>1698</v>
      </c>
      <c r="V555" s="7">
        <v>2.62688556E8</v>
      </c>
      <c r="W555" s="7">
        <v>6.92732271E8</v>
      </c>
      <c r="X555" s="7"/>
      <c r="Y555" s="7"/>
      <c r="Z555" s="7" t="s">
        <v>7031</v>
      </c>
      <c r="AA555" s="7">
        <v>10.0</v>
      </c>
      <c r="AB555" s="7"/>
      <c r="AC555" s="7" t="s">
        <v>7032</v>
      </c>
      <c r="AD555" s="7" t="s">
        <v>7033</v>
      </c>
      <c r="AE555" s="7" t="s">
        <v>7034</v>
      </c>
      <c r="AF555" s="7"/>
      <c r="AG555" s="7"/>
      <c r="AH555" s="20">
        <v>41465.0</v>
      </c>
      <c r="AI555" s="7"/>
      <c r="AJ555" s="7" t="s">
        <v>7035</v>
      </c>
      <c r="AK555" s="7">
        <v>5.3938219200018E13</v>
      </c>
      <c r="AL555" s="7" t="s">
        <v>7036</v>
      </c>
      <c r="AM555" s="7" t="s">
        <v>7037</v>
      </c>
      <c r="AN555" s="20">
        <v>41465.0</v>
      </c>
      <c r="AO555" s="7">
        <v>97480.0</v>
      </c>
      <c r="AP555" s="7" t="s">
        <v>385</v>
      </c>
      <c r="AQ555" s="7"/>
      <c r="AR555" s="7"/>
      <c r="AS555" s="7"/>
      <c r="AT555" s="7"/>
      <c r="AU555" s="7">
        <v>2.0</v>
      </c>
      <c r="AV555" s="7" t="s">
        <v>7038</v>
      </c>
      <c r="AW555" s="7"/>
      <c r="AX555" s="7"/>
      <c r="AY555" s="7"/>
      <c r="AZ555" s="7" t="s">
        <v>7039</v>
      </c>
      <c r="BA555" s="7"/>
      <c r="BB555" s="7"/>
      <c r="BC555" s="7" t="s">
        <v>401</v>
      </c>
      <c r="BD555" s="21">
        <v>44173.12152777778</v>
      </c>
      <c r="BE555" s="7" t="s">
        <v>2401</v>
      </c>
      <c r="BF555" s="7"/>
      <c r="BG555" s="7"/>
      <c r="BH555" s="7">
        <v>5.39382192E8</v>
      </c>
      <c r="BI555" s="7" t="s">
        <v>7040</v>
      </c>
      <c r="BJ555" s="7"/>
      <c r="BK555" s="7" t="b">
        <v>0</v>
      </c>
      <c r="BL555" s="7" t="b">
        <v>0</v>
      </c>
      <c r="BM555" s="7"/>
      <c r="BN555" s="7" t="str">
        <f>IFERROR(__xludf.DUMMYFUNCTION(" IF( REGEXMATCH(C555 , ""[(].+[)]""),REGEXREPLACE( CONCATENATE(REGEXEXTRACT(C555 , ""[(].+[)]""),IF(REGEXMATCH(C555 , ""[(][Ll]['’][)]""),"""","" ""), REGEXEXTRACT(C555 ,""^(?:(?:[A-Za-zàäéèêîïöôûü0-9 ](?:[A-Za-zàäéèêîïöôûü'0-9 ]+)))"")) , ""[()]"", """")"&amp;",C555 )"),"La Rose du Sud ")</f>
        <v>La Rose du Sud </v>
      </c>
      <c r="BO555" s="25"/>
      <c r="BP555" s="7"/>
      <c r="BQ555" s="7"/>
      <c r="BR555" s="7"/>
      <c r="BS555" s="7"/>
      <c r="BT555" s="7"/>
      <c r="BU555" s="7"/>
      <c r="BV555" s="7"/>
      <c r="BW555" s="7"/>
      <c r="BX555" s="7"/>
      <c r="BY555" s="7"/>
      <c r="BZ555" s="7"/>
      <c r="CA555" s="7"/>
      <c r="CB555" s="7"/>
    </row>
    <row r="556" ht="21.75" customHeight="1">
      <c r="A556" s="7">
        <v>3390.0</v>
      </c>
      <c r="B556" s="7" t="s">
        <v>7041</v>
      </c>
      <c r="C556" s="7" t="s">
        <v>7027</v>
      </c>
      <c r="D556" s="7" t="s">
        <v>7042</v>
      </c>
      <c r="E556" s="7"/>
      <c r="F556" s="7" t="s">
        <v>342</v>
      </c>
      <c r="G556" s="7" t="s">
        <v>343</v>
      </c>
      <c r="H556" s="7" t="s">
        <v>123</v>
      </c>
      <c r="I556" s="7" t="s">
        <v>7028</v>
      </c>
      <c r="J556" s="26" t="s">
        <v>7029</v>
      </c>
      <c r="K556" s="7" t="s">
        <v>58</v>
      </c>
      <c r="L556" s="7" t="s">
        <v>59</v>
      </c>
      <c r="M556" s="7" t="s">
        <v>545</v>
      </c>
      <c r="N556" s="7" t="s">
        <v>455</v>
      </c>
      <c r="O556" s="7">
        <v>97480.0</v>
      </c>
      <c r="P556" s="7" t="s">
        <v>123</v>
      </c>
      <c r="Q556" s="7" t="s">
        <v>946</v>
      </c>
      <c r="R556" s="7" t="s">
        <v>7043</v>
      </c>
      <c r="S556" s="7" t="s">
        <v>1551</v>
      </c>
      <c r="T556" s="7" t="s">
        <v>377</v>
      </c>
      <c r="U556" s="7" t="s">
        <v>1698</v>
      </c>
      <c r="V556" s="7">
        <v>2.62688556E8</v>
      </c>
      <c r="W556" s="7">
        <v>6.92732271E8</v>
      </c>
      <c r="X556" s="7"/>
      <c r="Y556" s="7"/>
      <c r="Z556" s="7" t="s">
        <v>7031</v>
      </c>
      <c r="AA556" s="7">
        <v>10.0</v>
      </c>
      <c r="AB556" s="7"/>
      <c r="AC556" s="7" t="s">
        <v>7044</v>
      </c>
      <c r="AD556" s="7" t="s">
        <v>7045</v>
      </c>
      <c r="AE556" s="7" t="s">
        <v>7034</v>
      </c>
      <c r="AF556" s="7"/>
      <c r="AG556" s="7"/>
      <c r="AH556" s="20">
        <v>41465.0</v>
      </c>
      <c r="AI556" s="7"/>
      <c r="AJ556" s="7" t="s">
        <v>7035</v>
      </c>
      <c r="AK556" s="7">
        <v>5.3938219200018E13</v>
      </c>
      <c r="AL556" s="7" t="s">
        <v>7036</v>
      </c>
      <c r="AM556" s="7" t="s">
        <v>7037</v>
      </c>
      <c r="AN556" s="20">
        <v>41465.0</v>
      </c>
      <c r="AO556" s="7">
        <v>97480.0</v>
      </c>
      <c r="AP556" s="7" t="s">
        <v>385</v>
      </c>
      <c r="AQ556" s="7"/>
      <c r="AR556" s="7"/>
      <c r="AS556" s="7"/>
      <c r="AT556" s="7"/>
      <c r="AU556" s="7">
        <v>3.0</v>
      </c>
      <c r="AV556" s="7" t="s">
        <v>7038</v>
      </c>
      <c r="AW556" s="7"/>
      <c r="AX556" s="7"/>
      <c r="AY556" s="7"/>
      <c r="AZ556" s="7" t="s">
        <v>7046</v>
      </c>
      <c r="BA556" s="7"/>
      <c r="BB556" s="7"/>
      <c r="BC556" s="7" t="s">
        <v>401</v>
      </c>
      <c r="BD556" s="21">
        <v>44173.12152777778</v>
      </c>
      <c r="BE556" s="7" t="s">
        <v>7047</v>
      </c>
      <c r="BF556" s="7"/>
      <c r="BG556" s="7"/>
      <c r="BH556" s="7">
        <v>5.39382192E8</v>
      </c>
      <c r="BI556" s="7" t="s">
        <v>7040</v>
      </c>
      <c r="BJ556" s="7"/>
      <c r="BK556" s="7" t="b">
        <v>0</v>
      </c>
      <c r="BL556" s="7" t="b">
        <v>0</v>
      </c>
      <c r="BM556" s="7"/>
      <c r="BN556" s="7" t="str">
        <f>IFERROR(__xludf.DUMMYFUNCTION(" IF( REGEXMATCH(C556 , ""[(].+[)]""),REGEXREPLACE( CONCATENATE(REGEXEXTRACT(C556 , ""[(].+[)]""),IF(REGEXMATCH(C556 , ""[(][Ll]['’][)]""),"""","" ""), REGEXEXTRACT(C556 ,""^(?:(?:[A-Za-zàäéèêîïöôûü0-9 ](?:[A-Za-zàäéèêîïöôûü'0-9 ]+)))"")) , ""[()]"", """")"&amp;",C556 )"),"La Rose du Sud ")</f>
        <v>La Rose du Sud </v>
      </c>
      <c r="BO556" s="25"/>
      <c r="BP556" s="7"/>
      <c r="BQ556" s="7"/>
      <c r="BR556" s="7"/>
      <c r="BS556" s="7"/>
      <c r="BT556" s="7"/>
      <c r="BU556" s="7"/>
      <c r="BV556" s="7"/>
      <c r="BW556" s="7"/>
      <c r="BX556" s="7"/>
      <c r="BY556" s="7"/>
      <c r="BZ556" s="7"/>
      <c r="CA556" s="7"/>
      <c r="CB556" s="7"/>
    </row>
    <row r="557" ht="21.75" customHeight="1">
      <c r="A557" s="7">
        <v>842.0</v>
      </c>
      <c r="B557" s="7">
        <v>556.0</v>
      </c>
      <c r="C557" s="7" t="s">
        <v>7048</v>
      </c>
      <c r="D557" s="7"/>
      <c r="E557" s="7"/>
      <c r="F557" s="7" t="s">
        <v>342</v>
      </c>
      <c r="G557" s="7" t="s">
        <v>343</v>
      </c>
      <c r="H557" s="7" t="s">
        <v>344</v>
      </c>
      <c r="I557" s="7" t="s">
        <v>7049</v>
      </c>
      <c r="J557" s="7"/>
      <c r="K557" s="7" t="s">
        <v>58</v>
      </c>
      <c r="L557" s="7" t="s">
        <v>453</v>
      </c>
      <c r="M557" s="7" t="s">
        <v>454</v>
      </c>
      <c r="N557" s="7" t="s">
        <v>347</v>
      </c>
      <c r="O557" s="7">
        <v>97430.0</v>
      </c>
      <c r="P557" s="7" t="s">
        <v>344</v>
      </c>
      <c r="Q557" s="7"/>
      <c r="R557" s="7" t="s">
        <v>7050</v>
      </c>
      <c r="S557" s="7" t="s">
        <v>7051</v>
      </c>
      <c r="T557" s="7" t="s">
        <v>377</v>
      </c>
      <c r="U557" s="7" t="s">
        <v>592</v>
      </c>
      <c r="V557" s="7">
        <v>2.62010985E8</v>
      </c>
      <c r="W557" s="7">
        <v>6.92692426E8</v>
      </c>
      <c r="X557" s="7"/>
      <c r="Y557" s="7"/>
      <c r="Z557" s="7" t="s">
        <v>7052</v>
      </c>
      <c r="AA557" s="7">
        <v>7.0</v>
      </c>
      <c r="AB557" s="7" t="s">
        <v>574</v>
      </c>
      <c r="AC557" s="7" t="s">
        <v>7053</v>
      </c>
      <c r="AD557" s="7" t="s">
        <v>7054</v>
      </c>
      <c r="AE557" s="7" t="s">
        <v>7055</v>
      </c>
      <c r="AF557" s="7"/>
      <c r="AG557" s="7" t="s">
        <v>578</v>
      </c>
      <c r="AH557" s="20">
        <v>39666.0</v>
      </c>
      <c r="AI557" s="7"/>
      <c r="AJ557" s="7" t="s">
        <v>7056</v>
      </c>
      <c r="AK557" s="7"/>
      <c r="AL557" s="7" t="s">
        <v>7057</v>
      </c>
      <c r="AM557" s="7" t="s">
        <v>7058</v>
      </c>
      <c r="AN557" s="20">
        <v>39575.0</v>
      </c>
      <c r="AO557" s="7">
        <v>97430.0</v>
      </c>
      <c r="AP557" s="7" t="s">
        <v>494</v>
      </c>
      <c r="AQ557" s="7"/>
      <c r="AR557" s="7"/>
      <c r="AS557" s="7"/>
      <c r="AT557" s="7"/>
      <c r="AU557" s="7">
        <v>3.0</v>
      </c>
      <c r="AV557" s="7" t="s">
        <v>7059</v>
      </c>
      <c r="AW557" s="7" t="s">
        <v>7060</v>
      </c>
      <c r="AX557" s="7"/>
      <c r="AY557" s="7"/>
      <c r="AZ557" s="7" t="s">
        <v>7061</v>
      </c>
      <c r="BA557" s="7"/>
      <c r="BB557" s="7"/>
      <c r="BC557" s="7" t="s">
        <v>366</v>
      </c>
      <c r="BD557" s="21">
        <v>44161.13888888889</v>
      </c>
      <c r="BE557" s="7"/>
      <c r="BF557" s="7"/>
      <c r="BG557" s="22">
        <v>44161.0</v>
      </c>
      <c r="BH557" s="7"/>
      <c r="BI557" s="7" t="s">
        <v>7062</v>
      </c>
      <c r="BJ557" s="7"/>
      <c r="BK557" s="7" t="b">
        <v>0</v>
      </c>
      <c r="BL557" s="7" t="b">
        <v>0</v>
      </c>
      <c r="BM557" s="7"/>
      <c r="BN557" s="7" t="str">
        <f>IFERROR(__xludf.DUMMYFUNCTION(" IF( REGEXMATCH(C557 , ""[(].+[)]""),REGEXREPLACE( CONCATENATE(REGEXEXTRACT(C557 , ""[(].+[)]""),IF(REGEXMATCH(C557 , ""[(][Ll]['’][)]""),"""","" ""), REGEXEXTRACT(C557 ,""^(?:(?:[A-Za-zàäéèêîïöôûü0-9 ](?:[A-Za-zàäéèêîïöôûü'0-9 ]+)))"")) , ""[()]"", """")"&amp;",C557 )"),"Le Rosier ")</f>
        <v>Le Rosier </v>
      </c>
      <c r="BO557" s="23"/>
      <c r="BP557" s="7"/>
      <c r="BQ557" s="7"/>
      <c r="BR557" s="7"/>
      <c r="BS557" s="7"/>
      <c r="BT557" s="7"/>
      <c r="BU557" s="7"/>
      <c r="BV557" s="7"/>
      <c r="BW557" s="7"/>
      <c r="BX557" s="7"/>
      <c r="BY557" s="7"/>
      <c r="BZ557" s="7"/>
      <c r="CA557" s="7"/>
      <c r="CB557" s="7"/>
    </row>
    <row r="558" ht="21.75" customHeight="1">
      <c r="A558" s="7">
        <v>841.0</v>
      </c>
      <c r="B558" s="7">
        <v>557.0</v>
      </c>
      <c r="C558" s="7" t="s">
        <v>7048</v>
      </c>
      <c r="D558" s="7" t="s">
        <v>7063</v>
      </c>
      <c r="E558" s="7"/>
      <c r="F558" s="7" t="s">
        <v>404</v>
      </c>
      <c r="G558" s="7" t="s">
        <v>343</v>
      </c>
      <c r="H558" s="7" t="s">
        <v>344</v>
      </c>
      <c r="I558" s="7" t="s">
        <v>7064</v>
      </c>
      <c r="J558" s="7"/>
      <c r="K558" s="7" t="s">
        <v>34</v>
      </c>
      <c r="L558" s="7" t="s">
        <v>485</v>
      </c>
      <c r="M558" s="7" t="s">
        <v>486</v>
      </c>
      <c r="N558" s="7" t="s">
        <v>347</v>
      </c>
      <c r="O558" s="7">
        <v>97430.0</v>
      </c>
      <c r="P558" s="7" t="s">
        <v>344</v>
      </c>
      <c r="Q558" s="7"/>
      <c r="R558" s="7" t="s">
        <v>1026</v>
      </c>
      <c r="S558" s="7" t="s">
        <v>7065</v>
      </c>
      <c r="T558" s="7" t="s">
        <v>377</v>
      </c>
      <c r="U558" s="7" t="s">
        <v>592</v>
      </c>
      <c r="V558" s="7">
        <v>2.62010985E8</v>
      </c>
      <c r="W558" s="7">
        <v>6.92692426E8</v>
      </c>
      <c r="X558" s="7"/>
      <c r="Y558" s="7"/>
      <c r="Z558" s="7" t="s">
        <v>7052</v>
      </c>
      <c r="AA558" s="7">
        <v>25.0</v>
      </c>
      <c r="AB558" s="7"/>
      <c r="AC558" s="7"/>
      <c r="AD558" s="7" t="s">
        <v>7066</v>
      </c>
      <c r="AE558" s="7" t="s">
        <v>7067</v>
      </c>
      <c r="AF558" s="7"/>
      <c r="AG558" s="7" t="s">
        <v>578</v>
      </c>
      <c r="AH558" s="20">
        <v>39575.0</v>
      </c>
      <c r="AI558" s="7"/>
      <c r="AJ558" s="7" t="s">
        <v>7056</v>
      </c>
      <c r="AK558" s="7"/>
      <c r="AL558" s="7" t="s">
        <v>7057</v>
      </c>
      <c r="AM558" s="7" t="s">
        <v>7058</v>
      </c>
      <c r="AN558" s="20">
        <v>39575.0</v>
      </c>
      <c r="AO558" s="7">
        <v>97430.0</v>
      </c>
      <c r="AP558" s="7" t="s">
        <v>494</v>
      </c>
      <c r="AQ558" s="7"/>
      <c r="AR558" s="7"/>
      <c r="AS558" s="7"/>
      <c r="AT558" s="7"/>
      <c r="AU558" s="7">
        <v>0.0</v>
      </c>
      <c r="AV558" s="7" t="s">
        <v>7059</v>
      </c>
      <c r="AW558" s="7"/>
      <c r="AX558" s="7"/>
      <c r="AY558" s="7"/>
      <c r="AZ558" s="7"/>
      <c r="BA558" s="7"/>
      <c r="BB558" s="7"/>
      <c r="BC558" s="7" t="s">
        <v>366</v>
      </c>
      <c r="BD558" s="21">
        <v>44161.13888888889</v>
      </c>
      <c r="BE558" s="7"/>
      <c r="BF558" s="7"/>
      <c r="BG558" s="22">
        <v>44161.0</v>
      </c>
      <c r="BH558" s="7"/>
      <c r="BI558" s="7" t="s">
        <v>7062</v>
      </c>
      <c r="BJ558" s="7"/>
      <c r="BK558" s="7" t="b">
        <v>0</v>
      </c>
      <c r="BL558" s="7" t="b">
        <v>0</v>
      </c>
      <c r="BM558" s="7"/>
      <c r="BN558" s="7" t="str">
        <f>IFERROR(__xludf.DUMMYFUNCTION(" IF( REGEXMATCH(C558 , ""[(].+[)]""),REGEXREPLACE( CONCATENATE(REGEXEXTRACT(C558 , ""[(].+[)]""),IF(REGEXMATCH(C558 , ""[(][Ll]['’][)]""),"""","" ""), REGEXEXTRACT(C558 ,""^(?:(?:[A-Za-zàäéèêîïöôûü0-9 ](?:[A-Za-zàäéèêîïöôûü'0-9 ]+)))"")) , ""[()]"", """")"&amp;",C558 )"),"Le Rosier ")</f>
        <v>Le Rosier </v>
      </c>
      <c r="BO558" s="23"/>
      <c r="BP558" s="7"/>
      <c r="BQ558" s="7"/>
      <c r="BR558" s="7"/>
      <c r="BS558" s="7"/>
      <c r="BT558" s="7"/>
      <c r="BU558" s="7"/>
      <c r="BV558" s="7"/>
      <c r="BW558" s="7"/>
      <c r="BX558" s="7"/>
      <c r="BY558" s="7"/>
      <c r="BZ558" s="7"/>
      <c r="CA558" s="7"/>
      <c r="CB558" s="7"/>
    </row>
    <row r="559" ht="21.75" customHeight="1">
      <c r="A559" s="7">
        <v>3308.0</v>
      </c>
      <c r="B559" s="7">
        <v>558.0</v>
      </c>
      <c r="C559" s="7" t="s">
        <v>7063</v>
      </c>
      <c r="D559" s="7" t="s">
        <v>7068</v>
      </c>
      <c r="E559" s="7"/>
      <c r="F559" s="7" t="s">
        <v>404</v>
      </c>
      <c r="G559" s="7" t="s">
        <v>343</v>
      </c>
      <c r="H559" s="7" t="s">
        <v>344</v>
      </c>
      <c r="I559" s="7" t="s">
        <v>7069</v>
      </c>
      <c r="J559" s="7"/>
      <c r="K559" s="7" t="s">
        <v>58</v>
      </c>
      <c r="L559" s="7" t="s">
        <v>59</v>
      </c>
      <c r="M559" s="7" t="s">
        <v>2013</v>
      </c>
      <c r="N559" s="7" t="s">
        <v>455</v>
      </c>
      <c r="O559" s="7">
        <v>97430.0</v>
      </c>
      <c r="P559" s="7" t="s">
        <v>344</v>
      </c>
      <c r="Q559" s="7"/>
      <c r="R559" s="7" t="s">
        <v>7070</v>
      </c>
      <c r="S559" s="7" t="s">
        <v>7071</v>
      </c>
      <c r="T559" s="7" t="s">
        <v>377</v>
      </c>
      <c r="U559" s="7" t="s">
        <v>592</v>
      </c>
      <c r="V559" s="7">
        <v>2.62571964E8</v>
      </c>
      <c r="W559" s="7">
        <v>6.92625027E8</v>
      </c>
      <c r="X559" s="7"/>
      <c r="Y559" s="7"/>
      <c r="Z559" s="7" t="s">
        <v>7052</v>
      </c>
      <c r="AA559" s="7">
        <v>5.0</v>
      </c>
      <c r="AB559" s="7" t="s">
        <v>788</v>
      </c>
      <c r="AC559" s="7" t="s">
        <v>7072</v>
      </c>
      <c r="AD559" s="7" t="s">
        <v>7073</v>
      </c>
      <c r="AE559" s="7" t="s">
        <v>7074</v>
      </c>
      <c r="AF559" s="7"/>
      <c r="AG559" s="7" t="s">
        <v>578</v>
      </c>
      <c r="AH559" s="20">
        <v>41281.0</v>
      </c>
      <c r="AI559" s="7"/>
      <c r="AJ559" s="7" t="s">
        <v>7056</v>
      </c>
      <c r="AK559" s="7"/>
      <c r="AL559" s="7" t="s">
        <v>7057</v>
      </c>
      <c r="AM559" s="7" t="s">
        <v>7058</v>
      </c>
      <c r="AN559" s="20">
        <v>39575.0</v>
      </c>
      <c r="AO559" s="7">
        <v>97430.0</v>
      </c>
      <c r="AP559" s="7" t="s">
        <v>494</v>
      </c>
      <c r="AQ559" s="7"/>
      <c r="AR559" s="7"/>
      <c r="AS559" s="7"/>
      <c r="AT559" s="7"/>
      <c r="AU559" s="7">
        <v>1.0</v>
      </c>
      <c r="AV559" s="7" t="s">
        <v>7059</v>
      </c>
      <c r="AW559" s="7" t="s">
        <v>7075</v>
      </c>
      <c r="AX559" s="7"/>
      <c r="AY559" s="7"/>
      <c r="AZ559" s="7"/>
      <c r="BA559" s="7"/>
      <c r="BB559" s="7"/>
      <c r="BC559" s="7" t="s">
        <v>366</v>
      </c>
      <c r="BD559" s="21">
        <v>44161.13888888889</v>
      </c>
      <c r="BE559" s="7"/>
      <c r="BF559" s="7"/>
      <c r="BG559" s="22">
        <v>44161.0</v>
      </c>
      <c r="BH559" s="7"/>
      <c r="BI559" s="7" t="s">
        <v>7062</v>
      </c>
      <c r="BJ559" s="7"/>
      <c r="BK559" s="7" t="b">
        <v>0</v>
      </c>
      <c r="BL559" s="7" t="b">
        <v>0</v>
      </c>
      <c r="BM559" s="7"/>
      <c r="BN559" s="7" t="str">
        <f>IFERROR(__xludf.DUMMYFUNCTION(" IF( REGEXMATCH(C559 , ""[(].+[)]""),REGEXREPLACE( CONCATENATE(REGEXEXTRACT(C559 , ""[(].+[)]""),IF(REGEXMATCH(C559 , ""[(][Ll]['’][)]""),"""","" ""), REGEXEXTRACT(C559 ,""^(?:(?:[A-Za-zàäéèêîïöôûü0-9 ](?:[A-Za-zàäéèêîïöôûü'0-9 ]+)))"")) , ""[()]"", """")"&amp;",C559 )"),"Le Rosier")</f>
        <v>Le Rosier</v>
      </c>
      <c r="BO559" s="23"/>
      <c r="BP559" s="7"/>
      <c r="BQ559" s="7"/>
      <c r="BR559" s="7"/>
      <c r="BS559" s="7"/>
      <c r="BT559" s="7"/>
      <c r="BU559" s="7"/>
      <c r="BV559" s="7"/>
      <c r="BW559" s="7"/>
      <c r="BX559" s="7"/>
      <c r="BY559" s="7"/>
      <c r="BZ559" s="7"/>
      <c r="CA559" s="7"/>
      <c r="CB559" s="7"/>
    </row>
    <row r="560" ht="21.75" customHeight="1">
      <c r="A560" s="7">
        <v>2936.0</v>
      </c>
      <c r="B560" s="7">
        <v>559.0</v>
      </c>
      <c r="C560" s="7" t="s">
        <v>7076</v>
      </c>
      <c r="D560" s="7" t="s">
        <v>7077</v>
      </c>
      <c r="E560" s="7"/>
      <c r="F560" s="7" t="s">
        <v>342</v>
      </c>
      <c r="G560" s="7" t="s">
        <v>343</v>
      </c>
      <c r="H560" s="7" t="s">
        <v>40</v>
      </c>
      <c r="I560" s="7" t="s">
        <v>7078</v>
      </c>
      <c r="J560" s="7"/>
      <c r="K560" s="7" t="s">
        <v>58</v>
      </c>
      <c r="L560" s="7" t="s">
        <v>59</v>
      </c>
      <c r="M560" s="7" t="s">
        <v>2013</v>
      </c>
      <c r="N560" s="7" t="s">
        <v>407</v>
      </c>
      <c r="O560" s="7">
        <v>97414.0</v>
      </c>
      <c r="P560" s="7" t="s">
        <v>40</v>
      </c>
      <c r="Q560" s="7"/>
      <c r="R560" s="7" t="s">
        <v>7079</v>
      </c>
      <c r="S560" s="7" t="s">
        <v>1725</v>
      </c>
      <c r="T560" s="7" t="s">
        <v>377</v>
      </c>
      <c r="U560" s="7" t="s">
        <v>378</v>
      </c>
      <c r="V560" s="7">
        <v>2.62395335E8</v>
      </c>
      <c r="W560" s="7">
        <v>6.92220624E8</v>
      </c>
      <c r="X560" s="7"/>
      <c r="Y560" s="7"/>
      <c r="Z560" s="7" t="s">
        <v>7080</v>
      </c>
      <c r="AA560" s="7">
        <v>5.0</v>
      </c>
      <c r="AB560" s="7" t="s">
        <v>788</v>
      </c>
      <c r="AC560" s="7" t="s">
        <v>7081</v>
      </c>
      <c r="AD560" s="7" t="s">
        <v>7082</v>
      </c>
      <c r="AE560" s="7" t="s">
        <v>7083</v>
      </c>
      <c r="AF560" s="7"/>
      <c r="AG560" s="7" t="s">
        <v>578</v>
      </c>
      <c r="AH560" s="20">
        <v>43739.0</v>
      </c>
      <c r="AI560" s="7"/>
      <c r="AJ560" s="7" t="s">
        <v>7084</v>
      </c>
      <c r="AK560" s="7">
        <v>8.1929905800019E13</v>
      </c>
      <c r="AL560" s="7" t="s">
        <v>7085</v>
      </c>
      <c r="AM560" s="7" t="s">
        <v>7086</v>
      </c>
      <c r="AN560" s="20">
        <v>40669.0</v>
      </c>
      <c r="AO560" s="7">
        <v>97414.0</v>
      </c>
      <c r="AP560" s="7" t="s">
        <v>429</v>
      </c>
      <c r="AQ560" s="7"/>
      <c r="AR560" s="7"/>
      <c r="AS560" s="7"/>
      <c r="AT560" s="7"/>
      <c r="AU560" s="7">
        <v>1.0</v>
      </c>
      <c r="AV560" s="7" t="s">
        <v>7087</v>
      </c>
      <c r="AW560" s="7"/>
      <c r="AX560" s="7"/>
      <c r="AY560" s="7"/>
      <c r="AZ560" s="7" t="s">
        <v>7088</v>
      </c>
      <c r="BA560" s="7"/>
      <c r="BB560" s="7"/>
      <c r="BC560" s="7" t="s">
        <v>366</v>
      </c>
      <c r="BD560" s="21">
        <v>44197.0</v>
      </c>
      <c r="BE560" s="7"/>
      <c r="BF560" s="7"/>
      <c r="BG560" s="22">
        <v>44197.0</v>
      </c>
      <c r="BH560" s="7">
        <v>8.19299058E8</v>
      </c>
      <c r="BI560" s="7" t="s">
        <v>1786</v>
      </c>
      <c r="BJ560" s="7"/>
      <c r="BK560" s="7" t="b">
        <v>0</v>
      </c>
      <c r="BL560" s="7" t="b">
        <v>0</v>
      </c>
      <c r="BM560" s="7"/>
      <c r="BN560" s="7" t="str">
        <f>IFERROR(__xludf.DUMMYFUNCTION(" IF( REGEXMATCH(C560 , ""[(].+[)]""),REGEXREPLACE( CONCATENATE(REGEXEXTRACT(C560 , ""[(].+[)]""),IF(REGEXMATCH(C560 , ""[(][Ll]['’][)]""),"""","" ""), REGEXEXTRACT(C560 ,""^(?:(?:[A-Za-zàäéèêîïöôûü0-9 ](?:[A-Za-zàäéèêîïöôûü'0-9 ]+)))"")) , ""[()]"", """")"&amp;",C560 )"),"Les Rosiers ")</f>
        <v>Les Rosiers </v>
      </c>
      <c r="BO560" s="23"/>
      <c r="BP560" s="7"/>
      <c r="BQ560" s="7"/>
      <c r="BR560" s="7"/>
      <c r="BS560" s="7"/>
      <c r="BT560" s="7"/>
      <c r="BU560" s="7"/>
      <c r="BV560" s="7"/>
      <c r="BW560" s="7"/>
      <c r="BX560" s="7"/>
      <c r="BY560" s="7"/>
      <c r="BZ560" s="7"/>
      <c r="CA560" s="7"/>
      <c r="CB560" s="7"/>
    </row>
    <row r="561" ht="21.75" customHeight="1">
      <c r="A561" s="7">
        <v>2595.0</v>
      </c>
      <c r="B561" s="7" t="s">
        <v>7089</v>
      </c>
      <c r="C561" s="7" t="s">
        <v>7090</v>
      </c>
      <c r="D561" s="7"/>
      <c r="E561" s="7"/>
      <c r="F561" s="7" t="s">
        <v>342</v>
      </c>
      <c r="G561" s="7" t="s">
        <v>343</v>
      </c>
      <c r="H561" s="7" t="s">
        <v>123</v>
      </c>
      <c r="I561" s="7" t="s">
        <v>7091</v>
      </c>
      <c r="J561" s="26" t="s">
        <v>7092</v>
      </c>
      <c r="K561" s="7" t="s">
        <v>58</v>
      </c>
      <c r="L561" s="7" t="s">
        <v>453</v>
      </c>
      <c r="M561" s="7" t="s">
        <v>454</v>
      </c>
      <c r="N561" s="7"/>
      <c r="O561" s="7">
        <v>97480.0</v>
      </c>
      <c r="P561" s="7" t="s">
        <v>123</v>
      </c>
      <c r="Q561" s="7"/>
      <c r="R561" s="7" t="s">
        <v>7093</v>
      </c>
      <c r="S561" s="7"/>
      <c r="T561" s="7" t="s">
        <v>377</v>
      </c>
      <c r="U561" s="7" t="s">
        <v>728</v>
      </c>
      <c r="V561" s="7">
        <v>2.62315509E8</v>
      </c>
      <c r="W561" s="7">
        <v>6.92202163E8</v>
      </c>
      <c r="X561" s="7"/>
      <c r="Y561" s="7">
        <v>2.62315509E8</v>
      </c>
      <c r="Z561" s="7" t="s">
        <v>7094</v>
      </c>
      <c r="AA561" s="7">
        <v>18.0</v>
      </c>
      <c r="AB561" s="7"/>
      <c r="AC561" s="7"/>
      <c r="AD561" s="7" t="s">
        <v>7095</v>
      </c>
      <c r="AE561" s="7"/>
      <c r="AF561" s="7"/>
      <c r="AG561" s="7"/>
      <c r="AH561" s="20">
        <v>43739.0</v>
      </c>
      <c r="AI561" s="7"/>
      <c r="AJ561" s="7" t="s">
        <v>7096</v>
      </c>
      <c r="AK561" s="7">
        <v>3.5152843500032E13</v>
      </c>
      <c r="AL561" s="7" t="s">
        <v>7097</v>
      </c>
      <c r="AM561" s="7" t="s">
        <v>7098</v>
      </c>
      <c r="AN561" s="20">
        <v>40268.0</v>
      </c>
      <c r="AO561" s="7">
        <v>97480.0</v>
      </c>
      <c r="AP561" s="7" t="s">
        <v>385</v>
      </c>
      <c r="AQ561" s="7"/>
      <c r="AR561" s="7"/>
      <c r="AS561" s="7"/>
      <c r="AT561" s="7"/>
      <c r="AU561" s="7">
        <v>5.0</v>
      </c>
      <c r="AV561" s="7" t="s">
        <v>7099</v>
      </c>
      <c r="AW561" s="7"/>
      <c r="AX561" s="7"/>
      <c r="AY561" s="7"/>
      <c r="AZ561" s="7" t="s">
        <v>7100</v>
      </c>
      <c r="BA561" s="7"/>
      <c r="BB561" s="7"/>
      <c r="BC561" s="7" t="s">
        <v>401</v>
      </c>
      <c r="BD561" s="21">
        <v>44172.368055555555</v>
      </c>
      <c r="BE561" s="7" t="s">
        <v>2339</v>
      </c>
      <c r="BF561" s="7"/>
      <c r="BG561" s="7"/>
      <c r="BH561" s="7">
        <v>3.51528435E8</v>
      </c>
      <c r="BI561" s="7" t="s">
        <v>7101</v>
      </c>
      <c r="BJ561" s="7"/>
      <c r="BK561" s="7" t="b">
        <v>0</v>
      </c>
      <c r="BL561" s="7" t="b">
        <v>0</v>
      </c>
      <c r="BM561" s="7"/>
      <c r="BN561" s="7" t="str">
        <f>IFERROR(__xludf.DUMMYFUNCTION(" IF( REGEXMATCH(C561 , ""[(].+[)]""),REGEXREPLACE( CONCATENATE(REGEXEXTRACT(C561 , ""[(].+[)]""),IF(REGEXMATCH(C561 , ""[(][Ll]['’][)]""),"""","" ""), REGEXEXTRACT(C561 ,""^(?:(?:[A-Za-zàäéèêîïöôûü0-9 ](?:[A-Za-zàäéèêîïöôûü'0-9 ]+)))"")) , ""[()]"", """")"&amp;",C561 )"),"Le Rougail Mangue ")</f>
        <v>Le Rougail Mangue </v>
      </c>
      <c r="BO561" s="25"/>
      <c r="BP561" s="7"/>
      <c r="BQ561" s="7"/>
      <c r="BR561" s="7"/>
      <c r="BS561" s="7"/>
      <c r="BT561" s="7"/>
      <c r="BU561" s="7"/>
      <c r="BV561" s="7"/>
      <c r="BW561" s="7"/>
      <c r="BX561" s="7"/>
      <c r="BY561" s="7"/>
      <c r="BZ561" s="7"/>
      <c r="CA561" s="7"/>
      <c r="CB561" s="7"/>
    </row>
    <row r="562" ht="21.75" customHeight="1">
      <c r="A562" s="7">
        <v>2849.0</v>
      </c>
      <c r="B562" s="7" t="s">
        <v>7102</v>
      </c>
      <c r="C562" s="7" t="s">
        <v>7103</v>
      </c>
      <c r="D562" s="7"/>
      <c r="E562" s="7"/>
      <c r="F562" s="7" t="s">
        <v>404</v>
      </c>
      <c r="G562" s="7" t="s">
        <v>343</v>
      </c>
      <c r="H562" s="7" t="s">
        <v>33</v>
      </c>
      <c r="I562" s="7" t="s">
        <v>7104</v>
      </c>
      <c r="J562" s="7"/>
      <c r="K562" s="6" t="s">
        <v>469</v>
      </c>
      <c r="L562" s="7" t="s">
        <v>470</v>
      </c>
      <c r="M562" s="7" t="s">
        <v>591</v>
      </c>
      <c r="N562" s="7"/>
      <c r="O562" s="7">
        <v>97442.0</v>
      </c>
      <c r="P562" s="7" t="s">
        <v>33</v>
      </c>
      <c r="Q562" s="7" t="s">
        <v>7105</v>
      </c>
      <c r="R562" s="7"/>
      <c r="S562" s="7"/>
      <c r="T562" s="7" t="s">
        <v>377</v>
      </c>
      <c r="U562" s="7" t="s">
        <v>378</v>
      </c>
      <c r="V562" s="7">
        <v>2.62989185E8</v>
      </c>
      <c r="W562" s="7">
        <v>6.92921356E8</v>
      </c>
      <c r="X562" s="7"/>
      <c r="Y562" s="7"/>
      <c r="Z562" s="7" t="s">
        <v>2950</v>
      </c>
      <c r="AA562" s="7"/>
      <c r="AB562" s="7"/>
      <c r="AC562" s="7"/>
      <c r="AD562" s="7" t="s">
        <v>7106</v>
      </c>
      <c r="AE562" s="7"/>
      <c r="AF562" s="7"/>
      <c r="AG562" s="7"/>
      <c r="AH562" s="20">
        <v>43739.0</v>
      </c>
      <c r="AI562" s="7"/>
      <c r="AJ562" s="7" t="s">
        <v>7107</v>
      </c>
      <c r="AK562" s="7"/>
      <c r="AL562" s="7" t="s">
        <v>7108</v>
      </c>
      <c r="AM562" s="7" t="s">
        <v>7109</v>
      </c>
      <c r="AN562" s="20">
        <v>43739.0</v>
      </c>
      <c r="AO562" s="7">
        <v>97442.0</v>
      </c>
      <c r="AP562" s="7" t="s">
        <v>884</v>
      </c>
      <c r="AQ562" s="7"/>
      <c r="AR562" s="7"/>
      <c r="AS562" s="7"/>
      <c r="AT562" s="7"/>
      <c r="AU562" s="7">
        <v>0.0</v>
      </c>
      <c r="AV562" s="7" t="s">
        <v>7110</v>
      </c>
      <c r="AW562" s="7"/>
      <c r="AX562" s="7"/>
      <c r="AY562" s="7"/>
      <c r="AZ562" s="7"/>
      <c r="BA562" s="7"/>
      <c r="BB562" s="7"/>
      <c r="BC562" s="7" t="s">
        <v>401</v>
      </c>
      <c r="BD562" s="21">
        <v>44118.0</v>
      </c>
      <c r="BE562" s="7" t="s">
        <v>7111</v>
      </c>
      <c r="BF562" s="7"/>
      <c r="BG562" s="7"/>
      <c r="BH562" s="7"/>
      <c r="BI562" s="7" t="s">
        <v>2958</v>
      </c>
      <c r="BJ562" s="7"/>
      <c r="BK562" s="7" t="b">
        <v>0</v>
      </c>
      <c r="BL562" s="7" t="b">
        <v>0</v>
      </c>
      <c r="BM562" s="7"/>
      <c r="BN562" s="7" t="str">
        <f>IFERROR(__xludf.DUMMYFUNCTION(" IF( REGEXMATCH(C562 , ""[(].+[)]""),REGEXREPLACE( CONCATENATE(REGEXEXTRACT(C562 , ""[(].+[)]""),IF(REGEXMATCH(C562 , ""[(][Ll]['’][)]""),"""","" ""), REGEXEXTRACT(C562 ,""^(?:(?:[A-Za-zàäéèêîïöôûü0-9 ](?:[A-Za-zàäéèêîïöôûü'0-9 ]+)))"")) , ""[()]"", """")"&amp;",C562 )"),"Rougail Rando")</f>
        <v>Rougail Rando</v>
      </c>
      <c r="BO562" s="25"/>
      <c r="BP562" s="7"/>
      <c r="BQ562" s="7"/>
      <c r="BR562" s="7"/>
      <c r="BS562" s="7"/>
      <c r="BT562" s="7"/>
      <c r="BU562" s="7"/>
      <c r="BV562" s="7"/>
      <c r="BW562" s="7"/>
      <c r="BX562" s="7"/>
      <c r="BY562" s="7"/>
      <c r="BZ562" s="7"/>
      <c r="CA562" s="7"/>
      <c r="CB562" s="7"/>
    </row>
    <row r="563" ht="21.75" customHeight="1">
      <c r="A563" s="7">
        <v>1010.0</v>
      </c>
      <c r="B563" s="7">
        <v>562.0</v>
      </c>
      <c r="C563" s="7" t="s">
        <v>7112</v>
      </c>
      <c r="D563" s="7" t="s">
        <v>7112</v>
      </c>
      <c r="E563" s="7"/>
      <c r="F563" s="7" t="s">
        <v>342</v>
      </c>
      <c r="G563" s="7" t="s">
        <v>343</v>
      </c>
      <c r="H563" s="7" t="s">
        <v>123</v>
      </c>
      <c r="I563" s="7" t="s">
        <v>7113</v>
      </c>
      <c r="J563" s="7"/>
      <c r="K563" s="7" t="s">
        <v>34</v>
      </c>
      <c r="L563" s="7" t="s">
        <v>622</v>
      </c>
      <c r="M563" s="7" t="s">
        <v>1347</v>
      </c>
      <c r="N563" s="7" t="s">
        <v>664</v>
      </c>
      <c r="O563" s="7">
        <v>97480.0</v>
      </c>
      <c r="P563" s="7" t="s">
        <v>123</v>
      </c>
      <c r="Q563" s="7"/>
      <c r="R563" s="7" t="s">
        <v>7114</v>
      </c>
      <c r="S563" s="7" t="s">
        <v>3989</v>
      </c>
      <c r="T563" s="7" t="s">
        <v>1838</v>
      </c>
      <c r="U563" s="7" t="s">
        <v>592</v>
      </c>
      <c r="V563" s="7">
        <v>2.62372743E8</v>
      </c>
      <c r="W563" s="7"/>
      <c r="X563" s="7"/>
      <c r="Y563" s="7"/>
      <c r="Z563" s="7"/>
      <c r="AA563" s="7">
        <v>15.0</v>
      </c>
      <c r="AB563" s="7"/>
      <c r="AC563" s="7"/>
      <c r="AD563" s="7" t="s">
        <v>7115</v>
      </c>
      <c r="AE563" s="7" t="s">
        <v>7116</v>
      </c>
      <c r="AF563" s="7"/>
      <c r="AG563" s="7"/>
      <c r="AH563" s="20">
        <v>39575.0</v>
      </c>
      <c r="AI563" s="7"/>
      <c r="AJ563" s="7" t="s">
        <v>7112</v>
      </c>
      <c r="AK563" s="7">
        <v>4.4538679000015E13</v>
      </c>
      <c r="AL563" s="7" t="s">
        <v>7117</v>
      </c>
      <c r="AM563" s="7" t="s">
        <v>7118</v>
      </c>
      <c r="AN563" s="20">
        <v>39575.0</v>
      </c>
      <c r="AO563" s="7">
        <v>97480.0</v>
      </c>
      <c r="AP563" s="7" t="s">
        <v>385</v>
      </c>
      <c r="AQ563" s="7"/>
      <c r="AR563" s="7"/>
      <c r="AS563" s="7"/>
      <c r="AT563" s="7"/>
      <c r="AU563" s="7">
        <v>0.0</v>
      </c>
      <c r="AV563" s="7" t="s">
        <v>7119</v>
      </c>
      <c r="AW563" s="7"/>
      <c r="AX563" s="7"/>
      <c r="AY563" s="7"/>
      <c r="AZ563" s="7"/>
      <c r="BA563" s="7"/>
      <c r="BB563" s="7"/>
      <c r="BC563" s="7" t="s">
        <v>366</v>
      </c>
      <c r="BD563" s="21">
        <v>44197.0</v>
      </c>
      <c r="BE563" s="7"/>
      <c r="BF563" s="7"/>
      <c r="BG563" s="22">
        <v>44197.0</v>
      </c>
      <c r="BH563" s="7">
        <v>4.4538679E8</v>
      </c>
      <c r="BI563" s="7" t="s">
        <v>7120</v>
      </c>
      <c r="BJ563" s="7"/>
      <c r="BK563" s="7" t="b">
        <v>0</v>
      </c>
      <c r="BL563" s="7" t="b">
        <v>0</v>
      </c>
      <c r="BM563" s="7"/>
      <c r="BN563" s="7" t="str">
        <f>IFERROR(__xludf.DUMMYFUNCTION(" IF( REGEXMATCH(C563 , ""[(].+[)]""),REGEXREPLACE( CONCATENATE(REGEXEXTRACT(C563 , ""[(].+[)]""),IF(REGEXMATCH(C563 , ""[(][Ll]['’][)]""),"""","" ""), REGEXEXTRACT(C563 ,""^(?:(?:[A-Za-zàäéèêîïöôûü0-9 ](?:[A-Za-zàäéèêîïöôûü'0-9 ]+)))"")) , ""[()]"", """")"&amp;",C563 )"),"Royal Kébab")</f>
        <v>Royal Kébab</v>
      </c>
      <c r="BO563" s="23"/>
      <c r="BP563" s="7"/>
      <c r="BQ563" s="7"/>
      <c r="BR563" s="7"/>
      <c r="BS563" s="7"/>
      <c r="BT563" s="7"/>
      <c r="BU563" s="7"/>
      <c r="BV563" s="7"/>
      <c r="BW563" s="7"/>
      <c r="BX563" s="7"/>
      <c r="BY563" s="7"/>
      <c r="BZ563" s="7"/>
      <c r="CA563" s="7"/>
      <c r="CB563" s="7"/>
    </row>
    <row r="564" ht="21.75" customHeight="1">
      <c r="A564" s="7">
        <v>5033.0</v>
      </c>
      <c r="B564" s="7" t="s">
        <v>7121</v>
      </c>
      <c r="C564" s="7" t="s">
        <v>7122</v>
      </c>
      <c r="D564" s="7"/>
      <c r="E564" s="7"/>
      <c r="F564" s="7" t="s">
        <v>342</v>
      </c>
      <c r="G564" s="7" t="s">
        <v>343</v>
      </c>
      <c r="H564" s="7" t="s">
        <v>344</v>
      </c>
      <c r="I564" s="7" t="s">
        <v>7123</v>
      </c>
      <c r="J564" s="7"/>
      <c r="K564" s="7" t="s">
        <v>1198</v>
      </c>
      <c r="L564" s="7" t="s">
        <v>1644</v>
      </c>
      <c r="M564" s="7" t="s">
        <v>1645</v>
      </c>
      <c r="N564" s="7" t="s">
        <v>664</v>
      </c>
      <c r="O564" s="7">
        <v>97430.0</v>
      </c>
      <c r="P564" s="7" t="s">
        <v>344</v>
      </c>
      <c r="Q564" s="7"/>
      <c r="R564" s="7" t="s">
        <v>3059</v>
      </c>
      <c r="S564" s="7"/>
      <c r="T564" s="7" t="s">
        <v>974</v>
      </c>
      <c r="U564" s="7" t="s">
        <v>353</v>
      </c>
      <c r="V564" s="7"/>
      <c r="W564" s="7">
        <v>6.92751844E8</v>
      </c>
      <c r="X564" s="7"/>
      <c r="Y564" s="7"/>
      <c r="Z564" s="7" t="s">
        <v>7124</v>
      </c>
      <c r="AA564" s="7"/>
      <c r="AB564" s="7"/>
      <c r="AC564" s="7" t="s">
        <v>7125</v>
      </c>
      <c r="AD564" s="7" t="s">
        <v>7126</v>
      </c>
      <c r="AE564" s="7"/>
      <c r="AF564" s="7"/>
      <c r="AG564" s="7"/>
      <c r="AH564" s="20">
        <v>43690.0</v>
      </c>
      <c r="AI564" s="7"/>
      <c r="AJ564" s="7" t="s">
        <v>7127</v>
      </c>
      <c r="AK564" s="7">
        <v>8.3946506900012E13</v>
      </c>
      <c r="AL564" s="7" t="s">
        <v>7128</v>
      </c>
      <c r="AM564" s="7" t="s">
        <v>7129</v>
      </c>
      <c r="AN564" s="20">
        <v>43690.0</v>
      </c>
      <c r="AO564" s="7">
        <v>97430.0</v>
      </c>
      <c r="AP564" s="7" t="s">
        <v>494</v>
      </c>
      <c r="AQ564" s="7"/>
      <c r="AR564" s="7"/>
      <c r="AS564" s="7"/>
      <c r="AT564" s="7"/>
      <c r="AU564" s="7">
        <v>0.0</v>
      </c>
      <c r="AV564" s="7" t="s">
        <v>7130</v>
      </c>
      <c r="AW564" s="7"/>
      <c r="AX564" s="7"/>
      <c r="AY564" s="7"/>
      <c r="AZ564" s="7"/>
      <c r="BA564" s="7"/>
      <c r="BB564" s="7"/>
      <c r="BC564" s="7" t="s">
        <v>401</v>
      </c>
      <c r="BD564" s="21">
        <v>44118.19861111111</v>
      </c>
      <c r="BE564" s="7" t="s">
        <v>7131</v>
      </c>
      <c r="BF564" s="7"/>
      <c r="BG564" s="7"/>
      <c r="BH564" s="7">
        <v>8.39465069E8</v>
      </c>
      <c r="BI564" s="7" t="s">
        <v>7132</v>
      </c>
      <c r="BJ564" s="7"/>
      <c r="BK564" s="7" t="b">
        <v>0</v>
      </c>
      <c r="BL564" s="7" t="b">
        <v>0</v>
      </c>
      <c r="BM564" s="7"/>
      <c r="BN564" s="7" t="str">
        <f>IFERROR(__xludf.DUMMYFUNCTION(" IF( REGEXMATCH(C564 , ""[(].+[)]""),REGEXREPLACE( CONCATENATE(REGEXEXTRACT(C564 , ""[(].+[)]""),IF(REGEXMATCH(C564 , ""[(][Ll]['’][)]""),"""","" ""), REGEXEXTRACT(C564 ,""^(?:(?:[A-Za-zàäéèêîïöôûü0-9 ](?:[A-Za-zàäéèêîïöôûü'0-9 ]+)))"")) , ""[()]"", """")"&amp;",C564 )"),"Run Sud VTC")</f>
        <v>Run Sud VTC</v>
      </c>
      <c r="BO564" s="25"/>
      <c r="BP564" s="7"/>
      <c r="BQ564" s="7"/>
      <c r="BR564" s="7"/>
      <c r="BS564" s="7"/>
      <c r="BT564" s="7"/>
      <c r="BU564" s="7"/>
      <c r="BV564" s="7"/>
      <c r="BW564" s="7"/>
      <c r="BX564" s="7"/>
      <c r="BY564" s="7"/>
      <c r="BZ564" s="7"/>
      <c r="CA564" s="7"/>
      <c r="CB564" s="7"/>
    </row>
    <row r="565" ht="21.75" customHeight="1">
      <c r="A565" s="7">
        <v>2171.0</v>
      </c>
      <c r="B565" s="7">
        <v>564.0</v>
      </c>
      <c r="C565" s="7" t="s">
        <v>7133</v>
      </c>
      <c r="D565" s="7"/>
      <c r="E565" s="7"/>
      <c r="F565" s="7" t="s">
        <v>342</v>
      </c>
      <c r="G565" s="7" t="s">
        <v>343</v>
      </c>
      <c r="H565" s="7" t="s">
        <v>40</v>
      </c>
      <c r="I565" s="7" t="s">
        <v>7134</v>
      </c>
      <c r="J565" s="7"/>
      <c r="K565" s="6" t="s">
        <v>469</v>
      </c>
      <c r="L565" s="7" t="s">
        <v>1792</v>
      </c>
      <c r="M565" s="7" t="s">
        <v>3362</v>
      </c>
      <c r="N565" s="7" t="s">
        <v>664</v>
      </c>
      <c r="O565" s="7">
        <v>97414.0</v>
      </c>
      <c r="P565" s="7" t="s">
        <v>40</v>
      </c>
      <c r="Q565" s="7"/>
      <c r="R565" s="7"/>
      <c r="S565" s="7"/>
      <c r="T565" s="7" t="s">
        <v>377</v>
      </c>
      <c r="U565" s="7"/>
      <c r="V565" s="7">
        <v>2.62398604E8</v>
      </c>
      <c r="W565" s="7"/>
      <c r="X565" s="7"/>
      <c r="Y565" s="7"/>
      <c r="Z565" s="7"/>
      <c r="AA565" s="7"/>
      <c r="AB565" s="7"/>
      <c r="AC565" s="7"/>
      <c r="AD565" s="7" t="s">
        <v>3725</v>
      </c>
      <c r="AE565" s="7"/>
      <c r="AF565" s="7"/>
      <c r="AG565" s="7"/>
      <c r="AH565" s="20">
        <v>43739.0</v>
      </c>
      <c r="AI565" s="7"/>
      <c r="AJ565" s="7" t="s">
        <v>7133</v>
      </c>
      <c r="AK565" s="7"/>
      <c r="AL565" s="7" t="s">
        <v>2110</v>
      </c>
      <c r="AM565" s="7">
        <v>2.6239696E8</v>
      </c>
      <c r="AN565" s="20">
        <v>43739.0</v>
      </c>
      <c r="AO565" s="7">
        <v>97414.0</v>
      </c>
      <c r="AP565" s="7" t="s">
        <v>429</v>
      </c>
      <c r="AQ565" s="7"/>
      <c r="AR565" s="7"/>
      <c r="AS565" s="7"/>
      <c r="AT565" s="7"/>
      <c r="AU565" s="7">
        <v>0.0</v>
      </c>
      <c r="AV565" s="7" t="s">
        <v>7135</v>
      </c>
      <c r="AW565" s="7"/>
      <c r="AX565" s="7"/>
      <c r="AY565" s="7"/>
      <c r="AZ565" s="7"/>
      <c r="BA565" s="7"/>
      <c r="BB565" s="7"/>
      <c r="BC565" s="7" t="s">
        <v>366</v>
      </c>
      <c r="BD565" s="21">
        <v>44197.0</v>
      </c>
      <c r="BE565" s="7"/>
      <c r="BF565" s="7"/>
      <c r="BG565" s="22">
        <v>44197.0</v>
      </c>
      <c r="BH565" s="7"/>
      <c r="BI565" s="7" t="s">
        <v>2860</v>
      </c>
      <c r="BJ565" s="7"/>
      <c r="BK565" s="7" t="b">
        <v>0</v>
      </c>
      <c r="BL565" s="7" t="b">
        <v>0</v>
      </c>
      <c r="BM565" s="7"/>
      <c r="BN565" s="7" t="str">
        <f>IFERROR(__xludf.DUMMYFUNCTION(" IF( REGEXMATCH(C565 , ""[(].+[)]""),REGEXREPLACE( CONCATENATE(REGEXEXTRACT(C565 , ""[(].+[)]""),IF(REGEXMATCH(C565 , ""[(][Ll]['’][)]""),"""","" ""), REGEXEXTRACT(C565 ,""^(?:(?:[A-Za-zàäéèêîïöôûü0-9 ](?:[A-Za-zàäéèêîïöôûü'0-9 ]+)))"")) , ""[()]"", """")"&amp;",C565 )"),"Salle Multimédia de l'Entre-Deux")</f>
        <v>Salle Multimédia de l'Entre-Deux</v>
      </c>
      <c r="BO565" s="23"/>
      <c r="BP565" s="7"/>
      <c r="BQ565" s="7"/>
      <c r="BR565" s="7"/>
      <c r="BS565" s="7"/>
      <c r="BT565" s="7"/>
      <c r="BU565" s="7"/>
      <c r="BV565" s="7"/>
      <c r="BW565" s="7"/>
      <c r="BX565" s="7"/>
      <c r="BY565" s="7"/>
      <c r="BZ565" s="7"/>
      <c r="CA565" s="7"/>
      <c r="CB565" s="7"/>
    </row>
    <row r="566" ht="21.75" customHeight="1">
      <c r="A566" s="7">
        <v>1715.0</v>
      </c>
      <c r="B566" s="7">
        <v>565.0</v>
      </c>
      <c r="C566" s="7" t="s">
        <v>7136</v>
      </c>
      <c r="D566" s="7"/>
      <c r="E566" s="7"/>
      <c r="F566" s="7" t="s">
        <v>404</v>
      </c>
      <c r="G566" s="7" t="s">
        <v>343</v>
      </c>
      <c r="H566" s="7" t="s">
        <v>344</v>
      </c>
      <c r="I566" s="7" t="s">
        <v>7137</v>
      </c>
      <c r="J566" s="7"/>
      <c r="K566" s="7" t="s">
        <v>58</v>
      </c>
      <c r="L566" s="7" t="s">
        <v>59</v>
      </c>
      <c r="M566" s="7" t="s">
        <v>2013</v>
      </c>
      <c r="N566" s="7" t="s">
        <v>455</v>
      </c>
      <c r="O566" s="7">
        <v>97418.0</v>
      </c>
      <c r="P566" s="7" t="s">
        <v>348</v>
      </c>
      <c r="Q566" s="7"/>
      <c r="R566" s="7" t="s">
        <v>7070</v>
      </c>
      <c r="S566" s="7" t="s">
        <v>7138</v>
      </c>
      <c r="T566" s="7" t="s">
        <v>7139</v>
      </c>
      <c r="U566" s="7" t="s">
        <v>353</v>
      </c>
      <c r="V566" s="7">
        <v>2.62591743E8</v>
      </c>
      <c r="W566" s="7">
        <v>6.92116118E8</v>
      </c>
      <c r="X566" s="7"/>
      <c r="Y566" s="7"/>
      <c r="Z566" s="7" t="s">
        <v>3969</v>
      </c>
      <c r="AA566" s="7">
        <v>5.0</v>
      </c>
      <c r="AB566" s="7" t="s">
        <v>2036</v>
      </c>
      <c r="AC566" s="7"/>
      <c r="AD566" s="7" t="s">
        <v>7140</v>
      </c>
      <c r="AE566" s="7" t="s">
        <v>7141</v>
      </c>
      <c r="AF566" s="7"/>
      <c r="AG566" s="7" t="s">
        <v>578</v>
      </c>
      <c r="AH566" s="20">
        <v>43739.0</v>
      </c>
      <c r="AI566" s="7"/>
      <c r="AJ566" s="7" t="s">
        <v>3972</v>
      </c>
      <c r="AK566" s="7">
        <v>4.5034929500011E13</v>
      </c>
      <c r="AL566" s="7" t="s">
        <v>3973</v>
      </c>
      <c r="AM566" s="7" t="s">
        <v>3974</v>
      </c>
      <c r="AN566" s="20">
        <v>39575.0</v>
      </c>
      <c r="AO566" s="7">
        <v>97430.0</v>
      </c>
      <c r="AP566" s="7" t="s">
        <v>494</v>
      </c>
      <c r="AQ566" s="7"/>
      <c r="AR566" s="7"/>
      <c r="AS566" s="7"/>
      <c r="AT566" s="7"/>
      <c r="AU566" s="7">
        <v>0.0</v>
      </c>
      <c r="AV566" s="7" t="s">
        <v>7142</v>
      </c>
      <c r="AW566" s="7" t="s">
        <v>7143</v>
      </c>
      <c r="AX566" s="7"/>
      <c r="AY566" s="7"/>
      <c r="AZ566" s="7"/>
      <c r="BA566" s="7"/>
      <c r="BB566" s="7"/>
      <c r="BC566" s="7" t="s">
        <v>366</v>
      </c>
      <c r="BD566" s="21">
        <v>44197.0</v>
      </c>
      <c r="BE566" s="7"/>
      <c r="BF566" s="7"/>
      <c r="BG566" s="22">
        <v>44197.0</v>
      </c>
      <c r="BH566" s="7">
        <v>4.50349295E8</v>
      </c>
      <c r="BI566" s="7" t="s">
        <v>7144</v>
      </c>
      <c r="BJ566" s="7"/>
      <c r="BK566" s="7" t="b">
        <v>0</v>
      </c>
      <c r="BL566" s="7" t="b">
        <v>0</v>
      </c>
      <c r="BM566" s="7"/>
      <c r="BN566" s="7" t="str">
        <f>IFERROR(__xludf.DUMMYFUNCTION(" IF( REGEXMATCH(C566 , ""[(].+[)]""),REGEXREPLACE( CONCATENATE(REGEXEXTRACT(C566 , ""[(].+[)]""),IF(REGEXMATCH(C566 , ""[(][Ll]['’][)]""),"""","" ""), REGEXEXTRACT(C566 ,""^(?:(?:[A-Za-zàäéèêîïöôûü0-9 ](?:[A-Za-zàäéèêîïöôûü'0-9 ]+)))"")) , ""[()]"", """")"&amp;",C566 )"),"Les Sapins Bleus ")</f>
        <v>Les Sapins Bleus </v>
      </c>
      <c r="BO566" s="23"/>
      <c r="BP566" s="7"/>
      <c r="BQ566" s="7"/>
      <c r="BR566" s="7"/>
      <c r="BS566" s="7"/>
      <c r="BT566" s="7"/>
      <c r="BU566" s="7"/>
      <c r="BV566" s="7"/>
      <c r="BW566" s="7"/>
      <c r="BX566" s="7"/>
      <c r="BY566" s="7"/>
      <c r="BZ566" s="7"/>
      <c r="CA566" s="7"/>
      <c r="CB566" s="7"/>
    </row>
    <row r="567" ht="21.75" customHeight="1">
      <c r="A567" s="7">
        <v>4126.0</v>
      </c>
      <c r="B567" s="7" t="s">
        <v>7145</v>
      </c>
      <c r="C567" s="7" t="s">
        <v>7146</v>
      </c>
      <c r="D567" s="7"/>
      <c r="E567" s="7"/>
      <c r="F567" s="7" t="s">
        <v>342</v>
      </c>
      <c r="G567" s="7" t="s">
        <v>343</v>
      </c>
      <c r="H567" s="7" t="s">
        <v>344</v>
      </c>
      <c r="I567" s="7" t="s">
        <v>7147</v>
      </c>
      <c r="J567" s="7"/>
      <c r="K567" s="7" t="s">
        <v>34</v>
      </c>
      <c r="L567" s="7" t="s">
        <v>1414</v>
      </c>
      <c r="M567" s="7" t="s">
        <v>1414</v>
      </c>
      <c r="N567" s="7" t="s">
        <v>407</v>
      </c>
      <c r="O567" s="7">
        <v>97430.0</v>
      </c>
      <c r="P567" s="7" t="s">
        <v>344</v>
      </c>
      <c r="Q567" s="7"/>
      <c r="R567" s="7"/>
      <c r="S567" s="7" t="s">
        <v>7148</v>
      </c>
      <c r="T567" s="7" t="s">
        <v>377</v>
      </c>
      <c r="U567" s="7" t="s">
        <v>353</v>
      </c>
      <c r="V567" s="7"/>
      <c r="W567" s="7">
        <v>6.92852155E8</v>
      </c>
      <c r="X567" s="7"/>
      <c r="Y567" s="7"/>
      <c r="Z567" s="7"/>
      <c r="AA567" s="7">
        <v>130.0</v>
      </c>
      <c r="AB567" s="7"/>
      <c r="AC567" s="7" t="s">
        <v>7149</v>
      </c>
      <c r="AD567" s="7" t="s">
        <v>7150</v>
      </c>
      <c r="AE567" s="7" t="s">
        <v>7151</v>
      </c>
      <c r="AF567" s="7"/>
      <c r="AG567" s="7"/>
      <c r="AH567" s="20">
        <v>42474.0</v>
      </c>
      <c r="AI567" s="7"/>
      <c r="AJ567" s="7" t="s">
        <v>7152</v>
      </c>
      <c r="AK567" s="7"/>
      <c r="AL567" s="7" t="s">
        <v>7153</v>
      </c>
      <c r="AM567" s="7" t="s">
        <v>7154</v>
      </c>
      <c r="AN567" s="20">
        <v>43739.0</v>
      </c>
      <c r="AO567" s="7">
        <v>97430.0</v>
      </c>
      <c r="AP567" s="7" t="s">
        <v>494</v>
      </c>
      <c r="AQ567" s="7"/>
      <c r="AR567" s="7"/>
      <c r="AS567" s="7"/>
      <c r="AT567" s="7"/>
      <c r="AU567" s="7">
        <v>0.0</v>
      </c>
      <c r="AV567" s="7" t="s">
        <v>7155</v>
      </c>
      <c r="AW567" s="7"/>
      <c r="AX567" s="7"/>
      <c r="AY567" s="7"/>
      <c r="AZ567" s="7"/>
      <c r="BA567" s="7"/>
      <c r="BB567" s="7"/>
      <c r="BC567" s="7" t="s">
        <v>401</v>
      </c>
      <c r="BD567" s="21">
        <v>44074.07361111111</v>
      </c>
      <c r="BE567" s="7" t="s">
        <v>1355</v>
      </c>
      <c r="BF567" s="7"/>
      <c r="BG567" s="7"/>
      <c r="BH567" s="7"/>
      <c r="BI567" s="7" t="s">
        <v>7156</v>
      </c>
      <c r="BJ567" s="7"/>
      <c r="BK567" s="7" t="b">
        <v>0</v>
      </c>
      <c r="BL567" s="7" t="b">
        <v>0</v>
      </c>
      <c r="BM567" s="7"/>
      <c r="BN567" s="7" t="str">
        <f>IFERROR(__xludf.DUMMYFUNCTION(" IF( REGEXMATCH(C567 , ""[(].+[)]""),REGEXREPLACE( CONCATENATE(REGEXEXTRACT(C567 , ""[(].+[)]""),IF(REGEXMATCH(C567 , ""[(][Ll]['’][)]""),"""","" ""), REGEXEXTRACT(C567 ,""^(?:(?:[A-Za-zàäéèêîïöôûü0-9 ](?:[A-Za-zàäéèêîïöôûü'0-9 ]+)))"")) , ""[()]"", """")"&amp;",C567 )"),"Sarasvathy")</f>
        <v>Sarasvathy</v>
      </c>
      <c r="BO567" s="25"/>
      <c r="BP567" s="7"/>
      <c r="BQ567" s="7"/>
      <c r="BR567" s="7"/>
      <c r="BS567" s="7"/>
      <c r="BT567" s="7"/>
      <c r="BU567" s="7"/>
      <c r="BV567" s="7"/>
      <c r="BW567" s="7"/>
      <c r="BX567" s="7"/>
      <c r="BY567" s="7"/>
      <c r="BZ567" s="7"/>
      <c r="CA567" s="7"/>
      <c r="CB567" s="7"/>
    </row>
    <row r="568" ht="21.75" customHeight="1">
      <c r="A568" s="7">
        <v>2655.0</v>
      </c>
      <c r="B568" s="7" t="s">
        <v>7157</v>
      </c>
      <c r="C568" s="7" t="s">
        <v>7146</v>
      </c>
      <c r="D568" s="7"/>
      <c r="E568" s="7"/>
      <c r="F568" s="7" t="s">
        <v>342</v>
      </c>
      <c r="G568" s="7" t="s">
        <v>343</v>
      </c>
      <c r="H568" s="7" t="s">
        <v>344</v>
      </c>
      <c r="I568" s="7" t="s">
        <v>7147</v>
      </c>
      <c r="J568" s="7"/>
      <c r="K568" s="7" t="s">
        <v>58</v>
      </c>
      <c r="L568" s="7" t="s">
        <v>453</v>
      </c>
      <c r="M568" s="7" t="s">
        <v>454</v>
      </c>
      <c r="N568" s="7" t="s">
        <v>407</v>
      </c>
      <c r="O568" s="7">
        <v>97430.0</v>
      </c>
      <c r="P568" s="7" t="s">
        <v>344</v>
      </c>
      <c r="Q568" s="7"/>
      <c r="R568" s="7" t="s">
        <v>7158</v>
      </c>
      <c r="S568" s="7" t="s">
        <v>1222</v>
      </c>
      <c r="T568" s="7" t="s">
        <v>377</v>
      </c>
      <c r="U568" s="7" t="s">
        <v>353</v>
      </c>
      <c r="V568" s="7"/>
      <c r="W568" s="7">
        <v>6.92852155E8</v>
      </c>
      <c r="X568" s="7"/>
      <c r="Y568" s="7"/>
      <c r="Z568" s="7" t="s">
        <v>7159</v>
      </c>
      <c r="AA568" s="7">
        <v>10.0</v>
      </c>
      <c r="AB568" s="7"/>
      <c r="AC568" s="7" t="s">
        <v>7160</v>
      </c>
      <c r="AD568" s="7" t="s">
        <v>7161</v>
      </c>
      <c r="AE568" s="7" t="s">
        <v>7151</v>
      </c>
      <c r="AF568" s="7"/>
      <c r="AG568" s="7"/>
      <c r="AH568" s="20">
        <v>43739.0</v>
      </c>
      <c r="AI568" s="7"/>
      <c r="AJ568" s="7" t="s">
        <v>7152</v>
      </c>
      <c r="AK568" s="7"/>
      <c r="AL568" s="7" t="s">
        <v>7153</v>
      </c>
      <c r="AM568" s="7" t="s">
        <v>7154</v>
      </c>
      <c r="AN568" s="20">
        <v>43739.0</v>
      </c>
      <c r="AO568" s="7">
        <v>97430.0</v>
      </c>
      <c r="AP568" s="7" t="s">
        <v>494</v>
      </c>
      <c r="AQ568" s="7"/>
      <c r="AR568" s="7"/>
      <c r="AS568" s="7"/>
      <c r="AT568" s="7"/>
      <c r="AU568" s="7">
        <v>5.0</v>
      </c>
      <c r="AV568" s="7" t="s">
        <v>7155</v>
      </c>
      <c r="AW568" s="7"/>
      <c r="AX568" s="7"/>
      <c r="AY568" s="7"/>
      <c r="AZ568" s="7" t="s">
        <v>7162</v>
      </c>
      <c r="BA568" s="7"/>
      <c r="BB568" s="7"/>
      <c r="BC568" s="7" t="s">
        <v>401</v>
      </c>
      <c r="BD568" s="21">
        <v>44074.07361111111</v>
      </c>
      <c r="BE568" s="7" t="s">
        <v>2828</v>
      </c>
      <c r="BF568" s="7"/>
      <c r="BG568" s="7"/>
      <c r="BH568" s="7"/>
      <c r="BI568" s="7" t="s">
        <v>7156</v>
      </c>
      <c r="BJ568" s="7"/>
      <c r="BK568" s="7" t="b">
        <v>0</v>
      </c>
      <c r="BL568" s="7" t="b">
        <v>0</v>
      </c>
      <c r="BM568" s="7"/>
      <c r="BN568" s="7" t="str">
        <f>IFERROR(__xludf.DUMMYFUNCTION(" IF( REGEXMATCH(C568 , ""[(].+[)]""),REGEXREPLACE( CONCATENATE(REGEXEXTRACT(C568 , ""[(].+[)]""),IF(REGEXMATCH(C568 , ""[(][Ll]['’][)]""),"""","" ""), REGEXEXTRACT(C568 ,""^(?:(?:[A-Za-zàäéèêîïöôûü0-9 ](?:[A-Za-zàäéèêîïöôûü'0-9 ]+)))"")) , ""[()]"", """")"&amp;",C568 )"),"Sarasvathy")</f>
        <v>Sarasvathy</v>
      </c>
      <c r="BO568" s="25"/>
      <c r="BP568" s="7"/>
      <c r="BQ568" s="7"/>
      <c r="BR568" s="7"/>
      <c r="BS568" s="7"/>
      <c r="BT568" s="7"/>
      <c r="BU568" s="7"/>
      <c r="BV568" s="7"/>
      <c r="BW568" s="7"/>
      <c r="BX568" s="7"/>
      <c r="BY568" s="7"/>
      <c r="BZ568" s="7"/>
      <c r="CA568" s="7"/>
      <c r="CB568" s="7"/>
    </row>
    <row r="569" ht="21.75" customHeight="1">
      <c r="A569" s="7">
        <v>3901.0</v>
      </c>
      <c r="B569" s="7" t="s">
        <v>7163</v>
      </c>
      <c r="C569" s="7" t="s">
        <v>7164</v>
      </c>
      <c r="D569" s="7"/>
      <c r="E569" s="7"/>
      <c r="F569" s="7" t="s">
        <v>404</v>
      </c>
      <c r="G569" s="7" t="s">
        <v>343</v>
      </c>
      <c r="H569" s="7" t="s">
        <v>344</v>
      </c>
      <c r="I569" s="7" t="s">
        <v>7165</v>
      </c>
      <c r="J569" s="7"/>
      <c r="K569" s="7" t="s">
        <v>58</v>
      </c>
      <c r="L569" s="7" t="s">
        <v>59</v>
      </c>
      <c r="M569" s="7" t="s">
        <v>346</v>
      </c>
      <c r="N569" s="7" t="s">
        <v>455</v>
      </c>
      <c r="O569" s="7">
        <v>97418.0</v>
      </c>
      <c r="P569" s="7" t="s">
        <v>348</v>
      </c>
      <c r="Q569" s="7" t="s">
        <v>349</v>
      </c>
      <c r="R569" s="7"/>
      <c r="S569" s="7"/>
      <c r="T569" s="7"/>
      <c r="U569" s="7"/>
      <c r="V569" s="7">
        <v>2.62279244E8</v>
      </c>
      <c r="W569" s="7">
        <v>6.92025229E8</v>
      </c>
      <c r="X569" s="7"/>
      <c r="Y569" s="7"/>
      <c r="Z569" s="7" t="s">
        <v>7166</v>
      </c>
      <c r="AA569" s="7"/>
      <c r="AB569" s="7"/>
      <c r="AC569" s="7"/>
      <c r="AD569" s="7" t="s">
        <v>7167</v>
      </c>
      <c r="AE569" s="7"/>
      <c r="AF569" s="7"/>
      <c r="AG569" s="7"/>
      <c r="AH569" s="20">
        <v>42170.0</v>
      </c>
      <c r="AI569" s="7"/>
      <c r="AJ569" s="7" t="s">
        <v>7168</v>
      </c>
      <c r="AK569" s="7"/>
      <c r="AL569" s="7" t="s">
        <v>7169</v>
      </c>
      <c r="AM569" s="7" t="s">
        <v>7170</v>
      </c>
      <c r="AN569" s="20">
        <v>42170.0</v>
      </c>
      <c r="AO569" s="7">
        <v>97418.0</v>
      </c>
      <c r="AP569" s="7" t="s">
        <v>362</v>
      </c>
      <c r="AQ569" s="7"/>
      <c r="AR569" s="7"/>
      <c r="AS569" s="7"/>
      <c r="AT569" s="7"/>
      <c r="AU569" s="7">
        <v>1.0</v>
      </c>
      <c r="AV569" s="7" t="s">
        <v>7171</v>
      </c>
      <c r="AW569" s="7"/>
      <c r="AX569" s="7"/>
      <c r="AY569" s="7"/>
      <c r="AZ569" s="7"/>
      <c r="BA569" s="7"/>
      <c r="BB569" s="7"/>
      <c r="BC569" s="7" t="s">
        <v>401</v>
      </c>
      <c r="BD569" s="21">
        <v>44088.0</v>
      </c>
      <c r="BE569" s="7"/>
      <c r="BF569" s="7"/>
      <c r="BG569" s="7"/>
      <c r="BH569" s="7"/>
      <c r="BI569" s="7" t="s">
        <v>7172</v>
      </c>
      <c r="BJ569" s="7"/>
      <c r="BK569" s="7" t="b">
        <v>0</v>
      </c>
      <c r="BL569" s="7" t="b">
        <v>0</v>
      </c>
      <c r="BM569" s="7"/>
      <c r="BN569" s="7" t="str">
        <f>IFERROR(__xludf.DUMMYFUNCTION(" IF( REGEXMATCH(C569 , ""[(].+[)]""),REGEXREPLACE( CONCATENATE(REGEXEXTRACT(C569 , ""[(].+[)]""),IF(REGEXMATCH(C569 , ""[(][Ll]['’][)]""),"""","" ""), REGEXEXTRACT(C569 ,""^(?:(?:[A-Za-zàäéèêîïöôûü0-9 ](?:[A-Za-zàäéèêîïöôûü'0-9 ]+)))"")) , ""[()]"", """")"&amp;",C569 )"),"Saveur des Epices")</f>
        <v>Saveur des Epices</v>
      </c>
      <c r="BO569" s="25"/>
      <c r="BP569" s="7"/>
      <c r="BQ569" s="7"/>
      <c r="BR569" s="7"/>
      <c r="BS569" s="7"/>
      <c r="BT569" s="7"/>
      <c r="BU569" s="7"/>
      <c r="BV569" s="7"/>
      <c r="BW569" s="7"/>
      <c r="BX569" s="7"/>
      <c r="BY569" s="7"/>
      <c r="BZ569" s="7"/>
      <c r="CA569" s="7"/>
      <c r="CB569" s="7"/>
    </row>
    <row r="570" ht="21.75" customHeight="1">
      <c r="A570" s="7">
        <v>2845.0</v>
      </c>
      <c r="B570" s="7">
        <v>569.0</v>
      </c>
      <c r="C570" s="7" t="s">
        <v>7173</v>
      </c>
      <c r="D570" s="7"/>
      <c r="E570" s="7"/>
      <c r="F570" s="7" t="s">
        <v>404</v>
      </c>
      <c r="G570" s="7" t="s">
        <v>343</v>
      </c>
      <c r="H570" s="7" t="s">
        <v>123</v>
      </c>
      <c r="I570" s="7" t="s">
        <v>7174</v>
      </c>
      <c r="J570" s="26" t="s">
        <v>7175</v>
      </c>
      <c r="K570" s="7" t="s">
        <v>34</v>
      </c>
      <c r="L570" s="7" t="s">
        <v>622</v>
      </c>
      <c r="M570" s="7" t="s">
        <v>622</v>
      </c>
      <c r="N570" s="7" t="s">
        <v>375</v>
      </c>
      <c r="O570" s="7">
        <v>97480.0</v>
      </c>
      <c r="P570" s="7" t="s">
        <v>123</v>
      </c>
      <c r="Q570" s="7"/>
      <c r="R570" s="7" t="s">
        <v>7176</v>
      </c>
      <c r="S570" s="7" t="s">
        <v>1075</v>
      </c>
      <c r="T570" s="7" t="s">
        <v>974</v>
      </c>
      <c r="U570" s="7" t="s">
        <v>378</v>
      </c>
      <c r="V570" s="7">
        <v>2.62289729E8</v>
      </c>
      <c r="W570" s="7"/>
      <c r="X570" s="7"/>
      <c r="Y570" s="7">
        <v>2.62289729E8</v>
      </c>
      <c r="Z570" s="7" t="s">
        <v>7177</v>
      </c>
      <c r="AA570" s="7">
        <v>80.0</v>
      </c>
      <c r="AB570" s="7"/>
      <c r="AC570" s="7"/>
      <c r="AD570" s="7" t="s">
        <v>7178</v>
      </c>
      <c r="AE570" s="7"/>
      <c r="AF570" s="7"/>
      <c r="AG570" s="7"/>
      <c r="AH570" s="20">
        <v>43739.0</v>
      </c>
      <c r="AI570" s="7"/>
      <c r="AJ570" s="7" t="s">
        <v>7173</v>
      </c>
      <c r="AK570" s="7"/>
      <c r="AL570" s="7" t="s">
        <v>7179</v>
      </c>
      <c r="AM570" s="7" t="s">
        <v>7180</v>
      </c>
      <c r="AN570" s="20">
        <v>43739.0</v>
      </c>
      <c r="AO570" s="7">
        <v>97480.0</v>
      </c>
      <c r="AP570" s="7" t="s">
        <v>385</v>
      </c>
      <c r="AQ570" s="7"/>
      <c r="AR570" s="7"/>
      <c r="AS570" s="7"/>
      <c r="AT570" s="7"/>
      <c r="AU570" s="7">
        <v>0.0</v>
      </c>
      <c r="AV570" s="7" t="s">
        <v>7181</v>
      </c>
      <c r="AW570" s="7"/>
      <c r="AX570" s="7"/>
      <c r="AY570" s="7"/>
      <c r="AZ570" s="7"/>
      <c r="BA570" s="7"/>
      <c r="BB570" s="7"/>
      <c r="BC570" s="7" t="s">
        <v>366</v>
      </c>
      <c r="BD570" s="21">
        <v>44112.50347222222</v>
      </c>
      <c r="BE570" s="7"/>
      <c r="BF570" s="7"/>
      <c r="BG570" s="22">
        <v>44112.0</v>
      </c>
      <c r="BH570" s="7"/>
      <c r="BI570" s="7" t="s">
        <v>7182</v>
      </c>
      <c r="BJ570" s="7"/>
      <c r="BK570" s="7" t="b">
        <v>0</v>
      </c>
      <c r="BL570" s="7" t="b">
        <v>0</v>
      </c>
      <c r="BM570" s="7"/>
      <c r="BN570" s="7" t="str">
        <f>IFERROR(__xludf.DUMMYFUNCTION(" IF( REGEXMATCH(C570 , ""[(].+[)]""),REGEXREPLACE( CONCATENATE(REGEXEXTRACT(C570 , ""[(].+[)]""),IF(REGEXMATCH(C570 , ""[(][Ll]['’][)]""),"""","" ""), REGEXEXTRACT(C570 ,""^(?:(?:[A-Za-zàäéèêîïöôûü0-9 ](?:[A-Za-zàäéèêîïöôûü'0-9 ]+)))"")) , ""[()]"", """")"&amp;",C570 )"),"Les Saveurs de la Tonnelle ")</f>
        <v>Les Saveurs de la Tonnelle </v>
      </c>
      <c r="BO570" s="23"/>
      <c r="BP570" s="7"/>
      <c r="BQ570" s="7"/>
      <c r="BR570" s="7"/>
      <c r="BS570" s="7"/>
      <c r="BT570" s="7"/>
      <c r="BU570" s="7"/>
      <c r="BV570" s="7"/>
      <c r="BW570" s="7"/>
      <c r="BX570" s="7"/>
      <c r="BY570" s="7"/>
      <c r="BZ570" s="7"/>
      <c r="CA570" s="7"/>
      <c r="CB570" s="7"/>
    </row>
    <row r="571" ht="21.75" customHeight="1">
      <c r="A571" s="7">
        <v>3899.0</v>
      </c>
      <c r="B571" s="7">
        <v>570.0</v>
      </c>
      <c r="C571" s="7" t="s">
        <v>7183</v>
      </c>
      <c r="D571" s="7"/>
      <c r="E571" s="7"/>
      <c r="F571" s="7" t="s">
        <v>404</v>
      </c>
      <c r="G571" s="7" t="s">
        <v>343</v>
      </c>
      <c r="H571" s="7" t="s">
        <v>344</v>
      </c>
      <c r="I571" s="7" t="s">
        <v>7184</v>
      </c>
      <c r="J571" s="7"/>
      <c r="K571" s="7" t="s">
        <v>58</v>
      </c>
      <c r="L571" s="7" t="s">
        <v>59</v>
      </c>
      <c r="M571" s="7" t="s">
        <v>545</v>
      </c>
      <c r="N571" s="7"/>
      <c r="O571" s="7">
        <v>97430.0</v>
      </c>
      <c r="P571" s="7" t="s">
        <v>344</v>
      </c>
      <c r="Q571" s="7"/>
      <c r="R571" s="7"/>
      <c r="S571" s="7"/>
      <c r="T571" s="7"/>
      <c r="U571" s="7"/>
      <c r="V571" s="7">
        <v>2.62221498E8</v>
      </c>
      <c r="W571" s="7">
        <v>6.92728237E8</v>
      </c>
      <c r="X571" s="7"/>
      <c r="Y571" s="7"/>
      <c r="Z571" s="7" t="s">
        <v>7185</v>
      </c>
      <c r="AA571" s="7">
        <v>8.0</v>
      </c>
      <c r="AB571" s="7"/>
      <c r="AC571" s="7" t="s">
        <v>7186</v>
      </c>
      <c r="AD571" s="7" t="s">
        <v>7187</v>
      </c>
      <c r="AE571" s="7"/>
      <c r="AF571" s="7"/>
      <c r="AG571" s="7"/>
      <c r="AH571" s="20">
        <v>42170.0</v>
      </c>
      <c r="AI571" s="7"/>
      <c r="AJ571" s="7" t="s">
        <v>7183</v>
      </c>
      <c r="AK571" s="7"/>
      <c r="AL571" s="7" t="s">
        <v>7188</v>
      </c>
      <c r="AM571" s="7" t="s">
        <v>7189</v>
      </c>
      <c r="AN571" s="20">
        <v>42170.0</v>
      </c>
      <c r="AO571" s="7">
        <v>97430.0</v>
      </c>
      <c r="AP571" s="7" t="s">
        <v>494</v>
      </c>
      <c r="AQ571" s="7"/>
      <c r="AR571" s="7"/>
      <c r="AS571" s="7"/>
      <c r="AT571" s="7"/>
      <c r="AU571" s="7">
        <v>3.0</v>
      </c>
      <c r="AV571" s="7" t="s">
        <v>7190</v>
      </c>
      <c r="AW571" s="7"/>
      <c r="AX571" s="7"/>
      <c r="AY571" s="7"/>
      <c r="AZ571" s="7"/>
      <c r="BA571" s="7"/>
      <c r="BB571" s="7"/>
      <c r="BC571" s="7" t="s">
        <v>366</v>
      </c>
      <c r="BD571" s="21">
        <v>44197.0</v>
      </c>
      <c r="BE571" s="7"/>
      <c r="BF571" s="7"/>
      <c r="BG571" s="22">
        <v>44197.0</v>
      </c>
      <c r="BH571" s="7"/>
      <c r="BI571" s="7" t="s">
        <v>7191</v>
      </c>
      <c r="BJ571" s="7"/>
      <c r="BK571" s="7" t="b">
        <v>0</v>
      </c>
      <c r="BL571" s="7" t="b">
        <v>0</v>
      </c>
      <c r="BM571" s="7"/>
      <c r="BN571" s="7" t="str">
        <f>IFERROR(__xludf.DUMMYFUNCTION(" IF( REGEXMATCH(C571 , ""[(].+[)]""),REGEXREPLACE( CONCATENATE(REGEXEXTRACT(C571 , ""[(].+[)]""),IF(REGEXMATCH(C571 , ""[(][Ll]['’][)]""),"""","" ""), REGEXEXTRACT(C571 ,""^(?:(?:[A-Za-zàäéèêîïöôûü0-9 ](?:[A-Za-zàäéèêîïöôûü'0-9 ]+)))"")) , ""[()]"", """")"&amp;",C571 )"),"Les Senteurs ")</f>
        <v>Les Senteurs </v>
      </c>
      <c r="BO571" s="23"/>
      <c r="BP571" s="7"/>
      <c r="BQ571" s="7"/>
      <c r="BR571" s="7"/>
      <c r="BS571" s="7"/>
      <c r="BT571" s="7"/>
      <c r="BU571" s="7"/>
      <c r="BV571" s="7"/>
      <c r="BW571" s="7"/>
      <c r="BX571" s="7"/>
      <c r="BY571" s="7"/>
      <c r="BZ571" s="7"/>
      <c r="CA571" s="7"/>
      <c r="CB571" s="7"/>
    </row>
    <row r="572" ht="21.75" customHeight="1">
      <c r="A572" s="7">
        <v>324.0</v>
      </c>
      <c r="B572" s="7">
        <v>571.0</v>
      </c>
      <c r="C572" s="7" t="s">
        <v>7192</v>
      </c>
      <c r="D572" s="7" t="s">
        <v>7193</v>
      </c>
      <c r="E572" s="7"/>
      <c r="F572" s="7" t="s">
        <v>404</v>
      </c>
      <c r="G572" s="7" t="s">
        <v>343</v>
      </c>
      <c r="H572" s="7" t="s">
        <v>123</v>
      </c>
      <c r="I572" s="7" t="s">
        <v>7194</v>
      </c>
      <c r="J572" s="26" t="s">
        <v>7195</v>
      </c>
      <c r="K572" s="7" t="s">
        <v>58</v>
      </c>
      <c r="L572" s="7" t="s">
        <v>453</v>
      </c>
      <c r="M572" s="7" t="s">
        <v>454</v>
      </c>
      <c r="N572" s="7" t="s">
        <v>455</v>
      </c>
      <c r="O572" s="7">
        <v>97480.0</v>
      </c>
      <c r="P572" s="7" t="s">
        <v>123</v>
      </c>
      <c r="Q572" s="7"/>
      <c r="R572" s="7" t="s">
        <v>6657</v>
      </c>
      <c r="S572" s="7" t="s">
        <v>7196</v>
      </c>
      <c r="T572" s="7" t="s">
        <v>377</v>
      </c>
      <c r="U572" s="7" t="s">
        <v>353</v>
      </c>
      <c r="V572" s="7">
        <v>2.62376621E8</v>
      </c>
      <c r="W572" s="7">
        <v>6.92208178E8</v>
      </c>
      <c r="X572" s="7"/>
      <c r="Y572" s="7">
        <v>2.62376621E8</v>
      </c>
      <c r="Z572" s="7" t="s">
        <v>7197</v>
      </c>
      <c r="AA572" s="7">
        <v>5.0</v>
      </c>
      <c r="AB572" s="7"/>
      <c r="AC572" s="7" t="s">
        <v>7198</v>
      </c>
      <c r="AD572" s="7" t="s">
        <v>7199</v>
      </c>
      <c r="AE572" s="7" t="s">
        <v>7200</v>
      </c>
      <c r="AF572" s="7"/>
      <c r="AG572" s="7"/>
      <c r="AH572" s="20">
        <v>41206.0</v>
      </c>
      <c r="AI572" s="7"/>
      <c r="AJ572" s="7" t="s">
        <v>7201</v>
      </c>
      <c r="AK572" s="7"/>
      <c r="AL572" s="7" t="s">
        <v>7202</v>
      </c>
      <c r="AM572" s="7" t="s">
        <v>7203</v>
      </c>
      <c r="AN572" s="20">
        <v>39575.0</v>
      </c>
      <c r="AO572" s="7">
        <v>97480.0</v>
      </c>
      <c r="AP572" s="7" t="s">
        <v>385</v>
      </c>
      <c r="AQ572" s="7"/>
      <c r="AR572" s="7"/>
      <c r="AS572" s="7"/>
      <c r="AT572" s="7"/>
      <c r="AU572" s="7">
        <v>2.0</v>
      </c>
      <c r="AV572" s="7" t="s">
        <v>7204</v>
      </c>
      <c r="AW572" s="7"/>
      <c r="AX572" s="7"/>
      <c r="AY572" s="7"/>
      <c r="AZ572" s="7"/>
      <c r="BA572" s="7"/>
      <c r="BB572" s="7"/>
      <c r="BC572" s="7" t="s">
        <v>366</v>
      </c>
      <c r="BD572" s="21">
        <v>44158.14861111111</v>
      </c>
      <c r="BE572" s="7"/>
      <c r="BF572" s="7"/>
      <c r="BG572" s="22">
        <v>44158.0</v>
      </c>
      <c r="BH572" s="7"/>
      <c r="BI572" s="7" t="s">
        <v>7205</v>
      </c>
      <c r="BJ572" s="7"/>
      <c r="BK572" s="7" t="b">
        <v>0</v>
      </c>
      <c r="BL572" s="7" t="b">
        <v>0</v>
      </c>
      <c r="BM572" s="7"/>
      <c r="BN572" s="7" t="str">
        <f>IFERROR(__xludf.DUMMYFUNCTION(" IF( REGEXMATCH(C572 , ""[(].+[)]""),REGEXREPLACE( CONCATENATE(REGEXEXTRACT(C572 , ""[(].+[)]""),IF(REGEXMATCH(C572 , ""[(][Ll]['’][)]""),"""","" ""), REGEXEXTRACT(C572 ,""^(?:(?:[A-Za-zàäéèêîïöôûü0-9 ](?:[A-Za-zàäéèêîïöôûü'0-9 ]+)))"")) , ""[()]"", """")"&amp;",C572 )"),"Senteurs des Tropiques")</f>
        <v>Senteurs des Tropiques</v>
      </c>
      <c r="BO572" s="23"/>
      <c r="BP572" s="7"/>
      <c r="BQ572" s="7"/>
      <c r="BR572" s="7"/>
      <c r="BS572" s="7"/>
      <c r="BT572" s="7"/>
      <c r="BU572" s="7"/>
      <c r="BV572" s="7"/>
      <c r="BW572" s="7"/>
      <c r="BX572" s="7"/>
      <c r="BY572" s="7"/>
      <c r="BZ572" s="7"/>
      <c r="CA572" s="7"/>
      <c r="CB572" s="7"/>
    </row>
    <row r="573" ht="21.75" customHeight="1">
      <c r="A573" s="7">
        <v>347.0</v>
      </c>
      <c r="B573" s="7">
        <v>572.0</v>
      </c>
      <c r="C573" s="7" t="s">
        <v>7206</v>
      </c>
      <c r="D573" s="7" t="s">
        <v>7207</v>
      </c>
      <c r="E573" s="7"/>
      <c r="F573" s="7" t="s">
        <v>404</v>
      </c>
      <c r="G573" s="7" t="s">
        <v>343</v>
      </c>
      <c r="H573" s="7" t="s">
        <v>40</v>
      </c>
      <c r="I573" s="7" t="s">
        <v>7208</v>
      </c>
      <c r="J573" s="7"/>
      <c r="K573" s="7" t="s">
        <v>58</v>
      </c>
      <c r="L573" s="7" t="s">
        <v>59</v>
      </c>
      <c r="M573" s="7" t="s">
        <v>346</v>
      </c>
      <c r="N573" s="7" t="s">
        <v>455</v>
      </c>
      <c r="O573" s="7">
        <v>97414.0</v>
      </c>
      <c r="P573" s="7" t="s">
        <v>40</v>
      </c>
      <c r="Q573" s="7"/>
      <c r="R573" s="7" t="s">
        <v>1026</v>
      </c>
      <c r="S573" s="7" t="s">
        <v>1779</v>
      </c>
      <c r="T573" s="7" t="s">
        <v>1677</v>
      </c>
      <c r="U573" s="7" t="s">
        <v>353</v>
      </c>
      <c r="V573" s="7">
        <v>2.62396644E8</v>
      </c>
      <c r="W573" s="7"/>
      <c r="X573" s="7"/>
      <c r="Y573" s="7">
        <v>2.62396644E8</v>
      </c>
      <c r="Z573" s="7" t="s">
        <v>7209</v>
      </c>
      <c r="AA573" s="7">
        <v>4.0</v>
      </c>
      <c r="AB573" s="7"/>
      <c r="AC573" s="7"/>
      <c r="AD573" s="7" t="s">
        <v>7210</v>
      </c>
      <c r="AE573" s="7" t="s">
        <v>7211</v>
      </c>
      <c r="AF573" s="7"/>
      <c r="AG573" s="7"/>
      <c r="AH573" s="20">
        <v>39657.0</v>
      </c>
      <c r="AI573" s="7"/>
      <c r="AJ573" s="7" t="s">
        <v>7206</v>
      </c>
      <c r="AK573" s="7"/>
      <c r="AL573" s="7" t="s">
        <v>7212</v>
      </c>
      <c r="AM573" s="7" t="s">
        <v>7213</v>
      </c>
      <c r="AN573" s="20">
        <v>39575.0</v>
      </c>
      <c r="AO573" s="7">
        <v>97414.0</v>
      </c>
      <c r="AP573" s="7" t="s">
        <v>429</v>
      </c>
      <c r="AQ573" s="7"/>
      <c r="AR573" s="7"/>
      <c r="AS573" s="7"/>
      <c r="AT573" s="7"/>
      <c r="AU573" s="7">
        <v>0.0</v>
      </c>
      <c r="AV573" s="7" t="s">
        <v>7214</v>
      </c>
      <c r="AW573" s="7"/>
      <c r="AX573" s="7"/>
      <c r="AY573" s="7"/>
      <c r="AZ573" s="7"/>
      <c r="BA573" s="7"/>
      <c r="BB573" s="7"/>
      <c r="BC573" s="7" t="s">
        <v>366</v>
      </c>
      <c r="BD573" s="21">
        <v>44197.0</v>
      </c>
      <c r="BE573" s="7"/>
      <c r="BF573" s="7"/>
      <c r="BG573" s="22">
        <v>44197.0</v>
      </c>
      <c r="BH573" s="7"/>
      <c r="BI573" s="7" t="s">
        <v>7215</v>
      </c>
      <c r="BJ573" s="7"/>
      <c r="BK573" s="7" t="b">
        <v>0</v>
      </c>
      <c r="BL573" s="7" t="b">
        <v>0</v>
      </c>
      <c r="BM573" s="7"/>
      <c r="BN573" s="7" t="str">
        <f>IFERROR(__xludf.DUMMYFUNCTION(" IF( REGEXMATCH(C573 , ""[(].+[)]""),REGEXREPLACE( CONCATENATE(REGEXEXTRACT(C573 , ""[(].+[)]""),IF(REGEXMATCH(C573 , ""[(][Ll]['’][)]""),"""","" ""), REGEXEXTRACT(C573 ,""^(?:(?:[A-Za-zàäéèêîïöôûü0-9 ](?:[A-Za-zàäéèêîïöôûü'0-9 ]+)))"")) , ""[()]"", """")"&amp;",C573 )"),"Seznec Daniel et Gilette")</f>
        <v>Seznec Daniel et Gilette</v>
      </c>
      <c r="BO573" s="23"/>
      <c r="BP573" s="7"/>
      <c r="BQ573" s="7"/>
      <c r="BR573" s="7"/>
      <c r="BS573" s="7"/>
      <c r="BT573" s="7"/>
      <c r="BU573" s="7"/>
      <c r="BV573" s="7"/>
      <c r="BW573" s="7"/>
      <c r="BX573" s="7"/>
      <c r="BY573" s="7"/>
      <c r="BZ573" s="7"/>
      <c r="CA573" s="7"/>
      <c r="CB573" s="7"/>
    </row>
    <row r="574" ht="21.75" customHeight="1">
      <c r="A574" s="7">
        <v>346.0</v>
      </c>
      <c r="B574" s="7">
        <v>573.0</v>
      </c>
      <c r="C574" s="7" t="s">
        <v>7206</v>
      </c>
      <c r="D574" s="7" t="s">
        <v>7207</v>
      </c>
      <c r="E574" s="7"/>
      <c r="F574" s="7" t="s">
        <v>404</v>
      </c>
      <c r="G574" s="7" t="s">
        <v>343</v>
      </c>
      <c r="H574" s="7" t="s">
        <v>40</v>
      </c>
      <c r="I574" s="7" t="s">
        <v>7208</v>
      </c>
      <c r="J574" s="7"/>
      <c r="K574" s="7" t="s">
        <v>58</v>
      </c>
      <c r="L574" s="7" t="s">
        <v>453</v>
      </c>
      <c r="M574" s="7" t="s">
        <v>454</v>
      </c>
      <c r="N574" s="7" t="s">
        <v>455</v>
      </c>
      <c r="O574" s="7">
        <v>97414.0</v>
      </c>
      <c r="P574" s="7" t="s">
        <v>40</v>
      </c>
      <c r="Q574" s="7"/>
      <c r="R574" s="7" t="s">
        <v>7216</v>
      </c>
      <c r="S574" s="7" t="s">
        <v>3334</v>
      </c>
      <c r="T574" s="7" t="s">
        <v>377</v>
      </c>
      <c r="U574" s="7" t="s">
        <v>353</v>
      </c>
      <c r="V574" s="7">
        <v>2.62396644E8</v>
      </c>
      <c r="W574" s="7"/>
      <c r="X574" s="7"/>
      <c r="Y574" s="7">
        <v>2.62396644E8</v>
      </c>
      <c r="Z574" s="7" t="s">
        <v>7209</v>
      </c>
      <c r="AA574" s="7">
        <v>6.0</v>
      </c>
      <c r="AB574" s="7" t="s">
        <v>788</v>
      </c>
      <c r="AC574" s="7"/>
      <c r="AD574" s="7" t="s">
        <v>7217</v>
      </c>
      <c r="AE574" s="7" t="s">
        <v>7218</v>
      </c>
      <c r="AF574" s="7"/>
      <c r="AG574" s="7" t="s">
        <v>578</v>
      </c>
      <c r="AH574" s="20">
        <v>39575.0</v>
      </c>
      <c r="AI574" s="7"/>
      <c r="AJ574" s="7" t="s">
        <v>7206</v>
      </c>
      <c r="AK574" s="7"/>
      <c r="AL574" s="7" t="s">
        <v>7212</v>
      </c>
      <c r="AM574" s="7" t="s">
        <v>7213</v>
      </c>
      <c r="AN574" s="20">
        <v>39575.0</v>
      </c>
      <c r="AO574" s="7">
        <v>97414.0</v>
      </c>
      <c r="AP574" s="7" t="s">
        <v>429</v>
      </c>
      <c r="AQ574" s="7"/>
      <c r="AR574" s="7"/>
      <c r="AS574" s="7"/>
      <c r="AT574" s="7"/>
      <c r="AU574" s="7">
        <v>0.0</v>
      </c>
      <c r="AV574" s="7" t="s">
        <v>7214</v>
      </c>
      <c r="AW574" s="7"/>
      <c r="AX574" s="7"/>
      <c r="AY574" s="7"/>
      <c r="AZ574" s="7"/>
      <c r="BA574" s="7"/>
      <c r="BB574" s="7"/>
      <c r="BC574" s="7" t="s">
        <v>366</v>
      </c>
      <c r="BD574" s="21">
        <v>44197.0</v>
      </c>
      <c r="BE574" s="7"/>
      <c r="BF574" s="7"/>
      <c r="BG574" s="22">
        <v>44197.0</v>
      </c>
      <c r="BH574" s="7"/>
      <c r="BI574" s="7" t="s">
        <v>7215</v>
      </c>
      <c r="BJ574" s="7"/>
      <c r="BK574" s="7" t="b">
        <v>0</v>
      </c>
      <c r="BL574" s="7" t="b">
        <v>0</v>
      </c>
      <c r="BM574" s="7"/>
      <c r="BN574" s="7" t="str">
        <f>IFERROR(__xludf.DUMMYFUNCTION(" IF( REGEXMATCH(C574 , ""[(].+[)]""),REGEXREPLACE( CONCATENATE(REGEXEXTRACT(C574 , ""[(].+[)]""),IF(REGEXMATCH(C574 , ""[(][Ll]['’][)]""),"""","" ""), REGEXEXTRACT(C574 ,""^(?:(?:[A-Za-zàäéèêîïöôûü0-9 ](?:[A-Za-zàäéèêîïöôûü'0-9 ]+)))"")) , ""[()]"", """")"&amp;",C574 )"),"Seznec Daniel et Gilette")</f>
        <v>Seznec Daniel et Gilette</v>
      </c>
      <c r="BO574" s="23"/>
      <c r="BP574" s="7"/>
      <c r="BQ574" s="7"/>
      <c r="BR574" s="7"/>
      <c r="BS574" s="7"/>
      <c r="BT574" s="7"/>
      <c r="BU574" s="7"/>
      <c r="BV574" s="7"/>
      <c r="BW574" s="7"/>
      <c r="BX574" s="7"/>
      <c r="BY574" s="7"/>
      <c r="BZ574" s="7"/>
      <c r="CA574" s="7"/>
      <c r="CB574" s="7"/>
    </row>
    <row r="575" ht="21.75" customHeight="1">
      <c r="A575" s="7">
        <v>469.0</v>
      </c>
      <c r="B575" s="7" t="s">
        <v>7219</v>
      </c>
      <c r="C575" s="7" t="s">
        <v>7220</v>
      </c>
      <c r="D575" s="7" t="s">
        <v>7221</v>
      </c>
      <c r="E575" s="7"/>
      <c r="F575" s="7" t="s">
        <v>342</v>
      </c>
      <c r="G575" s="7" t="s">
        <v>343</v>
      </c>
      <c r="H575" s="7" t="s">
        <v>40</v>
      </c>
      <c r="I575" s="7" t="s">
        <v>7222</v>
      </c>
      <c r="J575" s="7"/>
      <c r="K575" s="7" t="s">
        <v>34</v>
      </c>
      <c r="L575" s="7" t="s">
        <v>622</v>
      </c>
      <c r="M575" s="7" t="s">
        <v>1347</v>
      </c>
      <c r="N575" s="7" t="s">
        <v>472</v>
      </c>
      <c r="O575" s="7">
        <v>97414.0</v>
      </c>
      <c r="P575" s="7" t="s">
        <v>40</v>
      </c>
      <c r="Q575" s="7"/>
      <c r="R575" s="7" t="s">
        <v>7223</v>
      </c>
      <c r="S575" s="7" t="s">
        <v>7224</v>
      </c>
      <c r="T575" s="7" t="s">
        <v>377</v>
      </c>
      <c r="U575" s="7" t="s">
        <v>353</v>
      </c>
      <c r="V575" s="7"/>
      <c r="W575" s="7">
        <v>6.92682787E8</v>
      </c>
      <c r="X575" s="7"/>
      <c r="Y575" s="7"/>
      <c r="Z575" s="7"/>
      <c r="AA575" s="7">
        <v>50.0</v>
      </c>
      <c r="AB575" s="7"/>
      <c r="AC575" s="7"/>
      <c r="AD575" s="7" t="s">
        <v>7225</v>
      </c>
      <c r="AE575" s="7" t="s">
        <v>7226</v>
      </c>
      <c r="AF575" s="7"/>
      <c r="AG575" s="7"/>
      <c r="AH575" s="20">
        <v>39575.0</v>
      </c>
      <c r="AI575" s="7"/>
      <c r="AJ575" s="7" t="s">
        <v>7227</v>
      </c>
      <c r="AK575" s="7">
        <v>4.279499040001E13</v>
      </c>
      <c r="AL575" s="7" t="s">
        <v>7228</v>
      </c>
      <c r="AM575" s="7" t="s">
        <v>7229</v>
      </c>
      <c r="AN575" s="20">
        <v>39575.0</v>
      </c>
      <c r="AO575" s="7">
        <v>97414.0</v>
      </c>
      <c r="AP575" s="7" t="s">
        <v>429</v>
      </c>
      <c r="AQ575" s="7"/>
      <c r="AR575" s="7"/>
      <c r="AS575" s="7"/>
      <c r="AT575" s="7"/>
      <c r="AU575" s="7">
        <v>0.0</v>
      </c>
      <c r="AV575" s="7" t="s">
        <v>7230</v>
      </c>
      <c r="AW575" s="7"/>
      <c r="AX575" s="7"/>
      <c r="AY575" s="7"/>
      <c r="AZ575" s="7"/>
      <c r="BA575" s="7"/>
      <c r="BB575" s="7"/>
      <c r="BC575" s="7" t="s">
        <v>401</v>
      </c>
      <c r="BD575" s="7"/>
      <c r="BE575" s="7" t="s">
        <v>449</v>
      </c>
      <c r="BF575" s="7"/>
      <c r="BG575" s="7"/>
      <c r="BH575" s="7">
        <v>4.27949904E8</v>
      </c>
      <c r="BI575" s="7" t="s">
        <v>4912</v>
      </c>
      <c r="BJ575" s="7"/>
      <c r="BK575" s="7" t="b">
        <v>0</v>
      </c>
      <c r="BL575" s="7" t="b">
        <v>0</v>
      </c>
      <c r="BM575" s="7"/>
      <c r="BN575" s="7" t="str">
        <f>IFERROR(__xludf.DUMMYFUNCTION(" IF( REGEXMATCH(C575 , ""[(].+[)]""),REGEXREPLACE( CONCATENATE(REGEXEXTRACT(C575 , ""[(].+[)]""),IF(REGEXMATCH(C575 , ""[(][Ll]['’][)]""),"""","" ""), REGEXEXTRACT(C575 ,""^(?:(?:[A-Za-zàäéèêîïöôûü0-9 ](?:[A-Za-zàäéèêîïöôûü'0-9 ]+)))"")) , ""[()]"", """")"&amp;",C575 )"),"Snack Bar La Source")</f>
        <v>Snack Bar La Source</v>
      </c>
      <c r="BO575" s="25"/>
      <c r="BP575" s="7"/>
      <c r="BQ575" s="7"/>
      <c r="BR575" s="7"/>
      <c r="BS575" s="7"/>
      <c r="BT575" s="7"/>
      <c r="BU575" s="7"/>
      <c r="BV575" s="7"/>
      <c r="BW575" s="7"/>
      <c r="BX575" s="7"/>
      <c r="BY575" s="7"/>
      <c r="BZ575" s="7"/>
      <c r="CA575" s="7"/>
      <c r="CB575" s="7"/>
    </row>
    <row r="576" ht="21.75" customHeight="1">
      <c r="A576" s="7">
        <v>4649.0</v>
      </c>
      <c r="B576" s="7" t="s">
        <v>7231</v>
      </c>
      <c r="C576" s="7" t="s">
        <v>7232</v>
      </c>
      <c r="D576" s="7"/>
      <c r="E576" s="7"/>
      <c r="F576" s="7" t="s">
        <v>342</v>
      </c>
      <c r="G576" s="7" t="s">
        <v>343</v>
      </c>
      <c r="H576" s="7" t="s">
        <v>344</v>
      </c>
      <c r="I576" s="7" t="s">
        <v>7233</v>
      </c>
      <c r="J576" s="7"/>
      <c r="K576" s="7" t="s">
        <v>34</v>
      </c>
      <c r="L576" s="7" t="s">
        <v>622</v>
      </c>
      <c r="M576" s="7" t="s">
        <v>1347</v>
      </c>
      <c r="N576" s="7"/>
      <c r="O576" s="7">
        <v>97430.0</v>
      </c>
      <c r="P576" s="7" t="s">
        <v>344</v>
      </c>
      <c r="Q576" s="7"/>
      <c r="R576" s="7"/>
      <c r="S576" s="7"/>
      <c r="T576" s="7" t="s">
        <v>1076</v>
      </c>
      <c r="U576" s="7" t="s">
        <v>378</v>
      </c>
      <c r="V576" s="7">
        <v>2.62025956E8</v>
      </c>
      <c r="W576" s="7"/>
      <c r="X576" s="7"/>
      <c r="Y576" s="7"/>
      <c r="Z576" s="7"/>
      <c r="AA576" s="7"/>
      <c r="AB576" s="7"/>
      <c r="AC576" s="7" t="s">
        <v>7234</v>
      </c>
      <c r="AD576" s="7" t="s">
        <v>7235</v>
      </c>
      <c r="AE576" s="7"/>
      <c r="AF576" s="7"/>
      <c r="AG576" s="7"/>
      <c r="AH576" s="20">
        <v>43378.0</v>
      </c>
      <c r="AI576" s="7"/>
      <c r="AJ576" s="7" t="s">
        <v>7232</v>
      </c>
      <c r="AK576" s="7">
        <v>8.1965214000016E13</v>
      </c>
      <c r="AL576" s="7" t="s">
        <v>7236</v>
      </c>
      <c r="AM576" s="7" t="s">
        <v>7237</v>
      </c>
      <c r="AN576" s="20">
        <v>43378.0</v>
      </c>
      <c r="AO576" s="7">
        <v>97430.0</v>
      </c>
      <c r="AP576" s="7" t="s">
        <v>494</v>
      </c>
      <c r="AQ576" s="7"/>
      <c r="AR576" s="7"/>
      <c r="AS576" s="7"/>
      <c r="AT576" s="7"/>
      <c r="AU576" s="7">
        <v>0.0</v>
      </c>
      <c r="AV576" s="7" t="s">
        <v>7238</v>
      </c>
      <c r="AW576" s="7"/>
      <c r="AX576" s="7"/>
      <c r="AY576" s="7"/>
      <c r="AZ576" s="7"/>
      <c r="BA576" s="7"/>
      <c r="BB576" s="7"/>
      <c r="BC576" s="7" t="s">
        <v>401</v>
      </c>
      <c r="BD576" s="7"/>
      <c r="BE576" s="7" t="s">
        <v>871</v>
      </c>
      <c r="BF576" s="7"/>
      <c r="BG576" s="7"/>
      <c r="BH576" s="7">
        <v>8.1965214E8</v>
      </c>
      <c r="BI576" s="7" t="s">
        <v>7239</v>
      </c>
      <c r="BJ576" s="7"/>
      <c r="BK576" s="7" t="b">
        <v>0</v>
      </c>
      <c r="BL576" s="7" t="b">
        <v>0</v>
      </c>
      <c r="BM576" s="7"/>
      <c r="BN576" s="7" t="str">
        <f>IFERROR(__xludf.DUMMYFUNCTION(" IF( REGEXMATCH(C576 , ""[(].+[)]""),REGEXREPLACE( CONCATENATE(REGEXEXTRACT(C576 , ""[(].+[)]""),IF(REGEXMATCH(C576 , ""[(][Ll]['’][)]""),"""","" ""), REGEXEXTRACT(C576 ,""^(?:(?:[A-Za-zàäéèêîïöôûü0-9 ](?:[A-Za-zàäéèêîïöôûü'0-9 ]+)))"")) , ""[()]"", """")"&amp;",C576 )"),"Snack Bigdil Family")</f>
        <v>Snack Bigdil Family</v>
      </c>
      <c r="BO576" s="25"/>
      <c r="BP576" s="7"/>
      <c r="BQ576" s="7"/>
      <c r="BR576" s="7"/>
      <c r="BS576" s="7"/>
      <c r="BT576" s="7"/>
      <c r="BU576" s="7"/>
      <c r="BV576" s="7"/>
      <c r="BW576" s="7"/>
      <c r="BX576" s="7"/>
      <c r="BY576" s="7"/>
      <c r="BZ576" s="7"/>
      <c r="CA576" s="7"/>
      <c r="CB576" s="7"/>
    </row>
    <row r="577" ht="21.75" customHeight="1">
      <c r="A577" s="7">
        <v>4675.0</v>
      </c>
      <c r="B577" s="7" t="s">
        <v>7240</v>
      </c>
      <c r="C577" s="7" t="s">
        <v>7241</v>
      </c>
      <c r="D577" s="7"/>
      <c r="E577" s="7"/>
      <c r="F577" s="7" t="s">
        <v>342</v>
      </c>
      <c r="G577" s="7" t="s">
        <v>343</v>
      </c>
      <c r="H577" s="7" t="s">
        <v>344</v>
      </c>
      <c r="I577" s="7" t="s">
        <v>7242</v>
      </c>
      <c r="J577" s="7"/>
      <c r="K577" s="7" t="s">
        <v>34</v>
      </c>
      <c r="L577" s="7" t="s">
        <v>622</v>
      </c>
      <c r="M577" s="7" t="s">
        <v>622</v>
      </c>
      <c r="N577" s="7"/>
      <c r="O577" s="7">
        <v>97430.0</v>
      </c>
      <c r="P577" s="7" t="s">
        <v>344</v>
      </c>
      <c r="Q577" s="7"/>
      <c r="R577" s="7"/>
      <c r="S577" s="7"/>
      <c r="T577" s="7"/>
      <c r="U577" s="7" t="s">
        <v>378</v>
      </c>
      <c r="V577" s="7"/>
      <c r="W577" s="7">
        <v>6.9234636E8</v>
      </c>
      <c r="X577" s="7"/>
      <c r="Y577" s="7"/>
      <c r="Z577" s="7"/>
      <c r="AA577" s="7"/>
      <c r="AB577" s="7"/>
      <c r="AC577" s="7" t="s">
        <v>7243</v>
      </c>
      <c r="AD577" s="7" t="s">
        <v>7244</v>
      </c>
      <c r="AE577" s="7"/>
      <c r="AF577" s="7"/>
      <c r="AG577" s="7"/>
      <c r="AH577" s="20">
        <v>43392.0</v>
      </c>
      <c r="AI577" s="7"/>
      <c r="AJ577" s="7" t="s">
        <v>7241</v>
      </c>
      <c r="AK577" s="7">
        <v>8.1461577900018E13</v>
      </c>
      <c r="AL577" s="7" t="s">
        <v>7245</v>
      </c>
      <c r="AM577" s="7" t="s">
        <v>7246</v>
      </c>
      <c r="AN577" s="20">
        <v>43392.0</v>
      </c>
      <c r="AO577" s="7">
        <v>97430.0</v>
      </c>
      <c r="AP577" s="7" t="s">
        <v>494</v>
      </c>
      <c r="AQ577" s="7"/>
      <c r="AR577" s="7"/>
      <c r="AS577" s="7"/>
      <c r="AT577" s="7"/>
      <c r="AU577" s="7">
        <v>0.0</v>
      </c>
      <c r="AV577" s="7" t="s">
        <v>7247</v>
      </c>
      <c r="AW577" s="7"/>
      <c r="AX577" s="7"/>
      <c r="AY577" s="7"/>
      <c r="AZ577" s="7"/>
      <c r="BA577" s="7"/>
      <c r="BB577" s="7"/>
      <c r="BC577" s="7" t="s">
        <v>401</v>
      </c>
      <c r="BD577" s="7"/>
      <c r="BE577" s="7" t="s">
        <v>940</v>
      </c>
      <c r="BF577" s="7"/>
      <c r="BG577" s="7"/>
      <c r="BH577" s="7">
        <v>8.14615779E8</v>
      </c>
      <c r="BI577" s="7" t="s">
        <v>7248</v>
      </c>
      <c r="BJ577" s="7"/>
      <c r="BK577" s="7" t="b">
        <v>0</v>
      </c>
      <c r="BL577" s="7" t="b">
        <v>0</v>
      </c>
      <c r="BM577" s="7"/>
      <c r="BN577" s="7" t="str">
        <f>IFERROR(__xludf.DUMMYFUNCTION(" IF( REGEXMATCH(C577 , ""[(].+[)]""),REGEXREPLACE( CONCATENATE(REGEXEXTRACT(C577 , ""[(].+[)]""),IF(REGEXMATCH(C577 , ""[(][Ll]['’][)]""),"""","" ""), REGEXEXTRACT(C577 ,""^(?:(?:[A-Za-zàäéèêîïöôûü0-9 ](?:[A-Za-zàäéèêîïöôûü'0-9 ]+)))"")) , ""[()]"", """")"&amp;",C577 )"),"Snack Le Boi Zoly")</f>
        <v>Snack Le Boi Zoly</v>
      </c>
      <c r="BO577" s="25"/>
      <c r="BP577" s="7"/>
      <c r="BQ577" s="7"/>
      <c r="BR577" s="7"/>
      <c r="BS577" s="7"/>
      <c r="BT577" s="7"/>
      <c r="BU577" s="7"/>
      <c r="BV577" s="7"/>
      <c r="BW577" s="7"/>
      <c r="BX577" s="7"/>
      <c r="BY577" s="7"/>
      <c r="BZ577" s="7"/>
      <c r="CA577" s="7"/>
      <c r="CB577" s="7"/>
    </row>
    <row r="578" ht="21.75" customHeight="1">
      <c r="A578" s="7">
        <v>4709.0</v>
      </c>
      <c r="B578" s="7" t="s">
        <v>7249</v>
      </c>
      <c r="C578" s="7" t="s">
        <v>7250</v>
      </c>
      <c r="D578" s="7"/>
      <c r="E578" s="7"/>
      <c r="F578" s="7" t="s">
        <v>342</v>
      </c>
      <c r="G578" s="7" t="s">
        <v>343</v>
      </c>
      <c r="H578" s="7" t="s">
        <v>123</v>
      </c>
      <c r="I578" s="7" t="s">
        <v>7251</v>
      </c>
      <c r="J578" s="7"/>
      <c r="K578" s="7" t="s">
        <v>34</v>
      </c>
      <c r="L578" s="7" t="s">
        <v>622</v>
      </c>
      <c r="M578" s="7" t="s">
        <v>1347</v>
      </c>
      <c r="N578" s="7"/>
      <c r="O578" s="7">
        <v>97480.0</v>
      </c>
      <c r="P578" s="7" t="s">
        <v>123</v>
      </c>
      <c r="Q578" s="7"/>
      <c r="R578" s="7"/>
      <c r="S578" s="7"/>
      <c r="T578" s="7" t="s">
        <v>2390</v>
      </c>
      <c r="U578" s="7" t="s">
        <v>378</v>
      </c>
      <c r="V578" s="7"/>
      <c r="W578" s="7">
        <v>6.92141067E8</v>
      </c>
      <c r="X578" s="7"/>
      <c r="Y578" s="7"/>
      <c r="Z578" s="7"/>
      <c r="AA578" s="7"/>
      <c r="AB578" s="7"/>
      <c r="AC578" s="7" t="s">
        <v>7252</v>
      </c>
      <c r="AD578" s="7" t="s">
        <v>7253</v>
      </c>
      <c r="AE578" s="7"/>
      <c r="AF578" s="7"/>
      <c r="AG578" s="7"/>
      <c r="AH578" s="20">
        <v>43410.0</v>
      </c>
      <c r="AI578" s="7"/>
      <c r="AJ578" s="7" t="s">
        <v>7254</v>
      </c>
      <c r="AK578" s="7"/>
      <c r="AL578" s="7" t="s">
        <v>7255</v>
      </c>
      <c r="AM578" s="7" t="s">
        <v>7256</v>
      </c>
      <c r="AN578" s="20">
        <v>43410.0</v>
      </c>
      <c r="AO578" s="7">
        <v>97480.0</v>
      </c>
      <c r="AP578" s="7" t="s">
        <v>385</v>
      </c>
      <c r="AQ578" s="7"/>
      <c r="AR578" s="7"/>
      <c r="AS578" s="7"/>
      <c r="AT578" s="7"/>
      <c r="AU578" s="7">
        <v>0.0</v>
      </c>
      <c r="AV578" s="7" t="s">
        <v>7257</v>
      </c>
      <c r="AW578" s="7"/>
      <c r="AX578" s="7"/>
      <c r="AY578" s="7"/>
      <c r="AZ578" s="7"/>
      <c r="BA578" s="7"/>
      <c r="BB578" s="7"/>
      <c r="BC578" s="7" t="s">
        <v>401</v>
      </c>
      <c r="BD578" s="21">
        <v>44118.0</v>
      </c>
      <c r="BE578" s="7" t="s">
        <v>7258</v>
      </c>
      <c r="BF578" s="7"/>
      <c r="BG578" s="7"/>
      <c r="BH578" s="7"/>
      <c r="BI578" s="7" t="s">
        <v>7259</v>
      </c>
      <c r="BJ578" s="7"/>
      <c r="BK578" s="7" t="b">
        <v>0</v>
      </c>
      <c r="BL578" s="7" t="b">
        <v>0</v>
      </c>
      <c r="BM578" s="7"/>
      <c r="BN578" s="7" t="str">
        <f>IFERROR(__xludf.DUMMYFUNCTION(" IF( REGEXMATCH(C578 , ""[(].+[)]""),REGEXREPLACE( CONCATENATE(REGEXEXTRACT(C578 , ""[(].+[)]""),IF(REGEXMATCH(C578 , ""[(][Ll]['’][)]""),"""","" ""), REGEXEXTRACT(C578 ,""^(?:(?:[A-Za-zàäéèêîïöôûü0-9 ](?:[A-Za-zàäéèêîïöôûü'0-9 ]+)))"")) , ""[()]"", """")"&amp;",C578 )"),"Snack Le Butor")</f>
        <v>Snack Le Butor</v>
      </c>
      <c r="BO578" s="25"/>
      <c r="BP578" s="7"/>
      <c r="BQ578" s="7"/>
      <c r="BR578" s="7"/>
      <c r="BS578" s="7"/>
      <c r="BT578" s="7"/>
      <c r="BU578" s="7"/>
      <c r="BV578" s="7"/>
      <c r="BW578" s="7"/>
      <c r="BX578" s="7"/>
      <c r="BY578" s="7"/>
      <c r="BZ578" s="7"/>
      <c r="CA578" s="7"/>
      <c r="CB578" s="7"/>
    </row>
    <row r="579" ht="21.75" customHeight="1">
      <c r="A579" s="7">
        <v>1894.0</v>
      </c>
      <c r="B579" s="7">
        <v>578.0</v>
      </c>
      <c r="C579" s="7" t="s">
        <v>7260</v>
      </c>
      <c r="D579" s="7" t="s">
        <v>7261</v>
      </c>
      <c r="E579" s="7"/>
      <c r="F579" s="7" t="s">
        <v>404</v>
      </c>
      <c r="G579" s="7" t="s">
        <v>343</v>
      </c>
      <c r="H579" s="7" t="s">
        <v>344</v>
      </c>
      <c r="I579" s="7" t="s">
        <v>7262</v>
      </c>
      <c r="J579" s="7"/>
      <c r="K579" s="6" t="s">
        <v>469</v>
      </c>
      <c r="L579" s="7" t="s">
        <v>1792</v>
      </c>
      <c r="M579" s="7" t="s">
        <v>2729</v>
      </c>
      <c r="N579" s="7" t="s">
        <v>2730</v>
      </c>
      <c r="O579" s="7">
        <v>97418.0</v>
      </c>
      <c r="P579" s="7" t="s">
        <v>348</v>
      </c>
      <c r="Q579" s="7" t="s">
        <v>349</v>
      </c>
      <c r="R579" s="7"/>
      <c r="S579" s="7"/>
      <c r="T579" s="7" t="s">
        <v>377</v>
      </c>
      <c r="U579" s="7" t="s">
        <v>353</v>
      </c>
      <c r="V579" s="7">
        <v>2.62591418E8</v>
      </c>
      <c r="W579" s="7"/>
      <c r="X579" s="7"/>
      <c r="Y579" s="7"/>
      <c r="Z579" s="7"/>
      <c r="AA579" s="7"/>
      <c r="AB579" s="7"/>
      <c r="AC579" s="7"/>
      <c r="AD579" s="7" t="s">
        <v>7263</v>
      </c>
      <c r="AE579" s="7"/>
      <c r="AF579" s="7"/>
      <c r="AG579" s="7"/>
      <c r="AH579" s="20">
        <v>43739.0</v>
      </c>
      <c r="AI579" s="7"/>
      <c r="AJ579" s="7" t="s">
        <v>7260</v>
      </c>
      <c r="AK579" s="7"/>
      <c r="AL579" s="7" t="s">
        <v>7264</v>
      </c>
      <c r="AM579" s="7" t="s">
        <v>7265</v>
      </c>
      <c r="AN579" s="20">
        <v>43739.0</v>
      </c>
      <c r="AO579" s="7">
        <v>97418.0</v>
      </c>
      <c r="AP579" s="7" t="s">
        <v>362</v>
      </c>
      <c r="AQ579" s="7"/>
      <c r="AR579" s="7"/>
      <c r="AS579" s="7"/>
      <c r="AT579" s="7"/>
      <c r="AU579" s="7">
        <v>0.0</v>
      </c>
      <c r="AV579" s="7" t="s">
        <v>7266</v>
      </c>
      <c r="AW579" s="7"/>
      <c r="AX579" s="7"/>
      <c r="AY579" s="7"/>
      <c r="AZ579" s="7"/>
      <c r="BA579" s="7"/>
      <c r="BB579" s="7"/>
      <c r="BC579" s="7" t="s">
        <v>366</v>
      </c>
      <c r="BD579" s="21">
        <v>44115.248611111114</v>
      </c>
      <c r="BE579" s="7"/>
      <c r="BF579" s="7"/>
      <c r="BG579" s="22">
        <v>44115.0</v>
      </c>
      <c r="BH579" s="7"/>
      <c r="BI579" s="7" t="s">
        <v>7267</v>
      </c>
      <c r="BJ579" s="7"/>
      <c r="BK579" s="7" t="b">
        <v>0</v>
      </c>
      <c r="BL579" s="7" t="b">
        <v>0</v>
      </c>
      <c r="BM579" s="7"/>
      <c r="BN579" s="7" t="str">
        <f>IFERROR(__xludf.DUMMYFUNCTION(" IF( REGEXMATCH(C579 , ""[(].+[)]""),REGEXREPLACE( CONCATENATE(REGEXEXTRACT(C579 , ""[(].+[)]""),IF(REGEXMATCH(C579 , ""[(][Ll]['’][)]""),"""","" ""), REGEXEXTRACT(C579 ,""^(?:(?:[A-Za-zàäéèêîïöôûü0-9 ](?:[A-Za-zàäéèêîïöôûü'0-9 ]+)))"")) , ""[()]"", """")"&amp;",C579 )"),"La Soucoupe Volante ")</f>
        <v>La Soucoupe Volante </v>
      </c>
      <c r="BO579" s="23"/>
      <c r="BP579" s="7"/>
      <c r="BQ579" s="7"/>
      <c r="BR579" s="7"/>
      <c r="BS579" s="7"/>
      <c r="BT579" s="7"/>
      <c r="BU579" s="7"/>
      <c r="BV579" s="7"/>
      <c r="BW579" s="7"/>
      <c r="BX579" s="7"/>
      <c r="BY579" s="7"/>
      <c r="BZ579" s="7"/>
      <c r="CA579" s="7"/>
      <c r="CB579" s="7"/>
    </row>
    <row r="580" ht="21.75" customHeight="1">
      <c r="A580" s="7">
        <v>2975.0</v>
      </c>
      <c r="B580" s="7">
        <v>579.0</v>
      </c>
      <c r="C580" s="7" t="s">
        <v>7268</v>
      </c>
      <c r="D580" s="7"/>
      <c r="E580" s="7"/>
      <c r="F580" s="7" t="s">
        <v>342</v>
      </c>
      <c r="G580" s="7" t="s">
        <v>343</v>
      </c>
      <c r="H580" s="7" t="s">
        <v>33</v>
      </c>
      <c r="I580" s="7" t="s">
        <v>7269</v>
      </c>
      <c r="J580" s="7"/>
      <c r="K580" s="7" t="s">
        <v>34</v>
      </c>
      <c r="L580" s="7" t="s">
        <v>622</v>
      </c>
      <c r="M580" s="7" t="s">
        <v>622</v>
      </c>
      <c r="N580" s="7"/>
      <c r="O580" s="7">
        <v>97442.0</v>
      </c>
      <c r="P580" s="7" t="s">
        <v>33</v>
      </c>
      <c r="Q580" s="7"/>
      <c r="R580" s="7"/>
      <c r="S580" s="7"/>
      <c r="T580" s="7" t="s">
        <v>377</v>
      </c>
      <c r="U580" s="7" t="s">
        <v>353</v>
      </c>
      <c r="V580" s="7"/>
      <c r="W580" s="7">
        <v>6.92101681E8</v>
      </c>
      <c r="X580" s="7"/>
      <c r="Y580" s="7"/>
      <c r="Z580" s="7"/>
      <c r="AA580" s="7">
        <v>40.0</v>
      </c>
      <c r="AB580" s="7"/>
      <c r="AC580" s="7" t="s">
        <v>7270</v>
      </c>
      <c r="AD580" s="7" t="s">
        <v>7271</v>
      </c>
      <c r="AE580" s="7" t="s">
        <v>7272</v>
      </c>
      <c r="AF580" s="7"/>
      <c r="AG580" s="7"/>
      <c r="AH580" s="20">
        <v>40711.0</v>
      </c>
      <c r="AI580" s="7"/>
      <c r="AJ580" s="7" t="s">
        <v>7273</v>
      </c>
      <c r="AK580" s="7"/>
      <c r="AL580" s="7" t="s">
        <v>7274</v>
      </c>
      <c r="AM580" s="7" t="s">
        <v>7275</v>
      </c>
      <c r="AN580" s="20">
        <v>40711.0</v>
      </c>
      <c r="AO580" s="7">
        <v>97442.0</v>
      </c>
      <c r="AP580" s="7" t="s">
        <v>884</v>
      </c>
      <c r="AQ580" s="7"/>
      <c r="AR580" s="7"/>
      <c r="AS580" s="7"/>
      <c r="AT580" s="7"/>
      <c r="AU580" s="7">
        <v>0.0</v>
      </c>
      <c r="AV580" s="7" t="s">
        <v>7276</v>
      </c>
      <c r="AW580" s="7"/>
      <c r="AX580" s="7"/>
      <c r="AY580" s="7"/>
      <c r="AZ580" s="7"/>
      <c r="BA580" s="7"/>
      <c r="BB580" s="7"/>
      <c r="BC580" s="7" t="s">
        <v>366</v>
      </c>
      <c r="BD580" s="21">
        <v>44140.14097222222</v>
      </c>
      <c r="BE580" s="7"/>
      <c r="BF580" s="7"/>
      <c r="BG580" s="22">
        <v>44140.0</v>
      </c>
      <c r="BH580" s="7"/>
      <c r="BI580" s="7" t="s">
        <v>7277</v>
      </c>
      <c r="BJ580" s="7"/>
      <c r="BK580" s="7" t="b">
        <v>0</v>
      </c>
      <c r="BL580" s="7" t="b">
        <v>0</v>
      </c>
      <c r="BM580" s="7"/>
      <c r="BN580" s="7" t="str">
        <f>IFERROR(__xludf.DUMMYFUNCTION(" IF( REGEXMATCH(C580 , ""[(].+[)]""),REGEXREPLACE( CONCATENATE(REGEXEXTRACT(C580 , ""[(].+[)]""),IF(REGEXMATCH(C580 , ""[(][Ll]['’][)]""),"""","" ""), REGEXEXTRACT(C580 ,""^(?:(?:[A-Za-zàäéèêîïöôûü0-9 ](?:[A-Za-zàäéèêîïöôûü'0-9 ]+)))"")) , ""[()]"", """")"&amp;",C580 )"),"Le Souffleur d'Angel ")</f>
        <v>Le Souffleur d'Angel </v>
      </c>
      <c r="BO580" s="23"/>
      <c r="BP580" s="7"/>
      <c r="BQ580" s="7"/>
      <c r="BR580" s="7"/>
      <c r="BS580" s="7"/>
      <c r="BT580" s="7"/>
      <c r="BU580" s="7"/>
      <c r="BV580" s="7"/>
      <c r="BW580" s="7"/>
      <c r="BX580" s="7"/>
      <c r="BY580" s="7"/>
      <c r="BZ580" s="7"/>
      <c r="CA580" s="7"/>
      <c r="CB580" s="7"/>
    </row>
    <row r="581" ht="21.75" customHeight="1">
      <c r="A581" s="7">
        <v>3905.0</v>
      </c>
      <c r="B581" s="7">
        <v>580.0</v>
      </c>
      <c r="C581" s="7" t="s">
        <v>7278</v>
      </c>
      <c r="D581" s="7"/>
      <c r="E581" s="7"/>
      <c r="F581" s="7" t="s">
        <v>342</v>
      </c>
      <c r="G581" s="7" t="s">
        <v>343</v>
      </c>
      <c r="H581" s="7" t="s">
        <v>344</v>
      </c>
      <c r="I581" s="7" t="s">
        <v>7279</v>
      </c>
      <c r="J581" s="7"/>
      <c r="K581" s="7" t="s">
        <v>34</v>
      </c>
      <c r="L581" s="7" t="s">
        <v>485</v>
      </c>
      <c r="M581" s="7" t="s">
        <v>486</v>
      </c>
      <c r="N581" s="7" t="s">
        <v>455</v>
      </c>
      <c r="O581" s="7">
        <v>97430.0</v>
      </c>
      <c r="P581" s="7" t="s">
        <v>344</v>
      </c>
      <c r="Q581" s="7"/>
      <c r="R581" s="7"/>
      <c r="S581" s="7"/>
      <c r="T581" s="7" t="s">
        <v>377</v>
      </c>
      <c r="U581" s="7" t="s">
        <v>378</v>
      </c>
      <c r="V581" s="7">
        <v>2.62571656E8</v>
      </c>
      <c r="W581" s="7">
        <v>6.92270794E8</v>
      </c>
      <c r="X581" s="7"/>
      <c r="Y581" s="7"/>
      <c r="Z581" s="7"/>
      <c r="AA581" s="7">
        <v>15.0</v>
      </c>
      <c r="AB581" s="7"/>
      <c r="AC581" s="7" t="s">
        <v>7280</v>
      </c>
      <c r="AD581" s="7" t="s">
        <v>7281</v>
      </c>
      <c r="AE581" s="7"/>
      <c r="AF581" s="7"/>
      <c r="AG581" s="7" t="s">
        <v>3787</v>
      </c>
      <c r="AH581" s="20">
        <v>42170.0</v>
      </c>
      <c r="AI581" s="7"/>
      <c r="AJ581" s="7" t="s">
        <v>7282</v>
      </c>
      <c r="AK581" s="7"/>
      <c r="AL581" s="7" t="s">
        <v>7283</v>
      </c>
      <c r="AM581" s="7" t="s">
        <v>7284</v>
      </c>
      <c r="AN581" s="20">
        <v>42170.0</v>
      </c>
      <c r="AO581" s="7">
        <v>97418.0</v>
      </c>
      <c r="AP581" s="7" t="s">
        <v>362</v>
      </c>
      <c r="AQ581" s="7"/>
      <c r="AR581" s="7"/>
      <c r="AS581" s="7"/>
      <c r="AT581" s="7"/>
      <c r="AU581" s="7">
        <v>0.0</v>
      </c>
      <c r="AV581" s="7" t="s">
        <v>7285</v>
      </c>
      <c r="AW581" s="7"/>
      <c r="AX581" s="7"/>
      <c r="AY581" s="7"/>
      <c r="AZ581" s="7"/>
      <c r="BA581" s="7"/>
      <c r="BB581" s="7"/>
      <c r="BC581" s="7" t="s">
        <v>366</v>
      </c>
      <c r="BD581" s="21">
        <v>44105.506944444445</v>
      </c>
      <c r="BE581" s="7"/>
      <c r="BF581" s="7"/>
      <c r="BG581" s="22">
        <v>44105.0</v>
      </c>
      <c r="BH581" s="7"/>
      <c r="BI581" s="7" t="s">
        <v>7286</v>
      </c>
      <c r="BJ581" s="7"/>
      <c r="BK581" s="7" t="b">
        <v>0</v>
      </c>
      <c r="BL581" s="7" t="b">
        <v>0</v>
      </c>
      <c r="BM581" s="7"/>
      <c r="BN581" s="7" t="str">
        <f>IFERROR(__xludf.DUMMYFUNCTION(" IF( REGEXMATCH(C581 , ""[(].+[)]""),REGEXREPLACE( CONCATENATE(REGEXEXTRACT(C581 , ""[(].+[)]""),IF(REGEXMATCH(C581 , ""[(][Ll]['’][)]""),"""","" ""), REGEXEXTRACT(C581 ,""^(?:(?:[A-Za-zàäéèêîïöôûü0-9 ](?:[A-Za-zàäéèêîïöôûü'0-9 ]+)))"")) , ""[()]"", """")"&amp;",C581 )"),"La Source des Goyaviers ")</f>
        <v>La Source des Goyaviers </v>
      </c>
      <c r="BO581" s="23"/>
      <c r="BP581" s="7"/>
      <c r="BQ581" s="7"/>
      <c r="BR581" s="7"/>
      <c r="BS581" s="7"/>
      <c r="BT581" s="7"/>
      <c r="BU581" s="7"/>
      <c r="BV581" s="7"/>
      <c r="BW581" s="7"/>
      <c r="BX581" s="7"/>
      <c r="BY581" s="7"/>
      <c r="BZ581" s="7"/>
      <c r="CA581" s="7"/>
      <c r="CB581" s="7"/>
    </row>
    <row r="582" ht="21.75" customHeight="1">
      <c r="A582" s="7">
        <v>3904.0</v>
      </c>
      <c r="B582" s="7">
        <v>581.0</v>
      </c>
      <c r="C582" s="7" t="s">
        <v>7278</v>
      </c>
      <c r="D582" s="7"/>
      <c r="E582" s="7"/>
      <c r="F582" s="7" t="s">
        <v>342</v>
      </c>
      <c r="G582" s="7" t="s">
        <v>343</v>
      </c>
      <c r="H582" s="7" t="s">
        <v>344</v>
      </c>
      <c r="I582" s="7" t="s">
        <v>7279</v>
      </c>
      <c r="J582" s="7"/>
      <c r="K582" s="7" t="s">
        <v>58</v>
      </c>
      <c r="L582" s="7" t="s">
        <v>453</v>
      </c>
      <c r="M582" s="7" t="s">
        <v>454</v>
      </c>
      <c r="N582" s="7" t="s">
        <v>455</v>
      </c>
      <c r="O582" s="7">
        <v>97430.0</v>
      </c>
      <c r="P582" s="7" t="s">
        <v>344</v>
      </c>
      <c r="Q582" s="7"/>
      <c r="R582" s="7"/>
      <c r="S582" s="7"/>
      <c r="T582" s="7" t="s">
        <v>377</v>
      </c>
      <c r="U582" s="7" t="s">
        <v>378</v>
      </c>
      <c r="V582" s="7"/>
      <c r="W582" s="7">
        <v>6.92270794E8</v>
      </c>
      <c r="X582" s="7"/>
      <c r="Y582" s="7"/>
      <c r="Z582" s="7"/>
      <c r="AA582" s="7">
        <v>2.0</v>
      </c>
      <c r="AB582" s="7"/>
      <c r="AC582" s="7"/>
      <c r="AD582" s="7" t="s">
        <v>7287</v>
      </c>
      <c r="AE582" s="7"/>
      <c r="AF582" s="7"/>
      <c r="AG582" s="7" t="s">
        <v>3787</v>
      </c>
      <c r="AH582" s="20">
        <v>42170.0</v>
      </c>
      <c r="AI582" s="7"/>
      <c r="AJ582" s="7" t="s">
        <v>7282</v>
      </c>
      <c r="AK582" s="7"/>
      <c r="AL582" s="7" t="s">
        <v>7283</v>
      </c>
      <c r="AM582" s="7" t="s">
        <v>7288</v>
      </c>
      <c r="AN582" s="20">
        <v>42170.0</v>
      </c>
      <c r="AO582" s="7">
        <v>97418.0</v>
      </c>
      <c r="AP582" s="7" t="s">
        <v>362</v>
      </c>
      <c r="AQ582" s="7"/>
      <c r="AR582" s="7"/>
      <c r="AS582" s="7"/>
      <c r="AT582" s="7"/>
      <c r="AU582" s="7">
        <v>1.0</v>
      </c>
      <c r="AV582" s="7" t="s">
        <v>7285</v>
      </c>
      <c r="AW582" s="7"/>
      <c r="AX582" s="7"/>
      <c r="AY582" s="7"/>
      <c r="AZ582" s="7" t="s">
        <v>7289</v>
      </c>
      <c r="BA582" s="7"/>
      <c r="BB582" s="7"/>
      <c r="BC582" s="7" t="s">
        <v>366</v>
      </c>
      <c r="BD582" s="21">
        <v>44105.506944444445</v>
      </c>
      <c r="BE582" s="7"/>
      <c r="BF582" s="7"/>
      <c r="BG582" s="22">
        <v>44105.0</v>
      </c>
      <c r="BH582" s="7"/>
      <c r="BI582" s="7" t="s">
        <v>7286</v>
      </c>
      <c r="BJ582" s="7"/>
      <c r="BK582" s="7" t="b">
        <v>0</v>
      </c>
      <c r="BL582" s="7" t="b">
        <v>0</v>
      </c>
      <c r="BM582" s="7"/>
      <c r="BN582" s="7" t="str">
        <f>IFERROR(__xludf.DUMMYFUNCTION(" IF( REGEXMATCH(C582 , ""[(].+[)]""),REGEXREPLACE( CONCATENATE(REGEXEXTRACT(C582 , ""[(].+[)]""),IF(REGEXMATCH(C582 , ""[(][Ll]['’][)]""),"""","" ""), REGEXEXTRACT(C582 ,""^(?:(?:[A-Za-zàäéèêîïöôûü0-9 ](?:[A-Za-zàäéèêîïöôûü'0-9 ]+)))"")) , ""[()]"", """")"&amp;",C582 )"),"La Source des Goyaviers ")</f>
        <v>La Source des Goyaviers </v>
      </c>
      <c r="BO582" s="23"/>
      <c r="BP582" s="7"/>
      <c r="BQ582" s="7"/>
      <c r="BR582" s="7"/>
      <c r="BS582" s="7"/>
      <c r="BT582" s="7"/>
      <c r="BU582" s="7"/>
      <c r="BV582" s="7"/>
      <c r="BW582" s="7"/>
      <c r="BX582" s="7"/>
      <c r="BY582" s="7"/>
      <c r="BZ582" s="7"/>
      <c r="CA582" s="7"/>
      <c r="CB582" s="7"/>
    </row>
    <row r="583" ht="21.75" customHeight="1">
      <c r="A583" s="7">
        <v>4651.0</v>
      </c>
      <c r="B583" s="7">
        <v>582.0</v>
      </c>
      <c r="C583" s="7" t="s">
        <v>7290</v>
      </c>
      <c r="D583" s="7"/>
      <c r="E583" s="7"/>
      <c r="F583" s="7" t="s">
        <v>342</v>
      </c>
      <c r="G583" s="7" t="s">
        <v>343</v>
      </c>
      <c r="H583" s="7" t="s">
        <v>123</v>
      </c>
      <c r="I583" s="7" t="s">
        <v>7291</v>
      </c>
      <c r="J583" s="7"/>
      <c r="K583" s="7" t="s">
        <v>34</v>
      </c>
      <c r="L583" s="7" t="s">
        <v>622</v>
      </c>
      <c r="M583" s="7" t="s">
        <v>1347</v>
      </c>
      <c r="N583" s="7"/>
      <c r="O583" s="7">
        <v>97480.0</v>
      </c>
      <c r="P583" s="7" t="s">
        <v>123</v>
      </c>
      <c r="Q583" s="7"/>
      <c r="R583" s="7"/>
      <c r="S583" s="7"/>
      <c r="T583" s="7"/>
      <c r="U583" s="7" t="s">
        <v>378</v>
      </c>
      <c r="V583" s="7"/>
      <c r="W583" s="7">
        <v>6.92455399E8</v>
      </c>
      <c r="X583" s="7"/>
      <c r="Y583" s="7"/>
      <c r="Z583" s="7"/>
      <c r="AA583" s="7"/>
      <c r="AB583" s="7"/>
      <c r="AC583" s="7" t="s">
        <v>7292</v>
      </c>
      <c r="AD583" s="7" t="s">
        <v>7293</v>
      </c>
      <c r="AE583" s="7"/>
      <c r="AF583" s="7"/>
      <c r="AG583" s="7"/>
      <c r="AH583" s="20">
        <v>43378.0</v>
      </c>
      <c r="AI583" s="7"/>
      <c r="AJ583" s="7" t="s">
        <v>7290</v>
      </c>
      <c r="AK583" s="7"/>
      <c r="AL583" s="7" t="s">
        <v>7294</v>
      </c>
      <c r="AM583" s="7" t="s">
        <v>7295</v>
      </c>
      <c r="AN583" s="20">
        <v>43378.0</v>
      </c>
      <c r="AO583" s="7">
        <v>97480.0</v>
      </c>
      <c r="AP583" s="7" t="s">
        <v>385</v>
      </c>
      <c r="AQ583" s="7"/>
      <c r="AR583" s="7"/>
      <c r="AS583" s="7"/>
      <c r="AT583" s="7"/>
      <c r="AU583" s="7">
        <v>0.0</v>
      </c>
      <c r="AV583" s="7" t="s">
        <v>7296</v>
      </c>
      <c r="AW583" s="7"/>
      <c r="AX583" s="7"/>
      <c r="AY583" s="7"/>
      <c r="AZ583" s="7"/>
      <c r="BA583" s="7"/>
      <c r="BB583" s="7"/>
      <c r="BC583" s="7" t="s">
        <v>366</v>
      </c>
      <c r="BD583" s="21">
        <v>44118.472916666666</v>
      </c>
      <c r="BE583" s="7"/>
      <c r="BF583" s="7"/>
      <c r="BG583" s="22">
        <v>44118.0</v>
      </c>
      <c r="BH583" s="7"/>
      <c r="BI583" s="7" t="s">
        <v>7297</v>
      </c>
      <c r="BJ583" s="7"/>
      <c r="BK583" s="7" t="b">
        <v>0</v>
      </c>
      <c r="BL583" s="7" t="b">
        <v>0</v>
      </c>
      <c r="BM583" s="7"/>
      <c r="BN583" s="7" t="str">
        <f>IFERROR(__xludf.DUMMYFUNCTION(" IF( REGEXMATCH(C583 , ""[(].+[)]""),REGEXREPLACE( CONCATENATE(REGEXEXTRACT(C583 , ""[(].+[)]""),IF(REGEXMATCH(C583 , ""[(][Ll]['’][)]""),"""","" ""), REGEXEXTRACT(C583 ,""^(?:(?:[A-Za-zàäéèêîïöôûü0-9 ](?:[A-Za-zàäéèêîïöôûü'0-9 ]+)))"")) , ""[()]"", """")"&amp;",C583 )"),"Street Food")</f>
        <v>Street Food</v>
      </c>
      <c r="BO583" s="23"/>
      <c r="BP583" s="7"/>
      <c r="BQ583" s="7"/>
      <c r="BR583" s="7"/>
      <c r="BS583" s="7"/>
      <c r="BT583" s="7"/>
      <c r="BU583" s="7"/>
      <c r="BV583" s="7"/>
      <c r="BW583" s="7"/>
      <c r="BX583" s="7"/>
      <c r="BY583" s="7"/>
      <c r="BZ583" s="7"/>
      <c r="CA583" s="7"/>
      <c r="CB583" s="7"/>
    </row>
    <row r="584" ht="21.75" customHeight="1">
      <c r="A584" s="7">
        <v>456.0</v>
      </c>
      <c r="B584" s="7" t="s">
        <v>7298</v>
      </c>
      <c r="C584" s="7" t="s">
        <v>7299</v>
      </c>
      <c r="D584" s="7" t="s">
        <v>7300</v>
      </c>
      <c r="E584" s="7"/>
      <c r="F584" s="7" t="s">
        <v>342</v>
      </c>
      <c r="G584" s="7" t="s">
        <v>343</v>
      </c>
      <c r="H584" s="7" t="s">
        <v>123</v>
      </c>
      <c r="I584" s="7" t="s">
        <v>7301</v>
      </c>
      <c r="J584" s="26" t="s">
        <v>7302</v>
      </c>
      <c r="K584" s="7" t="s">
        <v>58</v>
      </c>
      <c r="L584" s="7" t="s">
        <v>59</v>
      </c>
      <c r="M584" s="7" t="s">
        <v>545</v>
      </c>
      <c r="N584" s="7" t="s">
        <v>455</v>
      </c>
      <c r="O584" s="7">
        <v>97480.0</v>
      </c>
      <c r="P584" s="7" t="s">
        <v>123</v>
      </c>
      <c r="Q584" s="7"/>
      <c r="R584" s="7" t="s">
        <v>7303</v>
      </c>
      <c r="S584" s="7" t="s">
        <v>7304</v>
      </c>
      <c r="T584" s="7" t="s">
        <v>2377</v>
      </c>
      <c r="U584" s="7" t="s">
        <v>353</v>
      </c>
      <c r="V584" s="7">
        <v>2.62373595E8</v>
      </c>
      <c r="W584" s="7">
        <v>6.92867231E8</v>
      </c>
      <c r="X584" s="7"/>
      <c r="Y584" s="7"/>
      <c r="Z584" s="7" t="s">
        <v>7305</v>
      </c>
      <c r="AA584" s="7">
        <v>12.0</v>
      </c>
      <c r="AB584" s="7" t="s">
        <v>355</v>
      </c>
      <c r="AC584" s="7"/>
      <c r="AD584" s="7" t="s">
        <v>7306</v>
      </c>
      <c r="AE584" s="7" t="s">
        <v>7307</v>
      </c>
      <c r="AF584" s="7"/>
      <c r="AG584" s="7"/>
      <c r="AH584" s="20">
        <v>39575.0</v>
      </c>
      <c r="AI584" s="7"/>
      <c r="AJ584" s="7" t="s">
        <v>7308</v>
      </c>
      <c r="AK584" s="7"/>
      <c r="AL584" s="7" t="s">
        <v>7309</v>
      </c>
      <c r="AM584" s="7" t="s">
        <v>7310</v>
      </c>
      <c r="AN584" s="20">
        <v>39575.0</v>
      </c>
      <c r="AO584" s="7">
        <v>97480.0</v>
      </c>
      <c r="AP584" s="7" t="s">
        <v>385</v>
      </c>
      <c r="AQ584" s="7"/>
      <c r="AR584" s="7"/>
      <c r="AS584" s="7"/>
      <c r="AT584" s="7"/>
      <c r="AU584" s="7">
        <v>4.0</v>
      </c>
      <c r="AV584" s="7" t="s">
        <v>7311</v>
      </c>
      <c r="AW584" s="7"/>
      <c r="AX584" s="7"/>
      <c r="AY584" s="7"/>
      <c r="AZ584" s="7" t="s">
        <v>7312</v>
      </c>
      <c r="BA584" s="7"/>
      <c r="BB584" s="7"/>
      <c r="BC584" s="7" t="s">
        <v>401</v>
      </c>
      <c r="BD584" s="21">
        <v>44101.45625</v>
      </c>
      <c r="BE584" s="7" t="s">
        <v>7313</v>
      </c>
      <c r="BF584" s="7"/>
      <c r="BG584" s="7"/>
      <c r="BH584" s="7"/>
      <c r="BI584" s="7" t="s">
        <v>7314</v>
      </c>
      <c r="BJ584" s="7"/>
      <c r="BK584" s="7" t="b">
        <v>0</v>
      </c>
      <c r="BL584" s="7" t="b">
        <v>0</v>
      </c>
      <c r="BM584" s="7"/>
      <c r="BN584" s="7" t="str">
        <f>IFERROR(__xludf.DUMMYFUNCTION(" IF( REGEXMATCH(C584 , ""[(].+[)]""),REGEXREPLACE( CONCATENATE(REGEXEXTRACT(C584 , ""[(].+[)]""),IF(REGEXMATCH(C584 , ""[(][Ll]['’][)]""),"""","" ""), REGEXEXTRACT(C584 ,""^(?:(?:[A-Za-zàäéèêîïöôûü0-9 ](?:[A-Za-zàäéèêîïöôûü'0-9 ]+)))"")) , ""[()]"", """")"&amp;",C584 )"),"Sud Bungalows")</f>
        <v>Sud Bungalows</v>
      </c>
      <c r="BO584" s="25"/>
      <c r="BP584" s="7"/>
      <c r="BQ584" s="7"/>
      <c r="BR584" s="7"/>
      <c r="BS584" s="7"/>
      <c r="BT584" s="7"/>
      <c r="BU584" s="7"/>
      <c r="BV584" s="7"/>
      <c r="BW584" s="7"/>
      <c r="BX584" s="7"/>
      <c r="BY584" s="7"/>
      <c r="BZ584" s="7"/>
      <c r="CA584" s="7"/>
      <c r="CB584" s="7"/>
    </row>
    <row r="585" ht="21.75" customHeight="1">
      <c r="A585" s="7">
        <v>3801.0</v>
      </c>
      <c r="B585" s="7" t="s">
        <v>7315</v>
      </c>
      <c r="C585" s="7" t="s">
        <v>7316</v>
      </c>
      <c r="D585" s="7"/>
      <c r="E585" s="7"/>
      <c r="F585" s="7" t="s">
        <v>342</v>
      </c>
      <c r="G585" s="7" t="s">
        <v>343</v>
      </c>
      <c r="H585" s="7" t="s">
        <v>344</v>
      </c>
      <c r="I585" s="7" t="s">
        <v>7317</v>
      </c>
      <c r="J585" s="26" t="s">
        <v>7318</v>
      </c>
      <c r="K585" s="7" t="s">
        <v>34</v>
      </c>
      <c r="L585" s="7" t="s">
        <v>622</v>
      </c>
      <c r="M585" s="7" t="s">
        <v>1127</v>
      </c>
      <c r="N585" s="7" t="s">
        <v>664</v>
      </c>
      <c r="O585" s="7">
        <v>97430.0</v>
      </c>
      <c r="P585" s="7" t="s">
        <v>344</v>
      </c>
      <c r="Q585" s="7"/>
      <c r="R585" s="7" t="s">
        <v>1026</v>
      </c>
      <c r="S585" s="7" t="s">
        <v>1534</v>
      </c>
      <c r="T585" s="7"/>
      <c r="U585" s="7" t="s">
        <v>353</v>
      </c>
      <c r="V585" s="7">
        <v>2.6227079E8</v>
      </c>
      <c r="W585" s="7"/>
      <c r="X585" s="7"/>
      <c r="Y585" s="7"/>
      <c r="Z585" s="7" t="s">
        <v>7319</v>
      </c>
      <c r="AA585" s="7">
        <v>50.0</v>
      </c>
      <c r="AB585" s="7"/>
      <c r="AC585" s="7" t="s">
        <v>7320</v>
      </c>
      <c r="AD585" s="7" t="s">
        <v>7321</v>
      </c>
      <c r="AE585" s="7" t="s">
        <v>7322</v>
      </c>
      <c r="AF585" s="7"/>
      <c r="AG585" s="7"/>
      <c r="AH585" s="20">
        <v>42104.0</v>
      </c>
      <c r="AI585" s="7"/>
      <c r="AJ585" s="7" t="s">
        <v>7323</v>
      </c>
      <c r="AK585" s="7">
        <v>4.1221483500016E13</v>
      </c>
      <c r="AL585" s="7" t="s">
        <v>7324</v>
      </c>
      <c r="AM585" s="7" t="s">
        <v>7325</v>
      </c>
      <c r="AN585" s="20">
        <v>43739.0</v>
      </c>
      <c r="AO585" s="7">
        <v>97430.0</v>
      </c>
      <c r="AP585" s="7" t="s">
        <v>494</v>
      </c>
      <c r="AQ585" s="7"/>
      <c r="AR585" s="7"/>
      <c r="AS585" s="7"/>
      <c r="AT585" s="7"/>
      <c r="AU585" s="7">
        <v>0.0</v>
      </c>
      <c r="AV585" s="7" t="s">
        <v>7326</v>
      </c>
      <c r="AW585" s="7"/>
      <c r="AX585" s="7"/>
      <c r="AY585" s="7"/>
      <c r="AZ585" s="7"/>
      <c r="BA585" s="7"/>
      <c r="BB585" s="7"/>
      <c r="BC585" s="7" t="s">
        <v>401</v>
      </c>
      <c r="BD585" s="21">
        <v>44129.22986111111</v>
      </c>
      <c r="BE585" s="7" t="s">
        <v>7327</v>
      </c>
      <c r="BF585" s="7"/>
      <c r="BG585" s="7"/>
      <c r="BH585" s="7">
        <v>4.12214835E8</v>
      </c>
      <c r="BI585" s="7" t="s">
        <v>4702</v>
      </c>
      <c r="BJ585" s="7"/>
      <c r="BK585" s="7" t="b">
        <v>0</v>
      </c>
      <c r="BL585" s="7" t="b">
        <v>0</v>
      </c>
      <c r="BM585" s="7"/>
      <c r="BN585" s="7" t="str">
        <f>IFERROR(__xludf.DUMMYFUNCTION(" IF( REGEXMATCH(C585 , ""[(].+[)]""),REGEXREPLACE( CONCATENATE(REGEXEXTRACT(C585 , ""[(].+[)]""),IF(REGEXMATCH(C585 , ""[(][Ll]['’][)]""),"""","" ""), REGEXEXTRACT(C585 ,""^(?:(?:[A-Za-zàäéèêîïöôûü0-9 ](?:[A-Za-zàäéèêîïöôûü'0-9 ]+)))"")) , ""[()]"", """")"&amp;",C585 )"),"Sud Hôtel")</f>
        <v>Sud Hôtel</v>
      </c>
      <c r="BO585" s="25"/>
      <c r="BP585" s="7"/>
      <c r="BQ585" s="7"/>
      <c r="BR585" s="7"/>
      <c r="BS585" s="7"/>
      <c r="BT585" s="7"/>
      <c r="BU585" s="7"/>
      <c r="BV585" s="7"/>
      <c r="BW585" s="7"/>
      <c r="BX585" s="7"/>
      <c r="BY585" s="7"/>
      <c r="BZ585" s="7"/>
      <c r="CA585" s="7"/>
      <c r="CB585" s="7"/>
    </row>
    <row r="586" ht="21.75" customHeight="1">
      <c r="A586" s="7">
        <v>1553.0</v>
      </c>
      <c r="B586" s="7" t="s">
        <v>7328</v>
      </c>
      <c r="C586" s="7" t="s">
        <v>7316</v>
      </c>
      <c r="D586" s="7" t="s">
        <v>7316</v>
      </c>
      <c r="E586" s="7"/>
      <c r="F586" s="7" t="s">
        <v>342</v>
      </c>
      <c r="G586" s="7" t="s">
        <v>343</v>
      </c>
      <c r="H586" s="7" t="s">
        <v>344</v>
      </c>
      <c r="I586" s="7" t="s">
        <v>7317</v>
      </c>
      <c r="J586" s="26" t="s">
        <v>7318</v>
      </c>
      <c r="K586" s="7" t="s">
        <v>58</v>
      </c>
      <c r="L586" s="7" t="s">
        <v>1141</v>
      </c>
      <c r="M586" s="7" t="s">
        <v>1141</v>
      </c>
      <c r="N586" s="7" t="s">
        <v>664</v>
      </c>
      <c r="O586" s="7">
        <v>97430.0</v>
      </c>
      <c r="P586" s="7" t="s">
        <v>344</v>
      </c>
      <c r="Q586" s="7"/>
      <c r="R586" s="7" t="s">
        <v>7329</v>
      </c>
      <c r="S586" s="7" t="s">
        <v>7330</v>
      </c>
      <c r="T586" s="7" t="s">
        <v>1988</v>
      </c>
      <c r="U586" s="7" t="s">
        <v>353</v>
      </c>
      <c r="V586" s="7">
        <v>2.6227079E8</v>
      </c>
      <c r="W586" s="7"/>
      <c r="X586" s="7"/>
      <c r="Y586" s="7"/>
      <c r="Z586" s="7" t="s">
        <v>7331</v>
      </c>
      <c r="AA586" s="7">
        <v>78.0</v>
      </c>
      <c r="AB586" s="7" t="s">
        <v>355</v>
      </c>
      <c r="AC586" s="7" t="s">
        <v>7332</v>
      </c>
      <c r="AD586" s="7" t="s">
        <v>7333</v>
      </c>
      <c r="AE586" s="7" t="s">
        <v>7322</v>
      </c>
      <c r="AF586" s="7"/>
      <c r="AG586" s="7"/>
      <c r="AH586" s="20">
        <v>43739.0</v>
      </c>
      <c r="AI586" s="7"/>
      <c r="AJ586" s="7" t="s">
        <v>7323</v>
      </c>
      <c r="AK586" s="7">
        <v>4.1221483500016E13</v>
      </c>
      <c r="AL586" s="7" t="s">
        <v>7324</v>
      </c>
      <c r="AM586" s="7" t="s">
        <v>7325</v>
      </c>
      <c r="AN586" s="20">
        <v>43739.0</v>
      </c>
      <c r="AO586" s="7">
        <v>97430.0</v>
      </c>
      <c r="AP586" s="7" t="s">
        <v>494</v>
      </c>
      <c r="AQ586" s="7"/>
      <c r="AR586" s="7"/>
      <c r="AS586" s="7"/>
      <c r="AT586" s="7"/>
      <c r="AU586" s="7">
        <v>50.0</v>
      </c>
      <c r="AV586" s="7" t="s">
        <v>7334</v>
      </c>
      <c r="AW586" s="7"/>
      <c r="AX586" s="7"/>
      <c r="AY586" s="7"/>
      <c r="AZ586" s="7" t="s">
        <v>7335</v>
      </c>
      <c r="BA586" s="7"/>
      <c r="BB586" s="7"/>
      <c r="BC586" s="7" t="s">
        <v>401</v>
      </c>
      <c r="BD586" s="21">
        <v>44129.22986111111</v>
      </c>
      <c r="BE586" s="7" t="s">
        <v>3961</v>
      </c>
      <c r="BF586" s="7"/>
      <c r="BG586" s="7"/>
      <c r="BH586" s="7">
        <v>4.12214835E8</v>
      </c>
      <c r="BI586" s="7" t="s">
        <v>4702</v>
      </c>
      <c r="BJ586" s="7"/>
      <c r="BK586" s="7" t="b">
        <v>0</v>
      </c>
      <c r="BL586" s="7" t="b">
        <v>0</v>
      </c>
      <c r="BM586" s="7"/>
      <c r="BN586" s="7" t="str">
        <f>IFERROR(__xludf.DUMMYFUNCTION(" IF( REGEXMATCH(C586 , ""[(].+[)]""),REGEXREPLACE( CONCATENATE(REGEXEXTRACT(C586 , ""[(].+[)]""),IF(REGEXMATCH(C586 , ""[(][Ll]['’][)]""),"""","" ""), REGEXEXTRACT(C586 ,""^(?:(?:[A-Za-zàäéèêîïöôûü0-9 ](?:[A-Za-zàäéèêîïöôûü'0-9 ]+)))"")) , ""[()]"", """")"&amp;",C586 )"),"Sud Hôtel")</f>
        <v>Sud Hôtel</v>
      </c>
      <c r="BO586" s="25"/>
      <c r="BP586" s="7"/>
      <c r="BQ586" s="7"/>
      <c r="BR586" s="7"/>
      <c r="BS586" s="7"/>
      <c r="BT586" s="7"/>
      <c r="BU586" s="7"/>
      <c r="BV586" s="7"/>
      <c r="BW586" s="7"/>
      <c r="BX586" s="7"/>
      <c r="BY586" s="7"/>
      <c r="BZ586" s="7"/>
      <c r="CA586" s="7"/>
      <c r="CB586" s="7"/>
    </row>
    <row r="587" ht="21.75" customHeight="1">
      <c r="A587" s="7">
        <v>4854.0</v>
      </c>
      <c r="B587" s="7" t="s">
        <v>7336</v>
      </c>
      <c r="C587" s="7" t="s">
        <v>7337</v>
      </c>
      <c r="D587" s="7"/>
      <c r="E587" s="7"/>
      <c r="F587" s="7" t="s">
        <v>342</v>
      </c>
      <c r="G587" s="7" t="s">
        <v>343</v>
      </c>
      <c r="H587" s="7" t="s">
        <v>40</v>
      </c>
      <c r="I587" s="7" t="s">
        <v>7338</v>
      </c>
      <c r="J587" s="7"/>
      <c r="K587" s="6" t="s">
        <v>469</v>
      </c>
      <c r="L587" s="7" t="s">
        <v>1549</v>
      </c>
      <c r="M587" s="7" t="s">
        <v>1550</v>
      </c>
      <c r="N587" s="7" t="s">
        <v>422</v>
      </c>
      <c r="O587" s="7">
        <v>97414.0</v>
      </c>
      <c r="P587" s="7" t="s">
        <v>40</v>
      </c>
      <c r="Q587" s="7"/>
      <c r="R587" s="7"/>
      <c r="S587" s="7"/>
      <c r="T587" s="7" t="s">
        <v>377</v>
      </c>
      <c r="U587" s="7" t="s">
        <v>353</v>
      </c>
      <c r="V587" s="7"/>
      <c r="W587" s="7">
        <v>6.92926039E8</v>
      </c>
      <c r="X587" s="7"/>
      <c r="Y587" s="7"/>
      <c r="Z587" s="7" t="s">
        <v>7339</v>
      </c>
      <c r="AA587" s="7"/>
      <c r="AB587" s="7"/>
      <c r="AC587" s="7" t="s">
        <v>7340</v>
      </c>
      <c r="AD587" s="7" t="s">
        <v>7341</v>
      </c>
      <c r="AE587" s="7" t="s">
        <v>7342</v>
      </c>
      <c r="AF587" s="7"/>
      <c r="AG587" s="7"/>
      <c r="AH587" s="20">
        <v>43508.0</v>
      </c>
      <c r="AI587" s="7"/>
      <c r="AJ587" s="7" t="s">
        <v>7343</v>
      </c>
      <c r="AK587" s="7">
        <v>4.9303338500029E13</v>
      </c>
      <c r="AL587" s="7" t="s">
        <v>7344</v>
      </c>
      <c r="AM587" s="7" t="s">
        <v>7345</v>
      </c>
      <c r="AN587" s="20">
        <v>43508.0</v>
      </c>
      <c r="AO587" s="7">
        <v>97414.0</v>
      </c>
      <c r="AP587" s="7" t="s">
        <v>429</v>
      </c>
      <c r="AQ587" s="7"/>
      <c r="AR587" s="7"/>
      <c r="AS587" s="7"/>
      <c r="AT587" s="7"/>
      <c r="AU587" s="7">
        <v>0.0</v>
      </c>
      <c r="AV587" s="7" t="s">
        <v>7346</v>
      </c>
      <c r="AW587" s="7"/>
      <c r="AX587" s="7"/>
      <c r="AY587" s="7"/>
      <c r="AZ587" s="7"/>
      <c r="BA587" s="7"/>
      <c r="BB587" s="7"/>
      <c r="BC587" s="7" t="s">
        <v>401</v>
      </c>
      <c r="BD587" s="21">
        <v>44081.520833333336</v>
      </c>
      <c r="BE587" s="7" t="s">
        <v>449</v>
      </c>
      <c r="BF587" s="7"/>
      <c r="BG587" s="7"/>
      <c r="BH587" s="7">
        <v>4.93033385E8</v>
      </c>
      <c r="BI587" s="7" t="s">
        <v>7347</v>
      </c>
      <c r="BJ587" s="7"/>
      <c r="BK587" s="7" t="b">
        <v>0</v>
      </c>
      <c r="BL587" s="7" t="b">
        <v>0</v>
      </c>
      <c r="BM587" s="7"/>
      <c r="BN587" s="7" t="str">
        <f>IFERROR(__xludf.DUMMYFUNCTION(" IF( REGEXMATCH(C587 , ""[(].+[)]""),REGEXREPLACE( CONCATENATE(REGEXEXTRACT(C587 , ""[(].+[)]""),IF(REGEXMATCH(C587 , ""[(][Ll]['’][)]""),"""","" ""), REGEXEXTRACT(C587 ,""^(?:(?:[A-Za-zàäéèêîïöôûü0-9 ](?:[A-Za-zàäéèêîïöôûü'0-9 ]+)))"")) , ""[()]"", """")"&amp;",C587 )"),"Sylvie bien Etre Mieux Etre")</f>
        <v>Sylvie bien Etre Mieux Etre</v>
      </c>
      <c r="BO587" s="25"/>
      <c r="BP587" s="7"/>
      <c r="BQ587" s="7"/>
      <c r="BR587" s="7"/>
      <c r="BS587" s="7"/>
      <c r="BT587" s="7"/>
      <c r="BU587" s="7"/>
      <c r="BV587" s="7"/>
      <c r="BW587" s="7"/>
      <c r="BX587" s="7"/>
      <c r="BY587" s="7"/>
      <c r="BZ587" s="7"/>
      <c r="CA587" s="7"/>
      <c r="CB587" s="7"/>
    </row>
    <row r="588" ht="21.75" customHeight="1">
      <c r="A588" s="7">
        <v>408.0</v>
      </c>
      <c r="B588" s="7" t="s">
        <v>7348</v>
      </c>
      <c r="C588" s="7" t="s">
        <v>5140</v>
      </c>
      <c r="D588" s="7" t="s">
        <v>7349</v>
      </c>
      <c r="E588" s="7"/>
      <c r="F588" s="7" t="s">
        <v>342</v>
      </c>
      <c r="G588" s="7" t="s">
        <v>343</v>
      </c>
      <c r="H588" s="7" t="s">
        <v>123</v>
      </c>
      <c r="I588" s="7" t="s">
        <v>7350</v>
      </c>
      <c r="J588" s="7"/>
      <c r="K588" s="7" t="s">
        <v>58</v>
      </c>
      <c r="L588" s="7" t="s">
        <v>137</v>
      </c>
      <c r="M588" s="7" t="s">
        <v>1091</v>
      </c>
      <c r="N588" s="7" t="s">
        <v>455</v>
      </c>
      <c r="O588" s="7">
        <v>97480.0</v>
      </c>
      <c r="P588" s="7" t="s">
        <v>123</v>
      </c>
      <c r="Q588" s="7"/>
      <c r="R588" s="7" t="s">
        <v>7351</v>
      </c>
      <c r="S588" s="7" t="s">
        <v>7352</v>
      </c>
      <c r="T588" s="7" t="s">
        <v>377</v>
      </c>
      <c r="U588" s="7" t="s">
        <v>353</v>
      </c>
      <c r="V588" s="7"/>
      <c r="W588" s="7">
        <v>6.92617347E8</v>
      </c>
      <c r="X588" s="7"/>
      <c r="Y588" s="7"/>
      <c r="Z588" s="7" t="s">
        <v>5143</v>
      </c>
      <c r="AA588" s="7">
        <v>14.0</v>
      </c>
      <c r="AB588" s="7"/>
      <c r="AC588" s="7" t="s">
        <v>7353</v>
      </c>
      <c r="AD588" s="7" t="s">
        <v>7354</v>
      </c>
      <c r="AE588" s="7" t="s">
        <v>7355</v>
      </c>
      <c r="AF588" s="7"/>
      <c r="AG588" s="7"/>
      <c r="AH588" s="20">
        <v>39575.0</v>
      </c>
      <c r="AI588" s="7"/>
      <c r="AJ588" s="7" t="s">
        <v>5147</v>
      </c>
      <c r="AK588" s="7">
        <v>4.4464876000015E13</v>
      </c>
      <c r="AL588" s="7" t="s">
        <v>5148</v>
      </c>
      <c r="AM588" s="7" t="s">
        <v>5149</v>
      </c>
      <c r="AN588" s="20">
        <v>39575.0</v>
      </c>
      <c r="AO588" s="7">
        <v>97480.0</v>
      </c>
      <c r="AP588" s="7" t="s">
        <v>385</v>
      </c>
      <c r="AQ588" s="7"/>
      <c r="AR588" s="7"/>
      <c r="AS588" s="7"/>
      <c r="AT588" s="7"/>
      <c r="AU588" s="7">
        <v>1.0</v>
      </c>
      <c r="AV588" s="7" t="s">
        <v>5150</v>
      </c>
      <c r="AW588" s="7"/>
      <c r="AX588" s="7"/>
      <c r="AY588" s="7"/>
      <c r="AZ588" s="7" t="s">
        <v>7356</v>
      </c>
      <c r="BA588" s="7"/>
      <c r="BB588" s="7"/>
      <c r="BC588" s="7" t="s">
        <v>401</v>
      </c>
      <c r="BD588" s="21">
        <v>43862.0</v>
      </c>
      <c r="BE588" s="7" t="s">
        <v>7357</v>
      </c>
      <c r="BF588" s="7"/>
      <c r="BG588" s="7"/>
      <c r="BH588" s="7">
        <v>4.4464876E8</v>
      </c>
      <c r="BI588" s="7" t="s">
        <v>5152</v>
      </c>
      <c r="BJ588" s="7"/>
      <c r="BK588" s="7" t="b">
        <v>0</v>
      </c>
      <c r="BL588" s="7" t="b">
        <v>0</v>
      </c>
      <c r="BM588" s="7"/>
      <c r="BN588" s="7" t="str">
        <f>IFERROR(__xludf.DUMMYFUNCTION(" IF( REGEXMATCH(C588 , ""[(].+[)]""),REGEXREPLACE( CONCATENATE(REGEXEXTRACT(C588 , ""[(].+[)]""),IF(REGEXMATCH(C588 , ""[(][Ll]['’][)]""),"""","" ""), REGEXEXTRACT(C588 ,""^(?:(?:[A-Za-zàäéèêîïöôûü0-9 ](?:[A-Za-zàäéèêîïöôûü'0-9 ]+)))"")) , ""[()]"", """")"&amp;",C588 )"),"La Table des Randonneurs ")</f>
        <v>La Table des Randonneurs </v>
      </c>
      <c r="BO588" s="25"/>
      <c r="BP588" s="7"/>
      <c r="BQ588" s="7"/>
      <c r="BR588" s="7"/>
      <c r="BS588" s="7"/>
      <c r="BT588" s="7"/>
      <c r="BU588" s="7"/>
      <c r="BV588" s="7"/>
      <c r="BW588" s="7"/>
      <c r="BX588" s="7"/>
      <c r="BY588" s="7"/>
      <c r="BZ588" s="7"/>
      <c r="CA588" s="7"/>
      <c r="CB588" s="7"/>
    </row>
    <row r="589" ht="21.75" customHeight="1">
      <c r="A589" s="7">
        <v>519.0</v>
      </c>
      <c r="B589" s="7" t="s">
        <v>7358</v>
      </c>
      <c r="C589" s="7" t="s">
        <v>7359</v>
      </c>
      <c r="D589" s="7" t="s">
        <v>7359</v>
      </c>
      <c r="E589" s="7"/>
      <c r="F589" s="7" t="s">
        <v>342</v>
      </c>
      <c r="G589" s="7" t="s">
        <v>343</v>
      </c>
      <c r="H589" s="7" t="s">
        <v>123</v>
      </c>
      <c r="I589" s="7" t="s">
        <v>7360</v>
      </c>
      <c r="J589" s="7"/>
      <c r="K589" s="7" t="s">
        <v>34</v>
      </c>
      <c r="L589" s="7" t="s">
        <v>622</v>
      </c>
      <c r="M589" s="7" t="s">
        <v>622</v>
      </c>
      <c r="N589" s="7" t="s">
        <v>455</v>
      </c>
      <c r="O589" s="7">
        <v>97480.0</v>
      </c>
      <c r="P589" s="7" t="s">
        <v>123</v>
      </c>
      <c r="Q589" s="7"/>
      <c r="R589" s="7" t="s">
        <v>727</v>
      </c>
      <c r="S589" s="7" t="s">
        <v>7361</v>
      </c>
      <c r="T589" s="6" t="s">
        <v>7362</v>
      </c>
      <c r="U589" s="7" t="s">
        <v>1508</v>
      </c>
      <c r="V589" s="7">
        <v>2.62373251E8</v>
      </c>
      <c r="W589" s="7">
        <v>6.92885924E8</v>
      </c>
      <c r="X589" s="7"/>
      <c r="Y589" s="7">
        <v>2.62373251E8</v>
      </c>
      <c r="Z589" s="7" t="s">
        <v>7363</v>
      </c>
      <c r="AA589" s="7">
        <v>150.0</v>
      </c>
      <c r="AB589" s="7"/>
      <c r="AC589" s="7" t="s">
        <v>7364</v>
      </c>
      <c r="AD589" s="7" t="s">
        <v>7365</v>
      </c>
      <c r="AE589" s="7" t="s">
        <v>7366</v>
      </c>
      <c r="AF589" s="7"/>
      <c r="AG589" s="7"/>
      <c r="AH589" s="20">
        <v>43739.0</v>
      </c>
      <c r="AI589" s="7"/>
      <c r="AJ589" s="7" t="s">
        <v>7367</v>
      </c>
      <c r="AK589" s="7">
        <v>3.7956396800039E13</v>
      </c>
      <c r="AL589" s="7" t="s">
        <v>7368</v>
      </c>
      <c r="AM589" s="7" t="s">
        <v>7369</v>
      </c>
      <c r="AN589" s="20">
        <v>39575.0</v>
      </c>
      <c r="AO589" s="7">
        <v>97480.0</v>
      </c>
      <c r="AP589" s="7" t="s">
        <v>385</v>
      </c>
      <c r="AQ589" s="7"/>
      <c r="AR589" s="7"/>
      <c r="AS589" s="7"/>
      <c r="AT589" s="7"/>
      <c r="AU589" s="7">
        <v>0.0</v>
      </c>
      <c r="AV589" s="7" t="s">
        <v>7370</v>
      </c>
      <c r="AW589" s="7"/>
      <c r="AX589" s="7"/>
      <c r="AY589" s="7"/>
      <c r="AZ589" s="7"/>
      <c r="BA589" s="7"/>
      <c r="BB589" s="7"/>
      <c r="BC589" s="7" t="s">
        <v>401</v>
      </c>
      <c r="BD589" s="21">
        <v>44112.16458333333</v>
      </c>
      <c r="BE589" s="7" t="s">
        <v>7371</v>
      </c>
      <c r="BF589" s="7"/>
      <c r="BG589" s="7"/>
      <c r="BH589" s="7">
        <v>3.79563968E8</v>
      </c>
      <c r="BI589" s="7" t="s">
        <v>5717</v>
      </c>
      <c r="BJ589" s="7"/>
      <c r="BK589" s="7" t="b">
        <v>0</v>
      </c>
      <c r="BL589" s="7" t="b">
        <v>0</v>
      </c>
      <c r="BM589" s="7"/>
      <c r="BN589" s="7" t="str">
        <f>IFERROR(__xludf.DUMMYFUNCTION(" IF( REGEXMATCH(C589 , ""[(].+[)]""),REGEXREPLACE( CONCATENATE(REGEXEXTRACT(C589 , ""[(].+[)]""),IF(REGEXMATCH(C589 , ""[(][Ll]['’][)]""),"""","" ""), REGEXEXTRACT(C589 ,""^(?:(?:[A-Za-zàäéèêîïöôûü0-9 ](?:[A-Za-zàäéèêîïöôûü'0-9 ]+)))"")) , ""[()]"", """")"&amp;",C589 )"),"Le Tagine ")</f>
        <v>Le Tagine </v>
      </c>
      <c r="BO589" s="25"/>
      <c r="BP589" s="7"/>
      <c r="BQ589" s="7"/>
      <c r="BR589" s="7"/>
      <c r="BS589" s="7"/>
      <c r="BT589" s="7"/>
      <c r="BU589" s="7"/>
      <c r="BV589" s="7"/>
      <c r="BW589" s="7"/>
      <c r="BX589" s="7"/>
      <c r="BY589" s="7"/>
      <c r="BZ589" s="7"/>
      <c r="CA589" s="7"/>
      <c r="CB589" s="7"/>
    </row>
    <row r="590" ht="21.75" customHeight="1">
      <c r="A590" s="7">
        <v>521.0</v>
      </c>
      <c r="B590" s="7" t="s">
        <v>7372</v>
      </c>
      <c r="C590" s="7" t="s">
        <v>7373</v>
      </c>
      <c r="D590" s="7" t="s">
        <v>7374</v>
      </c>
      <c r="E590" s="7"/>
      <c r="F590" s="7" t="s">
        <v>404</v>
      </c>
      <c r="G590" s="7" t="s">
        <v>343</v>
      </c>
      <c r="H590" s="7" t="s">
        <v>123</v>
      </c>
      <c r="I590" s="7" t="s">
        <v>7375</v>
      </c>
      <c r="J590" s="7"/>
      <c r="K590" s="7" t="s">
        <v>34</v>
      </c>
      <c r="L590" s="7" t="s">
        <v>622</v>
      </c>
      <c r="M590" s="7" t="s">
        <v>1347</v>
      </c>
      <c r="N590" s="7" t="s">
        <v>664</v>
      </c>
      <c r="O590" s="7">
        <v>97480.0</v>
      </c>
      <c r="P590" s="7" t="s">
        <v>123</v>
      </c>
      <c r="Q590" s="7"/>
      <c r="R590" s="7" t="s">
        <v>1986</v>
      </c>
      <c r="S590" s="7" t="s">
        <v>5170</v>
      </c>
      <c r="T590" s="7" t="s">
        <v>1838</v>
      </c>
      <c r="U590" s="7" t="s">
        <v>1508</v>
      </c>
      <c r="V590" s="7">
        <v>2.62471099E8</v>
      </c>
      <c r="W590" s="7"/>
      <c r="X590" s="7"/>
      <c r="Y590" s="7"/>
      <c r="Z590" s="7" t="s">
        <v>7363</v>
      </c>
      <c r="AA590" s="7">
        <v>20.0</v>
      </c>
      <c r="AB590" s="7"/>
      <c r="AC590" s="7"/>
      <c r="AD590" s="7" t="s">
        <v>7376</v>
      </c>
      <c r="AE590" s="7" t="s">
        <v>7377</v>
      </c>
      <c r="AF590" s="7"/>
      <c r="AG590" s="7"/>
      <c r="AH590" s="20">
        <v>39601.0</v>
      </c>
      <c r="AI590" s="7"/>
      <c r="AJ590" s="7" t="s">
        <v>7367</v>
      </c>
      <c r="AK590" s="7">
        <v>3.7956396800039E13</v>
      </c>
      <c r="AL590" s="7" t="s">
        <v>7368</v>
      </c>
      <c r="AM590" s="7" t="s">
        <v>7369</v>
      </c>
      <c r="AN590" s="20">
        <v>39575.0</v>
      </c>
      <c r="AO590" s="7">
        <v>97480.0</v>
      </c>
      <c r="AP590" s="7" t="s">
        <v>385</v>
      </c>
      <c r="AQ590" s="7"/>
      <c r="AR590" s="7"/>
      <c r="AS590" s="7"/>
      <c r="AT590" s="7"/>
      <c r="AU590" s="7">
        <v>0.0</v>
      </c>
      <c r="AV590" s="7" t="s">
        <v>7378</v>
      </c>
      <c r="AW590" s="7"/>
      <c r="AX590" s="7"/>
      <c r="AY590" s="7"/>
      <c r="AZ590" s="7"/>
      <c r="BA590" s="7"/>
      <c r="BB590" s="7"/>
      <c r="BC590" s="7" t="s">
        <v>401</v>
      </c>
      <c r="BD590" s="21">
        <v>44112.183333333334</v>
      </c>
      <c r="BE590" s="7" t="s">
        <v>7379</v>
      </c>
      <c r="BF590" s="7"/>
      <c r="BG590" s="7"/>
      <c r="BH590" s="7">
        <v>3.79563968E8</v>
      </c>
      <c r="BI590" s="7" t="s">
        <v>1087</v>
      </c>
      <c r="BJ590" s="7"/>
      <c r="BK590" s="7" t="b">
        <v>0</v>
      </c>
      <c r="BL590" s="7" t="b">
        <v>0</v>
      </c>
      <c r="BM590" s="7"/>
      <c r="BN590" s="7" t="str">
        <f>IFERROR(__xludf.DUMMYFUNCTION(" IF( REGEXMATCH(C590 , ""[(].+[)]""),REGEXREPLACE( CONCATENATE(REGEXEXTRACT(C590 , ""[(].+[)]""),IF(REGEXMATCH(C590 , ""[(][Ll]['’][)]""),"""","" ""), REGEXEXTRACT(C590 ,""^(?:(?:[A-Za-zàäéèêîïöôûü0-9 ](?:[A-Za-zàäéèêîïöôûü'0-9 ]+)))"")) , ""[()]"", """")"&amp;",C590 )"),"Le Tagine Bis ")</f>
        <v>Le Tagine Bis </v>
      </c>
      <c r="BO590" s="25"/>
      <c r="BP590" s="7"/>
      <c r="BQ590" s="7"/>
      <c r="BR590" s="7"/>
      <c r="BS590" s="7"/>
      <c r="BT590" s="7"/>
      <c r="BU590" s="7"/>
      <c r="BV590" s="7"/>
      <c r="BW590" s="7"/>
      <c r="BX590" s="7"/>
      <c r="BY590" s="7"/>
      <c r="BZ590" s="7"/>
      <c r="CA590" s="7"/>
      <c r="CB590" s="7"/>
    </row>
    <row r="591" ht="21.75" customHeight="1">
      <c r="A591" s="7">
        <v>3984.0</v>
      </c>
      <c r="B591" s="7" t="s">
        <v>7380</v>
      </c>
      <c r="C591" s="7" t="s">
        <v>7381</v>
      </c>
      <c r="D591" s="7"/>
      <c r="E591" s="7"/>
      <c r="F591" s="7" t="s">
        <v>342</v>
      </c>
      <c r="G591" s="7" t="s">
        <v>343</v>
      </c>
      <c r="H591" s="7" t="s">
        <v>123</v>
      </c>
      <c r="I591" s="7" t="s">
        <v>7382</v>
      </c>
      <c r="J591" s="7"/>
      <c r="K591" s="7" t="s">
        <v>34</v>
      </c>
      <c r="L591" s="7" t="s">
        <v>622</v>
      </c>
      <c r="M591" s="7" t="s">
        <v>622</v>
      </c>
      <c r="N591" s="7" t="s">
        <v>422</v>
      </c>
      <c r="O591" s="7">
        <v>97480.0</v>
      </c>
      <c r="P591" s="7" t="s">
        <v>123</v>
      </c>
      <c r="Q591" s="7" t="s">
        <v>1278</v>
      </c>
      <c r="R591" s="7"/>
      <c r="S591" s="7"/>
      <c r="T591" s="7" t="s">
        <v>377</v>
      </c>
      <c r="U591" s="7" t="s">
        <v>353</v>
      </c>
      <c r="V591" s="7">
        <v>2.62562646E8</v>
      </c>
      <c r="W591" s="7">
        <v>6.92677628E8</v>
      </c>
      <c r="X591" s="7"/>
      <c r="Y591" s="7"/>
      <c r="Z591" s="7" t="s">
        <v>7383</v>
      </c>
      <c r="AA591" s="7">
        <v>30.0</v>
      </c>
      <c r="AB591" s="7"/>
      <c r="AC591" s="7"/>
      <c r="AD591" s="7" t="s">
        <v>7384</v>
      </c>
      <c r="AE591" s="7"/>
      <c r="AF591" s="7"/>
      <c r="AG591" s="7"/>
      <c r="AH591" s="20">
        <v>42219.0</v>
      </c>
      <c r="AI591" s="7"/>
      <c r="AJ591" s="7" t="s">
        <v>7385</v>
      </c>
      <c r="AK591" s="7"/>
      <c r="AL591" s="7" t="s">
        <v>7386</v>
      </c>
      <c r="AM591" s="7" t="s">
        <v>7387</v>
      </c>
      <c r="AN591" s="20">
        <v>42219.0</v>
      </c>
      <c r="AO591" s="7">
        <v>97480.0</v>
      </c>
      <c r="AP591" s="7" t="s">
        <v>385</v>
      </c>
      <c r="AQ591" s="7"/>
      <c r="AR591" s="7"/>
      <c r="AS591" s="7"/>
      <c r="AT591" s="7"/>
      <c r="AU591" s="7">
        <v>0.0</v>
      </c>
      <c r="AV591" s="7" t="s">
        <v>7388</v>
      </c>
      <c r="AW591" s="7"/>
      <c r="AX591" s="7"/>
      <c r="AY591" s="7"/>
      <c r="AZ591" s="7"/>
      <c r="BA591" s="7"/>
      <c r="BB591" s="7"/>
      <c r="BC591" s="7" t="s">
        <v>401</v>
      </c>
      <c r="BD591" s="21">
        <v>44125.04513888889</v>
      </c>
      <c r="BE591" s="7" t="s">
        <v>7389</v>
      </c>
      <c r="BF591" s="7"/>
      <c r="BG591" s="7"/>
      <c r="BH591" s="7"/>
      <c r="BI591" s="7" t="s">
        <v>916</v>
      </c>
      <c r="BJ591" s="7"/>
      <c r="BK591" s="7" t="b">
        <v>0</v>
      </c>
      <c r="BL591" s="7" t="b">
        <v>0</v>
      </c>
      <c r="BM591" s="7"/>
      <c r="BN591" s="7" t="str">
        <f>IFERROR(__xludf.DUMMYFUNCTION(" IF( REGEXMATCH(C591 , ""[(].+[)]""),REGEXREPLACE( CONCATENATE(REGEXEXTRACT(C591 , ""[(].+[)]""),IF(REGEXMATCH(C591 , ""[(][Ll]['’][)]""),"""","" ""), REGEXEXTRACT(C591 ,""^(?:(?:[A-Za-zàäéèêîïöôûü0-9 ](?:[A-Za-zàäéèêîïöôûü'0-9 ]+)))"")) , ""[()]"", """")"&amp;",C591 )"),"Le Tangor ")</f>
        <v>Le Tangor </v>
      </c>
      <c r="BO591" s="25"/>
      <c r="BP591" s="7"/>
      <c r="BQ591" s="7"/>
      <c r="BR591" s="7"/>
      <c r="BS591" s="7"/>
      <c r="BT591" s="7"/>
      <c r="BU591" s="7"/>
      <c r="BV591" s="7"/>
      <c r="BW591" s="7"/>
      <c r="BX591" s="7"/>
      <c r="BY591" s="7"/>
      <c r="BZ591" s="7"/>
      <c r="CA591" s="7"/>
      <c r="CB591" s="7"/>
    </row>
    <row r="592" ht="21.75" customHeight="1">
      <c r="A592" s="7">
        <v>2057.0</v>
      </c>
      <c r="B592" s="7" t="s">
        <v>7390</v>
      </c>
      <c r="C592" s="7" t="s">
        <v>7391</v>
      </c>
      <c r="D592" s="7" t="s">
        <v>7391</v>
      </c>
      <c r="E592" s="7"/>
      <c r="F592" s="7" t="s">
        <v>342</v>
      </c>
      <c r="G592" s="7" t="s">
        <v>343</v>
      </c>
      <c r="H592" s="7" t="s">
        <v>40</v>
      </c>
      <c r="I592" s="7" t="s">
        <v>7392</v>
      </c>
      <c r="J592" s="7"/>
      <c r="K592" s="6" t="s">
        <v>469</v>
      </c>
      <c r="L592" s="7" t="s">
        <v>197</v>
      </c>
      <c r="M592" s="7" t="s">
        <v>559</v>
      </c>
      <c r="N592" s="7" t="s">
        <v>422</v>
      </c>
      <c r="O592" s="7">
        <v>97414.0</v>
      </c>
      <c r="P592" s="7" t="s">
        <v>40</v>
      </c>
      <c r="Q592" s="7"/>
      <c r="R592" s="7"/>
      <c r="S592" s="7" t="s">
        <v>2842</v>
      </c>
      <c r="T592" s="7" t="s">
        <v>377</v>
      </c>
      <c r="U592" s="7" t="s">
        <v>378</v>
      </c>
      <c r="V592" s="7">
        <v>2.62395125E8</v>
      </c>
      <c r="W592" s="7"/>
      <c r="X592" s="7"/>
      <c r="Y592" s="7"/>
      <c r="Z592" s="7"/>
      <c r="AA592" s="7"/>
      <c r="AB592" s="7"/>
      <c r="AC592" s="7"/>
      <c r="AD592" s="7" t="s">
        <v>7393</v>
      </c>
      <c r="AE592" s="7"/>
      <c r="AF592" s="7"/>
      <c r="AG592" s="7"/>
      <c r="AH592" s="20">
        <v>43739.0</v>
      </c>
      <c r="AI592" s="7"/>
      <c r="AJ592" s="7" t="s">
        <v>7391</v>
      </c>
      <c r="AK592" s="7"/>
      <c r="AL592" s="7" t="s">
        <v>7394</v>
      </c>
      <c r="AM592" s="7" t="s">
        <v>7395</v>
      </c>
      <c r="AN592" s="20">
        <v>43739.0</v>
      </c>
      <c r="AO592" s="7">
        <v>97414.0</v>
      </c>
      <c r="AP592" s="7" t="s">
        <v>429</v>
      </c>
      <c r="AQ592" s="7"/>
      <c r="AR592" s="7"/>
      <c r="AS592" s="7"/>
      <c r="AT592" s="7"/>
      <c r="AU592" s="7">
        <v>0.0</v>
      </c>
      <c r="AV592" s="7" t="s">
        <v>7396</v>
      </c>
      <c r="AW592" s="7"/>
      <c r="AX592" s="7"/>
      <c r="AY592" s="7"/>
      <c r="AZ592" s="7"/>
      <c r="BA592" s="7"/>
      <c r="BB592" s="7"/>
      <c r="BC592" s="7" t="s">
        <v>401</v>
      </c>
      <c r="BD592" s="7"/>
      <c r="BE592" s="7" t="s">
        <v>449</v>
      </c>
      <c r="BF592" s="7"/>
      <c r="BG592" s="7"/>
      <c r="BH592" s="7"/>
      <c r="BI592" s="7" t="s">
        <v>7397</v>
      </c>
      <c r="BJ592" s="7"/>
      <c r="BK592" s="7" t="b">
        <v>0</v>
      </c>
      <c r="BL592" s="7" t="b">
        <v>0</v>
      </c>
      <c r="BM592" s="7"/>
      <c r="BN592" s="7" t="str">
        <f>IFERROR(__xludf.DUMMYFUNCTION(" IF( REGEXMATCH(C592 , ""[(].+[)]""),REGEXREPLACE( CONCATENATE(REGEXEXTRACT(C592 , ""[(].+[)]""),IF(REGEXMATCH(C592 , ""[(][Ll]['’][)]""),"""","" ""), REGEXEXTRACT(C592 ,""^(?:(?:[A-Za-zàäéèêîïöôûü0-9 ](?:[A-Za-zàäéèêîïöôûü'0-9 ]+)))"")) , ""[()]"", """")"&amp;",C592 )"),"Técher Justine")</f>
        <v>Técher Justine</v>
      </c>
      <c r="BO592" s="25"/>
      <c r="BP592" s="7"/>
      <c r="BQ592" s="7"/>
      <c r="BR592" s="7"/>
      <c r="BS592" s="7"/>
      <c r="BT592" s="7"/>
      <c r="BU592" s="7"/>
      <c r="BV592" s="7"/>
      <c r="BW592" s="7"/>
      <c r="BX592" s="7"/>
      <c r="BY592" s="7"/>
      <c r="BZ592" s="7"/>
      <c r="CA592" s="7"/>
      <c r="CB592" s="7"/>
    </row>
    <row r="593" ht="21.75" customHeight="1">
      <c r="A593" s="7">
        <v>4865.0</v>
      </c>
      <c r="B593" s="7">
        <v>592.0</v>
      </c>
      <c r="C593" s="7" t="s">
        <v>7398</v>
      </c>
      <c r="D593" s="7"/>
      <c r="E593" s="7"/>
      <c r="F593" s="7" t="s">
        <v>342</v>
      </c>
      <c r="G593" s="7" t="s">
        <v>343</v>
      </c>
      <c r="H593" s="7" t="s">
        <v>40</v>
      </c>
      <c r="I593" s="7" t="s">
        <v>7399</v>
      </c>
      <c r="J593" s="7"/>
      <c r="K593" s="7" t="s">
        <v>58</v>
      </c>
      <c r="L593" s="7" t="s">
        <v>453</v>
      </c>
      <c r="M593" s="7" t="s">
        <v>454</v>
      </c>
      <c r="N593" s="7" t="s">
        <v>455</v>
      </c>
      <c r="O593" s="7">
        <v>97414.0</v>
      </c>
      <c r="P593" s="7" t="s">
        <v>40</v>
      </c>
      <c r="Q593" s="7"/>
      <c r="R593" s="7"/>
      <c r="S593" s="7" t="s">
        <v>1038</v>
      </c>
      <c r="T593" s="7" t="s">
        <v>377</v>
      </c>
      <c r="U593" s="7" t="s">
        <v>851</v>
      </c>
      <c r="V593" s="7"/>
      <c r="W593" s="7">
        <v>6.93305359E8</v>
      </c>
      <c r="X593" s="7"/>
      <c r="Y593" s="7"/>
      <c r="Z593" s="7" t="s">
        <v>7400</v>
      </c>
      <c r="AA593" s="7">
        <v>2.0</v>
      </c>
      <c r="AB593" s="7"/>
      <c r="AC593" s="7" t="s">
        <v>7401</v>
      </c>
      <c r="AD593" s="7" t="s">
        <v>7402</v>
      </c>
      <c r="AE593" s="7"/>
      <c r="AF593" s="7"/>
      <c r="AG593" s="7"/>
      <c r="AH593" s="20">
        <v>43529.0</v>
      </c>
      <c r="AI593" s="7"/>
      <c r="AJ593" s="7" t="s">
        <v>7403</v>
      </c>
      <c r="AK593" s="7">
        <v>8.2073058800028E13</v>
      </c>
      <c r="AL593" s="7" t="s">
        <v>7404</v>
      </c>
      <c r="AM593" s="7" t="s">
        <v>7405</v>
      </c>
      <c r="AN593" s="20">
        <v>43529.0</v>
      </c>
      <c r="AO593" s="7">
        <v>97414.0</v>
      </c>
      <c r="AP593" s="7" t="s">
        <v>429</v>
      </c>
      <c r="AQ593" s="7"/>
      <c r="AR593" s="7"/>
      <c r="AS593" s="7"/>
      <c r="AT593" s="7"/>
      <c r="AU593" s="7">
        <v>1.0</v>
      </c>
      <c r="AV593" s="7" t="s">
        <v>7406</v>
      </c>
      <c r="AW593" s="7"/>
      <c r="AX593" s="7"/>
      <c r="AY593" s="7"/>
      <c r="AZ593" s="7" t="s">
        <v>7407</v>
      </c>
      <c r="BA593" s="7"/>
      <c r="BB593" s="7"/>
      <c r="BC593" s="7" t="s">
        <v>366</v>
      </c>
      <c r="BD593" s="21">
        <v>44197.0</v>
      </c>
      <c r="BE593" s="7"/>
      <c r="BF593" s="7"/>
      <c r="BG593" s="22">
        <v>44197.0</v>
      </c>
      <c r="BH593" s="7">
        <v>8.20730588E8</v>
      </c>
      <c r="BI593" s="7" t="s">
        <v>7408</v>
      </c>
      <c r="BJ593" s="7"/>
      <c r="BK593" s="7" t="b">
        <v>0</v>
      </c>
      <c r="BL593" s="7" t="b">
        <v>0</v>
      </c>
      <c r="BM593" s="7"/>
      <c r="BN593" s="7" t="str">
        <f>IFERROR(__xludf.DUMMYFUNCTION(" IF( REGEXMATCH(C593 , ""[(].+[)]""),REGEXREPLACE( CONCATENATE(REGEXEXTRACT(C593 , ""[(].+[)]""),IF(REGEXMATCH(C593 , ""[(][Ll]['’][)]""),"""","" ""), REGEXEXTRACT(C593 ,""^(?:(?:[A-Za-zàäéèêîïöôûü0-9 ](?:[A-Za-zàäéèêîïöôûü'0-9 ]+)))"")) , ""[()]"", """")"&amp;",C593 )"),"Tèr'Léo")</f>
        <v>Tèr'Léo</v>
      </c>
      <c r="BO593" s="23"/>
      <c r="BP593" s="7"/>
      <c r="BQ593" s="7"/>
      <c r="BR593" s="7"/>
      <c r="BS593" s="7"/>
      <c r="BT593" s="7"/>
      <c r="BU593" s="7"/>
      <c r="BV593" s="7"/>
      <c r="BW593" s="7"/>
      <c r="BX593" s="7"/>
      <c r="BY593" s="7"/>
      <c r="BZ593" s="7"/>
      <c r="CA593" s="7"/>
      <c r="CB593" s="7"/>
    </row>
    <row r="594" ht="21.75" customHeight="1">
      <c r="A594" s="7">
        <v>5060.0</v>
      </c>
      <c r="B594" s="7" t="s">
        <v>265</v>
      </c>
      <c r="C594" s="7" t="s">
        <v>7409</v>
      </c>
      <c r="D594" s="7"/>
      <c r="E594" s="7"/>
      <c r="F594" s="7" t="s">
        <v>342</v>
      </c>
      <c r="G594" s="7" t="s">
        <v>343</v>
      </c>
      <c r="H594" s="7" t="s">
        <v>123</v>
      </c>
      <c r="I594" s="7" t="s">
        <v>7410</v>
      </c>
      <c r="J594" s="26" t="s">
        <v>7411</v>
      </c>
      <c r="K594" s="7" t="s">
        <v>58</v>
      </c>
      <c r="L594" s="7" t="s">
        <v>453</v>
      </c>
      <c r="M594" s="7" t="s">
        <v>454</v>
      </c>
      <c r="N594" s="7" t="s">
        <v>455</v>
      </c>
      <c r="O594" s="7">
        <v>97480.0</v>
      </c>
      <c r="P594" s="7" t="s">
        <v>123</v>
      </c>
      <c r="Q594" s="7" t="s">
        <v>726</v>
      </c>
      <c r="R594" s="7" t="s">
        <v>7412</v>
      </c>
      <c r="S594" s="7" t="s">
        <v>7413</v>
      </c>
      <c r="T594" s="7" t="s">
        <v>974</v>
      </c>
      <c r="U594" s="7" t="s">
        <v>592</v>
      </c>
      <c r="V594" s="7"/>
      <c r="W594" s="7">
        <v>6.9222462E8</v>
      </c>
      <c r="X594" s="7"/>
      <c r="Y594" s="7"/>
      <c r="Z594" s="7" t="s">
        <v>7414</v>
      </c>
      <c r="AA594" s="7">
        <v>6.0</v>
      </c>
      <c r="AB594" s="7"/>
      <c r="AC594" s="7" t="s">
        <v>7415</v>
      </c>
      <c r="AD594" s="7" t="s">
        <v>7416</v>
      </c>
      <c r="AE594" s="7" t="s">
        <v>7417</v>
      </c>
      <c r="AF594" s="7" t="s">
        <v>7418</v>
      </c>
      <c r="AG594" s="7"/>
      <c r="AH594" s="20">
        <v>43717.0</v>
      </c>
      <c r="AI594" s="7"/>
      <c r="AJ594" s="7" t="s">
        <v>7419</v>
      </c>
      <c r="AK594" s="7">
        <v>8.5360065800019E13</v>
      </c>
      <c r="AL594" s="7" t="s">
        <v>7420</v>
      </c>
      <c r="AM594" s="7" t="s">
        <v>7421</v>
      </c>
      <c r="AN594" s="20">
        <v>43717.0</v>
      </c>
      <c r="AO594" s="7">
        <v>97480.0</v>
      </c>
      <c r="AP594" s="7" t="s">
        <v>385</v>
      </c>
      <c r="AQ594" s="7"/>
      <c r="AR594" s="7"/>
      <c r="AS594" s="7"/>
      <c r="AT594" s="7"/>
      <c r="AU594" s="7">
        <v>3.0</v>
      </c>
      <c r="AV594" s="7" t="s">
        <v>7422</v>
      </c>
      <c r="AW594" s="7"/>
      <c r="AX594" s="7"/>
      <c r="AY594" s="7"/>
      <c r="AZ594" s="7" t="s">
        <v>7423</v>
      </c>
      <c r="BA594" s="7"/>
      <c r="BB594" s="7"/>
      <c r="BC594" s="7" t="s">
        <v>401</v>
      </c>
      <c r="BD594" s="21">
        <v>44116.225694444445</v>
      </c>
      <c r="BE594" s="7" t="s">
        <v>3763</v>
      </c>
      <c r="BF594" s="7"/>
      <c r="BG594" s="7"/>
      <c r="BH594" s="7">
        <v>8.53600658E8</v>
      </c>
      <c r="BI594" s="7" t="s">
        <v>7424</v>
      </c>
      <c r="BJ594" s="7"/>
      <c r="BK594" s="7" t="b">
        <v>0</v>
      </c>
      <c r="BL594" s="7" t="b">
        <v>0</v>
      </c>
      <c r="BM594" s="7"/>
      <c r="BN594" s="7" t="str">
        <f>IFERROR(__xludf.DUMMYFUNCTION(" IF( REGEXMATCH(C594 , ""[(].+[)]""),REGEXREPLACE( CONCATENATE(REGEXEXTRACT(C594 , ""[(].+[)]""),IF(REGEXMATCH(C594 , ""[(][Ll]['’][)]""),"""","" ""), REGEXEXTRACT(C594 ,""^(?:(?:[A-Za-zàäéèêîïöôûü0-9 ](?:[A-Za-zàäéèêîïöôûü'0-9 ]+)))"")) , ""[()]"", """")"&amp;",C594 )"),"Terre Rouge")</f>
        <v>Terre Rouge</v>
      </c>
      <c r="BO594" s="25"/>
      <c r="BP594" s="7"/>
      <c r="BQ594" s="7"/>
      <c r="BR594" s="7"/>
      <c r="BS594" s="7"/>
      <c r="BT594" s="7"/>
      <c r="BU594" s="7"/>
      <c r="BV594" s="7"/>
      <c r="BW594" s="7"/>
      <c r="BX594" s="7"/>
      <c r="BY594" s="7"/>
      <c r="BZ594" s="7"/>
      <c r="CA594" s="7"/>
      <c r="CB594" s="7"/>
    </row>
    <row r="595" ht="21.75" customHeight="1">
      <c r="A595" s="7">
        <v>3232.0</v>
      </c>
      <c r="B595" s="7" t="s">
        <v>7425</v>
      </c>
      <c r="C595" s="7" t="s">
        <v>7426</v>
      </c>
      <c r="D595" s="7" t="s">
        <v>7427</v>
      </c>
      <c r="E595" s="7"/>
      <c r="F595" s="7" t="s">
        <v>404</v>
      </c>
      <c r="G595" s="7" t="s">
        <v>343</v>
      </c>
      <c r="H595" s="7" t="s">
        <v>123</v>
      </c>
      <c r="I595" s="7" t="s">
        <v>7428</v>
      </c>
      <c r="J595" s="7"/>
      <c r="K595" s="6" t="s">
        <v>469</v>
      </c>
      <c r="L595" s="7" t="s">
        <v>1405</v>
      </c>
      <c r="M595" s="7" t="s">
        <v>1406</v>
      </c>
      <c r="N595" s="7" t="s">
        <v>455</v>
      </c>
      <c r="O595" s="7">
        <v>97480.0</v>
      </c>
      <c r="P595" s="7" t="s">
        <v>123</v>
      </c>
      <c r="Q595" s="7" t="s">
        <v>946</v>
      </c>
      <c r="R595" s="7"/>
      <c r="S595" s="7"/>
      <c r="T595" s="7" t="s">
        <v>377</v>
      </c>
      <c r="U595" s="7" t="s">
        <v>353</v>
      </c>
      <c r="V595" s="7"/>
      <c r="W595" s="7">
        <v>6.92689477E8</v>
      </c>
      <c r="X595" s="7"/>
      <c r="Y595" s="7"/>
      <c r="Z595" s="7" t="s">
        <v>7429</v>
      </c>
      <c r="AA595" s="7"/>
      <c r="AB595" s="7"/>
      <c r="AC595" s="7" t="s">
        <v>7430</v>
      </c>
      <c r="AD595" s="7" t="s">
        <v>7431</v>
      </c>
      <c r="AE595" s="7" t="s">
        <v>7432</v>
      </c>
      <c r="AF595" s="7"/>
      <c r="AG595" s="7"/>
      <c r="AH595" s="20">
        <v>41122.0</v>
      </c>
      <c r="AI595" s="7"/>
      <c r="AJ595" s="7" t="s">
        <v>7433</v>
      </c>
      <c r="AK595" s="7">
        <v>4.0811596200024E13</v>
      </c>
      <c r="AL595" s="7" t="s">
        <v>7434</v>
      </c>
      <c r="AM595" s="7" t="s">
        <v>7435</v>
      </c>
      <c r="AN595" s="20">
        <v>41122.0</v>
      </c>
      <c r="AO595" s="7">
        <v>97480.0</v>
      </c>
      <c r="AP595" s="7" t="s">
        <v>385</v>
      </c>
      <c r="AQ595" s="7"/>
      <c r="AR595" s="7"/>
      <c r="AS595" s="7"/>
      <c r="AT595" s="7"/>
      <c r="AU595" s="7">
        <v>0.0</v>
      </c>
      <c r="AV595" s="7" t="s">
        <v>7436</v>
      </c>
      <c r="AW595" s="7"/>
      <c r="AX595" s="7"/>
      <c r="AY595" s="7"/>
      <c r="AZ595" s="7"/>
      <c r="BA595" s="7"/>
      <c r="BB595" s="7"/>
      <c r="BC595" s="7" t="s">
        <v>401</v>
      </c>
      <c r="BD595" s="21">
        <v>44112.205555555556</v>
      </c>
      <c r="BE595" s="7" t="s">
        <v>1047</v>
      </c>
      <c r="BF595" s="7"/>
      <c r="BG595" s="7"/>
      <c r="BH595" s="7">
        <v>4.08115962E8</v>
      </c>
      <c r="BI595" s="7" t="s">
        <v>3117</v>
      </c>
      <c r="BJ595" s="7"/>
      <c r="BK595" s="7" t="b">
        <v>0</v>
      </c>
      <c r="BL595" s="7" t="b">
        <v>0</v>
      </c>
      <c r="BM595" s="7"/>
      <c r="BN595" s="7" t="str">
        <f>IFERROR(__xludf.DUMMYFUNCTION(" IF( REGEXMATCH(C595 , ""[(].+[)]""),REGEXREPLACE( CONCATENATE(REGEXEXTRACT(C595 , ""[(].+[)]""),IF(REGEXMATCH(C595 , ""[(][Ll]['’][)]""),"""","" ""), REGEXEXTRACT(C595 ,""^(?:(?:[A-Za-zàäéèêîïöôûü0-9 ](?:[A-Za-zàäéèêîïöôûü'0-9 ]+)))"")) , ""[()]"", """")"&amp;",C595 )"),"Terroir de Bras Sec Langevin")</f>
        <v>Terroir de Bras Sec Langevin</v>
      </c>
      <c r="BO595" s="25"/>
      <c r="BP595" s="7"/>
      <c r="BQ595" s="7"/>
      <c r="BR595" s="7"/>
      <c r="BS595" s="7"/>
      <c r="BT595" s="7"/>
      <c r="BU595" s="7"/>
      <c r="BV595" s="7"/>
      <c r="BW595" s="7"/>
      <c r="BX595" s="7"/>
      <c r="BY595" s="7"/>
      <c r="BZ595" s="7"/>
      <c r="CA595" s="7"/>
      <c r="CB595" s="7"/>
    </row>
    <row r="596" ht="21.75" customHeight="1">
      <c r="A596" s="7">
        <v>1913.0</v>
      </c>
      <c r="B596" s="7" t="s">
        <v>7437</v>
      </c>
      <c r="C596" s="7" t="s">
        <v>7438</v>
      </c>
      <c r="D596" s="7" t="s">
        <v>7438</v>
      </c>
      <c r="E596" s="7"/>
      <c r="F596" s="7" t="s">
        <v>342</v>
      </c>
      <c r="G596" s="7" t="s">
        <v>343</v>
      </c>
      <c r="H596" s="7" t="s">
        <v>344</v>
      </c>
      <c r="I596" s="7" t="s">
        <v>7439</v>
      </c>
      <c r="J596" s="7"/>
      <c r="K596" s="6" t="s">
        <v>469</v>
      </c>
      <c r="L596" s="7" t="s">
        <v>1792</v>
      </c>
      <c r="M596" s="7" t="s">
        <v>1793</v>
      </c>
      <c r="N596" s="7"/>
      <c r="O596" s="7">
        <v>97430.0</v>
      </c>
      <c r="P596" s="7" t="s">
        <v>344</v>
      </c>
      <c r="Q596" s="7"/>
      <c r="R596" s="7"/>
      <c r="S596" s="7"/>
      <c r="T596" s="7" t="s">
        <v>377</v>
      </c>
      <c r="U596" s="7" t="s">
        <v>378</v>
      </c>
      <c r="V596" s="7">
        <v>2.62276516E8</v>
      </c>
      <c r="W596" s="7">
        <v>6.93005488E8</v>
      </c>
      <c r="X596" s="7"/>
      <c r="Y596" s="7">
        <v>2.62577402E8</v>
      </c>
      <c r="Z596" s="7" t="s">
        <v>7440</v>
      </c>
      <c r="AA596" s="7"/>
      <c r="AB596" s="7"/>
      <c r="AC596" s="7"/>
      <c r="AD596" s="7" t="s">
        <v>7441</v>
      </c>
      <c r="AE596" s="7"/>
      <c r="AF596" s="7"/>
      <c r="AG596" s="7"/>
      <c r="AH596" s="20">
        <v>40037.0</v>
      </c>
      <c r="AI596" s="7"/>
      <c r="AJ596" s="7" t="s">
        <v>7442</v>
      </c>
      <c r="AK596" s="7"/>
      <c r="AL596" s="7" t="s">
        <v>7443</v>
      </c>
      <c r="AM596" s="7" t="s">
        <v>7444</v>
      </c>
      <c r="AN596" s="20">
        <v>40037.0</v>
      </c>
      <c r="AO596" s="7">
        <v>97430.0</v>
      </c>
      <c r="AP596" s="7" t="s">
        <v>494</v>
      </c>
      <c r="AQ596" s="7"/>
      <c r="AR596" s="7"/>
      <c r="AS596" s="7"/>
      <c r="AT596" s="7"/>
      <c r="AU596" s="7">
        <v>0.0</v>
      </c>
      <c r="AV596" s="7" t="s">
        <v>7445</v>
      </c>
      <c r="AW596" s="7"/>
      <c r="AX596" s="7"/>
      <c r="AY596" s="7"/>
      <c r="AZ596" s="7"/>
      <c r="BA596" s="7"/>
      <c r="BB596" s="7"/>
      <c r="BC596" s="7" t="s">
        <v>401</v>
      </c>
      <c r="BD596" s="21">
        <v>44154.1</v>
      </c>
      <c r="BE596" s="7" t="s">
        <v>7446</v>
      </c>
      <c r="BF596" s="7"/>
      <c r="BG596" s="7"/>
      <c r="BH596" s="7"/>
      <c r="BI596" s="7" t="s">
        <v>1259</v>
      </c>
      <c r="BJ596" s="7"/>
      <c r="BK596" s="7" t="b">
        <v>0</v>
      </c>
      <c r="BL596" s="7" t="b">
        <v>0</v>
      </c>
      <c r="BM596" s="7"/>
      <c r="BN596" s="7" t="str">
        <f>IFERROR(__xludf.DUMMYFUNCTION(" IF( REGEXMATCH(C596 , ""[(].+[)]""),REGEXREPLACE( CONCATENATE(REGEXEXTRACT(C596 , ""[(].+[)]""),IF(REGEXMATCH(C596 , ""[(][Ll]['’][)]""),"""","" ""), REGEXEXTRACT(C596 ,""^(?:(?:[A-Za-zàäéèêîïöôûü0-9 ](?:[A-Za-zàäéèêîïöôûü'0-9 ]+)))"")) , ""[()]"", """")"&amp;",C596 )"),"Théâtre d'Azur")</f>
        <v>Théâtre d'Azur</v>
      </c>
      <c r="BO596" s="25"/>
      <c r="BP596" s="7"/>
      <c r="BQ596" s="7"/>
      <c r="BR596" s="7"/>
      <c r="BS596" s="7"/>
      <c r="BT596" s="7"/>
      <c r="BU596" s="7"/>
      <c r="BV596" s="7"/>
      <c r="BW596" s="7"/>
      <c r="BX596" s="7"/>
      <c r="BY596" s="7"/>
      <c r="BZ596" s="7"/>
      <c r="CA596" s="7"/>
      <c r="CB596" s="7"/>
    </row>
    <row r="597" ht="21.75" customHeight="1">
      <c r="A597" s="7">
        <v>1898.0</v>
      </c>
      <c r="B597" s="7" t="s">
        <v>7447</v>
      </c>
      <c r="C597" s="7" t="s">
        <v>7448</v>
      </c>
      <c r="D597" s="7" t="s">
        <v>7448</v>
      </c>
      <c r="E597" s="7"/>
      <c r="F597" s="7" t="s">
        <v>342</v>
      </c>
      <c r="G597" s="7" t="s">
        <v>343</v>
      </c>
      <c r="H597" s="7" t="s">
        <v>344</v>
      </c>
      <c r="I597" s="7" t="s">
        <v>7449</v>
      </c>
      <c r="J597" s="26" t="s">
        <v>7450</v>
      </c>
      <c r="K597" s="6" t="s">
        <v>469</v>
      </c>
      <c r="L597" s="7" t="s">
        <v>1792</v>
      </c>
      <c r="M597" s="7" t="s">
        <v>1793</v>
      </c>
      <c r="N597" s="7" t="s">
        <v>375</v>
      </c>
      <c r="O597" s="7">
        <v>97430.0</v>
      </c>
      <c r="P597" s="7" t="s">
        <v>344</v>
      </c>
      <c r="Q597" s="7"/>
      <c r="R597" s="7"/>
      <c r="S597" s="7" t="s">
        <v>1154</v>
      </c>
      <c r="T597" s="7" t="s">
        <v>377</v>
      </c>
      <c r="U597" s="7" t="s">
        <v>378</v>
      </c>
      <c r="V597" s="7">
        <v>2.62272436E8</v>
      </c>
      <c r="W597" s="7"/>
      <c r="X597" s="7"/>
      <c r="Y597" s="7">
        <v>2.62571757E8</v>
      </c>
      <c r="Z597" s="7" t="s">
        <v>7451</v>
      </c>
      <c r="AA597" s="7">
        <v>600.0</v>
      </c>
      <c r="AB597" s="7"/>
      <c r="AC597" s="7"/>
      <c r="AD597" s="7" t="s">
        <v>7452</v>
      </c>
      <c r="AE597" s="7"/>
      <c r="AF597" s="7" t="s">
        <v>7453</v>
      </c>
      <c r="AG597" s="7"/>
      <c r="AH597" s="20">
        <v>43739.0</v>
      </c>
      <c r="AI597" s="7"/>
      <c r="AJ597" s="7" t="s">
        <v>7454</v>
      </c>
      <c r="AK597" s="7"/>
      <c r="AL597" s="7" t="s">
        <v>7455</v>
      </c>
      <c r="AM597" s="7" t="s">
        <v>7456</v>
      </c>
      <c r="AN597" s="20">
        <v>43739.0</v>
      </c>
      <c r="AO597" s="7">
        <v>97430.0</v>
      </c>
      <c r="AP597" s="7" t="s">
        <v>494</v>
      </c>
      <c r="AQ597" s="7"/>
      <c r="AR597" s="7"/>
      <c r="AS597" s="7"/>
      <c r="AT597" s="7"/>
      <c r="AU597" s="7">
        <v>0.0</v>
      </c>
      <c r="AV597" s="7" t="s">
        <v>7457</v>
      </c>
      <c r="AW597" s="7"/>
      <c r="AX597" s="7"/>
      <c r="AY597" s="7"/>
      <c r="AZ597" s="7"/>
      <c r="BA597" s="7"/>
      <c r="BB597" s="7"/>
      <c r="BC597" s="7" t="s">
        <v>401</v>
      </c>
      <c r="BD597" s="21">
        <v>44140.13402777778</v>
      </c>
      <c r="BE597" s="7" t="s">
        <v>7458</v>
      </c>
      <c r="BF597" s="7"/>
      <c r="BG597" s="7"/>
      <c r="BH597" s="7"/>
      <c r="BI597" s="7" t="s">
        <v>7459</v>
      </c>
      <c r="BJ597" s="7"/>
      <c r="BK597" s="7" t="b">
        <v>0</v>
      </c>
      <c r="BL597" s="7" t="b">
        <v>0</v>
      </c>
      <c r="BM597" s="7"/>
      <c r="BN597" s="7" t="str">
        <f>IFERROR(__xludf.DUMMYFUNCTION(" IF( REGEXMATCH(C597 , ""[(].+[)]""),REGEXREPLACE( CONCATENATE(REGEXEXTRACT(C597 , ""[(].+[)]""),IF(REGEXMATCH(C597 , ""[(][Ll]['’][)]""),"""","" ""), REGEXEXTRACT(C597 ,""^(?:(?:[A-Za-zàäéèêîïöôûü0-9 ](?:[A-Za-zàäéèêîïöôûü'0-9 ]+)))"")) , ""[()]"", """")"&amp;",C597 )"),"Théâtre Luc Donat")</f>
        <v>Théâtre Luc Donat</v>
      </c>
      <c r="BO597" s="25"/>
      <c r="BP597" s="7"/>
      <c r="BQ597" s="7"/>
      <c r="BR597" s="7"/>
      <c r="BS597" s="7"/>
      <c r="BT597" s="7"/>
      <c r="BU597" s="7"/>
      <c r="BV597" s="7"/>
      <c r="BW597" s="7"/>
      <c r="BX597" s="7"/>
      <c r="BY597" s="7"/>
      <c r="BZ597" s="7"/>
      <c r="CA597" s="7"/>
      <c r="CB597" s="7"/>
    </row>
    <row r="598" ht="21.75" customHeight="1">
      <c r="A598" s="7">
        <v>4265.0</v>
      </c>
      <c r="B598" s="7">
        <v>597.0</v>
      </c>
      <c r="C598" s="7" t="s">
        <v>7460</v>
      </c>
      <c r="D598" s="7"/>
      <c r="E598" s="7"/>
      <c r="F598" s="7" t="s">
        <v>342</v>
      </c>
      <c r="G598" s="7" t="s">
        <v>343</v>
      </c>
      <c r="H598" s="7" t="s">
        <v>344</v>
      </c>
      <c r="I598" s="7" t="s">
        <v>7461</v>
      </c>
      <c r="J598" s="7"/>
      <c r="K598" s="7" t="s">
        <v>34</v>
      </c>
      <c r="L598" s="7" t="s">
        <v>678</v>
      </c>
      <c r="M598" s="7" t="s">
        <v>5094</v>
      </c>
      <c r="N598" s="7" t="s">
        <v>664</v>
      </c>
      <c r="O598" s="7">
        <v>97430.0</v>
      </c>
      <c r="P598" s="7" t="s">
        <v>344</v>
      </c>
      <c r="Q598" s="7"/>
      <c r="R598" s="7" t="s">
        <v>3855</v>
      </c>
      <c r="S598" s="7"/>
      <c r="T598" s="7" t="s">
        <v>377</v>
      </c>
      <c r="U598" s="7" t="s">
        <v>378</v>
      </c>
      <c r="V598" s="7">
        <v>2.62195878E8</v>
      </c>
      <c r="W598" s="7"/>
      <c r="X598" s="7"/>
      <c r="Y598" s="7"/>
      <c r="Z598" s="7"/>
      <c r="AA598" s="7"/>
      <c r="AB598" s="7"/>
      <c r="AC598" s="7" t="s">
        <v>7462</v>
      </c>
      <c r="AD598" s="7" t="s">
        <v>7463</v>
      </c>
      <c r="AE598" s="7"/>
      <c r="AF598" s="7"/>
      <c r="AG598" s="7"/>
      <c r="AH598" s="20">
        <v>42793.0</v>
      </c>
      <c r="AI598" s="7"/>
      <c r="AJ598" s="7" t="s">
        <v>7460</v>
      </c>
      <c r="AK598" s="7"/>
      <c r="AL598" s="7" t="s">
        <v>7464</v>
      </c>
      <c r="AM598" s="7" t="s">
        <v>7465</v>
      </c>
      <c r="AN598" s="20">
        <v>42793.0</v>
      </c>
      <c r="AO598" s="7">
        <v>97430.0</v>
      </c>
      <c r="AP598" s="7" t="s">
        <v>494</v>
      </c>
      <c r="AQ598" s="7"/>
      <c r="AR598" s="7"/>
      <c r="AS598" s="7"/>
      <c r="AT598" s="7"/>
      <c r="AU598" s="7">
        <v>0.0</v>
      </c>
      <c r="AV598" s="7" t="s">
        <v>7466</v>
      </c>
      <c r="AW598" s="7"/>
      <c r="AX598" s="7"/>
      <c r="AY598" s="7"/>
      <c r="AZ598" s="7"/>
      <c r="BA598" s="7"/>
      <c r="BB598" s="7"/>
      <c r="BC598" s="7" t="s">
        <v>366</v>
      </c>
      <c r="BD598" s="21">
        <v>44116.166666666664</v>
      </c>
      <c r="BE598" s="7"/>
      <c r="BF598" s="7"/>
      <c r="BG598" s="22">
        <v>44116.0</v>
      </c>
      <c r="BH598" s="7"/>
      <c r="BI598" s="7" t="s">
        <v>7467</v>
      </c>
      <c r="BJ598" s="7"/>
      <c r="BK598" s="7" t="b">
        <v>0</v>
      </c>
      <c r="BL598" s="7" t="b">
        <v>0</v>
      </c>
      <c r="BM598" s="7"/>
      <c r="BN598" s="7" t="str">
        <f>IFERROR(__xludf.DUMMYFUNCTION(" IF( REGEXMATCH(C598 , ""[(].+[)]""),REGEXREPLACE( CONCATENATE(REGEXEXTRACT(C598 , ""[(].+[)]""),IF(REGEXMATCH(C598 , ""[(][Ll]['’][)]""),"""","" ""), REGEXEXTRACT(C598 ,""^(?:(?:[A-Za-zàäéèêîïöôûü0-9 ](?:[A-Za-zàäéèêîïöôûü'0-9 ]+)))"")) , ""[()]"", """")"&amp;",C598 )"),"Ti Breizh - La Crêperie du Tampon")</f>
        <v>Ti Breizh - La Crêperie du Tampon</v>
      </c>
      <c r="BO598" s="23"/>
      <c r="BP598" s="7"/>
      <c r="BQ598" s="7"/>
      <c r="BR598" s="7"/>
      <c r="BS598" s="7"/>
      <c r="BT598" s="7"/>
      <c r="BU598" s="7"/>
      <c r="BV598" s="7"/>
      <c r="BW598" s="7"/>
      <c r="BX598" s="7"/>
      <c r="BY598" s="7"/>
      <c r="BZ598" s="7"/>
      <c r="CA598" s="7"/>
      <c r="CB598" s="7"/>
    </row>
    <row r="599" ht="21.75" customHeight="1">
      <c r="A599" s="7">
        <v>947.0</v>
      </c>
      <c r="B599" s="7">
        <v>598.0</v>
      </c>
      <c r="C599" s="7" t="s">
        <v>7468</v>
      </c>
      <c r="D599" s="7" t="s">
        <v>7469</v>
      </c>
      <c r="E599" s="7"/>
      <c r="F599" s="7" t="s">
        <v>404</v>
      </c>
      <c r="G599" s="7" t="s">
        <v>343</v>
      </c>
      <c r="H599" s="7" t="s">
        <v>123</v>
      </c>
      <c r="I599" s="7" t="s">
        <v>7470</v>
      </c>
      <c r="J599" s="26" t="s">
        <v>7471</v>
      </c>
      <c r="K599" s="7" t="s">
        <v>58</v>
      </c>
      <c r="L599" s="7" t="s">
        <v>59</v>
      </c>
      <c r="M599" s="7" t="s">
        <v>545</v>
      </c>
      <c r="N599" s="7" t="s">
        <v>1674</v>
      </c>
      <c r="O599" s="7">
        <v>97480.0</v>
      </c>
      <c r="P599" s="7" t="s">
        <v>123</v>
      </c>
      <c r="Q599" s="7"/>
      <c r="R599" s="7" t="s">
        <v>7472</v>
      </c>
      <c r="S599" s="7" t="s">
        <v>7473</v>
      </c>
      <c r="T599" s="7" t="s">
        <v>439</v>
      </c>
      <c r="U599" s="7" t="s">
        <v>592</v>
      </c>
      <c r="V599" s="7"/>
      <c r="W599" s="7">
        <v>6.92279043E8</v>
      </c>
      <c r="X599" s="7"/>
      <c r="Y599" s="7"/>
      <c r="Z599" s="7" t="s">
        <v>7474</v>
      </c>
      <c r="AA599" s="7">
        <v>12.0</v>
      </c>
      <c r="AB599" s="7"/>
      <c r="AC599" s="7" t="s">
        <v>7475</v>
      </c>
      <c r="AD599" s="7" t="s">
        <v>7476</v>
      </c>
      <c r="AE599" s="7" t="s">
        <v>7477</v>
      </c>
      <c r="AF599" s="7"/>
      <c r="AG599" s="7"/>
      <c r="AH599" s="20">
        <v>39575.0</v>
      </c>
      <c r="AI599" s="7"/>
      <c r="AJ599" s="7" t="s">
        <v>7478</v>
      </c>
      <c r="AK599" s="7"/>
      <c r="AL599" s="7" t="s">
        <v>7479</v>
      </c>
      <c r="AM599" s="7" t="s">
        <v>7480</v>
      </c>
      <c r="AN599" s="20">
        <v>39575.0</v>
      </c>
      <c r="AO599" s="7">
        <v>97480.0</v>
      </c>
      <c r="AP599" s="7" t="s">
        <v>385</v>
      </c>
      <c r="AQ599" s="7"/>
      <c r="AR599" s="7"/>
      <c r="AS599" s="7"/>
      <c r="AT599" s="7"/>
      <c r="AU599" s="7">
        <v>3.0</v>
      </c>
      <c r="AV599" s="7" t="s">
        <v>7481</v>
      </c>
      <c r="AW599" s="7"/>
      <c r="AX599" s="7"/>
      <c r="AY599" s="7"/>
      <c r="AZ599" s="7"/>
      <c r="BA599" s="7"/>
      <c r="BB599" s="7"/>
      <c r="BC599" s="7" t="s">
        <v>366</v>
      </c>
      <c r="BD599" s="21">
        <v>44158.146527777775</v>
      </c>
      <c r="BE599" s="7"/>
      <c r="BF599" s="7"/>
      <c r="BG599" s="22">
        <v>44158.0</v>
      </c>
      <c r="BH599" s="7"/>
      <c r="BI599" s="7" t="s">
        <v>7482</v>
      </c>
      <c r="BJ599" s="7"/>
      <c r="BK599" s="7" t="b">
        <v>0</v>
      </c>
      <c r="BL599" s="7" t="b">
        <v>0</v>
      </c>
      <c r="BM599" s="7"/>
      <c r="BN599" s="7" t="str">
        <f>IFERROR(__xludf.DUMMYFUNCTION(" IF( REGEXMATCH(C599 , ""[(].+[)]""),REGEXREPLACE( CONCATENATE(REGEXEXTRACT(C599 , ""[(].+[)]""),IF(REGEXMATCH(C599 , ""[(][Ll]['’][)]""),"""","" ""), REGEXEXTRACT(C599 ,""^(?:(?:[A-Za-zàäéèêîïöôûü0-9 ](?:[A-Za-zàäéèêîïöôûü'0-9 ]+)))"")) , ""[()]"", """")"&amp;",C599 )"),"Ti Coin Charmant")</f>
        <v>Ti Coin Charmant</v>
      </c>
      <c r="BO599" s="23"/>
      <c r="BP599" s="7"/>
      <c r="BQ599" s="7"/>
      <c r="BR599" s="7"/>
      <c r="BS599" s="7"/>
      <c r="BT599" s="7"/>
      <c r="BU599" s="7"/>
      <c r="BV599" s="7"/>
      <c r="BW599" s="7"/>
      <c r="BX599" s="7"/>
      <c r="BY599" s="7"/>
      <c r="BZ599" s="7"/>
      <c r="CA599" s="7"/>
      <c r="CB599" s="7"/>
    </row>
    <row r="600" ht="21.75" customHeight="1">
      <c r="A600" s="7">
        <v>5125.0</v>
      </c>
      <c r="B600" s="7" t="s">
        <v>7483</v>
      </c>
      <c r="C600" s="7" t="s">
        <v>7484</v>
      </c>
      <c r="D600" s="7"/>
      <c r="E600" s="7"/>
      <c r="F600" s="7" t="s">
        <v>342</v>
      </c>
      <c r="G600" s="7" t="s">
        <v>343</v>
      </c>
      <c r="H600" s="7" t="s">
        <v>123</v>
      </c>
      <c r="I600" s="7" t="s">
        <v>7485</v>
      </c>
      <c r="J600" s="7"/>
      <c r="K600" s="7" t="s">
        <v>34</v>
      </c>
      <c r="L600" s="7" t="s">
        <v>622</v>
      </c>
      <c r="M600" s="7" t="s">
        <v>622</v>
      </c>
      <c r="N600" s="7" t="s">
        <v>664</v>
      </c>
      <c r="O600" s="7">
        <v>97480.0</v>
      </c>
      <c r="P600" s="7" t="s">
        <v>123</v>
      </c>
      <c r="Q600" s="7"/>
      <c r="R600" s="7" t="s">
        <v>3059</v>
      </c>
      <c r="S600" s="7"/>
      <c r="T600" s="7" t="s">
        <v>974</v>
      </c>
      <c r="U600" s="7" t="s">
        <v>424</v>
      </c>
      <c r="V600" s="7">
        <v>2.62870721E8</v>
      </c>
      <c r="W600" s="7">
        <v>6.92668534E8</v>
      </c>
      <c r="X600" s="7"/>
      <c r="Y600" s="7"/>
      <c r="Z600" s="7" t="s">
        <v>7486</v>
      </c>
      <c r="AA600" s="7">
        <v>60.0</v>
      </c>
      <c r="AB600" s="7"/>
      <c r="AC600" s="7" t="s">
        <v>7487</v>
      </c>
      <c r="AD600" s="7" t="s">
        <v>7488</v>
      </c>
      <c r="AE600" s="7" t="s">
        <v>7489</v>
      </c>
      <c r="AF600" s="7"/>
      <c r="AG600" s="7"/>
      <c r="AH600" s="20">
        <v>43850.0</v>
      </c>
      <c r="AI600" s="7"/>
      <c r="AJ600" s="7" t="s">
        <v>7490</v>
      </c>
      <c r="AK600" s="7">
        <v>8.2169937800021E13</v>
      </c>
      <c r="AL600" s="7" t="s">
        <v>7491</v>
      </c>
      <c r="AM600" s="7" t="s">
        <v>7492</v>
      </c>
      <c r="AN600" s="20">
        <v>43850.0</v>
      </c>
      <c r="AO600" s="7">
        <v>97480.0</v>
      </c>
      <c r="AP600" s="7" t="s">
        <v>385</v>
      </c>
      <c r="AQ600" s="7"/>
      <c r="AR600" s="7"/>
      <c r="AS600" s="7"/>
      <c r="AT600" s="7"/>
      <c r="AU600" s="7">
        <v>0.0</v>
      </c>
      <c r="AV600" s="7" t="s">
        <v>7493</v>
      </c>
      <c r="AW600" s="7"/>
      <c r="AX600" s="7"/>
      <c r="AY600" s="7"/>
      <c r="AZ600" s="7"/>
      <c r="BA600" s="7"/>
      <c r="BB600" s="7"/>
      <c r="BC600" s="7" t="s">
        <v>401</v>
      </c>
      <c r="BD600" s="21">
        <v>44117.52847222222</v>
      </c>
      <c r="BE600" s="7" t="s">
        <v>5911</v>
      </c>
      <c r="BF600" s="7"/>
      <c r="BG600" s="7"/>
      <c r="BH600" s="7">
        <v>8.21699378E8</v>
      </c>
      <c r="BI600" s="7" t="s">
        <v>7494</v>
      </c>
      <c r="BJ600" s="7"/>
      <c r="BK600" s="7" t="b">
        <v>0</v>
      </c>
      <c r="BL600" s="7" t="b">
        <v>0</v>
      </c>
      <c r="BM600" s="7"/>
      <c r="BN600" s="7" t="str">
        <f>IFERROR(__xludf.DUMMYFUNCTION(" IF( REGEXMATCH(C600 , ""[(].+[)]""),REGEXREPLACE( CONCATENATE(REGEXEXTRACT(C600 , ""[(].+[)]""),IF(REGEXMATCH(C600 , ""[(][Ll]['’][)]""),"""","" ""), REGEXEXTRACT(C600 ,""^(?:(?:[A-Za-zàäéèêîïöôûü0-9 ](?:[A-Za-zàäéèêîïöôûü'0-9 ]+)))"")) , ""[()]"", """")"&amp;",C600 )"),"Le Ti Comptoir ")</f>
        <v>Le Ti Comptoir </v>
      </c>
      <c r="BO600" s="25"/>
      <c r="BP600" s="7"/>
      <c r="BQ600" s="7"/>
      <c r="BR600" s="7"/>
      <c r="BS600" s="7"/>
      <c r="BT600" s="7"/>
      <c r="BU600" s="7"/>
      <c r="BV600" s="7"/>
      <c r="BW600" s="7"/>
      <c r="BX600" s="7"/>
      <c r="BY600" s="7"/>
      <c r="BZ600" s="7"/>
      <c r="CA600" s="7"/>
      <c r="CB600" s="7"/>
    </row>
    <row r="601" ht="21.75" customHeight="1">
      <c r="A601" s="7">
        <v>3650.0</v>
      </c>
      <c r="B601" s="7" t="s">
        <v>7495</v>
      </c>
      <c r="C601" s="7" t="s">
        <v>7496</v>
      </c>
      <c r="D601" s="7"/>
      <c r="E601" s="7"/>
      <c r="F601" s="7" t="s">
        <v>342</v>
      </c>
      <c r="G601" s="7" t="s">
        <v>343</v>
      </c>
      <c r="H601" s="7" t="s">
        <v>344</v>
      </c>
      <c r="I601" s="7" t="s">
        <v>7497</v>
      </c>
      <c r="J601" s="7"/>
      <c r="K601" s="7" t="s">
        <v>34</v>
      </c>
      <c r="L601" s="7" t="s">
        <v>622</v>
      </c>
      <c r="M601" s="7" t="s">
        <v>1347</v>
      </c>
      <c r="N601" s="7" t="s">
        <v>422</v>
      </c>
      <c r="O601" s="7">
        <v>97418.0</v>
      </c>
      <c r="P601" s="7" t="s">
        <v>348</v>
      </c>
      <c r="Q601" s="7" t="s">
        <v>349</v>
      </c>
      <c r="R601" s="7"/>
      <c r="S601" s="7" t="s">
        <v>3815</v>
      </c>
      <c r="T601" s="7" t="s">
        <v>377</v>
      </c>
      <c r="U601" s="7" t="s">
        <v>353</v>
      </c>
      <c r="V601" s="7">
        <v>2.6227517E8</v>
      </c>
      <c r="W601" s="7">
        <v>6.92411677E8</v>
      </c>
      <c r="X601" s="7"/>
      <c r="Y601" s="7"/>
      <c r="Z601" s="7"/>
      <c r="AA601" s="7">
        <v>20.0</v>
      </c>
      <c r="AB601" s="7"/>
      <c r="AC601" s="7" t="s">
        <v>7498</v>
      </c>
      <c r="AD601" s="7" t="s">
        <v>7499</v>
      </c>
      <c r="AE601" s="7"/>
      <c r="AF601" s="7"/>
      <c r="AG601" s="7"/>
      <c r="AH601" s="20">
        <v>41857.0</v>
      </c>
      <c r="AI601" s="7"/>
      <c r="AJ601" s="7" t="s">
        <v>7500</v>
      </c>
      <c r="AK601" s="7"/>
      <c r="AL601" s="7" t="s">
        <v>7501</v>
      </c>
      <c r="AM601" s="7" t="s">
        <v>7502</v>
      </c>
      <c r="AN601" s="20">
        <v>41857.0</v>
      </c>
      <c r="AO601" s="7">
        <v>97418.0</v>
      </c>
      <c r="AP601" s="7" t="s">
        <v>362</v>
      </c>
      <c r="AQ601" s="7"/>
      <c r="AR601" s="7"/>
      <c r="AS601" s="7"/>
      <c r="AT601" s="7"/>
      <c r="AU601" s="7">
        <v>0.0</v>
      </c>
      <c r="AV601" s="7" t="s">
        <v>7503</v>
      </c>
      <c r="AW601" s="7"/>
      <c r="AX601" s="7"/>
      <c r="AY601" s="7"/>
      <c r="AZ601" s="7"/>
      <c r="BA601" s="7"/>
      <c r="BB601" s="7"/>
      <c r="BC601" s="7" t="s">
        <v>401</v>
      </c>
      <c r="BD601" s="21">
        <v>44118.177083333336</v>
      </c>
      <c r="BE601" s="7" t="s">
        <v>1047</v>
      </c>
      <c r="BF601" s="7"/>
      <c r="BG601" s="7"/>
      <c r="BH601" s="7"/>
      <c r="BI601" s="7" t="s">
        <v>7504</v>
      </c>
      <c r="BJ601" s="7"/>
      <c r="BK601" s="7" t="b">
        <v>0</v>
      </c>
      <c r="BL601" s="7" t="b">
        <v>0</v>
      </c>
      <c r="BM601" s="7"/>
      <c r="BN601" s="7" t="str">
        <f>IFERROR(__xludf.DUMMYFUNCTION(" IF( REGEXMATCH(C601 , ""[(].+[)]""),REGEXREPLACE( CONCATENATE(REGEXEXTRACT(C601 , ""[(].+[)]""),IF(REGEXMATCH(C601 , ""[(][Ll]['’][)]""),"""","" ""), REGEXEXTRACT(C601 ,""^(?:(?:[A-Za-zàäéèêîïöôûü0-9 ](?:[A-Za-zàäéèêîïöôûü'0-9 ]+)))"")) , ""[()]"", """")"&amp;",C601 )"),"Ti kan")</f>
        <v>Ti kan</v>
      </c>
      <c r="BO601" s="25"/>
      <c r="BP601" s="7"/>
      <c r="BQ601" s="7"/>
      <c r="BR601" s="7"/>
      <c r="BS601" s="7"/>
      <c r="BT601" s="7"/>
      <c r="BU601" s="7"/>
      <c r="BV601" s="7"/>
      <c r="BW601" s="7"/>
      <c r="BX601" s="7"/>
      <c r="BY601" s="7"/>
      <c r="BZ601" s="7"/>
      <c r="CA601" s="7"/>
      <c r="CB601" s="7"/>
    </row>
    <row r="602" ht="21.75" customHeight="1">
      <c r="A602" s="7">
        <v>5142.0</v>
      </c>
      <c r="B602" s="7">
        <v>601.0</v>
      </c>
      <c r="C602" s="7" t="s">
        <v>7505</v>
      </c>
      <c r="D602" s="7"/>
      <c r="E602" s="7"/>
      <c r="F602" s="7" t="s">
        <v>404</v>
      </c>
      <c r="G602" s="7" t="s">
        <v>343</v>
      </c>
      <c r="H602" s="7" t="s">
        <v>123</v>
      </c>
      <c r="I602" s="7" t="s">
        <v>7506</v>
      </c>
      <c r="J602" s="7"/>
      <c r="K602" s="7" t="s">
        <v>58</v>
      </c>
      <c r="L602" s="7" t="s">
        <v>453</v>
      </c>
      <c r="M602" s="7" t="s">
        <v>454</v>
      </c>
      <c r="N602" s="7"/>
      <c r="O602" s="7">
        <v>97480.0</v>
      </c>
      <c r="P602" s="7" t="s">
        <v>123</v>
      </c>
      <c r="Q602" s="7"/>
      <c r="R602" s="7"/>
      <c r="S602" s="7"/>
      <c r="T602" s="7"/>
      <c r="U602" s="7"/>
      <c r="V602" s="7"/>
      <c r="W602" s="7">
        <v>6.92268661E8</v>
      </c>
      <c r="X602" s="7"/>
      <c r="Y602" s="7"/>
      <c r="Z602" s="7"/>
      <c r="AA602" s="7"/>
      <c r="AB602" s="7"/>
      <c r="AC602" s="7"/>
      <c r="AD602" s="7" t="s">
        <v>7507</v>
      </c>
      <c r="AE602" s="7"/>
      <c r="AF602" s="7"/>
      <c r="AG602" s="7"/>
      <c r="AH602" s="7"/>
      <c r="AI602" s="7"/>
      <c r="AJ602" s="7" t="s">
        <v>7505</v>
      </c>
      <c r="AK602" s="7"/>
      <c r="AL602" s="7" t="s">
        <v>7508</v>
      </c>
      <c r="AM602" s="7"/>
      <c r="AN602" s="20">
        <v>43859.0</v>
      </c>
      <c r="AO602" s="7">
        <v>97480.0</v>
      </c>
      <c r="AP602" s="7" t="s">
        <v>385</v>
      </c>
      <c r="AQ602" s="7"/>
      <c r="AR602" s="7"/>
      <c r="AS602" s="7"/>
      <c r="AT602" s="7"/>
      <c r="AU602" s="7">
        <v>1.0</v>
      </c>
      <c r="AV602" s="7" t="s">
        <v>7509</v>
      </c>
      <c r="AW602" s="7"/>
      <c r="AX602" s="7"/>
      <c r="AY602" s="7"/>
      <c r="AZ602" s="7"/>
      <c r="BA602" s="7"/>
      <c r="BB602" s="7"/>
      <c r="BC602" s="7" t="s">
        <v>366</v>
      </c>
      <c r="BD602" s="21">
        <v>44158.129166666666</v>
      </c>
      <c r="BE602" s="7"/>
      <c r="BF602" s="7"/>
      <c r="BG602" s="22">
        <v>44158.0</v>
      </c>
      <c r="BH602" s="7"/>
      <c r="BI602" s="7" t="s">
        <v>7510</v>
      </c>
      <c r="BJ602" s="7"/>
      <c r="BK602" s="7" t="b">
        <v>0</v>
      </c>
      <c r="BL602" s="7" t="b">
        <v>0</v>
      </c>
      <c r="BM602" s="7"/>
      <c r="BN602" s="7" t="str">
        <f>IFERROR(__xludf.DUMMYFUNCTION(" IF( REGEXMATCH(C602 , ""[(].+[)]""),REGEXREPLACE( CONCATENATE(REGEXEXTRACT(C602 , ""[(].+[)]""),IF(REGEXMATCH(C602 , ""[(][Ll]['’][)]""),"""","" ""), REGEXEXTRACT(C602 ,""^(?:(?:[A-Za-zàäéèêîïöôûü0-9 ](?:[A-Za-zàäéèêîïöôûü'0-9 ]+)))"")) , ""[()]"", """")"&amp;",C602 )"),"Ti Kaz Chanu")</f>
        <v>Ti Kaz Chanu</v>
      </c>
      <c r="BO602" s="23"/>
      <c r="BP602" s="7"/>
      <c r="BQ602" s="7"/>
      <c r="BR602" s="7"/>
      <c r="BS602" s="7"/>
      <c r="BT602" s="7"/>
      <c r="BU602" s="7"/>
      <c r="BV602" s="7"/>
      <c r="BW602" s="7"/>
      <c r="BX602" s="7"/>
      <c r="BY602" s="7"/>
      <c r="BZ602" s="7"/>
      <c r="CA602" s="7"/>
      <c r="CB602" s="7"/>
    </row>
    <row r="603" ht="21.75" customHeight="1">
      <c r="A603" s="7">
        <v>4539.0</v>
      </c>
      <c r="B603" s="7" t="s">
        <v>7511</v>
      </c>
      <c r="C603" s="7" t="s">
        <v>7512</v>
      </c>
      <c r="D603" s="7"/>
      <c r="E603" s="7"/>
      <c r="F603" s="7" t="s">
        <v>342</v>
      </c>
      <c r="G603" s="7" t="s">
        <v>343</v>
      </c>
      <c r="H603" s="7" t="s">
        <v>123</v>
      </c>
      <c r="I603" s="7" t="s">
        <v>7513</v>
      </c>
      <c r="J603" s="7"/>
      <c r="K603" s="7" t="s">
        <v>58</v>
      </c>
      <c r="L603" s="7" t="s">
        <v>59</v>
      </c>
      <c r="M603" s="7" t="s">
        <v>346</v>
      </c>
      <c r="N603" s="7" t="s">
        <v>407</v>
      </c>
      <c r="O603" s="7">
        <v>97480.0</v>
      </c>
      <c r="P603" s="7" t="s">
        <v>123</v>
      </c>
      <c r="Q603" s="7" t="s">
        <v>946</v>
      </c>
      <c r="R603" s="7" t="s">
        <v>7514</v>
      </c>
      <c r="S603" s="7" t="s">
        <v>7515</v>
      </c>
      <c r="T603" s="7" t="s">
        <v>1863</v>
      </c>
      <c r="U603" s="7" t="s">
        <v>424</v>
      </c>
      <c r="V603" s="7"/>
      <c r="W603" s="7">
        <v>6.93991335E8</v>
      </c>
      <c r="X603" s="7"/>
      <c r="Y603" s="7"/>
      <c r="Z603" s="7" t="s">
        <v>7516</v>
      </c>
      <c r="AA603" s="7">
        <v>5.0</v>
      </c>
      <c r="AB603" s="7" t="s">
        <v>395</v>
      </c>
      <c r="AC603" s="7" t="s">
        <v>7517</v>
      </c>
      <c r="AD603" s="7" t="s">
        <v>7518</v>
      </c>
      <c r="AE603" s="7" t="s">
        <v>7519</v>
      </c>
      <c r="AF603" s="7"/>
      <c r="AG603" s="7"/>
      <c r="AH603" s="20">
        <v>43294.0</v>
      </c>
      <c r="AI603" s="7"/>
      <c r="AJ603" s="7" t="s">
        <v>7520</v>
      </c>
      <c r="AK603" s="7">
        <v>8.390090240001E13</v>
      </c>
      <c r="AL603" s="7" t="s">
        <v>7521</v>
      </c>
      <c r="AM603" s="7" t="s">
        <v>7522</v>
      </c>
      <c r="AN603" s="20">
        <v>43294.0</v>
      </c>
      <c r="AO603" s="7">
        <v>97480.0</v>
      </c>
      <c r="AP603" s="7" t="s">
        <v>385</v>
      </c>
      <c r="AQ603" s="7"/>
      <c r="AR603" s="7"/>
      <c r="AS603" s="7"/>
      <c r="AT603" s="7"/>
      <c r="AU603" s="7">
        <v>1.0</v>
      </c>
      <c r="AV603" s="7" t="s">
        <v>7523</v>
      </c>
      <c r="AW603" s="7"/>
      <c r="AX603" s="7"/>
      <c r="AY603" s="7"/>
      <c r="AZ603" s="7" t="s">
        <v>7524</v>
      </c>
      <c r="BA603" s="7"/>
      <c r="BB603" s="7"/>
      <c r="BC603" s="7" t="s">
        <v>401</v>
      </c>
      <c r="BD603" s="21">
        <v>44154.38958333333</v>
      </c>
      <c r="BE603" s="7" t="s">
        <v>4897</v>
      </c>
      <c r="BF603" s="7"/>
      <c r="BG603" s="7"/>
      <c r="BH603" s="7">
        <v>8.39009024E8</v>
      </c>
      <c r="BI603" s="7" t="s">
        <v>7525</v>
      </c>
      <c r="BJ603" s="7"/>
      <c r="BK603" s="7" t="b">
        <v>0</v>
      </c>
      <c r="BL603" s="7" t="b">
        <v>0</v>
      </c>
      <c r="BM603" s="7"/>
      <c r="BN603" s="7" t="str">
        <f>IFERROR(__xludf.DUMMYFUNCTION(" IF( REGEXMATCH(C603 , ""[(].+[)]""),REGEXREPLACE( CONCATENATE(REGEXEXTRACT(C603 , ""[(].+[)]""),IF(REGEXMATCH(C603 , ""[(][Ll]['’][)]""),"""","" ""), REGEXEXTRACT(C603 ,""^(?:(?:[A-Za-zàäéèêîïöôûü0-9 ](?:[A-Za-zàäéèêîïöôûü'0-9 ]+)))"")) , ""[()]"", """")"&amp;",C603 )"),"Ti Kaz l'Endormi")</f>
        <v>Ti Kaz l'Endormi</v>
      </c>
      <c r="BO603" s="25"/>
      <c r="BP603" s="7"/>
      <c r="BQ603" s="7"/>
      <c r="BR603" s="7"/>
      <c r="BS603" s="7"/>
      <c r="BT603" s="7"/>
      <c r="BU603" s="7"/>
      <c r="BV603" s="7"/>
      <c r="BW603" s="7"/>
      <c r="BX603" s="7"/>
      <c r="BY603" s="7"/>
      <c r="BZ603" s="7"/>
      <c r="CA603" s="7"/>
      <c r="CB603" s="7"/>
    </row>
    <row r="604" ht="21.75" customHeight="1">
      <c r="A604" s="7">
        <v>4483.0</v>
      </c>
      <c r="B604" s="7" t="s">
        <v>7526</v>
      </c>
      <c r="C604" s="7" t="s">
        <v>7527</v>
      </c>
      <c r="D604" s="7"/>
      <c r="E604" s="7"/>
      <c r="F604" s="7" t="s">
        <v>342</v>
      </c>
      <c r="G604" s="7" t="s">
        <v>343</v>
      </c>
      <c r="H604" s="7" t="s">
        <v>344</v>
      </c>
      <c r="I604" s="7" t="s">
        <v>7528</v>
      </c>
      <c r="J604" s="7"/>
      <c r="K604" s="7" t="s">
        <v>58</v>
      </c>
      <c r="L604" s="7" t="s">
        <v>59</v>
      </c>
      <c r="M604" s="7" t="s">
        <v>346</v>
      </c>
      <c r="N604" s="7" t="s">
        <v>455</v>
      </c>
      <c r="O604" s="7">
        <v>97418.0</v>
      </c>
      <c r="P604" s="7" t="s">
        <v>348</v>
      </c>
      <c r="Q604" s="7" t="s">
        <v>349</v>
      </c>
      <c r="R604" s="7" t="s">
        <v>5040</v>
      </c>
      <c r="S604" s="7"/>
      <c r="T604" s="7" t="s">
        <v>377</v>
      </c>
      <c r="U604" s="7" t="s">
        <v>378</v>
      </c>
      <c r="V604" s="7"/>
      <c r="W604" s="7">
        <v>6.92607912E8</v>
      </c>
      <c r="X604" s="7"/>
      <c r="Y604" s="7"/>
      <c r="Z604" s="7" t="s">
        <v>5041</v>
      </c>
      <c r="AA604" s="7">
        <v>4.0</v>
      </c>
      <c r="AB604" s="7"/>
      <c r="AC604" s="7" t="s">
        <v>7529</v>
      </c>
      <c r="AD604" s="7" t="s">
        <v>7530</v>
      </c>
      <c r="AE604" s="7" t="s">
        <v>7531</v>
      </c>
      <c r="AF604" s="7"/>
      <c r="AG604" s="7"/>
      <c r="AH604" s="20">
        <v>43172.0</v>
      </c>
      <c r="AI604" s="7"/>
      <c r="AJ604" s="7" t="s">
        <v>5045</v>
      </c>
      <c r="AK604" s="7">
        <v>8.2976428100012E13</v>
      </c>
      <c r="AL604" s="7" t="s">
        <v>5046</v>
      </c>
      <c r="AM604" s="7" t="s">
        <v>7532</v>
      </c>
      <c r="AN604" s="20">
        <v>43172.0</v>
      </c>
      <c r="AO604" s="7">
        <v>97430.0</v>
      </c>
      <c r="AP604" s="7" t="s">
        <v>494</v>
      </c>
      <c r="AQ604" s="7"/>
      <c r="AR604" s="7"/>
      <c r="AS604" s="7"/>
      <c r="AT604" s="7"/>
      <c r="AU604" s="7">
        <v>1.0</v>
      </c>
      <c r="AV604" s="7" t="s">
        <v>7533</v>
      </c>
      <c r="AW604" s="7"/>
      <c r="AX604" s="7"/>
      <c r="AY604" s="7"/>
      <c r="AZ604" s="7" t="s">
        <v>7534</v>
      </c>
      <c r="BA604" s="7"/>
      <c r="BB604" s="7"/>
      <c r="BC604" s="7" t="s">
        <v>401</v>
      </c>
      <c r="BD604" s="21">
        <v>44068.197222222225</v>
      </c>
      <c r="BE604" s="7" t="s">
        <v>7535</v>
      </c>
      <c r="BF604" s="7"/>
      <c r="BG604" s="7"/>
      <c r="BH604" s="7">
        <v>8.29764281E8</v>
      </c>
      <c r="BI604" s="7" t="s">
        <v>7536</v>
      </c>
      <c r="BJ604" s="7"/>
      <c r="BK604" s="7" t="b">
        <v>0</v>
      </c>
      <c r="BL604" s="7" t="b">
        <v>0</v>
      </c>
      <c r="BM604" s="7"/>
      <c r="BN604" s="7" t="str">
        <f>IFERROR(__xludf.DUMMYFUNCTION(" IF( REGEXMATCH(C604 , ""[(].+[)]""),REGEXREPLACE( CONCATENATE(REGEXEXTRACT(C604 , ""[(].+[)]""),IF(REGEXMATCH(C604 , ""[(][Ll]['’][)]""),"""","" ""), REGEXEXTRACT(C604 ,""^(?:(?:[A-Za-zàäéèêîïöôûü0-9 ](?:[A-Za-zàäéèêîïöôûü'0-9 ]+)))"")) , ""[()]"", """")"&amp;",C604 )"),"Ti Kaz Papang Lé O La Réunion")</f>
        <v>Ti Kaz Papang Lé O La Réunion</v>
      </c>
      <c r="BO604" s="25"/>
      <c r="BP604" s="7"/>
      <c r="BQ604" s="7"/>
      <c r="BR604" s="7"/>
      <c r="BS604" s="7"/>
      <c r="BT604" s="7"/>
      <c r="BU604" s="7"/>
      <c r="BV604" s="7"/>
      <c r="BW604" s="7"/>
      <c r="BX604" s="7"/>
      <c r="BY604" s="7"/>
      <c r="BZ604" s="7"/>
      <c r="CA604" s="7"/>
      <c r="CB604" s="7"/>
    </row>
    <row r="605" ht="21.75" customHeight="1">
      <c r="A605" s="7">
        <v>4737.0</v>
      </c>
      <c r="B605" s="7" t="s">
        <v>7537</v>
      </c>
      <c r="C605" s="7" t="s">
        <v>7538</v>
      </c>
      <c r="D605" s="7"/>
      <c r="E605" s="7"/>
      <c r="F605" s="7" t="s">
        <v>342</v>
      </c>
      <c r="G605" s="7" t="s">
        <v>343</v>
      </c>
      <c r="H605" s="7" t="s">
        <v>123</v>
      </c>
      <c r="I605" s="7" t="s">
        <v>7539</v>
      </c>
      <c r="J605" s="7"/>
      <c r="K605" s="7" t="s">
        <v>34</v>
      </c>
      <c r="L605" s="7" t="s">
        <v>622</v>
      </c>
      <c r="M605" s="7" t="s">
        <v>2405</v>
      </c>
      <c r="N605" s="7"/>
      <c r="O605" s="7">
        <v>97480.0</v>
      </c>
      <c r="P605" s="7" t="s">
        <v>123</v>
      </c>
      <c r="Q605" s="7"/>
      <c r="R605" s="7"/>
      <c r="S605" s="7"/>
      <c r="T605" s="7"/>
      <c r="U605" s="7" t="s">
        <v>378</v>
      </c>
      <c r="V605" s="7"/>
      <c r="W605" s="7">
        <v>6.92284511E8</v>
      </c>
      <c r="X605" s="7"/>
      <c r="Y605" s="7"/>
      <c r="Z605" s="7"/>
      <c r="AA605" s="7"/>
      <c r="AB605" s="7"/>
      <c r="AC605" s="7"/>
      <c r="AD605" s="7" t="s">
        <v>7540</v>
      </c>
      <c r="AE605" s="7"/>
      <c r="AF605" s="7"/>
      <c r="AG605" s="7"/>
      <c r="AH605" s="20">
        <v>43426.0</v>
      </c>
      <c r="AI605" s="7"/>
      <c r="AJ605" s="7" t="s">
        <v>7538</v>
      </c>
      <c r="AK605" s="7">
        <v>4.8220933500025E13</v>
      </c>
      <c r="AL605" s="7" t="s">
        <v>7541</v>
      </c>
      <c r="AM605" s="7" t="s">
        <v>7542</v>
      </c>
      <c r="AN605" s="20">
        <v>43426.0</v>
      </c>
      <c r="AO605" s="7">
        <v>97480.0</v>
      </c>
      <c r="AP605" s="7" t="s">
        <v>385</v>
      </c>
      <c r="AQ605" s="7"/>
      <c r="AR605" s="7"/>
      <c r="AS605" s="7"/>
      <c r="AT605" s="7"/>
      <c r="AU605" s="7">
        <v>0.0</v>
      </c>
      <c r="AV605" s="7" t="s">
        <v>7543</v>
      </c>
      <c r="AW605" s="7"/>
      <c r="AX605" s="7"/>
      <c r="AY605" s="7"/>
      <c r="AZ605" s="7"/>
      <c r="BA605" s="7"/>
      <c r="BB605" s="7"/>
      <c r="BC605" s="7" t="s">
        <v>401</v>
      </c>
      <c r="BD605" s="7"/>
      <c r="BE605" s="7" t="s">
        <v>312</v>
      </c>
      <c r="BF605" s="7"/>
      <c r="BG605" s="7"/>
      <c r="BH605" s="7">
        <v>4.82209335E8</v>
      </c>
      <c r="BI605" s="7" t="s">
        <v>7544</v>
      </c>
      <c r="BJ605" s="7"/>
      <c r="BK605" s="7" t="b">
        <v>0</v>
      </c>
      <c r="BL605" s="7" t="b">
        <v>0</v>
      </c>
      <c r="BM605" s="7"/>
      <c r="BN605" s="7" t="str">
        <f>IFERROR(__xludf.DUMMYFUNCTION(" IF( REGEXMATCH(C605 , ""[(].+[)]""),REGEXREPLACE( CONCATENATE(REGEXEXTRACT(C605 , ""[(].+[)]""),IF(REGEXMATCH(C605 , ""[(][Ll]['’][)]""),"""","" ""), REGEXEXTRACT(C605 ,""^(?:(?:[A-Za-zàäéèêîïöôûü0-9 ](?:[A-Za-zàäéèêîïöôûü'0-9 ]+)))"")) , ""[()]"", """")"&amp;",C605 )"),"Ti Pany")</f>
        <v>Ti Pany</v>
      </c>
      <c r="BO605" s="25"/>
      <c r="BP605" s="7"/>
      <c r="BQ605" s="7"/>
      <c r="BR605" s="7"/>
      <c r="BS605" s="7"/>
      <c r="BT605" s="7"/>
      <c r="BU605" s="7"/>
      <c r="BV605" s="7"/>
      <c r="BW605" s="7"/>
      <c r="BX605" s="7"/>
      <c r="BY605" s="7"/>
      <c r="BZ605" s="7"/>
      <c r="CA605" s="7"/>
      <c r="CB605" s="7"/>
    </row>
    <row r="606" ht="21.75" customHeight="1">
      <c r="A606" s="7">
        <v>2848.0</v>
      </c>
      <c r="B606" s="7" t="s">
        <v>7545</v>
      </c>
      <c r="C606" s="7" t="s">
        <v>7546</v>
      </c>
      <c r="D606" s="7"/>
      <c r="E606" s="7"/>
      <c r="F606" s="7" t="s">
        <v>342</v>
      </c>
      <c r="G606" s="7" t="s">
        <v>343</v>
      </c>
      <c r="H606" s="7" t="s">
        <v>33</v>
      </c>
      <c r="I606" s="7" t="s">
        <v>7547</v>
      </c>
      <c r="J606" s="7"/>
      <c r="K606" s="6" t="s">
        <v>469</v>
      </c>
      <c r="L606" s="7" t="s">
        <v>1405</v>
      </c>
      <c r="M606" s="7" t="s">
        <v>1406</v>
      </c>
      <c r="N606" s="7" t="s">
        <v>455</v>
      </c>
      <c r="O606" s="7">
        <v>97442.0</v>
      </c>
      <c r="P606" s="7" t="s">
        <v>33</v>
      </c>
      <c r="Q606" s="7" t="s">
        <v>7105</v>
      </c>
      <c r="R606" s="7"/>
      <c r="S606" s="7"/>
      <c r="T606" s="7" t="s">
        <v>4227</v>
      </c>
      <c r="U606" s="7" t="s">
        <v>353</v>
      </c>
      <c r="V606" s="7"/>
      <c r="W606" s="7">
        <v>6.92647767E8</v>
      </c>
      <c r="X606" s="7"/>
      <c r="Y606" s="7"/>
      <c r="Z606" s="7" t="s">
        <v>7548</v>
      </c>
      <c r="AA606" s="7"/>
      <c r="AB606" s="7"/>
      <c r="AC606" s="7"/>
      <c r="AD606" s="7" t="s">
        <v>7549</v>
      </c>
      <c r="AE606" s="7" t="s">
        <v>7550</v>
      </c>
      <c r="AF606" s="7"/>
      <c r="AG606" s="7"/>
      <c r="AH606" s="20">
        <v>43739.0</v>
      </c>
      <c r="AI606" s="7"/>
      <c r="AJ606" s="7" t="s">
        <v>7551</v>
      </c>
      <c r="AK606" s="7">
        <v>4.9111312200031E13</v>
      </c>
      <c r="AL606" s="7" t="s">
        <v>7552</v>
      </c>
      <c r="AM606" s="7" t="s">
        <v>7553</v>
      </c>
      <c r="AN606" s="20">
        <v>43739.0</v>
      </c>
      <c r="AO606" s="7">
        <v>97442.0</v>
      </c>
      <c r="AP606" s="7" t="s">
        <v>884</v>
      </c>
      <c r="AQ606" s="7"/>
      <c r="AR606" s="7"/>
      <c r="AS606" s="7"/>
      <c r="AT606" s="7"/>
      <c r="AU606" s="7">
        <v>0.0</v>
      </c>
      <c r="AV606" s="7" t="s">
        <v>7554</v>
      </c>
      <c r="AW606" s="7"/>
      <c r="AX606" s="7"/>
      <c r="AY606" s="7"/>
      <c r="AZ606" s="7"/>
      <c r="BA606" s="7"/>
      <c r="BB606" s="7"/>
      <c r="BC606" s="7" t="s">
        <v>401</v>
      </c>
      <c r="BD606" s="21">
        <v>44169.11041666667</v>
      </c>
      <c r="BE606" s="7" t="s">
        <v>5685</v>
      </c>
      <c r="BF606" s="7"/>
      <c r="BG606" s="7"/>
      <c r="BH606" s="7">
        <v>4.91113122E8</v>
      </c>
      <c r="BI606" s="7" t="s">
        <v>7555</v>
      </c>
      <c r="BJ606" s="7"/>
      <c r="BK606" s="7" t="b">
        <v>0</v>
      </c>
      <c r="BL606" s="7" t="b">
        <v>0</v>
      </c>
      <c r="BM606" s="7"/>
      <c r="BN606" s="7" t="str">
        <f>IFERROR(__xludf.DUMMYFUNCTION(" IF( REGEXMATCH(C606 , ""[(].+[)]""),REGEXREPLACE( CONCATENATE(REGEXEXTRACT(C606 , ""[(].+[)]""),IF(REGEXMATCH(C606 , ""[(][Ll]['’][)]""),"""","" ""), REGEXEXTRACT(C606 ,""^(?:(?:[A-Za-zàäéèêîïöôûü0-9 ](?:[A-Za-zàäéèêîïöôûü'0-9 ]+)))"")) , ""[()]"", """")"&amp;",C606 )"),"Ti Po Péi")</f>
        <v>Ti Po Péi</v>
      </c>
      <c r="BO606" s="25"/>
      <c r="BP606" s="7"/>
      <c r="BQ606" s="7"/>
      <c r="BR606" s="7"/>
      <c r="BS606" s="7"/>
      <c r="BT606" s="7"/>
      <c r="BU606" s="7"/>
      <c r="BV606" s="7"/>
      <c r="BW606" s="7"/>
      <c r="BX606" s="7"/>
      <c r="BY606" s="7"/>
      <c r="BZ606" s="7"/>
      <c r="CA606" s="7"/>
      <c r="CB606" s="7"/>
    </row>
    <row r="607" ht="21.75" customHeight="1">
      <c r="A607" s="7">
        <v>4721.0</v>
      </c>
      <c r="B607" s="7" t="s">
        <v>7556</v>
      </c>
      <c r="C607" s="7" t="s">
        <v>7557</v>
      </c>
      <c r="D607" s="7"/>
      <c r="E607" s="7"/>
      <c r="F607" s="7" t="s">
        <v>342</v>
      </c>
      <c r="G607" s="7" t="s">
        <v>343</v>
      </c>
      <c r="H607" s="7" t="s">
        <v>33</v>
      </c>
      <c r="I607" s="7" t="s">
        <v>7558</v>
      </c>
      <c r="J607" s="7"/>
      <c r="K607" s="7" t="s">
        <v>34</v>
      </c>
      <c r="L607" s="7" t="s">
        <v>622</v>
      </c>
      <c r="M607" s="7" t="s">
        <v>1347</v>
      </c>
      <c r="N607" s="7" t="s">
        <v>375</v>
      </c>
      <c r="O607" s="7">
        <v>97442.0</v>
      </c>
      <c r="P607" s="7" t="s">
        <v>33</v>
      </c>
      <c r="Q607" s="7"/>
      <c r="R607" s="7"/>
      <c r="S607" s="7"/>
      <c r="T607" s="7" t="s">
        <v>2390</v>
      </c>
      <c r="U607" s="7" t="s">
        <v>378</v>
      </c>
      <c r="V607" s="7">
        <v>2.62978106E8</v>
      </c>
      <c r="W607" s="7">
        <v>6.92922024E8</v>
      </c>
      <c r="X607" s="7"/>
      <c r="Y607" s="7"/>
      <c r="Z607" s="7"/>
      <c r="AA607" s="7">
        <v>30.0</v>
      </c>
      <c r="AB607" s="7"/>
      <c r="AC607" s="7" t="s">
        <v>7559</v>
      </c>
      <c r="AD607" s="7" t="s">
        <v>7560</v>
      </c>
      <c r="AE607" s="7"/>
      <c r="AF607" s="7"/>
      <c r="AG607" s="7"/>
      <c r="AH607" s="20">
        <v>43423.0</v>
      </c>
      <c r="AI607" s="7"/>
      <c r="AJ607" s="7" t="s">
        <v>7557</v>
      </c>
      <c r="AK607" s="7">
        <v>8.1243332400017E13</v>
      </c>
      <c r="AL607" s="7" t="s">
        <v>7561</v>
      </c>
      <c r="AM607" s="7" t="s">
        <v>7562</v>
      </c>
      <c r="AN607" s="20">
        <v>43423.0</v>
      </c>
      <c r="AO607" s="7">
        <v>97442.0</v>
      </c>
      <c r="AP607" s="7" t="s">
        <v>884</v>
      </c>
      <c r="AQ607" s="7"/>
      <c r="AR607" s="7"/>
      <c r="AS607" s="7"/>
      <c r="AT607" s="7"/>
      <c r="AU607" s="7">
        <v>0.0</v>
      </c>
      <c r="AV607" s="7" t="s">
        <v>7563</v>
      </c>
      <c r="AW607" s="7"/>
      <c r="AX607" s="7"/>
      <c r="AY607" s="7"/>
      <c r="AZ607" s="7"/>
      <c r="BA607" s="7"/>
      <c r="BB607" s="7"/>
      <c r="BC607" s="7" t="s">
        <v>401</v>
      </c>
      <c r="BD607" s="7"/>
      <c r="BE607" s="7" t="s">
        <v>7564</v>
      </c>
      <c r="BF607" s="7"/>
      <c r="BG607" s="7"/>
      <c r="BH607" s="7">
        <v>8.12433324E8</v>
      </c>
      <c r="BI607" s="7" t="s">
        <v>5371</v>
      </c>
      <c r="BJ607" s="7"/>
      <c r="BK607" s="7" t="b">
        <v>0</v>
      </c>
      <c r="BL607" s="7" t="b">
        <v>0</v>
      </c>
      <c r="BM607" s="7"/>
      <c r="BN607" s="7" t="str">
        <f>IFERROR(__xludf.DUMMYFUNCTION(" IF( REGEXMATCH(C607 , ""[(].+[)]""),REGEXREPLACE( CONCATENATE(REGEXEXTRACT(C607 , ""[(].+[)]""),IF(REGEXMATCH(C607 , ""[(][Ll]['’][)]""),"""","" ""), REGEXEXTRACT(C607 ,""^(?:(?:[A-Za-zàäéèêîïöôûü0-9 ](?:[A-Za-zàäéèêîïöôûü'0-9 ]+)))"")) , ""[()]"", """")"&amp;",C607 )"),"Le Ti Vacoa ")</f>
        <v>Le Ti Vacoa </v>
      </c>
      <c r="BO607" s="25"/>
      <c r="BP607" s="7"/>
      <c r="BQ607" s="7"/>
      <c r="BR607" s="7"/>
      <c r="BS607" s="7"/>
      <c r="BT607" s="7"/>
      <c r="BU607" s="7"/>
      <c r="BV607" s="7"/>
      <c r="BW607" s="7"/>
      <c r="BX607" s="7"/>
      <c r="BY607" s="7"/>
      <c r="BZ607" s="7"/>
      <c r="CA607" s="7"/>
      <c r="CB607" s="7"/>
    </row>
    <row r="608" ht="21.75" customHeight="1">
      <c r="A608" s="7">
        <v>3008.0</v>
      </c>
      <c r="B608" s="7" t="s">
        <v>7565</v>
      </c>
      <c r="C608" s="7" t="s">
        <v>7566</v>
      </c>
      <c r="D608" s="7"/>
      <c r="E608" s="7"/>
      <c r="F608" s="7" t="s">
        <v>342</v>
      </c>
      <c r="G608" s="7" t="s">
        <v>343</v>
      </c>
      <c r="H608" s="7" t="s">
        <v>344</v>
      </c>
      <c r="I608" s="7" t="s">
        <v>7567</v>
      </c>
      <c r="J608" s="7"/>
      <c r="K608" s="7" t="s">
        <v>34</v>
      </c>
      <c r="L608" s="7" t="s">
        <v>622</v>
      </c>
      <c r="M608" s="7" t="s">
        <v>622</v>
      </c>
      <c r="N608" s="7" t="s">
        <v>455</v>
      </c>
      <c r="O608" s="7">
        <v>97418.0</v>
      </c>
      <c r="P608" s="7" t="s">
        <v>348</v>
      </c>
      <c r="Q608" s="7" t="s">
        <v>570</v>
      </c>
      <c r="R608" s="7" t="s">
        <v>3855</v>
      </c>
      <c r="S608" s="7"/>
      <c r="T608" s="7" t="s">
        <v>963</v>
      </c>
      <c r="U608" s="7" t="s">
        <v>378</v>
      </c>
      <c r="V608" s="7">
        <v>2.62439042E8</v>
      </c>
      <c r="W608" s="7">
        <v>6.92340654E8</v>
      </c>
      <c r="X608" s="7"/>
      <c r="Y608" s="7"/>
      <c r="Z608" s="7"/>
      <c r="AA608" s="7">
        <v>60.0</v>
      </c>
      <c r="AB608" s="7"/>
      <c r="AC608" s="7"/>
      <c r="AD608" s="7" t="s">
        <v>7568</v>
      </c>
      <c r="AE608" s="7" t="s">
        <v>7569</v>
      </c>
      <c r="AF608" s="7"/>
      <c r="AG608" s="7"/>
      <c r="AH608" s="20">
        <v>43739.0</v>
      </c>
      <c r="AI608" s="7"/>
      <c r="AJ608" s="7" t="s">
        <v>7566</v>
      </c>
      <c r="AK608" s="7"/>
      <c r="AL608" s="7" t="s">
        <v>7570</v>
      </c>
      <c r="AM608" s="7" t="s">
        <v>7571</v>
      </c>
      <c r="AN608" s="20">
        <v>43739.0</v>
      </c>
      <c r="AO608" s="7">
        <v>97418.0</v>
      </c>
      <c r="AP608" s="7" t="s">
        <v>362</v>
      </c>
      <c r="AQ608" s="7"/>
      <c r="AR608" s="7"/>
      <c r="AS608" s="7"/>
      <c r="AT608" s="7"/>
      <c r="AU608" s="7">
        <v>0.0</v>
      </c>
      <c r="AV608" s="7" t="s">
        <v>7572</v>
      </c>
      <c r="AW608" s="7"/>
      <c r="AX608" s="7"/>
      <c r="AY608" s="7"/>
      <c r="AZ608" s="7"/>
      <c r="BA608" s="7"/>
      <c r="BB608" s="7"/>
      <c r="BC608" s="7" t="s">
        <v>401</v>
      </c>
      <c r="BD608" s="7"/>
      <c r="BE608" s="7" t="s">
        <v>1011</v>
      </c>
      <c r="BF608" s="7"/>
      <c r="BG608" s="7"/>
      <c r="BH608" s="7"/>
      <c r="BI608" s="7" t="s">
        <v>7573</v>
      </c>
      <c r="BJ608" s="7"/>
      <c r="BK608" s="7" t="b">
        <v>0</v>
      </c>
      <c r="BL608" s="7" t="b">
        <v>0</v>
      </c>
      <c r="BM608" s="7"/>
      <c r="BN608" s="7" t="str">
        <f>IFERROR(__xludf.DUMMYFUNCTION(" IF( REGEXMATCH(C608 , ""[(].+[)]""),REGEXREPLACE( CONCATENATE(REGEXEXTRACT(C608 , ""[(].+[)]""),IF(REGEXMATCH(C608 , ""[(][Ll]['’][)]""),"""","" ""), REGEXEXTRACT(C608 ,""^(?:(?:[A-Za-zàäéèêîïöôûü0-9 ](?:[A-Za-zàäéèêîïöôûü'0-9 ]+)))"")) , ""[()]"", """")"&amp;",C608 )"),"Le Ti' Resto Lontan ")</f>
        <v>Le Ti' Resto Lontan </v>
      </c>
      <c r="BO608" s="25"/>
      <c r="BP608" s="7"/>
      <c r="BQ608" s="7"/>
      <c r="BR608" s="7"/>
      <c r="BS608" s="7"/>
      <c r="BT608" s="7"/>
      <c r="BU608" s="7"/>
      <c r="BV608" s="7"/>
      <c r="BW608" s="7"/>
      <c r="BX608" s="7"/>
      <c r="BY608" s="7"/>
      <c r="BZ608" s="7"/>
      <c r="CA608" s="7"/>
      <c r="CB608" s="7"/>
    </row>
    <row r="609" ht="21.75" customHeight="1">
      <c r="A609" s="7">
        <v>3071.0</v>
      </c>
      <c r="B609" s="7">
        <v>608.0</v>
      </c>
      <c r="C609" s="7" t="s">
        <v>7574</v>
      </c>
      <c r="D609" s="7"/>
      <c r="E609" s="7"/>
      <c r="F609" s="7" t="s">
        <v>404</v>
      </c>
      <c r="G609" s="7" t="s">
        <v>343</v>
      </c>
      <c r="H609" s="7" t="s">
        <v>344</v>
      </c>
      <c r="I609" s="7" t="s">
        <v>7575</v>
      </c>
      <c r="J609" s="7"/>
      <c r="K609" s="7" t="s">
        <v>58</v>
      </c>
      <c r="L609" s="7" t="s">
        <v>59</v>
      </c>
      <c r="M609" s="7" t="s">
        <v>346</v>
      </c>
      <c r="N609" s="7" t="s">
        <v>455</v>
      </c>
      <c r="O609" s="7">
        <v>97418.0</v>
      </c>
      <c r="P609" s="7" t="s">
        <v>348</v>
      </c>
      <c r="Q609" s="7" t="s">
        <v>349</v>
      </c>
      <c r="R609" s="7" t="s">
        <v>7576</v>
      </c>
      <c r="S609" s="7"/>
      <c r="T609" s="7" t="s">
        <v>499</v>
      </c>
      <c r="U609" s="7" t="s">
        <v>378</v>
      </c>
      <c r="V609" s="7">
        <v>2.62385843E8</v>
      </c>
      <c r="W609" s="7">
        <v>6.92233195E8</v>
      </c>
      <c r="X609" s="7"/>
      <c r="Y609" s="7">
        <v>2.62385843E8</v>
      </c>
      <c r="Z609" s="7" t="s">
        <v>7577</v>
      </c>
      <c r="AA609" s="7">
        <v>6.0</v>
      </c>
      <c r="AB609" s="7"/>
      <c r="AC609" s="7"/>
      <c r="AD609" s="7" t="s">
        <v>7578</v>
      </c>
      <c r="AE609" s="7" t="s">
        <v>7579</v>
      </c>
      <c r="AF609" s="7"/>
      <c r="AG609" s="7"/>
      <c r="AH609" s="20">
        <v>43739.0</v>
      </c>
      <c r="AI609" s="7"/>
      <c r="AJ609" s="7" t="s">
        <v>7580</v>
      </c>
      <c r="AK609" s="7"/>
      <c r="AL609" s="7" t="s">
        <v>7581</v>
      </c>
      <c r="AM609" s="7" t="s">
        <v>7582</v>
      </c>
      <c r="AN609" s="20">
        <v>43739.0</v>
      </c>
      <c r="AO609" s="7">
        <v>97418.0</v>
      </c>
      <c r="AP609" s="7" t="s">
        <v>362</v>
      </c>
      <c r="AQ609" s="7"/>
      <c r="AR609" s="7"/>
      <c r="AS609" s="7"/>
      <c r="AT609" s="7"/>
      <c r="AU609" s="7">
        <v>1.0</v>
      </c>
      <c r="AV609" s="7" t="s">
        <v>7583</v>
      </c>
      <c r="AW609" s="7"/>
      <c r="AX609" s="7"/>
      <c r="AY609" s="7"/>
      <c r="AZ609" s="7"/>
      <c r="BA609" s="7"/>
      <c r="BB609" s="7"/>
      <c r="BC609" s="7" t="s">
        <v>366</v>
      </c>
      <c r="BD609" s="21">
        <v>44197.0</v>
      </c>
      <c r="BE609" s="7"/>
      <c r="BF609" s="7"/>
      <c r="BG609" s="22">
        <v>44197.0</v>
      </c>
      <c r="BH609" s="7"/>
      <c r="BI609" s="7" t="s">
        <v>7584</v>
      </c>
      <c r="BJ609" s="7"/>
      <c r="BK609" s="7" t="b">
        <v>0</v>
      </c>
      <c r="BL609" s="7" t="b">
        <v>0</v>
      </c>
      <c r="BM609" s="7"/>
      <c r="BN609" s="7" t="str">
        <f>IFERROR(__xludf.DUMMYFUNCTION(" IF( REGEXMATCH(C609 , ""[(].+[)]""),REGEXREPLACE( CONCATENATE(REGEXEXTRACT(C609 , ""[(].+[)]""),IF(REGEXMATCH(C609 , ""[(][Ll]['’][)]""),"""","" ""), REGEXEXTRACT(C609 ,""^(?:(?:[A-Za-zàäéèêîïöôûü0-9 ](?:[A-Za-zàäéèêîïöôûü'0-9 ]+)))"")) , ""[()]"", """")"&amp;",C609 )"),"Le Tibouchina ")</f>
        <v>Le Tibouchina </v>
      </c>
      <c r="BO609" s="23"/>
      <c r="BP609" s="7"/>
      <c r="BQ609" s="7"/>
      <c r="BR609" s="7"/>
      <c r="BS609" s="7"/>
      <c r="BT609" s="7"/>
      <c r="BU609" s="7"/>
      <c r="BV609" s="7"/>
      <c r="BW609" s="7"/>
      <c r="BX609" s="7"/>
      <c r="BY609" s="7"/>
      <c r="BZ609" s="7"/>
      <c r="CA609" s="7"/>
      <c r="CB609" s="7"/>
    </row>
    <row r="610" ht="21.75" customHeight="1">
      <c r="A610" s="7">
        <v>4514.0</v>
      </c>
      <c r="B610" s="7" t="s">
        <v>7585</v>
      </c>
      <c r="C610" s="7" t="s">
        <v>7586</v>
      </c>
      <c r="D610" s="7"/>
      <c r="E610" s="7"/>
      <c r="F610" s="7" t="s">
        <v>342</v>
      </c>
      <c r="G610" s="7" t="s">
        <v>343</v>
      </c>
      <c r="H610" s="7" t="s">
        <v>344</v>
      </c>
      <c r="I610" s="7" t="s">
        <v>7587</v>
      </c>
      <c r="J610" s="26" t="s">
        <v>7588</v>
      </c>
      <c r="K610" s="7" t="s">
        <v>58</v>
      </c>
      <c r="L610" s="7" t="s">
        <v>453</v>
      </c>
      <c r="M610" s="7" t="s">
        <v>454</v>
      </c>
      <c r="N610" s="7" t="s">
        <v>455</v>
      </c>
      <c r="O610" s="7">
        <v>97430.0</v>
      </c>
      <c r="P610" s="7" t="s">
        <v>344</v>
      </c>
      <c r="Q610" s="7"/>
      <c r="R610" s="7" t="s">
        <v>7589</v>
      </c>
      <c r="S610" s="7"/>
      <c r="T610" s="7" t="s">
        <v>974</v>
      </c>
      <c r="U610" s="7" t="s">
        <v>1698</v>
      </c>
      <c r="V610" s="7"/>
      <c r="W610" s="7">
        <v>6.92682075E8</v>
      </c>
      <c r="X610" s="7"/>
      <c r="Y610" s="7"/>
      <c r="Z610" s="7" t="s">
        <v>7590</v>
      </c>
      <c r="AA610" s="7">
        <v>6.0</v>
      </c>
      <c r="AB610" s="7"/>
      <c r="AC610" s="7" t="s">
        <v>7591</v>
      </c>
      <c r="AD610" s="7" t="s">
        <v>7592</v>
      </c>
      <c r="AE610" s="7" t="s">
        <v>7593</v>
      </c>
      <c r="AF610" s="7"/>
      <c r="AG610" s="7"/>
      <c r="AH610" s="20">
        <v>43249.0</v>
      </c>
      <c r="AI610" s="7"/>
      <c r="AJ610" s="7" t="s">
        <v>7594</v>
      </c>
      <c r="AK610" s="7">
        <v>5.3203911200018E13</v>
      </c>
      <c r="AL610" s="7" t="s">
        <v>7595</v>
      </c>
      <c r="AM610" s="7" t="s">
        <v>7596</v>
      </c>
      <c r="AN610" s="20">
        <v>43249.0</v>
      </c>
      <c r="AO610" s="7">
        <v>97430.0</v>
      </c>
      <c r="AP610" s="7" t="s">
        <v>494</v>
      </c>
      <c r="AQ610" s="7"/>
      <c r="AR610" s="7"/>
      <c r="AS610" s="7"/>
      <c r="AT610" s="7"/>
      <c r="AU610" s="7">
        <v>3.0</v>
      </c>
      <c r="AV610" s="7" t="s">
        <v>7597</v>
      </c>
      <c r="AW610" s="7"/>
      <c r="AX610" s="7"/>
      <c r="AY610" s="7"/>
      <c r="AZ610" s="7" t="s">
        <v>7598</v>
      </c>
      <c r="BA610" s="7"/>
      <c r="BB610" s="7"/>
      <c r="BC610" s="7" t="s">
        <v>401</v>
      </c>
      <c r="BD610" s="21">
        <v>44068.197222222225</v>
      </c>
      <c r="BE610" s="7" t="s">
        <v>1011</v>
      </c>
      <c r="BF610" s="7"/>
      <c r="BG610" s="7"/>
      <c r="BH610" s="7">
        <v>5.32039112E8</v>
      </c>
      <c r="BI610" s="7" t="s">
        <v>7599</v>
      </c>
      <c r="BJ610" s="7"/>
      <c r="BK610" s="7" t="b">
        <v>0</v>
      </c>
      <c r="BL610" s="7" t="b">
        <v>0</v>
      </c>
      <c r="BM610" s="7"/>
      <c r="BN610" s="7" t="str">
        <f>IFERROR(__xludf.DUMMYFUNCTION(" IF( REGEXMATCH(C610 , ""[(].+[)]""),REGEXREPLACE( CONCATENATE(REGEXEXTRACT(C610 , ""[(].+[)]""),IF(REGEXMATCH(C610 , ""[(][Ll]['’][)]""),"""","" ""), REGEXEXTRACT(C610 ,""^(?:(?:[A-Za-zàäéèêîïöôûü0-9 ](?:[A-Za-zàäéèêîïöôûü'0-9 ]+)))"")) , ""[()]"", """")"&amp;",C610 )"),"Tikazhoareau")</f>
        <v>Tikazhoareau</v>
      </c>
      <c r="BO610" s="25"/>
      <c r="BP610" s="7"/>
      <c r="BQ610" s="7"/>
      <c r="BR610" s="7"/>
      <c r="BS610" s="7"/>
      <c r="BT610" s="7"/>
      <c r="BU610" s="7"/>
      <c r="BV610" s="7"/>
      <c r="BW610" s="7"/>
      <c r="BX610" s="7"/>
      <c r="BY610" s="7"/>
      <c r="BZ610" s="7"/>
      <c r="CA610" s="7"/>
      <c r="CB610" s="7"/>
    </row>
    <row r="611" ht="21.75" customHeight="1">
      <c r="A611" s="7">
        <v>4445.0</v>
      </c>
      <c r="B611" s="7" t="s">
        <v>7600</v>
      </c>
      <c r="C611" s="7" t="s">
        <v>7601</v>
      </c>
      <c r="D611" s="7"/>
      <c r="E611" s="7"/>
      <c r="F611" s="7" t="s">
        <v>342</v>
      </c>
      <c r="G611" s="7" t="s">
        <v>343</v>
      </c>
      <c r="H611" s="7" t="s">
        <v>123</v>
      </c>
      <c r="I611" s="7" t="s">
        <v>7602</v>
      </c>
      <c r="J611" s="26" t="s">
        <v>7603</v>
      </c>
      <c r="K611" s="7" t="s">
        <v>58</v>
      </c>
      <c r="L611" s="7" t="s">
        <v>59</v>
      </c>
      <c r="M611" s="7" t="s">
        <v>374</v>
      </c>
      <c r="N611" s="7" t="s">
        <v>455</v>
      </c>
      <c r="O611" s="7">
        <v>97480.0</v>
      </c>
      <c r="P611" s="7" t="s">
        <v>123</v>
      </c>
      <c r="Q611" s="7" t="s">
        <v>946</v>
      </c>
      <c r="R611" s="7" t="s">
        <v>7604</v>
      </c>
      <c r="S611" s="7"/>
      <c r="T611" s="7" t="s">
        <v>4227</v>
      </c>
      <c r="U611" s="7" t="s">
        <v>353</v>
      </c>
      <c r="V611" s="7">
        <v>2.62566244E8</v>
      </c>
      <c r="W611" s="7">
        <v>6.92418054E8</v>
      </c>
      <c r="X611" s="7"/>
      <c r="Y611" s="7"/>
      <c r="Z611" s="7" t="s">
        <v>3559</v>
      </c>
      <c r="AA611" s="7">
        <v>2.0</v>
      </c>
      <c r="AB611" s="7" t="s">
        <v>7605</v>
      </c>
      <c r="AC611" s="7" t="s">
        <v>7606</v>
      </c>
      <c r="AD611" s="7" t="s">
        <v>7607</v>
      </c>
      <c r="AE611" s="7"/>
      <c r="AF611" s="7"/>
      <c r="AG611" s="7"/>
      <c r="AH611" s="20">
        <v>43084.0</v>
      </c>
      <c r="AI611" s="7"/>
      <c r="AJ611" s="7" t="s">
        <v>3563</v>
      </c>
      <c r="AK611" s="7">
        <v>3.24177310000038E14</v>
      </c>
      <c r="AL611" s="7" t="s">
        <v>3564</v>
      </c>
      <c r="AM611" s="7" t="s">
        <v>3565</v>
      </c>
      <c r="AN611" s="20">
        <v>39575.0</v>
      </c>
      <c r="AO611" s="7">
        <v>97480.0</v>
      </c>
      <c r="AP611" s="7" t="s">
        <v>385</v>
      </c>
      <c r="AQ611" s="7"/>
      <c r="AR611" s="7"/>
      <c r="AS611" s="7"/>
      <c r="AT611" s="7"/>
      <c r="AU611" s="7">
        <v>1.0</v>
      </c>
      <c r="AV611" s="7" t="s">
        <v>7608</v>
      </c>
      <c r="AW611" s="7" t="s">
        <v>7609</v>
      </c>
      <c r="AX611" s="7"/>
      <c r="AY611" s="7"/>
      <c r="AZ611" s="7" t="s">
        <v>7610</v>
      </c>
      <c r="BA611" s="7"/>
      <c r="BB611" s="7"/>
      <c r="BC611" s="7" t="s">
        <v>401</v>
      </c>
      <c r="BD611" s="21">
        <v>44101.45138888889</v>
      </c>
      <c r="BE611" s="7" t="s">
        <v>7611</v>
      </c>
      <c r="BF611" s="7"/>
      <c r="BG611" s="7"/>
      <c r="BH611" s="7">
        <v>3.2417731E8</v>
      </c>
      <c r="BI611" s="7" t="s">
        <v>3571</v>
      </c>
      <c r="BJ611" s="7"/>
      <c r="BK611" s="7" t="b">
        <v>0</v>
      </c>
      <c r="BL611" s="7" t="b">
        <v>0</v>
      </c>
      <c r="BM611" s="7"/>
      <c r="BN611" s="7" t="str">
        <f>IFERROR(__xludf.DUMMYFUNCTION(" IF( REGEXMATCH(C611 , ""[(].+[)]""),REGEXREPLACE( CONCATENATE(REGEXEXTRACT(C611 , ""[(].+[)]""),IF(REGEXMATCH(C611 , ""[(][Ll]['’][)]""),"""","" ""), REGEXEXTRACT(C611 ,""^(?:(?:[A-Za-zàäéèêîïöôûü0-9 ](?:[A-Za-zàäéèêîïöôûü'0-9 ]+)))"")) , ""[()]"", """")"&amp;",C611 )"),"Tillandsia")</f>
        <v>Tillandsia</v>
      </c>
      <c r="BO611" s="25"/>
      <c r="BP611" s="7"/>
      <c r="BQ611" s="7"/>
      <c r="BR611" s="7"/>
      <c r="BS611" s="7"/>
      <c r="BT611" s="7"/>
      <c r="BU611" s="7"/>
      <c r="BV611" s="7"/>
      <c r="BW611" s="7"/>
      <c r="BX611" s="7"/>
      <c r="BY611" s="7"/>
      <c r="BZ611" s="7"/>
      <c r="CA611" s="7"/>
      <c r="CB611" s="7"/>
    </row>
    <row r="612" ht="21.75" customHeight="1">
      <c r="A612" s="7">
        <v>1700.0</v>
      </c>
      <c r="B612" s="7" t="s">
        <v>7612</v>
      </c>
      <c r="C612" s="7" t="s">
        <v>7613</v>
      </c>
      <c r="D612" s="7" t="s">
        <v>7613</v>
      </c>
      <c r="E612" s="7"/>
      <c r="F612" s="7" t="s">
        <v>342</v>
      </c>
      <c r="G612" s="7" t="s">
        <v>343</v>
      </c>
      <c r="H612" s="7" t="s">
        <v>344</v>
      </c>
      <c r="I612" s="7" t="s">
        <v>7614</v>
      </c>
      <c r="J612" s="7"/>
      <c r="K612" s="7" t="s">
        <v>34</v>
      </c>
      <c r="L612" s="7" t="s">
        <v>622</v>
      </c>
      <c r="M612" s="7" t="s">
        <v>622</v>
      </c>
      <c r="N612" s="7" t="s">
        <v>455</v>
      </c>
      <c r="O612" s="7">
        <v>97418.0</v>
      </c>
      <c r="P612" s="7" t="s">
        <v>348</v>
      </c>
      <c r="Q612" s="7" t="s">
        <v>349</v>
      </c>
      <c r="R612" s="7"/>
      <c r="S612" s="7" t="s">
        <v>1094</v>
      </c>
      <c r="T612" s="7" t="s">
        <v>377</v>
      </c>
      <c r="U612" s="7" t="s">
        <v>353</v>
      </c>
      <c r="V612" s="7">
        <v>2.62591303E8</v>
      </c>
      <c r="W612" s="7"/>
      <c r="X612" s="7"/>
      <c r="Y612" s="7"/>
      <c r="Z612" s="7"/>
      <c r="AA612" s="7">
        <v>45.0</v>
      </c>
      <c r="AB612" s="7"/>
      <c r="AC612" s="7"/>
      <c r="AD612" s="7" t="s">
        <v>7615</v>
      </c>
      <c r="AE612" s="7"/>
      <c r="AF612" s="7"/>
      <c r="AG612" s="7"/>
      <c r="AH612" s="20">
        <v>43739.0</v>
      </c>
      <c r="AI612" s="7"/>
      <c r="AJ612" s="7" t="s">
        <v>7613</v>
      </c>
      <c r="AK612" s="7">
        <v>4.2809002100018E13</v>
      </c>
      <c r="AL612" s="7" t="s">
        <v>7616</v>
      </c>
      <c r="AM612" s="7" t="s">
        <v>7617</v>
      </c>
      <c r="AN612" s="20">
        <v>43739.0</v>
      </c>
      <c r="AO612" s="7">
        <v>97418.0</v>
      </c>
      <c r="AP612" s="7" t="s">
        <v>362</v>
      </c>
      <c r="AQ612" s="7"/>
      <c r="AR612" s="7"/>
      <c r="AS612" s="7"/>
      <c r="AT612" s="7"/>
      <c r="AU612" s="7">
        <v>0.0</v>
      </c>
      <c r="AV612" s="7" t="s">
        <v>7618</v>
      </c>
      <c r="AW612" s="7"/>
      <c r="AX612" s="7"/>
      <c r="AY612" s="7"/>
      <c r="AZ612" s="7"/>
      <c r="BA612" s="7"/>
      <c r="BB612" s="7"/>
      <c r="BC612" s="7" t="s">
        <v>401</v>
      </c>
      <c r="BD612" s="7"/>
      <c r="BE612" s="7" t="s">
        <v>871</v>
      </c>
      <c r="BF612" s="7"/>
      <c r="BG612" s="7"/>
      <c r="BH612" s="7">
        <v>4.28090021E8</v>
      </c>
      <c r="BI612" s="7" t="s">
        <v>7619</v>
      </c>
      <c r="BJ612" s="7"/>
      <c r="BK612" s="7" t="b">
        <v>0</v>
      </c>
      <c r="BL612" s="7" t="b">
        <v>0</v>
      </c>
      <c r="BM612" s="7"/>
      <c r="BN612" s="7" t="str">
        <f>IFERROR(__xludf.DUMMYFUNCTION(" IF( REGEXMATCH(C612 , ""[(].+[)]""),REGEXREPLACE( CONCATENATE(REGEXEXTRACT(C612 , ""[(].+[)]""),IF(REGEXMATCH(C612 , ""[(][Ll]['’][)]""),"""","" ""), REGEXEXTRACT(C612 ,""^(?:(?:[A-Za-zàäéèêîïöôûü0-9 ](?:[A-Za-zàäéèêîïöôûü'0-9 ]+)))"")) , ""[()]"", """")"&amp;",C612 )"),"Le Tinto ")</f>
        <v>Le Tinto </v>
      </c>
      <c r="BO612" s="25"/>
      <c r="BP612" s="7"/>
      <c r="BQ612" s="7"/>
      <c r="BR612" s="7"/>
      <c r="BS612" s="7"/>
      <c r="BT612" s="7"/>
      <c r="BU612" s="7"/>
      <c r="BV612" s="7"/>
      <c r="BW612" s="7"/>
      <c r="BX612" s="7"/>
      <c r="BY612" s="7"/>
      <c r="BZ612" s="7"/>
      <c r="CA612" s="7"/>
      <c r="CB612" s="7"/>
    </row>
    <row r="613" ht="21.75" customHeight="1">
      <c r="A613" s="7">
        <v>2719.0</v>
      </c>
      <c r="B613" s="7">
        <v>612.0</v>
      </c>
      <c r="C613" s="7" t="s">
        <v>7620</v>
      </c>
      <c r="D613" s="7"/>
      <c r="E613" s="7"/>
      <c r="F613" s="7" t="s">
        <v>342</v>
      </c>
      <c r="G613" s="7" t="s">
        <v>343</v>
      </c>
      <c r="H613" s="7" t="s">
        <v>40</v>
      </c>
      <c r="I613" s="7" t="s">
        <v>7621</v>
      </c>
      <c r="J613" s="7"/>
      <c r="K613" s="7" t="s">
        <v>58</v>
      </c>
      <c r="L613" s="7" t="s">
        <v>137</v>
      </c>
      <c r="M613" s="7" t="s">
        <v>1091</v>
      </c>
      <c r="N613" s="7" t="s">
        <v>472</v>
      </c>
      <c r="O613" s="7">
        <v>97414.0</v>
      </c>
      <c r="P613" s="7" t="s">
        <v>40</v>
      </c>
      <c r="Q613" s="7"/>
      <c r="R613" s="7" t="s">
        <v>849</v>
      </c>
      <c r="S613" s="7" t="s">
        <v>2053</v>
      </c>
      <c r="T613" s="7" t="s">
        <v>377</v>
      </c>
      <c r="U613" s="7" t="s">
        <v>353</v>
      </c>
      <c r="V613" s="7"/>
      <c r="W613" s="7">
        <v>6.92880722E8</v>
      </c>
      <c r="X613" s="7">
        <v>6.92589294E8</v>
      </c>
      <c r="Y613" s="7"/>
      <c r="Z613" s="7" t="s">
        <v>7622</v>
      </c>
      <c r="AA613" s="7">
        <v>12.0</v>
      </c>
      <c r="AB613" s="7"/>
      <c r="AC613" s="7" t="s">
        <v>7623</v>
      </c>
      <c r="AD613" s="7" t="s">
        <v>7624</v>
      </c>
      <c r="AE613" s="7" t="s">
        <v>7625</v>
      </c>
      <c r="AF613" s="7"/>
      <c r="AG613" s="7"/>
      <c r="AH613" s="20">
        <v>43739.0</v>
      </c>
      <c r="AI613" s="7"/>
      <c r="AJ613" s="7" t="s">
        <v>7626</v>
      </c>
      <c r="AK613" s="7">
        <v>5.1943991300012E13</v>
      </c>
      <c r="AL613" s="7" t="s">
        <v>7627</v>
      </c>
      <c r="AM613" s="7" t="s">
        <v>7628</v>
      </c>
      <c r="AN613" s="20">
        <v>43739.0</v>
      </c>
      <c r="AO613" s="7">
        <v>97430.0</v>
      </c>
      <c r="AP613" s="7" t="s">
        <v>494</v>
      </c>
      <c r="AQ613" s="7"/>
      <c r="AR613" s="7"/>
      <c r="AS613" s="7"/>
      <c r="AT613" s="7"/>
      <c r="AU613" s="7">
        <v>1.0</v>
      </c>
      <c r="AV613" s="7" t="s">
        <v>7629</v>
      </c>
      <c r="AW613" s="7"/>
      <c r="AX613" s="7"/>
      <c r="AY613" s="7"/>
      <c r="AZ613" s="7" t="s">
        <v>7630</v>
      </c>
      <c r="BA613" s="7"/>
      <c r="BB613" s="7"/>
      <c r="BC613" s="7" t="s">
        <v>366</v>
      </c>
      <c r="BD613" s="21">
        <v>44081.450694444444</v>
      </c>
      <c r="BE613" s="7"/>
      <c r="BF613" s="7"/>
      <c r="BG613" s="22">
        <v>44081.0</v>
      </c>
      <c r="BH613" s="7">
        <v>5.19439913E8</v>
      </c>
      <c r="BI613" s="7" t="s">
        <v>2860</v>
      </c>
      <c r="BJ613" s="7"/>
      <c r="BK613" s="7" t="b">
        <v>0</v>
      </c>
      <c r="BL613" s="7" t="b">
        <v>0</v>
      </c>
      <c r="BM613" s="7"/>
      <c r="BN613" s="7" t="str">
        <f>IFERROR(__xludf.DUMMYFUNCTION(" IF( REGEXMATCH(C613 , ""[(].+[)]""),REGEXREPLACE( CONCATENATE(REGEXEXTRACT(C613 , ""[(].+[)]""),IF(REGEXMATCH(C613 , ""[(][Ll]['’][)]""),"""","" ""), REGEXEXTRACT(C613 ,""^(?:(?:[A-Za-zàäéèêîïöôûü0-9 ](?:[A-Za-zàäéèêîïöôûü'0-9 ]+)))"")) , ""[()]"", """")"&amp;",C613 )"),"Tit Caze Gilbert")</f>
        <v>Tit Caze Gilbert</v>
      </c>
      <c r="BO613" s="23"/>
      <c r="BP613" s="7"/>
      <c r="BQ613" s="7"/>
      <c r="BR613" s="7"/>
      <c r="BS613" s="7"/>
      <c r="BT613" s="7"/>
      <c r="BU613" s="7"/>
      <c r="BV613" s="7"/>
      <c r="BW613" s="7"/>
      <c r="BX613" s="7"/>
      <c r="BY613" s="7"/>
      <c r="BZ613" s="7"/>
      <c r="CA613" s="7"/>
      <c r="CB613" s="7"/>
    </row>
    <row r="614" ht="21.75" customHeight="1">
      <c r="A614" s="7">
        <v>2895.0</v>
      </c>
      <c r="B614" s="7" t="s">
        <v>7631</v>
      </c>
      <c r="C614" s="7" t="s">
        <v>7632</v>
      </c>
      <c r="D614" s="7"/>
      <c r="E614" s="7"/>
      <c r="F614" s="7" t="s">
        <v>342</v>
      </c>
      <c r="G614" s="7" t="s">
        <v>343</v>
      </c>
      <c r="H614" s="7" t="s">
        <v>344</v>
      </c>
      <c r="I614" s="7" t="s">
        <v>7633</v>
      </c>
      <c r="J614" s="7"/>
      <c r="K614" s="7" t="s">
        <v>58</v>
      </c>
      <c r="L614" s="7" t="s">
        <v>59</v>
      </c>
      <c r="M614" s="7" t="s">
        <v>545</v>
      </c>
      <c r="N614" s="7" t="s">
        <v>455</v>
      </c>
      <c r="O614" s="7">
        <v>97418.0</v>
      </c>
      <c r="P614" s="7" t="s">
        <v>348</v>
      </c>
      <c r="Q614" s="7" t="s">
        <v>349</v>
      </c>
      <c r="R614" s="7" t="s">
        <v>7634</v>
      </c>
      <c r="S614" s="7" t="s">
        <v>518</v>
      </c>
      <c r="T614" s="7" t="s">
        <v>377</v>
      </c>
      <c r="U614" s="7" t="s">
        <v>378</v>
      </c>
      <c r="V614" s="7">
        <v>2.62265773E8</v>
      </c>
      <c r="W614" s="7">
        <v>6.92823326E8</v>
      </c>
      <c r="X614" s="7"/>
      <c r="Y614" s="7">
        <v>2.62265773E8</v>
      </c>
      <c r="Z614" s="7" t="s">
        <v>3000</v>
      </c>
      <c r="AA614" s="7">
        <v>2.0</v>
      </c>
      <c r="AB614" s="7" t="s">
        <v>395</v>
      </c>
      <c r="AC614" s="7"/>
      <c r="AD614" s="7" t="s">
        <v>7635</v>
      </c>
      <c r="AE614" s="7" t="s">
        <v>7636</v>
      </c>
      <c r="AF614" s="7"/>
      <c r="AG614" s="7"/>
      <c r="AH614" s="20">
        <v>43739.0</v>
      </c>
      <c r="AI614" s="7"/>
      <c r="AJ614" s="7" t="s">
        <v>3003</v>
      </c>
      <c r="AK614" s="7"/>
      <c r="AL614" s="7" t="s">
        <v>3004</v>
      </c>
      <c r="AM614" s="7" t="s">
        <v>3005</v>
      </c>
      <c r="AN614" s="20">
        <v>43739.0</v>
      </c>
      <c r="AO614" s="7">
        <v>97427.0</v>
      </c>
      <c r="AP614" s="7" t="s">
        <v>1527</v>
      </c>
      <c r="AQ614" s="7"/>
      <c r="AR614" s="7"/>
      <c r="AS614" s="7"/>
      <c r="AT614" s="7"/>
      <c r="AU614" s="7">
        <v>1.0</v>
      </c>
      <c r="AV614" s="7" t="s">
        <v>7637</v>
      </c>
      <c r="AW614" s="7"/>
      <c r="AX614" s="7"/>
      <c r="AY614" s="7"/>
      <c r="AZ614" s="7" t="s">
        <v>7638</v>
      </c>
      <c r="BA614" s="7"/>
      <c r="BB614" s="7"/>
      <c r="BC614" s="7" t="s">
        <v>401</v>
      </c>
      <c r="BD614" s="21">
        <v>44108.0</v>
      </c>
      <c r="BE614" s="7" t="s">
        <v>2339</v>
      </c>
      <c r="BF614" s="7"/>
      <c r="BG614" s="7"/>
      <c r="BH614" s="7"/>
      <c r="BI614" s="7" t="s">
        <v>7639</v>
      </c>
      <c r="BJ614" s="7"/>
      <c r="BK614" s="7" t="b">
        <v>0</v>
      </c>
      <c r="BL614" s="7" t="b">
        <v>0</v>
      </c>
      <c r="BM614" s="7"/>
      <c r="BN614" s="7" t="str">
        <f>IFERROR(__xludf.DUMMYFUNCTION(" IF( REGEXMATCH(C614 , ""[(].+[)]""),REGEXREPLACE( CONCATENATE(REGEXEXTRACT(C614 , ""[(].+[)]""),IF(REGEXMATCH(C614 , ""[(][Ll]['’][)]""),"""","" ""), REGEXEXTRACT(C614 ,""^(?:(?:[A-Za-zàäéèêîïöôûü0-9 ](?:[A-Za-zàäéèêîïöôûü'0-9 ]+)))"")) , ""[()]"", """")"&amp;",C614 )"),"Toi + Moi")</f>
        <v>Toi + Moi</v>
      </c>
      <c r="BO614" s="25"/>
      <c r="BP614" s="7"/>
      <c r="BQ614" s="7"/>
      <c r="BR614" s="7"/>
      <c r="BS614" s="7"/>
      <c r="BT614" s="7"/>
      <c r="BU614" s="7"/>
      <c r="BV614" s="7"/>
      <c r="BW614" s="7"/>
      <c r="BX614" s="7"/>
      <c r="BY614" s="7"/>
      <c r="BZ614" s="7"/>
      <c r="CA614" s="7"/>
      <c r="CB614" s="7"/>
    </row>
    <row r="615" ht="21.75" customHeight="1">
      <c r="A615" s="7">
        <v>5245.0</v>
      </c>
      <c r="B615" s="7" t="s">
        <v>7640</v>
      </c>
      <c r="C615" s="7" t="s">
        <v>7641</v>
      </c>
      <c r="D615" s="7"/>
      <c r="E615" s="7"/>
      <c r="F615" s="7" t="s">
        <v>404</v>
      </c>
      <c r="G615" s="7" t="s">
        <v>343</v>
      </c>
      <c r="H615" s="7" t="s">
        <v>123</v>
      </c>
      <c r="I615" s="7" t="s">
        <v>7642</v>
      </c>
      <c r="J615" s="7"/>
      <c r="K615" s="7" t="s">
        <v>58</v>
      </c>
      <c r="L615" s="7" t="s">
        <v>59</v>
      </c>
      <c r="M615" s="7" t="s">
        <v>346</v>
      </c>
      <c r="N615" s="7"/>
      <c r="O615" s="7">
        <v>97480.0</v>
      </c>
      <c r="P615" s="7" t="s">
        <v>123</v>
      </c>
      <c r="Q615" s="7"/>
      <c r="R615" s="7"/>
      <c r="S615" s="7"/>
      <c r="T615" s="7"/>
      <c r="U615" s="7"/>
      <c r="V615" s="7"/>
      <c r="W615" s="7">
        <v>6.92870933E8</v>
      </c>
      <c r="X615" s="7">
        <v>6.92687859E8</v>
      </c>
      <c r="Y615" s="7"/>
      <c r="Z615" s="7" t="s">
        <v>7643</v>
      </c>
      <c r="AA615" s="7">
        <v>8.0</v>
      </c>
      <c r="AB615" s="7" t="s">
        <v>2716</v>
      </c>
      <c r="AC615" s="7"/>
      <c r="AD615" s="7" t="s">
        <v>7644</v>
      </c>
      <c r="AE615" s="7"/>
      <c r="AF615" s="7"/>
      <c r="AG615" s="7"/>
      <c r="AH615" s="7"/>
      <c r="AI615" s="7"/>
      <c r="AJ615" s="7" t="s">
        <v>7645</v>
      </c>
      <c r="AK615" s="7"/>
      <c r="AL615" s="7" t="s">
        <v>7646</v>
      </c>
      <c r="AM615" s="7" t="s">
        <v>7647</v>
      </c>
      <c r="AN615" s="7"/>
      <c r="AO615" s="7">
        <v>97480.0</v>
      </c>
      <c r="AP615" s="7" t="s">
        <v>385</v>
      </c>
      <c r="AQ615" s="7"/>
      <c r="AR615" s="7"/>
      <c r="AS615" s="7"/>
      <c r="AT615" s="7"/>
      <c r="AU615" s="7">
        <v>1.0</v>
      </c>
      <c r="AV615" s="7" t="s">
        <v>7648</v>
      </c>
      <c r="AW615" s="7"/>
      <c r="AX615" s="7"/>
      <c r="AY615" s="7"/>
      <c r="AZ615" s="7" t="s">
        <v>7649</v>
      </c>
      <c r="BA615" s="7"/>
      <c r="BB615" s="7"/>
      <c r="BC615" s="7" t="s">
        <v>401</v>
      </c>
      <c r="BD615" s="21">
        <v>44158.11944444444</v>
      </c>
      <c r="BE615" s="7" t="s">
        <v>7650</v>
      </c>
      <c r="BF615" s="7"/>
      <c r="BG615" s="7"/>
      <c r="BH615" s="7"/>
      <c r="BI615" s="7" t="s">
        <v>7651</v>
      </c>
      <c r="BJ615" s="7"/>
      <c r="BK615" s="7" t="b">
        <v>0</v>
      </c>
      <c r="BL615" s="7" t="b">
        <v>0</v>
      </c>
      <c r="BM615" s="7"/>
      <c r="BN615" s="7" t="str">
        <f>IFERROR(__xludf.DUMMYFUNCTION(" IF( REGEXMATCH(C615 , ""[(].+[)]""),REGEXREPLACE( CONCATENATE(REGEXEXTRACT(C615 , ""[(].+[)]""),IF(REGEXMATCH(C615 , ""[(][Ll]['’][)]""),"""","" ""), REGEXEXTRACT(C615 ,""^(?:(?:[A-Za-zàäéèêîïöôûü0-9 ](?:[A-Za-zàäéèêîïöôûü'0-9 ]+)))"")) , ""[()]"", """")"&amp;",C615 )"),"La Tomie ")</f>
        <v>La Tomie </v>
      </c>
      <c r="BO615" s="25"/>
      <c r="BP615" s="7"/>
      <c r="BQ615" s="7"/>
      <c r="BR615" s="7"/>
      <c r="BS615" s="7"/>
      <c r="BT615" s="7"/>
      <c r="BU615" s="7"/>
      <c r="BV615" s="7"/>
      <c r="BW615" s="7"/>
      <c r="BX615" s="7"/>
      <c r="BY615" s="7"/>
      <c r="BZ615" s="7"/>
      <c r="CA615" s="7"/>
      <c r="CB615" s="7"/>
    </row>
    <row r="616" ht="21.75" customHeight="1">
      <c r="A616" s="7">
        <v>3872.0</v>
      </c>
      <c r="B616" s="7">
        <v>615.0</v>
      </c>
      <c r="C616" s="7" t="s">
        <v>7652</v>
      </c>
      <c r="D616" s="7"/>
      <c r="E616" s="7"/>
      <c r="F616" s="7" t="s">
        <v>404</v>
      </c>
      <c r="G616" s="7" t="s">
        <v>343</v>
      </c>
      <c r="H616" s="7" t="s">
        <v>344</v>
      </c>
      <c r="I616" s="7" t="s">
        <v>7653</v>
      </c>
      <c r="J616" s="26" t="s">
        <v>7654</v>
      </c>
      <c r="K616" s="7" t="s">
        <v>58</v>
      </c>
      <c r="L616" s="7" t="s">
        <v>59</v>
      </c>
      <c r="M616" s="7" t="s">
        <v>7655</v>
      </c>
      <c r="N616" s="7" t="s">
        <v>455</v>
      </c>
      <c r="O616" s="7">
        <v>97430.0</v>
      </c>
      <c r="P616" s="7" t="s">
        <v>344</v>
      </c>
      <c r="Q616" s="7"/>
      <c r="R616" s="7" t="s">
        <v>7656</v>
      </c>
      <c r="S616" s="7" t="s">
        <v>763</v>
      </c>
      <c r="T616" s="7" t="s">
        <v>352</v>
      </c>
      <c r="U616" s="7"/>
      <c r="V616" s="7">
        <v>2.62106442E8</v>
      </c>
      <c r="W616" s="7">
        <v>6.92729144E8</v>
      </c>
      <c r="X616" s="7"/>
      <c r="Y616" s="7"/>
      <c r="Z616" s="7"/>
      <c r="AA616" s="7">
        <v>26.0</v>
      </c>
      <c r="AB616" s="7"/>
      <c r="AC616" s="7" t="s">
        <v>7657</v>
      </c>
      <c r="AD616" s="7" t="s">
        <v>7658</v>
      </c>
      <c r="AE616" s="7"/>
      <c r="AF616" s="7"/>
      <c r="AG616" s="7"/>
      <c r="AH616" s="20">
        <v>43739.0</v>
      </c>
      <c r="AI616" s="7"/>
      <c r="AJ616" s="7" t="s">
        <v>7652</v>
      </c>
      <c r="AK616" s="7"/>
      <c r="AL616" s="7" t="s">
        <v>7659</v>
      </c>
      <c r="AM616" s="7" t="s">
        <v>7660</v>
      </c>
      <c r="AN616" s="20">
        <v>42164.0</v>
      </c>
      <c r="AO616" s="7">
        <v>97430.0</v>
      </c>
      <c r="AP616" s="7" t="s">
        <v>494</v>
      </c>
      <c r="AQ616" s="7"/>
      <c r="AR616" s="7"/>
      <c r="AS616" s="7"/>
      <c r="AT616" s="7"/>
      <c r="AU616" s="7">
        <v>14.0</v>
      </c>
      <c r="AV616" s="7" t="s">
        <v>7661</v>
      </c>
      <c r="AW616" s="7"/>
      <c r="AX616" s="7"/>
      <c r="AY616" s="7"/>
      <c r="AZ616" s="7"/>
      <c r="BA616" s="7"/>
      <c r="BB616" s="7"/>
      <c r="BC616" s="7" t="s">
        <v>366</v>
      </c>
      <c r="BD616" s="21">
        <v>44197.0</v>
      </c>
      <c r="BE616" s="7"/>
      <c r="BF616" s="7"/>
      <c r="BG616" s="22">
        <v>44197.0</v>
      </c>
      <c r="BH616" s="7"/>
      <c r="BI616" s="7" t="s">
        <v>2632</v>
      </c>
      <c r="BJ616" s="7"/>
      <c r="BK616" s="7" t="b">
        <v>0</v>
      </c>
      <c r="BL616" s="7" t="b">
        <v>0</v>
      </c>
      <c r="BM616" s="7"/>
      <c r="BN616" s="7" t="str">
        <f>IFERROR(__xludf.DUMMYFUNCTION(" IF( REGEXMATCH(C616 , ""[(].+[)]""),REGEXREPLACE( CONCATENATE(REGEXEXTRACT(C616 , ""[(].+[)]""),IF(REGEXMATCH(C616 , ""[(][Ll]['’][)]""),"""","" ""), REGEXEXTRACT(C616 ,""^(?:(?:[A-Za-zàäéèêîïöôûü0-9 ](?:[A-Za-zàäéèêîïöôûü'0-9 ]+)))"")) , ""[()]"", """")"&amp;",C616 )"),"Tonga-Soa")</f>
        <v>Tonga-Soa</v>
      </c>
      <c r="BO616" s="23"/>
      <c r="BP616" s="7"/>
      <c r="BQ616" s="7"/>
      <c r="BR616" s="7"/>
      <c r="BS616" s="7"/>
      <c r="BT616" s="7"/>
      <c r="BU616" s="7"/>
      <c r="BV616" s="7"/>
      <c r="BW616" s="7"/>
      <c r="BX616" s="7"/>
      <c r="BY616" s="7"/>
      <c r="BZ616" s="7"/>
      <c r="CA616" s="7"/>
      <c r="CB616" s="7"/>
    </row>
    <row r="617" ht="21.75" customHeight="1">
      <c r="A617" s="7">
        <v>2839.0</v>
      </c>
      <c r="B617" s="7">
        <v>616.0</v>
      </c>
      <c r="C617" s="7" t="s">
        <v>7662</v>
      </c>
      <c r="D617" s="7"/>
      <c r="E617" s="7"/>
      <c r="F617" s="7" t="s">
        <v>404</v>
      </c>
      <c r="G617" s="7" t="s">
        <v>343</v>
      </c>
      <c r="H617" s="7" t="s">
        <v>123</v>
      </c>
      <c r="I617" s="7" t="s">
        <v>7663</v>
      </c>
      <c r="J617" s="7"/>
      <c r="K617" s="7" t="s">
        <v>822</v>
      </c>
      <c r="L617" s="7" t="s">
        <v>823</v>
      </c>
      <c r="M617" s="7" t="s">
        <v>824</v>
      </c>
      <c r="N617" s="7" t="s">
        <v>375</v>
      </c>
      <c r="O617" s="7">
        <v>97480.0</v>
      </c>
      <c r="P617" s="7" t="s">
        <v>123</v>
      </c>
      <c r="Q617" s="7"/>
      <c r="R617" s="7"/>
      <c r="S617" s="7"/>
      <c r="T617" s="7"/>
      <c r="U617" s="7" t="s">
        <v>378</v>
      </c>
      <c r="V617" s="7"/>
      <c r="W617" s="7">
        <v>6.92617016E8</v>
      </c>
      <c r="X617" s="7"/>
      <c r="Y617" s="7"/>
      <c r="Z617" s="7" t="s">
        <v>5939</v>
      </c>
      <c r="AA617" s="7"/>
      <c r="AB617" s="7"/>
      <c r="AC617" s="7"/>
      <c r="AD617" s="7" t="s">
        <v>7664</v>
      </c>
      <c r="AE617" s="7"/>
      <c r="AF617" s="7" t="s">
        <v>7665</v>
      </c>
      <c r="AG617" s="7"/>
      <c r="AH617" s="20">
        <v>43739.0</v>
      </c>
      <c r="AI617" s="7"/>
      <c r="AJ617" s="7" t="s">
        <v>5941</v>
      </c>
      <c r="AK617" s="7"/>
      <c r="AL617" s="7" t="s">
        <v>5942</v>
      </c>
      <c r="AM617" s="7" t="s">
        <v>5943</v>
      </c>
      <c r="AN617" s="20">
        <v>43739.0</v>
      </c>
      <c r="AO617" s="7">
        <v>97480.0</v>
      </c>
      <c r="AP617" s="7" t="s">
        <v>385</v>
      </c>
      <c r="AQ617" s="7"/>
      <c r="AR617" s="7"/>
      <c r="AS617" s="7"/>
      <c r="AT617" s="7"/>
      <c r="AU617" s="7">
        <v>0.0</v>
      </c>
      <c r="AV617" s="7" t="s">
        <v>7666</v>
      </c>
      <c r="AW617" s="7"/>
      <c r="AX617" s="7"/>
      <c r="AY617" s="7"/>
      <c r="AZ617" s="7"/>
      <c r="BA617" s="7"/>
      <c r="BB617" s="7"/>
      <c r="BC617" s="7" t="s">
        <v>366</v>
      </c>
      <c r="BD617" s="21">
        <v>44112.072916666664</v>
      </c>
      <c r="BE617" s="7"/>
      <c r="BF617" s="7"/>
      <c r="BG617" s="22">
        <v>44112.0</v>
      </c>
      <c r="BH617" s="7"/>
      <c r="BI617" s="7" t="s">
        <v>830</v>
      </c>
      <c r="BJ617" s="7"/>
      <c r="BK617" s="7" t="b">
        <v>0</v>
      </c>
      <c r="BL617" s="7" t="b">
        <v>0</v>
      </c>
      <c r="BM617" s="7"/>
      <c r="BN617" s="7" t="str">
        <f>IFERROR(__xludf.DUMMYFUNCTION(" IF( REGEXMATCH(C617 , ""[(].+[)]""),REGEXREPLACE( CONCATENATE(REGEXEXTRACT(C617 , ""[(].+[)]""),IF(REGEXMATCH(C617 , ""[(][Ll]['’][)]""),"""","" ""), REGEXEXTRACT(C617 ,""^(?:(?:[A-Za-zàäéèêîïöôûü0-9 ](?:[A-Za-zàäéèêîïöôûü'0-9 ]+)))"")) , ""[()]"", """")"&amp;",C617 )"),"La Tortue Jaune ")</f>
        <v>La Tortue Jaune </v>
      </c>
      <c r="BO617" s="23"/>
      <c r="BP617" s="7"/>
      <c r="BQ617" s="7"/>
      <c r="BR617" s="7"/>
      <c r="BS617" s="7"/>
      <c r="BT617" s="7"/>
      <c r="BU617" s="7"/>
      <c r="BV617" s="7"/>
      <c r="BW617" s="7"/>
      <c r="BX617" s="7"/>
      <c r="BY617" s="7"/>
      <c r="BZ617" s="7"/>
      <c r="CA617" s="7"/>
      <c r="CB617" s="7"/>
    </row>
    <row r="618" ht="21.75" customHeight="1">
      <c r="A618" s="7">
        <v>1554.0</v>
      </c>
      <c r="B618" s="7" t="s">
        <v>7667</v>
      </c>
      <c r="C618" s="7" t="s">
        <v>7668</v>
      </c>
      <c r="D618" s="7" t="s">
        <v>7668</v>
      </c>
      <c r="E618" s="7"/>
      <c r="F618" s="7" t="s">
        <v>342</v>
      </c>
      <c r="G618" s="7" t="s">
        <v>343</v>
      </c>
      <c r="H618" s="7" t="s">
        <v>344</v>
      </c>
      <c r="I618" s="7" t="s">
        <v>7669</v>
      </c>
      <c r="J618" s="7"/>
      <c r="K618" s="7" t="s">
        <v>34</v>
      </c>
      <c r="L618" s="7" t="s">
        <v>622</v>
      </c>
      <c r="M618" s="7" t="s">
        <v>622</v>
      </c>
      <c r="N618" s="7" t="s">
        <v>407</v>
      </c>
      <c r="O618" s="7">
        <v>97418.0</v>
      </c>
      <c r="P618" s="7" t="s">
        <v>348</v>
      </c>
      <c r="Q618" s="7" t="s">
        <v>570</v>
      </c>
      <c r="R618" s="7" t="s">
        <v>1153</v>
      </c>
      <c r="S618" s="7" t="s">
        <v>647</v>
      </c>
      <c r="T618" s="7" t="s">
        <v>5639</v>
      </c>
      <c r="U618" s="7" t="s">
        <v>378</v>
      </c>
      <c r="V618" s="7">
        <v>2.62275194E8</v>
      </c>
      <c r="W618" s="7">
        <v>6.9282781E8</v>
      </c>
      <c r="X618" s="7"/>
      <c r="Y618" s="7"/>
      <c r="Z618" s="7" t="s">
        <v>7670</v>
      </c>
      <c r="AA618" s="7">
        <v>300.0</v>
      </c>
      <c r="AB618" s="7"/>
      <c r="AC618" s="7" t="s">
        <v>7671</v>
      </c>
      <c r="AD618" s="7" t="s">
        <v>7672</v>
      </c>
      <c r="AE618" s="7" t="s">
        <v>7673</v>
      </c>
      <c r="AF618" s="7"/>
      <c r="AG618" s="7"/>
      <c r="AH618" s="20">
        <v>39884.0</v>
      </c>
      <c r="AI618" s="7"/>
      <c r="AJ618" s="7" t="s">
        <v>7674</v>
      </c>
      <c r="AK618" s="7"/>
      <c r="AL618" s="7" t="s">
        <v>7675</v>
      </c>
      <c r="AM618" s="7" t="s">
        <v>7676</v>
      </c>
      <c r="AN618" s="20">
        <v>39884.0</v>
      </c>
      <c r="AO618" s="7">
        <v>97418.0</v>
      </c>
      <c r="AP618" s="7" t="s">
        <v>362</v>
      </c>
      <c r="AQ618" s="7"/>
      <c r="AR618" s="7"/>
      <c r="AS618" s="7"/>
      <c r="AT618" s="7"/>
      <c r="AU618" s="7">
        <v>0.0</v>
      </c>
      <c r="AV618" s="7" t="s">
        <v>7677</v>
      </c>
      <c r="AW618" s="7"/>
      <c r="AX618" s="7"/>
      <c r="AY618" s="7"/>
      <c r="AZ618" s="7"/>
      <c r="BA618" s="7"/>
      <c r="BB618" s="7"/>
      <c r="BC618" s="7" t="s">
        <v>401</v>
      </c>
      <c r="BD618" s="7"/>
      <c r="BE618" s="7" t="s">
        <v>1011</v>
      </c>
      <c r="BF618" s="7"/>
      <c r="BG618" s="7"/>
      <c r="BH618" s="7"/>
      <c r="BI618" s="7" t="s">
        <v>1504</v>
      </c>
      <c r="BJ618" s="7"/>
      <c r="BK618" s="7" t="b">
        <v>0</v>
      </c>
      <c r="BL618" s="7" t="b">
        <v>0</v>
      </c>
      <c r="BM618" s="7"/>
      <c r="BN618" s="7" t="str">
        <f>IFERROR(__xludf.DUMMYFUNCTION(" IF( REGEXMATCH(C618 , ""[(].+[)]""),REGEXREPLACE( CONCATENATE(REGEXEXTRACT(C618 , ""[(].+[)]""),IF(REGEXMATCH(C618 , ""[(][Ll]['’][)]""),"""","" ""), REGEXEXTRACT(C618 ,""^(?:(?:[A-Za-zàäéèêîïöôûü0-9 ](?:[A-Za-zàäéèêîïöôûü'0-9 ]+)))"")) , ""[()]"", """")"&amp;",C618 )"),"Le Tourne Broche ")</f>
        <v>Le Tourne Broche </v>
      </c>
      <c r="BO618" s="25"/>
      <c r="BP618" s="7"/>
      <c r="BQ618" s="7"/>
      <c r="BR618" s="7"/>
      <c r="BS618" s="7"/>
      <c r="BT618" s="7"/>
      <c r="BU618" s="7"/>
      <c r="BV618" s="7"/>
      <c r="BW618" s="7"/>
      <c r="BX618" s="7"/>
      <c r="BY618" s="7"/>
      <c r="BZ618" s="7"/>
      <c r="CA618" s="7"/>
      <c r="CB618" s="7"/>
    </row>
    <row r="619" ht="21.75" customHeight="1">
      <c r="A619" s="7">
        <v>4259.0</v>
      </c>
      <c r="B619" s="7" t="s">
        <v>7678</v>
      </c>
      <c r="C619" s="7" t="s">
        <v>7679</v>
      </c>
      <c r="D619" s="7"/>
      <c r="E619" s="7"/>
      <c r="F619" s="7" t="s">
        <v>342</v>
      </c>
      <c r="G619" s="7" t="s">
        <v>343</v>
      </c>
      <c r="H619" s="7" t="s">
        <v>344</v>
      </c>
      <c r="I619" s="7" t="s">
        <v>7680</v>
      </c>
      <c r="J619" s="26" t="s">
        <v>7681</v>
      </c>
      <c r="K619" s="7" t="s">
        <v>1198</v>
      </c>
      <c r="L619" s="7" t="s">
        <v>1199</v>
      </c>
      <c r="M619" s="7" t="s">
        <v>1200</v>
      </c>
      <c r="N619" s="7"/>
      <c r="O619" s="7">
        <v>97430.0</v>
      </c>
      <c r="P619" s="7" t="s">
        <v>344</v>
      </c>
      <c r="Q619" s="7"/>
      <c r="R619" s="7"/>
      <c r="S619" s="7"/>
      <c r="T619" s="7" t="s">
        <v>974</v>
      </c>
      <c r="U619" s="7" t="s">
        <v>424</v>
      </c>
      <c r="V619" s="7"/>
      <c r="W619" s="7">
        <v>6.9268202E8</v>
      </c>
      <c r="X619" s="7"/>
      <c r="Y619" s="7"/>
      <c r="Z619" s="7" t="s">
        <v>7682</v>
      </c>
      <c r="AA619" s="7">
        <v>5.0</v>
      </c>
      <c r="AB619" s="7"/>
      <c r="AC619" s="7" t="s">
        <v>7683</v>
      </c>
      <c r="AD619" s="7" t="s">
        <v>7684</v>
      </c>
      <c r="AE619" s="7"/>
      <c r="AF619" s="7"/>
      <c r="AG619" s="7"/>
      <c r="AH619" s="20">
        <v>42782.0</v>
      </c>
      <c r="AI619" s="7"/>
      <c r="AJ619" s="7" t="s">
        <v>7685</v>
      </c>
      <c r="AK619" s="7">
        <v>8.2240206100011E13</v>
      </c>
      <c r="AL619" s="7" t="s">
        <v>7686</v>
      </c>
      <c r="AM619" s="7" t="s">
        <v>7687</v>
      </c>
      <c r="AN619" s="20">
        <v>42782.0</v>
      </c>
      <c r="AO619" s="7">
        <v>97430.0</v>
      </c>
      <c r="AP619" s="7" t="s">
        <v>494</v>
      </c>
      <c r="AQ619" s="7"/>
      <c r="AR619" s="7"/>
      <c r="AS619" s="7"/>
      <c r="AT619" s="7"/>
      <c r="AU619" s="7">
        <v>0.0</v>
      </c>
      <c r="AV619" s="7" t="s">
        <v>7688</v>
      </c>
      <c r="AW619" s="7"/>
      <c r="AX619" s="7"/>
      <c r="AY619" s="7"/>
      <c r="AZ619" s="7"/>
      <c r="BA619" s="7"/>
      <c r="BB619" s="7"/>
      <c r="BC619" s="7" t="s">
        <v>401</v>
      </c>
      <c r="BD619" s="21">
        <v>44171.37013888889</v>
      </c>
      <c r="BE619" s="7" t="s">
        <v>449</v>
      </c>
      <c r="BF619" s="7"/>
      <c r="BG619" s="7"/>
      <c r="BH619" s="7">
        <v>8.22402061E8</v>
      </c>
      <c r="BI619" s="7" t="s">
        <v>2632</v>
      </c>
      <c r="BJ619" s="7"/>
      <c r="BK619" s="7" t="b">
        <v>0</v>
      </c>
      <c r="BL619" s="7" t="b">
        <v>0</v>
      </c>
      <c r="BM619" s="7"/>
      <c r="BN619" s="7" t="str">
        <f>IFERROR(__xludf.DUMMYFUNCTION(" IF( REGEXMATCH(C619 , ""[(].+[)]""),REGEXREPLACE( CONCATENATE(REGEXEXTRACT(C619 , ""[(].+[)]""),IF(REGEXMATCH(C619 , ""[(][Ll]['’][)]""),"""","" ""), REGEXEXTRACT(C619 ,""^(?:(?:[A-Za-zàäéèêîïöôûü0-9 ](?:[A-Za-zàäéèêîïöôûü'0-9 ]+)))"")) , ""[()]"", """")"&amp;",C619 )"),"Travel Island")</f>
        <v>Travel Island</v>
      </c>
      <c r="BO619" s="25"/>
      <c r="BP619" s="7"/>
      <c r="BQ619" s="7"/>
      <c r="BR619" s="7"/>
      <c r="BS619" s="7"/>
      <c r="BT619" s="7"/>
      <c r="BU619" s="7"/>
      <c r="BV619" s="7"/>
      <c r="BW619" s="7"/>
      <c r="BX619" s="7"/>
      <c r="BY619" s="7"/>
      <c r="BZ619" s="7"/>
      <c r="CA619" s="7"/>
      <c r="CB619" s="7"/>
    </row>
    <row r="620" ht="21.75" customHeight="1">
      <c r="A620" s="7">
        <v>3910.0</v>
      </c>
      <c r="B620" s="7" t="s">
        <v>7689</v>
      </c>
      <c r="C620" s="7" t="s">
        <v>7690</v>
      </c>
      <c r="D620" s="7"/>
      <c r="E620" s="7"/>
      <c r="F620" s="7" t="s">
        <v>404</v>
      </c>
      <c r="G620" s="7" t="s">
        <v>343</v>
      </c>
      <c r="H620" s="7" t="s">
        <v>344</v>
      </c>
      <c r="I620" s="7" t="s">
        <v>7691</v>
      </c>
      <c r="J620" s="7"/>
      <c r="K620" s="7" t="s">
        <v>58</v>
      </c>
      <c r="L620" s="7" t="s">
        <v>59</v>
      </c>
      <c r="M620" s="7" t="s">
        <v>346</v>
      </c>
      <c r="N620" s="7" t="s">
        <v>455</v>
      </c>
      <c r="O620" s="7">
        <v>97418.0</v>
      </c>
      <c r="P620" s="7" t="s">
        <v>348</v>
      </c>
      <c r="Q620" s="7" t="s">
        <v>349</v>
      </c>
      <c r="R620" s="7"/>
      <c r="S620" s="7"/>
      <c r="T620" s="7"/>
      <c r="U620" s="7"/>
      <c r="V620" s="7">
        <v>2.62590491E8</v>
      </c>
      <c r="W620" s="7">
        <v>6.92045665E8</v>
      </c>
      <c r="X620" s="7"/>
      <c r="Y620" s="7"/>
      <c r="Z620" s="7" t="s">
        <v>5171</v>
      </c>
      <c r="AA620" s="7">
        <v>5.0</v>
      </c>
      <c r="AB620" s="7"/>
      <c r="AC620" s="7" t="s">
        <v>7692</v>
      </c>
      <c r="AD620" s="7" t="s">
        <v>7693</v>
      </c>
      <c r="AE620" s="7"/>
      <c r="AF620" s="7"/>
      <c r="AG620" s="7"/>
      <c r="AH620" s="20">
        <v>42171.0</v>
      </c>
      <c r="AI620" s="7"/>
      <c r="AJ620" s="7" t="s">
        <v>7694</v>
      </c>
      <c r="AK620" s="7"/>
      <c r="AL620" s="7" t="s">
        <v>7695</v>
      </c>
      <c r="AM620" s="7" t="s">
        <v>7696</v>
      </c>
      <c r="AN620" s="20">
        <v>42171.0</v>
      </c>
      <c r="AO620" s="7">
        <v>97418.0</v>
      </c>
      <c r="AP620" s="7" t="s">
        <v>362</v>
      </c>
      <c r="AQ620" s="7"/>
      <c r="AR620" s="7"/>
      <c r="AS620" s="7"/>
      <c r="AT620" s="7"/>
      <c r="AU620" s="7">
        <v>2.0</v>
      </c>
      <c r="AV620" s="7" t="s">
        <v>7697</v>
      </c>
      <c r="AW620" s="7"/>
      <c r="AX620" s="7"/>
      <c r="AY620" s="7"/>
      <c r="AZ620" s="7" t="s">
        <v>7698</v>
      </c>
      <c r="BA620" s="7"/>
      <c r="BB620" s="7"/>
      <c r="BC620" s="7" t="s">
        <v>401</v>
      </c>
      <c r="BD620" s="21">
        <v>44098.0</v>
      </c>
      <c r="BE620" s="7" t="s">
        <v>4863</v>
      </c>
      <c r="BF620" s="7"/>
      <c r="BG620" s="7"/>
      <c r="BH620" s="7"/>
      <c r="BI620" s="7" t="s">
        <v>7699</v>
      </c>
      <c r="BJ620" s="7"/>
      <c r="BK620" s="7" t="b">
        <v>0</v>
      </c>
      <c r="BL620" s="7" t="b">
        <v>0</v>
      </c>
      <c r="BM620" s="7"/>
      <c r="BN620" s="7" t="str">
        <f>IFERROR(__xludf.DUMMYFUNCTION(" IF( REGEXMATCH(C620 , ""[(].+[)]""),REGEXREPLACE( CONCATENATE(REGEXEXTRACT(C620 , ""[(].+[)]""),IF(REGEXMATCH(C620 , ""[(][Ll]['’][)]""),"""","" ""), REGEXEXTRACT(C620 ,""^(?:(?:[A-Za-zàäéèêîïöôûü0-9 ](?:[A-Za-zàäéèêîïöôûü'0-9 ]+)))"")) , ""[()]"", """")"&amp;",C620 )"),"Le Troêne ")</f>
        <v>Le Troêne </v>
      </c>
      <c r="BO620" s="25"/>
      <c r="BP620" s="7"/>
      <c r="BQ620" s="7"/>
      <c r="BR620" s="7"/>
      <c r="BS620" s="7"/>
      <c r="BT620" s="7"/>
      <c r="BU620" s="7"/>
      <c r="BV620" s="7"/>
      <c r="BW620" s="7"/>
      <c r="BX620" s="7"/>
      <c r="BY620" s="7"/>
      <c r="BZ620" s="7"/>
      <c r="CA620" s="7"/>
      <c r="CB620" s="7"/>
    </row>
    <row r="621" ht="21.75" customHeight="1">
      <c r="A621" s="7">
        <v>3608.0</v>
      </c>
      <c r="B621" s="7">
        <v>620.0</v>
      </c>
      <c r="C621" s="7" t="s">
        <v>7700</v>
      </c>
      <c r="D621" s="7" t="s">
        <v>7700</v>
      </c>
      <c r="E621" s="7"/>
      <c r="F621" s="7" t="s">
        <v>342</v>
      </c>
      <c r="G621" s="7" t="s">
        <v>343</v>
      </c>
      <c r="H621" s="7" t="s">
        <v>344</v>
      </c>
      <c r="I621" s="7" t="s">
        <v>7701</v>
      </c>
      <c r="J621" s="7"/>
      <c r="K621" s="7" t="s">
        <v>7702</v>
      </c>
      <c r="L621" s="7" t="s">
        <v>7703</v>
      </c>
      <c r="M621" s="7" t="s">
        <v>7704</v>
      </c>
      <c r="N621" s="7" t="s">
        <v>455</v>
      </c>
      <c r="O621" s="7">
        <v>97430.0</v>
      </c>
      <c r="P621" s="7" t="s">
        <v>344</v>
      </c>
      <c r="Q621" s="7"/>
      <c r="R621" s="7"/>
      <c r="S621" s="7" t="s">
        <v>1296</v>
      </c>
      <c r="T621" s="7" t="s">
        <v>1567</v>
      </c>
      <c r="U621" s="7" t="s">
        <v>424</v>
      </c>
      <c r="V621" s="7">
        <v>2.6202101E8</v>
      </c>
      <c r="W621" s="7"/>
      <c r="X621" s="7"/>
      <c r="Y621" s="7"/>
      <c r="Z621" s="7" t="s">
        <v>7705</v>
      </c>
      <c r="AA621" s="7"/>
      <c r="AB621" s="7"/>
      <c r="AC621" s="7" t="s">
        <v>7706</v>
      </c>
      <c r="AD621" s="7" t="s">
        <v>7707</v>
      </c>
      <c r="AE621" s="7" t="s">
        <v>7708</v>
      </c>
      <c r="AF621" s="7"/>
      <c r="AG621" s="7"/>
      <c r="AH621" s="20">
        <v>41793.0</v>
      </c>
      <c r="AI621" s="7"/>
      <c r="AJ621" s="7" t="s">
        <v>7709</v>
      </c>
      <c r="AK621" s="7">
        <v>4.3491579900028E13</v>
      </c>
      <c r="AL621" s="7" t="s">
        <v>7710</v>
      </c>
      <c r="AM621" s="7" t="s">
        <v>7711</v>
      </c>
      <c r="AN621" s="20">
        <v>41793.0</v>
      </c>
      <c r="AO621" s="7">
        <v>97430.0</v>
      </c>
      <c r="AP621" s="7" t="s">
        <v>494</v>
      </c>
      <c r="AQ621" s="7"/>
      <c r="AR621" s="7"/>
      <c r="AS621" s="7"/>
      <c r="AT621" s="7"/>
      <c r="AU621" s="7">
        <v>0.0</v>
      </c>
      <c r="AV621" s="7" t="s">
        <v>7712</v>
      </c>
      <c r="AW621" s="7"/>
      <c r="AX621" s="7"/>
      <c r="AY621" s="7"/>
      <c r="AZ621" s="7"/>
      <c r="BA621" s="7"/>
      <c r="BB621" s="7"/>
      <c r="BC621" s="7" t="s">
        <v>366</v>
      </c>
      <c r="BD621" s="21">
        <v>44122.51388888889</v>
      </c>
      <c r="BE621" s="7"/>
      <c r="BF621" s="7"/>
      <c r="BG621" s="22">
        <v>44122.0</v>
      </c>
      <c r="BH621" s="7">
        <v>4.34915799E8</v>
      </c>
      <c r="BI621" s="7" t="s">
        <v>7713</v>
      </c>
      <c r="BJ621" s="7"/>
      <c r="BK621" s="7" t="b">
        <v>0</v>
      </c>
      <c r="BL621" s="7" t="b">
        <v>0</v>
      </c>
      <c r="BM621" s="7"/>
      <c r="BN621" s="7" t="str">
        <f>IFERROR(__xludf.DUMMYFUNCTION(" IF( REGEXMATCH(C621 , ""[(].+[)]""),REGEXREPLACE( CONCATENATE(REGEXEXTRACT(C621 , ""[(].+[)]""),IF(REGEXMATCH(C621 , ""[(][Ll]['’][)]""),"""","" ""), REGEXEXTRACT(C621 ,""^(?:(?:[A-Za-zàäéèêîïöôûü0-9 ](?:[A-Za-zàäéèêîïöôûü'0-9 ]+)))"")) , ""[()]"", """")"&amp;",C621 )"),"Tropic Guest House")</f>
        <v>Tropic Guest House</v>
      </c>
      <c r="BO621" s="23"/>
      <c r="BP621" s="7"/>
      <c r="BQ621" s="7"/>
      <c r="BR621" s="7"/>
      <c r="BS621" s="7"/>
      <c r="BT621" s="7"/>
      <c r="BU621" s="7"/>
      <c r="BV621" s="7"/>
      <c r="BW621" s="7"/>
      <c r="BX621" s="7"/>
      <c r="BY621" s="7"/>
      <c r="BZ621" s="7"/>
      <c r="CA621" s="7"/>
      <c r="CB621" s="7"/>
    </row>
    <row r="622" ht="21.75" customHeight="1">
      <c r="A622" s="7">
        <v>523.0</v>
      </c>
      <c r="B622" s="7" t="s">
        <v>7714</v>
      </c>
      <c r="C622" s="7" t="s">
        <v>7715</v>
      </c>
      <c r="D622" s="7" t="s">
        <v>7715</v>
      </c>
      <c r="E622" s="7"/>
      <c r="F622" s="7" t="s">
        <v>342</v>
      </c>
      <c r="G622" s="7" t="s">
        <v>343</v>
      </c>
      <c r="H622" s="7" t="s">
        <v>123</v>
      </c>
      <c r="I622" s="7" t="s">
        <v>7716</v>
      </c>
      <c r="J622" s="7"/>
      <c r="K622" s="7" t="s">
        <v>34</v>
      </c>
      <c r="L622" s="7" t="s">
        <v>622</v>
      </c>
      <c r="M622" s="7" t="s">
        <v>622</v>
      </c>
      <c r="N622" s="7" t="s">
        <v>664</v>
      </c>
      <c r="O622" s="7">
        <v>97480.0</v>
      </c>
      <c r="P622" s="7" t="s">
        <v>123</v>
      </c>
      <c r="Q622" s="7"/>
      <c r="R622" s="7" t="s">
        <v>1836</v>
      </c>
      <c r="S622" s="7" t="s">
        <v>6518</v>
      </c>
      <c r="T622" s="6" t="s">
        <v>4227</v>
      </c>
      <c r="U622" s="7" t="s">
        <v>353</v>
      </c>
      <c r="V622" s="7">
        <v>2.62565319E8</v>
      </c>
      <c r="W622" s="7"/>
      <c r="X622" s="7"/>
      <c r="Y622" s="7"/>
      <c r="Z622" s="7"/>
      <c r="AA622" s="7">
        <v>30.0</v>
      </c>
      <c r="AB622" s="7"/>
      <c r="AC622" s="7"/>
      <c r="AD622" s="7" t="s">
        <v>7717</v>
      </c>
      <c r="AE622" s="7" t="s">
        <v>7718</v>
      </c>
      <c r="AF622" s="7"/>
      <c r="AG622" s="7"/>
      <c r="AH622" s="20">
        <v>39575.0</v>
      </c>
      <c r="AI622" s="7"/>
      <c r="AJ622" s="7" t="s">
        <v>7719</v>
      </c>
      <c r="AK622" s="7">
        <v>3.2198346200011E13</v>
      </c>
      <c r="AL622" s="7" t="s">
        <v>7720</v>
      </c>
      <c r="AM622" s="7" t="s">
        <v>7721</v>
      </c>
      <c r="AN622" s="20">
        <v>39575.0</v>
      </c>
      <c r="AO622" s="7">
        <v>97480.0</v>
      </c>
      <c r="AP622" s="7" t="s">
        <v>385</v>
      </c>
      <c r="AQ622" s="7"/>
      <c r="AR622" s="7"/>
      <c r="AS622" s="7"/>
      <c r="AT622" s="7"/>
      <c r="AU622" s="7">
        <v>0.0</v>
      </c>
      <c r="AV622" s="7" t="s">
        <v>7722</v>
      </c>
      <c r="AW622" s="7"/>
      <c r="AX622" s="7"/>
      <c r="AY622" s="7"/>
      <c r="AZ622" s="7"/>
      <c r="BA622" s="7"/>
      <c r="BB622" s="7"/>
      <c r="BC622" s="7" t="s">
        <v>401</v>
      </c>
      <c r="BD622" s="21">
        <v>44238.45972222222</v>
      </c>
      <c r="BE622" s="7" t="s">
        <v>1047</v>
      </c>
      <c r="BF622" s="7"/>
      <c r="BG622" s="7"/>
      <c r="BH622" s="7">
        <v>3.21983462E8</v>
      </c>
      <c r="BI622" s="7" t="s">
        <v>7723</v>
      </c>
      <c r="BJ622" s="7"/>
      <c r="BK622" s="7" t="b">
        <v>0</v>
      </c>
      <c r="BL622" s="7" t="b">
        <v>0</v>
      </c>
      <c r="BM622" s="7"/>
      <c r="BN622" s="7" t="str">
        <f>IFERROR(__xludf.DUMMYFUNCTION(" IF( REGEXMATCH(C622 , ""[(].+[)]""),REGEXREPLACE( CONCATENATE(REGEXEXTRACT(C622 , ""[(].+[)]""),IF(REGEXMATCH(C622 , ""[(][Ll]['’][)]""),"""","" ""), REGEXEXTRACT(C622 ,""^(?:(?:[A-Za-zàäéèêîïöôûü0-9 ](?:[A-Za-zàäéèêîïöôûü'0-9 ]+)))"")) , ""[()]"", """")"&amp;",C622 )"),"Le Tropicana ")</f>
        <v>Le Tropicana </v>
      </c>
      <c r="BO622" s="25"/>
      <c r="BP622" s="7"/>
      <c r="BQ622" s="7"/>
      <c r="BR622" s="7"/>
      <c r="BS622" s="7"/>
      <c r="BT622" s="7"/>
      <c r="BU622" s="7"/>
      <c r="BV622" s="7"/>
      <c r="BW622" s="7"/>
      <c r="BX622" s="7"/>
      <c r="BY622" s="7"/>
      <c r="BZ622" s="7"/>
      <c r="CA622" s="7"/>
      <c r="CB622" s="7"/>
    </row>
    <row r="623" ht="21.75" customHeight="1">
      <c r="A623" s="7">
        <v>849.0</v>
      </c>
      <c r="B623" s="7">
        <v>622.0</v>
      </c>
      <c r="C623" s="7" t="s">
        <v>7724</v>
      </c>
      <c r="D623" s="7" t="s">
        <v>7725</v>
      </c>
      <c r="E623" s="7"/>
      <c r="F623" s="7" t="s">
        <v>404</v>
      </c>
      <c r="G623" s="7" t="s">
        <v>343</v>
      </c>
      <c r="H623" s="7" t="s">
        <v>344</v>
      </c>
      <c r="I623" s="7" t="s">
        <v>7726</v>
      </c>
      <c r="J623" s="26" t="s">
        <v>7727</v>
      </c>
      <c r="K623" s="7" t="s">
        <v>58</v>
      </c>
      <c r="L623" s="7" t="s">
        <v>59</v>
      </c>
      <c r="M623" s="7" t="s">
        <v>2013</v>
      </c>
      <c r="N623" s="7"/>
      <c r="O623" s="7">
        <v>97430.0</v>
      </c>
      <c r="P623" s="7" t="s">
        <v>344</v>
      </c>
      <c r="Q623" s="7"/>
      <c r="R623" s="7" t="s">
        <v>7728</v>
      </c>
      <c r="S623" s="7" t="s">
        <v>4024</v>
      </c>
      <c r="T623" s="7" t="s">
        <v>439</v>
      </c>
      <c r="U623" s="7" t="s">
        <v>786</v>
      </c>
      <c r="V623" s="7">
        <v>2.62570941E8</v>
      </c>
      <c r="W623" s="7"/>
      <c r="X623" s="7"/>
      <c r="Y623" s="7">
        <v>2.62570941E8</v>
      </c>
      <c r="Z623" s="7" t="s">
        <v>7729</v>
      </c>
      <c r="AA623" s="7">
        <v>2.0</v>
      </c>
      <c r="AB623" s="7"/>
      <c r="AC623" s="7" t="s">
        <v>7730</v>
      </c>
      <c r="AD623" s="7" t="s">
        <v>7731</v>
      </c>
      <c r="AE623" s="7" t="s">
        <v>7732</v>
      </c>
      <c r="AF623" s="7"/>
      <c r="AG623" s="7"/>
      <c r="AH623" s="20">
        <v>39667.0</v>
      </c>
      <c r="AI623" s="7"/>
      <c r="AJ623" s="7" t="s">
        <v>7733</v>
      </c>
      <c r="AK623" s="7"/>
      <c r="AL623" s="7" t="s">
        <v>7734</v>
      </c>
      <c r="AM623" s="7" t="s">
        <v>7735</v>
      </c>
      <c r="AN623" s="20">
        <v>39575.0</v>
      </c>
      <c r="AO623" s="7">
        <v>97430.0</v>
      </c>
      <c r="AP623" s="7" t="s">
        <v>494</v>
      </c>
      <c r="AQ623" s="7"/>
      <c r="AR623" s="7"/>
      <c r="AS623" s="7"/>
      <c r="AT623" s="7"/>
      <c r="AU623" s="7">
        <v>1.0</v>
      </c>
      <c r="AV623" s="7" t="s">
        <v>7736</v>
      </c>
      <c r="AW623" s="7"/>
      <c r="AX623" s="7"/>
      <c r="AY623" s="7"/>
      <c r="AZ623" s="7"/>
      <c r="BA623" s="7"/>
      <c r="BB623" s="7"/>
      <c r="BC623" s="7" t="s">
        <v>366</v>
      </c>
      <c r="BD623" s="21">
        <v>44167.097916666666</v>
      </c>
      <c r="BE623" s="7"/>
      <c r="BF623" s="7"/>
      <c r="BG623" s="22">
        <v>44167.0</v>
      </c>
      <c r="BH623" s="7"/>
      <c r="BI623" s="7" t="s">
        <v>7737</v>
      </c>
      <c r="BJ623" s="7"/>
      <c r="BK623" s="7" t="b">
        <v>0</v>
      </c>
      <c r="BL623" s="7" t="b">
        <v>0</v>
      </c>
      <c r="BM623" s="7"/>
      <c r="BN623" s="7" t="str">
        <f>IFERROR(__xludf.DUMMYFUNCTION(" IF( REGEXMATCH(C623 , ""[(].+[)]""),REGEXREPLACE( CONCATENATE(REGEXEXTRACT(C623 , ""[(].+[)]""),IF(REGEXMATCH(C623 , ""[(][Ll]['’][)]""),"""","" ""), REGEXEXTRACT(C623 ,""^(?:(?:[A-Za-zàäéèêîïöôûü0-9 ](?:[A-Za-zàäéèêîïöôûü'0-9 ]+)))"")) , ""[()]"", """")"&amp;",C623 )"),"Le Tulipier ")</f>
        <v>Le Tulipier </v>
      </c>
      <c r="BO623" s="23"/>
      <c r="BP623" s="7"/>
      <c r="BQ623" s="7"/>
      <c r="BR623" s="7"/>
      <c r="BS623" s="7"/>
      <c r="BT623" s="7"/>
      <c r="BU623" s="7"/>
      <c r="BV623" s="7"/>
      <c r="BW623" s="7"/>
      <c r="BX623" s="7"/>
      <c r="BY623" s="7"/>
      <c r="BZ623" s="7"/>
      <c r="CA623" s="7"/>
      <c r="CB623" s="7"/>
    </row>
    <row r="624" ht="21.75" customHeight="1">
      <c r="A624" s="7">
        <v>848.0</v>
      </c>
      <c r="B624" s="7">
        <v>623.0</v>
      </c>
      <c r="C624" s="7" t="s">
        <v>7724</v>
      </c>
      <c r="D624" s="7" t="s">
        <v>7725</v>
      </c>
      <c r="E624" s="7"/>
      <c r="F624" s="7" t="s">
        <v>404</v>
      </c>
      <c r="G624" s="7" t="s">
        <v>343</v>
      </c>
      <c r="H624" s="7" t="s">
        <v>344</v>
      </c>
      <c r="I624" s="7" t="s">
        <v>7726</v>
      </c>
      <c r="J624" s="26" t="s">
        <v>7727</v>
      </c>
      <c r="K624" s="7" t="s">
        <v>58</v>
      </c>
      <c r="L624" s="7" t="s">
        <v>453</v>
      </c>
      <c r="M624" s="7" t="s">
        <v>454</v>
      </c>
      <c r="N624" s="7" t="s">
        <v>2525</v>
      </c>
      <c r="O624" s="7">
        <v>97430.0</v>
      </c>
      <c r="P624" s="7" t="s">
        <v>344</v>
      </c>
      <c r="Q624" s="7"/>
      <c r="R624" s="7" t="s">
        <v>7738</v>
      </c>
      <c r="S624" s="7" t="s">
        <v>7739</v>
      </c>
      <c r="T624" s="7" t="s">
        <v>439</v>
      </c>
      <c r="U624" s="7" t="s">
        <v>1698</v>
      </c>
      <c r="V624" s="7">
        <v>2.62570941E8</v>
      </c>
      <c r="W624" s="7"/>
      <c r="X624" s="7"/>
      <c r="Y624" s="7">
        <v>2.62570941E8</v>
      </c>
      <c r="Z624" s="7" t="s">
        <v>7729</v>
      </c>
      <c r="AA624" s="7">
        <v>2.0</v>
      </c>
      <c r="AB624" s="7"/>
      <c r="AC624" s="7" t="s">
        <v>7740</v>
      </c>
      <c r="AD624" s="7" t="s">
        <v>7741</v>
      </c>
      <c r="AE624" s="7" t="s">
        <v>7732</v>
      </c>
      <c r="AF624" s="7"/>
      <c r="AG624" s="7"/>
      <c r="AH624" s="20">
        <v>39575.0</v>
      </c>
      <c r="AI624" s="7"/>
      <c r="AJ624" s="7" t="s">
        <v>7733</v>
      </c>
      <c r="AK624" s="7"/>
      <c r="AL624" s="7" t="s">
        <v>7734</v>
      </c>
      <c r="AM624" s="7" t="s">
        <v>7735</v>
      </c>
      <c r="AN624" s="20">
        <v>39575.0</v>
      </c>
      <c r="AO624" s="7">
        <v>97430.0</v>
      </c>
      <c r="AP624" s="7" t="s">
        <v>494</v>
      </c>
      <c r="AQ624" s="7"/>
      <c r="AR624" s="7"/>
      <c r="AS624" s="7"/>
      <c r="AT624" s="7"/>
      <c r="AU624" s="7">
        <v>1.0</v>
      </c>
      <c r="AV624" s="7" t="s">
        <v>7736</v>
      </c>
      <c r="AW624" s="7"/>
      <c r="AX624" s="7"/>
      <c r="AY624" s="7"/>
      <c r="AZ624" s="7"/>
      <c r="BA624" s="7"/>
      <c r="BB624" s="7"/>
      <c r="BC624" s="7" t="s">
        <v>366</v>
      </c>
      <c r="BD624" s="21">
        <v>44167.097916666666</v>
      </c>
      <c r="BE624" s="7"/>
      <c r="BF624" s="7"/>
      <c r="BG624" s="22">
        <v>44167.0</v>
      </c>
      <c r="BH624" s="7"/>
      <c r="BI624" s="7" t="s">
        <v>7737</v>
      </c>
      <c r="BJ624" s="7"/>
      <c r="BK624" s="7" t="b">
        <v>0</v>
      </c>
      <c r="BL624" s="7" t="b">
        <v>0</v>
      </c>
      <c r="BM624" s="7"/>
      <c r="BN624" s="7" t="str">
        <f>IFERROR(__xludf.DUMMYFUNCTION(" IF( REGEXMATCH(C624 , ""[(].+[)]""),REGEXREPLACE( CONCATENATE(REGEXEXTRACT(C624 , ""[(].+[)]""),IF(REGEXMATCH(C624 , ""[(][Ll]['’][)]""),"""","" ""), REGEXEXTRACT(C624 ,""^(?:(?:[A-Za-zàäéèêîïöôûü0-9 ](?:[A-Za-zàäéèêîïöôûü'0-9 ]+)))"")) , ""[()]"", """")"&amp;",C624 )"),"Le Tulipier ")</f>
        <v>Le Tulipier </v>
      </c>
      <c r="BO624" s="23"/>
      <c r="BP624" s="7"/>
      <c r="BQ624" s="7"/>
      <c r="BR624" s="7"/>
      <c r="BS624" s="7"/>
      <c r="BT624" s="7"/>
      <c r="BU624" s="7"/>
      <c r="BV624" s="7"/>
      <c r="BW624" s="7"/>
      <c r="BX624" s="7"/>
      <c r="BY624" s="7"/>
      <c r="BZ624" s="7"/>
      <c r="CA624" s="7"/>
      <c r="CB624" s="7"/>
    </row>
    <row r="625" ht="21.75" customHeight="1">
      <c r="A625" s="7">
        <v>351.0</v>
      </c>
      <c r="B625" s="7">
        <v>624.0</v>
      </c>
      <c r="C625" s="7" t="s">
        <v>2973</v>
      </c>
      <c r="D625" s="7" t="s">
        <v>2968</v>
      </c>
      <c r="E625" s="7"/>
      <c r="F625" s="7" t="s">
        <v>404</v>
      </c>
      <c r="G625" s="7" t="s">
        <v>343</v>
      </c>
      <c r="H625" s="7" t="s">
        <v>123</v>
      </c>
      <c r="I625" s="7" t="s">
        <v>7742</v>
      </c>
      <c r="J625" s="7"/>
      <c r="K625" s="7" t="s">
        <v>58</v>
      </c>
      <c r="L625" s="7" t="s">
        <v>453</v>
      </c>
      <c r="M625" s="7" t="s">
        <v>1415</v>
      </c>
      <c r="N625" s="7" t="s">
        <v>455</v>
      </c>
      <c r="O625" s="7">
        <v>97480.0</v>
      </c>
      <c r="P625" s="7" t="s">
        <v>123</v>
      </c>
      <c r="Q625" s="7" t="s">
        <v>7743</v>
      </c>
      <c r="R625" s="7" t="s">
        <v>7002</v>
      </c>
      <c r="S625" s="7" t="s">
        <v>1922</v>
      </c>
      <c r="T625" s="7" t="s">
        <v>1677</v>
      </c>
      <c r="U625" s="7" t="s">
        <v>353</v>
      </c>
      <c r="V625" s="7">
        <v>2.62374062E8</v>
      </c>
      <c r="W625" s="7">
        <v>6.92813237E8</v>
      </c>
      <c r="X625" s="7"/>
      <c r="Y625" s="7"/>
      <c r="Z625" s="7" t="s">
        <v>7744</v>
      </c>
      <c r="AA625" s="7">
        <v>16.0</v>
      </c>
      <c r="AB625" s="7" t="s">
        <v>788</v>
      </c>
      <c r="AC625" s="7"/>
      <c r="AD625" s="7" t="s">
        <v>7745</v>
      </c>
      <c r="AE625" s="7" t="s">
        <v>2972</v>
      </c>
      <c r="AF625" s="7"/>
      <c r="AG625" s="7" t="s">
        <v>578</v>
      </c>
      <c r="AH625" s="20">
        <v>39599.0</v>
      </c>
      <c r="AI625" s="7"/>
      <c r="AJ625" s="7" t="s">
        <v>2973</v>
      </c>
      <c r="AK625" s="7"/>
      <c r="AL625" s="7" t="s">
        <v>2974</v>
      </c>
      <c r="AM625" s="7" t="s">
        <v>2975</v>
      </c>
      <c r="AN625" s="20">
        <v>39575.0</v>
      </c>
      <c r="AO625" s="7">
        <v>97480.0</v>
      </c>
      <c r="AP625" s="7" t="s">
        <v>385</v>
      </c>
      <c r="AQ625" s="7"/>
      <c r="AR625" s="7"/>
      <c r="AS625" s="7"/>
      <c r="AT625" s="7"/>
      <c r="AU625" s="7">
        <v>4.0</v>
      </c>
      <c r="AV625" s="7" t="s">
        <v>7746</v>
      </c>
      <c r="AW625" s="7"/>
      <c r="AX625" s="7"/>
      <c r="AY625" s="7"/>
      <c r="AZ625" s="7" t="s">
        <v>7747</v>
      </c>
      <c r="BA625" s="7"/>
      <c r="BB625" s="7"/>
      <c r="BC625" s="7" t="s">
        <v>366</v>
      </c>
      <c r="BD625" s="21">
        <v>44157.48263888889</v>
      </c>
      <c r="BE625" s="7"/>
      <c r="BF625" s="7"/>
      <c r="BG625" s="22">
        <v>44157.0</v>
      </c>
      <c r="BH625" s="7"/>
      <c r="BI625" s="7" t="s">
        <v>7748</v>
      </c>
      <c r="BJ625" s="7"/>
      <c r="BK625" s="7" t="b">
        <v>0</v>
      </c>
      <c r="BL625" s="7" t="b">
        <v>0</v>
      </c>
      <c r="BM625" s="7"/>
      <c r="BN625" s="7" t="str">
        <f>IFERROR(__xludf.DUMMYFUNCTION(" IF( REGEXMATCH(C625 , ""[(].+[)]""),REGEXREPLACE( CONCATENATE(REGEXEXTRACT(C625 , ""[(].+[)]""),IF(REGEXMATCH(C625 , ""[(][Ll]['’][)]""),"""","" ""), REGEXEXTRACT(C625 ,""^(?:(?:[A-Za-zàäéèêîïöôûü0-9 ](?:[A-Za-zàäéèêîïöôûü'0-9 ]+)))"")) , ""[()]"", """")"&amp;",C625 )"),"Turpin Elvina")</f>
        <v>Turpin Elvina</v>
      </c>
      <c r="BO625" s="23"/>
      <c r="BP625" s="7"/>
      <c r="BQ625" s="7"/>
      <c r="BR625" s="7"/>
      <c r="BS625" s="7"/>
      <c r="BT625" s="7"/>
      <c r="BU625" s="7"/>
      <c r="BV625" s="7"/>
      <c r="BW625" s="7"/>
      <c r="BX625" s="7"/>
      <c r="BY625" s="7"/>
      <c r="BZ625" s="7"/>
      <c r="CA625" s="7"/>
      <c r="CB625" s="7"/>
    </row>
    <row r="626" ht="21.75" customHeight="1">
      <c r="A626" s="7">
        <v>1927.0</v>
      </c>
      <c r="B626" s="7">
        <v>625.0</v>
      </c>
      <c r="C626" s="7" t="s">
        <v>7749</v>
      </c>
      <c r="D626" s="7" t="s">
        <v>7749</v>
      </c>
      <c r="E626" s="7"/>
      <c r="F626" s="7" t="s">
        <v>342</v>
      </c>
      <c r="G626" s="7" t="s">
        <v>343</v>
      </c>
      <c r="H626" s="7" t="s">
        <v>33</v>
      </c>
      <c r="I626" s="7" t="s">
        <v>7750</v>
      </c>
      <c r="J626" s="7"/>
      <c r="K626" s="6" t="s">
        <v>469</v>
      </c>
      <c r="L626" s="7" t="s">
        <v>197</v>
      </c>
      <c r="M626" s="7" t="s">
        <v>559</v>
      </c>
      <c r="N626" s="7" t="s">
        <v>375</v>
      </c>
      <c r="O626" s="7">
        <v>97442.0</v>
      </c>
      <c r="P626" s="7" t="s">
        <v>33</v>
      </c>
      <c r="Q626" s="7"/>
      <c r="R626" s="7"/>
      <c r="S626" s="7" t="s">
        <v>1377</v>
      </c>
      <c r="T626" s="7" t="s">
        <v>377</v>
      </c>
      <c r="U626" s="7" t="s">
        <v>353</v>
      </c>
      <c r="V626" s="7">
        <v>2.62371696E8</v>
      </c>
      <c r="W626" s="7">
        <v>6.92027976E8</v>
      </c>
      <c r="X626" s="7"/>
      <c r="Y626" s="7"/>
      <c r="Z626" s="7"/>
      <c r="AA626" s="7"/>
      <c r="AB626" s="7"/>
      <c r="AC626" s="7" t="s">
        <v>7751</v>
      </c>
      <c r="AD626" s="7" t="s">
        <v>7752</v>
      </c>
      <c r="AE626" s="7" t="s">
        <v>7753</v>
      </c>
      <c r="AF626" s="7" t="s">
        <v>4885</v>
      </c>
      <c r="AG626" s="7"/>
      <c r="AH626" s="20">
        <v>43739.0</v>
      </c>
      <c r="AI626" s="7"/>
      <c r="AJ626" s="7" t="s">
        <v>7754</v>
      </c>
      <c r="AK626" s="7">
        <v>4.3519935100014E13</v>
      </c>
      <c r="AL626" s="7" t="s">
        <v>7755</v>
      </c>
      <c r="AM626" s="7" t="s">
        <v>7756</v>
      </c>
      <c r="AN626" s="20">
        <v>43739.0</v>
      </c>
      <c r="AO626" s="7">
        <v>97442.0</v>
      </c>
      <c r="AP626" s="7" t="s">
        <v>884</v>
      </c>
      <c r="AQ626" s="7"/>
      <c r="AR626" s="7"/>
      <c r="AS626" s="7"/>
      <c r="AT626" s="7"/>
      <c r="AU626" s="7">
        <v>0.0</v>
      </c>
      <c r="AV626" s="7" t="s">
        <v>7757</v>
      </c>
      <c r="AW626" s="7"/>
      <c r="AX626" s="7"/>
      <c r="AY626" s="7"/>
      <c r="AZ626" s="7"/>
      <c r="BA626" s="7"/>
      <c r="BB626" s="7"/>
      <c r="BC626" s="7" t="s">
        <v>366</v>
      </c>
      <c r="BD626" s="21">
        <v>44197.0</v>
      </c>
      <c r="BE626" s="7"/>
      <c r="BF626" s="7"/>
      <c r="BG626" s="22">
        <v>44197.0</v>
      </c>
      <c r="BH626" s="7">
        <v>4.35199351E8</v>
      </c>
      <c r="BI626" s="7" t="s">
        <v>7758</v>
      </c>
      <c r="BJ626" s="7"/>
      <c r="BK626" s="7" t="b">
        <v>0</v>
      </c>
      <c r="BL626" s="7" t="b">
        <v>0</v>
      </c>
      <c r="BM626" s="7"/>
      <c r="BN626" s="7" t="str">
        <f>IFERROR(__xludf.DUMMYFUNCTION(" IF( REGEXMATCH(C626 , ""[(].+[)]""),REGEXREPLACE( CONCATENATE(REGEXEXTRACT(C626 , ""[(].+[)]""),IF(REGEXMATCH(C626 , ""[(][Ll]['’][)]""),"""","" ""), REGEXEXTRACT(C626 ,""^(?:(?:[A-Za-zàäéèêîïöôûü0-9 ](?:[A-Za-zàäéèêîïöôûü'0-9 ]+)))"")) , ""[()]"", """")"&amp;",C626 )"),"Vacoa Sud")</f>
        <v>Vacoa Sud</v>
      </c>
      <c r="BO626" s="23"/>
      <c r="BP626" s="7"/>
      <c r="BQ626" s="7"/>
      <c r="BR626" s="7"/>
      <c r="BS626" s="7"/>
      <c r="BT626" s="7"/>
      <c r="BU626" s="7"/>
      <c r="BV626" s="7"/>
      <c r="BW626" s="7"/>
      <c r="BX626" s="7"/>
      <c r="BY626" s="7"/>
      <c r="BZ626" s="7"/>
      <c r="CA626" s="7"/>
      <c r="CB626" s="7"/>
    </row>
    <row r="627" ht="21.75" customHeight="1">
      <c r="A627" s="7">
        <v>2948.0</v>
      </c>
      <c r="B627" s="7">
        <v>626.0</v>
      </c>
      <c r="C627" s="7" t="s">
        <v>7759</v>
      </c>
      <c r="D627" s="7" t="s">
        <v>7760</v>
      </c>
      <c r="E627" s="7"/>
      <c r="F627" s="7" t="s">
        <v>404</v>
      </c>
      <c r="G627" s="7" t="s">
        <v>343</v>
      </c>
      <c r="H627" s="7" t="s">
        <v>33</v>
      </c>
      <c r="I627" s="7" t="s">
        <v>7761</v>
      </c>
      <c r="J627" s="7"/>
      <c r="K627" s="7" t="s">
        <v>3680</v>
      </c>
      <c r="L627" s="7" t="s">
        <v>7762</v>
      </c>
      <c r="M627" s="7" t="s">
        <v>7763</v>
      </c>
      <c r="N627" s="7" t="s">
        <v>375</v>
      </c>
      <c r="O627" s="7">
        <v>97442.0</v>
      </c>
      <c r="P627" s="7" t="s">
        <v>33</v>
      </c>
      <c r="Q627" s="7"/>
      <c r="R627" s="7" t="s">
        <v>7764</v>
      </c>
      <c r="S627" s="7" t="s">
        <v>3334</v>
      </c>
      <c r="T627" s="7" t="s">
        <v>4054</v>
      </c>
      <c r="U627" s="7" t="s">
        <v>592</v>
      </c>
      <c r="V627" s="7">
        <v>2.62415785E8</v>
      </c>
      <c r="W627" s="7">
        <v>6.93937628E8</v>
      </c>
      <c r="X627" s="7"/>
      <c r="Y627" s="7">
        <v>2.62685786E8</v>
      </c>
      <c r="Z627" s="7" t="s">
        <v>7765</v>
      </c>
      <c r="AA627" s="7">
        <v>24.0</v>
      </c>
      <c r="AB627" s="7"/>
      <c r="AC627" s="7"/>
      <c r="AD627" s="7" t="s">
        <v>7766</v>
      </c>
      <c r="AE627" s="7" t="s">
        <v>7767</v>
      </c>
      <c r="AF627" s="7"/>
      <c r="AG627" s="7"/>
      <c r="AH627" s="20">
        <v>43739.0</v>
      </c>
      <c r="AI627" s="7"/>
      <c r="AJ627" s="7" t="s">
        <v>7768</v>
      </c>
      <c r="AK627" s="7"/>
      <c r="AL627" s="7" t="s">
        <v>7769</v>
      </c>
      <c r="AM627" s="7" t="s">
        <v>7770</v>
      </c>
      <c r="AN627" s="20">
        <v>43739.0</v>
      </c>
      <c r="AO627" s="7">
        <v>97442.0</v>
      </c>
      <c r="AP627" s="7" t="s">
        <v>884</v>
      </c>
      <c r="AQ627" s="7"/>
      <c r="AR627" s="7"/>
      <c r="AS627" s="7"/>
      <c r="AT627" s="7"/>
      <c r="AU627" s="7">
        <v>0.0</v>
      </c>
      <c r="AV627" s="7" t="s">
        <v>7771</v>
      </c>
      <c r="AW627" s="7"/>
      <c r="AX627" s="7"/>
      <c r="AY627" s="7"/>
      <c r="AZ627" s="7"/>
      <c r="BA627" s="7"/>
      <c r="BB627" s="7"/>
      <c r="BC627" s="7" t="s">
        <v>366</v>
      </c>
      <c r="BD627" s="21">
        <v>44122.208333333336</v>
      </c>
      <c r="BE627" s="7"/>
      <c r="BF627" s="7"/>
      <c r="BG627" s="22">
        <v>44122.0</v>
      </c>
      <c r="BH627" s="7"/>
      <c r="BI627" s="7" t="s">
        <v>7772</v>
      </c>
      <c r="BJ627" s="7"/>
      <c r="BK627" s="7" t="b">
        <v>0</v>
      </c>
      <c r="BL627" s="7" t="b">
        <v>0</v>
      </c>
      <c r="BM627" s="7"/>
      <c r="BN627" s="7" t="str">
        <f>IFERROR(__xludf.DUMMYFUNCTION(" IF( REGEXMATCH(C627 , ""[(].+[)]""),REGEXREPLACE( CONCATENATE(REGEXEXTRACT(C627 , ""[(].+[)]""),IF(REGEXMATCH(C627 , ""[(][Ll]['’][)]""),"""","" ""), REGEXEXTRACT(C627 ,""^(?:(?:[A-Za-zàäéèêîïöôûü0-9 ](?:[A-Za-zàäéèêîïöôûü'0-9 ]+)))"")) , ""[()]"", """")"&amp;",C627 )"),"La Vague du Sud ")</f>
        <v>La Vague du Sud </v>
      </c>
      <c r="BO627" s="23"/>
      <c r="BP627" s="7"/>
      <c r="BQ627" s="7"/>
      <c r="BR627" s="7"/>
      <c r="BS627" s="7"/>
      <c r="BT627" s="7"/>
      <c r="BU627" s="7"/>
      <c r="BV627" s="7"/>
      <c r="BW627" s="7"/>
      <c r="BX627" s="7"/>
      <c r="BY627" s="7"/>
      <c r="BZ627" s="7"/>
      <c r="CA627" s="7"/>
      <c r="CB627" s="7"/>
    </row>
    <row r="628" ht="21.75" customHeight="1">
      <c r="A628" s="7">
        <v>2847.0</v>
      </c>
      <c r="B628" s="7" t="s">
        <v>7773</v>
      </c>
      <c r="C628" s="7" t="s">
        <v>7774</v>
      </c>
      <c r="D628" s="7"/>
      <c r="E628" s="7"/>
      <c r="F628" s="7" t="s">
        <v>342</v>
      </c>
      <c r="G628" s="7" t="s">
        <v>343</v>
      </c>
      <c r="H628" s="7" t="s">
        <v>33</v>
      </c>
      <c r="I628" s="7" t="s">
        <v>7775</v>
      </c>
      <c r="J628" s="7"/>
      <c r="K628" s="7" t="s">
        <v>822</v>
      </c>
      <c r="L628" s="7" t="s">
        <v>4789</v>
      </c>
      <c r="M628" s="7" t="s">
        <v>4790</v>
      </c>
      <c r="N628" s="7" t="s">
        <v>375</v>
      </c>
      <c r="O628" s="7">
        <v>97442.0</v>
      </c>
      <c r="P628" s="7" t="s">
        <v>33</v>
      </c>
      <c r="Q628" s="7"/>
      <c r="R628" s="7"/>
      <c r="S628" s="7"/>
      <c r="T628" s="7" t="s">
        <v>377</v>
      </c>
      <c r="U628" s="7" t="s">
        <v>592</v>
      </c>
      <c r="V628" s="7">
        <v>2.62371245E8</v>
      </c>
      <c r="W628" s="7">
        <v>6.92683827E8</v>
      </c>
      <c r="X628" s="7"/>
      <c r="Y628" s="7"/>
      <c r="Z628" s="7" t="s">
        <v>7776</v>
      </c>
      <c r="AA628" s="7">
        <v>6.0</v>
      </c>
      <c r="AB628" s="7"/>
      <c r="AC628" s="7" t="s">
        <v>7777</v>
      </c>
      <c r="AD628" s="7" t="s">
        <v>7778</v>
      </c>
      <c r="AE628" s="7" t="s">
        <v>7779</v>
      </c>
      <c r="AF628" s="7"/>
      <c r="AG628" s="7"/>
      <c r="AH628" s="20">
        <v>40605.0</v>
      </c>
      <c r="AI628" s="7"/>
      <c r="AJ628" s="7" t="s">
        <v>7780</v>
      </c>
      <c r="AK628" s="7">
        <v>4.3102619400016E13</v>
      </c>
      <c r="AL628" s="7" t="s">
        <v>7781</v>
      </c>
      <c r="AM628" s="7" t="s">
        <v>7782</v>
      </c>
      <c r="AN628" s="20">
        <v>40605.0</v>
      </c>
      <c r="AO628" s="7">
        <v>97442.0</v>
      </c>
      <c r="AP628" s="7" t="s">
        <v>884</v>
      </c>
      <c r="AQ628" s="7"/>
      <c r="AR628" s="7"/>
      <c r="AS628" s="7"/>
      <c r="AT628" s="7"/>
      <c r="AU628" s="7">
        <v>0.0</v>
      </c>
      <c r="AV628" s="7" t="s">
        <v>7783</v>
      </c>
      <c r="AW628" s="7"/>
      <c r="AX628" s="7"/>
      <c r="AY628" s="7"/>
      <c r="AZ628" s="7"/>
      <c r="BA628" s="7"/>
      <c r="BB628" s="7"/>
      <c r="BC628" s="7" t="s">
        <v>401</v>
      </c>
      <c r="BD628" s="21">
        <v>44171.0</v>
      </c>
      <c r="BE628" s="7" t="s">
        <v>5685</v>
      </c>
      <c r="BF628" s="7"/>
      <c r="BG628" s="7"/>
      <c r="BH628" s="7">
        <v>4.31026194E8</v>
      </c>
      <c r="BI628" s="7" t="s">
        <v>7784</v>
      </c>
      <c r="BJ628" s="7"/>
      <c r="BK628" s="7" t="b">
        <v>0</v>
      </c>
      <c r="BL628" s="7" t="b">
        <v>0</v>
      </c>
      <c r="BM628" s="7"/>
      <c r="BN628" s="7" t="str">
        <f>IFERROR(__xludf.DUMMYFUNCTION(" IF( REGEXMATCH(C628 , ""[(].+[)]""),REGEXREPLACE( CONCATENATE(REGEXEXTRACT(C628 , ""[(].+[)]""),IF(REGEXMATCH(C628 , ""[(][Ll]['’][)]""),"""","" ""), REGEXEXTRACT(C628 ,""^(?:(?:[A-Za-zàäéèêîïöôûü0-9 ](?:[A-Za-zàäéèêîïöôûü'0-9 ]+)))"")) , ""[()]"", """")"&amp;",C628 )"),"Vanille 100% Réunion")</f>
        <v>Vanille 100% Réunion</v>
      </c>
      <c r="BO628" s="25"/>
      <c r="BP628" s="7"/>
      <c r="BQ628" s="7"/>
      <c r="BR628" s="7"/>
      <c r="BS628" s="7"/>
      <c r="BT628" s="7"/>
      <c r="BU628" s="7"/>
      <c r="BV628" s="7"/>
      <c r="BW628" s="7"/>
      <c r="BX628" s="7"/>
      <c r="BY628" s="7"/>
      <c r="BZ628" s="7"/>
      <c r="CA628" s="7"/>
      <c r="CB628" s="7"/>
    </row>
    <row r="629" ht="21.75" customHeight="1">
      <c r="A629" s="7">
        <v>2978.0</v>
      </c>
      <c r="B629" s="7" t="s">
        <v>7785</v>
      </c>
      <c r="C629" s="7" t="s">
        <v>7786</v>
      </c>
      <c r="D629" s="7"/>
      <c r="E629" s="7"/>
      <c r="F629" s="7" t="s">
        <v>342</v>
      </c>
      <c r="G629" s="7" t="s">
        <v>343</v>
      </c>
      <c r="H629" s="7" t="s">
        <v>33</v>
      </c>
      <c r="I629" s="7" t="s">
        <v>7787</v>
      </c>
      <c r="J629" s="7"/>
      <c r="K629" s="7" t="s">
        <v>34</v>
      </c>
      <c r="L629" s="7" t="s">
        <v>622</v>
      </c>
      <c r="M629" s="7" t="s">
        <v>622</v>
      </c>
      <c r="N629" s="7"/>
      <c r="O629" s="7">
        <v>97442.0</v>
      </c>
      <c r="P629" s="7" t="s">
        <v>33</v>
      </c>
      <c r="Q629" s="7"/>
      <c r="R629" s="7"/>
      <c r="S629" s="7"/>
      <c r="T629" s="7" t="s">
        <v>974</v>
      </c>
      <c r="U629" s="7" t="s">
        <v>424</v>
      </c>
      <c r="V629" s="7">
        <v>2.62299112E8</v>
      </c>
      <c r="W629" s="7">
        <v>6.92002391E8</v>
      </c>
      <c r="X629" s="7"/>
      <c r="Y629" s="7"/>
      <c r="Z629" s="7" t="s">
        <v>7788</v>
      </c>
      <c r="AA629" s="7">
        <v>80.0</v>
      </c>
      <c r="AB629" s="7"/>
      <c r="AC629" s="7"/>
      <c r="AD629" s="7" t="s">
        <v>7789</v>
      </c>
      <c r="AE629" s="7" t="s">
        <v>7790</v>
      </c>
      <c r="AF629" s="7"/>
      <c r="AG629" s="7"/>
      <c r="AH629" s="20">
        <v>43739.0</v>
      </c>
      <c r="AI629" s="7"/>
      <c r="AJ629" s="7" t="s">
        <v>7791</v>
      </c>
      <c r="AK629" s="7">
        <v>4.8172632100013E13</v>
      </c>
      <c r="AL629" s="7" t="s">
        <v>7792</v>
      </c>
      <c r="AM629" s="7" t="s">
        <v>7793</v>
      </c>
      <c r="AN629" s="20">
        <v>43739.0</v>
      </c>
      <c r="AO629" s="7">
        <v>97442.0</v>
      </c>
      <c r="AP629" s="7" t="s">
        <v>884</v>
      </c>
      <c r="AQ629" s="7"/>
      <c r="AR629" s="7"/>
      <c r="AS629" s="7"/>
      <c r="AT629" s="7"/>
      <c r="AU629" s="7">
        <v>0.0</v>
      </c>
      <c r="AV629" s="7" t="s">
        <v>7794</v>
      </c>
      <c r="AW629" s="7"/>
      <c r="AX629" s="7"/>
      <c r="AY629" s="7"/>
      <c r="AZ629" s="7"/>
      <c r="BA629" s="7"/>
      <c r="BB629" s="7"/>
      <c r="BC629" s="7" t="s">
        <v>401</v>
      </c>
      <c r="BD629" s="21">
        <v>44238.06319444445</v>
      </c>
      <c r="BE629" s="7" t="s">
        <v>5685</v>
      </c>
      <c r="BF629" s="7"/>
      <c r="BG629" s="7"/>
      <c r="BH629" s="7">
        <v>4.81726321E8</v>
      </c>
      <c r="BI629" s="7" t="s">
        <v>7795</v>
      </c>
      <c r="BJ629" s="7"/>
      <c r="BK629" s="7" t="b">
        <v>0</v>
      </c>
      <c r="BL629" s="7" t="b">
        <v>0</v>
      </c>
      <c r="BM629" s="7"/>
      <c r="BN629" s="7" t="str">
        <f>IFERROR(__xludf.DUMMYFUNCTION(" IF( REGEXMATCH(C629 , ""[(].+[)]""),REGEXREPLACE( CONCATENATE(REGEXEXTRACT(C629 , ""[(].+[)]""),IF(REGEXMATCH(C629 , ""[(][Ll]['’][)]""),"""","" ""), REGEXEXTRACT(C629 ,""^(?:(?:[A-Za-zàäéèêîïöôûü0-9 ](?:[A-Za-zàäéèêîïöôûü'0-9 ]+)))"")) , ""[()]"", """")"&amp;",C629 )"),"Vanille Coco")</f>
        <v>Vanille Coco</v>
      </c>
      <c r="BO629" s="25"/>
      <c r="BP629" s="7"/>
      <c r="BQ629" s="7"/>
      <c r="BR629" s="7"/>
      <c r="BS629" s="7"/>
      <c r="BT629" s="7"/>
      <c r="BU629" s="7"/>
      <c r="BV629" s="7"/>
      <c r="BW629" s="7"/>
      <c r="BX629" s="7"/>
      <c r="BY629" s="7"/>
      <c r="BZ629" s="7"/>
      <c r="CA629" s="7"/>
      <c r="CB629" s="7"/>
    </row>
    <row r="630" ht="21.75" customHeight="1">
      <c r="A630" s="7">
        <v>2593.0</v>
      </c>
      <c r="B630" s="7">
        <v>629.0</v>
      </c>
      <c r="C630" s="7" t="s">
        <v>7796</v>
      </c>
      <c r="D630" s="7" t="s">
        <v>7797</v>
      </c>
      <c r="E630" s="7"/>
      <c r="F630" s="7" t="s">
        <v>404</v>
      </c>
      <c r="G630" s="7" t="s">
        <v>343</v>
      </c>
      <c r="H630" s="7" t="s">
        <v>33</v>
      </c>
      <c r="I630" s="7" t="s">
        <v>7798</v>
      </c>
      <c r="J630" s="26" t="s">
        <v>7799</v>
      </c>
      <c r="K630" s="7" t="s">
        <v>58</v>
      </c>
      <c r="L630" s="7" t="s">
        <v>453</v>
      </c>
      <c r="M630" s="7" t="s">
        <v>454</v>
      </c>
      <c r="N630" s="7" t="s">
        <v>375</v>
      </c>
      <c r="O630" s="7">
        <v>97442.0</v>
      </c>
      <c r="P630" s="7" t="s">
        <v>33</v>
      </c>
      <c r="Q630" s="7"/>
      <c r="R630" s="7" t="s">
        <v>7800</v>
      </c>
      <c r="S630" s="7" t="s">
        <v>7801</v>
      </c>
      <c r="T630" s="7" t="s">
        <v>377</v>
      </c>
      <c r="U630" s="7" t="s">
        <v>378</v>
      </c>
      <c r="V630" s="7">
        <v>2.62921887E8</v>
      </c>
      <c r="W630" s="7">
        <v>6.92449144E8</v>
      </c>
      <c r="X630" s="7"/>
      <c r="Y630" s="7">
        <v>2.62921887E8</v>
      </c>
      <c r="Z630" s="7" t="s">
        <v>7802</v>
      </c>
      <c r="AA630" s="7">
        <v>8.0</v>
      </c>
      <c r="AB630" s="7"/>
      <c r="AC630" s="7"/>
      <c r="AD630" s="7" t="s">
        <v>7803</v>
      </c>
      <c r="AE630" s="7"/>
      <c r="AF630" s="7"/>
      <c r="AG630" s="7"/>
      <c r="AH630" s="20">
        <v>43739.0</v>
      </c>
      <c r="AI630" s="7"/>
      <c r="AJ630" s="7" t="s">
        <v>7796</v>
      </c>
      <c r="AK630" s="7"/>
      <c r="AL630" s="7" t="s">
        <v>7804</v>
      </c>
      <c r="AM630" s="7" t="s">
        <v>7805</v>
      </c>
      <c r="AN630" s="20">
        <v>43739.0</v>
      </c>
      <c r="AO630" s="7">
        <v>97442.0</v>
      </c>
      <c r="AP630" s="7" t="s">
        <v>884</v>
      </c>
      <c r="AQ630" s="7"/>
      <c r="AR630" s="7"/>
      <c r="AS630" s="7"/>
      <c r="AT630" s="7"/>
      <c r="AU630" s="7">
        <v>4.0</v>
      </c>
      <c r="AV630" s="7" t="s">
        <v>7806</v>
      </c>
      <c r="AW630" s="7"/>
      <c r="AX630" s="7"/>
      <c r="AY630" s="7"/>
      <c r="AZ630" s="7"/>
      <c r="BA630" s="7"/>
      <c r="BB630" s="7"/>
      <c r="BC630" s="7" t="s">
        <v>366</v>
      </c>
      <c r="BD630" s="21">
        <v>44197.0</v>
      </c>
      <c r="BE630" s="7"/>
      <c r="BF630" s="7"/>
      <c r="BG630" s="22">
        <v>44197.0</v>
      </c>
      <c r="BH630" s="7"/>
      <c r="BI630" s="7" t="s">
        <v>7807</v>
      </c>
      <c r="BJ630" s="7"/>
      <c r="BK630" s="7" t="b">
        <v>0</v>
      </c>
      <c r="BL630" s="7" t="b">
        <v>0</v>
      </c>
      <c r="BM630" s="7"/>
      <c r="BN630" s="7" t="str">
        <f>IFERROR(__xludf.DUMMYFUNCTION(" IF( REGEXMATCH(C630 , ""[(].+[)]""),REGEXREPLACE( CONCATENATE(REGEXEXTRACT(C630 , ""[(].+[)]""),IF(REGEXMATCH(C630 , ""[(][Ll]['’][)]""),"""","" ""), REGEXEXTRACT(C630 ,""^(?:(?:[A-Za-zàäéèêîïöôûü0-9 ](?:[A-Za-zàäéèêîïöôûü'0-9 ]+)))"")) , ""[()]"", """")"&amp;",C630 )"),"Les Vanilliers ")</f>
        <v>Les Vanilliers </v>
      </c>
      <c r="BO630" s="23"/>
      <c r="BP630" s="7"/>
      <c r="BQ630" s="7"/>
      <c r="BR630" s="7"/>
      <c r="BS630" s="7"/>
      <c r="BT630" s="7"/>
      <c r="BU630" s="7"/>
      <c r="BV630" s="7"/>
      <c r="BW630" s="7"/>
      <c r="BX630" s="7"/>
      <c r="BY630" s="7"/>
      <c r="BZ630" s="7"/>
      <c r="CA630" s="7"/>
      <c r="CB630" s="7"/>
    </row>
    <row r="631" ht="21.75" customHeight="1">
      <c r="A631" s="7">
        <v>3259.0</v>
      </c>
      <c r="B631" s="7" t="s">
        <v>7808</v>
      </c>
      <c r="C631" s="7" t="s">
        <v>7809</v>
      </c>
      <c r="D631" s="7" t="s">
        <v>7810</v>
      </c>
      <c r="E631" s="7"/>
      <c r="F631" s="7" t="s">
        <v>404</v>
      </c>
      <c r="G631" s="7" t="s">
        <v>343</v>
      </c>
      <c r="H631" s="7" t="s">
        <v>40</v>
      </c>
      <c r="I631" s="7" t="s">
        <v>7811</v>
      </c>
      <c r="J631" s="7"/>
      <c r="K631" s="7" t="s">
        <v>58</v>
      </c>
      <c r="L631" s="7" t="s">
        <v>59</v>
      </c>
      <c r="M631" s="7" t="s">
        <v>346</v>
      </c>
      <c r="N631" s="7" t="s">
        <v>407</v>
      </c>
      <c r="O631" s="7">
        <v>97414.0</v>
      </c>
      <c r="P631" s="7" t="s">
        <v>40</v>
      </c>
      <c r="Q631" s="7"/>
      <c r="R631" s="7" t="s">
        <v>7812</v>
      </c>
      <c r="S631" s="7" t="s">
        <v>7813</v>
      </c>
      <c r="T631" s="7" t="s">
        <v>377</v>
      </c>
      <c r="U631" s="7" t="s">
        <v>851</v>
      </c>
      <c r="V631" s="7">
        <v>2.62707927E8</v>
      </c>
      <c r="W631" s="7">
        <v>6.92671768E8</v>
      </c>
      <c r="X631" s="7"/>
      <c r="Y631" s="7"/>
      <c r="Z631" s="7" t="s">
        <v>7814</v>
      </c>
      <c r="AA631" s="7">
        <v>6.0</v>
      </c>
      <c r="AB631" s="7"/>
      <c r="AC631" s="7" t="s">
        <v>7815</v>
      </c>
      <c r="AD631" s="7" t="s">
        <v>7816</v>
      </c>
      <c r="AE631" s="7" t="s">
        <v>7817</v>
      </c>
      <c r="AF631" s="7"/>
      <c r="AG631" s="7"/>
      <c r="AH631" s="20">
        <v>41173.0</v>
      </c>
      <c r="AI631" s="7"/>
      <c r="AJ631" s="7" t="s">
        <v>7818</v>
      </c>
      <c r="AK631" s="7"/>
      <c r="AL631" s="7" t="s">
        <v>7819</v>
      </c>
      <c r="AM631" s="7" t="s">
        <v>7820</v>
      </c>
      <c r="AN631" s="20">
        <v>41173.0</v>
      </c>
      <c r="AO631" s="7">
        <v>97414.0</v>
      </c>
      <c r="AP631" s="7" t="s">
        <v>429</v>
      </c>
      <c r="AQ631" s="7"/>
      <c r="AR631" s="7"/>
      <c r="AS631" s="7"/>
      <c r="AT631" s="7"/>
      <c r="AU631" s="7">
        <v>1.0</v>
      </c>
      <c r="AV631" s="7" t="s">
        <v>7821</v>
      </c>
      <c r="AW631" s="7"/>
      <c r="AX631" s="7"/>
      <c r="AY631" s="7"/>
      <c r="AZ631" s="7"/>
      <c r="BA631" s="7"/>
      <c r="BB631" s="7"/>
      <c r="BC631" s="7" t="s">
        <v>401</v>
      </c>
      <c r="BD631" s="21">
        <v>44075.49791666667</v>
      </c>
      <c r="BE631" s="7" t="s">
        <v>1047</v>
      </c>
      <c r="BF631" s="7"/>
      <c r="BG631" s="7"/>
      <c r="BH631" s="7"/>
      <c r="BI631" s="7" t="s">
        <v>7822</v>
      </c>
      <c r="BJ631" s="7"/>
      <c r="BK631" s="7" t="b">
        <v>0</v>
      </c>
      <c r="BL631" s="7" t="b">
        <v>0</v>
      </c>
      <c r="BM631" s="7"/>
      <c r="BN631" s="7" t="str">
        <f>IFERROR(__xludf.DUMMYFUNCTION(" IF( REGEXMATCH(C631 , ""[(].+[)]""),REGEXREPLACE( CONCATENATE(REGEXEXTRACT(C631 , ""[(].+[)]""),IF(REGEXMATCH(C631 , ""[(][Ll]['’][)]""),"""","" ""), REGEXEXTRACT(C631 ,""^(?:(?:[A-Za-zàäéèêîïöôûü0-9 ](?:[A-Za-zàäéèêîïöôûü'0-9 ]+)))"")) , ""[()]"", """")"&amp;",C631 )"),"Le Vavangueur ")</f>
        <v>Le Vavangueur </v>
      </c>
      <c r="BO631" s="25"/>
      <c r="BP631" s="7"/>
      <c r="BQ631" s="7"/>
      <c r="BR631" s="7"/>
      <c r="BS631" s="7"/>
      <c r="BT631" s="7"/>
      <c r="BU631" s="7"/>
      <c r="BV631" s="7"/>
      <c r="BW631" s="7"/>
      <c r="BX631" s="7"/>
      <c r="BY631" s="7"/>
      <c r="BZ631" s="7"/>
      <c r="CA631" s="7"/>
      <c r="CB631" s="7"/>
    </row>
    <row r="632" ht="21.75" customHeight="1">
      <c r="A632" s="7">
        <v>2322.0</v>
      </c>
      <c r="B632" s="7" t="s">
        <v>7823</v>
      </c>
      <c r="C632" s="7" t="s">
        <v>7824</v>
      </c>
      <c r="D632" s="7" t="s">
        <v>7825</v>
      </c>
      <c r="E632" s="7"/>
      <c r="F632" s="7" t="s">
        <v>342</v>
      </c>
      <c r="G632" s="7" t="s">
        <v>343</v>
      </c>
      <c r="H632" s="7" t="s">
        <v>40</v>
      </c>
      <c r="I632" s="7" t="s">
        <v>7826</v>
      </c>
      <c r="J632" s="7"/>
      <c r="K632" s="7" t="s">
        <v>58</v>
      </c>
      <c r="L632" s="7" t="s">
        <v>1859</v>
      </c>
      <c r="M632" s="7" t="s">
        <v>7827</v>
      </c>
      <c r="N632" s="7" t="s">
        <v>1092</v>
      </c>
      <c r="O632" s="7">
        <v>97414.0</v>
      </c>
      <c r="P632" s="7" t="s">
        <v>40</v>
      </c>
      <c r="Q632" s="7"/>
      <c r="R632" s="7" t="s">
        <v>7828</v>
      </c>
      <c r="S632" s="7" t="s">
        <v>2198</v>
      </c>
      <c r="T632" s="7" t="s">
        <v>377</v>
      </c>
      <c r="U632" s="7" t="s">
        <v>378</v>
      </c>
      <c r="V632" s="7"/>
      <c r="W632" s="7">
        <v>6.92123785E8</v>
      </c>
      <c r="X632" s="7">
        <v>6.92569666E8</v>
      </c>
      <c r="Y632" s="7"/>
      <c r="Z632" s="7" t="s">
        <v>7829</v>
      </c>
      <c r="AA632" s="7">
        <v>20.0</v>
      </c>
      <c r="AB632" s="7"/>
      <c r="AC632" s="7" t="s">
        <v>7830</v>
      </c>
      <c r="AD632" s="7" t="s">
        <v>7831</v>
      </c>
      <c r="AE632" s="7"/>
      <c r="AF632" s="7"/>
      <c r="AG632" s="7"/>
      <c r="AH632" s="20">
        <v>43739.0</v>
      </c>
      <c r="AI632" s="7"/>
      <c r="AJ632" s="7" t="s">
        <v>7832</v>
      </c>
      <c r="AK632" s="7"/>
      <c r="AL632" s="7" t="s">
        <v>7833</v>
      </c>
      <c r="AM632" s="7" t="s">
        <v>7834</v>
      </c>
      <c r="AN632" s="20">
        <v>43739.0</v>
      </c>
      <c r="AO632" s="7">
        <v>97414.0</v>
      </c>
      <c r="AP632" s="7" t="s">
        <v>429</v>
      </c>
      <c r="AQ632" s="7"/>
      <c r="AR632" s="7"/>
      <c r="AS632" s="7"/>
      <c r="AT632" s="7"/>
      <c r="AU632" s="7">
        <v>1.0</v>
      </c>
      <c r="AV632" s="7" t="s">
        <v>7835</v>
      </c>
      <c r="AW632" s="7"/>
      <c r="AX632" s="7"/>
      <c r="AY632" s="7"/>
      <c r="AZ632" s="7" t="s">
        <v>7836</v>
      </c>
      <c r="BA632" s="7"/>
      <c r="BB632" s="7"/>
      <c r="BC632" s="7" t="s">
        <v>401</v>
      </c>
      <c r="BD632" s="21">
        <v>44073.18680555555</v>
      </c>
      <c r="BE632" s="7" t="s">
        <v>449</v>
      </c>
      <c r="BF632" s="7"/>
      <c r="BG632" s="7"/>
      <c r="BH632" s="7"/>
      <c r="BI632" s="7" t="s">
        <v>7837</v>
      </c>
      <c r="BJ632" s="7"/>
      <c r="BK632" s="7" t="b">
        <v>0</v>
      </c>
      <c r="BL632" s="7" t="b">
        <v>0</v>
      </c>
      <c r="BM632" s="7"/>
      <c r="BN632" s="7" t="str">
        <f>IFERROR(__xludf.DUMMYFUNCTION(" IF( REGEXMATCH(C632 , ""[(].+[)]""),REGEXREPLACE( CONCATENATE(REGEXEXTRACT(C632 , ""[(].+[)]""),IF(REGEXMATCH(C632 , ""[(][Ll]['’][)]""),"""","" ""), REGEXEXTRACT(C632 ,""^(?:(?:[A-Za-zàäéèêîïöôûü0-9 ](?:[A-Za-zàäéèêîïöôûü'0-9 ]+)))"")) , ""[()]"", """")"&amp;",C632 )"),"Le Verger de la Chapelle ")</f>
        <v>Le Verger de la Chapelle </v>
      </c>
      <c r="BO632" s="25"/>
      <c r="BP632" s="7"/>
      <c r="BQ632" s="7"/>
      <c r="BR632" s="7"/>
      <c r="BS632" s="7"/>
      <c r="BT632" s="7"/>
      <c r="BU632" s="7"/>
      <c r="BV632" s="7"/>
      <c r="BW632" s="7"/>
      <c r="BX632" s="7"/>
      <c r="BY632" s="7"/>
      <c r="BZ632" s="7"/>
      <c r="CA632" s="7"/>
      <c r="CB632" s="7"/>
    </row>
    <row r="633" ht="21.75" customHeight="1">
      <c r="A633" s="7">
        <v>2209.0</v>
      </c>
      <c r="B633" s="7" t="s">
        <v>7838</v>
      </c>
      <c r="C633" s="7" t="s">
        <v>7839</v>
      </c>
      <c r="D633" s="7"/>
      <c r="E633" s="7"/>
      <c r="F633" s="7" t="s">
        <v>342</v>
      </c>
      <c r="G633" s="7" t="s">
        <v>343</v>
      </c>
      <c r="H633" s="7" t="s">
        <v>40</v>
      </c>
      <c r="I633" s="7" t="s">
        <v>7840</v>
      </c>
      <c r="J633" s="7"/>
      <c r="K633" s="6" t="s">
        <v>469</v>
      </c>
      <c r="L633" s="7" t="s">
        <v>197</v>
      </c>
      <c r="M633" s="7" t="s">
        <v>559</v>
      </c>
      <c r="N633" s="7" t="s">
        <v>455</v>
      </c>
      <c r="O633" s="7">
        <v>97414.0</v>
      </c>
      <c r="P633" s="7" t="s">
        <v>40</v>
      </c>
      <c r="Q633" s="7"/>
      <c r="R633" s="7" t="s">
        <v>3611</v>
      </c>
      <c r="S633" s="7" t="s">
        <v>1534</v>
      </c>
      <c r="T633" s="7" t="s">
        <v>377</v>
      </c>
      <c r="U633" s="7" t="s">
        <v>378</v>
      </c>
      <c r="V633" s="7"/>
      <c r="W633" s="7">
        <v>6.92666651E8</v>
      </c>
      <c r="X633" s="7"/>
      <c r="Y633" s="7"/>
      <c r="Z633" s="7" t="s">
        <v>7841</v>
      </c>
      <c r="AA633" s="7"/>
      <c r="AB633" s="7"/>
      <c r="AC633" s="7"/>
      <c r="AD633" s="7" t="s">
        <v>7842</v>
      </c>
      <c r="AE633" s="7"/>
      <c r="AF633" s="7" t="s">
        <v>7843</v>
      </c>
      <c r="AG633" s="7"/>
      <c r="AH633" s="20">
        <v>43739.0</v>
      </c>
      <c r="AI633" s="7"/>
      <c r="AJ633" s="7" t="s">
        <v>7844</v>
      </c>
      <c r="AK633" s="7">
        <v>3.3953889400025E13</v>
      </c>
      <c r="AL633" s="7" t="s">
        <v>7845</v>
      </c>
      <c r="AM633" s="7" t="s">
        <v>7846</v>
      </c>
      <c r="AN633" s="20">
        <v>43739.0</v>
      </c>
      <c r="AO633" s="7">
        <v>97414.0</v>
      </c>
      <c r="AP633" s="7" t="s">
        <v>429</v>
      </c>
      <c r="AQ633" s="7"/>
      <c r="AR633" s="7"/>
      <c r="AS633" s="7"/>
      <c r="AT633" s="7"/>
      <c r="AU633" s="7">
        <v>0.0</v>
      </c>
      <c r="AV633" s="7" t="s">
        <v>7847</v>
      </c>
      <c r="AW633" s="7"/>
      <c r="AX633" s="7"/>
      <c r="AY633" s="7"/>
      <c r="AZ633" s="7"/>
      <c r="BA633" s="7"/>
      <c r="BB633" s="7"/>
      <c r="BC633" s="7" t="s">
        <v>401</v>
      </c>
      <c r="BD633" s="21">
        <v>44081.0</v>
      </c>
      <c r="BE633" s="7" t="s">
        <v>449</v>
      </c>
      <c r="BF633" s="7"/>
      <c r="BG633" s="7"/>
      <c r="BH633" s="7">
        <v>3.39538894E8</v>
      </c>
      <c r="BI633" s="7" t="s">
        <v>7848</v>
      </c>
      <c r="BJ633" s="7"/>
      <c r="BK633" s="7" t="b">
        <v>0</v>
      </c>
      <c r="BL633" s="7" t="b">
        <v>0</v>
      </c>
      <c r="BM633" s="7"/>
      <c r="BN633" s="7" t="str">
        <f>IFERROR(__xludf.DUMMYFUNCTION(" IF( REGEXMATCH(C633 , ""[(].+[)]""),REGEXREPLACE( CONCATENATE(REGEXEXTRACT(C633 , ""[(].+[)]""),IF(REGEXMATCH(C633 , ""[(][Ll]['’][)]""),"""","" ""), REGEXEXTRACT(C633 ,""^(?:(?:[A-Za-zàäéèêîïöôûü0-9 ](?:[A-Za-zàäéèêîïöôûü'0-9 ]+)))"")) , ""[()]"", """")"&amp;",C633 )"),"Version Ecaille")</f>
        <v>Version Ecaille</v>
      </c>
      <c r="BO633" s="25"/>
      <c r="BP633" s="7"/>
      <c r="BQ633" s="7"/>
      <c r="BR633" s="7"/>
      <c r="BS633" s="7"/>
      <c r="BT633" s="7"/>
      <c r="BU633" s="7"/>
      <c r="BV633" s="7"/>
      <c r="BW633" s="7"/>
      <c r="BX633" s="7"/>
      <c r="BY633" s="7"/>
      <c r="BZ633" s="7"/>
      <c r="CA633" s="7"/>
      <c r="CB633" s="7"/>
    </row>
    <row r="634" ht="21.75" customHeight="1">
      <c r="A634" s="7">
        <v>850.0</v>
      </c>
      <c r="B634" s="7">
        <v>633.0</v>
      </c>
      <c r="C634" s="7" t="s">
        <v>7849</v>
      </c>
      <c r="D634" s="7" t="s">
        <v>7849</v>
      </c>
      <c r="E634" s="7"/>
      <c r="F634" s="7" t="s">
        <v>404</v>
      </c>
      <c r="G634" s="7" t="s">
        <v>343</v>
      </c>
      <c r="H634" s="7" t="s">
        <v>344</v>
      </c>
      <c r="I634" s="7" t="s">
        <v>7850</v>
      </c>
      <c r="J634" s="26" t="s">
        <v>7851</v>
      </c>
      <c r="K634" s="7" t="s">
        <v>58</v>
      </c>
      <c r="L634" s="7" t="s">
        <v>59</v>
      </c>
      <c r="M634" s="7" t="s">
        <v>2013</v>
      </c>
      <c r="N634" s="7" t="s">
        <v>407</v>
      </c>
      <c r="O634" s="7">
        <v>97430.0</v>
      </c>
      <c r="P634" s="7" t="s">
        <v>344</v>
      </c>
      <c r="Q634" s="7"/>
      <c r="R634" s="7" t="s">
        <v>7852</v>
      </c>
      <c r="S634" s="7" t="s">
        <v>488</v>
      </c>
      <c r="T634" s="7" t="s">
        <v>499</v>
      </c>
      <c r="U634" s="7" t="s">
        <v>353</v>
      </c>
      <c r="V634" s="7">
        <v>2.62574859E8</v>
      </c>
      <c r="W634" s="7"/>
      <c r="X634" s="7"/>
      <c r="Y634" s="7"/>
      <c r="Z634" s="7" t="s">
        <v>7853</v>
      </c>
      <c r="AA634" s="7">
        <v>5.0</v>
      </c>
      <c r="AB634" s="7" t="s">
        <v>2036</v>
      </c>
      <c r="AC634" s="7"/>
      <c r="AD634" s="7" t="s">
        <v>7854</v>
      </c>
      <c r="AE634" s="7" t="s">
        <v>7855</v>
      </c>
      <c r="AF634" s="7"/>
      <c r="AG634" s="7" t="s">
        <v>578</v>
      </c>
      <c r="AH634" s="20">
        <v>39575.0</v>
      </c>
      <c r="AI634" s="7"/>
      <c r="AJ634" s="7" t="s">
        <v>7856</v>
      </c>
      <c r="AK634" s="7">
        <v>4.3914780200011E13</v>
      </c>
      <c r="AL634" s="7" t="s">
        <v>7857</v>
      </c>
      <c r="AM634" s="7" t="s">
        <v>7858</v>
      </c>
      <c r="AN634" s="20">
        <v>39575.0</v>
      </c>
      <c r="AO634" s="7">
        <v>97430.0</v>
      </c>
      <c r="AP634" s="7" t="s">
        <v>494</v>
      </c>
      <c r="AQ634" s="7"/>
      <c r="AR634" s="7"/>
      <c r="AS634" s="7"/>
      <c r="AT634" s="7"/>
      <c r="AU634" s="7">
        <v>1.0</v>
      </c>
      <c r="AV634" s="7" t="s">
        <v>7859</v>
      </c>
      <c r="AW634" s="7" t="s">
        <v>7860</v>
      </c>
      <c r="AX634" s="7"/>
      <c r="AY634" s="7"/>
      <c r="AZ634" s="7"/>
      <c r="BA634" s="7"/>
      <c r="BB634" s="7"/>
      <c r="BC634" s="7" t="s">
        <v>366</v>
      </c>
      <c r="BD634" s="21">
        <v>44155.084027777775</v>
      </c>
      <c r="BE634" s="7"/>
      <c r="BF634" s="7"/>
      <c r="BG634" s="22">
        <v>44155.0</v>
      </c>
      <c r="BH634" s="7">
        <v>4.39147802E8</v>
      </c>
      <c r="BI634" s="7" t="s">
        <v>7861</v>
      </c>
      <c r="BJ634" s="7"/>
      <c r="BK634" s="7" t="b">
        <v>0</v>
      </c>
      <c r="BL634" s="7" t="b">
        <v>0</v>
      </c>
      <c r="BM634" s="7"/>
      <c r="BN634" s="7" t="str">
        <f>IFERROR(__xludf.DUMMYFUNCTION(" IF( REGEXMATCH(C634 , ""[(].+[)]""),REGEXREPLACE( CONCATENATE(REGEXEXTRACT(C634 , ""[(].+[)]""),IF(REGEXMATCH(C634 , ""[(][Ll]['’][)]""),"""","" ""), REGEXEXTRACT(C634 ,""^(?:(?:[A-Za-zàäéèêîïöôûü0-9 ](?:[A-Za-zàäéèêîïöôûü'0-9 ]+)))"")) , ""[()]"", """")"&amp;",C634 )"),"Le Victoria ")</f>
        <v>Le Victoria </v>
      </c>
      <c r="BO634" s="23"/>
      <c r="BP634" s="7"/>
      <c r="BQ634" s="7"/>
      <c r="BR634" s="7"/>
      <c r="BS634" s="7"/>
      <c r="BT634" s="7"/>
      <c r="BU634" s="7"/>
      <c r="BV634" s="7"/>
      <c r="BW634" s="7"/>
      <c r="BX634" s="7"/>
      <c r="BY634" s="7"/>
      <c r="BZ634" s="7"/>
      <c r="CA634" s="7"/>
      <c r="CB634" s="7"/>
    </row>
    <row r="635" ht="21.75" customHeight="1">
      <c r="A635" s="7">
        <v>2815.0</v>
      </c>
      <c r="B635" s="7">
        <v>634.0</v>
      </c>
      <c r="C635" s="7" t="s">
        <v>7862</v>
      </c>
      <c r="D635" s="7"/>
      <c r="E635" s="7"/>
      <c r="F635" s="7" t="s">
        <v>342</v>
      </c>
      <c r="G635" s="7" t="s">
        <v>343</v>
      </c>
      <c r="H635" s="7" t="s">
        <v>123</v>
      </c>
      <c r="I635" s="7" t="s">
        <v>7863</v>
      </c>
      <c r="J635" s="26" t="s">
        <v>961</v>
      </c>
      <c r="K635" s="6" t="s">
        <v>469</v>
      </c>
      <c r="L635" s="7" t="s">
        <v>1549</v>
      </c>
      <c r="M635" s="7" t="s">
        <v>1550</v>
      </c>
      <c r="N635" s="7" t="s">
        <v>664</v>
      </c>
      <c r="O635" s="7">
        <v>97480.0</v>
      </c>
      <c r="P635" s="7" t="s">
        <v>123</v>
      </c>
      <c r="Q635" s="7"/>
      <c r="R635" s="7" t="s">
        <v>7864</v>
      </c>
      <c r="S635" s="7"/>
      <c r="T635" s="7" t="s">
        <v>974</v>
      </c>
      <c r="U635" s="7" t="s">
        <v>592</v>
      </c>
      <c r="V635" s="7">
        <v>2.62234545E8</v>
      </c>
      <c r="W635" s="7">
        <v>6.92660761E8</v>
      </c>
      <c r="X635" s="7"/>
      <c r="Y635" s="7"/>
      <c r="Z635" s="7"/>
      <c r="AA635" s="7"/>
      <c r="AB635" s="7"/>
      <c r="AC635" s="7"/>
      <c r="AD635" s="7" t="s">
        <v>7865</v>
      </c>
      <c r="AE635" s="7" t="s">
        <v>7866</v>
      </c>
      <c r="AF635" s="7"/>
      <c r="AG635" s="7"/>
      <c r="AH635" s="20">
        <v>43739.0</v>
      </c>
      <c r="AI635" s="7"/>
      <c r="AJ635" s="7" t="s">
        <v>967</v>
      </c>
      <c r="AK635" s="7"/>
      <c r="AL635" s="7" t="s">
        <v>968</v>
      </c>
      <c r="AM635" s="7" t="s">
        <v>969</v>
      </c>
      <c r="AN635" s="20">
        <v>43739.0</v>
      </c>
      <c r="AO635" s="7">
        <v>97480.0</v>
      </c>
      <c r="AP635" s="7" t="s">
        <v>385</v>
      </c>
      <c r="AQ635" s="7"/>
      <c r="AR635" s="7"/>
      <c r="AS635" s="7"/>
      <c r="AT635" s="7"/>
      <c r="AU635" s="7">
        <v>0.0</v>
      </c>
      <c r="AV635" s="7" t="s">
        <v>970</v>
      </c>
      <c r="AW635" s="7"/>
      <c r="AX635" s="7"/>
      <c r="AY635" s="7"/>
      <c r="AZ635" s="7"/>
      <c r="BA635" s="7"/>
      <c r="BB635" s="7"/>
      <c r="BC635" s="7" t="s">
        <v>366</v>
      </c>
      <c r="BD635" s="21">
        <v>44197.0</v>
      </c>
      <c r="BE635" s="7"/>
      <c r="BF635" s="7"/>
      <c r="BG635" s="22">
        <v>44197.0</v>
      </c>
      <c r="BH635" s="7"/>
      <c r="BI635" s="7"/>
      <c r="BJ635" s="7"/>
      <c r="BK635" s="7" t="b">
        <v>0</v>
      </c>
      <c r="BL635" s="7" t="b">
        <v>0</v>
      </c>
      <c r="BM635" s="7"/>
      <c r="BN635" s="7" t="str">
        <f>IFERROR(__xludf.DUMMYFUNCTION(" IF( REGEXMATCH(C635 , ""[(].+[)]""),REGEXREPLACE( CONCATENATE(REGEXEXTRACT(C635 , ""[(].+[)]""),IF(REGEXMATCH(C635 , ""[(][Ll]['’][)]""),"""","" ""), REGEXEXTRACT(C635 ,""^(?:(?:[A-Za-zàäéèêîïöôûü0-9 ](?:[A-Za-zàäéèêîïöôûü'0-9 ]+)))"")) , ""[()]"", """")"&amp;",C635 )"),"Victoria Club &amp; Victoria Spa")</f>
        <v>Victoria Club &amp; Victoria Spa</v>
      </c>
      <c r="BO635" s="23"/>
      <c r="BP635" s="7"/>
      <c r="BQ635" s="7"/>
      <c r="BR635" s="7"/>
      <c r="BS635" s="7"/>
      <c r="BT635" s="7"/>
      <c r="BU635" s="7"/>
      <c r="BV635" s="7"/>
      <c r="BW635" s="7"/>
      <c r="BX635" s="7"/>
      <c r="BY635" s="7"/>
      <c r="BZ635" s="7"/>
      <c r="CA635" s="7"/>
      <c r="CB635" s="7"/>
    </row>
    <row r="636" ht="21.75" customHeight="1">
      <c r="A636" s="7">
        <v>1711.0</v>
      </c>
      <c r="B636" s="7" t="s">
        <v>7867</v>
      </c>
      <c r="C636" s="7" t="s">
        <v>7868</v>
      </c>
      <c r="D636" s="7" t="s">
        <v>7869</v>
      </c>
      <c r="E636" s="7"/>
      <c r="F636" s="7" t="s">
        <v>342</v>
      </c>
      <c r="G636" s="7" t="s">
        <v>343</v>
      </c>
      <c r="H636" s="7" t="s">
        <v>344</v>
      </c>
      <c r="I636" s="7" t="s">
        <v>7870</v>
      </c>
      <c r="J636" s="7"/>
      <c r="K636" s="7" t="s">
        <v>58</v>
      </c>
      <c r="L636" s="7" t="s">
        <v>137</v>
      </c>
      <c r="M636" s="7" t="s">
        <v>1091</v>
      </c>
      <c r="N636" s="7" t="s">
        <v>7871</v>
      </c>
      <c r="O636" s="7">
        <v>97418.0</v>
      </c>
      <c r="P636" s="7" t="s">
        <v>348</v>
      </c>
      <c r="Q636" s="7" t="s">
        <v>349</v>
      </c>
      <c r="R636" s="7" t="s">
        <v>6149</v>
      </c>
      <c r="S636" s="7" t="s">
        <v>6150</v>
      </c>
      <c r="T636" s="7" t="s">
        <v>377</v>
      </c>
      <c r="U636" s="7" t="s">
        <v>353</v>
      </c>
      <c r="V636" s="7">
        <v>2.62592027E8</v>
      </c>
      <c r="W636" s="7">
        <v>6.92530641E8</v>
      </c>
      <c r="X636" s="7"/>
      <c r="Y636" s="7">
        <v>2.62275102E8</v>
      </c>
      <c r="Z636" s="7"/>
      <c r="AA636" s="7">
        <v>43.0</v>
      </c>
      <c r="AB636" s="7"/>
      <c r="AC636" s="7" t="s">
        <v>7872</v>
      </c>
      <c r="AD636" s="7" t="s">
        <v>7873</v>
      </c>
      <c r="AE636" s="7" t="s">
        <v>7874</v>
      </c>
      <c r="AF636" s="7"/>
      <c r="AG636" s="7"/>
      <c r="AH636" s="20">
        <v>43739.0</v>
      </c>
      <c r="AI636" s="7"/>
      <c r="AJ636" s="7" t="s">
        <v>7875</v>
      </c>
      <c r="AK636" s="7"/>
      <c r="AL636" s="7" t="s">
        <v>7876</v>
      </c>
      <c r="AM636" s="7" t="s">
        <v>7877</v>
      </c>
      <c r="AN636" s="20">
        <v>39925.0</v>
      </c>
      <c r="AO636" s="7">
        <v>97418.0</v>
      </c>
      <c r="AP636" s="7" t="s">
        <v>362</v>
      </c>
      <c r="AQ636" s="7"/>
      <c r="AR636" s="7"/>
      <c r="AS636" s="7"/>
      <c r="AT636" s="7"/>
      <c r="AU636" s="7">
        <v>4.0</v>
      </c>
      <c r="AV636" s="7" t="s">
        <v>6157</v>
      </c>
      <c r="AW636" s="7"/>
      <c r="AX636" s="7"/>
      <c r="AY636" s="7"/>
      <c r="AZ636" s="7" t="s">
        <v>7878</v>
      </c>
      <c r="BA636" s="7"/>
      <c r="BB636" s="7"/>
      <c r="BC636" s="7" t="s">
        <v>401</v>
      </c>
      <c r="BD636" s="21">
        <v>44118.18263888889</v>
      </c>
      <c r="BE636" s="7" t="s">
        <v>1071</v>
      </c>
      <c r="BF636" s="7"/>
      <c r="BG636" s="7"/>
      <c r="BH636" s="7"/>
      <c r="BI636" s="7" t="s">
        <v>1974</v>
      </c>
      <c r="BJ636" s="7"/>
      <c r="BK636" s="7" t="b">
        <v>0</v>
      </c>
      <c r="BL636" s="7" t="b">
        <v>0</v>
      </c>
      <c r="BM636" s="7"/>
      <c r="BN636" s="7" t="str">
        <f>IFERROR(__xludf.DUMMYFUNCTION(" IF( REGEXMATCH(C636 , ""[(].+[)]""),REGEXREPLACE( CONCATENATE(REGEXEXTRACT(C636 , ""[(].+[)]""),IF(REGEXMATCH(C636 , ""[(][Ll]['’][)]""),"""","" ""), REGEXEXTRACT(C636 ,""^(?:(?:[A-Za-zàäéèêîïöôûü0-9 ](?:[A-Za-zàäéèêîïöôûü'0-9 ]+)))"")) , ""[()]"", """")"&amp;",C636 )"),"La Vieille Tonnelle ")</f>
        <v>La Vieille Tonnelle </v>
      </c>
      <c r="BO636" s="25"/>
      <c r="BP636" s="7"/>
      <c r="BQ636" s="7"/>
      <c r="BR636" s="7"/>
      <c r="BS636" s="7"/>
      <c r="BT636" s="7"/>
      <c r="BU636" s="7"/>
      <c r="BV636" s="7"/>
      <c r="BW636" s="7"/>
      <c r="BX636" s="7"/>
      <c r="BY636" s="7"/>
      <c r="BZ636" s="7"/>
      <c r="CA636" s="7"/>
      <c r="CB636" s="7"/>
    </row>
    <row r="637" ht="21.75" customHeight="1">
      <c r="A637" s="7">
        <v>266.0</v>
      </c>
      <c r="B637" s="7" t="s">
        <v>7879</v>
      </c>
      <c r="C637" s="7" t="s">
        <v>7880</v>
      </c>
      <c r="D637" s="7" t="s">
        <v>7880</v>
      </c>
      <c r="E637" s="7"/>
      <c r="F637" s="7" t="s">
        <v>342</v>
      </c>
      <c r="G637" s="7" t="s">
        <v>343</v>
      </c>
      <c r="H637" s="7" t="s">
        <v>344</v>
      </c>
      <c r="I637" s="7" t="s">
        <v>7881</v>
      </c>
      <c r="J637" s="7"/>
      <c r="K637" s="7" t="s">
        <v>34</v>
      </c>
      <c r="L637" s="7" t="s">
        <v>622</v>
      </c>
      <c r="M637" s="7" t="s">
        <v>622</v>
      </c>
      <c r="N637" s="7" t="s">
        <v>407</v>
      </c>
      <c r="O637" s="7">
        <v>97418.0</v>
      </c>
      <c r="P637" s="7" t="s">
        <v>348</v>
      </c>
      <c r="Q637" s="7" t="s">
        <v>349</v>
      </c>
      <c r="R637" s="7" t="s">
        <v>487</v>
      </c>
      <c r="S637" s="7" t="s">
        <v>1108</v>
      </c>
      <c r="T637" s="7" t="s">
        <v>5639</v>
      </c>
      <c r="U637" s="7" t="s">
        <v>592</v>
      </c>
      <c r="V637" s="7">
        <v>2.62590944E8</v>
      </c>
      <c r="W637" s="7"/>
      <c r="X637" s="7"/>
      <c r="Y637" s="7">
        <v>2.62573512E8</v>
      </c>
      <c r="Z637" s="7" t="s">
        <v>7882</v>
      </c>
      <c r="AA637" s="7">
        <v>45.0</v>
      </c>
      <c r="AB637" s="7"/>
      <c r="AC637" s="7"/>
      <c r="AD637" s="7" t="s">
        <v>7883</v>
      </c>
      <c r="AE637" s="7"/>
      <c r="AF637" s="7"/>
      <c r="AG637" s="7"/>
      <c r="AH637" s="20">
        <v>39689.0</v>
      </c>
      <c r="AI637" s="7"/>
      <c r="AJ637" s="7" t="s">
        <v>7884</v>
      </c>
      <c r="AK637" s="7">
        <v>4.2485781100014E13</v>
      </c>
      <c r="AL637" s="7" t="s">
        <v>7885</v>
      </c>
      <c r="AM637" s="7" t="s">
        <v>7886</v>
      </c>
      <c r="AN637" s="20">
        <v>39575.0</v>
      </c>
      <c r="AO637" s="7">
        <v>97418.0</v>
      </c>
      <c r="AP637" s="7" t="s">
        <v>362</v>
      </c>
      <c r="AQ637" s="7"/>
      <c r="AR637" s="7"/>
      <c r="AS637" s="7"/>
      <c r="AT637" s="7"/>
      <c r="AU637" s="7">
        <v>0.0</v>
      </c>
      <c r="AV637" s="7" t="s">
        <v>7887</v>
      </c>
      <c r="AW637" s="7"/>
      <c r="AX637" s="7"/>
      <c r="AY637" s="7"/>
      <c r="AZ637" s="7"/>
      <c r="BA637" s="7"/>
      <c r="BB637" s="7"/>
      <c r="BC637" s="7" t="s">
        <v>401</v>
      </c>
      <c r="BD637" s="7"/>
      <c r="BE637" s="7" t="s">
        <v>818</v>
      </c>
      <c r="BF637" s="7"/>
      <c r="BG637" s="7"/>
      <c r="BH637" s="7">
        <v>4.24857811E8</v>
      </c>
      <c r="BI637" s="7" t="s">
        <v>7888</v>
      </c>
      <c r="BJ637" s="7"/>
      <c r="BK637" s="7" t="b">
        <v>0</v>
      </c>
      <c r="BL637" s="7" t="b">
        <v>0</v>
      </c>
      <c r="BM637" s="7"/>
      <c r="BN637" s="7" t="str">
        <f>IFERROR(__xludf.DUMMYFUNCTION(" IF( REGEXMATCH(C637 , ""[(].+[)]""),REGEXREPLACE( CONCATENATE(REGEXEXTRACT(C637 , ""[(].+[)]""),IF(REGEXMATCH(C637 , ""[(][Ll]['’][)]""),"""","" ""), REGEXEXTRACT(C637 ,""^(?:(?:[A-Za-zàäéèêîïöôûü0-9 ](?:[A-Za-zàäéèêîïöôûü'0-9 ]+)))"")) , ""[()]"", """")"&amp;",C637 )"),"Le Vieux Bardeau ")</f>
        <v>Le Vieux Bardeau </v>
      </c>
      <c r="BO637" s="25"/>
      <c r="BP637" s="7"/>
      <c r="BQ637" s="7"/>
      <c r="BR637" s="7"/>
      <c r="BS637" s="7"/>
      <c r="BT637" s="7"/>
      <c r="BU637" s="7"/>
      <c r="BV637" s="7"/>
      <c r="BW637" s="7"/>
      <c r="BX637" s="7"/>
      <c r="BY637" s="7"/>
      <c r="BZ637" s="7"/>
      <c r="CA637" s="7"/>
      <c r="CB637" s="7"/>
    </row>
    <row r="638" ht="21.75" customHeight="1">
      <c r="A638" s="7">
        <v>1019.0</v>
      </c>
      <c r="B638" s="7" t="s">
        <v>7889</v>
      </c>
      <c r="C638" s="7" t="s">
        <v>7890</v>
      </c>
      <c r="D638" s="7" t="s">
        <v>7890</v>
      </c>
      <c r="E638" s="7"/>
      <c r="F638" s="7" t="s">
        <v>342</v>
      </c>
      <c r="G638" s="7" t="s">
        <v>343</v>
      </c>
      <c r="H638" s="7" t="s">
        <v>33</v>
      </c>
      <c r="I638" s="7" t="s">
        <v>7891</v>
      </c>
      <c r="J638" s="7"/>
      <c r="K638" s="7" t="s">
        <v>34</v>
      </c>
      <c r="L638" s="7" t="s">
        <v>622</v>
      </c>
      <c r="M638" s="7" t="s">
        <v>622</v>
      </c>
      <c r="N638" s="7" t="s">
        <v>1001</v>
      </c>
      <c r="O638" s="7">
        <v>97442.0</v>
      </c>
      <c r="P638" s="7" t="s">
        <v>33</v>
      </c>
      <c r="Q638" s="7"/>
      <c r="R638" s="7" t="s">
        <v>1836</v>
      </c>
      <c r="S638" s="7" t="s">
        <v>1108</v>
      </c>
      <c r="T638" s="7" t="s">
        <v>7892</v>
      </c>
      <c r="U638" s="7" t="s">
        <v>592</v>
      </c>
      <c r="V638" s="7"/>
      <c r="W638" s="7">
        <v>6.92157931E8</v>
      </c>
      <c r="X638" s="7">
        <v>6.92590923E8</v>
      </c>
      <c r="Y638" s="7"/>
      <c r="Z638" s="7" t="s">
        <v>7893</v>
      </c>
      <c r="AA638" s="7">
        <v>35.0</v>
      </c>
      <c r="AB638" s="7"/>
      <c r="AC638" s="7" t="s">
        <v>7894</v>
      </c>
      <c r="AD638" s="7" t="s">
        <v>7895</v>
      </c>
      <c r="AE638" s="7" t="s">
        <v>7896</v>
      </c>
      <c r="AF638" s="7"/>
      <c r="AG638" s="7"/>
      <c r="AH638" s="20">
        <v>39575.0</v>
      </c>
      <c r="AI638" s="7"/>
      <c r="AJ638" s="7" t="s">
        <v>7897</v>
      </c>
      <c r="AK638" s="7">
        <v>4.5379639300016E13</v>
      </c>
      <c r="AL638" s="7" t="s">
        <v>7898</v>
      </c>
      <c r="AM638" s="7" t="s">
        <v>7899</v>
      </c>
      <c r="AN638" s="20">
        <v>39575.0</v>
      </c>
      <c r="AO638" s="7">
        <v>97442.0</v>
      </c>
      <c r="AP638" s="7" t="s">
        <v>884</v>
      </c>
      <c r="AQ638" s="7"/>
      <c r="AR638" s="7"/>
      <c r="AS638" s="7"/>
      <c r="AT638" s="7"/>
      <c r="AU638" s="7">
        <v>0.0</v>
      </c>
      <c r="AV638" s="7" t="s">
        <v>7900</v>
      </c>
      <c r="AW638" s="7"/>
      <c r="AX638" s="7"/>
      <c r="AY638" s="7"/>
      <c r="AZ638" s="7"/>
      <c r="BA638" s="7"/>
      <c r="BB638" s="7"/>
      <c r="BC638" s="7" t="s">
        <v>401</v>
      </c>
      <c r="BD638" s="21">
        <v>44112.152083333334</v>
      </c>
      <c r="BE638" s="7" t="s">
        <v>449</v>
      </c>
      <c r="BF638" s="7"/>
      <c r="BG638" s="7"/>
      <c r="BH638" s="7">
        <v>4.53796393E8</v>
      </c>
      <c r="BI638" s="7" t="s">
        <v>7901</v>
      </c>
      <c r="BJ638" s="7"/>
      <c r="BK638" s="7" t="b">
        <v>0</v>
      </c>
      <c r="BL638" s="7" t="b">
        <v>0</v>
      </c>
      <c r="BM638" s="7"/>
      <c r="BN638" s="7" t="str">
        <f>IFERROR(__xludf.DUMMYFUNCTION(" IF( REGEXMATCH(C638 , ""[(].+[)]""),REGEXREPLACE( CONCATENATE(REGEXEXTRACT(C638 , ""[(].+[)]""),IF(REGEXMATCH(C638 , ""[(][Ll]['’][)]""),"""","" ""), REGEXEXTRACT(C638 ,""^(?:(?:[A-Za-zàäéèêîïöôûü0-9 ](?:[A-Za-zàäéèêîïöôûü'0-9 ]+)))"")) , ""[()]"", """")"&amp;",C638 )"),"Le Vieux Port ")</f>
        <v>Le Vieux Port </v>
      </c>
      <c r="BO638" s="25"/>
      <c r="BP638" s="7"/>
      <c r="BQ638" s="7"/>
      <c r="BR638" s="7"/>
      <c r="BS638" s="7"/>
      <c r="BT638" s="7"/>
      <c r="BU638" s="7"/>
      <c r="BV638" s="7"/>
      <c r="BW638" s="7"/>
      <c r="BX638" s="7"/>
      <c r="BY638" s="7"/>
      <c r="BZ638" s="7"/>
      <c r="CA638" s="7"/>
      <c r="CB638" s="7"/>
    </row>
    <row r="639" ht="21.75" customHeight="1">
      <c r="A639" s="7">
        <v>876.0</v>
      </c>
      <c r="B639" s="7">
        <v>638.0</v>
      </c>
      <c r="C639" s="7" t="s">
        <v>7902</v>
      </c>
      <c r="D639" s="7" t="s">
        <v>2754</v>
      </c>
      <c r="E639" s="7"/>
      <c r="F639" s="7" t="s">
        <v>404</v>
      </c>
      <c r="G639" s="7" t="s">
        <v>343</v>
      </c>
      <c r="H639" s="7" t="s">
        <v>123</v>
      </c>
      <c r="I639" s="7" t="s">
        <v>7903</v>
      </c>
      <c r="J639" s="7"/>
      <c r="K639" s="7" t="s">
        <v>58</v>
      </c>
      <c r="L639" s="7" t="s">
        <v>59</v>
      </c>
      <c r="M639" s="7" t="s">
        <v>346</v>
      </c>
      <c r="N639" s="7" t="s">
        <v>407</v>
      </c>
      <c r="O639" s="7">
        <v>97480.0</v>
      </c>
      <c r="P639" s="7" t="s">
        <v>123</v>
      </c>
      <c r="Q639" s="7"/>
      <c r="R639" s="7" t="s">
        <v>7904</v>
      </c>
      <c r="S639" s="7" t="s">
        <v>2757</v>
      </c>
      <c r="T639" s="7" t="s">
        <v>4496</v>
      </c>
      <c r="U639" s="7" t="s">
        <v>2758</v>
      </c>
      <c r="V639" s="7">
        <v>2.62560102E8</v>
      </c>
      <c r="W639" s="7">
        <v>6.9243707E8</v>
      </c>
      <c r="X639" s="7"/>
      <c r="Y639" s="7">
        <v>2.6231949E8</v>
      </c>
      <c r="Z639" s="7" t="s">
        <v>2759</v>
      </c>
      <c r="AA639" s="7">
        <v>6.0</v>
      </c>
      <c r="AB639" s="7"/>
      <c r="AC639" s="7"/>
      <c r="AD639" s="7" t="s">
        <v>7905</v>
      </c>
      <c r="AE639" s="7" t="s">
        <v>7906</v>
      </c>
      <c r="AF639" s="7"/>
      <c r="AG639" s="7"/>
      <c r="AH639" s="20">
        <v>39590.0</v>
      </c>
      <c r="AI639" s="7"/>
      <c r="AJ639" s="7" t="s">
        <v>2762</v>
      </c>
      <c r="AK639" s="7">
        <v>4.5366983000011E13</v>
      </c>
      <c r="AL639" s="7" t="s">
        <v>2763</v>
      </c>
      <c r="AM639" s="7" t="s">
        <v>2764</v>
      </c>
      <c r="AN639" s="20">
        <v>39575.0</v>
      </c>
      <c r="AO639" s="7">
        <v>97480.0</v>
      </c>
      <c r="AP639" s="7" t="s">
        <v>385</v>
      </c>
      <c r="AQ639" s="7"/>
      <c r="AR639" s="7"/>
      <c r="AS639" s="7"/>
      <c r="AT639" s="7"/>
      <c r="AU639" s="7">
        <v>0.0</v>
      </c>
      <c r="AV639" s="7" t="s">
        <v>7907</v>
      </c>
      <c r="AW639" s="7"/>
      <c r="AX639" s="7"/>
      <c r="AY639" s="7"/>
      <c r="AZ639" s="7"/>
      <c r="BA639" s="7"/>
      <c r="BB639" s="7"/>
      <c r="BC639" s="7" t="s">
        <v>366</v>
      </c>
      <c r="BD639" s="21">
        <v>44101.15416666667</v>
      </c>
      <c r="BE639" s="7"/>
      <c r="BF639" s="7"/>
      <c r="BG639" s="22">
        <v>44101.0</v>
      </c>
      <c r="BH639" s="7">
        <v>2.14748364E8</v>
      </c>
      <c r="BI639" s="7" t="s">
        <v>7908</v>
      </c>
      <c r="BJ639" s="7"/>
      <c r="BK639" s="7" t="b">
        <v>0</v>
      </c>
      <c r="BL639" s="7" t="b">
        <v>0</v>
      </c>
      <c r="BM639" s="7"/>
      <c r="BN639" s="7" t="str">
        <f>IFERROR(__xludf.DUMMYFUNCTION(" IF( REGEXMATCH(C639 , ""[(].+[)]""),REGEXREPLACE( CONCATENATE(REGEXEXTRACT(C639 , ""[(].+[)]""),IF(REGEXMATCH(C639 , ""[(][Ll]['’][)]""),"""","" ""), REGEXEXTRACT(C639 ,""^(?:(?:[A-Za-zàäéèêîïöôûü0-9 ](?:[A-Za-zàäéèêîïöôûü'0-9 ]+)))"")) , ""[()]"", """")"&amp;",C639 )"),"Villa Bananier")</f>
        <v>Villa Bananier</v>
      </c>
      <c r="BO639" s="23"/>
      <c r="BP639" s="7"/>
      <c r="BQ639" s="7"/>
      <c r="BR639" s="7"/>
      <c r="BS639" s="7"/>
      <c r="BT639" s="7"/>
      <c r="BU639" s="7"/>
      <c r="BV639" s="7"/>
      <c r="BW639" s="7"/>
      <c r="BX639" s="7"/>
      <c r="BY639" s="7"/>
      <c r="BZ639" s="7"/>
      <c r="CA639" s="7"/>
      <c r="CB639" s="7"/>
    </row>
    <row r="640" ht="21.75" customHeight="1">
      <c r="A640" s="7">
        <v>3107.0</v>
      </c>
      <c r="B640" s="7" t="s">
        <v>7909</v>
      </c>
      <c r="C640" s="7" t="s">
        <v>7910</v>
      </c>
      <c r="D640" s="7"/>
      <c r="E640" s="7"/>
      <c r="F640" s="7" t="s">
        <v>342</v>
      </c>
      <c r="G640" s="7" t="s">
        <v>343</v>
      </c>
      <c r="H640" s="7" t="s">
        <v>344</v>
      </c>
      <c r="I640" s="7" t="s">
        <v>7911</v>
      </c>
      <c r="J640" s="7"/>
      <c r="K640" s="7" t="s">
        <v>58</v>
      </c>
      <c r="L640" s="7" t="s">
        <v>59</v>
      </c>
      <c r="M640" s="7" t="s">
        <v>346</v>
      </c>
      <c r="N640" s="7" t="s">
        <v>455</v>
      </c>
      <c r="O640" s="7">
        <v>97430.0</v>
      </c>
      <c r="P640" s="7" t="s">
        <v>344</v>
      </c>
      <c r="Q640" s="7"/>
      <c r="R640" s="7" t="s">
        <v>7912</v>
      </c>
      <c r="S640" s="7" t="s">
        <v>7913</v>
      </c>
      <c r="T640" s="7" t="s">
        <v>377</v>
      </c>
      <c r="U640" s="7" t="s">
        <v>378</v>
      </c>
      <c r="V640" s="7"/>
      <c r="W640" s="7">
        <v>6.92671153E8</v>
      </c>
      <c r="X640" s="7"/>
      <c r="Y640" s="7">
        <v>2.62349564E8</v>
      </c>
      <c r="Z640" s="7" t="s">
        <v>7914</v>
      </c>
      <c r="AA640" s="7">
        <v>6.0</v>
      </c>
      <c r="AB640" s="7"/>
      <c r="AC640" s="7" t="s">
        <v>7915</v>
      </c>
      <c r="AD640" s="7" t="s">
        <v>7916</v>
      </c>
      <c r="AE640" s="7" t="s">
        <v>7917</v>
      </c>
      <c r="AF640" s="7"/>
      <c r="AG640" s="7"/>
      <c r="AH640" s="20">
        <v>43739.0</v>
      </c>
      <c r="AI640" s="7"/>
      <c r="AJ640" s="7" t="s">
        <v>7918</v>
      </c>
      <c r="AK640" s="7"/>
      <c r="AL640" s="7" t="s">
        <v>7919</v>
      </c>
      <c r="AM640" s="7" t="s">
        <v>7920</v>
      </c>
      <c r="AN640" s="20">
        <v>43739.0</v>
      </c>
      <c r="AO640" s="7">
        <v>97430.0</v>
      </c>
      <c r="AP640" s="7" t="s">
        <v>494</v>
      </c>
      <c r="AQ640" s="7"/>
      <c r="AR640" s="7"/>
      <c r="AS640" s="7"/>
      <c r="AT640" s="7"/>
      <c r="AU640" s="7">
        <v>1.0</v>
      </c>
      <c r="AV640" s="7" t="s">
        <v>7921</v>
      </c>
      <c r="AW640" s="7"/>
      <c r="AX640" s="7"/>
      <c r="AY640" s="7"/>
      <c r="AZ640" s="7" t="s">
        <v>7922</v>
      </c>
      <c r="BA640" s="7"/>
      <c r="BB640" s="7"/>
      <c r="BC640" s="7" t="s">
        <v>401</v>
      </c>
      <c r="BD640" s="21">
        <v>44155.07708333333</v>
      </c>
      <c r="BE640" s="7" t="s">
        <v>7923</v>
      </c>
      <c r="BF640" s="7"/>
      <c r="BG640" s="7"/>
      <c r="BH640" s="7"/>
      <c r="BI640" s="7" t="s">
        <v>7924</v>
      </c>
      <c r="BJ640" s="7"/>
      <c r="BK640" s="7" t="b">
        <v>0</v>
      </c>
      <c r="BL640" s="7" t="b">
        <v>0</v>
      </c>
      <c r="BM640" s="7"/>
      <c r="BN640" s="7" t="str">
        <f>IFERROR(__xludf.DUMMYFUNCTION(" IF( REGEXMATCH(C640 , ""[(].+[)]""),REGEXREPLACE( CONCATENATE(REGEXEXTRACT(C640 , ""[(].+[)]""),IF(REGEXMATCH(C640 , ""[(][Ll]['’][)]""),"""","" ""), REGEXEXTRACT(C640 ,""^(?:(?:[A-Za-zàäéèêîïöôûü0-9 ](?:[A-Za-zàäéèêîïöôûü'0-9 ]+)))"")) , ""[()]"", """")"&amp;",C640 )"),"Villa Christophine")</f>
        <v>Villa Christophine</v>
      </c>
      <c r="BO640" s="25"/>
      <c r="BP640" s="7"/>
      <c r="BQ640" s="7"/>
      <c r="BR640" s="7"/>
      <c r="BS640" s="7"/>
      <c r="BT640" s="7"/>
      <c r="BU640" s="7"/>
      <c r="BV640" s="7"/>
      <c r="BW640" s="7"/>
      <c r="BX640" s="7"/>
      <c r="BY640" s="7"/>
      <c r="BZ640" s="7"/>
      <c r="CA640" s="7"/>
      <c r="CB640" s="7"/>
    </row>
    <row r="641" ht="21.75" customHeight="1">
      <c r="A641" s="7">
        <v>4347.0</v>
      </c>
      <c r="B641" s="7" t="s">
        <v>7925</v>
      </c>
      <c r="C641" s="7" t="s">
        <v>7926</v>
      </c>
      <c r="D641" s="7"/>
      <c r="E641" s="7"/>
      <c r="F641" s="7" t="s">
        <v>342</v>
      </c>
      <c r="G641" s="7" t="s">
        <v>343</v>
      </c>
      <c r="H641" s="7" t="s">
        <v>344</v>
      </c>
      <c r="I641" s="7" t="s">
        <v>7927</v>
      </c>
      <c r="J641" s="26" t="s">
        <v>7928</v>
      </c>
      <c r="K641" s="7" t="s">
        <v>58</v>
      </c>
      <c r="L641" s="7" t="s">
        <v>59</v>
      </c>
      <c r="M641" s="7" t="s">
        <v>346</v>
      </c>
      <c r="N641" s="7" t="s">
        <v>375</v>
      </c>
      <c r="O641" s="7">
        <v>97430.0</v>
      </c>
      <c r="P641" s="7" t="s">
        <v>344</v>
      </c>
      <c r="Q641" s="7"/>
      <c r="R641" s="7" t="s">
        <v>7929</v>
      </c>
      <c r="S641" s="7" t="s">
        <v>2714</v>
      </c>
      <c r="T641" s="7" t="s">
        <v>1119</v>
      </c>
      <c r="U641" s="7" t="s">
        <v>353</v>
      </c>
      <c r="V641" s="7">
        <v>2.62012012E8</v>
      </c>
      <c r="W641" s="7">
        <v>6.92805939E8</v>
      </c>
      <c r="X641" s="7"/>
      <c r="Y641" s="7">
        <v>2.62700272E8</v>
      </c>
      <c r="Z641" s="7" t="s">
        <v>7930</v>
      </c>
      <c r="AA641" s="7">
        <v>6.0</v>
      </c>
      <c r="AB641" s="7" t="s">
        <v>2716</v>
      </c>
      <c r="AC641" s="7" t="s">
        <v>7931</v>
      </c>
      <c r="AD641" s="7" t="s">
        <v>7932</v>
      </c>
      <c r="AE641" s="7" t="s">
        <v>7933</v>
      </c>
      <c r="AF641" s="7"/>
      <c r="AG641" s="7" t="s">
        <v>597</v>
      </c>
      <c r="AH641" s="20">
        <v>42903.0</v>
      </c>
      <c r="AI641" s="7"/>
      <c r="AJ641" s="7" t="s">
        <v>7934</v>
      </c>
      <c r="AK641" s="7">
        <v>8.2972542300018E13</v>
      </c>
      <c r="AL641" s="7" t="s">
        <v>7935</v>
      </c>
      <c r="AM641" s="7" t="s">
        <v>7936</v>
      </c>
      <c r="AN641" s="20">
        <v>42902.0</v>
      </c>
      <c r="AO641" s="7">
        <v>97430.0</v>
      </c>
      <c r="AP641" s="7" t="s">
        <v>494</v>
      </c>
      <c r="AQ641" s="7"/>
      <c r="AR641" s="7"/>
      <c r="AS641" s="7"/>
      <c r="AT641" s="7"/>
      <c r="AU641" s="7">
        <v>1.0</v>
      </c>
      <c r="AV641" s="7" t="s">
        <v>7937</v>
      </c>
      <c r="AW641" s="7"/>
      <c r="AX641" s="7"/>
      <c r="AY641" s="7"/>
      <c r="AZ641" s="7" t="s">
        <v>7938</v>
      </c>
      <c r="BA641" s="7"/>
      <c r="BB641" s="7"/>
      <c r="BC641" s="7" t="s">
        <v>401</v>
      </c>
      <c r="BD641" s="21">
        <v>44167.0</v>
      </c>
      <c r="BE641" s="7" t="s">
        <v>6388</v>
      </c>
      <c r="BF641" s="7"/>
      <c r="BG641" s="7"/>
      <c r="BH641" s="7">
        <v>8.29725423E8</v>
      </c>
      <c r="BI641" s="7" t="s">
        <v>7939</v>
      </c>
      <c r="BJ641" s="7"/>
      <c r="BK641" s="7" t="b">
        <v>0</v>
      </c>
      <c r="BL641" s="7" t="b">
        <v>0</v>
      </c>
      <c r="BM641" s="7"/>
      <c r="BN641" s="7" t="str">
        <f>IFERROR(__xludf.DUMMYFUNCTION(" IF( REGEXMATCH(C641 , ""[(].+[)]""),REGEXREPLACE( CONCATENATE(REGEXEXTRACT(C641 , ""[(].+[)]""),IF(REGEXMATCH(C641 , ""[(][Ll]['’][)]""),"""","" ""), REGEXEXTRACT(C641 ,""^(?:(?:[A-Za-zàäéèêîïöôûü0-9 ](?:[A-Za-zàäéèêîïöôûü'0-9 ]+)))"")) , ""[()]"", """")"&amp;",C641 )"),"Villa Coeur Vanille")</f>
        <v>Villa Coeur Vanille</v>
      </c>
      <c r="BO641" s="25"/>
      <c r="BP641" s="7"/>
      <c r="BQ641" s="7"/>
      <c r="BR641" s="7"/>
      <c r="BS641" s="7"/>
      <c r="BT641" s="7"/>
      <c r="BU641" s="7"/>
      <c r="BV641" s="7"/>
      <c r="BW641" s="7"/>
      <c r="BX641" s="7"/>
      <c r="BY641" s="7"/>
      <c r="BZ641" s="7"/>
      <c r="CA641" s="7"/>
      <c r="CB641" s="7"/>
    </row>
    <row r="642" ht="21.75" customHeight="1">
      <c r="A642" s="7">
        <v>877.0</v>
      </c>
      <c r="B642" s="7">
        <v>641.0</v>
      </c>
      <c r="C642" s="7" t="s">
        <v>7940</v>
      </c>
      <c r="D642" s="7" t="s">
        <v>7941</v>
      </c>
      <c r="E642" s="7"/>
      <c r="F642" s="7" t="s">
        <v>404</v>
      </c>
      <c r="G642" s="7" t="s">
        <v>343</v>
      </c>
      <c r="H642" s="7" t="s">
        <v>123</v>
      </c>
      <c r="I642" s="7" t="s">
        <v>7942</v>
      </c>
      <c r="J642" s="26" t="s">
        <v>2756</v>
      </c>
      <c r="K642" s="7" t="s">
        <v>58</v>
      </c>
      <c r="L642" s="7" t="s">
        <v>59</v>
      </c>
      <c r="M642" s="7" t="s">
        <v>374</v>
      </c>
      <c r="N642" s="7" t="s">
        <v>407</v>
      </c>
      <c r="O642" s="7">
        <v>97480.0</v>
      </c>
      <c r="P642" s="7" t="s">
        <v>123</v>
      </c>
      <c r="Q642" s="7"/>
      <c r="R642" s="7" t="s">
        <v>7943</v>
      </c>
      <c r="S642" s="7" t="s">
        <v>2757</v>
      </c>
      <c r="T642" s="7" t="s">
        <v>4496</v>
      </c>
      <c r="U642" s="7" t="s">
        <v>2758</v>
      </c>
      <c r="V642" s="7">
        <v>2.62560102E8</v>
      </c>
      <c r="W642" s="7">
        <v>6.9243707E8</v>
      </c>
      <c r="X642" s="7"/>
      <c r="Y642" s="7">
        <v>2.6231949E8</v>
      </c>
      <c r="Z642" s="7" t="s">
        <v>2759</v>
      </c>
      <c r="AA642" s="7">
        <v>8.0</v>
      </c>
      <c r="AB642" s="7"/>
      <c r="AC642" s="7"/>
      <c r="AD642" s="7" t="s">
        <v>7944</v>
      </c>
      <c r="AE642" s="7" t="s">
        <v>7945</v>
      </c>
      <c r="AF642" s="7"/>
      <c r="AG642" s="7"/>
      <c r="AH642" s="20">
        <v>39590.0</v>
      </c>
      <c r="AI642" s="7"/>
      <c r="AJ642" s="7" t="s">
        <v>2762</v>
      </c>
      <c r="AK642" s="7">
        <v>4.5366983000011E13</v>
      </c>
      <c r="AL642" s="7" t="s">
        <v>2763</v>
      </c>
      <c r="AM642" s="7" t="s">
        <v>2764</v>
      </c>
      <c r="AN642" s="20">
        <v>39575.0</v>
      </c>
      <c r="AO642" s="7">
        <v>97480.0</v>
      </c>
      <c r="AP642" s="7" t="s">
        <v>385</v>
      </c>
      <c r="AQ642" s="7"/>
      <c r="AR642" s="7"/>
      <c r="AS642" s="7"/>
      <c r="AT642" s="7"/>
      <c r="AU642" s="7">
        <v>0.0</v>
      </c>
      <c r="AV642" s="7" t="s">
        <v>2765</v>
      </c>
      <c r="AW642" s="7"/>
      <c r="AX642" s="7"/>
      <c r="AY642" s="7"/>
      <c r="AZ642" s="7"/>
      <c r="BA642" s="7"/>
      <c r="BB642" s="7"/>
      <c r="BC642" s="7" t="s">
        <v>366</v>
      </c>
      <c r="BD642" s="21">
        <v>44101.149305555555</v>
      </c>
      <c r="BE642" s="7"/>
      <c r="BF642" s="7"/>
      <c r="BG642" s="22">
        <v>44101.0</v>
      </c>
      <c r="BH642" s="7">
        <v>2.14748364E8</v>
      </c>
      <c r="BI642" s="7" t="s">
        <v>2766</v>
      </c>
      <c r="BJ642" s="7"/>
      <c r="BK642" s="7" t="b">
        <v>0</v>
      </c>
      <c r="BL642" s="7" t="b">
        <v>0</v>
      </c>
      <c r="BM642" s="7"/>
      <c r="BN642" s="7" t="str">
        <f>IFERROR(__xludf.DUMMYFUNCTION(" IF( REGEXMATCH(C642 , ""[(].+[)]""),REGEXREPLACE( CONCATENATE(REGEXEXTRACT(C642 , ""[(].+[)]""),IF(REGEXMATCH(C642 , ""[(][Ll]['’][)]""),"""","" ""), REGEXEXTRACT(C642 ,""^(?:(?:[A-Za-zàäéèêîïöôûü0-9 ](?:[A-Za-zàäéèêîïöôûü'0-9 ]+)))"")) , ""[()]"", """")"&amp;",C642 )"),"Villa Combava")</f>
        <v>Villa Combava</v>
      </c>
      <c r="BO642" s="23"/>
      <c r="BP642" s="7"/>
      <c r="BQ642" s="7"/>
      <c r="BR642" s="7"/>
      <c r="BS642" s="7"/>
      <c r="BT642" s="7"/>
      <c r="BU642" s="7"/>
      <c r="BV642" s="7"/>
      <c r="BW642" s="7"/>
      <c r="BX642" s="7"/>
      <c r="BY642" s="7"/>
      <c r="BZ642" s="7"/>
      <c r="CA642" s="7"/>
      <c r="CB642" s="7"/>
    </row>
    <row r="643" ht="21.75" customHeight="1">
      <c r="A643" s="7">
        <v>3988.0</v>
      </c>
      <c r="B643" s="7">
        <v>642.0</v>
      </c>
      <c r="C643" s="7" t="s">
        <v>7946</v>
      </c>
      <c r="D643" s="7"/>
      <c r="E643" s="7"/>
      <c r="F643" s="7" t="s">
        <v>342</v>
      </c>
      <c r="G643" s="7" t="s">
        <v>343</v>
      </c>
      <c r="H643" s="7" t="s">
        <v>123</v>
      </c>
      <c r="I643" s="7" t="s">
        <v>7947</v>
      </c>
      <c r="J643" s="7"/>
      <c r="K643" s="7" t="s">
        <v>34</v>
      </c>
      <c r="L643" s="7" t="s">
        <v>622</v>
      </c>
      <c r="M643" s="7" t="s">
        <v>622</v>
      </c>
      <c r="N643" s="7" t="s">
        <v>422</v>
      </c>
      <c r="O643" s="7">
        <v>97480.0</v>
      </c>
      <c r="P643" s="7" t="s">
        <v>123</v>
      </c>
      <c r="Q643" s="7" t="s">
        <v>726</v>
      </c>
      <c r="R643" s="7"/>
      <c r="S643" s="7"/>
      <c r="T643" s="7" t="s">
        <v>377</v>
      </c>
      <c r="U643" s="7" t="s">
        <v>378</v>
      </c>
      <c r="V643" s="7"/>
      <c r="W643" s="7">
        <v>2.62411517E8</v>
      </c>
      <c r="X643" s="7"/>
      <c r="Y643" s="7"/>
      <c r="Z643" s="7"/>
      <c r="AA643" s="7"/>
      <c r="AB643" s="7"/>
      <c r="AC643" s="7" t="s">
        <v>7948</v>
      </c>
      <c r="AD643" s="7" t="s">
        <v>7949</v>
      </c>
      <c r="AE643" s="7"/>
      <c r="AF643" s="7"/>
      <c r="AG643" s="7"/>
      <c r="AH643" s="20">
        <v>42219.0</v>
      </c>
      <c r="AI643" s="7"/>
      <c r="AJ643" s="7" t="s">
        <v>7946</v>
      </c>
      <c r="AK643" s="7"/>
      <c r="AL643" s="7" t="s">
        <v>7950</v>
      </c>
      <c r="AM643" s="7" t="s">
        <v>7951</v>
      </c>
      <c r="AN643" s="20">
        <v>42219.0</v>
      </c>
      <c r="AO643" s="7">
        <v>97480.0</v>
      </c>
      <c r="AP643" s="7" t="s">
        <v>385</v>
      </c>
      <c r="AQ643" s="7"/>
      <c r="AR643" s="7"/>
      <c r="AS643" s="7"/>
      <c r="AT643" s="7"/>
      <c r="AU643" s="7">
        <v>0.0</v>
      </c>
      <c r="AV643" s="7" t="s">
        <v>7952</v>
      </c>
      <c r="AW643" s="7"/>
      <c r="AX643" s="7"/>
      <c r="AY643" s="7"/>
      <c r="AZ643" s="7"/>
      <c r="BA643" s="7"/>
      <c r="BB643" s="7"/>
      <c r="BC643" s="7" t="s">
        <v>366</v>
      </c>
      <c r="BD643" s="21">
        <v>44124.229166666664</v>
      </c>
      <c r="BE643" s="7"/>
      <c r="BF643" s="7"/>
      <c r="BG643" s="22">
        <v>44124.0</v>
      </c>
      <c r="BH643" s="7"/>
      <c r="BI643" s="7" t="s">
        <v>7953</v>
      </c>
      <c r="BJ643" s="7"/>
      <c r="BK643" s="7" t="b">
        <v>0</v>
      </c>
      <c r="BL643" s="7" t="b">
        <v>0</v>
      </c>
      <c r="BM643" s="7"/>
      <c r="BN643" s="7" t="str">
        <f>IFERROR(__xludf.DUMMYFUNCTION(" IF( REGEXMATCH(C643 , ""[(].+[)]""),REGEXREPLACE( CONCATENATE(REGEXEXTRACT(C643 , ""[(].+[)]""),IF(REGEXMATCH(C643 , ""[(][Ll]['’][)]""),"""","" ""), REGEXEXTRACT(C643 ,""^(?:(?:[A-Za-zàäéèêîïöôûü0-9 ](?:[A-Za-zàäéèêîïöôûü'0-9 ]+)))"")) , ""[()]"", """")"&amp;",C643 )"),"La Villa Créole ")</f>
        <v>La Villa Créole </v>
      </c>
      <c r="BO643" s="23"/>
      <c r="BP643" s="7"/>
      <c r="BQ643" s="7"/>
      <c r="BR643" s="7"/>
      <c r="BS643" s="7"/>
      <c r="BT643" s="7"/>
      <c r="BU643" s="7"/>
      <c r="BV643" s="7"/>
      <c r="BW643" s="7"/>
      <c r="BX643" s="7"/>
      <c r="BY643" s="7"/>
      <c r="BZ643" s="7"/>
      <c r="CA643" s="7"/>
      <c r="CB643" s="7"/>
    </row>
    <row r="644" ht="21.75" customHeight="1">
      <c r="A644" s="7">
        <v>367.0</v>
      </c>
      <c r="B644" s="7">
        <v>643.0</v>
      </c>
      <c r="C644" s="7" t="s">
        <v>7954</v>
      </c>
      <c r="D644" s="7" t="s">
        <v>7955</v>
      </c>
      <c r="E644" s="7"/>
      <c r="F644" s="7" t="s">
        <v>404</v>
      </c>
      <c r="G644" s="7" t="s">
        <v>343</v>
      </c>
      <c r="H644" s="7" t="s">
        <v>123</v>
      </c>
      <c r="I644" s="7" t="s">
        <v>7956</v>
      </c>
      <c r="J644" s="7"/>
      <c r="K644" s="7" t="s">
        <v>58</v>
      </c>
      <c r="L644" s="7" t="s">
        <v>59</v>
      </c>
      <c r="M644" s="7" t="s">
        <v>374</v>
      </c>
      <c r="N644" s="7" t="s">
        <v>455</v>
      </c>
      <c r="O644" s="7">
        <v>97480.0</v>
      </c>
      <c r="P644" s="7" t="s">
        <v>123</v>
      </c>
      <c r="Q644" s="7"/>
      <c r="R644" s="7" t="s">
        <v>1221</v>
      </c>
      <c r="S644" s="7" t="s">
        <v>5182</v>
      </c>
      <c r="T644" s="7" t="s">
        <v>377</v>
      </c>
      <c r="U644" s="7" t="s">
        <v>353</v>
      </c>
      <c r="V644" s="7">
        <v>2.62314268E8</v>
      </c>
      <c r="W644" s="7">
        <v>6.9207074E8</v>
      </c>
      <c r="X644" s="7"/>
      <c r="Y644" s="7"/>
      <c r="Z644" s="7" t="s">
        <v>7957</v>
      </c>
      <c r="AA644" s="7">
        <v>6.0</v>
      </c>
      <c r="AB644" s="7" t="s">
        <v>1429</v>
      </c>
      <c r="AC644" s="7"/>
      <c r="AD644" s="7" t="s">
        <v>7958</v>
      </c>
      <c r="AE644" s="7" t="s">
        <v>7959</v>
      </c>
      <c r="AF644" s="7"/>
      <c r="AG644" s="7" t="s">
        <v>751</v>
      </c>
      <c r="AH644" s="20">
        <v>39575.0</v>
      </c>
      <c r="AI644" s="7"/>
      <c r="AJ644" s="7" t="s">
        <v>7954</v>
      </c>
      <c r="AK644" s="7"/>
      <c r="AL644" s="7" t="s">
        <v>7960</v>
      </c>
      <c r="AM644" s="7" t="s">
        <v>7961</v>
      </c>
      <c r="AN644" s="20">
        <v>39575.0</v>
      </c>
      <c r="AO644" s="7">
        <v>97480.0</v>
      </c>
      <c r="AP644" s="7" t="s">
        <v>385</v>
      </c>
      <c r="AQ644" s="7"/>
      <c r="AR644" s="7"/>
      <c r="AS644" s="7"/>
      <c r="AT644" s="7"/>
      <c r="AU644" s="7">
        <v>1.0</v>
      </c>
      <c r="AV644" s="7" t="s">
        <v>7962</v>
      </c>
      <c r="AW644" s="7"/>
      <c r="AX644" s="7"/>
      <c r="AY644" s="7"/>
      <c r="AZ644" s="7"/>
      <c r="BA644" s="7"/>
      <c r="BB644" s="7"/>
      <c r="BC644" s="7" t="s">
        <v>366</v>
      </c>
      <c r="BD644" s="21">
        <v>44101.145833333336</v>
      </c>
      <c r="BE644" s="7"/>
      <c r="BF644" s="7"/>
      <c r="BG644" s="22">
        <v>44101.0</v>
      </c>
      <c r="BH644" s="7"/>
      <c r="BI644" s="7" t="s">
        <v>7963</v>
      </c>
      <c r="BJ644" s="7"/>
      <c r="BK644" s="7" t="b">
        <v>0</v>
      </c>
      <c r="BL644" s="7" t="b">
        <v>0</v>
      </c>
      <c r="BM644" s="7"/>
      <c r="BN644" s="7" t="str">
        <f>IFERROR(__xludf.DUMMYFUNCTION(" IF( REGEXMATCH(C644 , ""[(].+[)]""),REGEXREPLACE( CONCATENATE(REGEXEXTRACT(C644 , ""[(].+[)]""),IF(REGEXMATCH(C644 , ""[(][Ll]['’][)]""),"""","" ""), REGEXEXTRACT(C644 ,""^(?:(?:[A-Za-zàäéèêîïöôûü0-9 ](?:[A-Za-zàäéèêîïöôûü'0-9 ]+)))"")) , ""[()]"", """")"&amp;",C644 )"),"La Villa du Barrage ")</f>
        <v>La Villa du Barrage </v>
      </c>
      <c r="BO644" s="23"/>
      <c r="BP644" s="7"/>
      <c r="BQ644" s="7"/>
      <c r="BR644" s="7"/>
      <c r="BS644" s="7"/>
      <c r="BT644" s="7"/>
      <c r="BU644" s="7"/>
      <c r="BV644" s="7"/>
      <c r="BW644" s="7"/>
      <c r="BX644" s="7"/>
      <c r="BY644" s="7"/>
      <c r="BZ644" s="7"/>
      <c r="CA644" s="7"/>
      <c r="CB644" s="7"/>
    </row>
    <row r="645" ht="21.75" customHeight="1">
      <c r="A645" s="7">
        <v>4247.0</v>
      </c>
      <c r="B645" s="7">
        <v>644.0</v>
      </c>
      <c r="C645" s="7" t="s">
        <v>7964</v>
      </c>
      <c r="D645" s="7"/>
      <c r="E645" s="7"/>
      <c r="F645" s="7" t="s">
        <v>404</v>
      </c>
      <c r="G645" s="7" t="s">
        <v>343</v>
      </c>
      <c r="H645" s="7" t="s">
        <v>123</v>
      </c>
      <c r="I645" s="7" t="s">
        <v>7965</v>
      </c>
      <c r="J645" s="7"/>
      <c r="K645" s="7" t="s">
        <v>58</v>
      </c>
      <c r="L645" s="7" t="s">
        <v>59</v>
      </c>
      <c r="M645" s="7" t="s">
        <v>346</v>
      </c>
      <c r="N645" s="7" t="s">
        <v>375</v>
      </c>
      <c r="O645" s="7">
        <v>97480.0</v>
      </c>
      <c r="P645" s="7" t="s">
        <v>123</v>
      </c>
      <c r="Q645" s="7" t="s">
        <v>2092</v>
      </c>
      <c r="R645" s="7" t="s">
        <v>7966</v>
      </c>
      <c r="S645" s="7" t="s">
        <v>2714</v>
      </c>
      <c r="T645" s="7" t="s">
        <v>377</v>
      </c>
      <c r="U645" s="7" t="s">
        <v>378</v>
      </c>
      <c r="V645" s="7">
        <v>2.62411022E8</v>
      </c>
      <c r="W645" s="7">
        <v>6.92431085E8</v>
      </c>
      <c r="X645" s="7"/>
      <c r="Y645" s="7"/>
      <c r="Z645" s="7" t="s">
        <v>7967</v>
      </c>
      <c r="AA645" s="7">
        <v>8.0</v>
      </c>
      <c r="AB645" s="7"/>
      <c r="AC645" s="7" t="s">
        <v>7968</v>
      </c>
      <c r="AD645" s="7" t="s">
        <v>7969</v>
      </c>
      <c r="AE645" s="7"/>
      <c r="AF645" s="7"/>
      <c r="AG645" s="7"/>
      <c r="AH645" s="20">
        <v>42748.0</v>
      </c>
      <c r="AI645" s="7"/>
      <c r="AJ645" s="7" t="s">
        <v>7970</v>
      </c>
      <c r="AK645" s="7"/>
      <c r="AL645" s="7" t="s">
        <v>7971</v>
      </c>
      <c r="AM645" s="7" t="s">
        <v>7972</v>
      </c>
      <c r="AN645" s="20">
        <v>42748.0</v>
      </c>
      <c r="AO645" s="7">
        <v>97480.0</v>
      </c>
      <c r="AP645" s="7" t="s">
        <v>385</v>
      </c>
      <c r="AQ645" s="7"/>
      <c r="AR645" s="7"/>
      <c r="AS645" s="7"/>
      <c r="AT645" s="7"/>
      <c r="AU645" s="7">
        <v>1.0</v>
      </c>
      <c r="AV645" s="7" t="s">
        <v>7973</v>
      </c>
      <c r="AW645" s="7"/>
      <c r="AX645" s="7"/>
      <c r="AY645" s="7"/>
      <c r="AZ645" s="7"/>
      <c r="BA645" s="7"/>
      <c r="BB645" s="7"/>
      <c r="BC645" s="7" t="s">
        <v>366</v>
      </c>
      <c r="BD645" s="21">
        <v>44115.53472222222</v>
      </c>
      <c r="BE645" s="7"/>
      <c r="BF645" s="7"/>
      <c r="BG645" s="22">
        <v>44115.0</v>
      </c>
      <c r="BH645" s="7"/>
      <c r="BI645" s="7" t="s">
        <v>7974</v>
      </c>
      <c r="BJ645" s="7"/>
      <c r="BK645" s="7" t="b">
        <v>0</v>
      </c>
      <c r="BL645" s="7" t="b">
        <v>0</v>
      </c>
      <c r="BM645" s="7"/>
      <c r="BN645" s="7" t="str">
        <f>IFERROR(__xludf.DUMMYFUNCTION(" IF( REGEXMATCH(C645 , ""[(].+[)]""),REGEXREPLACE( CONCATENATE(REGEXEXTRACT(C645 , ""[(].+[)]""),IF(REGEXMATCH(C645 , ""[(][Ll]['’][)]""),"""","" ""), REGEXEXTRACT(C645 ,""^(?:(?:[A-Za-zàäéèêîïöôûü0-9 ](?:[A-Za-zàäéèêîïöôûü'0-9 ]+)))"")) , ""[()]"", """")"&amp;",C645 )"),"Villa Exotica")</f>
        <v>Villa Exotica</v>
      </c>
      <c r="BO645" s="23"/>
      <c r="BP645" s="7"/>
      <c r="BQ645" s="7"/>
      <c r="BR645" s="7"/>
      <c r="BS645" s="7"/>
      <c r="BT645" s="7"/>
      <c r="BU645" s="7"/>
      <c r="BV645" s="7"/>
      <c r="BW645" s="7"/>
      <c r="BX645" s="7"/>
      <c r="BY645" s="7"/>
      <c r="BZ645" s="7"/>
      <c r="CA645" s="7"/>
      <c r="CB645" s="7"/>
    </row>
    <row r="646" ht="21.75" customHeight="1">
      <c r="A646" s="7">
        <v>2717.0</v>
      </c>
      <c r="B646" s="7" t="s">
        <v>7975</v>
      </c>
      <c r="C646" s="7" t="s">
        <v>7976</v>
      </c>
      <c r="D646" s="7"/>
      <c r="E646" s="7"/>
      <c r="F646" s="7" t="s">
        <v>342</v>
      </c>
      <c r="G646" s="7" t="s">
        <v>343</v>
      </c>
      <c r="H646" s="7" t="s">
        <v>40</v>
      </c>
      <c r="I646" s="7" t="s">
        <v>7977</v>
      </c>
      <c r="J646" s="7"/>
      <c r="K646" s="7" t="s">
        <v>58</v>
      </c>
      <c r="L646" s="7" t="s">
        <v>59</v>
      </c>
      <c r="M646" s="7" t="s">
        <v>346</v>
      </c>
      <c r="N646" s="7" t="s">
        <v>422</v>
      </c>
      <c r="O646" s="7">
        <v>97414.0</v>
      </c>
      <c r="P646" s="7" t="s">
        <v>40</v>
      </c>
      <c r="Q646" s="7"/>
      <c r="R646" s="7" t="s">
        <v>7978</v>
      </c>
      <c r="S646" s="7" t="s">
        <v>2053</v>
      </c>
      <c r="T646" s="7" t="s">
        <v>377</v>
      </c>
      <c r="U646" s="7" t="s">
        <v>378</v>
      </c>
      <c r="V646" s="7">
        <v>2.62337889E8</v>
      </c>
      <c r="W646" s="7">
        <v>6.92332388E8</v>
      </c>
      <c r="X646" s="7"/>
      <c r="Y646" s="7"/>
      <c r="Z646" s="7" t="s">
        <v>7979</v>
      </c>
      <c r="AA646" s="7">
        <v>4.0</v>
      </c>
      <c r="AB646" s="7"/>
      <c r="AC646" s="7"/>
      <c r="AD646" s="7" t="s">
        <v>7980</v>
      </c>
      <c r="AE646" s="7"/>
      <c r="AF646" s="7"/>
      <c r="AG646" s="7"/>
      <c r="AH646" s="20">
        <v>43739.0</v>
      </c>
      <c r="AI646" s="7"/>
      <c r="AJ646" s="7" t="s">
        <v>7981</v>
      </c>
      <c r="AK646" s="7"/>
      <c r="AL646" s="7" t="s">
        <v>7982</v>
      </c>
      <c r="AM646" s="7" t="s">
        <v>7983</v>
      </c>
      <c r="AN646" s="20">
        <v>43739.0</v>
      </c>
      <c r="AO646" s="7">
        <v>97414.0</v>
      </c>
      <c r="AP646" s="7" t="s">
        <v>429</v>
      </c>
      <c r="AQ646" s="7"/>
      <c r="AR646" s="7"/>
      <c r="AS646" s="7"/>
      <c r="AT646" s="7"/>
      <c r="AU646" s="7">
        <v>1.0</v>
      </c>
      <c r="AV646" s="7" t="s">
        <v>7984</v>
      </c>
      <c r="AW646" s="7"/>
      <c r="AX646" s="7"/>
      <c r="AY646" s="7"/>
      <c r="AZ646" s="7" t="s">
        <v>7985</v>
      </c>
      <c r="BA646" s="7"/>
      <c r="BB646" s="7"/>
      <c r="BC646" s="7" t="s">
        <v>401</v>
      </c>
      <c r="BD646" s="21">
        <v>44080.2125</v>
      </c>
      <c r="BE646" s="7" t="s">
        <v>7986</v>
      </c>
      <c r="BF646" s="7"/>
      <c r="BG646" s="7"/>
      <c r="BH646" s="7"/>
      <c r="BI646" s="7" t="s">
        <v>7987</v>
      </c>
      <c r="BJ646" s="7"/>
      <c r="BK646" s="7" t="b">
        <v>0</v>
      </c>
      <c r="BL646" s="7" t="b">
        <v>0</v>
      </c>
      <c r="BM646" s="7"/>
      <c r="BN646" s="7" t="str">
        <f>IFERROR(__xludf.DUMMYFUNCTION(" IF( REGEXMATCH(C646 , ""[(].+[)]""),REGEXREPLACE( CONCATENATE(REGEXEXTRACT(C646 , ""[(].+[)]""),IF(REGEXMATCH(C646 , ""[(][Ll]['’][)]""),"""","" ""), REGEXEXTRACT(C646 ,""^(?:(?:[A-Za-zàäéèêîïöôûü0-9 ](?:[A-Za-zàäéèêîïöôûü'0-9 ]+)))"")) , ""[()]"", """")"&amp;",C646 )"),"Villa les Grenadines")</f>
        <v>Villa les Grenadines</v>
      </c>
      <c r="BO646" s="25"/>
      <c r="BP646" s="7"/>
      <c r="BQ646" s="7"/>
      <c r="BR646" s="7"/>
      <c r="BS646" s="7"/>
      <c r="BT646" s="7"/>
      <c r="BU646" s="7"/>
      <c r="BV646" s="7"/>
      <c r="BW646" s="7"/>
      <c r="BX646" s="7"/>
      <c r="BY646" s="7"/>
      <c r="BZ646" s="7"/>
      <c r="CA646" s="7"/>
      <c r="CB646" s="7"/>
    </row>
    <row r="647" ht="21.75" customHeight="1">
      <c r="A647" s="7">
        <v>3517.0</v>
      </c>
      <c r="B647" s="7" t="s">
        <v>7988</v>
      </c>
      <c r="C647" s="7" t="s">
        <v>7989</v>
      </c>
      <c r="D647" s="7" t="s">
        <v>7989</v>
      </c>
      <c r="E647" s="7"/>
      <c r="F647" s="7" t="s">
        <v>342</v>
      </c>
      <c r="G647" s="7" t="s">
        <v>343</v>
      </c>
      <c r="H647" s="7" t="s">
        <v>40</v>
      </c>
      <c r="I647" s="7" t="s">
        <v>7990</v>
      </c>
      <c r="J647" s="26" t="s">
        <v>7991</v>
      </c>
      <c r="K647" s="7" t="s">
        <v>58</v>
      </c>
      <c r="L647" s="7" t="s">
        <v>453</v>
      </c>
      <c r="M647" s="7" t="s">
        <v>454</v>
      </c>
      <c r="N647" s="7" t="s">
        <v>422</v>
      </c>
      <c r="O647" s="7">
        <v>97414.0</v>
      </c>
      <c r="P647" s="7" t="s">
        <v>40</v>
      </c>
      <c r="Q647" s="7"/>
      <c r="R647" s="7" t="s">
        <v>7992</v>
      </c>
      <c r="S647" s="7" t="s">
        <v>3084</v>
      </c>
      <c r="T647" s="7" t="s">
        <v>4227</v>
      </c>
      <c r="U647" s="7" t="s">
        <v>424</v>
      </c>
      <c r="V647" s="7">
        <v>2.62390343E8</v>
      </c>
      <c r="W647" s="7">
        <v>6.92416038E8</v>
      </c>
      <c r="X647" s="7"/>
      <c r="Y647" s="7"/>
      <c r="Z647" s="7" t="s">
        <v>7993</v>
      </c>
      <c r="AA647" s="7">
        <v>6.0</v>
      </c>
      <c r="AB647" s="7" t="s">
        <v>3460</v>
      </c>
      <c r="AC647" s="7" t="s">
        <v>7994</v>
      </c>
      <c r="AD647" s="7" t="s">
        <v>7995</v>
      </c>
      <c r="AE647" s="7" t="s">
        <v>7996</v>
      </c>
      <c r="AF647" s="7"/>
      <c r="AG647" s="7" t="s">
        <v>751</v>
      </c>
      <c r="AH647" s="20">
        <v>41624.0</v>
      </c>
      <c r="AI647" s="7"/>
      <c r="AJ647" s="7" t="s">
        <v>7997</v>
      </c>
      <c r="AK647" s="7">
        <v>7.034813000001E13</v>
      </c>
      <c r="AL647" s="7" t="s">
        <v>7998</v>
      </c>
      <c r="AM647" s="7" t="s">
        <v>7999</v>
      </c>
      <c r="AN647" s="20">
        <v>41624.0</v>
      </c>
      <c r="AO647" s="7">
        <v>97414.0</v>
      </c>
      <c r="AP647" s="7" t="s">
        <v>429</v>
      </c>
      <c r="AQ647" s="7"/>
      <c r="AR647" s="7"/>
      <c r="AS647" s="7"/>
      <c r="AT647" s="7"/>
      <c r="AU647" s="7">
        <v>3.0</v>
      </c>
      <c r="AV647" s="7" t="s">
        <v>8000</v>
      </c>
      <c r="AW647" s="7"/>
      <c r="AX647" s="7"/>
      <c r="AY647" s="7"/>
      <c r="AZ647" s="7" t="s">
        <v>8001</v>
      </c>
      <c r="BA647" s="7"/>
      <c r="BB647" s="7"/>
      <c r="BC647" s="7" t="s">
        <v>401</v>
      </c>
      <c r="BD647" s="21">
        <v>44071.0</v>
      </c>
      <c r="BE647" s="7" t="s">
        <v>449</v>
      </c>
      <c r="BF647" s="7"/>
      <c r="BG647" s="7"/>
      <c r="BH647" s="7">
        <v>7.034813E8</v>
      </c>
      <c r="BI647" s="7" t="s">
        <v>5764</v>
      </c>
      <c r="BJ647" s="7"/>
      <c r="BK647" s="7" t="b">
        <v>0</v>
      </c>
      <c r="BL647" s="7" t="b">
        <v>0</v>
      </c>
      <c r="BM647" s="7"/>
      <c r="BN647" s="7" t="str">
        <f>IFERROR(__xludf.DUMMYFUNCTION(" IF( REGEXMATCH(C647 , ""[(].+[)]""),REGEXREPLACE( CONCATENATE(REGEXEXTRACT(C647 , ""[(].+[)]""),IF(REGEXMATCH(C647 , ""[(][Ll]['’][)]""),"""","" ""), REGEXEXTRACT(C647 ,""^(?:(?:[A-Za-zàäéèêîïöôûü0-9 ](?:[A-Za-zàäéèêîïöôûü'0-9 ]+)))"")) , ""[()]"", """")"&amp;",C647 )"),"Villa Oté")</f>
        <v>Villa Oté</v>
      </c>
      <c r="BO647" s="25"/>
      <c r="BP647" s="7"/>
      <c r="BQ647" s="7"/>
      <c r="BR647" s="7"/>
      <c r="BS647" s="7"/>
      <c r="BT647" s="7"/>
      <c r="BU647" s="7"/>
      <c r="BV647" s="7"/>
      <c r="BW647" s="7"/>
      <c r="BX647" s="7"/>
      <c r="BY647" s="7"/>
      <c r="BZ647" s="7"/>
      <c r="CA647" s="7"/>
      <c r="CB647" s="7"/>
    </row>
    <row r="648" ht="21.75" customHeight="1">
      <c r="A648" s="7">
        <v>1826.0</v>
      </c>
      <c r="B648" s="7">
        <v>647.0</v>
      </c>
      <c r="C648" s="7" t="s">
        <v>8002</v>
      </c>
      <c r="D648" s="7" t="s">
        <v>8003</v>
      </c>
      <c r="E648" s="7"/>
      <c r="F648" s="7" t="s">
        <v>404</v>
      </c>
      <c r="G648" s="7" t="s">
        <v>343</v>
      </c>
      <c r="H648" s="7" t="s">
        <v>40</v>
      </c>
      <c r="I648" s="7" t="s">
        <v>8004</v>
      </c>
      <c r="J648" s="26" t="s">
        <v>8005</v>
      </c>
      <c r="K648" s="7" t="s">
        <v>58</v>
      </c>
      <c r="L648" s="7" t="s">
        <v>59</v>
      </c>
      <c r="M648" s="7" t="s">
        <v>346</v>
      </c>
      <c r="N648" s="7" t="s">
        <v>422</v>
      </c>
      <c r="O648" s="7">
        <v>97414.0</v>
      </c>
      <c r="P648" s="7" t="s">
        <v>40</v>
      </c>
      <c r="Q648" s="7"/>
      <c r="R648" s="7" t="s">
        <v>8006</v>
      </c>
      <c r="S648" s="7" t="s">
        <v>3334</v>
      </c>
      <c r="T648" s="7" t="s">
        <v>377</v>
      </c>
      <c r="U648" s="7" t="s">
        <v>1508</v>
      </c>
      <c r="V648" s="7">
        <v>2.62591422E8</v>
      </c>
      <c r="W648" s="7">
        <v>6.9212346E8</v>
      </c>
      <c r="X648" s="7"/>
      <c r="Y648" s="7"/>
      <c r="Z648" s="7" t="s">
        <v>8007</v>
      </c>
      <c r="AA648" s="7">
        <v>10.0</v>
      </c>
      <c r="AB648" s="7"/>
      <c r="AC648" s="7"/>
      <c r="AD648" s="7" t="s">
        <v>8008</v>
      </c>
      <c r="AE648" s="7"/>
      <c r="AF648" s="7"/>
      <c r="AG648" s="7"/>
      <c r="AH648" s="20">
        <v>43739.0</v>
      </c>
      <c r="AI648" s="7"/>
      <c r="AJ648" s="7" t="s">
        <v>8009</v>
      </c>
      <c r="AK648" s="7"/>
      <c r="AL648" s="7" t="s">
        <v>5762</v>
      </c>
      <c r="AM648" s="7" t="s">
        <v>8010</v>
      </c>
      <c r="AN648" s="20">
        <v>43739.0</v>
      </c>
      <c r="AO648" s="7">
        <v>97414.0</v>
      </c>
      <c r="AP648" s="7" t="s">
        <v>429</v>
      </c>
      <c r="AQ648" s="7"/>
      <c r="AR648" s="7"/>
      <c r="AS648" s="7"/>
      <c r="AT648" s="7"/>
      <c r="AU648" s="7">
        <v>1.0</v>
      </c>
      <c r="AV648" s="7" t="s">
        <v>5763</v>
      </c>
      <c r="AW648" s="7"/>
      <c r="AX648" s="7"/>
      <c r="AY648" s="7"/>
      <c r="AZ648" s="7"/>
      <c r="BA648" s="7"/>
      <c r="BB648" s="7"/>
      <c r="BC648" s="7" t="s">
        <v>366</v>
      </c>
      <c r="BD648" s="21">
        <v>44197.0</v>
      </c>
      <c r="BE648" s="7"/>
      <c r="BF648" s="7"/>
      <c r="BG648" s="22">
        <v>44197.0</v>
      </c>
      <c r="BH648" s="7"/>
      <c r="BI648" s="7" t="s">
        <v>5764</v>
      </c>
      <c r="BJ648" s="7"/>
      <c r="BK648" s="7" t="b">
        <v>0</v>
      </c>
      <c r="BL648" s="7" t="b">
        <v>0</v>
      </c>
      <c r="BM648" s="7"/>
      <c r="BN648" s="7" t="str">
        <f>IFERROR(__xludf.DUMMYFUNCTION(" IF( REGEXMATCH(C648 , ""[(].+[)]""),REGEXREPLACE( CONCATENATE(REGEXEXTRACT(C648 , ""[(].+[)]""),IF(REGEXMATCH(C648 , ""[(][Ll]['’][)]""),"""","" ""), REGEXEXTRACT(C648 ,""^(?:(?:[A-Za-zàäéèêîïöôûü0-9 ](?:[A-Za-zàäéèêîïöôûü'0-9 ]+)))"")) , ""[()]"", """")"&amp;",C648 )"),"Villa Ote La Réunion")</f>
        <v>Villa Ote La Réunion</v>
      </c>
      <c r="BO648" s="23"/>
      <c r="BP648" s="7"/>
      <c r="BQ648" s="7"/>
      <c r="BR648" s="7"/>
      <c r="BS648" s="7"/>
      <c r="BT648" s="7"/>
      <c r="BU648" s="7"/>
      <c r="BV648" s="7"/>
      <c r="BW648" s="7"/>
      <c r="BX648" s="7"/>
      <c r="BY648" s="7"/>
      <c r="BZ648" s="7"/>
      <c r="CA648" s="7"/>
      <c r="CB648" s="7"/>
    </row>
    <row r="649" ht="21.75" customHeight="1">
      <c r="A649" s="7">
        <v>5122.0</v>
      </c>
      <c r="B649" s="7" t="s">
        <v>8011</v>
      </c>
      <c r="C649" s="7" t="s">
        <v>8012</v>
      </c>
      <c r="D649" s="7"/>
      <c r="E649" s="7"/>
      <c r="F649" s="7" t="s">
        <v>342</v>
      </c>
      <c r="G649" s="7" t="s">
        <v>343</v>
      </c>
      <c r="H649" s="7" t="s">
        <v>40</v>
      </c>
      <c r="I649" s="7" t="s">
        <v>8013</v>
      </c>
      <c r="J649" s="7"/>
      <c r="K649" s="7" t="s">
        <v>58</v>
      </c>
      <c r="L649" s="7" t="s">
        <v>59</v>
      </c>
      <c r="M649" s="7" t="s">
        <v>346</v>
      </c>
      <c r="N649" s="7"/>
      <c r="O649" s="7">
        <v>97414.0</v>
      </c>
      <c r="P649" s="7" t="s">
        <v>40</v>
      </c>
      <c r="Q649" s="7"/>
      <c r="R649" s="7" t="s">
        <v>8014</v>
      </c>
      <c r="S649" s="7" t="s">
        <v>8015</v>
      </c>
      <c r="T649" s="7"/>
      <c r="U649" s="7" t="s">
        <v>393</v>
      </c>
      <c r="V649" s="7"/>
      <c r="W649" s="7">
        <v>6.92150953E8</v>
      </c>
      <c r="X649" s="7"/>
      <c r="Y649" s="7"/>
      <c r="Z649" s="7" t="s">
        <v>8016</v>
      </c>
      <c r="AA649" s="7">
        <v>7.0</v>
      </c>
      <c r="AB649" s="7"/>
      <c r="AC649" s="7" t="s">
        <v>8017</v>
      </c>
      <c r="AD649" s="7" t="s">
        <v>8018</v>
      </c>
      <c r="AE649" s="7" t="s">
        <v>8019</v>
      </c>
      <c r="AF649" s="7"/>
      <c r="AG649" s="7"/>
      <c r="AH649" s="20">
        <v>31778.0</v>
      </c>
      <c r="AI649" s="7"/>
      <c r="AJ649" s="7" t="s">
        <v>8020</v>
      </c>
      <c r="AK649" s="7">
        <v>3.397752490004E13</v>
      </c>
      <c r="AL649" s="7" t="s">
        <v>8021</v>
      </c>
      <c r="AM649" s="7" t="s">
        <v>8022</v>
      </c>
      <c r="AN649" s="20">
        <v>43850.0</v>
      </c>
      <c r="AO649" s="7">
        <v>97414.0</v>
      </c>
      <c r="AP649" s="7" t="s">
        <v>429</v>
      </c>
      <c r="AQ649" s="7"/>
      <c r="AR649" s="7"/>
      <c r="AS649" s="7"/>
      <c r="AT649" s="7"/>
      <c r="AU649" s="7">
        <v>1.0</v>
      </c>
      <c r="AV649" s="7" t="s">
        <v>8023</v>
      </c>
      <c r="AW649" s="7"/>
      <c r="AX649" s="7" t="s">
        <v>8024</v>
      </c>
      <c r="AY649" s="7" t="s">
        <v>1590</v>
      </c>
      <c r="AZ649" s="7" t="s">
        <v>8025</v>
      </c>
      <c r="BA649" s="7"/>
      <c r="BB649" s="7"/>
      <c r="BC649" s="7" t="s">
        <v>401</v>
      </c>
      <c r="BD649" s="21">
        <v>44027.0</v>
      </c>
      <c r="BE649" s="7" t="s">
        <v>8026</v>
      </c>
      <c r="BF649" s="7"/>
      <c r="BG649" s="7"/>
      <c r="BH649" s="7">
        <v>3.39775249E8</v>
      </c>
      <c r="BI649" s="7" t="s">
        <v>8027</v>
      </c>
      <c r="BJ649" s="7"/>
      <c r="BK649" s="7" t="b">
        <v>0</v>
      </c>
      <c r="BL649" s="7" t="b">
        <v>0</v>
      </c>
      <c r="BM649" s="7"/>
      <c r="BN649" s="7" t="str">
        <f>IFERROR(__xludf.DUMMYFUNCTION(" IF( REGEXMATCH(C649 , ""[(].+[)]""),REGEXREPLACE( CONCATENATE(REGEXEXTRACT(C649 , ""[(].+[)]""),IF(REGEXMATCH(C649 , ""[(][Ll]['’][)]""),"""","" ""), REGEXEXTRACT(C649 ,""^(?:(?:[A-Za-zàäéèêîïöôûü0-9 ](?:[A-Za-zàäéèêîïöôûü'0-9 ]+)))"")) , ""[()]"", """")"&amp;",C649 )"),"Villa Pablo")</f>
        <v>Villa Pablo</v>
      </c>
      <c r="BO649" s="25"/>
      <c r="BP649" s="7"/>
      <c r="BQ649" s="7"/>
      <c r="BR649" s="7"/>
      <c r="BS649" s="7"/>
      <c r="BT649" s="7"/>
      <c r="BU649" s="7"/>
      <c r="BV649" s="7"/>
      <c r="BW649" s="7"/>
      <c r="BX649" s="7"/>
      <c r="BY649" s="7"/>
      <c r="BZ649" s="7"/>
      <c r="CA649" s="7"/>
      <c r="CB649" s="7"/>
    </row>
    <row r="650" ht="21.75" customHeight="1">
      <c r="A650" s="7">
        <v>1657.0</v>
      </c>
      <c r="B650" s="7" t="s">
        <v>8028</v>
      </c>
      <c r="C650" s="7" t="s">
        <v>8029</v>
      </c>
      <c r="D650" s="7"/>
      <c r="E650" s="7"/>
      <c r="F650" s="7" t="s">
        <v>342</v>
      </c>
      <c r="G650" s="7" t="s">
        <v>343</v>
      </c>
      <c r="H650" s="7" t="s">
        <v>344</v>
      </c>
      <c r="I650" s="7" t="s">
        <v>8030</v>
      </c>
      <c r="J650" s="26" t="s">
        <v>8031</v>
      </c>
      <c r="K650" s="7" t="s">
        <v>58</v>
      </c>
      <c r="L650" s="7" t="s">
        <v>59</v>
      </c>
      <c r="M650" s="7" t="s">
        <v>346</v>
      </c>
      <c r="N650" s="7" t="s">
        <v>455</v>
      </c>
      <c r="O650" s="7">
        <v>97430.0</v>
      </c>
      <c r="P650" s="7" t="s">
        <v>344</v>
      </c>
      <c r="Q650" s="7"/>
      <c r="R650" s="7" t="s">
        <v>8032</v>
      </c>
      <c r="S650" s="7" t="s">
        <v>1222</v>
      </c>
      <c r="T650" s="7" t="s">
        <v>439</v>
      </c>
      <c r="U650" s="7" t="s">
        <v>378</v>
      </c>
      <c r="V650" s="7">
        <v>2.62394456E8</v>
      </c>
      <c r="W650" s="7">
        <v>6.93482251E8</v>
      </c>
      <c r="X650" s="7"/>
      <c r="Y650" s="7"/>
      <c r="Z650" s="7" t="s">
        <v>8033</v>
      </c>
      <c r="AA650" s="7">
        <v>13.0</v>
      </c>
      <c r="AB650" s="7"/>
      <c r="AC650" s="7" t="s">
        <v>8034</v>
      </c>
      <c r="AD650" s="7" t="s">
        <v>8035</v>
      </c>
      <c r="AE650" s="7" t="s">
        <v>8036</v>
      </c>
      <c r="AF650" s="7"/>
      <c r="AG650" s="7"/>
      <c r="AH650" s="20">
        <v>41170.0</v>
      </c>
      <c r="AI650" s="7"/>
      <c r="AJ650" s="7" t="s">
        <v>8037</v>
      </c>
      <c r="AK650" s="7"/>
      <c r="AL650" s="7" t="s">
        <v>8038</v>
      </c>
      <c r="AM650" s="7" t="s">
        <v>8039</v>
      </c>
      <c r="AN650" s="20">
        <v>41170.0</v>
      </c>
      <c r="AO650" s="7">
        <v>97430.0</v>
      </c>
      <c r="AP650" s="7" t="s">
        <v>494</v>
      </c>
      <c r="AQ650" s="7"/>
      <c r="AR650" s="7"/>
      <c r="AS650" s="7"/>
      <c r="AT650" s="7"/>
      <c r="AU650" s="7">
        <v>1.0</v>
      </c>
      <c r="AV650" s="7" t="s">
        <v>8040</v>
      </c>
      <c r="AW650" s="7"/>
      <c r="AX650" s="7"/>
      <c r="AY650" s="7"/>
      <c r="AZ650" s="7" t="s">
        <v>8041</v>
      </c>
      <c r="BA650" s="7"/>
      <c r="BB650" s="7"/>
      <c r="BC650" s="7" t="s">
        <v>401</v>
      </c>
      <c r="BD650" s="21">
        <v>44119.46597222222</v>
      </c>
      <c r="BE650" s="7" t="s">
        <v>8042</v>
      </c>
      <c r="BF650" s="7"/>
      <c r="BG650" s="7"/>
      <c r="BH650" s="7"/>
      <c r="BI650" s="7" t="s">
        <v>8043</v>
      </c>
      <c r="BJ650" s="7"/>
      <c r="BK650" s="7" t="b">
        <v>0</v>
      </c>
      <c r="BL650" s="7" t="b">
        <v>0</v>
      </c>
      <c r="BM650" s="7"/>
      <c r="BN650" s="7" t="str">
        <f>IFERROR(__xludf.DUMMYFUNCTION(" IF( REGEXMATCH(C650 , ""[(].+[)]""),REGEXREPLACE( CONCATENATE(REGEXEXTRACT(C650 , ""[(].+[)]""),IF(REGEXMATCH(C650 , ""[(][Ll]['’][)]""),"""","" ""), REGEXEXTRACT(C650 ,""^(?:(?:[A-Za-zàäéèêîïöôûü0-9 ](?:[A-Za-zàäéèêîïöôûü'0-9 ]+)))"")) , ""[()]"", """")"&amp;",C650 )"),"Villa Palm")</f>
        <v>Villa Palm</v>
      </c>
      <c r="BO650" s="25"/>
      <c r="BP650" s="7"/>
      <c r="BQ650" s="7"/>
      <c r="BR650" s="7"/>
      <c r="BS650" s="7"/>
      <c r="BT650" s="7"/>
      <c r="BU650" s="7"/>
      <c r="BV650" s="7"/>
      <c r="BW650" s="7"/>
      <c r="BX650" s="7"/>
      <c r="BY650" s="7"/>
      <c r="BZ650" s="7"/>
      <c r="CA650" s="7"/>
      <c r="CB650" s="7"/>
    </row>
    <row r="651" ht="21.75" customHeight="1">
      <c r="A651" s="7">
        <v>3207.0</v>
      </c>
      <c r="B651" s="7" t="s">
        <v>8044</v>
      </c>
      <c r="C651" s="7" t="s">
        <v>8045</v>
      </c>
      <c r="D651" s="7" t="s">
        <v>8045</v>
      </c>
      <c r="E651" s="7"/>
      <c r="F651" s="7" t="s">
        <v>342</v>
      </c>
      <c r="G651" s="7" t="s">
        <v>343</v>
      </c>
      <c r="H651" s="7" t="s">
        <v>123</v>
      </c>
      <c r="I651" s="7" t="s">
        <v>8046</v>
      </c>
      <c r="J651" s="26" t="s">
        <v>8047</v>
      </c>
      <c r="K651" s="7" t="s">
        <v>58</v>
      </c>
      <c r="L651" s="7" t="s">
        <v>453</v>
      </c>
      <c r="M651" s="7" t="s">
        <v>454</v>
      </c>
      <c r="N651" s="7" t="s">
        <v>455</v>
      </c>
      <c r="O651" s="7">
        <v>97480.0</v>
      </c>
      <c r="P651" s="7" t="s">
        <v>123</v>
      </c>
      <c r="Q651" s="7"/>
      <c r="R651" s="7" t="s">
        <v>8048</v>
      </c>
      <c r="S651" s="7" t="s">
        <v>2265</v>
      </c>
      <c r="T651" s="7" t="s">
        <v>377</v>
      </c>
      <c r="U651" s="7" t="s">
        <v>6983</v>
      </c>
      <c r="V651" s="7"/>
      <c r="W651" s="7">
        <v>6.92902994E8</v>
      </c>
      <c r="X651" s="7"/>
      <c r="Y651" s="7"/>
      <c r="Z651" s="7" t="s">
        <v>8049</v>
      </c>
      <c r="AA651" s="7">
        <v>6.0</v>
      </c>
      <c r="AB651" s="7"/>
      <c r="AC651" s="7" t="s">
        <v>8050</v>
      </c>
      <c r="AD651" s="7" t="s">
        <v>8051</v>
      </c>
      <c r="AE651" s="7" t="s">
        <v>8052</v>
      </c>
      <c r="AF651" s="7"/>
      <c r="AG651" s="7"/>
      <c r="AH651" s="20">
        <v>41159.0</v>
      </c>
      <c r="AI651" s="7"/>
      <c r="AJ651" s="7" t="s">
        <v>8053</v>
      </c>
      <c r="AK651" s="7">
        <v>7.5124274400017E13</v>
      </c>
      <c r="AL651" s="7" t="s">
        <v>8054</v>
      </c>
      <c r="AM651" s="7" t="s">
        <v>8055</v>
      </c>
      <c r="AN651" s="20">
        <v>41099.0</v>
      </c>
      <c r="AO651" s="7">
        <v>97480.0</v>
      </c>
      <c r="AP651" s="7" t="s">
        <v>385</v>
      </c>
      <c r="AQ651" s="7"/>
      <c r="AR651" s="7"/>
      <c r="AS651" s="7"/>
      <c r="AT651" s="7"/>
      <c r="AU651" s="7">
        <v>3.0</v>
      </c>
      <c r="AV651" s="7" t="s">
        <v>8056</v>
      </c>
      <c r="AW651" s="7"/>
      <c r="AX651" s="7"/>
      <c r="AY651" s="7"/>
      <c r="AZ651" s="7" t="s">
        <v>8057</v>
      </c>
      <c r="BA651" s="7"/>
      <c r="BB651" s="7"/>
      <c r="BC651" s="7" t="s">
        <v>401</v>
      </c>
      <c r="BD651" s="21">
        <v>44193.131944444445</v>
      </c>
      <c r="BE651" s="7" t="s">
        <v>8058</v>
      </c>
      <c r="BF651" s="7"/>
      <c r="BG651" s="7"/>
      <c r="BH651" s="7">
        <v>7.51242744E8</v>
      </c>
      <c r="BI651" s="7" t="s">
        <v>8059</v>
      </c>
      <c r="BJ651" s="7"/>
      <c r="BK651" s="7" t="b">
        <v>0</v>
      </c>
      <c r="BL651" s="7" t="b">
        <v>0</v>
      </c>
      <c r="BM651" s="7"/>
      <c r="BN651" s="7" t="str">
        <f>IFERROR(__xludf.DUMMYFUNCTION(" IF( REGEXMATCH(C651 , ""[(].+[)]""),REGEXREPLACE( CONCATENATE(REGEXEXTRACT(C651 , ""[(].+[)]""),IF(REGEXMATCH(C651 , ""[(][Ll]['’][)]""),"""","" ""), REGEXEXTRACT(C651 ,""^(?:(?:[A-Za-zàäéèêîïöôûü0-9 ](?:[A-Za-zàäéèêîïöôûü'0-9 ]+)))"")) , ""[()]"", """")"&amp;",C651 )"),"Villa Sous les Tropiques")</f>
        <v>Villa Sous les Tropiques</v>
      </c>
      <c r="BO651" s="25"/>
      <c r="BP651" s="7"/>
      <c r="BQ651" s="7"/>
      <c r="BR651" s="7"/>
      <c r="BS651" s="7"/>
      <c r="BT651" s="7"/>
      <c r="BU651" s="7"/>
      <c r="BV651" s="7"/>
      <c r="BW651" s="7"/>
      <c r="BX651" s="7"/>
      <c r="BY651" s="7"/>
      <c r="BZ651" s="7"/>
      <c r="CA651" s="7"/>
      <c r="CB651" s="7"/>
    </row>
    <row r="652" ht="21.75" customHeight="1">
      <c r="A652" s="7">
        <v>3868.0</v>
      </c>
      <c r="B652" s="7" t="s">
        <v>8060</v>
      </c>
      <c r="C652" s="7" t="s">
        <v>8061</v>
      </c>
      <c r="D652" s="7"/>
      <c r="E652" s="7"/>
      <c r="F652" s="7" t="s">
        <v>404</v>
      </c>
      <c r="G652" s="7" t="s">
        <v>343</v>
      </c>
      <c r="H652" s="7" t="s">
        <v>344</v>
      </c>
      <c r="I652" s="7" t="s">
        <v>8062</v>
      </c>
      <c r="J652" s="26" t="s">
        <v>8063</v>
      </c>
      <c r="K652" s="7" t="s">
        <v>58</v>
      </c>
      <c r="L652" s="7" t="s">
        <v>59</v>
      </c>
      <c r="M652" s="7" t="s">
        <v>346</v>
      </c>
      <c r="N652" s="7" t="s">
        <v>6921</v>
      </c>
      <c r="O652" s="7">
        <v>97418.0</v>
      </c>
      <c r="P652" s="7" t="s">
        <v>348</v>
      </c>
      <c r="Q652" s="7" t="s">
        <v>570</v>
      </c>
      <c r="R652" s="7" t="s">
        <v>8064</v>
      </c>
      <c r="S652" s="7" t="s">
        <v>2198</v>
      </c>
      <c r="T652" s="7" t="s">
        <v>377</v>
      </c>
      <c r="U652" s="7" t="s">
        <v>378</v>
      </c>
      <c r="V652" s="7"/>
      <c r="W652" s="7">
        <v>6.92794129E8</v>
      </c>
      <c r="X652" s="7">
        <v>6.92794129E8</v>
      </c>
      <c r="Y652" s="7"/>
      <c r="Z652" s="7" t="s">
        <v>8065</v>
      </c>
      <c r="AA652" s="7">
        <v>8.0</v>
      </c>
      <c r="AB652" s="7"/>
      <c r="AC652" s="7" t="s">
        <v>8066</v>
      </c>
      <c r="AD652" s="7" t="s">
        <v>8067</v>
      </c>
      <c r="AE652" s="7" t="s">
        <v>8068</v>
      </c>
      <c r="AF652" s="7"/>
      <c r="AG652" s="7"/>
      <c r="AH652" s="20">
        <v>42164.0</v>
      </c>
      <c r="AI652" s="7"/>
      <c r="AJ652" s="7" t="s">
        <v>8069</v>
      </c>
      <c r="AK652" s="7"/>
      <c r="AL652" s="7" t="s">
        <v>8070</v>
      </c>
      <c r="AM652" s="7" t="s">
        <v>8071</v>
      </c>
      <c r="AN652" s="20">
        <v>42164.0</v>
      </c>
      <c r="AO652" s="7">
        <v>97418.0</v>
      </c>
      <c r="AP652" s="7" t="s">
        <v>362</v>
      </c>
      <c r="AQ652" s="7"/>
      <c r="AR652" s="7"/>
      <c r="AS652" s="7"/>
      <c r="AT652" s="7"/>
      <c r="AU652" s="7">
        <v>1.0</v>
      </c>
      <c r="AV652" s="7" t="s">
        <v>8072</v>
      </c>
      <c r="AW652" s="7"/>
      <c r="AX652" s="7"/>
      <c r="AY652" s="7"/>
      <c r="AZ652" s="7" t="s">
        <v>8073</v>
      </c>
      <c r="BA652" s="7"/>
      <c r="BB652" s="7"/>
      <c r="BC652" s="7" t="s">
        <v>401</v>
      </c>
      <c r="BD652" s="21">
        <v>44118.17013888889</v>
      </c>
      <c r="BE652" s="7" t="s">
        <v>8074</v>
      </c>
      <c r="BF652" s="7"/>
      <c r="BG652" s="7"/>
      <c r="BH652" s="7"/>
      <c r="BI652" s="7" t="s">
        <v>8075</v>
      </c>
      <c r="BJ652" s="7"/>
      <c r="BK652" s="7" t="b">
        <v>0</v>
      </c>
      <c r="BL652" s="7" t="b">
        <v>0</v>
      </c>
      <c r="BM652" s="7"/>
      <c r="BN652" s="7" t="str">
        <f>IFERROR(__xludf.DUMMYFUNCTION(" IF( REGEXMATCH(C652 , ""[(].+[)]""),REGEXREPLACE( CONCATENATE(REGEXEXTRACT(C652 , ""[(].+[)]""),IF(REGEXMATCH(C652 , ""[(][Ll]['’][)]""),"""","" ""), REGEXEXTRACT(C652 ,""^(?:(?:[A-Za-zàäéèêîïöôûü0-9 ](?:[A-Za-zàäéèêîïöôûü'0-9 ]+)))"")) , ""[()]"", """")"&amp;",C652 )"),"Villa Volcan")</f>
        <v>Villa Volcan</v>
      </c>
      <c r="BO652" s="25"/>
      <c r="BP652" s="7"/>
      <c r="BQ652" s="7"/>
      <c r="BR652" s="7"/>
      <c r="BS652" s="7"/>
      <c r="BT652" s="7"/>
      <c r="BU652" s="7"/>
      <c r="BV652" s="7"/>
      <c r="BW652" s="7"/>
      <c r="BX652" s="7"/>
      <c r="BY652" s="7"/>
      <c r="BZ652" s="7"/>
      <c r="CA652" s="7"/>
      <c r="CB652" s="7"/>
    </row>
    <row r="653" ht="21.75" customHeight="1">
      <c r="A653" s="7">
        <v>3375.0</v>
      </c>
      <c r="B653" s="7" t="s">
        <v>8076</v>
      </c>
      <c r="C653" s="7" t="s">
        <v>8077</v>
      </c>
      <c r="D653" s="7" t="s">
        <v>8078</v>
      </c>
      <c r="E653" s="7"/>
      <c r="F653" s="7" t="s">
        <v>342</v>
      </c>
      <c r="G653" s="7" t="s">
        <v>343</v>
      </c>
      <c r="H653" s="7" t="s">
        <v>123</v>
      </c>
      <c r="I653" s="7" t="s">
        <v>8079</v>
      </c>
      <c r="J653" s="26" t="s">
        <v>8080</v>
      </c>
      <c r="K653" s="7" t="s">
        <v>58</v>
      </c>
      <c r="L653" s="7" t="s">
        <v>59</v>
      </c>
      <c r="M653" s="7" t="s">
        <v>545</v>
      </c>
      <c r="N653" s="7" t="s">
        <v>375</v>
      </c>
      <c r="O653" s="7">
        <v>97480.0</v>
      </c>
      <c r="P653" s="7" t="s">
        <v>123</v>
      </c>
      <c r="Q653" s="7" t="s">
        <v>726</v>
      </c>
      <c r="R653" s="7" t="s">
        <v>8081</v>
      </c>
      <c r="S653" s="7" t="s">
        <v>2787</v>
      </c>
      <c r="T653" s="7" t="s">
        <v>377</v>
      </c>
      <c r="U653" s="7" t="s">
        <v>378</v>
      </c>
      <c r="V653" s="7">
        <v>2.62568028E8</v>
      </c>
      <c r="W653" s="7">
        <v>6.92310938E8</v>
      </c>
      <c r="X653" s="7"/>
      <c r="Y653" s="7"/>
      <c r="Z653" s="7" t="s">
        <v>8082</v>
      </c>
      <c r="AA653" s="7">
        <v>22.0</v>
      </c>
      <c r="AB653" s="7"/>
      <c r="AC653" s="7" t="s">
        <v>8083</v>
      </c>
      <c r="AD653" s="7" t="s">
        <v>8084</v>
      </c>
      <c r="AE653" s="7" t="s">
        <v>8085</v>
      </c>
      <c r="AF653" s="7"/>
      <c r="AG653" s="7"/>
      <c r="AH653" s="20">
        <v>41428.0</v>
      </c>
      <c r="AI653" s="7"/>
      <c r="AJ653" s="7" t="s">
        <v>8086</v>
      </c>
      <c r="AK653" s="7">
        <v>5.3313406000011E13</v>
      </c>
      <c r="AL653" s="7" t="s">
        <v>8087</v>
      </c>
      <c r="AM653" s="7" t="s">
        <v>8088</v>
      </c>
      <c r="AN653" s="20">
        <v>41428.0</v>
      </c>
      <c r="AO653" s="7">
        <v>97480.0</v>
      </c>
      <c r="AP653" s="7" t="s">
        <v>385</v>
      </c>
      <c r="AQ653" s="7"/>
      <c r="AR653" s="7"/>
      <c r="AS653" s="7"/>
      <c r="AT653" s="7"/>
      <c r="AU653" s="7">
        <v>3.0</v>
      </c>
      <c r="AV653" s="7" t="s">
        <v>8089</v>
      </c>
      <c r="AW653" s="7"/>
      <c r="AX653" s="7"/>
      <c r="AY653" s="7"/>
      <c r="AZ653" s="7" t="s">
        <v>8090</v>
      </c>
      <c r="BA653" s="7"/>
      <c r="BB653" s="7"/>
      <c r="BC653" s="7" t="s">
        <v>401</v>
      </c>
      <c r="BD653" s="21">
        <v>44168.37222222222</v>
      </c>
      <c r="BE653" s="7" t="s">
        <v>8091</v>
      </c>
      <c r="BF653" s="7"/>
      <c r="BG653" s="7"/>
      <c r="BH653" s="7">
        <v>5.3313406E8</v>
      </c>
      <c r="BI653" s="7" t="s">
        <v>8092</v>
      </c>
      <c r="BJ653" s="7"/>
      <c r="BK653" s="7" t="b">
        <v>0</v>
      </c>
      <c r="BL653" s="7" t="b">
        <v>0</v>
      </c>
      <c r="BM653" s="7"/>
      <c r="BN653" s="7" t="str">
        <f>IFERROR(__xludf.DUMMYFUNCTION(" IF( REGEXMATCH(C653 , ""[(].+[)]""),REGEXREPLACE( CONCATENATE(REGEXEXTRACT(C653 , ""[(].+[)]""),IF(REGEXMATCH(C653 , ""[(][Ll]['’][)]""),"""","" ""), REGEXEXTRACT(C653 ,""^(?:(?:[A-Za-zàäéèêîïöôûü0-9 ](?:[A-Za-zàäéèêîïöôûü'0-9 ]+)))"")) , ""[()]"", """")"&amp;",C653 )"),"Le Village Sauvage ")</f>
        <v>Le Village Sauvage </v>
      </c>
      <c r="BO653" s="25"/>
      <c r="BP653" s="7"/>
      <c r="BQ653" s="7"/>
      <c r="BR653" s="7"/>
      <c r="BS653" s="7"/>
      <c r="BT653" s="7"/>
      <c r="BU653" s="7"/>
      <c r="BV653" s="7"/>
      <c r="BW653" s="7"/>
      <c r="BX653" s="7"/>
      <c r="BY653" s="7"/>
      <c r="BZ653" s="7"/>
      <c r="CA653" s="7"/>
      <c r="CB653" s="7"/>
    </row>
    <row r="654" ht="21.75" customHeight="1">
      <c r="A654" s="7">
        <v>1664.0</v>
      </c>
      <c r="B654" s="7">
        <v>653.0</v>
      </c>
      <c r="C654" s="7" t="s">
        <v>8093</v>
      </c>
      <c r="D654" s="7" t="s">
        <v>8093</v>
      </c>
      <c r="E654" s="7"/>
      <c r="F654" s="7" t="s">
        <v>342</v>
      </c>
      <c r="G654" s="7" t="s">
        <v>343</v>
      </c>
      <c r="H654" s="7" t="s">
        <v>344</v>
      </c>
      <c r="I654" s="7" t="s">
        <v>8094</v>
      </c>
      <c r="J654" s="7"/>
      <c r="K654" s="7" t="s">
        <v>58</v>
      </c>
      <c r="L654" s="7" t="s">
        <v>59</v>
      </c>
      <c r="M654" s="7" t="s">
        <v>545</v>
      </c>
      <c r="N654" s="7" t="s">
        <v>407</v>
      </c>
      <c r="O654" s="7">
        <v>97418.0</v>
      </c>
      <c r="P654" s="7" t="s">
        <v>348</v>
      </c>
      <c r="Q654" s="7" t="s">
        <v>349</v>
      </c>
      <c r="R654" s="7"/>
      <c r="S654" s="7"/>
      <c r="T654" s="7" t="s">
        <v>377</v>
      </c>
      <c r="U654" s="7" t="s">
        <v>353</v>
      </c>
      <c r="V654" s="7"/>
      <c r="W654" s="7">
        <v>6.9299901E8</v>
      </c>
      <c r="X654" s="7">
        <v>6.92703849E8</v>
      </c>
      <c r="Y654" s="7"/>
      <c r="Z654" s="7"/>
      <c r="AA654" s="7">
        <v>20.0</v>
      </c>
      <c r="AB654" s="7"/>
      <c r="AC654" s="7"/>
      <c r="AD654" s="7" t="s">
        <v>8095</v>
      </c>
      <c r="AE654" s="7"/>
      <c r="AF654" s="7"/>
      <c r="AG654" s="7"/>
      <c r="AH654" s="20">
        <v>43739.0</v>
      </c>
      <c r="AI654" s="7"/>
      <c r="AJ654" s="7" t="s">
        <v>8093</v>
      </c>
      <c r="AK654" s="7"/>
      <c r="AL654" s="7" t="s">
        <v>8096</v>
      </c>
      <c r="AM654" s="7" t="s">
        <v>8097</v>
      </c>
      <c r="AN654" s="20">
        <v>43739.0</v>
      </c>
      <c r="AO654" s="7">
        <v>97418.0</v>
      </c>
      <c r="AP654" s="7" t="s">
        <v>362</v>
      </c>
      <c r="AQ654" s="7"/>
      <c r="AR654" s="7"/>
      <c r="AS654" s="7"/>
      <c r="AT654" s="7"/>
      <c r="AU654" s="7">
        <v>4.0</v>
      </c>
      <c r="AV654" s="7" t="s">
        <v>8098</v>
      </c>
      <c r="AW654" s="7"/>
      <c r="AX654" s="7"/>
      <c r="AY654" s="7"/>
      <c r="AZ654" s="7"/>
      <c r="BA654" s="7"/>
      <c r="BB654" s="7"/>
      <c r="BC654" s="7" t="s">
        <v>366</v>
      </c>
      <c r="BD654" s="21">
        <v>44154.115277777775</v>
      </c>
      <c r="BE654" s="7"/>
      <c r="BF654" s="7"/>
      <c r="BG654" s="22">
        <v>44154.0</v>
      </c>
      <c r="BH654" s="7"/>
      <c r="BI654" s="7" t="s">
        <v>8099</v>
      </c>
      <c r="BJ654" s="7"/>
      <c r="BK654" s="7" t="b">
        <v>0</v>
      </c>
      <c r="BL654" s="7" t="b">
        <v>0</v>
      </c>
      <c r="BM654" s="7"/>
      <c r="BN654" s="7" t="str">
        <f>IFERROR(__xludf.DUMMYFUNCTION(" IF( REGEXMATCH(C654 , ""[(].+[)]""),REGEXREPLACE( CONCATENATE(REGEXEXTRACT(C654 , ""[(].+[)]""),IF(REGEXMATCH(C654 , ""[(][Ll]['’][)]""),"""","" ""), REGEXEXTRACT(C654 ,""^(?:(?:[A-Za-zàäéèêîïöôûü0-9 ](?:[A-Za-zàäéèêîïöôûü'0-9 ]+)))"")) , ""[()]"", """")"&amp;",C654 )"),"Village Vacances Alambic")</f>
        <v>Village Vacances Alambic</v>
      </c>
      <c r="BO654" s="23"/>
      <c r="BP654" s="7"/>
      <c r="BQ654" s="7"/>
      <c r="BR654" s="7"/>
      <c r="BS654" s="7"/>
      <c r="BT654" s="7"/>
      <c r="BU654" s="7"/>
      <c r="BV654" s="7"/>
      <c r="BW654" s="7"/>
      <c r="BX654" s="7"/>
      <c r="BY654" s="7"/>
      <c r="BZ654" s="7"/>
      <c r="CA654" s="7"/>
      <c r="CB654" s="7"/>
    </row>
    <row r="655" ht="21.75" customHeight="1">
      <c r="A655" s="7">
        <v>4414.0</v>
      </c>
      <c r="B655" s="7" t="s">
        <v>8100</v>
      </c>
      <c r="C655" s="7" t="s">
        <v>8101</v>
      </c>
      <c r="D655" s="7"/>
      <c r="E655" s="7"/>
      <c r="F655" s="7" t="s">
        <v>342</v>
      </c>
      <c r="G655" s="7" t="s">
        <v>343</v>
      </c>
      <c r="H655" s="7" t="s">
        <v>123</v>
      </c>
      <c r="I655" s="7" t="s">
        <v>8102</v>
      </c>
      <c r="J655" s="26" t="s">
        <v>8103</v>
      </c>
      <c r="K655" s="7" t="s">
        <v>58</v>
      </c>
      <c r="L655" s="7" t="s">
        <v>59</v>
      </c>
      <c r="M655" s="7" t="s">
        <v>346</v>
      </c>
      <c r="N655" s="7" t="s">
        <v>455</v>
      </c>
      <c r="O655" s="7">
        <v>97480.0</v>
      </c>
      <c r="P655" s="7" t="s">
        <v>123</v>
      </c>
      <c r="Q655" s="7" t="s">
        <v>2092</v>
      </c>
      <c r="R655" s="7" t="s">
        <v>8104</v>
      </c>
      <c r="S655" s="7" t="s">
        <v>2714</v>
      </c>
      <c r="T655" s="7" t="s">
        <v>499</v>
      </c>
      <c r="U655" s="7" t="s">
        <v>378</v>
      </c>
      <c r="V655" s="7"/>
      <c r="W655" s="7">
        <v>6.93137978E8</v>
      </c>
      <c r="X655" s="7"/>
      <c r="Y655" s="7"/>
      <c r="Z655" s="7" t="s">
        <v>8105</v>
      </c>
      <c r="AA655" s="7">
        <v>10.0</v>
      </c>
      <c r="AB655" s="7" t="s">
        <v>2716</v>
      </c>
      <c r="AC655" s="7" t="s">
        <v>8106</v>
      </c>
      <c r="AD655" s="7" t="s">
        <v>8107</v>
      </c>
      <c r="AE655" s="7"/>
      <c r="AF655" s="7"/>
      <c r="AG655" s="7"/>
      <c r="AH655" s="20">
        <v>43018.0</v>
      </c>
      <c r="AI655" s="7"/>
      <c r="AJ655" s="7" t="s">
        <v>8108</v>
      </c>
      <c r="AK655" s="7">
        <v>8.2883571000017E13</v>
      </c>
      <c r="AL655" s="7" t="s">
        <v>8109</v>
      </c>
      <c r="AM655" s="7" t="s">
        <v>8110</v>
      </c>
      <c r="AN655" s="20">
        <v>43018.0</v>
      </c>
      <c r="AO655" s="7">
        <v>97480.0</v>
      </c>
      <c r="AP655" s="7" t="s">
        <v>385</v>
      </c>
      <c r="AQ655" s="7"/>
      <c r="AR655" s="7"/>
      <c r="AS655" s="7"/>
      <c r="AT655" s="7"/>
      <c r="AU655" s="7">
        <v>2.0</v>
      </c>
      <c r="AV655" s="7" t="s">
        <v>8111</v>
      </c>
      <c r="AW655" s="7"/>
      <c r="AX655" s="7"/>
      <c r="AY655" s="7"/>
      <c r="AZ655" s="7" t="s">
        <v>8112</v>
      </c>
      <c r="BA655" s="7"/>
      <c r="BB655" s="7"/>
      <c r="BC655" s="7" t="s">
        <v>401</v>
      </c>
      <c r="BD655" s="21">
        <v>44168.39444444444</v>
      </c>
      <c r="BE655" s="7" t="s">
        <v>5737</v>
      </c>
      <c r="BF655" s="7"/>
      <c r="BG655" s="7"/>
      <c r="BH655" s="7">
        <v>8.2883571E8</v>
      </c>
      <c r="BI655" s="7" t="s">
        <v>8113</v>
      </c>
      <c r="BJ655" s="7"/>
      <c r="BK655" s="7" t="b">
        <v>0</v>
      </c>
      <c r="BL655" s="7" t="b">
        <v>0</v>
      </c>
      <c r="BM655" s="7"/>
      <c r="BN655" s="7" t="str">
        <f>IFERROR(__xludf.DUMMYFUNCTION(" IF( REGEXMATCH(C655 , ""[(].+[)]""),REGEXREPLACE( CONCATENATE(REGEXEXTRACT(C655 , ""[(].+[)]""),IF(REGEXMATCH(C655 , ""[(][Ll]['’][)]""),"""","" ""), REGEXEXTRACT(C655 ,""^(?:(?:[A-Za-zàäéèêîïöôûü0-9 ](?:[A-Za-zàäéèêîïöôûü'0-9 ]+)))"")) , ""[()]"", """")"&amp;",C655 )"),"Villas Manapany")</f>
        <v>Villas Manapany</v>
      </c>
      <c r="BO655" s="25"/>
      <c r="BP655" s="7"/>
      <c r="BQ655" s="7"/>
      <c r="BR655" s="7"/>
      <c r="BS655" s="7"/>
      <c r="BT655" s="7"/>
      <c r="BU655" s="7"/>
      <c r="BV655" s="7"/>
      <c r="BW655" s="7"/>
      <c r="BX655" s="7"/>
      <c r="BY655" s="7"/>
      <c r="BZ655" s="7"/>
      <c r="CA655" s="7"/>
      <c r="CB655" s="7"/>
    </row>
    <row r="656" ht="21.75" customHeight="1">
      <c r="A656" s="7">
        <v>5284.0</v>
      </c>
      <c r="B656" s="7" t="s">
        <v>8114</v>
      </c>
      <c r="C656" s="7" t="s">
        <v>8115</v>
      </c>
      <c r="D656" s="7"/>
      <c r="E656" s="7"/>
      <c r="F656" s="7" t="s">
        <v>404</v>
      </c>
      <c r="G656" s="7" t="s">
        <v>343</v>
      </c>
      <c r="H656" s="7" t="s">
        <v>40</v>
      </c>
      <c r="I656" s="7" t="s">
        <v>8116</v>
      </c>
      <c r="J656" s="7"/>
      <c r="K656" s="7" t="s">
        <v>58</v>
      </c>
      <c r="L656" s="7"/>
      <c r="M656" s="7"/>
      <c r="N656" s="7"/>
      <c r="O656" s="7">
        <v>97414.0</v>
      </c>
      <c r="P656" s="7" t="s">
        <v>40</v>
      </c>
      <c r="Q656" s="7"/>
      <c r="R656" s="7"/>
      <c r="S656" s="7"/>
      <c r="T656" s="7"/>
      <c r="U656" s="7"/>
      <c r="V656" s="7"/>
      <c r="W656" s="7">
        <v>6.92765244E8</v>
      </c>
      <c r="X656" s="7"/>
      <c r="Y656" s="7"/>
      <c r="Z656" s="7" t="s">
        <v>8117</v>
      </c>
      <c r="AA656" s="7"/>
      <c r="AB656" s="7"/>
      <c r="AC656" s="7"/>
      <c r="AD656" s="7" t="s">
        <v>8118</v>
      </c>
      <c r="AE656" s="7"/>
      <c r="AF656" s="7"/>
      <c r="AG656" s="7"/>
      <c r="AH656" s="7"/>
      <c r="AI656" s="7"/>
      <c r="AJ656" s="7"/>
      <c r="AK656" s="7"/>
      <c r="AL656" s="7"/>
      <c r="AM656" s="7"/>
      <c r="AN656" s="7"/>
      <c r="AO656" s="7"/>
      <c r="AP656" s="7"/>
      <c r="AQ656" s="7"/>
      <c r="AR656" s="7"/>
      <c r="AS656" s="7"/>
      <c r="AT656" s="7"/>
      <c r="AU656" s="7">
        <v>0.0</v>
      </c>
      <c r="AV656" s="7" t="s">
        <v>8119</v>
      </c>
      <c r="AW656" s="7"/>
      <c r="AX656" s="7"/>
      <c r="AY656" s="7"/>
      <c r="AZ656" s="7"/>
      <c r="BA656" s="7"/>
      <c r="BB656" s="7"/>
      <c r="BC656" s="7" t="s">
        <v>5432</v>
      </c>
      <c r="BD656" s="21">
        <v>44071.0</v>
      </c>
      <c r="BE656" s="7"/>
      <c r="BF656" s="7"/>
      <c r="BG656" s="7"/>
      <c r="BH656" s="7"/>
      <c r="BI656" s="7" t="s">
        <v>8120</v>
      </c>
      <c r="BJ656" s="7"/>
      <c r="BK656" s="7" t="b">
        <v>0</v>
      </c>
      <c r="BL656" s="7" t="b">
        <v>0</v>
      </c>
      <c r="BM656" s="7"/>
      <c r="BN656" s="7" t="str">
        <f>IFERROR(__xludf.DUMMYFUNCTION(" IF( REGEXMATCH(C656 , ""[(].+[)]""),REGEXREPLACE( CONCATENATE(REGEXEXTRACT(C656 , ""[(].+[)]""),IF(REGEXMATCH(C656 , ""[(][Ll]['’][)]""),"""","" ""), REGEXEXTRACT(C656 ,""^(?:(?:[A-Za-zàäéèêîïöôûü0-9 ](?:[A-Za-zàäéèêîïöôûü'0-9 ]+)))"")) , ""[()]"", """")"&amp;",C656 )"),"Les Villas Mandarine ")</f>
        <v>Les Villas Mandarine </v>
      </c>
      <c r="BO656" s="25"/>
      <c r="BP656" s="7"/>
      <c r="BQ656" s="7"/>
      <c r="BR656" s="7"/>
      <c r="BS656" s="7"/>
      <c r="BT656" s="7"/>
      <c r="BU656" s="7"/>
      <c r="BV656" s="7"/>
      <c r="BW656" s="7"/>
      <c r="BX656" s="7"/>
      <c r="BY656" s="7"/>
      <c r="BZ656" s="7"/>
      <c r="CA656" s="7"/>
      <c r="CB656" s="7"/>
    </row>
    <row r="657" ht="21.75" customHeight="1">
      <c r="A657" s="7">
        <v>1540.0</v>
      </c>
      <c r="B657" s="7">
        <v>656.0</v>
      </c>
      <c r="C657" s="7" t="s">
        <v>5198</v>
      </c>
      <c r="D657" s="7"/>
      <c r="E657" s="7"/>
      <c r="F657" s="7" t="s">
        <v>404</v>
      </c>
      <c r="G657" s="7" t="s">
        <v>343</v>
      </c>
      <c r="H657" s="7" t="s">
        <v>344</v>
      </c>
      <c r="I657" s="7" t="s">
        <v>8121</v>
      </c>
      <c r="J657" s="26" t="s">
        <v>8122</v>
      </c>
      <c r="K657" s="7" t="s">
        <v>58</v>
      </c>
      <c r="L657" s="7" t="s">
        <v>1141</v>
      </c>
      <c r="M657" s="7" t="s">
        <v>1141</v>
      </c>
      <c r="N657" s="7" t="s">
        <v>407</v>
      </c>
      <c r="O657" s="7">
        <v>97418.0</v>
      </c>
      <c r="P657" s="7" t="s">
        <v>348</v>
      </c>
      <c r="Q657" s="7" t="s">
        <v>570</v>
      </c>
      <c r="R657" s="7" t="s">
        <v>1169</v>
      </c>
      <c r="S657" s="7" t="s">
        <v>647</v>
      </c>
      <c r="T657" s="7" t="s">
        <v>8123</v>
      </c>
      <c r="U657" s="7" t="s">
        <v>592</v>
      </c>
      <c r="V657" s="7">
        <v>2.62275091E8</v>
      </c>
      <c r="W657" s="7"/>
      <c r="X657" s="7"/>
      <c r="Y657" s="7">
        <v>2.62591721E8</v>
      </c>
      <c r="Z657" s="7" t="s">
        <v>1156</v>
      </c>
      <c r="AA657" s="7">
        <v>36.0</v>
      </c>
      <c r="AB657" s="7"/>
      <c r="AC657" s="7"/>
      <c r="AD657" s="7" t="s">
        <v>8124</v>
      </c>
      <c r="AE657" s="7" t="s">
        <v>8125</v>
      </c>
      <c r="AF657" s="7"/>
      <c r="AG657" s="7"/>
      <c r="AH657" s="20">
        <v>43739.0</v>
      </c>
      <c r="AI657" s="7"/>
      <c r="AJ657" s="7" t="s">
        <v>1160</v>
      </c>
      <c r="AK657" s="7"/>
      <c r="AL657" s="7" t="s">
        <v>1161</v>
      </c>
      <c r="AM657" s="7" t="s">
        <v>1162</v>
      </c>
      <c r="AN657" s="20">
        <v>43739.0</v>
      </c>
      <c r="AO657" s="7">
        <v>97418.0</v>
      </c>
      <c r="AP657" s="7" t="s">
        <v>362</v>
      </c>
      <c r="AQ657" s="7"/>
      <c r="AR657" s="7"/>
      <c r="AS657" s="7"/>
      <c r="AT657" s="7"/>
      <c r="AU657" s="7">
        <v>15.0</v>
      </c>
      <c r="AV657" s="7" t="s">
        <v>1163</v>
      </c>
      <c r="AW657" s="7"/>
      <c r="AX657" s="7"/>
      <c r="AY657" s="7"/>
      <c r="AZ657" s="7"/>
      <c r="BA657" s="7"/>
      <c r="BB657" s="7"/>
      <c r="BC657" s="7" t="s">
        <v>366</v>
      </c>
      <c r="BD657" s="21">
        <v>44148.13125</v>
      </c>
      <c r="BE657" s="7"/>
      <c r="BF657" s="7"/>
      <c r="BG657" s="22">
        <v>44148.0</v>
      </c>
      <c r="BH657" s="7"/>
      <c r="BI657" s="7" t="s">
        <v>8126</v>
      </c>
      <c r="BJ657" s="7"/>
      <c r="BK657" s="7" t="b">
        <v>0</v>
      </c>
      <c r="BL657" s="7" t="b">
        <v>0</v>
      </c>
      <c r="BM657" s="7"/>
      <c r="BN657" s="7" t="str">
        <f>IFERROR(__xludf.DUMMYFUNCTION(" IF( REGEXMATCH(C657 , ""[(].+[)]""),REGEXREPLACE( CONCATENATE(REGEXEXTRACT(C657 , ""[(].+[)]""),IF(REGEXMATCH(C657 , ""[(][Ll]['’][)]""),"""","" ""), REGEXEXTRACT(C657 ,""^(?:(?:[A-Za-zàäéèêîïöôûü0-9 ](?:[A-Za-zàäéèêîïöôûü'0-9 ]+)))"")) , ""[()]"", """")"&amp;",C657 )"),"Le Volcan ")</f>
        <v>Le Volcan </v>
      </c>
      <c r="BO657" s="23"/>
      <c r="BP657" s="7"/>
      <c r="BQ657" s="7"/>
      <c r="BR657" s="7"/>
      <c r="BS657" s="7"/>
      <c r="BT657" s="7"/>
      <c r="BU657" s="7"/>
      <c r="BV657" s="7"/>
      <c r="BW657" s="7"/>
      <c r="BX657" s="7"/>
      <c r="BY657" s="7"/>
      <c r="BZ657" s="7"/>
      <c r="CA657" s="7"/>
      <c r="CB657" s="7"/>
    </row>
    <row r="658" ht="21.75" customHeight="1">
      <c r="A658" s="7">
        <v>3897.0</v>
      </c>
      <c r="B658" s="7">
        <v>657.0</v>
      </c>
      <c r="C658" s="7" t="s">
        <v>8127</v>
      </c>
      <c r="D658" s="7"/>
      <c r="E658" s="7"/>
      <c r="F658" s="7" t="s">
        <v>404</v>
      </c>
      <c r="G658" s="7" t="s">
        <v>343</v>
      </c>
      <c r="H658" s="7" t="s">
        <v>344</v>
      </c>
      <c r="I658" s="7" t="s">
        <v>8128</v>
      </c>
      <c r="J658" s="7"/>
      <c r="K658" s="7" t="s">
        <v>58</v>
      </c>
      <c r="L658" s="7" t="s">
        <v>59</v>
      </c>
      <c r="M658" s="7" t="s">
        <v>346</v>
      </c>
      <c r="N658" s="7" t="s">
        <v>455</v>
      </c>
      <c r="O658" s="7">
        <v>97418.0</v>
      </c>
      <c r="P658" s="7" t="s">
        <v>348</v>
      </c>
      <c r="Q658" s="7" t="s">
        <v>349</v>
      </c>
      <c r="R658" s="7"/>
      <c r="S658" s="7"/>
      <c r="T658" s="7"/>
      <c r="U658" s="7"/>
      <c r="V658" s="7">
        <v>2.62227318E8</v>
      </c>
      <c r="W658" s="7">
        <v>6.92457406E8</v>
      </c>
      <c r="X658" s="7"/>
      <c r="Y658" s="7"/>
      <c r="Z658" s="7" t="s">
        <v>8129</v>
      </c>
      <c r="AA658" s="7">
        <v>2.0</v>
      </c>
      <c r="AB658" s="7"/>
      <c r="AC658" s="7"/>
      <c r="AD658" s="7" t="s">
        <v>8130</v>
      </c>
      <c r="AE658" s="7"/>
      <c r="AF658" s="7"/>
      <c r="AG658" s="7"/>
      <c r="AH658" s="20">
        <v>42170.0</v>
      </c>
      <c r="AI658" s="7"/>
      <c r="AJ658" s="7" t="s">
        <v>8127</v>
      </c>
      <c r="AK658" s="7"/>
      <c r="AL658" s="7" t="s">
        <v>8131</v>
      </c>
      <c r="AM658" s="7" t="s">
        <v>8132</v>
      </c>
      <c r="AN658" s="20">
        <v>42170.0</v>
      </c>
      <c r="AO658" s="7">
        <v>97430.0</v>
      </c>
      <c r="AP658" s="7" t="s">
        <v>494</v>
      </c>
      <c r="AQ658" s="7"/>
      <c r="AR658" s="7"/>
      <c r="AS658" s="7"/>
      <c r="AT658" s="7"/>
      <c r="AU658" s="7">
        <v>1.0</v>
      </c>
      <c r="AV658" s="7" t="s">
        <v>8133</v>
      </c>
      <c r="AW658" s="7"/>
      <c r="AX658" s="7"/>
      <c r="AY658" s="7"/>
      <c r="AZ658" s="7"/>
      <c r="BA658" s="7"/>
      <c r="BB658" s="7"/>
      <c r="BC658" s="7" t="s">
        <v>366</v>
      </c>
      <c r="BD658" s="21">
        <v>44148.13125</v>
      </c>
      <c r="BE658" s="7"/>
      <c r="BF658" s="7"/>
      <c r="BG658" s="22">
        <v>44148.0</v>
      </c>
      <c r="BH658" s="7"/>
      <c r="BI658" s="7" t="s">
        <v>8134</v>
      </c>
      <c r="BJ658" s="7"/>
      <c r="BK658" s="7" t="b">
        <v>0</v>
      </c>
      <c r="BL658" s="7" t="b">
        <v>0</v>
      </c>
      <c r="BM658" s="7"/>
      <c r="BN658" s="7" t="str">
        <f>IFERROR(__xludf.DUMMYFUNCTION(" IF( REGEXMATCH(C658 , ""[(].+[)]""),REGEXREPLACE( CONCATENATE(REGEXEXTRACT(C658 , ""[(].+[)]""),IF(REGEXMATCH(C658 , ""[(][Ll]['’][)]""),"""","" ""), REGEXEXTRACT(C658 ,""^(?:(?:[A-Za-zàäéèêîïöôûü0-9 ](?:[A-Za-zàäéèêîïöôûü'0-9 ]+)))"")) , ""[()]"", """")"&amp;",C658 )"),"Le Volcania ")</f>
        <v>Le Volcania </v>
      </c>
      <c r="BO658" s="23"/>
      <c r="BP658" s="7"/>
      <c r="BQ658" s="7"/>
      <c r="BR658" s="7"/>
      <c r="BS658" s="7"/>
      <c r="BT658" s="7"/>
      <c r="BU658" s="7"/>
      <c r="BV658" s="7"/>
      <c r="BW658" s="7"/>
      <c r="BX658" s="7"/>
      <c r="BY658" s="7"/>
      <c r="BZ658" s="7"/>
      <c r="CA658" s="7"/>
      <c r="CB658" s="7"/>
    </row>
    <row r="659" ht="21.75" customHeight="1">
      <c r="A659" s="7">
        <v>3677.0</v>
      </c>
      <c r="B659" s="7">
        <v>658.0</v>
      </c>
      <c r="C659" s="7" t="s">
        <v>8135</v>
      </c>
      <c r="D659" s="7"/>
      <c r="E659" s="7"/>
      <c r="F659" s="7" t="s">
        <v>404</v>
      </c>
      <c r="G659" s="7" t="s">
        <v>343</v>
      </c>
      <c r="H659" s="7" t="s">
        <v>344</v>
      </c>
      <c r="I659" s="7" t="s">
        <v>8136</v>
      </c>
      <c r="J659" s="26" t="s">
        <v>8137</v>
      </c>
      <c r="K659" s="7" t="s">
        <v>58</v>
      </c>
      <c r="L659" s="7" t="s">
        <v>59</v>
      </c>
      <c r="M659" s="7" t="s">
        <v>346</v>
      </c>
      <c r="N659" s="7" t="s">
        <v>1092</v>
      </c>
      <c r="O659" s="7">
        <v>97418.0</v>
      </c>
      <c r="P659" s="7" t="s">
        <v>348</v>
      </c>
      <c r="Q659" s="7" t="s">
        <v>349</v>
      </c>
      <c r="R659" s="7" t="s">
        <v>8138</v>
      </c>
      <c r="S659" s="7" t="s">
        <v>2198</v>
      </c>
      <c r="T659" s="7" t="s">
        <v>377</v>
      </c>
      <c r="U659" s="7" t="s">
        <v>378</v>
      </c>
      <c r="V659" s="7"/>
      <c r="W659" s="7">
        <v>6.92404276E8</v>
      </c>
      <c r="X659" s="7"/>
      <c r="Y659" s="7"/>
      <c r="Z659" s="7" t="s">
        <v>8139</v>
      </c>
      <c r="AA659" s="7">
        <v>15.0</v>
      </c>
      <c r="AB659" s="7"/>
      <c r="AC659" s="7" t="s">
        <v>8140</v>
      </c>
      <c r="AD659" s="7" t="s">
        <v>8141</v>
      </c>
      <c r="AE659" s="7"/>
      <c r="AF659" s="7"/>
      <c r="AG659" s="7"/>
      <c r="AH659" s="20">
        <v>41887.0</v>
      </c>
      <c r="AI659" s="7"/>
      <c r="AJ659" s="7" t="s">
        <v>8142</v>
      </c>
      <c r="AK659" s="7"/>
      <c r="AL659" s="7" t="s">
        <v>8143</v>
      </c>
      <c r="AM659" s="7" t="s">
        <v>4581</v>
      </c>
      <c r="AN659" s="20">
        <v>40241.0</v>
      </c>
      <c r="AO659" s="7">
        <v>97418.0</v>
      </c>
      <c r="AP659" s="7" t="s">
        <v>362</v>
      </c>
      <c r="AQ659" s="7"/>
      <c r="AR659" s="7"/>
      <c r="AS659" s="7"/>
      <c r="AT659" s="7"/>
      <c r="AU659" s="7">
        <v>1.0</v>
      </c>
      <c r="AV659" s="7" t="s">
        <v>8144</v>
      </c>
      <c r="AW659" s="7"/>
      <c r="AX659" s="7"/>
      <c r="AY659" s="7"/>
      <c r="AZ659" s="7"/>
      <c r="BA659" s="7"/>
      <c r="BB659" s="7"/>
      <c r="BC659" s="7" t="s">
        <v>366</v>
      </c>
      <c r="BD659" s="21">
        <v>44148.13125</v>
      </c>
      <c r="BE659" s="7"/>
      <c r="BF659" s="7"/>
      <c r="BG659" s="22">
        <v>44148.0</v>
      </c>
      <c r="BH659" s="7"/>
      <c r="BI659" s="7" t="s">
        <v>8145</v>
      </c>
      <c r="BJ659" s="7"/>
      <c r="BK659" s="7" t="b">
        <v>0</v>
      </c>
      <c r="BL659" s="7" t="b">
        <v>0</v>
      </c>
      <c r="BM659" s="7"/>
      <c r="BN659" s="7" t="str">
        <f>IFERROR(__xludf.DUMMYFUNCTION(" IF( REGEXMATCH(C659 , ""[(].+[)]""),REGEXREPLACE( CONCATENATE(REGEXEXTRACT(C659 , ""[(].+[)]""),IF(REGEXMATCH(C659 , ""[(][Ll]['’][)]""),"""","" ""), REGEXEXTRACT(C659 ,""^(?:(?:[A-Za-zàäéèêîïöôûü0-9 ](?:[A-Za-zàäéèêîïöôûü'0-9 ]+)))"")) , ""[()]"", """")"&amp;",C659 )"),"Le Volcano ")</f>
        <v>Le Volcano </v>
      </c>
      <c r="BO659" s="23"/>
      <c r="BP659" s="7"/>
      <c r="BQ659" s="7"/>
      <c r="BR659" s="7"/>
      <c r="BS659" s="7"/>
      <c r="BT659" s="7"/>
      <c r="BU659" s="7"/>
      <c r="BV659" s="7"/>
      <c r="BW659" s="7"/>
      <c r="BX659" s="7"/>
      <c r="BY659" s="7"/>
      <c r="BZ659" s="7"/>
      <c r="CA659" s="7"/>
      <c r="CB659" s="7"/>
    </row>
    <row r="660" ht="21.75" customHeight="1">
      <c r="A660" s="7">
        <v>2074.0</v>
      </c>
      <c r="B660" s="7">
        <v>659.0</v>
      </c>
      <c r="C660" s="7" t="s">
        <v>8146</v>
      </c>
      <c r="D660" s="7"/>
      <c r="E660" s="7"/>
      <c r="F660" s="7" t="s">
        <v>404</v>
      </c>
      <c r="G660" s="7" t="s">
        <v>343</v>
      </c>
      <c r="H660" s="7" t="s">
        <v>40</v>
      </c>
      <c r="I660" s="7" t="s">
        <v>8147</v>
      </c>
      <c r="J660" s="7"/>
      <c r="K660" s="6" t="s">
        <v>469</v>
      </c>
      <c r="L660" s="7" t="s">
        <v>197</v>
      </c>
      <c r="M660" s="7" t="s">
        <v>1696</v>
      </c>
      <c r="N660" s="7" t="s">
        <v>422</v>
      </c>
      <c r="O660" s="7">
        <v>97414.0</v>
      </c>
      <c r="P660" s="7" t="s">
        <v>40</v>
      </c>
      <c r="Q660" s="7"/>
      <c r="R660" s="7"/>
      <c r="S660" s="7"/>
      <c r="T660" s="7" t="s">
        <v>2390</v>
      </c>
      <c r="U660" s="7" t="s">
        <v>378</v>
      </c>
      <c r="V660" s="7">
        <v>2.62910332E8</v>
      </c>
      <c r="W660" s="7"/>
      <c r="X660" s="7"/>
      <c r="Y660" s="7"/>
      <c r="Z660" s="7"/>
      <c r="AA660" s="7"/>
      <c r="AB660" s="7"/>
      <c r="AC660" s="7"/>
      <c r="AD660" s="7" t="s">
        <v>8148</v>
      </c>
      <c r="AE660" s="7"/>
      <c r="AF660" s="7"/>
      <c r="AG660" s="7"/>
      <c r="AH660" s="20">
        <v>40093.0</v>
      </c>
      <c r="AI660" s="7"/>
      <c r="AJ660" s="7" t="s">
        <v>8146</v>
      </c>
      <c r="AK660" s="7"/>
      <c r="AL660" s="7" t="s">
        <v>8149</v>
      </c>
      <c r="AM660" s="7" t="s">
        <v>8150</v>
      </c>
      <c r="AN660" s="20">
        <v>43739.0</v>
      </c>
      <c r="AO660" s="7">
        <v>97414.0</v>
      </c>
      <c r="AP660" s="7" t="s">
        <v>429</v>
      </c>
      <c r="AQ660" s="7"/>
      <c r="AR660" s="7"/>
      <c r="AS660" s="7"/>
      <c r="AT660" s="7"/>
      <c r="AU660" s="7">
        <v>0.0</v>
      </c>
      <c r="AV660" s="7" t="s">
        <v>8151</v>
      </c>
      <c r="AW660" s="7"/>
      <c r="AX660" s="7"/>
      <c r="AY660" s="7"/>
      <c r="AZ660" s="7"/>
      <c r="BA660" s="7"/>
      <c r="BB660" s="7"/>
      <c r="BC660" s="7" t="s">
        <v>366</v>
      </c>
      <c r="BD660" s="21">
        <v>44197.0</v>
      </c>
      <c r="BE660" s="7"/>
      <c r="BF660" s="7"/>
      <c r="BG660" s="22">
        <v>44197.0</v>
      </c>
      <c r="BH660" s="7"/>
      <c r="BI660" s="7" t="s">
        <v>8152</v>
      </c>
      <c r="BJ660" s="7"/>
      <c r="BK660" s="7" t="b">
        <v>0</v>
      </c>
      <c r="BL660" s="7" t="b">
        <v>0</v>
      </c>
      <c r="BM660" s="7"/>
      <c r="BN660" s="7" t="str">
        <f>IFERROR(__xludf.DUMMYFUNCTION(" IF( REGEXMATCH(C660 , ""[(].+[)]""),REGEXREPLACE( CONCATENATE(REGEXEXTRACT(C660 , ""[(].+[)]""),IF(REGEXMATCH(C660 , ""[(][Ll]['’][)]""),"""","" ""), REGEXEXTRACT(C660 ,""^(?:(?:[A-Za-zàäéèêîïöôûü0-9 ](?:[A-Za-zàäéèêîïöôûü'0-9 ]+)))"")) , ""[()]"", """")"&amp;",C660 )"),"Yo Boutik")</f>
        <v>Yo Boutik</v>
      </c>
      <c r="BO660" s="23"/>
      <c r="BP660" s="7"/>
      <c r="BQ660" s="7"/>
      <c r="BR660" s="7"/>
      <c r="BS660" s="7"/>
      <c r="BT660" s="7"/>
      <c r="BU660" s="7"/>
      <c r="BV660" s="7"/>
      <c r="BW660" s="7"/>
      <c r="BX660" s="7"/>
      <c r="BY660" s="7"/>
      <c r="BZ660" s="7"/>
      <c r="CA660" s="7"/>
      <c r="CB660" s="7"/>
    </row>
    <row r="661" ht="21.75" customHeight="1">
      <c r="A661" s="7">
        <v>3915.0</v>
      </c>
      <c r="B661" s="7" t="s">
        <v>8153</v>
      </c>
      <c r="C661" s="7" t="s">
        <v>8154</v>
      </c>
      <c r="D661" s="7"/>
      <c r="E661" s="7"/>
      <c r="F661" s="7" t="s">
        <v>404</v>
      </c>
      <c r="G661" s="7" t="s">
        <v>343</v>
      </c>
      <c r="H661" s="7" t="s">
        <v>344</v>
      </c>
      <c r="I661" s="7" t="s">
        <v>8155</v>
      </c>
      <c r="J661" s="26" t="s">
        <v>8156</v>
      </c>
      <c r="K661" s="6" t="s">
        <v>469</v>
      </c>
      <c r="L661" s="7" t="s">
        <v>1405</v>
      </c>
      <c r="M661" s="7" t="s">
        <v>1406</v>
      </c>
      <c r="N661" s="7" t="s">
        <v>375</v>
      </c>
      <c r="O661" s="7">
        <v>97430.0</v>
      </c>
      <c r="P661" s="7" t="s">
        <v>344</v>
      </c>
      <c r="Q661" s="7"/>
      <c r="R661" s="7"/>
      <c r="S661" s="7"/>
      <c r="T661" s="7" t="s">
        <v>377</v>
      </c>
      <c r="U661" s="7" t="s">
        <v>424</v>
      </c>
      <c r="V661" s="7">
        <v>2.62273201E8</v>
      </c>
      <c r="W661" s="7">
        <v>6.92668477E8</v>
      </c>
      <c r="X661" s="7"/>
      <c r="Y661" s="7">
        <v>2.62273201E8</v>
      </c>
      <c r="Z661" s="7" t="s">
        <v>8157</v>
      </c>
      <c r="AA661" s="7"/>
      <c r="AB661" s="7"/>
      <c r="AC661" s="7" t="s">
        <v>8158</v>
      </c>
      <c r="AD661" s="7" t="s">
        <v>8159</v>
      </c>
      <c r="AE661" s="7"/>
      <c r="AF661" s="7"/>
      <c r="AG661" s="7"/>
      <c r="AH661" s="20">
        <v>42171.0</v>
      </c>
      <c r="AI661" s="7"/>
      <c r="AJ661" s="7" t="s">
        <v>8160</v>
      </c>
      <c r="AK661" s="7">
        <v>7.8881337600019E13</v>
      </c>
      <c r="AL661" s="7" t="s">
        <v>8161</v>
      </c>
      <c r="AM661" s="7" t="s">
        <v>8162</v>
      </c>
      <c r="AN661" s="20">
        <v>42171.0</v>
      </c>
      <c r="AO661" s="7">
        <v>97430.0</v>
      </c>
      <c r="AP661" s="7" t="s">
        <v>494</v>
      </c>
      <c r="AQ661" s="7"/>
      <c r="AR661" s="7"/>
      <c r="AS661" s="7"/>
      <c r="AT661" s="7"/>
      <c r="AU661" s="7">
        <v>0.0</v>
      </c>
      <c r="AV661" s="7" t="s">
        <v>8163</v>
      </c>
      <c r="AW661" s="7"/>
      <c r="AX661" s="7"/>
      <c r="AY661" s="7"/>
      <c r="AZ661" s="7"/>
      <c r="BA661" s="7"/>
      <c r="BB661" s="7"/>
      <c r="BC661" s="7" t="s">
        <v>401</v>
      </c>
      <c r="BD661" s="21">
        <v>44224.0</v>
      </c>
      <c r="BE661" s="7" t="s">
        <v>8164</v>
      </c>
      <c r="BF661" s="7"/>
      <c r="BG661" s="7"/>
      <c r="BH661" s="7">
        <v>7.88813376E8</v>
      </c>
      <c r="BI661" s="7" t="s">
        <v>8165</v>
      </c>
      <c r="BJ661" s="7"/>
      <c r="BK661" s="7" t="b">
        <v>0</v>
      </c>
      <c r="BL661" s="7" t="b">
        <v>0</v>
      </c>
      <c r="BM661" s="7"/>
      <c r="BN661" s="7" t="str">
        <f>IFERROR(__xludf.DUMMYFUNCTION(" IF( REGEXMATCH(C661 , ""[(].+[)]""),REGEXREPLACE( CONCATENATE(REGEXEXTRACT(C661 , ""[(].+[)]""),IF(REGEXMATCH(C661 , ""[(][Ll]['’][)]""),"""","" ""), REGEXEXTRACT(C661 ,""^(?:(?:[A-Za-zàäéèêîïöôûü0-9 ](?:[A-Za-zàäéèêîïöôûü'0-9 ]+)))"")) , ""[()]"", """")"&amp;",C661 )"),"Z'Escargots des Hauts")</f>
        <v>Z'Escargots des Hauts</v>
      </c>
      <c r="BO661" s="25"/>
      <c r="BP661" s="7"/>
      <c r="BQ661" s="7"/>
      <c r="BR661" s="7"/>
      <c r="BS661" s="7"/>
      <c r="BT661" s="7"/>
      <c r="BU661" s="7"/>
      <c r="BV661" s="7"/>
      <c r="BW661" s="7"/>
      <c r="BX661" s="7"/>
      <c r="BY661" s="7"/>
      <c r="BZ661" s="7"/>
      <c r="CA661" s="7"/>
      <c r="CB661" s="7"/>
    </row>
    <row r="662" ht="21.75" customHeight="1">
      <c r="A662" s="7">
        <v>32.0</v>
      </c>
      <c r="B662" s="7" t="s">
        <v>8166</v>
      </c>
      <c r="C662" s="7" t="s">
        <v>8167</v>
      </c>
      <c r="D662" s="7" t="s">
        <v>8168</v>
      </c>
      <c r="E662" s="7"/>
      <c r="F662" s="7" t="s">
        <v>342</v>
      </c>
      <c r="G662" s="7" t="s">
        <v>343</v>
      </c>
      <c r="H662" s="7" t="s">
        <v>344</v>
      </c>
      <c r="I662" s="7" t="s">
        <v>8169</v>
      </c>
      <c r="J662" s="7"/>
      <c r="K662" s="7" t="s">
        <v>58</v>
      </c>
      <c r="L662" s="7" t="s">
        <v>453</v>
      </c>
      <c r="M662" s="7" t="s">
        <v>454</v>
      </c>
      <c r="N662" s="7" t="s">
        <v>407</v>
      </c>
      <c r="O662" s="7">
        <v>97418.0</v>
      </c>
      <c r="P662" s="7" t="s">
        <v>348</v>
      </c>
      <c r="Q662" s="7" t="s">
        <v>349</v>
      </c>
      <c r="R662" s="7" t="s">
        <v>4598</v>
      </c>
      <c r="S662" s="7" t="s">
        <v>647</v>
      </c>
      <c r="T662" s="7" t="s">
        <v>377</v>
      </c>
      <c r="U662" s="7" t="s">
        <v>353</v>
      </c>
      <c r="V662" s="7">
        <v>2.62592059E8</v>
      </c>
      <c r="W662" s="7">
        <v>6.9287366E8</v>
      </c>
      <c r="X662" s="7"/>
      <c r="Y662" s="7">
        <v>2.62592059E8</v>
      </c>
      <c r="Z662" s="7" t="s">
        <v>5280</v>
      </c>
      <c r="AA662" s="7">
        <v>4.0</v>
      </c>
      <c r="AB662" s="7" t="s">
        <v>574</v>
      </c>
      <c r="AC662" s="7" t="s">
        <v>8170</v>
      </c>
      <c r="AD662" s="7" t="s">
        <v>8171</v>
      </c>
      <c r="AE662" s="7" t="s">
        <v>8172</v>
      </c>
      <c r="AF662" s="7"/>
      <c r="AG662" s="7" t="s">
        <v>578</v>
      </c>
      <c r="AH662" s="20">
        <v>39689.0</v>
      </c>
      <c r="AI662" s="7"/>
      <c r="AJ662" s="7" t="s">
        <v>8173</v>
      </c>
      <c r="AK662" s="7"/>
      <c r="AL662" s="7" t="s">
        <v>8174</v>
      </c>
      <c r="AM662" s="7" t="s">
        <v>8175</v>
      </c>
      <c r="AN662" s="20">
        <v>39575.0</v>
      </c>
      <c r="AO662" s="7">
        <v>97418.0</v>
      </c>
      <c r="AP662" s="7" t="s">
        <v>362</v>
      </c>
      <c r="AQ662" s="7"/>
      <c r="AR662" s="7"/>
      <c r="AS662" s="7"/>
      <c r="AT662" s="7"/>
      <c r="AU662" s="7">
        <v>2.0</v>
      </c>
      <c r="AV662" s="7" t="s">
        <v>8176</v>
      </c>
      <c r="AW662" s="7"/>
      <c r="AX662" s="7"/>
      <c r="AY662" s="7"/>
      <c r="AZ662" s="7" t="s">
        <v>8177</v>
      </c>
      <c r="BA662" s="7"/>
      <c r="BB662" s="7"/>
      <c r="BC662" s="7" t="s">
        <v>5287</v>
      </c>
      <c r="BD662" s="21">
        <v>44246.49513888889</v>
      </c>
      <c r="BE662" s="7" t="s">
        <v>8178</v>
      </c>
      <c r="BF662" s="7" t="s">
        <v>5289</v>
      </c>
      <c r="BG662" s="7"/>
      <c r="BH662" s="7"/>
      <c r="BI662" s="7" t="s">
        <v>514</v>
      </c>
      <c r="BJ662" s="7"/>
      <c r="BK662" s="7" t="b">
        <v>0</v>
      </c>
      <c r="BL662" s="7" t="b">
        <v>0</v>
      </c>
      <c r="BM662" s="7"/>
      <c r="BN662" s="7" t="str">
        <f>IFERROR(__xludf.DUMMYFUNCTION(" IF( REGEXMATCH(C662 , ""[(].+[)]""),REGEXREPLACE( CONCATENATE(REGEXEXTRACT(C662 , ""[(].+[)]""),IF(REGEXMATCH(C662 , ""[(][Ll]['’][)]""),"""","" ""), REGEXEXTRACT(C662 ,""^(?:(?:[A-Za-zàäéèêîïöôûü0-9 ](?:[A-Za-zàäéèêîïöôûü'0-9 ]+)))"")) , ""[()]"", """")"&amp;",C662 )"),"Les Zakacias ")</f>
        <v>Les Zakacias </v>
      </c>
      <c r="BO662" s="25"/>
      <c r="BP662" s="7"/>
      <c r="BQ662" s="7"/>
      <c r="BR662" s="7"/>
      <c r="BS662" s="7"/>
      <c r="BT662" s="7"/>
      <c r="BU662" s="7"/>
      <c r="BV662" s="7"/>
      <c r="BW662" s="7"/>
      <c r="BX662" s="7"/>
      <c r="BY662" s="7"/>
      <c r="BZ662" s="7"/>
      <c r="CA662" s="7"/>
      <c r="CB662" s="7"/>
    </row>
    <row r="663" ht="21.75" customHeight="1">
      <c r="A663" s="7"/>
      <c r="B663" s="7" t="s">
        <v>8179</v>
      </c>
      <c r="C663" s="7" t="s">
        <v>8180</v>
      </c>
      <c r="D663" s="7"/>
      <c r="E663" s="7"/>
      <c r="F663" s="7"/>
      <c r="G663" s="7" t="s">
        <v>343</v>
      </c>
      <c r="H663" s="7" t="s">
        <v>344</v>
      </c>
      <c r="I663" s="7" t="s">
        <v>8181</v>
      </c>
      <c r="J663" s="26" t="s">
        <v>8182</v>
      </c>
      <c r="K663" s="6" t="s">
        <v>469</v>
      </c>
      <c r="L663" s="7" t="s">
        <v>847</v>
      </c>
      <c r="M663" s="7" t="s">
        <v>8183</v>
      </c>
      <c r="N663" s="7"/>
      <c r="O663" s="7">
        <v>97430.0</v>
      </c>
      <c r="P663" s="7" t="s">
        <v>344</v>
      </c>
      <c r="Q663" s="7"/>
      <c r="R663" s="7"/>
      <c r="S663" s="7"/>
      <c r="T663" s="7" t="s">
        <v>8184</v>
      </c>
      <c r="U663" s="7" t="s">
        <v>353</v>
      </c>
      <c r="V663" s="7"/>
      <c r="W663" s="7">
        <v>6.92861213E8</v>
      </c>
      <c r="X663" s="7"/>
      <c r="Y663" s="7"/>
      <c r="Z663" s="7" t="s">
        <v>8185</v>
      </c>
      <c r="AA663" s="7"/>
      <c r="AB663" s="7"/>
      <c r="AC663" s="7" t="s">
        <v>8186</v>
      </c>
      <c r="AD663" s="7" t="s">
        <v>8187</v>
      </c>
      <c r="AE663" s="7" t="s">
        <v>8188</v>
      </c>
      <c r="AF663" s="7"/>
      <c r="AG663" s="7"/>
      <c r="AH663" s="7"/>
      <c r="AI663" s="7"/>
      <c r="AJ663" s="7" t="s">
        <v>8189</v>
      </c>
      <c r="AK663" s="7">
        <v>8.4811955800015E13</v>
      </c>
      <c r="AL663" s="7" t="s">
        <v>8181</v>
      </c>
      <c r="AM663" s="7" t="s">
        <v>8190</v>
      </c>
      <c r="AN663" s="7"/>
      <c r="AO663" s="7">
        <v>97430.0</v>
      </c>
      <c r="AP663" s="7" t="s">
        <v>494</v>
      </c>
      <c r="AQ663" s="7"/>
      <c r="AR663" s="7"/>
      <c r="AS663" s="7"/>
      <c r="AT663" s="7"/>
      <c r="AU663" s="7"/>
      <c r="AV663" s="7" t="s">
        <v>8191</v>
      </c>
      <c r="AW663" s="7"/>
      <c r="AX663" s="7"/>
      <c r="AY663" s="7"/>
      <c r="AZ663" s="7"/>
      <c r="BA663" s="7"/>
      <c r="BB663" s="7"/>
      <c r="BC663" s="7" t="s">
        <v>401</v>
      </c>
      <c r="BD663" s="7"/>
      <c r="BE663" s="7"/>
      <c r="BF663" s="7"/>
      <c r="BG663" s="7"/>
      <c r="BH663" s="7">
        <v>8.48119558E8</v>
      </c>
      <c r="BI663" s="7" t="s">
        <v>8192</v>
      </c>
      <c r="BJ663" s="7"/>
      <c r="BK663" s="7" t="b">
        <v>0</v>
      </c>
      <c r="BL663" s="7" t="b">
        <v>0</v>
      </c>
      <c r="BM663" s="7"/>
      <c r="BN663" s="7" t="str">
        <f>IFERROR(__xludf.DUMMYFUNCTION(" IF( REGEXMATCH(C663 , ""[(].+[)]""),REGEXREPLACE( CONCATENATE(REGEXEXTRACT(C663 , ""[(].+[)]""),IF(REGEXMATCH(C663 , ""[(][Ll]['’][)]""),"""","" ""), REGEXEXTRACT(C663 ,""^(?:(?:[A-Za-zàäéèêîïöôûü0-9 ](?:[A-Za-zàäéèêîïöôûü'0-9 ]+)))"")) , ""[()]"", """")"&amp;",C663 )"),"9zailes4")</f>
        <v>9zailes4</v>
      </c>
      <c r="BO663" s="25"/>
      <c r="BP663" s="7"/>
      <c r="BQ663" s="7"/>
      <c r="BR663" s="7"/>
      <c r="BS663" s="7"/>
      <c r="BT663" s="7"/>
      <c r="BU663" s="7"/>
      <c r="BV663" s="7"/>
      <c r="BW663" s="7"/>
      <c r="BX663" s="7"/>
      <c r="BY663" s="7"/>
      <c r="BZ663" s="7"/>
      <c r="CA663" s="7"/>
      <c r="CB663" s="7"/>
    </row>
    <row r="664" ht="21.75" customHeight="1">
      <c r="A664" s="7"/>
      <c r="B664" s="7" t="s">
        <v>275</v>
      </c>
      <c r="C664" s="7" t="s">
        <v>8193</v>
      </c>
      <c r="D664" s="7"/>
      <c r="E664" s="7"/>
      <c r="F664" s="7"/>
      <c r="G664" s="7" t="s">
        <v>343</v>
      </c>
      <c r="H664" s="7" t="s">
        <v>123</v>
      </c>
      <c r="I664" s="7" t="s">
        <v>8194</v>
      </c>
      <c r="J664" s="26" t="s">
        <v>8195</v>
      </c>
      <c r="K664" s="6" t="s">
        <v>469</v>
      </c>
      <c r="L664" s="7"/>
      <c r="M664" s="7"/>
      <c r="N664" s="7"/>
      <c r="O664" s="7">
        <v>97480.0</v>
      </c>
      <c r="P664" s="7" t="s">
        <v>123</v>
      </c>
      <c r="Q664" s="7"/>
      <c r="R664" s="7"/>
      <c r="S664" s="7"/>
      <c r="T664" s="7"/>
      <c r="U664" s="7"/>
      <c r="V664" s="7"/>
      <c r="W664" s="7">
        <v>6.92106157E8</v>
      </c>
      <c r="X664" s="7">
        <v>6.92225022E8</v>
      </c>
      <c r="Y664" s="7"/>
      <c r="Z664" s="7" t="s">
        <v>8196</v>
      </c>
      <c r="AA664" s="7"/>
      <c r="AB664" s="7"/>
      <c r="AC664" s="7"/>
      <c r="AD664" s="7" t="s">
        <v>848</v>
      </c>
      <c r="AE664" s="7"/>
      <c r="AF664" s="7"/>
      <c r="AG664" s="7"/>
      <c r="AH664" s="7"/>
      <c r="AI664" s="7"/>
      <c r="AJ664" s="7" t="s">
        <v>8197</v>
      </c>
      <c r="AK664" s="7"/>
      <c r="AL664" s="7"/>
      <c r="AM664" s="7" t="s">
        <v>8198</v>
      </c>
      <c r="AN664" s="7"/>
      <c r="AO664" s="7"/>
      <c r="AP664" s="7"/>
      <c r="AQ664" s="7"/>
      <c r="AR664" s="7"/>
      <c r="AS664" s="7"/>
      <c r="AT664" s="7"/>
      <c r="AU664" s="7"/>
      <c r="AV664" s="7" t="s">
        <v>8199</v>
      </c>
      <c r="AW664" s="7"/>
      <c r="AX664" s="7"/>
      <c r="AY664" s="7"/>
      <c r="AZ664" s="7"/>
      <c r="BA664" s="7"/>
      <c r="BB664" s="7"/>
      <c r="BC664" s="7" t="s">
        <v>401</v>
      </c>
      <c r="BD664" s="7"/>
      <c r="BE664" s="7"/>
      <c r="BF664" s="7"/>
      <c r="BG664" s="7"/>
      <c r="BH664" s="7"/>
      <c r="BI664" s="7" t="s">
        <v>8200</v>
      </c>
      <c r="BJ664" s="7"/>
      <c r="BK664" s="7" t="b">
        <v>0</v>
      </c>
      <c r="BL664" s="7" t="b">
        <v>0</v>
      </c>
      <c r="BM664" s="7"/>
      <c r="BN664" s="7" t="str">
        <f>IFERROR(__xludf.DUMMYFUNCTION(" IF( REGEXMATCH(C664 , ""[(].+[)]""),REGEXREPLACE( CONCATENATE(REGEXEXTRACT(C664 , ""[(].+[)]""),IF(REGEXMATCH(C664 , ""[(][Ll]['’][)]""),"""","" ""), REGEXEXTRACT(C664 ,""^(?:(?:[A-Za-zàäéèêîïöôûü0-9 ](?:[A-Za-zàäéèêîïöôûü'0-9 ]+)))"")) , ""[()]"", """")"&amp;",C664 )"),"A grand coup d'aile")</f>
        <v>A grand coup d'aile</v>
      </c>
      <c r="BO664" s="25"/>
      <c r="BP664" s="7"/>
      <c r="BQ664" s="7"/>
      <c r="BR664" s="7"/>
      <c r="BS664" s="7"/>
      <c r="BT664" s="7"/>
      <c r="BU664" s="7"/>
      <c r="BV664" s="7"/>
      <c r="BW664" s="7"/>
      <c r="BX664" s="7"/>
      <c r="BY664" s="7"/>
      <c r="BZ664" s="7"/>
      <c r="CA664" s="7"/>
      <c r="CB664" s="7"/>
    </row>
    <row r="665" ht="21.75" customHeight="1">
      <c r="A665" s="7"/>
      <c r="B665" s="7" t="s">
        <v>8201</v>
      </c>
      <c r="C665" s="7" t="s">
        <v>8202</v>
      </c>
      <c r="D665" s="7"/>
      <c r="E665" s="7"/>
      <c r="F665" s="7"/>
      <c r="G665" s="7" t="s">
        <v>343</v>
      </c>
      <c r="H665" s="7" t="s">
        <v>123</v>
      </c>
      <c r="I665" s="7" t="s">
        <v>8203</v>
      </c>
      <c r="J665" s="26" t="s">
        <v>8204</v>
      </c>
      <c r="K665" s="6" t="s">
        <v>469</v>
      </c>
      <c r="L665" s="7"/>
      <c r="M665" s="7"/>
      <c r="N665" s="7"/>
      <c r="O665" s="7">
        <v>97480.0</v>
      </c>
      <c r="P665" s="7" t="s">
        <v>123</v>
      </c>
      <c r="Q665" s="7"/>
      <c r="R665" s="7"/>
      <c r="S665" s="7"/>
      <c r="T665" s="7"/>
      <c r="U665" s="7"/>
      <c r="V665" s="7"/>
      <c r="W665" s="7">
        <v>6.927504E8</v>
      </c>
      <c r="X665" s="7"/>
      <c r="Y665" s="7"/>
      <c r="Z665" s="7" t="s">
        <v>8205</v>
      </c>
      <c r="AA665" s="7"/>
      <c r="AB665" s="7"/>
      <c r="AC665" s="7"/>
      <c r="AD665" s="7" t="s">
        <v>8206</v>
      </c>
      <c r="AE665" s="7"/>
      <c r="AF665" s="7"/>
      <c r="AG665" s="7"/>
      <c r="AH665" s="7"/>
      <c r="AI665" s="7"/>
      <c r="AJ665" s="7" t="s">
        <v>8207</v>
      </c>
      <c r="AK665" s="7"/>
      <c r="AL665" s="7"/>
      <c r="AM665" s="7" t="s">
        <v>8208</v>
      </c>
      <c r="AN665" s="7"/>
      <c r="AO665" s="7"/>
      <c r="AP665" s="7"/>
      <c r="AQ665" s="7"/>
      <c r="AR665" s="7"/>
      <c r="AS665" s="7"/>
      <c r="AT665" s="7"/>
      <c r="AU665" s="7"/>
      <c r="AV665" s="7" t="s">
        <v>8209</v>
      </c>
      <c r="AW665" s="7"/>
      <c r="AX665" s="7"/>
      <c r="AY665" s="7"/>
      <c r="AZ665" s="7"/>
      <c r="BA665" s="7"/>
      <c r="BB665" s="7"/>
      <c r="BC665" s="7" t="s">
        <v>401</v>
      </c>
      <c r="BD665" s="7"/>
      <c r="BE665" s="7"/>
      <c r="BF665" s="7"/>
      <c r="BG665" s="7"/>
      <c r="BH665" s="7"/>
      <c r="BI665" s="7" t="s">
        <v>8210</v>
      </c>
      <c r="BJ665" s="7"/>
      <c r="BK665" s="7" t="b">
        <v>0</v>
      </c>
      <c r="BL665" s="7" t="b">
        <v>0</v>
      </c>
      <c r="BM665" s="7"/>
      <c r="BN665" s="7" t="str">
        <f>IFERROR(__xludf.DUMMYFUNCTION(" IF( REGEXMATCH(C665 , ""[(].+[)]""),REGEXREPLACE( CONCATENATE(REGEXEXTRACT(C665 , ""[(].+[)]""),IF(REGEXMATCH(C665 , ""[(][Ll]['’][)]""),"""","" ""), REGEXEXTRACT(C665 ,""^(?:(?:[A-Za-zàäéèêîïöôûü0-9 ](?:[A-Za-zàäéèêîïöôûü'0-9 ]+)))"")) , ""[()]"", """")"&amp;",C665 )"),"Adrenalile")</f>
        <v>Adrenalile</v>
      </c>
      <c r="BO665" s="25"/>
      <c r="BP665" s="7"/>
      <c r="BQ665" s="7"/>
      <c r="BR665" s="7"/>
      <c r="BS665" s="7"/>
      <c r="BT665" s="7"/>
      <c r="BU665" s="7"/>
      <c r="BV665" s="7"/>
      <c r="BW665" s="7"/>
      <c r="BX665" s="7"/>
      <c r="BY665" s="7"/>
      <c r="BZ665" s="7"/>
      <c r="CA665" s="7"/>
      <c r="CB665" s="7"/>
    </row>
    <row r="666" ht="21.75" customHeight="1">
      <c r="A666" s="7"/>
      <c r="B666" s="7" t="s">
        <v>8211</v>
      </c>
      <c r="C666" s="7" t="s">
        <v>8212</v>
      </c>
      <c r="D666" s="7" t="s">
        <v>8213</v>
      </c>
      <c r="E666" s="7"/>
      <c r="F666" s="7"/>
      <c r="G666" s="7" t="s">
        <v>343</v>
      </c>
      <c r="H666" s="7" t="s">
        <v>40</v>
      </c>
      <c r="I666" s="7" t="s">
        <v>8214</v>
      </c>
      <c r="J666" s="7"/>
      <c r="K666" s="6" t="s">
        <v>8215</v>
      </c>
      <c r="L666" s="7" t="s">
        <v>4826</v>
      </c>
      <c r="M666" s="7" t="s">
        <v>591</v>
      </c>
      <c r="N666" s="7"/>
      <c r="O666" s="7">
        <v>97414.0</v>
      </c>
      <c r="P666" s="7" t="s">
        <v>40</v>
      </c>
      <c r="Q666" s="7" t="s">
        <v>40</v>
      </c>
      <c r="R666" s="7"/>
      <c r="S666" s="7"/>
      <c r="T666" s="7" t="s">
        <v>8216</v>
      </c>
      <c r="U666" s="7" t="s">
        <v>8217</v>
      </c>
      <c r="V666" s="7"/>
      <c r="W666" s="7">
        <v>6.92528378E8</v>
      </c>
      <c r="X666" s="7"/>
      <c r="Y666" s="7"/>
      <c r="Z666" s="7" t="s">
        <v>8218</v>
      </c>
      <c r="AA666" s="7">
        <v>8.0</v>
      </c>
      <c r="AB666" s="7"/>
      <c r="AC666" s="7"/>
      <c r="AD666" s="7" t="s">
        <v>8219</v>
      </c>
      <c r="AE666" s="7"/>
      <c r="AF666" s="7"/>
      <c r="AG666" s="7"/>
      <c r="AH666" s="7"/>
      <c r="AI666" s="7"/>
      <c r="AJ666" s="7" t="s">
        <v>8220</v>
      </c>
      <c r="AK666" s="7">
        <v>4.8850083600025E13</v>
      </c>
      <c r="AL666" s="7"/>
      <c r="AM666" s="7"/>
      <c r="AN666" s="7"/>
      <c r="AO666" s="7">
        <v>97414.0</v>
      </c>
      <c r="AP666" s="7" t="s">
        <v>8221</v>
      </c>
      <c r="AQ666" s="7"/>
      <c r="AR666" s="7"/>
      <c r="AS666" s="7"/>
      <c r="AT666" s="7"/>
      <c r="AU666" s="7">
        <v>1.0</v>
      </c>
      <c r="AV666" s="7" t="s">
        <v>8222</v>
      </c>
      <c r="AW666" s="7"/>
      <c r="AX666" s="7"/>
      <c r="AY666" s="7"/>
      <c r="AZ666" s="7"/>
      <c r="BA666" s="7"/>
      <c r="BB666" s="7"/>
      <c r="BC666" s="7" t="s">
        <v>401</v>
      </c>
      <c r="BD666" s="7"/>
      <c r="BE666" s="7"/>
      <c r="BF666" s="7"/>
      <c r="BG666" s="7"/>
      <c r="BH666" s="7">
        <v>4.88500836E8</v>
      </c>
      <c r="BI666" s="7" t="s">
        <v>8223</v>
      </c>
      <c r="BJ666" s="7"/>
      <c r="BK666" s="7" t="b">
        <v>0</v>
      </c>
      <c r="BL666" s="7" t="b">
        <v>0</v>
      </c>
      <c r="BM666" s="7"/>
      <c r="BN666" s="7" t="str">
        <f>IFERROR(__xludf.DUMMYFUNCTION(" IF( REGEXMATCH(C666 , ""[(].+[)]""),REGEXREPLACE( CONCATENATE(REGEXEXTRACT(C666 , ""[(].+[)]""),IF(REGEXMATCH(C666 , ""[(][Ll]['’][)]""),"""","" ""), REGEXEXTRACT(C666 ,""^(?:(?:[A-Za-zàäéèêîïöôûü0-9 ](?:[A-Za-zàäéèêîïöôûü'0-9 ]+)))"")) , ""[()]"", """")"&amp;",C666 )"),"AGENCE AVENTURE LA REUNION")</f>
        <v>AGENCE AVENTURE LA REUNION</v>
      </c>
      <c r="BO666" s="25"/>
      <c r="BP666" s="7"/>
      <c r="BQ666" s="7"/>
      <c r="BR666" s="7"/>
      <c r="BS666" s="7"/>
      <c r="BT666" s="7"/>
      <c r="BU666" s="7"/>
      <c r="BV666" s="7"/>
      <c r="BW666" s="7"/>
      <c r="BX666" s="7"/>
      <c r="BY666" s="7"/>
      <c r="BZ666" s="7"/>
      <c r="CA666" s="7"/>
      <c r="CB666" s="7"/>
    </row>
    <row r="667" ht="21.75" customHeight="1">
      <c r="A667" s="7"/>
      <c r="B667" s="7" t="s">
        <v>8224</v>
      </c>
      <c r="C667" s="7" t="s">
        <v>8225</v>
      </c>
      <c r="D667" s="7" t="s">
        <v>8226</v>
      </c>
      <c r="E667" s="7"/>
      <c r="F667" s="7"/>
      <c r="G667" s="7" t="s">
        <v>343</v>
      </c>
      <c r="H667" s="7" t="s">
        <v>344</v>
      </c>
      <c r="I667" s="7" t="s">
        <v>8227</v>
      </c>
      <c r="J667" s="7"/>
      <c r="K667" s="6" t="s">
        <v>469</v>
      </c>
      <c r="L667" s="7" t="s">
        <v>197</v>
      </c>
      <c r="M667" s="7" t="s">
        <v>8228</v>
      </c>
      <c r="N667" s="7" t="s">
        <v>664</v>
      </c>
      <c r="O667" s="7">
        <v>97430.0</v>
      </c>
      <c r="P667" s="7" t="s">
        <v>344</v>
      </c>
      <c r="Q667" s="7" t="s">
        <v>8229</v>
      </c>
      <c r="R667" s="7"/>
      <c r="S667" s="7" t="s">
        <v>8230</v>
      </c>
      <c r="T667" s="7" t="s">
        <v>8231</v>
      </c>
      <c r="U667" s="7" t="s">
        <v>8232</v>
      </c>
      <c r="V667" s="7"/>
      <c r="W667" s="7">
        <v>2.62693927034E11</v>
      </c>
      <c r="X667" s="7"/>
      <c r="Y667" s="7"/>
      <c r="Z667" s="7"/>
      <c r="AA667" s="7"/>
      <c r="AB667" s="7"/>
      <c r="AC667" s="7"/>
      <c r="AD667" s="7"/>
      <c r="AE667" s="7"/>
      <c r="AF667" s="7"/>
      <c r="AG667" s="7"/>
      <c r="AH667" s="7"/>
      <c r="AI667" s="7"/>
      <c r="AJ667" s="7" t="s">
        <v>8233</v>
      </c>
      <c r="AK667" s="7">
        <v>5.2539124900014E13</v>
      </c>
      <c r="AL667" s="7" t="s">
        <v>8227</v>
      </c>
      <c r="AM667" s="7" t="s">
        <v>8229</v>
      </c>
      <c r="AN667" s="7"/>
      <c r="AO667" s="7">
        <v>97430.0</v>
      </c>
      <c r="AP667" s="7" t="s">
        <v>494</v>
      </c>
      <c r="AQ667" s="7"/>
      <c r="AR667" s="7"/>
      <c r="AS667" s="7"/>
      <c r="AT667" s="7"/>
      <c r="AU667" s="7">
        <v>1.0</v>
      </c>
      <c r="AV667" s="7" t="s">
        <v>8234</v>
      </c>
      <c r="AW667" s="7"/>
      <c r="AX667" s="7"/>
      <c r="AY667" s="7"/>
      <c r="AZ667" s="7"/>
      <c r="BA667" s="7"/>
      <c r="BB667" s="7"/>
      <c r="BC667" s="7" t="s">
        <v>401</v>
      </c>
      <c r="BD667" s="7"/>
      <c r="BE667" s="7"/>
      <c r="BF667" s="7"/>
      <c r="BG667" s="7"/>
      <c r="BH667" s="7">
        <v>5.25391249E8</v>
      </c>
      <c r="BI667" s="7" t="s">
        <v>8235</v>
      </c>
      <c r="BJ667" s="7"/>
      <c r="BK667" s="7" t="b">
        <v>0</v>
      </c>
      <c r="BL667" s="7" t="b">
        <v>0</v>
      </c>
      <c r="BM667" s="7"/>
      <c r="BN667" s="7" t="str">
        <f>IFERROR(__xludf.DUMMYFUNCTION(" IF( REGEXMATCH(C667 , ""[(].+[)]""),REGEXREPLACE( CONCATENATE(REGEXEXTRACT(C667 , ""[(].+[)]""),IF(REGEXMATCH(C667 , ""[(][Ll]['’][)]""),"""","" ""), REGEXEXTRACT(C667 ,""^(?:(?:[A-Za-zàäéèêîïöôûü0-9 ](?:[A-Za-zàäéèêîïöôûü'0-9 ]+)))"")) , ""[()]"", """")"&amp;",C667 )"),"Alain beaudemoulin")</f>
        <v>Alain beaudemoulin</v>
      </c>
      <c r="BO667" s="25"/>
      <c r="BP667" s="7"/>
      <c r="BQ667" s="7"/>
      <c r="BR667" s="7"/>
      <c r="BS667" s="7"/>
      <c r="BT667" s="7"/>
      <c r="BU667" s="7"/>
      <c r="BV667" s="7"/>
      <c r="BW667" s="7"/>
      <c r="BX667" s="7"/>
      <c r="BY667" s="7"/>
      <c r="BZ667" s="7"/>
      <c r="CA667" s="7"/>
      <c r="CB667" s="7"/>
    </row>
    <row r="668" ht="21.75" customHeight="1">
      <c r="A668" s="7"/>
      <c r="B668" s="7" t="s">
        <v>8236</v>
      </c>
      <c r="C668" s="7" t="s">
        <v>8237</v>
      </c>
      <c r="D668" s="7"/>
      <c r="E668" s="7"/>
      <c r="F668" s="7"/>
      <c r="G668" s="7" t="s">
        <v>343</v>
      </c>
      <c r="H668" s="7" t="s">
        <v>40</v>
      </c>
      <c r="I668" s="7" t="s">
        <v>8238</v>
      </c>
      <c r="J668" s="7"/>
      <c r="K668" s="7" t="s">
        <v>58</v>
      </c>
      <c r="L668" s="7" t="s">
        <v>59</v>
      </c>
      <c r="M668" s="7" t="s">
        <v>545</v>
      </c>
      <c r="N668" s="7"/>
      <c r="O668" s="7">
        <v>97414.0</v>
      </c>
      <c r="P668" s="7" t="s">
        <v>40</v>
      </c>
      <c r="Q668" s="7" t="s">
        <v>1860</v>
      </c>
      <c r="R668" s="7"/>
      <c r="S668" s="7"/>
      <c r="T668" s="7"/>
      <c r="U668" s="7"/>
      <c r="V668" s="7"/>
      <c r="W668" s="7">
        <v>6.92049555E8</v>
      </c>
      <c r="X668" s="7"/>
      <c r="Y668" s="7"/>
      <c r="Z668" s="7" t="s">
        <v>8239</v>
      </c>
      <c r="AA668" s="7">
        <v>8.0</v>
      </c>
      <c r="AB668" s="7"/>
      <c r="AC668" s="7"/>
      <c r="AD668" s="7"/>
      <c r="AE668" s="7"/>
      <c r="AF668" s="7"/>
      <c r="AG668" s="7"/>
      <c r="AH668" s="20">
        <v>43101.0</v>
      </c>
      <c r="AI668" s="7"/>
      <c r="AJ668" s="7" t="s">
        <v>8240</v>
      </c>
      <c r="AK668" s="7">
        <v>8.0492156700017E13</v>
      </c>
      <c r="AL668" s="7" t="s">
        <v>8241</v>
      </c>
      <c r="AM668" s="7" t="s">
        <v>8242</v>
      </c>
      <c r="AN668" s="7"/>
      <c r="AO668" s="7">
        <v>97414.0</v>
      </c>
      <c r="AP668" s="7"/>
      <c r="AQ668" s="7"/>
      <c r="AR668" s="7"/>
      <c r="AS668" s="7"/>
      <c r="AT668" s="7"/>
      <c r="AU668" s="7"/>
      <c r="AV668" s="7" t="s">
        <v>8243</v>
      </c>
      <c r="AW668" s="7"/>
      <c r="AX668" s="7"/>
      <c r="AY668" s="7"/>
      <c r="AZ668" s="7" t="s">
        <v>8244</v>
      </c>
      <c r="BA668" s="7"/>
      <c r="BB668" s="7"/>
      <c r="BC668" s="7" t="s">
        <v>401</v>
      </c>
      <c r="BD668" s="7"/>
      <c r="BE668" s="7"/>
      <c r="BF668" s="7"/>
      <c r="BG668" s="7"/>
      <c r="BH668" s="7">
        <v>8.04921567E8</v>
      </c>
      <c r="BI668" s="7" t="s">
        <v>8245</v>
      </c>
      <c r="BJ668" s="7"/>
      <c r="BK668" s="7" t="b">
        <v>0</v>
      </c>
      <c r="BL668" s="7" t="b">
        <v>0</v>
      </c>
      <c r="BM668" s="7"/>
      <c r="BN668" s="7" t="str">
        <f>IFERROR(__xludf.DUMMYFUNCTION(" IF( REGEXMATCH(C668 , ""[(].+[)]""),REGEXREPLACE( CONCATENATE(REGEXEXTRACT(C668 , ""[(].+[)]""),IF(REGEXMATCH(C668 , ""[(][Ll]['’][)]""),"""","" ""), REGEXEXTRACT(C668 ,""^(?:(?:[A-Za-zàäéèêîïöôûü0-9 ](?:[A-Za-zàäéèêîïöôûü'0-9 ]+)))"")) , ""[()]"", """")"&amp;",C668 )"),"L'Antre du Fouquet ")</f>
        <v>L'Antre du Fouquet </v>
      </c>
      <c r="BO668" s="25"/>
      <c r="BP668" s="7"/>
      <c r="BQ668" s="7"/>
      <c r="BR668" s="7"/>
      <c r="BS668" s="7"/>
      <c r="BT668" s="7"/>
      <c r="BU668" s="7"/>
      <c r="BV668" s="7"/>
      <c r="BW668" s="7"/>
      <c r="BX668" s="7"/>
      <c r="BY668" s="7"/>
      <c r="BZ668" s="7"/>
      <c r="CA668" s="7"/>
      <c r="CB668" s="7"/>
    </row>
    <row r="669" ht="21.75" customHeight="1">
      <c r="A669" s="7"/>
      <c r="B669" s="7" t="s">
        <v>8246</v>
      </c>
      <c r="C669" s="7" t="s">
        <v>8247</v>
      </c>
      <c r="D669" s="7"/>
      <c r="E669" s="7"/>
      <c r="F669" s="7"/>
      <c r="G669" s="7" t="s">
        <v>343</v>
      </c>
      <c r="H669" s="7" t="s">
        <v>344</v>
      </c>
      <c r="I669" s="7" t="s">
        <v>8248</v>
      </c>
      <c r="J669" s="7"/>
      <c r="K669" s="7" t="s">
        <v>58</v>
      </c>
      <c r="L669" s="7" t="s">
        <v>59</v>
      </c>
      <c r="M669" s="7" t="s">
        <v>374</v>
      </c>
      <c r="N669" s="7"/>
      <c r="O669" s="7">
        <v>97430.0</v>
      </c>
      <c r="P669" s="7" t="s">
        <v>344</v>
      </c>
      <c r="Q669" s="7"/>
      <c r="R669" s="7"/>
      <c r="S669" s="7"/>
      <c r="T669" s="7"/>
      <c r="U669" s="7"/>
      <c r="V669" s="7"/>
      <c r="W669" s="7">
        <v>6.93550325E8</v>
      </c>
      <c r="X669" s="7"/>
      <c r="Y669" s="7"/>
      <c r="Z669" s="7" t="s">
        <v>8249</v>
      </c>
      <c r="AA669" s="7">
        <v>4.0</v>
      </c>
      <c r="AB669" s="7"/>
      <c r="AC669" s="7"/>
      <c r="AD669" s="7"/>
      <c r="AE669" s="7"/>
      <c r="AF669" s="7"/>
      <c r="AG669" s="7"/>
      <c r="AH669" s="7"/>
      <c r="AI669" s="7"/>
      <c r="AJ669" s="7" t="s">
        <v>8250</v>
      </c>
      <c r="AK669" s="7"/>
      <c r="AL669" s="7" t="s">
        <v>8251</v>
      </c>
      <c r="AM669" s="7" t="s">
        <v>8252</v>
      </c>
      <c r="AN669" s="7"/>
      <c r="AO669" s="7"/>
      <c r="AP669" s="7"/>
      <c r="AQ669" s="7"/>
      <c r="AR669" s="7"/>
      <c r="AS669" s="7"/>
      <c r="AT669" s="7"/>
      <c r="AU669" s="7"/>
      <c r="AV669" s="7" t="s">
        <v>8253</v>
      </c>
      <c r="AW669" s="7"/>
      <c r="AX669" s="7"/>
      <c r="AY669" s="7"/>
      <c r="AZ669" s="7" t="s">
        <v>8254</v>
      </c>
      <c r="BA669" s="7"/>
      <c r="BB669" s="7"/>
      <c r="BC669" s="7" t="s">
        <v>401</v>
      </c>
      <c r="BD669" s="7"/>
      <c r="BE669" s="7"/>
      <c r="BF669" s="7"/>
      <c r="BG669" s="7"/>
      <c r="BH669" s="7"/>
      <c r="BI669" s="7" t="s">
        <v>8255</v>
      </c>
      <c r="BJ669" s="7"/>
      <c r="BK669" s="7" t="b">
        <v>0</v>
      </c>
      <c r="BL669" s="7" t="b">
        <v>0</v>
      </c>
      <c r="BM669" s="7"/>
      <c r="BN669" s="7" t="str">
        <f>IFERROR(__xludf.DUMMYFUNCTION(" IF( REGEXMATCH(C669 , ""[(].+[)]""),REGEXREPLACE( CONCATENATE(REGEXEXTRACT(C669 , ""[(].+[)]""),IF(REGEXMATCH(C669 , ""[(][Ll]['’][)]""),"""","" ""), REGEXEXTRACT(C669 ,""^(?:(?:[A-Za-zàäéèêîïöôûü0-9 ](?:[A-Za-zàäéèêîïöôûü'0-9 ]+)))"")) , ""[()]"", """")"&amp;",C669 )"),"Appartement Rez de Jardin")</f>
        <v>Appartement Rez de Jardin</v>
      </c>
      <c r="BO669" s="25"/>
      <c r="BP669" s="7"/>
      <c r="BQ669" s="7"/>
      <c r="BR669" s="7"/>
      <c r="BS669" s="7"/>
      <c r="BT669" s="7"/>
      <c r="BU669" s="7"/>
      <c r="BV669" s="7"/>
      <c r="BW669" s="7"/>
      <c r="BX669" s="7"/>
      <c r="BY669" s="7"/>
      <c r="BZ669" s="7"/>
      <c r="CA669" s="7"/>
      <c r="CB669" s="7"/>
    </row>
    <row r="670" ht="21.75" customHeight="1">
      <c r="A670" s="7"/>
      <c r="B670" s="7" t="s">
        <v>8256</v>
      </c>
      <c r="C670" s="7" t="s">
        <v>8257</v>
      </c>
      <c r="D670" s="7"/>
      <c r="E670" s="7"/>
      <c r="F670" s="7"/>
      <c r="G670" s="7" t="s">
        <v>343</v>
      </c>
      <c r="H670" s="7" t="s">
        <v>123</v>
      </c>
      <c r="I670" s="7" t="s">
        <v>8258</v>
      </c>
      <c r="J670" s="7"/>
      <c r="K670" s="6" t="s">
        <v>469</v>
      </c>
      <c r="L670" s="7"/>
      <c r="M670" s="7"/>
      <c r="N670" s="7"/>
      <c r="O670" s="7">
        <v>97480.0</v>
      </c>
      <c r="P670" s="7" t="s">
        <v>123</v>
      </c>
      <c r="Q670" s="7" t="s">
        <v>8259</v>
      </c>
      <c r="R670" s="7"/>
      <c r="S670" s="7"/>
      <c r="T670" s="7"/>
      <c r="U670" s="7"/>
      <c r="V670" s="7"/>
      <c r="W670" s="7">
        <v>6.92210182E8</v>
      </c>
      <c r="X670" s="7"/>
      <c r="Y670" s="7"/>
      <c r="Z670" s="7" t="s">
        <v>8260</v>
      </c>
      <c r="AA670" s="7"/>
      <c r="AB670" s="7"/>
      <c r="AC670" s="7"/>
      <c r="AD670" s="7" t="s">
        <v>8261</v>
      </c>
      <c r="AE670" s="7"/>
      <c r="AF670" s="7"/>
      <c r="AG670" s="7"/>
      <c r="AH670" s="7"/>
      <c r="AI670" s="7"/>
      <c r="AJ670" s="7" t="s">
        <v>8262</v>
      </c>
      <c r="AK670" s="7">
        <v>5.1236804400016E13</v>
      </c>
      <c r="AL670" s="7"/>
      <c r="AM670" s="7" t="s">
        <v>8263</v>
      </c>
      <c r="AN670" s="7"/>
      <c r="AO670" s="7"/>
      <c r="AP670" s="7"/>
      <c r="AQ670" s="7"/>
      <c r="AR670" s="7"/>
      <c r="AS670" s="7"/>
      <c r="AT670" s="7"/>
      <c r="AU670" s="7"/>
      <c r="AV670" s="7" t="s">
        <v>8264</v>
      </c>
      <c r="AW670" s="7"/>
      <c r="AX670" s="7"/>
      <c r="AY670" s="7"/>
      <c r="AZ670" s="7"/>
      <c r="BA670" s="7"/>
      <c r="BB670" s="7"/>
      <c r="BC670" s="7" t="s">
        <v>401</v>
      </c>
      <c r="BD670" s="7"/>
      <c r="BE670" s="7"/>
      <c r="BF670" s="7"/>
      <c r="BG670" s="7"/>
      <c r="BH670" s="7">
        <v>5.12368044E8</v>
      </c>
      <c r="BI670" s="7" t="s">
        <v>8265</v>
      </c>
      <c r="BJ670" s="7"/>
      <c r="BK670" s="7" t="b">
        <v>0</v>
      </c>
      <c r="BL670" s="7" t="b">
        <v>0</v>
      </c>
      <c r="BM670" s="7"/>
      <c r="BN670" s="7" t="str">
        <f>IFERROR(__xludf.DUMMYFUNCTION(" IF( REGEXMATCH(C670 , ""[(].+[)]""),REGEXREPLACE( CONCATENATE(REGEXEXTRACT(C670 , ""[(].+[)]""),IF(REGEXMATCH(C670 , ""[(][Ll]['’][)]""),"""","" ""), REGEXEXTRACT(C670 ,""^(?:(?:[A-Za-zàäéèêîïöôûü0-9 ](?:[A-Za-zàäéèêîïöôûü'0-9 ]+)))"")) , ""[()]"", """")"&amp;",C670 )"),"Asine de Bourbon")</f>
        <v>Asine de Bourbon</v>
      </c>
      <c r="BO670" s="25"/>
      <c r="BP670" s="7"/>
      <c r="BQ670" s="7"/>
      <c r="BR670" s="7"/>
      <c r="BS670" s="7"/>
      <c r="BT670" s="7"/>
      <c r="BU670" s="7"/>
      <c r="BV670" s="7"/>
      <c r="BW670" s="7"/>
      <c r="BX670" s="7"/>
      <c r="BY670" s="7"/>
      <c r="BZ670" s="7"/>
      <c r="CA670" s="7"/>
      <c r="CB670" s="7"/>
    </row>
    <row r="671" ht="21.75" customHeight="1">
      <c r="A671" s="7"/>
      <c r="B671" s="7" t="s">
        <v>8266</v>
      </c>
      <c r="C671" s="7" t="s">
        <v>8267</v>
      </c>
      <c r="D671" s="7"/>
      <c r="E671" s="7"/>
      <c r="F671" s="7"/>
      <c r="G671" s="7" t="s">
        <v>343</v>
      </c>
      <c r="H671" s="7" t="s">
        <v>123</v>
      </c>
      <c r="I671" s="7" t="s">
        <v>8268</v>
      </c>
      <c r="J671" s="26" t="s">
        <v>8269</v>
      </c>
      <c r="K671" s="6" t="s">
        <v>469</v>
      </c>
      <c r="L671" s="7" t="s">
        <v>197</v>
      </c>
      <c r="M671" s="7"/>
      <c r="N671" s="7"/>
      <c r="O671" s="7">
        <v>97480.0</v>
      </c>
      <c r="P671" s="7" t="s">
        <v>123</v>
      </c>
      <c r="Q671" s="7"/>
      <c r="R671" s="7"/>
      <c r="S671" s="7"/>
      <c r="T671" s="7"/>
      <c r="U671" s="7"/>
      <c r="V671" s="7"/>
      <c r="W671" s="7">
        <v>6.93001804E8</v>
      </c>
      <c r="X671" s="7"/>
      <c r="Y671" s="7"/>
      <c r="Z671" s="7" t="s">
        <v>8270</v>
      </c>
      <c r="AA671" s="7"/>
      <c r="AB671" s="7"/>
      <c r="AC671" s="7"/>
      <c r="AD671" s="7"/>
      <c r="AE671" s="7"/>
      <c r="AF671" s="7"/>
      <c r="AG671" s="7"/>
      <c r="AH671" s="7"/>
      <c r="AI671" s="7"/>
      <c r="AJ671" s="7" t="s">
        <v>8271</v>
      </c>
      <c r="AK671" s="7">
        <v>4.8954625900032E13</v>
      </c>
      <c r="AL671" s="7"/>
      <c r="AM671" s="7" t="s">
        <v>8272</v>
      </c>
      <c r="AN671" s="7"/>
      <c r="AO671" s="7"/>
      <c r="AP671" s="7"/>
      <c r="AQ671" s="7"/>
      <c r="AR671" s="7"/>
      <c r="AS671" s="7"/>
      <c r="AT671" s="7"/>
      <c r="AU671" s="7"/>
      <c r="AV671" s="7" t="s">
        <v>8273</v>
      </c>
      <c r="AW671" s="7"/>
      <c r="AX671" s="7"/>
      <c r="AY671" s="7"/>
      <c r="AZ671" s="7"/>
      <c r="BA671" s="7"/>
      <c r="BB671" s="7"/>
      <c r="BC671" s="7" t="s">
        <v>401</v>
      </c>
      <c r="BD671" s="7"/>
      <c r="BE671" s="7"/>
      <c r="BF671" s="7"/>
      <c r="BG671" s="7"/>
      <c r="BH671" s="7">
        <v>4.89546259E8</v>
      </c>
      <c r="BI671" s="7" t="s">
        <v>8274</v>
      </c>
      <c r="BJ671" s="7"/>
      <c r="BK671" s="7" t="b">
        <v>0</v>
      </c>
      <c r="BL671" s="7" t="b">
        <v>0</v>
      </c>
      <c r="BM671" s="7"/>
      <c r="BN671" s="7" t="str">
        <f>IFERROR(__xludf.DUMMYFUNCTION(" IF( REGEXMATCH(C671 , ""[(].+[)]""),REGEXREPLACE( CONCATENATE(REGEXEXTRACT(C671 , ""[(].+[)]""),IF(REGEXMATCH(C671 , ""[(][Ll]['’][)]""),"""","" ""), REGEXEXTRACT(C671 ,""^(?:(?:[A-Za-zàäéèêîïöôûü0-9 ](?:[A-Za-zàäéèêîïöôûü'0-9 ]+)))"")) , ""[()]"", """")"&amp;",C671 )"),"Association Art pour tous")</f>
        <v>Association Art pour tous</v>
      </c>
      <c r="BO671" s="25"/>
      <c r="BP671" s="7"/>
      <c r="BQ671" s="7"/>
      <c r="BR671" s="7"/>
      <c r="BS671" s="7"/>
      <c r="BT671" s="7"/>
      <c r="BU671" s="7"/>
      <c r="BV671" s="7"/>
      <c r="BW671" s="7"/>
      <c r="BX671" s="7"/>
      <c r="BY671" s="7"/>
      <c r="BZ671" s="7"/>
      <c r="CA671" s="7"/>
      <c r="CB671" s="7"/>
    </row>
    <row r="672" ht="21.75" customHeight="1">
      <c r="A672" s="7"/>
      <c r="B672" s="7" t="s">
        <v>8275</v>
      </c>
      <c r="C672" s="7" t="s">
        <v>8276</v>
      </c>
      <c r="D672" s="7"/>
      <c r="E672" s="7"/>
      <c r="F672" s="7"/>
      <c r="G672" s="7" t="s">
        <v>343</v>
      </c>
      <c r="H672" s="7" t="s">
        <v>40</v>
      </c>
      <c r="I672" s="7" t="s">
        <v>8277</v>
      </c>
      <c r="J672" s="26" t="s">
        <v>8278</v>
      </c>
      <c r="K672" s="6" t="s">
        <v>469</v>
      </c>
      <c r="L672" s="7" t="s">
        <v>197</v>
      </c>
      <c r="M672" s="7" t="s">
        <v>559</v>
      </c>
      <c r="N672" s="7"/>
      <c r="O672" s="7">
        <v>97414.0</v>
      </c>
      <c r="P672" s="7" t="s">
        <v>40</v>
      </c>
      <c r="Q672" s="7" t="s">
        <v>8279</v>
      </c>
      <c r="R672" s="7"/>
      <c r="S672" s="7"/>
      <c r="T672" s="7"/>
      <c r="U672" s="7" t="s">
        <v>353</v>
      </c>
      <c r="V672" s="7"/>
      <c r="W672" s="7">
        <v>6.93928123E8</v>
      </c>
      <c r="X672" s="7"/>
      <c r="Y672" s="7"/>
      <c r="Z672" s="7" t="s">
        <v>8280</v>
      </c>
      <c r="AA672" s="7"/>
      <c r="AB672" s="7"/>
      <c r="AC672" s="7"/>
      <c r="AD672" s="7" t="s">
        <v>8281</v>
      </c>
      <c r="AE672" s="7"/>
      <c r="AF672" s="7"/>
      <c r="AG672" s="7"/>
      <c r="AH672" s="20">
        <v>36526.0</v>
      </c>
      <c r="AI672" s="7"/>
      <c r="AJ672" s="7" t="s">
        <v>8282</v>
      </c>
      <c r="AK672" s="7"/>
      <c r="AL672" s="7"/>
      <c r="AM672" s="7" t="s">
        <v>8283</v>
      </c>
      <c r="AN672" s="7"/>
      <c r="AO672" s="7">
        <v>97414.0</v>
      </c>
      <c r="AP672" s="7" t="s">
        <v>429</v>
      </c>
      <c r="AQ672" s="7"/>
      <c r="AR672" s="7"/>
      <c r="AS672" s="7"/>
      <c r="AT672" s="7"/>
      <c r="AU672" s="7"/>
      <c r="AV672" s="7" t="s">
        <v>4237</v>
      </c>
      <c r="AW672" s="7"/>
      <c r="AX672" s="7"/>
      <c r="AY672" s="7"/>
      <c r="AZ672" s="7"/>
      <c r="BA672" s="7"/>
      <c r="BB672" s="7"/>
      <c r="BC672" s="7" t="s">
        <v>401</v>
      </c>
      <c r="BD672" s="7"/>
      <c r="BE672" s="7"/>
      <c r="BF672" s="7"/>
      <c r="BG672" s="7"/>
      <c r="BH672" s="7"/>
      <c r="BI672" s="7" t="s">
        <v>1786</v>
      </c>
      <c r="BJ672" s="7"/>
      <c r="BK672" s="7" t="b">
        <v>0</v>
      </c>
      <c r="BL672" s="7" t="b">
        <v>0</v>
      </c>
      <c r="BM672" s="7"/>
      <c r="BN672" s="7" t="str">
        <f>IFERROR(__xludf.DUMMYFUNCTION(" IF( REGEXMATCH(C672 , ""[(].+[)]""),REGEXREPLACE( CONCATENATE(REGEXEXTRACT(C672 , ""[(].+[)]""),IF(REGEXMATCH(C672 , ""[(][Ll]['’][)]""),"""","" ""), REGEXEXTRACT(C672 ,""^(?:(?:[A-Za-zàäéèêîïöôûü0-9 ](?:[A-Za-zàäéèêîïöôûü'0-9 ]+)))"")) , ""[()]"", """")"&amp;",C672 )"),"Association des Petits Métiers")</f>
        <v>Association des Petits Métiers</v>
      </c>
      <c r="BO672" s="25"/>
      <c r="BP672" s="7"/>
      <c r="BQ672" s="7"/>
      <c r="BR672" s="7"/>
      <c r="BS672" s="7"/>
      <c r="BT672" s="7"/>
      <c r="BU672" s="7"/>
      <c r="BV672" s="7"/>
      <c r="BW672" s="7"/>
      <c r="BX672" s="7"/>
      <c r="BY672" s="7"/>
      <c r="BZ672" s="7"/>
      <c r="CA672" s="7"/>
      <c r="CB672" s="7"/>
    </row>
    <row r="673" ht="21.75" customHeight="1">
      <c r="A673" s="7"/>
      <c r="B673" s="7" t="s">
        <v>8284</v>
      </c>
      <c r="C673" s="7" t="s">
        <v>8285</v>
      </c>
      <c r="D673" s="7"/>
      <c r="E673" s="7"/>
      <c r="F673" s="7"/>
      <c r="G673" s="7" t="s">
        <v>343</v>
      </c>
      <c r="H673" s="7" t="s">
        <v>123</v>
      </c>
      <c r="I673" s="7" t="s">
        <v>8286</v>
      </c>
      <c r="J673" s="7"/>
      <c r="K673" s="6" t="s">
        <v>469</v>
      </c>
      <c r="L673" s="7" t="s">
        <v>197</v>
      </c>
      <c r="M673" s="7"/>
      <c r="N673" s="7"/>
      <c r="O673" s="7">
        <v>97480.0</v>
      </c>
      <c r="P673" s="7" t="s">
        <v>123</v>
      </c>
      <c r="Q673" s="7" t="s">
        <v>3556</v>
      </c>
      <c r="R673" s="7"/>
      <c r="S673" s="7"/>
      <c r="T673" s="7"/>
      <c r="U673" s="7"/>
      <c r="V673" s="7"/>
      <c r="W673" s="7">
        <v>6.9300834E8</v>
      </c>
      <c r="X673" s="7"/>
      <c r="Y673" s="7"/>
      <c r="Z673" s="7"/>
      <c r="AA673" s="7"/>
      <c r="AB673" s="7"/>
      <c r="AC673" s="7"/>
      <c r="AD673" s="7" t="s">
        <v>8287</v>
      </c>
      <c r="AE673" s="7"/>
      <c r="AF673" s="7"/>
      <c r="AG673" s="7"/>
      <c r="AH673" s="7"/>
      <c r="AI673" s="7"/>
      <c r="AJ673" s="7" t="s">
        <v>8288</v>
      </c>
      <c r="AK673" s="7">
        <v>8.4398865000019E13</v>
      </c>
      <c r="AL673" s="7"/>
      <c r="AM673" s="7" t="s">
        <v>8289</v>
      </c>
      <c r="AN673" s="7"/>
      <c r="AO673" s="7"/>
      <c r="AP673" s="7"/>
      <c r="AQ673" s="7"/>
      <c r="AR673" s="7"/>
      <c r="AS673" s="7"/>
      <c r="AT673" s="7"/>
      <c r="AU673" s="7"/>
      <c r="AV673" s="7" t="s">
        <v>8290</v>
      </c>
      <c r="AW673" s="7"/>
      <c r="AX673" s="7"/>
      <c r="AY673" s="7"/>
      <c r="AZ673" s="7"/>
      <c r="BA673" s="7"/>
      <c r="BB673" s="7"/>
      <c r="BC673" s="7" t="s">
        <v>401</v>
      </c>
      <c r="BD673" s="7"/>
      <c r="BE673" s="7"/>
      <c r="BF673" s="7"/>
      <c r="BG673" s="7"/>
      <c r="BH673" s="7">
        <v>8.4398865E8</v>
      </c>
      <c r="BI673" s="7" t="s">
        <v>3571</v>
      </c>
      <c r="BJ673" s="7"/>
      <c r="BK673" s="7" t="b">
        <v>0</v>
      </c>
      <c r="BL673" s="7" t="b">
        <v>0</v>
      </c>
      <c r="BM673" s="7"/>
      <c r="BN673" s="7" t="str">
        <f>IFERROR(__xludf.DUMMYFUNCTION(" IF( REGEXMATCH(C673 , ""[(].+[)]""),REGEXREPLACE( CONCATENATE(REGEXEXTRACT(C673 , ""[(].+[)]""),IF(REGEXMATCH(C673 , ""[(][Ll]['’][)]""),"""","" ""), REGEXEXTRACT(C673 ,""^(?:(?:[A-Za-zàäéèêîïöôûü0-9 ](?:[A-Za-zàäéèêîïöôûü'0-9 ]+)))"")) , ""[()]"", """")"&amp;",C673 )"),"Association tisseur péi")</f>
        <v>Association tisseur péi</v>
      </c>
      <c r="BO673" s="25"/>
      <c r="BP673" s="7"/>
      <c r="BQ673" s="7"/>
      <c r="BR673" s="7"/>
      <c r="BS673" s="7"/>
      <c r="BT673" s="7"/>
      <c r="BU673" s="7"/>
      <c r="BV673" s="7"/>
      <c r="BW673" s="7"/>
      <c r="BX673" s="7"/>
      <c r="BY673" s="7"/>
      <c r="BZ673" s="7"/>
      <c r="CA673" s="7"/>
      <c r="CB673" s="7"/>
    </row>
    <row r="674" ht="21.75" customHeight="1">
      <c r="A674" s="7"/>
      <c r="B674" s="7" t="s">
        <v>8291</v>
      </c>
      <c r="C674" s="7" t="s">
        <v>8292</v>
      </c>
      <c r="D674" s="7"/>
      <c r="E674" s="7"/>
      <c r="F674" s="7"/>
      <c r="G674" s="7" t="s">
        <v>343</v>
      </c>
      <c r="H674" s="7" t="s">
        <v>123</v>
      </c>
      <c r="I674" s="7" t="s">
        <v>8293</v>
      </c>
      <c r="J674" s="7"/>
      <c r="K674" s="6" t="s">
        <v>469</v>
      </c>
      <c r="L674" s="7" t="s">
        <v>197</v>
      </c>
      <c r="M674" s="7"/>
      <c r="N674" s="7"/>
      <c r="O674" s="7">
        <v>97480.0</v>
      </c>
      <c r="P674" s="7" t="s">
        <v>123</v>
      </c>
      <c r="Q674" s="7" t="s">
        <v>8259</v>
      </c>
      <c r="R674" s="7"/>
      <c r="S674" s="7"/>
      <c r="T674" s="7"/>
      <c r="U674" s="7"/>
      <c r="V674" s="7">
        <v>2.62535411E8</v>
      </c>
      <c r="W674" s="7">
        <v>6.92617748E8</v>
      </c>
      <c r="X674" s="7"/>
      <c r="Y674" s="7"/>
      <c r="Z674" s="7" t="s">
        <v>8294</v>
      </c>
      <c r="AA674" s="7"/>
      <c r="AB674" s="7"/>
      <c r="AC674" s="7"/>
      <c r="AD674" s="7" t="s">
        <v>8295</v>
      </c>
      <c r="AE674" s="7"/>
      <c r="AF674" s="7"/>
      <c r="AG674" s="7"/>
      <c r="AH674" s="7"/>
      <c r="AI674" s="7"/>
      <c r="AJ674" s="7" t="s">
        <v>8296</v>
      </c>
      <c r="AK674" s="7">
        <v>7.9492681600016E13</v>
      </c>
      <c r="AL674" s="7"/>
      <c r="AM674" s="7" t="s">
        <v>8297</v>
      </c>
      <c r="AN674" s="7"/>
      <c r="AO674" s="7"/>
      <c r="AP674" s="7"/>
      <c r="AQ674" s="7"/>
      <c r="AR674" s="7"/>
      <c r="AS674" s="7"/>
      <c r="AT674" s="7"/>
      <c r="AU674" s="7"/>
      <c r="AV674" s="7" t="s">
        <v>8298</v>
      </c>
      <c r="AW674" s="7"/>
      <c r="AX674" s="7"/>
      <c r="AY674" s="7"/>
      <c r="AZ674" s="7"/>
      <c r="BA674" s="7"/>
      <c r="BB674" s="7"/>
      <c r="BC674" s="7" t="s">
        <v>401</v>
      </c>
      <c r="BD674" s="7"/>
      <c r="BE674" s="7"/>
      <c r="BF674" s="7"/>
      <c r="BG674" s="7"/>
      <c r="BH674" s="7">
        <v>7.94926816E8</v>
      </c>
      <c r="BI674" s="7" t="s">
        <v>8299</v>
      </c>
      <c r="BJ674" s="7"/>
      <c r="BK674" s="7" t="b">
        <v>0</v>
      </c>
      <c r="BL674" s="7" t="b">
        <v>0</v>
      </c>
      <c r="BM674" s="7"/>
      <c r="BN674" s="7" t="str">
        <f>IFERROR(__xludf.DUMMYFUNCTION(" IF( REGEXMATCH(C674 , ""[(].+[)]""),REGEXREPLACE( CONCATENATE(REGEXEXTRACT(C674 , ""[(].+[)]""),IF(REGEXMATCH(C674 , ""[(][Ll]['’][)]""),"""","" ""), REGEXEXTRACT(C674 ,""^(?:(?:[A-Za-zàäéèêîïöôûü0-9 ](?:[A-Za-zàäéèêîïöôûü'0-9 ]+)))"")) , ""[()]"", """")"&amp;",C674 )"),"Association vacoa-ma-na")</f>
        <v>Association vacoa-ma-na</v>
      </c>
      <c r="BO674" s="25"/>
      <c r="BP674" s="7"/>
      <c r="BQ674" s="7"/>
      <c r="BR674" s="7"/>
      <c r="BS674" s="7"/>
      <c r="BT674" s="7"/>
      <c r="BU674" s="7"/>
      <c r="BV674" s="7"/>
      <c r="BW674" s="7"/>
      <c r="BX674" s="7"/>
      <c r="BY674" s="7"/>
      <c r="BZ674" s="7"/>
      <c r="CA674" s="7"/>
      <c r="CB674" s="7"/>
    </row>
    <row r="675" ht="21.75" customHeight="1">
      <c r="A675" s="7"/>
      <c r="B675" s="7" t="s">
        <v>243</v>
      </c>
      <c r="C675" s="7" t="s">
        <v>8300</v>
      </c>
      <c r="D675" s="7"/>
      <c r="E675" s="7"/>
      <c r="F675" s="7"/>
      <c r="G675" s="7" t="s">
        <v>343</v>
      </c>
      <c r="H675" s="7" t="s">
        <v>40</v>
      </c>
      <c r="I675" s="7" t="s">
        <v>8301</v>
      </c>
      <c r="J675" s="7"/>
      <c r="K675" s="6" t="s">
        <v>469</v>
      </c>
      <c r="L675" s="7" t="s">
        <v>197</v>
      </c>
      <c r="M675" s="7" t="s">
        <v>559</v>
      </c>
      <c r="N675" s="7"/>
      <c r="O675" s="7">
        <v>97414.0</v>
      </c>
      <c r="P675" s="7" t="s">
        <v>40</v>
      </c>
      <c r="Q675" s="7"/>
      <c r="R675" s="7"/>
      <c r="S675" s="7"/>
      <c r="T675" s="7"/>
      <c r="U675" s="7" t="s">
        <v>378</v>
      </c>
      <c r="V675" s="7"/>
      <c r="W675" s="7">
        <v>6.92309778E8</v>
      </c>
      <c r="X675" s="7"/>
      <c r="Y675" s="7"/>
      <c r="Z675" s="7" t="s">
        <v>8302</v>
      </c>
      <c r="AA675" s="7"/>
      <c r="AB675" s="7"/>
      <c r="AC675" s="7"/>
      <c r="AD675" s="7" t="s">
        <v>8303</v>
      </c>
      <c r="AE675" s="7"/>
      <c r="AF675" s="7"/>
      <c r="AG675" s="7"/>
      <c r="AH675" s="20">
        <v>41275.0</v>
      </c>
      <c r="AI675" s="7"/>
      <c r="AJ675" s="7" t="s">
        <v>8304</v>
      </c>
      <c r="AK675" s="7"/>
      <c r="AL675" s="7"/>
      <c r="AM675" s="7"/>
      <c r="AN675" s="7"/>
      <c r="AO675" s="7"/>
      <c r="AP675" s="7"/>
      <c r="AQ675" s="7"/>
      <c r="AR675" s="7"/>
      <c r="AS675" s="7"/>
      <c r="AT675" s="7"/>
      <c r="AU675" s="7"/>
      <c r="AV675" s="7" t="s">
        <v>8305</v>
      </c>
      <c r="AW675" s="7"/>
      <c r="AX675" s="7"/>
      <c r="AY675" s="7"/>
      <c r="AZ675" s="7"/>
      <c r="BA675" s="7"/>
      <c r="BB675" s="7"/>
      <c r="BC675" s="7" t="s">
        <v>401</v>
      </c>
      <c r="BD675" s="7"/>
      <c r="BE675" s="7"/>
      <c r="BF675" s="7"/>
      <c r="BG675" s="7"/>
      <c r="BH675" s="7"/>
      <c r="BI675" s="7" t="s">
        <v>4105</v>
      </c>
      <c r="BJ675" s="7"/>
      <c r="BK675" s="7" t="b">
        <v>0</v>
      </c>
      <c r="BL675" s="7" t="b">
        <v>0</v>
      </c>
      <c r="BM675" s="7"/>
      <c r="BN675" s="7" t="str">
        <f>IFERROR(__xludf.DUMMYFUNCTION(" IF( REGEXMATCH(C675 , ""[(].+[)]""),REGEXREPLACE( CONCATENATE(REGEXEXTRACT(C675 , ""[(].+[)]""),IF(REGEXMATCH(C675 , ""[(][Ll]['’][)]""),"""","" ""), REGEXEXTRACT(C675 ,""^(?:(?:[A-Za-zàäéèêîïöôûü0-9 ](?:[A-Za-zàäéèêîïöôûü'0-9 ]+)))"")) , ""[()]"", """")"&amp;",C675 )"),"Atelier de Coccinelle")</f>
        <v>Atelier de Coccinelle</v>
      </c>
      <c r="BO675" s="25"/>
      <c r="BP675" s="7"/>
      <c r="BQ675" s="7"/>
      <c r="BR675" s="7"/>
      <c r="BS675" s="7"/>
      <c r="BT675" s="7"/>
      <c r="BU675" s="7"/>
      <c r="BV675" s="7"/>
      <c r="BW675" s="7"/>
      <c r="BX675" s="7"/>
      <c r="BY675" s="7"/>
      <c r="BZ675" s="7"/>
      <c r="CA675" s="7"/>
      <c r="CB675" s="7"/>
    </row>
    <row r="676" ht="21.75" customHeight="1">
      <c r="A676" s="7"/>
      <c r="B676" s="7" t="s">
        <v>8306</v>
      </c>
      <c r="C676" s="7" t="s">
        <v>917</v>
      </c>
      <c r="D676" s="7"/>
      <c r="E676" s="7"/>
      <c r="F676" s="7"/>
      <c r="G676" s="7" t="s">
        <v>343</v>
      </c>
      <c r="H676" s="7" t="s">
        <v>33</v>
      </c>
      <c r="I676" s="7" t="s">
        <v>8307</v>
      </c>
      <c r="J676" s="26" t="s">
        <v>920</v>
      </c>
      <c r="K676" s="6" t="s">
        <v>469</v>
      </c>
      <c r="L676" s="7" t="s">
        <v>470</v>
      </c>
      <c r="M676" s="7" t="s">
        <v>921</v>
      </c>
      <c r="N676" s="7"/>
      <c r="O676" s="7">
        <v>97442.0</v>
      </c>
      <c r="P676" s="7" t="s">
        <v>33</v>
      </c>
      <c r="Q676" s="7" t="s">
        <v>1396</v>
      </c>
      <c r="R676" s="7"/>
      <c r="S676" s="7"/>
      <c r="T676" s="7" t="s">
        <v>8308</v>
      </c>
      <c r="U676" s="7" t="s">
        <v>424</v>
      </c>
      <c r="V676" s="7"/>
      <c r="W676" s="7">
        <v>6.92444717E8</v>
      </c>
      <c r="X676" s="7"/>
      <c r="Y676" s="7"/>
      <c r="Z676" s="7" t="s">
        <v>922</v>
      </c>
      <c r="AA676" s="7">
        <v>10.0</v>
      </c>
      <c r="AB676" s="7"/>
      <c r="AC676" s="7"/>
      <c r="AD676" s="7" t="s">
        <v>8309</v>
      </c>
      <c r="AE676" s="7"/>
      <c r="AF676" s="7"/>
      <c r="AG676" s="7" t="s">
        <v>597</v>
      </c>
      <c r="AH676" s="7"/>
      <c r="AI676" s="7"/>
      <c r="AJ676" s="7" t="s">
        <v>8310</v>
      </c>
      <c r="AK676" s="7"/>
      <c r="AL676" s="7"/>
      <c r="AM676" s="7" t="s">
        <v>928</v>
      </c>
      <c r="AN676" s="7"/>
      <c r="AO676" s="7">
        <v>97442.0</v>
      </c>
      <c r="AP676" s="7" t="s">
        <v>884</v>
      </c>
      <c r="AQ676" s="7"/>
      <c r="AR676" s="7"/>
      <c r="AS676" s="7"/>
      <c r="AT676" s="7"/>
      <c r="AU676" s="7"/>
      <c r="AV676" s="7" t="s">
        <v>8311</v>
      </c>
      <c r="AW676" s="7"/>
      <c r="AX676" s="7"/>
      <c r="AY676" s="7"/>
      <c r="AZ676" s="7"/>
      <c r="BA676" s="7"/>
      <c r="BB676" s="7"/>
      <c r="BC676" s="7" t="s">
        <v>401</v>
      </c>
      <c r="BD676" s="7"/>
      <c r="BE676" s="7"/>
      <c r="BF676" s="7"/>
      <c r="BG676" s="7"/>
      <c r="BH676" s="7"/>
      <c r="BI676" s="7" t="s">
        <v>4044</v>
      </c>
      <c r="BJ676" s="7"/>
      <c r="BK676" s="7" t="b">
        <v>0</v>
      </c>
      <c r="BL676" s="7" t="b">
        <v>0</v>
      </c>
      <c r="BM676" s="7"/>
      <c r="BN676" s="7" t="str">
        <f>IFERROR(__xludf.DUMMYFUNCTION(" IF( REGEXMATCH(C676 , ""[(].+[)]""),REGEXREPLACE( CONCATENATE(REGEXEXTRACT(C676 , ""[(].+[)]""),IF(REGEXMATCH(C676 , ""[(][Ll]['’][)]""),"""","" ""), REGEXEXTRACT(C676 ,""^(?:(?:[A-Za-zàäéèêîïöôûü0-9 ](?:[A-Za-zàäéèêîïöôûü'0-9 ]+)))"")) , ""[()]"", """")"&amp;",C676 )"),"Atmosphère Péi")</f>
        <v>Atmosphère Péi</v>
      </c>
      <c r="BO676" s="25"/>
      <c r="BP676" s="7"/>
      <c r="BQ676" s="7"/>
      <c r="BR676" s="7"/>
      <c r="BS676" s="7"/>
      <c r="BT676" s="7"/>
      <c r="BU676" s="7"/>
      <c r="BV676" s="7"/>
      <c r="BW676" s="7"/>
      <c r="BX676" s="7"/>
      <c r="BY676" s="7"/>
      <c r="BZ676" s="7"/>
      <c r="CA676" s="7"/>
      <c r="CB676" s="7"/>
    </row>
    <row r="677" ht="21.75" customHeight="1">
      <c r="A677" s="7"/>
      <c r="B677" s="7" t="s">
        <v>8312</v>
      </c>
      <c r="C677" s="7" t="s">
        <v>8313</v>
      </c>
      <c r="D677" s="7"/>
      <c r="E677" s="7"/>
      <c r="F677" s="7"/>
      <c r="G677" s="7" t="s">
        <v>343</v>
      </c>
      <c r="H677" s="7" t="s">
        <v>40</v>
      </c>
      <c r="I677" s="7" t="s">
        <v>8314</v>
      </c>
      <c r="J677" s="26" t="s">
        <v>8315</v>
      </c>
      <c r="K677" s="6" t="s">
        <v>469</v>
      </c>
      <c r="L677" s="7" t="s">
        <v>197</v>
      </c>
      <c r="M677" s="7"/>
      <c r="N677" s="7"/>
      <c r="O677" s="7">
        <v>97414.0</v>
      </c>
      <c r="P677" s="7" t="s">
        <v>40</v>
      </c>
      <c r="Q677" s="7"/>
      <c r="R677" s="7"/>
      <c r="S677" s="7"/>
      <c r="T677" s="7"/>
      <c r="U677" s="7"/>
      <c r="V677" s="7"/>
      <c r="W677" s="7">
        <v>6.92255248E8</v>
      </c>
      <c r="X677" s="7"/>
      <c r="Y677" s="7"/>
      <c r="Z677" s="7" t="s">
        <v>8316</v>
      </c>
      <c r="AA677" s="7"/>
      <c r="AB677" s="7"/>
      <c r="AC677" s="7"/>
      <c r="AD677" s="7" t="s">
        <v>8317</v>
      </c>
      <c r="AE677" s="7"/>
      <c r="AF677" s="7"/>
      <c r="AG677" s="7"/>
      <c r="AH677" s="20">
        <v>41275.0</v>
      </c>
      <c r="AI677" s="7"/>
      <c r="AJ677" s="7" t="s">
        <v>8318</v>
      </c>
      <c r="AK677" s="7"/>
      <c r="AL677" s="7"/>
      <c r="AM677" s="7" t="s">
        <v>8319</v>
      </c>
      <c r="AN677" s="7"/>
      <c r="AO677" s="7"/>
      <c r="AP677" s="7"/>
      <c r="AQ677" s="7"/>
      <c r="AR677" s="7"/>
      <c r="AS677" s="7"/>
      <c r="AT677" s="7"/>
      <c r="AU677" s="7"/>
      <c r="AV677" s="7" t="s">
        <v>8320</v>
      </c>
      <c r="AW677" s="7"/>
      <c r="AX677" s="7"/>
      <c r="AY677" s="7"/>
      <c r="AZ677" s="7"/>
      <c r="BA677" s="7"/>
      <c r="BB677" s="7"/>
      <c r="BC677" s="7" t="s">
        <v>401</v>
      </c>
      <c r="BD677" s="7"/>
      <c r="BE677" s="7"/>
      <c r="BF677" s="7"/>
      <c r="BG677" s="7"/>
      <c r="BH677" s="7"/>
      <c r="BI677" s="7" t="s">
        <v>8321</v>
      </c>
      <c r="BJ677" s="7"/>
      <c r="BK677" s="7" t="b">
        <v>0</v>
      </c>
      <c r="BL677" s="7" t="b">
        <v>0</v>
      </c>
      <c r="BM677" s="7"/>
      <c r="BN677" s="7" t="str">
        <f>IFERROR(__xludf.DUMMYFUNCTION(" IF( REGEXMATCH(C677 , ""[(].+[)]""),REGEXREPLACE( CONCATENATE(REGEXEXTRACT(C677 , ""[(].+[)]""),IF(REGEXMATCH(C677 , ""[(][Ll]['’][)]""),"""","" ""), REGEXEXTRACT(C677 ,""^(?:(?:[A-Za-zàäéèêîïöôûü0-9 ](?:[A-Za-zàäéèêîïöôûü'0-9 ]+)))"")) , ""[()]"", """")"&amp;",C677 )"),"Au bonheur du miel")</f>
        <v>Au bonheur du miel</v>
      </c>
      <c r="BO677" s="25"/>
      <c r="BP677" s="7"/>
      <c r="BQ677" s="7"/>
      <c r="BR677" s="7"/>
      <c r="BS677" s="7"/>
      <c r="BT677" s="7"/>
      <c r="BU677" s="7"/>
      <c r="BV677" s="7"/>
      <c r="BW677" s="7"/>
      <c r="BX677" s="7"/>
      <c r="BY677" s="7"/>
      <c r="BZ677" s="7"/>
      <c r="CA677" s="7"/>
      <c r="CB677" s="7"/>
    </row>
    <row r="678" ht="21.75" customHeight="1">
      <c r="A678" s="7"/>
      <c r="B678" s="7" t="s">
        <v>8322</v>
      </c>
      <c r="C678" s="7" t="s">
        <v>8323</v>
      </c>
      <c r="D678" s="7"/>
      <c r="E678" s="7"/>
      <c r="F678" s="7"/>
      <c r="G678" s="7" t="s">
        <v>343</v>
      </c>
      <c r="H678" s="7" t="s">
        <v>123</v>
      </c>
      <c r="I678" s="7" t="s">
        <v>8324</v>
      </c>
      <c r="J678" s="7"/>
      <c r="K678" s="7" t="s">
        <v>34</v>
      </c>
      <c r="L678" s="7" t="s">
        <v>485</v>
      </c>
      <c r="M678" s="7" t="s">
        <v>486</v>
      </c>
      <c r="N678" s="7"/>
      <c r="O678" s="7">
        <v>97480.0</v>
      </c>
      <c r="P678" s="7" t="s">
        <v>123</v>
      </c>
      <c r="Q678" s="7" t="s">
        <v>8325</v>
      </c>
      <c r="R678" s="7"/>
      <c r="S678" s="7"/>
      <c r="T678" s="7" t="s">
        <v>377</v>
      </c>
      <c r="U678" s="7" t="s">
        <v>353</v>
      </c>
      <c r="V678" s="7">
        <v>2.62942484E8</v>
      </c>
      <c r="W678" s="7">
        <v>6.92273511E8</v>
      </c>
      <c r="X678" s="7"/>
      <c r="Y678" s="7"/>
      <c r="Z678" s="7" t="s">
        <v>8326</v>
      </c>
      <c r="AA678" s="7">
        <v>40.0</v>
      </c>
      <c r="AB678" s="7"/>
      <c r="AC678" s="7"/>
      <c r="AD678" s="7"/>
      <c r="AE678" s="7"/>
      <c r="AF678" s="7"/>
      <c r="AG678" s="7"/>
      <c r="AH678" s="20">
        <v>42370.0</v>
      </c>
      <c r="AI678" s="7"/>
      <c r="AJ678" s="7" t="s">
        <v>8327</v>
      </c>
      <c r="AK678" s="7">
        <v>7.4983348900018E13</v>
      </c>
      <c r="AL678" s="7"/>
      <c r="AM678" s="7" t="s">
        <v>8328</v>
      </c>
      <c r="AN678" s="7"/>
      <c r="AO678" s="7"/>
      <c r="AP678" s="7"/>
      <c r="AQ678" s="7"/>
      <c r="AR678" s="7"/>
      <c r="AS678" s="7"/>
      <c r="AT678" s="7"/>
      <c r="AU678" s="7"/>
      <c r="AV678" s="7" t="s">
        <v>8329</v>
      </c>
      <c r="AW678" s="7"/>
      <c r="AX678" s="7"/>
      <c r="AY678" s="7"/>
      <c r="AZ678" s="7"/>
      <c r="BA678" s="7"/>
      <c r="BB678" s="7"/>
      <c r="BC678" s="7" t="s">
        <v>401</v>
      </c>
      <c r="BD678" s="7"/>
      <c r="BE678" s="7"/>
      <c r="BF678" s="7"/>
      <c r="BG678" s="7"/>
      <c r="BH678" s="7">
        <v>7.49833489E8</v>
      </c>
      <c r="BI678" s="7" t="s">
        <v>8330</v>
      </c>
      <c r="BJ678" s="7"/>
      <c r="BK678" s="7" t="b">
        <v>0</v>
      </c>
      <c r="BL678" s="7" t="b">
        <v>0</v>
      </c>
      <c r="BM678" s="7"/>
      <c r="BN678" s="7" t="str">
        <f>IFERROR(__xludf.DUMMYFUNCTION(" IF( REGEXMATCH(C678 , ""[(].+[)]""),REGEXREPLACE( CONCATENATE(REGEXEXTRACT(C678 , ""[(].+[)]""),IF(REGEXMATCH(C678 , ""[(][Ll]['’][)]""),"""","" ""), REGEXEXTRACT(C678 ,""^(?:(?:[A-Za-zàäéèêîïöôûü0-9 ](?:[A-Za-zàäéèêîïöôûü'0-9 ]+)))"")) , ""[()]"", """")"&amp;",C678 )"),"Au bord de la falaise")</f>
        <v>Au bord de la falaise</v>
      </c>
      <c r="BO678" s="25"/>
      <c r="BP678" s="7"/>
      <c r="BQ678" s="7"/>
      <c r="BR678" s="7"/>
      <c r="BS678" s="7"/>
      <c r="BT678" s="7"/>
      <c r="BU678" s="7"/>
      <c r="BV678" s="7"/>
      <c r="BW678" s="7"/>
      <c r="BX678" s="7"/>
      <c r="BY678" s="7"/>
      <c r="BZ678" s="7"/>
      <c r="CA678" s="7"/>
      <c r="CB678" s="7"/>
    </row>
    <row r="679" ht="21.75" customHeight="1">
      <c r="A679" s="7"/>
      <c r="B679" s="7" t="s">
        <v>8331</v>
      </c>
      <c r="C679" s="7" t="s">
        <v>8332</v>
      </c>
      <c r="D679" s="7"/>
      <c r="E679" s="7"/>
      <c r="F679" s="7"/>
      <c r="G679" s="7" t="s">
        <v>343</v>
      </c>
      <c r="H679" s="7" t="s">
        <v>123</v>
      </c>
      <c r="I679" s="7" t="s">
        <v>8333</v>
      </c>
      <c r="J679" s="7"/>
      <c r="K679" s="7" t="s">
        <v>58</v>
      </c>
      <c r="L679" s="7" t="s">
        <v>59</v>
      </c>
      <c r="M679" s="7" t="s">
        <v>346</v>
      </c>
      <c r="N679" s="7"/>
      <c r="O679" s="7">
        <v>97480.0</v>
      </c>
      <c r="P679" s="7" t="s">
        <v>123</v>
      </c>
      <c r="Q679" s="7" t="s">
        <v>4456</v>
      </c>
      <c r="R679" s="7" t="s">
        <v>801</v>
      </c>
      <c r="S679" s="7"/>
      <c r="T679" s="7" t="s">
        <v>377</v>
      </c>
      <c r="U679" s="7" t="s">
        <v>424</v>
      </c>
      <c r="V679" s="7"/>
      <c r="W679" s="7">
        <v>6.92068575E8</v>
      </c>
      <c r="X679" s="7"/>
      <c r="Y679" s="7"/>
      <c r="Z679" s="7" t="s">
        <v>8334</v>
      </c>
      <c r="AA679" s="7">
        <v>5.0</v>
      </c>
      <c r="AB679" s="7"/>
      <c r="AC679" s="7"/>
      <c r="AD679" s="7" t="s">
        <v>8335</v>
      </c>
      <c r="AE679" s="7"/>
      <c r="AF679" s="7"/>
      <c r="AG679" s="7"/>
      <c r="AH679" s="20">
        <v>43466.0</v>
      </c>
      <c r="AI679" s="7"/>
      <c r="AJ679" s="7" t="s">
        <v>8336</v>
      </c>
      <c r="AK679" s="7">
        <v>8.8033915500017E13</v>
      </c>
      <c r="AL679" s="7" t="s">
        <v>8333</v>
      </c>
      <c r="AM679" s="7" t="s">
        <v>8337</v>
      </c>
      <c r="AN679" s="7"/>
      <c r="AO679" s="7"/>
      <c r="AP679" s="7"/>
      <c r="AQ679" s="7"/>
      <c r="AR679" s="7"/>
      <c r="AS679" s="7"/>
      <c r="AT679" s="7"/>
      <c r="AU679" s="7"/>
      <c r="AV679" s="7" t="s">
        <v>8338</v>
      </c>
      <c r="AW679" s="7"/>
      <c r="AX679" s="7"/>
      <c r="AY679" s="7"/>
      <c r="AZ679" s="7" t="s">
        <v>8339</v>
      </c>
      <c r="BA679" s="7"/>
      <c r="BB679" s="7"/>
      <c r="BC679" s="7" t="s">
        <v>401</v>
      </c>
      <c r="BD679" s="7"/>
      <c r="BE679" s="7"/>
      <c r="BF679" s="7"/>
      <c r="BG679" s="7"/>
      <c r="BH679" s="7">
        <v>8.80339155E8</v>
      </c>
      <c r="BI679" s="7" t="s">
        <v>8340</v>
      </c>
      <c r="BJ679" s="7"/>
      <c r="BK679" s="7" t="b">
        <v>0</v>
      </c>
      <c r="BL679" s="7" t="b">
        <v>0</v>
      </c>
      <c r="BM679" s="7"/>
      <c r="BN679" s="7" t="str">
        <f>IFERROR(__xludf.DUMMYFUNCTION(" IF( REGEXMATCH(C679 , ""[(].+[)]""),REGEXREPLACE( CONCATENATE(REGEXEXTRACT(C679 , ""[(].+[)]""),IF(REGEXMATCH(C679 , ""[(][Ll]['’][)]""),"""","" ""), REGEXEXTRACT(C679 ,""^(?:(?:[A-Za-zàäéèêîïöôûü0-9 ](?:[A-Za-zàäéèêîïöôûü'0-9 ]+)))"")) , ""[()]"", """")"&amp;",C679 )"),"Au cœur du Safran")</f>
        <v>Au cœur du Safran</v>
      </c>
      <c r="BO679" s="25"/>
      <c r="BP679" s="7"/>
      <c r="BQ679" s="7"/>
      <c r="BR679" s="7"/>
      <c r="BS679" s="7"/>
      <c r="BT679" s="7"/>
      <c r="BU679" s="7"/>
      <c r="BV679" s="7"/>
      <c r="BW679" s="7"/>
      <c r="BX679" s="7"/>
      <c r="BY679" s="7"/>
      <c r="BZ679" s="7"/>
      <c r="CA679" s="7"/>
      <c r="CB679" s="7"/>
    </row>
    <row r="680" ht="21.75" customHeight="1">
      <c r="A680" s="7"/>
      <c r="B680" s="7" t="s">
        <v>8341</v>
      </c>
      <c r="C680" s="7" t="s">
        <v>8342</v>
      </c>
      <c r="D680" s="7"/>
      <c r="E680" s="7"/>
      <c r="F680" s="7"/>
      <c r="G680" s="7" t="s">
        <v>343</v>
      </c>
      <c r="H680" s="7" t="s">
        <v>40</v>
      </c>
      <c r="I680" s="7" t="s">
        <v>8343</v>
      </c>
      <c r="J680" s="7"/>
      <c r="K680" s="7" t="s">
        <v>58</v>
      </c>
      <c r="L680" s="7" t="s">
        <v>453</v>
      </c>
      <c r="M680" s="7" t="s">
        <v>454</v>
      </c>
      <c r="N680" s="7"/>
      <c r="O680" s="7">
        <v>97414.0</v>
      </c>
      <c r="P680" s="7" t="s">
        <v>40</v>
      </c>
      <c r="Q680" s="7" t="s">
        <v>8344</v>
      </c>
      <c r="R680" s="7" t="s">
        <v>8345</v>
      </c>
      <c r="S680" s="7"/>
      <c r="T680" s="7"/>
      <c r="U680" s="7"/>
      <c r="V680" s="7">
        <v>2.62496459E8</v>
      </c>
      <c r="W680" s="7">
        <v>6.93062521E8</v>
      </c>
      <c r="X680" s="7"/>
      <c r="Y680" s="7"/>
      <c r="Z680" s="7" t="s">
        <v>8346</v>
      </c>
      <c r="AA680" s="7">
        <v>4.0</v>
      </c>
      <c r="AB680" s="7"/>
      <c r="AC680" s="7"/>
      <c r="AD680" s="7"/>
      <c r="AE680" s="7"/>
      <c r="AF680" s="7"/>
      <c r="AG680" s="7"/>
      <c r="AH680" s="20">
        <v>42370.0</v>
      </c>
      <c r="AI680" s="7"/>
      <c r="AJ680" s="7" t="s">
        <v>8347</v>
      </c>
      <c r="AK680" s="7">
        <v>8.2942845700016E13</v>
      </c>
      <c r="AL680" s="7" t="s">
        <v>8348</v>
      </c>
      <c r="AM680" s="7" t="s">
        <v>8349</v>
      </c>
      <c r="AN680" s="7"/>
      <c r="AO680" s="7">
        <v>97414.0</v>
      </c>
      <c r="AP680" s="7" t="s">
        <v>385</v>
      </c>
      <c r="AQ680" s="7"/>
      <c r="AR680" s="7"/>
      <c r="AS680" s="7"/>
      <c r="AT680" s="7"/>
      <c r="AU680" s="7">
        <v>1.0</v>
      </c>
      <c r="AV680" s="7" t="s">
        <v>4237</v>
      </c>
      <c r="AW680" s="7"/>
      <c r="AX680" s="7"/>
      <c r="AY680" s="7"/>
      <c r="AZ680" s="7" t="s">
        <v>8350</v>
      </c>
      <c r="BA680" s="7"/>
      <c r="BB680" s="7"/>
      <c r="BC680" s="7" t="s">
        <v>401</v>
      </c>
      <c r="BD680" s="7"/>
      <c r="BE680" s="7"/>
      <c r="BF680" s="7"/>
      <c r="BG680" s="7"/>
      <c r="BH680" s="7">
        <v>8.29428457E8</v>
      </c>
      <c r="BI680" s="7" t="s">
        <v>1786</v>
      </c>
      <c r="BJ680" s="7"/>
      <c r="BK680" s="7" t="b">
        <v>0</v>
      </c>
      <c r="BL680" s="7" t="b">
        <v>0</v>
      </c>
      <c r="BM680" s="7"/>
      <c r="BN680" s="7" t="str">
        <f>IFERROR(__xludf.DUMMYFUNCTION(" IF( REGEXMATCH(C680 , ""[(].+[)]""),REGEXREPLACE( CONCATENATE(REGEXEXTRACT(C680 , ""[(].+[)]""),IF(REGEXMATCH(C680 , ""[(][Ll]['’][)]""),"""","" ""), REGEXEXTRACT(C680 ,""^(?:(?:[A-Za-zàäéèêîïöôûü0-9 ](?:[A-Za-zàäéèêîïöôûü'0-9 ]+)))"")) , ""[()]"", """")"&amp;",C680 )"),"Au Petit Bonheur")</f>
        <v>Au Petit Bonheur</v>
      </c>
      <c r="BO680" s="25"/>
      <c r="BP680" s="7"/>
      <c r="BQ680" s="7"/>
      <c r="BR680" s="7"/>
      <c r="BS680" s="7"/>
      <c r="BT680" s="7"/>
      <c r="BU680" s="7"/>
      <c r="BV680" s="7"/>
      <c r="BW680" s="7"/>
      <c r="BX680" s="7"/>
      <c r="BY680" s="7"/>
      <c r="BZ680" s="7"/>
      <c r="CA680" s="7"/>
      <c r="CB680" s="7"/>
    </row>
    <row r="681" ht="21.75" customHeight="1">
      <c r="A681" s="7"/>
      <c r="B681" s="7" t="s">
        <v>8351</v>
      </c>
      <c r="C681" s="7" t="s">
        <v>8352</v>
      </c>
      <c r="D681" s="7"/>
      <c r="E681" s="7"/>
      <c r="F681" s="7"/>
      <c r="G681" s="7" t="s">
        <v>343</v>
      </c>
      <c r="H681" s="7" t="s">
        <v>33</v>
      </c>
      <c r="I681" s="7" t="s">
        <v>8353</v>
      </c>
      <c r="J681" s="7"/>
      <c r="K681" s="7" t="s">
        <v>58</v>
      </c>
      <c r="L681" s="7" t="s">
        <v>59</v>
      </c>
      <c r="M681" s="7" t="s">
        <v>346</v>
      </c>
      <c r="N681" s="7" t="s">
        <v>375</v>
      </c>
      <c r="O681" s="7">
        <v>97442.0</v>
      </c>
      <c r="P681" s="7" t="s">
        <v>33</v>
      </c>
      <c r="Q681" s="7"/>
      <c r="R681" s="7" t="s">
        <v>8354</v>
      </c>
      <c r="S681" s="7" t="s">
        <v>8355</v>
      </c>
      <c r="T681" s="7"/>
      <c r="U681" s="7" t="s">
        <v>592</v>
      </c>
      <c r="V681" s="7"/>
      <c r="W681" s="7">
        <v>6.9252127E8</v>
      </c>
      <c r="X681" s="7"/>
      <c r="Y681" s="7"/>
      <c r="Z681" s="7" t="s">
        <v>8356</v>
      </c>
      <c r="AA681" s="7">
        <v>12.0</v>
      </c>
      <c r="AB681" s="7"/>
      <c r="AC681" s="7"/>
      <c r="AD681" s="7" t="s">
        <v>8357</v>
      </c>
      <c r="AE681" s="7"/>
      <c r="AF681" s="7"/>
      <c r="AG681" s="7"/>
      <c r="AH681" s="7"/>
      <c r="AI681" s="7"/>
      <c r="AJ681" s="7" t="s">
        <v>8358</v>
      </c>
      <c r="AK681" s="7">
        <v>8.8018903800015E13</v>
      </c>
      <c r="AL681" s="7" t="s">
        <v>8353</v>
      </c>
      <c r="AM681" s="7"/>
      <c r="AN681" s="7"/>
      <c r="AO681" s="7"/>
      <c r="AP681" s="7"/>
      <c r="AQ681" s="7"/>
      <c r="AR681" s="7"/>
      <c r="AS681" s="7"/>
      <c r="AT681" s="7"/>
      <c r="AU681" s="7">
        <v>1.0</v>
      </c>
      <c r="AV681" s="7" t="s">
        <v>8359</v>
      </c>
      <c r="AW681" s="7"/>
      <c r="AX681" s="7"/>
      <c r="AY681" s="7"/>
      <c r="AZ681" s="7"/>
      <c r="BA681" s="7"/>
      <c r="BB681" s="7"/>
      <c r="BC681" s="7" t="s">
        <v>401</v>
      </c>
      <c r="BD681" s="7"/>
      <c r="BE681" s="7"/>
      <c r="BF681" s="7"/>
      <c r="BG681" s="7"/>
      <c r="BH681" s="7">
        <v>8.80189038E8</v>
      </c>
      <c r="BI681" s="7" t="s">
        <v>8360</v>
      </c>
      <c r="BJ681" s="7"/>
      <c r="BK681" s="7" t="b">
        <v>0</v>
      </c>
      <c r="BL681" s="7" t="b">
        <v>0</v>
      </c>
      <c r="BM681" s="7"/>
      <c r="BN681" s="7" t="str">
        <f>IFERROR(__xludf.DUMMYFUNCTION(" IF( REGEXMATCH(C681 , ""[(].+[)]""),REGEXREPLACE( CONCATENATE(REGEXEXTRACT(C681 , ""[(].+[)]""),IF(REGEXMATCH(C681 , ""[(][Ll]['’][)]""),"""","" ""), REGEXEXTRACT(C681 ,""^(?:(?:[A-Za-zàäéèêîïöôûü0-9 ](?:[A-Za-zàäéèêîïöôûü'0-9 ]+)))"")) , ""[()]"", """")"&amp;",C681 )"),"Au QG J&amp;J")</f>
        <v>Au QG J&amp;J</v>
      </c>
      <c r="BO681" s="25"/>
      <c r="BP681" s="7"/>
      <c r="BQ681" s="7"/>
      <c r="BR681" s="7"/>
      <c r="BS681" s="7"/>
      <c r="BT681" s="7"/>
      <c r="BU681" s="7"/>
      <c r="BV681" s="7"/>
      <c r="BW681" s="7"/>
      <c r="BX681" s="7"/>
      <c r="BY681" s="7"/>
      <c r="BZ681" s="7"/>
      <c r="CA681" s="7"/>
      <c r="CB681" s="7"/>
    </row>
    <row r="682" ht="21.75" customHeight="1">
      <c r="A682" s="7"/>
      <c r="B682" s="7" t="s">
        <v>8361</v>
      </c>
      <c r="C682" s="7" t="s">
        <v>8362</v>
      </c>
      <c r="D682" s="7"/>
      <c r="E682" s="7"/>
      <c r="F682" s="7"/>
      <c r="G682" s="7" t="s">
        <v>343</v>
      </c>
      <c r="H682" s="7" t="s">
        <v>123</v>
      </c>
      <c r="I682" s="7" t="s">
        <v>8363</v>
      </c>
      <c r="J682" s="7"/>
      <c r="K682" s="7" t="s">
        <v>1198</v>
      </c>
      <c r="L682" s="7"/>
      <c r="M682" s="7"/>
      <c r="N682" s="7"/>
      <c r="O682" s="7">
        <v>97480.0</v>
      </c>
      <c r="P682" s="7" t="s">
        <v>123</v>
      </c>
      <c r="Q682" s="7" t="s">
        <v>8364</v>
      </c>
      <c r="R682" s="7"/>
      <c r="S682" s="7"/>
      <c r="T682" s="7"/>
      <c r="U682" s="7"/>
      <c r="V682" s="7"/>
      <c r="W682" s="7">
        <v>6.92300577E8</v>
      </c>
      <c r="X682" s="7"/>
      <c r="Y682" s="7"/>
      <c r="Z682" s="7" t="s">
        <v>8365</v>
      </c>
      <c r="AA682" s="7">
        <v>8.0</v>
      </c>
      <c r="AB682" s="7"/>
      <c r="AC682" s="7"/>
      <c r="AD682" s="7" t="s">
        <v>8366</v>
      </c>
      <c r="AE682" s="7"/>
      <c r="AF682" s="7"/>
      <c r="AG682" s="7"/>
      <c r="AH682" s="7"/>
      <c r="AI682" s="7"/>
      <c r="AJ682" s="7" t="s">
        <v>8367</v>
      </c>
      <c r="AK682" s="7">
        <v>8.1142979400019E13</v>
      </c>
      <c r="AL682" s="7"/>
      <c r="AM682" s="7" t="s">
        <v>8368</v>
      </c>
      <c r="AN682" s="7"/>
      <c r="AO682" s="7"/>
      <c r="AP682" s="7"/>
      <c r="AQ682" s="7"/>
      <c r="AR682" s="7"/>
      <c r="AS682" s="7"/>
      <c r="AT682" s="7"/>
      <c r="AU682" s="7"/>
      <c r="AV682" s="7" t="s">
        <v>8369</v>
      </c>
      <c r="AW682" s="7"/>
      <c r="AX682" s="7"/>
      <c r="AY682" s="7"/>
      <c r="AZ682" s="7"/>
      <c r="BA682" s="7"/>
      <c r="BB682" s="7"/>
      <c r="BC682" s="7" t="s">
        <v>401</v>
      </c>
      <c r="BD682" s="7"/>
      <c r="BE682" s="7"/>
      <c r="BF682" s="7"/>
      <c r="BG682" s="7"/>
      <c r="BH682" s="7">
        <v>8.11429794E8</v>
      </c>
      <c r="BI682" s="7" t="s">
        <v>2384</v>
      </c>
      <c r="BJ682" s="7"/>
      <c r="BK682" s="7" t="b">
        <v>0</v>
      </c>
      <c r="BL682" s="7" t="b">
        <v>0</v>
      </c>
      <c r="BM682" s="7"/>
      <c r="BN682" s="7" t="str">
        <f>IFERROR(__xludf.DUMMYFUNCTION(" IF( REGEXMATCH(C682 , ""[(].+[)]""),REGEXREPLACE( CONCATENATE(REGEXEXTRACT(C682 , ""[(].+[)]""),IF(REGEXMATCH(C682 , ""[(][Ll]['’][)]""),"""","" ""), REGEXEXTRACT(C682 ,""^(?:(?:[A-Za-zàäéèêîïöôûü0-9 ](?:[A-Za-zàäéèêîïöôûü'0-9 ]+)))"")) , ""[()]"", """")"&amp;",C682 )"),"Au temps pour vous")</f>
        <v>Au temps pour vous</v>
      </c>
      <c r="BO682" s="25"/>
      <c r="BP682" s="7"/>
      <c r="BQ682" s="7"/>
      <c r="BR682" s="7"/>
      <c r="BS682" s="7"/>
      <c r="BT682" s="7"/>
      <c r="BU682" s="7"/>
      <c r="BV682" s="7"/>
      <c r="BW682" s="7"/>
      <c r="BX682" s="7"/>
      <c r="BY682" s="7"/>
      <c r="BZ682" s="7"/>
      <c r="CA682" s="7"/>
      <c r="CB682" s="7"/>
    </row>
    <row r="683" ht="21.75" customHeight="1">
      <c r="A683" s="7"/>
      <c r="B683" s="7" t="s">
        <v>8370</v>
      </c>
      <c r="C683" s="7" t="s">
        <v>8371</v>
      </c>
      <c r="D683" s="7"/>
      <c r="E683" s="7"/>
      <c r="F683" s="7"/>
      <c r="G683" s="7" t="s">
        <v>343</v>
      </c>
      <c r="H683" s="7" t="s">
        <v>123</v>
      </c>
      <c r="I683" s="7" t="s">
        <v>8372</v>
      </c>
      <c r="J683" s="7"/>
      <c r="K683" s="7" t="s">
        <v>58</v>
      </c>
      <c r="L683" s="7" t="s">
        <v>453</v>
      </c>
      <c r="M683" s="7" t="s">
        <v>454</v>
      </c>
      <c r="N683" s="7"/>
      <c r="O683" s="7">
        <v>97480.0</v>
      </c>
      <c r="P683" s="7" t="s">
        <v>123</v>
      </c>
      <c r="Q683" s="7" t="s">
        <v>8373</v>
      </c>
      <c r="R683" s="7"/>
      <c r="S683" s="7"/>
      <c r="T683" s="7"/>
      <c r="U683" s="7"/>
      <c r="V683" s="7">
        <v>2.62372027E8</v>
      </c>
      <c r="W683" s="7"/>
      <c r="X683" s="7"/>
      <c r="Y683" s="7"/>
      <c r="Z683" s="7" t="s">
        <v>3771</v>
      </c>
      <c r="AA683" s="7">
        <v>18.0</v>
      </c>
      <c r="AB683" s="7"/>
      <c r="AC683" s="7"/>
      <c r="AD683" s="7" t="s">
        <v>8374</v>
      </c>
      <c r="AE683" s="7" t="s">
        <v>8375</v>
      </c>
      <c r="AF683" s="7"/>
      <c r="AG683" s="7"/>
      <c r="AH683" s="20">
        <v>35065.0</v>
      </c>
      <c r="AI683" s="7"/>
      <c r="AJ683" s="7" t="s">
        <v>8376</v>
      </c>
      <c r="AK683" s="7">
        <v>4.2181946700018E13</v>
      </c>
      <c r="AL683" s="7" t="s">
        <v>8372</v>
      </c>
      <c r="AM683" s="7" t="s">
        <v>8377</v>
      </c>
      <c r="AN683" s="7"/>
      <c r="AO683" s="7"/>
      <c r="AP683" s="7"/>
      <c r="AQ683" s="7"/>
      <c r="AR683" s="7"/>
      <c r="AS683" s="7"/>
      <c r="AT683" s="7"/>
      <c r="AU683" s="7"/>
      <c r="AV683" s="7" t="s">
        <v>8378</v>
      </c>
      <c r="AW683" s="7"/>
      <c r="AX683" s="7"/>
      <c r="AY683" s="7"/>
      <c r="AZ683" s="7" t="s">
        <v>8379</v>
      </c>
      <c r="BA683" s="7"/>
      <c r="BB683" s="7"/>
      <c r="BC683" s="7" t="s">
        <v>401</v>
      </c>
      <c r="BD683" s="7"/>
      <c r="BE683" s="7"/>
      <c r="BF683" s="7"/>
      <c r="BG683" s="7"/>
      <c r="BH683" s="7">
        <v>4.21819467E8</v>
      </c>
      <c r="BI683" s="7" t="s">
        <v>3779</v>
      </c>
      <c r="BJ683" s="7"/>
      <c r="BK683" s="7" t="b">
        <v>0</v>
      </c>
      <c r="BL683" s="7" t="b">
        <v>0</v>
      </c>
      <c r="BM683" s="7"/>
      <c r="BN683" s="7" t="str">
        <f>IFERROR(__xludf.DUMMYFUNCTION(" IF( REGEXMATCH(C683 , ""[(].+[)]""),REGEXREPLACE( CONCATENATE(REGEXEXTRACT(C683 , ""[(].+[)]""),IF(REGEXMATCH(C683 , ""[(][Ll]['’][)]""),"""","" ""), REGEXEXTRACT(C683 ,""^(?:(?:[A-Za-zàäéèêîïöôûü0-9 ](?:[A-Za-zàäéèêîïöôûü'0-9 ]+)))"")) , ""[()]"", """")"&amp;",C683 )"),"Auberge Desprairies")</f>
        <v>Auberge Desprairies</v>
      </c>
      <c r="BO683" s="25"/>
      <c r="BP683" s="7"/>
      <c r="BQ683" s="7"/>
      <c r="BR683" s="7"/>
      <c r="BS683" s="7"/>
      <c r="BT683" s="7"/>
      <c r="BU683" s="7"/>
      <c r="BV683" s="7"/>
      <c r="BW683" s="7"/>
      <c r="BX683" s="7"/>
      <c r="BY683" s="7"/>
      <c r="BZ683" s="7"/>
      <c r="CA683" s="7"/>
      <c r="CB683" s="7"/>
    </row>
    <row r="684" ht="21.75" customHeight="1">
      <c r="A684" s="7"/>
      <c r="B684" s="7" t="s">
        <v>8380</v>
      </c>
      <c r="C684" s="7" t="s">
        <v>8381</v>
      </c>
      <c r="D684" s="7"/>
      <c r="E684" s="7"/>
      <c r="F684" s="7"/>
      <c r="G684" s="7" t="s">
        <v>343</v>
      </c>
      <c r="H684" s="7" t="s">
        <v>123</v>
      </c>
      <c r="I684" s="7" t="s">
        <v>8382</v>
      </c>
      <c r="J684" s="7"/>
      <c r="K684" s="7" t="s">
        <v>34</v>
      </c>
      <c r="L684" s="7"/>
      <c r="M684" s="7" t="s">
        <v>1414</v>
      </c>
      <c r="N684" s="7"/>
      <c r="O684" s="7">
        <v>97480.0</v>
      </c>
      <c r="P684" s="7" t="s">
        <v>123</v>
      </c>
      <c r="Q684" s="7" t="s">
        <v>8383</v>
      </c>
      <c r="R684" s="7"/>
      <c r="S684" s="7"/>
      <c r="T684" s="7"/>
      <c r="U684" s="7"/>
      <c r="V684" s="7"/>
      <c r="W684" s="7">
        <v>6.92379378E8</v>
      </c>
      <c r="X684" s="7"/>
      <c r="Y684" s="7"/>
      <c r="Z684" s="7"/>
      <c r="AA684" s="7">
        <v>80.0</v>
      </c>
      <c r="AB684" s="7"/>
      <c r="AC684" s="7"/>
      <c r="AD684" s="7"/>
      <c r="AE684" s="7"/>
      <c r="AF684" s="7"/>
      <c r="AG684" s="7"/>
      <c r="AH684" s="7"/>
      <c r="AI684" s="7"/>
      <c r="AJ684" s="7" t="s">
        <v>8384</v>
      </c>
      <c r="AK684" s="7"/>
      <c r="AL684" s="7"/>
      <c r="AM684" s="7" t="s">
        <v>8385</v>
      </c>
      <c r="AN684" s="7"/>
      <c r="AO684" s="7"/>
      <c r="AP684" s="7"/>
      <c r="AQ684" s="7"/>
      <c r="AR684" s="7"/>
      <c r="AS684" s="7"/>
      <c r="AT684" s="7"/>
      <c r="AU684" s="7"/>
      <c r="AV684" s="7" t="s">
        <v>8386</v>
      </c>
      <c r="AW684" s="7"/>
      <c r="AX684" s="7"/>
      <c r="AY684" s="7"/>
      <c r="AZ684" s="7"/>
      <c r="BA684" s="7"/>
      <c r="BB684" s="7"/>
      <c r="BC684" s="7" t="s">
        <v>401</v>
      </c>
      <c r="BD684" s="7"/>
      <c r="BE684" s="7"/>
      <c r="BF684" s="7"/>
      <c r="BG684" s="7"/>
      <c r="BH684" s="7"/>
      <c r="BI684" s="7" t="s">
        <v>8387</v>
      </c>
      <c r="BJ684" s="7"/>
      <c r="BK684" s="7" t="b">
        <v>0</v>
      </c>
      <c r="BL684" s="7" t="b">
        <v>0</v>
      </c>
      <c r="BM684" s="7"/>
      <c r="BN684" s="7" t="str">
        <f>IFERROR(__xludf.DUMMYFUNCTION(" IF( REGEXMATCH(C684 , ""[(].+[)]""),REGEXREPLACE( CONCATENATE(REGEXEXTRACT(C684 , ""[(].+[)]""),IF(REGEXMATCH(C684 , ""[(][Ll]['’][)]""),"""","" ""), REGEXEXTRACT(C684 ,""^(?:(?:[A-Za-zàäéèêîïöôûü0-9 ](?:[A-Za-zàäéèêîïöôûü'0-9 ]+)))"")) , ""[()]"", """")"&amp;",C684 )"),"Auberge du Cissia")</f>
        <v>Auberge du Cissia</v>
      </c>
      <c r="BO684" s="25"/>
      <c r="BP684" s="7"/>
      <c r="BQ684" s="7"/>
      <c r="BR684" s="7"/>
      <c r="BS684" s="7"/>
      <c r="BT684" s="7"/>
      <c r="BU684" s="7"/>
      <c r="BV684" s="7"/>
      <c r="BW684" s="7"/>
      <c r="BX684" s="7"/>
      <c r="BY684" s="7"/>
      <c r="BZ684" s="7"/>
      <c r="CA684" s="7"/>
      <c r="CB684" s="7"/>
    </row>
    <row r="685" ht="21.75" customHeight="1">
      <c r="A685" s="7"/>
      <c r="B685" s="7" t="s">
        <v>8388</v>
      </c>
      <c r="C685" s="7" t="s">
        <v>8389</v>
      </c>
      <c r="D685" s="7"/>
      <c r="E685" s="7"/>
      <c r="F685" s="7"/>
      <c r="G685" s="7" t="s">
        <v>343</v>
      </c>
      <c r="H685" s="7" t="s">
        <v>123</v>
      </c>
      <c r="I685" s="7" t="s">
        <v>8390</v>
      </c>
      <c r="J685" s="7"/>
      <c r="K685" s="7" t="s">
        <v>34</v>
      </c>
      <c r="L685" s="7" t="s">
        <v>622</v>
      </c>
      <c r="M685" s="7"/>
      <c r="N685" s="7"/>
      <c r="O685" s="7">
        <v>97480.0</v>
      </c>
      <c r="P685" s="7" t="s">
        <v>123</v>
      </c>
      <c r="Q685" s="7"/>
      <c r="R685" s="7"/>
      <c r="S685" s="7"/>
      <c r="T685" s="7"/>
      <c r="U685" s="7"/>
      <c r="V685" s="7">
        <v>2.62886703E8</v>
      </c>
      <c r="W685" s="7">
        <v>6.92576464E8</v>
      </c>
      <c r="X685" s="7"/>
      <c r="Y685" s="7"/>
      <c r="Z685" s="7"/>
      <c r="AA685" s="7"/>
      <c r="AB685" s="7"/>
      <c r="AC685" s="7"/>
      <c r="AD685" s="7"/>
      <c r="AE685" s="7"/>
      <c r="AF685" s="7"/>
      <c r="AG685" s="7"/>
      <c r="AH685" s="7"/>
      <c r="AI685" s="7"/>
      <c r="AJ685" s="7"/>
      <c r="AK685" s="7"/>
      <c r="AL685" s="7"/>
      <c r="AM685" s="7">
        <v>6.92576464E8</v>
      </c>
      <c r="AN685" s="7"/>
      <c r="AO685" s="7"/>
      <c r="AP685" s="7"/>
      <c r="AQ685" s="7"/>
      <c r="AR685" s="7"/>
      <c r="AS685" s="7"/>
      <c r="AT685" s="7"/>
      <c r="AU685" s="7"/>
      <c r="AV685" s="7" t="s">
        <v>8391</v>
      </c>
      <c r="AW685" s="7"/>
      <c r="AX685" s="7"/>
      <c r="AY685" s="7"/>
      <c r="AZ685" s="7"/>
      <c r="BA685" s="7"/>
      <c r="BB685" s="7"/>
      <c r="BC685" s="7" t="s">
        <v>401</v>
      </c>
      <c r="BD685" s="7"/>
      <c r="BE685" s="7"/>
      <c r="BF685" s="7"/>
      <c r="BG685" s="7"/>
      <c r="BH685" s="7"/>
      <c r="BI685" s="7" t="s">
        <v>8392</v>
      </c>
      <c r="BJ685" s="7"/>
      <c r="BK685" s="7" t="b">
        <v>0</v>
      </c>
      <c r="BL685" s="7" t="b">
        <v>0</v>
      </c>
      <c r="BM685" s="7"/>
      <c r="BN685" s="7" t="str">
        <f>IFERROR(__xludf.DUMMYFUNCTION(" IF( REGEXMATCH(C685 , ""[(].+[)]""),REGEXREPLACE( CONCATENATE(REGEXEXTRACT(C685 , ""[(].+[)]""),IF(REGEXMATCH(C685 , ""[(][Ll]['’][)]""),"""","" ""), REGEXEXTRACT(C685 ,""^(?:(?:[A-Za-zàäéèêîïöôûü0-9 ](?:[A-Za-zàäéèêîïöôûü'0-9 ]+)))"")) , ""[()]"", """")"&amp;",C685 )"),"Aux berges des remparts")</f>
        <v>Aux berges des remparts</v>
      </c>
      <c r="BO685" s="25"/>
      <c r="BP685" s="7"/>
      <c r="BQ685" s="7"/>
      <c r="BR685" s="7"/>
      <c r="BS685" s="7"/>
      <c r="BT685" s="7"/>
      <c r="BU685" s="7"/>
      <c r="BV685" s="7"/>
      <c r="BW685" s="7"/>
      <c r="BX685" s="7"/>
      <c r="BY685" s="7"/>
      <c r="BZ685" s="7"/>
      <c r="CA685" s="7"/>
      <c r="CB685" s="7"/>
    </row>
    <row r="686" ht="21.75" customHeight="1">
      <c r="A686" s="7"/>
      <c r="B686" s="7" t="s">
        <v>8393</v>
      </c>
      <c r="C686" s="7" t="s">
        <v>1275</v>
      </c>
      <c r="D686" s="7"/>
      <c r="E686" s="7"/>
      <c r="F686" s="7"/>
      <c r="G686" s="7" t="s">
        <v>343</v>
      </c>
      <c r="H686" s="7" t="s">
        <v>123</v>
      </c>
      <c r="I686" s="7" t="s">
        <v>8394</v>
      </c>
      <c r="J686" s="7"/>
      <c r="K686" s="7" t="s">
        <v>34</v>
      </c>
      <c r="L686" s="7" t="s">
        <v>485</v>
      </c>
      <c r="M686" s="7" t="s">
        <v>486</v>
      </c>
      <c r="N686" s="7"/>
      <c r="O686" s="7">
        <v>97480.0</v>
      </c>
      <c r="P686" s="7" t="s">
        <v>123</v>
      </c>
      <c r="Q686" s="7" t="s">
        <v>8395</v>
      </c>
      <c r="R686" s="7"/>
      <c r="S686" s="7"/>
      <c r="T686" s="7"/>
      <c r="U686" s="7"/>
      <c r="V686" s="7">
        <v>2.62412833E8</v>
      </c>
      <c r="W686" s="7">
        <v>6.92443849E8</v>
      </c>
      <c r="X686" s="7"/>
      <c r="Y686" s="7"/>
      <c r="Z686" s="7"/>
      <c r="AA686" s="7">
        <v>16.0</v>
      </c>
      <c r="AB686" s="7"/>
      <c r="AC686" s="7"/>
      <c r="AD686" s="7"/>
      <c r="AE686" s="7"/>
      <c r="AF686" s="7"/>
      <c r="AG686" s="7"/>
      <c r="AH686" s="7"/>
      <c r="AI686" s="7"/>
      <c r="AJ686" s="7"/>
      <c r="AK686" s="7"/>
      <c r="AL686" s="7"/>
      <c r="AM686" s="7">
        <v>6.92443849E8</v>
      </c>
      <c r="AN686" s="7"/>
      <c r="AO686" s="7"/>
      <c r="AP686" s="7"/>
      <c r="AQ686" s="7"/>
      <c r="AR686" s="7"/>
      <c r="AS686" s="7"/>
      <c r="AT686" s="7"/>
      <c r="AU686" s="7"/>
      <c r="AV686" s="7" t="s">
        <v>8396</v>
      </c>
      <c r="AW686" s="7"/>
      <c r="AX686" s="7"/>
      <c r="AY686" s="7"/>
      <c r="AZ686" s="7"/>
      <c r="BA686" s="7"/>
      <c r="BB686" s="7"/>
      <c r="BC686" s="7" t="s">
        <v>401</v>
      </c>
      <c r="BD686" s="7"/>
      <c r="BE686" s="7"/>
      <c r="BF686" s="7"/>
      <c r="BG686" s="7"/>
      <c r="BH686" s="7"/>
      <c r="BI686" s="7" t="s">
        <v>1290</v>
      </c>
      <c r="BJ686" s="7"/>
      <c r="BK686" s="7" t="b">
        <v>0</v>
      </c>
      <c r="BL686" s="7" t="b">
        <v>0</v>
      </c>
      <c r="BM686" s="7"/>
      <c r="BN686" s="7" t="str">
        <f>IFERROR(__xludf.DUMMYFUNCTION(" IF( REGEXMATCH(C686 , ""[(].+[)]""),REGEXREPLACE( CONCATENATE(REGEXEXTRACT(C686 , ""[(].+[)]""),IF(REGEXMATCH(C686 , ""[(][Ll]['’][)]""),"""","" ""), REGEXEXTRACT(C686 ,""^(?:(?:[A-Za-zàäéèêîïöôûü0-9 ](?:[A-Za-zàäéèêîïöôûü'0-9 ]+)))"")) , ""[()]"", """")"&amp;",C686 )"),"Aux Saveurs des Grègues")</f>
        <v>Aux Saveurs des Grègues</v>
      </c>
      <c r="BO686" s="25"/>
      <c r="BP686" s="7"/>
      <c r="BQ686" s="7"/>
      <c r="BR686" s="7"/>
      <c r="BS686" s="7"/>
      <c r="BT686" s="7"/>
      <c r="BU686" s="7"/>
      <c r="BV686" s="7"/>
      <c r="BW686" s="7"/>
      <c r="BX686" s="7"/>
      <c r="BY686" s="7"/>
      <c r="BZ686" s="7"/>
      <c r="CA686" s="7"/>
      <c r="CB686" s="7"/>
    </row>
    <row r="687" ht="21.75" customHeight="1">
      <c r="A687" s="7"/>
      <c r="B687" s="7" t="s">
        <v>8397</v>
      </c>
      <c r="C687" s="7" t="s">
        <v>8398</v>
      </c>
      <c r="D687" s="7"/>
      <c r="E687" s="7"/>
      <c r="F687" s="7"/>
      <c r="G687" s="7" t="s">
        <v>343</v>
      </c>
      <c r="H687" s="7" t="s">
        <v>344</v>
      </c>
      <c r="I687" s="7" t="s">
        <v>8399</v>
      </c>
      <c r="J687" s="7"/>
      <c r="K687" s="7" t="s">
        <v>58</v>
      </c>
      <c r="L687" s="7" t="s">
        <v>59</v>
      </c>
      <c r="M687" s="7" t="s">
        <v>346</v>
      </c>
      <c r="N687" s="7"/>
      <c r="O687" s="7">
        <v>97430.0</v>
      </c>
      <c r="P687" s="7" t="s">
        <v>344</v>
      </c>
      <c r="Q687" s="7"/>
      <c r="R687" s="7" t="s">
        <v>8400</v>
      </c>
      <c r="S687" s="7"/>
      <c r="T687" s="7" t="s">
        <v>377</v>
      </c>
      <c r="U687" s="7" t="s">
        <v>424</v>
      </c>
      <c r="V687" s="7"/>
      <c r="W687" s="7">
        <v>6.92667941E8</v>
      </c>
      <c r="X687" s="7"/>
      <c r="Y687" s="7"/>
      <c r="Z687" s="7" t="s">
        <v>8401</v>
      </c>
      <c r="AA687" s="7">
        <v>8.0</v>
      </c>
      <c r="AB687" s="7"/>
      <c r="AC687" s="7"/>
      <c r="AD687" s="7"/>
      <c r="AE687" s="7"/>
      <c r="AF687" s="7"/>
      <c r="AG687" s="7"/>
      <c r="AH687" s="7"/>
      <c r="AI687" s="7"/>
      <c r="AJ687" s="7" t="s">
        <v>8402</v>
      </c>
      <c r="AK687" s="7"/>
      <c r="AL687" s="7" t="s">
        <v>8403</v>
      </c>
      <c r="AM687" s="7" t="s">
        <v>8404</v>
      </c>
      <c r="AN687" s="7"/>
      <c r="AO687" s="7">
        <v>97430.0</v>
      </c>
      <c r="AP687" s="7" t="s">
        <v>494</v>
      </c>
      <c r="AQ687" s="7"/>
      <c r="AR687" s="7"/>
      <c r="AS687" s="7"/>
      <c r="AT687" s="7"/>
      <c r="AU687" s="7">
        <v>1.0</v>
      </c>
      <c r="AV687" s="7" t="s">
        <v>8405</v>
      </c>
      <c r="AW687" s="7"/>
      <c r="AX687" s="7"/>
      <c r="AY687" s="7"/>
      <c r="AZ687" s="7" t="s">
        <v>8406</v>
      </c>
      <c r="BA687" s="7"/>
      <c r="BB687" s="7"/>
      <c r="BC687" s="7" t="s">
        <v>401</v>
      </c>
      <c r="BD687" s="7"/>
      <c r="BE687" s="7"/>
      <c r="BF687" s="7"/>
      <c r="BG687" s="7"/>
      <c r="BH687" s="7"/>
      <c r="BI687" s="7" t="s">
        <v>8407</v>
      </c>
      <c r="BJ687" s="7"/>
      <c r="BK687" s="7" t="b">
        <v>0</v>
      </c>
      <c r="BL687" s="7" t="b">
        <v>0</v>
      </c>
      <c r="BM687" s="7"/>
      <c r="BN687" s="7" t="str">
        <f>IFERROR(__xludf.DUMMYFUNCTION(" IF( REGEXMATCH(C687 , ""[(].+[)]""),REGEXREPLACE( CONCATENATE(REGEXEXTRACT(C687 , ""[(].+[)]""),IF(REGEXMATCH(C687 , ""[(][Ll]['’][)]""),"""","" ""), REGEXEXTRACT(C687 ,""^(?:(?:[A-Za-zàäéèêîïöôûü0-9 ](?:[A-Za-zàäéèêîïöôûü'0-9 ]+)))"")) , ""[()]"", """")"&amp;",C687 )"),"Aux Senteurs de Jasmin")</f>
        <v>Aux Senteurs de Jasmin</v>
      </c>
      <c r="BO687" s="25"/>
      <c r="BP687" s="7"/>
      <c r="BQ687" s="7"/>
      <c r="BR687" s="7"/>
      <c r="BS687" s="7"/>
      <c r="BT687" s="7"/>
      <c r="BU687" s="7"/>
      <c r="BV687" s="7"/>
      <c r="BW687" s="7"/>
      <c r="BX687" s="7"/>
      <c r="BY687" s="7"/>
      <c r="BZ687" s="7"/>
      <c r="CA687" s="7"/>
      <c r="CB687" s="7"/>
    </row>
    <row r="688" ht="21.75" customHeight="1">
      <c r="A688" s="7"/>
      <c r="B688" s="7" t="s">
        <v>8408</v>
      </c>
      <c r="C688" s="7" t="s">
        <v>8409</v>
      </c>
      <c r="D688" s="7"/>
      <c r="E688" s="7"/>
      <c r="F688" s="7"/>
      <c r="G688" s="7" t="s">
        <v>343</v>
      </c>
      <c r="H688" s="7" t="s">
        <v>344</v>
      </c>
      <c r="I688" s="7" t="s">
        <v>8410</v>
      </c>
      <c r="J688" s="7"/>
      <c r="K688" s="7" t="s">
        <v>58</v>
      </c>
      <c r="L688" s="7" t="s">
        <v>59</v>
      </c>
      <c r="M688" s="7" t="s">
        <v>346</v>
      </c>
      <c r="N688" s="7"/>
      <c r="O688" s="7">
        <v>97430.0</v>
      </c>
      <c r="P688" s="7" t="s">
        <v>344</v>
      </c>
      <c r="Q688" s="7" t="s">
        <v>8411</v>
      </c>
      <c r="R688" s="7" t="s">
        <v>1026</v>
      </c>
      <c r="S688" s="7"/>
      <c r="T688" s="7" t="s">
        <v>377</v>
      </c>
      <c r="U688" s="7" t="s">
        <v>424</v>
      </c>
      <c r="V688" s="7">
        <v>2.62272146E8</v>
      </c>
      <c r="W688" s="7">
        <v>6.92657054E8</v>
      </c>
      <c r="X688" s="7"/>
      <c r="Y688" s="7"/>
      <c r="Z688" s="7" t="s">
        <v>8412</v>
      </c>
      <c r="AA688" s="7">
        <v>10.0</v>
      </c>
      <c r="AB688" s="7"/>
      <c r="AC688" s="7"/>
      <c r="AD688" s="7"/>
      <c r="AE688" s="7"/>
      <c r="AF688" s="7"/>
      <c r="AG688" s="7"/>
      <c r="AH688" s="20">
        <v>42736.0</v>
      </c>
      <c r="AI688" s="7"/>
      <c r="AJ688" s="7" t="s">
        <v>8413</v>
      </c>
      <c r="AK688" s="7">
        <v>5.0808342500019E13</v>
      </c>
      <c r="AL688" s="7" t="s">
        <v>8414</v>
      </c>
      <c r="AM688" s="7" t="s">
        <v>8415</v>
      </c>
      <c r="AN688" s="7"/>
      <c r="AO688" s="7">
        <v>97430.0</v>
      </c>
      <c r="AP688" s="7" t="s">
        <v>494</v>
      </c>
      <c r="AQ688" s="7"/>
      <c r="AR688" s="7"/>
      <c r="AS688" s="7"/>
      <c r="AT688" s="7"/>
      <c r="AU688" s="7">
        <v>1.0</v>
      </c>
      <c r="AV688" s="7" t="s">
        <v>8416</v>
      </c>
      <c r="AW688" s="7"/>
      <c r="AX688" s="7"/>
      <c r="AY688" s="7"/>
      <c r="AZ688" s="7" t="s">
        <v>8417</v>
      </c>
      <c r="BA688" s="7"/>
      <c r="BB688" s="7"/>
      <c r="BC688" s="7" t="s">
        <v>401</v>
      </c>
      <c r="BD688" s="7"/>
      <c r="BE688" s="7"/>
      <c r="BF688" s="7"/>
      <c r="BG688" s="7"/>
      <c r="BH688" s="7">
        <v>5.08083425E8</v>
      </c>
      <c r="BI688" s="7" t="s">
        <v>8418</v>
      </c>
      <c r="BJ688" s="7"/>
      <c r="BK688" s="7" t="b">
        <v>0</v>
      </c>
      <c r="BL688" s="7" t="b">
        <v>0</v>
      </c>
      <c r="BM688" s="7"/>
      <c r="BN688" s="7" t="str">
        <f>IFERROR(__xludf.DUMMYFUNCTION(" IF( REGEXMATCH(C688 , ""[(].+[)]""),REGEXREPLACE( CONCATENATE(REGEXEXTRACT(C688 , ""[(].+[)]""),IF(REGEXMATCH(C688 , ""[(][Ll]['’][)]""),"""","" ""), REGEXEXTRACT(C688 ,""^(?:(?:[A-Za-zàäéèêîïöôûü0-9 ](?:[A-Za-zàäéèêîïöôûü'0-9 ]+)))"")) , ""[()]"", """")"&amp;",C688 )"),"L'Avocat Bleu ")</f>
        <v>L'Avocat Bleu </v>
      </c>
      <c r="BO688" s="25"/>
      <c r="BP688" s="7"/>
      <c r="BQ688" s="7"/>
      <c r="BR688" s="7"/>
      <c r="BS688" s="7"/>
      <c r="BT688" s="7"/>
      <c r="BU688" s="7"/>
      <c r="BV688" s="7"/>
      <c r="BW688" s="7"/>
      <c r="BX688" s="7"/>
      <c r="BY688" s="7"/>
      <c r="BZ688" s="7"/>
      <c r="CA688" s="7"/>
      <c r="CB688" s="7"/>
    </row>
    <row r="689" ht="21.75" customHeight="1">
      <c r="A689" s="7"/>
      <c r="B689" s="7" t="s">
        <v>8419</v>
      </c>
      <c r="C689" s="7" t="s">
        <v>8420</v>
      </c>
      <c r="D689" s="7"/>
      <c r="E689" s="7"/>
      <c r="F689" s="7"/>
      <c r="G689" s="7" t="s">
        <v>343</v>
      </c>
      <c r="H689" s="7" t="s">
        <v>344</v>
      </c>
      <c r="I689" s="7" t="s">
        <v>8421</v>
      </c>
      <c r="J689" s="7"/>
      <c r="K689" s="7" t="s">
        <v>58</v>
      </c>
      <c r="L689" s="7" t="s">
        <v>59</v>
      </c>
      <c r="M689" s="7" t="s">
        <v>346</v>
      </c>
      <c r="N689" s="7"/>
      <c r="O689" s="7">
        <v>97430.0</v>
      </c>
      <c r="P689" s="7" t="s">
        <v>344</v>
      </c>
      <c r="Q689" s="7" t="s">
        <v>8422</v>
      </c>
      <c r="R689" s="7" t="s">
        <v>1026</v>
      </c>
      <c r="S689" s="7"/>
      <c r="T689" s="7" t="s">
        <v>377</v>
      </c>
      <c r="U689" s="7" t="s">
        <v>378</v>
      </c>
      <c r="V689" s="7"/>
      <c r="W689" s="7">
        <v>6.92420915E8</v>
      </c>
      <c r="X689" s="7"/>
      <c r="Y689" s="7"/>
      <c r="Z689" s="7" t="s">
        <v>8423</v>
      </c>
      <c r="AA689" s="7">
        <v>10.0</v>
      </c>
      <c r="AB689" s="7"/>
      <c r="AC689" s="7"/>
      <c r="AD689" s="7"/>
      <c r="AE689" s="7"/>
      <c r="AF689" s="7"/>
      <c r="AG689" s="7"/>
      <c r="AH689" s="7"/>
      <c r="AI689" s="7"/>
      <c r="AJ689" s="7" t="s">
        <v>8424</v>
      </c>
      <c r="AK689" s="7">
        <v>8.4202321000011E13</v>
      </c>
      <c r="AL689" s="7" t="s">
        <v>8425</v>
      </c>
      <c r="AM689" s="7" t="s">
        <v>8426</v>
      </c>
      <c r="AN689" s="7"/>
      <c r="AO689" s="7">
        <v>97432.0</v>
      </c>
      <c r="AP689" s="7" t="s">
        <v>2873</v>
      </c>
      <c r="AQ689" s="7"/>
      <c r="AR689" s="7"/>
      <c r="AS689" s="7"/>
      <c r="AT689" s="7"/>
      <c r="AU689" s="7">
        <v>1.0</v>
      </c>
      <c r="AV689" s="7" t="s">
        <v>8427</v>
      </c>
      <c r="AW689" s="7"/>
      <c r="AX689" s="7"/>
      <c r="AY689" s="7"/>
      <c r="AZ689" s="7" t="s">
        <v>8428</v>
      </c>
      <c r="BA689" s="7"/>
      <c r="BB689" s="7"/>
      <c r="BC689" s="7" t="s">
        <v>401</v>
      </c>
      <c r="BD689" s="7"/>
      <c r="BE689" s="7"/>
      <c r="BF689" s="7"/>
      <c r="BG689" s="7"/>
      <c r="BH689" s="7">
        <v>8.4202321E8</v>
      </c>
      <c r="BI689" s="7" t="s">
        <v>8429</v>
      </c>
      <c r="BJ689" s="7"/>
      <c r="BK689" s="7" t="b">
        <v>0</v>
      </c>
      <c r="BL689" s="7" t="b">
        <v>0</v>
      </c>
      <c r="BM689" s="7"/>
      <c r="BN689" s="7" t="str">
        <f>IFERROR(__xludf.DUMMYFUNCTION(" IF( REGEXMATCH(C689 , ""[(].+[)]""),REGEXREPLACE( CONCATENATE(REGEXEXTRACT(C689 , ""[(].+[)]""),IF(REGEXMATCH(C689 , ""[(][Ll]['’][)]""),"""","" ""), REGEXEXTRACT(C689 ,""^(?:(?:[A-Za-zàäéèêîïöôûü0-9 ](?:[A-Za-zàäéèêîïöôûü'0-9 ]+)))"")) , ""[()]"", """")"&amp;",C689 )"),"Les Baies Roses du 17ème ")</f>
        <v>Les Baies Roses du 17ème </v>
      </c>
      <c r="BO689" s="25"/>
      <c r="BP689" s="7"/>
      <c r="BQ689" s="7"/>
      <c r="BR689" s="7"/>
      <c r="BS689" s="7"/>
      <c r="BT689" s="7"/>
      <c r="BU689" s="7"/>
      <c r="BV689" s="7"/>
      <c r="BW689" s="7"/>
      <c r="BX689" s="7"/>
      <c r="BY689" s="7"/>
      <c r="BZ689" s="7"/>
      <c r="CA689" s="7"/>
      <c r="CB689" s="7"/>
    </row>
    <row r="690" ht="21.75" customHeight="1">
      <c r="A690" s="7"/>
      <c r="B690" s="7" t="s">
        <v>8430</v>
      </c>
      <c r="C690" s="7" t="s">
        <v>8431</v>
      </c>
      <c r="D690" s="7"/>
      <c r="E690" s="7"/>
      <c r="F690" s="7"/>
      <c r="G690" s="7" t="s">
        <v>343</v>
      </c>
      <c r="H690" s="7" t="s">
        <v>40</v>
      </c>
      <c r="I690" s="7" t="s">
        <v>8432</v>
      </c>
      <c r="J690" s="7"/>
      <c r="K690" s="7" t="s">
        <v>34</v>
      </c>
      <c r="L690" s="7" t="s">
        <v>622</v>
      </c>
      <c r="M690" s="7" t="s">
        <v>622</v>
      </c>
      <c r="N690" s="7" t="s">
        <v>422</v>
      </c>
      <c r="O690" s="7">
        <v>97414.0</v>
      </c>
      <c r="P690" s="7" t="s">
        <v>40</v>
      </c>
      <c r="Q690" s="7"/>
      <c r="R690" s="7"/>
      <c r="S690" s="7"/>
      <c r="T690" s="7" t="s">
        <v>974</v>
      </c>
      <c r="U690" s="7" t="s">
        <v>592</v>
      </c>
      <c r="V690" s="7"/>
      <c r="W690" s="7">
        <v>6.939439E8</v>
      </c>
      <c r="X690" s="7"/>
      <c r="Y690" s="7"/>
      <c r="Z690" s="7"/>
      <c r="AA690" s="7">
        <v>40.0</v>
      </c>
      <c r="AB690" s="7"/>
      <c r="AC690" s="7"/>
      <c r="AD690" s="7" t="s">
        <v>8433</v>
      </c>
      <c r="AE690" s="7"/>
      <c r="AF690" s="7" t="s">
        <v>8434</v>
      </c>
      <c r="AG690" s="7"/>
      <c r="AH690" s="7"/>
      <c r="AI690" s="7"/>
      <c r="AJ690" s="7" t="s">
        <v>8435</v>
      </c>
      <c r="AK690" s="7">
        <v>8.5056571400019E13</v>
      </c>
      <c r="AL690" s="7"/>
      <c r="AM690" s="7" t="s">
        <v>8436</v>
      </c>
      <c r="AN690" s="7"/>
      <c r="AO690" s="7">
        <v>97414.0</v>
      </c>
      <c r="AP690" s="7" t="s">
        <v>429</v>
      </c>
      <c r="AQ690" s="7"/>
      <c r="AR690" s="7"/>
      <c r="AS690" s="7"/>
      <c r="AT690" s="7"/>
      <c r="AU690" s="7"/>
      <c r="AV690" s="7" t="s">
        <v>8437</v>
      </c>
      <c r="AW690" s="7"/>
      <c r="AX690" s="7"/>
      <c r="AY690" s="7"/>
      <c r="AZ690" s="7"/>
      <c r="BA690" s="7"/>
      <c r="BB690" s="7"/>
      <c r="BC690" s="7" t="s">
        <v>401</v>
      </c>
      <c r="BD690" s="7"/>
      <c r="BE690" s="7"/>
      <c r="BF690" s="7"/>
      <c r="BG690" s="7"/>
      <c r="BH690" s="7">
        <v>8.50565714E8</v>
      </c>
      <c r="BI690" s="7" t="s">
        <v>8438</v>
      </c>
      <c r="BJ690" s="7"/>
      <c r="BK690" s="7" t="b">
        <v>0</v>
      </c>
      <c r="BL690" s="7" t="b">
        <v>0</v>
      </c>
      <c r="BM690" s="7"/>
      <c r="BN690" s="7" t="str">
        <f>IFERROR(__xludf.DUMMYFUNCTION(" IF( REGEXMATCH(C690 , ""[(].+[)]""),REGEXREPLACE( CONCATENATE(REGEXEXTRACT(C690 , ""[(].+[)]""),IF(REGEXMATCH(C690 , ""[(][Ll]['’][)]""),"""","" ""), REGEXEXTRACT(C690 ,""^(?:(?:[A-Za-zàäéèêîïöôûü0-9 ](?:[A-Za-zàäéèêîïöôûü'0-9 ]+)))"")) , ""[()]"", """")"&amp;",C690 )"),"Le Bardeau ")</f>
        <v>Le Bardeau </v>
      </c>
      <c r="BO690" s="25"/>
      <c r="BP690" s="7"/>
      <c r="BQ690" s="7"/>
      <c r="BR690" s="7"/>
      <c r="BS690" s="7"/>
      <c r="BT690" s="7"/>
      <c r="BU690" s="7"/>
      <c r="BV690" s="7"/>
      <c r="BW690" s="7"/>
      <c r="BX690" s="7"/>
      <c r="BY690" s="7"/>
      <c r="BZ690" s="7"/>
      <c r="CA690" s="7"/>
      <c r="CB690" s="7"/>
    </row>
    <row r="691" ht="21.75" customHeight="1">
      <c r="A691" s="7"/>
      <c r="B691" s="7" t="s">
        <v>8439</v>
      </c>
      <c r="C691" s="7" t="s">
        <v>8440</v>
      </c>
      <c r="D691" s="7"/>
      <c r="E691" s="7"/>
      <c r="F691" s="7"/>
      <c r="G691" s="7" t="s">
        <v>343</v>
      </c>
      <c r="H691" s="7" t="s">
        <v>344</v>
      </c>
      <c r="I691" s="7" t="s">
        <v>8441</v>
      </c>
      <c r="J691" s="7"/>
      <c r="K691" s="7" t="s">
        <v>58</v>
      </c>
      <c r="L691" s="7" t="s">
        <v>59</v>
      </c>
      <c r="M691" s="7" t="s">
        <v>346</v>
      </c>
      <c r="N691" s="7"/>
      <c r="O691" s="7">
        <v>97430.0</v>
      </c>
      <c r="P691" s="7" t="s">
        <v>344</v>
      </c>
      <c r="Q691" s="7" t="s">
        <v>3501</v>
      </c>
      <c r="R691" s="7"/>
      <c r="S691" s="7"/>
      <c r="T691" s="7"/>
      <c r="U691" s="7"/>
      <c r="V691" s="7">
        <v>2.62278875E8</v>
      </c>
      <c r="W691" s="7">
        <v>6.92207926E8</v>
      </c>
      <c r="X691" s="7"/>
      <c r="Y691" s="7"/>
      <c r="Z691" s="7" t="s">
        <v>764</v>
      </c>
      <c r="AA691" s="7">
        <v>4.0</v>
      </c>
      <c r="AB691" s="7"/>
      <c r="AC691" s="7"/>
      <c r="AD691" s="7"/>
      <c r="AE691" s="7"/>
      <c r="AF691" s="7"/>
      <c r="AG691" s="7"/>
      <c r="AH691" s="7"/>
      <c r="AI691" s="7"/>
      <c r="AJ691" s="7" t="s">
        <v>8442</v>
      </c>
      <c r="AK691" s="7"/>
      <c r="AL691" s="7" t="s">
        <v>8443</v>
      </c>
      <c r="AM691" s="7" t="s">
        <v>8444</v>
      </c>
      <c r="AN691" s="7"/>
      <c r="AO691" s="7">
        <v>97430.0</v>
      </c>
      <c r="AP691" s="7" t="s">
        <v>494</v>
      </c>
      <c r="AQ691" s="7"/>
      <c r="AR691" s="7"/>
      <c r="AS691" s="7"/>
      <c r="AT691" s="7"/>
      <c r="AU691" s="7">
        <v>1.0</v>
      </c>
      <c r="AV691" s="7" t="s">
        <v>8445</v>
      </c>
      <c r="AW691" s="7"/>
      <c r="AX691" s="7"/>
      <c r="AY691" s="7"/>
      <c r="AZ691" s="7" t="s">
        <v>8446</v>
      </c>
      <c r="BA691" s="7"/>
      <c r="BB691" s="7"/>
      <c r="BC691" s="7" t="s">
        <v>401</v>
      </c>
      <c r="BD691" s="7"/>
      <c r="BE691" s="7"/>
      <c r="BF691" s="7"/>
      <c r="BG691" s="7"/>
      <c r="BH691" s="7"/>
      <c r="BI691" s="7" t="s">
        <v>8447</v>
      </c>
      <c r="BJ691" s="7"/>
      <c r="BK691" s="7" t="b">
        <v>0</v>
      </c>
      <c r="BL691" s="7" t="b">
        <v>0</v>
      </c>
      <c r="BM691" s="7"/>
      <c r="BN691" s="7" t="str">
        <f>IFERROR(__xludf.DUMMYFUNCTION(" IF( REGEXMATCH(C691 , ""[(].+[)]""),REGEXREPLACE( CONCATENATE(REGEXEXTRACT(C691 , ""[(].+[)]""),IF(REGEXMATCH(C691 , ""[(][Ll]['’][)]""),"""","" ""), REGEXEXTRACT(C691 ,""^(?:(?:[A-Za-zàäéèêîïöôûü0-9 ](?:[A-Za-zàäéèêîïöôûü'0-9 ]+)))"")) , ""[()]"", """")"&amp;",C691 )"),"Le Beaucarnea ")</f>
        <v>Le Beaucarnea </v>
      </c>
      <c r="BO691" s="25"/>
      <c r="BP691" s="7"/>
      <c r="BQ691" s="7"/>
      <c r="BR691" s="7"/>
      <c r="BS691" s="7"/>
      <c r="BT691" s="7"/>
      <c r="BU691" s="7"/>
      <c r="BV691" s="7"/>
      <c r="BW691" s="7"/>
      <c r="BX691" s="7"/>
      <c r="BY691" s="7"/>
      <c r="BZ691" s="7"/>
      <c r="CA691" s="7"/>
      <c r="CB691" s="7"/>
    </row>
    <row r="692" ht="21.75" customHeight="1">
      <c r="A692" s="7"/>
      <c r="B692" s="7" t="s">
        <v>8448</v>
      </c>
      <c r="C692" s="7" t="s">
        <v>8449</v>
      </c>
      <c r="D692" s="7"/>
      <c r="E692" s="7"/>
      <c r="F692" s="7"/>
      <c r="G692" s="7" t="s">
        <v>343</v>
      </c>
      <c r="H692" s="7" t="s">
        <v>123</v>
      </c>
      <c r="I692" s="7" t="s">
        <v>8450</v>
      </c>
      <c r="J692" s="7"/>
      <c r="K692" s="7" t="s">
        <v>58</v>
      </c>
      <c r="L692" s="7" t="s">
        <v>59</v>
      </c>
      <c r="M692" s="7"/>
      <c r="N692" s="7"/>
      <c r="O692" s="7">
        <v>97480.0</v>
      </c>
      <c r="P692" s="7" t="s">
        <v>123</v>
      </c>
      <c r="Q692" s="7"/>
      <c r="R692" s="7"/>
      <c r="S692" s="7"/>
      <c r="T692" s="7"/>
      <c r="U692" s="7"/>
      <c r="V692" s="7"/>
      <c r="W692" s="7">
        <v>6.92698347E8</v>
      </c>
      <c r="X692" s="7">
        <v>6.9268121E8</v>
      </c>
      <c r="Y692" s="7"/>
      <c r="Z692" s="7" t="s">
        <v>8451</v>
      </c>
      <c r="AA692" s="7">
        <v>6.0</v>
      </c>
      <c r="AB692" s="7"/>
      <c r="AC692" s="7"/>
      <c r="AD692" s="7"/>
      <c r="AE692" s="7"/>
      <c r="AF692" s="7"/>
      <c r="AG692" s="7"/>
      <c r="AH692" s="7"/>
      <c r="AI692" s="7"/>
      <c r="AJ692" s="7" t="s">
        <v>8452</v>
      </c>
      <c r="AK692" s="7"/>
      <c r="AL692" s="7" t="s">
        <v>8450</v>
      </c>
      <c r="AM692" s="7" t="s">
        <v>8453</v>
      </c>
      <c r="AN692" s="7"/>
      <c r="AO692" s="7"/>
      <c r="AP692" s="7"/>
      <c r="AQ692" s="7"/>
      <c r="AR692" s="7"/>
      <c r="AS692" s="7"/>
      <c r="AT692" s="7"/>
      <c r="AU692" s="7"/>
      <c r="AV692" s="7" t="s">
        <v>8454</v>
      </c>
      <c r="AW692" s="7"/>
      <c r="AX692" s="7"/>
      <c r="AY692" s="7"/>
      <c r="AZ692" s="7" t="s">
        <v>8455</v>
      </c>
      <c r="BA692" s="7"/>
      <c r="BB692" s="7"/>
      <c r="BC692" s="7" t="s">
        <v>401</v>
      </c>
      <c r="BD692" s="7"/>
      <c r="BE692" s="7"/>
      <c r="BF692" s="7"/>
      <c r="BG692" s="7"/>
      <c r="BH692" s="7"/>
      <c r="BI692" s="7" t="s">
        <v>8456</v>
      </c>
      <c r="BJ692" s="7"/>
      <c r="BK692" s="7" t="b">
        <v>0</v>
      </c>
      <c r="BL692" s="7" t="b">
        <v>0</v>
      </c>
      <c r="BM692" s="7"/>
      <c r="BN692" s="7" t="str">
        <f>IFERROR(__xludf.DUMMYFUNCTION(" IF( REGEXMATCH(C692 , ""[(].+[)]""),REGEXREPLACE( CONCATENATE(REGEXEXTRACT(C692 , ""[(].+[)]""),IF(REGEXMATCH(C692 , ""[(][Ll]['’][)]""),"""","" ""), REGEXEXTRACT(C692 ,""^(?:(?:[A-Za-zàäéèêîïöôûü0-9 ](?:[A-Za-zàäéèêîïöôûü'0-9 ]+)))"")) , ""[()]"", """")"&amp;",C692 )"),"Bel Appartement Sud Sauvage avec piscine")</f>
        <v>Bel Appartement Sud Sauvage avec piscine</v>
      </c>
      <c r="BO692" s="25"/>
      <c r="BP692" s="7"/>
      <c r="BQ692" s="7"/>
      <c r="BR692" s="7"/>
      <c r="BS692" s="7"/>
      <c r="BT692" s="7"/>
      <c r="BU692" s="7"/>
      <c r="BV692" s="7"/>
      <c r="BW692" s="7"/>
      <c r="BX692" s="7"/>
      <c r="BY692" s="7"/>
      <c r="BZ692" s="7"/>
      <c r="CA692" s="7"/>
      <c r="CB692" s="7"/>
    </row>
    <row r="693" ht="21.75" customHeight="1">
      <c r="A693" s="7"/>
      <c r="B693" s="7" t="s">
        <v>8457</v>
      </c>
      <c r="C693" s="7" t="s">
        <v>8458</v>
      </c>
      <c r="D693" s="7"/>
      <c r="E693" s="7"/>
      <c r="F693" s="7"/>
      <c r="G693" s="7" t="s">
        <v>343</v>
      </c>
      <c r="H693" s="7" t="s">
        <v>344</v>
      </c>
      <c r="I693" s="7" t="s">
        <v>8459</v>
      </c>
      <c r="J693" s="7"/>
      <c r="K693" s="7" t="s">
        <v>58</v>
      </c>
      <c r="L693" s="7" t="s">
        <v>59</v>
      </c>
      <c r="M693" s="7" t="s">
        <v>346</v>
      </c>
      <c r="N693" s="7"/>
      <c r="O693" s="7">
        <v>97418.0</v>
      </c>
      <c r="P693" s="7" t="s">
        <v>348</v>
      </c>
      <c r="Q693" s="7" t="s">
        <v>8460</v>
      </c>
      <c r="R693" s="7"/>
      <c r="S693" s="7"/>
      <c r="T693" s="7"/>
      <c r="U693" s="7" t="s">
        <v>424</v>
      </c>
      <c r="V693" s="7"/>
      <c r="W693" s="7">
        <v>6.92525279E8</v>
      </c>
      <c r="X693" s="7"/>
      <c r="Y693" s="7"/>
      <c r="Z693" s="7" t="s">
        <v>8461</v>
      </c>
      <c r="AA693" s="7">
        <v>8.0</v>
      </c>
      <c r="AB693" s="7"/>
      <c r="AC693" s="7"/>
      <c r="AD693" s="7" t="s">
        <v>8462</v>
      </c>
      <c r="AE693" s="7"/>
      <c r="AF693" s="7"/>
      <c r="AG693" s="7"/>
      <c r="AH693" s="7"/>
      <c r="AI693" s="7"/>
      <c r="AJ693" s="7" t="s">
        <v>8463</v>
      </c>
      <c r="AK693" s="7">
        <v>5.209594610001E13</v>
      </c>
      <c r="AL693" s="7" t="s">
        <v>8459</v>
      </c>
      <c r="AM693" s="7" t="s">
        <v>8464</v>
      </c>
      <c r="AN693" s="7"/>
      <c r="AO693" s="7">
        <v>97418.0</v>
      </c>
      <c r="AP693" s="7" t="s">
        <v>362</v>
      </c>
      <c r="AQ693" s="7"/>
      <c r="AR693" s="7"/>
      <c r="AS693" s="7"/>
      <c r="AT693" s="7"/>
      <c r="AU693" s="7">
        <v>1.0</v>
      </c>
      <c r="AV693" s="7" t="s">
        <v>8465</v>
      </c>
      <c r="AW693" s="7"/>
      <c r="AX693" s="7"/>
      <c r="AY693" s="7"/>
      <c r="AZ693" s="7" t="s">
        <v>8466</v>
      </c>
      <c r="BA693" s="7"/>
      <c r="BB693" s="7"/>
      <c r="BC693" s="7" t="s">
        <v>401</v>
      </c>
      <c r="BD693" s="7"/>
      <c r="BE693" s="7"/>
      <c r="BF693" s="7"/>
      <c r="BG693" s="7"/>
      <c r="BH693" s="7">
        <v>5.20959461E8</v>
      </c>
      <c r="BI693" s="7" t="s">
        <v>8467</v>
      </c>
      <c r="BJ693" s="7"/>
      <c r="BK693" s="7" t="b">
        <v>0</v>
      </c>
      <c r="BL693" s="7" t="b">
        <v>0</v>
      </c>
      <c r="BM693" s="7"/>
      <c r="BN693" s="7" t="str">
        <f>IFERROR(__xludf.DUMMYFUNCTION(" IF( REGEXMATCH(C693 , ""[(].+[)]""),REGEXREPLACE( CONCATENATE(REGEXEXTRACT(C693 , ""[(].+[)]""),IF(REGEXMATCH(C693 , ""[(][Ll]['’][)]""),"""","" ""), REGEXEXTRACT(C693 ,""^(?:(?:[A-Za-zàäéèêîïöôûü0-9 ](?:[A-Za-zàäéèêîïöôûü'0-9 ]+)))"")) , ""[()]"", """")"&amp;",C693 )"),"Le Bel'Eden ")</f>
        <v>Le Bel'Eden </v>
      </c>
      <c r="BO693" s="25"/>
      <c r="BP693" s="7"/>
      <c r="BQ693" s="7"/>
      <c r="BR693" s="7"/>
      <c r="BS693" s="7"/>
      <c r="BT693" s="7"/>
      <c r="BU693" s="7"/>
      <c r="BV693" s="7"/>
      <c r="BW693" s="7"/>
      <c r="BX693" s="7"/>
      <c r="BY693" s="7"/>
      <c r="BZ693" s="7"/>
      <c r="CA693" s="7"/>
      <c r="CB693" s="7"/>
    </row>
    <row r="694" ht="21.75" customHeight="1">
      <c r="A694" s="7"/>
      <c r="B694" s="7" t="s">
        <v>8468</v>
      </c>
      <c r="C694" s="7" t="s">
        <v>8469</v>
      </c>
      <c r="D694" s="7"/>
      <c r="E694" s="7"/>
      <c r="F694" s="7"/>
      <c r="G694" s="7" t="s">
        <v>343</v>
      </c>
      <c r="H694" s="7" t="s">
        <v>344</v>
      </c>
      <c r="I694" s="7" t="s">
        <v>8470</v>
      </c>
      <c r="J694" s="7"/>
      <c r="K694" s="7" t="s">
        <v>58</v>
      </c>
      <c r="L694" s="7" t="s">
        <v>59</v>
      </c>
      <c r="M694" s="7" t="s">
        <v>374</v>
      </c>
      <c r="N694" s="7"/>
      <c r="O694" s="7">
        <v>97418.0</v>
      </c>
      <c r="P694" s="7" t="s">
        <v>348</v>
      </c>
      <c r="Q694" s="7" t="s">
        <v>8471</v>
      </c>
      <c r="R694" s="7"/>
      <c r="S694" s="7"/>
      <c r="T694" s="7" t="s">
        <v>377</v>
      </c>
      <c r="U694" s="7" t="s">
        <v>1698</v>
      </c>
      <c r="V694" s="7"/>
      <c r="W694" s="7">
        <v>6.92468189E8</v>
      </c>
      <c r="X694" s="7"/>
      <c r="Y694" s="7"/>
      <c r="Z694" s="7" t="s">
        <v>8472</v>
      </c>
      <c r="AA694" s="7">
        <v>3.0</v>
      </c>
      <c r="AB694" s="7" t="s">
        <v>355</v>
      </c>
      <c r="AC694" s="7"/>
      <c r="AD694" s="7"/>
      <c r="AE694" s="7"/>
      <c r="AF694" s="7"/>
      <c r="AG694" s="7"/>
      <c r="AH694" s="7"/>
      <c r="AI694" s="7"/>
      <c r="AJ694" s="7" t="s">
        <v>8473</v>
      </c>
      <c r="AK694" s="7">
        <v>8.7774915000018E13</v>
      </c>
      <c r="AL694" s="7" t="s">
        <v>8470</v>
      </c>
      <c r="AM694" s="7" t="s">
        <v>8474</v>
      </c>
      <c r="AN694" s="7"/>
      <c r="AO694" s="7">
        <v>97418.0</v>
      </c>
      <c r="AP694" s="7" t="s">
        <v>362</v>
      </c>
      <c r="AQ694" s="7"/>
      <c r="AR694" s="7"/>
      <c r="AS694" s="7"/>
      <c r="AT694" s="7"/>
      <c r="AU694" s="7">
        <v>1.0</v>
      </c>
      <c r="AV694" s="7" t="s">
        <v>8475</v>
      </c>
      <c r="AW694" s="7"/>
      <c r="AX694" s="7"/>
      <c r="AY694" s="7"/>
      <c r="AZ694" s="7" t="s">
        <v>8476</v>
      </c>
      <c r="BA694" s="7"/>
      <c r="BB694" s="7"/>
      <c r="BC694" s="7" t="s">
        <v>401</v>
      </c>
      <c r="BD694" s="7"/>
      <c r="BE694" s="7"/>
      <c r="BF694" s="7"/>
      <c r="BG694" s="7"/>
      <c r="BH694" s="7">
        <v>8.7774915E8</v>
      </c>
      <c r="BI694" s="7" t="s">
        <v>8477</v>
      </c>
      <c r="BJ694" s="7"/>
      <c r="BK694" s="7" t="b">
        <v>0</v>
      </c>
      <c r="BL694" s="7" t="b">
        <v>0</v>
      </c>
      <c r="BM694" s="7"/>
      <c r="BN694" s="7" t="str">
        <f>IFERROR(__xludf.DUMMYFUNCTION(" IF( REGEXMATCH(C694 , ""[(].+[)]""),REGEXREPLACE( CONCATENATE(REGEXEXTRACT(C694 , ""[(].+[)]""),IF(REGEXMATCH(C694 , ""[(][Ll]['’][)]""),"""","" ""), REGEXEXTRACT(C694 ,""^(?:(?:[A-Za-zàäéèêîïöôûü0-9 ](?:[A-Za-zàäéèêîïöôûü'0-9 ]+)))"")) , ""[()]"", """")"&amp;",C694 )"),"Belle Vue Mer &amp; Montagne")</f>
        <v>Belle Vue Mer &amp; Montagne</v>
      </c>
      <c r="BO694" s="25"/>
      <c r="BP694" s="7"/>
      <c r="BQ694" s="7"/>
      <c r="BR694" s="7"/>
      <c r="BS694" s="7"/>
      <c r="BT694" s="7"/>
      <c r="BU694" s="7"/>
      <c r="BV694" s="7"/>
      <c r="BW694" s="7"/>
      <c r="BX694" s="7"/>
      <c r="BY694" s="7"/>
      <c r="BZ694" s="7"/>
      <c r="CA694" s="7"/>
      <c r="CB694" s="7"/>
    </row>
    <row r="695" ht="21.75" customHeight="1">
      <c r="A695" s="7"/>
      <c r="B695" s="7" t="s">
        <v>8478</v>
      </c>
      <c r="C695" s="7" t="s">
        <v>8479</v>
      </c>
      <c r="D695" s="7"/>
      <c r="E695" s="7"/>
      <c r="F695" s="7"/>
      <c r="G695" s="7" t="s">
        <v>343</v>
      </c>
      <c r="H695" s="7" t="s">
        <v>40</v>
      </c>
      <c r="I695" s="7" t="s">
        <v>8480</v>
      </c>
      <c r="J695" s="7"/>
      <c r="K695" s="7" t="s">
        <v>58</v>
      </c>
      <c r="L695" s="7" t="s">
        <v>59</v>
      </c>
      <c r="M695" s="7" t="s">
        <v>346</v>
      </c>
      <c r="N695" s="7"/>
      <c r="O695" s="7">
        <v>97414.0</v>
      </c>
      <c r="P695" s="7" t="s">
        <v>40</v>
      </c>
      <c r="Q695" s="7"/>
      <c r="R695" s="7"/>
      <c r="S695" s="7"/>
      <c r="T695" s="7"/>
      <c r="U695" s="7"/>
      <c r="V695" s="7"/>
      <c r="W695" s="7">
        <v>6.9233986E8</v>
      </c>
      <c r="X695" s="7"/>
      <c r="Y695" s="7"/>
      <c r="Z695" s="7" t="s">
        <v>8481</v>
      </c>
      <c r="AA695" s="7">
        <v>8.0</v>
      </c>
      <c r="AB695" s="7"/>
      <c r="AC695" s="7"/>
      <c r="AD695" s="7"/>
      <c r="AE695" s="7"/>
      <c r="AF695" s="7"/>
      <c r="AG695" s="7"/>
      <c r="AH695" s="20">
        <v>43466.0</v>
      </c>
      <c r="AI695" s="7"/>
      <c r="AJ695" s="7" t="s">
        <v>8482</v>
      </c>
      <c r="AK695" s="7"/>
      <c r="AL695" s="7" t="s">
        <v>8483</v>
      </c>
      <c r="AM695" s="7" t="s">
        <v>8484</v>
      </c>
      <c r="AN695" s="7"/>
      <c r="AO695" s="7">
        <v>97414.0</v>
      </c>
      <c r="AP695" s="7" t="s">
        <v>429</v>
      </c>
      <c r="AQ695" s="7"/>
      <c r="AR695" s="7"/>
      <c r="AS695" s="7"/>
      <c r="AT695" s="7"/>
      <c r="AU695" s="7">
        <v>1.0</v>
      </c>
      <c r="AV695" s="7" t="s">
        <v>8485</v>
      </c>
      <c r="AW695" s="7"/>
      <c r="AX695" s="7"/>
      <c r="AY695" s="7"/>
      <c r="AZ695" s="7" t="s">
        <v>8486</v>
      </c>
      <c r="BA695" s="7"/>
      <c r="BB695" s="7"/>
      <c r="BC695" s="7" t="s">
        <v>401</v>
      </c>
      <c r="BD695" s="7"/>
      <c r="BE695" s="7"/>
      <c r="BF695" s="7"/>
      <c r="BG695" s="7"/>
      <c r="BH695" s="7"/>
      <c r="BI695" s="7" t="s">
        <v>8487</v>
      </c>
      <c r="BJ695" s="7"/>
      <c r="BK695" s="7" t="b">
        <v>0</v>
      </c>
      <c r="BL695" s="7" t="b">
        <v>0</v>
      </c>
      <c r="BM695" s="7"/>
      <c r="BN695" s="7" t="str">
        <f>IFERROR(__xludf.DUMMYFUNCTION(" IF( REGEXMATCH(C695 , ""[(].+[)]""),REGEXREPLACE( CONCATENATE(REGEXEXTRACT(C695 , ""[(].+[)]""),IF(REGEXMATCH(C695 , ""[(][Ll]['’][)]""),"""","" ""), REGEXEXTRACT(C695 ,""^(?:(?:[A-Za-zàäéèêîïöôûü0-9 ](?:[A-Za-zàäéèêîïöôûü'0-9 ]+)))"")) , ""[()]"", """")"&amp;",C695 )"),"Le Belvedère ")</f>
        <v>Le Belvedère </v>
      </c>
      <c r="BO695" s="25"/>
      <c r="BP695" s="7"/>
      <c r="BQ695" s="7"/>
      <c r="BR695" s="7"/>
      <c r="BS695" s="7"/>
      <c r="BT695" s="7"/>
      <c r="BU695" s="7"/>
      <c r="BV695" s="7"/>
      <c r="BW695" s="7"/>
      <c r="BX695" s="7"/>
      <c r="BY695" s="7"/>
      <c r="BZ695" s="7"/>
      <c r="CA695" s="7"/>
      <c r="CB695" s="7"/>
    </row>
    <row r="696" ht="21.75" customHeight="1">
      <c r="A696" s="7"/>
      <c r="B696" s="7" t="s">
        <v>8488</v>
      </c>
      <c r="C696" s="7" t="s">
        <v>8489</v>
      </c>
      <c r="D696" s="7"/>
      <c r="E696" s="7"/>
      <c r="F696" s="7"/>
      <c r="G696" s="7" t="s">
        <v>343</v>
      </c>
      <c r="H696" s="7" t="s">
        <v>344</v>
      </c>
      <c r="I696" s="7"/>
      <c r="J696" s="7"/>
      <c r="K696" s="6" t="s">
        <v>469</v>
      </c>
      <c r="L696" s="7" t="s">
        <v>197</v>
      </c>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t="s">
        <v>401</v>
      </c>
      <c r="BD696" s="7"/>
      <c r="BE696" s="7"/>
      <c r="BF696" s="7"/>
      <c r="BG696" s="7"/>
      <c r="BH696" s="7"/>
      <c r="BI696" s="7"/>
      <c r="BJ696" s="7"/>
      <c r="BK696" s="7" t="b">
        <v>0</v>
      </c>
      <c r="BL696" s="7" t="b">
        <v>0</v>
      </c>
      <c r="BM696" s="7"/>
      <c r="BN696" s="7" t="str">
        <f>IFERROR(__xludf.DUMMYFUNCTION(" IF( REGEXMATCH(C696 , ""[(].+[)]""),REGEXREPLACE( CONCATENATE(REGEXEXTRACT(C696 , ""[(].+[)]""),IF(REGEXMATCH(C696 , ""[(][Ll]['’][)]""),"""","" ""), REGEXEXTRACT(C696 ,""^(?:(?:[A-Za-zàäéèêîïöôûü0-9 ](?:[A-Za-zàäéèêîïöôûü'0-9 ]+)))"")) , ""[()]"", """")"&amp;",C696 )"),"Les Bijoux d'Hermana ")</f>
        <v>Les Bijoux d'Hermana </v>
      </c>
      <c r="BO696" s="25"/>
      <c r="BP696" s="7"/>
      <c r="BQ696" s="7"/>
      <c r="BR696" s="7"/>
      <c r="BS696" s="7"/>
      <c r="BT696" s="7"/>
      <c r="BU696" s="7"/>
      <c r="BV696" s="7"/>
      <c r="BW696" s="7"/>
      <c r="BX696" s="7"/>
      <c r="BY696" s="7"/>
      <c r="BZ696" s="7"/>
      <c r="CA696" s="7"/>
      <c r="CB696" s="7"/>
    </row>
    <row r="697" ht="21.75" customHeight="1">
      <c r="A697" s="7"/>
      <c r="B697" s="7" t="s">
        <v>8490</v>
      </c>
      <c r="C697" s="7" t="s">
        <v>8491</v>
      </c>
      <c r="D697" s="7"/>
      <c r="E697" s="7"/>
      <c r="F697" s="7"/>
      <c r="G697" s="7" t="s">
        <v>343</v>
      </c>
      <c r="H697" s="7" t="s">
        <v>123</v>
      </c>
      <c r="I697" s="7" t="s">
        <v>8492</v>
      </c>
      <c r="J697" s="7"/>
      <c r="K697" s="7" t="s">
        <v>58</v>
      </c>
      <c r="L697" s="7" t="s">
        <v>59</v>
      </c>
      <c r="M697" s="7" t="s">
        <v>346</v>
      </c>
      <c r="N697" s="7"/>
      <c r="O697" s="7">
        <v>97480.0</v>
      </c>
      <c r="P697" s="7" t="s">
        <v>123</v>
      </c>
      <c r="Q697" s="7"/>
      <c r="R697" s="7" t="s">
        <v>8493</v>
      </c>
      <c r="S697" s="7"/>
      <c r="T697" s="7"/>
      <c r="U697" s="7"/>
      <c r="V697" s="7"/>
      <c r="W697" s="7">
        <v>6.92052007E8</v>
      </c>
      <c r="X697" s="7">
        <v>6.92244869E8</v>
      </c>
      <c r="Y697" s="7"/>
      <c r="Z697" s="7" t="s">
        <v>8494</v>
      </c>
      <c r="AA697" s="7">
        <v>8.0</v>
      </c>
      <c r="AB697" s="7"/>
      <c r="AC697" s="7"/>
      <c r="AD697" s="7" t="s">
        <v>8495</v>
      </c>
      <c r="AE697" s="7"/>
      <c r="AF697" s="7"/>
      <c r="AG697" s="7"/>
      <c r="AH697" s="7"/>
      <c r="AI697" s="7"/>
      <c r="AJ697" s="7" t="s">
        <v>8496</v>
      </c>
      <c r="AK697" s="7"/>
      <c r="AL697" s="7" t="s">
        <v>8497</v>
      </c>
      <c r="AM697" s="7" t="s">
        <v>8498</v>
      </c>
      <c r="AN697" s="7"/>
      <c r="AO697" s="7"/>
      <c r="AP697" s="7"/>
      <c r="AQ697" s="7"/>
      <c r="AR697" s="7"/>
      <c r="AS697" s="7"/>
      <c r="AT697" s="7"/>
      <c r="AU697" s="7"/>
      <c r="AV697" s="7" t="s">
        <v>8499</v>
      </c>
      <c r="AW697" s="7"/>
      <c r="AX697" s="7"/>
      <c r="AY697" s="7"/>
      <c r="AZ697" s="7" t="s">
        <v>8500</v>
      </c>
      <c r="BA697" s="7"/>
      <c r="BB697" s="7"/>
      <c r="BC697" s="7" t="s">
        <v>401</v>
      </c>
      <c r="BD697" s="7"/>
      <c r="BE697" s="7"/>
      <c r="BF697" s="7"/>
      <c r="BG697" s="7"/>
      <c r="BH697" s="7"/>
      <c r="BI697" s="7" t="s">
        <v>8501</v>
      </c>
      <c r="BJ697" s="7"/>
      <c r="BK697" s="7" t="b">
        <v>0</v>
      </c>
      <c r="BL697" s="7" t="b">
        <v>0</v>
      </c>
      <c r="BM697" s="7"/>
      <c r="BN697" s="7" t="str">
        <f>IFERROR(__xludf.DUMMYFUNCTION(" IF( REGEXMATCH(C697 , ""[(].+[)]""),REGEXREPLACE( CONCATENATE(REGEXEXTRACT(C697 , ""[(].+[)]""),IF(REGEXMATCH(C697 , ""[(][Ll]['’][)]""),"""","" ""), REGEXEXTRACT(C697 ,""^(?:(?:[A-Za-zàäéèêîïöôûü0-9 ](?:[A-Za-zàäéèêîïöôûü'0-9 ]+)))"")) , ""[()]"", """")"&amp;",C697 )"),"Bilimbi")</f>
        <v>Bilimbi</v>
      </c>
      <c r="BO697" s="25"/>
      <c r="BP697" s="7"/>
      <c r="BQ697" s="7"/>
      <c r="BR697" s="7"/>
      <c r="BS697" s="7"/>
      <c r="BT697" s="7"/>
      <c r="BU697" s="7"/>
      <c r="BV697" s="7"/>
      <c r="BW697" s="7"/>
      <c r="BX697" s="7"/>
      <c r="BY697" s="7"/>
      <c r="BZ697" s="7"/>
      <c r="CA697" s="7"/>
      <c r="CB697" s="7"/>
    </row>
    <row r="698" ht="21.75" customHeight="1">
      <c r="A698" s="7"/>
      <c r="B698" s="7" t="s">
        <v>8502</v>
      </c>
      <c r="C698" s="7" t="s">
        <v>8503</v>
      </c>
      <c r="D698" s="7" t="s">
        <v>8503</v>
      </c>
      <c r="E698" s="7"/>
      <c r="F698" s="7"/>
      <c r="G698" s="7" t="s">
        <v>343</v>
      </c>
      <c r="H698" s="7" t="s">
        <v>33</v>
      </c>
      <c r="I698" s="7" t="s">
        <v>8504</v>
      </c>
      <c r="J698" s="7"/>
      <c r="K698" s="6" t="s">
        <v>469</v>
      </c>
      <c r="L698" s="7" t="s">
        <v>1405</v>
      </c>
      <c r="M698" s="7" t="s">
        <v>1406</v>
      </c>
      <c r="N698" s="7" t="s">
        <v>407</v>
      </c>
      <c r="O698" s="7">
        <v>97442.0</v>
      </c>
      <c r="P698" s="7" t="s">
        <v>33</v>
      </c>
      <c r="Q698" s="7"/>
      <c r="R698" s="7"/>
      <c r="S698" s="7"/>
      <c r="T698" s="7" t="s">
        <v>2938</v>
      </c>
      <c r="U698" s="7" t="s">
        <v>8505</v>
      </c>
      <c r="V698" s="7">
        <v>2.62370637E8</v>
      </c>
      <c r="W698" s="7">
        <v>6.92654189E8</v>
      </c>
      <c r="X698" s="7">
        <v>6.9304102E8</v>
      </c>
      <c r="Y698" s="7"/>
      <c r="Z698" s="7" t="s">
        <v>8506</v>
      </c>
      <c r="AA698" s="7">
        <v>15.0</v>
      </c>
      <c r="AB698" s="7"/>
      <c r="AC698" s="7"/>
      <c r="AD698" s="7" t="s">
        <v>8507</v>
      </c>
      <c r="AE698" s="7"/>
      <c r="AF698" s="7" t="s">
        <v>613</v>
      </c>
      <c r="AG698" s="7"/>
      <c r="AH698" s="7"/>
      <c r="AI698" s="7"/>
      <c r="AJ698" s="7" t="s">
        <v>8508</v>
      </c>
      <c r="AK698" s="7">
        <v>4.0841937200029E13</v>
      </c>
      <c r="AL698" s="7" t="s">
        <v>8504</v>
      </c>
      <c r="AM698" s="7" t="s">
        <v>8509</v>
      </c>
      <c r="AN698" s="7"/>
      <c r="AO698" s="7">
        <v>97442.0</v>
      </c>
      <c r="AP698" s="7" t="s">
        <v>884</v>
      </c>
      <c r="AQ698" s="7"/>
      <c r="AR698" s="7"/>
      <c r="AS698" s="7"/>
      <c r="AT698" s="7"/>
      <c r="AU698" s="7"/>
      <c r="AV698" s="7" t="s">
        <v>8510</v>
      </c>
      <c r="AW698" s="7"/>
      <c r="AX698" s="7"/>
      <c r="AY698" s="7"/>
      <c r="AZ698" s="7"/>
      <c r="BA698" s="7"/>
      <c r="BB698" s="7"/>
      <c r="BC698" s="7" t="s">
        <v>401</v>
      </c>
      <c r="BD698" s="7"/>
      <c r="BE698" s="7"/>
      <c r="BF698" s="7"/>
      <c r="BG698" s="7"/>
      <c r="BH698" s="7">
        <v>4.08419372E8</v>
      </c>
      <c r="BI698" s="7" t="s">
        <v>8511</v>
      </c>
      <c r="BJ698" s="7"/>
      <c r="BK698" s="7" t="b">
        <v>0</v>
      </c>
      <c r="BL698" s="7" t="b">
        <v>0</v>
      </c>
      <c r="BM698" s="7"/>
      <c r="BN698" s="7" t="str">
        <f>IFERROR(__xludf.DUMMYFUNCTION(" IF( REGEXMATCH(C698 , ""[(].+[)]""),REGEXREPLACE( CONCATENATE(REGEXEXTRACT(C698 , ""[(].+[)]""),IF(REGEXMATCH(C698 , ""[(][Ll]['’][)]""),"""","" ""), REGEXEXTRACT(C698 ,""^(?:(?:[A-Za-zàäéèêîïöôûü0-9 ](?:[A-Za-zàäéèêîïöôûü'0-9 ]+)))"")) , ""[()]"", """")"&amp;",C698 )"),"Bitasion Bio du Souffleur d'Arbonne")</f>
        <v>Bitasion Bio du Souffleur d'Arbonne</v>
      </c>
      <c r="BO698" s="25"/>
      <c r="BP698" s="7"/>
      <c r="BQ698" s="7"/>
      <c r="BR698" s="7"/>
      <c r="BS698" s="7"/>
      <c r="BT698" s="7"/>
      <c r="BU698" s="7"/>
      <c r="BV698" s="7"/>
      <c r="BW698" s="7"/>
      <c r="BX698" s="7"/>
      <c r="BY698" s="7"/>
      <c r="BZ698" s="7"/>
      <c r="CA698" s="7"/>
      <c r="CB698" s="7"/>
    </row>
    <row r="699" ht="21.75" customHeight="1">
      <c r="A699" s="7"/>
      <c r="B699" s="7" t="s">
        <v>8512</v>
      </c>
      <c r="C699" s="7" t="s">
        <v>8513</v>
      </c>
      <c r="D699" s="7"/>
      <c r="E699" s="7"/>
      <c r="F699" s="7"/>
      <c r="G699" s="7" t="s">
        <v>343</v>
      </c>
      <c r="H699" s="7" t="s">
        <v>344</v>
      </c>
      <c r="I699" s="7" t="s">
        <v>8514</v>
      </c>
      <c r="J699" s="7"/>
      <c r="K699" s="7" t="s">
        <v>58</v>
      </c>
      <c r="L699" s="7" t="s">
        <v>59</v>
      </c>
      <c r="M699" s="7" t="s">
        <v>346</v>
      </c>
      <c r="N699" s="7"/>
      <c r="O699" s="7">
        <v>97430.0</v>
      </c>
      <c r="P699" s="7" t="s">
        <v>344</v>
      </c>
      <c r="Q699" s="7"/>
      <c r="R699" s="7" t="s">
        <v>8515</v>
      </c>
      <c r="S699" s="7" t="s">
        <v>8516</v>
      </c>
      <c r="T699" s="7" t="s">
        <v>3816</v>
      </c>
      <c r="U699" s="7" t="s">
        <v>1508</v>
      </c>
      <c r="V699" s="7"/>
      <c r="W699" s="7">
        <v>6.92228668E8</v>
      </c>
      <c r="X699" s="7"/>
      <c r="Y699" s="7"/>
      <c r="Z699" s="7" t="s">
        <v>8517</v>
      </c>
      <c r="AA699" s="7">
        <v>4.0</v>
      </c>
      <c r="AB699" s="7"/>
      <c r="AC699" s="7"/>
      <c r="AD699" s="7"/>
      <c r="AE699" s="7"/>
      <c r="AF699" s="7"/>
      <c r="AG699" s="7"/>
      <c r="AH699" s="7"/>
      <c r="AI699" s="7"/>
      <c r="AJ699" s="7" t="s">
        <v>8518</v>
      </c>
      <c r="AK699" s="7"/>
      <c r="AL699" s="7" t="s">
        <v>8519</v>
      </c>
      <c r="AM699" s="7"/>
      <c r="AN699" s="7"/>
      <c r="AO699" s="7">
        <v>97430.0</v>
      </c>
      <c r="AP699" s="7" t="s">
        <v>494</v>
      </c>
      <c r="AQ699" s="7"/>
      <c r="AR699" s="7"/>
      <c r="AS699" s="7"/>
      <c r="AT699" s="7"/>
      <c r="AU699" s="7">
        <v>1.0</v>
      </c>
      <c r="AV699" s="7" t="s">
        <v>8520</v>
      </c>
      <c r="AW699" s="7"/>
      <c r="AX699" s="7"/>
      <c r="AY699" s="7"/>
      <c r="AZ699" s="7"/>
      <c r="BA699" s="7"/>
      <c r="BB699" s="7"/>
      <c r="BC699" s="7" t="s">
        <v>401</v>
      </c>
      <c r="BD699" s="7"/>
      <c r="BE699" s="7"/>
      <c r="BF699" s="7"/>
      <c r="BG699" s="7"/>
      <c r="BH699" s="7"/>
      <c r="BI699" s="7" t="s">
        <v>8521</v>
      </c>
      <c r="BJ699" s="7"/>
      <c r="BK699" s="7" t="b">
        <v>0</v>
      </c>
      <c r="BL699" s="7" t="b">
        <v>0</v>
      </c>
      <c r="BM699" s="7"/>
      <c r="BN699" s="7" t="str">
        <f>IFERROR(__xludf.DUMMYFUNCTION(" IF( REGEXMATCH(C699 , ""[(].+[)]""),REGEXREPLACE( CONCATENATE(REGEXEXTRACT(C699 , ""[(].+[)]""),IF(REGEXMATCH(C699 , ""[(][Ll]['’][)]""),"""","" ""), REGEXEXTRACT(C699 ,""^(?:(?:[A-Za-zàäéèêîïöôûü0-9 ](?:[A-Za-zàäéèêîïöôûü'0-9 ]+)))"")) , ""[()]"", """")"&amp;",C699 )"),"Bleu Azur")</f>
        <v>Bleu Azur</v>
      </c>
      <c r="BO699" s="25"/>
      <c r="BP699" s="7"/>
      <c r="BQ699" s="7"/>
      <c r="BR699" s="7"/>
      <c r="BS699" s="7"/>
      <c r="BT699" s="7"/>
      <c r="BU699" s="7"/>
      <c r="BV699" s="7"/>
      <c r="BW699" s="7"/>
      <c r="BX699" s="7"/>
      <c r="BY699" s="7"/>
      <c r="BZ699" s="7"/>
      <c r="CA699" s="7"/>
      <c r="CB699" s="7"/>
    </row>
    <row r="700" ht="21.75" customHeight="1">
      <c r="A700" s="7"/>
      <c r="B700" s="7" t="s">
        <v>8522</v>
      </c>
      <c r="C700" s="7" t="s">
        <v>8523</v>
      </c>
      <c r="D700" s="7"/>
      <c r="E700" s="7"/>
      <c r="F700" s="7"/>
      <c r="G700" s="7" t="s">
        <v>343</v>
      </c>
      <c r="H700" s="7" t="s">
        <v>40</v>
      </c>
      <c r="I700" s="7" t="s">
        <v>8524</v>
      </c>
      <c r="J700" s="26" t="s">
        <v>8525</v>
      </c>
      <c r="K700" s="6" t="s">
        <v>469</v>
      </c>
      <c r="L700" s="7" t="s">
        <v>8526</v>
      </c>
      <c r="M700" s="7"/>
      <c r="N700" s="7"/>
      <c r="O700" s="7">
        <v>97414.0</v>
      </c>
      <c r="P700" s="7" t="s">
        <v>40</v>
      </c>
      <c r="Q700" s="7"/>
      <c r="R700" s="7"/>
      <c r="S700" s="7"/>
      <c r="T700" s="7"/>
      <c r="U700" s="7"/>
      <c r="V700" s="7"/>
      <c r="W700" s="7">
        <v>6.92669387E8</v>
      </c>
      <c r="X700" s="7"/>
      <c r="Y700" s="7"/>
      <c r="Z700" s="7" t="s">
        <v>8527</v>
      </c>
      <c r="AA700" s="7"/>
      <c r="AB700" s="7"/>
      <c r="AC700" s="7"/>
      <c r="AD700" s="7"/>
      <c r="AE700" s="7"/>
      <c r="AF700" s="7"/>
      <c r="AG700" s="7"/>
      <c r="AH700" s="7"/>
      <c r="AI700" s="7"/>
      <c r="AJ700" s="7" t="s">
        <v>8528</v>
      </c>
      <c r="AK700" s="7"/>
      <c r="AL700" s="7" t="s">
        <v>8529</v>
      </c>
      <c r="AM700" s="7" t="s">
        <v>8530</v>
      </c>
      <c r="AN700" s="7"/>
      <c r="AO700" s="7">
        <v>97414.0</v>
      </c>
      <c r="AP700" s="7" t="s">
        <v>429</v>
      </c>
      <c r="AQ700" s="7"/>
      <c r="AR700" s="7"/>
      <c r="AS700" s="7"/>
      <c r="AT700" s="7"/>
      <c r="AU700" s="7"/>
      <c r="AV700" s="7" t="s">
        <v>8531</v>
      </c>
      <c r="AW700" s="7"/>
      <c r="AX700" s="7"/>
      <c r="AY700" s="7"/>
      <c r="AZ700" s="7"/>
      <c r="BA700" s="7"/>
      <c r="BB700" s="7"/>
      <c r="BC700" s="7" t="s">
        <v>401</v>
      </c>
      <c r="BD700" s="7"/>
      <c r="BE700" s="7"/>
      <c r="BF700" s="7"/>
      <c r="BG700" s="7"/>
      <c r="BH700" s="7"/>
      <c r="BI700" s="7" t="s">
        <v>3290</v>
      </c>
      <c r="BJ700" s="7"/>
      <c r="BK700" s="7" t="b">
        <v>0</v>
      </c>
      <c r="BL700" s="7" t="b">
        <v>0</v>
      </c>
      <c r="BM700" s="7"/>
      <c r="BN700" s="7" t="str">
        <f>IFERROR(__xludf.DUMMYFUNCTION(" IF( REGEXMATCH(C700 , ""[(].+[)]""),REGEXREPLACE( CONCATENATE(REGEXEXTRACT(C700 , ""[(].+[)]""),IF(REGEXMATCH(C700 , ""[(][Ll]['’][)]""),"""","" ""), REGEXEXTRACT(C700 ,""^(?:(?:[A-Za-zàäéèêîïöôûü0-9 ](?:[A-Za-zàäéèêîïöôûü'0-9 ]+)))"")) , ""[()]"", """")"&amp;",C700 )"),"Bouillon d'Aventure")</f>
        <v>Bouillon d'Aventure</v>
      </c>
      <c r="BO700" s="25"/>
      <c r="BP700" s="7"/>
      <c r="BQ700" s="7"/>
      <c r="BR700" s="7"/>
      <c r="BS700" s="7"/>
      <c r="BT700" s="7"/>
      <c r="BU700" s="7"/>
      <c r="BV700" s="7"/>
      <c r="BW700" s="7"/>
      <c r="BX700" s="7"/>
      <c r="BY700" s="7"/>
      <c r="BZ700" s="7"/>
      <c r="CA700" s="7"/>
      <c r="CB700" s="7"/>
    </row>
    <row r="701" ht="21.75" customHeight="1">
      <c r="A701" s="7"/>
      <c r="B701" s="7" t="s">
        <v>273</v>
      </c>
      <c r="C701" s="7" t="s">
        <v>8532</v>
      </c>
      <c r="D701" s="7"/>
      <c r="E701" s="7"/>
      <c r="F701" s="7"/>
      <c r="G701" s="7" t="s">
        <v>343</v>
      </c>
      <c r="H701" s="7" t="s">
        <v>344</v>
      </c>
      <c r="I701" s="7" t="s">
        <v>8533</v>
      </c>
      <c r="J701" s="7"/>
      <c r="K701" s="7" t="s">
        <v>58</v>
      </c>
      <c r="L701" s="7" t="s">
        <v>59</v>
      </c>
      <c r="M701" s="7" t="s">
        <v>346</v>
      </c>
      <c r="N701" s="7"/>
      <c r="O701" s="7">
        <v>97418.0</v>
      </c>
      <c r="P701" s="7" t="s">
        <v>348</v>
      </c>
      <c r="Q701" s="7"/>
      <c r="R701" s="7"/>
      <c r="S701" s="7"/>
      <c r="T701" s="7" t="s">
        <v>377</v>
      </c>
      <c r="U701" s="7" t="s">
        <v>424</v>
      </c>
      <c r="V701" s="7"/>
      <c r="W701" s="7">
        <v>6.92275878E8</v>
      </c>
      <c r="X701" s="7"/>
      <c r="Y701" s="7"/>
      <c r="Z701" s="7" t="s">
        <v>8534</v>
      </c>
      <c r="AA701" s="7">
        <v>16.0</v>
      </c>
      <c r="AB701" s="7"/>
      <c r="AC701" s="7"/>
      <c r="AD701" s="7" t="s">
        <v>8535</v>
      </c>
      <c r="AE701" s="7"/>
      <c r="AF701" s="7"/>
      <c r="AG701" s="7"/>
      <c r="AH701" s="7"/>
      <c r="AI701" s="7"/>
      <c r="AJ701" s="7" t="s">
        <v>8536</v>
      </c>
      <c r="AK701" s="7"/>
      <c r="AL701" s="7" t="s">
        <v>8537</v>
      </c>
      <c r="AM701" s="7" t="s">
        <v>8538</v>
      </c>
      <c r="AN701" s="7"/>
      <c r="AO701" s="7">
        <v>97437.0</v>
      </c>
      <c r="AP701" s="7" t="s">
        <v>4685</v>
      </c>
      <c r="AQ701" s="7"/>
      <c r="AR701" s="7"/>
      <c r="AS701" s="7"/>
      <c r="AT701" s="7"/>
      <c r="AU701" s="7">
        <v>3.0</v>
      </c>
      <c r="AV701" s="7" t="s">
        <v>2412</v>
      </c>
      <c r="AW701" s="7"/>
      <c r="AX701" s="7"/>
      <c r="AY701" s="7"/>
      <c r="AZ701" s="7" t="s">
        <v>8539</v>
      </c>
      <c r="BA701" s="7"/>
      <c r="BB701" s="7"/>
      <c r="BC701" s="7" t="s">
        <v>401</v>
      </c>
      <c r="BD701" s="7"/>
      <c r="BE701" s="7"/>
      <c r="BF701" s="7"/>
      <c r="BG701" s="7"/>
      <c r="BH701" s="7"/>
      <c r="BI701" s="7" t="s">
        <v>2413</v>
      </c>
      <c r="BJ701" s="7"/>
      <c r="BK701" s="7" t="b">
        <v>0</v>
      </c>
      <c r="BL701" s="7" t="b">
        <v>0</v>
      </c>
      <c r="BM701" s="7"/>
      <c r="BN701" s="7" t="str">
        <f>IFERROR(__xludf.DUMMYFUNCTION(" IF( REGEXMATCH(C701 , ""[(].+[)]""),REGEXREPLACE( CONCATENATE(REGEXEXTRACT(C701 , ""[(].+[)]""),IF(REGEXMATCH(C701 , ""[(][Ll]['’][)]""),"""","" ""), REGEXEXTRACT(C701 ,""^(?:(?:[A-Za-zàäéèêîïöôûü0-9 ](?:[A-Za-zàäéèêîïöôûü'0-9 ]+)))"")) , ""[()]"", """")"&amp;",C701 )"),"1 bis Boyer Teddy ")</f>
        <v>1 bis Boyer Teddy </v>
      </c>
      <c r="BO701" s="25"/>
      <c r="BP701" s="7"/>
      <c r="BQ701" s="7"/>
      <c r="BR701" s="7"/>
      <c r="BS701" s="7"/>
      <c r="BT701" s="7"/>
      <c r="BU701" s="7"/>
      <c r="BV701" s="7"/>
      <c r="BW701" s="7"/>
      <c r="BX701" s="7"/>
      <c r="BY701" s="7"/>
      <c r="BZ701" s="7"/>
      <c r="CA701" s="7"/>
      <c r="CB701" s="7"/>
    </row>
    <row r="702" ht="21.75" customHeight="1">
      <c r="A702" s="7"/>
      <c r="B702" s="7" t="s">
        <v>8540</v>
      </c>
      <c r="C702" s="7" t="s">
        <v>8541</v>
      </c>
      <c r="D702" s="7"/>
      <c r="E702" s="7"/>
      <c r="F702" s="7"/>
      <c r="G702" s="7" t="s">
        <v>343</v>
      </c>
      <c r="H702" s="7" t="s">
        <v>344</v>
      </c>
      <c r="I702" s="7" t="s">
        <v>8542</v>
      </c>
      <c r="J702" s="7"/>
      <c r="K702" s="7" t="s">
        <v>58</v>
      </c>
      <c r="L702" s="7" t="s">
        <v>59</v>
      </c>
      <c r="M702" s="7" t="s">
        <v>346</v>
      </c>
      <c r="N702" s="7"/>
      <c r="O702" s="7">
        <v>97418.0</v>
      </c>
      <c r="P702" s="7" t="s">
        <v>348</v>
      </c>
      <c r="Q702" s="7"/>
      <c r="R702" s="7" t="s">
        <v>8543</v>
      </c>
      <c r="S702" s="7"/>
      <c r="T702" s="7" t="s">
        <v>377</v>
      </c>
      <c r="U702" s="7" t="s">
        <v>424</v>
      </c>
      <c r="V702" s="7"/>
      <c r="W702" s="7">
        <v>6.92275878E8</v>
      </c>
      <c r="X702" s="7"/>
      <c r="Y702" s="7"/>
      <c r="Z702" s="7" t="s">
        <v>8534</v>
      </c>
      <c r="AA702" s="7">
        <v>8.0</v>
      </c>
      <c r="AB702" s="7"/>
      <c r="AC702" s="7"/>
      <c r="AD702" s="7"/>
      <c r="AE702" s="7"/>
      <c r="AF702" s="7"/>
      <c r="AG702" s="7"/>
      <c r="AH702" s="7"/>
      <c r="AI702" s="7"/>
      <c r="AJ702" s="7" t="s">
        <v>8536</v>
      </c>
      <c r="AK702" s="7"/>
      <c r="AL702" s="7" t="s">
        <v>8537</v>
      </c>
      <c r="AM702" s="7" t="s">
        <v>8538</v>
      </c>
      <c r="AN702" s="7"/>
      <c r="AO702" s="7">
        <v>97437.0</v>
      </c>
      <c r="AP702" s="7" t="s">
        <v>4685</v>
      </c>
      <c r="AQ702" s="7"/>
      <c r="AR702" s="7"/>
      <c r="AS702" s="7"/>
      <c r="AT702" s="7"/>
      <c r="AU702" s="7">
        <v>3.0</v>
      </c>
      <c r="AV702" s="7" t="s">
        <v>2412</v>
      </c>
      <c r="AW702" s="7"/>
      <c r="AX702" s="7"/>
      <c r="AY702" s="7"/>
      <c r="AZ702" s="7" t="s">
        <v>8544</v>
      </c>
      <c r="BA702" s="7"/>
      <c r="BB702" s="7"/>
      <c r="BC702" s="7" t="s">
        <v>401</v>
      </c>
      <c r="BD702" s="7"/>
      <c r="BE702" s="7"/>
      <c r="BF702" s="7"/>
      <c r="BG702" s="7"/>
      <c r="BH702" s="7"/>
      <c r="BI702" s="7" t="s">
        <v>2413</v>
      </c>
      <c r="BJ702" s="7"/>
      <c r="BK702" s="7" t="b">
        <v>0</v>
      </c>
      <c r="BL702" s="7" t="b">
        <v>0</v>
      </c>
      <c r="BM702" s="7"/>
      <c r="BN702" s="7" t="str">
        <f>IFERROR(__xludf.DUMMYFUNCTION(" IF( REGEXMATCH(C702 , ""[(].+[)]""),REGEXREPLACE( CONCATENATE(REGEXEXTRACT(C702 , ""[(].+[)]""),IF(REGEXMATCH(C702 , ""[(][Ll]['’][)]""),"""","" ""), REGEXEXTRACT(C702 ,""^(?:(?:[A-Za-zàäéèêîïöôûü0-9 ](?:[A-Za-zàäéèêîïöôûü'0-9 ]+)))"")) , ""[()]"", """")"&amp;",C702 )"),"3 Boyer Teddy ")</f>
        <v>3 Boyer Teddy </v>
      </c>
      <c r="BO702" s="25"/>
      <c r="BP702" s="7"/>
      <c r="BQ702" s="7"/>
      <c r="BR702" s="7"/>
      <c r="BS702" s="7"/>
      <c r="BT702" s="7"/>
      <c r="BU702" s="7"/>
      <c r="BV702" s="7"/>
      <c r="BW702" s="7"/>
      <c r="BX702" s="7"/>
      <c r="BY702" s="7"/>
      <c r="BZ702" s="7"/>
      <c r="CA702" s="7"/>
      <c r="CB702" s="7"/>
    </row>
    <row r="703" ht="21.75" customHeight="1">
      <c r="A703" s="7"/>
      <c r="B703" s="7" t="s">
        <v>8545</v>
      </c>
      <c r="C703" s="7" t="s">
        <v>8546</v>
      </c>
      <c r="D703" s="7"/>
      <c r="E703" s="7"/>
      <c r="F703" s="7"/>
      <c r="G703" s="7" t="s">
        <v>343</v>
      </c>
      <c r="H703" s="7" t="s">
        <v>344</v>
      </c>
      <c r="I703" s="7" t="s">
        <v>8547</v>
      </c>
      <c r="J703" s="7"/>
      <c r="K703" s="7" t="s">
        <v>58</v>
      </c>
      <c r="L703" s="7" t="s">
        <v>59</v>
      </c>
      <c r="M703" s="7" t="s">
        <v>346</v>
      </c>
      <c r="N703" s="7"/>
      <c r="O703" s="7">
        <v>97418.0</v>
      </c>
      <c r="P703" s="7" t="s">
        <v>348</v>
      </c>
      <c r="Q703" s="7"/>
      <c r="R703" s="7"/>
      <c r="S703" s="7"/>
      <c r="T703" s="7" t="s">
        <v>377</v>
      </c>
      <c r="U703" s="7" t="s">
        <v>424</v>
      </c>
      <c r="V703" s="7"/>
      <c r="W703" s="7">
        <v>6.92275878E8</v>
      </c>
      <c r="X703" s="7"/>
      <c r="Y703" s="7"/>
      <c r="Z703" s="7" t="s">
        <v>8534</v>
      </c>
      <c r="AA703" s="7">
        <v>5.0</v>
      </c>
      <c r="AB703" s="7"/>
      <c r="AC703" s="7"/>
      <c r="AD703" s="7"/>
      <c r="AE703" s="7"/>
      <c r="AF703" s="7"/>
      <c r="AG703" s="7"/>
      <c r="AH703" s="7"/>
      <c r="AI703" s="7"/>
      <c r="AJ703" s="7" t="s">
        <v>8536</v>
      </c>
      <c r="AK703" s="7"/>
      <c r="AL703" s="7" t="s">
        <v>8537</v>
      </c>
      <c r="AM703" s="7" t="s">
        <v>8538</v>
      </c>
      <c r="AN703" s="7"/>
      <c r="AO703" s="7">
        <v>97437.0</v>
      </c>
      <c r="AP703" s="7" t="s">
        <v>4685</v>
      </c>
      <c r="AQ703" s="7"/>
      <c r="AR703" s="7"/>
      <c r="AS703" s="7"/>
      <c r="AT703" s="7"/>
      <c r="AU703" s="7">
        <v>3.0</v>
      </c>
      <c r="AV703" s="7" t="s">
        <v>2412</v>
      </c>
      <c r="AW703" s="7"/>
      <c r="AX703" s="7"/>
      <c r="AY703" s="7"/>
      <c r="AZ703" s="7" t="s">
        <v>8548</v>
      </c>
      <c r="BA703" s="7"/>
      <c r="BB703" s="7"/>
      <c r="BC703" s="7" t="s">
        <v>401</v>
      </c>
      <c r="BD703" s="7"/>
      <c r="BE703" s="7"/>
      <c r="BF703" s="7"/>
      <c r="BG703" s="7"/>
      <c r="BH703" s="7"/>
      <c r="BI703" s="7" t="s">
        <v>2413</v>
      </c>
      <c r="BJ703" s="7"/>
      <c r="BK703" s="7" t="b">
        <v>0</v>
      </c>
      <c r="BL703" s="7" t="b">
        <v>0</v>
      </c>
      <c r="BM703" s="7"/>
      <c r="BN703" s="7" t="str">
        <f>IFERROR(__xludf.DUMMYFUNCTION(" IF( REGEXMATCH(C703 , ""[(].+[)]""),REGEXREPLACE( CONCATENATE(REGEXEXTRACT(C703 , ""[(].+[)]""),IF(REGEXMATCH(C703 , ""[(][Ll]['’][)]""),"""","" ""), REGEXEXTRACT(C703 ,""^(?:(?:[A-Za-zàäéèêîïöôûü0-9 ](?:[A-Za-zàäéèêîïöôûü'0-9 ]+)))"")) , ""[()]"", """")"&amp;",C703 )"),"3ter Boyer Teddy ")</f>
        <v>3ter Boyer Teddy </v>
      </c>
      <c r="BO703" s="25"/>
      <c r="BP703" s="7"/>
      <c r="BQ703" s="7"/>
      <c r="BR703" s="7"/>
      <c r="BS703" s="7"/>
      <c r="BT703" s="7"/>
      <c r="BU703" s="7"/>
      <c r="BV703" s="7"/>
      <c r="BW703" s="7"/>
      <c r="BX703" s="7"/>
      <c r="BY703" s="7"/>
      <c r="BZ703" s="7"/>
      <c r="CA703" s="7"/>
      <c r="CB703" s="7"/>
    </row>
    <row r="704" ht="21.75" customHeight="1">
      <c r="A704" s="7"/>
      <c r="B704" s="7" t="s">
        <v>8549</v>
      </c>
      <c r="C704" s="7" t="s">
        <v>8550</v>
      </c>
      <c r="D704" s="7"/>
      <c r="E704" s="7"/>
      <c r="F704" s="7"/>
      <c r="G704" s="7" t="s">
        <v>343</v>
      </c>
      <c r="H704" s="7" t="s">
        <v>344</v>
      </c>
      <c r="I704" s="7" t="s">
        <v>8551</v>
      </c>
      <c r="J704" s="7"/>
      <c r="K704" s="6" t="s">
        <v>469</v>
      </c>
      <c r="L704" s="7" t="s">
        <v>470</v>
      </c>
      <c r="M704" s="7"/>
      <c r="N704" s="7" t="s">
        <v>1092</v>
      </c>
      <c r="O704" s="7"/>
      <c r="P704" s="7"/>
      <c r="Q704" s="7"/>
      <c r="R704" s="7"/>
      <c r="S704" s="7"/>
      <c r="T704" s="7" t="s">
        <v>2390</v>
      </c>
      <c r="U704" s="7"/>
      <c r="V704" s="7"/>
      <c r="W704" s="7">
        <v>6.9232656E8</v>
      </c>
      <c r="X704" s="7">
        <v>2.62011974E8</v>
      </c>
      <c r="Y704" s="7"/>
      <c r="Z704" s="7" t="s">
        <v>8552</v>
      </c>
      <c r="AA704" s="7"/>
      <c r="AB704" s="7"/>
      <c r="AC704" s="7"/>
      <c r="AD704" s="7"/>
      <c r="AE704" s="7"/>
      <c r="AF704" s="7"/>
      <c r="AG704" s="7"/>
      <c r="AH704" s="7"/>
      <c r="AI704" s="7"/>
      <c r="AJ704" s="7" t="s">
        <v>8553</v>
      </c>
      <c r="AK704" s="7">
        <v>8.1035901800027E13</v>
      </c>
      <c r="AL704" s="7" t="s">
        <v>8554</v>
      </c>
      <c r="AM704" s="7" t="s">
        <v>8555</v>
      </c>
      <c r="AN704" s="7"/>
      <c r="AO704" s="7">
        <v>97418.0</v>
      </c>
      <c r="AP704" s="7"/>
      <c r="AQ704" s="7"/>
      <c r="AR704" s="7"/>
      <c r="AS704" s="7"/>
      <c r="AT704" s="7"/>
      <c r="AU704" s="7">
        <v>1.0</v>
      </c>
      <c r="AV704" s="7" t="s">
        <v>8556</v>
      </c>
      <c r="AW704" s="7"/>
      <c r="AX704" s="7"/>
      <c r="AY704" s="7"/>
      <c r="AZ704" s="7"/>
      <c r="BA704" s="7"/>
      <c r="BB704" s="7"/>
      <c r="BC704" s="7" t="s">
        <v>401</v>
      </c>
      <c r="BD704" s="7"/>
      <c r="BE704" s="7"/>
      <c r="BF704" s="7"/>
      <c r="BG704" s="7"/>
      <c r="BH704" s="7">
        <v>8.10359018E8</v>
      </c>
      <c r="BI704" s="7" t="s">
        <v>8557</v>
      </c>
      <c r="BJ704" s="7"/>
      <c r="BK704" s="7" t="b">
        <v>0</v>
      </c>
      <c r="BL704" s="7" t="b">
        <v>0</v>
      </c>
      <c r="BM704" s="7"/>
      <c r="BN704" s="7" t="str">
        <f>IFERROR(__xludf.DUMMYFUNCTION(" IF( REGEXMATCH(C704 , ""[(].+[)]""),REGEXREPLACE( CONCATENATE(REGEXEXTRACT(C704 , ""[(].+[)]""),IF(REGEXMATCH(C704 , ""[(][Ll]['’][)]""),"""","" ""), REGEXEXTRACT(C704 ,""^(?:(?:[A-Za-zàäéèêîïöôûü0-9 ](?:[A-Za-zàäéèêîïöôûü'0-9 ]+)))"")) , ""[()]"", """")"&amp;",C704 )"),"Bugg's Buggy")</f>
        <v>Bugg's Buggy</v>
      </c>
      <c r="BO704" s="25"/>
      <c r="BP704" s="7"/>
      <c r="BQ704" s="7"/>
      <c r="BR704" s="7"/>
      <c r="BS704" s="7"/>
      <c r="BT704" s="7"/>
      <c r="BU704" s="7"/>
      <c r="BV704" s="7"/>
      <c r="BW704" s="7"/>
      <c r="BX704" s="7"/>
      <c r="BY704" s="7"/>
      <c r="BZ704" s="7"/>
      <c r="CA704" s="7"/>
      <c r="CB704" s="7"/>
    </row>
    <row r="705" ht="21.75" customHeight="1">
      <c r="A705" s="7"/>
      <c r="B705" s="7" t="s">
        <v>8558</v>
      </c>
      <c r="C705" s="7" t="s">
        <v>8559</v>
      </c>
      <c r="D705" s="7"/>
      <c r="E705" s="7"/>
      <c r="F705" s="7"/>
      <c r="G705" s="7" t="s">
        <v>343</v>
      </c>
      <c r="H705" s="7" t="s">
        <v>344</v>
      </c>
      <c r="I705" s="7" t="s">
        <v>8560</v>
      </c>
      <c r="J705" s="7"/>
      <c r="K705" s="7" t="s">
        <v>58</v>
      </c>
      <c r="L705" s="7" t="s">
        <v>59</v>
      </c>
      <c r="M705" s="7"/>
      <c r="N705" s="7"/>
      <c r="O705" s="7">
        <v>97418.0</v>
      </c>
      <c r="P705" s="7" t="s">
        <v>348</v>
      </c>
      <c r="Q705" s="7"/>
      <c r="R705" s="7"/>
      <c r="S705" s="7"/>
      <c r="T705" s="7" t="s">
        <v>2390</v>
      </c>
      <c r="U705" s="7"/>
      <c r="V705" s="7"/>
      <c r="W705" s="7">
        <v>6.93935177E8</v>
      </c>
      <c r="X705" s="7"/>
      <c r="Y705" s="7"/>
      <c r="Z705" s="7" t="s">
        <v>8561</v>
      </c>
      <c r="AA705" s="7">
        <v>2.0</v>
      </c>
      <c r="AB705" s="7"/>
      <c r="AC705" s="7"/>
      <c r="AD705" s="7" t="s">
        <v>8562</v>
      </c>
      <c r="AE705" s="7"/>
      <c r="AF705" s="7"/>
      <c r="AG705" s="7"/>
      <c r="AH705" s="7"/>
      <c r="AI705" s="7"/>
      <c r="AJ705" s="7" t="s">
        <v>8563</v>
      </c>
      <c r="AK705" s="7"/>
      <c r="AL705" s="7" t="s">
        <v>8560</v>
      </c>
      <c r="AM705" s="7" t="s">
        <v>8564</v>
      </c>
      <c r="AN705" s="7"/>
      <c r="AO705" s="7">
        <v>97418.0</v>
      </c>
      <c r="AP705" s="7"/>
      <c r="AQ705" s="7"/>
      <c r="AR705" s="7"/>
      <c r="AS705" s="7"/>
      <c r="AT705" s="7"/>
      <c r="AU705" s="7">
        <v>1.0</v>
      </c>
      <c r="AV705" s="7" t="s">
        <v>8565</v>
      </c>
      <c r="AW705" s="7"/>
      <c r="AX705" s="7"/>
      <c r="AY705" s="7"/>
      <c r="AZ705" s="7" t="s">
        <v>8566</v>
      </c>
      <c r="BA705" s="7"/>
      <c r="BB705" s="7"/>
      <c r="BC705" s="7" t="s">
        <v>401</v>
      </c>
      <c r="BD705" s="7"/>
      <c r="BE705" s="7"/>
      <c r="BF705" s="7"/>
      <c r="BG705" s="7"/>
      <c r="BH705" s="7"/>
      <c r="BI705" s="7" t="s">
        <v>8567</v>
      </c>
      <c r="BJ705" s="7"/>
      <c r="BK705" s="7" t="b">
        <v>0</v>
      </c>
      <c r="BL705" s="7" t="b">
        <v>0</v>
      </c>
      <c r="BM705" s="7"/>
      <c r="BN705" s="7" t="str">
        <f>IFERROR(__xludf.DUMMYFUNCTION(" IF( REGEXMATCH(C705 , ""[(].+[)]""),REGEXREPLACE( CONCATENATE(REGEXEXTRACT(C705 , ""[(].+[)]""),IF(REGEXMATCH(C705 , ""[(][Ll]['’][)]""),"""","" ""), REGEXEXTRACT(C705 ,""^(?:(?:[A-Za-zàäéèêîïöôûü0-9 ](?:[A-Za-zàäéèêîïöôûü'0-9 ]+)))"")) , ""[()]"", """")"&amp;",C705 )"),"Bungalow de Charme")</f>
        <v>Bungalow de Charme</v>
      </c>
      <c r="BO705" s="25"/>
      <c r="BP705" s="7"/>
      <c r="BQ705" s="7"/>
      <c r="BR705" s="7"/>
      <c r="BS705" s="7"/>
      <c r="BT705" s="7"/>
      <c r="BU705" s="7"/>
      <c r="BV705" s="7"/>
      <c r="BW705" s="7"/>
      <c r="BX705" s="7"/>
      <c r="BY705" s="7"/>
      <c r="BZ705" s="7"/>
      <c r="CA705" s="7"/>
      <c r="CB705" s="7"/>
    </row>
    <row r="706" ht="21.75" customHeight="1">
      <c r="A706" s="7"/>
      <c r="B706" s="7" t="s">
        <v>8568</v>
      </c>
      <c r="C706" s="7" t="s">
        <v>8569</v>
      </c>
      <c r="D706" s="7"/>
      <c r="E706" s="7"/>
      <c r="F706" s="7"/>
      <c r="G706" s="7" t="s">
        <v>343</v>
      </c>
      <c r="H706" s="7" t="s">
        <v>40</v>
      </c>
      <c r="I706" s="7" t="s">
        <v>8570</v>
      </c>
      <c r="J706" s="7"/>
      <c r="K706" s="7" t="s">
        <v>58</v>
      </c>
      <c r="L706" s="7" t="s">
        <v>59</v>
      </c>
      <c r="M706" s="7" t="s">
        <v>545</v>
      </c>
      <c r="N706" s="7"/>
      <c r="O706" s="7">
        <v>97414.0</v>
      </c>
      <c r="P706" s="7" t="s">
        <v>40</v>
      </c>
      <c r="Q706" s="7"/>
      <c r="R706" s="7" t="s">
        <v>8015</v>
      </c>
      <c r="S706" s="7"/>
      <c r="T706" s="7"/>
      <c r="U706" s="7" t="s">
        <v>424</v>
      </c>
      <c r="V706" s="7"/>
      <c r="W706" s="7">
        <v>6.92014407E8</v>
      </c>
      <c r="X706" s="7"/>
      <c r="Y706" s="7"/>
      <c r="Z706" s="7" t="s">
        <v>8571</v>
      </c>
      <c r="AA706" s="7">
        <v>2.0</v>
      </c>
      <c r="AB706" s="7"/>
      <c r="AC706" s="7"/>
      <c r="AD706" s="7" t="s">
        <v>8572</v>
      </c>
      <c r="AE706" s="7"/>
      <c r="AF706" s="7"/>
      <c r="AG706" s="7"/>
      <c r="AH706" s="7"/>
      <c r="AI706" s="7"/>
      <c r="AJ706" s="7" t="s">
        <v>8573</v>
      </c>
      <c r="AK706" s="7">
        <v>8.4267086100025E13</v>
      </c>
      <c r="AL706" s="7" t="s">
        <v>8570</v>
      </c>
      <c r="AM706" s="7" t="s">
        <v>8574</v>
      </c>
      <c r="AN706" s="7"/>
      <c r="AO706" s="7">
        <v>97414.0</v>
      </c>
      <c r="AP706" s="7" t="s">
        <v>429</v>
      </c>
      <c r="AQ706" s="7"/>
      <c r="AR706" s="7"/>
      <c r="AS706" s="7"/>
      <c r="AT706" s="7"/>
      <c r="AU706" s="7">
        <v>1.0</v>
      </c>
      <c r="AV706" s="7" t="s">
        <v>8575</v>
      </c>
      <c r="AW706" s="7"/>
      <c r="AX706" s="7" t="s">
        <v>7024</v>
      </c>
      <c r="AY706" s="7" t="s">
        <v>1590</v>
      </c>
      <c r="AZ706" s="7" t="s">
        <v>8576</v>
      </c>
      <c r="BA706" s="7"/>
      <c r="BB706" s="7"/>
      <c r="BC706" s="7" t="s">
        <v>401</v>
      </c>
      <c r="BD706" s="7"/>
      <c r="BE706" s="7"/>
      <c r="BF706" s="7"/>
      <c r="BG706" s="7"/>
      <c r="BH706" s="7">
        <v>8.42670861E8</v>
      </c>
      <c r="BI706" s="7" t="s">
        <v>8577</v>
      </c>
      <c r="BJ706" s="7"/>
      <c r="BK706" s="7" t="b">
        <v>0</v>
      </c>
      <c r="BL706" s="7" t="b">
        <v>0</v>
      </c>
      <c r="BM706" s="7"/>
      <c r="BN706" s="7" t="str">
        <f>IFERROR(__xludf.DUMMYFUNCTION(" IF( REGEXMATCH(C706 , ""[(].+[)]""),REGEXREPLACE( CONCATENATE(REGEXEXTRACT(C706 , ""[(].+[)]""),IF(REGEXMATCH(C706 , ""[(][Ll]['’][)]""),"""","" ""), REGEXEXTRACT(C706 ,""^(?:(?:[A-Za-zàäéèêîïöôûü0-9 ](?:[A-Za-zàäéèêîïöôûü'0-9 ]+)))"")) , ""[()]"", """")"&amp;",C706 )"),"Bungalow Lavula'O")</f>
        <v>Bungalow Lavula'O</v>
      </c>
      <c r="BO706" s="25"/>
      <c r="BP706" s="7"/>
      <c r="BQ706" s="7"/>
      <c r="BR706" s="7"/>
      <c r="BS706" s="7"/>
      <c r="BT706" s="7"/>
      <c r="BU706" s="7"/>
      <c r="BV706" s="7"/>
      <c r="BW706" s="7"/>
      <c r="BX706" s="7"/>
      <c r="BY706" s="7"/>
      <c r="BZ706" s="7"/>
      <c r="CA706" s="7"/>
      <c r="CB706" s="7"/>
    </row>
    <row r="707" ht="21.75" customHeight="1">
      <c r="A707" s="7"/>
      <c r="B707" s="7" t="s">
        <v>8578</v>
      </c>
      <c r="C707" s="7" t="s">
        <v>8579</v>
      </c>
      <c r="D707" s="7"/>
      <c r="E707" s="7"/>
      <c r="F707" s="7"/>
      <c r="G707" s="7" t="s">
        <v>343</v>
      </c>
      <c r="H707" s="7" t="s">
        <v>40</v>
      </c>
      <c r="I707" s="7" t="s">
        <v>8580</v>
      </c>
      <c r="J707" s="26" t="s">
        <v>8581</v>
      </c>
      <c r="K707" s="7" t="s">
        <v>58</v>
      </c>
      <c r="L707" s="7" t="s">
        <v>59</v>
      </c>
      <c r="M707" s="7" t="s">
        <v>545</v>
      </c>
      <c r="N707" s="7"/>
      <c r="O707" s="7">
        <v>97414.0</v>
      </c>
      <c r="P707" s="7" t="s">
        <v>40</v>
      </c>
      <c r="Q707" s="7" t="s">
        <v>8582</v>
      </c>
      <c r="R707" s="7"/>
      <c r="S707" s="7"/>
      <c r="T707" s="7" t="s">
        <v>377</v>
      </c>
      <c r="U707" s="7"/>
      <c r="V707" s="7"/>
      <c r="W707" s="7">
        <v>6.93421593E8</v>
      </c>
      <c r="X707" s="7">
        <v>6.92336173E8</v>
      </c>
      <c r="Y707" s="7"/>
      <c r="Z707" s="7" t="s">
        <v>8583</v>
      </c>
      <c r="AA707" s="7">
        <v>6.0</v>
      </c>
      <c r="AB707" s="7"/>
      <c r="AC707" s="7"/>
      <c r="AD707" s="7" t="s">
        <v>8584</v>
      </c>
      <c r="AE707" s="7"/>
      <c r="AF707" s="7"/>
      <c r="AG707" s="7"/>
      <c r="AH707" s="7"/>
      <c r="AI707" s="7"/>
      <c r="AJ707" s="7" t="s">
        <v>8585</v>
      </c>
      <c r="AK707" s="7">
        <v>3.5209309000038E13</v>
      </c>
      <c r="AL707" s="7" t="s">
        <v>8580</v>
      </c>
      <c r="AM707" s="7" t="s">
        <v>8586</v>
      </c>
      <c r="AN707" s="7"/>
      <c r="AO707" s="7">
        <v>97414.0</v>
      </c>
      <c r="AP707" s="7" t="s">
        <v>429</v>
      </c>
      <c r="AQ707" s="7"/>
      <c r="AR707" s="7"/>
      <c r="AS707" s="7"/>
      <c r="AT707" s="7"/>
      <c r="AU707" s="7">
        <v>2.0</v>
      </c>
      <c r="AV707" s="7" t="s">
        <v>8587</v>
      </c>
      <c r="AW707" s="7"/>
      <c r="AX707" s="7" t="s">
        <v>3270</v>
      </c>
      <c r="AY707" s="7" t="s">
        <v>1590</v>
      </c>
      <c r="AZ707" s="7" t="s">
        <v>8588</v>
      </c>
      <c r="BA707" s="7"/>
      <c r="BB707" s="7"/>
      <c r="BC707" s="7" t="s">
        <v>401</v>
      </c>
      <c r="BD707" s="7"/>
      <c r="BE707" s="7"/>
      <c r="BF707" s="7"/>
      <c r="BG707" s="7"/>
      <c r="BH707" s="7">
        <v>3.5209309E8</v>
      </c>
      <c r="BI707" s="7" t="s">
        <v>8589</v>
      </c>
      <c r="BJ707" s="7"/>
      <c r="BK707" s="7" t="b">
        <v>0</v>
      </c>
      <c r="BL707" s="7" t="b">
        <v>0</v>
      </c>
      <c r="BM707" s="7"/>
      <c r="BN707" s="7" t="str">
        <f>IFERROR(__xludf.DUMMYFUNCTION(" IF( REGEXMATCH(C707 , ""[(].+[)]""),REGEXREPLACE( CONCATENATE(REGEXEXTRACT(C707 , ""[(].+[)]""),IF(REGEXMATCH(C707 , ""[(][Ll]['’][)]""),"""","" ""), REGEXEXTRACT(C707 ,""^(?:(?:[A-Za-zàäéèêîïöôûü0-9 ](?:[A-Za-zàäéèêîïöôûü'0-9 ]+)))"")) , ""[()]"", """")"&amp;",C707 )"),"Bungalow les bambous")</f>
        <v>Bungalow les bambous</v>
      </c>
      <c r="BO707" s="25"/>
      <c r="BP707" s="7"/>
      <c r="BQ707" s="7"/>
      <c r="BR707" s="7"/>
      <c r="BS707" s="7"/>
      <c r="BT707" s="7"/>
      <c r="BU707" s="7"/>
      <c r="BV707" s="7"/>
      <c r="BW707" s="7"/>
      <c r="BX707" s="7"/>
      <c r="BY707" s="7"/>
      <c r="BZ707" s="7"/>
      <c r="CA707" s="7"/>
      <c r="CB707" s="7"/>
    </row>
    <row r="708" ht="21.75" customHeight="1">
      <c r="A708" s="7"/>
      <c r="B708" s="7" t="s">
        <v>8590</v>
      </c>
      <c r="C708" s="7" t="s">
        <v>8591</v>
      </c>
      <c r="D708" s="7"/>
      <c r="E708" s="7"/>
      <c r="F708" s="7"/>
      <c r="G708" s="7" t="s">
        <v>343</v>
      </c>
      <c r="H708" s="7" t="s">
        <v>123</v>
      </c>
      <c r="I708" s="7" t="s">
        <v>8592</v>
      </c>
      <c r="J708" s="26" t="s">
        <v>8593</v>
      </c>
      <c r="K708" s="7" t="s">
        <v>58</v>
      </c>
      <c r="L708" s="7" t="s">
        <v>59</v>
      </c>
      <c r="M708" s="7" t="s">
        <v>545</v>
      </c>
      <c r="N708" s="7"/>
      <c r="O708" s="7">
        <v>97480.0</v>
      </c>
      <c r="P708" s="7" t="s">
        <v>123</v>
      </c>
      <c r="Q708" s="7"/>
      <c r="R708" s="7"/>
      <c r="S708" s="7"/>
      <c r="T708" s="7" t="s">
        <v>2938</v>
      </c>
      <c r="U708" s="7" t="s">
        <v>424</v>
      </c>
      <c r="V708" s="7"/>
      <c r="W708" s="7">
        <v>6.9204048E8</v>
      </c>
      <c r="X708" s="7"/>
      <c r="Y708" s="7"/>
      <c r="Z708" s="7" t="s">
        <v>8594</v>
      </c>
      <c r="AA708" s="7">
        <v>2.0</v>
      </c>
      <c r="AB708" s="7"/>
      <c r="AC708" s="7"/>
      <c r="AD708" s="7"/>
      <c r="AE708" s="7"/>
      <c r="AF708" s="7"/>
      <c r="AG708" s="7"/>
      <c r="AH708" s="20">
        <v>43101.0</v>
      </c>
      <c r="AI708" s="7"/>
      <c r="AJ708" s="7" t="s">
        <v>8595</v>
      </c>
      <c r="AK708" s="7"/>
      <c r="AL708" s="7" t="s">
        <v>8592</v>
      </c>
      <c r="AM708" s="7" t="s">
        <v>8596</v>
      </c>
      <c r="AN708" s="7"/>
      <c r="AO708" s="7">
        <v>97480.0</v>
      </c>
      <c r="AP708" s="7" t="s">
        <v>385</v>
      </c>
      <c r="AQ708" s="7"/>
      <c r="AR708" s="7"/>
      <c r="AS708" s="7"/>
      <c r="AT708" s="7"/>
      <c r="AU708" s="7">
        <v>1.0</v>
      </c>
      <c r="AV708" s="7" t="s">
        <v>6048</v>
      </c>
      <c r="AW708" s="7"/>
      <c r="AX708" s="7" t="s">
        <v>7024</v>
      </c>
      <c r="AY708" s="7" t="s">
        <v>1590</v>
      </c>
      <c r="AZ708" s="7" t="s">
        <v>8597</v>
      </c>
      <c r="BA708" s="7"/>
      <c r="BB708" s="7"/>
      <c r="BC708" s="7" t="s">
        <v>401</v>
      </c>
      <c r="BD708" s="7"/>
      <c r="BE708" s="7"/>
      <c r="BF708" s="7"/>
      <c r="BG708" s="7"/>
      <c r="BH708" s="7"/>
      <c r="BI708" s="7" t="s">
        <v>1087</v>
      </c>
      <c r="BJ708" s="7"/>
      <c r="BK708" s="7" t="b">
        <v>0</v>
      </c>
      <c r="BL708" s="7" t="b">
        <v>0</v>
      </c>
      <c r="BM708" s="7"/>
      <c r="BN708" s="7" t="str">
        <f>IFERROR(__xludf.DUMMYFUNCTION(" IF( REGEXMATCH(C708 , ""[(].+[)]""),REGEXREPLACE( CONCATENATE(REGEXEXTRACT(C708 , ""[(].+[)]""),IF(REGEXMATCH(C708 , ""[(][Ll]['’][)]""),"""","" ""), REGEXEXTRACT(C708 ,""^(?:(?:[A-Za-zàäéèêîïöôûü0-9 ](?:[A-Za-zàäéèêîïöôûü'0-9 ]+)))"")) , ""[()]"", """")"&amp;",C708 )"),"Bungalow Paille en Queue")</f>
        <v>Bungalow Paille en Queue</v>
      </c>
      <c r="BO708" s="25"/>
      <c r="BP708" s="7"/>
      <c r="BQ708" s="7"/>
      <c r="BR708" s="7"/>
      <c r="BS708" s="7"/>
      <c r="BT708" s="7"/>
      <c r="BU708" s="7"/>
      <c r="BV708" s="7"/>
      <c r="BW708" s="7"/>
      <c r="BX708" s="7"/>
      <c r="BY708" s="7"/>
      <c r="BZ708" s="7"/>
      <c r="CA708" s="7"/>
      <c r="CB708" s="7"/>
    </row>
    <row r="709" ht="21.75" customHeight="1">
      <c r="A709" s="7"/>
      <c r="B709" s="7" t="s">
        <v>8598</v>
      </c>
      <c r="C709" s="7" t="s">
        <v>8599</v>
      </c>
      <c r="D709" s="7"/>
      <c r="E709" s="7"/>
      <c r="F709" s="7"/>
      <c r="G709" s="7" t="s">
        <v>343</v>
      </c>
      <c r="H709" s="7" t="s">
        <v>344</v>
      </c>
      <c r="I709" s="7" t="s">
        <v>8600</v>
      </c>
      <c r="J709" s="7"/>
      <c r="K709" s="7" t="s">
        <v>58</v>
      </c>
      <c r="L709" s="7" t="s">
        <v>59</v>
      </c>
      <c r="M709" s="7" t="s">
        <v>374</v>
      </c>
      <c r="N709" s="7" t="s">
        <v>422</v>
      </c>
      <c r="O709" s="7">
        <v>97430.0</v>
      </c>
      <c r="P709" s="7" t="s">
        <v>344</v>
      </c>
      <c r="Q709" s="7"/>
      <c r="R709" s="7" t="s">
        <v>8601</v>
      </c>
      <c r="S709" s="7" t="s">
        <v>8602</v>
      </c>
      <c r="T709" s="7" t="s">
        <v>2390</v>
      </c>
      <c r="U709" s="7" t="s">
        <v>353</v>
      </c>
      <c r="V709" s="7"/>
      <c r="W709" s="7">
        <v>6.92588445E8</v>
      </c>
      <c r="X709" s="7"/>
      <c r="Y709" s="7"/>
      <c r="Z709" s="7" t="s">
        <v>8603</v>
      </c>
      <c r="AA709" s="7">
        <v>2.0</v>
      </c>
      <c r="AB709" s="7"/>
      <c r="AC709" s="7"/>
      <c r="AD709" s="7"/>
      <c r="AE709" s="7"/>
      <c r="AF709" s="7"/>
      <c r="AG709" s="7"/>
      <c r="AH709" s="7"/>
      <c r="AI709" s="7"/>
      <c r="AJ709" s="7" t="s">
        <v>8604</v>
      </c>
      <c r="AK709" s="7"/>
      <c r="AL709" s="7" t="s">
        <v>8605</v>
      </c>
      <c r="AM709" s="7"/>
      <c r="AN709" s="7"/>
      <c r="AO709" s="7">
        <v>97430.0</v>
      </c>
      <c r="AP709" s="7" t="s">
        <v>494</v>
      </c>
      <c r="AQ709" s="7"/>
      <c r="AR709" s="7"/>
      <c r="AS709" s="7"/>
      <c r="AT709" s="7"/>
      <c r="AU709" s="7">
        <v>1.0</v>
      </c>
      <c r="AV709" s="7" t="s">
        <v>8606</v>
      </c>
      <c r="AW709" s="7"/>
      <c r="AX709" s="7"/>
      <c r="AY709" s="7"/>
      <c r="AZ709" s="7"/>
      <c r="BA709" s="7"/>
      <c r="BB709" s="7"/>
      <c r="BC709" s="7" t="s">
        <v>401</v>
      </c>
      <c r="BD709" s="7"/>
      <c r="BE709" s="7"/>
      <c r="BF709" s="7"/>
      <c r="BG709" s="7"/>
      <c r="BH709" s="7"/>
      <c r="BI709" s="7" t="s">
        <v>8607</v>
      </c>
      <c r="BJ709" s="7"/>
      <c r="BK709" s="7" t="b">
        <v>0</v>
      </c>
      <c r="BL709" s="7" t="b">
        <v>0</v>
      </c>
      <c r="BM709" s="7"/>
      <c r="BN709" s="7" t="str">
        <f>IFERROR(__xludf.DUMMYFUNCTION(" IF( REGEXMATCH(C709 , ""[(].+[)]""),REGEXREPLACE( CONCATENATE(REGEXEXTRACT(C709 , ""[(].+[)]""),IF(REGEXMATCH(C709 , ""[(][Ll]['’][)]""),"""","" ""), REGEXEXTRACT(C709 ,""^(?:(?:[A-Za-zàäéèêîïöôûü0-9 ](?:[A-Za-zàäéèêîïöôûü'0-9 ]+)))"")) , ""[()]"", """")"&amp;",C709 )"),"Camhug")</f>
        <v>Camhug</v>
      </c>
      <c r="BO709" s="25"/>
      <c r="BP709" s="7"/>
      <c r="BQ709" s="7"/>
      <c r="BR709" s="7"/>
      <c r="BS709" s="7"/>
      <c r="BT709" s="7"/>
      <c r="BU709" s="7"/>
      <c r="BV709" s="7"/>
      <c r="BW709" s="7"/>
      <c r="BX709" s="7"/>
      <c r="BY709" s="7"/>
      <c r="BZ709" s="7"/>
      <c r="CA709" s="7"/>
      <c r="CB709" s="7"/>
    </row>
    <row r="710" ht="21.75" customHeight="1">
      <c r="A710" s="7"/>
      <c r="B710" s="7" t="s">
        <v>8608</v>
      </c>
      <c r="C710" s="7" t="s">
        <v>8609</v>
      </c>
      <c r="D710" s="7"/>
      <c r="E710" s="7"/>
      <c r="F710" s="7"/>
      <c r="G710" s="7" t="s">
        <v>343</v>
      </c>
      <c r="H710" s="7" t="s">
        <v>123</v>
      </c>
      <c r="I710" s="7" t="s">
        <v>8610</v>
      </c>
      <c r="J710" s="26" t="s">
        <v>8611</v>
      </c>
      <c r="K710" s="7" t="s">
        <v>58</v>
      </c>
      <c r="L710" s="7" t="s">
        <v>59</v>
      </c>
      <c r="M710" s="7" t="s">
        <v>346</v>
      </c>
      <c r="N710" s="7" t="s">
        <v>455</v>
      </c>
      <c r="O710" s="7">
        <v>97480.0</v>
      </c>
      <c r="P710" s="7" t="s">
        <v>123</v>
      </c>
      <c r="Q710" s="7" t="s">
        <v>206</v>
      </c>
      <c r="R710" s="7" t="s">
        <v>8612</v>
      </c>
      <c r="S710" s="7" t="s">
        <v>8613</v>
      </c>
      <c r="T710" s="7" t="s">
        <v>377</v>
      </c>
      <c r="U710" s="7" t="s">
        <v>424</v>
      </c>
      <c r="V710" s="7"/>
      <c r="W710" s="7">
        <v>6.93624458E8</v>
      </c>
      <c r="X710" s="7">
        <v>6.92095455E8</v>
      </c>
      <c r="Y710" s="7"/>
      <c r="Z710" s="7" t="s">
        <v>8614</v>
      </c>
      <c r="AA710" s="7">
        <v>20.0</v>
      </c>
      <c r="AB710" s="7"/>
      <c r="AC710" s="7"/>
      <c r="AD710" s="7" t="s">
        <v>8615</v>
      </c>
      <c r="AE710" s="7"/>
      <c r="AF710" s="7"/>
      <c r="AG710" s="7"/>
      <c r="AH710" s="7"/>
      <c r="AI710" s="7"/>
      <c r="AJ710" s="7" t="s">
        <v>8616</v>
      </c>
      <c r="AK710" s="7">
        <v>8.3005068800019E13</v>
      </c>
      <c r="AL710" s="7" t="s">
        <v>8610</v>
      </c>
      <c r="AM710" s="7" t="s">
        <v>8617</v>
      </c>
      <c r="AN710" s="7"/>
      <c r="AO710" s="7">
        <v>97480.0</v>
      </c>
      <c r="AP710" s="7" t="s">
        <v>385</v>
      </c>
      <c r="AQ710" s="7"/>
      <c r="AR710" s="7"/>
      <c r="AS710" s="7"/>
      <c r="AT710" s="7"/>
      <c r="AU710" s="7">
        <v>6.0</v>
      </c>
      <c r="AV710" s="7" t="s">
        <v>8618</v>
      </c>
      <c r="AW710" s="7"/>
      <c r="AX710" s="7" t="s">
        <v>2399</v>
      </c>
      <c r="AY710" s="7" t="s">
        <v>1590</v>
      </c>
      <c r="AZ710" s="7" t="s">
        <v>8619</v>
      </c>
      <c r="BA710" s="7"/>
      <c r="BB710" s="7"/>
      <c r="BC710" s="7" t="s">
        <v>401</v>
      </c>
      <c r="BD710" s="7"/>
      <c r="BE710" s="7"/>
      <c r="BF710" s="7"/>
      <c r="BG710" s="7"/>
      <c r="BH710" s="7">
        <v>8.30050688E8</v>
      </c>
      <c r="BI710" s="7" t="s">
        <v>8620</v>
      </c>
      <c r="BJ710" s="7"/>
      <c r="BK710" s="7" t="b">
        <v>0</v>
      </c>
      <c r="BL710" s="7" t="b">
        <v>0</v>
      </c>
      <c r="BM710" s="7"/>
      <c r="BN710" s="7" t="str">
        <f>IFERROR(__xludf.DUMMYFUNCTION(" IF( REGEXMATCH(C710 , ""[(].+[)]""),REGEXREPLACE( CONCATENATE(REGEXEXTRACT(C710 , ""[(].+[)]""),IF(REGEXMATCH(C710 , ""[(][Ll]['’][)]""),"""","" ""), REGEXEXTRACT(C710 ,""^(?:(?:[A-Za-zàäéèêîïöôûü0-9 ](?:[A-Za-zàäéèêîïöôûü'0-9 ]+)))"")) , ""[()]"", """")"&amp;",C710 )"),"Cap Vanisa")</f>
        <v>Cap Vanisa</v>
      </c>
      <c r="BO710" s="25"/>
      <c r="BP710" s="7"/>
      <c r="BQ710" s="7"/>
      <c r="BR710" s="7"/>
      <c r="BS710" s="7"/>
      <c r="BT710" s="7"/>
      <c r="BU710" s="7"/>
      <c r="BV710" s="7"/>
      <c r="BW710" s="7"/>
      <c r="BX710" s="7"/>
      <c r="BY710" s="7"/>
      <c r="BZ710" s="7"/>
      <c r="CA710" s="7"/>
      <c r="CB710" s="7"/>
    </row>
    <row r="711" ht="21.75" customHeight="1">
      <c r="A711" s="7"/>
      <c r="B711" s="7" t="s">
        <v>8621</v>
      </c>
      <c r="C711" s="7" t="s">
        <v>8622</v>
      </c>
      <c r="D711" s="7"/>
      <c r="E711" s="7"/>
      <c r="F711" s="7"/>
      <c r="G711" s="7" t="s">
        <v>343</v>
      </c>
      <c r="H711" s="7" t="s">
        <v>123</v>
      </c>
      <c r="I711" s="7" t="s">
        <v>8623</v>
      </c>
      <c r="J711" s="26" t="s">
        <v>8624</v>
      </c>
      <c r="K711" s="7" t="s">
        <v>58</v>
      </c>
      <c r="L711" s="7" t="s">
        <v>59</v>
      </c>
      <c r="M711" s="7" t="s">
        <v>374</v>
      </c>
      <c r="N711" s="7" t="s">
        <v>375</v>
      </c>
      <c r="O711" s="7">
        <v>97480.0</v>
      </c>
      <c r="P711" s="7" t="s">
        <v>123</v>
      </c>
      <c r="Q711" s="7" t="s">
        <v>8625</v>
      </c>
      <c r="R711" s="7" t="s">
        <v>8626</v>
      </c>
      <c r="S711" s="7" t="s">
        <v>8613</v>
      </c>
      <c r="T711" s="7" t="s">
        <v>377</v>
      </c>
      <c r="U711" s="7" t="s">
        <v>8627</v>
      </c>
      <c r="V711" s="7"/>
      <c r="W711" s="7">
        <v>6.92537608E8</v>
      </c>
      <c r="X711" s="7"/>
      <c r="Y711" s="7"/>
      <c r="Z711" s="7" t="s">
        <v>8628</v>
      </c>
      <c r="AA711" s="7">
        <v>2.0</v>
      </c>
      <c r="AB711" s="7"/>
      <c r="AC711" s="7"/>
      <c r="AD711" s="7" t="s">
        <v>8629</v>
      </c>
      <c r="AE711" s="7"/>
      <c r="AF711" s="7"/>
      <c r="AG711" s="7"/>
      <c r="AH711" s="7"/>
      <c r="AI711" s="7"/>
      <c r="AJ711" s="7" t="s">
        <v>8630</v>
      </c>
      <c r="AK711" s="7">
        <v>8.4105402600015E13</v>
      </c>
      <c r="AL711" s="7" t="s">
        <v>8631</v>
      </c>
      <c r="AM711" s="7" t="s">
        <v>8632</v>
      </c>
      <c r="AN711" s="7"/>
      <c r="AO711" s="7">
        <v>97430.0</v>
      </c>
      <c r="AP711" s="7" t="s">
        <v>494</v>
      </c>
      <c r="AQ711" s="7"/>
      <c r="AR711" s="7"/>
      <c r="AS711" s="7"/>
      <c r="AT711" s="7"/>
      <c r="AU711" s="7">
        <v>1.0</v>
      </c>
      <c r="AV711" s="7" t="s">
        <v>8633</v>
      </c>
      <c r="AW711" s="7"/>
      <c r="AX711" s="7" t="s">
        <v>3806</v>
      </c>
      <c r="AY711" s="7" t="s">
        <v>1590</v>
      </c>
      <c r="AZ711" s="7" t="s">
        <v>8634</v>
      </c>
      <c r="BA711" s="7"/>
      <c r="BB711" s="7"/>
      <c r="BC711" s="7" t="s">
        <v>401</v>
      </c>
      <c r="BD711" s="7"/>
      <c r="BE711" s="7"/>
      <c r="BF711" s="7"/>
      <c r="BG711" s="7"/>
      <c r="BH711" s="7">
        <v>8.41054026E8</v>
      </c>
      <c r="BI711" s="7" t="s">
        <v>5562</v>
      </c>
      <c r="BJ711" s="7"/>
      <c r="BK711" s="7" t="b">
        <v>0</v>
      </c>
      <c r="BL711" s="7" t="b">
        <v>0</v>
      </c>
      <c r="BM711" s="7"/>
      <c r="BN711" s="7" t="str">
        <f>IFERROR(__xludf.DUMMYFUNCTION(" IF( REGEXMATCH(C711 , ""[(].+[)]""),REGEXREPLACE( CONCATENATE(REGEXEXTRACT(C711 , ""[(].+[)]""),IF(REGEXMATCH(C711 , ""[(][Ll]['’][)]""),"""","" ""), REGEXEXTRACT(C711 ,""^(?:(?:[A-Za-zàäéèêîïöôûü0-9 ](?:[A-Za-zàäéèêîïöôûü'0-9 ]+)))"")) , ""[()]"", """")"&amp;",C711 )"),"CARO Isabelle")</f>
        <v>CARO Isabelle</v>
      </c>
      <c r="BO711" s="25"/>
      <c r="BP711" s="7"/>
      <c r="BQ711" s="7"/>
      <c r="BR711" s="7"/>
      <c r="BS711" s="7"/>
      <c r="BT711" s="7"/>
      <c r="BU711" s="7"/>
      <c r="BV711" s="7"/>
      <c r="BW711" s="7"/>
      <c r="BX711" s="7"/>
      <c r="BY711" s="7"/>
      <c r="BZ711" s="7"/>
      <c r="CA711" s="7"/>
      <c r="CB711" s="7"/>
    </row>
    <row r="712" ht="21.75" customHeight="1">
      <c r="A712" s="7"/>
      <c r="B712" s="7" t="s">
        <v>8635</v>
      </c>
      <c r="C712" s="7" t="s">
        <v>8636</v>
      </c>
      <c r="D712" s="7"/>
      <c r="E712" s="7"/>
      <c r="F712" s="7"/>
      <c r="G712" s="7" t="s">
        <v>343</v>
      </c>
      <c r="H712" s="7" t="s">
        <v>123</v>
      </c>
      <c r="I712" s="7" t="s">
        <v>8637</v>
      </c>
      <c r="J712" s="7"/>
      <c r="K712" s="7" t="s">
        <v>58</v>
      </c>
      <c r="L712" s="7" t="s">
        <v>59</v>
      </c>
      <c r="M712" s="7" t="s">
        <v>346</v>
      </c>
      <c r="N712" s="7"/>
      <c r="O712" s="7">
        <v>97480.0</v>
      </c>
      <c r="P712" s="7" t="s">
        <v>123</v>
      </c>
      <c r="Q712" s="7"/>
      <c r="R712" s="7"/>
      <c r="S712" s="7"/>
      <c r="T712" s="7"/>
      <c r="U712" s="7"/>
      <c r="V712" s="7"/>
      <c r="W712" s="7">
        <v>6.92619278E8</v>
      </c>
      <c r="X712" s="7"/>
      <c r="Y712" s="7"/>
      <c r="Z712" s="7" t="s">
        <v>8638</v>
      </c>
      <c r="AA712" s="7">
        <v>6.0</v>
      </c>
      <c r="AB712" s="7"/>
      <c r="AC712" s="7"/>
      <c r="AD712" s="7"/>
      <c r="AE712" s="7"/>
      <c r="AF712" s="7"/>
      <c r="AG712" s="7"/>
      <c r="AH712" s="7"/>
      <c r="AI712" s="7"/>
      <c r="AJ712" s="7" t="s">
        <v>8639</v>
      </c>
      <c r="AK712" s="7"/>
      <c r="AL712" s="7" t="s">
        <v>8640</v>
      </c>
      <c r="AM712" s="7"/>
      <c r="AN712" s="7"/>
      <c r="AO712" s="7"/>
      <c r="AP712" s="7"/>
      <c r="AQ712" s="7"/>
      <c r="AR712" s="7"/>
      <c r="AS712" s="7"/>
      <c r="AT712" s="7"/>
      <c r="AU712" s="7"/>
      <c r="AV712" s="7" t="s">
        <v>8641</v>
      </c>
      <c r="AW712" s="7"/>
      <c r="AX712" s="7"/>
      <c r="AY712" s="7"/>
      <c r="AZ712" s="7" t="s">
        <v>8642</v>
      </c>
      <c r="BA712" s="7"/>
      <c r="BB712" s="7"/>
      <c r="BC712" s="7" t="s">
        <v>401</v>
      </c>
      <c r="BD712" s="7"/>
      <c r="BE712" s="7"/>
      <c r="BF712" s="7"/>
      <c r="BG712" s="7"/>
      <c r="BH712" s="7"/>
      <c r="BI712" s="7" t="s">
        <v>8643</v>
      </c>
      <c r="BJ712" s="7"/>
      <c r="BK712" s="7" t="b">
        <v>0</v>
      </c>
      <c r="BL712" s="7" t="b">
        <v>0</v>
      </c>
      <c r="BM712" s="7"/>
      <c r="BN712" s="7" t="str">
        <f>IFERROR(__xludf.DUMMYFUNCTION(" IF( REGEXMATCH(C712 , ""[(].+[)]""),REGEXREPLACE( CONCATENATE(REGEXEXTRACT(C712 , ""[(].+[)]""),IF(REGEXMATCH(C712 , ""[(][Ll]['’][)]""),"""","" ""), REGEXEXTRACT(C712 ,""^(?:(?:[A-Za-zàäéèêîïöôûü0-9 ](?:[A-Za-zàäéèêîïöôûü'0-9 ]+)))"")) , ""[()]"", """")"&amp;",C712 )"),"La Case à Milo ")</f>
        <v>La Case à Milo </v>
      </c>
      <c r="BO712" s="25"/>
      <c r="BP712" s="7"/>
      <c r="BQ712" s="7"/>
      <c r="BR712" s="7"/>
      <c r="BS712" s="7"/>
      <c r="BT712" s="7"/>
      <c r="BU712" s="7"/>
      <c r="BV712" s="7"/>
      <c r="BW712" s="7"/>
      <c r="BX712" s="7"/>
      <c r="BY712" s="7"/>
      <c r="BZ712" s="7"/>
      <c r="CA712" s="7"/>
      <c r="CB712" s="7"/>
    </row>
    <row r="713" ht="21.75" customHeight="1">
      <c r="A713" s="7"/>
      <c r="B713" s="7" t="s">
        <v>8644</v>
      </c>
      <c r="C713" s="7" t="s">
        <v>8645</v>
      </c>
      <c r="D713" s="7"/>
      <c r="E713" s="7"/>
      <c r="F713" s="7"/>
      <c r="G713" s="7" t="s">
        <v>343</v>
      </c>
      <c r="H713" s="7" t="s">
        <v>344</v>
      </c>
      <c r="I713" s="7" t="s">
        <v>8646</v>
      </c>
      <c r="J713" s="7"/>
      <c r="K713" s="7" t="s">
        <v>58</v>
      </c>
      <c r="L713" s="7" t="s">
        <v>59</v>
      </c>
      <c r="M713" s="7" t="s">
        <v>346</v>
      </c>
      <c r="N713" s="7" t="s">
        <v>407</v>
      </c>
      <c r="O713" s="7">
        <v>97418.0</v>
      </c>
      <c r="P713" s="7" t="s">
        <v>348</v>
      </c>
      <c r="Q713" s="7"/>
      <c r="R713" s="7" t="s">
        <v>8647</v>
      </c>
      <c r="S713" s="7" t="s">
        <v>8648</v>
      </c>
      <c r="T713" s="7" t="s">
        <v>8184</v>
      </c>
      <c r="U713" s="7" t="s">
        <v>4369</v>
      </c>
      <c r="V713" s="7"/>
      <c r="W713" s="7">
        <v>6.92094285E8</v>
      </c>
      <c r="X713" s="7"/>
      <c r="Y713" s="7"/>
      <c r="Z713" s="7" t="s">
        <v>8649</v>
      </c>
      <c r="AA713" s="7">
        <v>7.0</v>
      </c>
      <c r="AB713" s="7"/>
      <c r="AC713" s="7"/>
      <c r="AD713" s="7" t="s">
        <v>8650</v>
      </c>
      <c r="AE713" s="7"/>
      <c r="AF713" s="7"/>
      <c r="AG713" s="7"/>
      <c r="AH713" s="7"/>
      <c r="AI713" s="7"/>
      <c r="AJ713" s="7" t="s">
        <v>8651</v>
      </c>
      <c r="AK713" s="7">
        <v>8.8321209400014E13</v>
      </c>
      <c r="AL713" s="7" t="s">
        <v>8652</v>
      </c>
      <c r="AM713" s="7" t="s">
        <v>8653</v>
      </c>
      <c r="AN713" s="7"/>
      <c r="AO713" s="7">
        <v>97480.0</v>
      </c>
      <c r="AP713" s="7" t="s">
        <v>385</v>
      </c>
      <c r="AQ713" s="7"/>
      <c r="AR713" s="7"/>
      <c r="AS713" s="7"/>
      <c r="AT713" s="7"/>
      <c r="AU713" s="7">
        <v>1.0</v>
      </c>
      <c r="AV713" s="7" t="s">
        <v>8654</v>
      </c>
      <c r="AW713" s="7"/>
      <c r="AX713" s="7" t="s">
        <v>3270</v>
      </c>
      <c r="AY713" s="7" t="s">
        <v>1590</v>
      </c>
      <c r="AZ713" s="7" t="s">
        <v>8655</v>
      </c>
      <c r="BA713" s="7"/>
      <c r="BB713" s="7"/>
      <c r="BC713" s="7" t="s">
        <v>401</v>
      </c>
      <c r="BD713" s="7"/>
      <c r="BE713" s="7"/>
      <c r="BF713" s="7"/>
      <c r="BG713" s="7"/>
      <c r="BH713" s="7">
        <v>8.83212094E8</v>
      </c>
      <c r="BI713" s="7" t="s">
        <v>8656</v>
      </c>
      <c r="BJ713" s="7"/>
      <c r="BK713" s="7" t="b">
        <v>0</v>
      </c>
      <c r="BL713" s="7" t="b">
        <v>0</v>
      </c>
      <c r="BM713" s="7"/>
      <c r="BN713" s="7" t="str">
        <f>IFERROR(__xludf.DUMMYFUNCTION(" IF( REGEXMATCH(C713 , ""[(].+[)]""),REGEXREPLACE( CONCATENATE(REGEXEXTRACT(C713 , ""[(].+[)]""),IF(REGEXMATCH(C713 , ""[(][Ll]['’][)]""),"""","" ""), REGEXEXTRACT(C713 ,""^(?:(?:[A-Za-zàäéèêîïöôûü0-9 ](?:[A-Za-zàäéèêîïöôûü'0-9 ]+)))"")) , ""[()]"", """")"&amp;",C713 )"),"La Case au pied du volcan ")</f>
        <v>La Case au pied du volcan </v>
      </c>
      <c r="BO713" s="25"/>
      <c r="BP713" s="7"/>
      <c r="BQ713" s="7"/>
      <c r="BR713" s="7"/>
      <c r="BS713" s="7"/>
      <c r="BT713" s="7"/>
      <c r="BU713" s="7"/>
      <c r="BV713" s="7"/>
      <c r="BW713" s="7"/>
      <c r="BX713" s="7"/>
      <c r="BY713" s="7"/>
      <c r="BZ713" s="7"/>
      <c r="CA713" s="7"/>
      <c r="CB713" s="7"/>
    </row>
    <row r="714" ht="21.75" customHeight="1">
      <c r="A714" s="7"/>
      <c r="B714" s="7" t="s">
        <v>8657</v>
      </c>
      <c r="C714" s="7" t="s">
        <v>8658</v>
      </c>
      <c r="D714" s="7"/>
      <c r="E714" s="7"/>
      <c r="F714" s="7"/>
      <c r="G714" s="7" t="s">
        <v>343</v>
      </c>
      <c r="H714" s="7" t="s">
        <v>40</v>
      </c>
      <c r="I714" s="7" t="s">
        <v>8659</v>
      </c>
      <c r="J714" s="7"/>
      <c r="K714" s="7" t="s">
        <v>58</v>
      </c>
      <c r="L714" s="7" t="s">
        <v>59</v>
      </c>
      <c r="M714" s="7" t="s">
        <v>346</v>
      </c>
      <c r="N714" s="7"/>
      <c r="O714" s="7">
        <v>97414.0</v>
      </c>
      <c r="P714" s="7" t="s">
        <v>40</v>
      </c>
      <c r="Q714" s="7"/>
      <c r="R714" s="7"/>
      <c r="S714" s="7"/>
      <c r="T714" s="7"/>
      <c r="U714" s="7"/>
      <c r="V714" s="7"/>
      <c r="W714" s="7">
        <v>6.9381634E8</v>
      </c>
      <c r="X714" s="7"/>
      <c r="Y714" s="7"/>
      <c r="Z714" s="7" t="s">
        <v>8660</v>
      </c>
      <c r="AA714" s="7">
        <v>8.0</v>
      </c>
      <c r="AB714" s="7"/>
      <c r="AC714" s="7"/>
      <c r="AD714" s="7" t="s">
        <v>8661</v>
      </c>
      <c r="AE714" s="7"/>
      <c r="AF714" s="7"/>
      <c r="AG714" s="7"/>
      <c r="AH714" s="7"/>
      <c r="AI714" s="7"/>
      <c r="AJ714" s="7" t="s">
        <v>8662</v>
      </c>
      <c r="AK714" s="7"/>
      <c r="AL714" s="7" t="s">
        <v>8663</v>
      </c>
      <c r="AM714" s="7" t="s">
        <v>8664</v>
      </c>
      <c r="AN714" s="7"/>
      <c r="AO714" s="7">
        <v>97414.0</v>
      </c>
      <c r="AP714" s="7" t="s">
        <v>429</v>
      </c>
      <c r="AQ714" s="7"/>
      <c r="AR714" s="7"/>
      <c r="AS714" s="7"/>
      <c r="AT714" s="7"/>
      <c r="AU714" s="7">
        <v>1.0</v>
      </c>
      <c r="AV714" s="7" t="s">
        <v>8665</v>
      </c>
      <c r="AW714" s="7"/>
      <c r="AX714" s="7"/>
      <c r="AY714" s="7"/>
      <c r="AZ714" s="7" t="s">
        <v>8666</v>
      </c>
      <c r="BA714" s="7"/>
      <c r="BB714" s="7"/>
      <c r="BC714" s="7" t="s">
        <v>401</v>
      </c>
      <c r="BD714" s="7"/>
      <c r="BE714" s="7"/>
      <c r="BF714" s="7"/>
      <c r="BG714" s="7"/>
      <c r="BH714" s="7"/>
      <c r="BI714" s="7" t="s">
        <v>8667</v>
      </c>
      <c r="BJ714" s="7"/>
      <c r="BK714" s="7" t="b">
        <v>0</v>
      </c>
      <c r="BL714" s="7" t="b">
        <v>0</v>
      </c>
      <c r="BM714" s="7"/>
      <c r="BN714" s="7" t="str">
        <f>IFERROR(__xludf.DUMMYFUNCTION(" IF( REGEXMATCH(C714 , ""[(].+[)]""),REGEXREPLACE( CONCATENATE(REGEXEXTRACT(C714 , ""[(].+[)]""),IF(REGEXMATCH(C714 , ""[(][Ll]['’][)]""),"""","" ""), REGEXEXTRACT(C714 ,""^(?:(?:[A-Za-zàäéèêîïöôûü0-9 ](?:[A-Za-zàäéèêîïöôûü'0-9 ]+)))"")) , ""[()]"", """")"&amp;",C714 )"),"La Case Charmante ")</f>
        <v>La Case Charmante </v>
      </c>
      <c r="BO714" s="25"/>
      <c r="BP714" s="7"/>
      <c r="BQ714" s="7"/>
      <c r="BR714" s="7"/>
      <c r="BS714" s="7"/>
      <c r="BT714" s="7"/>
      <c r="BU714" s="7"/>
      <c r="BV714" s="7"/>
      <c r="BW714" s="7"/>
      <c r="BX714" s="7"/>
      <c r="BY714" s="7"/>
      <c r="BZ714" s="7"/>
      <c r="CA714" s="7"/>
      <c r="CB714" s="7"/>
    </row>
    <row r="715" ht="21.75" customHeight="1">
      <c r="A715" s="7"/>
      <c r="B715" s="7" t="s">
        <v>8668</v>
      </c>
      <c r="C715" s="7" t="s">
        <v>8669</v>
      </c>
      <c r="D715" s="7"/>
      <c r="E715" s="7"/>
      <c r="F715" s="7"/>
      <c r="G715" s="7" t="s">
        <v>343</v>
      </c>
      <c r="H715" s="7" t="s">
        <v>123</v>
      </c>
      <c r="I715" s="7" t="s">
        <v>8670</v>
      </c>
      <c r="J715" s="7"/>
      <c r="K715" s="7" t="s">
        <v>58</v>
      </c>
      <c r="L715" s="7" t="s">
        <v>59</v>
      </c>
      <c r="M715" s="7" t="s">
        <v>346</v>
      </c>
      <c r="N715" s="7"/>
      <c r="O715" s="7">
        <v>97480.0</v>
      </c>
      <c r="P715" s="7" t="s">
        <v>123</v>
      </c>
      <c r="Q715" s="7"/>
      <c r="R715" s="7"/>
      <c r="S715" s="7"/>
      <c r="T715" s="7"/>
      <c r="U715" s="7"/>
      <c r="V715" s="7"/>
      <c r="W715" s="7">
        <v>6.93508042E8</v>
      </c>
      <c r="X715" s="7"/>
      <c r="Y715" s="7"/>
      <c r="Z715" s="7" t="s">
        <v>8671</v>
      </c>
      <c r="AA715" s="7">
        <v>4.0</v>
      </c>
      <c r="AB715" s="7"/>
      <c r="AC715" s="7"/>
      <c r="AD715" s="7"/>
      <c r="AE715" s="7"/>
      <c r="AF715" s="7"/>
      <c r="AG715" s="7"/>
      <c r="AH715" s="20">
        <v>42370.0</v>
      </c>
      <c r="AI715" s="7"/>
      <c r="AJ715" s="7" t="s">
        <v>8672</v>
      </c>
      <c r="AK715" s="7"/>
      <c r="AL715" s="7" t="s">
        <v>8673</v>
      </c>
      <c r="AM715" s="7"/>
      <c r="AN715" s="7"/>
      <c r="AO715" s="7">
        <v>97480.0</v>
      </c>
      <c r="AP715" s="7" t="s">
        <v>385</v>
      </c>
      <c r="AQ715" s="7"/>
      <c r="AR715" s="7"/>
      <c r="AS715" s="7"/>
      <c r="AT715" s="7"/>
      <c r="AU715" s="7">
        <v>1.0</v>
      </c>
      <c r="AV715" s="7" t="s">
        <v>8674</v>
      </c>
      <c r="AW715" s="7"/>
      <c r="AX715" s="7" t="s">
        <v>3270</v>
      </c>
      <c r="AY715" s="7" t="s">
        <v>1590</v>
      </c>
      <c r="AZ715" s="7" t="s">
        <v>8675</v>
      </c>
      <c r="BA715" s="7"/>
      <c r="BB715" s="7"/>
      <c r="BC715" s="7" t="s">
        <v>401</v>
      </c>
      <c r="BD715" s="7"/>
      <c r="BE715" s="7"/>
      <c r="BF715" s="7"/>
      <c r="BG715" s="7"/>
      <c r="BH715" s="7"/>
      <c r="BI715" s="7" t="s">
        <v>8676</v>
      </c>
      <c r="BJ715" s="7"/>
      <c r="BK715" s="7" t="b">
        <v>0</v>
      </c>
      <c r="BL715" s="7" t="b">
        <v>0</v>
      </c>
      <c r="BM715" s="7"/>
      <c r="BN715" s="7" t="str">
        <f>IFERROR(__xludf.DUMMYFUNCTION(" IF( REGEXMATCH(C715 , ""[(].+[)]""),REGEXREPLACE( CONCATENATE(REGEXEXTRACT(C715 , ""[(].+[)]""),IF(REGEXMATCH(C715 , ""[(][Ll]['’][)]""),"""","" ""), REGEXEXTRACT(C715 ,""^(?:(?:[A-Za-zàäéèêîïöôûü0-9 ](?:[A-Za-zàäéèêîïöôûü'0-9 ]+)))"")) , ""[()]"", """")"&amp;",C715 )"),"Case Créole")</f>
        <v>Case Créole</v>
      </c>
      <c r="BO715" s="25"/>
      <c r="BP715" s="7"/>
      <c r="BQ715" s="7"/>
      <c r="BR715" s="7"/>
      <c r="BS715" s="7"/>
      <c r="BT715" s="7"/>
      <c r="BU715" s="7"/>
      <c r="BV715" s="7"/>
      <c r="BW715" s="7"/>
      <c r="BX715" s="7"/>
      <c r="BY715" s="7"/>
      <c r="BZ715" s="7"/>
      <c r="CA715" s="7"/>
      <c r="CB715" s="7"/>
    </row>
    <row r="716" ht="21.75" customHeight="1">
      <c r="A716" s="7"/>
      <c r="B716" s="7" t="s">
        <v>8677</v>
      </c>
      <c r="C716" s="7" t="s">
        <v>8678</v>
      </c>
      <c r="D716" s="7"/>
      <c r="E716" s="7"/>
      <c r="F716" s="7"/>
      <c r="G716" s="7" t="s">
        <v>343</v>
      </c>
      <c r="H716" s="7" t="s">
        <v>123</v>
      </c>
      <c r="I716" s="7" t="s">
        <v>8679</v>
      </c>
      <c r="J716" s="7"/>
      <c r="K716" s="7" t="s">
        <v>58</v>
      </c>
      <c r="L716" s="7" t="s">
        <v>59</v>
      </c>
      <c r="M716" s="7" t="s">
        <v>346</v>
      </c>
      <c r="N716" s="7"/>
      <c r="O716" s="7">
        <v>97480.0</v>
      </c>
      <c r="P716" s="7" t="s">
        <v>123</v>
      </c>
      <c r="Q716" s="7"/>
      <c r="R716" s="7"/>
      <c r="S716" s="7"/>
      <c r="T716" s="7"/>
      <c r="U716" s="7"/>
      <c r="V716" s="7"/>
      <c r="W716" s="7">
        <v>6.92091504E8</v>
      </c>
      <c r="X716" s="7"/>
      <c r="Y716" s="7"/>
      <c r="Z716" s="7" t="s">
        <v>8680</v>
      </c>
      <c r="AA716" s="7">
        <v>8.0</v>
      </c>
      <c r="AB716" s="7"/>
      <c r="AC716" s="7"/>
      <c r="AD716" s="7" t="s">
        <v>8681</v>
      </c>
      <c r="AE716" s="7"/>
      <c r="AF716" s="7"/>
      <c r="AG716" s="7"/>
      <c r="AH716" s="20">
        <v>43831.0</v>
      </c>
      <c r="AI716" s="7"/>
      <c r="AJ716" s="7" t="s">
        <v>8682</v>
      </c>
      <c r="AK716" s="7"/>
      <c r="AL716" s="7" t="s">
        <v>8683</v>
      </c>
      <c r="AM716" s="7" t="s">
        <v>8684</v>
      </c>
      <c r="AN716" s="7"/>
      <c r="AO716" s="7">
        <v>97480.0</v>
      </c>
      <c r="AP716" s="7" t="s">
        <v>385</v>
      </c>
      <c r="AQ716" s="7"/>
      <c r="AR716" s="7"/>
      <c r="AS716" s="7"/>
      <c r="AT716" s="7"/>
      <c r="AU716" s="7">
        <v>1.0</v>
      </c>
      <c r="AV716" s="7" t="s">
        <v>8685</v>
      </c>
      <c r="AW716" s="7"/>
      <c r="AX716" s="7" t="s">
        <v>8686</v>
      </c>
      <c r="AY716" s="7" t="s">
        <v>1590</v>
      </c>
      <c r="AZ716" s="7" t="s">
        <v>8687</v>
      </c>
      <c r="BA716" s="7"/>
      <c r="BB716" s="7"/>
      <c r="BC716" s="7" t="s">
        <v>401</v>
      </c>
      <c r="BD716" s="7"/>
      <c r="BE716" s="7"/>
      <c r="BF716" s="7"/>
      <c r="BG716" s="7"/>
      <c r="BH716" s="7"/>
      <c r="BI716" s="7" t="s">
        <v>8688</v>
      </c>
      <c r="BJ716" s="7"/>
      <c r="BK716" s="7" t="b">
        <v>0</v>
      </c>
      <c r="BL716" s="7" t="b">
        <v>0</v>
      </c>
      <c r="BM716" s="7"/>
      <c r="BN716" s="7" t="str">
        <f>IFERROR(__xludf.DUMMYFUNCTION(" IF( REGEXMATCH(C716 , ""[(].+[)]""),REGEXREPLACE( CONCATENATE(REGEXEXTRACT(C716 , ""[(].+[)]""),IF(REGEXMATCH(C716 , ""[(][Ll]['’][)]""),"""","" ""), REGEXEXTRACT(C716 ,""^(?:(?:[A-Za-zàäéèêîïöôûü0-9 ](?:[A-Za-zàäéèêîïöôûü'0-9 ]+)))"")) , ""[()]"", """")"&amp;",C716 )"),"Case Kreol")</f>
        <v>Case Kreol</v>
      </c>
      <c r="BO716" s="25"/>
      <c r="BP716" s="7"/>
      <c r="BQ716" s="7"/>
      <c r="BR716" s="7"/>
      <c r="BS716" s="7"/>
      <c r="BT716" s="7"/>
      <c r="BU716" s="7"/>
      <c r="BV716" s="7"/>
      <c r="BW716" s="7"/>
      <c r="BX716" s="7"/>
      <c r="BY716" s="7"/>
      <c r="BZ716" s="7"/>
      <c r="CA716" s="7"/>
      <c r="CB716" s="7"/>
    </row>
    <row r="717" ht="21.75" customHeight="1">
      <c r="A717" s="7"/>
      <c r="B717" s="7" t="s">
        <v>8689</v>
      </c>
      <c r="C717" s="7" t="s">
        <v>8690</v>
      </c>
      <c r="D717" s="7" t="s">
        <v>8691</v>
      </c>
      <c r="E717" s="7"/>
      <c r="F717" s="7"/>
      <c r="G717" s="7" t="s">
        <v>343</v>
      </c>
      <c r="H717" s="7" t="s">
        <v>344</v>
      </c>
      <c r="I717" s="7" t="s">
        <v>8692</v>
      </c>
      <c r="J717" s="26" t="s">
        <v>8693</v>
      </c>
      <c r="K717" s="6" t="s">
        <v>469</v>
      </c>
      <c r="L717" s="7" t="s">
        <v>470</v>
      </c>
      <c r="M717" s="7" t="s">
        <v>591</v>
      </c>
      <c r="N717" s="7"/>
      <c r="O717" s="7">
        <v>97430.0</v>
      </c>
      <c r="P717" s="7" t="s">
        <v>344</v>
      </c>
      <c r="Q717" s="7"/>
      <c r="R717" s="7"/>
      <c r="S717" s="7"/>
      <c r="T717" s="7"/>
      <c r="U717" s="7" t="s">
        <v>378</v>
      </c>
      <c r="V717" s="7">
        <v>2.62595876E8</v>
      </c>
      <c r="W717" s="7"/>
      <c r="X717" s="7"/>
      <c r="Y717" s="7"/>
      <c r="Z717" s="7" t="s">
        <v>8694</v>
      </c>
      <c r="AA717" s="7"/>
      <c r="AB717" s="7"/>
      <c r="AC717" s="7"/>
      <c r="AD717" s="7" t="s">
        <v>8695</v>
      </c>
      <c r="AE717" s="7"/>
      <c r="AF717" s="7"/>
      <c r="AG717" s="7"/>
      <c r="AH717" s="7"/>
      <c r="AI717" s="7"/>
      <c r="AJ717" s="7" t="s">
        <v>8696</v>
      </c>
      <c r="AK717" s="7"/>
      <c r="AL717" s="7" t="s">
        <v>8692</v>
      </c>
      <c r="AM717" s="7" t="s">
        <v>8697</v>
      </c>
      <c r="AN717" s="7"/>
      <c r="AO717" s="7">
        <v>97430.0</v>
      </c>
      <c r="AP717" s="7" t="s">
        <v>494</v>
      </c>
      <c r="AQ717" s="7"/>
      <c r="AR717" s="7"/>
      <c r="AS717" s="7"/>
      <c r="AT717" s="7"/>
      <c r="AU717" s="7"/>
      <c r="AV717" s="7" t="s">
        <v>8698</v>
      </c>
      <c r="AW717" s="7"/>
      <c r="AX717" s="7"/>
      <c r="AY717" s="7"/>
      <c r="AZ717" s="7"/>
      <c r="BA717" s="7"/>
      <c r="BB717" s="7"/>
      <c r="BC717" s="7" t="s">
        <v>401</v>
      </c>
      <c r="BD717" s="7"/>
      <c r="BE717" s="7"/>
      <c r="BF717" s="7"/>
      <c r="BG717" s="7"/>
      <c r="BH717" s="7"/>
      <c r="BI717" s="7" t="s">
        <v>8699</v>
      </c>
      <c r="BJ717" s="7"/>
      <c r="BK717" s="7" t="b">
        <v>0</v>
      </c>
      <c r="BL717" s="7" t="b">
        <v>0</v>
      </c>
      <c r="BM717" s="7"/>
      <c r="BN717" s="7" t="str">
        <f>IFERROR(__xludf.DUMMYFUNCTION(" IF( REGEXMATCH(C717 , ""[(].+[)]""),REGEXREPLACE( CONCATENATE(REGEXEXTRACT(C717 , ""[(].+[)]""),IF(REGEXMATCH(C717 , ""[(][Ll]['’][)]""),"""","" ""), REGEXEXTRACT(C717 ,""^(?:(?:[A-Za-zàäéèêîïöôûü0-9 ](?:[A-Za-zàäéèêîïöôûü'0-9 ]+)))"")) , ""[()]"", """")"&amp;",C717 )"),"Les Cent pieds ")</f>
        <v>Les Cent pieds </v>
      </c>
      <c r="BO717" s="25"/>
      <c r="BP717" s="7"/>
      <c r="BQ717" s="7"/>
      <c r="BR717" s="7"/>
      <c r="BS717" s="7"/>
      <c r="BT717" s="7"/>
      <c r="BU717" s="7"/>
      <c r="BV717" s="7"/>
      <c r="BW717" s="7"/>
      <c r="BX717" s="7"/>
      <c r="BY717" s="7"/>
      <c r="BZ717" s="7"/>
      <c r="CA717" s="7"/>
      <c r="CB717" s="7"/>
    </row>
    <row r="718" ht="21.75" customHeight="1">
      <c r="A718" s="7"/>
      <c r="B718" s="7" t="s">
        <v>249</v>
      </c>
      <c r="C718" s="7" t="s">
        <v>8700</v>
      </c>
      <c r="D718" s="7"/>
      <c r="E718" s="7"/>
      <c r="F718" s="7"/>
      <c r="G718" s="7" t="s">
        <v>343</v>
      </c>
      <c r="H718" s="7" t="s">
        <v>40</v>
      </c>
      <c r="I718" s="7" t="s">
        <v>8701</v>
      </c>
      <c r="J718" s="26" t="s">
        <v>8702</v>
      </c>
      <c r="K718" s="7" t="s">
        <v>58</v>
      </c>
      <c r="L718" s="7" t="s">
        <v>137</v>
      </c>
      <c r="M718" s="7" t="s">
        <v>545</v>
      </c>
      <c r="N718" s="7"/>
      <c r="O718" s="7">
        <v>97414.0</v>
      </c>
      <c r="P718" s="7" t="s">
        <v>40</v>
      </c>
      <c r="Q718" s="7" t="s">
        <v>8701</v>
      </c>
      <c r="R718" s="7"/>
      <c r="S718" s="7"/>
      <c r="T718" s="7" t="s">
        <v>377</v>
      </c>
      <c r="U718" s="7" t="s">
        <v>8627</v>
      </c>
      <c r="V718" s="7">
        <v>6.93949992E8</v>
      </c>
      <c r="W718" s="7">
        <v>6.92925523E8</v>
      </c>
      <c r="X718" s="7">
        <v>6.9219468E8</v>
      </c>
      <c r="Y718" s="7"/>
      <c r="Z718" s="7" t="s">
        <v>8703</v>
      </c>
      <c r="AA718" s="7">
        <v>20.0</v>
      </c>
      <c r="AB718" s="7"/>
      <c r="AC718" s="7"/>
      <c r="AD718" s="7"/>
      <c r="AE718" s="7"/>
      <c r="AF718" s="7"/>
      <c r="AG718" s="7"/>
      <c r="AH718" s="7"/>
      <c r="AI718" s="7"/>
      <c r="AJ718" s="7" t="s">
        <v>8704</v>
      </c>
      <c r="AK718" s="7"/>
      <c r="AL718" s="7" t="s">
        <v>8705</v>
      </c>
      <c r="AM718" s="7" t="s">
        <v>8706</v>
      </c>
      <c r="AN718" s="7"/>
      <c r="AO718" s="7">
        <v>97410.0</v>
      </c>
      <c r="AP718" s="7" t="s">
        <v>512</v>
      </c>
      <c r="AQ718" s="7"/>
      <c r="AR718" s="7"/>
      <c r="AS718" s="7"/>
      <c r="AT718" s="7"/>
      <c r="AU718" s="7">
        <v>1.0</v>
      </c>
      <c r="AV718" s="7" t="s">
        <v>8707</v>
      </c>
      <c r="AW718" s="7"/>
      <c r="AX718" s="7" t="s">
        <v>8708</v>
      </c>
      <c r="AY718" s="7" t="s">
        <v>1590</v>
      </c>
      <c r="AZ718" s="7" t="s">
        <v>8709</v>
      </c>
      <c r="BA718" s="7"/>
      <c r="BB718" s="7"/>
      <c r="BC718" s="7" t="s">
        <v>401</v>
      </c>
      <c r="BD718" s="7"/>
      <c r="BE718" s="7"/>
      <c r="BF718" s="7"/>
      <c r="BG718" s="7"/>
      <c r="BH718" s="7"/>
      <c r="BI718" s="7" t="s">
        <v>8710</v>
      </c>
      <c r="BJ718" s="7"/>
      <c r="BK718" s="7" t="b">
        <v>0</v>
      </c>
      <c r="BL718" s="7" t="b">
        <v>0</v>
      </c>
      <c r="BM718" s="7"/>
      <c r="BN718" s="7" t="str">
        <f>IFERROR(__xludf.DUMMYFUNCTION(" IF( REGEXMATCH(C718 , ""[(].+[)]""),REGEXREPLACE( CONCATENATE(REGEXEXTRACT(C718 , ""[(].+[)]""),IF(REGEXMATCH(C718 , ""[(][Ll]['’][)]""),"""","" ""), REGEXEXTRACT(C718 ,""^(?:(?:[A-Za-zàäéèêîïöôûü0-9 ](?:[A-Za-zàäéèêîïöôûü'0-9 ]+)))"")) , ""[()]"", """")"&amp;",C718 )"),"Le Chalet Co Gite ")</f>
        <v>Le Chalet Co Gite </v>
      </c>
      <c r="BO718" s="25"/>
      <c r="BP718" s="7"/>
      <c r="BQ718" s="7"/>
      <c r="BR718" s="7"/>
      <c r="BS718" s="7"/>
      <c r="BT718" s="7"/>
      <c r="BU718" s="7"/>
      <c r="BV718" s="7"/>
      <c r="BW718" s="7"/>
      <c r="BX718" s="7"/>
      <c r="BY718" s="7"/>
      <c r="BZ718" s="7"/>
      <c r="CA718" s="7"/>
      <c r="CB718" s="7"/>
    </row>
    <row r="719" ht="21.75" customHeight="1">
      <c r="A719" s="7"/>
      <c r="B719" s="7" t="s">
        <v>8711</v>
      </c>
      <c r="C719" s="7" t="s">
        <v>8712</v>
      </c>
      <c r="D719" s="7"/>
      <c r="E719" s="7"/>
      <c r="F719" s="7"/>
      <c r="G719" s="7" t="s">
        <v>343</v>
      </c>
      <c r="H719" s="7" t="s">
        <v>123</v>
      </c>
      <c r="I719" s="7" t="s">
        <v>8713</v>
      </c>
      <c r="J719" s="7"/>
      <c r="K719" s="7" t="s">
        <v>58</v>
      </c>
      <c r="L719" s="7" t="s">
        <v>59</v>
      </c>
      <c r="M719" s="7"/>
      <c r="N719" s="7"/>
      <c r="O719" s="7">
        <v>97480.0</v>
      </c>
      <c r="P719" s="7" t="s">
        <v>123</v>
      </c>
      <c r="Q719" s="7"/>
      <c r="R719" s="7"/>
      <c r="S719" s="7"/>
      <c r="T719" s="7"/>
      <c r="U719" s="7"/>
      <c r="V719" s="7"/>
      <c r="W719" s="7">
        <v>6.93043797E8</v>
      </c>
      <c r="X719" s="7"/>
      <c r="Y719" s="7"/>
      <c r="Z719" s="7" t="s">
        <v>8714</v>
      </c>
      <c r="AA719" s="7">
        <v>4.0</v>
      </c>
      <c r="AB719" s="7"/>
      <c r="AC719" s="7"/>
      <c r="AD719" s="7"/>
      <c r="AE719" s="7"/>
      <c r="AF719" s="7"/>
      <c r="AG719" s="7"/>
      <c r="AH719" s="7"/>
      <c r="AI719" s="7"/>
      <c r="AJ719" s="7" t="s">
        <v>8715</v>
      </c>
      <c r="AK719" s="7"/>
      <c r="AL719" s="7" t="s">
        <v>8716</v>
      </c>
      <c r="AM719" s="7"/>
      <c r="AN719" s="7"/>
      <c r="AO719" s="7"/>
      <c r="AP719" s="7"/>
      <c r="AQ719" s="7"/>
      <c r="AR719" s="7"/>
      <c r="AS719" s="7"/>
      <c r="AT719" s="7"/>
      <c r="AU719" s="7"/>
      <c r="AV719" s="7" t="s">
        <v>8717</v>
      </c>
      <c r="AW719" s="7"/>
      <c r="AX719" s="7"/>
      <c r="AY719" s="7"/>
      <c r="AZ719" s="7" t="s">
        <v>8718</v>
      </c>
      <c r="BA719" s="7"/>
      <c r="BB719" s="7"/>
      <c r="BC719" s="7" t="s">
        <v>401</v>
      </c>
      <c r="BD719" s="7"/>
      <c r="BE719" s="7"/>
      <c r="BF719" s="7"/>
      <c r="BG719" s="7"/>
      <c r="BH719" s="7"/>
      <c r="BI719" s="7" t="s">
        <v>8719</v>
      </c>
      <c r="BJ719" s="7"/>
      <c r="BK719" s="7" t="b">
        <v>0</v>
      </c>
      <c r="BL719" s="7" t="b">
        <v>0</v>
      </c>
      <c r="BM719" s="7"/>
      <c r="BN719" s="7" t="str">
        <f>IFERROR(__xludf.DUMMYFUNCTION(" IF( REGEXMATCH(C719 , ""[(].+[)]""),REGEXREPLACE( CONCATENATE(REGEXEXTRACT(C719 , ""[(].+[)]""),IF(REGEXMATCH(C719 , ""[(][Ll]['’][)]""),"""","" ""), REGEXEXTRACT(C719 ,""^(?:(?:[A-Za-zàäéèêîïöôûü0-9 ](?:[A-Za-zàäéèêîïöôûü'0-9 ]+)))"")) , ""[()]"", """")"&amp;",C719 )"),"Le Chalet Kreol ")</f>
        <v>Le Chalet Kreol </v>
      </c>
      <c r="BO719" s="25"/>
      <c r="BP719" s="7"/>
      <c r="BQ719" s="7"/>
      <c r="BR719" s="7"/>
      <c r="BS719" s="7"/>
      <c r="BT719" s="7"/>
      <c r="BU719" s="7"/>
      <c r="BV719" s="7"/>
      <c r="BW719" s="7"/>
      <c r="BX719" s="7"/>
      <c r="BY719" s="7"/>
      <c r="BZ719" s="7"/>
      <c r="CA719" s="7"/>
      <c r="CB719" s="7"/>
    </row>
    <row r="720" ht="21.75" customHeight="1">
      <c r="A720" s="7"/>
      <c r="B720" s="7" t="s">
        <v>266</v>
      </c>
      <c r="C720" s="7" t="s">
        <v>8720</v>
      </c>
      <c r="D720" s="7"/>
      <c r="E720" s="7"/>
      <c r="F720" s="7"/>
      <c r="G720" s="7" t="s">
        <v>343</v>
      </c>
      <c r="H720" s="7" t="s">
        <v>123</v>
      </c>
      <c r="I720" s="7" t="s">
        <v>8721</v>
      </c>
      <c r="J720" s="7"/>
      <c r="K720" s="7" t="s">
        <v>58</v>
      </c>
      <c r="L720" s="7" t="s">
        <v>453</v>
      </c>
      <c r="M720" s="7" t="s">
        <v>454</v>
      </c>
      <c r="N720" s="7"/>
      <c r="O720" s="7">
        <v>97480.0</v>
      </c>
      <c r="P720" s="7" t="s">
        <v>123</v>
      </c>
      <c r="Q720" s="7" t="s">
        <v>206</v>
      </c>
      <c r="R720" s="7"/>
      <c r="S720" s="7"/>
      <c r="T720" s="7"/>
      <c r="U720" s="7" t="s">
        <v>353</v>
      </c>
      <c r="V720" s="7"/>
      <c r="W720" s="7">
        <v>6.92022569E8</v>
      </c>
      <c r="X720" s="7"/>
      <c r="Y720" s="7"/>
      <c r="Z720" s="7" t="s">
        <v>8722</v>
      </c>
      <c r="AA720" s="7">
        <v>14.0</v>
      </c>
      <c r="AB720" s="7"/>
      <c r="AC720" s="7"/>
      <c r="AD720" s="7"/>
      <c r="AE720" s="7"/>
      <c r="AF720" s="7"/>
      <c r="AG720" s="7"/>
      <c r="AH720" s="7"/>
      <c r="AI720" s="7"/>
      <c r="AJ720" s="7" t="s">
        <v>8723</v>
      </c>
      <c r="AK720" s="7"/>
      <c r="AL720" s="7" t="s">
        <v>8721</v>
      </c>
      <c r="AM720" s="7"/>
      <c r="AN720" s="7"/>
      <c r="AO720" s="7"/>
      <c r="AP720" s="7"/>
      <c r="AQ720" s="7"/>
      <c r="AR720" s="7"/>
      <c r="AS720" s="7"/>
      <c r="AT720" s="7"/>
      <c r="AU720" s="7"/>
      <c r="AV720" s="7" t="s">
        <v>8724</v>
      </c>
      <c r="AW720" s="7"/>
      <c r="AX720" s="7"/>
      <c r="AY720" s="7"/>
      <c r="AZ720" s="7" t="s">
        <v>8725</v>
      </c>
      <c r="BA720" s="7"/>
      <c r="BB720" s="7"/>
      <c r="BC720" s="7" t="s">
        <v>401</v>
      </c>
      <c r="BD720" s="7"/>
      <c r="BE720" s="7"/>
      <c r="BF720" s="7"/>
      <c r="BG720" s="7"/>
      <c r="BH720" s="7"/>
      <c r="BI720" s="7" t="s">
        <v>8726</v>
      </c>
      <c r="BJ720" s="7"/>
      <c r="BK720" s="7" t="b">
        <v>0</v>
      </c>
      <c r="BL720" s="7" t="b">
        <v>0</v>
      </c>
      <c r="BM720" s="7"/>
      <c r="BN720" s="7" t="str">
        <f>IFERROR(__xludf.DUMMYFUNCTION(" IF( REGEXMATCH(C720 , ""[(].+[)]""),REGEXREPLACE( CONCATENATE(REGEXEXTRACT(C720 , ""[(].+[)]""),IF(REGEXMATCH(C720 , ""[(][Ll]['’][)]""),"""","" ""), REGEXEXTRACT(C720 ,""^(?:(?:[A-Za-zàäéèêîïöôûü0-9 ](?:[A-Za-zàäéèêîïöôûü'0-9 ]+)))"")) , ""[()]"", """")"&amp;",C720 )"),"La Chambrita ")</f>
        <v>La Chambrita </v>
      </c>
      <c r="BO720" s="25"/>
      <c r="BP720" s="7"/>
      <c r="BQ720" s="7"/>
      <c r="BR720" s="7"/>
      <c r="BS720" s="7"/>
      <c r="BT720" s="7"/>
      <c r="BU720" s="7"/>
      <c r="BV720" s="7"/>
      <c r="BW720" s="7"/>
      <c r="BX720" s="7"/>
      <c r="BY720" s="7"/>
      <c r="BZ720" s="7"/>
      <c r="CA720" s="7"/>
      <c r="CB720" s="7"/>
    </row>
    <row r="721" ht="21.75" customHeight="1">
      <c r="A721" s="7"/>
      <c r="B721" s="7" t="s">
        <v>8727</v>
      </c>
      <c r="C721" s="7" t="s">
        <v>8728</v>
      </c>
      <c r="D721" s="7"/>
      <c r="E721" s="7"/>
      <c r="F721" s="7"/>
      <c r="G721" s="7" t="s">
        <v>343</v>
      </c>
      <c r="H721" s="7" t="s">
        <v>33</v>
      </c>
      <c r="I721" s="7" t="s">
        <v>8729</v>
      </c>
      <c r="J721" s="7"/>
      <c r="K721" s="7" t="s">
        <v>58</v>
      </c>
      <c r="L721" s="7" t="s">
        <v>59</v>
      </c>
      <c r="M721" s="7" t="s">
        <v>346</v>
      </c>
      <c r="N721" s="7"/>
      <c r="O721" s="7">
        <v>97442.0</v>
      </c>
      <c r="P721" s="7" t="s">
        <v>33</v>
      </c>
      <c r="Q721" s="7"/>
      <c r="R721" s="7"/>
      <c r="S721" s="7"/>
      <c r="T721" s="7"/>
      <c r="U721" s="7"/>
      <c r="V721" s="7"/>
      <c r="W721" s="7">
        <v>6.92433734E8</v>
      </c>
      <c r="X721" s="7"/>
      <c r="Y721" s="7"/>
      <c r="Z721" s="7" t="s">
        <v>8730</v>
      </c>
      <c r="AA721" s="7">
        <v>8.0</v>
      </c>
      <c r="AB721" s="7"/>
      <c r="AC721" s="7"/>
      <c r="AD721" s="7"/>
      <c r="AE721" s="7"/>
      <c r="AF721" s="7"/>
      <c r="AG721" s="7"/>
      <c r="AH721" s="7"/>
      <c r="AI721" s="7"/>
      <c r="AJ721" s="7" t="s">
        <v>8731</v>
      </c>
      <c r="AK721" s="7"/>
      <c r="AL721" s="7" t="s">
        <v>8732</v>
      </c>
      <c r="AM721" s="7"/>
      <c r="AN721" s="7"/>
      <c r="AO721" s="7">
        <v>97442.0</v>
      </c>
      <c r="AP721" s="7" t="s">
        <v>884</v>
      </c>
      <c r="AQ721" s="7"/>
      <c r="AR721" s="7"/>
      <c r="AS721" s="7"/>
      <c r="AT721" s="7"/>
      <c r="AU721" s="7">
        <v>2.0</v>
      </c>
      <c r="AV721" s="7" t="s">
        <v>8733</v>
      </c>
      <c r="AW721" s="7"/>
      <c r="AX721" s="7"/>
      <c r="AY721" s="7"/>
      <c r="AZ721" s="7" t="s">
        <v>8734</v>
      </c>
      <c r="BA721" s="7"/>
      <c r="BB721" s="7"/>
      <c r="BC721" s="7" t="s">
        <v>401</v>
      </c>
      <c r="BD721" s="7"/>
      <c r="BE721" s="7"/>
      <c r="BF721" s="7"/>
      <c r="BG721" s="7"/>
      <c r="BH721" s="7"/>
      <c r="BI721" s="7" t="s">
        <v>8735</v>
      </c>
      <c r="BJ721" s="7"/>
      <c r="BK721" s="7" t="b">
        <v>0</v>
      </c>
      <c r="BL721" s="7" t="b">
        <v>0</v>
      </c>
      <c r="BM721" s="7"/>
      <c r="BN721" s="7" t="str">
        <f>IFERROR(__xludf.DUMMYFUNCTION(" IF( REGEXMATCH(C721 , ""[(].+[)]""),REGEXREPLACE( CONCATENATE(REGEXEXTRACT(C721 , ""[(].+[)]""),IF(REGEXMATCH(C721 , ""[(][Ll]['’][)]""),"""","" ""), REGEXEXTRACT(C721 ,""^(?:(?:[A-Za-zàäéèêîïöôûü0-9 ](?:[A-Za-zàäéèêîïöôûü'0-9 ]+)))"")) , ""[()]"", """")"&amp;",C721 )"),"Chez Bilou &amp; Malou")</f>
        <v>Chez Bilou &amp; Malou</v>
      </c>
      <c r="BO721" s="25"/>
      <c r="BP721" s="7"/>
      <c r="BQ721" s="7"/>
      <c r="BR721" s="7"/>
      <c r="BS721" s="7"/>
      <c r="BT721" s="7"/>
      <c r="BU721" s="7"/>
      <c r="BV721" s="7"/>
      <c r="BW721" s="7"/>
      <c r="BX721" s="7"/>
      <c r="BY721" s="7"/>
      <c r="BZ721" s="7"/>
      <c r="CA721" s="7"/>
      <c r="CB721" s="7"/>
    </row>
    <row r="722" ht="21.75" customHeight="1">
      <c r="A722" s="7"/>
      <c r="B722" s="7" t="s">
        <v>8736</v>
      </c>
      <c r="C722" s="7" t="s">
        <v>8737</v>
      </c>
      <c r="D722" s="7"/>
      <c r="E722" s="7"/>
      <c r="F722" s="7"/>
      <c r="G722" s="7" t="s">
        <v>343</v>
      </c>
      <c r="H722" s="7" t="s">
        <v>344</v>
      </c>
      <c r="I722" s="7" t="s">
        <v>8738</v>
      </c>
      <c r="J722" s="7"/>
      <c r="K722" s="7" t="s">
        <v>58</v>
      </c>
      <c r="L722" s="7" t="s">
        <v>453</v>
      </c>
      <c r="M722" s="7" t="s">
        <v>454</v>
      </c>
      <c r="N722" s="7"/>
      <c r="O722" s="7">
        <v>97430.0</v>
      </c>
      <c r="P722" s="7" t="s">
        <v>344</v>
      </c>
      <c r="Q722" s="7"/>
      <c r="R722" s="7"/>
      <c r="S722" s="7"/>
      <c r="T722" s="7"/>
      <c r="U722" s="7" t="s">
        <v>378</v>
      </c>
      <c r="V722" s="7"/>
      <c r="W722" s="7">
        <v>6.92040902E8</v>
      </c>
      <c r="X722" s="7"/>
      <c r="Y722" s="7"/>
      <c r="Z722" s="7" t="s">
        <v>8739</v>
      </c>
      <c r="AA722" s="7">
        <v>2.0</v>
      </c>
      <c r="AB722" s="7"/>
      <c r="AC722" s="7"/>
      <c r="AD722" s="7"/>
      <c r="AE722" s="7"/>
      <c r="AF722" s="7"/>
      <c r="AG722" s="7"/>
      <c r="AH722" s="7"/>
      <c r="AI722" s="7"/>
      <c r="AJ722" s="7" t="s">
        <v>8740</v>
      </c>
      <c r="AK722" s="7"/>
      <c r="AL722" s="7" t="s">
        <v>8738</v>
      </c>
      <c r="AM722" s="7"/>
      <c r="AN722" s="7"/>
      <c r="AO722" s="7">
        <v>97430.0</v>
      </c>
      <c r="AP722" s="7" t="s">
        <v>494</v>
      </c>
      <c r="AQ722" s="7"/>
      <c r="AR722" s="7"/>
      <c r="AS722" s="7"/>
      <c r="AT722" s="7"/>
      <c r="AU722" s="7">
        <v>1.0</v>
      </c>
      <c r="AV722" s="7" t="s">
        <v>8741</v>
      </c>
      <c r="AW722" s="7"/>
      <c r="AX722" s="7"/>
      <c r="AY722" s="7"/>
      <c r="AZ722" s="7" t="s">
        <v>8742</v>
      </c>
      <c r="BA722" s="7"/>
      <c r="BB722" s="7"/>
      <c r="BC722" s="7" t="s">
        <v>401</v>
      </c>
      <c r="BD722" s="7"/>
      <c r="BE722" s="7"/>
      <c r="BF722" s="7"/>
      <c r="BG722" s="7"/>
      <c r="BH722" s="7"/>
      <c r="BI722" s="7" t="s">
        <v>8743</v>
      </c>
      <c r="BJ722" s="7"/>
      <c r="BK722" s="7" t="b">
        <v>0</v>
      </c>
      <c r="BL722" s="7" t="b">
        <v>0</v>
      </c>
      <c r="BM722" s="7"/>
      <c r="BN722" s="7" t="str">
        <f>IFERROR(__xludf.DUMMYFUNCTION(" IF( REGEXMATCH(C722 , ""[(].+[)]""),REGEXREPLACE( CONCATENATE(REGEXEXTRACT(C722 , ""[(].+[)]""),IF(REGEXMATCH(C722 , ""[(][Ll]['’][)]""),"""","" ""), REGEXEXTRACT(C722 ,""^(?:(?:[A-Za-zàäéèêîïöôûü0-9 ](?:[A-Za-zàäéèêîïöôûü'0-9 ]+)))"")) , ""[()]"", """")"&amp;",C722 )"),"Chez Elie et Gigi")</f>
        <v>Chez Elie et Gigi</v>
      </c>
      <c r="BO722" s="25"/>
      <c r="BP722" s="7"/>
      <c r="BQ722" s="7"/>
      <c r="BR722" s="7"/>
      <c r="BS722" s="7"/>
      <c r="BT722" s="7"/>
      <c r="BU722" s="7"/>
      <c r="BV722" s="7"/>
      <c r="BW722" s="7"/>
      <c r="BX722" s="7"/>
      <c r="BY722" s="7"/>
      <c r="BZ722" s="7"/>
      <c r="CA722" s="7"/>
      <c r="CB722" s="7"/>
    </row>
    <row r="723" ht="21.75" customHeight="1">
      <c r="A723" s="7"/>
      <c r="B723" s="7" t="s">
        <v>8744</v>
      </c>
      <c r="C723" s="7" t="s">
        <v>8745</v>
      </c>
      <c r="D723" s="7"/>
      <c r="E723" s="7"/>
      <c r="F723" s="7"/>
      <c r="G723" s="7" t="s">
        <v>343</v>
      </c>
      <c r="H723" s="7" t="s">
        <v>123</v>
      </c>
      <c r="I723" s="7" t="s">
        <v>8746</v>
      </c>
      <c r="J723" s="7"/>
      <c r="K723" s="7" t="s">
        <v>58</v>
      </c>
      <c r="L723" s="7" t="s">
        <v>59</v>
      </c>
      <c r="M723" s="7" t="s">
        <v>346</v>
      </c>
      <c r="N723" s="7"/>
      <c r="O723" s="7">
        <v>97480.0</v>
      </c>
      <c r="P723" s="7" t="s">
        <v>123</v>
      </c>
      <c r="Q723" s="7" t="s">
        <v>8747</v>
      </c>
      <c r="R723" s="7"/>
      <c r="S723" s="7"/>
      <c r="T723" s="7"/>
      <c r="U723" s="7" t="s">
        <v>378</v>
      </c>
      <c r="V723" s="7"/>
      <c r="W723" s="7">
        <v>6.93707428E8</v>
      </c>
      <c r="X723" s="7"/>
      <c r="Y723" s="7"/>
      <c r="Z723" s="7" t="s">
        <v>8748</v>
      </c>
      <c r="AA723" s="7">
        <v>4.0</v>
      </c>
      <c r="AB723" s="7"/>
      <c r="AC723" s="7"/>
      <c r="AD723" s="7"/>
      <c r="AE723" s="7"/>
      <c r="AF723" s="7"/>
      <c r="AG723" s="7"/>
      <c r="AH723" s="20">
        <v>43101.0</v>
      </c>
      <c r="AI723" s="7"/>
      <c r="AJ723" s="7" t="s">
        <v>8749</v>
      </c>
      <c r="AK723" s="7"/>
      <c r="AL723" s="7" t="s">
        <v>8750</v>
      </c>
      <c r="AM723" s="7" t="s">
        <v>8751</v>
      </c>
      <c r="AN723" s="7"/>
      <c r="AO723" s="7">
        <v>97480.0</v>
      </c>
      <c r="AP723" s="7" t="s">
        <v>385</v>
      </c>
      <c r="AQ723" s="7"/>
      <c r="AR723" s="7"/>
      <c r="AS723" s="7"/>
      <c r="AT723" s="7"/>
      <c r="AU723" s="7">
        <v>1.0</v>
      </c>
      <c r="AV723" s="7" t="s">
        <v>8752</v>
      </c>
      <c r="AW723" s="7"/>
      <c r="AX723" s="7" t="s">
        <v>7024</v>
      </c>
      <c r="AY723" s="7" t="s">
        <v>1590</v>
      </c>
      <c r="AZ723" s="7" t="s">
        <v>8753</v>
      </c>
      <c r="BA723" s="7"/>
      <c r="BB723" s="7"/>
      <c r="BC723" s="7" t="s">
        <v>401</v>
      </c>
      <c r="BD723" s="7"/>
      <c r="BE723" s="7"/>
      <c r="BF723" s="7"/>
      <c r="BG723" s="7"/>
      <c r="BH723" s="7"/>
      <c r="BI723" s="7" t="s">
        <v>8754</v>
      </c>
      <c r="BJ723" s="7"/>
      <c r="BK723" s="7" t="b">
        <v>0</v>
      </c>
      <c r="BL723" s="7" t="b">
        <v>0</v>
      </c>
      <c r="BM723" s="7"/>
      <c r="BN723" s="7" t="str">
        <f>IFERROR(__xludf.DUMMYFUNCTION(" IF( REGEXMATCH(C723 , ""[(].+[)]""),REGEXREPLACE( CONCATENATE(REGEXEXTRACT(C723 , ""[(].+[)]""),IF(REGEXMATCH(C723 , ""[(][Ll]['’][)]""),"""","" ""), REGEXEXTRACT(C723 ,""^(?:(?:[A-Za-zàäéèêîïöôûü0-9 ](?:[A-Za-zàäéèêîïöôûü'0-9 ]+)))"")) , ""[()]"", """")"&amp;",C723 )"),"Chez Gérard")</f>
        <v>Chez Gérard</v>
      </c>
      <c r="BO723" s="25"/>
      <c r="BP723" s="7"/>
      <c r="BQ723" s="7"/>
      <c r="BR723" s="7"/>
      <c r="BS723" s="7"/>
      <c r="BT723" s="7"/>
      <c r="BU723" s="7"/>
      <c r="BV723" s="7"/>
      <c r="BW723" s="7"/>
      <c r="BX723" s="7"/>
      <c r="BY723" s="7"/>
      <c r="BZ723" s="7"/>
      <c r="CA723" s="7"/>
      <c r="CB723" s="7"/>
    </row>
    <row r="724" ht="21.75" customHeight="1">
      <c r="A724" s="7"/>
      <c r="B724" s="7" t="s">
        <v>8755</v>
      </c>
      <c r="C724" s="7" t="s">
        <v>8756</v>
      </c>
      <c r="D724" s="7" t="s">
        <v>8213</v>
      </c>
      <c r="E724" s="7"/>
      <c r="F724" s="7"/>
      <c r="G724" s="7" t="s">
        <v>343</v>
      </c>
      <c r="H724" s="7" t="s">
        <v>344</v>
      </c>
      <c r="I724" s="7" t="s">
        <v>8757</v>
      </c>
      <c r="J724" s="7"/>
      <c r="K724" s="7" t="s">
        <v>58</v>
      </c>
      <c r="L724" s="7" t="s">
        <v>59</v>
      </c>
      <c r="M724" s="7"/>
      <c r="N724" s="7"/>
      <c r="O724" s="7">
        <v>97430.0</v>
      </c>
      <c r="P724" s="7" t="s">
        <v>344</v>
      </c>
      <c r="Q724" s="7"/>
      <c r="R724" s="7"/>
      <c r="S724" s="7"/>
      <c r="T724" s="7"/>
      <c r="U724" s="7"/>
      <c r="V724" s="7"/>
      <c r="W724" s="7">
        <v>6.92407801E8</v>
      </c>
      <c r="X724" s="7">
        <v>6.92763228E8</v>
      </c>
      <c r="Y724" s="7"/>
      <c r="Z724" s="7" t="s">
        <v>8758</v>
      </c>
      <c r="AA724" s="7">
        <v>2.0</v>
      </c>
      <c r="AB724" s="7"/>
      <c r="AC724" s="7"/>
      <c r="AD724" s="7"/>
      <c r="AE724" s="7"/>
      <c r="AF724" s="7"/>
      <c r="AG724" s="7"/>
      <c r="AH724" s="7"/>
      <c r="AI724" s="7"/>
      <c r="AJ724" s="7" t="s">
        <v>8759</v>
      </c>
      <c r="AK724" s="7"/>
      <c r="AL724" s="7" t="s">
        <v>8760</v>
      </c>
      <c r="AM724" s="7"/>
      <c r="AN724" s="7"/>
      <c r="AO724" s="7">
        <v>97430.0</v>
      </c>
      <c r="AP724" s="7" t="s">
        <v>494</v>
      </c>
      <c r="AQ724" s="7"/>
      <c r="AR724" s="7"/>
      <c r="AS724" s="7"/>
      <c r="AT724" s="7"/>
      <c r="AU724" s="7">
        <v>1.0</v>
      </c>
      <c r="AV724" s="7" t="s">
        <v>8761</v>
      </c>
      <c r="AW724" s="7"/>
      <c r="AX724" s="7"/>
      <c r="AY724" s="7"/>
      <c r="AZ724" s="7"/>
      <c r="BA724" s="7"/>
      <c r="BB724" s="7"/>
      <c r="BC724" s="7" t="s">
        <v>401</v>
      </c>
      <c r="BD724" s="7"/>
      <c r="BE724" s="7"/>
      <c r="BF724" s="7"/>
      <c r="BG724" s="7"/>
      <c r="BH724" s="7"/>
      <c r="BI724" s="7" t="s">
        <v>8762</v>
      </c>
      <c r="BJ724" s="7"/>
      <c r="BK724" s="7" t="b">
        <v>0</v>
      </c>
      <c r="BL724" s="7" t="b">
        <v>0</v>
      </c>
      <c r="BM724" s="7"/>
      <c r="BN724" s="7" t="str">
        <f>IFERROR(__xludf.DUMMYFUNCTION(" IF( REGEXMATCH(C724 , ""[(].+[)]""),REGEXREPLACE( CONCATENATE(REGEXEXTRACT(C724 , ""[(].+[)]""),IF(REGEXMATCH(C724 , ""[(][Ll]['’][)]""),"""","" ""), REGEXEXTRACT(C724 ,""^(?:(?:[A-Za-zàäéèêîïöôûü0-9 ](?:[A-Za-zàäéèêîïöôûü'0-9 ]+)))"")) , ""[()]"", """")"&amp;",C724 )"),"Chez Gilbert?/ à vérifier")</f>
        <v>Chez Gilbert?/ à vérifier</v>
      </c>
      <c r="BO724" s="25"/>
      <c r="BP724" s="7"/>
      <c r="BQ724" s="7"/>
      <c r="BR724" s="7"/>
      <c r="BS724" s="7"/>
      <c r="BT724" s="7"/>
      <c r="BU724" s="7"/>
      <c r="BV724" s="7"/>
      <c r="BW724" s="7"/>
      <c r="BX724" s="7"/>
      <c r="BY724" s="7"/>
      <c r="BZ724" s="7"/>
      <c r="CA724" s="7"/>
      <c r="CB724" s="7"/>
    </row>
    <row r="725" ht="21.75" customHeight="1">
      <c r="A725" s="7"/>
      <c r="B725" s="7" t="s">
        <v>8763</v>
      </c>
      <c r="C725" s="7" t="s">
        <v>8764</v>
      </c>
      <c r="D725" s="7"/>
      <c r="E725" s="7"/>
      <c r="F725" s="7"/>
      <c r="G725" s="7" t="s">
        <v>343</v>
      </c>
      <c r="H725" s="7" t="s">
        <v>40</v>
      </c>
      <c r="I725" s="7" t="s">
        <v>8765</v>
      </c>
      <c r="J725" s="7"/>
      <c r="K725" s="7" t="s">
        <v>34</v>
      </c>
      <c r="L725" s="7" t="s">
        <v>485</v>
      </c>
      <c r="M725" s="7" t="s">
        <v>8766</v>
      </c>
      <c r="N725" s="7"/>
      <c r="O725" s="7">
        <v>97414.0</v>
      </c>
      <c r="P725" s="7" t="s">
        <v>40</v>
      </c>
      <c r="Q725" s="7" t="s">
        <v>8582</v>
      </c>
      <c r="R725" s="7" t="s">
        <v>8767</v>
      </c>
      <c r="S725" s="7"/>
      <c r="T725" s="7" t="s">
        <v>377</v>
      </c>
      <c r="U725" s="7" t="s">
        <v>378</v>
      </c>
      <c r="V725" s="7"/>
      <c r="W725" s="7">
        <v>6.92948583E8</v>
      </c>
      <c r="X725" s="7"/>
      <c r="Y725" s="7"/>
      <c r="Z725" s="7" t="s">
        <v>8768</v>
      </c>
      <c r="AA725" s="7">
        <v>20.0</v>
      </c>
      <c r="AB725" s="7"/>
      <c r="AC725" s="7"/>
      <c r="AD725" s="7"/>
      <c r="AE725" s="7"/>
      <c r="AF725" s="7"/>
      <c r="AG725" s="7"/>
      <c r="AH725" s="7"/>
      <c r="AI725" s="7"/>
      <c r="AJ725" s="7" t="s">
        <v>8769</v>
      </c>
      <c r="AK725" s="7">
        <v>5.0104208900018E13</v>
      </c>
      <c r="AL725" s="7" t="s">
        <v>8770</v>
      </c>
      <c r="AM725" s="7" t="s">
        <v>8771</v>
      </c>
      <c r="AN725" s="7"/>
      <c r="AO725" s="7">
        <v>97414.0</v>
      </c>
      <c r="AP725" s="7" t="s">
        <v>429</v>
      </c>
      <c r="AQ725" s="7"/>
      <c r="AR725" s="7"/>
      <c r="AS725" s="7"/>
      <c r="AT725" s="7"/>
      <c r="AU725" s="7"/>
      <c r="AV725" s="7" t="s">
        <v>8772</v>
      </c>
      <c r="AW725" s="7"/>
      <c r="AX725" s="7"/>
      <c r="AY725" s="7"/>
      <c r="AZ725" s="7"/>
      <c r="BA725" s="7"/>
      <c r="BB725" s="7"/>
      <c r="BC725" s="7" t="s">
        <v>401</v>
      </c>
      <c r="BD725" s="7"/>
      <c r="BE725" s="7"/>
      <c r="BF725" s="7"/>
      <c r="BG725" s="7"/>
      <c r="BH725" s="7">
        <v>5.01042089E8</v>
      </c>
      <c r="BI725" s="7" t="s">
        <v>8773</v>
      </c>
      <c r="BJ725" s="7"/>
      <c r="BK725" s="7" t="b">
        <v>0</v>
      </c>
      <c r="BL725" s="7" t="b">
        <v>0</v>
      </c>
      <c r="BM725" s="7"/>
      <c r="BN725" s="7" t="str">
        <f>IFERROR(__xludf.DUMMYFUNCTION(" IF( REGEXMATCH(C725 , ""[(].+[)]""),REGEXREPLACE( CONCATENATE(REGEXEXTRACT(C725 , ""[(].+[)]""),IF(REGEXMATCH(C725 , ""[(][Ll]['’][)]""),"""","" ""), REGEXEXTRACT(C725 ,""^(?:(?:[A-Za-zàäéèêîïöôûü0-9 ](?:[A-Za-zàäéèêîïöôûü'0-9 ]+)))"")) , ""[()]"", """")"&amp;",C725 )"),"Chez Josian &amp; Céline")</f>
        <v>Chez Josian &amp; Céline</v>
      </c>
      <c r="BO725" s="25"/>
      <c r="BP725" s="7"/>
      <c r="BQ725" s="7"/>
      <c r="BR725" s="7"/>
      <c r="BS725" s="7"/>
      <c r="BT725" s="7"/>
      <c r="BU725" s="7"/>
      <c r="BV725" s="7"/>
      <c r="BW725" s="7"/>
      <c r="BX725" s="7"/>
      <c r="BY725" s="7"/>
      <c r="BZ725" s="7"/>
      <c r="CA725" s="7"/>
      <c r="CB725" s="7"/>
    </row>
    <row r="726" ht="21.75" customHeight="1">
      <c r="A726" s="7"/>
      <c r="B726" s="7" t="s">
        <v>8774</v>
      </c>
      <c r="C726" s="7" t="s">
        <v>8764</v>
      </c>
      <c r="D726" s="7"/>
      <c r="E726" s="7"/>
      <c r="F726" s="7"/>
      <c r="G726" s="7" t="s">
        <v>343</v>
      </c>
      <c r="H726" s="7" t="s">
        <v>40</v>
      </c>
      <c r="I726" s="7" t="s">
        <v>8775</v>
      </c>
      <c r="J726" s="7"/>
      <c r="K726" s="7" t="s">
        <v>58</v>
      </c>
      <c r="L726" s="7" t="s">
        <v>1859</v>
      </c>
      <c r="M726" s="7" t="s">
        <v>1859</v>
      </c>
      <c r="N726" s="7"/>
      <c r="O726" s="7">
        <v>97414.0</v>
      </c>
      <c r="P726" s="7" t="s">
        <v>40</v>
      </c>
      <c r="Q726" s="7" t="s">
        <v>8582</v>
      </c>
      <c r="R726" s="7" t="s">
        <v>8767</v>
      </c>
      <c r="S726" s="7"/>
      <c r="T726" s="7" t="s">
        <v>377</v>
      </c>
      <c r="U726" s="7" t="s">
        <v>378</v>
      </c>
      <c r="V726" s="7"/>
      <c r="W726" s="7">
        <v>6.92941773E8</v>
      </c>
      <c r="X726" s="7"/>
      <c r="Y726" s="7"/>
      <c r="Z726" s="7" t="s">
        <v>8768</v>
      </c>
      <c r="AA726" s="7">
        <v>60.0</v>
      </c>
      <c r="AB726" s="7"/>
      <c r="AC726" s="7"/>
      <c r="AD726" s="7"/>
      <c r="AE726" s="7"/>
      <c r="AF726" s="7"/>
      <c r="AG726" s="7"/>
      <c r="AH726" s="7"/>
      <c r="AI726" s="7"/>
      <c r="AJ726" s="7" t="s">
        <v>8769</v>
      </c>
      <c r="AK726" s="7">
        <v>5.0104208900018E13</v>
      </c>
      <c r="AL726" s="7" t="s">
        <v>8770</v>
      </c>
      <c r="AM726" s="7" t="s">
        <v>8776</v>
      </c>
      <c r="AN726" s="7"/>
      <c r="AO726" s="7">
        <v>97414.0</v>
      </c>
      <c r="AP726" s="7" t="s">
        <v>429</v>
      </c>
      <c r="AQ726" s="7"/>
      <c r="AR726" s="7"/>
      <c r="AS726" s="7"/>
      <c r="AT726" s="7"/>
      <c r="AU726" s="7">
        <v>1.0</v>
      </c>
      <c r="AV726" s="7" t="s">
        <v>8772</v>
      </c>
      <c r="AW726" s="7"/>
      <c r="AX726" s="7" t="s">
        <v>8777</v>
      </c>
      <c r="AY726" s="7" t="s">
        <v>1876</v>
      </c>
      <c r="AZ726" s="7" t="s">
        <v>8778</v>
      </c>
      <c r="BA726" s="7"/>
      <c r="BB726" s="7"/>
      <c r="BC726" s="7" t="s">
        <v>401</v>
      </c>
      <c r="BD726" s="7"/>
      <c r="BE726" s="7"/>
      <c r="BF726" s="7"/>
      <c r="BG726" s="7"/>
      <c r="BH726" s="7">
        <v>5.01042089E8</v>
      </c>
      <c r="BI726" s="7" t="s">
        <v>8773</v>
      </c>
      <c r="BJ726" s="7"/>
      <c r="BK726" s="7" t="b">
        <v>0</v>
      </c>
      <c r="BL726" s="7" t="b">
        <v>0</v>
      </c>
      <c r="BM726" s="7"/>
      <c r="BN726" s="7" t="str">
        <f>IFERROR(__xludf.DUMMYFUNCTION(" IF( REGEXMATCH(C726 , ""[(].+[)]""),REGEXREPLACE( CONCATENATE(REGEXEXTRACT(C726 , ""[(].+[)]""),IF(REGEXMATCH(C726 , ""[(][Ll]['’][)]""),"""","" ""), REGEXEXTRACT(C726 ,""^(?:(?:[A-Za-zàäéèêîïöôûü0-9 ](?:[A-Za-zàäéèêîïöôûü'0-9 ]+)))"")) , ""[()]"", """")"&amp;",C726 )"),"Chez Josian &amp; Céline")</f>
        <v>Chez Josian &amp; Céline</v>
      </c>
      <c r="BO726" s="25"/>
      <c r="BP726" s="7"/>
      <c r="BQ726" s="7"/>
      <c r="BR726" s="7"/>
      <c r="BS726" s="7"/>
      <c r="BT726" s="7"/>
      <c r="BU726" s="7"/>
      <c r="BV726" s="7"/>
      <c r="BW726" s="7"/>
      <c r="BX726" s="7"/>
      <c r="BY726" s="7"/>
      <c r="BZ726" s="7"/>
      <c r="CA726" s="7"/>
      <c r="CB726" s="7"/>
    </row>
    <row r="727" ht="21.75" customHeight="1">
      <c r="A727" s="7"/>
      <c r="B727" s="7" t="s">
        <v>8779</v>
      </c>
      <c r="C727" s="7" t="s">
        <v>8780</v>
      </c>
      <c r="D727" s="7"/>
      <c r="E727" s="7"/>
      <c r="F727" s="7"/>
      <c r="G727" s="7" t="s">
        <v>343</v>
      </c>
      <c r="H727" s="7" t="s">
        <v>344</v>
      </c>
      <c r="I727" s="7" t="s">
        <v>8781</v>
      </c>
      <c r="J727" s="7"/>
      <c r="K727" s="7" t="s">
        <v>58</v>
      </c>
      <c r="L727" s="7" t="s">
        <v>59</v>
      </c>
      <c r="M727" s="7"/>
      <c r="N727" s="7"/>
      <c r="O727" s="7">
        <v>97418.0</v>
      </c>
      <c r="P727" s="7" t="s">
        <v>348</v>
      </c>
      <c r="Q727" s="7"/>
      <c r="R727" s="7"/>
      <c r="S727" s="7"/>
      <c r="T727" s="7"/>
      <c r="U727" s="7"/>
      <c r="V727" s="7"/>
      <c r="W727" s="7">
        <v>6.92808026E8</v>
      </c>
      <c r="X727" s="7"/>
      <c r="Y727" s="7"/>
      <c r="Z727" s="7" t="s">
        <v>8782</v>
      </c>
      <c r="AA727" s="7">
        <v>14.0</v>
      </c>
      <c r="AB727" s="7"/>
      <c r="AC727" s="7"/>
      <c r="AD727" s="7"/>
      <c r="AE727" s="7"/>
      <c r="AF727" s="7"/>
      <c r="AG727" s="7"/>
      <c r="AH727" s="7"/>
      <c r="AI727" s="7"/>
      <c r="AJ727" s="7" t="s">
        <v>8783</v>
      </c>
      <c r="AK727" s="7"/>
      <c r="AL727" s="7" t="s">
        <v>8784</v>
      </c>
      <c r="AM727" s="7"/>
      <c r="AN727" s="7"/>
      <c r="AO727" s="7"/>
      <c r="AP727" s="7"/>
      <c r="AQ727" s="7"/>
      <c r="AR727" s="7"/>
      <c r="AS727" s="7"/>
      <c r="AT727" s="7"/>
      <c r="AU727" s="7"/>
      <c r="AV727" s="7" t="s">
        <v>8785</v>
      </c>
      <c r="AW727" s="7"/>
      <c r="AX727" s="7"/>
      <c r="AY727" s="7"/>
      <c r="AZ727" s="7" t="s">
        <v>8786</v>
      </c>
      <c r="BA727" s="7"/>
      <c r="BB727" s="7"/>
      <c r="BC727" s="7" t="s">
        <v>401</v>
      </c>
      <c r="BD727" s="7"/>
      <c r="BE727" s="7"/>
      <c r="BF727" s="7"/>
      <c r="BG727" s="7"/>
      <c r="BH727" s="7"/>
      <c r="BI727" s="7" t="s">
        <v>8787</v>
      </c>
      <c r="BJ727" s="7"/>
      <c r="BK727" s="7" t="b">
        <v>0</v>
      </c>
      <c r="BL727" s="7" t="b">
        <v>0</v>
      </c>
      <c r="BM727" s="7"/>
      <c r="BN727" s="7" t="str">
        <f>IFERROR(__xludf.DUMMYFUNCTION(" IF( REGEXMATCH(C727 , ""[(].+[)]""),REGEXREPLACE( CONCATENATE(REGEXEXTRACT(C727 , ""[(].+[)]""),IF(REGEXMATCH(C727 , ""[(][Ll]['’][)]""),"""","" ""), REGEXEXTRACT(C727 ,""^(?:(?:[A-Za-zàäéèêîïöôûü0-9 ](?:[A-Za-zàäéèêîïöôûü'0-9 ]+)))"")) , ""[()]"", """")"&amp;",C727 )"),"Chez Lilie")</f>
        <v>Chez Lilie</v>
      </c>
      <c r="BO727" s="25"/>
      <c r="BP727" s="7"/>
      <c r="BQ727" s="7"/>
      <c r="BR727" s="7"/>
      <c r="BS727" s="7"/>
      <c r="BT727" s="7"/>
      <c r="BU727" s="7"/>
      <c r="BV727" s="7"/>
      <c r="BW727" s="7"/>
      <c r="BX727" s="7"/>
      <c r="BY727" s="7"/>
      <c r="BZ727" s="7"/>
      <c r="CA727" s="7"/>
      <c r="CB727" s="7"/>
    </row>
    <row r="728" ht="21.75" customHeight="1">
      <c r="A728" s="7"/>
      <c r="B728" s="7" t="s">
        <v>231</v>
      </c>
      <c r="C728" s="7" t="s">
        <v>8788</v>
      </c>
      <c r="D728" s="7"/>
      <c r="E728" s="7"/>
      <c r="F728" s="7"/>
      <c r="G728" s="7" t="s">
        <v>343</v>
      </c>
      <c r="H728" s="7" t="s">
        <v>344</v>
      </c>
      <c r="I728" s="7" t="s">
        <v>8789</v>
      </c>
      <c r="J728" s="7"/>
      <c r="K728" s="7" t="s">
        <v>58</v>
      </c>
      <c r="L728" s="7" t="s">
        <v>59</v>
      </c>
      <c r="M728" s="7"/>
      <c r="N728" s="7"/>
      <c r="O728" s="7">
        <v>97430.0</v>
      </c>
      <c r="P728" s="7" t="s">
        <v>344</v>
      </c>
      <c r="Q728" s="7"/>
      <c r="R728" s="7"/>
      <c r="S728" s="7"/>
      <c r="T728" s="7"/>
      <c r="U728" s="7"/>
      <c r="V728" s="7"/>
      <c r="W728" s="7">
        <v>6.92536223E8</v>
      </c>
      <c r="X728" s="7">
        <v>6.93500521E8</v>
      </c>
      <c r="Y728" s="7"/>
      <c r="Z728" s="7" t="s">
        <v>8790</v>
      </c>
      <c r="AA728" s="7">
        <v>4.0</v>
      </c>
      <c r="AB728" s="7"/>
      <c r="AC728" s="7"/>
      <c r="AD728" s="7"/>
      <c r="AE728" s="7"/>
      <c r="AF728" s="7"/>
      <c r="AG728" s="7"/>
      <c r="AH728" s="7"/>
      <c r="AI728" s="7"/>
      <c r="AJ728" s="7" t="s">
        <v>8791</v>
      </c>
      <c r="AK728" s="7"/>
      <c r="AL728" s="7" t="s">
        <v>8789</v>
      </c>
      <c r="AM728" s="7"/>
      <c r="AN728" s="7"/>
      <c r="AO728" s="7"/>
      <c r="AP728" s="7"/>
      <c r="AQ728" s="7"/>
      <c r="AR728" s="7"/>
      <c r="AS728" s="7"/>
      <c r="AT728" s="7"/>
      <c r="AU728" s="7"/>
      <c r="AV728" s="7" t="s">
        <v>8792</v>
      </c>
      <c r="AW728" s="7"/>
      <c r="AX728" s="7"/>
      <c r="AY728" s="7"/>
      <c r="AZ728" s="7" t="s">
        <v>8793</v>
      </c>
      <c r="BA728" s="7"/>
      <c r="BB728" s="7"/>
      <c r="BC728" s="7" t="s">
        <v>401</v>
      </c>
      <c r="BD728" s="7"/>
      <c r="BE728" s="7"/>
      <c r="BF728" s="7"/>
      <c r="BG728" s="7"/>
      <c r="BH728" s="7"/>
      <c r="BI728" s="7" t="s">
        <v>8794</v>
      </c>
      <c r="BJ728" s="7"/>
      <c r="BK728" s="7" t="b">
        <v>0</v>
      </c>
      <c r="BL728" s="7" t="b">
        <v>0</v>
      </c>
      <c r="BM728" s="7"/>
      <c r="BN728" s="7" t="str">
        <f>IFERROR(__xludf.DUMMYFUNCTION(" IF( REGEXMATCH(C728 , ""[(].+[)]""),REGEXREPLACE( CONCATENATE(REGEXEXTRACT(C728 , ""[(].+[)]""),IF(REGEXMATCH(C728 , ""[(][Ll]['’][)]""),"""","" ""), REGEXEXTRACT(C728 ,""^(?:(?:[A-Za-zàäéèêîïöôûü0-9 ](?:[A-Za-zàäéèêîïöôûü'0-9 ]+)))"")) , ""[()]"", """")"&amp;",C728 )"),"Chez Madame Mussard")</f>
        <v>Chez Madame Mussard</v>
      </c>
      <c r="BO728" s="25"/>
      <c r="BP728" s="7"/>
      <c r="BQ728" s="7"/>
      <c r="BR728" s="7"/>
      <c r="BS728" s="7"/>
      <c r="BT728" s="7"/>
      <c r="BU728" s="7"/>
      <c r="BV728" s="7"/>
      <c r="BW728" s="7"/>
      <c r="BX728" s="7"/>
      <c r="BY728" s="7"/>
      <c r="BZ728" s="7"/>
      <c r="CA728" s="7"/>
      <c r="CB728" s="7"/>
    </row>
    <row r="729" ht="21.75" customHeight="1">
      <c r="A729" s="7"/>
      <c r="B729" s="7" t="s">
        <v>8795</v>
      </c>
      <c r="C729" s="7" t="s">
        <v>8796</v>
      </c>
      <c r="D729" s="7"/>
      <c r="E729" s="7"/>
      <c r="F729" s="7"/>
      <c r="G729" s="7" t="s">
        <v>343</v>
      </c>
      <c r="H729" s="7" t="s">
        <v>344</v>
      </c>
      <c r="I729" s="7" t="s">
        <v>8797</v>
      </c>
      <c r="J729" s="7"/>
      <c r="K729" s="7" t="s">
        <v>58</v>
      </c>
      <c r="L729" s="7" t="s">
        <v>59</v>
      </c>
      <c r="M729" s="7" t="s">
        <v>346</v>
      </c>
      <c r="N729" s="7"/>
      <c r="O729" s="7">
        <v>97430.0</v>
      </c>
      <c r="P729" s="7" t="s">
        <v>344</v>
      </c>
      <c r="Q729" s="7"/>
      <c r="R729" s="7" t="s">
        <v>8798</v>
      </c>
      <c r="S729" s="7" t="s">
        <v>8799</v>
      </c>
      <c r="T729" s="7" t="s">
        <v>8184</v>
      </c>
      <c r="U729" s="7" t="s">
        <v>378</v>
      </c>
      <c r="V729" s="7"/>
      <c r="W729" s="7">
        <v>6.93944284E8</v>
      </c>
      <c r="X729" s="7"/>
      <c r="Y729" s="7"/>
      <c r="Z729" s="7" t="s">
        <v>8800</v>
      </c>
      <c r="AA729" s="7">
        <v>18.0</v>
      </c>
      <c r="AB729" s="7"/>
      <c r="AC729" s="7"/>
      <c r="AD729" s="7" t="s">
        <v>8801</v>
      </c>
      <c r="AE729" s="7"/>
      <c r="AF729" s="7"/>
      <c r="AG729" s="7"/>
      <c r="AH729" s="7"/>
      <c r="AI729" s="7"/>
      <c r="AJ729" s="7" t="s">
        <v>8802</v>
      </c>
      <c r="AK729" s="7"/>
      <c r="AL729" s="7" t="s">
        <v>8803</v>
      </c>
      <c r="AM729" s="7" t="s">
        <v>8804</v>
      </c>
      <c r="AN729" s="7"/>
      <c r="AO729" s="7">
        <v>97410.0</v>
      </c>
      <c r="AP729" s="7" t="s">
        <v>512</v>
      </c>
      <c r="AQ729" s="7"/>
      <c r="AR729" s="7"/>
      <c r="AS729" s="7"/>
      <c r="AT729" s="7"/>
      <c r="AU729" s="7">
        <v>1.0</v>
      </c>
      <c r="AV729" s="7" t="s">
        <v>8805</v>
      </c>
      <c r="AW729" s="7"/>
      <c r="AX729" s="7" t="s">
        <v>8806</v>
      </c>
      <c r="AY729" s="7" t="s">
        <v>1590</v>
      </c>
      <c r="AZ729" s="7" t="s">
        <v>8807</v>
      </c>
      <c r="BA729" s="7"/>
      <c r="BB729" s="7"/>
      <c r="BC729" s="7" t="s">
        <v>401</v>
      </c>
      <c r="BD729" s="7"/>
      <c r="BE729" s="7"/>
      <c r="BF729" s="7"/>
      <c r="BG729" s="7"/>
      <c r="BH729" s="7"/>
      <c r="BI729" s="7" t="s">
        <v>8808</v>
      </c>
      <c r="BJ729" s="7"/>
      <c r="BK729" s="7" t="b">
        <v>0</v>
      </c>
      <c r="BL729" s="7" t="b">
        <v>0</v>
      </c>
      <c r="BM729" s="7"/>
      <c r="BN729" s="7" t="str">
        <f>IFERROR(__xludf.DUMMYFUNCTION(" IF( REGEXMATCH(C729 , ""[(].+[)]""),REGEXREPLACE( CONCATENATE(REGEXEXTRACT(C729 , ""[(].+[)]""),IF(REGEXMATCH(C729 , ""[(][Ll]['’][)]""),"""","" ""), REGEXEXTRACT(C729 ,""^(?:(?:[A-Za-zàäéèêîïöôûü0-9 ](?:[A-Za-zàäéèêîïöôûü'0-9 ]+)))"")) , ""[()]"", """")"&amp;",C729 )"),"Chez Margot")</f>
        <v>Chez Margot</v>
      </c>
      <c r="BO729" s="25"/>
      <c r="BP729" s="7"/>
      <c r="BQ729" s="7"/>
      <c r="BR729" s="7"/>
      <c r="BS729" s="7"/>
      <c r="BT729" s="7"/>
      <c r="BU729" s="7"/>
      <c r="BV729" s="7"/>
      <c r="BW729" s="7"/>
      <c r="BX729" s="7"/>
      <c r="BY729" s="7"/>
      <c r="BZ729" s="7"/>
      <c r="CA729" s="7"/>
      <c r="CB729" s="7"/>
    </row>
    <row r="730" ht="21.75" customHeight="1">
      <c r="A730" s="7"/>
      <c r="B730" s="7" t="s">
        <v>8809</v>
      </c>
      <c r="C730" s="7" t="s">
        <v>8810</v>
      </c>
      <c r="D730" s="7"/>
      <c r="E730" s="7"/>
      <c r="F730" s="7"/>
      <c r="G730" s="7" t="s">
        <v>343</v>
      </c>
      <c r="H730" s="7" t="s">
        <v>344</v>
      </c>
      <c r="I730" s="7" t="s">
        <v>8811</v>
      </c>
      <c r="J730" s="7"/>
      <c r="K730" s="7" t="s">
        <v>58</v>
      </c>
      <c r="L730" s="7" t="s">
        <v>59</v>
      </c>
      <c r="M730" s="7" t="s">
        <v>346</v>
      </c>
      <c r="N730" s="7"/>
      <c r="O730" s="7">
        <v>97418.0</v>
      </c>
      <c r="P730" s="7" t="s">
        <v>348</v>
      </c>
      <c r="Q730" s="7"/>
      <c r="R730" s="7"/>
      <c r="S730" s="7"/>
      <c r="T730" s="7"/>
      <c r="U730" s="7" t="s">
        <v>378</v>
      </c>
      <c r="V730" s="7">
        <v>2.62275287E8</v>
      </c>
      <c r="W730" s="7">
        <v>-69260.0</v>
      </c>
      <c r="X730" s="7"/>
      <c r="Y730" s="7"/>
      <c r="Z730" s="7" t="s">
        <v>632</v>
      </c>
      <c r="AA730" s="7">
        <v>6.0</v>
      </c>
      <c r="AB730" s="7"/>
      <c r="AC730" s="7"/>
      <c r="AD730" s="7"/>
      <c r="AE730" s="7"/>
      <c r="AF730" s="7"/>
      <c r="AG730" s="7"/>
      <c r="AH730" s="7"/>
      <c r="AI730" s="7"/>
      <c r="AJ730" s="7" t="s">
        <v>8812</v>
      </c>
      <c r="AK730" s="7"/>
      <c r="AL730" s="7" t="s">
        <v>8813</v>
      </c>
      <c r="AM730" s="7"/>
      <c r="AN730" s="7"/>
      <c r="AO730" s="7">
        <v>97418.0</v>
      </c>
      <c r="AP730" s="7" t="s">
        <v>362</v>
      </c>
      <c r="AQ730" s="7"/>
      <c r="AR730" s="7"/>
      <c r="AS730" s="7"/>
      <c r="AT730" s="7"/>
      <c r="AU730" s="7">
        <v>1.0</v>
      </c>
      <c r="AV730" s="7" t="s">
        <v>8814</v>
      </c>
      <c r="AW730" s="7"/>
      <c r="AX730" s="7"/>
      <c r="AY730" s="7"/>
      <c r="AZ730" s="7" t="s">
        <v>8815</v>
      </c>
      <c r="BA730" s="7"/>
      <c r="BB730" s="7"/>
      <c r="BC730" s="7" t="s">
        <v>401</v>
      </c>
      <c r="BD730" s="7"/>
      <c r="BE730" s="7"/>
      <c r="BF730" s="7"/>
      <c r="BG730" s="7"/>
      <c r="BH730" s="7"/>
      <c r="BI730" s="7" t="s">
        <v>8816</v>
      </c>
      <c r="BJ730" s="7"/>
      <c r="BK730" s="7" t="b">
        <v>0</v>
      </c>
      <c r="BL730" s="7" t="b">
        <v>0</v>
      </c>
      <c r="BM730" s="7"/>
      <c r="BN730" s="7" t="str">
        <f>IFERROR(__xludf.DUMMYFUNCTION(" IF( REGEXMATCH(C730 , ""[(].+[)]""),REGEXREPLACE( CONCATENATE(REGEXEXTRACT(C730 , ""[(].+[)]""),IF(REGEXMATCH(C730 , ""[(][Ll]['’][)]""),"""","" ""), REGEXEXTRACT(C730 ,""^(?:(?:[A-Za-zàäéèêîïöôûü0-9 ](?:[A-Za-zàäéèêîïöôûü'0-9 ]+)))"")) , ""[()]"", """")"&amp;",C730 )"),"Chez Maryse")</f>
        <v>Chez Maryse</v>
      </c>
      <c r="BO730" s="25"/>
      <c r="BP730" s="7"/>
      <c r="BQ730" s="7"/>
      <c r="BR730" s="7"/>
      <c r="BS730" s="7"/>
      <c r="BT730" s="7"/>
      <c r="BU730" s="7"/>
      <c r="BV730" s="7"/>
      <c r="BW730" s="7"/>
      <c r="BX730" s="7"/>
      <c r="BY730" s="7"/>
      <c r="BZ730" s="7"/>
      <c r="CA730" s="7"/>
      <c r="CB730" s="7"/>
    </row>
    <row r="731" ht="21.75" customHeight="1">
      <c r="A731" s="7"/>
      <c r="B731" s="7" t="s">
        <v>8817</v>
      </c>
      <c r="C731" s="7" t="s">
        <v>8818</v>
      </c>
      <c r="D731" s="7"/>
      <c r="E731" s="7"/>
      <c r="F731" s="7"/>
      <c r="G731" s="7" t="s">
        <v>343</v>
      </c>
      <c r="H731" s="7" t="s">
        <v>344</v>
      </c>
      <c r="I731" s="7" t="s">
        <v>8819</v>
      </c>
      <c r="J731" s="7"/>
      <c r="K731" s="7" t="s">
        <v>58</v>
      </c>
      <c r="L731" s="7" t="s">
        <v>59</v>
      </c>
      <c r="M731" s="7" t="s">
        <v>346</v>
      </c>
      <c r="N731" s="7"/>
      <c r="O731" s="7">
        <v>97430.0</v>
      </c>
      <c r="P731" s="7" t="s">
        <v>344</v>
      </c>
      <c r="Q731" s="7"/>
      <c r="R731" s="7"/>
      <c r="S731" s="7"/>
      <c r="T731" s="7"/>
      <c r="U731" s="7" t="s">
        <v>378</v>
      </c>
      <c r="V731" s="7">
        <v>2.62311966E8</v>
      </c>
      <c r="W731" s="7">
        <v>6.9239729E8</v>
      </c>
      <c r="X731" s="7"/>
      <c r="Y731" s="7"/>
      <c r="Z731" s="7" t="s">
        <v>8820</v>
      </c>
      <c r="AA731" s="7">
        <v>8.0</v>
      </c>
      <c r="AB731" s="7"/>
      <c r="AC731" s="7"/>
      <c r="AD731" s="7"/>
      <c r="AE731" s="7"/>
      <c r="AF731" s="7"/>
      <c r="AG731" s="7"/>
      <c r="AH731" s="7"/>
      <c r="AI731" s="7"/>
      <c r="AJ731" s="7" t="s">
        <v>8821</v>
      </c>
      <c r="AK731" s="7"/>
      <c r="AL731" s="7" t="s">
        <v>8822</v>
      </c>
      <c r="AM731" s="7"/>
      <c r="AN731" s="7"/>
      <c r="AO731" s="7">
        <v>97410.0</v>
      </c>
      <c r="AP731" s="7" t="s">
        <v>512</v>
      </c>
      <c r="AQ731" s="7"/>
      <c r="AR731" s="7"/>
      <c r="AS731" s="7"/>
      <c r="AT731" s="7"/>
      <c r="AU731" s="7">
        <v>1.0</v>
      </c>
      <c r="AV731" s="7" t="s">
        <v>8823</v>
      </c>
      <c r="AW731" s="7"/>
      <c r="AX731" s="7"/>
      <c r="AY731" s="7"/>
      <c r="AZ731" s="7" t="s">
        <v>8824</v>
      </c>
      <c r="BA731" s="7"/>
      <c r="BB731" s="7"/>
      <c r="BC731" s="7" t="s">
        <v>401</v>
      </c>
      <c r="BD731" s="7"/>
      <c r="BE731" s="7"/>
      <c r="BF731" s="7"/>
      <c r="BG731" s="7"/>
      <c r="BH731" s="7"/>
      <c r="BI731" s="7" t="s">
        <v>8825</v>
      </c>
      <c r="BJ731" s="7"/>
      <c r="BK731" s="7" t="b">
        <v>0</v>
      </c>
      <c r="BL731" s="7" t="b">
        <v>0</v>
      </c>
      <c r="BM731" s="7"/>
      <c r="BN731" s="7" t="str">
        <f>IFERROR(__xludf.DUMMYFUNCTION(" IF( REGEXMATCH(C731 , ""[(].+[)]""),REGEXREPLACE( CONCATENATE(REGEXEXTRACT(C731 , ""[(].+[)]""),IF(REGEXMATCH(C731 , ""[(][Ll]['’][)]""),"""","" ""), REGEXEXTRACT(C731 ,""^(?:(?:[A-Za-zàäéèêîïöôûü0-9 ](?:[A-Za-zàäéèêîïöôûü'0-9 ]+)))"")) , ""[()]"", """")"&amp;",C731 )"),"Chez Monique Begue")</f>
        <v>Chez Monique Begue</v>
      </c>
      <c r="BO731" s="25"/>
      <c r="BP731" s="7"/>
      <c r="BQ731" s="7"/>
      <c r="BR731" s="7"/>
      <c r="BS731" s="7"/>
      <c r="BT731" s="7"/>
      <c r="BU731" s="7"/>
      <c r="BV731" s="7"/>
      <c r="BW731" s="7"/>
      <c r="BX731" s="7"/>
      <c r="BY731" s="7"/>
      <c r="BZ731" s="7"/>
      <c r="CA731" s="7"/>
      <c r="CB731" s="7"/>
    </row>
    <row r="732" ht="21.75" customHeight="1">
      <c r="A732" s="7"/>
      <c r="B732" s="7" t="s">
        <v>245</v>
      </c>
      <c r="C732" s="7" t="s">
        <v>8826</v>
      </c>
      <c r="D732" s="7"/>
      <c r="E732" s="7"/>
      <c r="F732" s="7"/>
      <c r="G732" s="7" t="s">
        <v>343</v>
      </c>
      <c r="H732" s="7" t="s">
        <v>123</v>
      </c>
      <c r="I732" s="7" t="s">
        <v>8827</v>
      </c>
      <c r="J732" s="7"/>
      <c r="K732" s="7" t="s">
        <v>34</v>
      </c>
      <c r="L732" s="7" t="s">
        <v>485</v>
      </c>
      <c r="M732" s="7" t="s">
        <v>486</v>
      </c>
      <c r="N732" s="7"/>
      <c r="O732" s="7">
        <v>97480.0</v>
      </c>
      <c r="P732" s="7" t="s">
        <v>123</v>
      </c>
      <c r="Q732" s="7" t="s">
        <v>3556</v>
      </c>
      <c r="R732" s="7"/>
      <c r="S732" s="7"/>
      <c r="T732" s="7"/>
      <c r="U732" s="7"/>
      <c r="V732" s="7"/>
      <c r="W732" s="7">
        <v>6.92604721E8</v>
      </c>
      <c r="X732" s="7"/>
      <c r="Y732" s="7"/>
      <c r="Z732" s="7" t="s">
        <v>2513</v>
      </c>
      <c r="AA732" s="7">
        <v>24.0</v>
      </c>
      <c r="AB732" s="7"/>
      <c r="AC732" s="7"/>
      <c r="AD732" s="7" t="s">
        <v>8828</v>
      </c>
      <c r="AE732" s="7"/>
      <c r="AF732" s="7"/>
      <c r="AG732" s="7"/>
      <c r="AH732" s="7"/>
      <c r="AI732" s="7"/>
      <c r="AJ732" s="7" t="s">
        <v>8829</v>
      </c>
      <c r="AK732" s="7">
        <v>4.2035997800012E13</v>
      </c>
      <c r="AL732" s="7" t="s">
        <v>8827</v>
      </c>
      <c r="AM732" s="7" t="s">
        <v>8830</v>
      </c>
      <c r="AN732" s="7"/>
      <c r="AO732" s="7">
        <v>97480.0</v>
      </c>
      <c r="AP732" s="7" t="s">
        <v>385</v>
      </c>
      <c r="AQ732" s="7"/>
      <c r="AR732" s="7"/>
      <c r="AS732" s="7"/>
      <c r="AT732" s="7"/>
      <c r="AU732" s="7"/>
      <c r="AV732" s="7" t="s">
        <v>8831</v>
      </c>
      <c r="AW732" s="7"/>
      <c r="AX732" s="7"/>
      <c r="AY732" s="7"/>
      <c r="AZ732" s="7"/>
      <c r="BA732" s="7"/>
      <c r="BB732" s="7"/>
      <c r="BC732" s="7" t="s">
        <v>401</v>
      </c>
      <c r="BD732" s="7"/>
      <c r="BE732" s="7"/>
      <c r="BF732" s="7"/>
      <c r="BG732" s="7"/>
      <c r="BH732" s="7">
        <v>4.20359978E8</v>
      </c>
      <c r="BI732" s="7" t="s">
        <v>8832</v>
      </c>
      <c r="BJ732" s="7"/>
      <c r="BK732" s="7" t="b">
        <v>0</v>
      </c>
      <c r="BL732" s="7" t="b">
        <v>0</v>
      </c>
      <c r="BM732" s="7"/>
      <c r="BN732" s="7" t="str">
        <f>IFERROR(__xludf.DUMMYFUNCTION(" IF( REGEXMATCH(C732 , ""[(].+[)]""),REGEXREPLACE( CONCATENATE(REGEXEXTRACT(C732 , ""[(].+[)]""),IF(REGEXMATCH(C732 , ""[(][Ll]['’][)]""),"""","" ""), REGEXEXTRACT(C732 ,""^(?:(?:[A-Za-zàäéèêîïöôûü0-9 ](?:[A-Za-zàäéèêîïöôûü'0-9 ]+)))"")) , ""[()]"", """")"&amp;",C732 )"),"Chez Narvam")</f>
        <v>Chez Narvam</v>
      </c>
      <c r="BO732" s="25"/>
      <c r="BP732" s="7"/>
      <c r="BQ732" s="7"/>
      <c r="BR732" s="7"/>
      <c r="BS732" s="7"/>
      <c r="BT732" s="7"/>
      <c r="BU732" s="7"/>
      <c r="BV732" s="7"/>
      <c r="BW732" s="7"/>
      <c r="BX732" s="7"/>
      <c r="BY732" s="7"/>
      <c r="BZ732" s="7"/>
      <c r="CA732" s="7"/>
      <c r="CB732" s="7"/>
    </row>
    <row r="733" ht="21.75" customHeight="1">
      <c r="A733" s="7"/>
      <c r="B733" s="7" t="s">
        <v>8833</v>
      </c>
      <c r="C733" s="7" t="s">
        <v>8834</v>
      </c>
      <c r="D733" s="7"/>
      <c r="E733" s="7"/>
      <c r="F733" s="7"/>
      <c r="G733" s="7" t="s">
        <v>343</v>
      </c>
      <c r="H733" s="7" t="s">
        <v>344</v>
      </c>
      <c r="I733" s="7" t="s">
        <v>8835</v>
      </c>
      <c r="J733" s="7"/>
      <c r="K733" s="7" t="s">
        <v>58</v>
      </c>
      <c r="L733" s="7" t="s">
        <v>59</v>
      </c>
      <c r="M733" s="7"/>
      <c r="N733" s="7"/>
      <c r="O733" s="7">
        <v>97430.0</v>
      </c>
      <c r="P733" s="7" t="s">
        <v>344</v>
      </c>
      <c r="Q733" s="7"/>
      <c r="R733" s="7"/>
      <c r="S733" s="7"/>
      <c r="T733" s="7"/>
      <c r="U733" s="7"/>
      <c r="V733" s="7">
        <v>6.92644339E8</v>
      </c>
      <c r="W733" s="7">
        <v>6.92025648E8</v>
      </c>
      <c r="X733" s="7"/>
      <c r="Y733" s="7"/>
      <c r="Z733" s="7" t="s">
        <v>8836</v>
      </c>
      <c r="AA733" s="7">
        <v>10.0</v>
      </c>
      <c r="AB733" s="7"/>
      <c r="AC733" s="7"/>
      <c r="AD733" s="7"/>
      <c r="AE733" s="7"/>
      <c r="AF733" s="7"/>
      <c r="AG733" s="7"/>
      <c r="AH733" s="7"/>
      <c r="AI733" s="7"/>
      <c r="AJ733" s="7" t="s">
        <v>8837</v>
      </c>
      <c r="AK733" s="7"/>
      <c r="AL733" s="7" t="s">
        <v>8838</v>
      </c>
      <c r="AM733" s="7"/>
      <c r="AN733" s="7"/>
      <c r="AO733" s="7"/>
      <c r="AP733" s="7"/>
      <c r="AQ733" s="7"/>
      <c r="AR733" s="7"/>
      <c r="AS733" s="7"/>
      <c r="AT733" s="7"/>
      <c r="AU733" s="7"/>
      <c r="AV733" s="7" t="s">
        <v>8839</v>
      </c>
      <c r="AW733" s="7"/>
      <c r="AX733" s="7"/>
      <c r="AY733" s="7"/>
      <c r="AZ733" s="7" t="s">
        <v>8840</v>
      </c>
      <c r="BA733" s="7"/>
      <c r="BB733" s="7"/>
      <c r="BC733" s="7" t="s">
        <v>401</v>
      </c>
      <c r="BD733" s="7"/>
      <c r="BE733" s="7"/>
      <c r="BF733" s="7"/>
      <c r="BG733" s="7"/>
      <c r="BH733" s="7"/>
      <c r="BI733" s="7" t="s">
        <v>8841</v>
      </c>
      <c r="BJ733" s="7"/>
      <c r="BK733" s="7" t="b">
        <v>0</v>
      </c>
      <c r="BL733" s="7" t="b">
        <v>0</v>
      </c>
      <c r="BM733" s="7"/>
      <c r="BN733" s="7" t="str">
        <f>IFERROR(__xludf.DUMMYFUNCTION(" IF( REGEXMATCH(C733 , ""[(].+[)]""),REGEXREPLACE( CONCATENATE(REGEXEXTRACT(C733 , ""[(].+[)]""),IF(REGEXMATCH(C733 , ""[(][Ll]['’][)]""),"""","" ""), REGEXEXTRACT(C733 ,""^(?:(?:[A-Za-zàäéèêîïöôûü0-9 ](?:[A-Za-zàäéèêîïöôûü'0-9 ]+)))"")) , ""[()]"", """")"&amp;",C733 )"),"Chez Patrick et Maryline")</f>
        <v>Chez Patrick et Maryline</v>
      </c>
      <c r="BO733" s="25"/>
      <c r="BP733" s="7"/>
      <c r="BQ733" s="7"/>
      <c r="BR733" s="7"/>
      <c r="BS733" s="7"/>
      <c r="BT733" s="7"/>
      <c r="BU733" s="7"/>
      <c r="BV733" s="7"/>
      <c r="BW733" s="7"/>
      <c r="BX733" s="7"/>
      <c r="BY733" s="7"/>
      <c r="BZ733" s="7"/>
      <c r="CA733" s="7"/>
      <c r="CB733" s="7"/>
    </row>
    <row r="734" ht="21.75" customHeight="1">
      <c r="A734" s="7"/>
      <c r="B734" s="7" t="s">
        <v>8842</v>
      </c>
      <c r="C734" s="7" t="s">
        <v>8843</v>
      </c>
      <c r="D734" s="7"/>
      <c r="E734" s="7"/>
      <c r="F734" s="7"/>
      <c r="G734" s="7" t="s">
        <v>343</v>
      </c>
      <c r="H734" s="7" t="s">
        <v>33</v>
      </c>
      <c r="I734" s="7" t="s">
        <v>8844</v>
      </c>
      <c r="J734" s="7"/>
      <c r="K734" s="7" t="s">
        <v>58</v>
      </c>
      <c r="L734" s="7" t="s">
        <v>453</v>
      </c>
      <c r="M734" s="7" t="s">
        <v>454</v>
      </c>
      <c r="N734" s="7"/>
      <c r="O734" s="7">
        <v>97442.0</v>
      </c>
      <c r="P734" s="7" t="s">
        <v>33</v>
      </c>
      <c r="Q734" s="7"/>
      <c r="R734" s="7"/>
      <c r="S734" s="7"/>
      <c r="T734" s="7"/>
      <c r="U734" s="7"/>
      <c r="V734" s="7"/>
      <c r="W734" s="7">
        <v>6.92550727E8</v>
      </c>
      <c r="X734" s="7"/>
      <c r="Y734" s="7"/>
      <c r="Z734" s="7" t="s">
        <v>8845</v>
      </c>
      <c r="AA734" s="7">
        <v>12.0</v>
      </c>
      <c r="AB734" s="7"/>
      <c r="AC734" s="7"/>
      <c r="AD734" s="7"/>
      <c r="AE734" s="7"/>
      <c r="AF734" s="7"/>
      <c r="AG734" s="7"/>
      <c r="AH734" s="7"/>
      <c r="AI734" s="7"/>
      <c r="AJ734" s="7" t="s">
        <v>8846</v>
      </c>
      <c r="AK734" s="7"/>
      <c r="AL734" s="7" t="s">
        <v>8847</v>
      </c>
      <c r="AM734" s="7"/>
      <c r="AN734" s="7"/>
      <c r="AO734" s="7">
        <v>97442.0</v>
      </c>
      <c r="AP734" s="7" t="s">
        <v>884</v>
      </c>
      <c r="AQ734" s="7"/>
      <c r="AR734" s="7"/>
      <c r="AS734" s="7"/>
      <c r="AT734" s="7"/>
      <c r="AU734" s="7"/>
      <c r="AV734" s="7" t="s">
        <v>8848</v>
      </c>
      <c r="AW734" s="7"/>
      <c r="AX734" s="7"/>
      <c r="AY734" s="7"/>
      <c r="AZ734" s="7" t="s">
        <v>8849</v>
      </c>
      <c r="BA734" s="7"/>
      <c r="BB734" s="7"/>
      <c r="BC734" s="7" t="s">
        <v>401</v>
      </c>
      <c r="BD734" s="7"/>
      <c r="BE734" s="7"/>
      <c r="BF734" s="7"/>
      <c r="BG734" s="7"/>
      <c r="BH734" s="7"/>
      <c r="BI734" s="7" t="s">
        <v>8850</v>
      </c>
      <c r="BJ734" s="7"/>
      <c r="BK734" s="7" t="b">
        <v>0</v>
      </c>
      <c r="BL734" s="7" t="b">
        <v>0</v>
      </c>
      <c r="BM734" s="7"/>
      <c r="BN734" s="7" t="str">
        <f>IFERROR(__xludf.DUMMYFUNCTION(" IF( REGEXMATCH(C734 , ""[(].+[)]""),REGEXREPLACE( CONCATENATE(REGEXEXTRACT(C734 , ""[(].+[)]""),IF(REGEXMATCH(C734 , ""[(][Ll]['’][)]""),"""","" ""), REGEXEXTRACT(C734 ,""^(?:(?:[A-Za-zàäéèêîïöôûü0-9 ](?:[A-Za-zàäéèêîïöôûü'0-9 ]+)))"")) , ""[()]"", """")"&amp;",C734 )"),"Chez Selly")</f>
        <v>Chez Selly</v>
      </c>
      <c r="BO734" s="25"/>
      <c r="BP734" s="7"/>
      <c r="BQ734" s="7"/>
      <c r="BR734" s="7"/>
      <c r="BS734" s="7"/>
      <c r="BT734" s="7"/>
      <c r="BU734" s="7"/>
      <c r="BV734" s="7"/>
      <c r="BW734" s="7"/>
      <c r="BX734" s="7"/>
      <c r="BY734" s="7"/>
      <c r="BZ734" s="7"/>
      <c r="CA734" s="7"/>
      <c r="CB734" s="7"/>
    </row>
    <row r="735" ht="21.75" customHeight="1">
      <c r="A735" s="7"/>
      <c r="B735" s="7" t="s">
        <v>8851</v>
      </c>
      <c r="C735" s="7" t="s">
        <v>8852</v>
      </c>
      <c r="D735" s="7"/>
      <c r="E735" s="7"/>
      <c r="F735" s="7"/>
      <c r="G735" s="7" t="s">
        <v>343</v>
      </c>
      <c r="H735" s="7" t="s">
        <v>344</v>
      </c>
      <c r="I735" s="7" t="s">
        <v>8853</v>
      </c>
      <c r="J735" s="7"/>
      <c r="K735" s="7" t="s">
        <v>58</v>
      </c>
      <c r="L735" s="7" t="s">
        <v>59</v>
      </c>
      <c r="M735" s="7"/>
      <c r="N735" s="7"/>
      <c r="O735" s="7">
        <v>97418.0</v>
      </c>
      <c r="P735" s="7" t="s">
        <v>348</v>
      </c>
      <c r="Q735" s="7"/>
      <c r="R735" s="7"/>
      <c r="S735" s="7"/>
      <c r="T735" s="7"/>
      <c r="U735" s="7"/>
      <c r="V735" s="7"/>
      <c r="W735" s="7">
        <v>6.92605206E8</v>
      </c>
      <c r="X735" s="7"/>
      <c r="Y735" s="7"/>
      <c r="Z735" s="7" t="s">
        <v>8854</v>
      </c>
      <c r="AA735" s="7">
        <v>15.0</v>
      </c>
      <c r="AB735" s="7"/>
      <c r="AC735" s="7"/>
      <c r="AD735" s="7"/>
      <c r="AE735" s="7"/>
      <c r="AF735" s="7"/>
      <c r="AG735" s="7"/>
      <c r="AH735" s="7"/>
      <c r="AI735" s="7"/>
      <c r="AJ735" s="7" t="s">
        <v>8855</v>
      </c>
      <c r="AK735" s="7"/>
      <c r="AL735" s="7" t="s">
        <v>8856</v>
      </c>
      <c r="AM735" s="7"/>
      <c r="AN735" s="7"/>
      <c r="AO735" s="7"/>
      <c r="AP735" s="7"/>
      <c r="AQ735" s="7"/>
      <c r="AR735" s="7"/>
      <c r="AS735" s="7"/>
      <c r="AT735" s="7"/>
      <c r="AU735" s="7"/>
      <c r="AV735" s="7" t="s">
        <v>8805</v>
      </c>
      <c r="AW735" s="7"/>
      <c r="AX735" s="7"/>
      <c r="AY735" s="7"/>
      <c r="AZ735" s="7" t="s">
        <v>8857</v>
      </c>
      <c r="BA735" s="7"/>
      <c r="BB735" s="7"/>
      <c r="BC735" s="7" t="s">
        <v>401</v>
      </c>
      <c r="BD735" s="7"/>
      <c r="BE735" s="7"/>
      <c r="BF735" s="7"/>
      <c r="BG735" s="7"/>
      <c r="BH735" s="7"/>
      <c r="BI735" s="7" t="s">
        <v>8808</v>
      </c>
      <c r="BJ735" s="7"/>
      <c r="BK735" s="7" t="b">
        <v>0</v>
      </c>
      <c r="BL735" s="7" t="b">
        <v>0</v>
      </c>
      <c r="BM735" s="7"/>
      <c r="BN735" s="7" t="str">
        <f>IFERROR(__xludf.DUMMYFUNCTION(" IF( REGEXMATCH(C735 , ""[(].+[)]""),REGEXREPLACE( CONCATENATE(REGEXEXTRACT(C735 , ""[(].+[)]""),IF(REGEXMATCH(C735 , ""[(][Ll]['’][)]""),"""","" ""), REGEXEXTRACT(C735 ,""^(?:(?:[A-Za-zàäéèêîïöôûü0-9 ](?:[A-Za-zàäéèêîïöôûü'0-9 ]+)))"")) , ""[()]"", """")"&amp;",C735 )"),"Chez Sery Bertrand")</f>
        <v>Chez Sery Bertrand</v>
      </c>
      <c r="BO735" s="25"/>
      <c r="BP735" s="7"/>
      <c r="BQ735" s="7"/>
      <c r="BR735" s="7"/>
      <c r="BS735" s="7"/>
      <c r="BT735" s="7"/>
      <c r="BU735" s="7"/>
      <c r="BV735" s="7"/>
      <c r="BW735" s="7"/>
      <c r="BX735" s="7"/>
      <c r="BY735" s="7"/>
      <c r="BZ735" s="7"/>
      <c r="CA735" s="7"/>
      <c r="CB735" s="7"/>
    </row>
    <row r="736" ht="21.75" customHeight="1">
      <c r="A736" s="7"/>
      <c r="B736" s="7" t="s">
        <v>8858</v>
      </c>
      <c r="C736" s="7" t="s">
        <v>8859</v>
      </c>
      <c r="D736" s="7"/>
      <c r="E736" s="7"/>
      <c r="F736" s="7"/>
      <c r="G736" s="7" t="s">
        <v>343</v>
      </c>
      <c r="H736" s="7" t="s">
        <v>123</v>
      </c>
      <c r="I736" s="7" t="s">
        <v>8860</v>
      </c>
      <c r="J736" s="7"/>
      <c r="K736" s="7" t="s">
        <v>58</v>
      </c>
      <c r="L736" s="7" t="s">
        <v>59</v>
      </c>
      <c r="M736" s="7" t="s">
        <v>346</v>
      </c>
      <c r="N736" s="7"/>
      <c r="O736" s="7">
        <v>97480.0</v>
      </c>
      <c r="P736" s="7" t="s">
        <v>123</v>
      </c>
      <c r="Q736" s="7"/>
      <c r="R736" s="7"/>
      <c r="S736" s="7"/>
      <c r="T736" s="7"/>
      <c r="U736" s="7" t="s">
        <v>592</v>
      </c>
      <c r="V736" s="7"/>
      <c r="W736" s="7">
        <v>6.92252053E8</v>
      </c>
      <c r="X736" s="7"/>
      <c r="Y736" s="7"/>
      <c r="Z736" s="7" t="s">
        <v>8861</v>
      </c>
      <c r="AA736" s="7">
        <v>7.0</v>
      </c>
      <c r="AB736" s="7"/>
      <c r="AC736" s="7"/>
      <c r="AD736" s="7"/>
      <c r="AE736" s="7"/>
      <c r="AF736" s="7"/>
      <c r="AG736" s="7"/>
      <c r="AH736" s="20">
        <v>41275.0</v>
      </c>
      <c r="AI736" s="7"/>
      <c r="AJ736" s="7" t="s">
        <v>8862</v>
      </c>
      <c r="AK736" s="7"/>
      <c r="AL736" s="7" t="s">
        <v>8860</v>
      </c>
      <c r="AM736" s="7" t="s">
        <v>8863</v>
      </c>
      <c r="AN736" s="7"/>
      <c r="AO736" s="7">
        <v>97480.0</v>
      </c>
      <c r="AP736" s="7" t="s">
        <v>385</v>
      </c>
      <c r="AQ736" s="7"/>
      <c r="AR736" s="7"/>
      <c r="AS736" s="7"/>
      <c r="AT736" s="7"/>
      <c r="AU736" s="7">
        <v>1.0</v>
      </c>
      <c r="AV736" s="7" t="s">
        <v>8864</v>
      </c>
      <c r="AW736" s="7"/>
      <c r="AX736" s="7"/>
      <c r="AY736" s="7"/>
      <c r="AZ736" s="7" t="s">
        <v>8865</v>
      </c>
      <c r="BA736" s="7"/>
      <c r="BB736" s="7"/>
      <c r="BC736" s="7" t="s">
        <v>401</v>
      </c>
      <c r="BD736" s="7"/>
      <c r="BE736" s="7"/>
      <c r="BF736" s="7"/>
      <c r="BG736" s="7"/>
      <c r="BH736" s="7"/>
      <c r="BI736" s="7" t="s">
        <v>8866</v>
      </c>
      <c r="BJ736" s="7"/>
      <c r="BK736" s="7" t="b">
        <v>0</v>
      </c>
      <c r="BL736" s="7" t="b">
        <v>0</v>
      </c>
      <c r="BM736" s="7"/>
      <c r="BN736" s="7" t="str">
        <f>IFERROR(__xludf.DUMMYFUNCTION(" IF( REGEXMATCH(C736 , ""[(].+[)]""),REGEXREPLACE( CONCATENATE(REGEXEXTRACT(C736 , ""[(].+[)]""),IF(REGEXMATCH(C736 , ""[(][Ll]['’][)]""),"""","" ""), REGEXEXTRACT(C736 ,""^(?:(?:[A-Za-zàäéèêîïöôûü0-9 ](?:[A-Za-zàäéèêîïöôûü'0-9 ]+)))"")) , ""[()]"", """")"&amp;",C736 )"),"Chez Solange")</f>
        <v>Chez Solange</v>
      </c>
      <c r="BO736" s="25"/>
      <c r="BP736" s="7"/>
      <c r="BQ736" s="7"/>
      <c r="BR736" s="7"/>
      <c r="BS736" s="7"/>
      <c r="BT736" s="7"/>
      <c r="BU736" s="7"/>
      <c r="BV736" s="7"/>
      <c r="BW736" s="7"/>
      <c r="BX736" s="7"/>
      <c r="BY736" s="7"/>
      <c r="BZ736" s="7"/>
      <c r="CA736" s="7"/>
      <c r="CB736" s="7"/>
    </row>
    <row r="737" ht="21.75" customHeight="1">
      <c r="A737" s="7"/>
      <c r="B737" s="7" t="s">
        <v>8867</v>
      </c>
      <c r="C737" s="7" t="s">
        <v>8868</v>
      </c>
      <c r="D737" s="7"/>
      <c r="E737" s="7"/>
      <c r="F737" s="7"/>
      <c r="G737" s="7" t="s">
        <v>343</v>
      </c>
      <c r="H737" s="7" t="s">
        <v>40</v>
      </c>
      <c r="I737" s="7" t="s">
        <v>8869</v>
      </c>
      <c r="J737" s="7"/>
      <c r="K737" s="7" t="s">
        <v>34</v>
      </c>
      <c r="L737" s="7" t="s">
        <v>622</v>
      </c>
      <c r="M737" s="7" t="s">
        <v>622</v>
      </c>
      <c r="N737" s="7"/>
      <c r="O737" s="7">
        <v>97414.0</v>
      </c>
      <c r="P737" s="7" t="s">
        <v>40</v>
      </c>
      <c r="Q737" s="7" t="s">
        <v>8279</v>
      </c>
      <c r="R737" s="7"/>
      <c r="S737" s="7"/>
      <c r="T737" s="7"/>
      <c r="U737" s="7" t="s">
        <v>378</v>
      </c>
      <c r="V737" s="7">
        <v>2.6242099E8</v>
      </c>
      <c r="W737" s="7">
        <v>6.93131421E8</v>
      </c>
      <c r="X737" s="7">
        <v>6.92678859E8</v>
      </c>
      <c r="Y737" s="7"/>
      <c r="Z737" s="7"/>
      <c r="AA737" s="7">
        <v>60.0</v>
      </c>
      <c r="AB737" s="7"/>
      <c r="AC737" s="7"/>
      <c r="AD737" s="7"/>
      <c r="AE737" s="7"/>
      <c r="AF737" s="7"/>
      <c r="AG737" s="7"/>
      <c r="AH737" s="7"/>
      <c r="AI737" s="7"/>
      <c r="AJ737" s="7" t="s">
        <v>8870</v>
      </c>
      <c r="AK737" s="7"/>
      <c r="AL737" s="7"/>
      <c r="AM737" s="7"/>
      <c r="AN737" s="7"/>
      <c r="AO737" s="7"/>
      <c r="AP737" s="7"/>
      <c r="AQ737" s="7"/>
      <c r="AR737" s="7"/>
      <c r="AS737" s="7"/>
      <c r="AT737" s="7"/>
      <c r="AU737" s="7"/>
      <c r="AV737" s="7" t="s">
        <v>4237</v>
      </c>
      <c r="AW737" s="7"/>
      <c r="AX737" s="7"/>
      <c r="AY737" s="7"/>
      <c r="AZ737" s="7"/>
      <c r="BA737" s="7"/>
      <c r="BB737" s="7"/>
      <c r="BC737" s="7" t="s">
        <v>401</v>
      </c>
      <c r="BD737" s="7"/>
      <c r="BE737" s="7"/>
      <c r="BF737" s="7"/>
      <c r="BG737" s="7"/>
      <c r="BH737" s="7"/>
      <c r="BI737" s="7" t="s">
        <v>1786</v>
      </c>
      <c r="BJ737" s="7"/>
      <c r="BK737" s="7" t="b">
        <v>0</v>
      </c>
      <c r="BL737" s="7" t="b">
        <v>0</v>
      </c>
      <c r="BM737" s="7"/>
      <c r="BN737" s="7" t="str">
        <f>IFERROR(__xludf.DUMMYFUNCTION(" IF( REGEXMATCH(C737 , ""[(].+[)]""),REGEXREPLACE( CONCATENATE(REGEXEXTRACT(C737 , ""[(].+[)]""),IF(REGEXMATCH(C737 , ""[(][Ll]['’][)]""),"""","" ""), REGEXEXTRACT(C737 ,""^(?:(?:[A-Za-zàäéèêîïöôûü0-9 ](?:[A-Za-zàäéèêîïöôûü'0-9 ]+)))"")) , ""[()]"", """")"&amp;",C737 )"),"Le Choca ")</f>
        <v>Le Choca </v>
      </c>
      <c r="BO737" s="25"/>
      <c r="BP737" s="7"/>
      <c r="BQ737" s="7"/>
      <c r="BR737" s="7"/>
      <c r="BS737" s="7"/>
      <c r="BT737" s="7"/>
      <c r="BU737" s="7"/>
      <c r="BV737" s="7"/>
      <c r="BW737" s="7"/>
      <c r="BX737" s="7"/>
      <c r="BY737" s="7"/>
      <c r="BZ737" s="7"/>
      <c r="CA737" s="7"/>
      <c r="CB737" s="7"/>
    </row>
    <row r="738" ht="21.75" customHeight="1">
      <c r="A738" s="7"/>
      <c r="B738" s="7" t="s">
        <v>8871</v>
      </c>
      <c r="C738" s="7" t="s">
        <v>8872</v>
      </c>
      <c r="D738" s="7"/>
      <c r="E738" s="7"/>
      <c r="F738" s="7"/>
      <c r="G738" s="7" t="s">
        <v>343</v>
      </c>
      <c r="H738" s="7" t="s">
        <v>40</v>
      </c>
      <c r="I738" s="7" t="s">
        <v>8873</v>
      </c>
      <c r="J738" s="7"/>
      <c r="K738" s="6" t="s">
        <v>469</v>
      </c>
      <c r="L738" s="7" t="s">
        <v>197</v>
      </c>
      <c r="M738" s="7" t="s">
        <v>559</v>
      </c>
      <c r="N738" s="7"/>
      <c r="O738" s="7">
        <v>97414.0</v>
      </c>
      <c r="P738" s="7" t="s">
        <v>40</v>
      </c>
      <c r="Q738" s="7"/>
      <c r="R738" s="7"/>
      <c r="S738" s="7"/>
      <c r="T738" s="7"/>
      <c r="U738" s="7" t="s">
        <v>378</v>
      </c>
      <c r="V738" s="7"/>
      <c r="W738" s="7">
        <v>6.92252046E8</v>
      </c>
      <c r="X738" s="7"/>
      <c r="Y738" s="7"/>
      <c r="Z738" s="7" t="s">
        <v>8874</v>
      </c>
      <c r="AA738" s="7"/>
      <c r="AB738" s="7"/>
      <c r="AC738" s="7"/>
      <c r="AD738" s="7" t="s">
        <v>8875</v>
      </c>
      <c r="AE738" s="7"/>
      <c r="AF738" s="7"/>
      <c r="AG738" s="7"/>
      <c r="AH738" s="7"/>
      <c r="AI738" s="7"/>
      <c r="AJ738" s="7" t="s">
        <v>8876</v>
      </c>
      <c r="AK738" s="7">
        <v>8.5133031600015E13</v>
      </c>
      <c r="AL738" s="7"/>
      <c r="AM738" s="7" t="s">
        <v>8877</v>
      </c>
      <c r="AN738" s="7"/>
      <c r="AO738" s="7">
        <v>97414.0</v>
      </c>
      <c r="AP738" s="7" t="s">
        <v>429</v>
      </c>
      <c r="AQ738" s="7"/>
      <c r="AR738" s="7"/>
      <c r="AS738" s="7"/>
      <c r="AT738" s="7"/>
      <c r="AU738" s="7"/>
      <c r="AV738" s="7" t="s">
        <v>8878</v>
      </c>
      <c r="AW738" s="7"/>
      <c r="AX738" s="7"/>
      <c r="AY738" s="7"/>
      <c r="AZ738" s="7"/>
      <c r="BA738" s="7"/>
      <c r="BB738" s="7"/>
      <c r="BC738" s="7" t="s">
        <v>401</v>
      </c>
      <c r="BD738" s="7"/>
      <c r="BE738" s="7"/>
      <c r="BF738" s="7"/>
      <c r="BG738" s="7"/>
      <c r="BH738" s="7">
        <v>8.51330316E8</v>
      </c>
      <c r="BI738" s="7" t="s">
        <v>8879</v>
      </c>
      <c r="BJ738" s="7"/>
      <c r="BK738" s="7" t="b">
        <v>0</v>
      </c>
      <c r="BL738" s="7" t="b">
        <v>0</v>
      </c>
      <c r="BM738" s="7"/>
      <c r="BN738" s="7" t="str">
        <f>IFERROR(__xludf.DUMMYFUNCTION(" IF( REGEXMATCH(C738 , ""[(].+[)]""),REGEXREPLACE( CONCATENATE(REGEXEXTRACT(C738 , ""[(].+[)]""),IF(REGEXMATCH(C738 , ""[(][Ll]['’][)]""),"""","" ""), REGEXEXTRACT(C738 ,""^(?:(?:[A-Za-zàäéèêîïöôûü0-9 ](?:[A-Za-zàäéèêîïöôûü'0-9 ]+)))"")) , ""[()]"", """")"&amp;",C738 )"),"Choubidoux Kréation")</f>
        <v>Choubidoux Kréation</v>
      </c>
      <c r="BO738" s="25"/>
      <c r="BP738" s="7"/>
      <c r="BQ738" s="7"/>
      <c r="BR738" s="7"/>
      <c r="BS738" s="7"/>
      <c r="BT738" s="7"/>
      <c r="BU738" s="7"/>
      <c r="BV738" s="7"/>
      <c r="BW738" s="7"/>
      <c r="BX738" s="7"/>
      <c r="BY738" s="7"/>
      <c r="BZ738" s="7"/>
      <c r="CA738" s="7"/>
      <c r="CB738" s="7"/>
    </row>
    <row r="739" ht="21.75" customHeight="1">
      <c r="A739" s="7"/>
      <c r="B739" s="7" t="s">
        <v>8880</v>
      </c>
      <c r="C739" s="7" t="s">
        <v>8881</v>
      </c>
      <c r="D739" s="7"/>
      <c r="E739" s="7"/>
      <c r="F739" s="7"/>
      <c r="G739" s="7" t="s">
        <v>343</v>
      </c>
      <c r="H739" s="7" t="s">
        <v>33</v>
      </c>
      <c r="I739" s="7" t="s">
        <v>8882</v>
      </c>
      <c r="J739" s="7"/>
      <c r="K739" s="7" t="s">
        <v>58</v>
      </c>
      <c r="L739" s="7" t="s">
        <v>59</v>
      </c>
      <c r="M739" s="7" t="s">
        <v>346</v>
      </c>
      <c r="N739" s="7"/>
      <c r="O739" s="7">
        <v>97442.0</v>
      </c>
      <c r="P739" s="7" t="s">
        <v>33</v>
      </c>
      <c r="Q739" s="7"/>
      <c r="R739" s="7"/>
      <c r="S739" s="7"/>
      <c r="T739" s="7"/>
      <c r="U739" s="7"/>
      <c r="V739" s="7">
        <v>2.62370613E8</v>
      </c>
      <c r="W739" s="7">
        <v>6.93806435E8</v>
      </c>
      <c r="X739" s="7">
        <v>6.92032633E8</v>
      </c>
      <c r="Y739" s="7"/>
      <c r="Z739" s="7" t="s">
        <v>8883</v>
      </c>
      <c r="AA739" s="7">
        <v>8.0</v>
      </c>
      <c r="AB739" s="7"/>
      <c r="AC739" s="7"/>
      <c r="AD739" s="7"/>
      <c r="AE739" s="7"/>
      <c r="AF739" s="7"/>
      <c r="AG739" s="7"/>
      <c r="AH739" s="7"/>
      <c r="AI739" s="7"/>
      <c r="AJ739" s="7" t="s">
        <v>8884</v>
      </c>
      <c r="AK739" s="7"/>
      <c r="AL739" s="7" t="s">
        <v>8885</v>
      </c>
      <c r="AM739" s="7"/>
      <c r="AN739" s="7"/>
      <c r="AO739" s="7">
        <v>97442.0</v>
      </c>
      <c r="AP739" s="7" t="s">
        <v>884</v>
      </c>
      <c r="AQ739" s="7"/>
      <c r="AR739" s="7"/>
      <c r="AS739" s="7"/>
      <c r="AT739" s="7"/>
      <c r="AU739" s="7"/>
      <c r="AV739" s="7" t="s">
        <v>8886</v>
      </c>
      <c r="AW739" s="7"/>
      <c r="AX739" s="7"/>
      <c r="AY739" s="7"/>
      <c r="AZ739" s="7" t="s">
        <v>8887</v>
      </c>
      <c r="BA739" s="7"/>
      <c r="BB739" s="7"/>
      <c r="BC739" s="7" t="s">
        <v>401</v>
      </c>
      <c r="BD739" s="7"/>
      <c r="BE739" s="7"/>
      <c r="BF739" s="7"/>
      <c r="BG739" s="7"/>
      <c r="BH739" s="7"/>
      <c r="BI739" s="7" t="s">
        <v>8888</v>
      </c>
      <c r="BJ739" s="7"/>
      <c r="BK739" s="7" t="b">
        <v>0</v>
      </c>
      <c r="BL739" s="7" t="b">
        <v>0</v>
      </c>
      <c r="BM739" s="7"/>
      <c r="BN739" s="7" t="str">
        <f>IFERROR(__xludf.DUMMYFUNCTION(" IF( REGEXMATCH(C739 , ""[(].+[)]""),REGEXREPLACE( CONCATENATE(REGEXEXTRACT(C739 , ""[(].+[)]""),IF(REGEXMATCH(C739 , ""[(][Ll]['’][)]""),"""","" ""), REGEXEXTRACT(C739 ,""^(?:(?:[A-Za-zàäéèêîïöôûü0-9 ](?:[A-Za-zàäéèêîïöôûü'0-9 ]+)))"")) , ""[()]"", """")"&amp;",C739 )"),"Le Citron Galet ")</f>
        <v>Le Citron Galet </v>
      </c>
      <c r="BO739" s="25"/>
      <c r="BP739" s="7"/>
      <c r="BQ739" s="7"/>
      <c r="BR739" s="7"/>
      <c r="BS739" s="7"/>
      <c r="BT739" s="7"/>
      <c r="BU739" s="7"/>
      <c r="BV739" s="7"/>
      <c r="BW739" s="7"/>
      <c r="BX739" s="7"/>
      <c r="BY739" s="7"/>
      <c r="BZ739" s="7"/>
      <c r="CA739" s="7"/>
      <c r="CB739" s="7"/>
    </row>
    <row r="740" ht="21.75" customHeight="1">
      <c r="A740" s="7"/>
      <c r="B740" s="7" t="s">
        <v>8889</v>
      </c>
      <c r="C740" s="7" t="s">
        <v>8890</v>
      </c>
      <c r="D740" s="7"/>
      <c r="E740" s="7"/>
      <c r="F740" s="7"/>
      <c r="G740" s="7" t="s">
        <v>343</v>
      </c>
      <c r="H740" s="7" t="s">
        <v>344</v>
      </c>
      <c r="I740" s="7" t="s">
        <v>8891</v>
      </c>
      <c r="J740" s="7"/>
      <c r="K740" s="7" t="s">
        <v>58</v>
      </c>
      <c r="L740" s="7" t="s">
        <v>59</v>
      </c>
      <c r="M740" s="7" t="s">
        <v>374</v>
      </c>
      <c r="N740" s="7" t="s">
        <v>455</v>
      </c>
      <c r="O740" s="7">
        <v>97430.0</v>
      </c>
      <c r="P740" s="7" t="s">
        <v>344</v>
      </c>
      <c r="Q740" s="7"/>
      <c r="R740" s="7" t="s">
        <v>801</v>
      </c>
      <c r="S740" s="7"/>
      <c r="T740" s="7"/>
      <c r="U740" s="7" t="s">
        <v>592</v>
      </c>
      <c r="V740" s="7"/>
      <c r="W740" s="7">
        <v>6.92607394E8</v>
      </c>
      <c r="X740" s="7"/>
      <c r="Y740" s="7"/>
      <c r="Z740" s="7" t="s">
        <v>8892</v>
      </c>
      <c r="AA740" s="7">
        <v>4.0</v>
      </c>
      <c r="AB740" s="7"/>
      <c r="AC740" s="7"/>
      <c r="AD740" s="7" t="s">
        <v>8893</v>
      </c>
      <c r="AE740" s="7"/>
      <c r="AF740" s="7"/>
      <c r="AG740" s="7"/>
      <c r="AH740" s="7"/>
      <c r="AI740" s="7"/>
      <c r="AJ740" s="7" t="s">
        <v>8894</v>
      </c>
      <c r="AK740" s="7"/>
      <c r="AL740" s="7" t="s">
        <v>8891</v>
      </c>
      <c r="AM740" s="7" t="s">
        <v>8895</v>
      </c>
      <c r="AN740" s="7"/>
      <c r="AO740" s="7">
        <v>97430.0</v>
      </c>
      <c r="AP740" s="7" t="s">
        <v>494</v>
      </c>
      <c r="AQ740" s="7"/>
      <c r="AR740" s="7"/>
      <c r="AS740" s="7"/>
      <c r="AT740" s="7"/>
      <c r="AU740" s="7">
        <v>1.0</v>
      </c>
      <c r="AV740" s="7" t="s">
        <v>8896</v>
      </c>
      <c r="AW740" s="7"/>
      <c r="AX740" s="7" t="s">
        <v>8897</v>
      </c>
      <c r="AY740" s="7" t="s">
        <v>1590</v>
      </c>
      <c r="AZ740" s="7" t="s">
        <v>8898</v>
      </c>
      <c r="BA740" s="7"/>
      <c r="BB740" s="7"/>
      <c r="BC740" s="7" t="s">
        <v>401</v>
      </c>
      <c r="BD740" s="7"/>
      <c r="BE740" s="7"/>
      <c r="BF740" s="7"/>
      <c r="BG740" s="7"/>
      <c r="BH740" s="7"/>
      <c r="BI740" s="7" t="s">
        <v>8899</v>
      </c>
      <c r="BJ740" s="7"/>
      <c r="BK740" s="7" t="b">
        <v>0</v>
      </c>
      <c r="BL740" s="7" t="b">
        <v>0</v>
      </c>
      <c r="BM740" s="7"/>
      <c r="BN740" s="7" t="str">
        <f>IFERROR(__xludf.DUMMYFUNCTION(" IF( REGEXMATCH(C740 , ""[(].+[)]""),REGEXREPLACE( CONCATENATE(REGEXEXTRACT(C740 , ""[(].+[)]""),IF(REGEXMATCH(C740 , ""[(][Ll]['’][)]""),"""","" ""), REGEXEXTRACT(C740 ,""^(?:(?:[A-Za-zàäéèêîïöôûü0-9 ](?:[A-Za-zàäéèêîïöôûü'0-9 ]+)))"")) , ""[()]"", """")"&amp;",C740 )"),"Cœur Créole")</f>
        <v>Cœur Créole</v>
      </c>
      <c r="BO740" s="25"/>
      <c r="BP740" s="7"/>
      <c r="BQ740" s="7"/>
      <c r="BR740" s="7"/>
      <c r="BS740" s="7"/>
      <c r="BT740" s="7"/>
      <c r="BU740" s="7"/>
      <c r="BV740" s="7"/>
      <c r="BW740" s="7"/>
      <c r="BX740" s="7"/>
      <c r="BY740" s="7"/>
      <c r="BZ740" s="7"/>
      <c r="CA740" s="7"/>
      <c r="CB740" s="7"/>
    </row>
    <row r="741" ht="21.75" customHeight="1">
      <c r="A741" s="7"/>
      <c r="B741" s="7" t="s">
        <v>8900</v>
      </c>
      <c r="C741" s="7" t="s">
        <v>8901</v>
      </c>
      <c r="D741" s="7" t="s">
        <v>8902</v>
      </c>
      <c r="E741" s="7"/>
      <c r="F741" s="7"/>
      <c r="G741" s="7" t="s">
        <v>343</v>
      </c>
      <c r="H741" s="7" t="s">
        <v>40</v>
      </c>
      <c r="I741" s="7" t="s">
        <v>8903</v>
      </c>
      <c r="J741" s="26" t="s">
        <v>8904</v>
      </c>
      <c r="K741" s="7" t="s">
        <v>34</v>
      </c>
      <c r="L741" s="7" t="s">
        <v>622</v>
      </c>
      <c r="M741" s="7" t="s">
        <v>622</v>
      </c>
      <c r="N741" s="7" t="s">
        <v>422</v>
      </c>
      <c r="O741" s="7">
        <v>97414.0</v>
      </c>
      <c r="P741" s="7" t="s">
        <v>40</v>
      </c>
      <c r="Q741" s="7"/>
      <c r="R741" s="7"/>
      <c r="S741" s="7"/>
      <c r="T741" s="7" t="s">
        <v>377</v>
      </c>
      <c r="U741" s="7" t="s">
        <v>3296</v>
      </c>
      <c r="V741" s="7"/>
      <c r="W741" s="7">
        <v>6.92671659E8</v>
      </c>
      <c r="X741" s="7"/>
      <c r="Y741" s="7"/>
      <c r="Z741" s="7" t="s">
        <v>8905</v>
      </c>
      <c r="AA741" s="7">
        <v>50.0</v>
      </c>
      <c r="AB741" s="7"/>
      <c r="AC741" s="7"/>
      <c r="AD741" s="7" t="s">
        <v>8906</v>
      </c>
      <c r="AE741" s="7"/>
      <c r="AF741" s="7"/>
      <c r="AG741" s="7"/>
      <c r="AH741" s="7"/>
      <c r="AI741" s="7"/>
      <c r="AJ741" s="7" t="s">
        <v>8907</v>
      </c>
      <c r="AK741" s="7">
        <v>8.1823138300014E13</v>
      </c>
      <c r="AL741" s="7"/>
      <c r="AM741" s="7" t="s">
        <v>8908</v>
      </c>
      <c r="AN741" s="7"/>
      <c r="AO741" s="7">
        <v>97414.0</v>
      </c>
      <c r="AP741" s="7" t="s">
        <v>429</v>
      </c>
      <c r="AQ741" s="7"/>
      <c r="AR741" s="7"/>
      <c r="AS741" s="7"/>
      <c r="AT741" s="7"/>
      <c r="AU741" s="7">
        <v>1.0</v>
      </c>
      <c r="AV741" s="7" t="s">
        <v>8909</v>
      </c>
      <c r="AW741" s="7"/>
      <c r="AX741" s="7"/>
      <c r="AY741" s="7"/>
      <c r="AZ741" s="7"/>
      <c r="BA741" s="7"/>
      <c r="BB741" s="7"/>
      <c r="BC741" s="7" t="s">
        <v>401</v>
      </c>
      <c r="BD741" s="7"/>
      <c r="BE741" s="7"/>
      <c r="BF741" s="7"/>
      <c r="BG741" s="7"/>
      <c r="BH741" s="7">
        <v>8.18231383E8</v>
      </c>
      <c r="BI741" s="7" t="s">
        <v>1329</v>
      </c>
      <c r="BJ741" s="7"/>
      <c r="BK741" s="7" t="b">
        <v>0</v>
      </c>
      <c r="BL741" s="7" t="b">
        <v>0</v>
      </c>
      <c r="BM741" s="7"/>
      <c r="BN741" s="7" t="str">
        <f>IFERROR(__xludf.DUMMYFUNCTION(" IF( REGEXMATCH(C741 , ""[(].+[)]""),REGEXREPLACE( CONCATENATE(REGEXEXTRACT(C741 , ""[(].+[)]""),IF(REGEXMATCH(C741 , ""[(][Ll]['’][)]""),"""","" ""), REGEXEXTRACT(C741 ,""^(?:(?:[A-Za-zàäéèêîïöôûü0-9 ](?:[A-Za-zàäéèêîïöôûü'0-9 ]+)))"")) , ""[()]"", """")"&amp;",C741 )"),"Le Comptoir des arts ")</f>
        <v>Le Comptoir des arts </v>
      </c>
      <c r="BO741" s="25"/>
      <c r="BP741" s="7"/>
      <c r="BQ741" s="7"/>
      <c r="BR741" s="7"/>
      <c r="BS741" s="7"/>
      <c r="BT741" s="7"/>
      <c r="BU741" s="7"/>
      <c r="BV741" s="7"/>
      <c r="BW741" s="7"/>
      <c r="BX741" s="7"/>
      <c r="BY741" s="7"/>
      <c r="BZ741" s="7"/>
      <c r="CA741" s="7"/>
      <c r="CB741" s="7"/>
    </row>
    <row r="742" ht="21.75" customHeight="1">
      <c r="A742" s="7"/>
      <c r="B742" s="7" t="s">
        <v>8910</v>
      </c>
      <c r="C742" s="7" t="s">
        <v>8911</v>
      </c>
      <c r="D742" s="7"/>
      <c r="E742" s="7"/>
      <c r="F742" s="7"/>
      <c r="G742" s="7" t="s">
        <v>343</v>
      </c>
      <c r="H742" s="7" t="s">
        <v>344</v>
      </c>
      <c r="I742" s="7" t="s">
        <v>8912</v>
      </c>
      <c r="J742" s="7"/>
      <c r="K742" s="7" t="s">
        <v>58</v>
      </c>
      <c r="L742" s="7" t="s">
        <v>59</v>
      </c>
      <c r="M742" s="7" t="s">
        <v>346</v>
      </c>
      <c r="N742" s="7"/>
      <c r="O742" s="7">
        <v>97418.0</v>
      </c>
      <c r="P742" s="7" t="s">
        <v>348</v>
      </c>
      <c r="Q742" s="7"/>
      <c r="R742" s="7"/>
      <c r="S742" s="7"/>
      <c r="T742" s="7"/>
      <c r="U742" s="7" t="s">
        <v>378</v>
      </c>
      <c r="V742" s="7"/>
      <c r="W742" s="7">
        <v>6.92188614E8</v>
      </c>
      <c r="X742" s="7"/>
      <c r="Y742" s="7"/>
      <c r="Z742" s="7" t="s">
        <v>8913</v>
      </c>
      <c r="AA742" s="7">
        <v>14.0</v>
      </c>
      <c r="AB742" s="7"/>
      <c r="AC742" s="7"/>
      <c r="AD742" s="7"/>
      <c r="AE742" s="7"/>
      <c r="AF742" s="7"/>
      <c r="AG742" s="7"/>
      <c r="AH742" s="20">
        <v>43101.0</v>
      </c>
      <c r="AI742" s="7"/>
      <c r="AJ742" s="7" t="s">
        <v>8914</v>
      </c>
      <c r="AK742" s="7"/>
      <c r="AL742" s="7" t="s">
        <v>8915</v>
      </c>
      <c r="AM742" s="7" t="s">
        <v>8916</v>
      </c>
      <c r="AN742" s="7"/>
      <c r="AO742" s="7">
        <v>97490.0</v>
      </c>
      <c r="AP742" s="7" t="s">
        <v>2899</v>
      </c>
      <c r="AQ742" s="7"/>
      <c r="AR742" s="7"/>
      <c r="AS742" s="7"/>
      <c r="AT742" s="7"/>
      <c r="AU742" s="7">
        <v>1.0</v>
      </c>
      <c r="AV742" s="7" t="s">
        <v>2631</v>
      </c>
      <c r="AW742" s="7"/>
      <c r="AX742" s="7" t="s">
        <v>8917</v>
      </c>
      <c r="AY742" s="7" t="s">
        <v>1590</v>
      </c>
      <c r="AZ742" s="7" t="s">
        <v>8918</v>
      </c>
      <c r="BA742" s="7"/>
      <c r="BB742" s="7"/>
      <c r="BC742" s="7" t="s">
        <v>401</v>
      </c>
      <c r="BD742" s="7"/>
      <c r="BE742" s="7"/>
      <c r="BF742" s="7"/>
      <c r="BG742" s="7"/>
      <c r="BH742" s="7"/>
      <c r="BI742" s="7" t="s">
        <v>1504</v>
      </c>
      <c r="BJ742" s="7"/>
      <c r="BK742" s="7" t="b">
        <v>0</v>
      </c>
      <c r="BL742" s="7" t="b">
        <v>0</v>
      </c>
      <c r="BM742" s="7"/>
      <c r="BN742" s="7" t="str">
        <f>IFERROR(__xludf.DUMMYFUNCTION(" IF( REGEXMATCH(C742 , ""[(].+[)]""),REGEXREPLACE( CONCATENATE(REGEXEXTRACT(C742 , ""[(].+[)]""),IF(REGEXMATCH(C742 , ""[(][Ll]['’][)]""),"""","" ""), REGEXEXTRACT(C742 ,""^(?:(?:[A-Za-zàäéèêîïöôûü0-9 ](?:[A-Za-zàäéèêîïöôûü'0-9 ]+)))"")) , ""[()]"", """")"&amp;",C742 )"),"Le Cone Volcanique ")</f>
        <v>Le Cone Volcanique </v>
      </c>
      <c r="BO742" s="25"/>
      <c r="BP742" s="7"/>
      <c r="BQ742" s="7"/>
      <c r="BR742" s="7"/>
      <c r="BS742" s="7"/>
      <c r="BT742" s="7"/>
      <c r="BU742" s="7"/>
      <c r="BV742" s="7"/>
      <c r="BW742" s="7"/>
      <c r="BX742" s="7"/>
      <c r="BY742" s="7"/>
      <c r="BZ742" s="7"/>
      <c r="CA742" s="7"/>
      <c r="CB742" s="7"/>
    </row>
    <row r="743" ht="21.75" customHeight="1">
      <c r="A743" s="7"/>
      <c r="B743" s="7" t="s">
        <v>8919</v>
      </c>
      <c r="C743" s="7" t="s">
        <v>8920</v>
      </c>
      <c r="D743" s="7"/>
      <c r="E743" s="7"/>
      <c r="F743" s="7"/>
      <c r="G743" s="7" t="s">
        <v>343</v>
      </c>
      <c r="H743" s="7" t="s">
        <v>123</v>
      </c>
      <c r="I743" s="7" t="s">
        <v>8921</v>
      </c>
      <c r="J743" s="7"/>
      <c r="K743" s="7" t="s">
        <v>58</v>
      </c>
      <c r="L743" s="7" t="s">
        <v>59</v>
      </c>
      <c r="M743" s="7" t="s">
        <v>346</v>
      </c>
      <c r="N743" s="7"/>
      <c r="O743" s="7">
        <v>97480.0</v>
      </c>
      <c r="P743" s="7" t="s">
        <v>123</v>
      </c>
      <c r="Q743" s="7" t="s">
        <v>8364</v>
      </c>
      <c r="R743" s="7"/>
      <c r="S743" s="7"/>
      <c r="T743" s="7"/>
      <c r="U743" s="7" t="s">
        <v>378</v>
      </c>
      <c r="V743" s="7">
        <v>2.62305113E8</v>
      </c>
      <c r="W743" s="7">
        <v>-69244.0</v>
      </c>
      <c r="X743" s="7"/>
      <c r="Y743" s="7"/>
      <c r="Z743" s="7" t="s">
        <v>4342</v>
      </c>
      <c r="AA743" s="7">
        <v>8.0</v>
      </c>
      <c r="AB743" s="7"/>
      <c r="AC743" s="7"/>
      <c r="AD743" s="7"/>
      <c r="AE743" s="7"/>
      <c r="AF743" s="7"/>
      <c r="AG743" s="7"/>
      <c r="AH743" s="7"/>
      <c r="AI743" s="7"/>
      <c r="AJ743" s="7" t="s">
        <v>8922</v>
      </c>
      <c r="AK743" s="7"/>
      <c r="AL743" s="7" t="s">
        <v>8923</v>
      </c>
      <c r="AM743" s="7"/>
      <c r="AN743" s="7"/>
      <c r="AO743" s="7">
        <v>97480.0</v>
      </c>
      <c r="AP743" s="7" t="s">
        <v>385</v>
      </c>
      <c r="AQ743" s="7"/>
      <c r="AR743" s="7"/>
      <c r="AS743" s="7"/>
      <c r="AT743" s="7"/>
      <c r="AU743" s="7">
        <v>1.0</v>
      </c>
      <c r="AV743" s="7" t="s">
        <v>8924</v>
      </c>
      <c r="AW743" s="7"/>
      <c r="AX743" s="7" t="s">
        <v>3270</v>
      </c>
      <c r="AY743" s="7" t="s">
        <v>1590</v>
      </c>
      <c r="AZ743" s="7" t="s">
        <v>8925</v>
      </c>
      <c r="BA743" s="7"/>
      <c r="BB743" s="7"/>
      <c r="BC743" s="7" t="s">
        <v>401</v>
      </c>
      <c r="BD743" s="7"/>
      <c r="BE743" s="7"/>
      <c r="BF743" s="7"/>
      <c r="BG743" s="7"/>
      <c r="BH743" s="7"/>
      <c r="BI743" s="7" t="s">
        <v>4350</v>
      </c>
      <c r="BJ743" s="7"/>
      <c r="BK743" s="7" t="b">
        <v>0</v>
      </c>
      <c r="BL743" s="7" t="b">
        <v>0</v>
      </c>
      <c r="BM743" s="7"/>
      <c r="BN743" s="7" t="str">
        <f>IFERROR(__xludf.DUMMYFUNCTION(" IF( REGEXMATCH(C743 , ""[(].+[)]""),REGEXREPLACE( CONCATENATE(REGEXEXTRACT(C743 , ""[(].+[)]""),IF(REGEXMATCH(C743 , ""[(][Ll]['’][)]""),"""","" ""), REGEXEXTRACT(C743 ,""^(?:(?:[A-Za-zàäéèêîïöôûü0-9 ](?:[A-Za-zàäéèêîïöôûü'0-9 ]+)))"")) , ""[()]"", """")"&amp;",C743 )"),"Les Cormorans ")</f>
        <v>Les Cormorans </v>
      </c>
      <c r="BO743" s="25"/>
      <c r="BP743" s="7"/>
      <c r="BQ743" s="7"/>
      <c r="BR743" s="7"/>
      <c r="BS743" s="7"/>
      <c r="BT743" s="7"/>
      <c r="BU743" s="7"/>
      <c r="BV743" s="7"/>
      <c r="BW743" s="7"/>
      <c r="BX743" s="7"/>
      <c r="BY743" s="7"/>
      <c r="BZ743" s="7"/>
      <c r="CA743" s="7"/>
      <c r="CB743" s="7"/>
    </row>
    <row r="744" ht="21.75" customHeight="1">
      <c r="A744" s="7"/>
      <c r="B744" s="7" t="s">
        <v>8926</v>
      </c>
      <c r="C744" s="7" t="s">
        <v>8927</v>
      </c>
      <c r="D744" s="7" t="s">
        <v>8927</v>
      </c>
      <c r="E744" s="7"/>
      <c r="F744" s="7"/>
      <c r="G744" s="7" t="s">
        <v>343</v>
      </c>
      <c r="H744" s="7" t="s">
        <v>123</v>
      </c>
      <c r="I744" s="7" t="s">
        <v>8928</v>
      </c>
      <c r="J744" s="7"/>
      <c r="K744" s="6" t="s">
        <v>469</v>
      </c>
      <c r="L744" s="7" t="s">
        <v>1644</v>
      </c>
      <c r="M744" s="7" t="s">
        <v>921</v>
      </c>
      <c r="N744" s="7" t="s">
        <v>664</v>
      </c>
      <c r="O744" s="7">
        <v>97480.0</v>
      </c>
      <c r="P744" s="7" t="s">
        <v>123</v>
      </c>
      <c r="Q744" s="7"/>
      <c r="R744" s="7" t="s">
        <v>8929</v>
      </c>
      <c r="S744" s="7"/>
      <c r="T744" s="7" t="s">
        <v>8930</v>
      </c>
      <c r="U744" s="7"/>
      <c r="V744" s="7"/>
      <c r="W744" s="7"/>
      <c r="X744" s="7"/>
      <c r="Y744" s="7"/>
      <c r="Z744" s="7" t="s">
        <v>8931</v>
      </c>
      <c r="AA744" s="7"/>
      <c r="AB744" s="7"/>
      <c r="AC744" s="7"/>
      <c r="AD744" s="7" t="s">
        <v>8932</v>
      </c>
      <c r="AE744" s="7"/>
      <c r="AF744" s="7"/>
      <c r="AG744" s="7"/>
      <c r="AH744" s="7"/>
      <c r="AI744" s="7"/>
      <c r="AJ744" s="7" t="s">
        <v>8933</v>
      </c>
      <c r="AK744" s="7">
        <v>8.5328454500029E13</v>
      </c>
      <c r="AL744" s="7" t="s">
        <v>8934</v>
      </c>
      <c r="AM744" s="7" t="s">
        <v>8935</v>
      </c>
      <c r="AN744" s="7"/>
      <c r="AO744" s="7">
        <v>97432.0</v>
      </c>
      <c r="AP744" s="7" t="s">
        <v>8936</v>
      </c>
      <c r="AQ744" s="7"/>
      <c r="AR744" s="7"/>
      <c r="AS744" s="7"/>
      <c r="AT744" s="7"/>
      <c r="AU744" s="7">
        <v>1.0</v>
      </c>
      <c r="AV744" s="7" t="s">
        <v>8937</v>
      </c>
      <c r="AW744" s="7"/>
      <c r="AX744" s="7"/>
      <c r="AY744" s="7"/>
      <c r="AZ744" s="7"/>
      <c r="BA744" s="7"/>
      <c r="BB744" s="7"/>
      <c r="BC744" s="7" t="s">
        <v>401</v>
      </c>
      <c r="BD744" s="7"/>
      <c r="BE744" s="7"/>
      <c r="BF744" s="7"/>
      <c r="BG744" s="7"/>
      <c r="BH744" s="7">
        <v>8.53284545E8</v>
      </c>
      <c r="BI744" s="7" t="s">
        <v>8938</v>
      </c>
      <c r="BJ744" s="7"/>
      <c r="BK744" s="7" t="b">
        <v>0</v>
      </c>
      <c r="BL744" s="7" t="b">
        <v>0</v>
      </c>
      <c r="BM744" s="7"/>
      <c r="BN744" s="7" t="str">
        <f>IFERROR(__xludf.DUMMYFUNCTION(" IF( REGEXMATCH(C744 , ""[(].+[)]""),REGEXREPLACE( CONCATENATE(REGEXEXTRACT(C744 , ""[(].+[)]""),IF(REGEXMATCH(C744 , ""[(][Ll]['’][)]""),"""","" ""), REGEXEXTRACT(C744 ,""^(?:(?:[A-Za-zàäéèêîïöôûü0-9 ](?:[A-Za-zàäéèêîïöôûü'0-9 ]+)))"")) , ""[()]"", """")"&amp;",C744 )"),"DG-TROT")</f>
        <v>DG-TROT</v>
      </c>
      <c r="BO744" s="25"/>
      <c r="BP744" s="7"/>
      <c r="BQ744" s="7"/>
      <c r="BR744" s="7"/>
      <c r="BS744" s="7"/>
      <c r="BT744" s="7"/>
      <c r="BU744" s="7"/>
      <c r="BV744" s="7"/>
      <c r="BW744" s="7"/>
      <c r="BX744" s="7"/>
      <c r="BY744" s="7"/>
      <c r="BZ744" s="7"/>
      <c r="CA744" s="7"/>
      <c r="CB744" s="7"/>
    </row>
    <row r="745" ht="21.75" customHeight="1">
      <c r="A745" s="7"/>
      <c r="B745" s="7" t="s">
        <v>8939</v>
      </c>
      <c r="C745" s="7" t="s">
        <v>8940</v>
      </c>
      <c r="D745" s="7"/>
      <c r="E745" s="7"/>
      <c r="F745" s="7"/>
      <c r="G745" s="7" t="s">
        <v>343</v>
      </c>
      <c r="H745" s="7" t="s">
        <v>123</v>
      </c>
      <c r="I745" s="7" t="s">
        <v>8941</v>
      </c>
      <c r="J745" s="7"/>
      <c r="K745" s="7" t="s">
        <v>58</v>
      </c>
      <c r="L745" s="7" t="s">
        <v>59</v>
      </c>
      <c r="M745" s="7"/>
      <c r="N745" s="7"/>
      <c r="O745" s="7">
        <v>97480.0</v>
      </c>
      <c r="P745" s="7" t="s">
        <v>123</v>
      </c>
      <c r="Q745" s="7" t="s">
        <v>8942</v>
      </c>
      <c r="R745" s="7"/>
      <c r="S745" s="7"/>
      <c r="T745" s="7"/>
      <c r="U745" s="7"/>
      <c r="V745" s="7"/>
      <c r="W745" s="7">
        <v>6.92199793E8</v>
      </c>
      <c r="X745" s="7"/>
      <c r="Y745" s="7"/>
      <c r="Z745" s="7" t="s">
        <v>3754</v>
      </c>
      <c r="AA745" s="7">
        <v>12.0</v>
      </c>
      <c r="AB745" s="7"/>
      <c r="AC745" s="7"/>
      <c r="AD745" s="7" t="s">
        <v>8943</v>
      </c>
      <c r="AE745" s="7"/>
      <c r="AF745" s="7"/>
      <c r="AG745" s="7"/>
      <c r="AH745" s="7"/>
      <c r="AI745" s="7"/>
      <c r="AJ745" s="7" t="s">
        <v>8944</v>
      </c>
      <c r="AK745" s="7"/>
      <c r="AL745" s="7" t="s">
        <v>8945</v>
      </c>
      <c r="AM745" s="7"/>
      <c r="AN745" s="7"/>
      <c r="AO745" s="7">
        <v>97480.0</v>
      </c>
      <c r="AP745" s="7"/>
      <c r="AQ745" s="7"/>
      <c r="AR745" s="7"/>
      <c r="AS745" s="7"/>
      <c r="AT745" s="7"/>
      <c r="AU745" s="7">
        <v>1.0</v>
      </c>
      <c r="AV745" s="7" t="s">
        <v>8946</v>
      </c>
      <c r="AW745" s="7"/>
      <c r="AX745" s="7" t="s">
        <v>8947</v>
      </c>
      <c r="AY745" s="7" t="s">
        <v>1829</v>
      </c>
      <c r="AZ745" s="7"/>
      <c r="BA745" s="7"/>
      <c r="BB745" s="7"/>
      <c r="BC745" s="7" t="s">
        <v>401</v>
      </c>
      <c r="BD745" s="7"/>
      <c r="BE745" s="7"/>
      <c r="BF745" s="7"/>
      <c r="BG745" s="7"/>
      <c r="BH745" s="7"/>
      <c r="BI745" s="7"/>
      <c r="BJ745" s="7"/>
      <c r="BK745" s="7" t="b">
        <v>0</v>
      </c>
      <c r="BL745" s="7" t="b">
        <v>0</v>
      </c>
      <c r="BM745" s="7"/>
      <c r="BN745" s="7" t="str">
        <f>IFERROR(__xludf.DUMMYFUNCTION(" IF( REGEXMATCH(C745 , ""[(].+[)]""),REGEXREPLACE( CONCATENATE(REGEXEXTRACT(C745 , ""[(].+[)]""),IF(REGEXMATCH(C745 , ""[(][Ll]['’][)]""),"""","" ""), REGEXEXTRACT(C745 ,""^(?:(?:[A-Za-zàäéèêîïöôûü0-9 ](?:[A-Za-zàäéèêîïöôûü'0-9 ]+)))"")) , ""[()]"", """")"&amp;",C745 )"),"Didier Hoareau")</f>
        <v>Didier Hoareau</v>
      </c>
      <c r="BO745" s="25"/>
      <c r="BP745" s="7"/>
      <c r="BQ745" s="7"/>
      <c r="BR745" s="7"/>
      <c r="BS745" s="7"/>
      <c r="BT745" s="7"/>
      <c r="BU745" s="7"/>
      <c r="BV745" s="7"/>
      <c r="BW745" s="7"/>
      <c r="BX745" s="7"/>
      <c r="BY745" s="7"/>
      <c r="BZ745" s="7"/>
      <c r="CA745" s="7"/>
      <c r="CB745" s="7"/>
    </row>
    <row r="746" ht="21.75" customHeight="1">
      <c r="A746" s="7"/>
      <c r="B746" s="7" t="s">
        <v>8948</v>
      </c>
      <c r="C746" s="7" t="s">
        <v>8949</v>
      </c>
      <c r="D746" s="7"/>
      <c r="E746" s="7"/>
      <c r="F746" s="7"/>
      <c r="G746" s="7" t="s">
        <v>343</v>
      </c>
      <c r="H746" s="7" t="s">
        <v>40</v>
      </c>
      <c r="I746" s="7" t="s">
        <v>8950</v>
      </c>
      <c r="J746" s="7"/>
      <c r="K746" s="6" t="s">
        <v>469</v>
      </c>
      <c r="L746" s="7" t="s">
        <v>1805</v>
      </c>
      <c r="M746" s="7"/>
      <c r="N746" s="7" t="s">
        <v>422</v>
      </c>
      <c r="O746" s="7">
        <v>97414.0</v>
      </c>
      <c r="P746" s="7" t="s">
        <v>40</v>
      </c>
      <c r="Q746" s="7"/>
      <c r="R746" s="7"/>
      <c r="S746" s="7"/>
      <c r="T746" s="7" t="s">
        <v>377</v>
      </c>
      <c r="U746" s="7" t="s">
        <v>8505</v>
      </c>
      <c r="V746" s="7"/>
      <c r="W746" s="7">
        <v>6.92652806E8</v>
      </c>
      <c r="X746" s="7"/>
      <c r="Y746" s="7"/>
      <c r="Z746" s="7" t="s">
        <v>3475</v>
      </c>
      <c r="AA746" s="7">
        <v>20.0</v>
      </c>
      <c r="AB746" s="7"/>
      <c r="AC746" s="7"/>
      <c r="AD746" s="7"/>
      <c r="AE746" s="7"/>
      <c r="AF746" s="7" t="s">
        <v>8951</v>
      </c>
      <c r="AG746" s="7"/>
      <c r="AH746" s="7"/>
      <c r="AI746" s="7"/>
      <c r="AJ746" s="7" t="s">
        <v>8952</v>
      </c>
      <c r="AK746" s="7">
        <v>4.11544900900032E14</v>
      </c>
      <c r="AL746" s="7"/>
      <c r="AM746" s="7" t="s">
        <v>8953</v>
      </c>
      <c r="AN746" s="7"/>
      <c r="AO746" s="7">
        <v>97414.0</v>
      </c>
      <c r="AP746" s="7" t="s">
        <v>429</v>
      </c>
      <c r="AQ746" s="7"/>
      <c r="AR746" s="7"/>
      <c r="AS746" s="7"/>
      <c r="AT746" s="7"/>
      <c r="AU746" s="7">
        <v>0.0</v>
      </c>
      <c r="AV746" s="7" t="s">
        <v>8954</v>
      </c>
      <c r="AW746" s="7"/>
      <c r="AX746" s="7"/>
      <c r="AY746" s="7"/>
      <c r="AZ746" s="7"/>
      <c r="BA746" s="7"/>
      <c r="BB746" s="7"/>
      <c r="BC746" s="7" t="s">
        <v>401</v>
      </c>
      <c r="BD746" s="7"/>
      <c r="BE746" s="7"/>
      <c r="BF746" s="7"/>
      <c r="BG746" s="7"/>
      <c r="BH746" s="7">
        <v>4.115449E8</v>
      </c>
      <c r="BI746" s="7" t="s">
        <v>8955</v>
      </c>
      <c r="BJ746" s="7"/>
      <c r="BK746" s="7" t="b">
        <v>0</v>
      </c>
      <c r="BL746" s="7" t="b">
        <v>0</v>
      </c>
      <c r="BM746" s="7"/>
      <c r="BN746" s="7" t="str">
        <f>IFERROR(__xludf.DUMMYFUNCTION(" IF( REGEXMATCH(C746 , ""[(].+[)]""),REGEXREPLACE( CONCATENATE(REGEXEXTRACT(C746 , ""[(].+[)]""),IF(REGEXMATCH(C746 , ""[(][Ll]['’][)]""),"""","" ""), REGEXEXTRACT(C746 ,""^(?:(?:[A-Za-zàäéèêîïöôûü0-9 ](?:[A-Za-zàäéèêîïöôûü'0-9 ]+)))"")) , ""[()]"", """")"&amp;",C746 )"),"Dimension Culinaire")</f>
        <v>Dimension Culinaire</v>
      </c>
      <c r="BO746" s="25"/>
      <c r="BP746" s="7"/>
      <c r="BQ746" s="7"/>
      <c r="BR746" s="7"/>
      <c r="BS746" s="7"/>
      <c r="BT746" s="7"/>
      <c r="BU746" s="7"/>
      <c r="BV746" s="7"/>
      <c r="BW746" s="7"/>
      <c r="BX746" s="7"/>
      <c r="BY746" s="7"/>
      <c r="BZ746" s="7"/>
      <c r="CA746" s="7"/>
      <c r="CB746" s="7"/>
    </row>
    <row r="747" ht="21.75" customHeight="1">
      <c r="A747" s="7"/>
      <c r="B747" s="7" t="s">
        <v>8956</v>
      </c>
      <c r="C747" s="7" t="s">
        <v>8957</v>
      </c>
      <c r="D747" s="7"/>
      <c r="E747" s="7"/>
      <c r="F747" s="7"/>
      <c r="G747" s="7" t="s">
        <v>343</v>
      </c>
      <c r="H747" s="7" t="s">
        <v>40</v>
      </c>
      <c r="I747" s="7" t="s">
        <v>8701</v>
      </c>
      <c r="J747" s="26" t="s">
        <v>8958</v>
      </c>
      <c r="K747" s="6" t="s">
        <v>469</v>
      </c>
      <c r="L747" s="7" t="s">
        <v>470</v>
      </c>
      <c r="M747" s="7" t="s">
        <v>5109</v>
      </c>
      <c r="N747" s="7" t="s">
        <v>472</v>
      </c>
      <c r="O747" s="7">
        <v>97414.0</v>
      </c>
      <c r="P747" s="7" t="s">
        <v>40</v>
      </c>
      <c r="Q747" s="7" t="s">
        <v>8701</v>
      </c>
      <c r="R747" s="7" t="s">
        <v>3611</v>
      </c>
      <c r="S747" s="7" t="s">
        <v>1922</v>
      </c>
      <c r="T747" s="7" t="s">
        <v>377</v>
      </c>
      <c r="U747" s="7" t="s">
        <v>8505</v>
      </c>
      <c r="V747" s="7"/>
      <c r="W747" s="7">
        <v>6.92688775E8</v>
      </c>
      <c r="X747" s="7"/>
      <c r="Y747" s="7"/>
      <c r="Z747" s="7" t="s">
        <v>8959</v>
      </c>
      <c r="AA747" s="7">
        <v>5.0</v>
      </c>
      <c r="AB747" s="7"/>
      <c r="AC747" s="7"/>
      <c r="AD747" s="7" t="s">
        <v>8960</v>
      </c>
      <c r="AE747" s="7" t="s">
        <v>8961</v>
      </c>
      <c r="AF747" s="7" t="s">
        <v>8951</v>
      </c>
      <c r="AG747" s="7"/>
      <c r="AH747" s="7"/>
      <c r="AI747" s="7"/>
      <c r="AJ747" s="7" t="s">
        <v>8962</v>
      </c>
      <c r="AK747" s="7"/>
      <c r="AL747" s="7"/>
      <c r="AM747" s="7" t="s">
        <v>8963</v>
      </c>
      <c r="AN747" s="7"/>
      <c r="AO747" s="7">
        <v>97414.0</v>
      </c>
      <c r="AP747" s="7" t="s">
        <v>429</v>
      </c>
      <c r="AQ747" s="7"/>
      <c r="AR747" s="7"/>
      <c r="AS747" s="7"/>
      <c r="AT747" s="7"/>
      <c r="AU747" s="7">
        <v>0.0</v>
      </c>
      <c r="AV747" s="7" t="s">
        <v>8707</v>
      </c>
      <c r="AW747" s="7"/>
      <c r="AX747" s="7" t="s">
        <v>8964</v>
      </c>
      <c r="AY747" s="7" t="s">
        <v>1876</v>
      </c>
      <c r="AZ747" s="7"/>
      <c r="BA747" s="7"/>
      <c r="BB747" s="7"/>
      <c r="BC747" s="7" t="s">
        <v>401</v>
      </c>
      <c r="BD747" s="7"/>
      <c r="BE747" s="7"/>
      <c r="BF747" s="7"/>
      <c r="BG747" s="7"/>
      <c r="BH747" s="7"/>
      <c r="BI747" s="7" t="s">
        <v>8710</v>
      </c>
      <c r="BJ747" s="7"/>
      <c r="BK747" s="7" t="b">
        <v>0</v>
      </c>
      <c r="BL747" s="7" t="b">
        <v>0</v>
      </c>
      <c r="BM747" s="7"/>
      <c r="BN747" s="7" t="str">
        <f>IFERROR(__xludf.DUMMYFUNCTION(" IF( REGEXMATCH(C747 , ""[(].+[)]""),REGEXREPLACE( CONCATENATE(REGEXEXTRACT(C747 , ""[(].+[)]""),IF(REGEXMATCH(C747 , ""[(][Ll]['’][)]""),"""","" ""), REGEXEXTRACT(C747 ,""^(?:(?:[A-Za-zàäéèêîïöôûü0-9 ](?:[A-Za-zàäéèêîïöôûü'0-9 ]+)))"")) , ""[()]"", """")"&amp;",C747 )"),"Dimitilez-vous")</f>
        <v>Dimitilez-vous</v>
      </c>
      <c r="BO747" s="25"/>
      <c r="BP747" s="7"/>
      <c r="BQ747" s="7"/>
      <c r="BR747" s="7"/>
      <c r="BS747" s="7"/>
      <c r="BT747" s="7"/>
      <c r="BU747" s="7"/>
      <c r="BV747" s="7"/>
      <c r="BW747" s="7"/>
      <c r="BX747" s="7"/>
      <c r="BY747" s="7"/>
      <c r="BZ747" s="7"/>
      <c r="CA747" s="7"/>
      <c r="CB747" s="7"/>
    </row>
    <row r="748" ht="21.75" customHeight="1">
      <c r="A748" s="7"/>
      <c r="B748" s="7" t="s">
        <v>8965</v>
      </c>
      <c r="C748" s="7" t="s">
        <v>8966</v>
      </c>
      <c r="D748" s="7"/>
      <c r="E748" s="7"/>
      <c r="F748" s="7"/>
      <c r="G748" s="7" t="s">
        <v>343</v>
      </c>
      <c r="H748" s="7" t="s">
        <v>40</v>
      </c>
      <c r="I748" s="7" t="s">
        <v>8967</v>
      </c>
      <c r="J748" s="7"/>
      <c r="K748" s="6" t="s">
        <v>469</v>
      </c>
      <c r="L748" s="7" t="s">
        <v>197</v>
      </c>
      <c r="M748" s="7" t="s">
        <v>559</v>
      </c>
      <c r="N748" s="7" t="s">
        <v>422</v>
      </c>
      <c r="O748" s="7">
        <v>97414.0</v>
      </c>
      <c r="P748" s="7" t="s">
        <v>40</v>
      </c>
      <c r="Q748" s="7"/>
      <c r="R748" s="7"/>
      <c r="S748" s="7"/>
      <c r="T748" s="7" t="s">
        <v>377</v>
      </c>
      <c r="U748" s="7"/>
      <c r="V748" s="7"/>
      <c r="W748" s="7">
        <v>6.92773884E8</v>
      </c>
      <c r="X748" s="7"/>
      <c r="Y748" s="7"/>
      <c r="Z748" s="7" t="s">
        <v>8968</v>
      </c>
      <c r="AA748" s="7"/>
      <c r="AB748" s="7"/>
      <c r="AC748" s="7"/>
      <c r="AD748" s="7" t="s">
        <v>8969</v>
      </c>
      <c r="AE748" s="7"/>
      <c r="AF748" s="7" t="s">
        <v>613</v>
      </c>
      <c r="AG748" s="7"/>
      <c r="AH748" s="7"/>
      <c r="AI748" s="7"/>
      <c r="AJ748" s="7" t="s">
        <v>8966</v>
      </c>
      <c r="AK748" s="7"/>
      <c r="AL748" s="7" t="s">
        <v>8970</v>
      </c>
      <c r="AM748" s="7" t="s">
        <v>8971</v>
      </c>
      <c r="AN748" s="7"/>
      <c r="AO748" s="7">
        <v>97414.0</v>
      </c>
      <c r="AP748" s="7" t="s">
        <v>429</v>
      </c>
      <c r="AQ748" s="7"/>
      <c r="AR748" s="7"/>
      <c r="AS748" s="7"/>
      <c r="AT748" s="7"/>
      <c r="AU748" s="7"/>
      <c r="AV748" s="7" t="s">
        <v>4237</v>
      </c>
      <c r="AW748" s="7"/>
      <c r="AX748" s="7"/>
      <c r="AY748" s="7"/>
      <c r="AZ748" s="7"/>
      <c r="BA748" s="7"/>
      <c r="BB748" s="7"/>
      <c r="BC748" s="7" t="s">
        <v>401</v>
      </c>
      <c r="BD748" s="7"/>
      <c r="BE748" s="7"/>
      <c r="BF748" s="7"/>
      <c r="BG748" s="7"/>
      <c r="BH748" s="7"/>
      <c r="BI748" s="7" t="s">
        <v>1786</v>
      </c>
      <c r="BJ748" s="7"/>
      <c r="BK748" s="7" t="b">
        <v>0</v>
      </c>
      <c r="BL748" s="7" t="b">
        <v>0</v>
      </c>
      <c r="BM748" s="7"/>
      <c r="BN748" s="7" t="str">
        <f>IFERROR(__xludf.DUMMYFUNCTION(" IF( REGEXMATCH(C748 , ""[(].+[)]""),REGEXREPLACE( CONCATENATE(REGEXEXTRACT(C748 , ""[(].+[)]""),IF(REGEXMATCH(C748 , ""[(][Ll]['’][)]""),"""","" ""), REGEXEXTRACT(C748 ,""^(?:(?:[A-Za-zàäéèêîïöôûü0-9 ](?:[A-Za-zàäéèêîïöôûü'0-9 ]+)))"")) , ""[()]"", """")"&amp;",C748 )"),"Doumax Martine")</f>
        <v>Doumax Martine</v>
      </c>
      <c r="BO748" s="25"/>
      <c r="BP748" s="7"/>
      <c r="BQ748" s="7"/>
      <c r="BR748" s="7"/>
      <c r="BS748" s="7"/>
      <c r="BT748" s="7"/>
      <c r="BU748" s="7"/>
      <c r="BV748" s="7"/>
      <c r="BW748" s="7"/>
      <c r="BX748" s="7"/>
      <c r="BY748" s="7"/>
      <c r="BZ748" s="7"/>
      <c r="CA748" s="7"/>
      <c r="CB748" s="7"/>
    </row>
    <row r="749" ht="21.75" customHeight="1">
      <c r="A749" s="7"/>
      <c r="B749" s="7" t="s">
        <v>8972</v>
      </c>
      <c r="C749" s="7" t="s">
        <v>8973</v>
      </c>
      <c r="D749" s="7"/>
      <c r="E749" s="7"/>
      <c r="F749" s="7"/>
      <c r="G749" s="7" t="s">
        <v>343</v>
      </c>
      <c r="H749" s="7" t="s">
        <v>123</v>
      </c>
      <c r="I749" s="7" t="s">
        <v>8974</v>
      </c>
      <c r="J749" s="7"/>
      <c r="K749" s="6" t="s">
        <v>469</v>
      </c>
      <c r="L749" s="7"/>
      <c r="M749" s="7"/>
      <c r="N749" s="7"/>
      <c r="O749" s="7">
        <v>97480.0</v>
      </c>
      <c r="P749" s="7" t="s">
        <v>123</v>
      </c>
      <c r="Q749" s="7" t="s">
        <v>8395</v>
      </c>
      <c r="R749" s="7"/>
      <c r="S749" s="7"/>
      <c r="T749" s="7"/>
      <c r="U749" s="7"/>
      <c r="V749" s="7"/>
      <c r="W749" s="7">
        <v>6.92736349E8</v>
      </c>
      <c r="X749" s="7"/>
      <c r="Y749" s="7"/>
      <c r="Z749" s="7"/>
      <c r="AA749" s="7"/>
      <c r="AB749" s="7"/>
      <c r="AC749" s="7"/>
      <c r="AD749" s="7" t="s">
        <v>8975</v>
      </c>
      <c r="AE749" s="7"/>
      <c r="AF749" s="7"/>
      <c r="AG749" s="7"/>
      <c r="AH749" s="7"/>
      <c r="AI749" s="7"/>
      <c r="AJ749" s="7" t="s">
        <v>8973</v>
      </c>
      <c r="AK749" s="7"/>
      <c r="AL749" s="7"/>
      <c r="AM749" s="7"/>
      <c r="AN749" s="7"/>
      <c r="AO749" s="7"/>
      <c r="AP749" s="7"/>
      <c r="AQ749" s="7"/>
      <c r="AR749" s="7"/>
      <c r="AS749" s="7"/>
      <c r="AT749" s="7"/>
      <c r="AU749" s="7"/>
      <c r="AV749" s="7" t="s">
        <v>8976</v>
      </c>
      <c r="AW749" s="7"/>
      <c r="AX749" s="7"/>
      <c r="AY749" s="7"/>
      <c r="AZ749" s="7"/>
      <c r="BA749" s="7"/>
      <c r="BB749" s="7"/>
      <c r="BC749" s="7" t="s">
        <v>401</v>
      </c>
      <c r="BD749" s="7"/>
      <c r="BE749" s="7"/>
      <c r="BF749" s="7"/>
      <c r="BG749" s="7"/>
      <c r="BH749" s="7"/>
      <c r="BI749" s="7" t="s">
        <v>4649</v>
      </c>
      <c r="BJ749" s="7"/>
      <c r="BK749" s="7" t="b">
        <v>0</v>
      </c>
      <c r="BL749" s="7" t="b">
        <v>0</v>
      </c>
      <c r="BM749" s="7"/>
      <c r="BN749" s="7" t="str">
        <f>IFERROR(__xludf.DUMMYFUNCTION(" IF( REGEXMATCH(C749 , ""[(].+[)]""),REGEXREPLACE( CONCATENATE(REGEXEXTRACT(C749 , ""[(].+[)]""),IF(REGEXMATCH(C749 , ""[(][Ll]['’][)]""),"""","" ""), REGEXEXTRACT(C749 ,""^(?:(?:[A-Za-zàäéèêîïöôûü0-9 ](?:[A-Za-zàäéèêîïöôûü'0-9 ]+)))"")) , ""[()]"", """")"&amp;",C749 )"),"Emmanuel NAZE")</f>
        <v>Emmanuel NAZE</v>
      </c>
      <c r="BO749" s="25"/>
      <c r="BP749" s="7"/>
      <c r="BQ749" s="7"/>
      <c r="BR749" s="7"/>
      <c r="BS749" s="7"/>
      <c r="BT749" s="7"/>
      <c r="BU749" s="7"/>
      <c r="BV749" s="7"/>
      <c r="BW749" s="7"/>
      <c r="BX749" s="7"/>
      <c r="BY749" s="7"/>
      <c r="BZ749" s="7"/>
      <c r="CA749" s="7"/>
      <c r="CB749" s="7"/>
    </row>
    <row r="750" ht="21.75" customHeight="1">
      <c r="A750" s="7"/>
      <c r="B750" s="7" t="s">
        <v>8977</v>
      </c>
      <c r="C750" s="7" t="s">
        <v>8978</v>
      </c>
      <c r="D750" s="7"/>
      <c r="E750" s="7"/>
      <c r="F750" s="7"/>
      <c r="G750" s="7" t="s">
        <v>343</v>
      </c>
      <c r="H750" s="7" t="s">
        <v>40</v>
      </c>
      <c r="I750" s="7" t="s">
        <v>8979</v>
      </c>
      <c r="J750" s="7"/>
      <c r="K750" s="7" t="s">
        <v>34</v>
      </c>
      <c r="L750" s="7" t="s">
        <v>622</v>
      </c>
      <c r="M750" s="7" t="s">
        <v>1347</v>
      </c>
      <c r="N750" s="7" t="s">
        <v>422</v>
      </c>
      <c r="O750" s="7">
        <v>97414.0</v>
      </c>
      <c r="P750" s="7" t="s">
        <v>40</v>
      </c>
      <c r="Q750" s="7"/>
      <c r="R750" s="7"/>
      <c r="S750" s="7"/>
      <c r="T750" s="7" t="s">
        <v>8980</v>
      </c>
      <c r="U750" s="7" t="s">
        <v>353</v>
      </c>
      <c r="V750" s="7"/>
      <c r="W750" s="7">
        <v>6.92799052E8</v>
      </c>
      <c r="X750" s="7"/>
      <c r="Y750" s="7"/>
      <c r="Z750" s="7" t="s">
        <v>8981</v>
      </c>
      <c r="AA750" s="7">
        <v>30.0</v>
      </c>
      <c r="AB750" s="7"/>
      <c r="AC750" s="7"/>
      <c r="AD750" s="7" t="s">
        <v>8982</v>
      </c>
      <c r="AE750" s="7"/>
      <c r="AF750" s="7" t="s">
        <v>8983</v>
      </c>
      <c r="AG750" s="7"/>
      <c r="AH750" s="7"/>
      <c r="AI750" s="7"/>
      <c r="AJ750" s="7" t="s">
        <v>8984</v>
      </c>
      <c r="AK750" s="7">
        <v>8.1883842700016E13</v>
      </c>
      <c r="AL750" s="7" t="s">
        <v>8985</v>
      </c>
      <c r="AM750" s="7" t="s">
        <v>8986</v>
      </c>
      <c r="AN750" s="7"/>
      <c r="AO750" s="7">
        <v>97414.0</v>
      </c>
      <c r="AP750" s="7" t="s">
        <v>429</v>
      </c>
      <c r="AQ750" s="7"/>
      <c r="AR750" s="7"/>
      <c r="AS750" s="7"/>
      <c r="AT750" s="7"/>
      <c r="AU750" s="7"/>
      <c r="AV750" s="7" t="s">
        <v>8909</v>
      </c>
      <c r="AW750" s="7"/>
      <c r="AX750" s="7"/>
      <c r="AY750" s="7"/>
      <c r="AZ750" s="7"/>
      <c r="BA750" s="7"/>
      <c r="BB750" s="7"/>
      <c r="BC750" s="7" t="s">
        <v>401</v>
      </c>
      <c r="BD750" s="7"/>
      <c r="BE750" s="7"/>
      <c r="BF750" s="7"/>
      <c r="BG750" s="7"/>
      <c r="BH750" s="7">
        <v>8.18838427E8</v>
      </c>
      <c r="BI750" s="7" t="s">
        <v>1329</v>
      </c>
      <c r="BJ750" s="7"/>
      <c r="BK750" s="7" t="b">
        <v>0</v>
      </c>
      <c r="BL750" s="7" t="b">
        <v>0</v>
      </c>
      <c r="BM750" s="7"/>
      <c r="BN750" s="7" t="str">
        <f>IFERROR(__xludf.DUMMYFUNCTION(" IF( REGEXMATCH(C750 , ""[(].+[)]""),REGEXREPLACE( CONCATENATE(REGEXEXTRACT(C750 , ""[(].+[)]""),IF(REGEXMATCH(C750 , ""[(][Ll]['’][)]""),"""","" ""), REGEXEXTRACT(C750 ,""^(?:(?:[A-Za-zàäéèêîïöôûü0-9 ](?:[A-Za-zàäéèêîïöôûü'0-9 ]+)))"")) , ""[()]"", """")"&amp;",C750 )"),"Entre 2 Rivière")</f>
        <v>Entre 2 Rivière</v>
      </c>
      <c r="BO750" s="25"/>
      <c r="BP750" s="7"/>
      <c r="BQ750" s="7"/>
      <c r="BR750" s="7"/>
      <c r="BS750" s="7"/>
      <c r="BT750" s="7"/>
      <c r="BU750" s="7"/>
      <c r="BV750" s="7"/>
      <c r="BW750" s="7"/>
      <c r="BX750" s="7"/>
      <c r="BY750" s="7"/>
      <c r="BZ750" s="7"/>
      <c r="CA750" s="7"/>
      <c r="CB750" s="7"/>
    </row>
    <row r="751" ht="21.75" customHeight="1">
      <c r="A751" s="7"/>
      <c r="B751" s="7" t="s">
        <v>8987</v>
      </c>
      <c r="C751" s="7" t="s">
        <v>8988</v>
      </c>
      <c r="D751" s="7"/>
      <c r="E751" s="7"/>
      <c r="F751" s="7"/>
      <c r="G751" s="7" t="s">
        <v>343</v>
      </c>
      <c r="H751" s="7" t="s">
        <v>40</v>
      </c>
      <c r="I751" s="7" t="s">
        <v>8989</v>
      </c>
      <c r="J751" s="7"/>
      <c r="K751" s="7" t="s">
        <v>34</v>
      </c>
      <c r="L751" s="7" t="s">
        <v>678</v>
      </c>
      <c r="M751" s="7" t="s">
        <v>1347</v>
      </c>
      <c r="N751" s="7"/>
      <c r="O751" s="7">
        <v>97414.0</v>
      </c>
      <c r="P751" s="7" t="s">
        <v>40</v>
      </c>
      <c r="Q751" s="7"/>
      <c r="R751" s="7"/>
      <c r="S751" s="7"/>
      <c r="T751" s="7"/>
      <c r="U751" s="7"/>
      <c r="V751" s="7"/>
      <c r="W751" s="7">
        <v>6.93339554E8</v>
      </c>
      <c r="X751" s="7"/>
      <c r="Y751" s="7"/>
      <c r="Z751" s="7" t="s">
        <v>8990</v>
      </c>
      <c r="AA751" s="7"/>
      <c r="AB751" s="7"/>
      <c r="AC751" s="7"/>
      <c r="AD751" s="7"/>
      <c r="AE751" s="7"/>
      <c r="AF751" s="7"/>
      <c r="AG751" s="7"/>
      <c r="AH751" s="7"/>
      <c r="AI751" s="7"/>
      <c r="AJ751" s="7"/>
      <c r="AK751" s="7"/>
      <c r="AL751" s="7"/>
      <c r="AM751" s="7"/>
      <c r="AN751" s="7"/>
      <c r="AO751" s="7"/>
      <c r="AP751" s="7"/>
      <c r="AQ751" s="7"/>
      <c r="AR751" s="7"/>
      <c r="AS751" s="7"/>
      <c r="AT751" s="7"/>
      <c r="AU751" s="7"/>
      <c r="AV751" s="7" t="s">
        <v>8991</v>
      </c>
      <c r="AW751" s="7"/>
      <c r="AX751" s="7"/>
      <c r="AY751" s="7"/>
      <c r="AZ751" s="7"/>
      <c r="BA751" s="7"/>
      <c r="BB751" s="7"/>
      <c r="BC751" s="7" t="s">
        <v>401</v>
      </c>
      <c r="BD751" s="7"/>
      <c r="BE751" s="7"/>
      <c r="BF751" s="7"/>
      <c r="BG751" s="7"/>
      <c r="BH751" s="7"/>
      <c r="BI751" s="7" t="s">
        <v>8992</v>
      </c>
      <c r="BJ751" s="7"/>
      <c r="BK751" s="7" t="b">
        <v>0</v>
      </c>
      <c r="BL751" s="7" t="b">
        <v>0</v>
      </c>
      <c r="BM751" s="7"/>
      <c r="BN751" s="7" t="str">
        <f>IFERROR(__xludf.DUMMYFUNCTION(" IF( REGEXMATCH(C751 , ""[(].+[)]""),REGEXREPLACE( CONCATENATE(REGEXEXTRACT(C751 , ""[(].+[)]""),IF(REGEXMATCH(C751 , ""[(][Ll]['’][)]""),"""","" ""), REGEXEXTRACT(C751 ,""^(?:(?:[A-Za-zàäéèêîïöôûü0-9 ](?:[A-Za-zàäéèêîïöôûü'0-9 ]+)))"")) , ""[()]"", """")"&amp;",C751 )"),"L'Entredeuxienne ")</f>
        <v>L'Entredeuxienne </v>
      </c>
      <c r="BO751" s="25"/>
      <c r="BP751" s="7"/>
      <c r="BQ751" s="7"/>
      <c r="BR751" s="7"/>
      <c r="BS751" s="7"/>
      <c r="BT751" s="7"/>
      <c r="BU751" s="7"/>
      <c r="BV751" s="7"/>
      <c r="BW751" s="7"/>
      <c r="BX751" s="7"/>
      <c r="BY751" s="7"/>
      <c r="BZ751" s="7"/>
      <c r="CA751" s="7"/>
      <c r="CB751" s="7"/>
    </row>
    <row r="752" ht="21.75" customHeight="1">
      <c r="A752" s="7"/>
      <c r="B752" s="7" t="s">
        <v>8993</v>
      </c>
      <c r="C752" s="7" t="s">
        <v>8994</v>
      </c>
      <c r="D752" s="7"/>
      <c r="E752" s="7"/>
      <c r="F752" s="7"/>
      <c r="G752" s="7" t="s">
        <v>343</v>
      </c>
      <c r="H752" s="7" t="s">
        <v>40</v>
      </c>
      <c r="I752" s="7" t="s">
        <v>8995</v>
      </c>
      <c r="J752" s="7"/>
      <c r="K752" s="6" t="s">
        <v>469</v>
      </c>
      <c r="L752" s="7" t="s">
        <v>197</v>
      </c>
      <c r="M752" s="7"/>
      <c r="N752" s="7"/>
      <c r="O752" s="7">
        <v>97414.0</v>
      </c>
      <c r="P752" s="7" t="s">
        <v>40</v>
      </c>
      <c r="Q752" s="7"/>
      <c r="R752" s="7"/>
      <c r="S752" s="7"/>
      <c r="T752" s="7"/>
      <c r="U752" s="7"/>
      <c r="V752" s="7"/>
      <c r="W752" s="7">
        <v>6.92224381E8</v>
      </c>
      <c r="X752" s="7"/>
      <c r="Y752" s="7"/>
      <c r="Z752" s="7" t="s">
        <v>8996</v>
      </c>
      <c r="AA752" s="7"/>
      <c r="AB752" s="7"/>
      <c r="AC752" s="7"/>
      <c r="AD752" s="7" t="s">
        <v>8997</v>
      </c>
      <c r="AE752" s="7"/>
      <c r="AF752" s="7"/>
      <c r="AG752" s="7"/>
      <c r="AH752" s="7"/>
      <c r="AI752" s="7"/>
      <c r="AJ752" s="7"/>
      <c r="AK752" s="7"/>
      <c r="AL752" s="7"/>
      <c r="AM752" s="7"/>
      <c r="AN752" s="7"/>
      <c r="AO752" s="7">
        <v>97414.0</v>
      </c>
      <c r="AP752" s="7" t="s">
        <v>429</v>
      </c>
      <c r="AQ752" s="7"/>
      <c r="AR752" s="7"/>
      <c r="AS752" s="7"/>
      <c r="AT752" s="7"/>
      <c r="AU752" s="7"/>
      <c r="AV752" s="7" t="s">
        <v>4237</v>
      </c>
      <c r="AW752" s="7"/>
      <c r="AX752" s="7"/>
      <c r="AY752" s="7"/>
      <c r="AZ752" s="7"/>
      <c r="BA752" s="7"/>
      <c r="BB752" s="7"/>
      <c r="BC752" s="7" t="s">
        <v>401</v>
      </c>
      <c r="BD752" s="7"/>
      <c r="BE752" s="7"/>
      <c r="BF752" s="7"/>
      <c r="BG752" s="7"/>
      <c r="BH752" s="7"/>
      <c r="BI752" s="7" t="s">
        <v>1786</v>
      </c>
      <c r="BJ752" s="7"/>
      <c r="BK752" s="7" t="b">
        <v>0</v>
      </c>
      <c r="BL752" s="7" t="b">
        <v>0</v>
      </c>
      <c r="BM752" s="7"/>
      <c r="BN752" s="7" t="str">
        <f>IFERROR(__xludf.DUMMYFUNCTION(" IF( REGEXMATCH(C752 , ""[(].+[)]""),REGEXREPLACE( CONCATENATE(REGEXEXTRACT(C752 , ""[(].+[)]""),IF(REGEXMATCH(C752 , ""[(][Ll]['’][)]""),"""","" ""), REGEXEXTRACT(C752 ,""^(?:(?:[A-Za-zàäéèêîïöôûü0-9 ](?:[A-Za-zàäéèêîïöôûü'0-9 ]+)))"")) , ""[()]"", """")"&amp;",C752 )"),"Entrepot")</f>
        <v>Entrepot</v>
      </c>
      <c r="BO752" s="25"/>
      <c r="BP752" s="7"/>
      <c r="BQ752" s="7"/>
      <c r="BR752" s="7"/>
      <c r="BS752" s="7"/>
      <c r="BT752" s="7"/>
      <c r="BU752" s="7"/>
      <c r="BV752" s="7"/>
      <c r="BW752" s="7"/>
      <c r="BX752" s="7"/>
      <c r="BY752" s="7"/>
      <c r="BZ752" s="7"/>
      <c r="CA752" s="7"/>
      <c r="CB752" s="7"/>
    </row>
    <row r="753" ht="21.75" customHeight="1">
      <c r="A753" s="7"/>
      <c r="B753" s="7" t="s">
        <v>8998</v>
      </c>
      <c r="C753" s="7" t="s">
        <v>8999</v>
      </c>
      <c r="D753" s="7"/>
      <c r="E753" s="7"/>
      <c r="F753" s="7"/>
      <c r="G753" s="7" t="s">
        <v>343</v>
      </c>
      <c r="H753" s="7" t="s">
        <v>123</v>
      </c>
      <c r="I753" s="7" t="s">
        <v>9000</v>
      </c>
      <c r="J753" s="7"/>
      <c r="K753" s="7" t="s">
        <v>58</v>
      </c>
      <c r="L753" s="7" t="s">
        <v>59</v>
      </c>
      <c r="M753" s="7"/>
      <c r="N753" s="7"/>
      <c r="O753" s="7">
        <v>97480.0</v>
      </c>
      <c r="P753" s="7" t="s">
        <v>123</v>
      </c>
      <c r="Q753" s="7" t="s">
        <v>8325</v>
      </c>
      <c r="R753" s="7"/>
      <c r="S753" s="7"/>
      <c r="T753" s="7"/>
      <c r="U753" s="7"/>
      <c r="V753" s="7"/>
      <c r="W753" s="7">
        <v>6.92510959E8</v>
      </c>
      <c r="X753" s="7"/>
      <c r="Y753" s="7"/>
      <c r="Z753" s="7" t="s">
        <v>9001</v>
      </c>
      <c r="AA753" s="7">
        <v>3.0</v>
      </c>
      <c r="AB753" s="7"/>
      <c r="AC753" s="7"/>
      <c r="AD753" s="7"/>
      <c r="AE753" s="7"/>
      <c r="AF753" s="7"/>
      <c r="AG753" s="7"/>
      <c r="AH753" s="7"/>
      <c r="AI753" s="7"/>
      <c r="AJ753" s="7" t="s">
        <v>9002</v>
      </c>
      <c r="AK753" s="7"/>
      <c r="AL753" s="7" t="s">
        <v>9000</v>
      </c>
      <c r="AM753" s="7"/>
      <c r="AN753" s="7"/>
      <c r="AO753" s="7"/>
      <c r="AP753" s="7"/>
      <c r="AQ753" s="7"/>
      <c r="AR753" s="7"/>
      <c r="AS753" s="7"/>
      <c r="AT753" s="7"/>
      <c r="AU753" s="7"/>
      <c r="AV753" s="7" t="s">
        <v>9003</v>
      </c>
      <c r="AW753" s="7"/>
      <c r="AX753" s="7"/>
      <c r="AY753" s="7"/>
      <c r="AZ753" s="7" t="s">
        <v>9004</v>
      </c>
      <c r="BA753" s="7"/>
      <c r="BB753" s="7"/>
      <c r="BC753" s="7" t="s">
        <v>401</v>
      </c>
      <c r="BD753" s="7"/>
      <c r="BE753" s="7"/>
      <c r="BF753" s="7"/>
      <c r="BG753" s="7"/>
      <c r="BH753" s="7"/>
      <c r="BI753" s="7" t="s">
        <v>9005</v>
      </c>
      <c r="BJ753" s="7"/>
      <c r="BK753" s="7" t="b">
        <v>0</v>
      </c>
      <c r="BL753" s="7" t="b">
        <v>0</v>
      </c>
      <c r="BM753" s="7"/>
      <c r="BN753" s="7" t="str">
        <f>IFERROR(__xludf.DUMMYFUNCTION(" IF( REGEXMATCH(C753 , ""[(].+[)]""),REGEXREPLACE( CONCATENATE(REGEXEXTRACT(C753 , ""[(].+[)]""),IF(REGEXMATCH(C753 , ""[(][Ll]['’][)]""),"""","" ""), REGEXEXTRACT(C753 ,""^(?:(?:[A-Za-zàäéèêîïöôûü0-9 ](?:[A-Za-zàäéèêîïöôûü'0-9 ]+)))"")) , ""[()]"", """")"&amp;",C753 )"),"L'Escala ")</f>
        <v>L'Escala </v>
      </c>
      <c r="BO753" s="25"/>
      <c r="BP753" s="7"/>
      <c r="BQ753" s="7"/>
      <c r="BR753" s="7"/>
      <c r="BS753" s="7"/>
      <c r="BT753" s="7"/>
      <c r="BU753" s="7"/>
      <c r="BV753" s="7"/>
      <c r="BW753" s="7"/>
      <c r="BX753" s="7"/>
      <c r="BY753" s="7"/>
      <c r="BZ753" s="7"/>
      <c r="CA753" s="7"/>
      <c r="CB753" s="7"/>
    </row>
    <row r="754" ht="21.75" customHeight="1">
      <c r="A754" s="7"/>
      <c r="B754" s="7" t="s">
        <v>9006</v>
      </c>
      <c r="C754" s="7" t="s">
        <v>9007</v>
      </c>
      <c r="D754" s="7"/>
      <c r="E754" s="7"/>
      <c r="F754" s="7"/>
      <c r="G754" s="7" t="s">
        <v>343</v>
      </c>
      <c r="H754" s="7" t="s">
        <v>40</v>
      </c>
      <c r="I754" s="7" t="s">
        <v>8701</v>
      </c>
      <c r="J754" s="7"/>
      <c r="K754" s="7" t="s">
        <v>58</v>
      </c>
      <c r="L754" s="7" t="s">
        <v>137</v>
      </c>
      <c r="M754" s="7" t="s">
        <v>2013</v>
      </c>
      <c r="N754" s="7"/>
      <c r="O754" s="7">
        <v>97414.0</v>
      </c>
      <c r="P754" s="7" t="s">
        <v>40</v>
      </c>
      <c r="Q754" s="7" t="s">
        <v>8701</v>
      </c>
      <c r="R754" s="7"/>
      <c r="S754" s="7"/>
      <c r="T754" s="7"/>
      <c r="U754" s="7"/>
      <c r="V754" s="7"/>
      <c r="W754" s="7">
        <v>6.92624547E8</v>
      </c>
      <c r="X754" s="7"/>
      <c r="Y754" s="7"/>
      <c r="Z754" s="7"/>
      <c r="AA754" s="7">
        <v>6.0</v>
      </c>
      <c r="AB754" s="7"/>
      <c r="AC754" s="7"/>
      <c r="AD754" s="7"/>
      <c r="AE754" s="7"/>
      <c r="AF754" s="7"/>
      <c r="AG754" s="7"/>
      <c r="AH754" s="7"/>
      <c r="AI754" s="7"/>
      <c r="AJ754" s="7" t="s">
        <v>9008</v>
      </c>
      <c r="AK754" s="7"/>
      <c r="AL754" s="7" t="s">
        <v>9009</v>
      </c>
      <c r="AM754" s="7" t="s">
        <v>9010</v>
      </c>
      <c r="AN754" s="7"/>
      <c r="AO754" s="7">
        <v>97430.0</v>
      </c>
      <c r="AP754" s="7" t="s">
        <v>494</v>
      </c>
      <c r="AQ754" s="7"/>
      <c r="AR754" s="7"/>
      <c r="AS754" s="7"/>
      <c r="AT754" s="7"/>
      <c r="AU754" s="7">
        <v>1.0</v>
      </c>
      <c r="AV754" s="7" t="s">
        <v>8707</v>
      </c>
      <c r="AW754" s="7"/>
      <c r="AX754" s="7"/>
      <c r="AY754" s="7"/>
      <c r="AZ754" s="7" t="s">
        <v>9011</v>
      </c>
      <c r="BA754" s="7"/>
      <c r="BB754" s="7"/>
      <c r="BC754" s="7" t="s">
        <v>401</v>
      </c>
      <c r="BD754" s="7"/>
      <c r="BE754" s="7"/>
      <c r="BF754" s="7"/>
      <c r="BG754" s="7"/>
      <c r="BH754" s="7"/>
      <c r="BI754" s="7" t="s">
        <v>8710</v>
      </c>
      <c r="BJ754" s="7"/>
      <c r="BK754" s="7" t="b">
        <v>0</v>
      </c>
      <c r="BL754" s="7" t="b">
        <v>0</v>
      </c>
      <c r="BM754" s="7"/>
      <c r="BN754" s="7" t="str">
        <f>IFERROR(__xludf.DUMMYFUNCTION(" IF( REGEXMATCH(C754 , ""[(].+[)]""),REGEXREPLACE( CONCATENATE(REGEXEXTRACT(C754 , ""[(].+[)]""),IF(REGEXMATCH(C754 , ""[(][Ll]['’][)]""),"""","" ""), REGEXEXTRACT(C754 ,""^(?:(?:[A-Za-zàäéèêîïöôûü0-9 ](?:[A-Za-zàäéèêîïöôûü'0-9 ]+)))"")) , ""[()]"", """")"&amp;",C754 )"),"Escale du point de vue")</f>
        <v>Escale du point de vue</v>
      </c>
      <c r="BO754" s="25"/>
      <c r="BP754" s="7"/>
      <c r="BQ754" s="7"/>
      <c r="BR754" s="7"/>
      <c r="BS754" s="7"/>
      <c r="BT754" s="7"/>
      <c r="BU754" s="7"/>
      <c r="BV754" s="7"/>
      <c r="BW754" s="7"/>
      <c r="BX754" s="7"/>
      <c r="BY754" s="7"/>
      <c r="BZ754" s="7"/>
      <c r="CA754" s="7"/>
      <c r="CB754" s="7"/>
    </row>
    <row r="755" ht="21.75" customHeight="1">
      <c r="A755" s="7"/>
      <c r="B755" s="7" t="s">
        <v>9012</v>
      </c>
      <c r="C755" s="7" t="s">
        <v>9013</v>
      </c>
      <c r="D755" s="7"/>
      <c r="E755" s="7"/>
      <c r="F755" s="7"/>
      <c r="G755" s="7" t="s">
        <v>343</v>
      </c>
      <c r="H755" s="7" t="s">
        <v>123</v>
      </c>
      <c r="I755" s="7" t="s">
        <v>9014</v>
      </c>
      <c r="J755" s="7"/>
      <c r="K755" s="7" t="s">
        <v>58</v>
      </c>
      <c r="L755" s="7" t="s">
        <v>59</v>
      </c>
      <c r="M755" s="7"/>
      <c r="N755" s="7"/>
      <c r="O755" s="7">
        <v>97480.0</v>
      </c>
      <c r="P755" s="7" t="s">
        <v>123</v>
      </c>
      <c r="Q755" s="7"/>
      <c r="R755" s="7"/>
      <c r="S755" s="7"/>
      <c r="T755" s="7"/>
      <c r="U755" s="7"/>
      <c r="V755" s="7"/>
      <c r="W755" s="7">
        <v>6.92850474E8</v>
      </c>
      <c r="X755" s="7"/>
      <c r="Y755" s="7"/>
      <c r="Z755" s="7" t="s">
        <v>9015</v>
      </c>
      <c r="AA755" s="7">
        <v>4.0</v>
      </c>
      <c r="AB755" s="7" t="s">
        <v>2716</v>
      </c>
      <c r="AC755" s="7"/>
      <c r="AD755" s="7"/>
      <c r="AE755" s="7"/>
      <c r="AF755" s="7"/>
      <c r="AG755" s="7"/>
      <c r="AH755" s="7"/>
      <c r="AI755" s="7"/>
      <c r="AJ755" s="7" t="s">
        <v>9016</v>
      </c>
      <c r="AK755" s="7"/>
      <c r="AL755" s="7" t="s">
        <v>9014</v>
      </c>
      <c r="AM755" s="7"/>
      <c r="AN755" s="7"/>
      <c r="AO755" s="7"/>
      <c r="AP755" s="7"/>
      <c r="AQ755" s="7"/>
      <c r="AR755" s="7"/>
      <c r="AS755" s="7"/>
      <c r="AT755" s="7"/>
      <c r="AU755" s="7"/>
      <c r="AV755" s="7" t="s">
        <v>9017</v>
      </c>
      <c r="AW755" s="7"/>
      <c r="AX755" s="7"/>
      <c r="AY755" s="7"/>
      <c r="AZ755" s="7" t="s">
        <v>9018</v>
      </c>
      <c r="BA755" s="7"/>
      <c r="BB755" s="7"/>
      <c r="BC755" s="7" t="s">
        <v>401</v>
      </c>
      <c r="BD755" s="7"/>
      <c r="BE755" s="7"/>
      <c r="BF755" s="7"/>
      <c r="BG755" s="7"/>
      <c r="BH755" s="7"/>
      <c r="BI755" s="7" t="s">
        <v>9019</v>
      </c>
      <c r="BJ755" s="7"/>
      <c r="BK755" s="7" t="b">
        <v>0</v>
      </c>
      <c r="BL755" s="7" t="b">
        <v>0</v>
      </c>
      <c r="BM755" s="7"/>
      <c r="BN755" s="7" t="str">
        <f>IFERROR(__xludf.DUMMYFUNCTION(" IF( REGEXMATCH(C755 , ""[(].+[)]""),REGEXREPLACE( CONCATENATE(REGEXEXTRACT(C755 , ""[(].+[)]""),IF(REGEXMATCH(C755 , ""[(][Ll]['’][)]""),"""","" ""), REGEXEXTRACT(C755 ,""^(?:(?:[A-Za-zàäéèêîïöôûü0-9 ](?:[A-Za-zàäéèêîïöôûü'0-9 ]+)))"")) , ""[()]"", """")"&amp;",C755 )"),"L'Eskalya ")</f>
        <v>L'Eskalya </v>
      </c>
      <c r="BO755" s="25"/>
      <c r="BP755" s="7"/>
      <c r="BQ755" s="7"/>
      <c r="BR755" s="7"/>
      <c r="BS755" s="7"/>
      <c r="BT755" s="7"/>
      <c r="BU755" s="7"/>
      <c r="BV755" s="7"/>
      <c r="BW755" s="7"/>
      <c r="BX755" s="7"/>
      <c r="BY755" s="7"/>
      <c r="BZ755" s="7"/>
      <c r="CA755" s="7"/>
      <c r="CB755" s="7"/>
    </row>
    <row r="756" ht="21.75" customHeight="1">
      <c r="A756" s="7"/>
      <c r="B756" s="7" t="s">
        <v>9020</v>
      </c>
      <c r="C756" s="7" t="s">
        <v>9021</v>
      </c>
      <c r="D756" s="7"/>
      <c r="E756" s="7"/>
      <c r="F756" s="7"/>
      <c r="G756" s="7" t="s">
        <v>343</v>
      </c>
      <c r="H756" s="7" t="s">
        <v>40</v>
      </c>
      <c r="I756" s="7" t="s">
        <v>9022</v>
      </c>
      <c r="J756" s="7"/>
      <c r="K756" s="7" t="s">
        <v>58</v>
      </c>
      <c r="L756" s="7" t="s">
        <v>1859</v>
      </c>
      <c r="M756" s="7" t="s">
        <v>1859</v>
      </c>
      <c r="N756" s="7"/>
      <c r="O756" s="7">
        <v>97414.0</v>
      </c>
      <c r="P756" s="7" t="s">
        <v>40</v>
      </c>
      <c r="Q756" s="7" t="s">
        <v>8344</v>
      </c>
      <c r="R756" s="7"/>
      <c r="S756" s="7"/>
      <c r="T756" s="7"/>
      <c r="U756" s="7"/>
      <c r="V756" s="7"/>
      <c r="W756" s="7">
        <v>6.92055549E8</v>
      </c>
      <c r="X756" s="7"/>
      <c r="Y756" s="7"/>
      <c r="Z756" s="7" t="s">
        <v>9023</v>
      </c>
      <c r="AA756" s="7">
        <v>2.0</v>
      </c>
      <c r="AB756" s="7"/>
      <c r="AC756" s="7"/>
      <c r="AD756" s="7"/>
      <c r="AE756" s="7"/>
      <c r="AF756" s="7"/>
      <c r="AG756" s="7"/>
      <c r="AH756" s="7"/>
      <c r="AI756" s="7"/>
      <c r="AJ756" s="7" t="s">
        <v>9024</v>
      </c>
      <c r="AK756" s="7"/>
      <c r="AL756" s="7" t="s">
        <v>9025</v>
      </c>
      <c r="AM756" s="7" t="s">
        <v>9026</v>
      </c>
      <c r="AN756" s="7"/>
      <c r="AO756" s="7">
        <v>97414.0</v>
      </c>
      <c r="AP756" s="7" t="s">
        <v>429</v>
      </c>
      <c r="AQ756" s="7"/>
      <c r="AR756" s="7"/>
      <c r="AS756" s="7"/>
      <c r="AT756" s="7"/>
      <c r="AU756" s="7"/>
      <c r="AV756" s="7" t="s">
        <v>9027</v>
      </c>
      <c r="AW756" s="7"/>
      <c r="AX756" s="7"/>
      <c r="AY756" s="7"/>
      <c r="AZ756" s="7" t="s">
        <v>9028</v>
      </c>
      <c r="BA756" s="7"/>
      <c r="BB756" s="7"/>
      <c r="BC756" s="7" t="s">
        <v>401</v>
      </c>
      <c r="BD756" s="7"/>
      <c r="BE756" s="7"/>
      <c r="BF756" s="7"/>
      <c r="BG756" s="7"/>
      <c r="BH756" s="7"/>
      <c r="BI756" s="7" t="s">
        <v>9029</v>
      </c>
      <c r="BJ756" s="7"/>
      <c r="BK756" s="7" t="b">
        <v>0</v>
      </c>
      <c r="BL756" s="7" t="b">
        <v>0</v>
      </c>
      <c r="BM756" s="7"/>
      <c r="BN756" s="7" t="str">
        <f>IFERROR(__xludf.DUMMYFUNCTION(" IF( REGEXMATCH(C756 , ""[(].+[)]""),REGEXREPLACE( CONCATENATE(REGEXEXTRACT(C756 , ""[(].+[)]""),IF(REGEXMATCH(C756 , ""[(][Ll]['’][)]""),"""","" ""), REGEXEXTRACT(C756 ,""^(?:(?:[A-Za-zàäéèêîïöôûü0-9 ](?:[A-Za-zàäéèêîïöôûü'0-9 ]+)))"")) , ""[()]"", """")"&amp;",C756 )"),"Esprit Yourte")</f>
        <v>Esprit Yourte</v>
      </c>
      <c r="BO756" s="25"/>
      <c r="BP756" s="7"/>
      <c r="BQ756" s="7"/>
      <c r="BR756" s="7"/>
      <c r="BS756" s="7"/>
      <c r="BT756" s="7"/>
      <c r="BU756" s="7"/>
      <c r="BV756" s="7"/>
      <c r="BW756" s="7"/>
      <c r="BX756" s="7"/>
      <c r="BY756" s="7"/>
      <c r="BZ756" s="7"/>
      <c r="CA756" s="7"/>
      <c r="CB756" s="7"/>
    </row>
    <row r="757" ht="21.75" customHeight="1">
      <c r="A757" s="7"/>
      <c r="B757" s="7" t="s">
        <v>9030</v>
      </c>
      <c r="C757" s="7" t="s">
        <v>9031</v>
      </c>
      <c r="D757" s="7"/>
      <c r="E757" s="7"/>
      <c r="F757" s="7"/>
      <c r="G757" s="7" t="s">
        <v>343</v>
      </c>
      <c r="H757" s="7" t="s">
        <v>344</v>
      </c>
      <c r="I757" s="7"/>
      <c r="J757" s="7"/>
      <c r="K757" s="6" t="s">
        <v>469</v>
      </c>
      <c r="L757" s="7" t="s">
        <v>197</v>
      </c>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t="s">
        <v>401</v>
      </c>
      <c r="BD757" s="7"/>
      <c r="BE757" s="7"/>
      <c r="BF757" s="7"/>
      <c r="BG757" s="7"/>
      <c r="BH757" s="7"/>
      <c r="BI757" s="7"/>
      <c r="BJ757" s="7"/>
      <c r="BK757" s="7" t="b">
        <v>0</v>
      </c>
      <c r="BL757" s="7" t="b">
        <v>0</v>
      </c>
      <c r="BM757" s="7"/>
      <c r="BN757" s="7" t="str">
        <f>IFERROR(__xludf.DUMMYFUNCTION(" IF( REGEXMATCH(C757 , ""[(].+[)]""),REGEXREPLACE( CONCATENATE(REGEXEXTRACT(C757 , ""[(].+[)]""),IF(REGEXMATCH(C757 , ""[(][Ll]['’][)]""),"""","" ""), REGEXEXTRACT(C757 ,""^(?:(?:[A-Za-zàäéèêîïöôûü0-9 ](?:[A-Za-zàäéèêîïöôûü'0-9 ]+)))"")) , ""[()]"", """")"&amp;",C757 )"),"Exploitation Apicole Payet")</f>
        <v>Exploitation Apicole Payet</v>
      </c>
      <c r="BO757" s="25"/>
      <c r="BP757" s="7"/>
      <c r="BQ757" s="7"/>
      <c r="BR757" s="7"/>
      <c r="BS757" s="7"/>
      <c r="BT757" s="7"/>
      <c r="BU757" s="7"/>
      <c r="BV757" s="7"/>
      <c r="BW757" s="7"/>
      <c r="BX757" s="7"/>
      <c r="BY757" s="7"/>
      <c r="BZ757" s="7"/>
      <c r="CA757" s="7"/>
      <c r="CB757" s="7"/>
    </row>
    <row r="758" ht="21.75" customHeight="1">
      <c r="A758" s="7"/>
      <c r="B758" s="7" t="s">
        <v>9032</v>
      </c>
      <c r="C758" s="7" t="s">
        <v>9033</v>
      </c>
      <c r="D758" s="7"/>
      <c r="E758" s="7"/>
      <c r="F758" s="7"/>
      <c r="G758" s="7" t="s">
        <v>343</v>
      </c>
      <c r="H758" s="7" t="s">
        <v>123</v>
      </c>
      <c r="I758" s="7" t="s">
        <v>9034</v>
      </c>
      <c r="J758" s="7"/>
      <c r="K758" s="7" t="s">
        <v>34</v>
      </c>
      <c r="L758" s="7" t="s">
        <v>1414</v>
      </c>
      <c r="M758" s="7" t="s">
        <v>1415</v>
      </c>
      <c r="N758" s="7"/>
      <c r="O758" s="7">
        <v>97480.0</v>
      </c>
      <c r="P758" s="7" t="s">
        <v>123</v>
      </c>
      <c r="Q758" s="7" t="s">
        <v>8325</v>
      </c>
      <c r="R758" s="7"/>
      <c r="S758" s="7"/>
      <c r="T758" s="7" t="s">
        <v>377</v>
      </c>
      <c r="U758" s="7" t="s">
        <v>353</v>
      </c>
      <c r="V758" s="7"/>
      <c r="W758" s="7">
        <v>6.92050967E8</v>
      </c>
      <c r="X758" s="7"/>
      <c r="Y758" s="7"/>
      <c r="Z758" s="7" t="s">
        <v>9035</v>
      </c>
      <c r="AA758" s="7"/>
      <c r="AB758" s="7"/>
      <c r="AC758" s="7"/>
      <c r="AD758" s="7"/>
      <c r="AE758" s="7"/>
      <c r="AF758" s="7"/>
      <c r="AG758" s="7"/>
      <c r="AH758" s="7"/>
      <c r="AI758" s="7"/>
      <c r="AJ758" s="7" t="s">
        <v>9036</v>
      </c>
      <c r="AK758" s="7">
        <v>4.4959386200021E13</v>
      </c>
      <c r="AL758" s="7"/>
      <c r="AM758" s="7"/>
      <c r="AN758" s="7"/>
      <c r="AO758" s="7"/>
      <c r="AP758" s="7"/>
      <c r="AQ758" s="7"/>
      <c r="AR758" s="7"/>
      <c r="AS758" s="7"/>
      <c r="AT758" s="7"/>
      <c r="AU758" s="7"/>
      <c r="AV758" s="7" t="s">
        <v>9037</v>
      </c>
      <c r="AW758" s="7"/>
      <c r="AX758" s="7"/>
      <c r="AY758" s="7"/>
      <c r="AZ758" s="7"/>
      <c r="BA758" s="7"/>
      <c r="BB758" s="7"/>
      <c r="BC758" s="7" t="s">
        <v>401</v>
      </c>
      <c r="BD758" s="7"/>
      <c r="BE758" s="7"/>
      <c r="BF758" s="7"/>
      <c r="BG758" s="7"/>
      <c r="BH758" s="7">
        <v>4.49593862E8</v>
      </c>
      <c r="BI758" s="7" t="s">
        <v>9038</v>
      </c>
      <c r="BJ758" s="7"/>
      <c r="BK758" s="7" t="b">
        <v>0</v>
      </c>
      <c r="BL758" s="7" t="b">
        <v>0</v>
      </c>
      <c r="BM758" s="7"/>
      <c r="BN758" s="7" t="str">
        <f>IFERROR(__xludf.DUMMYFUNCTION(" IF( REGEXMATCH(C758 , ""[(].+[)]""),REGEXREPLACE( CONCATENATE(REGEXEXTRACT(C758 , ""[(].+[)]""),IF(REGEXMATCH(C758 , ""[(][Ll]['’][)]""),"""","" ""), REGEXEXTRACT(C758 ,""^(?:(?:[A-Za-zàäéèêîïöôûü0-9 ](?:[A-Za-zàäéèêîïöôûü'0-9 ]+)))"")) , ""[()]"", """")"&amp;",C758 )"),"Ferme Auberge Clou de Girofle")</f>
        <v>Ferme Auberge Clou de Girofle</v>
      </c>
      <c r="BO758" s="25"/>
      <c r="BP758" s="7"/>
      <c r="BQ758" s="7"/>
      <c r="BR758" s="7"/>
      <c r="BS758" s="7"/>
      <c r="BT758" s="7"/>
      <c r="BU758" s="7"/>
      <c r="BV758" s="7"/>
      <c r="BW758" s="7"/>
      <c r="BX758" s="7"/>
      <c r="BY758" s="7"/>
      <c r="BZ758" s="7"/>
      <c r="CA758" s="7"/>
      <c r="CB758" s="7"/>
    </row>
    <row r="759" ht="21.75" customHeight="1">
      <c r="A759" s="7"/>
      <c r="B759" s="7" t="s">
        <v>9039</v>
      </c>
      <c r="C759" s="7" t="s">
        <v>9040</v>
      </c>
      <c r="D759" s="7"/>
      <c r="E759" s="7"/>
      <c r="F759" s="7"/>
      <c r="G759" s="7" t="s">
        <v>343</v>
      </c>
      <c r="H759" s="7" t="s">
        <v>33</v>
      </c>
      <c r="I759" s="7" t="s">
        <v>9041</v>
      </c>
      <c r="J759" s="7"/>
      <c r="K759" s="7" t="s">
        <v>58</v>
      </c>
      <c r="L759" s="7" t="s">
        <v>453</v>
      </c>
      <c r="M759" s="7" t="s">
        <v>454</v>
      </c>
      <c r="N759" s="7"/>
      <c r="O759" s="7">
        <v>97442.0</v>
      </c>
      <c r="P759" s="7" t="s">
        <v>33</v>
      </c>
      <c r="Q759" s="7"/>
      <c r="R759" s="7"/>
      <c r="S759" s="7"/>
      <c r="T759" s="7" t="s">
        <v>377</v>
      </c>
      <c r="U759" s="7" t="s">
        <v>353</v>
      </c>
      <c r="V759" s="7"/>
      <c r="W759" s="7">
        <v>6.92784323E8</v>
      </c>
      <c r="X759" s="7"/>
      <c r="Y759" s="7"/>
      <c r="Z759" s="7" t="s">
        <v>9042</v>
      </c>
      <c r="AA759" s="7">
        <v>10.0</v>
      </c>
      <c r="AB759" s="7"/>
      <c r="AC759" s="7"/>
      <c r="AD759" s="7"/>
      <c r="AE759" s="7"/>
      <c r="AF759" s="7"/>
      <c r="AG759" s="7"/>
      <c r="AH759" s="7"/>
      <c r="AI759" s="7"/>
      <c r="AJ759" s="7" t="s">
        <v>9043</v>
      </c>
      <c r="AK759" s="7">
        <v>5.2325970300016E13</v>
      </c>
      <c r="AL759" s="7" t="s">
        <v>9044</v>
      </c>
      <c r="AM759" s="7" t="s">
        <v>9045</v>
      </c>
      <c r="AN759" s="7"/>
      <c r="AO759" s="7">
        <v>97442.0</v>
      </c>
      <c r="AP759" s="7" t="s">
        <v>884</v>
      </c>
      <c r="AQ759" s="7"/>
      <c r="AR759" s="7"/>
      <c r="AS759" s="7"/>
      <c r="AT759" s="7"/>
      <c r="AU759" s="7">
        <v>1.0</v>
      </c>
      <c r="AV759" s="7" t="s">
        <v>9046</v>
      </c>
      <c r="AW759" s="7"/>
      <c r="AX759" s="7" t="s">
        <v>3849</v>
      </c>
      <c r="AY759" s="7" t="s">
        <v>1590</v>
      </c>
      <c r="AZ759" s="7" t="s">
        <v>9047</v>
      </c>
      <c r="BA759" s="7"/>
      <c r="BB759" s="7"/>
      <c r="BC759" s="7" t="s">
        <v>401</v>
      </c>
      <c r="BD759" s="7"/>
      <c r="BE759" s="7"/>
      <c r="BF759" s="7"/>
      <c r="BG759" s="7"/>
      <c r="BH759" s="7">
        <v>5.23259703E8</v>
      </c>
      <c r="BI759" s="7" t="s">
        <v>5738</v>
      </c>
      <c r="BJ759" s="7"/>
      <c r="BK759" s="7" t="b">
        <v>0</v>
      </c>
      <c r="BL759" s="7" t="b">
        <v>0</v>
      </c>
      <c r="BM759" s="7"/>
      <c r="BN759" s="7" t="str">
        <f>IFERROR(__xludf.DUMMYFUNCTION(" IF( REGEXMATCH(C759 , ""[(].+[)]""),REGEXREPLACE( CONCATENATE(REGEXEXTRACT(C759 , ""[(].+[)]""),IF(REGEXMATCH(C759 , ""[(][Ll]['’][)]""),"""","" ""), REGEXEXTRACT(C759 ,""^(?:(?:[A-Za-zàäéèêîïöôûü0-9 ](?:[A-Za-zàäéèêîïöôûü'0-9 ]+)))"")) , ""[()]"", """")"&amp;",C759 )"),"Ferme Auberge Ti Planteur")</f>
        <v>Ferme Auberge Ti Planteur</v>
      </c>
      <c r="BO759" s="25"/>
      <c r="BP759" s="7"/>
      <c r="BQ759" s="7"/>
      <c r="BR759" s="7"/>
      <c r="BS759" s="7"/>
      <c r="BT759" s="7"/>
      <c r="BU759" s="7"/>
      <c r="BV759" s="7"/>
      <c r="BW759" s="7"/>
      <c r="BX759" s="7"/>
      <c r="BY759" s="7"/>
      <c r="BZ759" s="7"/>
      <c r="CA759" s="7"/>
      <c r="CB759" s="7"/>
    </row>
    <row r="760" ht="21.75" customHeight="1">
      <c r="A760" s="7"/>
      <c r="B760" s="7" t="s">
        <v>9048</v>
      </c>
      <c r="C760" s="7" t="s">
        <v>3865</v>
      </c>
      <c r="D760" s="7"/>
      <c r="E760" s="7"/>
      <c r="F760" s="7"/>
      <c r="G760" s="7" t="s">
        <v>343</v>
      </c>
      <c r="H760" s="7" t="s">
        <v>344</v>
      </c>
      <c r="I760" s="7" t="s">
        <v>9049</v>
      </c>
      <c r="J760" s="26" t="s">
        <v>3867</v>
      </c>
      <c r="K760" s="7" t="s">
        <v>58</v>
      </c>
      <c r="L760" s="7" t="s">
        <v>59</v>
      </c>
      <c r="M760" s="7" t="s">
        <v>346</v>
      </c>
      <c r="N760" s="7" t="s">
        <v>455</v>
      </c>
      <c r="O760" s="7">
        <v>97430.0</v>
      </c>
      <c r="P760" s="7" t="s">
        <v>344</v>
      </c>
      <c r="Q760" s="7" t="s">
        <v>9050</v>
      </c>
      <c r="R760" s="7"/>
      <c r="S760" s="7"/>
      <c r="T760" s="7" t="s">
        <v>377</v>
      </c>
      <c r="U760" s="7" t="s">
        <v>378</v>
      </c>
      <c r="V760" s="7"/>
      <c r="W760" s="7">
        <v>6.92882704E8</v>
      </c>
      <c r="X760" s="7"/>
      <c r="Y760" s="7"/>
      <c r="Z760" s="7" t="s">
        <v>3868</v>
      </c>
      <c r="AA760" s="7">
        <v>4.0</v>
      </c>
      <c r="AB760" s="7"/>
      <c r="AC760" s="7"/>
      <c r="AD760" s="7"/>
      <c r="AE760" s="7"/>
      <c r="AF760" s="7"/>
      <c r="AG760" s="7"/>
      <c r="AH760" s="7"/>
      <c r="AI760" s="7"/>
      <c r="AJ760" s="7" t="s">
        <v>9051</v>
      </c>
      <c r="AK760" s="7"/>
      <c r="AL760" s="7" t="s">
        <v>9049</v>
      </c>
      <c r="AM760" s="7" t="s">
        <v>3874</v>
      </c>
      <c r="AN760" s="7"/>
      <c r="AO760" s="7">
        <v>97430.0</v>
      </c>
      <c r="AP760" s="7" t="s">
        <v>494</v>
      </c>
      <c r="AQ760" s="7"/>
      <c r="AR760" s="7"/>
      <c r="AS760" s="7"/>
      <c r="AT760" s="7"/>
      <c r="AU760" s="7">
        <v>1.0</v>
      </c>
      <c r="AV760" s="7" t="s">
        <v>9052</v>
      </c>
      <c r="AW760" s="7"/>
      <c r="AX760" s="7" t="s">
        <v>3849</v>
      </c>
      <c r="AY760" s="7" t="s">
        <v>1590</v>
      </c>
      <c r="AZ760" s="7" t="s">
        <v>9053</v>
      </c>
      <c r="BA760" s="7"/>
      <c r="BB760" s="7"/>
      <c r="BC760" s="7" t="s">
        <v>401</v>
      </c>
      <c r="BD760" s="7"/>
      <c r="BE760" s="7"/>
      <c r="BF760" s="7"/>
      <c r="BG760" s="7"/>
      <c r="BH760" s="7"/>
      <c r="BI760" s="7" t="s">
        <v>3876</v>
      </c>
      <c r="BJ760" s="7"/>
      <c r="BK760" s="7" t="b">
        <v>0</v>
      </c>
      <c r="BL760" s="7" t="b">
        <v>0</v>
      </c>
      <c r="BM760" s="7"/>
      <c r="BN760" s="7" t="str">
        <f>IFERROR(__xludf.DUMMYFUNCTION(" IF( REGEXMATCH(C760 , ""[(].+[)]""),REGEXREPLACE( CONCATENATE(REGEXEXTRACT(C760 , ""[(].+[)]""),IF(REGEXMATCH(C760 , ""[(][Ll]['’][)]""),"""","" ""), REGEXEXTRACT(C760 ,""^(?:(?:[A-Za-zàäéèêîïöôûü0-9 ](?:[A-Za-zàäéèêîïöôûü'0-9 ]+)))"")) , ""[()]"", """")"&amp;",C760 )"),"Ferme Lebon Papillon")</f>
        <v>Ferme Lebon Papillon</v>
      </c>
      <c r="BO760" s="25"/>
      <c r="BP760" s="7"/>
      <c r="BQ760" s="7"/>
      <c r="BR760" s="7"/>
      <c r="BS760" s="7"/>
      <c r="BT760" s="7"/>
      <c r="BU760" s="7"/>
      <c r="BV760" s="7"/>
      <c r="BW760" s="7"/>
      <c r="BX760" s="7"/>
      <c r="BY760" s="7"/>
      <c r="BZ760" s="7"/>
      <c r="CA760" s="7"/>
      <c r="CB760" s="7"/>
    </row>
    <row r="761" ht="21.75" customHeight="1">
      <c r="A761" s="7"/>
      <c r="B761" s="7" t="s">
        <v>9054</v>
      </c>
      <c r="C761" s="7" t="s">
        <v>9055</v>
      </c>
      <c r="D761" s="7"/>
      <c r="E761" s="7"/>
      <c r="F761" s="7"/>
      <c r="G761" s="7" t="s">
        <v>343</v>
      </c>
      <c r="H761" s="7" t="s">
        <v>344</v>
      </c>
      <c r="I761" s="7" t="s">
        <v>9056</v>
      </c>
      <c r="J761" s="7"/>
      <c r="K761" s="7" t="s">
        <v>58</v>
      </c>
      <c r="L761" s="7" t="s">
        <v>59</v>
      </c>
      <c r="M761" s="7" t="s">
        <v>545</v>
      </c>
      <c r="N761" s="7"/>
      <c r="O761" s="7">
        <v>97418.0</v>
      </c>
      <c r="P761" s="7" t="s">
        <v>348</v>
      </c>
      <c r="Q761" s="7" t="s">
        <v>9057</v>
      </c>
      <c r="R761" s="7"/>
      <c r="S761" s="7"/>
      <c r="T761" s="7"/>
      <c r="U761" s="7" t="s">
        <v>378</v>
      </c>
      <c r="V761" s="7"/>
      <c r="W761" s="7">
        <v>6.92526124E8</v>
      </c>
      <c r="X761" s="7"/>
      <c r="Y761" s="7"/>
      <c r="Z761" s="7" t="s">
        <v>9058</v>
      </c>
      <c r="AA761" s="7">
        <v>3.0</v>
      </c>
      <c r="AB761" s="7" t="s">
        <v>2716</v>
      </c>
      <c r="AC761" s="7"/>
      <c r="AD761" s="7"/>
      <c r="AE761" s="7"/>
      <c r="AF761" s="7"/>
      <c r="AG761" s="7"/>
      <c r="AH761" s="7"/>
      <c r="AI761" s="7"/>
      <c r="AJ761" s="7" t="s">
        <v>9059</v>
      </c>
      <c r="AK761" s="7"/>
      <c r="AL761" s="7" t="s">
        <v>9056</v>
      </c>
      <c r="AM761" s="7"/>
      <c r="AN761" s="7"/>
      <c r="AO761" s="7">
        <v>97418.0</v>
      </c>
      <c r="AP761" s="7" t="s">
        <v>362</v>
      </c>
      <c r="AQ761" s="7"/>
      <c r="AR761" s="7"/>
      <c r="AS761" s="7"/>
      <c r="AT761" s="7"/>
      <c r="AU761" s="7">
        <v>1.0</v>
      </c>
      <c r="AV761" s="7" t="s">
        <v>9060</v>
      </c>
      <c r="AW761" s="7"/>
      <c r="AX761" s="7" t="s">
        <v>3806</v>
      </c>
      <c r="AY761" s="7" t="s">
        <v>1590</v>
      </c>
      <c r="AZ761" s="7" t="s">
        <v>9061</v>
      </c>
      <c r="BA761" s="7"/>
      <c r="BB761" s="7"/>
      <c r="BC761" s="7" t="s">
        <v>401</v>
      </c>
      <c r="BD761" s="7"/>
      <c r="BE761" s="7"/>
      <c r="BF761" s="7"/>
      <c r="BG761" s="7"/>
      <c r="BH761" s="7"/>
      <c r="BI761" s="7" t="s">
        <v>9062</v>
      </c>
      <c r="BJ761" s="7"/>
      <c r="BK761" s="7" t="b">
        <v>0</v>
      </c>
      <c r="BL761" s="7" t="b">
        <v>0</v>
      </c>
      <c r="BM761" s="7"/>
      <c r="BN761" s="7" t="str">
        <f>IFERROR(__xludf.DUMMYFUNCTION(" IF( REGEXMATCH(C761 , ""[(].+[)]""),REGEXREPLACE( CONCATENATE(REGEXEXTRACT(C761 , ""[(].+[)]""),IF(REGEXMATCH(C761 , ""[(][Ll]['’][)]""),"""","" ""), REGEXEXTRACT(C761 ,""^(?:(?:[A-Za-zàäéèêîïöôûü0-9 ](?:[A-Za-zàäéèêîïöôûü'0-9 ]+)))"")) , ""[()]"", """")"&amp;",C761 )"),"Le Figuier ")</f>
        <v>Le Figuier </v>
      </c>
      <c r="BO761" s="25"/>
      <c r="BP761" s="7"/>
      <c r="BQ761" s="7"/>
      <c r="BR761" s="7"/>
      <c r="BS761" s="7"/>
      <c r="BT761" s="7"/>
      <c r="BU761" s="7"/>
      <c r="BV761" s="7"/>
      <c r="BW761" s="7"/>
      <c r="BX761" s="7"/>
      <c r="BY761" s="7"/>
      <c r="BZ761" s="7"/>
      <c r="CA761" s="7"/>
      <c r="CB761" s="7"/>
    </row>
    <row r="762" ht="21.75" customHeight="1">
      <c r="A762" s="7"/>
      <c r="B762" s="7" t="s">
        <v>9063</v>
      </c>
      <c r="C762" s="7" t="s">
        <v>9064</v>
      </c>
      <c r="D762" s="7"/>
      <c r="E762" s="7"/>
      <c r="F762" s="7"/>
      <c r="G762" s="7" t="s">
        <v>343</v>
      </c>
      <c r="H762" s="7" t="s">
        <v>344</v>
      </c>
      <c r="I762" s="7" t="s">
        <v>9065</v>
      </c>
      <c r="J762" s="7"/>
      <c r="K762" s="7" t="s">
        <v>58</v>
      </c>
      <c r="L762" s="7" t="s">
        <v>59</v>
      </c>
      <c r="M762" s="7" t="s">
        <v>346</v>
      </c>
      <c r="N762" s="7"/>
      <c r="O762" s="7">
        <v>97430.0</v>
      </c>
      <c r="P762" s="7" t="s">
        <v>344</v>
      </c>
      <c r="Q762" s="7" t="s">
        <v>3501</v>
      </c>
      <c r="R762" s="7"/>
      <c r="S762" s="7"/>
      <c r="T762" s="7"/>
      <c r="U762" s="7" t="s">
        <v>378</v>
      </c>
      <c r="V762" s="7"/>
      <c r="W762" s="7">
        <v>6.92082677E8</v>
      </c>
      <c r="X762" s="7"/>
      <c r="Y762" s="7"/>
      <c r="Z762" s="7" t="s">
        <v>9066</v>
      </c>
      <c r="AA762" s="7">
        <v>6.0</v>
      </c>
      <c r="AB762" s="7"/>
      <c r="AC762" s="7"/>
      <c r="AD762" s="7"/>
      <c r="AE762" s="7"/>
      <c r="AF762" s="7"/>
      <c r="AG762" s="7"/>
      <c r="AH762" s="7"/>
      <c r="AI762" s="7"/>
      <c r="AJ762" s="7" t="s">
        <v>9067</v>
      </c>
      <c r="AK762" s="7"/>
      <c r="AL762" s="7" t="s">
        <v>9068</v>
      </c>
      <c r="AM762" s="7"/>
      <c r="AN762" s="7"/>
      <c r="AO762" s="7">
        <v>97410.0</v>
      </c>
      <c r="AP762" s="7" t="s">
        <v>512</v>
      </c>
      <c r="AQ762" s="7"/>
      <c r="AR762" s="7"/>
      <c r="AS762" s="7"/>
      <c r="AT762" s="7"/>
      <c r="AU762" s="7">
        <v>1.0</v>
      </c>
      <c r="AV762" s="7" t="s">
        <v>9069</v>
      </c>
      <c r="AW762" s="7"/>
      <c r="AX762" s="7"/>
      <c r="AY762" s="7"/>
      <c r="AZ762" s="7" t="s">
        <v>9070</v>
      </c>
      <c r="BA762" s="7"/>
      <c r="BB762" s="7"/>
      <c r="BC762" s="7" t="s">
        <v>401</v>
      </c>
      <c r="BD762" s="7"/>
      <c r="BE762" s="7"/>
      <c r="BF762" s="7"/>
      <c r="BG762" s="7"/>
      <c r="BH762" s="7"/>
      <c r="BI762" s="7" t="s">
        <v>9071</v>
      </c>
      <c r="BJ762" s="7"/>
      <c r="BK762" s="7" t="b">
        <v>0</v>
      </c>
      <c r="BL762" s="7" t="b">
        <v>0</v>
      </c>
      <c r="BM762" s="7"/>
      <c r="BN762" s="7" t="str">
        <f>IFERROR(__xludf.DUMMYFUNCTION(" IF( REGEXMATCH(C762 , ""[(].+[)]""),REGEXREPLACE( CONCATENATE(REGEXEXTRACT(C762 , ""[(].+[)]""),IF(REGEXMATCH(C762 , ""[(][Ll]['’][)]""),"""","" ""), REGEXEXTRACT(C762 ,""^(?:(?:[A-Za-zàäéèêîïöôûü0-9 ](?:[A-Za-zàäéèêîïöôûü'0-9 ]+)))"")) , ""[()]"", """")"&amp;",C762 )"),"Les Figuiers ")</f>
        <v>Les Figuiers </v>
      </c>
      <c r="BO762" s="25"/>
      <c r="BP762" s="7"/>
      <c r="BQ762" s="7"/>
      <c r="BR762" s="7"/>
      <c r="BS762" s="7"/>
      <c r="BT762" s="7"/>
      <c r="BU762" s="7"/>
      <c r="BV762" s="7"/>
      <c r="BW762" s="7"/>
      <c r="BX762" s="7"/>
      <c r="BY762" s="7"/>
      <c r="BZ762" s="7"/>
      <c r="CA762" s="7"/>
      <c r="CB762" s="7"/>
    </row>
    <row r="763" ht="21.75" customHeight="1">
      <c r="A763" s="7"/>
      <c r="B763" s="7" t="s">
        <v>9072</v>
      </c>
      <c r="C763" s="7" t="s">
        <v>4122</v>
      </c>
      <c r="D763" s="7" t="s">
        <v>4122</v>
      </c>
      <c r="E763" s="7"/>
      <c r="F763" s="7"/>
      <c r="G763" s="7" t="s">
        <v>343</v>
      </c>
      <c r="H763" s="7" t="s">
        <v>40</v>
      </c>
      <c r="I763" s="7" t="s">
        <v>9073</v>
      </c>
      <c r="J763" s="7"/>
      <c r="K763" s="7" t="s">
        <v>34</v>
      </c>
      <c r="L763" s="7" t="s">
        <v>622</v>
      </c>
      <c r="M763" s="7" t="s">
        <v>5053</v>
      </c>
      <c r="N763" s="7" t="s">
        <v>422</v>
      </c>
      <c r="O763" s="7">
        <v>97414.0</v>
      </c>
      <c r="P763" s="7" t="s">
        <v>40</v>
      </c>
      <c r="Q763" s="7"/>
      <c r="R763" s="7"/>
      <c r="S763" s="7"/>
      <c r="T763" s="7" t="s">
        <v>974</v>
      </c>
      <c r="U763" s="7" t="s">
        <v>592</v>
      </c>
      <c r="V763" s="7">
        <v>2.6245586E8</v>
      </c>
      <c r="W763" s="7">
        <v>6.92719496E8</v>
      </c>
      <c r="X763" s="7"/>
      <c r="Y763" s="7"/>
      <c r="Z763" s="7"/>
      <c r="AA763" s="7">
        <v>15.0</v>
      </c>
      <c r="AB763" s="7"/>
      <c r="AC763" s="7"/>
      <c r="AD763" s="7" t="s">
        <v>9074</v>
      </c>
      <c r="AE763" s="7"/>
      <c r="AF763" s="7"/>
      <c r="AG763" s="7"/>
      <c r="AH763" s="7"/>
      <c r="AI763" s="7"/>
      <c r="AJ763" s="7" t="s">
        <v>9075</v>
      </c>
      <c r="AK763" s="7"/>
      <c r="AL763" s="7" t="s">
        <v>9076</v>
      </c>
      <c r="AM763" s="7" t="s">
        <v>9077</v>
      </c>
      <c r="AN763" s="7"/>
      <c r="AO763" s="7">
        <v>97414.0</v>
      </c>
      <c r="AP763" s="7" t="s">
        <v>429</v>
      </c>
      <c r="AQ763" s="7"/>
      <c r="AR763" s="7"/>
      <c r="AS763" s="7"/>
      <c r="AT763" s="7"/>
      <c r="AU763" s="7"/>
      <c r="AV763" s="7" t="s">
        <v>9078</v>
      </c>
      <c r="AW763" s="7"/>
      <c r="AX763" s="7"/>
      <c r="AY763" s="7"/>
      <c r="AZ763" s="7"/>
      <c r="BA763" s="7"/>
      <c r="BB763" s="7"/>
      <c r="BC763" s="7" t="s">
        <v>401</v>
      </c>
      <c r="BD763" s="7"/>
      <c r="BE763" s="7"/>
      <c r="BF763" s="7"/>
      <c r="BG763" s="7"/>
      <c r="BH763" s="7"/>
      <c r="BI763" s="7" t="s">
        <v>9079</v>
      </c>
      <c r="BJ763" s="7"/>
      <c r="BK763" s="7" t="b">
        <v>0</v>
      </c>
      <c r="BL763" s="7" t="b">
        <v>0</v>
      </c>
      <c r="BM763" s="7"/>
      <c r="BN763" s="7" t="str">
        <f>IFERROR(__xludf.DUMMYFUNCTION(" IF( REGEXMATCH(C763 , ""[(].+[)]""),REGEXREPLACE( CONCATENATE(REGEXEXTRACT(C763 , ""[(].+[)]""),IF(REGEXMATCH(C763 , ""[(][Ll]['’][)]""),"""","" ""), REGEXEXTRACT(C763 ,""^(?:(?:[A-Za-zàäéèêîïöôûü0-9 ](?:[A-Za-zàäéèêîïöôûü'0-9 ]+)))"")) , ""[()]"", """")"&amp;",C763 )"),"Le Fruit à Pain ")</f>
        <v>Le Fruit à Pain </v>
      </c>
      <c r="BO763" s="25"/>
      <c r="BP763" s="7"/>
      <c r="BQ763" s="7"/>
      <c r="BR763" s="7"/>
      <c r="BS763" s="7"/>
      <c r="BT763" s="7"/>
      <c r="BU763" s="7"/>
      <c r="BV763" s="7"/>
      <c r="BW763" s="7"/>
      <c r="BX763" s="7"/>
      <c r="BY763" s="7"/>
      <c r="BZ763" s="7"/>
      <c r="CA763" s="7"/>
      <c r="CB763" s="7"/>
    </row>
    <row r="764" ht="21.75" customHeight="1">
      <c r="A764" s="7"/>
      <c r="B764" s="7" t="s">
        <v>9080</v>
      </c>
      <c r="C764" s="7" t="s">
        <v>9081</v>
      </c>
      <c r="D764" s="7"/>
      <c r="E764" s="7"/>
      <c r="F764" s="7"/>
      <c r="G764" s="7" t="s">
        <v>343</v>
      </c>
      <c r="H764" s="7" t="s">
        <v>123</v>
      </c>
      <c r="I764" s="7" t="s">
        <v>9082</v>
      </c>
      <c r="J764" s="7"/>
      <c r="K764" s="7" t="s">
        <v>58</v>
      </c>
      <c r="L764" s="7" t="s">
        <v>59</v>
      </c>
      <c r="M764" s="7" t="s">
        <v>346</v>
      </c>
      <c r="N764" s="7" t="s">
        <v>375</v>
      </c>
      <c r="O764" s="7">
        <v>97480.0</v>
      </c>
      <c r="P764" s="7" t="s">
        <v>123</v>
      </c>
      <c r="Q764" s="7" t="s">
        <v>206</v>
      </c>
      <c r="R764" s="7"/>
      <c r="S764" s="7"/>
      <c r="T764" s="7" t="s">
        <v>377</v>
      </c>
      <c r="U764" s="7" t="s">
        <v>378</v>
      </c>
      <c r="V764" s="7"/>
      <c r="W764" s="7">
        <v>6.9260739E8</v>
      </c>
      <c r="X764" s="7"/>
      <c r="Y764" s="7"/>
      <c r="Z764" s="7" t="s">
        <v>9083</v>
      </c>
      <c r="AA764" s="7">
        <v>4.0</v>
      </c>
      <c r="AB764" s="7"/>
      <c r="AC764" s="7"/>
      <c r="AD764" s="7"/>
      <c r="AE764" s="7"/>
      <c r="AF764" s="7"/>
      <c r="AG764" s="7"/>
      <c r="AH764" s="7"/>
      <c r="AI764" s="7"/>
      <c r="AJ764" s="7" t="s">
        <v>9084</v>
      </c>
      <c r="AK764" s="7"/>
      <c r="AL764" s="7" t="s">
        <v>9082</v>
      </c>
      <c r="AM764" s="7" t="s">
        <v>9085</v>
      </c>
      <c r="AN764" s="7"/>
      <c r="AO764" s="7">
        <v>97480.0</v>
      </c>
      <c r="AP764" s="7" t="s">
        <v>385</v>
      </c>
      <c r="AQ764" s="7"/>
      <c r="AR764" s="7"/>
      <c r="AS764" s="7"/>
      <c r="AT764" s="7"/>
      <c r="AU764" s="7">
        <v>1.0</v>
      </c>
      <c r="AV764" s="7" t="s">
        <v>8633</v>
      </c>
      <c r="AW764" s="7"/>
      <c r="AX764" s="7"/>
      <c r="AY764" s="7"/>
      <c r="AZ764" s="7" t="s">
        <v>9086</v>
      </c>
      <c r="BA764" s="7"/>
      <c r="BB764" s="7"/>
      <c r="BC764" s="7" t="s">
        <v>401</v>
      </c>
      <c r="BD764" s="7"/>
      <c r="BE764" s="7"/>
      <c r="BF764" s="7"/>
      <c r="BG764" s="7"/>
      <c r="BH764" s="7"/>
      <c r="BI764" s="7" t="s">
        <v>5562</v>
      </c>
      <c r="BJ764" s="7"/>
      <c r="BK764" s="7" t="b">
        <v>0</v>
      </c>
      <c r="BL764" s="7" t="b">
        <v>0</v>
      </c>
      <c r="BM764" s="7"/>
      <c r="BN764" s="7" t="str">
        <f>IFERROR(__xludf.DUMMYFUNCTION(" IF( REGEXMATCH(C764 , ""[(].+[)]""),REGEXREPLACE( CONCATENATE(REGEXEXTRACT(C764 , ""[(].+[)]""),IF(REGEXMATCH(C764 , ""[(][Ll]['’][)]""),"""","" ""), REGEXEXTRACT(C764 ,""^(?:(?:[A-Za-zàäéèêîïöôûü0-9 ](?:[A-Za-zàäéèêîïöôûü'0-9 ]+)))"")) , ""[()]"", """")"&amp;",C764 )"),"G Komo")</f>
        <v>G Komo</v>
      </c>
      <c r="BO764" s="25"/>
      <c r="BP764" s="7"/>
      <c r="BQ764" s="7"/>
      <c r="BR764" s="7"/>
      <c r="BS764" s="7"/>
      <c r="BT764" s="7"/>
      <c r="BU764" s="7"/>
      <c r="BV764" s="7"/>
      <c r="BW764" s="7"/>
      <c r="BX764" s="7"/>
      <c r="BY764" s="7"/>
      <c r="BZ764" s="7"/>
      <c r="CA764" s="7"/>
      <c r="CB764" s="7"/>
    </row>
    <row r="765" ht="21.75" customHeight="1">
      <c r="A765" s="7"/>
      <c r="B765" s="7" t="s">
        <v>9087</v>
      </c>
      <c r="C765" s="7" t="s">
        <v>9088</v>
      </c>
      <c r="D765" s="7"/>
      <c r="E765" s="7"/>
      <c r="F765" s="7"/>
      <c r="G765" s="7" t="s">
        <v>343</v>
      </c>
      <c r="H765" s="7" t="s">
        <v>123</v>
      </c>
      <c r="I765" s="7" t="s">
        <v>9089</v>
      </c>
      <c r="J765" s="7"/>
      <c r="K765" s="7" t="s">
        <v>58</v>
      </c>
      <c r="L765" s="7" t="s">
        <v>137</v>
      </c>
      <c r="M765" s="7" t="s">
        <v>2280</v>
      </c>
      <c r="N765" s="7" t="s">
        <v>422</v>
      </c>
      <c r="O765" s="7">
        <v>97480.0</v>
      </c>
      <c r="P765" s="7" t="s">
        <v>123</v>
      </c>
      <c r="Q765" s="7" t="s">
        <v>9090</v>
      </c>
      <c r="R765" s="7"/>
      <c r="S765" s="7"/>
      <c r="T765" s="7"/>
      <c r="U765" s="7" t="s">
        <v>353</v>
      </c>
      <c r="V765" s="7"/>
      <c r="W765" s="7">
        <v>6.92603492E8</v>
      </c>
      <c r="X765" s="7">
        <v>6.92263119E8</v>
      </c>
      <c r="Y765" s="7"/>
      <c r="Z765" s="7" t="s">
        <v>9091</v>
      </c>
      <c r="AA765" s="7">
        <v>15.0</v>
      </c>
      <c r="AB765" s="7"/>
      <c r="AC765" s="7"/>
      <c r="AD765" s="7"/>
      <c r="AE765" s="7"/>
      <c r="AF765" s="7"/>
      <c r="AG765" s="7"/>
      <c r="AH765" s="7"/>
      <c r="AI765" s="7"/>
      <c r="AJ765" s="7" t="s">
        <v>9092</v>
      </c>
      <c r="AK765" s="7">
        <v>8.352223730001E13</v>
      </c>
      <c r="AL765" s="7" t="s">
        <v>9093</v>
      </c>
      <c r="AM765" s="7" t="s">
        <v>9094</v>
      </c>
      <c r="AN765" s="7"/>
      <c r="AO765" s="7">
        <v>97429.0</v>
      </c>
      <c r="AP765" s="7" t="s">
        <v>9095</v>
      </c>
      <c r="AQ765" s="7"/>
      <c r="AR765" s="7"/>
      <c r="AS765" s="7"/>
      <c r="AT765" s="7"/>
      <c r="AU765" s="7"/>
      <c r="AV765" s="7" t="s">
        <v>9096</v>
      </c>
      <c r="AW765" s="7"/>
      <c r="AX765" s="7"/>
      <c r="AY765" s="7"/>
      <c r="AZ765" s="7" t="s">
        <v>9097</v>
      </c>
      <c r="BA765" s="7"/>
      <c r="BB765" s="7"/>
      <c r="BC765" s="7" t="s">
        <v>401</v>
      </c>
      <c r="BD765" s="7"/>
      <c r="BE765" s="7"/>
      <c r="BF765" s="7"/>
      <c r="BG765" s="7"/>
      <c r="BH765" s="7">
        <v>8.35222373E8</v>
      </c>
      <c r="BI765" s="7" t="s">
        <v>9098</v>
      </c>
      <c r="BJ765" s="7"/>
      <c r="BK765" s="7" t="b">
        <v>0</v>
      </c>
      <c r="BL765" s="7" t="b">
        <v>0</v>
      </c>
      <c r="BM765" s="7"/>
      <c r="BN765" s="7" t="str">
        <f>IFERROR(__xludf.DUMMYFUNCTION(" IF( REGEXMATCH(C765 , ""[(].+[)]""),REGEXREPLACE( CONCATENATE(REGEXEXTRACT(C765 , ""[(].+[)]""),IF(REGEXMATCH(C765 , ""[(][Ll]['’][)]""),"""","" ""), REGEXEXTRACT(C765 ,""^(?:(?:[A-Za-zàäéèêîïöôûü0-9 ](?:[A-Za-zàäéèêîïöôûü'0-9 ]+)))"")) , ""[()]"", """")"&amp;",C765 )"),"Gite Cascade Les 3 Galets")</f>
        <v>Gite Cascade Les 3 Galets</v>
      </c>
      <c r="BO765" s="25"/>
      <c r="BP765" s="7"/>
      <c r="BQ765" s="7"/>
      <c r="BR765" s="7"/>
      <c r="BS765" s="7"/>
      <c r="BT765" s="7"/>
      <c r="BU765" s="7"/>
      <c r="BV765" s="7"/>
      <c r="BW765" s="7"/>
      <c r="BX765" s="7"/>
      <c r="BY765" s="7"/>
      <c r="BZ765" s="7"/>
      <c r="CA765" s="7"/>
      <c r="CB765" s="7"/>
    </row>
    <row r="766" ht="21.75" customHeight="1">
      <c r="A766" s="7"/>
      <c r="B766" s="7" t="s">
        <v>9099</v>
      </c>
      <c r="C766" s="7" t="s">
        <v>9100</v>
      </c>
      <c r="D766" s="7"/>
      <c r="E766" s="7"/>
      <c r="F766" s="7"/>
      <c r="G766" s="7" t="s">
        <v>343</v>
      </c>
      <c r="H766" s="7" t="s">
        <v>123</v>
      </c>
      <c r="I766" s="7" t="s">
        <v>9101</v>
      </c>
      <c r="J766" s="7"/>
      <c r="K766" s="7" t="s">
        <v>34</v>
      </c>
      <c r="L766" s="7" t="s">
        <v>485</v>
      </c>
      <c r="M766" s="7" t="s">
        <v>486</v>
      </c>
      <c r="N766" s="7" t="s">
        <v>4306</v>
      </c>
      <c r="O766" s="7">
        <v>97480.0</v>
      </c>
      <c r="P766" s="7" t="s">
        <v>123</v>
      </c>
      <c r="Q766" s="7" t="s">
        <v>9102</v>
      </c>
      <c r="R766" s="7"/>
      <c r="S766" s="7"/>
      <c r="T766" s="7" t="s">
        <v>377</v>
      </c>
      <c r="U766" s="7" t="s">
        <v>353</v>
      </c>
      <c r="V766" s="7">
        <v>2.62591394E8</v>
      </c>
      <c r="W766" s="7">
        <v>6.92683532E8</v>
      </c>
      <c r="X766" s="7"/>
      <c r="Y766" s="7"/>
      <c r="Z766" s="7"/>
      <c r="AA766" s="7"/>
      <c r="AB766" s="7"/>
      <c r="AC766" s="7"/>
      <c r="AD766" s="7"/>
      <c r="AE766" s="7"/>
      <c r="AF766" s="7"/>
      <c r="AG766" s="7"/>
      <c r="AH766" s="7"/>
      <c r="AI766" s="7"/>
      <c r="AJ766" s="7" t="s">
        <v>9103</v>
      </c>
      <c r="AK766" s="7"/>
      <c r="AL766" s="7" t="s">
        <v>4314</v>
      </c>
      <c r="AM766" s="7" t="s">
        <v>9104</v>
      </c>
      <c r="AN766" s="7"/>
      <c r="AO766" s="7">
        <v>97480.0</v>
      </c>
      <c r="AP766" s="7" t="s">
        <v>385</v>
      </c>
      <c r="AQ766" s="7"/>
      <c r="AR766" s="7"/>
      <c r="AS766" s="7"/>
      <c r="AT766" s="7"/>
      <c r="AU766" s="7"/>
      <c r="AV766" s="7" t="s">
        <v>9105</v>
      </c>
      <c r="AW766" s="7"/>
      <c r="AX766" s="7"/>
      <c r="AY766" s="7"/>
      <c r="AZ766" s="7"/>
      <c r="BA766" s="7"/>
      <c r="BB766" s="7"/>
      <c r="BC766" s="7" t="s">
        <v>401</v>
      </c>
      <c r="BD766" s="7"/>
      <c r="BE766" s="7"/>
      <c r="BF766" s="7"/>
      <c r="BG766" s="7"/>
      <c r="BH766" s="7"/>
      <c r="BI766" s="7" t="s">
        <v>4322</v>
      </c>
      <c r="BJ766" s="7"/>
      <c r="BK766" s="7" t="b">
        <v>0</v>
      </c>
      <c r="BL766" s="7" t="b">
        <v>0</v>
      </c>
      <c r="BM766" s="7"/>
      <c r="BN766" s="7" t="str">
        <f>IFERROR(__xludf.DUMMYFUNCTION(" IF( REGEXMATCH(C766 , ""[(].+[)]""),REGEXREPLACE( CONCATENATE(REGEXEXTRACT(C766 , ""[(].+[)]""),IF(REGEXMATCH(C766 , ""[(][Ll]['’][)]""),"""","" ""), REGEXEXTRACT(C766 ,""^(?:(?:[A-Za-zàäéèêîïöôûü0-9 ](?:[A-Za-zàäéèêîïöôûü'0-9 ]+)))"")) , ""[()]"", """")"&amp;",C766 )"),"Gite de la Rivière des Remparts")</f>
        <v>Gite de la Rivière des Remparts</v>
      </c>
      <c r="BO766" s="25"/>
      <c r="BP766" s="7"/>
      <c r="BQ766" s="7"/>
      <c r="BR766" s="7"/>
      <c r="BS766" s="7"/>
      <c r="BT766" s="7"/>
      <c r="BU766" s="7"/>
      <c r="BV766" s="7"/>
      <c r="BW766" s="7"/>
      <c r="BX766" s="7"/>
      <c r="BY766" s="7"/>
      <c r="BZ766" s="7"/>
      <c r="CA766" s="7"/>
      <c r="CB766" s="7"/>
    </row>
    <row r="767" ht="21.75" customHeight="1">
      <c r="A767" s="7"/>
      <c r="B767" s="7" t="s">
        <v>9106</v>
      </c>
      <c r="C767" s="7" t="s">
        <v>9107</v>
      </c>
      <c r="D767" s="7" t="s">
        <v>9108</v>
      </c>
      <c r="E767" s="7"/>
      <c r="F767" s="7"/>
      <c r="G767" s="7" t="s">
        <v>343</v>
      </c>
      <c r="H767" s="7" t="s">
        <v>123</v>
      </c>
      <c r="I767" s="7" t="s">
        <v>9109</v>
      </c>
      <c r="J767" s="7"/>
      <c r="K767" s="7" t="s">
        <v>58</v>
      </c>
      <c r="L767" s="7" t="s">
        <v>59</v>
      </c>
      <c r="M767" s="7" t="s">
        <v>346</v>
      </c>
      <c r="N767" s="7" t="s">
        <v>422</v>
      </c>
      <c r="O767" s="7">
        <v>97480.0</v>
      </c>
      <c r="P767" s="7" t="s">
        <v>123</v>
      </c>
      <c r="Q767" s="7" t="s">
        <v>9110</v>
      </c>
      <c r="R767" s="7"/>
      <c r="S767" s="7" t="s">
        <v>9111</v>
      </c>
      <c r="T767" s="7" t="s">
        <v>8231</v>
      </c>
      <c r="U767" s="7" t="s">
        <v>8505</v>
      </c>
      <c r="V767" s="7"/>
      <c r="W767" s="7">
        <v>6.92337232E8</v>
      </c>
      <c r="X767" s="7">
        <v>6.93478581E8</v>
      </c>
      <c r="Y767" s="7"/>
      <c r="Z767" s="7" t="s">
        <v>9112</v>
      </c>
      <c r="AA767" s="7">
        <v>6.0</v>
      </c>
      <c r="AB767" s="7"/>
      <c r="AC767" s="7"/>
      <c r="AD767" s="7" t="s">
        <v>9113</v>
      </c>
      <c r="AE767" s="7"/>
      <c r="AF767" s="7"/>
      <c r="AG767" s="7"/>
      <c r="AH767" s="7"/>
      <c r="AI767" s="7"/>
      <c r="AJ767" s="7" t="s">
        <v>9114</v>
      </c>
      <c r="AK767" s="7"/>
      <c r="AL767" s="7" t="s">
        <v>9115</v>
      </c>
      <c r="AM767" s="7"/>
      <c r="AN767" s="7"/>
      <c r="AO767" s="7">
        <v>97480.0</v>
      </c>
      <c r="AP767" s="7" t="s">
        <v>385</v>
      </c>
      <c r="AQ767" s="7"/>
      <c r="AR767" s="7"/>
      <c r="AS767" s="7"/>
      <c r="AT767" s="7"/>
      <c r="AU767" s="7">
        <v>1.0</v>
      </c>
      <c r="AV767" s="7" t="s">
        <v>9116</v>
      </c>
      <c r="AW767" s="7"/>
      <c r="AX767" s="7" t="s">
        <v>9117</v>
      </c>
      <c r="AY767" s="7" t="s">
        <v>1590</v>
      </c>
      <c r="AZ767" s="7"/>
      <c r="BA767" s="7"/>
      <c r="BB767" s="7"/>
      <c r="BC767" s="7" t="s">
        <v>401</v>
      </c>
      <c r="BD767" s="7"/>
      <c r="BE767" s="7"/>
      <c r="BF767" s="7"/>
      <c r="BG767" s="7"/>
      <c r="BH767" s="7"/>
      <c r="BI767" s="7" t="s">
        <v>9118</v>
      </c>
      <c r="BJ767" s="7"/>
      <c r="BK767" s="7" t="b">
        <v>0</v>
      </c>
      <c r="BL767" s="7" t="b">
        <v>0</v>
      </c>
      <c r="BM767" s="7"/>
      <c r="BN767" s="7" t="str">
        <f>IFERROR(__xludf.DUMMYFUNCTION(" IF( REGEXMATCH(C767 , ""[(].+[)]""),REGEXREPLACE( CONCATENATE(REGEXEXTRACT(C767 , ""[(].+[)]""),IF(REGEXMATCH(C767 , ""[(][Ll]['’][)]""),"""","" ""), REGEXEXTRACT(C767 ,""^(?:(?:[A-Za-zàäéèêîïöôûü0-9 ](?:[A-Za-zàäéèêîïöôûü'0-9 ]+)))"")) , ""[()]"", """")"&amp;",C767 )"),"Gîte le 109")</f>
        <v>Gîte le 109</v>
      </c>
      <c r="BO767" s="25"/>
      <c r="BP767" s="7"/>
      <c r="BQ767" s="7"/>
      <c r="BR767" s="7"/>
      <c r="BS767" s="7"/>
      <c r="BT767" s="7"/>
      <c r="BU767" s="7"/>
      <c r="BV767" s="7"/>
      <c r="BW767" s="7"/>
      <c r="BX767" s="7"/>
      <c r="BY767" s="7"/>
      <c r="BZ767" s="7"/>
      <c r="CA767" s="7"/>
      <c r="CB767" s="7"/>
    </row>
    <row r="768" ht="21.75" customHeight="1">
      <c r="A768" s="7"/>
      <c r="B768" s="7" t="s">
        <v>9119</v>
      </c>
      <c r="C768" s="7" t="s">
        <v>9120</v>
      </c>
      <c r="D768" s="7" t="s">
        <v>9108</v>
      </c>
      <c r="E768" s="7"/>
      <c r="F768" s="7"/>
      <c r="G768" s="7" t="s">
        <v>343</v>
      </c>
      <c r="H768" s="7" t="s">
        <v>123</v>
      </c>
      <c r="I768" s="7" t="s">
        <v>9109</v>
      </c>
      <c r="J768" s="7"/>
      <c r="K768" s="7" t="s">
        <v>58</v>
      </c>
      <c r="L768" s="7" t="s">
        <v>59</v>
      </c>
      <c r="M768" s="7" t="s">
        <v>346</v>
      </c>
      <c r="N768" s="7" t="s">
        <v>422</v>
      </c>
      <c r="O768" s="7">
        <v>97480.0</v>
      </c>
      <c r="P768" s="7" t="s">
        <v>123</v>
      </c>
      <c r="Q768" s="7" t="s">
        <v>9110</v>
      </c>
      <c r="R768" s="7"/>
      <c r="S768" s="7" t="s">
        <v>9111</v>
      </c>
      <c r="T768" s="7" t="s">
        <v>8231</v>
      </c>
      <c r="U768" s="7" t="s">
        <v>8505</v>
      </c>
      <c r="V768" s="7"/>
      <c r="W768" s="7">
        <v>6.92337232E8</v>
      </c>
      <c r="X768" s="7">
        <v>6.93478581E8</v>
      </c>
      <c r="Y768" s="7"/>
      <c r="Z768" s="7" t="s">
        <v>9112</v>
      </c>
      <c r="AA768" s="7">
        <v>10.0</v>
      </c>
      <c r="AB768" s="7"/>
      <c r="AC768" s="7"/>
      <c r="AD768" s="7" t="s">
        <v>9113</v>
      </c>
      <c r="AE768" s="7"/>
      <c r="AF768" s="7"/>
      <c r="AG768" s="7"/>
      <c r="AH768" s="7"/>
      <c r="AI768" s="7"/>
      <c r="AJ768" s="7" t="s">
        <v>9114</v>
      </c>
      <c r="AK768" s="7"/>
      <c r="AL768" s="7" t="s">
        <v>9115</v>
      </c>
      <c r="AM768" s="7"/>
      <c r="AN768" s="7"/>
      <c r="AO768" s="7">
        <v>97480.0</v>
      </c>
      <c r="AP768" s="7" t="s">
        <v>385</v>
      </c>
      <c r="AQ768" s="7"/>
      <c r="AR768" s="7"/>
      <c r="AS768" s="7"/>
      <c r="AT768" s="7"/>
      <c r="AU768" s="7">
        <v>1.0</v>
      </c>
      <c r="AV768" s="7" t="s">
        <v>9116</v>
      </c>
      <c r="AW768" s="7"/>
      <c r="AX768" s="7" t="s">
        <v>9121</v>
      </c>
      <c r="AY768" s="7" t="s">
        <v>1590</v>
      </c>
      <c r="AZ768" s="7"/>
      <c r="BA768" s="7"/>
      <c r="BB768" s="7"/>
      <c r="BC768" s="7" t="s">
        <v>401</v>
      </c>
      <c r="BD768" s="7"/>
      <c r="BE768" s="7"/>
      <c r="BF768" s="7"/>
      <c r="BG768" s="7"/>
      <c r="BH768" s="7"/>
      <c r="BI768" s="7" t="s">
        <v>9118</v>
      </c>
      <c r="BJ768" s="7"/>
      <c r="BK768" s="7" t="b">
        <v>0</v>
      </c>
      <c r="BL768" s="7" t="b">
        <v>0</v>
      </c>
      <c r="BM768" s="7"/>
      <c r="BN768" s="7" t="str">
        <f>IFERROR(__xludf.DUMMYFUNCTION(" IF( REGEXMATCH(C768 , ""[(].+[)]""),REGEXREPLACE( CONCATENATE(REGEXEXTRACT(C768 , ""[(].+[)]""),IF(REGEXMATCH(C768 , ""[(][Ll]['’][)]""),"""","" ""), REGEXEXTRACT(C768 ,""^(?:(?:[A-Za-zàäéèêîïöôûü0-9 ](?:[A-Za-zàäéèêîïöôûü'0-9 ]+)))"")) , ""[()]"", """")"&amp;",C768 )"),"Gîte les Dodos")</f>
        <v>Gîte les Dodos</v>
      </c>
      <c r="BO768" s="25"/>
      <c r="BP768" s="7"/>
      <c r="BQ768" s="7"/>
      <c r="BR768" s="7"/>
      <c r="BS768" s="7"/>
      <c r="BT768" s="7"/>
      <c r="BU768" s="7"/>
      <c r="BV768" s="7"/>
      <c r="BW768" s="7"/>
      <c r="BX768" s="7"/>
      <c r="BY768" s="7"/>
      <c r="BZ768" s="7"/>
      <c r="CA768" s="7"/>
      <c r="CB768" s="7"/>
    </row>
    <row r="769" ht="21.75" customHeight="1">
      <c r="A769" s="7"/>
      <c r="B769" s="7" t="s">
        <v>9122</v>
      </c>
      <c r="C769" s="7" t="s">
        <v>9123</v>
      </c>
      <c r="D769" s="7"/>
      <c r="E769" s="7"/>
      <c r="F769" s="7"/>
      <c r="G769" s="7" t="s">
        <v>343</v>
      </c>
      <c r="H769" s="7" t="s">
        <v>344</v>
      </c>
      <c r="I769" s="7" t="s">
        <v>9124</v>
      </c>
      <c r="J769" s="7"/>
      <c r="K769" s="7" t="s">
        <v>58</v>
      </c>
      <c r="L769" s="7" t="s">
        <v>59</v>
      </c>
      <c r="M769" s="7"/>
      <c r="N769" s="7"/>
      <c r="O769" s="7">
        <v>97418.0</v>
      </c>
      <c r="P769" s="7" t="s">
        <v>348</v>
      </c>
      <c r="Q769" s="7"/>
      <c r="R769" s="7" t="s">
        <v>9125</v>
      </c>
      <c r="S769" s="7"/>
      <c r="T769" s="7"/>
      <c r="U769" s="7"/>
      <c r="V769" s="7"/>
      <c r="W769" s="7">
        <v>6.92926004E8</v>
      </c>
      <c r="X769" s="7"/>
      <c r="Y769" s="7"/>
      <c r="Z769" s="7" t="s">
        <v>9126</v>
      </c>
      <c r="AA769" s="7">
        <v>8.0</v>
      </c>
      <c r="AB769" s="7"/>
      <c r="AC769" s="7"/>
      <c r="AD769" s="7"/>
      <c r="AE769" s="7"/>
      <c r="AF769" s="7"/>
      <c r="AG769" s="7"/>
      <c r="AH769" s="20">
        <v>43101.0</v>
      </c>
      <c r="AI769" s="7"/>
      <c r="AJ769" s="7" t="s">
        <v>9127</v>
      </c>
      <c r="AK769" s="7"/>
      <c r="AL769" s="7" t="s">
        <v>9124</v>
      </c>
      <c r="AM769" s="7"/>
      <c r="AN769" s="7"/>
      <c r="AO769" s="7">
        <v>97418.0</v>
      </c>
      <c r="AP769" s="7" t="s">
        <v>362</v>
      </c>
      <c r="AQ769" s="7"/>
      <c r="AR769" s="7"/>
      <c r="AS769" s="7"/>
      <c r="AT769" s="7"/>
      <c r="AU769" s="7">
        <v>1.0</v>
      </c>
      <c r="AV769" s="7" t="s">
        <v>9128</v>
      </c>
      <c r="AW769" s="7"/>
      <c r="AX769" s="7" t="s">
        <v>8917</v>
      </c>
      <c r="AY769" s="7" t="s">
        <v>1590</v>
      </c>
      <c r="AZ769" s="7" t="s">
        <v>9129</v>
      </c>
      <c r="BA769" s="7"/>
      <c r="BB769" s="7"/>
      <c r="BC769" s="7" t="s">
        <v>401</v>
      </c>
      <c r="BD769" s="7"/>
      <c r="BE769" s="7"/>
      <c r="BF769" s="7"/>
      <c r="BG769" s="7"/>
      <c r="BH769" s="7"/>
      <c r="BI769" s="7" t="s">
        <v>9130</v>
      </c>
      <c r="BJ769" s="7"/>
      <c r="BK769" s="7" t="b">
        <v>0</v>
      </c>
      <c r="BL769" s="7" t="b">
        <v>0</v>
      </c>
      <c r="BM769" s="7"/>
      <c r="BN769" s="7" t="str">
        <f>IFERROR(__xludf.DUMMYFUNCTION(" IF( REGEXMATCH(C769 , ""[(].+[)]""),REGEXREPLACE( CONCATENATE(REGEXEXTRACT(C769 , ""[(].+[)]""),IF(REGEXMATCH(C769 , ""[(][Ll]['’][)]""),"""","" ""), REGEXEXTRACT(C769 ,""^(?:(?:[A-Za-zàäéèêîïöôûü0-9 ](?:[A-Za-zàäéèêîïöôûü'0-9 ]+)))"")) , ""[()]"", """")"&amp;",C769 )"),"Gîte Paville Créole")</f>
        <v>Gîte Paville Créole</v>
      </c>
      <c r="BO769" s="25"/>
      <c r="BP769" s="7"/>
      <c r="BQ769" s="7"/>
      <c r="BR769" s="7"/>
      <c r="BS769" s="7"/>
      <c r="BT769" s="7"/>
      <c r="BU769" s="7"/>
      <c r="BV769" s="7"/>
      <c r="BW769" s="7"/>
      <c r="BX769" s="7"/>
      <c r="BY769" s="7"/>
      <c r="BZ769" s="7"/>
      <c r="CA769" s="7"/>
      <c r="CB769" s="7"/>
    </row>
    <row r="770" ht="21.75" customHeight="1">
      <c r="A770" s="7"/>
      <c r="B770" s="7" t="s">
        <v>9131</v>
      </c>
      <c r="C770" s="7" t="s">
        <v>9132</v>
      </c>
      <c r="D770" s="7"/>
      <c r="E770" s="7"/>
      <c r="F770" s="7"/>
      <c r="G770" s="7" t="s">
        <v>343</v>
      </c>
      <c r="H770" s="7" t="s">
        <v>40</v>
      </c>
      <c r="I770" s="7" t="s">
        <v>9133</v>
      </c>
      <c r="J770" s="7"/>
      <c r="K770" s="7" t="s">
        <v>58</v>
      </c>
      <c r="L770" s="7" t="s">
        <v>59</v>
      </c>
      <c r="M770" s="7" t="s">
        <v>346</v>
      </c>
      <c r="N770" s="7"/>
      <c r="O770" s="7">
        <v>97414.0</v>
      </c>
      <c r="P770" s="7" t="s">
        <v>40</v>
      </c>
      <c r="Q770" s="7"/>
      <c r="R770" s="7"/>
      <c r="S770" s="7"/>
      <c r="T770" s="7"/>
      <c r="U770" s="7"/>
      <c r="V770" s="7"/>
      <c r="W770" s="7">
        <v>6.92194647E8</v>
      </c>
      <c r="X770" s="7"/>
      <c r="Y770" s="7"/>
      <c r="Z770" s="7" t="s">
        <v>9134</v>
      </c>
      <c r="AA770" s="7">
        <v>8.0</v>
      </c>
      <c r="AB770" s="7"/>
      <c r="AC770" s="7"/>
      <c r="AD770" s="7"/>
      <c r="AE770" s="7"/>
      <c r="AF770" s="7"/>
      <c r="AG770" s="7"/>
      <c r="AH770" s="7"/>
      <c r="AI770" s="7"/>
      <c r="AJ770" s="7" t="s">
        <v>9135</v>
      </c>
      <c r="AK770" s="7"/>
      <c r="AL770" s="7" t="s">
        <v>9136</v>
      </c>
      <c r="AM770" s="7" t="s">
        <v>9137</v>
      </c>
      <c r="AN770" s="7"/>
      <c r="AO770" s="7">
        <v>97414.0</v>
      </c>
      <c r="AP770" s="7" t="s">
        <v>429</v>
      </c>
      <c r="AQ770" s="7"/>
      <c r="AR770" s="7"/>
      <c r="AS770" s="7"/>
      <c r="AT770" s="7"/>
      <c r="AU770" s="7"/>
      <c r="AV770" s="7" t="s">
        <v>9138</v>
      </c>
      <c r="AW770" s="7"/>
      <c r="AX770" s="7"/>
      <c r="AY770" s="7"/>
      <c r="AZ770" s="7" t="s">
        <v>9139</v>
      </c>
      <c r="BA770" s="7"/>
      <c r="BB770" s="7"/>
      <c r="BC770" s="7" t="s">
        <v>401</v>
      </c>
      <c r="BD770" s="7"/>
      <c r="BE770" s="7"/>
      <c r="BF770" s="7"/>
      <c r="BG770" s="7"/>
      <c r="BH770" s="7"/>
      <c r="BI770" s="7" t="s">
        <v>9140</v>
      </c>
      <c r="BJ770" s="7"/>
      <c r="BK770" s="7" t="b">
        <v>0</v>
      </c>
      <c r="BL770" s="7" t="b">
        <v>0</v>
      </c>
      <c r="BM770" s="7"/>
      <c r="BN770" s="7" t="str">
        <f>IFERROR(__xludf.DUMMYFUNCTION(" IF( REGEXMATCH(C770 , ""[(].+[)]""),REGEXREPLACE( CONCATENATE(REGEXEXTRACT(C770 , ""[(].+[)]""),IF(REGEXMATCH(C770 , ""[(][Ll]['’][)]""),"""","" ""), REGEXEXTRACT(C770 ,""^(?:(?:[A-Za-zàäéèêîïöôûü0-9 ](?:[A-Za-zàäéèêîïöôûü'0-9 ]+)))"")) , ""[()]"", """")"&amp;",C770 )"),"Le Goyavier ")</f>
        <v>Le Goyavier </v>
      </c>
      <c r="BO770" s="25"/>
      <c r="BP770" s="7"/>
      <c r="BQ770" s="7"/>
      <c r="BR770" s="7"/>
      <c r="BS770" s="7"/>
      <c r="BT770" s="7"/>
      <c r="BU770" s="7"/>
      <c r="BV770" s="7"/>
      <c r="BW770" s="7"/>
      <c r="BX770" s="7"/>
      <c r="BY770" s="7"/>
      <c r="BZ770" s="7"/>
      <c r="CA770" s="7"/>
      <c r="CB770" s="7"/>
    </row>
    <row r="771" ht="21.75" customHeight="1">
      <c r="A771" s="7"/>
      <c r="B771" s="7" t="s">
        <v>9141</v>
      </c>
      <c r="C771" s="7" t="s">
        <v>4569</v>
      </c>
      <c r="D771" s="7"/>
      <c r="E771" s="7"/>
      <c r="F771" s="7"/>
      <c r="G771" s="7" t="s">
        <v>343</v>
      </c>
      <c r="H771" s="7" t="s">
        <v>344</v>
      </c>
      <c r="I771" s="7" t="s">
        <v>9142</v>
      </c>
      <c r="J771" s="7"/>
      <c r="K771" s="7" t="s">
        <v>58</v>
      </c>
      <c r="L771" s="7" t="s">
        <v>59</v>
      </c>
      <c r="M771" s="7"/>
      <c r="N771" s="7"/>
      <c r="O771" s="7">
        <v>97418.0</v>
      </c>
      <c r="P771" s="7" t="s">
        <v>348</v>
      </c>
      <c r="Q771" s="7" t="s">
        <v>9143</v>
      </c>
      <c r="R771" s="7"/>
      <c r="S771" s="7"/>
      <c r="T771" s="7"/>
      <c r="U771" s="7"/>
      <c r="V771" s="7">
        <v>2.6259101E8</v>
      </c>
      <c r="W771" s="7"/>
      <c r="X771" s="7"/>
      <c r="Y771" s="7"/>
      <c r="Z771" s="7" t="s">
        <v>4575</v>
      </c>
      <c r="AA771" s="7">
        <v>20.0</v>
      </c>
      <c r="AB771" s="7"/>
      <c r="AC771" s="7"/>
      <c r="AD771" s="7"/>
      <c r="AE771" s="7"/>
      <c r="AF771" s="7"/>
      <c r="AG771" s="7"/>
      <c r="AH771" s="7"/>
      <c r="AI771" s="7"/>
      <c r="AJ771" s="7" t="s">
        <v>9144</v>
      </c>
      <c r="AK771" s="7"/>
      <c r="AL771" s="7" t="s">
        <v>9145</v>
      </c>
      <c r="AM771" s="7"/>
      <c r="AN771" s="7"/>
      <c r="AO771" s="7"/>
      <c r="AP771" s="7"/>
      <c r="AQ771" s="7"/>
      <c r="AR771" s="7"/>
      <c r="AS771" s="7"/>
      <c r="AT771" s="7"/>
      <c r="AU771" s="7"/>
      <c r="AV771" s="7" t="s">
        <v>9146</v>
      </c>
      <c r="AW771" s="7"/>
      <c r="AX771" s="7"/>
      <c r="AY771" s="7"/>
      <c r="AZ771" s="7" t="s">
        <v>4583</v>
      </c>
      <c r="BA771" s="7"/>
      <c r="BB771" s="7"/>
      <c r="BC771" s="7" t="s">
        <v>401</v>
      </c>
      <c r="BD771" s="7"/>
      <c r="BE771" s="7"/>
      <c r="BF771" s="7"/>
      <c r="BG771" s="7"/>
      <c r="BH771" s="7"/>
      <c r="BI771" s="7" t="s">
        <v>4711</v>
      </c>
      <c r="BJ771" s="7"/>
      <c r="BK771" s="7" t="b">
        <v>0</v>
      </c>
      <c r="BL771" s="7" t="b">
        <v>0</v>
      </c>
      <c r="BM771" s="7"/>
      <c r="BN771" s="7" t="str">
        <f>IFERROR(__xludf.DUMMYFUNCTION(" IF( REGEXMATCH(C771 , ""[(].+[)]""),REGEXREPLACE( CONCATENATE(REGEXEXTRACT(C771 , ""[(].+[)]""),IF(REGEXMATCH(C771 , ""[(][Ll]['’][)]""),"""","" ""), REGEXEXTRACT(C771 ,""^(?:(?:[A-Za-zàäéèêîïöôûü0-9 ](?:[A-Za-zàäéèêîïöôûü'0-9 ]+)))"")) , ""[()]"", """")"&amp;",C771 )"),"Le Grillanoo ")</f>
        <v>Le Grillanoo </v>
      </c>
      <c r="BO771" s="25"/>
      <c r="BP771" s="7"/>
      <c r="BQ771" s="7"/>
      <c r="BR771" s="7"/>
      <c r="BS771" s="7"/>
      <c r="BT771" s="7"/>
      <c r="BU771" s="7"/>
      <c r="BV771" s="7"/>
      <c r="BW771" s="7"/>
      <c r="BX771" s="7"/>
      <c r="BY771" s="7"/>
      <c r="BZ771" s="7"/>
      <c r="CA771" s="7"/>
      <c r="CB771" s="7"/>
    </row>
    <row r="772" ht="21.75" customHeight="1">
      <c r="A772" s="7"/>
      <c r="B772" s="7" t="s">
        <v>9147</v>
      </c>
      <c r="C772" s="7" t="s">
        <v>9148</v>
      </c>
      <c r="D772" s="7"/>
      <c r="E772" s="7"/>
      <c r="F772" s="7"/>
      <c r="G772" s="7" t="s">
        <v>343</v>
      </c>
      <c r="H772" s="7" t="s">
        <v>344</v>
      </c>
      <c r="I772" s="7" t="s">
        <v>9149</v>
      </c>
      <c r="J772" s="7"/>
      <c r="K772" s="7" t="s">
        <v>34</v>
      </c>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t="s">
        <v>9150</v>
      </c>
      <c r="AW772" s="7"/>
      <c r="AX772" s="7"/>
      <c r="AY772" s="7"/>
      <c r="AZ772" s="7"/>
      <c r="BA772" s="7"/>
      <c r="BB772" s="7"/>
      <c r="BC772" s="7" t="s">
        <v>5001</v>
      </c>
      <c r="BD772" s="7"/>
      <c r="BE772" s="7"/>
      <c r="BF772" s="7"/>
      <c r="BG772" s="7"/>
      <c r="BH772" s="7"/>
      <c r="BI772" s="7" t="s">
        <v>4773</v>
      </c>
      <c r="BJ772" s="7"/>
      <c r="BK772" s="7" t="b">
        <v>0</v>
      </c>
      <c r="BL772" s="7" t="b">
        <v>0</v>
      </c>
      <c r="BM772" s="7"/>
      <c r="BN772" s="7" t="str">
        <f>IFERROR(__xludf.DUMMYFUNCTION(" IF( REGEXMATCH(C772 , ""[(].+[)]""),REGEXREPLACE( CONCATENATE(REGEXEXTRACT(C772 , ""[(].+[)]""),IF(REGEXMATCH(C772 , ""[(][Ll]['’][)]""),"""","" ""), REGEXEXTRACT(C772 ,""^(?:(?:[A-Za-zàäéèêîïöôûü0-9 ](?:[A-Za-zàäéèêîïöôûü'0-9 ]+)))"")) , ""[()]"", """")"&amp;",C772 )"),"Ha-Yong")</f>
        <v>Ha-Yong</v>
      </c>
      <c r="BO772" s="25"/>
      <c r="BP772" s="7"/>
      <c r="BQ772" s="7"/>
      <c r="BR772" s="7"/>
      <c r="BS772" s="7"/>
      <c r="BT772" s="7"/>
      <c r="BU772" s="7"/>
      <c r="BV772" s="7"/>
      <c r="BW772" s="7"/>
      <c r="BX772" s="7"/>
      <c r="BY772" s="7"/>
      <c r="BZ772" s="7"/>
      <c r="CA772" s="7"/>
      <c r="CB772" s="7"/>
    </row>
    <row r="773" ht="21.75" customHeight="1">
      <c r="A773" s="7"/>
      <c r="B773" s="7" t="s">
        <v>9151</v>
      </c>
      <c r="C773" s="7" t="s">
        <v>9152</v>
      </c>
      <c r="D773" s="7"/>
      <c r="E773" s="7"/>
      <c r="F773" s="7"/>
      <c r="G773" s="7" t="s">
        <v>343</v>
      </c>
      <c r="H773" s="7" t="s">
        <v>344</v>
      </c>
      <c r="I773" s="7" t="s">
        <v>9153</v>
      </c>
      <c r="J773" s="7"/>
      <c r="K773" s="6" t="s">
        <v>469</v>
      </c>
      <c r="L773" s="7" t="s">
        <v>470</v>
      </c>
      <c r="M773" s="7" t="s">
        <v>608</v>
      </c>
      <c r="N773" s="7" t="s">
        <v>455</v>
      </c>
      <c r="O773" s="7"/>
      <c r="P773" s="7"/>
      <c r="Q773" s="7"/>
      <c r="R773" s="7"/>
      <c r="S773" s="7"/>
      <c r="T773" s="7"/>
      <c r="U773" s="7" t="s">
        <v>592</v>
      </c>
      <c r="V773" s="7"/>
      <c r="W773" s="7">
        <v>6.92805807E8</v>
      </c>
      <c r="X773" s="7">
        <v>6.92673539E8</v>
      </c>
      <c r="Y773" s="7"/>
      <c r="Z773" s="7" t="s">
        <v>9154</v>
      </c>
      <c r="AA773" s="7"/>
      <c r="AB773" s="7"/>
      <c r="AC773" s="7"/>
      <c r="AD773" s="7" t="s">
        <v>9155</v>
      </c>
      <c r="AE773" s="7"/>
      <c r="AF773" s="7"/>
      <c r="AG773" s="7"/>
      <c r="AH773" s="7"/>
      <c r="AI773" s="7"/>
      <c r="AJ773" s="7" t="s">
        <v>9156</v>
      </c>
      <c r="AK773" s="7">
        <v>4.4504261700016E13</v>
      </c>
      <c r="AL773" s="7"/>
      <c r="AM773" s="7"/>
      <c r="AN773" s="7"/>
      <c r="AO773" s="7">
        <v>97430.0</v>
      </c>
      <c r="AP773" s="7" t="s">
        <v>9157</v>
      </c>
      <c r="AQ773" s="7"/>
      <c r="AR773" s="7"/>
      <c r="AS773" s="7"/>
      <c r="AT773" s="7"/>
      <c r="AU773" s="7"/>
      <c r="AV773" s="7" t="s">
        <v>9158</v>
      </c>
      <c r="AW773" s="7"/>
      <c r="AX773" s="7"/>
      <c r="AY773" s="7"/>
      <c r="AZ773" s="7"/>
      <c r="BA773" s="7"/>
      <c r="BB773" s="7"/>
      <c r="BC773" s="7" t="s">
        <v>401</v>
      </c>
      <c r="BD773" s="7"/>
      <c r="BE773" s="7"/>
      <c r="BF773" s="7"/>
      <c r="BG773" s="7"/>
      <c r="BH773" s="7">
        <v>4.45042617E8</v>
      </c>
      <c r="BI773" s="7" t="s">
        <v>9159</v>
      </c>
      <c r="BJ773" s="7"/>
      <c r="BK773" s="7" t="b">
        <v>0</v>
      </c>
      <c r="BL773" s="7" t="b">
        <v>0</v>
      </c>
      <c r="BM773" s="7"/>
      <c r="BN773" s="7" t="str">
        <f>IFERROR(__xludf.DUMMYFUNCTION(" IF( REGEXMATCH(C773 , ""[(].+[)]""),REGEXREPLACE( CONCATENATE(REGEXEXTRACT(C773 , ""[(].+[)]""),IF(REGEXMATCH(C773 , ""[(][Ll]['’][)]""),"""","" ""), REGEXEXTRACT(C773 ,""^(?:(?:[A-Za-zàäéèêîïöôûü0-9 ](?:[A-Za-zàäéèêîïöôûü'0-9 ]+)))"")) , ""[()]"", """")"&amp;",C773 )"),"Haras des Cœurs")</f>
        <v>Haras des Cœurs</v>
      </c>
      <c r="BO773" s="25"/>
      <c r="BP773" s="7"/>
      <c r="BQ773" s="7"/>
      <c r="BR773" s="7"/>
      <c r="BS773" s="7"/>
      <c r="BT773" s="7"/>
      <c r="BU773" s="7"/>
      <c r="BV773" s="7"/>
      <c r="BW773" s="7"/>
      <c r="BX773" s="7"/>
      <c r="BY773" s="7"/>
      <c r="BZ773" s="7"/>
      <c r="CA773" s="7"/>
      <c r="CB773" s="7"/>
    </row>
    <row r="774" ht="21.75" customHeight="1">
      <c r="A774" s="7"/>
      <c r="B774" s="7" t="s">
        <v>9160</v>
      </c>
      <c r="C774" s="7" t="s">
        <v>9161</v>
      </c>
      <c r="D774" s="7"/>
      <c r="E774" s="7"/>
      <c r="F774" s="7"/>
      <c r="G774" s="7" t="s">
        <v>343</v>
      </c>
      <c r="H774" s="7" t="s">
        <v>123</v>
      </c>
      <c r="I774" s="7" t="s">
        <v>9162</v>
      </c>
      <c r="J774" s="7"/>
      <c r="K774" s="6" t="s">
        <v>469</v>
      </c>
      <c r="L774" s="7" t="s">
        <v>1549</v>
      </c>
      <c r="M774" s="7" t="s">
        <v>1550</v>
      </c>
      <c r="N774" s="7"/>
      <c r="O774" s="7">
        <v>97480.0</v>
      </c>
      <c r="P774" s="7" t="s">
        <v>123</v>
      </c>
      <c r="Q774" s="7"/>
      <c r="R774" s="7"/>
      <c r="S774" s="7"/>
      <c r="T774" s="7"/>
      <c r="U774" s="7"/>
      <c r="V774" s="7"/>
      <c r="W774" s="7">
        <v>6.92946131E8</v>
      </c>
      <c r="X774" s="7"/>
      <c r="Y774" s="7"/>
      <c r="Z774" s="7" t="s">
        <v>9163</v>
      </c>
      <c r="AA774" s="7"/>
      <c r="AB774" s="7"/>
      <c r="AC774" s="7"/>
      <c r="AD774" s="7" t="s">
        <v>9164</v>
      </c>
      <c r="AE774" s="7"/>
      <c r="AF774" s="7"/>
      <c r="AG774" s="7"/>
      <c r="AH774" s="7"/>
      <c r="AI774" s="7"/>
      <c r="AJ774" s="7"/>
      <c r="AK774" s="7"/>
      <c r="AL774" s="7"/>
      <c r="AM774" s="7"/>
      <c r="AN774" s="7"/>
      <c r="AO774" s="7"/>
      <c r="AP774" s="7"/>
      <c r="AQ774" s="7"/>
      <c r="AR774" s="7"/>
      <c r="AS774" s="7"/>
      <c r="AT774" s="7"/>
      <c r="AU774" s="7"/>
      <c r="AV774" s="7" t="s">
        <v>9165</v>
      </c>
      <c r="AW774" s="7"/>
      <c r="AX774" s="7"/>
      <c r="AY774" s="7"/>
      <c r="AZ774" s="7"/>
      <c r="BA774" s="7"/>
      <c r="BB774" s="7"/>
      <c r="BC774" s="7" t="s">
        <v>401</v>
      </c>
      <c r="BD774" s="7"/>
      <c r="BE774" s="7"/>
      <c r="BF774" s="7"/>
      <c r="BG774" s="7"/>
      <c r="BH774" s="7"/>
      <c r="BI774" s="7" t="s">
        <v>9166</v>
      </c>
      <c r="BJ774" s="7"/>
      <c r="BK774" s="7" t="b">
        <v>0</v>
      </c>
      <c r="BL774" s="7" t="b">
        <v>0</v>
      </c>
      <c r="BM774" s="7"/>
      <c r="BN774" s="7" t="str">
        <f>IFERROR(__xludf.DUMMYFUNCTION(" IF( REGEXMATCH(C774 , ""[(].+[)]""),REGEXREPLACE( CONCATENATE(REGEXEXTRACT(C774 , ""[(].+[)]""),IF(REGEXMATCH(C774 , ""[(][Ll]['’][)]""),"""","" ""), REGEXEXTRACT(C774 ,""^(?:(?:[A-Za-zàäéèêîïöôûü0-9 ](?:[A-Za-zàäéèêîïöôûü'0-9 ]+)))"")) , ""[()]"", """")"&amp;",C774 )"),"Harmonia Bien Etre")</f>
        <v>Harmonia Bien Etre</v>
      </c>
      <c r="BO774" s="25"/>
      <c r="BP774" s="7"/>
      <c r="BQ774" s="7"/>
      <c r="BR774" s="7"/>
      <c r="BS774" s="7"/>
      <c r="BT774" s="7"/>
      <c r="BU774" s="7"/>
      <c r="BV774" s="7"/>
      <c r="BW774" s="7"/>
      <c r="BX774" s="7"/>
      <c r="BY774" s="7"/>
      <c r="BZ774" s="7"/>
      <c r="CA774" s="7"/>
      <c r="CB774" s="7"/>
    </row>
    <row r="775" ht="21.75" customHeight="1">
      <c r="A775" s="7"/>
      <c r="B775" s="7" t="s">
        <v>9167</v>
      </c>
      <c r="C775" s="7" t="s">
        <v>9168</v>
      </c>
      <c r="D775" s="7" t="s">
        <v>9169</v>
      </c>
      <c r="E775" s="7"/>
      <c r="F775" s="7"/>
      <c r="G775" s="7" t="s">
        <v>343</v>
      </c>
      <c r="H775" s="7" t="s">
        <v>40</v>
      </c>
      <c r="I775" s="7" t="s">
        <v>9170</v>
      </c>
      <c r="J775" s="7"/>
      <c r="K775" s="7" t="s">
        <v>1198</v>
      </c>
      <c r="L775" s="7" t="s">
        <v>6960</v>
      </c>
      <c r="M775" s="7"/>
      <c r="N775" s="7"/>
      <c r="O775" s="7">
        <v>97414.0</v>
      </c>
      <c r="P775" s="7" t="s">
        <v>40</v>
      </c>
      <c r="Q775" s="7"/>
      <c r="R775" s="7"/>
      <c r="S775" s="7"/>
      <c r="T775" s="7" t="s">
        <v>974</v>
      </c>
      <c r="U775" s="7" t="s">
        <v>8232</v>
      </c>
      <c r="V775" s="7"/>
      <c r="W775" s="7">
        <v>6.92608651E8</v>
      </c>
      <c r="X775" s="7"/>
      <c r="Y775" s="7"/>
      <c r="Z775" s="7" t="s">
        <v>9171</v>
      </c>
      <c r="AA775" s="7"/>
      <c r="AB775" s="7"/>
      <c r="AC775" s="7"/>
      <c r="AD775" s="7" t="s">
        <v>9172</v>
      </c>
      <c r="AE775" s="7"/>
      <c r="AF775" s="7"/>
      <c r="AG775" s="7"/>
      <c r="AH775" s="7"/>
      <c r="AI775" s="7"/>
      <c r="AJ775" s="7" t="s">
        <v>9173</v>
      </c>
      <c r="AK775" s="7">
        <v>8.9281015100019E13</v>
      </c>
      <c r="AL775" s="7"/>
      <c r="AM775" s="7" t="s">
        <v>9174</v>
      </c>
      <c r="AN775" s="7"/>
      <c r="AO775" s="7">
        <v>97414.0</v>
      </c>
      <c r="AP775" s="7" t="s">
        <v>9175</v>
      </c>
      <c r="AQ775" s="7"/>
      <c r="AR775" s="7"/>
      <c r="AS775" s="7"/>
      <c r="AT775" s="7"/>
      <c r="AU775" s="7">
        <v>1.0</v>
      </c>
      <c r="AV775" s="7" t="s">
        <v>9176</v>
      </c>
      <c r="AW775" s="7"/>
      <c r="AX775" s="7"/>
      <c r="AY775" s="7"/>
      <c r="AZ775" s="7"/>
      <c r="BA775" s="7"/>
      <c r="BB775" s="7"/>
      <c r="BC775" s="7" t="s">
        <v>401</v>
      </c>
      <c r="BD775" s="7"/>
      <c r="BE775" s="7"/>
      <c r="BF775" s="7"/>
      <c r="BG775" s="7"/>
      <c r="BH775" s="7">
        <v>8.92810151E8</v>
      </c>
      <c r="BI775" s="7" t="s">
        <v>9177</v>
      </c>
      <c r="BJ775" s="7"/>
      <c r="BK775" s="7" t="b">
        <v>0</v>
      </c>
      <c r="BL775" s="7" t="b">
        <v>0</v>
      </c>
      <c r="BM775" s="7"/>
      <c r="BN775" s="7" t="str">
        <f>IFERROR(__xludf.DUMMYFUNCTION(" IF( REGEXMATCH(C775 , ""[(].+[)]""),REGEXREPLACE( CONCATENATE(REGEXEXTRACT(C775 , ""[(].+[)]""),IF(REGEXMATCH(C775 , ""[(][Ll]['’][)]""),"""","" ""), REGEXEXTRACT(C775 ,""^(?:(?:[A-Za-zàäéèêîïöôûü0-9 ](?:[A-Za-zàäéèêîïöôûü'0-9 ]+)))"")) , ""[()]"", """")"&amp;",C775 )"),"HGL Location")</f>
        <v>HGL Location</v>
      </c>
      <c r="BO775" s="25"/>
      <c r="BP775" s="7"/>
      <c r="BQ775" s="7"/>
      <c r="BR775" s="7"/>
      <c r="BS775" s="7"/>
      <c r="BT775" s="7"/>
      <c r="BU775" s="7"/>
      <c r="BV775" s="7"/>
      <c r="BW775" s="7"/>
      <c r="BX775" s="7"/>
      <c r="BY775" s="7"/>
      <c r="BZ775" s="7"/>
      <c r="CA775" s="7"/>
      <c r="CB775" s="7"/>
    </row>
    <row r="776" ht="21.75" customHeight="1">
      <c r="A776" s="7"/>
      <c r="B776" s="7" t="s">
        <v>9178</v>
      </c>
      <c r="C776" s="7" t="s">
        <v>9179</v>
      </c>
      <c r="D776" s="7"/>
      <c r="E776" s="7"/>
      <c r="F776" s="7"/>
      <c r="G776" s="7" t="s">
        <v>343</v>
      </c>
      <c r="H776" s="7" t="s">
        <v>40</v>
      </c>
      <c r="I776" s="7" t="s">
        <v>9180</v>
      </c>
      <c r="J776" s="26" t="s">
        <v>9181</v>
      </c>
      <c r="K776" s="7" t="s">
        <v>822</v>
      </c>
      <c r="L776" s="7" t="s">
        <v>4826</v>
      </c>
      <c r="M776" s="7" t="s">
        <v>1406</v>
      </c>
      <c r="N776" s="7" t="s">
        <v>455</v>
      </c>
      <c r="O776" s="7">
        <v>97414.0</v>
      </c>
      <c r="P776" s="7" t="s">
        <v>40</v>
      </c>
      <c r="Q776" s="7"/>
      <c r="R776" s="7" t="s">
        <v>9182</v>
      </c>
      <c r="S776" s="7" t="s">
        <v>9183</v>
      </c>
      <c r="T776" s="7" t="s">
        <v>8231</v>
      </c>
      <c r="U776" s="7" t="s">
        <v>353</v>
      </c>
      <c r="V776" s="7"/>
      <c r="W776" s="7">
        <v>6.92606404E8</v>
      </c>
      <c r="X776" s="7"/>
      <c r="Y776" s="7"/>
      <c r="Z776" s="7" t="s">
        <v>9184</v>
      </c>
      <c r="AA776" s="7">
        <v>10.0</v>
      </c>
      <c r="AB776" s="7"/>
      <c r="AC776" s="7"/>
      <c r="AD776" s="7" t="s">
        <v>9185</v>
      </c>
      <c r="AE776" s="7"/>
      <c r="AF776" s="7" t="s">
        <v>613</v>
      </c>
      <c r="AG776" s="7"/>
      <c r="AH776" s="20">
        <v>42736.0</v>
      </c>
      <c r="AI776" s="7"/>
      <c r="AJ776" s="7" t="s">
        <v>9179</v>
      </c>
      <c r="AK776" s="7">
        <v>5.0518634600043E13</v>
      </c>
      <c r="AL776" s="7" t="s">
        <v>9180</v>
      </c>
      <c r="AM776" s="7" t="s">
        <v>9186</v>
      </c>
      <c r="AN776" s="7"/>
      <c r="AO776" s="7">
        <v>97414.0</v>
      </c>
      <c r="AP776" s="7" t="s">
        <v>429</v>
      </c>
      <c r="AQ776" s="7"/>
      <c r="AR776" s="7"/>
      <c r="AS776" s="7"/>
      <c r="AT776" s="7"/>
      <c r="AU776" s="7"/>
      <c r="AV776" s="7" t="s">
        <v>9187</v>
      </c>
      <c r="AW776" s="7"/>
      <c r="AX776" s="7"/>
      <c r="AY776" s="7"/>
      <c r="AZ776" s="7"/>
      <c r="BA776" s="7"/>
      <c r="BB776" s="7"/>
      <c r="BC776" s="7" t="s">
        <v>401</v>
      </c>
      <c r="BD776" s="7"/>
      <c r="BE776" s="7"/>
      <c r="BF776" s="7"/>
      <c r="BG776" s="7"/>
      <c r="BH776" s="7">
        <v>5.05186346E8</v>
      </c>
      <c r="BI776" s="7" t="s">
        <v>9188</v>
      </c>
      <c r="BJ776" s="7"/>
      <c r="BK776" s="7" t="b">
        <v>0</v>
      </c>
      <c r="BL776" s="7" t="b">
        <v>0</v>
      </c>
      <c r="BM776" s="7"/>
      <c r="BN776" s="7" t="str">
        <f>IFERROR(__xludf.DUMMYFUNCTION(" IF( REGEXMATCH(C776 , ""[(].+[)]""),REGEXREPLACE( CONCATENATE(REGEXEXTRACT(C776 , ""[(].+[)]""),IF(REGEXMATCH(C776 , ""[(][Ll]['’][)]""),"""","" ""), REGEXEXTRACT(C776 ,""^(?:(?:[A-Za-zàäéèêîïöôûü0-9 ](?:[A-Za-zàäéèêîïöôûü'0-9 ]+)))"")) , ""[()]"", """")"&amp;",C776 )"),"Hoarau Henri Claude")</f>
        <v>Hoarau Henri Claude</v>
      </c>
      <c r="BO776" s="25"/>
      <c r="BP776" s="7"/>
      <c r="BQ776" s="7"/>
      <c r="BR776" s="7"/>
      <c r="BS776" s="7"/>
      <c r="BT776" s="7"/>
      <c r="BU776" s="7"/>
      <c r="BV776" s="7"/>
      <c r="BW776" s="7"/>
      <c r="BX776" s="7"/>
      <c r="BY776" s="7"/>
      <c r="BZ776" s="7"/>
      <c r="CA776" s="7"/>
      <c r="CB776" s="7"/>
    </row>
    <row r="777" ht="21.75" customHeight="1">
      <c r="A777" s="7"/>
      <c r="B777" s="7" t="s">
        <v>9189</v>
      </c>
      <c r="C777" s="7" t="s">
        <v>9190</v>
      </c>
      <c r="D777" s="7"/>
      <c r="E777" s="7"/>
      <c r="F777" s="7"/>
      <c r="G777" s="7" t="s">
        <v>343</v>
      </c>
      <c r="H777" s="7" t="s">
        <v>344</v>
      </c>
      <c r="I777" s="7" t="s">
        <v>9191</v>
      </c>
      <c r="J777" s="26" t="s">
        <v>9192</v>
      </c>
      <c r="K777" s="7" t="s">
        <v>58</v>
      </c>
      <c r="L777" s="7" t="s">
        <v>453</v>
      </c>
      <c r="M777" s="7" t="s">
        <v>454</v>
      </c>
      <c r="N777" s="7"/>
      <c r="O777" s="7">
        <v>97418.0</v>
      </c>
      <c r="P777" s="7" t="s">
        <v>348</v>
      </c>
      <c r="Q777" s="7"/>
      <c r="R777" s="7"/>
      <c r="S777" s="7"/>
      <c r="T777" s="7"/>
      <c r="U777" s="7"/>
      <c r="V777" s="7"/>
      <c r="W777" s="7">
        <v>6.92024657E8</v>
      </c>
      <c r="X777" s="7"/>
      <c r="Y777" s="7"/>
      <c r="Z777" s="7" t="s">
        <v>9193</v>
      </c>
      <c r="AA777" s="7">
        <v>36.0</v>
      </c>
      <c r="AB777" s="7"/>
      <c r="AC777" s="7"/>
      <c r="AD777" s="7"/>
      <c r="AE777" s="7"/>
      <c r="AF777" s="7"/>
      <c r="AG777" s="7"/>
      <c r="AH777" s="7"/>
      <c r="AI777" s="7"/>
      <c r="AJ777" s="7" t="s">
        <v>9194</v>
      </c>
      <c r="AK777" s="7"/>
      <c r="AL777" s="7" t="s">
        <v>9195</v>
      </c>
      <c r="AM777" s="7"/>
      <c r="AN777" s="7"/>
      <c r="AO777" s="7"/>
      <c r="AP777" s="7"/>
      <c r="AQ777" s="7"/>
      <c r="AR777" s="7"/>
      <c r="AS777" s="7"/>
      <c r="AT777" s="7"/>
      <c r="AU777" s="7"/>
      <c r="AV777" s="7" t="s">
        <v>9196</v>
      </c>
      <c r="AW777" s="7"/>
      <c r="AX777" s="7"/>
      <c r="AY777" s="7"/>
      <c r="AZ777" s="7" t="s">
        <v>9197</v>
      </c>
      <c r="BA777" s="7"/>
      <c r="BB777" s="7"/>
      <c r="BC777" s="7" t="s">
        <v>401</v>
      </c>
      <c r="BD777" s="7"/>
      <c r="BE777" s="7"/>
      <c r="BF777" s="7"/>
      <c r="BG777" s="7"/>
      <c r="BH777" s="7"/>
      <c r="BI777" s="7" t="s">
        <v>9198</v>
      </c>
      <c r="BJ777" s="7"/>
      <c r="BK777" s="7" t="b">
        <v>0</v>
      </c>
      <c r="BL777" s="7" t="b">
        <v>0</v>
      </c>
      <c r="BM777" s="7"/>
      <c r="BN777" s="7" t="str">
        <f>IFERROR(__xludf.DUMMYFUNCTION(" IF( REGEXMATCH(C777 , ""[(].+[)]""),REGEXREPLACE( CONCATENATE(REGEXEXTRACT(C777 , ""[(].+[)]""),IF(REGEXMATCH(C777 , ""[(][Ll]['’][)]""),"""","" ""), REGEXEXTRACT(C777 ,""^(?:(?:[A-Za-zàäéèêîïöôûü0-9 ](?:[A-Za-zàäéèêîïöôûü'0-9 ]+)))"")) , ""[()]"", """")"&amp;",C777 )"),"L'Ilot Paradisiaque ")</f>
        <v>L'Ilot Paradisiaque </v>
      </c>
      <c r="BO777" s="25"/>
      <c r="BP777" s="7"/>
      <c r="BQ777" s="7"/>
      <c r="BR777" s="7"/>
      <c r="BS777" s="7"/>
      <c r="BT777" s="7"/>
      <c r="BU777" s="7"/>
      <c r="BV777" s="7"/>
      <c r="BW777" s="7"/>
      <c r="BX777" s="7"/>
      <c r="BY777" s="7"/>
      <c r="BZ777" s="7"/>
      <c r="CA777" s="7"/>
      <c r="CB777" s="7"/>
    </row>
    <row r="778" ht="21.75" customHeight="1">
      <c r="A778" s="7"/>
      <c r="B778" s="7" t="s">
        <v>9199</v>
      </c>
      <c r="C778" s="7" t="s">
        <v>9200</v>
      </c>
      <c r="D778" s="7"/>
      <c r="E778" s="7"/>
      <c r="F778" s="7"/>
      <c r="G778" s="7" t="s">
        <v>343</v>
      </c>
      <c r="H778" s="7" t="s">
        <v>123</v>
      </c>
      <c r="I778" s="7" t="s">
        <v>9201</v>
      </c>
      <c r="J778" s="7"/>
      <c r="K778" s="7" t="s">
        <v>34</v>
      </c>
      <c r="L778" s="7"/>
      <c r="M778" s="7"/>
      <c r="N778" s="7"/>
      <c r="O778" s="7">
        <v>97480.0</v>
      </c>
      <c r="P778" s="7" t="s">
        <v>123</v>
      </c>
      <c r="Q778" s="7" t="s">
        <v>9202</v>
      </c>
      <c r="R778" s="7"/>
      <c r="S778" s="7"/>
      <c r="T778" s="7"/>
      <c r="U778" s="7"/>
      <c r="V778" s="7">
        <v>2.62565107E8</v>
      </c>
      <c r="W778" s="7">
        <v>6.92648444E8</v>
      </c>
      <c r="X778" s="7"/>
      <c r="Y778" s="7"/>
      <c r="Z778" s="7"/>
      <c r="AA778" s="7">
        <v>80.0</v>
      </c>
      <c r="AB778" s="7"/>
      <c r="AC778" s="7"/>
      <c r="AD778" s="7"/>
      <c r="AE778" s="7"/>
      <c r="AF778" s="7"/>
      <c r="AG778" s="7"/>
      <c r="AH778" s="7"/>
      <c r="AI778" s="7"/>
      <c r="AJ778" s="7" t="s">
        <v>9203</v>
      </c>
      <c r="AK778" s="7"/>
      <c r="AL778" s="7"/>
      <c r="AM778" s="7"/>
      <c r="AN778" s="7"/>
      <c r="AO778" s="7"/>
      <c r="AP778" s="7"/>
      <c r="AQ778" s="7"/>
      <c r="AR778" s="7"/>
      <c r="AS778" s="7"/>
      <c r="AT778" s="7"/>
      <c r="AU778" s="7"/>
      <c r="AV778" s="7" t="s">
        <v>9204</v>
      </c>
      <c r="AW778" s="7"/>
      <c r="AX778" s="7"/>
      <c r="AY778" s="7"/>
      <c r="AZ778" s="7"/>
      <c r="BA778" s="7"/>
      <c r="BB778" s="7"/>
      <c r="BC778" s="7" t="s">
        <v>401</v>
      </c>
      <c r="BD778" s="7"/>
      <c r="BE778" s="7"/>
      <c r="BF778" s="7"/>
      <c r="BG778" s="7"/>
      <c r="BH778" s="7"/>
      <c r="BI778" s="7" t="s">
        <v>9205</v>
      </c>
      <c r="BJ778" s="7"/>
      <c r="BK778" s="7" t="b">
        <v>0</v>
      </c>
      <c r="BL778" s="7" t="b">
        <v>0</v>
      </c>
      <c r="BM778" s="7"/>
      <c r="BN778" s="7" t="str">
        <f>IFERROR(__xludf.DUMMYFUNCTION(" IF( REGEXMATCH(C778 , ""[(].+[)]""),REGEXREPLACE( CONCATENATE(REGEXEXTRACT(C778 , ""[(].+[)]""),IF(REGEXMATCH(C778 , ""[(][Ll]['’][)]""),"""","" ""), REGEXEXTRACT(C778 ,""^(?:(?:[A-Za-zàäéèêîïöôûü0-9 ](?:[A-Za-zàäéèêîïöôûü'0-9 ]+)))"")) , ""[()]"", """")"&amp;",C778 )"),"Irise Traiteur")</f>
        <v>Irise Traiteur</v>
      </c>
      <c r="BO778" s="25"/>
      <c r="BP778" s="7"/>
      <c r="BQ778" s="7"/>
      <c r="BR778" s="7"/>
      <c r="BS778" s="7"/>
      <c r="BT778" s="7"/>
      <c r="BU778" s="7"/>
      <c r="BV778" s="7"/>
      <c r="BW778" s="7"/>
      <c r="BX778" s="7"/>
      <c r="BY778" s="7"/>
      <c r="BZ778" s="7"/>
      <c r="CA778" s="7"/>
      <c r="CB778" s="7"/>
    </row>
    <row r="779" ht="21.75" customHeight="1">
      <c r="A779" s="7"/>
      <c r="B779" s="7" t="s">
        <v>9206</v>
      </c>
      <c r="C779" s="7" t="s">
        <v>9207</v>
      </c>
      <c r="D779" s="7"/>
      <c r="E779" s="7"/>
      <c r="F779" s="7"/>
      <c r="G779" s="7" t="s">
        <v>343</v>
      </c>
      <c r="H779" s="7" t="s">
        <v>123</v>
      </c>
      <c r="I779" s="7" t="s">
        <v>9208</v>
      </c>
      <c r="J779" s="7"/>
      <c r="K779" s="7" t="s">
        <v>58</v>
      </c>
      <c r="L779" s="7" t="s">
        <v>453</v>
      </c>
      <c r="M779" s="7" t="s">
        <v>454</v>
      </c>
      <c r="N779" s="7" t="s">
        <v>422</v>
      </c>
      <c r="O779" s="7">
        <v>97480.0</v>
      </c>
      <c r="P779" s="7" t="s">
        <v>123</v>
      </c>
      <c r="Q779" s="7" t="s">
        <v>9209</v>
      </c>
      <c r="R779" s="7" t="s">
        <v>9210</v>
      </c>
      <c r="S779" s="7" t="s">
        <v>9211</v>
      </c>
      <c r="T779" s="7" t="s">
        <v>2390</v>
      </c>
      <c r="U779" s="7" t="s">
        <v>353</v>
      </c>
      <c r="V779" s="7">
        <v>2.62566242E8</v>
      </c>
      <c r="W779" s="7">
        <v>6.92297312E8</v>
      </c>
      <c r="X779" s="7"/>
      <c r="Y779" s="7"/>
      <c r="Z779" s="7" t="s">
        <v>9212</v>
      </c>
      <c r="AA779" s="7">
        <v>2.0</v>
      </c>
      <c r="AB779" s="7"/>
      <c r="AC779" s="7"/>
      <c r="AD779" s="7" t="s">
        <v>9213</v>
      </c>
      <c r="AE779" s="7"/>
      <c r="AF779" s="7" t="s">
        <v>1173</v>
      </c>
      <c r="AG779" s="7"/>
      <c r="AH779" s="7"/>
      <c r="AI779" s="7"/>
      <c r="AJ779" s="7" t="s">
        <v>9214</v>
      </c>
      <c r="AK779" s="7"/>
      <c r="AL779" s="7" t="s">
        <v>9208</v>
      </c>
      <c r="AM779" s="7"/>
      <c r="AN779" s="7"/>
      <c r="AO779" s="7"/>
      <c r="AP779" s="7"/>
      <c r="AQ779" s="7"/>
      <c r="AR779" s="7"/>
      <c r="AS779" s="7"/>
      <c r="AT779" s="7"/>
      <c r="AU779" s="7"/>
      <c r="AV779" s="7" t="s">
        <v>9215</v>
      </c>
      <c r="AW779" s="7"/>
      <c r="AX779" s="7" t="s">
        <v>3270</v>
      </c>
      <c r="AY779" s="7" t="s">
        <v>1590</v>
      </c>
      <c r="AZ779" s="7" t="s">
        <v>9216</v>
      </c>
      <c r="BA779" s="7"/>
      <c r="BB779" s="7"/>
      <c r="BC779" s="7" t="s">
        <v>401</v>
      </c>
      <c r="BD779" s="7"/>
      <c r="BE779" s="7"/>
      <c r="BF779" s="7"/>
      <c r="BG779" s="7"/>
      <c r="BH779" s="7"/>
      <c r="BI779" s="7" t="s">
        <v>9217</v>
      </c>
      <c r="BJ779" s="7"/>
      <c r="BK779" s="7" t="b">
        <v>0</v>
      </c>
      <c r="BL779" s="7" t="b">
        <v>0</v>
      </c>
      <c r="BM779" s="7"/>
      <c r="BN779" s="7" t="str">
        <f>IFERROR(__xludf.DUMMYFUNCTION(" IF( REGEXMATCH(C779 , ""[(].+[)]""),REGEXREPLACE( CONCATENATE(REGEXEXTRACT(C779 , ""[(].+[)]""),IF(REGEXMATCH(C779 , ""[(][Ll]['’][)]""),"""","" ""), REGEXEXTRACT(C779 ,""^(?:(?:[A-Za-zàäéèêîïöôûü0-9 ](?:[A-Za-zàäéèêîïöôûü'0-9 ]+)))"")) , ""[()]"", """")"&amp;",C779 )"),"Le Jacquier ")</f>
        <v>Le Jacquier </v>
      </c>
      <c r="BO779" s="25"/>
      <c r="BP779" s="7"/>
      <c r="BQ779" s="7"/>
      <c r="BR779" s="7"/>
      <c r="BS779" s="7"/>
      <c r="BT779" s="7"/>
      <c r="BU779" s="7"/>
      <c r="BV779" s="7"/>
      <c r="BW779" s="7"/>
      <c r="BX779" s="7"/>
      <c r="BY779" s="7"/>
      <c r="BZ779" s="7"/>
      <c r="CA779" s="7"/>
      <c r="CB779" s="7"/>
    </row>
    <row r="780" ht="21.75" customHeight="1">
      <c r="A780" s="7"/>
      <c r="B780" s="7" t="s">
        <v>9218</v>
      </c>
      <c r="C780" s="7" t="s">
        <v>9219</v>
      </c>
      <c r="D780" s="7"/>
      <c r="E780" s="7"/>
      <c r="F780" s="7"/>
      <c r="G780" s="7" t="s">
        <v>343</v>
      </c>
      <c r="H780" s="7" t="s">
        <v>40</v>
      </c>
      <c r="I780" s="7" t="s">
        <v>9220</v>
      </c>
      <c r="J780" s="7"/>
      <c r="K780" s="7" t="s">
        <v>822</v>
      </c>
      <c r="L780" s="7" t="s">
        <v>1805</v>
      </c>
      <c r="M780" s="7" t="s">
        <v>1806</v>
      </c>
      <c r="N780" s="7"/>
      <c r="O780" s="7">
        <v>97414.0</v>
      </c>
      <c r="P780" s="7" t="s">
        <v>40</v>
      </c>
      <c r="Q780" s="7"/>
      <c r="R780" s="7"/>
      <c r="S780" s="7"/>
      <c r="T780" s="7"/>
      <c r="U780" s="7" t="s">
        <v>353</v>
      </c>
      <c r="V780" s="7"/>
      <c r="W780" s="7">
        <v>6.93812065E8</v>
      </c>
      <c r="X780" s="7"/>
      <c r="Y780" s="7"/>
      <c r="Z780" s="7" t="s">
        <v>9221</v>
      </c>
      <c r="AA780" s="7"/>
      <c r="AB780" s="7"/>
      <c r="AC780" s="7" t="s">
        <v>9222</v>
      </c>
      <c r="AD780" s="7" t="s">
        <v>9223</v>
      </c>
      <c r="AE780" s="7"/>
      <c r="AF780" s="7"/>
      <c r="AG780" s="7"/>
      <c r="AH780" s="7"/>
      <c r="AI780" s="7"/>
      <c r="AJ780" s="7" t="s">
        <v>9224</v>
      </c>
      <c r="AK780" s="7"/>
      <c r="AL780" s="7"/>
      <c r="AM780" s="7" t="s">
        <v>9225</v>
      </c>
      <c r="AN780" s="7"/>
      <c r="AO780" s="7">
        <v>97414.0</v>
      </c>
      <c r="AP780" s="7" t="s">
        <v>429</v>
      </c>
      <c r="AQ780" s="7"/>
      <c r="AR780" s="7"/>
      <c r="AS780" s="7"/>
      <c r="AT780" s="7"/>
      <c r="AU780" s="7"/>
      <c r="AV780" s="7" t="s">
        <v>9226</v>
      </c>
      <c r="AW780" s="7"/>
      <c r="AX780" s="7"/>
      <c r="AY780" s="7"/>
      <c r="AZ780" s="7"/>
      <c r="BA780" s="7"/>
      <c r="BB780" s="7"/>
      <c r="BC780" s="7" t="s">
        <v>401</v>
      </c>
      <c r="BD780" s="7"/>
      <c r="BE780" s="7"/>
      <c r="BF780" s="7"/>
      <c r="BG780" s="7"/>
      <c r="BH780" s="7"/>
      <c r="BI780" s="7" t="s">
        <v>9227</v>
      </c>
      <c r="BJ780" s="7"/>
      <c r="BK780" s="7" t="b">
        <v>0</v>
      </c>
      <c r="BL780" s="7" t="b">
        <v>0</v>
      </c>
      <c r="BM780" s="7"/>
      <c r="BN780" s="7" t="str">
        <f>IFERROR(__xludf.DUMMYFUNCTION(" IF( REGEXMATCH(C780 , ""[(].+[)]""),REGEXREPLACE( CONCATENATE(REGEXEXTRACT(C780 , ""[(].+[)]""),IF(REGEXMATCH(C780 , ""[(][Ll]['’][)]""),"""","" ""), REGEXEXTRACT(C780 ,""^(?:(?:[A-Za-zàäéèêîïöôûü0-9 ](?:[A-Za-zàäéèêîïöôûü'0-9 ]+)))"")) , ""[()]"", """")"&amp;",C780 )"),"Le Jardin Créole ")</f>
        <v>Le Jardin Créole </v>
      </c>
      <c r="BO780" s="25"/>
      <c r="BP780" s="7"/>
      <c r="BQ780" s="7"/>
      <c r="BR780" s="7"/>
      <c r="BS780" s="7"/>
      <c r="BT780" s="7"/>
      <c r="BU780" s="7"/>
      <c r="BV780" s="7"/>
      <c r="BW780" s="7"/>
      <c r="BX780" s="7"/>
      <c r="BY780" s="7"/>
      <c r="BZ780" s="7"/>
      <c r="CA780" s="7"/>
      <c r="CB780" s="7"/>
    </row>
    <row r="781" ht="21.75" customHeight="1">
      <c r="A781" s="7"/>
      <c r="B781" s="7" t="s">
        <v>9228</v>
      </c>
      <c r="C781" s="7" t="s">
        <v>9229</v>
      </c>
      <c r="D781" s="7"/>
      <c r="E781" s="7"/>
      <c r="F781" s="7"/>
      <c r="G781" s="7" t="s">
        <v>343</v>
      </c>
      <c r="H781" s="7" t="s">
        <v>40</v>
      </c>
      <c r="I781" s="7" t="s">
        <v>9230</v>
      </c>
      <c r="J781" s="7"/>
      <c r="K781" s="6" t="s">
        <v>469</v>
      </c>
      <c r="L781" s="7" t="s">
        <v>197</v>
      </c>
      <c r="M781" s="7" t="s">
        <v>1406</v>
      </c>
      <c r="N781" s="7"/>
      <c r="O781" s="7">
        <v>97414.0</v>
      </c>
      <c r="P781" s="7" t="s">
        <v>40</v>
      </c>
      <c r="Q781" s="7"/>
      <c r="R781" s="7"/>
      <c r="S781" s="7"/>
      <c r="T781" s="7" t="s">
        <v>8184</v>
      </c>
      <c r="U781" s="7" t="s">
        <v>353</v>
      </c>
      <c r="V781" s="7">
        <v>2.62396956E8</v>
      </c>
      <c r="W781" s="7"/>
      <c r="X781" s="7"/>
      <c r="Y781" s="7"/>
      <c r="Z781" s="7" t="s">
        <v>9231</v>
      </c>
      <c r="AA781" s="7"/>
      <c r="AB781" s="7"/>
      <c r="AC781" s="7"/>
      <c r="AD781" s="7" t="s">
        <v>9232</v>
      </c>
      <c r="AE781" s="7"/>
      <c r="AF781" s="7"/>
      <c r="AG781" s="7"/>
      <c r="AH781" s="7"/>
      <c r="AI781" s="7"/>
      <c r="AJ781" s="7" t="s">
        <v>9233</v>
      </c>
      <c r="AK781" s="7"/>
      <c r="AL781" s="7" t="s">
        <v>9234</v>
      </c>
      <c r="AM781" s="7"/>
      <c r="AN781" s="7"/>
      <c r="AO781" s="7"/>
      <c r="AP781" s="7"/>
      <c r="AQ781" s="7"/>
      <c r="AR781" s="7"/>
      <c r="AS781" s="7"/>
      <c r="AT781" s="7"/>
      <c r="AU781" s="7"/>
      <c r="AV781" s="7" t="s">
        <v>9235</v>
      </c>
      <c r="AW781" s="7"/>
      <c r="AX781" s="7"/>
      <c r="AY781" s="7"/>
      <c r="AZ781" s="7"/>
      <c r="BA781" s="7"/>
      <c r="BB781" s="7"/>
      <c r="BC781" s="7" t="s">
        <v>401</v>
      </c>
      <c r="BD781" s="7"/>
      <c r="BE781" s="7"/>
      <c r="BF781" s="7"/>
      <c r="BG781" s="7"/>
      <c r="BH781" s="7"/>
      <c r="BI781" s="7" t="s">
        <v>9236</v>
      </c>
      <c r="BJ781" s="7"/>
      <c r="BK781" s="7" t="b">
        <v>0</v>
      </c>
      <c r="BL781" s="7" t="b">
        <v>0</v>
      </c>
      <c r="BM781" s="7"/>
      <c r="BN781" s="7" t="str">
        <f>IFERROR(__xludf.DUMMYFUNCTION(" IF( REGEXMATCH(C781 , ""[(].+[)]""),REGEXREPLACE( CONCATENATE(REGEXEXTRACT(C781 , ""[(].+[)]""),IF(REGEXMATCH(C781 , ""[(][Ll]['’][)]""),"""","" ""), REGEXEXTRACT(C781 ,""^(?:(?:[A-Za-zàäéèêîïöôûü0-9 ](?:[A-Za-zàäéèêîïöôûü'0-9 ]+)))"")) , ""[()]"", """")"&amp;",C781 )"),"Jardin Gourmand")</f>
        <v>Jardin Gourmand</v>
      </c>
      <c r="BO781" s="25"/>
      <c r="BP781" s="7"/>
      <c r="BQ781" s="7"/>
      <c r="BR781" s="7"/>
      <c r="BS781" s="7"/>
      <c r="BT781" s="7"/>
      <c r="BU781" s="7"/>
      <c r="BV781" s="7"/>
      <c r="BW781" s="7"/>
      <c r="BX781" s="7"/>
      <c r="BY781" s="7"/>
      <c r="BZ781" s="7"/>
      <c r="CA781" s="7"/>
      <c r="CB781" s="7"/>
    </row>
    <row r="782" ht="21.75" customHeight="1">
      <c r="A782" s="7"/>
      <c r="B782" s="7" t="s">
        <v>9237</v>
      </c>
      <c r="C782" s="7" t="s">
        <v>9238</v>
      </c>
      <c r="D782" s="7"/>
      <c r="E782" s="7"/>
      <c r="F782" s="7"/>
      <c r="G782" s="7" t="s">
        <v>343</v>
      </c>
      <c r="H782" s="7" t="s">
        <v>344</v>
      </c>
      <c r="I782" s="7" t="s">
        <v>9056</v>
      </c>
      <c r="J782" s="7"/>
      <c r="K782" s="7" t="s">
        <v>58</v>
      </c>
      <c r="L782" s="7" t="s">
        <v>59</v>
      </c>
      <c r="M782" s="7" t="s">
        <v>374</v>
      </c>
      <c r="N782" s="7"/>
      <c r="O782" s="7">
        <v>97418.0</v>
      </c>
      <c r="P782" s="7" t="s">
        <v>348</v>
      </c>
      <c r="Q782" s="7"/>
      <c r="R782" s="7"/>
      <c r="S782" s="7"/>
      <c r="T782" s="7"/>
      <c r="U782" s="7"/>
      <c r="V782" s="7"/>
      <c r="W782" s="7">
        <v>6.92526124E8</v>
      </c>
      <c r="X782" s="7">
        <v>6.92926692E8</v>
      </c>
      <c r="Y782" s="7"/>
      <c r="Z782" s="7" t="s">
        <v>9058</v>
      </c>
      <c r="AA782" s="7">
        <v>5.0</v>
      </c>
      <c r="AB782" s="7" t="s">
        <v>2716</v>
      </c>
      <c r="AC782" s="7"/>
      <c r="AD782" s="7"/>
      <c r="AE782" s="7"/>
      <c r="AF782" s="7"/>
      <c r="AG782" s="7"/>
      <c r="AH782" s="7"/>
      <c r="AI782" s="7"/>
      <c r="AJ782" s="7" t="s">
        <v>9059</v>
      </c>
      <c r="AK782" s="7">
        <v>4.346787930001E13</v>
      </c>
      <c r="AL782" s="7" t="s">
        <v>9056</v>
      </c>
      <c r="AM782" s="7"/>
      <c r="AN782" s="7"/>
      <c r="AO782" s="7">
        <v>97418.0</v>
      </c>
      <c r="AP782" s="7" t="s">
        <v>362</v>
      </c>
      <c r="AQ782" s="7"/>
      <c r="AR782" s="7"/>
      <c r="AS782" s="7"/>
      <c r="AT782" s="7"/>
      <c r="AU782" s="7">
        <v>1.0</v>
      </c>
      <c r="AV782" s="7" t="s">
        <v>9060</v>
      </c>
      <c r="AW782" s="7"/>
      <c r="AX782" s="7"/>
      <c r="AY782" s="7"/>
      <c r="AZ782" s="7" t="s">
        <v>9239</v>
      </c>
      <c r="BA782" s="7"/>
      <c r="BB782" s="7"/>
      <c r="BC782" s="7" t="s">
        <v>401</v>
      </c>
      <c r="BD782" s="7"/>
      <c r="BE782" s="7"/>
      <c r="BF782" s="7"/>
      <c r="BG782" s="7"/>
      <c r="BH782" s="7">
        <v>4.34678793E8</v>
      </c>
      <c r="BI782" s="7" t="s">
        <v>9062</v>
      </c>
      <c r="BJ782" s="7"/>
      <c r="BK782" s="7" t="b">
        <v>0</v>
      </c>
      <c r="BL782" s="7" t="b">
        <v>0</v>
      </c>
      <c r="BM782" s="7"/>
      <c r="BN782" s="7" t="str">
        <f>IFERROR(__xludf.DUMMYFUNCTION(" IF( REGEXMATCH(C782 , ""[(].+[)]""),REGEXREPLACE( CONCATENATE(REGEXEXTRACT(C782 , ""[(].+[)]""),IF(REGEXMATCH(C782 , ""[(][Ll]['’][)]""),"""","" ""), REGEXEXTRACT(C782 ,""^(?:(?:[A-Za-zàäéèêîïöôûü0-9 ](?:[A-Za-zàäéèêîïöôûü'0-9 ]+)))"")) , ""[()]"", """")"&amp;",C782 )"),"Le Jardin Secret ")</f>
        <v>Le Jardin Secret </v>
      </c>
      <c r="BO782" s="25"/>
      <c r="BP782" s="7"/>
      <c r="BQ782" s="7"/>
      <c r="BR782" s="7"/>
      <c r="BS782" s="7"/>
      <c r="BT782" s="7"/>
      <c r="BU782" s="7"/>
      <c r="BV782" s="7"/>
      <c r="BW782" s="7"/>
      <c r="BX782" s="7"/>
      <c r="BY782" s="7"/>
      <c r="BZ782" s="7"/>
      <c r="CA782" s="7"/>
      <c r="CB782" s="7"/>
    </row>
    <row r="783" ht="21.75" customHeight="1">
      <c r="A783" s="7"/>
      <c r="B783" s="7" t="s">
        <v>9240</v>
      </c>
      <c r="C783" s="7" t="s">
        <v>9241</v>
      </c>
      <c r="D783" s="7"/>
      <c r="E783" s="7"/>
      <c r="F783" s="7"/>
      <c r="G783" s="7" t="s">
        <v>343</v>
      </c>
      <c r="H783" s="7" t="s">
        <v>123</v>
      </c>
      <c r="I783" s="7" t="s">
        <v>9242</v>
      </c>
      <c r="J783" s="7"/>
      <c r="K783" s="7" t="s">
        <v>58</v>
      </c>
      <c r="L783" s="7" t="s">
        <v>59</v>
      </c>
      <c r="M783" s="7" t="s">
        <v>346</v>
      </c>
      <c r="N783" s="7" t="s">
        <v>9243</v>
      </c>
      <c r="O783" s="7">
        <v>97480.0</v>
      </c>
      <c r="P783" s="7" t="s">
        <v>123</v>
      </c>
      <c r="Q783" s="7" t="s">
        <v>8259</v>
      </c>
      <c r="R783" s="7" t="s">
        <v>9244</v>
      </c>
      <c r="S783" s="7" t="s">
        <v>9183</v>
      </c>
      <c r="T783" s="7" t="s">
        <v>8184</v>
      </c>
      <c r="U783" s="7" t="s">
        <v>378</v>
      </c>
      <c r="V783" s="7">
        <v>2.62973185E8</v>
      </c>
      <c r="W783" s="7">
        <v>6.92351603E8</v>
      </c>
      <c r="X783" s="7"/>
      <c r="Y783" s="7"/>
      <c r="Z783" s="7" t="s">
        <v>9245</v>
      </c>
      <c r="AA783" s="7">
        <v>4.0</v>
      </c>
      <c r="AB783" s="7"/>
      <c r="AC783" s="7"/>
      <c r="AD783" s="7" t="s">
        <v>9246</v>
      </c>
      <c r="AE783" s="7"/>
      <c r="AF783" s="7"/>
      <c r="AG783" s="7"/>
      <c r="AH783" s="7"/>
      <c r="AI783" s="7"/>
      <c r="AJ783" s="7" t="s">
        <v>9247</v>
      </c>
      <c r="AK783" s="7"/>
      <c r="AL783" s="7" t="s">
        <v>9242</v>
      </c>
      <c r="AM783" s="7" t="s">
        <v>9248</v>
      </c>
      <c r="AN783" s="7"/>
      <c r="AO783" s="7">
        <v>97480.0</v>
      </c>
      <c r="AP783" s="7" t="s">
        <v>385</v>
      </c>
      <c r="AQ783" s="7"/>
      <c r="AR783" s="7"/>
      <c r="AS783" s="7"/>
      <c r="AT783" s="7"/>
      <c r="AU783" s="7">
        <v>1.0</v>
      </c>
      <c r="AV783" s="7" t="s">
        <v>9249</v>
      </c>
      <c r="AW783" s="7"/>
      <c r="AX783" s="7" t="s">
        <v>9250</v>
      </c>
      <c r="AY783" s="7" t="s">
        <v>1962</v>
      </c>
      <c r="AZ783" s="7"/>
      <c r="BA783" s="7"/>
      <c r="BB783" s="7"/>
      <c r="BC783" s="7" t="s">
        <v>401</v>
      </c>
      <c r="BD783" s="7"/>
      <c r="BE783" s="7"/>
      <c r="BF783" s="7"/>
      <c r="BG783" s="7"/>
      <c r="BH783" s="7"/>
      <c r="BI783" s="7" t="s">
        <v>9251</v>
      </c>
      <c r="BJ783" s="7"/>
      <c r="BK783" s="7" t="b">
        <v>0</v>
      </c>
      <c r="BL783" s="7" t="b">
        <v>0</v>
      </c>
      <c r="BM783" s="7"/>
      <c r="BN783" s="7" t="str">
        <f>IFERROR(__xludf.DUMMYFUNCTION(" IF( REGEXMATCH(C783 , ""[(].+[)]""),REGEXREPLACE( CONCATENATE(REGEXEXTRACT(C783 , ""[(].+[)]""),IF(REGEXMATCH(C783 , ""[(][Ll]['’][)]""),"""","" ""), REGEXEXTRACT(C783 ,""^(?:(?:[A-Za-zàäéèêîïöôûü0-9 ](?:[A-Za-zàäéèêîïöôûü'0-9 ]+)))"")) , ""[()]"", """")"&amp;",C783 )"),"Jean Petit Paille en Queue")</f>
        <v>Jean Petit Paille en Queue</v>
      </c>
      <c r="BO783" s="25"/>
      <c r="BP783" s="7"/>
      <c r="BQ783" s="7"/>
      <c r="BR783" s="7"/>
      <c r="BS783" s="7"/>
      <c r="BT783" s="7"/>
      <c r="BU783" s="7"/>
      <c r="BV783" s="7"/>
      <c r="BW783" s="7"/>
      <c r="BX783" s="7"/>
      <c r="BY783" s="7"/>
      <c r="BZ783" s="7"/>
      <c r="CA783" s="7"/>
      <c r="CB783" s="7"/>
    </row>
    <row r="784" ht="21.75" customHeight="1">
      <c r="A784" s="7"/>
      <c r="B784" s="7" t="s">
        <v>9252</v>
      </c>
      <c r="C784" s="7" t="s">
        <v>9253</v>
      </c>
      <c r="D784" s="7"/>
      <c r="E784" s="7"/>
      <c r="F784" s="7"/>
      <c r="G784" s="7" t="s">
        <v>343</v>
      </c>
      <c r="H784" s="7" t="s">
        <v>123</v>
      </c>
      <c r="I784" s="7" t="s">
        <v>9254</v>
      </c>
      <c r="J784" s="7"/>
      <c r="K784" s="6" t="s">
        <v>469</v>
      </c>
      <c r="L784" s="7"/>
      <c r="M784" s="7"/>
      <c r="N784" s="7"/>
      <c r="O784" s="7">
        <v>97480.0</v>
      </c>
      <c r="P784" s="7" t="s">
        <v>123</v>
      </c>
      <c r="Q784" s="7"/>
      <c r="R784" s="7"/>
      <c r="S784" s="7"/>
      <c r="T784" s="7" t="s">
        <v>377</v>
      </c>
      <c r="U784" s="7" t="s">
        <v>4717</v>
      </c>
      <c r="V784" s="7"/>
      <c r="W784" s="7">
        <v>6.92295439E8</v>
      </c>
      <c r="X784" s="7">
        <v>6.93138251E8</v>
      </c>
      <c r="Y784" s="7"/>
      <c r="Z784" s="7" t="s">
        <v>9255</v>
      </c>
      <c r="AA784" s="7"/>
      <c r="AB784" s="7"/>
      <c r="AC784" s="7"/>
      <c r="AD784" s="7" t="s">
        <v>9256</v>
      </c>
      <c r="AE784" s="7"/>
      <c r="AF784" s="7" t="s">
        <v>1173</v>
      </c>
      <c r="AG784" s="7"/>
      <c r="AH784" s="7"/>
      <c r="AI784" s="7"/>
      <c r="AJ784" s="7" t="s">
        <v>9257</v>
      </c>
      <c r="AK784" s="7"/>
      <c r="AL784" s="7"/>
      <c r="AM784" s="7"/>
      <c r="AN784" s="7"/>
      <c r="AO784" s="7"/>
      <c r="AP784" s="7"/>
      <c r="AQ784" s="7"/>
      <c r="AR784" s="7"/>
      <c r="AS784" s="7"/>
      <c r="AT784" s="7"/>
      <c r="AU784" s="7"/>
      <c r="AV784" s="7" t="s">
        <v>9258</v>
      </c>
      <c r="AW784" s="7"/>
      <c r="AX784" s="7" t="s">
        <v>9259</v>
      </c>
      <c r="AY784" s="7" t="s">
        <v>1876</v>
      </c>
      <c r="AZ784" s="7"/>
      <c r="BA784" s="7"/>
      <c r="BB784" s="7"/>
      <c r="BC784" s="7" t="s">
        <v>401</v>
      </c>
      <c r="BD784" s="7"/>
      <c r="BE784" s="7"/>
      <c r="BF784" s="7"/>
      <c r="BG784" s="7"/>
      <c r="BH784" s="7"/>
      <c r="BI784" s="7" t="s">
        <v>9260</v>
      </c>
      <c r="BJ784" s="7"/>
      <c r="BK784" s="7" t="b">
        <v>0</v>
      </c>
      <c r="BL784" s="7" t="b">
        <v>0</v>
      </c>
      <c r="BM784" s="7"/>
      <c r="BN784" s="7" t="str">
        <f>IFERROR(__xludf.DUMMYFUNCTION(" IF( REGEXMATCH(C784 , ""[(].+[)]""),REGEXREPLACE( CONCATENATE(REGEXEXTRACT(C784 , ""[(].+[)]""),IF(REGEXMATCH(C784 , ""[(][Ll]['’][)]""),"""","" ""), REGEXEXTRACT(C784 ,""^(?:(?:[A-Za-zàäéèêîïöôûü0-9 ](?:[A-Za-zàäéèêîïöôûü'0-9 ]+)))"")) , ""[()]"", """")"&amp;",C784 )"),"Jocelyn Ceus")</f>
        <v>Jocelyn Ceus</v>
      </c>
      <c r="BO784" s="25"/>
      <c r="BP784" s="7"/>
      <c r="BQ784" s="7"/>
      <c r="BR784" s="7"/>
      <c r="BS784" s="7"/>
      <c r="BT784" s="7"/>
      <c r="BU784" s="7"/>
      <c r="BV784" s="7"/>
      <c r="BW784" s="7"/>
      <c r="BX784" s="7"/>
      <c r="BY784" s="7"/>
      <c r="BZ784" s="7"/>
      <c r="CA784" s="7"/>
      <c r="CB784" s="7"/>
    </row>
    <row r="785" ht="21.75" customHeight="1">
      <c r="A785" s="7"/>
      <c r="B785" s="7" t="s">
        <v>9261</v>
      </c>
      <c r="C785" s="7" t="s">
        <v>9262</v>
      </c>
      <c r="D785" s="7" t="s">
        <v>9263</v>
      </c>
      <c r="E785" s="7"/>
      <c r="F785" s="7"/>
      <c r="G785" s="7" t="s">
        <v>343</v>
      </c>
      <c r="H785" s="7" t="s">
        <v>40</v>
      </c>
      <c r="I785" s="7" t="s">
        <v>9264</v>
      </c>
      <c r="J785" s="7"/>
      <c r="K785" s="6" t="s">
        <v>469</v>
      </c>
      <c r="L785" s="7" t="s">
        <v>1405</v>
      </c>
      <c r="M785" s="7" t="s">
        <v>1406</v>
      </c>
      <c r="N785" s="7"/>
      <c r="O785" s="7">
        <v>97414.0</v>
      </c>
      <c r="P785" s="7" t="s">
        <v>40</v>
      </c>
      <c r="Q785" s="7"/>
      <c r="R785" s="7"/>
      <c r="S785" s="7"/>
      <c r="T785" s="7"/>
      <c r="U785" s="7" t="s">
        <v>353</v>
      </c>
      <c r="V785" s="7"/>
      <c r="W785" s="7">
        <v>6.92692041E8</v>
      </c>
      <c r="X785" s="7"/>
      <c r="Y785" s="7"/>
      <c r="Z785" s="7" t="s">
        <v>9265</v>
      </c>
      <c r="AA785" s="7"/>
      <c r="AB785" s="7"/>
      <c r="AC785" s="7"/>
      <c r="AD785" s="7" t="s">
        <v>9266</v>
      </c>
      <c r="AE785" s="7"/>
      <c r="AF785" s="7"/>
      <c r="AG785" s="7"/>
      <c r="AH785" s="7"/>
      <c r="AI785" s="7"/>
      <c r="AJ785" s="7" t="s">
        <v>9267</v>
      </c>
      <c r="AK785" s="7">
        <v>7.5009996200011E13</v>
      </c>
      <c r="AL785" s="7"/>
      <c r="AM785" s="7"/>
      <c r="AN785" s="7"/>
      <c r="AO785" s="7">
        <v>97414.0</v>
      </c>
      <c r="AP785" s="7" t="s">
        <v>429</v>
      </c>
      <c r="AQ785" s="7"/>
      <c r="AR785" s="7"/>
      <c r="AS785" s="7"/>
      <c r="AT785" s="7"/>
      <c r="AU785" s="7"/>
      <c r="AV785" s="7" t="s">
        <v>4237</v>
      </c>
      <c r="AW785" s="7"/>
      <c r="AX785" s="7"/>
      <c r="AY785" s="7"/>
      <c r="AZ785" s="7"/>
      <c r="BA785" s="7"/>
      <c r="BB785" s="7"/>
      <c r="BC785" s="7" t="s">
        <v>401</v>
      </c>
      <c r="BD785" s="7"/>
      <c r="BE785" s="7"/>
      <c r="BF785" s="7"/>
      <c r="BG785" s="7"/>
      <c r="BH785" s="7">
        <v>7.50099962E8</v>
      </c>
      <c r="BI785" s="7" t="s">
        <v>1786</v>
      </c>
      <c r="BJ785" s="7"/>
      <c r="BK785" s="7" t="b">
        <v>0</v>
      </c>
      <c r="BL785" s="7" t="b">
        <v>0</v>
      </c>
      <c r="BM785" s="7"/>
      <c r="BN785" s="7" t="str">
        <f>IFERROR(__xludf.DUMMYFUNCTION(" IF( REGEXMATCH(C785 , ""[(].+[)]""),REGEXREPLACE( CONCATENATE(REGEXEXTRACT(C785 , ""[(].+[)]""),IF(REGEXMATCH(C785 , ""[(][Ll]['’][)]""),"""","" ""), REGEXEXTRACT(C785 ,""^(?:(?:[A-Za-zàäéèêîïöôûü0-9 ](?:[A-Za-zàäéèêîïöôûü'0-9 ]+)))"")) , ""[()]"", """")"&amp;",C785 )"),"Kafé Lontan")</f>
        <v>Kafé Lontan</v>
      </c>
      <c r="BO785" s="25"/>
      <c r="BP785" s="7"/>
      <c r="BQ785" s="7"/>
      <c r="BR785" s="7"/>
      <c r="BS785" s="7"/>
      <c r="BT785" s="7"/>
      <c r="BU785" s="7"/>
      <c r="BV785" s="7"/>
      <c r="BW785" s="7"/>
      <c r="BX785" s="7"/>
      <c r="BY785" s="7"/>
      <c r="BZ785" s="7"/>
      <c r="CA785" s="7"/>
      <c r="CB785" s="7"/>
    </row>
    <row r="786" ht="21.75" customHeight="1">
      <c r="A786" s="7"/>
      <c r="B786" s="7" t="s">
        <v>9268</v>
      </c>
      <c r="C786" s="7" t="s">
        <v>9269</v>
      </c>
      <c r="D786" s="7"/>
      <c r="E786" s="7"/>
      <c r="F786" s="7"/>
      <c r="G786" s="7" t="s">
        <v>343</v>
      </c>
      <c r="H786" s="7" t="s">
        <v>344</v>
      </c>
      <c r="I786" s="7" t="s">
        <v>9270</v>
      </c>
      <c r="J786" s="26" t="s">
        <v>9271</v>
      </c>
      <c r="K786" s="7" t="s">
        <v>58</v>
      </c>
      <c r="L786" s="7" t="s">
        <v>59</v>
      </c>
      <c r="M786" s="7" t="s">
        <v>346</v>
      </c>
      <c r="N786" s="7" t="s">
        <v>455</v>
      </c>
      <c r="O786" s="7">
        <v>97418.0</v>
      </c>
      <c r="P786" s="7" t="s">
        <v>348</v>
      </c>
      <c r="Q786" s="7" t="s">
        <v>9272</v>
      </c>
      <c r="R786" s="7" t="s">
        <v>9273</v>
      </c>
      <c r="S786" s="7" t="s">
        <v>9274</v>
      </c>
      <c r="T786" s="7" t="s">
        <v>9275</v>
      </c>
      <c r="U786" s="7" t="s">
        <v>9276</v>
      </c>
      <c r="V786" s="7"/>
      <c r="W786" s="7">
        <v>6.2049818E8</v>
      </c>
      <c r="X786" s="7"/>
      <c r="Y786" s="7"/>
      <c r="Z786" s="7" t="s">
        <v>9277</v>
      </c>
      <c r="AA786" s="7">
        <v>6.0</v>
      </c>
      <c r="AB786" s="7"/>
      <c r="AC786" s="7"/>
      <c r="AD786" s="7" t="s">
        <v>9278</v>
      </c>
      <c r="AE786" s="7" t="s">
        <v>9279</v>
      </c>
      <c r="AF786" s="7" t="s">
        <v>1173</v>
      </c>
      <c r="AG786" s="7"/>
      <c r="AH786" s="7"/>
      <c r="AI786" s="7"/>
      <c r="AJ786" s="7" t="s">
        <v>9280</v>
      </c>
      <c r="AK786" s="7">
        <v>8.5351213500015E13</v>
      </c>
      <c r="AL786" s="7" t="s">
        <v>9281</v>
      </c>
      <c r="AM786" s="7"/>
      <c r="AN786" s="7"/>
      <c r="AO786" s="7">
        <v>13750.0</v>
      </c>
      <c r="AP786" s="7"/>
      <c r="AQ786" s="7"/>
      <c r="AR786" s="7"/>
      <c r="AS786" s="7"/>
      <c r="AT786" s="7"/>
      <c r="AU786" s="7">
        <v>1.0</v>
      </c>
      <c r="AV786" s="7" t="s">
        <v>9282</v>
      </c>
      <c r="AW786" s="7"/>
      <c r="AX786" s="7" t="s">
        <v>1828</v>
      </c>
      <c r="AY786" s="7" t="s">
        <v>1590</v>
      </c>
      <c r="AZ786" s="7" t="s">
        <v>9283</v>
      </c>
      <c r="BA786" s="7"/>
      <c r="BB786" s="7"/>
      <c r="BC786" s="7" t="s">
        <v>401</v>
      </c>
      <c r="BD786" s="7"/>
      <c r="BE786" s="7"/>
      <c r="BF786" s="7"/>
      <c r="BG786" s="7"/>
      <c r="BH786" s="7">
        <v>8.53512135E8</v>
      </c>
      <c r="BI786" s="7" t="s">
        <v>9284</v>
      </c>
      <c r="BJ786" s="7"/>
      <c r="BK786" s="7" t="b">
        <v>0</v>
      </c>
      <c r="BL786" s="7" t="b">
        <v>0</v>
      </c>
      <c r="BM786" s="7"/>
      <c r="BN786" s="7" t="str">
        <f>IFERROR(__xludf.DUMMYFUNCTION(" IF( REGEXMATCH(C786 , ""[(].+[)]""),REGEXREPLACE( CONCATENATE(REGEXEXTRACT(C786 , ""[(].+[)]""),IF(REGEXMATCH(C786 , ""[(][Ll]['’][)]""),"""","" ""), REGEXEXTRACT(C786 ,""^(?:(?:[A-Za-zàäéèêîïöôûü0-9 ](?:[A-Za-zàäéèêîïöôûü'0-9 ]+)))"")) , ""[()]"", """")"&amp;",C786 )"),"La Kaz Léo ")</f>
        <v>La Kaz Léo </v>
      </c>
      <c r="BO786" s="25"/>
      <c r="BP786" s="7"/>
      <c r="BQ786" s="7"/>
      <c r="BR786" s="7"/>
      <c r="BS786" s="7"/>
      <c r="BT786" s="7"/>
      <c r="BU786" s="7"/>
      <c r="BV786" s="7"/>
      <c r="BW786" s="7"/>
      <c r="BX786" s="7"/>
      <c r="BY786" s="7"/>
      <c r="BZ786" s="7"/>
      <c r="CA786" s="7"/>
      <c r="CB786" s="7"/>
    </row>
    <row r="787" ht="21.75" customHeight="1">
      <c r="A787" s="7"/>
      <c r="B787" s="7" t="s">
        <v>9285</v>
      </c>
      <c r="C787" s="7" t="s">
        <v>9286</v>
      </c>
      <c r="D787" s="7"/>
      <c r="E787" s="7"/>
      <c r="F787" s="7"/>
      <c r="G787" s="7" t="s">
        <v>343</v>
      </c>
      <c r="H787" s="7" t="s">
        <v>344</v>
      </c>
      <c r="I787" s="7" t="s">
        <v>9287</v>
      </c>
      <c r="J787" s="7"/>
      <c r="K787" s="7" t="s">
        <v>58</v>
      </c>
      <c r="L787" s="7" t="s">
        <v>59</v>
      </c>
      <c r="M787" s="7"/>
      <c r="N787" s="7"/>
      <c r="O787" s="7">
        <v>97430.0</v>
      </c>
      <c r="P787" s="7" t="s">
        <v>344</v>
      </c>
      <c r="Q787" s="7" t="s">
        <v>9288</v>
      </c>
      <c r="R787" s="7" t="s">
        <v>9289</v>
      </c>
      <c r="S787" s="7" t="s">
        <v>9290</v>
      </c>
      <c r="T787" s="7"/>
      <c r="U787" s="7" t="s">
        <v>592</v>
      </c>
      <c r="V787" s="7"/>
      <c r="W787" s="7">
        <v>6.9249137E8</v>
      </c>
      <c r="X787" s="7"/>
      <c r="Y787" s="7"/>
      <c r="Z787" s="7" t="s">
        <v>9291</v>
      </c>
      <c r="AA787" s="7">
        <v>6.0</v>
      </c>
      <c r="AB787" s="7"/>
      <c r="AC787" s="7"/>
      <c r="AD787" s="7"/>
      <c r="AE787" s="7"/>
      <c r="AF787" s="7"/>
      <c r="AG787" s="7"/>
      <c r="AH787" s="7"/>
      <c r="AI787" s="7"/>
      <c r="AJ787" s="7" t="s">
        <v>9292</v>
      </c>
      <c r="AK787" s="7">
        <v>4.3102563400019E13</v>
      </c>
      <c r="AL787" s="7" t="s">
        <v>9293</v>
      </c>
      <c r="AM787" s="7"/>
      <c r="AN787" s="7"/>
      <c r="AO787" s="7">
        <v>97430.0</v>
      </c>
      <c r="AP787" s="7" t="s">
        <v>494</v>
      </c>
      <c r="AQ787" s="7"/>
      <c r="AR787" s="7"/>
      <c r="AS787" s="7"/>
      <c r="AT787" s="7"/>
      <c r="AU787" s="7"/>
      <c r="AV787" s="7" t="s">
        <v>9294</v>
      </c>
      <c r="AW787" s="7"/>
      <c r="AX787" s="7" t="s">
        <v>9295</v>
      </c>
      <c r="AY787" s="7" t="s">
        <v>1590</v>
      </c>
      <c r="AZ787" s="7" t="s">
        <v>9296</v>
      </c>
      <c r="BA787" s="7"/>
      <c r="BB787" s="7"/>
      <c r="BC787" s="7" t="s">
        <v>401</v>
      </c>
      <c r="BD787" s="7"/>
      <c r="BE787" s="7"/>
      <c r="BF787" s="7"/>
      <c r="BG787" s="7"/>
      <c r="BH787" s="7">
        <v>4.31025634E8</v>
      </c>
      <c r="BI787" s="7" t="s">
        <v>9297</v>
      </c>
      <c r="BJ787" s="7"/>
      <c r="BK787" s="7" t="b">
        <v>0</v>
      </c>
      <c r="BL787" s="7" t="b">
        <v>0</v>
      </c>
      <c r="BM787" s="7"/>
      <c r="BN787" s="7" t="str">
        <f>IFERROR(__xludf.DUMMYFUNCTION(" IF( REGEXMATCH(C787 , ""[(].+[)]""),REGEXREPLACE( CONCATENATE(REGEXEXTRACT(C787 , ""[(].+[)]""),IF(REGEXMATCH(C787 , ""[(][Ll]['’][)]""),"""","" ""), REGEXEXTRACT(C787 ,""^(?:(?:[A-Za-zàäéèêîïöôûü0-9 ](?:[A-Za-zàäéèêîïöôûü'0-9 ]+)))"")) , ""[()]"", """")"&amp;",C787 )"),"Kaz Zezere o Ker du Bras Creux")</f>
        <v>Kaz Zezere o Ker du Bras Creux</v>
      </c>
      <c r="BO787" s="25"/>
      <c r="BP787" s="7"/>
      <c r="BQ787" s="7"/>
      <c r="BR787" s="7"/>
      <c r="BS787" s="7"/>
      <c r="BT787" s="7"/>
      <c r="BU787" s="7"/>
      <c r="BV787" s="7"/>
      <c r="BW787" s="7"/>
      <c r="BX787" s="7"/>
      <c r="BY787" s="7"/>
      <c r="BZ787" s="7"/>
      <c r="CA787" s="7"/>
      <c r="CB787" s="7"/>
    </row>
    <row r="788" ht="21.75" customHeight="1">
      <c r="A788" s="7"/>
      <c r="B788" s="7" t="s">
        <v>9298</v>
      </c>
      <c r="C788" s="7" t="s">
        <v>9299</v>
      </c>
      <c r="D788" s="7"/>
      <c r="E788" s="7"/>
      <c r="F788" s="7"/>
      <c r="G788" s="7" t="s">
        <v>343</v>
      </c>
      <c r="H788" s="7" t="s">
        <v>344</v>
      </c>
      <c r="I788" s="7" t="s">
        <v>9300</v>
      </c>
      <c r="J788" s="26" t="s">
        <v>9301</v>
      </c>
      <c r="K788" s="7" t="s">
        <v>58</v>
      </c>
      <c r="L788" s="7" t="s">
        <v>59</v>
      </c>
      <c r="M788" s="7" t="s">
        <v>374</v>
      </c>
      <c r="N788" s="7"/>
      <c r="O788" s="7">
        <v>97430.0</v>
      </c>
      <c r="P788" s="7" t="s">
        <v>344</v>
      </c>
      <c r="Q788" s="7"/>
      <c r="R788" s="7" t="s">
        <v>9302</v>
      </c>
      <c r="S788" s="7" t="s">
        <v>9303</v>
      </c>
      <c r="T788" s="7" t="s">
        <v>1863</v>
      </c>
      <c r="U788" s="7" t="s">
        <v>1508</v>
      </c>
      <c r="V788" s="7"/>
      <c r="W788" s="7">
        <v>6.92389249E8</v>
      </c>
      <c r="X788" s="7"/>
      <c r="Y788" s="7"/>
      <c r="Z788" s="7" t="s">
        <v>9304</v>
      </c>
      <c r="AA788" s="7">
        <v>4.0</v>
      </c>
      <c r="AB788" s="7" t="s">
        <v>2716</v>
      </c>
      <c r="AC788" s="7"/>
      <c r="AD788" s="7"/>
      <c r="AE788" s="7"/>
      <c r="AF788" s="7" t="s">
        <v>1173</v>
      </c>
      <c r="AG788" s="7"/>
      <c r="AH788" s="7"/>
      <c r="AI788" s="7"/>
      <c r="AJ788" s="7" t="s">
        <v>9305</v>
      </c>
      <c r="AK788" s="7"/>
      <c r="AL788" s="7" t="s">
        <v>9306</v>
      </c>
      <c r="AM788" s="7"/>
      <c r="AN788" s="7"/>
      <c r="AO788" s="7"/>
      <c r="AP788" s="7" t="s">
        <v>494</v>
      </c>
      <c r="AQ788" s="7"/>
      <c r="AR788" s="7"/>
      <c r="AS788" s="7"/>
      <c r="AT788" s="7"/>
      <c r="AU788" s="7">
        <v>1.0</v>
      </c>
      <c r="AV788" s="7" t="s">
        <v>9307</v>
      </c>
      <c r="AW788" s="7"/>
      <c r="AX788" s="7" t="s">
        <v>3806</v>
      </c>
      <c r="AY788" s="7" t="s">
        <v>1829</v>
      </c>
      <c r="AZ788" s="7" t="s">
        <v>9308</v>
      </c>
      <c r="BA788" s="7"/>
      <c r="BB788" s="7"/>
      <c r="BC788" s="7" t="s">
        <v>401</v>
      </c>
      <c r="BD788" s="7"/>
      <c r="BE788" s="7"/>
      <c r="BF788" s="7"/>
      <c r="BG788" s="7"/>
      <c r="BH788" s="7"/>
      <c r="BI788" s="7" t="s">
        <v>9309</v>
      </c>
      <c r="BJ788" s="7"/>
      <c r="BK788" s="7" t="b">
        <v>0</v>
      </c>
      <c r="BL788" s="7" t="b">
        <v>0</v>
      </c>
      <c r="BM788" s="7"/>
      <c r="BN788" s="7" t="str">
        <f>IFERROR(__xludf.DUMMYFUNCTION(" IF( REGEXMATCH(C788 , ""[(].+[)]""),REGEXREPLACE( CONCATENATE(REGEXEXTRACT(C788 , ""[(].+[)]""),IF(REGEXMATCH(C788 , ""[(][Ll]['’][)]""),"""","" ""), REGEXEXTRACT(C788 ,""^(?:(?:[A-Za-zàäéèêîïöôûü0-9 ](?:[A-Za-zàäéèêîïöôûü'0-9 ]+)))"")) , ""[()]"", """")"&amp;",C788 )"),"Kazanoo")</f>
        <v>Kazanoo</v>
      </c>
      <c r="BO788" s="25"/>
      <c r="BP788" s="7"/>
      <c r="BQ788" s="7"/>
      <c r="BR788" s="7"/>
      <c r="BS788" s="7"/>
      <c r="BT788" s="7"/>
      <c r="BU788" s="7"/>
      <c r="BV788" s="7"/>
      <c r="BW788" s="7"/>
      <c r="BX788" s="7"/>
      <c r="BY788" s="7"/>
      <c r="BZ788" s="7"/>
      <c r="CA788" s="7"/>
      <c r="CB788" s="7"/>
    </row>
    <row r="789" ht="21.75" customHeight="1">
      <c r="A789" s="7"/>
      <c r="B789" s="7" t="s">
        <v>9310</v>
      </c>
      <c r="C789" s="7" t="s">
        <v>9311</v>
      </c>
      <c r="D789" s="7"/>
      <c r="E789" s="7"/>
      <c r="F789" s="7"/>
      <c r="G789" s="7" t="s">
        <v>343</v>
      </c>
      <c r="H789" s="7" t="s">
        <v>123</v>
      </c>
      <c r="I789" s="7" t="s">
        <v>9312</v>
      </c>
      <c r="J789" s="7"/>
      <c r="K789" s="7" t="s">
        <v>58</v>
      </c>
      <c r="L789" s="7" t="s">
        <v>59</v>
      </c>
      <c r="M789" s="7"/>
      <c r="N789" s="7"/>
      <c r="O789" s="7">
        <v>97480.0</v>
      </c>
      <c r="P789" s="7" t="s">
        <v>123</v>
      </c>
      <c r="Q789" s="7" t="s">
        <v>8383</v>
      </c>
      <c r="R789" s="7" t="s">
        <v>9313</v>
      </c>
      <c r="S789" s="7" t="s">
        <v>9314</v>
      </c>
      <c r="T789" s="7" t="s">
        <v>377</v>
      </c>
      <c r="U789" s="7" t="s">
        <v>9315</v>
      </c>
      <c r="V789" s="7">
        <v>2.62475487E8</v>
      </c>
      <c r="W789" s="7">
        <v>6.92014089E8</v>
      </c>
      <c r="X789" s="7"/>
      <c r="Y789" s="7"/>
      <c r="Z789" s="7" t="s">
        <v>9316</v>
      </c>
      <c r="AA789" s="7">
        <v>8.0</v>
      </c>
      <c r="AB789" s="7"/>
      <c r="AC789" s="7"/>
      <c r="AD789" s="7"/>
      <c r="AE789" s="7"/>
      <c r="AF789" s="7" t="s">
        <v>1173</v>
      </c>
      <c r="AG789" s="7"/>
      <c r="AH789" s="7"/>
      <c r="AI789" s="7"/>
      <c r="AJ789" s="7" t="s">
        <v>9317</v>
      </c>
      <c r="AK789" s="7"/>
      <c r="AL789" s="7" t="s">
        <v>9318</v>
      </c>
      <c r="AM789" s="7"/>
      <c r="AN789" s="7"/>
      <c r="AO789" s="7">
        <v>97480.0</v>
      </c>
      <c r="AP789" s="7" t="s">
        <v>385</v>
      </c>
      <c r="AQ789" s="7"/>
      <c r="AR789" s="7"/>
      <c r="AS789" s="7"/>
      <c r="AT789" s="7"/>
      <c r="AU789" s="7">
        <v>1.0</v>
      </c>
      <c r="AV789" s="7" t="s">
        <v>9319</v>
      </c>
      <c r="AW789" s="7"/>
      <c r="AX789" s="7" t="s">
        <v>9320</v>
      </c>
      <c r="AY789" s="7" t="s">
        <v>1590</v>
      </c>
      <c r="AZ789" s="7" t="s">
        <v>9321</v>
      </c>
      <c r="BA789" s="7"/>
      <c r="BB789" s="7"/>
      <c r="BC789" s="7" t="s">
        <v>401</v>
      </c>
      <c r="BD789" s="7"/>
      <c r="BE789" s="7"/>
      <c r="BF789" s="7"/>
      <c r="BG789" s="7"/>
      <c r="BH789" s="7"/>
      <c r="BI789" s="7" t="s">
        <v>9322</v>
      </c>
      <c r="BJ789" s="7"/>
      <c r="BK789" s="7" t="b">
        <v>0</v>
      </c>
      <c r="BL789" s="7" t="b">
        <v>0</v>
      </c>
      <c r="BM789" s="7"/>
      <c r="BN789" s="7" t="str">
        <f>IFERROR(__xludf.DUMMYFUNCTION(" IF( REGEXMATCH(C789 , ""[(].+[)]""),REGEXREPLACE( CONCATENATE(REGEXEXTRACT(C789 , ""[(].+[)]""),IF(REGEXMATCH(C789 , ""[(][Ll]['’][)]""),"""","" ""), REGEXEXTRACT(C789 ,""^(?:(?:[A-Za-zàäéèêîïöôûü0-9 ](?:[A-Za-zàäéèêîïöôûü'0-9 ]+)))"")) , ""[()]"", """")"&amp;",C789 )"),"Kaznanou")</f>
        <v>Kaznanou</v>
      </c>
      <c r="BO789" s="25"/>
      <c r="BP789" s="7"/>
      <c r="BQ789" s="7"/>
      <c r="BR789" s="7"/>
      <c r="BS789" s="7"/>
      <c r="BT789" s="7"/>
      <c r="BU789" s="7"/>
      <c r="BV789" s="7"/>
      <c r="BW789" s="7"/>
      <c r="BX789" s="7"/>
      <c r="BY789" s="7"/>
      <c r="BZ789" s="7"/>
      <c r="CA789" s="7"/>
      <c r="CB789" s="7"/>
    </row>
    <row r="790" ht="21.75" customHeight="1">
      <c r="A790" s="7"/>
      <c r="B790" s="7" t="s">
        <v>9323</v>
      </c>
      <c r="C790" s="7" t="s">
        <v>9324</v>
      </c>
      <c r="D790" s="7"/>
      <c r="E790" s="7"/>
      <c r="F790" s="7"/>
      <c r="G790" s="7" t="s">
        <v>343</v>
      </c>
      <c r="H790" s="7" t="s">
        <v>33</v>
      </c>
      <c r="I790" s="7" t="s">
        <v>9325</v>
      </c>
      <c r="J790" s="7"/>
      <c r="K790" s="7" t="s">
        <v>822</v>
      </c>
      <c r="L790" s="7" t="s">
        <v>1405</v>
      </c>
      <c r="M790" s="7" t="s">
        <v>1406</v>
      </c>
      <c r="N790" s="7"/>
      <c r="O790" s="7">
        <v>97442.0</v>
      </c>
      <c r="P790" s="7" t="s">
        <v>33</v>
      </c>
      <c r="Q790" s="7" t="s">
        <v>1396</v>
      </c>
      <c r="R790" s="7"/>
      <c r="S790" s="7"/>
      <c r="T790" s="7"/>
      <c r="U790" s="7"/>
      <c r="V790" s="7">
        <v>2.62373075E8</v>
      </c>
      <c r="W790" s="7">
        <v>6.93707621E8</v>
      </c>
      <c r="X790" s="7"/>
      <c r="Y790" s="7"/>
      <c r="Z790" s="7" t="s">
        <v>9326</v>
      </c>
      <c r="AA790" s="7"/>
      <c r="AB790" s="7"/>
      <c r="AC790" s="7"/>
      <c r="AD790" s="7"/>
      <c r="AE790" s="7"/>
      <c r="AF790" s="7"/>
      <c r="AG790" s="7"/>
      <c r="AH790" s="7"/>
      <c r="AI790" s="7"/>
      <c r="AJ790" s="7"/>
      <c r="AK790" s="7"/>
      <c r="AL790" s="7"/>
      <c r="AM790" s="7"/>
      <c r="AN790" s="7"/>
      <c r="AO790" s="7"/>
      <c r="AP790" s="7"/>
      <c r="AQ790" s="7"/>
      <c r="AR790" s="7"/>
      <c r="AS790" s="7"/>
      <c r="AT790" s="7"/>
      <c r="AU790" s="7"/>
      <c r="AV790" s="7" t="s">
        <v>9327</v>
      </c>
      <c r="AW790" s="7"/>
      <c r="AX790" s="7"/>
      <c r="AY790" s="7"/>
      <c r="AZ790" s="7"/>
      <c r="BA790" s="7"/>
      <c r="BB790" s="7"/>
      <c r="BC790" s="7" t="s">
        <v>401</v>
      </c>
      <c r="BD790" s="7"/>
      <c r="BE790" s="7"/>
      <c r="BF790" s="7"/>
      <c r="BG790" s="7"/>
      <c r="BH790" s="7"/>
      <c r="BI790" s="7" t="s">
        <v>9328</v>
      </c>
      <c r="BJ790" s="7"/>
      <c r="BK790" s="7" t="b">
        <v>0</v>
      </c>
      <c r="BL790" s="7" t="b">
        <v>0</v>
      </c>
      <c r="BM790" s="7"/>
      <c r="BN790" s="7" t="str">
        <f>IFERROR(__xludf.DUMMYFUNCTION(" IF( REGEXMATCH(C790 , ""[(].+[)]""),REGEXREPLACE( CONCATENATE(REGEXEXTRACT(C790 , ""[(].+[)]""),IF(REGEXMATCH(C790 , ""[(][Ll]['’][)]""),"""","" ""), REGEXEXTRACT(C790 ,""^(?:(?:[A-Za-zàäéèêîïöôûü0-9 ](?:[A-Za-zàäéèêîïöôûü'0-9 ]+)))"")) , ""[()]"", """")"&amp;",C790 )"),"Le Kossassa ")</f>
        <v>Le Kossassa </v>
      </c>
      <c r="BO790" s="25"/>
      <c r="BP790" s="7"/>
      <c r="BQ790" s="7"/>
      <c r="BR790" s="7"/>
      <c r="BS790" s="7"/>
      <c r="BT790" s="7"/>
      <c r="BU790" s="7"/>
      <c r="BV790" s="7"/>
      <c r="BW790" s="7"/>
      <c r="BX790" s="7"/>
      <c r="BY790" s="7"/>
      <c r="BZ790" s="7"/>
      <c r="CA790" s="7"/>
      <c r="CB790" s="7"/>
    </row>
    <row r="791" ht="21.75" customHeight="1">
      <c r="A791" s="7"/>
      <c r="B791" s="7" t="s">
        <v>9329</v>
      </c>
      <c r="C791" s="7" t="s">
        <v>9330</v>
      </c>
      <c r="D791" s="7" t="s">
        <v>9331</v>
      </c>
      <c r="E791" s="7"/>
      <c r="F791" s="7"/>
      <c r="G791" s="7" t="s">
        <v>343</v>
      </c>
      <c r="H791" s="7" t="s">
        <v>33</v>
      </c>
      <c r="I791" s="7" t="s">
        <v>9332</v>
      </c>
      <c r="J791" s="7"/>
      <c r="K791" s="6" t="s">
        <v>1359</v>
      </c>
      <c r="L791" s="7" t="s">
        <v>678</v>
      </c>
      <c r="M791" s="7" t="s">
        <v>679</v>
      </c>
      <c r="N791" s="7"/>
      <c r="O791" s="7">
        <v>97442.0</v>
      </c>
      <c r="P791" s="7" t="s">
        <v>33</v>
      </c>
      <c r="Q791" s="7"/>
      <c r="R791" s="7"/>
      <c r="S791" s="7"/>
      <c r="T791" s="7"/>
      <c r="U791" s="7" t="s">
        <v>9333</v>
      </c>
      <c r="V791" s="7"/>
      <c r="W791" s="7">
        <v>6.93311542E8</v>
      </c>
      <c r="X791" s="7"/>
      <c r="Y791" s="7"/>
      <c r="Z791" s="7" t="s">
        <v>9334</v>
      </c>
      <c r="AA791" s="7"/>
      <c r="AB791" s="7"/>
      <c r="AC791" s="7"/>
      <c r="AD791" s="7" t="s">
        <v>9335</v>
      </c>
      <c r="AE791" s="7"/>
      <c r="AF791" s="7"/>
      <c r="AG791" s="7"/>
      <c r="AH791" s="7"/>
      <c r="AI791" s="7"/>
      <c r="AJ791" s="7" t="s">
        <v>9336</v>
      </c>
      <c r="AK791" s="7">
        <v>8.8113714500028E13</v>
      </c>
      <c r="AL791" s="7" t="s">
        <v>9337</v>
      </c>
      <c r="AM791" s="7"/>
      <c r="AN791" s="7"/>
      <c r="AO791" s="7">
        <v>97442.0</v>
      </c>
      <c r="AP791" s="7" t="s">
        <v>884</v>
      </c>
      <c r="AQ791" s="7"/>
      <c r="AR791" s="7"/>
      <c r="AS791" s="7"/>
      <c r="AT791" s="7"/>
      <c r="AU791" s="7">
        <v>2.0</v>
      </c>
      <c r="AV791" s="7" t="s">
        <v>5257</v>
      </c>
      <c r="AW791" s="7"/>
      <c r="AX791" s="7"/>
      <c r="AY791" s="7"/>
      <c r="AZ791" s="7"/>
      <c r="BA791" s="7"/>
      <c r="BB791" s="7"/>
      <c r="BC791" s="7" t="s">
        <v>401</v>
      </c>
      <c r="BD791" s="7"/>
      <c r="BE791" s="7"/>
      <c r="BF791" s="7"/>
      <c r="BG791" s="7"/>
      <c r="BH791" s="7">
        <v>8.81137145E8</v>
      </c>
      <c r="BI791" s="7" t="s">
        <v>9338</v>
      </c>
      <c r="BJ791" s="7"/>
      <c r="BK791" s="7" t="b">
        <v>0</v>
      </c>
      <c r="BL791" s="7" t="b">
        <v>0</v>
      </c>
      <c r="BM791" s="7"/>
      <c r="BN791" s="7" t="str">
        <f>IFERROR(__xludf.DUMMYFUNCTION(" IF( REGEXMATCH(C791 , ""[(].+[)]""),REGEXREPLACE( CONCATENATE(REGEXEXTRACT(C791 , ""[(].+[)]""),IF(REGEXMATCH(C791 , ""[(][Ll]['’][)]""),"""","" ""), REGEXEXTRACT(C791 ,""^(?:(?:[A-Za-zàäéèêîïöôûü0-9 ](?:[A-Za-zàäéèêîïöôûü'0-9 ]+)))"")) , ""[()]"", """")"&amp;",C791 )"),"La Guinguette ")</f>
        <v>La Guinguette </v>
      </c>
      <c r="BO791" s="25"/>
      <c r="BP791" s="7"/>
      <c r="BQ791" s="7"/>
      <c r="BR791" s="7"/>
      <c r="BS791" s="7"/>
      <c r="BT791" s="7"/>
      <c r="BU791" s="7"/>
      <c r="BV791" s="7"/>
      <c r="BW791" s="7"/>
      <c r="BX791" s="7"/>
      <c r="BY791" s="7"/>
      <c r="BZ791" s="7"/>
      <c r="CA791" s="7"/>
      <c r="CB791" s="7"/>
    </row>
    <row r="792" ht="21.75" customHeight="1">
      <c r="A792" s="7"/>
      <c r="B792" s="7" t="s">
        <v>9339</v>
      </c>
      <c r="C792" s="7" t="s">
        <v>9340</v>
      </c>
      <c r="D792" s="7" t="s">
        <v>8213</v>
      </c>
      <c r="E792" s="7"/>
      <c r="F792" s="7"/>
      <c r="G792" s="7" t="s">
        <v>343</v>
      </c>
      <c r="H792" s="7" t="s">
        <v>344</v>
      </c>
      <c r="I792" s="7" t="s">
        <v>9341</v>
      </c>
      <c r="J792" s="7"/>
      <c r="K792" s="7" t="s">
        <v>58</v>
      </c>
      <c r="L792" s="7" t="s">
        <v>59</v>
      </c>
      <c r="M792" s="7" t="s">
        <v>374</v>
      </c>
      <c r="N792" s="7"/>
      <c r="O792" s="7">
        <v>97430.0</v>
      </c>
      <c r="P792" s="7" t="s">
        <v>344</v>
      </c>
      <c r="Q792" s="7" t="s">
        <v>9342</v>
      </c>
      <c r="R792" s="7"/>
      <c r="S792" s="7" t="s">
        <v>9343</v>
      </c>
      <c r="T792" s="7"/>
      <c r="U792" s="7" t="s">
        <v>9333</v>
      </c>
      <c r="V792" s="7"/>
      <c r="W792" s="7">
        <v>6.92685861E8</v>
      </c>
      <c r="X792" s="7"/>
      <c r="Y792" s="7"/>
      <c r="Z792" s="7" t="s">
        <v>9344</v>
      </c>
      <c r="AA792" s="7">
        <v>4.0</v>
      </c>
      <c r="AB792" s="7"/>
      <c r="AC792" s="7"/>
      <c r="AD792" s="7" t="s">
        <v>9345</v>
      </c>
      <c r="AE792" s="7"/>
      <c r="AF792" s="7"/>
      <c r="AG792" s="7"/>
      <c r="AH792" s="7"/>
      <c r="AI792" s="7"/>
      <c r="AJ792" s="7" t="s">
        <v>9346</v>
      </c>
      <c r="AK792" s="7"/>
      <c r="AL792" s="7" t="s">
        <v>9347</v>
      </c>
      <c r="AM792" s="7"/>
      <c r="AN792" s="7"/>
      <c r="AO792" s="7">
        <v>97430.0</v>
      </c>
      <c r="AP792" s="7" t="s">
        <v>494</v>
      </c>
      <c r="AQ792" s="7"/>
      <c r="AR792" s="7"/>
      <c r="AS792" s="7"/>
      <c r="AT792" s="7"/>
      <c r="AU792" s="7">
        <v>1.0</v>
      </c>
      <c r="AV792" s="7" t="s">
        <v>9348</v>
      </c>
      <c r="AW792" s="7"/>
      <c r="AX792" s="7"/>
      <c r="AY792" s="7"/>
      <c r="AZ792" s="7"/>
      <c r="BA792" s="7"/>
      <c r="BB792" s="7"/>
      <c r="BC792" s="7" t="s">
        <v>401</v>
      </c>
      <c r="BD792" s="7"/>
      <c r="BE792" s="7"/>
      <c r="BF792" s="7"/>
      <c r="BG792" s="7"/>
      <c r="BH792" s="7"/>
      <c r="BI792" s="7" t="s">
        <v>9349</v>
      </c>
      <c r="BJ792" s="7"/>
      <c r="BK792" s="7" t="b">
        <v>0</v>
      </c>
      <c r="BL792" s="7" t="b">
        <v>0</v>
      </c>
      <c r="BM792" s="7"/>
      <c r="BN792" s="7" t="str">
        <f>IFERROR(__xludf.DUMMYFUNCTION(" IF( REGEXMATCH(C792 , ""[(].+[)]""),REGEXREPLACE( CONCATENATE(REGEXEXTRACT(C792 , ""[(].+[)]""),IF(REGEXMATCH(C792 , ""[(][Ll]['’][)]""),"""","" ""), REGEXEXTRACT(C792 ,""^(?:(?:[A-Za-zàäéèêîïöôûü0-9 ](?:[A-Za-zàäéèêîïöôûü'0-9 ]+)))"")) , ""[()]"", """")"&amp;",C792 )"),"Le Blue soleil appart ")</f>
        <v>Le Blue soleil appart </v>
      </c>
      <c r="BO792" s="25"/>
      <c r="BP792" s="7"/>
      <c r="BQ792" s="7"/>
      <c r="BR792" s="7"/>
      <c r="BS792" s="7"/>
      <c r="BT792" s="7"/>
      <c r="BU792" s="7"/>
      <c r="BV792" s="7"/>
      <c r="BW792" s="7"/>
      <c r="BX792" s="7"/>
      <c r="BY792" s="7"/>
      <c r="BZ792" s="7"/>
      <c r="CA792" s="7"/>
      <c r="CB792" s="7"/>
    </row>
    <row r="793" ht="21.75" customHeight="1">
      <c r="A793" s="7"/>
      <c r="B793" s="7" t="s">
        <v>9350</v>
      </c>
      <c r="C793" s="7" t="s">
        <v>9351</v>
      </c>
      <c r="D793" s="7"/>
      <c r="E793" s="7"/>
      <c r="F793" s="7"/>
      <c r="G793" s="7" t="s">
        <v>343</v>
      </c>
      <c r="H793" s="7" t="s">
        <v>123</v>
      </c>
      <c r="I793" s="7" t="s">
        <v>9352</v>
      </c>
      <c r="J793" s="7"/>
      <c r="K793" s="7" t="s">
        <v>58</v>
      </c>
      <c r="L793" s="7" t="s">
        <v>59</v>
      </c>
      <c r="M793" s="7"/>
      <c r="N793" s="7"/>
      <c r="O793" s="7">
        <v>97480.0</v>
      </c>
      <c r="P793" s="7" t="s">
        <v>123</v>
      </c>
      <c r="Q793" s="7"/>
      <c r="R793" s="7" t="s">
        <v>9353</v>
      </c>
      <c r="S793" s="7" t="s">
        <v>9354</v>
      </c>
      <c r="T793" s="7" t="s">
        <v>8231</v>
      </c>
      <c r="U793" s="7" t="s">
        <v>5551</v>
      </c>
      <c r="V793" s="7">
        <v>2.62375303E8</v>
      </c>
      <c r="W793" s="7">
        <v>6.92337232E8</v>
      </c>
      <c r="X793" s="7"/>
      <c r="Y793" s="7"/>
      <c r="Z793" s="7" t="s">
        <v>9355</v>
      </c>
      <c r="AA793" s="7">
        <v>6.0</v>
      </c>
      <c r="AB793" s="7"/>
      <c r="AC793" s="7"/>
      <c r="AD793" s="7"/>
      <c r="AE793" s="7"/>
      <c r="AF793" s="7" t="s">
        <v>1173</v>
      </c>
      <c r="AG793" s="7"/>
      <c r="AH793" s="7"/>
      <c r="AI793" s="7"/>
      <c r="AJ793" s="7" t="s">
        <v>9356</v>
      </c>
      <c r="AK793" s="7"/>
      <c r="AL793" s="7" t="s">
        <v>9357</v>
      </c>
      <c r="AM793" s="7"/>
      <c r="AN793" s="7"/>
      <c r="AO793" s="7"/>
      <c r="AP793" s="7"/>
      <c r="AQ793" s="7"/>
      <c r="AR793" s="7"/>
      <c r="AS793" s="7"/>
      <c r="AT793" s="7"/>
      <c r="AU793" s="7">
        <v>1.0</v>
      </c>
      <c r="AV793" s="7" t="s">
        <v>9358</v>
      </c>
      <c r="AW793" s="7"/>
      <c r="AX793" s="7" t="s">
        <v>9117</v>
      </c>
      <c r="AY793" s="7" t="s">
        <v>1590</v>
      </c>
      <c r="AZ793" s="7" t="s">
        <v>9359</v>
      </c>
      <c r="BA793" s="7"/>
      <c r="BB793" s="7"/>
      <c r="BC793" s="7" t="s">
        <v>401</v>
      </c>
      <c r="BD793" s="7"/>
      <c r="BE793" s="7"/>
      <c r="BF793" s="7"/>
      <c r="BG793" s="7"/>
      <c r="BH793" s="7"/>
      <c r="BI793" s="7" t="s">
        <v>9360</v>
      </c>
      <c r="BJ793" s="7"/>
      <c r="BK793" s="7" t="b">
        <v>0</v>
      </c>
      <c r="BL793" s="7" t="b">
        <v>0</v>
      </c>
      <c r="BM793" s="7"/>
      <c r="BN793" s="7" t="str">
        <f>IFERROR(__xludf.DUMMYFUNCTION(" IF( REGEXMATCH(C793 , ""[(].+[)]""),REGEXREPLACE( CONCATENATE(REGEXEXTRACT(C793 , ""[(].+[)]""),IF(REGEXMATCH(C793 , ""[(][Ll]['’][)]""),"""","" ""), REGEXEXTRACT(C793 ,""^(?:(?:[A-Za-zàäéèêîïöôûü0-9 ](?:[A-Za-zàäéèêîïöôûü'0-9 ]+)))"")) , ""[()]"", """")"&amp;",C793 )"),"Les Bananiers ")</f>
        <v>Les Bananiers </v>
      </c>
      <c r="BO793" s="25"/>
      <c r="BP793" s="7"/>
      <c r="BQ793" s="7"/>
      <c r="BR793" s="7"/>
      <c r="BS793" s="7"/>
      <c r="BT793" s="7"/>
      <c r="BU793" s="7"/>
      <c r="BV793" s="7"/>
      <c r="BW793" s="7"/>
      <c r="BX793" s="7"/>
      <c r="BY793" s="7"/>
      <c r="BZ793" s="7"/>
      <c r="CA793" s="7"/>
      <c r="CB793" s="7"/>
    </row>
    <row r="794" ht="21.75" customHeight="1">
      <c r="A794" s="7"/>
      <c r="B794" s="7" t="s">
        <v>9361</v>
      </c>
      <c r="C794" s="7" t="s">
        <v>9362</v>
      </c>
      <c r="D794" s="7" t="s">
        <v>9363</v>
      </c>
      <c r="E794" s="7"/>
      <c r="F794" s="7"/>
      <c r="G794" s="7" t="s">
        <v>343</v>
      </c>
      <c r="H794" s="7" t="s">
        <v>344</v>
      </c>
      <c r="I794" s="7" t="s">
        <v>9364</v>
      </c>
      <c r="J794" s="7"/>
      <c r="K794" s="7" t="s">
        <v>58</v>
      </c>
      <c r="L794" s="7" t="s">
        <v>59</v>
      </c>
      <c r="M794" s="7" t="s">
        <v>346</v>
      </c>
      <c r="N794" s="7" t="s">
        <v>455</v>
      </c>
      <c r="O794" s="7">
        <v>97430.0</v>
      </c>
      <c r="P794" s="7" t="s">
        <v>344</v>
      </c>
      <c r="Q794" s="7" t="s">
        <v>9365</v>
      </c>
      <c r="R794" s="7" t="s">
        <v>9366</v>
      </c>
      <c r="S794" s="7" t="s">
        <v>9367</v>
      </c>
      <c r="T794" s="7" t="s">
        <v>9368</v>
      </c>
      <c r="U794" s="7" t="s">
        <v>592</v>
      </c>
      <c r="V794" s="7"/>
      <c r="W794" s="7">
        <v>6.93808129E8</v>
      </c>
      <c r="X794" s="7">
        <v>6.92147534E8</v>
      </c>
      <c r="Y794" s="7"/>
      <c r="Z794" s="7" t="s">
        <v>9369</v>
      </c>
      <c r="AA794" s="7">
        <v>6.0</v>
      </c>
      <c r="AB794" s="7"/>
      <c r="AC794" s="7"/>
      <c r="AD794" s="7" t="s">
        <v>9370</v>
      </c>
      <c r="AE794" s="7"/>
      <c r="AF794" s="7"/>
      <c r="AG794" s="7"/>
      <c r="AH794" s="7"/>
      <c r="AI794" s="7"/>
      <c r="AJ794" s="7" t="s">
        <v>9371</v>
      </c>
      <c r="AK794" s="7">
        <v>8.8503901600013E13</v>
      </c>
      <c r="AL794" s="7" t="s">
        <v>9364</v>
      </c>
      <c r="AM794" s="7" t="s">
        <v>9372</v>
      </c>
      <c r="AN794" s="7"/>
      <c r="AO794" s="7">
        <v>97430.0</v>
      </c>
      <c r="AP794" s="7" t="s">
        <v>494</v>
      </c>
      <c r="AQ794" s="7"/>
      <c r="AR794" s="7"/>
      <c r="AS794" s="7"/>
      <c r="AT794" s="7"/>
      <c r="AU794" s="7">
        <v>1.0</v>
      </c>
      <c r="AV794" s="7" t="s">
        <v>9373</v>
      </c>
      <c r="AW794" s="7"/>
      <c r="AX794" s="7" t="s">
        <v>8708</v>
      </c>
      <c r="AY794" s="7" t="s">
        <v>1590</v>
      </c>
      <c r="AZ794" s="7"/>
      <c r="BA794" s="7"/>
      <c r="BB794" s="7"/>
      <c r="BC794" s="7" t="s">
        <v>401</v>
      </c>
      <c r="BD794" s="7"/>
      <c r="BE794" s="7"/>
      <c r="BF794" s="7"/>
      <c r="BG794" s="7"/>
      <c r="BH794" s="7">
        <v>8.85039016E8</v>
      </c>
      <c r="BI794" s="7" t="s">
        <v>9374</v>
      </c>
      <c r="BJ794" s="7"/>
      <c r="BK794" s="7" t="b">
        <v>0</v>
      </c>
      <c r="BL794" s="7" t="b">
        <v>0</v>
      </c>
      <c r="BM794" s="7"/>
      <c r="BN794" s="7" t="str">
        <f>IFERROR(__xludf.DUMMYFUNCTION(" IF( REGEXMATCH(C794 , ""[(].+[)]""),REGEXREPLACE( CONCATENATE(REGEXEXTRACT(C794 , ""[(].+[)]""),IF(REGEXMATCH(C794 , ""[(][Ll]['’][)]""),"""","" ""), REGEXEXTRACT(C794 ,""^(?:(?:[A-Za-zàäéèêîïöôûü0-9 ](?:[A-Za-zàäéèêîïöôûü'0-9 ]+)))"")) , ""[()]"", """")"&amp;",C794 )"),"Les Locations d'Elo ")</f>
        <v>Les Locations d'Elo </v>
      </c>
      <c r="BO794" s="25"/>
      <c r="BP794" s="7"/>
      <c r="BQ794" s="7"/>
      <c r="BR794" s="7"/>
      <c r="BS794" s="7"/>
      <c r="BT794" s="7"/>
      <c r="BU794" s="7"/>
      <c r="BV794" s="7"/>
      <c r="BW794" s="7"/>
      <c r="BX794" s="7"/>
      <c r="BY794" s="7"/>
      <c r="BZ794" s="7"/>
      <c r="CA794" s="7"/>
      <c r="CB794" s="7"/>
    </row>
    <row r="795" ht="21.75" customHeight="1">
      <c r="A795" s="7"/>
      <c r="B795" s="7" t="s">
        <v>9375</v>
      </c>
      <c r="C795" s="7" t="s">
        <v>9376</v>
      </c>
      <c r="D795" s="7"/>
      <c r="E795" s="7"/>
      <c r="F795" s="7"/>
      <c r="G795" s="7" t="s">
        <v>343</v>
      </c>
      <c r="H795" s="7" t="s">
        <v>344</v>
      </c>
      <c r="I795" s="7" t="s">
        <v>9377</v>
      </c>
      <c r="J795" s="26" t="s">
        <v>3500</v>
      </c>
      <c r="K795" s="7" t="s">
        <v>58</v>
      </c>
      <c r="L795" s="7" t="s">
        <v>59</v>
      </c>
      <c r="M795" s="7" t="s">
        <v>346</v>
      </c>
      <c r="N795" s="7" t="s">
        <v>455</v>
      </c>
      <c r="O795" s="7">
        <v>97430.0</v>
      </c>
      <c r="P795" s="7" t="s">
        <v>344</v>
      </c>
      <c r="Q795" s="7" t="s">
        <v>3501</v>
      </c>
      <c r="R795" s="7" t="s">
        <v>3502</v>
      </c>
      <c r="S795" s="7" t="s">
        <v>3503</v>
      </c>
      <c r="T795" s="7" t="s">
        <v>3504</v>
      </c>
      <c r="U795" s="7" t="s">
        <v>353</v>
      </c>
      <c r="V795" s="7">
        <v>2.62019849E8</v>
      </c>
      <c r="W795" s="7">
        <v>6.93428268E8</v>
      </c>
      <c r="X795" s="7"/>
      <c r="Y795" s="7"/>
      <c r="Z795" s="7" t="s">
        <v>3505</v>
      </c>
      <c r="AA795" s="7">
        <v>4.0</v>
      </c>
      <c r="AB795" s="7" t="s">
        <v>2716</v>
      </c>
      <c r="AC795" s="7" t="s">
        <v>3506</v>
      </c>
      <c r="AD795" s="7"/>
      <c r="AE795" s="7"/>
      <c r="AF795" s="7"/>
      <c r="AG795" s="7"/>
      <c r="AH795" s="7"/>
      <c r="AI795" s="7"/>
      <c r="AJ795" s="7" t="s">
        <v>3508</v>
      </c>
      <c r="AK795" s="7">
        <v>8.4111528000015E13</v>
      </c>
      <c r="AL795" s="7" t="s">
        <v>9377</v>
      </c>
      <c r="AM795" s="7" t="s">
        <v>3510</v>
      </c>
      <c r="AN795" s="7"/>
      <c r="AO795" s="7">
        <v>97430.0</v>
      </c>
      <c r="AP795" s="7" t="s">
        <v>494</v>
      </c>
      <c r="AQ795" s="7"/>
      <c r="AR795" s="7"/>
      <c r="AS795" s="7"/>
      <c r="AT795" s="7"/>
      <c r="AU795" s="7">
        <v>3.0</v>
      </c>
      <c r="AV795" s="7" t="s">
        <v>3511</v>
      </c>
      <c r="AW795" s="7"/>
      <c r="AX795" s="7"/>
      <c r="AY795" s="7"/>
      <c r="AZ795" s="7" t="s">
        <v>9378</v>
      </c>
      <c r="BA795" s="7"/>
      <c r="BB795" s="7"/>
      <c r="BC795" s="7" t="s">
        <v>401</v>
      </c>
      <c r="BD795" s="7"/>
      <c r="BE795" s="7"/>
      <c r="BF795" s="7" t="s">
        <v>9379</v>
      </c>
      <c r="BG795" s="7"/>
      <c r="BH795" s="7">
        <v>8.4111528E8</v>
      </c>
      <c r="BI795" s="7" t="s">
        <v>9380</v>
      </c>
      <c r="BJ795" s="7"/>
      <c r="BK795" s="7" t="b">
        <v>0</v>
      </c>
      <c r="BL795" s="7" t="b">
        <v>0</v>
      </c>
      <c r="BM795" s="7"/>
      <c r="BN795" s="7" t="str">
        <f>IFERROR(__xludf.DUMMYFUNCTION(" IF( REGEXMATCH(C795 , ""[(].+[)]""),REGEXREPLACE( CONCATENATE(REGEXEXTRACT(C795 , ""[(].+[)]""),IF(REGEXMATCH(C795 , ""[(][Ll]['’][)]""),"""","" ""), REGEXEXTRACT(C795 ,""^(?:(?:[A-Za-zàäéèêîïöôûü0-9 ](?:[A-Za-zàäéèêîïöôûü'0-9 ]+)))"")) , ""[()]"", """")"&amp;",C795 )"),"Les Meublés Entre Mer et Montagne ")</f>
        <v>Les Meublés Entre Mer et Montagne </v>
      </c>
      <c r="BO795" s="25"/>
      <c r="BP795" s="7"/>
      <c r="BQ795" s="7"/>
      <c r="BR795" s="7"/>
      <c r="BS795" s="7"/>
      <c r="BT795" s="7"/>
      <c r="BU795" s="7"/>
      <c r="BV795" s="7"/>
      <c r="BW795" s="7"/>
      <c r="BX795" s="7"/>
      <c r="BY795" s="7"/>
      <c r="BZ795" s="7"/>
      <c r="CA795" s="7"/>
      <c r="CB795" s="7"/>
    </row>
    <row r="796" ht="21.75" customHeight="1">
      <c r="A796" s="7"/>
      <c r="B796" s="7" t="s">
        <v>9381</v>
      </c>
      <c r="C796" s="7" t="s">
        <v>9376</v>
      </c>
      <c r="D796" s="7"/>
      <c r="E796" s="7"/>
      <c r="F796" s="7"/>
      <c r="G796" s="7" t="s">
        <v>343</v>
      </c>
      <c r="H796" s="7" t="s">
        <v>344</v>
      </c>
      <c r="I796" s="7" t="s">
        <v>9377</v>
      </c>
      <c r="J796" s="26" t="s">
        <v>3500</v>
      </c>
      <c r="K796" s="7" t="s">
        <v>58</v>
      </c>
      <c r="L796" s="7" t="s">
        <v>59</v>
      </c>
      <c r="M796" s="7" t="s">
        <v>346</v>
      </c>
      <c r="N796" s="7" t="s">
        <v>455</v>
      </c>
      <c r="O796" s="7">
        <v>97430.0</v>
      </c>
      <c r="P796" s="7" t="s">
        <v>344</v>
      </c>
      <c r="Q796" s="7" t="s">
        <v>3501</v>
      </c>
      <c r="R796" s="7" t="s">
        <v>3502</v>
      </c>
      <c r="S796" s="7" t="s">
        <v>3503</v>
      </c>
      <c r="T796" s="7" t="s">
        <v>3504</v>
      </c>
      <c r="U796" s="7" t="s">
        <v>353</v>
      </c>
      <c r="V796" s="7">
        <v>2.62019849E8</v>
      </c>
      <c r="W796" s="7">
        <v>6.93428268E8</v>
      </c>
      <c r="X796" s="7"/>
      <c r="Y796" s="7"/>
      <c r="Z796" s="7" t="s">
        <v>3505</v>
      </c>
      <c r="AA796" s="7">
        <v>4.0</v>
      </c>
      <c r="AB796" s="7" t="s">
        <v>2716</v>
      </c>
      <c r="AC796" s="7" t="s">
        <v>3506</v>
      </c>
      <c r="AD796" s="7"/>
      <c r="AE796" s="7"/>
      <c r="AF796" s="7"/>
      <c r="AG796" s="7"/>
      <c r="AH796" s="7"/>
      <c r="AI796" s="7"/>
      <c r="AJ796" s="7" t="s">
        <v>3508</v>
      </c>
      <c r="AK796" s="7">
        <v>8.4111528000015E13</v>
      </c>
      <c r="AL796" s="7" t="s">
        <v>9377</v>
      </c>
      <c r="AM796" s="7" t="s">
        <v>3510</v>
      </c>
      <c r="AN796" s="7"/>
      <c r="AO796" s="7">
        <v>97430.0</v>
      </c>
      <c r="AP796" s="7" t="s">
        <v>494</v>
      </c>
      <c r="AQ796" s="7"/>
      <c r="AR796" s="7"/>
      <c r="AS796" s="7"/>
      <c r="AT796" s="7"/>
      <c r="AU796" s="7">
        <v>3.0</v>
      </c>
      <c r="AV796" s="7" t="s">
        <v>3511</v>
      </c>
      <c r="AW796" s="7"/>
      <c r="AX796" s="7"/>
      <c r="AY796" s="7"/>
      <c r="AZ796" s="7" t="s">
        <v>9378</v>
      </c>
      <c r="BA796" s="7"/>
      <c r="BB796" s="7"/>
      <c r="BC796" s="7" t="s">
        <v>401</v>
      </c>
      <c r="BD796" s="7"/>
      <c r="BE796" s="7"/>
      <c r="BF796" s="7" t="s">
        <v>9382</v>
      </c>
      <c r="BG796" s="7"/>
      <c r="BH796" s="7">
        <v>8.4111528E8</v>
      </c>
      <c r="BI796" s="7" t="s">
        <v>9380</v>
      </c>
      <c r="BJ796" s="7"/>
      <c r="BK796" s="7" t="b">
        <v>0</v>
      </c>
      <c r="BL796" s="7" t="b">
        <v>0</v>
      </c>
      <c r="BM796" s="7"/>
      <c r="BN796" s="7" t="str">
        <f>IFERROR(__xludf.DUMMYFUNCTION(" IF( REGEXMATCH(C796 , ""[(].+[)]""),REGEXREPLACE( CONCATENATE(REGEXEXTRACT(C796 , ""[(].+[)]""),IF(REGEXMATCH(C796 , ""[(][Ll]['’][)]""),"""","" ""), REGEXEXTRACT(C796 ,""^(?:(?:[A-Za-zàäéèêîïöôûü0-9 ](?:[A-Za-zàäéèêîïöôûü'0-9 ]+)))"")) , ""[()]"", """")"&amp;",C796 )"),"Les Meublés Entre Mer et Montagne ")</f>
        <v>Les Meublés Entre Mer et Montagne </v>
      </c>
      <c r="BO796" s="25"/>
      <c r="BP796" s="7"/>
      <c r="BQ796" s="7"/>
      <c r="BR796" s="7"/>
      <c r="BS796" s="7"/>
      <c r="BT796" s="7"/>
      <c r="BU796" s="7"/>
      <c r="BV796" s="7"/>
      <c r="BW796" s="7"/>
      <c r="BX796" s="7"/>
      <c r="BY796" s="7"/>
      <c r="BZ796" s="7"/>
      <c r="CA796" s="7"/>
      <c r="CB796" s="7"/>
    </row>
    <row r="797" ht="21.75" customHeight="1">
      <c r="A797" s="7"/>
      <c r="B797" s="7" t="s">
        <v>9383</v>
      </c>
      <c r="C797" s="7" t="s">
        <v>9384</v>
      </c>
      <c r="D797" s="7" t="s">
        <v>8213</v>
      </c>
      <c r="E797" s="7"/>
      <c r="F797" s="7"/>
      <c r="G797" s="7" t="s">
        <v>343</v>
      </c>
      <c r="H797" s="7" t="s">
        <v>344</v>
      </c>
      <c r="I797" s="7" t="s">
        <v>9385</v>
      </c>
      <c r="J797" s="7"/>
      <c r="K797" s="7" t="s">
        <v>58</v>
      </c>
      <c r="L797" s="7" t="s">
        <v>59</v>
      </c>
      <c r="M797" s="7" t="s">
        <v>346</v>
      </c>
      <c r="N797" s="7"/>
      <c r="O797" s="7">
        <v>97418.0</v>
      </c>
      <c r="P797" s="7" t="s">
        <v>344</v>
      </c>
      <c r="Q797" s="7" t="s">
        <v>9386</v>
      </c>
      <c r="R797" s="7"/>
      <c r="S797" s="7" t="s">
        <v>9387</v>
      </c>
      <c r="T797" s="7" t="s">
        <v>2390</v>
      </c>
      <c r="U797" s="7" t="s">
        <v>9333</v>
      </c>
      <c r="V797" s="7"/>
      <c r="W797" s="7">
        <v>6.92622946E8</v>
      </c>
      <c r="X797" s="7"/>
      <c r="Y797" s="7"/>
      <c r="Z797" s="7" t="s">
        <v>9388</v>
      </c>
      <c r="AA797" s="7">
        <v>14.0</v>
      </c>
      <c r="AB797" s="7"/>
      <c r="AC797" s="7"/>
      <c r="AD797" s="7" t="s">
        <v>9389</v>
      </c>
      <c r="AE797" s="7"/>
      <c r="AF797" s="7"/>
      <c r="AG797" s="7"/>
      <c r="AH797" s="7"/>
      <c r="AI797" s="7"/>
      <c r="AJ797" s="7" t="s">
        <v>9390</v>
      </c>
      <c r="AK797" s="7"/>
      <c r="AL797" s="7" t="s">
        <v>9391</v>
      </c>
      <c r="AM797" s="7"/>
      <c r="AN797" s="7"/>
      <c r="AO797" s="7">
        <v>97418.0</v>
      </c>
      <c r="AP797" s="7" t="s">
        <v>494</v>
      </c>
      <c r="AQ797" s="7"/>
      <c r="AR797" s="7"/>
      <c r="AS797" s="7"/>
      <c r="AT797" s="7"/>
      <c r="AU797" s="7">
        <v>1.0</v>
      </c>
      <c r="AV797" s="7" t="s">
        <v>9392</v>
      </c>
      <c r="AW797" s="7"/>
      <c r="AX797" s="7"/>
      <c r="AY797" s="7"/>
      <c r="AZ797" s="7"/>
      <c r="BA797" s="7"/>
      <c r="BB797" s="7"/>
      <c r="BC797" s="7" t="s">
        <v>401</v>
      </c>
      <c r="BD797" s="7"/>
      <c r="BE797" s="7"/>
      <c r="BF797" s="7"/>
      <c r="BG797" s="7"/>
      <c r="BH797" s="7"/>
      <c r="BI797" s="7" t="s">
        <v>9393</v>
      </c>
      <c r="BJ797" s="7"/>
      <c r="BK797" s="7" t="b">
        <v>0</v>
      </c>
      <c r="BL797" s="7" t="b">
        <v>0</v>
      </c>
      <c r="BM797" s="7"/>
      <c r="BN797" s="7" t="str">
        <f>IFERROR(__xludf.DUMMYFUNCTION(" IF( REGEXMATCH(C797 , ""[(].+[)]""),REGEXREPLACE( CONCATENATE(REGEXEXTRACT(C797 , ""[(].+[)]""),IF(REGEXMATCH(C797 , ""[(][Ll]['’][)]""),"""","" ""), REGEXEXTRACT(C797 ,""^(?:(?:[A-Za-zàäéèêîïöôûü0-9 ](?:[A-Za-zàäéèêîïöôûü'0-9 ]+)))"")) , ""[()]"", """")"&amp;",C797 )"),"Portes de Grand Bassin")</f>
        <v>Portes de Grand Bassin</v>
      </c>
      <c r="BO797" s="25"/>
      <c r="BP797" s="7"/>
      <c r="BQ797" s="7"/>
      <c r="BR797" s="7"/>
      <c r="BS797" s="7"/>
      <c r="BT797" s="7"/>
      <c r="BU797" s="7"/>
      <c r="BV797" s="7"/>
      <c r="BW797" s="7"/>
      <c r="BX797" s="7"/>
      <c r="BY797" s="7"/>
      <c r="BZ797" s="7"/>
      <c r="CA797" s="7"/>
      <c r="CB797" s="7"/>
    </row>
    <row r="798" ht="21.75" customHeight="1">
      <c r="A798" s="7"/>
      <c r="B798" s="7" t="s">
        <v>9394</v>
      </c>
      <c r="C798" s="7" t="s">
        <v>9395</v>
      </c>
      <c r="D798" s="7" t="s">
        <v>9396</v>
      </c>
      <c r="E798" s="7"/>
      <c r="F798" s="7"/>
      <c r="G798" s="7" t="s">
        <v>343</v>
      </c>
      <c r="H798" s="7" t="s">
        <v>344</v>
      </c>
      <c r="I798" s="7" t="s">
        <v>9397</v>
      </c>
      <c r="J798" s="26" t="s">
        <v>9398</v>
      </c>
      <c r="K798" s="7" t="s">
        <v>58</v>
      </c>
      <c r="L798" s="7" t="s">
        <v>59</v>
      </c>
      <c r="M798" s="7" t="s">
        <v>346</v>
      </c>
      <c r="N798" s="7" t="s">
        <v>9243</v>
      </c>
      <c r="O798" s="7">
        <v>97418.0</v>
      </c>
      <c r="P798" s="7" t="s">
        <v>348</v>
      </c>
      <c r="Q798" s="7" t="s">
        <v>8471</v>
      </c>
      <c r="R798" s="7" t="s">
        <v>9399</v>
      </c>
      <c r="S798" s="7" t="s">
        <v>9400</v>
      </c>
      <c r="T798" s="7" t="s">
        <v>4368</v>
      </c>
      <c r="U798" s="7" t="s">
        <v>9401</v>
      </c>
      <c r="V798" s="7"/>
      <c r="W798" s="7">
        <v>6.92255625E8</v>
      </c>
      <c r="X798" s="7">
        <v>6.92574921E8</v>
      </c>
      <c r="Y798" s="7"/>
      <c r="Z798" s="7" t="s">
        <v>9402</v>
      </c>
      <c r="AA798" s="7">
        <v>8.0</v>
      </c>
      <c r="AB798" s="7"/>
      <c r="AC798" s="7"/>
      <c r="AD798" s="7" t="s">
        <v>9403</v>
      </c>
      <c r="AE798" s="7" t="s">
        <v>9404</v>
      </c>
      <c r="AF798" s="7"/>
      <c r="AG798" s="7"/>
      <c r="AH798" s="7"/>
      <c r="AI798" s="7"/>
      <c r="AJ798" s="7" t="s">
        <v>9405</v>
      </c>
      <c r="AK798" s="7">
        <v>4.4464736600012E13</v>
      </c>
      <c r="AL798" s="7" t="s">
        <v>9397</v>
      </c>
      <c r="AM798" s="7" t="s">
        <v>9406</v>
      </c>
      <c r="AN798" s="7"/>
      <c r="AO798" s="7">
        <v>97418.0</v>
      </c>
      <c r="AP798" s="7" t="s">
        <v>362</v>
      </c>
      <c r="AQ798" s="7"/>
      <c r="AR798" s="7"/>
      <c r="AS798" s="7"/>
      <c r="AT798" s="7"/>
      <c r="AU798" s="7">
        <v>1.0</v>
      </c>
      <c r="AV798" s="7" t="s">
        <v>9407</v>
      </c>
      <c r="AW798" s="7"/>
      <c r="AX798" s="7" t="s">
        <v>9408</v>
      </c>
      <c r="AY798" s="7" t="s">
        <v>1829</v>
      </c>
      <c r="AZ798" s="7" t="s">
        <v>9409</v>
      </c>
      <c r="BA798" s="7"/>
      <c r="BB798" s="7"/>
      <c r="BC798" s="7" t="s">
        <v>401</v>
      </c>
      <c r="BD798" s="7"/>
      <c r="BE798" s="7"/>
      <c r="BF798" s="7"/>
      <c r="BG798" s="7"/>
      <c r="BH798" s="7">
        <v>4.44647366E8</v>
      </c>
      <c r="BI798" s="7" t="s">
        <v>9410</v>
      </c>
      <c r="BJ798" s="7"/>
      <c r="BK798" s="7" t="b">
        <v>0</v>
      </c>
      <c r="BL798" s="7" t="b">
        <v>0</v>
      </c>
      <c r="BM798" s="7"/>
      <c r="BN798" s="7" t="str">
        <f>IFERROR(__xludf.DUMMYFUNCTION(" IF( REGEXMATCH(C798 , ""[(].+[)]""),REGEXREPLACE( CONCATENATE(REGEXEXTRACT(C798 , ""[(].+[)]""),IF(REGEXMATCH(C798 , ""[(][Ll]['’][)]""),"""","" ""), REGEXEXTRACT(C798 ,""^(?:(?:[A-Za-zàäéèêîïöôûü0-9 ](?:[A-Za-zàäéèêîïöôûü'0-9 ]+)))"")) , ""[()]"", """")"&amp;",C798 )"),"Les Terrasses du Volcan ")</f>
        <v>Les Terrasses du Volcan </v>
      </c>
      <c r="BO798" s="25"/>
      <c r="BP798" s="7"/>
      <c r="BQ798" s="7"/>
      <c r="BR798" s="7"/>
      <c r="BS798" s="7"/>
      <c r="BT798" s="7"/>
      <c r="BU798" s="7"/>
      <c r="BV798" s="7"/>
      <c r="BW798" s="7"/>
      <c r="BX798" s="7"/>
      <c r="BY798" s="7"/>
      <c r="BZ798" s="7"/>
      <c r="CA798" s="7"/>
      <c r="CB798" s="7"/>
    </row>
    <row r="799" ht="21.75" customHeight="1">
      <c r="A799" s="7"/>
      <c r="B799" s="7" t="s">
        <v>9411</v>
      </c>
      <c r="C799" s="7" t="s">
        <v>9412</v>
      </c>
      <c r="D799" s="7"/>
      <c r="E799" s="7"/>
      <c r="F799" s="7"/>
      <c r="G799" s="7" t="s">
        <v>343</v>
      </c>
      <c r="H799" s="7" t="s">
        <v>344</v>
      </c>
      <c r="I799" s="7" t="s">
        <v>9413</v>
      </c>
      <c r="J799" s="7"/>
      <c r="K799" s="7" t="s">
        <v>58</v>
      </c>
      <c r="L799" s="7" t="s">
        <v>59</v>
      </c>
      <c r="M799" s="7"/>
      <c r="N799" s="7"/>
      <c r="O799" s="7">
        <v>97430.0</v>
      </c>
      <c r="P799" s="7" t="s">
        <v>344</v>
      </c>
      <c r="Q799" s="7"/>
      <c r="R799" s="7"/>
      <c r="S799" s="7"/>
      <c r="T799" s="7"/>
      <c r="U799" s="7"/>
      <c r="V799" s="7"/>
      <c r="W799" s="7">
        <v>6.92704022E8</v>
      </c>
      <c r="X799" s="7">
        <v>6.92661392E8</v>
      </c>
      <c r="Y799" s="7"/>
      <c r="Z799" s="7" t="s">
        <v>9414</v>
      </c>
      <c r="AA799" s="7">
        <v>12.0</v>
      </c>
      <c r="AB799" s="7"/>
      <c r="AC799" s="7"/>
      <c r="AD799" s="7"/>
      <c r="AE799" s="7"/>
      <c r="AF799" s="7"/>
      <c r="AG799" s="7"/>
      <c r="AH799" s="7"/>
      <c r="AI799" s="7"/>
      <c r="AJ799" s="7" t="s">
        <v>9415</v>
      </c>
      <c r="AK799" s="7"/>
      <c r="AL799" s="7" t="s">
        <v>9416</v>
      </c>
      <c r="AM799" s="7"/>
      <c r="AN799" s="7"/>
      <c r="AO799" s="7"/>
      <c r="AP799" s="7"/>
      <c r="AQ799" s="7"/>
      <c r="AR799" s="7"/>
      <c r="AS799" s="7"/>
      <c r="AT799" s="7"/>
      <c r="AU799" s="7"/>
      <c r="AV799" s="7" t="s">
        <v>9417</v>
      </c>
      <c r="AW799" s="7"/>
      <c r="AX799" s="7"/>
      <c r="AY799" s="7"/>
      <c r="AZ799" s="7" t="s">
        <v>9418</v>
      </c>
      <c r="BA799" s="7"/>
      <c r="BB799" s="7"/>
      <c r="BC799" s="7" t="s">
        <v>401</v>
      </c>
      <c r="BD799" s="7"/>
      <c r="BE799" s="7"/>
      <c r="BF799" s="7"/>
      <c r="BG799" s="7"/>
      <c r="BH799" s="7"/>
      <c r="BI799" s="7" t="s">
        <v>9419</v>
      </c>
      <c r="BJ799" s="7"/>
      <c r="BK799" s="7" t="b">
        <v>0</v>
      </c>
      <c r="BL799" s="7" t="b">
        <v>0</v>
      </c>
      <c r="BM799" s="7"/>
      <c r="BN799" s="7" t="str">
        <f>IFERROR(__xludf.DUMMYFUNCTION(" IF( REGEXMATCH(C799 , ""[(].+[)]""),REGEXREPLACE( CONCATENATE(REGEXEXTRACT(C799 , ""[(].+[)]""),IF(REGEXMATCH(C799 , ""[(][Ll]['’][)]""),"""","" ""), REGEXEXTRACT(C799 ,""^(?:(?:[A-Za-zàäéèêîïöôûü0-9 ](?:[A-Za-zàäéèêîïöôûü'0-9 ]+)))"")) , ""[()]"", """")"&amp;",C799 )"),"Lianes de Jade")</f>
        <v>Lianes de Jade</v>
      </c>
      <c r="BO799" s="25"/>
      <c r="BP799" s="7"/>
      <c r="BQ799" s="7"/>
      <c r="BR799" s="7"/>
      <c r="BS799" s="7"/>
      <c r="BT799" s="7"/>
      <c r="BU799" s="7"/>
      <c r="BV799" s="7"/>
      <c r="BW799" s="7"/>
      <c r="BX799" s="7"/>
      <c r="BY799" s="7"/>
      <c r="BZ799" s="7"/>
      <c r="CA799" s="7"/>
      <c r="CB799" s="7"/>
    </row>
    <row r="800" ht="21.75" customHeight="1">
      <c r="A800" s="7"/>
      <c r="B800" s="7" t="s">
        <v>9420</v>
      </c>
      <c r="C800" s="7" t="s">
        <v>9421</v>
      </c>
      <c r="D800" s="7"/>
      <c r="E800" s="7"/>
      <c r="F800" s="7"/>
      <c r="G800" s="7" t="s">
        <v>343</v>
      </c>
      <c r="H800" s="7" t="s">
        <v>344</v>
      </c>
      <c r="I800" s="7" t="s">
        <v>9422</v>
      </c>
      <c r="J800" s="7"/>
      <c r="K800" s="7" t="s">
        <v>58</v>
      </c>
      <c r="L800" s="7" t="s">
        <v>59</v>
      </c>
      <c r="M800" s="7"/>
      <c r="N800" s="7"/>
      <c r="O800" s="7">
        <v>97418.0</v>
      </c>
      <c r="P800" s="7" t="s">
        <v>348</v>
      </c>
      <c r="Q800" s="7"/>
      <c r="R800" s="7"/>
      <c r="S800" s="7"/>
      <c r="T800" s="7"/>
      <c r="U800" s="7"/>
      <c r="V800" s="7"/>
      <c r="W800" s="7">
        <v>6.92152542E8</v>
      </c>
      <c r="X800" s="7">
        <v>6.92855252E8</v>
      </c>
      <c r="Y800" s="7"/>
      <c r="Z800" s="7" t="s">
        <v>9423</v>
      </c>
      <c r="AA800" s="7">
        <v>6.0</v>
      </c>
      <c r="AB800" s="7"/>
      <c r="AC800" s="7"/>
      <c r="AD800" s="7"/>
      <c r="AE800" s="7"/>
      <c r="AF800" s="7"/>
      <c r="AG800" s="7"/>
      <c r="AH800" s="7"/>
      <c r="AI800" s="7"/>
      <c r="AJ800" s="7" t="s">
        <v>9424</v>
      </c>
      <c r="AK800" s="7"/>
      <c r="AL800" s="7" t="s">
        <v>9425</v>
      </c>
      <c r="AM800" s="7"/>
      <c r="AN800" s="7"/>
      <c r="AO800" s="7"/>
      <c r="AP800" s="7"/>
      <c r="AQ800" s="7"/>
      <c r="AR800" s="7"/>
      <c r="AS800" s="7"/>
      <c r="AT800" s="7"/>
      <c r="AU800" s="7"/>
      <c r="AV800" s="7" t="s">
        <v>9426</v>
      </c>
      <c r="AW800" s="7"/>
      <c r="AX800" s="7"/>
      <c r="AY800" s="7"/>
      <c r="AZ800" s="7" t="s">
        <v>9427</v>
      </c>
      <c r="BA800" s="7"/>
      <c r="BB800" s="7"/>
      <c r="BC800" s="7" t="s">
        <v>401</v>
      </c>
      <c r="BD800" s="7"/>
      <c r="BE800" s="7"/>
      <c r="BF800" s="7"/>
      <c r="BG800" s="7"/>
      <c r="BH800" s="7"/>
      <c r="BI800" s="7" t="s">
        <v>9428</v>
      </c>
      <c r="BJ800" s="7"/>
      <c r="BK800" s="7" t="b">
        <v>0</v>
      </c>
      <c r="BL800" s="7" t="b">
        <v>0</v>
      </c>
      <c r="BM800" s="7"/>
      <c r="BN800" s="7" t="str">
        <f>IFERROR(__xludf.DUMMYFUNCTION(" IF( REGEXMATCH(C800 , ""[(].+[)]""),REGEXREPLACE( CONCATENATE(REGEXEXTRACT(C800 , ""[(].+[)]""),IF(REGEXMATCH(C800 , ""[(][Ll]['’][)]""),"""","" ""), REGEXEXTRACT(C800 ,""^(?:(?:[A-Za-zàäéèêîïöôûü0-9 ](?:[A-Za-zàäéèêîïöôûü'0-9 ]+)))"")) , ""[()]"", """")"&amp;",C800 )"),"Location saisonnière dans les Hauts")</f>
        <v>Location saisonnière dans les Hauts</v>
      </c>
      <c r="BO800" s="25"/>
      <c r="BP800" s="7"/>
      <c r="BQ800" s="7"/>
      <c r="BR800" s="7"/>
      <c r="BS800" s="7"/>
      <c r="BT800" s="7"/>
      <c r="BU800" s="7"/>
      <c r="BV800" s="7"/>
      <c r="BW800" s="7"/>
      <c r="BX800" s="7"/>
      <c r="BY800" s="7"/>
      <c r="BZ800" s="7"/>
      <c r="CA800" s="7"/>
      <c r="CB800" s="7"/>
    </row>
    <row r="801" ht="21.75" customHeight="1">
      <c r="A801" s="7"/>
      <c r="B801" s="7" t="s">
        <v>9429</v>
      </c>
      <c r="C801" s="7" t="s">
        <v>9430</v>
      </c>
      <c r="D801" s="7"/>
      <c r="E801" s="7"/>
      <c r="F801" s="7"/>
      <c r="G801" s="7" t="s">
        <v>343</v>
      </c>
      <c r="H801" s="7" t="s">
        <v>344</v>
      </c>
      <c r="I801" s="7" t="s">
        <v>9431</v>
      </c>
      <c r="J801" s="7"/>
      <c r="K801" s="7" t="s">
        <v>58</v>
      </c>
      <c r="L801" s="7" t="s">
        <v>59</v>
      </c>
      <c r="M801" s="7"/>
      <c r="N801" s="7"/>
      <c r="O801" s="7">
        <v>97418.0</v>
      </c>
      <c r="P801" s="7" t="s">
        <v>348</v>
      </c>
      <c r="Q801" s="7"/>
      <c r="R801" s="7"/>
      <c r="S801" s="7"/>
      <c r="T801" s="7"/>
      <c r="U801" s="7"/>
      <c r="V801" s="7"/>
      <c r="W801" s="7">
        <v>6.92165402E8</v>
      </c>
      <c r="X801" s="7"/>
      <c r="Y801" s="7"/>
      <c r="Z801" s="7" t="s">
        <v>9432</v>
      </c>
      <c r="AA801" s="7">
        <v>10.0</v>
      </c>
      <c r="AB801" s="7"/>
      <c r="AC801" s="7"/>
      <c r="AD801" s="7"/>
      <c r="AE801" s="7"/>
      <c r="AF801" s="7"/>
      <c r="AG801" s="7"/>
      <c r="AH801" s="7"/>
      <c r="AI801" s="7"/>
      <c r="AJ801" s="7" t="s">
        <v>9433</v>
      </c>
      <c r="AK801" s="7"/>
      <c r="AL801" s="7" t="s">
        <v>9434</v>
      </c>
      <c r="AM801" s="7"/>
      <c r="AN801" s="7"/>
      <c r="AO801" s="7"/>
      <c r="AP801" s="7"/>
      <c r="AQ801" s="7"/>
      <c r="AR801" s="7"/>
      <c r="AS801" s="7"/>
      <c r="AT801" s="7"/>
      <c r="AU801" s="7"/>
      <c r="AV801" s="7" t="s">
        <v>9435</v>
      </c>
      <c r="AW801" s="7"/>
      <c r="AX801" s="7"/>
      <c r="AY801" s="7"/>
      <c r="AZ801" s="7" t="s">
        <v>9436</v>
      </c>
      <c r="BA801" s="7"/>
      <c r="BB801" s="7"/>
      <c r="BC801" s="7" t="s">
        <v>401</v>
      </c>
      <c r="BD801" s="7"/>
      <c r="BE801" s="7"/>
      <c r="BF801" s="7"/>
      <c r="BG801" s="7"/>
      <c r="BH801" s="7"/>
      <c r="BI801" s="7" t="s">
        <v>3962</v>
      </c>
      <c r="BJ801" s="7"/>
      <c r="BK801" s="7" t="b">
        <v>0</v>
      </c>
      <c r="BL801" s="7" t="b">
        <v>0</v>
      </c>
      <c r="BM801" s="7"/>
      <c r="BN801" s="7" t="str">
        <f>IFERROR(__xludf.DUMMYFUNCTION(" IF( REGEXMATCH(C801 , ""[(].+[)]""),REGEXREPLACE( CONCATENATE(REGEXEXTRACT(C801 , ""[(].+[)]""),IF(REGEXMATCH(C801 , ""[(][Ll]['’][)]""),"""","" ""), REGEXEXTRACT(C801 ,""^(?:(?:[A-Za-zàäéèêîïöôûü0-9 ](?:[A-Za-zàäéèêîïöôûü'0-9 ]+)))"")) , ""[()]"", """")"&amp;",C801 )"),"Locations Vert Eden")</f>
        <v>Locations Vert Eden</v>
      </c>
      <c r="BO801" s="25"/>
      <c r="BP801" s="7"/>
      <c r="BQ801" s="7"/>
      <c r="BR801" s="7"/>
      <c r="BS801" s="7"/>
      <c r="BT801" s="7"/>
      <c r="BU801" s="7"/>
      <c r="BV801" s="7"/>
      <c r="BW801" s="7"/>
      <c r="BX801" s="7"/>
      <c r="BY801" s="7"/>
      <c r="BZ801" s="7"/>
      <c r="CA801" s="7"/>
      <c r="CB801" s="7"/>
    </row>
    <row r="802" ht="21.75" customHeight="1">
      <c r="A802" s="7"/>
      <c r="B802" s="7" t="s">
        <v>9437</v>
      </c>
      <c r="C802" s="7" t="s">
        <v>9438</v>
      </c>
      <c r="D802" s="7"/>
      <c r="E802" s="7"/>
      <c r="F802" s="7"/>
      <c r="G802" s="7" t="s">
        <v>343</v>
      </c>
      <c r="H802" s="7" t="s">
        <v>40</v>
      </c>
      <c r="I802" s="7" t="s">
        <v>9439</v>
      </c>
      <c r="J802" s="7"/>
      <c r="K802" s="7" t="s">
        <v>58</v>
      </c>
      <c r="L802" s="7" t="s">
        <v>59</v>
      </c>
      <c r="M802" s="7" t="s">
        <v>346</v>
      </c>
      <c r="N802" s="7"/>
      <c r="O802" s="7">
        <v>97414.0</v>
      </c>
      <c r="P802" s="7" t="s">
        <v>40</v>
      </c>
      <c r="Q802" s="7"/>
      <c r="R802" s="7" t="s">
        <v>9440</v>
      </c>
      <c r="S802" s="7" t="s">
        <v>9441</v>
      </c>
      <c r="T802" s="7" t="s">
        <v>9442</v>
      </c>
      <c r="U802" s="7" t="s">
        <v>9443</v>
      </c>
      <c r="V802" s="7"/>
      <c r="W802" s="7">
        <v>6.92670684E8</v>
      </c>
      <c r="X802" s="7"/>
      <c r="Y802" s="7"/>
      <c r="Z802" s="7" t="s">
        <v>9444</v>
      </c>
      <c r="AA802" s="7">
        <v>6.0</v>
      </c>
      <c r="AB802" s="7"/>
      <c r="AC802" s="7"/>
      <c r="AD802" s="7" t="s">
        <v>9445</v>
      </c>
      <c r="AE802" s="7"/>
      <c r="AF802" s="7"/>
      <c r="AG802" s="7"/>
      <c r="AH802" s="7"/>
      <c r="AI802" s="7"/>
      <c r="AJ802" s="7" t="s">
        <v>9446</v>
      </c>
      <c r="AK802" s="7"/>
      <c r="AL802" s="7" t="s">
        <v>9447</v>
      </c>
      <c r="AM802" s="7"/>
      <c r="AN802" s="7"/>
      <c r="AO802" s="7">
        <v>97418.0</v>
      </c>
      <c r="AP802" s="7" t="s">
        <v>362</v>
      </c>
      <c r="AQ802" s="7"/>
      <c r="AR802" s="7"/>
      <c r="AS802" s="7"/>
      <c r="AT802" s="7"/>
      <c r="AU802" s="7">
        <v>1.0</v>
      </c>
      <c r="AV802" s="7" t="s">
        <v>4237</v>
      </c>
      <c r="AW802" s="7"/>
      <c r="AX802" s="7"/>
      <c r="AY802" s="7"/>
      <c r="AZ802" s="7"/>
      <c r="BA802" s="7"/>
      <c r="BB802" s="7"/>
      <c r="BC802" s="7" t="s">
        <v>401</v>
      </c>
      <c r="BD802" s="7"/>
      <c r="BE802" s="7"/>
      <c r="BF802" s="7"/>
      <c r="BG802" s="7"/>
      <c r="BH802" s="7"/>
      <c r="BI802" s="7" t="s">
        <v>1786</v>
      </c>
      <c r="BJ802" s="7"/>
      <c r="BK802" s="7" t="b">
        <v>0</v>
      </c>
      <c r="BL802" s="7" t="b">
        <v>0</v>
      </c>
      <c r="BM802" s="7"/>
      <c r="BN802" s="7" t="str">
        <f>IFERROR(__xludf.DUMMYFUNCTION(" IF( REGEXMATCH(C802 , ""[(].+[)]""),REGEXREPLACE( CONCATENATE(REGEXEXTRACT(C802 , ""[(].+[)]""),IF(REGEXMATCH(C802 , ""[(][Ll]['’][)]""),"""","" ""), REGEXEXTRACT(C802 ,""^(?:(?:[A-Za-zàäéèêîïöôûü0-9 ](?:[A-Za-zàäéèêîïöôûü'0-9 ]+)))"")) , ""[()]"", """")"&amp;",C802 )"),"Ma Petite Maison")</f>
        <v>Ma Petite Maison</v>
      </c>
      <c r="BO802" s="25"/>
      <c r="BP802" s="7"/>
      <c r="BQ802" s="7"/>
      <c r="BR802" s="7"/>
      <c r="BS802" s="7"/>
      <c r="BT802" s="7"/>
      <c r="BU802" s="7"/>
      <c r="BV802" s="7"/>
      <c r="BW802" s="7"/>
      <c r="BX802" s="7"/>
      <c r="BY802" s="7"/>
      <c r="BZ802" s="7"/>
      <c r="CA802" s="7"/>
      <c r="CB802" s="7"/>
    </row>
    <row r="803" ht="21.75" customHeight="1">
      <c r="A803" s="7"/>
      <c r="B803" s="7" t="s">
        <v>9448</v>
      </c>
      <c r="C803" s="7" t="s">
        <v>5389</v>
      </c>
      <c r="D803" s="7"/>
      <c r="E803" s="7"/>
      <c r="F803" s="7"/>
      <c r="G803" s="7" t="s">
        <v>343</v>
      </c>
      <c r="H803" s="7" t="s">
        <v>123</v>
      </c>
      <c r="I803" s="7" t="s">
        <v>9101</v>
      </c>
      <c r="J803" s="7"/>
      <c r="K803" s="7" t="s">
        <v>34</v>
      </c>
      <c r="L803" s="7" t="s">
        <v>485</v>
      </c>
      <c r="M803" s="7" t="s">
        <v>486</v>
      </c>
      <c r="N803" s="7"/>
      <c r="O803" s="7">
        <v>97480.0</v>
      </c>
      <c r="P803" s="7" t="s">
        <v>123</v>
      </c>
      <c r="Q803" s="7" t="s">
        <v>9102</v>
      </c>
      <c r="R803" s="7"/>
      <c r="S803" s="7"/>
      <c r="T803" s="7"/>
      <c r="U803" s="7"/>
      <c r="V803" s="7"/>
      <c r="W803" s="7">
        <v>6.92207652E8</v>
      </c>
      <c r="X803" s="7">
        <v>6.92769723E8</v>
      </c>
      <c r="Y803" s="7"/>
      <c r="Z803" s="7"/>
      <c r="AA803" s="7">
        <v>45.0</v>
      </c>
      <c r="AB803" s="7"/>
      <c r="AC803" s="7"/>
      <c r="AD803" s="7"/>
      <c r="AE803" s="7"/>
      <c r="AF803" s="7"/>
      <c r="AG803" s="7"/>
      <c r="AH803" s="7"/>
      <c r="AI803" s="7"/>
      <c r="AJ803" s="7" t="s">
        <v>9449</v>
      </c>
      <c r="AK803" s="7"/>
      <c r="AL803" s="7"/>
      <c r="AM803" s="7"/>
      <c r="AN803" s="7"/>
      <c r="AO803" s="7"/>
      <c r="AP803" s="7"/>
      <c r="AQ803" s="7"/>
      <c r="AR803" s="7"/>
      <c r="AS803" s="7"/>
      <c r="AT803" s="7"/>
      <c r="AU803" s="7"/>
      <c r="AV803" s="7" t="s">
        <v>9105</v>
      </c>
      <c r="AW803" s="7"/>
      <c r="AX803" s="7"/>
      <c r="AY803" s="7"/>
      <c r="AZ803" s="7"/>
      <c r="BA803" s="7"/>
      <c r="BB803" s="7"/>
      <c r="BC803" s="7" t="s">
        <v>401</v>
      </c>
      <c r="BD803" s="7"/>
      <c r="BE803" s="7"/>
      <c r="BF803" s="7"/>
      <c r="BG803" s="7"/>
      <c r="BH803" s="7"/>
      <c r="BI803" s="7" t="s">
        <v>4322</v>
      </c>
      <c r="BJ803" s="7"/>
      <c r="BK803" s="7" t="b">
        <v>0</v>
      </c>
      <c r="BL803" s="7" t="b">
        <v>0</v>
      </c>
      <c r="BM803" s="7"/>
      <c r="BN803" s="7" t="str">
        <f>IFERROR(__xludf.DUMMYFUNCTION(" IF( REGEXMATCH(C803 , ""[(].+[)]""),REGEXREPLACE( CONCATENATE(REGEXEXTRACT(C803 , ""[(].+[)]""),IF(REGEXMATCH(C803 , ""[(][Ll]['’][)]""),"""","" ""), REGEXEXTRACT(C803 ,""^(?:(?:[A-Za-zàäéèêîïöôûü0-9 ](?:[A-Za-zàäéèêîïöôûü'0-9 ]+)))"")) , ""[()]"", """")"&amp;",C803 )"),"Le Mahavel ")</f>
        <v>Le Mahavel </v>
      </c>
      <c r="BO803" s="25"/>
      <c r="BP803" s="7"/>
      <c r="BQ803" s="7"/>
      <c r="BR803" s="7"/>
      <c r="BS803" s="7"/>
      <c r="BT803" s="7"/>
      <c r="BU803" s="7"/>
      <c r="BV803" s="7"/>
      <c r="BW803" s="7"/>
      <c r="BX803" s="7"/>
      <c r="BY803" s="7"/>
      <c r="BZ803" s="7"/>
      <c r="CA803" s="7"/>
      <c r="CB803" s="7"/>
    </row>
    <row r="804" ht="21.75" customHeight="1">
      <c r="A804" s="7"/>
      <c r="B804" s="7" t="s">
        <v>9450</v>
      </c>
      <c r="C804" s="7" t="s">
        <v>9451</v>
      </c>
      <c r="D804" s="7"/>
      <c r="E804" s="7"/>
      <c r="F804" s="7"/>
      <c r="G804" s="7" t="s">
        <v>343</v>
      </c>
      <c r="H804" s="7" t="s">
        <v>344</v>
      </c>
      <c r="I804" s="7" t="s">
        <v>9452</v>
      </c>
      <c r="J804" s="7"/>
      <c r="K804" s="7" t="s">
        <v>58</v>
      </c>
      <c r="L804" s="7" t="s">
        <v>59</v>
      </c>
      <c r="M804" s="7"/>
      <c r="N804" s="7"/>
      <c r="O804" s="7">
        <v>97430.0</v>
      </c>
      <c r="P804" s="7" t="s">
        <v>344</v>
      </c>
      <c r="Q804" s="7" t="s">
        <v>3501</v>
      </c>
      <c r="R804" s="7" t="s">
        <v>9453</v>
      </c>
      <c r="S804" s="7" t="s">
        <v>9454</v>
      </c>
      <c r="T804" s="7" t="s">
        <v>9455</v>
      </c>
      <c r="U804" s="7" t="s">
        <v>353</v>
      </c>
      <c r="V804" s="7"/>
      <c r="W804" s="7">
        <v>6.92331604E8</v>
      </c>
      <c r="X804" s="7">
        <v>6.92328018E8</v>
      </c>
      <c r="Y804" s="7"/>
      <c r="Z804" s="7" t="s">
        <v>9456</v>
      </c>
      <c r="AA804" s="7">
        <v>6.0</v>
      </c>
      <c r="AB804" s="7"/>
      <c r="AC804" s="7" t="s">
        <v>9457</v>
      </c>
      <c r="AD804" s="7" t="s">
        <v>9458</v>
      </c>
      <c r="AE804" s="7"/>
      <c r="AF804" s="7"/>
      <c r="AG804" s="7"/>
      <c r="AH804" s="7"/>
      <c r="AI804" s="7"/>
      <c r="AJ804" s="7" t="s">
        <v>9459</v>
      </c>
      <c r="AK804" s="7"/>
      <c r="AL804" s="7" t="s">
        <v>9460</v>
      </c>
      <c r="AM804" s="7"/>
      <c r="AN804" s="7"/>
      <c r="AO804" s="7"/>
      <c r="AP804" s="7"/>
      <c r="AQ804" s="7"/>
      <c r="AR804" s="7"/>
      <c r="AS804" s="7"/>
      <c r="AT804" s="7"/>
      <c r="AU804" s="7"/>
      <c r="AV804" s="7" t="s">
        <v>9461</v>
      </c>
      <c r="AW804" s="7"/>
      <c r="AX804" s="7" t="s">
        <v>3806</v>
      </c>
      <c r="AY804" s="7" t="s">
        <v>1590</v>
      </c>
      <c r="AZ804" s="7" t="s">
        <v>9462</v>
      </c>
      <c r="BA804" s="7"/>
      <c r="BB804" s="7"/>
      <c r="BC804" s="7" t="s">
        <v>401</v>
      </c>
      <c r="BD804" s="7"/>
      <c r="BE804" s="7"/>
      <c r="BF804" s="7"/>
      <c r="BG804" s="7"/>
      <c r="BH804" s="7"/>
      <c r="BI804" s="7" t="s">
        <v>9463</v>
      </c>
      <c r="BJ804" s="7"/>
      <c r="BK804" s="7" t="b">
        <v>0</v>
      </c>
      <c r="BL804" s="7" t="b">
        <v>0</v>
      </c>
      <c r="BM804" s="7"/>
      <c r="BN804" s="7" t="str">
        <f>IFERROR(__xludf.DUMMYFUNCTION(" IF( REGEXMATCH(C804 , ""[(].+[)]""),REGEXREPLACE( CONCATENATE(REGEXEXTRACT(C804 , ""[(].+[)]""),IF(REGEXMATCH(C804 , ""[(][Ll]['’][)]""),"""","" ""), REGEXEXTRACT(C804 ,""^(?:(?:[A-Za-zàäéèêîïöôûü0-9 ](?:[A-Za-zàäéèêîïöôûü'0-9 ]+)))"")) , ""[()]"", """")"&amp;",C804 )"),"Maison Chamelle")</f>
        <v>Maison Chamelle</v>
      </c>
      <c r="BO804" s="25"/>
      <c r="BP804" s="7"/>
      <c r="BQ804" s="7"/>
      <c r="BR804" s="7"/>
      <c r="BS804" s="7"/>
      <c r="BT804" s="7"/>
      <c r="BU804" s="7"/>
      <c r="BV804" s="7"/>
      <c r="BW804" s="7"/>
      <c r="BX804" s="7"/>
      <c r="BY804" s="7"/>
      <c r="BZ804" s="7"/>
      <c r="CA804" s="7"/>
      <c r="CB804" s="7"/>
    </row>
    <row r="805" ht="21.75" customHeight="1">
      <c r="A805" s="7"/>
      <c r="B805" s="7" t="s">
        <v>9464</v>
      </c>
      <c r="C805" s="7" t="s">
        <v>9465</v>
      </c>
      <c r="D805" s="7" t="s">
        <v>8213</v>
      </c>
      <c r="E805" s="7"/>
      <c r="F805" s="7"/>
      <c r="G805" s="7" t="s">
        <v>343</v>
      </c>
      <c r="H805" s="7" t="s">
        <v>123</v>
      </c>
      <c r="I805" s="7" t="s">
        <v>9466</v>
      </c>
      <c r="J805" s="7"/>
      <c r="K805" s="7" t="s">
        <v>58</v>
      </c>
      <c r="L805" s="7" t="s">
        <v>59</v>
      </c>
      <c r="M805" s="7" t="s">
        <v>346</v>
      </c>
      <c r="N805" s="7" t="s">
        <v>664</v>
      </c>
      <c r="O805" s="7">
        <v>97480.0</v>
      </c>
      <c r="P805" s="7" t="s">
        <v>123</v>
      </c>
      <c r="Q805" s="7" t="s">
        <v>9467</v>
      </c>
      <c r="R805" s="7" t="s">
        <v>9468</v>
      </c>
      <c r="S805" s="7" t="s">
        <v>9469</v>
      </c>
      <c r="T805" s="7" t="s">
        <v>3816</v>
      </c>
      <c r="U805" s="7" t="s">
        <v>9333</v>
      </c>
      <c r="V805" s="7"/>
      <c r="W805" s="7">
        <v>6.92651883E8</v>
      </c>
      <c r="X805" s="7" t="s">
        <v>9470</v>
      </c>
      <c r="Y805" s="7"/>
      <c r="Z805" s="7" t="s">
        <v>9471</v>
      </c>
      <c r="AA805" s="7">
        <v>12.0</v>
      </c>
      <c r="AB805" s="7"/>
      <c r="AC805" s="7"/>
      <c r="AD805" s="7" t="s">
        <v>9472</v>
      </c>
      <c r="AE805" s="7" t="s">
        <v>9473</v>
      </c>
      <c r="AF805" s="7"/>
      <c r="AG805" s="7"/>
      <c r="AH805" s="7"/>
      <c r="AI805" s="7"/>
      <c r="AJ805" s="7" t="s">
        <v>9474</v>
      </c>
      <c r="AK805" s="7"/>
      <c r="AL805" s="7" t="s">
        <v>9475</v>
      </c>
      <c r="AM805" s="7"/>
      <c r="AN805" s="7"/>
      <c r="AO805" s="7">
        <v>97480.0</v>
      </c>
      <c r="AP805" s="7" t="s">
        <v>385</v>
      </c>
      <c r="AQ805" s="7"/>
      <c r="AR805" s="7"/>
      <c r="AS805" s="7"/>
      <c r="AT805" s="7"/>
      <c r="AU805" s="7">
        <v>1.0</v>
      </c>
      <c r="AV805" s="7" t="s">
        <v>9476</v>
      </c>
      <c r="AW805" s="7"/>
      <c r="AX805" s="7"/>
      <c r="AY805" s="7"/>
      <c r="AZ805" s="7"/>
      <c r="BA805" s="7"/>
      <c r="BB805" s="7"/>
      <c r="BC805" s="7" t="s">
        <v>401</v>
      </c>
      <c r="BD805" s="7"/>
      <c r="BE805" s="7"/>
      <c r="BF805" s="7"/>
      <c r="BG805" s="7"/>
      <c r="BH805" s="7"/>
      <c r="BI805" s="7" t="s">
        <v>9477</v>
      </c>
      <c r="BJ805" s="7"/>
      <c r="BK805" s="7" t="b">
        <v>0</v>
      </c>
      <c r="BL805" s="7" t="b">
        <v>0</v>
      </c>
      <c r="BM805" s="7"/>
      <c r="BN805" s="7" t="str">
        <f>IFERROR(__xludf.DUMMYFUNCTION(" IF( REGEXMATCH(C805 , ""[(].+[)]""),REGEXREPLACE( CONCATENATE(REGEXEXTRACT(C805 , ""[(].+[)]""),IF(REGEXMATCH(C805 , ""[(][Ll]['’][)]""),"""","" ""), REGEXEXTRACT(C805 ,""^(?:(?:[A-Za-zàäéèêîïöôûü0-9 ](?:[A-Za-zàäéèêîïöôûü'0-9 ]+)))"")) , ""[()]"", """")"&amp;",C805 )"),"La Maison de vacances ")</f>
        <v>La Maison de vacances </v>
      </c>
      <c r="BO805" s="25"/>
      <c r="BP805" s="7"/>
      <c r="BQ805" s="7"/>
      <c r="BR805" s="7"/>
      <c r="BS805" s="7"/>
      <c r="BT805" s="7"/>
      <c r="BU805" s="7"/>
      <c r="BV805" s="7"/>
      <c r="BW805" s="7"/>
      <c r="BX805" s="7"/>
      <c r="BY805" s="7"/>
      <c r="BZ805" s="7"/>
      <c r="CA805" s="7"/>
      <c r="CB805" s="7"/>
    </row>
    <row r="806" ht="21.75" customHeight="1">
      <c r="A806" s="7"/>
      <c r="B806" s="7" t="s">
        <v>9478</v>
      </c>
      <c r="C806" s="7" t="s">
        <v>9479</v>
      </c>
      <c r="D806" s="7"/>
      <c r="E806" s="7"/>
      <c r="F806" s="7"/>
      <c r="G806" s="7" t="s">
        <v>343</v>
      </c>
      <c r="H806" s="7" t="s">
        <v>123</v>
      </c>
      <c r="I806" s="7" t="s">
        <v>9480</v>
      </c>
      <c r="J806" s="7"/>
      <c r="K806" s="7" t="s">
        <v>58</v>
      </c>
      <c r="L806" s="7" t="s">
        <v>59</v>
      </c>
      <c r="M806" s="7"/>
      <c r="N806" s="7"/>
      <c r="O806" s="7">
        <v>97480.0</v>
      </c>
      <c r="P806" s="7" t="s">
        <v>123</v>
      </c>
      <c r="Q806" s="7" t="s">
        <v>206</v>
      </c>
      <c r="R806" s="7" t="s">
        <v>9481</v>
      </c>
      <c r="S806" s="7" t="s">
        <v>9482</v>
      </c>
      <c r="T806" s="7" t="s">
        <v>4973</v>
      </c>
      <c r="U806" s="7" t="s">
        <v>5551</v>
      </c>
      <c r="V806" s="7"/>
      <c r="W806" s="7">
        <v>6.92097576E8</v>
      </c>
      <c r="X806" s="7"/>
      <c r="Y806" s="7"/>
      <c r="Z806" s="7" t="s">
        <v>9483</v>
      </c>
      <c r="AA806" s="7">
        <v>4.0</v>
      </c>
      <c r="AB806" s="7"/>
      <c r="AC806" s="7" t="s">
        <v>9484</v>
      </c>
      <c r="AD806" s="7" t="s">
        <v>9485</v>
      </c>
      <c r="AE806" s="7"/>
      <c r="AF806" s="7" t="s">
        <v>1173</v>
      </c>
      <c r="AG806" s="7"/>
      <c r="AH806" s="7"/>
      <c r="AI806" s="7"/>
      <c r="AJ806" s="7" t="s">
        <v>9486</v>
      </c>
      <c r="AK806" s="7"/>
      <c r="AL806" s="7" t="s">
        <v>9487</v>
      </c>
      <c r="AM806" s="7"/>
      <c r="AN806" s="7"/>
      <c r="AO806" s="7"/>
      <c r="AP806" s="7"/>
      <c r="AQ806" s="7"/>
      <c r="AR806" s="7"/>
      <c r="AS806" s="7"/>
      <c r="AT806" s="7"/>
      <c r="AU806" s="7">
        <v>1.0</v>
      </c>
      <c r="AV806" s="7" t="s">
        <v>9488</v>
      </c>
      <c r="AW806" s="7"/>
      <c r="AX806" s="7" t="s">
        <v>3270</v>
      </c>
      <c r="AY806" s="7" t="s">
        <v>1590</v>
      </c>
      <c r="AZ806" s="7" t="s">
        <v>9489</v>
      </c>
      <c r="BA806" s="7"/>
      <c r="BB806" s="7"/>
      <c r="BC806" s="7" t="s">
        <v>401</v>
      </c>
      <c r="BD806" s="7"/>
      <c r="BE806" s="7"/>
      <c r="BF806" s="7"/>
      <c r="BG806" s="7"/>
      <c r="BH806" s="7"/>
      <c r="BI806" s="7" t="s">
        <v>9490</v>
      </c>
      <c r="BJ806" s="7"/>
      <c r="BK806" s="7" t="b">
        <v>0</v>
      </c>
      <c r="BL806" s="7" t="b">
        <v>0</v>
      </c>
      <c r="BM806" s="7"/>
      <c r="BN806" s="7" t="str">
        <f>IFERROR(__xludf.DUMMYFUNCTION(" IF( REGEXMATCH(C806 , ""[(].+[)]""),REGEXREPLACE( CONCATENATE(REGEXEXTRACT(C806 , ""[(].+[)]""),IF(REGEXMATCH(C806 , ""[(][Ll]['’][)]""),"""","" ""), REGEXEXTRACT(C806 ,""^(?:(?:[A-Za-zàäéèêîïöôûü0-9 ](?:[A-Za-zàäéèêîïöôûü'0-9 ]+)))"")) , ""[()]"", """")"&amp;",C806 )"),"Mana Home")</f>
        <v>Mana Home</v>
      </c>
      <c r="BO806" s="25"/>
      <c r="BP806" s="7"/>
      <c r="BQ806" s="7"/>
      <c r="BR806" s="7"/>
      <c r="BS806" s="7"/>
      <c r="BT806" s="7"/>
      <c r="BU806" s="7"/>
      <c r="BV806" s="7"/>
      <c r="BW806" s="7"/>
      <c r="BX806" s="7"/>
      <c r="BY806" s="7"/>
      <c r="BZ806" s="7"/>
      <c r="CA806" s="7"/>
      <c r="CB806" s="7"/>
    </row>
    <row r="807" ht="21.75" customHeight="1">
      <c r="A807" s="7"/>
      <c r="B807" s="7" t="s">
        <v>9491</v>
      </c>
      <c r="C807" s="7" t="s">
        <v>9492</v>
      </c>
      <c r="D807" s="7" t="s">
        <v>8213</v>
      </c>
      <c r="E807" s="7"/>
      <c r="F807" s="7"/>
      <c r="G807" s="7" t="s">
        <v>343</v>
      </c>
      <c r="H807" s="7" t="s">
        <v>344</v>
      </c>
      <c r="I807" s="7" t="s">
        <v>9493</v>
      </c>
      <c r="J807" s="7"/>
      <c r="K807" s="7" t="s">
        <v>58</v>
      </c>
      <c r="L807" s="7" t="s">
        <v>59</v>
      </c>
      <c r="M807" s="7" t="s">
        <v>346</v>
      </c>
      <c r="N807" s="7"/>
      <c r="O807" s="7">
        <v>97418.0</v>
      </c>
      <c r="P807" s="7" t="s">
        <v>344</v>
      </c>
      <c r="Q807" s="7" t="s">
        <v>9494</v>
      </c>
      <c r="R807" s="7"/>
      <c r="S807" s="7"/>
      <c r="T807" s="7"/>
      <c r="U807" s="7" t="s">
        <v>9333</v>
      </c>
      <c r="V807" s="7"/>
      <c r="W807" s="7">
        <v>6.92687996E8</v>
      </c>
      <c r="X807" s="7"/>
      <c r="Y807" s="7"/>
      <c r="Z807" s="7" t="s">
        <v>9495</v>
      </c>
      <c r="AA807" s="7">
        <v>6.0</v>
      </c>
      <c r="AB807" s="7"/>
      <c r="AC807" s="7"/>
      <c r="AD807" s="7" t="s">
        <v>9496</v>
      </c>
      <c r="AE807" s="7"/>
      <c r="AF807" s="7"/>
      <c r="AG807" s="7"/>
      <c r="AH807" s="7"/>
      <c r="AI807" s="7"/>
      <c r="AJ807" s="7" t="s">
        <v>9497</v>
      </c>
      <c r="AK807" s="7"/>
      <c r="AL807" s="7" t="s">
        <v>9498</v>
      </c>
      <c r="AM807" s="7"/>
      <c r="AN807" s="7"/>
      <c r="AO807" s="7">
        <v>97417.0</v>
      </c>
      <c r="AP807" s="7" t="s">
        <v>9499</v>
      </c>
      <c r="AQ807" s="7"/>
      <c r="AR807" s="7"/>
      <c r="AS807" s="7"/>
      <c r="AT807" s="7"/>
      <c r="AU807" s="7">
        <v>1.0</v>
      </c>
      <c r="AV807" s="7" t="s">
        <v>9500</v>
      </c>
      <c r="AW807" s="7"/>
      <c r="AX807" s="7"/>
      <c r="AY807" s="7"/>
      <c r="AZ807" s="7"/>
      <c r="BA807" s="7"/>
      <c r="BB807" s="7"/>
      <c r="BC807" s="7" t="s">
        <v>401</v>
      </c>
      <c r="BD807" s="7"/>
      <c r="BE807" s="7"/>
      <c r="BF807" s="7"/>
      <c r="BG807" s="7"/>
      <c r="BH807" s="7"/>
      <c r="BI807" s="7" t="s">
        <v>9501</v>
      </c>
      <c r="BJ807" s="7"/>
      <c r="BK807" s="7" t="b">
        <v>0</v>
      </c>
      <c r="BL807" s="7" t="b">
        <v>0</v>
      </c>
      <c r="BM807" s="7"/>
      <c r="BN807" s="7" t="str">
        <f>IFERROR(__xludf.DUMMYFUNCTION(" IF( REGEXMATCH(C807 , ""[(].+[)]""),REGEXREPLACE( CONCATENATE(REGEXEXTRACT(C807 , ""[(].+[)]""),IF(REGEXMATCH(C807 , ""[(][Ll]['’][)]""),"""","" ""), REGEXEXTRACT(C807 ,""^(?:(?:[A-Za-zàäéèêîïöôûü0-9 ](?:[A-Za-zàäéèêîïöôûü'0-9 ]+)))"")) , ""[()]"", """")"&amp;",C807 )"),"MY HOME Villa")</f>
        <v>MY HOME Villa</v>
      </c>
      <c r="BO807" s="25"/>
      <c r="BP807" s="7"/>
      <c r="BQ807" s="7"/>
      <c r="BR807" s="7"/>
      <c r="BS807" s="7"/>
      <c r="BT807" s="7"/>
      <c r="BU807" s="7"/>
      <c r="BV807" s="7"/>
      <c r="BW807" s="7"/>
      <c r="BX807" s="7"/>
      <c r="BY807" s="7"/>
      <c r="BZ807" s="7"/>
      <c r="CA807" s="7"/>
      <c r="CB807" s="7"/>
    </row>
    <row r="808" ht="21.75" customHeight="1">
      <c r="A808" s="7"/>
      <c r="B808" s="7" t="s">
        <v>9502</v>
      </c>
      <c r="C808" s="7" t="s">
        <v>9503</v>
      </c>
      <c r="D808" s="7"/>
      <c r="E808" s="7"/>
      <c r="F808" s="7"/>
      <c r="G808" s="7" t="s">
        <v>343</v>
      </c>
      <c r="H808" s="7" t="s">
        <v>40</v>
      </c>
      <c r="I808" s="7" t="s">
        <v>9504</v>
      </c>
      <c r="J808" s="7"/>
      <c r="K808" s="7" t="s">
        <v>34</v>
      </c>
      <c r="L808" s="7" t="s">
        <v>622</v>
      </c>
      <c r="M808" s="7" t="s">
        <v>9505</v>
      </c>
      <c r="N808" s="7" t="s">
        <v>422</v>
      </c>
      <c r="O808" s="7">
        <v>97414.0</v>
      </c>
      <c r="P808" s="7" t="s">
        <v>40</v>
      </c>
      <c r="Q808" s="7"/>
      <c r="R808" s="7"/>
      <c r="S808" s="7"/>
      <c r="T808" s="7" t="s">
        <v>9506</v>
      </c>
      <c r="U808" s="7" t="s">
        <v>353</v>
      </c>
      <c r="V808" s="7"/>
      <c r="W808" s="7">
        <v>6.9276905E8</v>
      </c>
      <c r="X808" s="7"/>
      <c r="Y808" s="7"/>
      <c r="Z808" s="7" t="s">
        <v>9507</v>
      </c>
      <c r="AA808" s="7"/>
      <c r="AB808" s="7"/>
      <c r="AC808" s="7"/>
      <c r="AD808" s="7" t="s">
        <v>9508</v>
      </c>
      <c r="AE808" s="7" t="s">
        <v>9509</v>
      </c>
      <c r="AF808" s="7" t="s">
        <v>1173</v>
      </c>
      <c r="AG808" s="7"/>
      <c r="AH808" s="7"/>
      <c r="AI808" s="7"/>
      <c r="AJ808" s="7" t="s">
        <v>9510</v>
      </c>
      <c r="AK808" s="7">
        <v>8.931010970001E13</v>
      </c>
      <c r="AL808" s="7" t="s">
        <v>9511</v>
      </c>
      <c r="AM808" s="7" t="s">
        <v>9512</v>
      </c>
      <c r="AN808" s="7"/>
      <c r="AO808" s="7">
        <v>97414.0</v>
      </c>
      <c r="AP808" s="7" t="s">
        <v>9175</v>
      </c>
      <c r="AQ808" s="7"/>
      <c r="AR808" s="7"/>
      <c r="AS808" s="7"/>
      <c r="AT808" s="7"/>
      <c r="AU808" s="7">
        <v>1.0</v>
      </c>
      <c r="AV808" s="7" t="s">
        <v>9513</v>
      </c>
      <c r="AW808" s="7"/>
      <c r="AX808" s="7"/>
      <c r="AY808" s="7"/>
      <c r="AZ808" s="7"/>
      <c r="BA808" s="7"/>
      <c r="BB808" s="7"/>
      <c r="BC808" s="7" t="s">
        <v>401</v>
      </c>
      <c r="BD808" s="7"/>
      <c r="BE808" s="7"/>
      <c r="BF808" s="7"/>
      <c r="BG808" s="7"/>
      <c r="BH808" s="7">
        <v>8.93101097E8</v>
      </c>
      <c r="BI808" s="7" t="s">
        <v>3454</v>
      </c>
      <c r="BJ808" s="7"/>
      <c r="BK808" s="7" t="b">
        <v>0</v>
      </c>
      <c r="BL808" s="7" t="b">
        <v>0</v>
      </c>
      <c r="BM808" s="7"/>
      <c r="BN808" s="7" t="str">
        <f>IFERROR(__xludf.DUMMYFUNCTION(" IF( REGEXMATCH(C808 , ""[(].+[)]""),REGEXREPLACE( CONCATENATE(REGEXEXTRACT(C808 , ""[(].+[)]""),IF(REGEXMATCH(C808 , ""[(][Ll]['’][)]""),"""","" ""), REGEXEXTRACT(C808 ,""^(?:(?:[A-Za-zàäéèêîïöôûü0-9 ](?:[A-Za-zàäéèêîïöôûü'0-9 ]+)))"")) , ""[()]"", """")"&amp;",C808 )"),"NANA BARKET &amp; FASTFOOD")</f>
        <v>NANA BARKET &amp; FASTFOOD</v>
      </c>
      <c r="BO808" s="25"/>
      <c r="BP808" s="7"/>
      <c r="BQ808" s="7"/>
      <c r="BR808" s="7"/>
      <c r="BS808" s="7"/>
      <c r="BT808" s="7"/>
      <c r="BU808" s="7"/>
      <c r="BV808" s="7"/>
      <c r="BW808" s="7"/>
      <c r="BX808" s="7"/>
      <c r="BY808" s="7"/>
      <c r="BZ808" s="7"/>
      <c r="CA808" s="7"/>
      <c r="CB808" s="7"/>
    </row>
    <row r="809" ht="21.75" customHeight="1">
      <c r="A809" s="7"/>
      <c r="B809" s="7" t="s">
        <v>9514</v>
      </c>
      <c r="C809" s="7" t="s">
        <v>9515</v>
      </c>
      <c r="D809" s="7"/>
      <c r="E809" s="7"/>
      <c r="F809" s="7"/>
      <c r="G809" s="7" t="s">
        <v>343</v>
      </c>
      <c r="H809" s="7" t="s">
        <v>123</v>
      </c>
      <c r="I809" s="7" t="s">
        <v>9516</v>
      </c>
      <c r="J809" s="7"/>
      <c r="K809" s="7" t="s">
        <v>58</v>
      </c>
      <c r="L809" s="7" t="s">
        <v>59</v>
      </c>
      <c r="M809" s="7"/>
      <c r="N809" s="7"/>
      <c r="O809" s="7">
        <v>97480.0</v>
      </c>
      <c r="P809" s="7" t="s">
        <v>123</v>
      </c>
      <c r="Q809" s="7"/>
      <c r="R809" s="7"/>
      <c r="S809" s="7"/>
      <c r="T809" s="7"/>
      <c r="U809" s="7"/>
      <c r="V809" s="7"/>
      <c r="W809" s="7">
        <v>6.92870933E8</v>
      </c>
      <c r="X809" s="7">
        <v>6.92687859E8</v>
      </c>
      <c r="Y809" s="7"/>
      <c r="Z809" s="7" t="s">
        <v>7643</v>
      </c>
      <c r="AA809" s="7">
        <v>5.0</v>
      </c>
      <c r="AB809" s="7"/>
      <c r="AC809" s="7"/>
      <c r="AD809" s="7"/>
      <c r="AE809" s="7"/>
      <c r="AF809" s="7"/>
      <c r="AG809" s="7"/>
      <c r="AH809" s="7"/>
      <c r="AI809" s="7"/>
      <c r="AJ809" s="7" t="s">
        <v>9517</v>
      </c>
      <c r="AK809" s="7"/>
      <c r="AL809" s="7" t="s">
        <v>7646</v>
      </c>
      <c r="AM809" s="7" t="s">
        <v>9518</v>
      </c>
      <c r="AN809" s="7"/>
      <c r="AO809" s="7"/>
      <c r="AP809" s="7"/>
      <c r="AQ809" s="7"/>
      <c r="AR809" s="7"/>
      <c r="AS809" s="7"/>
      <c r="AT809" s="7"/>
      <c r="AU809" s="7"/>
      <c r="AV809" s="7" t="s">
        <v>9519</v>
      </c>
      <c r="AW809" s="7"/>
      <c r="AX809" s="7"/>
      <c r="AY809" s="7"/>
      <c r="AZ809" s="7" t="s">
        <v>9520</v>
      </c>
      <c r="BA809" s="7"/>
      <c r="BB809" s="7"/>
      <c r="BC809" s="7" t="s">
        <v>401</v>
      </c>
      <c r="BD809" s="7"/>
      <c r="BE809" s="7"/>
      <c r="BF809" s="7"/>
      <c r="BG809" s="7"/>
      <c r="BH809" s="7"/>
      <c r="BI809" s="7" t="s">
        <v>9521</v>
      </c>
      <c r="BJ809" s="7"/>
      <c r="BK809" s="7" t="b">
        <v>0</v>
      </c>
      <c r="BL809" s="7" t="b">
        <v>0</v>
      </c>
      <c r="BM809" s="7"/>
      <c r="BN809" s="7" t="str">
        <f>IFERROR(__xludf.DUMMYFUNCTION(" IF( REGEXMATCH(C809 , ""[(].+[)]""),REGEXREPLACE( CONCATENATE(REGEXEXTRACT(C809 , ""[(].+[)]""),IF(REGEXMATCH(C809 , ""[(][Ll]['’][)]""),"""","" ""), REGEXEXTRACT(C809 ,""^(?:(?:[A-Za-zàäéèêîïöôûü0-9 ](?:[A-Za-zàäéèêîïöôûü'0-9 ]+)))"")) , ""[()]"", """")"&amp;",C809 )"),"Le Nid d'Amour ")</f>
        <v>Le Nid d'Amour </v>
      </c>
      <c r="BO809" s="25"/>
      <c r="BP809" s="7"/>
      <c r="BQ809" s="7"/>
      <c r="BR809" s="7"/>
      <c r="BS809" s="7"/>
      <c r="BT809" s="7"/>
      <c r="BU809" s="7"/>
      <c r="BV809" s="7"/>
      <c r="BW809" s="7"/>
      <c r="BX809" s="7"/>
      <c r="BY809" s="7"/>
      <c r="BZ809" s="7"/>
      <c r="CA809" s="7"/>
      <c r="CB809" s="7"/>
    </row>
    <row r="810" ht="21.75" customHeight="1">
      <c r="A810" s="7"/>
      <c r="B810" s="7" t="s">
        <v>9522</v>
      </c>
      <c r="C810" s="7" t="s">
        <v>9523</v>
      </c>
      <c r="D810" s="7"/>
      <c r="E810" s="7"/>
      <c r="F810" s="7"/>
      <c r="G810" s="7" t="s">
        <v>343</v>
      </c>
      <c r="H810" s="7" t="s">
        <v>344</v>
      </c>
      <c r="I810" s="7" t="s">
        <v>9524</v>
      </c>
      <c r="J810" s="7"/>
      <c r="K810" s="7" t="s">
        <v>58</v>
      </c>
      <c r="L810" s="7" t="s">
        <v>453</v>
      </c>
      <c r="M810" s="7" t="s">
        <v>454</v>
      </c>
      <c r="N810" s="7"/>
      <c r="O810" s="7">
        <v>97418.0</v>
      </c>
      <c r="P810" s="7" t="s">
        <v>348</v>
      </c>
      <c r="Q810" s="7" t="s">
        <v>9525</v>
      </c>
      <c r="R810" s="7"/>
      <c r="S810" s="7"/>
      <c r="T810" s="7"/>
      <c r="U810" s="7"/>
      <c r="V810" s="7"/>
      <c r="W810" s="7">
        <v>6.9382005E8</v>
      </c>
      <c r="X810" s="7"/>
      <c r="Y810" s="7"/>
      <c r="Z810" s="7" t="s">
        <v>9526</v>
      </c>
      <c r="AA810" s="7">
        <v>11.0</v>
      </c>
      <c r="AB810" s="7"/>
      <c r="AC810" s="7"/>
      <c r="AD810" s="7"/>
      <c r="AE810" s="7"/>
      <c r="AF810" s="7"/>
      <c r="AG810" s="7"/>
      <c r="AH810" s="7"/>
      <c r="AI810" s="7"/>
      <c r="AJ810" s="7" t="s">
        <v>9527</v>
      </c>
      <c r="AK810" s="7"/>
      <c r="AL810" s="7" t="s">
        <v>9524</v>
      </c>
      <c r="AM810" s="7" t="s">
        <v>9528</v>
      </c>
      <c r="AN810" s="7"/>
      <c r="AO810" s="7">
        <v>97480.0</v>
      </c>
      <c r="AP810" s="7" t="s">
        <v>385</v>
      </c>
      <c r="AQ810" s="7"/>
      <c r="AR810" s="7"/>
      <c r="AS810" s="7"/>
      <c r="AT810" s="7"/>
      <c r="AU810" s="7">
        <v>4.0</v>
      </c>
      <c r="AV810" s="7" t="s">
        <v>2631</v>
      </c>
      <c r="AW810" s="7"/>
      <c r="AX810" s="7"/>
      <c r="AY810" s="7"/>
      <c r="AZ810" s="7" t="s">
        <v>9529</v>
      </c>
      <c r="BA810" s="7"/>
      <c r="BB810" s="7"/>
      <c r="BC810" s="7" t="s">
        <v>401</v>
      </c>
      <c r="BD810" s="7"/>
      <c r="BE810" s="7"/>
      <c r="BF810" s="7"/>
      <c r="BG810" s="7"/>
      <c r="BH810" s="7"/>
      <c r="BI810" s="7" t="s">
        <v>1504</v>
      </c>
      <c r="BJ810" s="7"/>
      <c r="BK810" s="7" t="b">
        <v>0</v>
      </c>
      <c r="BL810" s="7" t="b">
        <v>0</v>
      </c>
      <c r="BM810" s="7"/>
      <c r="BN810" s="7" t="str">
        <f>IFERROR(__xludf.DUMMYFUNCTION(" IF( REGEXMATCH(C810 , ""[(].+[)]""),REGEXREPLACE( CONCATENATE(REGEXEXTRACT(C810 , ""[(].+[)]""),IF(REGEXMATCH(C810 , ""[(][Ll]['’][)]""),"""","" ""), REGEXEXTRACT(C810 ,""^(?:(?:[A-Za-zàäéèêîïöôûü0-9 ](?:[A-Za-zàäéèêîïöôûü'0-9 ]+)))"")) , ""[()]"", """")"&amp;",C810 )"),"Le Nideo ")</f>
        <v>Le Nideo </v>
      </c>
      <c r="BO810" s="25"/>
      <c r="BP810" s="7"/>
      <c r="BQ810" s="7"/>
      <c r="BR810" s="7"/>
      <c r="BS810" s="7"/>
      <c r="BT810" s="7"/>
      <c r="BU810" s="7"/>
      <c r="BV810" s="7"/>
      <c r="BW810" s="7"/>
      <c r="BX810" s="7"/>
      <c r="BY810" s="7"/>
      <c r="BZ810" s="7"/>
      <c r="CA810" s="7"/>
      <c r="CB810" s="7"/>
    </row>
    <row r="811" ht="21.75" customHeight="1">
      <c r="A811" s="7"/>
      <c r="B811" s="7" t="s">
        <v>9530</v>
      </c>
      <c r="C811" s="7" t="s">
        <v>9531</v>
      </c>
      <c r="D811" s="7"/>
      <c r="E811" s="7"/>
      <c r="F811" s="7"/>
      <c r="G811" s="7" t="s">
        <v>343</v>
      </c>
      <c r="H811" s="7" t="s">
        <v>123</v>
      </c>
      <c r="I811" s="7" t="s">
        <v>9532</v>
      </c>
      <c r="J811" s="7"/>
      <c r="K811" s="7" t="s">
        <v>58</v>
      </c>
      <c r="L811" s="7" t="s">
        <v>59</v>
      </c>
      <c r="M811" s="7"/>
      <c r="N811" s="7"/>
      <c r="O811" s="7">
        <v>97480.0</v>
      </c>
      <c r="P811" s="7" t="s">
        <v>123</v>
      </c>
      <c r="Q811" s="7" t="s">
        <v>206</v>
      </c>
      <c r="R811" s="7"/>
      <c r="S811" s="7"/>
      <c r="T811" s="7"/>
      <c r="U811" s="7"/>
      <c r="V811" s="7"/>
      <c r="W811" s="7">
        <v>6.9266521E8</v>
      </c>
      <c r="X811" s="7"/>
      <c r="Y811" s="7"/>
      <c r="Z811" s="7" t="s">
        <v>9533</v>
      </c>
      <c r="AA811" s="7">
        <v>4.0</v>
      </c>
      <c r="AB811" s="7"/>
      <c r="AC811" s="7"/>
      <c r="AD811" s="7"/>
      <c r="AE811" s="7"/>
      <c r="AF811" s="7"/>
      <c r="AG811" s="7"/>
      <c r="AH811" s="7"/>
      <c r="AI811" s="7"/>
      <c r="AJ811" s="7" t="s">
        <v>9534</v>
      </c>
      <c r="AK811" s="7"/>
      <c r="AL811" s="7" t="s">
        <v>9532</v>
      </c>
      <c r="AM811" s="7" t="s">
        <v>9535</v>
      </c>
      <c r="AN811" s="7"/>
      <c r="AO811" s="7"/>
      <c r="AP811" s="7"/>
      <c r="AQ811" s="7"/>
      <c r="AR811" s="7"/>
      <c r="AS811" s="7"/>
      <c r="AT811" s="7"/>
      <c r="AU811" s="7"/>
      <c r="AV811" s="7" t="s">
        <v>8369</v>
      </c>
      <c r="AW811" s="7"/>
      <c r="AX811" s="7"/>
      <c r="AY811" s="7"/>
      <c r="AZ811" s="7" t="s">
        <v>9536</v>
      </c>
      <c r="BA811" s="7"/>
      <c r="BB811" s="7"/>
      <c r="BC811" s="7" t="s">
        <v>401</v>
      </c>
      <c r="BD811" s="7"/>
      <c r="BE811" s="7"/>
      <c r="BF811" s="7"/>
      <c r="BG811" s="7"/>
      <c r="BH811" s="7"/>
      <c r="BI811" s="7" t="s">
        <v>2384</v>
      </c>
      <c r="BJ811" s="7"/>
      <c r="BK811" s="7" t="b">
        <v>0</v>
      </c>
      <c r="BL811" s="7" t="b">
        <v>0</v>
      </c>
      <c r="BM811" s="7"/>
      <c r="BN811" s="7" t="str">
        <f>IFERROR(__xludf.DUMMYFUNCTION(" IF( REGEXMATCH(C811 , ""[(].+[)]""),REGEXREPLACE( CONCATENATE(REGEXEXTRACT(C811 , ""[(].+[)]""),IF(REGEXMATCH(C811 , ""[(][Ll]['’][)]""),"""","" ""), REGEXEXTRACT(C811 ,""^(?:(?:[A-Za-zàäéèêîïöôûü0-9 ](?:[A-Za-zàäéèêîïöôûü'0-9 ]+)))"")) , ""[()]"", """")"&amp;",C811 )"),"Nout Kaz Paradis")</f>
        <v>Nout Kaz Paradis</v>
      </c>
      <c r="BO811" s="25"/>
      <c r="BP811" s="7"/>
      <c r="BQ811" s="7"/>
      <c r="BR811" s="7"/>
      <c r="BS811" s="7"/>
      <c r="BT811" s="7"/>
      <c r="BU811" s="7"/>
      <c r="BV811" s="7"/>
      <c r="BW811" s="7"/>
      <c r="BX811" s="7"/>
      <c r="BY811" s="7"/>
      <c r="BZ811" s="7"/>
      <c r="CA811" s="7"/>
      <c r="CB811" s="7"/>
    </row>
    <row r="812" ht="21.75" customHeight="1">
      <c r="A812" s="7"/>
      <c r="B812" s="7" t="s">
        <v>9537</v>
      </c>
      <c r="C812" s="7" t="s">
        <v>9538</v>
      </c>
      <c r="D812" s="7"/>
      <c r="E812" s="7"/>
      <c r="F812" s="7"/>
      <c r="G812" s="7" t="s">
        <v>343</v>
      </c>
      <c r="H812" s="7" t="s">
        <v>40</v>
      </c>
      <c r="I812" s="7" t="s">
        <v>9539</v>
      </c>
      <c r="J812" s="7"/>
      <c r="K812" s="7" t="s">
        <v>58</v>
      </c>
      <c r="L812" s="7" t="s">
        <v>137</v>
      </c>
      <c r="M812" s="7" t="s">
        <v>1091</v>
      </c>
      <c r="N812" s="7"/>
      <c r="O812" s="7">
        <v>97414.0</v>
      </c>
      <c r="P812" s="7" t="s">
        <v>40</v>
      </c>
      <c r="Q812" s="7" t="s">
        <v>8701</v>
      </c>
      <c r="R812" s="7"/>
      <c r="S812" s="7"/>
      <c r="T812" s="7"/>
      <c r="U812" s="7"/>
      <c r="V812" s="7"/>
      <c r="W812" s="7">
        <v>6.92273324E8</v>
      </c>
      <c r="X812" s="7">
        <v>6.92308701E8</v>
      </c>
      <c r="Y812" s="7"/>
      <c r="Z812" s="7"/>
      <c r="AA812" s="7">
        <v>2.0</v>
      </c>
      <c r="AB812" s="7"/>
      <c r="AC812" s="7"/>
      <c r="AD812" s="7"/>
      <c r="AE812" s="7"/>
      <c r="AF812" s="7"/>
      <c r="AG812" s="7"/>
      <c r="AH812" s="7"/>
      <c r="AI812" s="7"/>
      <c r="AJ812" s="7" t="s">
        <v>9540</v>
      </c>
      <c r="AK812" s="7"/>
      <c r="AL812" s="7" t="s">
        <v>9541</v>
      </c>
      <c r="AM812" s="7" t="s">
        <v>9542</v>
      </c>
      <c r="AN812" s="7"/>
      <c r="AO812" s="7">
        <v>97414.0</v>
      </c>
      <c r="AP812" s="7"/>
      <c r="AQ812" s="7"/>
      <c r="AR812" s="7"/>
      <c r="AS812" s="7"/>
      <c r="AT812" s="7"/>
      <c r="AU812" s="7"/>
      <c r="AV812" s="7" t="s">
        <v>8707</v>
      </c>
      <c r="AW812" s="7"/>
      <c r="AX812" s="7"/>
      <c r="AY812" s="7"/>
      <c r="AZ812" s="7" t="s">
        <v>9543</v>
      </c>
      <c r="BA812" s="7"/>
      <c r="BB812" s="7"/>
      <c r="BC812" s="7" t="s">
        <v>401</v>
      </c>
      <c r="BD812" s="7"/>
      <c r="BE812" s="7"/>
      <c r="BF812" s="7"/>
      <c r="BG812" s="7"/>
      <c r="BH812" s="7"/>
      <c r="BI812" s="7" t="s">
        <v>8710</v>
      </c>
      <c r="BJ812" s="7"/>
      <c r="BK812" s="7" t="b">
        <v>0</v>
      </c>
      <c r="BL812" s="7" t="b">
        <v>0</v>
      </c>
      <c r="BM812" s="7"/>
      <c r="BN812" s="7" t="str">
        <f>IFERROR(__xludf.DUMMYFUNCTION(" IF( REGEXMATCH(C812 , ""[(].+[)]""),REGEXREPLACE( CONCATENATE(REGEXEXTRACT(C812 , ""[(].+[)]""),IF(REGEXMATCH(C812 , ""[(][Ll]['’][)]""),"""","" ""), REGEXEXTRACT(C812 ,""^(?:(?:[A-Za-zàäéèêîïöôûü0-9 ](?:[A-Za-zàäéèêîïöôûü'0-9 ]+)))"")) , ""[()]"", """")"&amp;",C812 )"),"O P'tit Marcheur")</f>
        <v>O P'tit Marcheur</v>
      </c>
      <c r="BO812" s="25"/>
      <c r="BP812" s="7"/>
      <c r="BQ812" s="7"/>
      <c r="BR812" s="7"/>
      <c r="BS812" s="7"/>
      <c r="BT812" s="7"/>
      <c r="BU812" s="7"/>
      <c r="BV812" s="7"/>
      <c r="BW812" s="7"/>
      <c r="BX812" s="7"/>
      <c r="BY812" s="7"/>
      <c r="BZ812" s="7"/>
      <c r="CA812" s="7"/>
      <c r="CB812" s="7"/>
    </row>
    <row r="813" ht="21.75" customHeight="1">
      <c r="A813" s="7"/>
      <c r="B813" s="7" t="s">
        <v>9544</v>
      </c>
      <c r="C813" s="7" t="s">
        <v>9545</v>
      </c>
      <c r="D813" s="7"/>
      <c r="E813" s="7"/>
      <c r="F813" s="7"/>
      <c r="G813" s="7" t="s">
        <v>343</v>
      </c>
      <c r="H813" s="7" t="s">
        <v>344</v>
      </c>
      <c r="I813" s="7" t="s">
        <v>9546</v>
      </c>
      <c r="J813" s="7"/>
      <c r="K813" s="7" t="s">
        <v>58</v>
      </c>
      <c r="L813" s="7" t="s">
        <v>59</v>
      </c>
      <c r="M813" s="7"/>
      <c r="N813" s="7"/>
      <c r="O813" s="7">
        <v>97418.0</v>
      </c>
      <c r="P813" s="7" t="s">
        <v>348</v>
      </c>
      <c r="Q813" s="7"/>
      <c r="R813" s="7"/>
      <c r="S813" s="7"/>
      <c r="T813" s="7" t="s">
        <v>377</v>
      </c>
      <c r="U813" s="7"/>
      <c r="V813" s="7"/>
      <c r="W813" s="7">
        <v>6.92310705E8</v>
      </c>
      <c r="X813" s="7"/>
      <c r="Y813" s="7"/>
      <c r="Z813" s="7" t="s">
        <v>9547</v>
      </c>
      <c r="AA813" s="7">
        <v>4.0</v>
      </c>
      <c r="AB813" s="7" t="s">
        <v>2716</v>
      </c>
      <c r="AC813" s="7"/>
      <c r="AD813" s="7"/>
      <c r="AE813" s="7"/>
      <c r="AF813" s="7"/>
      <c r="AG813" s="7"/>
      <c r="AH813" s="7"/>
      <c r="AI813" s="7"/>
      <c r="AJ813" s="7" t="s">
        <v>9548</v>
      </c>
      <c r="AK813" s="7"/>
      <c r="AL813" s="7" t="s">
        <v>9546</v>
      </c>
      <c r="AM813" s="7" t="s">
        <v>9549</v>
      </c>
      <c r="AN813" s="7"/>
      <c r="AO813" s="7"/>
      <c r="AP813" s="7"/>
      <c r="AQ813" s="7"/>
      <c r="AR813" s="7"/>
      <c r="AS813" s="7"/>
      <c r="AT813" s="7"/>
      <c r="AU813" s="7"/>
      <c r="AV813" s="7" t="s">
        <v>2631</v>
      </c>
      <c r="AW813" s="7"/>
      <c r="AX813" s="7"/>
      <c r="AY813" s="7"/>
      <c r="AZ813" s="7" t="s">
        <v>9550</v>
      </c>
      <c r="BA813" s="7"/>
      <c r="BB813" s="7"/>
      <c r="BC813" s="7" t="s">
        <v>401</v>
      </c>
      <c r="BD813" s="7"/>
      <c r="BE813" s="7"/>
      <c r="BF813" s="7"/>
      <c r="BG813" s="7"/>
      <c r="BH813" s="7"/>
      <c r="BI813" s="7" t="s">
        <v>1504</v>
      </c>
      <c r="BJ813" s="7"/>
      <c r="BK813" s="7" t="b">
        <v>0</v>
      </c>
      <c r="BL813" s="7" t="b">
        <v>0</v>
      </c>
      <c r="BM813" s="7"/>
      <c r="BN813" s="7" t="str">
        <f>IFERROR(__xludf.DUMMYFUNCTION(" IF( REGEXMATCH(C813 , ""[(].+[)]""),REGEXREPLACE( CONCATENATE(REGEXEXTRACT(C813 , ""[(].+[)]""),IF(REGEXMATCH(C813 , ""[(][Ll]['’][)]""),"""","" ""), REGEXEXTRACT(C813 ,""^(?:(?:[A-Za-zàäéèêîïöôûü0-9 ](?:[A-Za-zàäéèêîïöôûü'0-9 ]+)))"")) , ""[()]"", """")"&amp;",C813 )"),"O Pas des Sables")</f>
        <v>O Pas des Sables</v>
      </c>
      <c r="BO813" s="25"/>
      <c r="BP813" s="7"/>
      <c r="BQ813" s="7"/>
      <c r="BR813" s="7"/>
      <c r="BS813" s="7"/>
      <c r="BT813" s="7"/>
      <c r="BU813" s="7"/>
      <c r="BV813" s="7"/>
      <c r="BW813" s="7"/>
      <c r="BX813" s="7"/>
      <c r="BY813" s="7"/>
      <c r="BZ813" s="7"/>
      <c r="CA813" s="7"/>
      <c r="CB813" s="7"/>
    </row>
    <row r="814" ht="21.75" customHeight="1">
      <c r="A814" s="7"/>
      <c r="B814" s="7" t="s">
        <v>9551</v>
      </c>
      <c r="C814" s="7" t="s">
        <v>9552</v>
      </c>
      <c r="D814" s="7"/>
      <c r="E814" s="7"/>
      <c r="F814" s="7"/>
      <c r="G814" s="7" t="s">
        <v>343</v>
      </c>
      <c r="H814" s="7" t="s">
        <v>123</v>
      </c>
      <c r="I814" s="7" t="s">
        <v>9553</v>
      </c>
      <c r="J814" s="7"/>
      <c r="K814" s="6" t="s">
        <v>469</v>
      </c>
      <c r="L814" s="7" t="s">
        <v>1405</v>
      </c>
      <c r="M814" s="7" t="s">
        <v>1406</v>
      </c>
      <c r="N814" s="7" t="s">
        <v>455</v>
      </c>
      <c r="O814" s="7">
        <v>97480.0</v>
      </c>
      <c r="P814" s="7" t="s">
        <v>123</v>
      </c>
      <c r="Q814" s="7" t="s">
        <v>1278</v>
      </c>
      <c r="R814" s="7"/>
      <c r="S814" s="7"/>
      <c r="T814" s="7"/>
      <c r="U814" s="7"/>
      <c r="V814" s="7"/>
      <c r="W814" s="7">
        <v>6.92100722E8</v>
      </c>
      <c r="X814" s="7"/>
      <c r="Y814" s="7"/>
      <c r="Z814" s="7" t="s">
        <v>9554</v>
      </c>
      <c r="AA814" s="7"/>
      <c r="AB814" s="7"/>
      <c r="AC814" s="7"/>
      <c r="AD814" s="7" t="s">
        <v>9555</v>
      </c>
      <c r="AE814" s="7"/>
      <c r="AF814" s="7"/>
      <c r="AG814" s="7"/>
      <c r="AH814" s="7"/>
      <c r="AI814" s="7"/>
      <c r="AJ814" s="7" t="s">
        <v>9556</v>
      </c>
      <c r="AK814" s="7"/>
      <c r="AL814" s="7"/>
      <c r="AM814" s="7"/>
      <c r="AN814" s="7"/>
      <c r="AO814" s="7">
        <v>97480.0</v>
      </c>
      <c r="AP814" s="7" t="s">
        <v>385</v>
      </c>
      <c r="AQ814" s="7"/>
      <c r="AR814" s="7"/>
      <c r="AS814" s="7"/>
      <c r="AT814" s="7"/>
      <c r="AU814" s="7"/>
      <c r="AV814" s="7" t="s">
        <v>8976</v>
      </c>
      <c r="AW814" s="7"/>
      <c r="AX814" s="7"/>
      <c r="AY814" s="7"/>
      <c r="AZ814" s="7"/>
      <c r="BA814" s="7"/>
      <c r="BB814" s="7"/>
      <c r="BC814" s="7" t="s">
        <v>401</v>
      </c>
      <c r="BD814" s="7"/>
      <c r="BE814" s="7"/>
      <c r="BF814" s="7"/>
      <c r="BG814" s="7"/>
      <c r="BH814" s="7"/>
      <c r="BI814" s="7" t="s">
        <v>4649</v>
      </c>
      <c r="BJ814" s="7"/>
      <c r="BK814" s="7" t="b">
        <v>0</v>
      </c>
      <c r="BL814" s="7" t="b">
        <v>0</v>
      </c>
      <c r="BM814" s="7"/>
      <c r="BN814" s="7" t="str">
        <f>IFERROR(__xludf.DUMMYFUNCTION(" IF( REGEXMATCH(C814 , ""[(].+[)]""),REGEXREPLACE( CONCATENATE(REGEXEXTRACT(C814 , ""[(].+[)]""),IF(REGEXMATCH(C814 , ""[(][Ll]['’][)]""),"""","" ""), REGEXEXTRACT(C814 ,""^(?:(?:[A-Za-zàäéèêîïöôûü0-9 ](?:[A-Za-zàäéèêîïöôûü'0-9 ]+)))"")) , ""[()]"", """")"&amp;",C814 )"),"O Verger d'Yvonna")</f>
        <v>O Verger d'Yvonna</v>
      </c>
      <c r="BO814" s="25"/>
      <c r="BP814" s="7"/>
      <c r="BQ814" s="7"/>
      <c r="BR814" s="7"/>
      <c r="BS814" s="7"/>
      <c r="BT814" s="7"/>
      <c r="BU814" s="7"/>
      <c r="BV814" s="7"/>
      <c r="BW814" s="7"/>
      <c r="BX814" s="7"/>
      <c r="BY814" s="7"/>
      <c r="BZ814" s="7"/>
      <c r="CA814" s="7"/>
      <c r="CB814" s="7"/>
    </row>
    <row r="815" ht="21.75" customHeight="1">
      <c r="A815" s="7"/>
      <c r="B815" s="7" t="s">
        <v>9557</v>
      </c>
      <c r="C815" s="7" t="s">
        <v>9558</v>
      </c>
      <c r="D815" s="7"/>
      <c r="E815" s="7"/>
      <c r="F815" s="7"/>
      <c r="G815" s="7" t="s">
        <v>343</v>
      </c>
      <c r="H815" s="7" t="s">
        <v>344</v>
      </c>
      <c r="I815" s="7" t="s">
        <v>9559</v>
      </c>
      <c r="J815" s="7"/>
      <c r="K815" s="7" t="s">
        <v>58</v>
      </c>
      <c r="L815" s="7" t="s">
        <v>59</v>
      </c>
      <c r="M815" s="7"/>
      <c r="N815" s="7"/>
      <c r="O815" s="7">
        <v>97430.0</v>
      </c>
      <c r="P815" s="7" t="s">
        <v>344</v>
      </c>
      <c r="Q815" s="7" t="s">
        <v>3501</v>
      </c>
      <c r="R815" s="7"/>
      <c r="S815" s="7"/>
      <c r="T815" s="7"/>
      <c r="U815" s="7"/>
      <c r="V815" s="7"/>
      <c r="W815" s="7">
        <v>6.92152542E8</v>
      </c>
      <c r="X815" s="7">
        <v>6.92855252E8</v>
      </c>
      <c r="Y815" s="7"/>
      <c r="Z815" s="7" t="s">
        <v>9423</v>
      </c>
      <c r="AA815" s="7">
        <v>8.0</v>
      </c>
      <c r="AB815" s="7"/>
      <c r="AC815" s="7"/>
      <c r="AD815" s="7"/>
      <c r="AE815" s="7"/>
      <c r="AF815" s="7"/>
      <c r="AG815" s="7"/>
      <c r="AH815" s="7"/>
      <c r="AI815" s="7"/>
      <c r="AJ815" s="7" t="s">
        <v>9560</v>
      </c>
      <c r="AK815" s="7"/>
      <c r="AL815" s="7" t="s">
        <v>9559</v>
      </c>
      <c r="AM815" s="7"/>
      <c r="AN815" s="7"/>
      <c r="AO815" s="7"/>
      <c r="AP815" s="7"/>
      <c r="AQ815" s="7"/>
      <c r="AR815" s="7"/>
      <c r="AS815" s="7"/>
      <c r="AT815" s="7"/>
      <c r="AU815" s="7"/>
      <c r="AV815" s="7" t="s">
        <v>9561</v>
      </c>
      <c r="AW815" s="7"/>
      <c r="AX815" s="7"/>
      <c r="AY815" s="7"/>
      <c r="AZ815" s="7" t="s">
        <v>9562</v>
      </c>
      <c r="BA815" s="7"/>
      <c r="BB815" s="7"/>
      <c r="BC815" s="7" t="s">
        <v>401</v>
      </c>
      <c r="BD815" s="7"/>
      <c r="BE815" s="7"/>
      <c r="BF815" s="7"/>
      <c r="BG815" s="7"/>
      <c r="BH815" s="7"/>
      <c r="BI815" s="7" t="s">
        <v>9563</v>
      </c>
      <c r="BJ815" s="7"/>
      <c r="BK815" s="7" t="b">
        <v>0</v>
      </c>
      <c r="BL815" s="7" t="b">
        <v>0</v>
      </c>
      <c r="BM815" s="7"/>
      <c r="BN815" s="7" t="str">
        <f>IFERROR(__xludf.DUMMYFUNCTION(" IF( REGEXMATCH(C815 , ""[(].+[)]""),REGEXREPLACE( CONCATENATE(REGEXEXTRACT(C815 , ""[(].+[)]""),IF(REGEXMATCH(C815 , ""[(][Ll]['’][)]""),"""","" ""), REGEXEXTRACT(C815 ,""^(?:(?:[A-Za-zàäéèêîïöôûü0-9 ](?:[A-Za-zàäéèêîïöôûü'0-9 ]+)))"")) , ""[()]"", """")"&amp;",C815 )"),"Oiseau de Paradis")</f>
        <v>Oiseau de Paradis</v>
      </c>
      <c r="BO815" s="25"/>
      <c r="BP815" s="7"/>
      <c r="BQ815" s="7"/>
      <c r="BR815" s="7"/>
      <c r="BS815" s="7"/>
      <c r="BT815" s="7"/>
      <c r="BU815" s="7"/>
      <c r="BV815" s="7"/>
      <c r="BW815" s="7"/>
      <c r="BX815" s="7"/>
      <c r="BY815" s="7"/>
      <c r="BZ815" s="7"/>
      <c r="CA815" s="7"/>
      <c r="CB815" s="7"/>
    </row>
    <row r="816" ht="21.75" customHeight="1">
      <c r="A816" s="7"/>
      <c r="B816" s="7" t="s">
        <v>9564</v>
      </c>
      <c r="C816" s="7" t="s">
        <v>9565</v>
      </c>
      <c r="D816" s="7"/>
      <c r="E816" s="7"/>
      <c r="F816" s="7"/>
      <c r="G816" s="7" t="s">
        <v>343</v>
      </c>
      <c r="H816" s="7" t="s">
        <v>344</v>
      </c>
      <c r="I816" s="7" t="s">
        <v>9566</v>
      </c>
      <c r="J816" s="7"/>
      <c r="K816" s="7" t="s">
        <v>58</v>
      </c>
      <c r="L816" s="7" t="s">
        <v>59</v>
      </c>
      <c r="M816" s="7"/>
      <c r="N816" s="7"/>
      <c r="O816" s="7">
        <v>97418.0</v>
      </c>
      <c r="P816" s="7" t="s">
        <v>348</v>
      </c>
      <c r="Q816" s="7"/>
      <c r="R816" s="7"/>
      <c r="S816" s="7"/>
      <c r="T816" s="7" t="s">
        <v>4368</v>
      </c>
      <c r="U816" s="7" t="s">
        <v>8505</v>
      </c>
      <c r="V816" s="7"/>
      <c r="W816" s="7">
        <v>6.92561322E8</v>
      </c>
      <c r="X816" s="7">
        <v>6.92611625E8</v>
      </c>
      <c r="Y816" s="7"/>
      <c r="Z816" s="7" t="s">
        <v>9567</v>
      </c>
      <c r="AA816" s="7">
        <v>8.0</v>
      </c>
      <c r="AB816" s="7"/>
      <c r="AC816" s="7" t="s">
        <v>9568</v>
      </c>
      <c r="AD816" s="7"/>
      <c r="AE816" s="7"/>
      <c r="AF816" s="7"/>
      <c r="AG816" s="7"/>
      <c r="AH816" s="7"/>
      <c r="AI816" s="7"/>
      <c r="AJ816" s="7" t="s">
        <v>9569</v>
      </c>
      <c r="AK816" s="7">
        <v>8.9054084200014E13</v>
      </c>
      <c r="AL816" s="7" t="s">
        <v>9566</v>
      </c>
      <c r="AM816" s="7"/>
      <c r="AN816" s="7"/>
      <c r="AO816" s="7"/>
      <c r="AP816" s="7"/>
      <c r="AQ816" s="7"/>
      <c r="AR816" s="7"/>
      <c r="AS816" s="7"/>
      <c r="AT816" s="7"/>
      <c r="AU816" s="7">
        <v>1.0</v>
      </c>
      <c r="AV816" s="7" t="s">
        <v>9435</v>
      </c>
      <c r="AW816" s="7"/>
      <c r="AX816" s="7"/>
      <c r="AY816" s="7"/>
      <c r="AZ816" s="7" t="s">
        <v>9570</v>
      </c>
      <c r="BA816" s="7"/>
      <c r="BB816" s="7"/>
      <c r="BC816" s="7" t="s">
        <v>401</v>
      </c>
      <c r="BD816" s="7"/>
      <c r="BE816" s="7"/>
      <c r="BF816" s="7"/>
      <c r="BG816" s="7"/>
      <c r="BH816" s="7">
        <v>8.90540842E8</v>
      </c>
      <c r="BI816" s="7" t="s">
        <v>3962</v>
      </c>
      <c r="BJ816" s="7"/>
      <c r="BK816" s="7" t="b">
        <v>0</v>
      </c>
      <c r="BL816" s="7" t="b">
        <v>0</v>
      </c>
      <c r="BM816" s="7"/>
      <c r="BN816" s="7" t="str">
        <f>IFERROR(__xludf.DUMMYFUNCTION(" IF( REGEXMATCH(C816 , ""[(].+[)]""),REGEXREPLACE( CONCATENATE(REGEXEXTRACT(C816 , ""[(].+[)]""),IF(REGEXMATCH(C816 , ""[(][Ll]['’][)]""),"""","" ""), REGEXEXTRACT(C816 ,""^(?:(?:[A-Za-zàäéèêîïöôûü0-9 ](?:[A-Za-zàäéèêîïöôûü'0-9 ]+)))"")) , ""[()]"", """")"&amp;",C816 )"),"Le P'tit Paille en Queue ")</f>
        <v>Le P'tit Paille en Queue </v>
      </c>
      <c r="BO816" s="25"/>
      <c r="BP816" s="7"/>
      <c r="BQ816" s="7"/>
      <c r="BR816" s="7"/>
      <c r="BS816" s="7"/>
      <c r="BT816" s="7"/>
      <c r="BU816" s="7"/>
      <c r="BV816" s="7"/>
      <c r="BW816" s="7"/>
      <c r="BX816" s="7"/>
      <c r="BY816" s="7"/>
      <c r="BZ816" s="7"/>
      <c r="CA816" s="7"/>
      <c r="CB816" s="7"/>
    </row>
    <row r="817" ht="21.75" customHeight="1">
      <c r="A817" s="7"/>
      <c r="B817" s="7" t="s">
        <v>9571</v>
      </c>
      <c r="C817" s="7" t="s">
        <v>9572</v>
      </c>
      <c r="D817" s="7"/>
      <c r="E817" s="7"/>
      <c r="F817" s="7"/>
      <c r="G817" s="7" t="s">
        <v>343</v>
      </c>
      <c r="H817" s="7" t="s">
        <v>123</v>
      </c>
      <c r="I817" s="7" t="s">
        <v>9573</v>
      </c>
      <c r="J817" s="7"/>
      <c r="K817" s="7" t="s">
        <v>58</v>
      </c>
      <c r="L817" s="7" t="s">
        <v>59</v>
      </c>
      <c r="M817" s="7"/>
      <c r="N817" s="7"/>
      <c r="O817" s="7">
        <v>97480.0</v>
      </c>
      <c r="P817" s="7" t="s">
        <v>123</v>
      </c>
      <c r="Q817" s="7"/>
      <c r="R817" s="7"/>
      <c r="S817" s="7"/>
      <c r="T817" s="7"/>
      <c r="U817" s="7"/>
      <c r="V817" s="7"/>
      <c r="W817" s="7">
        <v>6.93508478E8</v>
      </c>
      <c r="X817" s="7"/>
      <c r="Y817" s="7"/>
      <c r="Z817" s="7" t="s">
        <v>9574</v>
      </c>
      <c r="AA817" s="7">
        <v>4.0</v>
      </c>
      <c r="AB817" s="7"/>
      <c r="AC817" s="7"/>
      <c r="AD817" s="7"/>
      <c r="AE817" s="7"/>
      <c r="AF817" s="7"/>
      <c r="AG817" s="7"/>
      <c r="AH817" s="7"/>
      <c r="AI817" s="7"/>
      <c r="AJ817" s="7" t="s">
        <v>9575</v>
      </c>
      <c r="AK817" s="7"/>
      <c r="AL817" s="7" t="s">
        <v>9573</v>
      </c>
      <c r="AM817" s="7"/>
      <c r="AN817" s="7"/>
      <c r="AO817" s="7"/>
      <c r="AP817" s="7"/>
      <c r="AQ817" s="7"/>
      <c r="AR817" s="7"/>
      <c r="AS817" s="7"/>
      <c r="AT817" s="7"/>
      <c r="AU817" s="7"/>
      <c r="AV817" s="7" t="s">
        <v>6048</v>
      </c>
      <c r="AW817" s="7"/>
      <c r="AX817" s="7" t="s">
        <v>3568</v>
      </c>
      <c r="AY817" s="7" t="s">
        <v>1590</v>
      </c>
      <c r="AZ817" s="7" t="s">
        <v>9576</v>
      </c>
      <c r="BA817" s="7"/>
      <c r="BB817" s="7"/>
      <c r="BC817" s="7" t="s">
        <v>401</v>
      </c>
      <c r="BD817" s="7"/>
      <c r="BE817" s="7"/>
      <c r="BF817" s="7"/>
      <c r="BG817" s="7"/>
      <c r="BH817" s="7"/>
      <c r="BI817" s="7" t="s">
        <v>1087</v>
      </c>
      <c r="BJ817" s="7"/>
      <c r="BK817" s="7" t="b">
        <v>0</v>
      </c>
      <c r="BL817" s="7" t="b">
        <v>0</v>
      </c>
      <c r="BM817" s="7"/>
      <c r="BN817" s="7" t="str">
        <f>IFERROR(__xludf.DUMMYFUNCTION(" IF( REGEXMATCH(C817 , ""[(].+[)]""),REGEXREPLACE( CONCATENATE(REGEXEXTRACT(C817 , ""[(].+[)]""),IF(REGEXMATCH(C817 , ""[(][Ll]['’][)]""),"""","" ""), REGEXEXTRACT(C817 ,""^(?:(?:[A-Za-zàäéèêîïöôûü0-9 ](?:[A-Za-zàäéèêîïöôûü'0-9 ]+)))"")) , ""[()]"", """")"&amp;",C817 )"),"Le Paille en Queue Chalet ")</f>
        <v>Le Paille en Queue Chalet </v>
      </c>
      <c r="BO817" s="25"/>
      <c r="BP817" s="7"/>
      <c r="BQ817" s="7"/>
      <c r="BR817" s="7"/>
      <c r="BS817" s="7"/>
      <c r="BT817" s="7"/>
      <c r="BU817" s="7"/>
      <c r="BV817" s="7"/>
      <c r="BW817" s="7"/>
      <c r="BX817" s="7"/>
      <c r="BY817" s="7"/>
      <c r="BZ817" s="7"/>
      <c r="CA817" s="7"/>
      <c r="CB817" s="7"/>
    </row>
    <row r="818" ht="21.75" customHeight="1">
      <c r="A818" s="7"/>
      <c r="B818" s="7" t="s">
        <v>9577</v>
      </c>
      <c r="C818" s="7" t="s">
        <v>9578</v>
      </c>
      <c r="D818" s="7"/>
      <c r="E818" s="7"/>
      <c r="F818" s="7"/>
      <c r="G818" s="7" t="s">
        <v>343</v>
      </c>
      <c r="H818" s="7" t="s">
        <v>123</v>
      </c>
      <c r="I818" s="7" t="s">
        <v>9579</v>
      </c>
      <c r="J818" s="7"/>
      <c r="K818" s="6" t="s">
        <v>469</v>
      </c>
      <c r="L818" s="7"/>
      <c r="M818" s="7"/>
      <c r="N818" s="7"/>
      <c r="O818" s="7">
        <v>97480.0</v>
      </c>
      <c r="P818" s="7" t="s">
        <v>123</v>
      </c>
      <c r="Q818" s="7" t="s">
        <v>8383</v>
      </c>
      <c r="R818" s="7"/>
      <c r="S818" s="7"/>
      <c r="T818" s="7"/>
      <c r="U818" s="7"/>
      <c r="V818" s="7"/>
      <c r="W818" s="7">
        <v>6.92431349E8</v>
      </c>
      <c r="X818" s="7"/>
      <c r="Y818" s="7"/>
      <c r="Z818" s="7" t="s">
        <v>9580</v>
      </c>
      <c r="AA818" s="7"/>
      <c r="AB818" s="7"/>
      <c r="AC818" s="7"/>
      <c r="AD818" s="7"/>
      <c r="AE818" s="7"/>
      <c r="AF818" s="7"/>
      <c r="AG818" s="7"/>
      <c r="AH818" s="7"/>
      <c r="AI818" s="7"/>
      <c r="AJ818" s="7" t="s">
        <v>9581</v>
      </c>
      <c r="AK818" s="7">
        <v>8.3441182900015E13</v>
      </c>
      <c r="AL818" s="7"/>
      <c r="AM818" s="7"/>
      <c r="AN818" s="7"/>
      <c r="AO818" s="7"/>
      <c r="AP818" s="7"/>
      <c r="AQ818" s="7"/>
      <c r="AR818" s="7"/>
      <c r="AS818" s="7"/>
      <c r="AT818" s="7"/>
      <c r="AU818" s="7"/>
      <c r="AV818" s="7" t="s">
        <v>9582</v>
      </c>
      <c r="AW818" s="7"/>
      <c r="AX818" s="7"/>
      <c r="AY818" s="7"/>
      <c r="AZ818" s="7"/>
      <c r="BA818" s="7"/>
      <c r="BB818" s="7"/>
      <c r="BC818" s="7" t="s">
        <v>401</v>
      </c>
      <c r="BD818" s="7"/>
      <c r="BE818" s="7"/>
      <c r="BF818" s="7"/>
      <c r="BG818" s="7"/>
      <c r="BH818" s="7">
        <v>8.34411829E8</v>
      </c>
      <c r="BI818" s="7" t="s">
        <v>4363</v>
      </c>
      <c r="BJ818" s="7"/>
      <c r="BK818" s="7" t="b">
        <v>0</v>
      </c>
      <c r="BL818" s="7" t="b">
        <v>0</v>
      </c>
      <c r="BM818" s="7"/>
      <c r="BN818" s="7" t="str">
        <f>IFERROR(__xludf.DUMMYFUNCTION(" IF( REGEXMATCH(C818 , ""[(].+[)]""),REGEXREPLACE( CONCATENATE(REGEXEXTRACT(C818 , ""[(].+[)]""),IF(REGEXMATCH(C818 , ""[(][Ll]['’][)]""),"""","" ""), REGEXEXTRACT(C818 ,""^(?:(?:[A-Za-zàäéèêîïöôûü0-9 ](?:[A-Za-zàäéèêîïöôûü'0-9 ]+)))"")) , ""[()]"", """")"&amp;",C818 )"),"Paint Ball de Grand Coude")</f>
        <v>Paint Ball de Grand Coude</v>
      </c>
      <c r="BO818" s="25"/>
      <c r="BP818" s="7"/>
      <c r="BQ818" s="7"/>
      <c r="BR818" s="7"/>
      <c r="BS818" s="7"/>
      <c r="BT818" s="7"/>
      <c r="BU818" s="7"/>
      <c r="BV818" s="7"/>
      <c r="BW818" s="7"/>
      <c r="BX818" s="7"/>
      <c r="BY818" s="7"/>
      <c r="BZ818" s="7"/>
      <c r="CA818" s="7"/>
      <c r="CB818" s="7"/>
    </row>
    <row r="819" ht="21.75" customHeight="1">
      <c r="A819" s="7"/>
      <c r="B819" s="7" t="s">
        <v>9583</v>
      </c>
      <c r="C819" s="7" t="s">
        <v>9584</v>
      </c>
      <c r="D819" s="7"/>
      <c r="E819" s="7"/>
      <c r="F819" s="7"/>
      <c r="G819" s="7" t="s">
        <v>343</v>
      </c>
      <c r="H819" s="7" t="s">
        <v>123</v>
      </c>
      <c r="I819" s="7" t="s">
        <v>9585</v>
      </c>
      <c r="J819" s="7"/>
      <c r="K819" s="6" t="s">
        <v>469</v>
      </c>
      <c r="L819" s="7"/>
      <c r="M819" s="7"/>
      <c r="N819" s="7"/>
      <c r="O819" s="7">
        <v>97480.0</v>
      </c>
      <c r="P819" s="7" t="s">
        <v>123</v>
      </c>
      <c r="Q819" s="7" t="s">
        <v>9209</v>
      </c>
      <c r="R819" s="7"/>
      <c r="S819" s="7"/>
      <c r="T819" s="7"/>
      <c r="U819" s="7"/>
      <c r="V819" s="7"/>
      <c r="W819" s="7">
        <v>6.92361277E8</v>
      </c>
      <c r="X819" s="7"/>
      <c r="Y819" s="7"/>
      <c r="Z819" s="7" t="s">
        <v>9586</v>
      </c>
      <c r="AA819" s="7"/>
      <c r="AB819" s="7"/>
      <c r="AC819" s="7"/>
      <c r="AD819" s="7"/>
      <c r="AE819" s="7"/>
      <c r="AF819" s="7"/>
      <c r="AG819" s="7"/>
      <c r="AH819" s="7"/>
      <c r="AI819" s="7"/>
      <c r="AJ819" s="7" t="s">
        <v>9587</v>
      </c>
      <c r="AK819" s="7"/>
      <c r="AL819" s="7"/>
      <c r="AM819" s="7"/>
      <c r="AN819" s="7"/>
      <c r="AO819" s="7"/>
      <c r="AP819" s="7"/>
      <c r="AQ819" s="7"/>
      <c r="AR819" s="7"/>
      <c r="AS819" s="7"/>
      <c r="AT819" s="7"/>
      <c r="AU819" s="7"/>
      <c r="AV819" s="7" t="s">
        <v>9588</v>
      </c>
      <c r="AW819" s="7"/>
      <c r="AX819" s="7"/>
      <c r="AY819" s="7"/>
      <c r="AZ819" s="7"/>
      <c r="BA819" s="7"/>
      <c r="BB819" s="7"/>
      <c r="BC819" s="7" t="s">
        <v>401</v>
      </c>
      <c r="BD819" s="7"/>
      <c r="BE819" s="7"/>
      <c r="BF819" s="7"/>
      <c r="BG819" s="7"/>
      <c r="BH819" s="7"/>
      <c r="BI819" s="7" t="s">
        <v>9589</v>
      </c>
      <c r="BJ819" s="7"/>
      <c r="BK819" s="7" t="b">
        <v>0</v>
      </c>
      <c r="BL819" s="7" t="b">
        <v>0</v>
      </c>
      <c r="BM819" s="7"/>
      <c r="BN819" s="7" t="str">
        <f>IFERROR(__xludf.DUMMYFUNCTION(" IF( REGEXMATCH(C819 , ""[(].+[)]""),REGEXREPLACE( CONCATENATE(REGEXEXTRACT(C819 , ""[(].+[)]""),IF(REGEXMATCH(C819 , ""[(][Ll]['’][)]""),"""","" ""), REGEXEXTRACT(C819 ,""^(?:(?:[A-Za-zàäéèêîïöôûü0-9 ](?:[A-Za-zàäéèêîïöôûü'0-9 ]+)))"")) , ""[()]"", """")"&amp;",C819 )"),"Paint ball de Saint-Joseph")</f>
        <v>Paint ball de Saint-Joseph</v>
      </c>
      <c r="BO819" s="25"/>
      <c r="BP819" s="7"/>
      <c r="BQ819" s="7"/>
      <c r="BR819" s="7"/>
      <c r="BS819" s="7"/>
      <c r="BT819" s="7"/>
      <c r="BU819" s="7"/>
      <c r="BV819" s="7"/>
      <c r="BW819" s="7"/>
      <c r="BX819" s="7"/>
      <c r="BY819" s="7"/>
      <c r="BZ819" s="7"/>
      <c r="CA819" s="7"/>
      <c r="CB819" s="7"/>
    </row>
    <row r="820" ht="21.75" customHeight="1">
      <c r="A820" s="7"/>
      <c r="B820" s="7" t="s">
        <v>9590</v>
      </c>
      <c r="C820" s="7" t="s">
        <v>9591</v>
      </c>
      <c r="D820" s="7"/>
      <c r="E820" s="7"/>
      <c r="F820" s="7"/>
      <c r="G820" s="7" t="s">
        <v>343</v>
      </c>
      <c r="H820" s="7" t="s">
        <v>344</v>
      </c>
      <c r="I820" s="7" t="s">
        <v>9592</v>
      </c>
      <c r="J820" s="7"/>
      <c r="K820" s="7" t="s">
        <v>58</v>
      </c>
      <c r="L820" s="7" t="s">
        <v>59</v>
      </c>
      <c r="M820" s="7" t="s">
        <v>346</v>
      </c>
      <c r="N820" s="7"/>
      <c r="O820" s="7">
        <v>97430.0</v>
      </c>
      <c r="P820" s="7" t="s">
        <v>344</v>
      </c>
      <c r="Q820" s="7"/>
      <c r="R820" s="7" t="s">
        <v>8515</v>
      </c>
      <c r="S820" s="7" t="s">
        <v>8516</v>
      </c>
      <c r="T820" s="7" t="s">
        <v>3816</v>
      </c>
      <c r="U820" s="7" t="s">
        <v>1508</v>
      </c>
      <c r="V820" s="7"/>
      <c r="W820" s="7">
        <v>6.92228668E8</v>
      </c>
      <c r="X820" s="7"/>
      <c r="Y820" s="7"/>
      <c r="Z820" s="7" t="s">
        <v>9593</v>
      </c>
      <c r="AA820" s="7">
        <v>5.0</v>
      </c>
      <c r="AB820" s="7"/>
      <c r="AC820" s="7"/>
      <c r="AD820" s="7"/>
      <c r="AE820" s="7"/>
      <c r="AF820" s="7"/>
      <c r="AG820" s="7"/>
      <c r="AH820" s="7"/>
      <c r="AI820" s="7"/>
      <c r="AJ820" s="7" t="s">
        <v>8518</v>
      </c>
      <c r="AK820" s="7"/>
      <c r="AL820" s="7" t="s">
        <v>8519</v>
      </c>
      <c r="AM820" s="7"/>
      <c r="AN820" s="7"/>
      <c r="AO820" s="7">
        <v>97430.0</v>
      </c>
      <c r="AP820" s="7" t="s">
        <v>494</v>
      </c>
      <c r="AQ820" s="7"/>
      <c r="AR820" s="7"/>
      <c r="AS820" s="7"/>
      <c r="AT820" s="7"/>
      <c r="AU820" s="7">
        <v>1.0</v>
      </c>
      <c r="AV820" s="7" t="s">
        <v>8520</v>
      </c>
      <c r="AW820" s="7"/>
      <c r="AX820" s="7"/>
      <c r="AY820" s="7"/>
      <c r="AZ820" s="7"/>
      <c r="BA820" s="7"/>
      <c r="BB820" s="7"/>
      <c r="BC820" s="7" t="s">
        <v>401</v>
      </c>
      <c r="BD820" s="7"/>
      <c r="BE820" s="7"/>
      <c r="BF820" s="7"/>
      <c r="BG820" s="7"/>
      <c r="BH820" s="7"/>
      <c r="BI820" s="7" t="s">
        <v>8521</v>
      </c>
      <c r="BJ820" s="7"/>
      <c r="BK820" s="7" t="b">
        <v>0</v>
      </c>
      <c r="BL820" s="7" t="b">
        <v>0</v>
      </c>
      <c r="BM820" s="7"/>
      <c r="BN820" s="7" t="str">
        <f>IFERROR(__xludf.DUMMYFUNCTION(" IF( REGEXMATCH(C820 , ""[(].+[)]""),REGEXREPLACE( CONCATENATE(REGEXEXTRACT(C820 , ""[(].+[)]""),IF(REGEXMATCH(C820 , ""[(][Ll]['’][)]""),"""","" ""), REGEXEXTRACT(C820 ,""^(?:(?:[A-Za-zàäéèêîïöôûü0-9 ](?:[A-Za-zàäéèêîïöôûü'0-9 ]+)))"")) , ""[()]"", """")"&amp;",C820 )"),"Palmier Bleu")</f>
        <v>Palmier Bleu</v>
      </c>
      <c r="BO820" s="25"/>
      <c r="BP820" s="7"/>
      <c r="BQ820" s="7"/>
      <c r="BR820" s="7"/>
      <c r="BS820" s="7"/>
      <c r="BT820" s="7"/>
      <c r="BU820" s="7"/>
      <c r="BV820" s="7"/>
      <c r="BW820" s="7"/>
      <c r="BX820" s="7"/>
      <c r="BY820" s="7"/>
      <c r="BZ820" s="7"/>
      <c r="CA820" s="7"/>
      <c r="CB820" s="7"/>
    </row>
    <row r="821" ht="21.75" customHeight="1">
      <c r="A821" s="7"/>
      <c r="B821" s="7" t="s">
        <v>9594</v>
      </c>
      <c r="C821" s="7" t="s">
        <v>9595</v>
      </c>
      <c r="D821" s="7"/>
      <c r="E821" s="7"/>
      <c r="F821" s="7"/>
      <c r="G821" s="7" t="s">
        <v>343</v>
      </c>
      <c r="H821" s="7" t="s">
        <v>344</v>
      </c>
      <c r="I821" s="7" t="s">
        <v>9596</v>
      </c>
      <c r="J821" s="7"/>
      <c r="K821" s="7" t="s">
        <v>58</v>
      </c>
      <c r="L821" s="7" t="s">
        <v>453</v>
      </c>
      <c r="M821" s="7" t="s">
        <v>454</v>
      </c>
      <c r="N821" s="7"/>
      <c r="O821" s="7">
        <v>97430.0</v>
      </c>
      <c r="P821" s="7" t="s">
        <v>344</v>
      </c>
      <c r="Q821" s="7"/>
      <c r="R821" s="7"/>
      <c r="S821" s="7"/>
      <c r="T821" s="7" t="s">
        <v>377</v>
      </c>
      <c r="U821" s="7"/>
      <c r="V821" s="7">
        <v>2.62599653E8</v>
      </c>
      <c r="W821" s="7">
        <v>6.92297009E8</v>
      </c>
      <c r="X821" s="7"/>
      <c r="Y821" s="7"/>
      <c r="Z821" s="7" t="s">
        <v>9597</v>
      </c>
      <c r="AA821" s="7">
        <v>5.0</v>
      </c>
      <c r="AB821" s="7"/>
      <c r="AC821" s="7"/>
      <c r="AD821" s="7"/>
      <c r="AE821" s="7" t="s">
        <v>9598</v>
      </c>
      <c r="AF821" s="7"/>
      <c r="AG821" s="7"/>
      <c r="AH821" s="7"/>
      <c r="AI821" s="7"/>
      <c r="AJ821" s="7" t="s">
        <v>9599</v>
      </c>
      <c r="AK821" s="7">
        <v>3.9216510600064E13</v>
      </c>
      <c r="AL821" s="7" t="s">
        <v>9596</v>
      </c>
      <c r="AM821" s="7"/>
      <c r="AN821" s="7"/>
      <c r="AO821" s="7"/>
      <c r="AP821" s="7"/>
      <c r="AQ821" s="7"/>
      <c r="AR821" s="7"/>
      <c r="AS821" s="7"/>
      <c r="AT821" s="7"/>
      <c r="AU821" s="7"/>
      <c r="AV821" s="7" t="s">
        <v>9600</v>
      </c>
      <c r="AW821" s="7"/>
      <c r="AX821" s="7"/>
      <c r="AY821" s="7"/>
      <c r="AZ821" s="7" t="s">
        <v>9601</v>
      </c>
      <c r="BA821" s="7"/>
      <c r="BB821" s="7"/>
      <c r="BC821" s="7" t="s">
        <v>401</v>
      </c>
      <c r="BD821" s="7"/>
      <c r="BE821" s="7"/>
      <c r="BF821" s="7"/>
      <c r="BG821" s="7"/>
      <c r="BH821" s="7">
        <v>3.92165106E8</v>
      </c>
      <c r="BI821" s="7" t="s">
        <v>9602</v>
      </c>
      <c r="BJ821" s="7"/>
      <c r="BK821" s="7" t="b">
        <v>0</v>
      </c>
      <c r="BL821" s="7" t="b">
        <v>0</v>
      </c>
      <c r="BM821" s="7"/>
      <c r="BN821" s="7" t="str">
        <f>IFERROR(__xludf.DUMMYFUNCTION(" IF( REGEXMATCH(C821 , ""[(].+[)]""),REGEXREPLACE( CONCATENATE(REGEXEXTRACT(C821 , ""[(].+[)]""),IF(REGEXMATCH(C821 , ""[(][Ll]['’][)]""),"""","" ""), REGEXEXTRACT(C821 ,""^(?:(?:[A-Za-zàäéèêîïöôûü0-9 ](?:[A-Za-zàäéèêîïöôûü'0-9 ]+)))"")) , ""[()]"", """")"&amp;",C821 )"),"Le Palmier de la Paix ")</f>
        <v>Le Palmier de la Paix </v>
      </c>
      <c r="BO821" s="25"/>
      <c r="BP821" s="7"/>
      <c r="BQ821" s="7"/>
      <c r="BR821" s="7"/>
      <c r="BS821" s="7"/>
      <c r="BT821" s="7"/>
      <c r="BU821" s="7"/>
      <c r="BV821" s="7"/>
      <c r="BW821" s="7"/>
      <c r="BX821" s="7"/>
      <c r="BY821" s="7"/>
      <c r="BZ821" s="7"/>
      <c r="CA821" s="7"/>
      <c r="CB821" s="7"/>
    </row>
    <row r="822" ht="21.75" customHeight="1">
      <c r="A822" s="7"/>
      <c r="B822" s="7" t="s">
        <v>9603</v>
      </c>
      <c r="C822" s="7" t="s">
        <v>9604</v>
      </c>
      <c r="D822" s="7"/>
      <c r="E822" s="7"/>
      <c r="F822" s="7"/>
      <c r="G822" s="7" t="s">
        <v>343</v>
      </c>
      <c r="H822" s="7" t="s">
        <v>344</v>
      </c>
      <c r="I822" s="7" t="s">
        <v>9605</v>
      </c>
      <c r="J822" s="7"/>
      <c r="K822" s="7" t="s">
        <v>58</v>
      </c>
      <c r="L822" s="7" t="s">
        <v>453</v>
      </c>
      <c r="M822" s="7" t="s">
        <v>454</v>
      </c>
      <c r="N822" s="7"/>
      <c r="O822" s="7">
        <v>97430.0</v>
      </c>
      <c r="P822" s="7" t="s">
        <v>344</v>
      </c>
      <c r="Q822" s="7"/>
      <c r="R822" s="7"/>
      <c r="S822" s="7"/>
      <c r="T822" s="7"/>
      <c r="U822" s="7"/>
      <c r="V822" s="7"/>
      <c r="W822" s="7">
        <v>6.92691405E8</v>
      </c>
      <c r="X822" s="7"/>
      <c r="Y822" s="7"/>
      <c r="Z822" s="7" t="s">
        <v>9606</v>
      </c>
      <c r="AA822" s="7">
        <v>4.0</v>
      </c>
      <c r="AB822" s="7"/>
      <c r="AC822" s="7"/>
      <c r="AD822" s="7" t="s">
        <v>9607</v>
      </c>
      <c r="AE822" s="7"/>
      <c r="AF822" s="7"/>
      <c r="AG822" s="7"/>
      <c r="AH822" s="7"/>
      <c r="AI822" s="7"/>
      <c r="AJ822" s="7" t="s">
        <v>9608</v>
      </c>
      <c r="AK822" s="7"/>
      <c r="AL822" s="7" t="s">
        <v>9605</v>
      </c>
      <c r="AM822" s="7"/>
      <c r="AN822" s="7"/>
      <c r="AO822" s="7"/>
      <c r="AP822" s="7"/>
      <c r="AQ822" s="7"/>
      <c r="AR822" s="7"/>
      <c r="AS822" s="7"/>
      <c r="AT822" s="7"/>
      <c r="AU822" s="7"/>
      <c r="AV822" s="7" t="s">
        <v>9609</v>
      </c>
      <c r="AW822" s="7"/>
      <c r="AX822" s="7"/>
      <c r="AY822" s="7"/>
      <c r="AZ822" s="7" t="s">
        <v>9610</v>
      </c>
      <c r="BA822" s="7"/>
      <c r="BB822" s="7"/>
      <c r="BC822" s="7" t="s">
        <v>401</v>
      </c>
      <c r="BD822" s="7"/>
      <c r="BE822" s="7"/>
      <c r="BF822" s="7"/>
      <c r="BG822" s="7"/>
      <c r="BH822" s="7"/>
      <c r="BI822" s="7" t="s">
        <v>9611</v>
      </c>
      <c r="BJ822" s="7"/>
      <c r="BK822" s="7" t="b">
        <v>0</v>
      </c>
      <c r="BL822" s="7" t="b">
        <v>0</v>
      </c>
      <c r="BM822" s="7"/>
      <c r="BN822" s="7" t="str">
        <f>IFERROR(__xludf.DUMMYFUNCTION(" IF( REGEXMATCH(C822 , ""[(].+[)]""),REGEXREPLACE( CONCATENATE(REGEXEXTRACT(C822 , ""[(].+[)]""),IF(REGEXMATCH(C822 , ""[(][Ll]['’][)]""),"""","" ""), REGEXEXTRACT(C822 ,""^(?:(?:[A-Za-zàäéèêîïöôûü0-9 ](?:[A-Za-zàäéèêîïöôûü'0-9 ]+)))"")) , ""[()]"", """")"&amp;",C822 )"),"Les Palmiers Verts ")</f>
        <v>Les Palmiers Verts </v>
      </c>
      <c r="BO822" s="25"/>
      <c r="BP822" s="7"/>
      <c r="BQ822" s="7"/>
      <c r="BR822" s="7"/>
      <c r="BS822" s="7"/>
      <c r="BT822" s="7"/>
      <c r="BU822" s="7"/>
      <c r="BV822" s="7"/>
      <c r="BW822" s="7"/>
      <c r="BX822" s="7"/>
      <c r="BY822" s="7"/>
      <c r="BZ822" s="7"/>
      <c r="CA822" s="7"/>
      <c r="CB822" s="7"/>
    </row>
    <row r="823" ht="21.75" customHeight="1">
      <c r="A823" s="7"/>
      <c r="B823" s="7" t="s">
        <v>9612</v>
      </c>
      <c r="C823" s="7" t="s">
        <v>9613</v>
      </c>
      <c r="D823" s="7"/>
      <c r="E823" s="7"/>
      <c r="F823" s="7"/>
      <c r="G823" s="7" t="s">
        <v>343</v>
      </c>
      <c r="H823" s="7" t="s">
        <v>123</v>
      </c>
      <c r="I823" s="7" t="s">
        <v>9614</v>
      </c>
      <c r="J823" s="7"/>
      <c r="K823" s="7" t="s">
        <v>58</v>
      </c>
      <c r="L823" s="7" t="s">
        <v>59</v>
      </c>
      <c r="M823" s="7"/>
      <c r="N823" s="7"/>
      <c r="O823" s="7">
        <v>97480.0</v>
      </c>
      <c r="P823" s="7" t="s">
        <v>123</v>
      </c>
      <c r="Q823" s="7" t="s">
        <v>206</v>
      </c>
      <c r="R823" s="7"/>
      <c r="S823" s="7"/>
      <c r="T823" s="7"/>
      <c r="U823" s="7"/>
      <c r="V823" s="7"/>
      <c r="W823" s="7">
        <v>6.92195702E8</v>
      </c>
      <c r="X823" s="7"/>
      <c r="Y823" s="7"/>
      <c r="Z823" s="7" t="s">
        <v>9615</v>
      </c>
      <c r="AA823" s="7">
        <v>6.0</v>
      </c>
      <c r="AB823" s="7"/>
      <c r="AC823" s="7"/>
      <c r="AD823" s="7"/>
      <c r="AE823" s="7"/>
      <c r="AF823" s="7"/>
      <c r="AG823" s="7"/>
      <c r="AH823" s="7"/>
      <c r="AI823" s="7"/>
      <c r="AJ823" s="7" t="s">
        <v>9616</v>
      </c>
      <c r="AK823" s="7">
        <v>8.8121639400018E13</v>
      </c>
      <c r="AL823" s="7" t="s">
        <v>9617</v>
      </c>
      <c r="AM823" s="7"/>
      <c r="AN823" s="7"/>
      <c r="AO823" s="7"/>
      <c r="AP823" s="7"/>
      <c r="AQ823" s="7"/>
      <c r="AR823" s="7"/>
      <c r="AS823" s="7"/>
      <c r="AT823" s="7"/>
      <c r="AU823" s="7"/>
      <c r="AV823" s="7" t="s">
        <v>8724</v>
      </c>
      <c r="AW823" s="7"/>
      <c r="AX823" s="7"/>
      <c r="AY823" s="7"/>
      <c r="AZ823" s="7" t="s">
        <v>9618</v>
      </c>
      <c r="BA823" s="7"/>
      <c r="BB823" s="7"/>
      <c r="BC823" s="7" t="s">
        <v>401</v>
      </c>
      <c r="BD823" s="7"/>
      <c r="BE823" s="7"/>
      <c r="BF823" s="7"/>
      <c r="BG823" s="7"/>
      <c r="BH823" s="7">
        <v>8.81216394E8</v>
      </c>
      <c r="BI823" s="7" t="s">
        <v>8726</v>
      </c>
      <c r="BJ823" s="7"/>
      <c r="BK823" s="7" t="b">
        <v>0</v>
      </c>
      <c r="BL823" s="7" t="b">
        <v>0</v>
      </c>
      <c r="BM823" s="7"/>
      <c r="BN823" s="7" t="str">
        <f>IFERROR(__xludf.DUMMYFUNCTION(" IF( REGEXMATCH(C823 , ""[(].+[)]""),REGEXREPLACE( CONCATENATE(REGEXEXTRACT(C823 , ""[(].+[)]""),IF(REGEXMATCH(C823 , ""[(][Ll]['’][)]""),"""","" ""), REGEXEXTRACT(C823 ,""^(?:(?:[A-Za-zàäéèêîïöôûü0-9 ](?:[A-Za-zàäéèêîïöôûü'0-9 ]+)))"")) , ""[()]"", """")"&amp;",C823 )"),"Le Petit Monde de Denise ")</f>
        <v>Le Petit Monde de Denise </v>
      </c>
      <c r="BO823" s="25"/>
      <c r="BP823" s="7"/>
      <c r="BQ823" s="7"/>
      <c r="BR823" s="7"/>
      <c r="BS823" s="7"/>
      <c r="BT823" s="7"/>
      <c r="BU823" s="7"/>
      <c r="BV823" s="7"/>
      <c r="BW823" s="7"/>
      <c r="BX823" s="7"/>
      <c r="BY823" s="7"/>
      <c r="BZ823" s="7"/>
      <c r="CA823" s="7"/>
      <c r="CB823" s="7"/>
    </row>
    <row r="824" ht="21.75" customHeight="1">
      <c r="A824" s="7"/>
      <c r="B824" s="7" t="s">
        <v>9619</v>
      </c>
      <c r="C824" s="7" t="s">
        <v>9620</v>
      </c>
      <c r="D824" s="7"/>
      <c r="E824" s="7"/>
      <c r="F824" s="7"/>
      <c r="G824" s="7" t="s">
        <v>343</v>
      </c>
      <c r="H824" s="7" t="s">
        <v>123</v>
      </c>
      <c r="I824" s="7" t="s">
        <v>9621</v>
      </c>
      <c r="J824" s="7"/>
      <c r="K824" s="7" t="s">
        <v>58</v>
      </c>
      <c r="L824" s="7" t="s">
        <v>59</v>
      </c>
      <c r="M824" s="7"/>
      <c r="N824" s="7"/>
      <c r="O824" s="7">
        <v>97480.0</v>
      </c>
      <c r="P824" s="7" t="s">
        <v>123</v>
      </c>
      <c r="Q824" s="7" t="s">
        <v>206</v>
      </c>
      <c r="R824" s="7"/>
      <c r="S824" s="7"/>
      <c r="T824" s="7"/>
      <c r="U824" s="7"/>
      <c r="V824" s="7"/>
      <c r="W824" s="7">
        <v>6.928549E8</v>
      </c>
      <c r="X824" s="7"/>
      <c r="Y824" s="7"/>
      <c r="Z824" s="7" t="s">
        <v>9622</v>
      </c>
      <c r="AA824" s="7">
        <v>4.0</v>
      </c>
      <c r="AB824" s="7"/>
      <c r="AC824" s="7"/>
      <c r="AD824" s="7"/>
      <c r="AE824" s="7"/>
      <c r="AF824" s="7"/>
      <c r="AG824" s="7"/>
      <c r="AH824" s="7"/>
      <c r="AI824" s="7"/>
      <c r="AJ824" s="7" t="s">
        <v>9623</v>
      </c>
      <c r="AK824" s="7"/>
      <c r="AL824" s="7" t="s">
        <v>9624</v>
      </c>
      <c r="AM824" s="7"/>
      <c r="AN824" s="7"/>
      <c r="AO824" s="7"/>
      <c r="AP824" s="7"/>
      <c r="AQ824" s="7"/>
      <c r="AR824" s="7"/>
      <c r="AS824" s="7"/>
      <c r="AT824" s="7"/>
      <c r="AU824" s="7"/>
      <c r="AV824" s="7" t="s">
        <v>4205</v>
      </c>
      <c r="AW824" s="7"/>
      <c r="AX824" s="7"/>
      <c r="AY824" s="7"/>
      <c r="AZ824" s="7" t="s">
        <v>9625</v>
      </c>
      <c r="BA824" s="7"/>
      <c r="BB824" s="7"/>
      <c r="BC824" s="7" t="s">
        <v>401</v>
      </c>
      <c r="BD824" s="7"/>
      <c r="BE824" s="7"/>
      <c r="BF824" s="7"/>
      <c r="BG824" s="7"/>
      <c r="BH824" s="7"/>
      <c r="BI824" s="7" t="s">
        <v>4209</v>
      </c>
      <c r="BJ824" s="7"/>
      <c r="BK824" s="7" t="b">
        <v>0</v>
      </c>
      <c r="BL824" s="7" t="b">
        <v>0</v>
      </c>
      <c r="BM824" s="7"/>
      <c r="BN824" s="7" t="str">
        <f>IFERROR(__xludf.DUMMYFUNCTION(" IF( REGEXMATCH(C824 , ""[(].+[)]""),REGEXREPLACE( CONCATENATE(REGEXEXTRACT(C824 , ""[(].+[)]""),IF(REGEXMATCH(C824 , ""[(][Ll]['’][)]""),"""","" ""), REGEXEXTRACT(C824 ,""^(?:(?:[A-Za-zàäéèêîïöôûü0-9 ](?:[A-Za-zàäéèêîïöôûü'0-9 ]+)))"")) , ""[()]"", """")"&amp;",C824 )"),"Le Pipengaye ")</f>
        <v>Le Pipengaye </v>
      </c>
      <c r="BO824" s="25"/>
      <c r="BP824" s="7"/>
      <c r="BQ824" s="7"/>
      <c r="BR824" s="7"/>
      <c r="BS824" s="7"/>
      <c r="BT824" s="7"/>
      <c r="BU824" s="7"/>
      <c r="BV824" s="7"/>
      <c r="BW824" s="7"/>
      <c r="BX824" s="7"/>
      <c r="BY824" s="7"/>
      <c r="BZ824" s="7"/>
      <c r="CA824" s="7"/>
      <c r="CB824" s="7"/>
    </row>
    <row r="825" ht="21.75" customHeight="1">
      <c r="A825" s="7"/>
      <c r="B825" s="7" t="s">
        <v>9626</v>
      </c>
      <c r="C825" s="7" t="s">
        <v>9627</v>
      </c>
      <c r="D825" s="7"/>
      <c r="E825" s="7"/>
      <c r="F825" s="7"/>
      <c r="G825" s="7" t="s">
        <v>343</v>
      </c>
      <c r="H825" s="7" t="s">
        <v>123</v>
      </c>
      <c r="I825" s="7" t="s">
        <v>9628</v>
      </c>
      <c r="J825" s="7"/>
      <c r="K825" s="7" t="s">
        <v>34</v>
      </c>
      <c r="L825" s="7" t="s">
        <v>678</v>
      </c>
      <c r="M825" s="7" t="s">
        <v>5053</v>
      </c>
      <c r="N825" s="7"/>
      <c r="O825" s="7">
        <v>97480.0</v>
      </c>
      <c r="P825" s="7" t="s">
        <v>123</v>
      </c>
      <c r="Q825" s="7" t="s">
        <v>8325</v>
      </c>
      <c r="R825" s="7"/>
      <c r="S825" s="7"/>
      <c r="T825" s="7"/>
      <c r="U825" s="7"/>
      <c r="V825" s="7">
        <v>6.92507899E8</v>
      </c>
      <c r="W825" s="7"/>
      <c r="X825" s="7"/>
      <c r="Y825" s="7"/>
      <c r="Z825" s="7" t="s">
        <v>6939</v>
      </c>
      <c r="AA825" s="7"/>
      <c r="AB825" s="7"/>
      <c r="AC825" s="7"/>
      <c r="AD825" s="7"/>
      <c r="AE825" s="7"/>
      <c r="AF825" s="7"/>
      <c r="AG825" s="7"/>
      <c r="AH825" s="7"/>
      <c r="AI825" s="7"/>
      <c r="AJ825" s="7" t="s">
        <v>9629</v>
      </c>
      <c r="AK825" s="7"/>
      <c r="AL825" s="7"/>
      <c r="AM825" s="7"/>
      <c r="AN825" s="7"/>
      <c r="AO825" s="7"/>
      <c r="AP825" s="7"/>
      <c r="AQ825" s="7"/>
      <c r="AR825" s="7"/>
      <c r="AS825" s="7"/>
      <c r="AT825" s="7"/>
      <c r="AU825" s="7"/>
      <c r="AV825" s="7" t="s">
        <v>9630</v>
      </c>
      <c r="AW825" s="7"/>
      <c r="AX825" s="7"/>
      <c r="AY825" s="7"/>
      <c r="AZ825" s="7"/>
      <c r="BA825" s="7"/>
      <c r="BB825" s="7"/>
      <c r="BC825" s="7" t="s">
        <v>401</v>
      </c>
      <c r="BD825" s="7"/>
      <c r="BE825" s="7"/>
      <c r="BF825" s="7"/>
      <c r="BG825" s="7"/>
      <c r="BH825" s="7"/>
      <c r="BI825" s="7" t="s">
        <v>9631</v>
      </c>
      <c r="BJ825" s="7"/>
      <c r="BK825" s="7" t="b">
        <v>0</v>
      </c>
      <c r="BL825" s="7" t="b">
        <v>0</v>
      </c>
      <c r="BM825" s="7"/>
      <c r="BN825" s="7" t="str">
        <f>IFERROR(__xludf.DUMMYFUNCTION(" IF( REGEXMATCH(C825 , ""[(].+[)]""),REGEXREPLACE( CONCATENATE(REGEXEXTRACT(C825 , ""[(].+[)]""),IF(REGEXMATCH(C825 , ""[(][Ll]['’][)]""),"""","" ""), REGEXEXTRACT(C825 ,""^(?:(?:[A-Za-zàäéèêîïöôûü0-9 ](?:[A-Za-zàäéèêîïöôûü'0-9 ]+)))"")) , ""[()]"", """")"&amp;",C825 )"),"Pizza Lé O Don Camillo")</f>
        <v>Pizza Lé O Don Camillo</v>
      </c>
      <c r="BO825" s="25"/>
      <c r="BP825" s="7"/>
      <c r="BQ825" s="7"/>
      <c r="BR825" s="7"/>
      <c r="BS825" s="7"/>
      <c r="BT825" s="7"/>
      <c r="BU825" s="7"/>
      <c r="BV825" s="7"/>
      <c r="BW825" s="7"/>
      <c r="BX825" s="7"/>
      <c r="BY825" s="7"/>
      <c r="BZ825" s="7"/>
      <c r="CA825" s="7"/>
      <c r="CB825" s="7"/>
    </row>
    <row r="826" ht="21.75" customHeight="1">
      <c r="A826" s="7"/>
      <c r="B826" s="7" t="s">
        <v>244</v>
      </c>
      <c r="C826" s="7" t="s">
        <v>9632</v>
      </c>
      <c r="D826" s="7"/>
      <c r="E826" s="7"/>
      <c r="F826" s="7"/>
      <c r="G826" s="7" t="s">
        <v>343</v>
      </c>
      <c r="H826" s="7" t="s">
        <v>344</v>
      </c>
      <c r="I826" s="7" t="s">
        <v>9633</v>
      </c>
      <c r="J826" s="7"/>
      <c r="K826" s="7" t="s">
        <v>58</v>
      </c>
      <c r="L826" s="7" t="s">
        <v>59</v>
      </c>
      <c r="M826" s="7"/>
      <c r="N826" s="7"/>
      <c r="O826" s="7">
        <v>97430.0</v>
      </c>
      <c r="P826" s="7" t="s">
        <v>344</v>
      </c>
      <c r="Q826" s="7" t="s">
        <v>3501</v>
      </c>
      <c r="R826" s="7"/>
      <c r="S826" s="7"/>
      <c r="T826" s="7"/>
      <c r="U826" s="7"/>
      <c r="V826" s="7">
        <v>2.62383665E8</v>
      </c>
      <c r="W826" s="7">
        <v>6.92422777E8</v>
      </c>
      <c r="X826" s="7"/>
      <c r="Y826" s="7"/>
      <c r="Z826" s="7" t="s">
        <v>9634</v>
      </c>
      <c r="AA826" s="7">
        <v>5.0</v>
      </c>
      <c r="AB826" s="7" t="s">
        <v>355</v>
      </c>
      <c r="AC826" s="7"/>
      <c r="AD826" s="7"/>
      <c r="AE826" s="7"/>
      <c r="AF826" s="7"/>
      <c r="AG826" s="7"/>
      <c r="AH826" s="7"/>
      <c r="AI826" s="7"/>
      <c r="AJ826" s="7" t="s">
        <v>9635</v>
      </c>
      <c r="AK826" s="7">
        <v>8.4879639700018E13</v>
      </c>
      <c r="AL826" s="7" t="s">
        <v>9633</v>
      </c>
      <c r="AM826" s="7"/>
      <c r="AN826" s="7"/>
      <c r="AO826" s="7"/>
      <c r="AP826" s="7"/>
      <c r="AQ826" s="7"/>
      <c r="AR826" s="7"/>
      <c r="AS826" s="7"/>
      <c r="AT826" s="7"/>
      <c r="AU826" s="7"/>
      <c r="AV826" s="7" t="s">
        <v>9636</v>
      </c>
      <c r="AW826" s="7"/>
      <c r="AX826" s="7"/>
      <c r="AY826" s="7"/>
      <c r="AZ826" s="7" t="s">
        <v>9637</v>
      </c>
      <c r="BA826" s="7"/>
      <c r="BB826" s="7"/>
      <c r="BC826" s="7" t="s">
        <v>401</v>
      </c>
      <c r="BD826" s="7"/>
      <c r="BE826" s="7"/>
      <c r="BF826" s="7"/>
      <c r="BG826" s="7"/>
      <c r="BH826" s="7">
        <v>8.48796397E8</v>
      </c>
      <c r="BI826" s="7" t="s">
        <v>9638</v>
      </c>
      <c r="BJ826" s="7"/>
      <c r="BK826" s="7" t="b">
        <v>0</v>
      </c>
      <c r="BL826" s="7" t="b">
        <v>0</v>
      </c>
      <c r="BM826" s="7"/>
      <c r="BN826" s="7" t="str">
        <f>IFERROR(__xludf.DUMMYFUNCTION(" IF( REGEXMATCH(C826 , ""[(].+[)]""),REGEXREPLACE( CONCATENATE(REGEXEXTRACT(C826 , ""[(].+[)]""),IF(REGEXMATCH(C826 , ""[(][Ll]['’][)]""),"""","" ""), REGEXEXTRACT(C826 ,""^(?:(?:[A-Za-zàäéèêîïöôûü0-9 ](?:[A-Za-zàäéèêîïöôûü'0-9 ]+)))"")) , ""[()]"", """")"&amp;",C826 )"),"Place du Soleil")</f>
        <v>Place du Soleil</v>
      </c>
      <c r="BO826" s="25"/>
      <c r="BP826" s="7"/>
      <c r="BQ826" s="7"/>
      <c r="BR826" s="7"/>
      <c r="BS826" s="7"/>
      <c r="BT826" s="7"/>
      <c r="BU826" s="7"/>
      <c r="BV826" s="7"/>
      <c r="BW826" s="7"/>
      <c r="BX826" s="7"/>
      <c r="BY826" s="7"/>
      <c r="BZ826" s="7"/>
      <c r="CA826" s="7"/>
      <c r="CB826" s="7"/>
    </row>
    <row r="827" ht="21.75" customHeight="1">
      <c r="A827" s="7"/>
      <c r="B827" s="7" t="s">
        <v>9639</v>
      </c>
      <c r="C827" s="7" t="s">
        <v>9640</v>
      </c>
      <c r="D827" s="7"/>
      <c r="E827" s="7"/>
      <c r="F827" s="7"/>
      <c r="G827" s="7" t="s">
        <v>343</v>
      </c>
      <c r="H827" s="7" t="s">
        <v>344</v>
      </c>
      <c r="I827" s="7" t="s">
        <v>9641</v>
      </c>
      <c r="J827" s="7"/>
      <c r="K827" s="7" t="s">
        <v>58</v>
      </c>
      <c r="L827" s="7" t="s">
        <v>59</v>
      </c>
      <c r="M827" s="7"/>
      <c r="N827" s="7"/>
      <c r="O827" s="7">
        <v>97418.0</v>
      </c>
      <c r="P827" s="7" t="s">
        <v>348</v>
      </c>
      <c r="Q827" s="7"/>
      <c r="R827" s="7"/>
      <c r="S827" s="7"/>
      <c r="T827" s="7"/>
      <c r="U827" s="7"/>
      <c r="V827" s="7"/>
      <c r="W827" s="7">
        <v>6.92367978E8</v>
      </c>
      <c r="X827" s="7"/>
      <c r="Y827" s="7"/>
      <c r="Z827" s="7" t="s">
        <v>9642</v>
      </c>
      <c r="AA827" s="7">
        <v>15.0</v>
      </c>
      <c r="AB827" s="7"/>
      <c r="AC827" s="7"/>
      <c r="AD827" s="7"/>
      <c r="AE827" s="7"/>
      <c r="AF827" s="7"/>
      <c r="AG827" s="7"/>
      <c r="AH827" s="7"/>
      <c r="AI827" s="7"/>
      <c r="AJ827" s="7" t="s">
        <v>9643</v>
      </c>
      <c r="AK827" s="7">
        <v>8.4789922600017E13</v>
      </c>
      <c r="AL827" s="7" t="s">
        <v>9644</v>
      </c>
      <c r="AM827" s="7"/>
      <c r="AN827" s="7"/>
      <c r="AO827" s="7"/>
      <c r="AP827" s="7"/>
      <c r="AQ827" s="7"/>
      <c r="AR827" s="7"/>
      <c r="AS827" s="7"/>
      <c r="AT827" s="7"/>
      <c r="AU827" s="7"/>
      <c r="AV827" s="7" t="s">
        <v>9645</v>
      </c>
      <c r="AW827" s="7"/>
      <c r="AX827" s="7"/>
      <c r="AY827" s="7"/>
      <c r="AZ827" s="7" t="s">
        <v>9646</v>
      </c>
      <c r="BA827" s="7"/>
      <c r="BB827" s="7"/>
      <c r="BC827" s="7" t="s">
        <v>401</v>
      </c>
      <c r="BD827" s="7"/>
      <c r="BE827" s="7"/>
      <c r="BF827" s="7"/>
      <c r="BG827" s="7"/>
      <c r="BH827" s="7">
        <v>8.47899226E8</v>
      </c>
      <c r="BI827" s="7" t="s">
        <v>9647</v>
      </c>
      <c r="BJ827" s="7"/>
      <c r="BK827" s="7" t="b">
        <v>0</v>
      </c>
      <c r="BL827" s="7" t="b">
        <v>0</v>
      </c>
      <c r="BM827" s="7"/>
      <c r="BN827" s="7" t="str">
        <f>IFERROR(__xludf.DUMMYFUNCTION(" IF( REGEXMATCH(C827 , ""[(].+[)]""),REGEXREPLACE( CONCATENATE(REGEXEXTRACT(C827 , ""[(].+[)]""),IF(REGEXMATCH(C827 , ""[(][Ll]['’][)]""),"""","" ""), REGEXEXTRACT(C827 ,""^(?:(?:[A-Za-zàäéèêîïöôûü0-9 ](?:[A-Za-zàäéèêîïöôûü'0-9 ]+)))"")) , ""[()]"", """")"&amp;",C827 )"),"Le Placide ")</f>
        <v>Le Placide </v>
      </c>
      <c r="BO827" s="25"/>
      <c r="BP827" s="7"/>
      <c r="BQ827" s="7"/>
      <c r="BR827" s="7"/>
      <c r="BS827" s="7"/>
      <c r="BT827" s="7"/>
      <c r="BU827" s="7"/>
      <c r="BV827" s="7"/>
      <c r="BW827" s="7"/>
      <c r="BX827" s="7"/>
      <c r="BY827" s="7"/>
      <c r="BZ827" s="7"/>
      <c r="CA827" s="7"/>
      <c r="CB827" s="7"/>
    </row>
    <row r="828" ht="21.75" customHeight="1">
      <c r="A828" s="7"/>
      <c r="B828" s="7" t="s">
        <v>9648</v>
      </c>
      <c r="C828" s="7" t="s">
        <v>9649</v>
      </c>
      <c r="D828" s="7"/>
      <c r="E828" s="7"/>
      <c r="F828" s="7"/>
      <c r="G828" s="7" t="s">
        <v>343</v>
      </c>
      <c r="H828" s="7" t="s">
        <v>344</v>
      </c>
      <c r="I828" s="7" t="s">
        <v>9650</v>
      </c>
      <c r="J828" s="7"/>
      <c r="K828" s="7" t="s">
        <v>58</v>
      </c>
      <c r="L828" s="7" t="s">
        <v>59</v>
      </c>
      <c r="M828" s="7"/>
      <c r="N828" s="7"/>
      <c r="O828" s="7">
        <v>97418.0</v>
      </c>
      <c r="P828" s="7" t="s">
        <v>348</v>
      </c>
      <c r="Q828" s="7"/>
      <c r="R828" s="7"/>
      <c r="S828" s="7"/>
      <c r="T828" s="7"/>
      <c r="U828" s="7"/>
      <c r="V828" s="7"/>
      <c r="W828" s="7">
        <v>6.9249621E8</v>
      </c>
      <c r="X828" s="7"/>
      <c r="Y828" s="7"/>
      <c r="Z828" s="7" t="s">
        <v>9651</v>
      </c>
      <c r="AA828" s="7">
        <v>15.0</v>
      </c>
      <c r="AB828" s="7"/>
      <c r="AC828" s="7"/>
      <c r="AD828" s="7"/>
      <c r="AE828" s="7"/>
      <c r="AF828" s="7"/>
      <c r="AG828" s="7"/>
      <c r="AH828" s="7"/>
      <c r="AI828" s="7"/>
      <c r="AJ828" s="7" t="s">
        <v>9652</v>
      </c>
      <c r="AK828" s="7"/>
      <c r="AL828" s="7" t="s">
        <v>9653</v>
      </c>
      <c r="AM828" s="7"/>
      <c r="AN828" s="7"/>
      <c r="AO828" s="7"/>
      <c r="AP828" s="7"/>
      <c r="AQ828" s="7"/>
      <c r="AR828" s="7"/>
      <c r="AS828" s="7"/>
      <c r="AT828" s="7"/>
      <c r="AU828" s="7"/>
      <c r="AV828" s="7" t="s">
        <v>9654</v>
      </c>
      <c r="AW828" s="7"/>
      <c r="AX828" s="7"/>
      <c r="AY828" s="7"/>
      <c r="AZ828" s="7" t="s">
        <v>9655</v>
      </c>
      <c r="BA828" s="7"/>
      <c r="BB828" s="7"/>
      <c r="BC828" s="7" t="s">
        <v>401</v>
      </c>
      <c r="BD828" s="7"/>
      <c r="BE828" s="7"/>
      <c r="BF828" s="7"/>
      <c r="BG828" s="7"/>
      <c r="BH828" s="7"/>
      <c r="BI828" s="7" t="s">
        <v>9656</v>
      </c>
      <c r="BJ828" s="7"/>
      <c r="BK828" s="7" t="b">
        <v>0</v>
      </c>
      <c r="BL828" s="7" t="b">
        <v>0</v>
      </c>
      <c r="BM828" s="7"/>
      <c r="BN828" s="7" t="str">
        <f>IFERROR(__xludf.DUMMYFUNCTION(" IF( REGEXMATCH(C828 , ""[(].+[)]""),REGEXREPLACE( CONCATENATE(REGEXEXTRACT(C828 , ""[(].+[)]""),IF(REGEXMATCH(C828 , ""[(][Ll]['’][)]""),"""","" ""), REGEXEXTRACT(C828 ,""^(?:(?:[A-Za-zàäéèêîïöôûü0-9 ](?:[A-Za-zàäéèêîïöôûü'0-9 ]+)))"")) , ""[()]"", """")"&amp;",C828 )"),"La Plaine Escapade ")</f>
        <v>La Plaine Escapade </v>
      </c>
      <c r="BO828" s="25"/>
      <c r="BP828" s="7"/>
      <c r="BQ828" s="7"/>
      <c r="BR828" s="7"/>
      <c r="BS828" s="7"/>
      <c r="BT828" s="7"/>
      <c r="BU828" s="7"/>
      <c r="BV828" s="7"/>
      <c r="BW828" s="7"/>
      <c r="BX828" s="7"/>
      <c r="BY828" s="7"/>
      <c r="BZ828" s="7"/>
      <c r="CA828" s="7"/>
      <c r="CB828" s="7"/>
    </row>
    <row r="829" ht="21.75" customHeight="1">
      <c r="A829" s="7"/>
      <c r="B829" s="7" t="s">
        <v>9657</v>
      </c>
      <c r="C829" s="7" t="s">
        <v>9658</v>
      </c>
      <c r="D829" s="7"/>
      <c r="E829" s="7"/>
      <c r="F829" s="7"/>
      <c r="G829" s="7" t="s">
        <v>343</v>
      </c>
      <c r="H829" s="7" t="s">
        <v>123</v>
      </c>
      <c r="I829" s="7" t="s">
        <v>9659</v>
      </c>
      <c r="J829" s="7"/>
      <c r="K829" s="7" t="s">
        <v>58</v>
      </c>
      <c r="L829" s="7" t="s">
        <v>59</v>
      </c>
      <c r="M829" s="7"/>
      <c r="N829" s="7"/>
      <c r="O829" s="7">
        <v>97480.0</v>
      </c>
      <c r="P829" s="7" t="s">
        <v>123</v>
      </c>
      <c r="Q829" s="7" t="s">
        <v>8383</v>
      </c>
      <c r="R829" s="7"/>
      <c r="S829" s="7"/>
      <c r="T829" s="7" t="s">
        <v>377</v>
      </c>
      <c r="U829" s="7"/>
      <c r="V829" s="7"/>
      <c r="W829" s="7">
        <v>6.93606994E8</v>
      </c>
      <c r="X829" s="7"/>
      <c r="Y829" s="7"/>
      <c r="Z829" s="7"/>
      <c r="AA829" s="7">
        <v>19.0</v>
      </c>
      <c r="AB829" s="7"/>
      <c r="AC829" s="7"/>
      <c r="AD829" s="7" t="s">
        <v>9660</v>
      </c>
      <c r="AE829" s="7" t="s">
        <v>9661</v>
      </c>
      <c r="AF829" s="7"/>
      <c r="AG829" s="7"/>
      <c r="AH829" s="7"/>
      <c r="AI829" s="7"/>
      <c r="AJ829" s="7" t="s">
        <v>9662</v>
      </c>
      <c r="AK829" s="7"/>
      <c r="AL829" s="7" t="s">
        <v>9663</v>
      </c>
      <c r="AM829" s="7"/>
      <c r="AN829" s="7"/>
      <c r="AO829" s="7"/>
      <c r="AP829" s="7"/>
      <c r="AQ829" s="7"/>
      <c r="AR829" s="7"/>
      <c r="AS829" s="7"/>
      <c r="AT829" s="7"/>
      <c r="AU829" s="7"/>
      <c r="AV829" s="7" t="s">
        <v>9664</v>
      </c>
      <c r="AW829" s="7"/>
      <c r="AX829" s="7"/>
      <c r="AY829" s="7"/>
      <c r="AZ829" s="7" t="s">
        <v>9665</v>
      </c>
      <c r="BA829" s="7"/>
      <c r="BB829" s="7"/>
      <c r="BC829" s="7" t="s">
        <v>401</v>
      </c>
      <c r="BD829" s="7"/>
      <c r="BE829" s="7"/>
      <c r="BF829" s="7"/>
      <c r="BG829" s="7"/>
      <c r="BH829" s="7"/>
      <c r="BI829" s="7" t="s">
        <v>9666</v>
      </c>
      <c r="BJ829" s="7"/>
      <c r="BK829" s="7" t="b">
        <v>0</v>
      </c>
      <c r="BL829" s="7" t="b">
        <v>0</v>
      </c>
      <c r="BM829" s="7"/>
      <c r="BN829" s="7" t="str">
        <f>IFERROR(__xludf.DUMMYFUNCTION(" IF( REGEXMATCH(C829 , ""[(].+[)]""),REGEXREPLACE( CONCATENATE(REGEXEXTRACT(C829 , ""[(].+[)]""),IF(REGEXMATCH(C829 , ""[(][Ll]['’][)]""),"""","" ""), REGEXEXTRACT(C829 ,""^(?:(?:[A-Za-zàäéèêîïöôûü0-9 ](?:[A-Za-zàäéèêîïöôûü'0-9 ]+)))"")) , ""[()]"", """")"&amp;",C829 )"),"Les Platanes ")</f>
        <v>Les Platanes </v>
      </c>
      <c r="BO829" s="25"/>
      <c r="BP829" s="7"/>
      <c r="BQ829" s="7"/>
      <c r="BR829" s="7"/>
      <c r="BS829" s="7"/>
      <c r="BT829" s="7"/>
      <c r="BU829" s="7"/>
      <c r="BV829" s="7"/>
      <c r="BW829" s="7"/>
      <c r="BX829" s="7"/>
      <c r="BY829" s="7"/>
      <c r="BZ829" s="7"/>
      <c r="CA829" s="7"/>
      <c r="CB829" s="7"/>
    </row>
    <row r="830" ht="21.75" customHeight="1">
      <c r="A830" s="7"/>
      <c r="B830" s="7" t="s">
        <v>9667</v>
      </c>
      <c r="C830" s="7" t="s">
        <v>9668</v>
      </c>
      <c r="D830" s="7"/>
      <c r="E830" s="7"/>
      <c r="F830" s="7"/>
      <c r="G830" s="7" t="s">
        <v>343</v>
      </c>
      <c r="H830" s="7" t="s">
        <v>344</v>
      </c>
      <c r="I830" s="7" t="s">
        <v>9669</v>
      </c>
      <c r="J830" s="7"/>
      <c r="K830" s="7" t="s">
        <v>58</v>
      </c>
      <c r="L830" s="7" t="s">
        <v>453</v>
      </c>
      <c r="M830" s="7" t="s">
        <v>454</v>
      </c>
      <c r="N830" s="7" t="s">
        <v>455</v>
      </c>
      <c r="O830" s="7">
        <v>97430.0</v>
      </c>
      <c r="P830" s="7" t="s">
        <v>344</v>
      </c>
      <c r="Q830" s="7" t="s">
        <v>9365</v>
      </c>
      <c r="R830" s="7" t="s">
        <v>9670</v>
      </c>
      <c r="S830" s="7" t="s">
        <v>9671</v>
      </c>
      <c r="T830" s="7" t="s">
        <v>8184</v>
      </c>
      <c r="U830" s="7" t="s">
        <v>353</v>
      </c>
      <c r="V830" s="7"/>
      <c r="W830" s="7">
        <v>6.92855105E8</v>
      </c>
      <c r="X830" s="7"/>
      <c r="Y830" s="7"/>
      <c r="Z830" s="7" t="s">
        <v>9672</v>
      </c>
      <c r="AA830" s="7">
        <v>10.0</v>
      </c>
      <c r="AB830" s="7"/>
      <c r="AC830" s="7"/>
      <c r="AD830" s="7" t="s">
        <v>9673</v>
      </c>
      <c r="AE830" s="7"/>
      <c r="AF830" s="7"/>
      <c r="AG830" s="7"/>
      <c r="AH830" s="7"/>
      <c r="AI830" s="7"/>
      <c r="AJ830" s="7" t="s">
        <v>9674</v>
      </c>
      <c r="AK830" s="7"/>
      <c r="AL830" s="7" t="s">
        <v>9675</v>
      </c>
      <c r="AM830" s="7" t="s">
        <v>9676</v>
      </c>
      <c r="AN830" s="7"/>
      <c r="AO830" s="7">
        <v>97430.0</v>
      </c>
      <c r="AP830" s="7" t="s">
        <v>494</v>
      </c>
      <c r="AQ830" s="7"/>
      <c r="AR830" s="7"/>
      <c r="AS830" s="7"/>
      <c r="AT830" s="7"/>
      <c r="AU830" s="7">
        <v>4.0</v>
      </c>
      <c r="AV830" s="7" t="s">
        <v>9677</v>
      </c>
      <c r="AW830" s="7"/>
      <c r="AX830" s="7" t="s">
        <v>4318</v>
      </c>
      <c r="AY830" s="7" t="s">
        <v>1876</v>
      </c>
      <c r="AZ830" s="7" t="s">
        <v>9678</v>
      </c>
      <c r="BA830" s="7"/>
      <c r="BB830" s="7"/>
      <c r="BC830" s="7" t="s">
        <v>401</v>
      </c>
      <c r="BD830" s="7"/>
      <c r="BE830" s="7"/>
      <c r="BF830" s="7"/>
      <c r="BG830" s="7"/>
      <c r="BH830" s="7"/>
      <c r="BI830" s="7" t="s">
        <v>9679</v>
      </c>
      <c r="BJ830" s="7"/>
      <c r="BK830" s="7" t="b">
        <v>0</v>
      </c>
      <c r="BL830" s="7" t="b">
        <v>0</v>
      </c>
      <c r="BM830" s="7"/>
      <c r="BN830" s="7" t="str">
        <f>IFERROR(__xludf.DUMMYFUNCTION(" IF( REGEXMATCH(C830 , ""[(].+[)]""),REGEXREPLACE( CONCATENATE(REGEXEXTRACT(C830 , ""[(].+[)]""),IF(REGEXMATCH(C830 , ""[(][Ll]['’][)]""),"""","" ""), REGEXEXTRACT(C830 ,""^(?:(?:[A-Za-zàäéèêîïöôûü0-9 ](?:[A-Za-zàäéèêîïöôûü'0-9 ]+)))"")) , ""[()]"", """")"&amp;",C830 )"),"Le Point de vue gourmand ")</f>
        <v>Le Point de vue gourmand </v>
      </c>
      <c r="BO830" s="25"/>
      <c r="BP830" s="7"/>
      <c r="BQ830" s="7"/>
      <c r="BR830" s="7"/>
      <c r="BS830" s="7"/>
      <c r="BT830" s="7"/>
      <c r="BU830" s="7"/>
      <c r="BV830" s="7"/>
      <c r="BW830" s="7"/>
      <c r="BX830" s="7"/>
      <c r="BY830" s="7"/>
      <c r="BZ830" s="7"/>
      <c r="CA830" s="7"/>
      <c r="CB830" s="7"/>
    </row>
    <row r="831" ht="21.75" customHeight="1">
      <c r="A831" s="7"/>
      <c r="B831" s="7" t="s">
        <v>9680</v>
      </c>
      <c r="C831" s="7" t="s">
        <v>9668</v>
      </c>
      <c r="D831" s="7"/>
      <c r="E831" s="7"/>
      <c r="F831" s="7"/>
      <c r="G831" s="7" t="s">
        <v>343</v>
      </c>
      <c r="H831" s="7" t="s">
        <v>344</v>
      </c>
      <c r="I831" s="7" t="s">
        <v>9669</v>
      </c>
      <c r="J831" s="7"/>
      <c r="K831" s="7" t="s">
        <v>34</v>
      </c>
      <c r="L831" s="7" t="s">
        <v>485</v>
      </c>
      <c r="M831" s="7" t="s">
        <v>486</v>
      </c>
      <c r="N831" s="7" t="s">
        <v>455</v>
      </c>
      <c r="O831" s="7">
        <v>97430.0</v>
      </c>
      <c r="P831" s="7" t="s">
        <v>344</v>
      </c>
      <c r="Q831" s="7" t="s">
        <v>9365</v>
      </c>
      <c r="R831" s="7" t="s">
        <v>9681</v>
      </c>
      <c r="S831" s="7"/>
      <c r="T831" s="7" t="s">
        <v>8184</v>
      </c>
      <c r="U831" s="7" t="s">
        <v>353</v>
      </c>
      <c r="V831" s="7"/>
      <c r="W831" s="7">
        <v>6.92855105E8</v>
      </c>
      <c r="X831" s="7"/>
      <c r="Y831" s="7"/>
      <c r="Z831" s="7" t="s">
        <v>9672</v>
      </c>
      <c r="AA831" s="7">
        <v>15.0</v>
      </c>
      <c r="AB831" s="7"/>
      <c r="AC831" s="7"/>
      <c r="AD831" s="7" t="s">
        <v>9682</v>
      </c>
      <c r="AE831" s="7"/>
      <c r="AF831" s="7"/>
      <c r="AG831" s="7"/>
      <c r="AH831" s="7"/>
      <c r="AI831" s="7"/>
      <c r="AJ831" s="7" t="s">
        <v>9674</v>
      </c>
      <c r="AK831" s="7"/>
      <c r="AL831" s="7" t="s">
        <v>9675</v>
      </c>
      <c r="AM831" s="7" t="s">
        <v>9676</v>
      </c>
      <c r="AN831" s="7"/>
      <c r="AO831" s="7">
        <v>97430.0</v>
      </c>
      <c r="AP831" s="7" t="s">
        <v>494</v>
      </c>
      <c r="AQ831" s="7"/>
      <c r="AR831" s="7"/>
      <c r="AS831" s="7"/>
      <c r="AT831" s="7"/>
      <c r="AU831" s="7"/>
      <c r="AV831" s="7" t="s">
        <v>9677</v>
      </c>
      <c r="AW831" s="7"/>
      <c r="AX831" s="7"/>
      <c r="AY831" s="7"/>
      <c r="AZ831" s="7"/>
      <c r="BA831" s="7"/>
      <c r="BB831" s="7"/>
      <c r="BC831" s="7" t="s">
        <v>401</v>
      </c>
      <c r="BD831" s="7"/>
      <c r="BE831" s="7"/>
      <c r="BF831" s="7"/>
      <c r="BG831" s="7"/>
      <c r="BH831" s="7"/>
      <c r="BI831" s="7" t="s">
        <v>9679</v>
      </c>
      <c r="BJ831" s="7"/>
      <c r="BK831" s="7" t="b">
        <v>0</v>
      </c>
      <c r="BL831" s="7" t="b">
        <v>0</v>
      </c>
      <c r="BM831" s="7"/>
      <c r="BN831" s="7" t="str">
        <f>IFERROR(__xludf.DUMMYFUNCTION(" IF( REGEXMATCH(C831 , ""[(].+[)]""),REGEXREPLACE( CONCATENATE(REGEXEXTRACT(C831 , ""[(].+[)]""),IF(REGEXMATCH(C831 , ""[(][Ll]['’][)]""),"""","" ""), REGEXEXTRACT(C831 ,""^(?:(?:[A-Za-zàäéèêîïöôûü0-9 ](?:[A-Za-zàäéèêîïöôûü'0-9 ]+)))"")) , ""[()]"", """")"&amp;",C831 )"),"Le Point de vue gourmand ")</f>
        <v>Le Point de vue gourmand </v>
      </c>
      <c r="BO831" s="25"/>
      <c r="BP831" s="7"/>
      <c r="BQ831" s="7"/>
      <c r="BR831" s="7"/>
      <c r="BS831" s="7"/>
      <c r="BT831" s="7"/>
      <c r="BU831" s="7"/>
      <c r="BV831" s="7"/>
      <c r="BW831" s="7"/>
      <c r="BX831" s="7"/>
      <c r="BY831" s="7"/>
      <c r="BZ831" s="7"/>
      <c r="CA831" s="7"/>
      <c r="CB831" s="7"/>
    </row>
    <row r="832" ht="21.75" customHeight="1">
      <c r="A832" s="7"/>
      <c r="B832" s="7" t="s">
        <v>9683</v>
      </c>
      <c r="C832" s="7" t="s">
        <v>9684</v>
      </c>
      <c r="D832" s="7"/>
      <c r="E832" s="7"/>
      <c r="F832" s="7"/>
      <c r="G832" s="7" t="s">
        <v>343</v>
      </c>
      <c r="H832" s="7" t="s">
        <v>123</v>
      </c>
      <c r="I832" s="7" t="s">
        <v>9579</v>
      </c>
      <c r="J832" s="7"/>
      <c r="K832" s="6" t="s">
        <v>469</v>
      </c>
      <c r="L832" s="7"/>
      <c r="M832" s="7"/>
      <c r="N832" s="7"/>
      <c r="O832" s="7">
        <v>97480.0</v>
      </c>
      <c r="P832" s="7" t="s">
        <v>123</v>
      </c>
      <c r="Q832" s="7" t="s">
        <v>8383</v>
      </c>
      <c r="R832" s="7"/>
      <c r="S832" s="7"/>
      <c r="T832" s="7"/>
      <c r="U832" s="7"/>
      <c r="V832" s="7"/>
      <c r="W832" s="7">
        <v>6.92862933E8</v>
      </c>
      <c r="X832" s="7"/>
      <c r="Y832" s="7"/>
      <c r="Z832" s="7" t="s">
        <v>9685</v>
      </c>
      <c r="AA832" s="7"/>
      <c r="AB832" s="7"/>
      <c r="AC832" s="7"/>
      <c r="AD832" s="7" t="s">
        <v>9686</v>
      </c>
      <c r="AE832" s="7"/>
      <c r="AF832" s="7"/>
      <c r="AG832" s="7"/>
      <c r="AH832" s="7"/>
      <c r="AI832" s="7"/>
      <c r="AJ832" s="7" t="s">
        <v>9687</v>
      </c>
      <c r="AK832" s="7">
        <v>4.0925647600022E13</v>
      </c>
      <c r="AL832" s="7"/>
      <c r="AM832" s="7"/>
      <c r="AN832" s="7"/>
      <c r="AO832" s="7"/>
      <c r="AP832" s="7"/>
      <c r="AQ832" s="7"/>
      <c r="AR832" s="7"/>
      <c r="AS832" s="7"/>
      <c r="AT832" s="7"/>
      <c r="AU832" s="7"/>
      <c r="AV832" s="7" t="s">
        <v>9582</v>
      </c>
      <c r="AW832" s="7"/>
      <c r="AX832" s="7"/>
      <c r="AY832" s="7"/>
      <c r="AZ832" s="7"/>
      <c r="BA832" s="7"/>
      <c r="BB832" s="7"/>
      <c r="BC832" s="7" t="s">
        <v>401</v>
      </c>
      <c r="BD832" s="7"/>
      <c r="BE832" s="7"/>
      <c r="BF832" s="7"/>
      <c r="BG832" s="7"/>
      <c r="BH832" s="7">
        <v>4.09256476E8</v>
      </c>
      <c r="BI832" s="7" t="s">
        <v>4363</v>
      </c>
      <c r="BJ832" s="7"/>
      <c r="BK832" s="7" t="b">
        <v>0</v>
      </c>
      <c r="BL832" s="7" t="b">
        <v>0</v>
      </c>
      <c r="BM832" s="7"/>
      <c r="BN832" s="7" t="str">
        <f>IFERROR(__xludf.DUMMYFUNCTION(" IF( REGEXMATCH(C832 , ""[(].+[)]""),REGEXREPLACE( CONCATENATE(REGEXEXTRACT(C832 , ""[(].+[)]""),IF(REGEXMATCH(C832 , ""[(][Ll]['’][)]""),"""","" ""), REGEXEXTRACT(C832 ,""^(?:(?:[A-Za-zàäéèêîïöôûü0-9 ](?:[A-Za-zàäéèêîïöôûü'0-9 ]+)))"")) , ""[()]"", """")"&amp;",C832 )"),"Les Poneys de Grand Coude ")</f>
        <v>Les Poneys de Grand Coude </v>
      </c>
      <c r="BO832" s="25"/>
      <c r="BP832" s="7"/>
      <c r="BQ832" s="7"/>
      <c r="BR832" s="7"/>
      <c r="BS832" s="7"/>
      <c r="BT832" s="7"/>
      <c r="BU832" s="7"/>
      <c r="BV832" s="7"/>
      <c r="BW832" s="7"/>
      <c r="BX832" s="7"/>
      <c r="BY832" s="7"/>
      <c r="BZ832" s="7"/>
      <c r="CA832" s="7"/>
      <c r="CB832" s="7"/>
    </row>
    <row r="833" ht="21.75" customHeight="1">
      <c r="A833" s="7"/>
      <c r="B833" s="7" t="s">
        <v>9688</v>
      </c>
      <c r="C833" s="7" t="s">
        <v>9689</v>
      </c>
      <c r="D833" s="7"/>
      <c r="E833" s="7"/>
      <c r="F833" s="7"/>
      <c r="G833" s="7" t="s">
        <v>343</v>
      </c>
      <c r="H833" s="7" t="s">
        <v>344</v>
      </c>
      <c r="I833" s="7" t="s">
        <v>9690</v>
      </c>
      <c r="J833" s="7"/>
      <c r="K833" s="7" t="s">
        <v>58</v>
      </c>
      <c r="L833" s="7" t="s">
        <v>59</v>
      </c>
      <c r="M833" s="7"/>
      <c r="N833" s="7"/>
      <c r="O833" s="7">
        <v>97430.0</v>
      </c>
      <c r="P833" s="7" t="s">
        <v>344</v>
      </c>
      <c r="Q833" s="7"/>
      <c r="R833" s="7"/>
      <c r="S833" s="7"/>
      <c r="T833" s="7" t="s">
        <v>377</v>
      </c>
      <c r="U833" s="7" t="s">
        <v>8505</v>
      </c>
      <c r="V833" s="7"/>
      <c r="W833" s="7">
        <v>6.92582787E8</v>
      </c>
      <c r="X833" s="7"/>
      <c r="Y833" s="7"/>
      <c r="Z833" s="7" t="s">
        <v>9691</v>
      </c>
      <c r="AA833" s="7">
        <v>6.0</v>
      </c>
      <c r="AB833" s="7"/>
      <c r="AC833" s="7" t="s">
        <v>9692</v>
      </c>
      <c r="AD833" s="7"/>
      <c r="AE833" s="7"/>
      <c r="AF833" s="7"/>
      <c r="AG833" s="7"/>
      <c r="AH833" s="7"/>
      <c r="AI833" s="7"/>
      <c r="AJ833" s="7" t="s">
        <v>9693</v>
      </c>
      <c r="AK833" s="7">
        <v>4.4459926000023E13</v>
      </c>
      <c r="AL833" s="7" t="s">
        <v>9694</v>
      </c>
      <c r="AM833" s="7"/>
      <c r="AN833" s="7"/>
      <c r="AO833" s="7">
        <v>97430.0</v>
      </c>
      <c r="AP833" s="7"/>
      <c r="AQ833" s="7"/>
      <c r="AR833" s="7"/>
      <c r="AS833" s="7"/>
      <c r="AT833" s="7"/>
      <c r="AU833" s="7">
        <v>1.0</v>
      </c>
      <c r="AV833" s="7" t="s">
        <v>9695</v>
      </c>
      <c r="AW833" s="7"/>
      <c r="AX833" s="7" t="s">
        <v>3806</v>
      </c>
      <c r="AY833" s="7" t="s">
        <v>1590</v>
      </c>
      <c r="AZ833" s="7" t="s">
        <v>9696</v>
      </c>
      <c r="BA833" s="7"/>
      <c r="BB833" s="7"/>
      <c r="BC833" s="7" t="s">
        <v>401</v>
      </c>
      <c r="BD833" s="7"/>
      <c r="BE833" s="7"/>
      <c r="BF833" s="7"/>
      <c r="BG833" s="7"/>
      <c r="BH833" s="7">
        <v>4.4459926E8</v>
      </c>
      <c r="BI833" s="7" t="s">
        <v>9697</v>
      </c>
      <c r="BJ833" s="7"/>
      <c r="BK833" s="7" t="b">
        <v>0</v>
      </c>
      <c r="BL833" s="7" t="b">
        <v>0</v>
      </c>
      <c r="BM833" s="7"/>
      <c r="BN833" s="7" t="str">
        <f>IFERROR(__xludf.DUMMYFUNCTION(" IF( REGEXMATCH(C833 , ""[(].+[)]""),REGEXREPLACE( CONCATENATE(REGEXEXTRACT(C833 , ""[(].+[)]""),IF(REGEXMATCH(C833 , ""[(][Ll]['’][)]""),"""","" ""), REGEXEXTRACT(C833 ,""^(?:(?:[A-Za-zàäéèêîïöôûü0-9 ](?:[A-Za-zàäéèêîïöôûü'0-9 ]+)))"")) , ""[()]"", """")"&amp;",C833 )"),"Pti Kaz Exotique")</f>
        <v>Pti Kaz Exotique</v>
      </c>
      <c r="BO833" s="25"/>
      <c r="BP833" s="7"/>
      <c r="BQ833" s="7"/>
      <c r="BR833" s="7"/>
      <c r="BS833" s="7"/>
      <c r="BT833" s="7"/>
      <c r="BU833" s="7"/>
      <c r="BV833" s="7"/>
      <c r="BW833" s="7"/>
      <c r="BX833" s="7"/>
      <c r="BY833" s="7"/>
      <c r="BZ833" s="7"/>
      <c r="CA833" s="7"/>
      <c r="CB833" s="7"/>
    </row>
    <row r="834" ht="21.75" customHeight="1">
      <c r="A834" s="7"/>
      <c r="B834" s="7" t="s">
        <v>9698</v>
      </c>
      <c r="C834" s="7" t="s">
        <v>9699</v>
      </c>
      <c r="D834" s="7"/>
      <c r="E834" s="7"/>
      <c r="F834" s="7"/>
      <c r="G834" s="7" t="s">
        <v>343</v>
      </c>
      <c r="H834" s="7" t="s">
        <v>123</v>
      </c>
      <c r="I834" s="7"/>
      <c r="J834" s="26" t="s">
        <v>9700</v>
      </c>
      <c r="K834" s="6" t="s">
        <v>469</v>
      </c>
      <c r="L834" s="7"/>
      <c r="M834" s="7"/>
      <c r="N834" s="7"/>
      <c r="O834" s="7">
        <v>97480.0</v>
      </c>
      <c r="P834" s="7" t="s">
        <v>123</v>
      </c>
      <c r="Q834" s="7"/>
      <c r="R834" s="7"/>
      <c r="S834" s="7"/>
      <c r="T834" s="7"/>
      <c r="U834" s="7"/>
      <c r="V834" s="7"/>
      <c r="W834" s="7">
        <v>6.92089093E8</v>
      </c>
      <c r="X834" s="7"/>
      <c r="Y834" s="7"/>
      <c r="Z834" s="7" t="s">
        <v>3073</v>
      </c>
      <c r="AA834" s="7"/>
      <c r="AB834" s="7"/>
      <c r="AC834" s="7"/>
      <c r="AD834" s="7" t="s">
        <v>9701</v>
      </c>
      <c r="AE834" s="7"/>
      <c r="AF834" s="7"/>
      <c r="AG834" s="7"/>
      <c r="AH834" s="7"/>
      <c r="AI834" s="7"/>
      <c r="AJ834" s="7" t="s">
        <v>9702</v>
      </c>
      <c r="AK834" s="7">
        <v>4.8486574600024E13</v>
      </c>
      <c r="AL834" s="7"/>
      <c r="AM834" s="7"/>
      <c r="AN834" s="7"/>
      <c r="AO834" s="7"/>
      <c r="AP834" s="7"/>
      <c r="AQ834" s="7"/>
      <c r="AR834" s="7"/>
      <c r="AS834" s="7"/>
      <c r="AT834" s="7"/>
      <c r="AU834" s="7"/>
      <c r="AV834" s="7"/>
      <c r="AW834" s="7"/>
      <c r="AX834" s="7"/>
      <c r="AY834" s="7"/>
      <c r="AZ834" s="7"/>
      <c r="BA834" s="7"/>
      <c r="BB834" s="7"/>
      <c r="BC834" s="7" t="s">
        <v>5001</v>
      </c>
      <c r="BD834" s="7"/>
      <c r="BE834" s="7"/>
      <c r="BF834" s="7"/>
      <c r="BG834" s="7"/>
      <c r="BH834" s="7">
        <v>4.84865746E8</v>
      </c>
      <c r="BI834" s="7"/>
      <c r="BJ834" s="7"/>
      <c r="BK834" s="7" t="b">
        <v>0</v>
      </c>
      <c r="BL834" s="7" t="b">
        <v>0</v>
      </c>
      <c r="BM834" s="7"/>
      <c r="BN834" s="7" t="str">
        <f>IFERROR(__xludf.DUMMYFUNCTION(" IF( REGEXMATCH(C834 , ""[(].+[)]""),REGEXREPLACE( CONCATENATE(REGEXEXTRACT(C834 , ""[(].+[)]""),IF(REGEXMATCH(C834 , ""[(][Ll]['’][)]""),"""","" ""), REGEXEXTRACT(C834 ,""^(?:(?:[A-Za-zàäéèêîïöôûü0-9 ](?:[A-Za-zàäéèêîïöôûü'0-9 ]+)))"")) , ""[()]"", """")"&amp;",C834 )"),"Randos et Plongées")</f>
        <v>Randos et Plongées</v>
      </c>
      <c r="BO834" s="25"/>
      <c r="BP834" s="7"/>
      <c r="BQ834" s="7"/>
      <c r="BR834" s="7"/>
      <c r="BS834" s="7"/>
      <c r="BT834" s="7"/>
      <c r="BU834" s="7"/>
      <c r="BV834" s="7"/>
      <c r="BW834" s="7"/>
      <c r="BX834" s="7"/>
      <c r="BY834" s="7"/>
      <c r="BZ834" s="7"/>
      <c r="CA834" s="7"/>
      <c r="CB834" s="7"/>
    </row>
    <row r="835" ht="21.75" customHeight="1">
      <c r="A835" s="7"/>
      <c r="B835" s="7" t="s">
        <v>9703</v>
      </c>
      <c r="C835" s="7" t="s">
        <v>9704</v>
      </c>
      <c r="D835" s="7"/>
      <c r="E835" s="7"/>
      <c r="F835" s="7"/>
      <c r="G835" s="7" t="s">
        <v>343</v>
      </c>
      <c r="H835" s="7" t="s">
        <v>40</v>
      </c>
      <c r="I835" s="7" t="s">
        <v>9705</v>
      </c>
      <c r="J835" s="7"/>
      <c r="K835" s="7" t="s">
        <v>34</v>
      </c>
      <c r="L835" s="7" t="s">
        <v>622</v>
      </c>
      <c r="M835" s="7" t="s">
        <v>5053</v>
      </c>
      <c r="N835" s="7"/>
      <c r="O835" s="7">
        <v>97414.0</v>
      </c>
      <c r="P835" s="7" t="s">
        <v>40</v>
      </c>
      <c r="Q835" s="7" t="s">
        <v>8279</v>
      </c>
      <c r="R835" s="7"/>
      <c r="S835" s="7"/>
      <c r="T835" s="7"/>
      <c r="U835" s="7"/>
      <c r="V835" s="7">
        <v>2.62325778E8</v>
      </c>
      <c r="W835" s="7">
        <v>6.92728145E8</v>
      </c>
      <c r="X835" s="7"/>
      <c r="Y835" s="7"/>
      <c r="Z835" s="7"/>
      <c r="AA835" s="7">
        <v>30.0</v>
      </c>
      <c r="AB835" s="7"/>
      <c r="AC835" s="7"/>
      <c r="AD835" s="7"/>
      <c r="AE835" s="7"/>
      <c r="AF835" s="7"/>
      <c r="AG835" s="7"/>
      <c r="AH835" s="7"/>
      <c r="AI835" s="7"/>
      <c r="AJ835" s="7"/>
      <c r="AK835" s="7"/>
      <c r="AL835" s="7"/>
      <c r="AM835" s="7"/>
      <c r="AN835" s="7"/>
      <c r="AO835" s="7"/>
      <c r="AP835" s="7"/>
      <c r="AQ835" s="7"/>
      <c r="AR835" s="7"/>
      <c r="AS835" s="7"/>
      <c r="AT835" s="7"/>
      <c r="AU835" s="7"/>
      <c r="AV835" s="7" t="s">
        <v>9706</v>
      </c>
      <c r="AW835" s="7"/>
      <c r="AX835" s="7"/>
      <c r="AY835" s="7"/>
      <c r="AZ835" s="7"/>
      <c r="BA835" s="7"/>
      <c r="BB835" s="7"/>
      <c r="BC835" s="7" t="s">
        <v>401</v>
      </c>
      <c r="BD835" s="7"/>
      <c r="BE835" s="7"/>
      <c r="BF835" s="7"/>
      <c r="BG835" s="7"/>
      <c r="BH835" s="7"/>
      <c r="BI835" s="7" t="s">
        <v>9707</v>
      </c>
      <c r="BJ835" s="7"/>
      <c r="BK835" s="7" t="b">
        <v>0</v>
      </c>
      <c r="BL835" s="7" t="b">
        <v>0</v>
      </c>
      <c r="BM835" s="7"/>
      <c r="BN835" s="7" t="str">
        <f>IFERROR(__xludf.DUMMYFUNCTION(" IF( REGEXMATCH(C835 , ""[(].+[)]""),REGEXREPLACE( CONCATENATE(REGEXEXTRACT(C835 , ""[(].+[)]""),IF(REGEXMATCH(C835 , ""[(][Ll]['’][)]""),"""","" ""), REGEXEXTRACT(C835 ,""^(?:(?:[A-Za-zàäéèêîïöôûü0-9 ](?:[A-Za-zàäéèêîïöôûü'0-9 ]+)))"")) , ""[()]"", """")"&amp;",C835 )"),"Regal des Hauts")</f>
        <v>Regal des Hauts</v>
      </c>
      <c r="BO835" s="25"/>
      <c r="BP835" s="7"/>
      <c r="BQ835" s="7"/>
      <c r="BR835" s="7"/>
      <c r="BS835" s="7"/>
      <c r="BT835" s="7"/>
      <c r="BU835" s="7"/>
      <c r="BV835" s="7"/>
      <c r="BW835" s="7"/>
      <c r="BX835" s="7"/>
      <c r="BY835" s="7"/>
      <c r="BZ835" s="7"/>
      <c r="CA835" s="7"/>
      <c r="CB835" s="7"/>
    </row>
    <row r="836" ht="21.75" customHeight="1">
      <c r="A836" s="7"/>
      <c r="B836" s="7" t="s">
        <v>9708</v>
      </c>
      <c r="C836" s="7" t="s">
        <v>9709</v>
      </c>
      <c r="D836" s="7"/>
      <c r="E836" s="7"/>
      <c r="F836" s="7"/>
      <c r="G836" s="7" t="s">
        <v>343</v>
      </c>
      <c r="H836" s="7" t="s">
        <v>123</v>
      </c>
      <c r="I836" s="7" t="s">
        <v>9710</v>
      </c>
      <c r="J836" s="26" t="s">
        <v>1695</v>
      </c>
      <c r="K836" s="6" t="s">
        <v>469</v>
      </c>
      <c r="L836" s="7"/>
      <c r="M836" s="7"/>
      <c r="N836" s="7"/>
      <c r="O836" s="7">
        <v>97480.0</v>
      </c>
      <c r="P836" s="7" t="s">
        <v>123</v>
      </c>
      <c r="Q836" s="7"/>
      <c r="R836" s="7"/>
      <c r="S836" s="7"/>
      <c r="T836" s="7"/>
      <c r="U836" s="7"/>
      <c r="V836" s="7">
        <v>2.62480539E8</v>
      </c>
      <c r="W836" s="7">
        <v>6.92661098E8</v>
      </c>
      <c r="X836" s="7"/>
      <c r="Y836" s="7"/>
      <c r="Z836" s="7" t="s">
        <v>1699</v>
      </c>
      <c r="AA836" s="7"/>
      <c r="AB836" s="7"/>
      <c r="AC836" s="7"/>
      <c r="AD836" s="7"/>
      <c r="AE836" s="7"/>
      <c r="AF836" s="7"/>
      <c r="AG836" s="7"/>
      <c r="AH836" s="7"/>
      <c r="AI836" s="7"/>
      <c r="AJ836" s="7" t="s">
        <v>9711</v>
      </c>
      <c r="AK836" s="7"/>
      <c r="AL836" s="7"/>
      <c r="AM836" s="7"/>
      <c r="AN836" s="7"/>
      <c r="AO836" s="7"/>
      <c r="AP836" s="7"/>
      <c r="AQ836" s="7"/>
      <c r="AR836" s="7"/>
      <c r="AS836" s="7"/>
      <c r="AT836" s="7"/>
      <c r="AU836" s="7"/>
      <c r="AV836" s="7" t="s">
        <v>9712</v>
      </c>
      <c r="AW836" s="7"/>
      <c r="AX836" s="7"/>
      <c r="AY836" s="7"/>
      <c r="AZ836" s="7"/>
      <c r="BA836" s="7"/>
      <c r="BB836" s="7"/>
      <c r="BC836" s="7" t="s">
        <v>401</v>
      </c>
      <c r="BD836" s="7"/>
      <c r="BE836" s="7"/>
      <c r="BF836" s="7"/>
      <c r="BG836" s="7"/>
      <c r="BH836" s="7"/>
      <c r="BI836" s="7" t="s">
        <v>9713</v>
      </c>
      <c r="BJ836" s="7"/>
      <c r="BK836" s="7" t="b">
        <v>0</v>
      </c>
      <c r="BL836" s="7" t="b">
        <v>0</v>
      </c>
      <c r="BM836" s="7"/>
      <c r="BN836" s="7" t="str">
        <f>IFERROR(__xludf.DUMMYFUNCTION(" IF( REGEXMATCH(C836 , ""[(].+[)]""),REGEXREPLACE( CONCATENATE(REGEXEXTRACT(C836 , ""[(].+[)]""),IF(REGEXMATCH(C836 , ""[(][Ll]['’][)]""),"""","" ""), REGEXEXTRACT(C836 ,""^(?:(?:[A-Za-zàäéèêîïöôûü0-9 ](?:[A-Za-zàäéèêîïöôûü'0-9 ]+)))"")) , ""[()]"", """")"&amp;",C836 )"),"Réunion Boutik")</f>
        <v>Réunion Boutik</v>
      </c>
      <c r="BO836" s="25"/>
      <c r="BP836" s="7"/>
      <c r="BQ836" s="7"/>
      <c r="BR836" s="7"/>
      <c r="BS836" s="7"/>
      <c r="BT836" s="7"/>
      <c r="BU836" s="7"/>
      <c r="BV836" s="7"/>
      <c r="BW836" s="7"/>
      <c r="BX836" s="7"/>
      <c r="BY836" s="7"/>
      <c r="BZ836" s="7"/>
      <c r="CA836" s="7"/>
      <c r="CB836" s="7"/>
    </row>
    <row r="837" ht="21.75" customHeight="1">
      <c r="A837" s="7"/>
      <c r="B837" s="7" t="s">
        <v>9714</v>
      </c>
      <c r="C837" s="7" t="s">
        <v>9715</v>
      </c>
      <c r="D837" s="7"/>
      <c r="E837" s="7"/>
      <c r="F837" s="7"/>
      <c r="G837" s="7" t="s">
        <v>343</v>
      </c>
      <c r="H837" s="7" t="s">
        <v>344</v>
      </c>
      <c r="I837" s="7" t="s">
        <v>9716</v>
      </c>
      <c r="J837" s="7"/>
      <c r="K837" s="7" t="s">
        <v>1198</v>
      </c>
      <c r="L837" s="7" t="s">
        <v>1644</v>
      </c>
      <c r="M837" s="7" t="s">
        <v>9717</v>
      </c>
      <c r="N837" s="7"/>
      <c r="O837" s="7">
        <v>97430.0</v>
      </c>
      <c r="P837" s="7" t="s">
        <v>344</v>
      </c>
      <c r="Q837" s="7" t="s">
        <v>3501</v>
      </c>
      <c r="R837" s="7"/>
      <c r="S837" s="7"/>
      <c r="T837" s="7" t="s">
        <v>9718</v>
      </c>
      <c r="U837" s="7"/>
      <c r="V837" s="7"/>
      <c r="W837" s="7">
        <v>6.92915111E8</v>
      </c>
      <c r="X837" s="7"/>
      <c r="Y837" s="7"/>
      <c r="Z837" s="7" t="s">
        <v>9719</v>
      </c>
      <c r="AA837" s="7">
        <v>4.0</v>
      </c>
      <c r="AB837" s="7"/>
      <c r="AC837" s="7"/>
      <c r="AD837" s="7"/>
      <c r="AE837" s="7"/>
      <c r="AF837" s="7"/>
      <c r="AG837" s="7"/>
      <c r="AH837" s="7"/>
      <c r="AI837" s="7"/>
      <c r="AJ837" s="7" t="s">
        <v>9720</v>
      </c>
      <c r="AK837" s="7">
        <v>8.8213776300018E13</v>
      </c>
      <c r="AL837" s="7" t="s">
        <v>9721</v>
      </c>
      <c r="AM837" s="7" t="s">
        <v>9722</v>
      </c>
      <c r="AN837" s="7"/>
      <c r="AO837" s="7"/>
      <c r="AP837" s="7"/>
      <c r="AQ837" s="7"/>
      <c r="AR837" s="7"/>
      <c r="AS837" s="7"/>
      <c r="AT837" s="7"/>
      <c r="AU837" s="7">
        <v>1.0</v>
      </c>
      <c r="AV837" s="7" t="s">
        <v>9417</v>
      </c>
      <c r="AW837" s="7"/>
      <c r="AX837" s="7"/>
      <c r="AY837" s="7"/>
      <c r="AZ837" s="7"/>
      <c r="BA837" s="7"/>
      <c r="BB837" s="7"/>
      <c r="BC837" s="7" t="s">
        <v>401</v>
      </c>
      <c r="BD837" s="7"/>
      <c r="BE837" s="7"/>
      <c r="BF837" s="7"/>
      <c r="BG837" s="7"/>
      <c r="BH837" s="7">
        <v>8.82137763E8</v>
      </c>
      <c r="BI837" s="7" t="s">
        <v>9723</v>
      </c>
      <c r="BJ837" s="7"/>
      <c r="BK837" s="7" t="b">
        <v>0</v>
      </c>
      <c r="BL837" s="7" t="b">
        <v>0</v>
      </c>
      <c r="BM837" s="7"/>
      <c r="BN837" s="7" t="str">
        <f>IFERROR(__xludf.DUMMYFUNCTION(" IF( REGEXMATCH(C837 , ""[(].+[)]""),REGEXREPLACE( CONCATENATE(REGEXEXTRACT(C837 , ""[(].+[)]""),IF(REGEXMATCH(C837 , ""[(][Ll]['’][)]""),"""","" ""), REGEXEXTRACT(C837 ,""^(?:(?:[A-Za-zàäéèêîïöôûü0-9 ](?:[A-Za-zàäéèêîïöôûü'0-9 ]+)))"")) , ""[()]"", """")"&amp;",C837 )"),"Réunion VTC")</f>
        <v>Réunion VTC</v>
      </c>
      <c r="BO837" s="25"/>
      <c r="BP837" s="7"/>
      <c r="BQ837" s="7"/>
      <c r="BR837" s="7"/>
      <c r="BS837" s="7"/>
      <c r="BT837" s="7"/>
      <c r="BU837" s="7"/>
      <c r="BV837" s="7"/>
      <c r="BW837" s="7"/>
      <c r="BX837" s="7"/>
      <c r="BY837" s="7"/>
      <c r="BZ837" s="7"/>
      <c r="CA837" s="7"/>
      <c r="CB837" s="7"/>
    </row>
    <row r="838" ht="21.75" customHeight="1">
      <c r="A838" s="7"/>
      <c r="B838" s="7" t="s">
        <v>9724</v>
      </c>
      <c r="C838" s="7" t="s">
        <v>9725</v>
      </c>
      <c r="D838" s="7"/>
      <c r="E838" s="7"/>
      <c r="F838" s="7"/>
      <c r="G838" s="7" t="s">
        <v>343</v>
      </c>
      <c r="H838" s="7" t="s">
        <v>123</v>
      </c>
      <c r="I838" s="7" t="s">
        <v>8203</v>
      </c>
      <c r="J838" s="26" t="s">
        <v>9726</v>
      </c>
      <c r="K838" s="6" t="s">
        <v>469</v>
      </c>
      <c r="L838" s="7"/>
      <c r="M838" s="7"/>
      <c r="N838" s="7"/>
      <c r="O838" s="7">
        <v>97480.0</v>
      </c>
      <c r="P838" s="7" t="s">
        <v>123</v>
      </c>
      <c r="Q838" s="7" t="s">
        <v>3556</v>
      </c>
      <c r="R838" s="7"/>
      <c r="S838" s="7"/>
      <c r="T838" s="7"/>
      <c r="U838" s="7"/>
      <c r="V838" s="7"/>
      <c r="W838" s="7">
        <v>6.92865485E8</v>
      </c>
      <c r="X838" s="7"/>
      <c r="Y838" s="7"/>
      <c r="Z838" s="7" t="s">
        <v>9727</v>
      </c>
      <c r="AA838" s="7"/>
      <c r="AB838" s="7"/>
      <c r="AC838" s="7"/>
      <c r="AD838" s="7" t="s">
        <v>8206</v>
      </c>
      <c r="AE838" s="7"/>
      <c r="AF838" s="7"/>
      <c r="AG838" s="7"/>
      <c r="AH838" s="7"/>
      <c r="AI838" s="7"/>
      <c r="AJ838" s="7" t="s">
        <v>9728</v>
      </c>
      <c r="AK838" s="7"/>
      <c r="AL838" s="7"/>
      <c r="AM838" s="7"/>
      <c r="AN838" s="7"/>
      <c r="AO838" s="7"/>
      <c r="AP838" s="7"/>
      <c r="AQ838" s="7"/>
      <c r="AR838" s="7"/>
      <c r="AS838" s="7"/>
      <c r="AT838" s="7"/>
      <c r="AU838" s="7"/>
      <c r="AV838" s="7" t="s">
        <v>8209</v>
      </c>
      <c r="AW838" s="7"/>
      <c r="AX838" s="7"/>
      <c r="AY838" s="7"/>
      <c r="AZ838" s="7"/>
      <c r="BA838" s="7"/>
      <c r="BB838" s="7"/>
      <c r="BC838" s="7" t="s">
        <v>401</v>
      </c>
      <c r="BD838" s="7"/>
      <c r="BE838" s="7"/>
      <c r="BF838" s="7"/>
      <c r="BG838" s="7"/>
      <c r="BH838" s="7"/>
      <c r="BI838" s="7" t="s">
        <v>8210</v>
      </c>
      <c r="BJ838" s="7"/>
      <c r="BK838" s="7" t="b">
        <v>0</v>
      </c>
      <c r="BL838" s="7" t="b">
        <v>0</v>
      </c>
      <c r="BM838" s="7"/>
      <c r="BN838" s="7" t="str">
        <f>IFERROR(__xludf.DUMMYFUNCTION(" IF( REGEXMATCH(C838 , ""[(].+[)]""),REGEXREPLACE( CONCATENATE(REGEXEXTRACT(C838 , ""[(].+[)]""),IF(REGEXMATCH(C838 , ""[(][Ll]['’][)]""),"""","" ""), REGEXEXTRACT(C838 ,""^(?:(?:[A-Za-zàäéèêîïöôûü0-9 ](?:[A-Za-zàäéèêîïöôûü'0-9 ]+)))"")) , ""[()]"", """")"&amp;",C838 )"),"Ricaric")</f>
        <v>Ricaric</v>
      </c>
      <c r="BO838" s="25"/>
      <c r="BP838" s="7"/>
      <c r="BQ838" s="7"/>
      <c r="BR838" s="7"/>
      <c r="BS838" s="7"/>
      <c r="BT838" s="7"/>
      <c r="BU838" s="7"/>
      <c r="BV838" s="7"/>
      <c r="BW838" s="7"/>
      <c r="BX838" s="7"/>
      <c r="BY838" s="7"/>
      <c r="BZ838" s="7"/>
      <c r="CA838" s="7"/>
      <c r="CB838" s="7"/>
    </row>
    <row r="839" ht="21.75" customHeight="1">
      <c r="A839" s="7"/>
      <c r="B839" s="7" t="s">
        <v>9729</v>
      </c>
      <c r="C839" s="7" t="s">
        <v>9730</v>
      </c>
      <c r="D839" s="7"/>
      <c r="E839" s="7"/>
      <c r="F839" s="7"/>
      <c r="G839" s="7" t="s">
        <v>343</v>
      </c>
      <c r="H839" s="7" t="s">
        <v>123</v>
      </c>
      <c r="I839" s="7" t="s">
        <v>9731</v>
      </c>
      <c r="J839" s="7"/>
      <c r="K839" s="7" t="s">
        <v>34</v>
      </c>
      <c r="L839" s="7"/>
      <c r="M839" s="7"/>
      <c r="N839" s="7"/>
      <c r="O839" s="7">
        <v>97480.0</v>
      </c>
      <c r="P839" s="7" t="s">
        <v>123</v>
      </c>
      <c r="Q839" s="7" t="s">
        <v>4456</v>
      </c>
      <c r="R839" s="7"/>
      <c r="S839" s="7"/>
      <c r="T839" s="7"/>
      <c r="U839" s="7"/>
      <c r="V839" s="7">
        <v>2.62461043E8</v>
      </c>
      <c r="W839" s="7">
        <v>6.92608261E8</v>
      </c>
      <c r="X839" s="7"/>
      <c r="Y839" s="7"/>
      <c r="Z839" s="7" t="s">
        <v>9732</v>
      </c>
      <c r="AA839" s="7"/>
      <c r="AB839" s="7"/>
      <c r="AC839" s="7"/>
      <c r="AD839" s="7"/>
      <c r="AE839" s="7"/>
      <c r="AF839" s="7"/>
      <c r="AG839" s="7"/>
      <c r="AH839" s="7"/>
      <c r="AI839" s="7"/>
      <c r="AJ839" s="7" t="s">
        <v>9733</v>
      </c>
      <c r="AK839" s="7"/>
      <c r="AL839" s="7"/>
      <c r="AM839" s="7"/>
      <c r="AN839" s="7"/>
      <c r="AO839" s="7"/>
      <c r="AP839" s="7"/>
      <c r="AQ839" s="7"/>
      <c r="AR839" s="7"/>
      <c r="AS839" s="7"/>
      <c r="AT839" s="7"/>
      <c r="AU839" s="7"/>
      <c r="AV839" s="7" t="s">
        <v>9734</v>
      </c>
      <c r="AW839" s="7"/>
      <c r="AX839" s="7"/>
      <c r="AY839" s="7"/>
      <c r="AZ839" s="7"/>
      <c r="BA839" s="7"/>
      <c r="BB839" s="7"/>
      <c r="BC839" s="7" t="s">
        <v>401</v>
      </c>
      <c r="BD839" s="7"/>
      <c r="BE839" s="7"/>
      <c r="BF839" s="7"/>
      <c r="BG839" s="7"/>
      <c r="BH839" s="7"/>
      <c r="BI839" s="7" t="s">
        <v>9735</v>
      </c>
      <c r="BJ839" s="7"/>
      <c r="BK839" s="7" t="b">
        <v>0</v>
      </c>
      <c r="BL839" s="7" t="b">
        <v>0</v>
      </c>
      <c r="BM839" s="7"/>
      <c r="BN839" s="7" t="str">
        <f>IFERROR(__xludf.DUMMYFUNCTION(" IF( REGEXMATCH(C839 , ""[(].+[)]""),REGEXREPLACE( CONCATENATE(REGEXEXTRACT(C839 , ""[(].+[)]""),IF(REGEXMATCH(C839 , ""[(][Ll]['’][)]""),"""","" ""), REGEXEXTRACT(C839 ,""^(?:(?:[A-Za-zàäéèêîïöôûü0-9 ](?:[A-Za-zàäéèêîïöôûü'0-9 ]+)))"")) , ""[()]"", """")"&amp;",C839 )"),"La Rotissoire ")</f>
        <v>La Rotissoire </v>
      </c>
      <c r="BO839" s="25"/>
      <c r="BP839" s="7"/>
      <c r="BQ839" s="7"/>
      <c r="BR839" s="7"/>
      <c r="BS839" s="7"/>
      <c r="BT839" s="7"/>
      <c r="BU839" s="7"/>
      <c r="BV839" s="7"/>
      <c r="BW839" s="7"/>
      <c r="BX839" s="7"/>
      <c r="BY839" s="7"/>
      <c r="BZ839" s="7"/>
      <c r="CA839" s="7"/>
      <c r="CB839" s="7"/>
    </row>
    <row r="840" ht="21.75" customHeight="1">
      <c r="A840" s="7"/>
      <c r="B840" s="7" t="s">
        <v>9736</v>
      </c>
      <c r="C840" s="7" t="s">
        <v>9737</v>
      </c>
      <c r="D840" s="7"/>
      <c r="E840" s="7"/>
      <c r="F840" s="7"/>
      <c r="G840" s="7" t="s">
        <v>343</v>
      </c>
      <c r="H840" s="7" t="s">
        <v>344</v>
      </c>
      <c r="I840" s="7" t="s">
        <v>9738</v>
      </c>
      <c r="J840" s="7"/>
      <c r="K840" s="7" t="s">
        <v>58</v>
      </c>
      <c r="L840" s="7" t="s">
        <v>59</v>
      </c>
      <c r="M840" s="7"/>
      <c r="N840" s="7" t="s">
        <v>455</v>
      </c>
      <c r="O840" s="7">
        <v>97418.0</v>
      </c>
      <c r="P840" s="7" t="s">
        <v>348</v>
      </c>
      <c r="Q840" s="7"/>
      <c r="R840" s="7"/>
      <c r="S840" s="7" t="s">
        <v>9739</v>
      </c>
      <c r="T840" s="7" t="s">
        <v>377</v>
      </c>
      <c r="U840" s="7" t="s">
        <v>353</v>
      </c>
      <c r="V840" s="7"/>
      <c r="W840" s="7">
        <v>6.92466261E8</v>
      </c>
      <c r="X840" s="7"/>
      <c r="Y840" s="7"/>
      <c r="Z840" s="7" t="s">
        <v>9740</v>
      </c>
      <c r="AA840" s="7">
        <v>6.0</v>
      </c>
      <c r="AB840" s="7"/>
      <c r="AC840" s="7" t="s">
        <v>9741</v>
      </c>
      <c r="AD840" s="7"/>
      <c r="AE840" s="7"/>
      <c r="AF840" s="7"/>
      <c r="AG840" s="7"/>
      <c r="AH840" s="7"/>
      <c r="AI840" s="7"/>
      <c r="AJ840" s="7" t="s">
        <v>9742</v>
      </c>
      <c r="AK840" s="7">
        <v>4.851088490002E13</v>
      </c>
      <c r="AL840" s="7" t="s">
        <v>9738</v>
      </c>
      <c r="AM840" s="7"/>
      <c r="AN840" s="7"/>
      <c r="AO840" s="7">
        <v>97418.0</v>
      </c>
      <c r="AP840" s="7"/>
      <c r="AQ840" s="7"/>
      <c r="AR840" s="7"/>
      <c r="AS840" s="7"/>
      <c r="AT840" s="7"/>
      <c r="AU840" s="7">
        <v>1.0</v>
      </c>
      <c r="AV840" s="7" t="s">
        <v>9743</v>
      </c>
      <c r="AW840" s="7"/>
      <c r="AX840" s="7"/>
      <c r="AY840" s="7"/>
      <c r="AZ840" s="7" t="s">
        <v>9744</v>
      </c>
      <c r="BA840" s="7"/>
      <c r="BB840" s="7"/>
      <c r="BC840" s="7" t="s">
        <v>401</v>
      </c>
      <c r="BD840" s="7"/>
      <c r="BE840" s="7"/>
      <c r="BF840" s="7"/>
      <c r="BG840" s="7"/>
      <c r="BH840" s="7">
        <v>4.85108849E8</v>
      </c>
      <c r="BI840" s="7" t="s">
        <v>9745</v>
      </c>
      <c r="BJ840" s="7"/>
      <c r="BK840" s="7" t="b">
        <v>0</v>
      </c>
      <c r="BL840" s="7" t="b">
        <v>0</v>
      </c>
      <c r="BM840" s="7"/>
      <c r="BN840" s="7" t="str">
        <f>IFERROR(__xludf.DUMMYFUNCTION(" IF( REGEXMATCH(C840 , ""[(].+[)]""),REGEXREPLACE( CONCATENATE(REGEXEXTRACT(C840 , ""[(].+[)]""),IF(REGEXMATCH(C840 , ""[(][Ll]['’][)]""),"""","" ""), REGEXEXTRACT(C840 ,""^(?:(?:[A-Za-zàäéèêîïöôûü0-9 ](?:[A-Za-zàäéèêîïöôûü'0-9 ]+)))"")) , ""[()]"", """")"&amp;",C840 )"),"La Roulotte Géante ")</f>
        <v>La Roulotte Géante </v>
      </c>
      <c r="BO840" s="25"/>
      <c r="BP840" s="7"/>
      <c r="BQ840" s="7"/>
      <c r="BR840" s="7"/>
      <c r="BS840" s="7"/>
      <c r="BT840" s="7"/>
      <c r="BU840" s="7"/>
      <c r="BV840" s="7"/>
      <c r="BW840" s="7"/>
      <c r="BX840" s="7"/>
      <c r="BY840" s="7"/>
      <c r="BZ840" s="7"/>
      <c r="CA840" s="7"/>
      <c r="CB840" s="7"/>
    </row>
    <row r="841" ht="21.75" customHeight="1">
      <c r="A841" s="7"/>
      <c r="B841" s="7" t="s">
        <v>9746</v>
      </c>
      <c r="C841" s="7" t="s">
        <v>9747</v>
      </c>
      <c r="D841" s="7"/>
      <c r="E841" s="7"/>
      <c r="F841" s="7"/>
      <c r="G841" s="7" t="s">
        <v>343</v>
      </c>
      <c r="H841" s="7" t="s">
        <v>344</v>
      </c>
      <c r="I841" s="7" t="s">
        <v>9633</v>
      </c>
      <c r="J841" s="7"/>
      <c r="K841" s="7" t="s">
        <v>58</v>
      </c>
      <c r="L841" s="7" t="s">
        <v>59</v>
      </c>
      <c r="M841" s="7"/>
      <c r="N841" s="7"/>
      <c r="O841" s="7">
        <v>97430.0</v>
      </c>
      <c r="P841" s="7" t="s">
        <v>344</v>
      </c>
      <c r="Q841" s="7" t="s">
        <v>3501</v>
      </c>
      <c r="R841" s="7"/>
      <c r="S841" s="7"/>
      <c r="T841" s="7"/>
      <c r="U841" s="7"/>
      <c r="V841" s="7">
        <v>2.62383665E8</v>
      </c>
      <c r="W841" s="7">
        <v>6.92422777E8</v>
      </c>
      <c r="X841" s="7"/>
      <c r="Y841" s="7"/>
      <c r="Z841" s="7" t="s">
        <v>9634</v>
      </c>
      <c r="AA841" s="7">
        <v>4.0</v>
      </c>
      <c r="AB841" s="7" t="s">
        <v>355</v>
      </c>
      <c r="AC841" s="7"/>
      <c r="AD841" s="7"/>
      <c r="AE841" s="7"/>
      <c r="AF841" s="7"/>
      <c r="AG841" s="7"/>
      <c r="AH841" s="7"/>
      <c r="AI841" s="7"/>
      <c r="AJ841" s="7" t="s">
        <v>9635</v>
      </c>
      <c r="AK841" s="7"/>
      <c r="AL841" s="7" t="s">
        <v>9633</v>
      </c>
      <c r="AM841" s="7"/>
      <c r="AN841" s="7"/>
      <c r="AO841" s="7">
        <v>97430.0</v>
      </c>
      <c r="AP841" s="7"/>
      <c r="AQ841" s="7"/>
      <c r="AR841" s="7"/>
      <c r="AS841" s="7"/>
      <c r="AT841" s="7"/>
      <c r="AU841" s="7">
        <v>1.0</v>
      </c>
      <c r="AV841" s="7" t="s">
        <v>9636</v>
      </c>
      <c r="AW841" s="7"/>
      <c r="AX841" s="7"/>
      <c r="AY841" s="7"/>
      <c r="AZ841" s="7" t="s">
        <v>9748</v>
      </c>
      <c r="BA841" s="7"/>
      <c r="BB841" s="7"/>
      <c r="BC841" s="7" t="s">
        <v>401</v>
      </c>
      <c r="BD841" s="7"/>
      <c r="BE841" s="7"/>
      <c r="BF841" s="7"/>
      <c r="BG841" s="7"/>
      <c r="BH841" s="7"/>
      <c r="BI841" s="7" t="s">
        <v>9638</v>
      </c>
      <c r="BJ841" s="7"/>
      <c r="BK841" s="7" t="b">
        <v>0</v>
      </c>
      <c r="BL841" s="7" t="b">
        <v>0</v>
      </c>
      <c r="BM841" s="7"/>
      <c r="BN841" s="7" t="str">
        <f>IFERROR(__xludf.DUMMYFUNCTION(" IF( REGEXMATCH(C841 , ""[(].+[)]""),REGEXREPLACE( CONCATENATE(REGEXEXTRACT(C841 , ""[(].+[)]""),IF(REGEXMATCH(C841 , ""[(][Ll]['’][)]""),"""","" ""), REGEXEXTRACT(C841 ,""^(?:(?:[A-Za-zàäéèêîïöôûü0-9 ](?:[A-Za-zàäéèêîïöôûü'0-9 ]+)))"")) , ""[()]"", """")"&amp;",C841 )"),"Rue des Sourires")</f>
        <v>Rue des Sourires</v>
      </c>
      <c r="BO841" s="25"/>
      <c r="BP841" s="7"/>
      <c r="BQ841" s="7"/>
      <c r="BR841" s="7"/>
      <c r="BS841" s="7"/>
      <c r="BT841" s="7"/>
      <c r="BU841" s="7"/>
      <c r="BV841" s="7"/>
      <c r="BW841" s="7"/>
      <c r="BX841" s="7"/>
      <c r="BY841" s="7"/>
      <c r="BZ841" s="7"/>
      <c r="CA841" s="7"/>
      <c r="CB841" s="7"/>
    </row>
    <row r="842" ht="21.75" customHeight="1">
      <c r="A842" s="7"/>
      <c r="B842" s="7" t="s">
        <v>9749</v>
      </c>
      <c r="C842" s="7" t="s">
        <v>9750</v>
      </c>
      <c r="D842" s="7"/>
      <c r="E842" s="7"/>
      <c r="F842" s="7"/>
      <c r="G842" s="7" t="s">
        <v>343</v>
      </c>
      <c r="H842" s="7" t="s">
        <v>40</v>
      </c>
      <c r="I842" s="7" t="s">
        <v>9751</v>
      </c>
      <c r="J842" s="7"/>
      <c r="K842" s="7" t="s">
        <v>34</v>
      </c>
      <c r="L842" s="7" t="s">
        <v>622</v>
      </c>
      <c r="M842" s="7" t="s">
        <v>622</v>
      </c>
      <c r="N842" s="7"/>
      <c r="O842" s="7">
        <v>97414.0</v>
      </c>
      <c r="P842" s="7" t="s">
        <v>40</v>
      </c>
      <c r="Q842" s="7"/>
      <c r="R842" s="7"/>
      <c r="S842" s="7"/>
      <c r="T842" s="7" t="s">
        <v>2938</v>
      </c>
      <c r="U842" s="7" t="s">
        <v>592</v>
      </c>
      <c r="V842" s="7"/>
      <c r="W842" s="7">
        <v>6.9268861E8</v>
      </c>
      <c r="X842" s="7"/>
      <c r="Y842" s="7"/>
      <c r="Z842" s="7" t="s">
        <v>9752</v>
      </c>
      <c r="AA842" s="7"/>
      <c r="AB842" s="7"/>
      <c r="AC842" s="7"/>
      <c r="AD842" s="7"/>
      <c r="AE842" s="7"/>
      <c r="AF842" s="7" t="s">
        <v>9753</v>
      </c>
      <c r="AG842" s="7"/>
      <c r="AH842" s="20">
        <v>39448.0</v>
      </c>
      <c r="AI842" s="7"/>
      <c r="AJ842" s="7" t="s">
        <v>9754</v>
      </c>
      <c r="AK842" s="7">
        <v>5.0297938800035E13</v>
      </c>
      <c r="AL842" s="7"/>
      <c r="AM842" s="7"/>
      <c r="AN842" s="7"/>
      <c r="AO842" s="7"/>
      <c r="AP842" s="7"/>
      <c r="AQ842" s="7"/>
      <c r="AR842" s="7"/>
      <c r="AS842" s="7"/>
      <c r="AT842" s="7"/>
      <c r="AU842" s="7"/>
      <c r="AV842" s="7" t="s">
        <v>9755</v>
      </c>
      <c r="AW842" s="7"/>
      <c r="AX842" s="7"/>
      <c r="AY842" s="7"/>
      <c r="AZ842" s="7"/>
      <c r="BA842" s="7"/>
      <c r="BB842" s="7"/>
      <c r="BC842" s="7" t="s">
        <v>401</v>
      </c>
      <c r="BD842" s="7"/>
      <c r="BE842" s="7"/>
      <c r="BF842" s="7"/>
      <c r="BG842" s="7"/>
      <c r="BH842" s="7">
        <v>5.02979388E8</v>
      </c>
      <c r="BI842" s="7" t="s">
        <v>9756</v>
      </c>
      <c r="BJ842" s="7"/>
      <c r="BK842" s="7" t="b">
        <v>0</v>
      </c>
      <c r="BL842" s="7" t="b">
        <v>0</v>
      </c>
      <c r="BM842" s="7"/>
      <c r="BN842" s="7" t="str">
        <f>IFERROR(__xludf.DUMMYFUNCTION(" IF( REGEXMATCH(C842 , ""[(].+[)]""),REGEXREPLACE( CONCATENATE(REGEXEXTRACT(C842 , ""[(].+[)]""),IF(REGEXMATCH(C842 , ""[(][Ll]['’][)]""),"""","" ""), REGEXEXTRACT(C842 ,""^(?:(?:[A-Za-zàäéèêîïöôûü0-9 ](?:[A-Za-zàäéèêîïöôûü'0-9 ]+)))"")) , ""[()]"", """")"&amp;",C842 )"),"Le Saint")</f>
        <v>Le Saint</v>
      </c>
      <c r="BO842" s="25"/>
      <c r="BP842" s="7"/>
      <c r="BQ842" s="7"/>
      <c r="BR842" s="7"/>
      <c r="BS842" s="7"/>
      <c r="BT842" s="7"/>
      <c r="BU842" s="7"/>
      <c r="BV842" s="7"/>
      <c r="BW842" s="7"/>
      <c r="BX842" s="7"/>
      <c r="BY842" s="7"/>
      <c r="BZ842" s="7"/>
      <c r="CA842" s="7"/>
      <c r="CB842" s="7"/>
    </row>
    <row r="843" ht="21.75" customHeight="1">
      <c r="A843" s="7"/>
      <c r="B843" s="7" t="s">
        <v>9757</v>
      </c>
      <c r="C843" s="7" t="s">
        <v>9758</v>
      </c>
      <c r="D843" s="7"/>
      <c r="E843" s="7"/>
      <c r="F843" s="7"/>
      <c r="G843" s="7" t="s">
        <v>343</v>
      </c>
      <c r="H843" s="7" t="s">
        <v>123</v>
      </c>
      <c r="I843" s="7" t="s">
        <v>9759</v>
      </c>
      <c r="J843" s="7"/>
      <c r="K843" s="7" t="s">
        <v>34</v>
      </c>
      <c r="L843" s="7" t="s">
        <v>622</v>
      </c>
      <c r="M843" s="7"/>
      <c r="N843" s="7"/>
      <c r="O843" s="7">
        <v>97480.0</v>
      </c>
      <c r="P843" s="7" t="s">
        <v>123</v>
      </c>
      <c r="Q843" s="7" t="s">
        <v>8325</v>
      </c>
      <c r="R843" s="7"/>
      <c r="S843" s="7"/>
      <c r="T843" s="7"/>
      <c r="U843" s="7"/>
      <c r="V843" s="7"/>
      <c r="W843" s="7">
        <v>6.92598186E8</v>
      </c>
      <c r="X843" s="7"/>
      <c r="Y843" s="7"/>
      <c r="Z843" s="7"/>
      <c r="AA843" s="7">
        <v>12.0</v>
      </c>
      <c r="AB843" s="7"/>
      <c r="AC843" s="7"/>
      <c r="AD843" s="7"/>
      <c r="AE843" s="7"/>
      <c r="AF843" s="7"/>
      <c r="AG843" s="7"/>
      <c r="AH843" s="7"/>
      <c r="AI843" s="7"/>
      <c r="AJ843" s="7"/>
      <c r="AK843" s="7"/>
      <c r="AL843" s="7"/>
      <c r="AM843" s="7"/>
      <c r="AN843" s="7"/>
      <c r="AO843" s="7"/>
      <c r="AP843" s="7"/>
      <c r="AQ843" s="7"/>
      <c r="AR843" s="7"/>
      <c r="AS843" s="7"/>
      <c r="AT843" s="7"/>
      <c r="AU843" s="7"/>
      <c r="AV843" s="7" t="s">
        <v>9760</v>
      </c>
      <c r="AW843" s="7"/>
      <c r="AX843" s="7"/>
      <c r="AY843" s="7"/>
      <c r="AZ843" s="7"/>
      <c r="BA843" s="7"/>
      <c r="BB843" s="7"/>
      <c r="BC843" s="7" t="s">
        <v>401</v>
      </c>
      <c r="BD843" s="7"/>
      <c r="BE843" s="7"/>
      <c r="BF843" s="7"/>
      <c r="BG843" s="7"/>
      <c r="BH843" s="7"/>
      <c r="BI843" s="7" t="s">
        <v>9761</v>
      </c>
      <c r="BJ843" s="7"/>
      <c r="BK843" s="7" t="b">
        <v>0</v>
      </c>
      <c r="BL843" s="7" t="b">
        <v>0</v>
      </c>
      <c r="BM843" s="7"/>
      <c r="BN843" s="7" t="str">
        <f>IFERROR(__xludf.DUMMYFUNCTION(" IF( REGEXMATCH(C843 , ""[(].+[)]""),REGEXREPLACE( CONCATENATE(REGEXEXTRACT(C843 , ""[(].+[)]""),IF(REGEXMATCH(C843 , ""[(][Ll]['’][)]""),"""","" ""), REGEXEXTRACT(C843 ,""^(?:(?:[A-Za-zàäéèêîïöôûü0-9 ](?:[A-Za-zàäéèêîïöôûü'0-9 ]+)))"")) , ""[()]"", """")"&amp;",C843 )"),"Saladin")</f>
        <v>Saladin</v>
      </c>
      <c r="BO843" s="25"/>
      <c r="BP843" s="7"/>
      <c r="BQ843" s="7"/>
      <c r="BR843" s="7"/>
      <c r="BS843" s="7"/>
      <c r="BT843" s="7"/>
      <c r="BU843" s="7"/>
      <c r="BV843" s="7"/>
      <c r="BW843" s="7"/>
      <c r="BX843" s="7"/>
      <c r="BY843" s="7"/>
      <c r="BZ843" s="7"/>
      <c r="CA843" s="7"/>
      <c r="CB843" s="7"/>
    </row>
    <row r="844" ht="21.75" customHeight="1">
      <c r="A844" s="7"/>
      <c r="B844" s="7" t="s">
        <v>9762</v>
      </c>
      <c r="C844" s="7" t="s">
        <v>9763</v>
      </c>
      <c r="D844" s="7"/>
      <c r="E844" s="7"/>
      <c r="F844" s="7"/>
      <c r="G844" s="7" t="s">
        <v>343</v>
      </c>
      <c r="H844" s="7" t="s">
        <v>344</v>
      </c>
      <c r="I844" s="7" t="s">
        <v>9764</v>
      </c>
      <c r="J844" s="7"/>
      <c r="K844" s="7" t="s">
        <v>34</v>
      </c>
      <c r="L844" s="7" t="s">
        <v>485</v>
      </c>
      <c r="M844" s="7" t="s">
        <v>486</v>
      </c>
      <c r="N844" s="7"/>
      <c r="O844" s="7">
        <v>97430.0</v>
      </c>
      <c r="P844" s="7" t="s">
        <v>344</v>
      </c>
      <c r="Q844" s="7"/>
      <c r="R844" s="7"/>
      <c r="S844" s="7"/>
      <c r="T844" s="7"/>
      <c r="U844" s="7"/>
      <c r="V844" s="7"/>
      <c r="W844" s="7">
        <v>6.92029291E8</v>
      </c>
      <c r="X844" s="7"/>
      <c r="Y844" s="7"/>
      <c r="Z844" s="7" t="s">
        <v>9765</v>
      </c>
      <c r="AA844" s="7"/>
      <c r="AB844" s="7"/>
      <c r="AC844" s="7"/>
      <c r="AD844" s="7"/>
      <c r="AE844" s="7"/>
      <c r="AF844" s="7"/>
      <c r="AG844" s="7"/>
      <c r="AH844" s="7"/>
      <c r="AI844" s="7"/>
      <c r="AJ844" s="7" t="s">
        <v>9766</v>
      </c>
      <c r="AK844" s="7"/>
      <c r="AL844" s="7" t="s">
        <v>9764</v>
      </c>
      <c r="AM844" s="7" t="s">
        <v>9767</v>
      </c>
      <c r="AN844" s="7"/>
      <c r="AO844" s="7">
        <v>97430.0</v>
      </c>
      <c r="AP844" s="7" t="s">
        <v>494</v>
      </c>
      <c r="AQ844" s="7"/>
      <c r="AR844" s="7"/>
      <c r="AS844" s="7"/>
      <c r="AT844" s="7"/>
      <c r="AU844" s="7"/>
      <c r="AV844" s="7" t="s">
        <v>9768</v>
      </c>
      <c r="AW844" s="7"/>
      <c r="AX844" s="7"/>
      <c r="AY844" s="7"/>
      <c r="AZ844" s="7"/>
      <c r="BA844" s="7"/>
      <c r="BB844" s="7"/>
      <c r="BC844" s="7" t="s">
        <v>401</v>
      </c>
      <c r="BD844" s="7"/>
      <c r="BE844" s="7"/>
      <c r="BF844" s="7"/>
      <c r="BG844" s="7"/>
      <c r="BH844" s="7"/>
      <c r="BI844" s="7" t="s">
        <v>9769</v>
      </c>
      <c r="BJ844" s="7"/>
      <c r="BK844" s="7" t="b">
        <v>0</v>
      </c>
      <c r="BL844" s="7" t="b">
        <v>0</v>
      </c>
      <c r="BM844" s="7"/>
      <c r="BN844" s="7" t="str">
        <f>IFERROR(__xludf.DUMMYFUNCTION(" IF( REGEXMATCH(C844 , ""[(].+[)]""),REGEXREPLACE( CONCATENATE(REGEXEXTRACT(C844 , ""[(].+[)]""),IF(REGEXMATCH(C844 , ""[(][Ll]['’][)]""),"""","" ""), REGEXEXTRACT(C844 ,""^(?:(?:[A-Za-zàäéèêîïöôûü0-9 ](?:[A-Za-zàäéèêîïöôûü'0-9 ]+)))"")) , ""[()]"", """")"&amp;",C844 )"),"Saveur du Petit Alambic")</f>
        <v>Saveur du Petit Alambic</v>
      </c>
      <c r="BO844" s="25"/>
      <c r="BP844" s="7"/>
      <c r="BQ844" s="7"/>
      <c r="BR844" s="7"/>
      <c r="BS844" s="7"/>
      <c r="BT844" s="7"/>
      <c r="BU844" s="7"/>
      <c r="BV844" s="7"/>
      <c r="BW844" s="7"/>
      <c r="BX844" s="7"/>
      <c r="BY844" s="7"/>
      <c r="BZ844" s="7"/>
      <c r="CA844" s="7"/>
      <c r="CB844" s="7"/>
    </row>
    <row r="845" ht="21.75" customHeight="1">
      <c r="A845" s="7"/>
      <c r="B845" s="7" t="s">
        <v>9770</v>
      </c>
      <c r="C845" s="7" t="s">
        <v>9771</v>
      </c>
      <c r="D845" s="7"/>
      <c r="E845" s="7"/>
      <c r="F845" s="7"/>
      <c r="G845" s="7" t="s">
        <v>343</v>
      </c>
      <c r="H845" s="7" t="s">
        <v>344</v>
      </c>
      <c r="I845" s="7" t="s">
        <v>9772</v>
      </c>
      <c r="J845" s="7"/>
      <c r="K845" s="7" t="s">
        <v>34</v>
      </c>
      <c r="L845" s="7" t="s">
        <v>622</v>
      </c>
      <c r="M845" s="7" t="s">
        <v>622</v>
      </c>
      <c r="N845" s="7" t="s">
        <v>422</v>
      </c>
      <c r="O845" s="7">
        <v>97418.0</v>
      </c>
      <c r="P845" s="7" t="s">
        <v>348</v>
      </c>
      <c r="Q845" s="7"/>
      <c r="R845" s="7"/>
      <c r="S845" s="7" t="s">
        <v>9773</v>
      </c>
      <c r="T845" s="7" t="s">
        <v>8231</v>
      </c>
      <c r="U845" s="7" t="s">
        <v>786</v>
      </c>
      <c r="V845" s="7">
        <v>2.63050203E8</v>
      </c>
      <c r="W845" s="7">
        <v>6.92564457E8</v>
      </c>
      <c r="X845" s="7"/>
      <c r="Y845" s="7"/>
      <c r="Z845" s="7" t="s">
        <v>9774</v>
      </c>
      <c r="AA845" s="7">
        <v>35.0</v>
      </c>
      <c r="AB845" s="7"/>
      <c r="AC845" s="7"/>
      <c r="AD845" s="7" t="s">
        <v>9775</v>
      </c>
      <c r="AE845" s="7"/>
      <c r="AF845" s="7"/>
      <c r="AG845" s="7"/>
      <c r="AH845" s="7"/>
      <c r="AI845" s="7"/>
      <c r="AJ845" s="7" t="s">
        <v>9776</v>
      </c>
      <c r="AK845" s="7"/>
      <c r="AL845" s="7" t="s">
        <v>9772</v>
      </c>
      <c r="AM845" s="7"/>
      <c r="AN845" s="7"/>
      <c r="AO845" s="7">
        <v>97418.0</v>
      </c>
      <c r="AP845" s="7" t="s">
        <v>362</v>
      </c>
      <c r="AQ845" s="7"/>
      <c r="AR845" s="7"/>
      <c r="AS845" s="7"/>
      <c r="AT845" s="7"/>
      <c r="AU845" s="7"/>
      <c r="AV845" s="7" t="s">
        <v>9777</v>
      </c>
      <c r="AW845" s="7"/>
      <c r="AX845" s="7"/>
      <c r="AY845" s="7"/>
      <c r="AZ845" s="7"/>
      <c r="BA845" s="7"/>
      <c r="BB845" s="7"/>
      <c r="BC845" s="7" t="s">
        <v>401</v>
      </c>
      <c r="BD845" s="7"/>
      <c r="BE845" s="7"/>
      <c r="BF845" s="7"/>
      <c r="BG845" s="7"/>
      <c r="BH845" s="7"/>
      <c r="BI845" s="7" t="s">
        <v>1187</v>
      </c>
      <c r="BJ845" s="7"/>
      <c r="BK845" s="7" t="b">
        <v>0</v>
      </c>
      <c r="BL845" s="7" t="b">
        <v>0</v>
      </c>
      <c r="BM845" s="7"/>
      <c r="BN845" s="7" t="str">
        <f>IFERROR(__xludf.DUMMYFUNCTION(" IF( REGEXMATCH(C845 , ""[(].+[)]""),REGEXREPLACE( CONCATENATE(REGEXEXTRACT(C845 , ""[(].+[)]""),IF(REGEXMATCH(C845 , ""[(][Ll]['’][)]""),"""","" ""), REGEXEXTRACT(C845 ,""^(?:(?:[A-Za-zàäéèêîïöôûü0-9 ](?:[A-Za-zàäéèêîïöôûü'0-9 ]+)))"")) , ""[()]"", """")"&amp;",C845 )"),"Les Sens ciel ")</f>
        <v>Les Sens ciel </v>
      </c>
      <c r="BO845" s="25"/>
      <c r="BP845" s="7"/>
      <c r="BQ845" s="7"/>
      <c r="BR845" s="7"/>
      <c r="BS845" s="7"/>
      <c r="BT845" s="7"/>
      <c r="BU845" s="7"/>
      <c r="BV845" s="7"/>
      <c r="BW845" s="7"/>
      <c r="BX845" s="7"/>
      <c r="BY845" s="7"/>
      <c r="BZ845" s="7"/>
      <c r="CA845" s="7"/>
      <c r="CB845" s="7"/>
    </row>
    <row r="846" ht="21.75" customHeight="1">
      <c r="A846" s="7"/>
      <c r="B846" s="7" t="s">
        <v>9778</v>
      </c>
      <c r="C846" s="7" t="s">
        <v>9771</v>
      </c>
      <c r="D846" s="7" t="s">
        <v>9331</v>
      </c>
      <c r="E846" s="7"/>
      <c r="F846" s="7"/>
      <c r="G846" s="7" t="s">
        <v>343</v>
      </c>
      <c r="H846" s="7" t="s">
        <v>344</v>
      </c>
      <c r="I846" s="7" t="s">
        <v>9779</v>
      </c>
      <c r="J846" s="7"/>
      <c r="K846" s="7" t="s">
        <v>34</v>
      </c>
      <c r="L846" s="7" t="s">
        <v>622</v>
      </c>
      <c r="M846" s="7" t="s">
        <v>622</v>
      </c>
      <c r="N846" s="7" t="s">
        <v>9780</v>
      </c>
      <c r="O846" s="7">
        <v>97418.0</v>
      </c>
      <c r="P846" s="7" t="s">
        <v>344</v>
      </c>
      <c r="Q846" s="7" t="s">
        <v>9781</v>
      </c>
      <c r="R846" s="7" t="s">
        <v>9782</v>
      </c>
      <c r="S846" s="7" t="s">
        <v>9783</v>
      </c>
      <c r="T846" s="7" t="s">
        <v>8231</v>
      </c>
      <c r="U846" s="7" t="s">
        <v>786</v>
      </c>
      <c r="V846" s="7">
        <v>2.63050203E8</v>
      </c>
      <c r="W846" s="7">
        <v>6.92564457E8</v>
      </c>
      <c r="X846" s="7"/>
      <c r="Y846" s="7"/>
      <c r="Z846" s="7" t="s">
        <v>9774</v>
      </c>
      <c r="AA846" s="7">
        <v>35.0</v>
      </c>
      <c r="AB846" s="7"/>
      <c r="AC846" s="7"/>
      <c r="AD846" s="7" t="s">
        <v>9784</v>
      </c>
      <c r="AE846" s="7"/>
      <c r="AF846" s="7"/>
      <c r="AG846" s="7"/>
      <c r="AH846" s="7"/>
      <c r="AI846" s="7"/>
      <c r="AJ846" s="7" t="s">
        <v>9776</v>
      </c>
      <c r="AK846" s="7"/>
      <c r="AL846" s="7" t="s">
        <v>9785</v>
      </c>
      <c r="AM846" s="7"/>
      <c r="AN846" s="7"/>
      <c r="AO846" s="7">
        <v>97418.0</v>
      </c>
      <c r="AP846" s="7" t="s">
        <v>494</v>
      </c>
      <c r="AQ846" s="7"/>
      <c r="AR846" s="7"/>
      <c r="AS846" s="7"/>
      <c r="AT846" s="7"/>
      <c r="AU846" s="7">
        <v>1.0</v>
      </c>
      <c r="AV846" s="7" t="s">
        <v>806</v>
      </c>
      <c r="AW846" s="7"/>
      <c r="AX846" s="7" t="s">
        <v>9786</v>
      </c>
      <c r="AY846" s="7" t="s">
        <v>1876</v>
      </c>
      <c r="AZ846" s="7"/>
      <c r="BA846" s="7"/>
      <c r="BB846" s="7"/>
      <c r="BC846" s="7" t="s">
        <v>401</v>
      </c>
      <c r="BD846" s="7"/>
      <c r="BE846" s="7"/>
      <c r="BF846" s="7"/>
      <c r="BG846" s="7"/>
      <c r="BH846" s="7"/>
      <c r="BI846" s="7" t="s">
        <v>1187</v>
      </c>
      <c r="BJ846" s="7"/>
      <c r="BK846" s="7" t="b">
        <v>0</v>
      </c>
      <c r="BL846" s="7" t="b">
        <v>0</v>
      </c>
      <c r="BM846" s="7"/>
      <c r="BN846" s="7" t="str">
        <f>IFERROR(__xludf.DUMMYFUNCTION(" IF( REGEXMATCH(C846 , ""[(].+[)]""),REGEXREPLACE( CONCATENATE(REGEXEXTRACT(C846 , ""[(].+[)]""),IF(REGEXMATCH(C846 , ""[(][Ll]['’][)]""),"""","" ""), REGEXEXTRACT(C846 ,""^(?:(?:[A-Za-zàäéèêîïöôûü0-9 ](?:[A-Za-zàäéèêîïöôûü'0-9 ]+)))"")) , ""[()]"", """")"&amp;",C846 )"),"Les Sens ciel ")</f>
        <v>Les Sens ciel </v>
      </c>
      <c r="BO846" s="25"/>
      <c r="BP846" s="7"/>
      <c r="BQ846" s="7"/>
      <c r="BR846" s="7"/>
      <c r="BS846" s="7"/>
      <c r="BT846" s="7"/>
      <c r="BU846" s="7"/>
      <c r="BV846" s="7"/>
      <c r="BW846" s="7"/>
      <c r="BX846" s="7"/>
      <c r="BY846" s="7"/>
      <c r="BZ846" s="7"/>
      <c r="CA846" s="7"/>
      <c r="CB846" s="7"/>
    </row>
    <row r="847" ht="21.75" customHeight="1">
      <c r="A847" s="7"/>
      <c r="B847" s="7" t="s">
        <v>9787</v>
      </c>
      <c r="C847" s="7" t="s">
        <v>9788</v>
      </c>
      <c r="D847" s="7"/>
      <c r="E847" s="7"/>
      <c r="F847" s="7"/>
      <c r="G847" s="7" t="s">
        <v>343</v>
      </c>
      <c r="H847" s="7" t="s">
        <v>123</v>
      </c>
      <c r="I847" s="7" t="s">
        <v>9789</v>
      </c>
      <c r="J847" s="7"/>
      <c r="K847" s="7" t="s">
        <v>58</v>
      </c>
      <c r="L847" s="7" t="s">
        <v>453</v>
      </c>
      <c r="M847" s="7" t="s">
        <v>454</v>
      </c>
      <c r="N847" s="7"/>
      <c r="O847" s="7">
        <v>97480.0</v>
      </c>
      <c r="P847" s="7" t="s">
        <v>123</v>
      </c>
      <c r="Q847" s="7" t="s">
        <v>9209</v>
      </c>
      <c r="R847" s="7"/>
      <c r="S847" s="7"/>
      <c r="T847" s="7"/>
      <c r="U847" s="7"/>
      <c r="V847" s="7"/>
      <c r="W847" s="7">
        <v>6.93823253E8</v>
      </c>
      <c r="X847" s="7"/>
      <c r="Y847" s="7"/>
      <c r="Z847" s="7" t="s">
        <v>9790</v>
      </c>
      <c r="AA847" s="7">
        <v>6.0</v>
      </c>
      <c r="AB847" s="7"/>
      <c r="AC847" s="7"/>
      <c r="AD847" s="7"/>
      <c r="AE847" s="7"/>
      <c r="AF847" s="7"/>
      <c r="AG847" s="7"/>
      <c r="AH847" s="7"/>
      <c r="AI847" s="7"/>
      <c r="AJ847" s="7" t="s">
        <v>9791</v>
      </c>
      <c r="AK847" s="7"/>
      <c r="AL847" s="7" t="s">
        <v>9792</v>
      </c>
      <c r="AM847" s="7"/>
      <c r="AN847" s="7"/>
      <c r="AO847" s="7"/>
      <c r="AP847" s="7"/>
      <c r="AQ847" s="7"/>
      <c r="AR847" s="7"/>
      <c r="AS847" s="7"/>
      <c r="AT847" s="7"/>
      <c r="AU847" s="7"/>
      <c r="AV847" s="7" t="s">
        <v>9793</v>
      </c>
      <c r="AW847" s="7"/>
      <c r="AX847" s="7"/>
      <c r="AY847" s="7"/>
      <c r="AZ847" s="7" t="s">
        <v>9794</v>
      </c>
      <c r="BA847" s="7"/>
      <c r="BB847" s="7"/>
      <c r="BC847" s="7" t="s">
        <v>401</v>
      </c>
      <c r="BD847" s="7"/>
      <c r="BE847" s="7"/>
      <c r="BF847" s="7"/>
      <c r="BG847" s="7"/>
      <c r="BH847" s="7"/>
      <c r="BI847" s="7" t="s">
        <v>9795</v>
      </c>
      <c r="BJ847" s="7"/>
      <c r="BK847" s="7" t="b">
        <v>0</v>
      </c>
      <c r="BL847" s="7" t="b">
        <v>0</v>
      </c>
      <c r="BM847" s="7"/>
      <c r="BN847" s="7" t="str">
        <f>IFERROR(__xludf.DUMMYFUNCTION(" IF( REGEXMATCH(C847 , ""[(].+[)]""),REGEXREPLACE( CONCATENATE(REGEXEXTRACT(C847 , ""[(].+[)]""),IF(REGEXMATCH(C847 , ""[(][Ll]['’][)]""),"""","" ""), REGEXEXTRACT(C847 ,""^(?:(?:[A-Za-zàäéèêîïöôûü0-9 ](?:[A-Za-zàäéèêîïöôûü'0-9 ]+)))"")) , ""[()]"", """")"&amp;",C847 )"),"Shangri La")</f>
        <v>Shangri La</v>
      </c>
      <c r="BO847" s="25"/>
      <c r="BP847" s="7"/>
      <c r="BQ847" s="7"/>
      <c r="BR847" s="7"/>
      <c r="BS847" s="7"/>
      <c r="BT847" s="7"/>
      <c r="BU847" s="7"/>
      <c r="BV847" s="7"/>
      <c r="BW847" s="7"/>
      <c r="BX847" s="7"/>
      <c r="BY847" s="7"/>
      <c r="BZ847" s="7"/>
      <c r="CA847" s="7"/>
      <c r="CB847" s="7"/>
    </row>
    <row r="848" ht="21.75" customHeight="1">
      <c r="A848" s="7"/>
      <c r="B848" s="7" t="s">
        <v>9796</v>
      </c>
      <c r="C848" s="7" t="s">
        <v>9797</v>
      </c>
      <c r="D848" s="7"/>
      <c r="E848" s="7"/>
      <c r="F848" s="7"/>
      <c r="G848" s="7" t="s">
        <v>343</v>
      </c>
      <c r="H848" s="7" t="s">
        <v>123</v>
      </c>
      <c r="I848" s="7" t="s">
        <v>9798</v>
      </c>
      <c r="J848" s="7"/>
      <c r="K848" s="7" t="s">
        <v>34</v>
      </c>
      <c r="L848" s="7" t="s">
        <v>622</v>
      </c>
      <c r="M848" s="7"/>
      <c r="N848" s="7"/>
      <c r="O848" s="7">
        <v>97480.0</v>
      </c>
      <c r="P848" s="7" t="s">
        <v>123</v>
      </c>
      <c r="Q848" s="7" t="s">
        <v>3556</v>
      </c>
      <c r="R848" s="7"/>
      <c r="S848" s="7"/>
      <c r="T848" s="7"/>
      <c r="U848" s="7"/>
      <c r="V848" s="7">
        <v>2.62409142E8</v>
      </c>
      <c r="W848" s="7"/>
      <c r="X848" s="7"/>
      <c r="Y848" s="7"/>
      <c r="Z848" s="7"/>
      <c r="AA848" s="7">
        <v>15.0</v>
      </c>
      <c r="AB848" s="7"/>
      <c r="AC848" s="7"/>
      <c r="AD848" s="7"/>
      <c r="AE848" s="7"/>
      <c r="AF848" s="7"/>
      <c r="AG848" s="7"/>
      <c r="AH848" s="7"/>
      <c r="AI848" s="7"/>
      <c r="AJ848" s="7"/>
      <c r="AK848" s="7"/>
      <c r="AL848" s="7"/>
      <c r="AM848" s="7"/>
      <c r="AN848" s="7"/>
      <c r="AO848" s="7"/>
      <c r="AP848" s="7"/>
      <c r="AQ848" s="7"/>
      <c r="AR848" s="7"/>
      <c r="AS848" s="7"/>
      <c r="AT848" s="7"/>
      <c r="AU848" s="7"/>
      <c r="AV848" s="7" t="s">
        <v>9799</v>
      </c>
      <c r="AW848" s="7"/>
      <c r="AX848" s="7"/>
      <c r="AY848" s="7"/>
      <c r="AZ848" s="7"/>
      <c r="BA848" s="7"/>
      <c r="BB848" s="7"/>
      <c r="BC848" s="7" t="s">
        <v>401</v>
      </c>
      <c r="BD848" s="7"/>
      <c r="BE848" s="7"/>
      <c r="BF848" s="7"/>
      <c r="BG848" s="7"/>
      <c r="BH848" s="7"/>
      <c r="BI848" s="7" t="s">
        <v>9800</v>
      </c>
      <c r="BJ848" s="7"/>
      <c r="BK848" s="7" t="b">
        <v>0</v>
      </c>
      <c r="BL848" s="7" t="b">
        <v>0</v>
      </c>
      <c r="BM848" s="7"/>
      <c r="BN848" s="7" t="str">
        <f>IFERROR(__xludf.DUMMYFUNCTION(" IF( REGEXMATCH(C848 , ""[(].+[)]""),REGEXREPLACE( CONCATENATE(REGEXEXTRACT(C848 , ""[(].+[)]""),IF(REGEXMATCH(C848 , ""[(][Ll]['’][)]""),"""","" ""), REGEXEXTRACT(C848 ,""^(?:(?:[A-Za-zàäéèêîïöôûü0-9 ](?:[A-Za-zàäéèêîïöôûü'0-9 ]+)))"")) , ""[()]"", """")"&amp;",C848 )"),"Snack Bar du Bassin Dinant")</f>
        <v>Snack Bar du Bassin Dinant</v>
      </c>
      <c r="BO848" s="25"/>
      <c r="BP848" s="7"/>
      <c r="BQ848" s="7"/>
      <c r="BR848" s="7"/>
      <c r="BS848" s="7"/>
      <c r="BT848" s="7"/>
      <c r="BU848" s="7"/>
      <c r="BV848" s="7"/>
      <c r="BW848" s="7"/>
      <c r="BX848" s="7"/>
      <c r="BY848" s="7"/>
      <c r="BZ848" s="7"/>
      <c r="CA848" s="7"/>
      <c r="CB848" s="7"/>
    </row>
    <row r="849" ht="21.75" customHeight="1">
      <c r="A849" s="7"/>
      <c r="B849" s="7" t="s">
        <v>9801</v>
      </c>
      <c r="C849" s="7" t="s">
        <v>9802</v>
      </c>
      <c r="D849" s="7"/>
      <c r="E849" s="7"/>
      <c r="F849" s="7"/>
      <c r="G849" s="7" t="s">
        <v>343</v>
      </c>
      <c r="H849" s="7" t="s">
        <v>344</v>
      </c>
      <c r="I849" s="7" t="s">
        <v>9803</v>
      </c>
      <c r="J849" s="7"/>
      <c r="K849" s="7" t="s">
        <v>58</v>
      </c>
      <c r="L849" s="7" t="s">
        <v>59</v>
      </c>
      <c r="M849" s="7" t="s">
        <v>9804</v>
      </c>
      <c r="N849" s="7"/>
      <c r="O849" s="7">
        <v>97430.0</v>
      </c>
      <c r="P849" s="7" t="s">
        <v>344</v>
      </c>
      <c r="Q849" s="7"/>
      <c r="R849" s="7"/>
      <c r="S849" s="7"/>
      <c r="T849" s="7"/>
      <c r="U849" s="7" t="s">
        <v>378</v>
      </c>
      <c r="V849" s="7">
        <v>2.62024987E8</v>
      </c>
      <c r="W849" s="7">
        <v>6.93116657E8</v>
      </c>
      <c r="X849" s="7"/>
      <c r="Y849" s="7"/>
      <c r="Z849" s="7" t="s">
        <v>1819</v>
      </c>
      <c r="AA849" s="7">
        <v>2.0</v>
      </c>
      <c r="AB849" s="7" t="s">
        <v>355</v>
      </c>
      <c r="AC849" s="7"/>
      <c r="AD849" s="7"/>
      <c r="AE849" s="7"/>
      <c r="AF849" s="7"/>
      <c r="AG849" s="7"/>
      <c r="AH849" s="7"/>
      <c r="AI849" s="7"/>
      <c r="AJ849" s="7" t="s">
        <v>9805</v>
      </c>
      <c r="AK849" s="7">
        <v>8.3788306500018E13</v>
      </c>
      <c r="AL849" s="7" t="s">
        <v>9803</v>
      </c>
      <c r="AM849" s="7" t="s">
        <v>9806</v>
      </c>
      <c r="AN849" s="7"/>
      <c r="AO849" s="7">
        <v>97480.0</v>
      </c>
      <c r="AP849" s="7" t="s">
        <v>385</v>
      </c>
      <c r="AQ849" s="7"/>
      <c r="AR849" s="7"/>
      <c r="AS849" s="7"/>
      <c r="AT849" s="7"/>
      <c r="AU849" s="7">
        <v>1.0</v>
      </c>
      <c r="AV849" s="7" t="s">
        <v>9807</v>
      </c>
      <c r="AW849" s="7"/>
      <c r="AX849" s="7" t="s">
        <v>4318</v>
      </c>
      <c r="AY849" s="7" t="s">
        <v>9808</v>
      </c>
      <c r="AZ849" s="7" t="s">
        <v>9809</v>
      </c>
      <c r="BA849" s="7"/>
      <c r="BB849" s="7"/>
      <c r="BC849" s="7" t="s">
        <v>401</v>
      </c>
      <c r="BD849" s="7"/>
      <c r="BE849" s="7"/>
      <c r="BF849" s="7"/>
      <c r="BG849" s="7"/>
      <c r="BH849" s="7">
        <v>8.37883065E8</v>
      </c>
      <c r="BI849" s="7" t="s">
        <v>1832</v>
      </c>
      <c r="BJ849" s="7"/>
      <c r="BK849" s="7" t="b">
        <v>0</v>
      </c>
      <c r="BL849" s="7" t="b">
        <v>0</v>
      </c>
      <c r="BM849" s="7"/>
      <c r="BN849" s="7" t="str">
        <f>IFERROR(__xludf.DUMMYFUNCTION(" IF( REGEXMATCH(C849 , ""[(].+[)]""),REGEXREPLACE( CONCATENATE(REGEXEXTRACT(C849 , ""[(].+[)]""),IF(REGEXMATCH(C849 , ""[(][Ll]['’][)]""),"""","" ""), REGEXEXTRACT(C849 ,""^(?:(?:[A-Za-zàäéèêîïöôûü0-9 ](?:[A-Za-zàäéèêîïöôûü'0-9 ]+)))"")) , ""[()]"", """")"&amp;",C849 )"),"Studio Caloupilé")</f>
        <v>Studio Caloupilé</v>
      </c>
      <c r="BO849" s="25"/>
      <c r="BP849" s="7"/>
      <c r="BQ849" s="7"/>
      <c r="BR849" s="7"/>
      <c r="BS849" s="7"/>
      <c r="BT849" s="7"/>
      <c r="BU849" s="7"/>
      <c r="BV849" s="7"/>
      <c r="BW849" s="7"/>
      <c r="BX849" s="7"/>
      <c r="BY849" s="7"/>
      <c r="BZ849" s="7"/>
      <c r="CA849" s="7"/>
      <c r="CB849" s="7"/>
    </row>
    <row r="850" ht="21.75" customHeight="1">
      <c r="A850" s="7"/>
      <c r="B850" s="7" t="s">
        <v>9810</v>
      </c>
      <c r="C850" s="7" t="s">
        <v>9811</v>
      </c>
      <c r="D850" s="7"/>
      <c r="E850" s="7"/>
      <c r="F850" s="7"/>
      <c r="G850" s="7" t="s">
        <v>343</v>
      </c>
      <c r="H850" s="7" t="s">
        <v>123</v>
      </c>
      <c r="I850" s="7" t="s">
        <v>9812</v>
      </c>
      <c r="J850" s="7"/>
      <c r="K850" s="7" t="s">
        <v>58</v>
      </c>
      <c r="L850" s="7" t="s">
        <v>59</v>
      </c>
      <c r="M850" s="7" t="s">
        <v>374</v>
      </c>
      <c r="N850" s="7"/>
      <c r="O850" s="7">
        <v>97480.0</v>
      </c>
      <c r="P850" s="7" t="s">
        <v>123</v>
      </c>
      <c r="Q850" s="7"/>
      <c r="R850" s="7"/>
      <c r="S850" s="7"/>
      <c r="T850" s="7"/>
      <c r="U850" s="7" t="s">
        <v>378</v>
      </c>
      <c r="V850" s="7"/>
      <c r="W850" s="7">
        <v>6.03977112E8</v>
      </c>
      <c r="X850" s="7">
        <v>6.82021759E8</v>
      </c>
      <c r="Y850" s="7"/>
      <c r="Z850" s="7" t="s">
        <v>9813</v>
      </c>
      <c r="AA850" s="7">
        <v>2.0</v>
      </c>
      <c r="AB850" s="7" t="s">
        <v>355</v>
      </c>
      <c r="AC850" s="7"/>
      <c r="AD850" s="7"/>
      <c r="AE850" s="7"/>
      <c r="AF850" s="7"/>
      <c r="AG850" s="7"/>
      <c r="AH850" s="7"/>
      <c r="AI850" s="7"/>
      <c r="AJ850" s="7" t="s">
        <v>9814</v>
      </c>
      <c r="AK850" s="7"/>
      <c r="AL850" s="7" t="s">
        <v>9815</v>
      </c>
      <c r="AM850" s="7"/>
      <c r="AN850" s="7"/>
      <c r="AO850" s="7"/>
      <c r="AP850" s="7"/>
      <c r="AQ850" s="7"/>
      <c r="AR850" s="7"/>
      <c r="AS850" s="7"/>
      <c r="AT850" s="7"/>
      <c r="AU850" s="7"/>
      <c r="AV850" s="7" t="s">
        <v>9816</v>
      </c>
      <c r="AW850" s="7"/>
      <c r="AX850" s="7"/>
      <c r="AY850" s="7"/>
      <c r="AZ850" s="7" t="s">
        <v>9817</v>
      </c>
      <c r="BA850" s="7"/>
      <c r="BB850" s="7"/>
      <c r="BC850" s="7" t="s">
        <v>401</v>
      </c>
      <c r="BD850" s="7"/>
      <c r="BE850" s="7"/>
      <c r="BF850" s="7"/>
      <c r="BG850" s="7"/>
      <c r="BH850" s="7"/>
      <c r="BI850" s="7" t="s">
        <v>9818</v>
      </c>
      <c r="BJ850" s="7"/>
      <c r="BK850" s="7" t="b">
        <v>0</v>
      </c>
      <c r="BL850" s="7" t="b">
        <v>0</v>
      </c>
      <c r="BM850" s="7"/>
      <c r="BN850" s="7" t="str">
        <f>IFERROR(__xludf.DUMMYFUNCTION(" IF( REGEXMATCH(C850 , ""[(].+[)]""),REGEXREPLACE( CONCATENATE(REGEXEXTRACT(C850 , ""[(].+[)]""),IF(REGEXMATCH(C850 , ""[(][Ll]['’][)]""),"""","" ""), REGEXEXTRACT(C850 ,""^(?:(?:[A-Za-zàäéèêîïöôûü0-9 ](?:[A-Za-zàäéèêîïöôûü'0-9 ]+)))"")) , ""[()]"", """")"&amp;",C850 )"),"Studio Vacoa")</f>
        <v>Studio Vacoa</v>
      </c>
      <c r="BO850" s="25"/>
      <c r="BP850" s="7"/>
      <c r="BQ850" s="7"/>
      <c r="BR850" s="7"/>
      <c r="BS850" s="7"/>
      <c r="BT850" s="7"/>
      <c r="BU850" s="7"/>
      <c r="BV850" s="7"/>
      <c r="BW850" s="7"/>
      <c r="BX850" s="7"/>
      <c r="BY850" s="7"/>
      <c r="BZ850" s="7"/>
      <c r="CA850" s="7"/>
      <c r="CB850" s="7"/>
    </row>
    <row r="851" ht="21.75" customHeight="1">
      <c r="A851" s="7"/>
      <c r="B851" s="7" t="s">
        <v>9819</v>
      </c>
      <c r="C851" s="7" t="s">
        <v>9820</v>
      </c>
      <c r="D851" s="7"/>
      <c r="E851" s="7"/>
      <c r="F851" s="7"/>
      <c r="G851" s="7" t="s">
        <v>343</v>
      </c>
      <c r="H851" s="7" t="s">
        <v>33</v>
      </c>
      <c r="I851" s="7" t="s">
        <v>9821</v>
      </c>
      <c r="J851" s="7"/>
      <c r="K851" s="7" t="s">
        <v>58</v>
      </c>
      <c r="L851" s="7" t="s">
        <v>59</v>
      </c>
      <c r="M851" s="7" t="s">
        <v>9804</v>
      </c>
      <c r="N851" s="7"/>
      <c r="O851" s="7">
        <v>97442.0</v>
      </c>
      <c r="P851" s="7" t="s">
        <v>33</v>
      </c>
      <c r="Q851" s="7" t="s">
        <v>1396</v>
      </c>
      <c r="R851" s="7" t="s">
        <v>9822</v>
      </c>
      <c r="S851" s="7"/>
      <c r="T851" s="7"/>
      <c r="U851" s="7" t="s">
        <v>378</v>
      </c>
      <c r="V851" s="7"/>
      <c r="W851" s="7">
        <v>6.9234745E8</v>
      </c>
      <c r="X851" s="7"/>
      <c r="Y851" s="7"/>
      <c r="Z851" s="7" t="s">
        <v>9823</v>
      </c>
      <c r="AA851" s="7">
        <v>2.0</v>
      </c>
      <c r="AB851" s="7"/>
      <c r="AC851" s="7"/>
      <c r="AD851" s="7"/>
      <c r="AE851" s="7"/>
      <c r="AF851" s="7"/>
      <c r="AG851" s="7"/>
      <c r="AH851" s="7"/>
      <c r="AI851" s="7"/>
      <c r="AJ851" s="7" t="s">
        <v>9824</v>
      </c>
      <c r="AK851" s="7"/>
      <c r="AL851" s="7" t="s">
        <v>9821</v>
      </c>
      <c r="AM851" s="7"/>
      <c r="AN851" s="7"/>
      <c r="AO851" s="7">
        <v>97442.0</v>
      </c>
      <c r="AP851" s="7" t="s">
        <v>884</v>
      </c>
      <c r="AQ851" s="7"/>
      <c r="AR851" s="7"/>
      <c r="AS851" s="7"/>
      <c r="AT851" s="7"/>
      <c r="AU851" s="7">
        <v>1.0</v>
      </c>
      <c r="AV851" s="7" t="s">
        <v>9825</v>
      </c>
      <c r="AW851" s="7"/>
      <c r="AX851" s="7"/>
      <c r="AY851" s="7"/>
      <c r="AZ851" s="7" t="s">
        <v>9826</v>
      </c>
      <c r="BA851" s="7"/>
      <c r="BB851" s="7"/>
      <c r="BC851" s="7" t="s">
        <v>401</v>
      </c>
      <c r="BD851" s="7"/>
      <c r="BE851" s="7"/>
      <c r="BF851" s="7"/>
      <c r="BG851" s="7"/>
      <c r="BH851" s="7"/>
      <c r="BI851" s="7" t="s">
        <v>1387</v>
      </c>
      <c r="BJ851" s="7"/>
      <c r="BK851" s="7" t="b">
        <v>0</v>
      </c>
      <c r="BL851" s="7" t="b">
        <v>0</v>
      </c>
      <c r="BM851" s="7"/>
      <c r="BN851" s="7" t="str">
        <f>IFERROR(__xludf.DUMMYFUNCTION(" IF( REGEXMATCH(C851 , ""[(].+[)]""),REGEXREPLACE( CONCATENATE(REGEXEXTRACT(C851 , ""[(].+[)]""),IF(REGEXMATCH(C851 , ""[(][Ll]['’][)]""),"""","" ""), REGEXEXTRACT(C851 ,""^(?:(?:[A-Za-zàäéèêîïöôûü0-9 ](?:[A-Za-zàäéèêîïöôûü'0-9 ]+)))"")) , ""[()]"", """")"&amp;",C851 )"),"Studio Volcan")</f>
        <v>Studio Volcan</v>
      </c>
      <c r="BO851" s="25"/>
      <c r="BP851" s="7"/>
      <c r="BQ851" s="7"/>
      <c r="BR851" s="7"/>
      <c r="BS851" s="7"/>
      <c r="BT851" s="7"/>
      <c r="BU851" s="7"/>
      <c r="BV851" s="7"/>
      <c r="BW851" s="7"/>
      <c r="BX851" s="7"/>
      <c r="BY851" s="7"/>
      <c r="BZ851" s="7"/>
      <c r="CA851" s="7"/>
      <c r="CB851" s="7"/>
    </row>
    <row r="852" ht="21.75" customHeight="1">
      <c r="A852" s="7"/>
      <c r="B852" s="7" t="s">
        <v>9827</v>
      </c>
      <c r="C852" s="7" t="s">
        <v>9828</v>
      </c>
      <c r="D852" s="7"/>
      <c r="E852" s="7"/>
      <c r="F852" s="7"/>
      <c r="G852" s="7" t="s">
        <v>343</v>
      </c>
      <c r="H852" s="7" t="s">
        <v>123</v>
      </c>
      <c r="I852" s="7" t="s">
        <v>9829</v>
      </c>
      <c r="J852" s="7"/>
      <c r="K852" s="7" t="s">
        <v>58</v>
      </c>
      <c r="L852" s="7" t="s">
        <v>453</v>
      </c>
      <c r="M852" s="7" t="s">
        <v>454</v>
      </c>
      <c r="N852" s="7"/>
      <c r="O852" s="7">
        <v>97480.0</v>
      </c>
      <c r="P852" s="7" t="s">
        <v>123</v>
      </c>
      <c r="Q852" s="7"/>
      <c r="R852" s="7"/>
      <c r="S852" s="7"/>
      <c r="T852" s="7"/>
      <c r="U852" s="7"/>
      <c r="V852" s="7"/>
      <c r="W852" s="7">
        <v>6.92398969E8</v>
      </c>
      <c r="X852" s="7"/>
      <c r="Y852" s="7"/>
      <c r="Z852" s="7" t="s">
        <v>9830</v>
      </c>
      <c r="AA852" s="7">
        <v>4.0</v>
      </c>
      <c r="AB852" s="7"/>
      <c r="AC852" s="7"/>
      <c r="AD852" s="7"/>
      <c r="AE852" s="7"/>
      <c r="AF852" s="7"/>
      <c r="AG852" s="7"/>
      <c r="AH852" s="7"/>
      <c r="AI852" s="7"/>
      <c r="AJ852" s="7" t="s">
        <v>9831</v>
      </c>
      <c r="AK852" s="7"/>
      <c r="AL852" s="7" t="s">
        <v>9829</v>
      </c>
      <c r="AM852" s="7"/>
      <c r="AN852" s="7"/>
      <c r="AO852" s="7"/>
      <c r="AP852" s="7"/>
      <c r="AQ852" s="7"/>
      <c r="AR852" s="7"/>
      <c r="AS852" s="7"/>
      <c r="AT852" s="7"/>
      <c r="AU852" s="7"/>
      <c r="AV852" s="7" t="s">
        <v>9832</v>
      </c>
      <c r="AW852" s="7"/>
      <c r="AX852" s="7"/>
      <c r="AY852" s="7"/>
      <c r="AZ852" s="7" t="s">
        <v>9833</v>
      </c>
      <c r="BA852" s="7"/>
      <c r="BB852" s="7"/>
      <c r="BC852" s="7" t="s">
        <v>401</v>
      </c>
      <c r="BD852" s="7"/>
      <c r="BE852" s="7"/>
      <c r="BF852" s="7"/>
      <c r="BG852" s="7"/>
      <c r="BH852" s="7"/>
      <c r="BI852" s="7" t="s">
        <v>9834</v>
      </c>
      <c r="BJ852" s="7"/>
      <c r="BK852" s="7" t="b">
        <v>0</v>
      </c>
      <c r="BL852" s="7" t="b">
        <v>0</v>
      </c>
      <c r="BM852" s="7"/>
      <c r="BN852" s="7" t="str">
        <f>IFERROR(__xludf.DUMMYFUNCTION(" IF( REGEXMATCH(C852 , ""[(].+[)]""),REGEXREPLACE( CONCATENATE(REGEXEXTRACT(C852 , ""[(].+[)]""),IF(REGEXMATCH(C852 , ""[(][Ll]['’][)]""),"""","" ""), REGEXEXTRACT(C852 ,""^(?:(?:[A-Za-zàäéèêîïöôûü0-9 ](?:[A-Za-zàäéèêîïöôûü'0-9 ]+)))"")) , ""[()]"", """")"&amp;",C852 )"),"Taapuna")</f>
        <v>Taapuna</v>
      </c>
      <c r="BO852" s="25"/>
      <c r="BP852" s="7"/>
      <c r="BQ852" s="7"/>
      <c r="BR852" s="7"/>
      <c r="BS852" s="7"/>
      <c r="BT852" s="7"/>
      <c r="BU852" s="7"/>
      <c r="BV852" s="7"/>
      <c r="BW852" s="7"/>
      <c r="BX852" s="7"/>
      <c r="BY852" s="7"/>
      <c r="BZ852" s="7"/>
      <c r="CA852" s="7"/>
      <c r="CB852" s="7"/>
    </row>
    <row r="853" ht="21.75" customHeight="1">
      <c r="A853" s="7"/>
      <c r="B853" s="7" t="s">
        <v>9835</v>
      </c>
      <c r="C853" s="7" t="s">
        <v>9836</v>
      </c>
      <c r="D853" s="7"/>
      <c r="E853" s="7"/>
      <c r="F853" s="7"/>
      <c r="G853" s="7" t="s">
        <v>343</v>
      </c>
      <c r="H853" s="7" t="s">
        <v>344</v>
      </c>
      <c r="I853" s="7" t="s">
        <v>9837</v>
      </c>
      <c r="J853" s="7"/>
      <c r="K853" s="7" t="s">
        <v>34</v>
      </c>
      <c r="L853" s="7" t="s">
        <v>485</v>
      </c>
      <c r="M853" s="7" t="s">
        <v>486</v>
      </c>
      <c r="N853" s="7" t="s">
        <v>455</v>
      </c>
      <c r="O853" s="7">
        <v>97418.0</v>
      </c>
      <c r="P853" s="7" t="s">
        <v>348</v>
      </c>
      <c r="Q853" s="7"/>
      <c r="R853" s="7" t="s">
        <v>9838</v>
      </c>
      <c r="S853" s="7"/>
      <c r="T853" s="7" t="s">
        <v>2390</v>
      </c>
      <c r="U853" s="7" t="s">
        <v>424</v>
      </c>
      <c r="V853" s="7"/>
      <c r="W853" s="7">
        <v>6.92241433E8</v>
      </c>
      <c r="X853" s="7"/>
      <c r="Y853" s="7"/>
      <c r="Z853" s="7" t="s">
        <v>2391</v>
      </c>
      <c r="AA853" s="7">
        <v>12.0</v>
      </c>
      <c r="AB853" s="7"/>
      <c r="AC853" s="7"/>
      <c r="AD853" s="7" t="s">
        <v>9839</v>
      </c>
      <c r="AE853" s="7" t="s">
        <v>2394</v>
      </c>
      <c r="AF853" s="7"/>
      <c r="AG853" s="7"/>
      <c r="AH853" s="7"/>
      <c r="AI853" s="7"/>
      <c r="AJ853" s="7" t="s">
        <v>2395</v>
      </c>
      <c r="AK853" s="7">
        <v>4.430099800003E13</v>
      </c>
      <c r="AL853" s="7" t="s">
        <v>2396</v>
      </c>
      <c r="AM853" s="7" t="s">
        <v>2397</v>
      </c>
      <c r="AN853" s="7"/>
      <c r="AO853" s="7">
        <v>97418.0</v>
      </c>
      <c r="AP853" s="7" t="s">
        <v>362</v>
      </c>
      <c r="AQ853" s="7"/>
      <c r="AR853" s="7"/>
      <c r="AS853" s="7"/>
      <c r="AT853" s="7"/>
      <c r="AU853" s="7"/>
      <c r="AV853" s="7" t="s">
        <v>9840</v>
      </c>
      <c r="AW853" s="7"/>
      <c r="AX853" s="7"/>
      <c r="AY853" s="7"/>
      <c r="AZ853" s="7"/>
      <c r="BA853" s="7"/>
      <c r="BB853" s="7"/>
      <c r="BC853" s="7" t="s">
        <v>401</v>
      </c>
      <c r="BD853" s="7"/>
      <c r="BE853" s="7"/>
      <c r="BF853" s="7"/>
      <c r="BG853" s="7"/>
      <c r="BH853" s="7">
        <v>4.4300998E8</v>
      </c>
      <c r="BI853" s="7" t="s">
        <v>2402</v>
      </c>
      <c r="BJ853" s="7"/>
      <c r="BK853" s="7" t="b">
        <v>0</v>
      </c>
      <c r="BL853" s="7" t="b">
        <v>0</v>
      </c>
      <c r="BM853" s="7"/>
      <c r="BN853" s="7" t="str">
        <f>IFERROR(__xludf.DUMMYFUNCTION(" IF( REGEXMATCH(C853 , ""[(].+[)]""),REGEXREPLACE( CONCATENATE(REGEXEXTRACT(C853 , ""[(].+[)]""),IF(REGEXMATCH(C853 , ""[(][Ll]['’][)]""),"""","" ""), REGEXEXTRACT(C853 ,""^(?:(?:[A-Za-zàäéèêîïöôûü0-9 ](?:[A-Za-zàäéèêîïöôûü'0-9 ]+)))"")) , ""[()]"", """")"&amp;",C853 )"),"Table d'hôtes Les Hortensias")</f>
        <v>Table d'hôtes Les Hortensias</v>
      </c>
      <c r="BO853" s="25"/>
      <c r="BP853" s="7"/>
      <c r="BQ853" s="7"/>
      <c r="BR853" s="7"/>
      <c r="BS853" s="7"/>
      <c r="BT853" s="7"/>
      <c r="BU853" s="7"/>
      <c r="BV853" s="7"/>
      <c r="BW853" s="7"/>
      <c r="BX853" s="7"/>
      <c r="BY853" s="7"/>
      <c r="BZ853" s="7"/>
      <c r="CA853" s="7"/>
      <c r="CB853" s="7"/>
    </row>
    <row r="854" ht="21.75" customHeight="1">
      <c r="A854" s="7"/>
      <c r="B854" s="7" t="s">
        <v>9841</v>
      </c>
      <c r="C854" s="7" t="s">
        <v>9842</v>
      </c>
      <c r="D854" s="7"/>
      <c r="E854" s="7"/>
      <c r="F854" s="7"/>
      <c r="G854" s="7" t="s">
        <v>343</v>
      </c>
      <c r="H854" s="7" t="s">
        <v>123</v>
      </c>
      <c r="I854" s="7" t="s">
        <v>9843</v>
      </c>
      <c r="J854" s="7"/>
      <c r="K854" s="6" t="s">
        <v>469</v>
      </c>
      <c r="L854" s="7"/>
      <c r="M854" s="7"/>
      <c r="N854" s="7"/>
      <c r="O854" s="7">
        <v>97480.0</v>
      </c>
      <c r="P854" s="7" t="s">
        <v>123</v>
      </c>
      <c r="Q854" s="7" t="s">
        <v>8395</v>
      </c>
      <c r="R854" s="7"/>
      <c r="S854" s="7"/>
      <c r="T854" s="7"/>
      <c r="U854" s="7"/>
      <c r="V854" s="7"/>
      <c r="W854" s="7">
        <v>6.92375314E8</v>
      </c>
      <c r="X854" s="7"/>
      <c r="Y854" s="7"/>
      <c r="Z854" s="7" t="s">
        <v>9844</v>
      </c>
      <c r="AA854" s="7"/>
      <c r="AB854" s="7"/>
      <c r="AC854" s="7"/>
      <c r="AD854" s="7" t="s">
        <v>9845</v>
      </c>
      <c r="AE854" s="7"/>
      <c r="AF854" s="7"/>
      <c r="AG854" s="7"/>
      <c r="AH854" s="7"/>
      <c r="AI854" s="7"/>
      <c r="AJ854" s="7" t="s">
        <v>9846</v>
      </c>
      <c r="AK854" s="7"/>
      <c r="AL854" s="7"/>
      <c r="AM854" s="7"/>
      <c r="AN854" s="7"/>
      <c r="AO854" s="7"/>
      <c r="AP854" s="7"/>
      <c r="AQ854" s="7"/>
      <c r="AR854" s="7"/>
      <c r="AS854" s="7"/>
      <c r="AT854" s="7"/>
      <c r="AU854" s="7"/>
      <c r="AV854" s="7" t="s">
        <v>8976</v>
      </c>
      <c r="AW854" s="7"/>
      <c r="AX854" s="7"/>
      <c r="AY854" s="7"/>
      <c r="AZ854" s="7"/>
      <c r="BA854" s="7"/>
      <c r="BB854" s="7"/>
      <c r="BC854" s="7" t="s">
        <v>401</v>
      </c>
      <c r="BD854" s="7"/>
      <c r="BE854" s="7"/>
      <c r="BF854" s="7"/>
      <c r="BG854" s="7"/>
      <c r="BH854" s="7"/>
      <c r="BI854" s="7" t="s">
        <v>4649</v>
      </c>
      <c r="BJ854" s="7"/>
      <c r="BK854" s="7" t="b">
        <v>0</v>
      </c>
      <c r="BL854" s="7" t="b">
        <v>0</v>
      </c>
      <c r="BM854" s="7"/>
      <c r="BN854" s="7" t="str">
        <f>IFERROR(__xludf.DUMMYFUNCTION(" IF( REGEXMATCH(C854 , ""[(].+[)]""),REGEXREPLACE( CONCATENATE(REGEXEXTRACT(C854 , ""[(].+[)]""),IF(REGEXMATCH(C854 , ""[(][Ll]['’][)]""),"""","" ""), REGEXEXTRACT(C854 ,""^(?:(?:[A-Za-zàäéèêîïöôûü0-9 ](?:[A-Za-zàäéèêîïöôûü'0-9 ]+)))"")) , ""[()]"", """")"&amp;",C854 )"),"Teddy Avril")</f>
        <v>Teddy Avril</v>
      </c>
      <c r="BO854" s="25"/>
      <c r="BP854" s="7"/>
      <c r="BQ854" s="7"/>
      <c r="BR854" s="7"/>
      <c r="BS854" s="7"/>
      <c r="BT854" s="7"/>
      <c r="BU854" s="7"/>
      <c r="BV854" s="7"/>
      <c r="BW854" s="7"/>
      <c r="BX854" s="7"/>
      <c r="BY854" s="7"/>
      <c r="BZ854" s="7"/>
      <c r="CA854" s="7"/>
      <c r="CB854" s="7"/>
    </row>
    <row r="855" ht="21.75" customHeight="1">
      <c r="A855" s="7"/>
      <c r="B855" s="7" t="s">
        <v>9847</v>
      </c>
      <c r="C855" s="7" t="s">
        <v>9848</v>
      </c>
      <c r="D855" s="7"/>
      <c r="E855" s="7"/>
      <c r="F855" s="7"/>
      <c r="G855" s="7" t="s">
        <v>343</v>
      </c>
      <c r="H855" s="7" t="s">
        <v>33</v>
      </c>
      <c r="I855" s="7" t="s">
        <v>9849</v>
      </c>
      <c r="J855" s="7"/>
      <c r="K855" s="7" t="s">
        <v>58</v>
      </c>
      <c r="L855" s="7" t="s">
        <v>59</v>
      </c>
      <c r="M855" s="7" t="s">
        <v>374</v>
      </c>
      <c r="N855" s="7"/>
      <c r="O855" s="7">
        <v>97442.0</v>
      </c>
      <c r="P855" s="7" t="s">
        <v>33</v>
      </c>
      <c r="Q855" s="7" t="s">
        <v>9850</v>
      </c>
      <c r="R855" s="7"/>
      <c r="S855" s="7"/>
      <c r="T855" s="7"/>
      <c r="U855" s="7" t="s">
        <v>378</v>
      </c>
      <c r="V855" s="7"/>
      <c r="W855" s="7">
        <v>6.92181277E8</v>
      </c>
      <c r="X855" s="7"/>
      <c r="Y855" s="7"/>
      <c r="Z855" s="7" t="s">
        <v>9851</v>
      </c>
      <c r="AA855" s="7">
        <v>12.0</v>
      </c>
      <c r="AB855" s="7"/>
      <c r="AC855" s="7"/>
      <c r="AD855" s="7"/>
      <c r="AE855" s="7"/>
      <c r="AF855" s="7"/>
      <c r="AG855" s="7"/>
      <c r="AH855" s="7"/>
      <c r="AI855" s="7"/>
      <c r="AJ855" s="7" t="s">
        <v>9852</v>
      </c>
      <c r="AK855" s="7"/>
      <c r="AL855" s="7" t="s">
        <v>9853</v>
      </c>
      <c r="AM855" s="7" t="s">
        <v>9854</v>
      </c>
      <c r="AN855" s="7"/>
      <c r="AO855" s="7">
        <v>97442.0</v>
      </c>
      <c r="AP855" s="7" t="s">
        <v>884</v>
      </c>
      <c r="AQ855" s="7"/>
      <c r="AR855" s="7"/>
      <c r="AS855" s="7"/>
      <c r="AT855" s="7"/>
      <c r="AU855" s="7">
        <v>1.0</v>
      </c>
      <c r="AV855" s="7" t="s">
        <v>9855</v>
      </c>
      <c r="AW855" s="7"/>
      <c r="AX855" s="7"/>
      <c r="AY855" s="7"/>
      <c r="AZ855" s="7" t="s">
        <v>9856</v>
      </c>
      <c r="BA855" s="7"/>
      <c r="BB855" s="7"/>
      <c r="BC855" s="7" t="s">
        <v>5287</v>
      </c>
      <c r="BD855" s="7"/>
      <c r="BE855" s="7"/>
      <c r="BF855" s="7"/>
      <c r="BG855" s="7"/>
      <c r="BH855" s="7"/>
      <c r="BI855" s="7" t="s">
        <v>9857</v>
      </c>
      <c r="BJ855" s="7"/>
      <c r="BK855" s="7" t="b">
        <v>0</v>
      </c>
      <c r="BL855" s="7" t="b">
        <v>0</v>
      </c>
      <c r="BM855" s="7"/>
      <c r="BN855" s="7" t="str">
        <f>IFERROR(__xludf.DUMMYFUNCTION(" IF( REGEXMATCH(C855 , ""[(].+[)]""),REGEXREPLACE( CONCATENATE(REGEXEXTRACT(C855 , ""[(].+[)]""),IF(REGEXMATCH(C855 , ""[(][Ll]['’][)]""),"""","" ""), REGEXEXTRACT(C855 ,""^(?:(?:[A-Za-zàäéèêîïöôûü0-9 ](?:[A-Za-zàäéèêîïöôûü'0-9 ]+)))"")) , ""[()]"", """")"&amp;",C855 )"),"Ti bertel")</f>
        <v>Ti bertel</v>
      </c>
      <c r="BO855" s="25"/>
      <c r="BP855" s="7"/>
      <c r="BQ855" s="7"/>
      <c r="BR855" s="7"/>
      <c r="BS855" s="7"/>
      <c r="BT855" s="7"/>
      <c r="BU855" s="7"/>
      <c r="BV855" s="7"/>
      <c r="BW855" s="7"/>
      <c r="BX855" s="7"/>
      <c r="BY855" s="7"/>
      <c r="BZ855" s="7"/>
      <c r="CA855" s="7"/>
      <c r="CB855" s="7"/>
    </row>
    <row r="856" ht="21.75" customHeight="1">
      <c r="A856" s="7"/>
      <c r="B856" s="7" t="s">
        <v>9858</v>
      </c>
      <c r="C856" s="7" t="s">
        <v>9859</v>
      </c>
      <c r="D856" s="7"/>
      <c r="E856" s="7"/>
      <c r="F856" s="7"/>
      <c r="G856" s="7" t="s">
        <v>343</v>
      </c>
      <c r="H856" s="7" t="s">
        <v>344</v>
      </c>
      <c r="I856" s="7" t="s">
        <v>9860</v>
      </c>
      <c r="J856" s="7"/>
      <c r="K856" s="7" t="s">
        <v>58</v>
      </c>
      <c r="L856" s="7" t="s">
        <v>59</v>
      </c>
      <c r="M856" s="7" t="s">
        <v>346</v>
      </c>
      <c r="N856" s="7"/>
      <c r="O856" s="7">
        <v>97418.0</v>
      </c>
      <c r="P856" s="7" t="s">
        <v>348</v>
      </c>
      <c r="Q856" s="7"/>
      <c r="R856" s="7"/>
      <c r="S856" s="7"/>
      <c r="T856" s="7"/>
      <c r="U856" s="7"/>
      <c r="V856" s="7"/>
      <c r="W856" s="7">
        <v>6.92648636E8</v>
      </c>
      <c r="X856" s="7"/>
      <c r="Y856" s="7"/>
      <c r="Z856" s="7" t="s">
        <v>9861</v>
      </c>
      <c r="AA856" s="7">
        <v>12.0</v>
      </c>
      <c r="AB856" s="7"/>
      <c r="AC856" s="7"/>
      <c r="AD856" s="7"/>
      <c r="AE856" s="7"/>
      <c r="AF856" s="7"/>
      <c r="AG856" s="7"/>
      <c r="AH856" s="7"/>
      <c r="AI856" s="7"/>
      <c r="AJ856" s="7" t="s">
        <v>9862</v>
      </c>
      <c r="AK856" s="7"/>
      <c r="AL856" s="7" t="s">
        <v>9863</v>
      </c>
      <c r="AM856" s="7" t="s">
        <v>9864</v>
      </c>
      <c r="AN856" s="7"/>
      <c r="AO856" s="7">
        <v>97425.0</v>
      </c>
      <c r="AP856" s="7" t="s">
        <v>6264</v>
      </c>
      <c r="AQ856" s="7"/>
      <c r="AR856" s="7"/>
      <c r="AS856" s="7"/>
      <c r="AT856" s="7"/>
      <c r="AU856" s="7"/>
      <c r="AV856" s="7" t="s">
        <v>9865</v>
      </c>
      <c r="AW856" s="7"/>
      <c r="AX856" s="7"/>
      <c r="AY856" s="7"/>
      <c r="AZ856" s="7" t="s">
        <v>9866</v>
      </c>
      <c r="BA856" s="7"/>
      <c r="BB856" s="7"/>
      <c r="BC856" s="7" t="s">
        <v>401</v>
      </c>
      <c r="BD856" s="7"/>
      <c r="BE856" s="7"/>
      <c r="BF856" s="7"/>
      <c r="BG856" s="7"/>
      <c r="BH856" s="7"/>
      <c r="BI856" s="7" t="s">
        <v>9867</v>
      </c>
      <c r="BJ856" s="7"/>
      <c r="BK856" s="7" t="b">
        <v>0</v>
      </c>
      <c r="BL856" s="7" t="b">
        <v>0</v>
      </c>
      <c r="BM856" s="7"/>
      <c r="BN856" s="7" t="str">
        <f>IFERROR(__xludf.DUMMYFUNCTION(" IF( REGEXMATCH(C856 , ""[(].+[)]""),REGEXREPLACE( CONCATENATE(REGEXEXTRACT(C856 , ""[(].+[)]""),IF(REGEXMATCH(C856 , ""[(][Ll]['’][)]""),"""","" ""), REGEXEXTRACT(C856 ,""^(?:(?:[A-Za-zàäéèêîïöôûü0-9 ](?:[A-Za-zàäéèêîïöôûü'0-9 ]+)))"")) , ""[()]"", """")"&amp;",C856 )"),"Ti Case Chan")</f>
        <v>Ti Case Chan</v>
      </c>
      <c r="BO856" s="25"/>
      <c r="BP856" s="7"/>
      <c r="BQ856" s="7"/>
      <c r="BR856" s="7"/>
      <c r="BS856" s="7"/>
      <c r="BT856" s="7"/>
      <c r="BU856" s="7"/>
      <c r="BV856" s="7"/>
      <c r="BW856" s="7"/>
      <c r="BX856" s="7"/>
      <c r="BY856" s="7"/>
      <c r="BZ856" s="7"/>
      <c r="CA856" s="7"/>
      <c r="CB856" s="7"/>
    </row>
    <row r="857" ht="21.75" customHeight="1">
      <c r="A857" s="7"/>
      <c r="B857" s="7" t="s">
        <v>9868</v>
      </c>
      <c r="C857" s="7" t="s">
        <v>9869</v>
      </c>
      <c r="D857" s="7" t="s">
        <v>8213</v>
      </c>
      <c r="E857" s="7"/>
      <c r="F857" s="7"/>
      <c r="G857" s="7" t="s">
        <v>343</v>
      </c>
      <c r="H857" s="7" t="s">
        <v>344</v>
      </c>
      <c r="I857" s="7" t="s">
        <v>9870</v>
      </c>
      <c r="J857" s="7"/>
      <c r="K857" s="7" t="s">
        <v>58</v>
      </c>
      <c r="L857" s="7" t="s">
        <v>453</v>
      </c>
      <c r="M857" s="7" t="s">
        <v>454</v>
      </c>
      <c r="N857" s="7"/>
      <c r="O857" s="7">
        <v>97430.0</v>
      </c>
      <c r="P857" s="7" t="s">
        <v>344</v>
      </c>
      <c r="Q857" s="7" t="s">
        <v>9871</v>
      </c>
      <c r="R857" s="7"/>
      <c r="S857" s="7"/>
      <c r="T857" s="7"/>
      <c r="U857" s="7" t="s">
        <v>8505</v>
      </c>
      <c r="V857" s="7"/>
      <c r="W857" s="7">
        <v>6.92437914E8</v>
      </c>
      <c r="X857" s="7"/>
      <c r="Y857" s="7"/>
      <c r="Z857" s="7" t="s">
        <v>9872</v>
      </c>
      <c r="AA857" s="7">
        <v>4.0</v>
      </c>
      <c r="AB857" s="7"/>
      <c r="AC857" s="7"/>
      <c r="AD857" s="7"/>
      <c r="AE857" s="7"/>
      <c r="AF857" s="7"/>
      <c r="AG857" s="7"/>
      <c r="AH857" s="7"/>
      <c r="AI857" s="7"/>
      <c r="AJ857" s="7" t="s">
        <v>9873</v>
      </c>
      <c r="AK857" s="7"/>
      <c r="AL857" s="7" t="s">
        <v>9870</v>
      </c>
      <c r="AM857" s="7"/>
      <c r="AN857" s="7"/>
      <c r="AO857" s="7">
        <v>97430.0</v>
      </c>
      <c r="AP857" s="7" t="s">
        <v>494</v>
      </c>
      <c r="AQ857" s="7"/>
      <c r="AR857" s="7"/>
      <c r="AS857" s="7"/>
      <c r="AT857" s="7"/>
      <c r="AU857" s="7">
        <v>1.0</v>
      </c>
      <c r="AV857" s="7" t="s">
        <v>9874</v>
      </c>
      <c r="AW857" s="7"/>
      <c r="AX857" s="7"/>
      <c r="AY857" s="7"/>
      <c r="AZ857" s="7"/>
      <c r="BA857" s="7"/>
      <c r="BB857" s="7"/>
      <c r="BC857" s="7" t="s">
        <v>401</v>
      </c>
      <c r="BD857" s="7"/>
      <c r="BE857" s="7"/>
      <c r="BF857" s="7"/>
      <c r="BG857" s="7"/>
      <c r="BH857" s="7"/>
      <c r="BI857" s="7" t="s">
        <v>9875</v>
      </c>
      <c r="BJ857" s="7"/>
      <c r="BK857" s="7" t="b">
        <v>0</v>
      </c>
      <c r="BL857" s="7" t="b">
        <v>0</v>
      </c>
      <c r="BM857" s="7"/>
      <c r="BN857" s="7" t="str">
        <f>IFERROR(__xludf.DUMMYFUNCTION(" IF( REGEXMATCH(C857 , ""[(].+[)]""),REGEXREPLACE( CONCATENATE(REGEXEXTRACT(C857 , ""[(].+[)]""),IF(REGEXMATCH(C857 , ""[(][Ll]['’][)]""),"""","" ""), REGEXEXTRACT(C857 ,""^(?:(?:[A-Za-zàäéèêîïöôûü0-9 ](?:[A-Za-zàäéèêîïöôûü'0-9 ]+)))"")) , ""[()]"", """")"&amp;",C857 )"),"TI CASE METYSS")</f>
        <v>TI CASE METYSS</v>
      </c>
      <c r="BO857" s="25"/>
      <c r="BP857" s="7"/>
      <c r="BQ857" s="7"/>
      <c r="BR857" s="7"/>
      <c r="BS857" s="7"/>
      <c r="BT857" s="7"/>
      <c r="BU857" s="7"/>
      <c r="BV857" s="7"/>
      <c r="BW857" s="7"/>
      <c r="BX857" s="7"/>
      <c r="BY857" s="7"/>
      <c r="BZ857" s="7"/>
      <c r="CA857" s="7"/>
      <c r="CB857" s="7"/>
    </row>
    <row r="858" ht="21.75" customHeight="1">
      <c r="A858" s="7"/>
      <c r="B858" s="7" t="s">
        <v>9876</v>
      </c>
      <c r="C858" s="7" t="s">
        <v>9877</v>
      </c>
      <c r="D858" s="7" t="s">
        <v>9878</v>
      </c>
      <c r="E858" s="7"/>
      <c r="F858" s="7"/>
      <c r="G858" s="7" t="s">
        <v>343</v>
      </c>
      <c r="H858" s="7" t="s">
        <v>33</v>
      </c>
      <c r="I858" s="7" t="s">
        <v>9879</v>
      </c>
      <c r="J858" s="7"/>
      <c r="K858" s="7" t="s">
        <v>58</v>
      </c>
      <c r="L858" s="7" t="s">
        <v>59</v>
      </c>
      <c r="M858" s="7" t="s">
        <v>346</v>
      </c>
      <c r="N858" s="7"/>
      <c r="O858" s="7">
        <v>97442.0</v>
      </c>
      <c r="P858" s="7" t="s">
        <v>33</v>
      </c>
      <c r="Q858" s="7"/>
      <c r="R858" s="7"/>
      <c r="S858" s="7"/>
      <c r="T858" s="7" t="s">
        <v>377</v>
      </c>
      <c r="U858" s="7" t="s">
        <v>378</v>
      </c>
      <c r="V858" s="7">
        <v>2.62477106E8</v>
      </c>
      <c r="W858" s="7">
        <v>6.92651429E8</v>
      </c>
      <c r="X858" s="7"/>
      <c r="Y858" s="7"/>
      <c r="Z858" s="7" t="s">
        <v>3085</v>
      </c>
      <c r="AA858" s="7">
        <v>2.0</v>
      </c>
      <c r="AB858" s="7" t="s">
        <v>2716</v>
      </c>
      <c r="AC858" s="7"/>
      <c r="AD858" s="7"/>
      <c r="AE858" s="7"/>
      <c r="AF858" s="7"/>
      <c r="AG858" s="7"/>
      <c r="AH858" s="7"/>
      <c r="AI858" s="7"/>
      <c r="AJ858" s="7" t="s">
        <v>9880</v>
      </c>
      <c r="AK858" s="7"/>
      <c r="AL858" s="7" t="s">
        <v>9881</v>
      </c>
      <c r="AM858" s="7" t="s">
        <v>9882</v>
      </c>
      <c r="AN858" s="7"/>
      <c r="AO858" s="7">
        <v>97442.0</v>
      </c>
      <c r="AP858" s="7" t="s">
        <v>884</v>
      </c>
      <c r="AQ858" s="7"/>
      <c r="AR858" s="7"/>
      <c r="AS858" s="7"/>
      <c r="AT858" s="7"/>
      <c r="AU858" s="7">
        <v>1.0</v>
      </c>
      <c r="AV858" s="7" t="s">
        <v>9883</v>
      </c>
      <c r="AW858" s="7"/>
      <c r="AX858" s="7"/>
      <c r="AY858" s="7"/>
      <c r="AZ858" s="7" t="s">
        <v>3093</v>
      </c>
      <c r="BA858" s="7"/>
      <c r="BB858" s="7"/>
      <c r="BC858" s="7" t="s">
        <v>401</v>
      </c>
      <c r="BD858" s="7"/>
      <c r="BE858" s="7"/>
      <c r="BF858" s="7"/>
      <c r="BG858" s="7"/>
      <c r="BH858" s="7"/>
      <c r="BI858" s="7" t="s">
        <v>3095</v>
      </c>
      <c r="BJ858" s="7"/>
      <c r="BK858" s="7" t="b">
        <v>0</v>
      </c>
      <c r="BL858" s="7" t="b">
        <v>0</v>
      </c>
      <c r="BM858" s="7"/>
      <c r="BN858" s="7" t="str">
        <f>IFERROR(__xludf.DUMMYFUNCTION(" IF( REGEXMATCH(C858 , ""[(].+[)]""),REGEXREPLACE( CONCATENATE(REGEXEXTRACT(C858 , ""[(].+[)]""),IF(REGEXMATCH(C858 , ""[(][Ll]['’][)]""),"""","" ""), REGEXEXTRACT(C858 ,""^(?:(?:[A-Za-zàäéèêîïöôûü0-9 ](?:[A-Za-zàäéèêîïöôûü'0-9 ]+)))"")) , ""[()]"", """")"&amp;",C858 )"),"Ti Kaz Kascad")</f>
        <v>Ti Kaz Kascad</v>
      </c>
      <c r="BO858" s="25"/>
      <c r="BP858" s="7"/>
      <c r="BQ858" s="7"/>
      <c r="BR858" s="7"/>
      <c r="BS858" s="7"/>
      <c r="BT858" s="7"/>
      <c r="BU858" s="7"/>
      <c r="BV858" s="7"/>
      <c r="BW858" s="7"/>
      <c r="BX858" s="7"/>
      <c r="BY858" s="7"/>
      <c r="BZ858" s="7"/>
      <c r="CA858" s="7"/>
      <c r="CB858" s="7"/>
    </row>
    <row r="859" ht="21.75" customHeight="1">
      <c r="A859" s="7"/>
      <c r="B859" s="7" t="s">
        <v>9884</v>
      </c>
      <c r="C859" s="7" t="s">
        <v>9885</v>
      </c>
      <c r="D859" s="7"/>
      <c r="E859" s="7"/>
      <c r="F859" s="7"/>
      <c r="G859" s="7" t="s">
        <v>343</v>
      </c>
      <c r="H859" s="7" t="s">
        <v>344</v>
      </c>
      <c r="I859" s="7" t="s">
        <v>9886</v>
      </c>
      <c r="J859" s="7"/>
      <c r="K859" s="7" t="s">
        <v>58</v>
      </c>
      <c r="L859" s="7" t="s">
        <v>59</v>
      </c>
      <c r="M859" s="7"/>
      <c r="N859" s="7"/>
      <c r="O859" s="7">
        <v>97430.0</v>
      </c>
      <c r="P859" s="7" t="s">
        <v>344</v>
      </c>
      <c r="Q859" s="7" t="s">
        <v>9050</v>
      </c>
      <c r="R859" s="7"/>
      <c r="S859" s="7"/>
      <c r="T859" s="7"/>
      <c r="U859" s="7"/>
      <c r="V859" s="7"/>
      <c r="W859" s="7">
        <v>6.92826579E8</v>
      </c>
      <c r="X859" s="7"/>
      <c r="Y859" s="7"/>
      <c r="Z859" s="7" t="s">
        <v>9887</v>
      </c>
      <c r="AA859" s="7">
        <v>4.0</v>
      </c>
      <c r="AB859" s="7"/>
      <c r="AC859" s="7"/>
      <c r="AD859" s="7"/>
      <c r="AE859" s="7"/>
      <c r="AF859" s="7"/>
      <c r="AG859" s="7"/>
      <c r="AH859" s="7"/>
      <c r="AI859" s="7"/>
      <c r="AJ859" s="7" t="s">
        <v>9888</v>
      </c>
      <c r="AK859" s="7"/>
      <c r="AL859" s="7" t="s">
        <v>9886</v>
      </c>
      <c r="AM859" s="7"/>
      <c r="AN859" s="7"/>
      <c r="AO859" s="7"/>
      <c r="AP859" s="7"/>
      <c r="AQ859" s="7"/>
      <c r="AR859" s="7"/>
      <c r="AS859" s="7"/>
      <c r="AT859" s="7"/>
      <c r="AU859" s="7"/>
      <c r="AV859" s="7" t="s">
        <v>9889</v>
      </c>
      <c r="AW859" s="7"/>
      <c r="AX859" s="7"/>
      <c r="AY859" s="7"/>
      <c r="AZ859" s="7" t="s">
        <v>9890</v>
      </c>
      <c r="BA859" s="7"/>
      <c r="BB859" s="7"/>
      <c r="BC859" s="7" t="s">
        <v>401</v>
      </c>
      <c r="BD859" s="7"/>
      <c r="BE859" s="7"/>
      <c r="BF859" s="7"/>
      <c r="BG859" s="7"/>
      <c r="BH859" s="7"/>
      <c r="BI859" s="7" t="s">
        <v>9891</v>
      </c>
      <c r="BJ859" s="7"/>
      <c r="BK859" s="7" t="b">
        <v>0</v>
      </c>
      <c r="BL859" s="7" t="b">
        <v>0</v>
      </c>
      <c r="BM859" s="7"/>
      <c r="BN859" s="7" t="str">
        <f>IFERROR(__xludf.DUMMYFUNCTION(" IF( REGEXMATCH(C859 , ""[(].+[)]""),REGEXREPLACE( CONCATENATE(REGEXEXTRACT(C859 , ""[(].+[)]""),IF(REGEXMATCH(C859 , ""[(][Ll]['’][)]""),"""","" ""), REGEXEXTRACT(C859 ,""^(?:(?:[A-Za-zàäéèêîïöôûü0-9 ](?:[A-Za-zàäéèêîïöôûü'0-9 ]+)))"")) , ""[()]"", """")"&amp;",C859 )"),"Ti Kaz Payet")</f>
        <v>Ti Kaz Payet</v>
      </c>
      <c r="BO859" s="25"/>
      <c r="BP859" s="7"/>
      <c r="BQ859" s="7"/>
      <c r="BR859" s="7"/>
      <c r="BS859" s="7"/>
      <c r="BT859" s="7"/>
      <c r="BU859" s="7"/>
      <c r="BV859" s="7"/>
      <c r="BW859" s="7"/>
      <c r="BX859" s="7"/>
      <c r="BY859" s="7"/>
      <c r="BZ859" s="7"/>
      <c r="CA859" s="7"/>
      <c r="CB859" s="7"/>
    </row>
    <row r="860" ht="21.75" customHeight="1">
      <c r="A860" s="7"/>
      <c r="B860" s="7" t="s">
        <v>9892</v>
      </c>
      <c r="C860" s="7" t="s">
        <v>9893</v>
      </c>
      <c r="D860" s="7"/>
      <c r="E860" s="7"/>
      <c r="F860" s="7"/>
      <c r="G860" s="7" t="s">
        <v>343</v>
      </c>
      <c r="H860" s="7" t="s">
        <v>40</v>
      </c>
      <c r="I860" s="7" t="s">
        <v>9894</v>
      </c>
      <c r="J860" s="7"/>
      <c r="K860" s="7" t="s">
        <v>58</v>
      </c>
      <c r="L860" s="7" t="s">
        <v>59</v>
      </c>
      <c r="M860" s="7" t="s">
        <v>346</v>
      </c>
      <c r="N860" s="7"/>
      <c r="O860" s="7">
        <v>97414.0</v>
      </c>
      <c r="P860" s="7" t="s">
        <v>40</v>
      </c>
      <c r="Q860" s="7" t="s">
        <v>8344</v>
      </c>
      <c r="R860" s="7"/>
      <c r="S860" s="7"/>
      <c r="T860" s="7"/>
      <c r="U860" s="7" t="s">
        <v>353</v>
      </c>
      <c r="V860" s="7"/>
      <c r="W860" s="7">
        <v>6.92347798E8</v>
      </c>
      <c r="X860" s="7">
        <v>6.9201761E8</v>
      </c>
      <c r="Y860" s="7"/>
      <c r="Z860" s="7" t="s">
        <v>9895</v>
      </c>
      <c r="AA860" s="7">
        <v>4.0</v>
      </c>
      <c r="AB860" s="7"/>
      <c r="AC860" s="7"/>
      <c r="AD860" s="7"/>
      <c r="AE860" s="7"/>
      <c r="AF860" s="7"/>
      <c r="AG860" s="7"/>
      <c r="AH860" s="7"/>
      <c r="AI860" s="7"/>
      <c r="AJ860" s="7" t="s">
        <v>9896</v>
      </c>
      <c r="AK860" s="7"/>
      <c r="AL860" s="7" t="s">
        <v>9894</v>
      </c>
      <c r="AM860" s="7" t="s">
        <v>9897</v>
      </c>
      <c r="AN860" s="7"/>
      <c r="AO860" s="7">
        <v>97414.0</v>
      </c>
      <c r="AP860" s="7" t="s">
        <v>429</v>
      </c>
      <c r="AQ860" s="7"/>
      <c r="AR860" s="7"/>
      <c r="AS860" s="7"/>
      <c r="AT860" s="7"/>
      <c r="AU860" s="7">
        <v>1.0</v>
      </c>
      <c r="AV860" s="7" t="s">
        <v>9898</v>
      </c>
      <c r="AW860" s="7"/>
      <c r="AX860" s="7"/>
      <c r="AY860" s="7"/>
      <c r="AZ860" s="7" t="s">
        <v>9899</v>
      </c>
      <c r="BA860" s="7"/>
      <c r="BB860" s="7"/>
      <c r="BC860" s="7" t="s">
        <v>401</v>
      </c>
      <c r="BD860" s="7"/>
      <c r="BE860" s="7"/>
      <c r="BF860" s="7"/>
      <c r="BG860" s="7"/>
      <c r="BH860" s="7"/>
      <c r="BI860" s="7" t="s">
        <v>9900</v>
      </c>
      <c r="BJ860" s="7"/>
      <c r="BK860" s="7" t="b">
        <v>0</v>
      </c>
      <c r="BL860" s="7" t="b">
        <v>0</v>
      </c>
      <c r="BM860" s="7"/>
      <c r="BN860" s="7" t="str">
        <f>IFERROR(__xludf.DUMMYFUNCTION(" IF( REGEXMATCH(C860 , ""[(].+[)]""),REGEXREPLACE( CONCATENATE(REGEXEXTRACT(C860 , ""[(].+[)]""),IF(REGEXMATCH(C860 , ""[(][Ll]['’][)]""),"""","" ""), REGEXEXTRACT(C860 ,""^(?:(?:[A-Za-zàäéèêîïöôûü0-9 ](?:[A-Za-zàäéèêîïöôûü'0-9 ]+)))"")) , ""[()]"", """")"&amp;",C860 )"),"Ti Kaz Perchée")</f>
        <v>Ti Kaz Perchée</v>
      </c>
      <c r="BO860" s="25"/>
      <c r="BP860" s="7"/>
      <c r="BQ860" s="7"/>
      <c r="BR860" s="7"/>
      <c r="BS860" s="7"/>
      <c r="BT860" s="7"/>
      <c r="BU860" s="7"/>
      <c r="BV860" s="7"/>
      <c r="BW860" s="7"/>
      <c r="BX860" s="7"/>
      <c r="BY860" s="7"/>
      <c r="BZ860" s="7"/>
      <c r="CA860" s="7"/>
      <c r="CB860" s="7"/>
    </row>
    <row r="861" ht="21.75" customHeight="1">
      <c r="A861" s="7"/>
      <c r="B861" s="7" t="s">
        <v>9901</v>
      </c>
      <c r="C861" s="7" t="s">
        <v>9902</v>
      </c>
      <c r="D861" s="7"/>
      <c r="E861" s="7"/>
      <c r="F861" s="7"/>
      <c r="G861" s="7" t="s">
        <v>343</v>
      </c>
      <c r="H861" s="7" t="s">
        <v>33</v>
      </c>
      <c r="I861" s="7" t="s">
        <v>9903</v>
      </c>
      <c r="J861" s="7"/>
      <c r="K861" s="7" t="s">
        <v>58</v>
      </c>
      <c r="L861" s="7" t="s">
        <v>59</v>
      </c>
      <c r="M861" s="7" t="s">
        <v>346</v>
      </c>
      <c r="N861" s="7"/>
      <c r="O861" s="7">
        <v>97442.0</v>
      </c>
      <c r="P861" s="7" t="s">
        <v>33</v>
      </c>
      <c r="Q861" s="7"/>
      <c r="R861" s="7" t="s">
        <v>9904</v>
      </c>
      <c r="S861" s="7"/>
      <c r="T861" s="7" t="s">
        <v>377</v>
      </c>
      <c r="U861" s="7" t="s">
        <v>353</v>
      </c>
      <c r="V861" s="7"/>
      <c r="W861" s="7">
        <v>6.92251689E8</v>
      </c>
      <c r="X861" s="7"/>
      <c r="Y861" s="7"/>
      <c r="Z861" s="7" t="s">
        <v>9905</v>
      </c>
      <c r="AA861" s="7">
        <v>4.0</v>
      </c>
      <c r="AB861" s="7"/>
      <c r="AC861" s="7"/>
      <c r="AD861" s="7"/>
      <c r="AE861" s="7"/>
      <c r="AF861" s="7"/>
      <c r="AG861" s="7"/>
      <c r="AH861" s="7"/>
      <c r="AI861" s="7"/>
      <c r="AJ861" s="7" t="s">
        <v>9906</v>
      </c>
      <c r="AK861" s="7"/>
      <c r="AL861" s="7" t="s">
        <v>9907</v>
      </c>
      <c r="AM861" s="7" t="s">
        <v>9908</v>
      </c>
      <c r="AN861" s="7"/>
      <c r="AO861" s="7">
        <v>97442.0</v>
      </c>
      <c r="AP861" s="7" t="s">
        <v>884</v>
      </c>
      <c r="AQ861" s="7"/>
      <c r="AR861" s="7"/>
      <c r="AS861" s="7"/>
      <c r="AT861" s="7"/>
      <c r="AU861" s="7">
        <v>1.0</v>
      </c>
      <c r="AV861" s="7" t="s">
        <v>9909</v>
      </c>
      <c r="AW861" s="7"/>
      <c r="AX861" s="7"/>
      <c r="AY861" s="7"/>
      <c r="AZ861" s="7" t="s">
        <v>9910</v>
      </c>
      <c r="BA861" s="7"/>
      <c r="BB861" s="7"/>
      <c r="BC861" s="7" t="s">
        <v>401</v>
      </c>
      <c r="BD861" s="7"/>
      <c r="BE861" s="7"/>
      <c r="BF861" s="7"/>
      <c r="BG861" s="7"/>
      <c r="BH861" s="7"/>
      <c r="BI861" s="7" t="s">
        <v>5371</v>
      </c>
      <c r="BJ861" s="7"/>
      <c r="BK861" s="7" t="b">
        <v>0</v>
      </c>
      <c r="BL861" s="7" t="b">
        <v>0</v>
      </c>
      <c r="BM861" s="7"/>
      <c r="BN861" s="7" t="str">
        <f>IFERROR(__xludf.DUMMYFUNCTION(" IF( REGEXMATCH(C861 , ""[(].+[)]""),REGEXREPLACE( CONCATENATE(REGEXEXTRACT(C861 , ""[(].+[)]""),IF(REGEXMATCH(C861 , ""[(][Ll]['’][)]""),"""","" ""), REGEXEXTRACT(C861 ,""^(?:(?:[A-Za-zàäéèêîïöôûü0-9 ](?:[A-Za-zàäéèêîïöôûü'0-9 ]+)))"")) , ""[()]"", """")"&amp;",C861 )"),"Ti Kaz Tranquil")</f>
        <v>Ti Kaz Tranquil</v>
      </c>
      <c r="BO861" s="25"/>
      <c r="BP861" s="7"/>
      <c r="BQ861" s="7"/>
      <c r="BR861" s="7"/>
      <c r="BS861" s="7"/>
      <c r="BT861" s="7"/>
      <c r="BU861" s="7"/>
      <c r="BV861" s="7"/>
      <c r="BW861" s="7"/>
      <c r="BX861" s="7"/>
      <c r="BY861" s="7"/>
      <c r="BZ861" s="7"/>
      <c r="CA861" s="7"/>
      <c r="CB861" s="7"/>
    </row>
    <row r="862" ht="21.75" customHeight="1">
      <c r="A862" s="7"/>
      <c r="B862" s="7" t="s">
        <v>9911</v>
      </c>
      <c r="C862" s="7" t="s">
        <v>9912</v>
      </c>
      <c r="D862" s="7"/>
      <c r="E862" s="7"/>
      <c r="F862" s="7"/>
      <c r="G862" s="7" t="s">
        <v>343</v>
      </c>
      <c r="H862" s="7" t="s">
        <v>123</v>
      </c>
      <c r="I862" s="7" t="s">
        <v>9913</v>
      </c>
      <c r="J862" s="7"/>
      <c r="K862" s="7" t="s">
        <v>58</v>
      </c>
      <c r="L862" s="7" t="s">
        <v>59</v>
      </c>
      <c r="M862" s="7" t="s">
        <v>346</v>
      </c>
      <c r="N862" s="7" t="s">
        <v>455</v>
      </c>
      <c r="O862" s="7">
        <v>97480.0</v>
      </c>
      <c r="P862" s="7" t="s">
        <v>123</v>
      </c>
      <c r="Q862" s="7" t="s">
        <v>8325</v>
      </c>
      <c r="R862" s="7" t="s">
        <v>9914</v>
      </c>
      <c r="S862" s="7" t="s">
        <v>9915</v>
      </c>
      <c r="T862" s="7" t="s">
        <v>1863</v>
      </c>
      <c r="U862" s="7" t="s">
        <v>592</v>
      </c>
      <c r="V862" s="7"/>
      <c r="W862" s="7">
        <v>6.92106704E8</v>
      </c>
      <c r="X862" s="7"/>
      <c r="Y862" s="7"/>
      <c r="Z862" s="7" t="s">
        <v>9916</v>
      </c>
      <c r="AA862" s="7">
        <v>8.0</v>
      </c>
      <c r="AB862" s="7"/>
      <c r="AC862" s="7"/>
      <c r="AD862" s="7" t="s">
        <v>9917</v>
      </c>
      <c r="AE862" s="7"/>
      <c r="AF862" s="7"/>
      <c r="AG862" s="7"/>
      <c r="AH862" s="7"/>
      <c r="AI862" s="7"/>
      <c r="AJ862" s="7" t="s">
        <v>9918</v>
      </c>
      <c r="AK862" s="7"/>
      <c r="AL862" s="7" t="s">
        <v>9919</v>
      </c>
      <c r="AM862" s="7"/>
      <c r="AN862" s="7"/>
      <c r="AO862" s="7"/>
      <c r="AP862" s="7"/>
      <c r="AQ862" s="7"/>
      <c r="AR862" s="7"/>
      <c r="AS862" s="7"/>
      <c r="AT862" s="7"/>
      <c r="AU862" s="7">
        <v>1.0</v>
      </c>
      <c r="AV862" s="7" t="s">
        <v>9920</v>
      </c>
      <c r="AW862" s="7"/>
      <c r="AX862" s="7"/>
      <c r="AY862" s="7"/>
      <c r="AZ862" s="7"/>
      <c r="BA862" s="7"/>
      <c r="BB862" s="7"/>
      <c r="BC862" s="7" t="s">
        <v>401</v>
      </c>
      <c r="BD862" s="7"/>
      <c r="BE862" s="7"/>
      <c r="BF862" s="7"/>
      <c r="BG862" s="7"/>
      <c r="BH862" s="7"/>
      <c r="BI862" s="7" t="s">
        <v>9921</v>
      </c>
      <c r="BJ862" s="7"/>
      <c r="BK862" s="7" t="b">
        <v>0</v>
      </c>
      <c r="BL862" s="7" t="b">
        <v>0</v>
      </c>
      <c r="BM862" s="7"/>
      <c r="BN862" s="7" t="str">
        <f>IFERROR(__xludf.DUMMYFUNCTION(" IF( REGEXMATCH(C862 , ""[(].+[)]""),REGEXREPLACE( CONCATENATE(REGEXEXTRACT(C862 , ""[(].+[)]""),IF(REGEXMATCH(C862 , ""[(][Ll]['’][)]""),"""","" ""), REGEXEXTRACT(C862 ,""^(?:(?:[A-Za-zàäéèêîïöôûü0-9 ](?:[A-Za-zàäéèêîïöôûü'0-9 ]+)))"")) , ""[()]"", """")"&amp;",C862 )"),"Ti Kaz' Gingembre")</f>
        <v>Ti Kaz' Gingembre</v>
      </c>
      <c r="BO862" s="25"/>
      <c r="BP862" s="7"/>
      <c r="BQ862" s="7"/>
      <c r="BR862" s="7"/>
      <c r="BS862" s="7"/>
      <c r="BT862" s="7"/>
      <c r="BU862" s="7"/>
      <c r="BV862" s="7"/>
      <c r="BW862" s="7"/>
      <c r="BX862" s="7"/>
      <c r="BY862" s="7"/>
      <c r="BZ862" s="7"/>
      <c r="CA862" s="7"/>
      <c r="CB862" s="7"/>
    </row>
    <row r="863" ht="21.75" customHeight="1">
      <c r="A863" s="7"/>
      <c r="B863" s="7" t="s">
        <v>9922</v>
      </c>
      <c r="C863" s="7" t="s">
        <v>9923</v>
      </c>
      <c r="D863" s="7"/>
      <c r="E863" s="7"/>
      <c r="F863" s="7"/>
      <c r="G863" s="7" t="s">
        <v>343</v>
      </c>
      <c r="H863" s="7" t="s">
        <v>40</v>
      </c>
      <c r="I863" s="7" t="s">
        <v>9924</v>
      </c>
      <c r="J863" s="26" t="s">
        <v>9925</v>
      </c>
      <c r="K863" s="7" t="s">
        <v>58</v>
      </c>
      <c r="L863" s="7" t="s">
        <v>59</v>
      </c>
      <c r="M863" s="7" t="s">
        <v>346</v>
      </c>
      <c r="N863" s="7"/>
      <c r="O863" s="7">
        <v>97414.0</v>
      </c>
      <c r="P863" s="7" t="s">
        <v>40</v>
      </c>
      <c r="Q863" s="7" t="s">
        <v>9926</v>
      </c>
      <c r="R863" s="7"/>
      <c r="S863" s="7"/>
      <c r="T863" s="7"/>
      <c r="U863" s="7"/>
      <c r="V863" s="7"/>
      <c r="W863" s="7">
        <v>6.92038055E8</v>
      </c>
      <c r="X863" s="7"/>
      <c r="Y863" s="7"/>
      <c r="Z863" s="7" t="s">
        <v>9927</v>
      </c>
      <c r="AA863" s="7">
        <v>4.0</v>
      </c>
      <c r="AB863" s="7"/>
      <c r="AC863" s="7"/>
      <c r="AD863" s="7"/>
      <c r="AE863" s="7"/>
      <c r="AF863" s="7"/>
      <c r="AG863" s="7"/>
      <c r="AH863" s="7"/>
      <c r="AI863" s="7"/>
      <c r="AJ863" s="7" t="s">
        <v>9928</v>
      </c>
      <c r="AK863" s="7"/>
      <c r="AL863" s="7" t="s">
        <v>9929</v>
      </c>
      <c r="AM863" s="7" t="s">
        <v>9930</v>
      </c>
      <c r="AN863" s="7"/>
      <c r="AO863" s="7">
        <v>97410.0</v>
      </c>
      <c r="AP863" s="7" t="s">
        <v>512</v>
      </c>
      <c r="AQ863" s="7"/>
      <c r="AR863" s="7"/>
      <c r="AS863" s="7"/>
      <c r="AT863" s="7"/>
      <c r="AU863" s="7">
        <v>1.0</v>
      </c>
      <c r="AV863" s="7" t="s">
        <v>9931</v>
      </c>
      <c r="AW863" s="7"/>
      <c r="AX863" s="7"/>
      <c r="AY863" s="7"/>
      <c r="AZ863" s="7" t="s">
        <v>9932</v>
      </c>
      <c r="BA863" s="7"/>
      <c r="BB863" s="7"/>
      <c r="BC863" s="7" t="s">
        <v>401</v>
      </c>
      <c r="BD863" s="7"/>
      <c r="BE863" s="7"/>
      <c r="BF863" s="7"/>
      <c r="BG863" s="7"/>
      <c r="BH863" s="7"/>
      <c r="BI863" s="7" t="s">
        <v>3150</v>
      </c>
      <c r="BJ863" s="7"/>
      <c r="BK863" s="7" t="b">
        <v>0</v>
      </c>
      <c r="BL863" s="7" t="b">
        <v>0</v>
      </c>
      <c r="BM863" s="7"/>
      <c r="BN863" s="7" t="str">
        <f>IFERROR(__xludf.DUMMYFUNCTION(" IF( REGEXMATCH(C863 , ""[(].+[)]""),REGEXREPLACE( CONCATENATE(REGEXEXTRACT(C863 , ""[(].+[)]""),IF(REGEXMATCH(C863 , ""[(][Ll]['’][)]""),"""","" ""), REGEXEXTRACT(C863 ,""^(?:(?:[A-Za-zàäéèêîïöôûü0-9 ](?:[A-Za-zàäéèêîïöôûü'0-9 ]+)))"")) , ""[()]"", """")"&amp;",C863 )"),"Le Ti Loryo ")</f>
        <v>Le Ti Loryo </v>
      </c>
      <c r="BO863" s="25"/>
      <c r="BP863" s="7"/>
      <c r="BQ863" s="7"/>
      <c r="BR863" s="7"/>
      <c r="BS863" s="7"/>
      <c r="BT863" s="7"/>
      <c r="BU863" s="7"/>
      <c r="BV863" s="7"/>
      <c r="BW863" s="7"/>
      <c r="BX863" s="7"/>
      <c r="BY863" s="7"/>
      <c r="BZ863" s="7"/>
      <c r="CA863" s="7"/>
      <c r="CB863" s="7"/>
    </row>
    <row r="864" ht="21.75" customHeight="1">
      <c r="A864" s="7"/>
      <c r="B864" s="7" t="s">
        <v>9933</v>
      </c>
      <c r="C864" s="7" t="s">
        <v>9934</v>
      </c>
      <c r="D864" s="7"/>
      <c r="E864" s="7"/>
      <c r="F864" s="7"/>
      <c r="G864" s="7" t="s">
        <v>343</v>
      </c>
      <c r="H864" s="7" t="s">
        <v>344</v>
      </c>
      <c r="I864" s="7" t="s">
        <v>9935</v>
      </c>
      <c r="J864" s="7"/>
      <c r="K864" s="7" t="s">
        <v>58</v>
      </c>
      <c r="L864" s="7" t="s">
        <v>59</v>
      </c>
      <c r="M864" s="7"/>
      <c r="N864" s="7"/>
      <c r="O864" s="7">
        <v>97418.0</v>
      </c>
      <c r="P864" s="7" t="s">
        <v>348</v>
      </c>
      <c r="Q864" s="7"/>
      <c r="R864" s="7" t="s">
        <v>801</v>
      </c>
      <c r="S864" s="7"/>
      <c r="T864" s="7" t="s">
        <v>1567</v>
      </c>
      <c r="U864" s="7" t="s">
        <v>353</v>
      </c>
      <c r="V864" s="7"/>
      <c r="W864" s="7">
        <v>6.92243173E8</v>
      </c>
      <c r="X864" s="7"/>
      <c r="Y864" s="7"/>
      <c r="Z864" s="7"/>
      <c r="AA864" s="7">
        <v>6.0</v>
      </c>
      <c r="AB864" s="7"/>
      <c r="AC864" s="7"/>
      <c r="AD864" s="7"/>
      <c r="AE864" s="7"/>
      <c r="AF864" s="7"/>
      <c r="AG864" s="7"/>
      <c r="AH864" s="7"/>
      <c r="AI864" s="7"/>
      <c r="AJ864" s="7" t="s">
        <v>9936</v>
      </c>
      <c r="AK864" s="7"/>
      <c r="AL864" s="7" t="s">
        <v>9935</v>
      </c>
      <c r="AM864" s="7" t="s">
        <v>9937</v>
      </c>
      <c r="AN864" s="7"/>
      <c r="AO864" s="7">
        <v>97418.0</v>
      </c>
      <c r="AP864" s="7" t="s">
        <v>362</v>
      </c>
      <c r="AQ864" s="7"/>
      <c r="AR864" s="7"/>
      <c r="AS864" s="7"/>
      <c r="AT864" s="7"/>
      <c r="AU864" s="7">
        <v>1.0</v>
      </c>
      <c r="AV864" s="7" t="s">
        <v>9938</v>
      </c>
      <c r="AW864" s="7"/>
      <c r="AX864" s="7"/>
      <c r="AY864" s="7"/>
      <c r="AZ864" s="7" t="s">
        <v>9939</v>
      </c>
      <c r="BA864" s="7"/>
      <c r="BB864" s="7"/>
      <c r="BC864" s="7" t="s">
        <v>401</v>
      </c>
      <c r="BD864" s="7"/>
      <c r="BE864" s="7"/>
      <c r="BF864" s="7"/>
      <c r="BG864" s="7"/>
      <c r="BH864" s="7"/>
      <c r="BI864" s="7" t="s">
        <v>5360</v>
      </c>
      <c r="BJ864" s="7"/>
      <c r="BK864" s="7" t="b">
        <v>0</v>
      </c>
      <c r="BL864" s="7" t="b">
        <v>0</v>
      </c>
      <c r="BM864" s="7"/>
      <c r="BN864" s="7" t="str">
        <f>IFERROR(__xludf.DUMMYFUNCTION(" IF( REGEXMATCH(C864 , ""[(].+[)]""),REGEXREPLACE( CONCATENATE(REGEXEXTRACT(C864 , ""[(].+[)]""),IF(REGEXMATCH(C864 , ""[(][Ll]['’][)]""),"""","" ""), REGEXEXTRACT(C864 ,""^(?:(?:[A-Za-zàäéèêîïöôûü0-9 ](?:[A-Za-zàäéèêîïöôûü'0-9 ]+)))"")) , ""[()]"", """")"&amp;",C864 )"),"Ti Roland Josie")</f>
        <v>Ti Roland Josie</v>
      </c>
      <c r="BO864" s="25"/>
      <c r="BP864" s="7"/>
      <c r="BQ864" s="7"/>
      <c r="BR864" s="7"/>
      <c r="BS864" s="7"/>
      <c r="BT864" s="7"/>
      <c r="BU864" s="7"/>
      <c r="BV864" s="7"/>
      <c r="BW864" s="7"/>
      <c r="BX864" s="7"/>
      <c r="BY864" s="7"/>
      <c r="BZ864" s="7"/>
      <c r="CA864" s="7"/>
      <c r="CB864" s="7"/>
    </row>
    <row r="865" ht="21.75" customHeight="1">
      <c r="A865" s="7"/>
      <c r="B865" s="7" t="s">
        <v>9940</v>
      </c>
      <c r="C865" s="7" t="s">
        <v>9941</v>
      </c>
      <c r="D865" s="7"/>
      <c r="E865" s="7"/>
      <c r="F865" s="7"/>
      <c r="G865" s="7" t="s">
        <v>343</v>
      </c>
      <c r="H865" s="7" t="s">
        <v>123</v>
      </c>
      <c r="I865" s="7" t="s">
        <v>9731</v>
      </c>
      <c r="J865" s="7"/>
      <c r="K865" s="7" t="s">
        <v>58</v>
      </c>
      <c r="L865" s="7" t="s">
        <v>59</v>
      </c>
      <c r="M865" s="7" t="s">
        <v>346</v>
      </c>
      <c r="N865" s="7"/>
      <c r="O865" s="7">
        <v>97480.0</v>
      </c>
      <c r="P865" s="7" t="s">
        <v>123</v>
      </c>
      <c r="Q865" s="7" t="s">
        <v>4456</v>
      </c>
      <c r="R865" s="7" t="s">
        <v>9942</v>
      </c>
      <c r="S865" s="7"/>
      <c r="T865" s="7" t="s">
        <v>377</v>
      </c>
      <c r="U865" s="7" t="s">
        <v>353</v>
      </c>
      <c r="V865" s="7"/>
      <c r="W865" s="7">
        <v>6.92608261E8</v>
      </c>
      <c r="X865" s="7"/>
      <c r="Y865" s="7"/>
      <c r="Z865" s="7" t="s">
        <v>9943</v>
      </c>
      <c r="AA865" s="7">
        <v>6.0</v>
      </c>
      <c r="AB865" s="7"/>
      <c r="AC865" s="7"/>
      <c r="AD865" s="7"/>
      <c r="AE865" s="7"/>
      <c r="AF865" s="7"/>
      <c r="AG865" s="7"/>
      <c r="AH865" s="7"/>
      <c r="AI865" s="7"/>
      <c r="AJ865" s="7" t="s">
        <v>9733</v>
      </c>
      <c r="AK865" s="7">
        <v>4.9431483400024E13</v>
      </c>
      <c r="AL865" s="7" t="s">
        <v>9731</v>
      </c>
      <c r="AM865" s="7" t="s">
        <v>9944</v>
      </c>
      <c r="AN865" s="7"/>
      <c r="AO865" s="7">
        <v>97480.0</v>
      </c>
      <c r="AP865" s="7" t="s">
        <v>385</v>
      </c>
      <c r="AQ865" s="7"/>
      <c r="AR865" s="7"/>
      <c r="AS865" s="7"/>
      <c r="AT865" s="7"/>
      <c r="AU865" s="7">
        <v>1.0</v>
      </c>
      <c r="AV865" s="7" t="s">
        <v>9734</v>
      </c>
      <c r="AW865" s="7"/>
      <c r="AX865" s="7"/>
      <c r="AY865" s="7"/>
      <c r="AZ865" s="7" t="s">
        <v>9945</v>
      </c>
      <c r="BA865" s="7"/>
      <c r="BB865" s="7"/>
      <c r="BC865" s="7" t="s">
        <v>401</v>
      </c>
      <c r="BD865" s="7"/>
      <c r="BE865" s="7"/>
      <c r="BF865" s="7"/>
      <c r="BG865" s="7"/>
      <c r="BH865" s="7">
        <v>4.94314834E8</v>
      </c>
      <c r="BI865" s="7" t="s">
        <v>9735</v>
      </c>
      <c r="BJ865" s="7"/>
      <c r="BK865" s="7" t="b">
        <v>0</v>
      </c>
      <c r="BL865" s="7" t="b">
        <v>0</v>
      </c>
      <c r="BM865" s="7"/>
      <c r="BN865" s="7" t="str">
        <f>IFERROR(__xludf.DUMMYFUNCTION(" IF( REGEXMATCH(C865 , ""[(].+[)]""),REGEXREPLACE( CONCATENATE(REGEXEXTRACT(C865 , ""[(].+[)]""),IF(REGEXMATCH(C865 , ""[(][Ll]['’][)]""),"""","" ""), REGEXEXTRACT(C865 ,""^(?:(?:[A-Za-zàäéèêîïöôûü0-9 ](?:[A-Za-zàäéèêîïöôûü'0-9 ]+)))"")) , ""[()]"", """")"&amp;",C865 )"),"Le Ti'son Dort ")</f>
        <v>Le Ti'son Dort </v>
      </c>
      <c r="BO865" s="25"/>
      <c r="BP865" s="7"/>
      <c r="BQ865" s="7"/>
      <c r="BR865" s="7"/>
      <c r="BS865" s="7"/>
      <c r="BT865" s="7"/>
      <c r="BU865" s="7"/>
      <c r="BV865" s="7"/>
      <c r="BW865" s="7"/>
      <c r="BX865" s="7"/>
      <c r="BY865" s="7"/>
      <c r="BZ865" s="7"/>
      <c r="CA865" s="7"/>
      <c r="CB865" s="7"/>
    </row>
    <row r="866" ht="21.75" customHeight="1">
      <c r="A866" s="7"/>
      <c r="B866" s="7" t="s">
        <v>9946</v>
      </c>
      <c r="C866" s="7" t="s">
        <v>9947</v>
      </c>
      <c r="D866" s="7"/>
      <c r="E866" s="7"/>
      <c r="F866" s="7"/>
      <c r="G866" s="7" t="s">
        <v>343</v>
      </c>
      <c r="H866" s="7" t="s">
        <v>40</v>
      </c>
      <c r="I866" s="7" t="s">
        <v>9948</v>
      </c>
      <c r="J866" s="7"/>
      <c r="K866" s="7" t="s">
        <v>34</v>
      </c>
      <c r="L866" s="7"/>
      <c r="M866" s="7" t="s">
        <v>5053</v>
      </c>
      <c r="N866" s="7"/>
      <c r="O866" s="7">
        <v>97414.0</v>
      </c>
      <c r="P866" s="7" t="s">
        <v>40</v>
      </c>
      <c r="Q866" s="7"/>
      <c r="R866" s="7"/>
      <c r="S866" s="7"/>
      <c r="T866" s="7"/>
      <c r="U866" s="7"/>
      <c r="V866" s="7"/>
      <c r="W866" s="7">
        <v>6.92529293E8</v>
      </c>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t="s">
        <v>4237</v>
      </c>
      <c r="AW866" s="7"/>
      <c r="AX866" s="7"/>
      <c r="AY866" s="7"/>
      <c r="AZ866" s="7"/>
      <c r="BA866" s="7"/>
      <c r="BB866" s="7"/>
      <c r="BC866" s="7" t="s">
        <v>5001</v>
      </c>
      <c r="BD866" s="7"/>
      <c r="BE866" s="7"/>
      <c r="BF866" s="7"/>
      <c r="BG866" s="7"/>
      <c r="BH866" s="7"/>
      <c r="BI866" s="7" t="s">
        <v>1786</v>
      </c>
      <c r="BJ866" s="7"/>
      <c r="BK866" s="7" t="b">
        <v>0</v>
      </c>
      <c r="BL866" s="7" t="b">
        <v>0</v>
      </c>
      <c r="BM866" s="7"/>
      <c r="BN866" s="7" t="str">
        <f>IFERROR(__xludf.DUMMYFUNCTION(" IF( REGEXMATCH(C866 , ""[(].+[)]""),REGEXREPLACE( CONCATENATE(REGEXEXTRACT(C866 , ""[(].+[)]""),IF(REGEXMATCH(C866 , ""[(][Ll]['’][)]""),"""","" ""), REGEXEXTRACT(C866 ,""^(?:(?:[A-Za-zàäéèêîïöôûü0-9 ](?:[A-Za-zàäéèêîïöôûü'0-9 ]+)))"")) , ""[()]"", """")"&amp;",C866 )"),"Tina Pizza")</f>
        <v>Tina Pizza</v>
      </c>
      <c r="BO866" s="25"/>
      <c r="BP866" s="7"/>
      <c r="BQ866" s="7"/>
      <c r="BR866" s="7"/>
      <c r="BS866" s="7"/>
      <c r="BT866" s="7"/>
      <c r="BU866" s="7"/>
      <c r="BV866" s="7"/>
      <c r="BW866" s="7"/>
      <c r="BX866" s="7"/>
      <c r="BY866" s="7"/>
      <c r="BZ866" s="7"/>
      <c r="CA866" s="7"/>
      <c r="CB866" s="7"/>
    </row>
    <row r="867" ht="21.75" customHeight="1">
      <c r="A867" s="7"/>
      <c r="B867" s="7" t="s">
        <v>9949</v>
      </c>
      <c r="C867" s="7" t="s">
        <v>9950</v>
      </c>
      <c r="D867" s="7"/>
      <c r="E867" s="7"/>
      <c r="F867" s="7"/>
      <c r="G867" s="7" t="s">
        <v>343</v>
      </c>
      <c r="H867" s="7" t="s">
        <v>40</v>
      </c>
      <c r="I867" s="7" t="s">
        <v>9951</v>
      </c>
      <c r="J867" s="7"/>
      <c r="K867" s="7" t="s">
        <v>58</v>
      </c>
      <c r="L867" s="7" t="s">
        <v>137</v>
      </c>
      <c r="M867" s="7" t="s">
        <v>545</v>
      </c>
      <c r="N867" s="7" t="s">
        <v>455</v>
      </c>
      <c r="O867" s="7">
        <v>97414.0</v>
      </c>
      <c r="P867" s="7" t="s">
        <v>40</v>
      </c>
      <c r="Q867" s="7"/>
      <c r="R867" s="7" t="s">
        <v>8647</v>
      </c>
      <c r="S867" s="7"/>
      <c r="T867" s="7" t="s">
        <v>377</v>
      </c>
      <c r="U867" s="7" t="s">
        <v>353</v>
      </c>
      <c r="V867" s="7"/>
      <c r="W867" s="7">
        <v>6.92934605E8</v>
      </c>
      <c r="X867" s="7"/>
      <c r="Y867" s="7"/>
      <c r="Z867" s="7" t="s">
        <v>9952</v>
      </c>
      <c r="AA867" s="7">
        <v>15.0</v>
      </c>
      <c r="AB867" s="7"/>
      <c r="AC867" s="7"/>
      <c r="AD867" s="7" t="s">
        <v>9953</v>
      </c>
      <c r="AE867" s="7"/>
      <c r="AF867" s="7"/>
      <c r="AG867" s="7"/>
      <c r="AH867" s="7"/>
      <c r="AI867" s="7"/>
      <c r="AJ867" s="7" t="s">
        <v>9954</v>
      </c>
      <c r="AK867" s="7"/>
      <c r="AL867" s="7" t="s">
        <v>9955</v>
      </c>
      <c r="AM867" s="7" t="s">
        <v>9956</v>
      </c>
      <c r="AN867" s="7"/>
      <c r="AO867" s="7">
        <v>97414.0</v>
      </c>
      <c r="AP867" s="7" t="s">
        <v>429</v>
      </c>
      <c r="AQ867" s="7"/>
      <c r="AR867" s="7"/>
      <c r="AS867" s="7"/>
      <c r="AT867" s="7"/>
      <c r="AU867" s="7">
        <v>1.0</v>
      </c>
      <c r="AV867" s="7" t="s">
        <v>8707</v>
      </c>
      <c r="AW867" s="7"/>
      <c r="AX867" s="7" t="s">
        <v>4266</v>
      </c>
      <c r="AY867" s="7" t="s">
        <v>1876</v>
      </c>
      <c r="AZ867" s="7" t="s">
        <v>9957</v>
      </c>
      <c r="BA867" s="7"/>
      <c r="BB867" s="7"/>
      <c r="BC867" s="7" t="s">
        <v>401</v>
      </c>
      <c r="BD867" s="7"/>
      <c r="BE867" s="7"/>
      <c r="BF867" s="7"/>
      <c r="BG867" s="7"/>
      <c r="BH867" s="7"/>
      <c r="BI867" s="7" t="s">
        <v>8710</v>
      </c>
      <c r="BJ867" s="7"/>
      <c r="BK867" s="7" t="b">
        <v>0</v>
      </c>
      <c r="BL867" s="7" t="b">
        <v>0</v>
      </c>
      <c r="BM867" s="7"/>
      <c r="BN867" s="7" t="str">
        <f>IFERROR(__xludf.DUMMYFUNCTION(" IF( REGEXMATCH(C867 , ""[(].+[)]""),REGEXREPLACE( CONCATENATE(REGEXEXTRACT(C867 , ""[(].+[)]""),IF(REGEXMATCH(C867 , ""[(][Ll]['’][)]""),"""","" ""), REGEXEXTRACT(C867 ,""^(?:(?:[A-Za-zàäéèêîïöôûü0-9 ](?:[A-Za-zàäéèêîïöôûü'0-9 ]+)))"")) , ""[()]"", """")"&amp;",C867 )"),"Tit Caze Gilbert François")</f>
        <v>Tit Caze Gilbert François</v>
      </c>
      <c r="BO867" s="25"/>
      <c r="BP867" s="7"/>
      <c r="BQ867" s="7"/>
      <c r="BR867" s="7"/>
      <c r="BS867" s="7"/>
      <c r="BT867" s="7"/>
      <c r="BU867" s="7"/>
      <c r="BV867" s="7"/>
      <c r="BW867" s="7"/>
      <c r="BX867" s="7"/>
      <c r="BY867" s="7"/>
      <c r="BZ867" s="7"/>
      <c r="CA867" s="7"/>
      <c r="CB867" s="7"/>
    </row>
    <row r="868" ht="21.75" customHeight="1">
      <c r="A868" s="7"/>
      <c r="B868" s="7" t="s">
        <v>9958</v>
      </c>
      <c r="C868" s="7" t="s">
        <v>9959</v>
      </c>
      <c r="D868" s="7"/>
      <c r="E868" s="7"/>
      <c r="F868" s="7"/>
      <c r="G868" s="7" t="s">
        <v>343</v>
      </c>
      <c r="H868" s="7" t="s">
        <v>123</v>
      </c>
      <c r="I868" s="7" t="s">
        <v>9960</v>
      </c>
      <c r="J868" s="26" t="s">
        <v>9961</v>
      </c>
      <c r="K868" s="7" t="s">
        <v>58</v>
      </c>
      <c r="L868" s="7" t="s">
        <v>59</v>
      </c>
      <c r="M868" s="7" t="s">
        <v>545</v>
      </c>
      <c r="N868" s="7" t="s">
        <v>375</v>
      </c>
      <c r="O868" s="7">
        <v>97480.0</v>
      </c>
      <c r="P868" s="7" t="s">
        <v>123</v>
      </c>
      <c r="Q868" s="7" t="s">
        <v>9962</v>
      </c>
      <c r="R868" s="7"/>
      <c r="S868" s="7"/>
      <c r="T868" s="7" t="s">
        <v>377</v>
      </c>
      <c r="U868" s="7" t="s">
        <v>378</v>
      </c>
      <c r="V868" s="7">
        <v>2.62198362E8</v>
      </c>
      <c r="W868" s="7">
        <v>6.92033727E8</v>
      </c>
      <c r="X868" s="7"/>
      <c r="Y868" s="7"/>
      <c r="Z868" s="7" t="s">
        <v>9963</v>
      </c>
      <c r="AA868" s="7">
        <v>30.0</v>
      </c>
      <c r="AB868" s="7"/>
      <c r="AC868" s="7"/>
      <c r="AD868" s="7"/>
      <c r="AE868" s="7"/>
      <c r="AF868" s="7"/>
      <c r="AG868" s="7"/>
      <c r="AH868" s="7"/>
      <c r="AI868" s="7"/>
      <c r="AJ868" s="7" t="s">
        <v>9964</v>
      </c>
      <c r="AK868" s="7">
        <v>7.9395265600023E13</v>
      </c>
      <c r="AL868" s="7" t="s">
        <v>9965</v>
      </c>
      <c r="AM868" s="7" t="s">
        <v>9966</v>
      </c>
      <c r="AN868" s="7"/>
      <c r="AO868" s="7">
        <v>97480.0</v>
      </c>
      <c r="AP868" s="7" t="s">
        <v>385</v>
      </c>
      <c r="AQ868" s="7"/>
      <c r="AR868" s="7"/>
      <c r="AS868" s="7"/>
      <c r="AT868" s="7"/>
      <c r="AU868" s="7">
        <v>3.0</v>
      </c>
      <c r="AV868" s="7" t="s">
        <v>9967</v>
      </c>
      <c r="AW868" s="7"/>
      <c r="AX868" s="7"/>
      <c r="AY868" s="7"/>
      <c r="AZ868" s="7" t="s">
        <v>9968</v>
      </c>
      <c r="BA868" s="7"/>
      <c r="BB868" s="7"/>
      <c r="BC868" s="7" t="s">
        <v>401</v>
      </c>
      <c r="BD868" s="7"/>
      <c r="BE868" s="7"/>
      <c r="BF868" s="7"/>
      <c r="BG868" s="7"/>
      <c r="BH868" s="7">
        <v>7.93952656E8</v>
      </c>
      <c r="BI868" s="7" t="s">
        <v>9969</v>
      </c>
      <c r="BJ868" s="7"/>
      <c r="BK868" s="7" t="b">
        <v>0</v>
      </c>
      <c r="BL868" s="7" t="b">
        <v>0</v>
      </c>
      <c r="BM868" s="7"/>
      <c r="BN868" s="7" t="str">
        <f>IFERROR(__xludf.DUMMYFUNCTION(" IF( REGEXMATCH(C868 , ""[(].+[)]""),REGEXREPLACE( CONCATENATE(REGEXEXTRACT(C868 , ""[(].+[)]""),IF(REGEXMATCH(C868 , ""[(][Ll]['’][)]""),"""","" ""), REGEXEXTRACT(C868 ,""^(?:(?:[A-Za-zàäéèêîïöôûü0-9 ](?:[A-Za-zàäéèêîïöôûü'0-9 ]+)))"")) , ""[()]"", """")"&amp;",C868 )"),"Les Vanillers ")</f>
        <v>Les Vanillers </v>
      </c>
      <c r="BO868" s="25"/>
      <c r="BP868" s="7"/>
      <c r="BQ868" s="7"/>
      <c r="BR868" s="7"/>
      <c r="BS868" s="7"/>
      <c r="BT868" s="7"/>
      <c r="BU868" s="7"/>
      <c r="BV868" s="7"/>
      <c r="BW868" s="7"/>
      <c r="BX868" s="7"/>
      <c r="BY868" s="7"/>
      <c r="BZ868" s="7"/>
      <c r="CA868" s="7"/>
      <c r="CB868" s="7"/>
    </row>
    <row r="869" ht="21.75" customHeight="1">
      <c r="A869" s="7"/>
      <c r="B869" s="7" t="s">
        <v>9970</v>
      </c>
      <c r="C869" s="7" t="s">
        <v>9971</v>
      </c>
      <c r="D869" s="7"/>
      <c r="E869" s="7"/>
      <c r="F869" s="7"/>
      <c r="G869" s="7" t="s">
        <v>343</v>
      </c>
      <c r="H869" s="7" t="s">
        <v>123</v>
      </c>
      <c r="I869" s="7" t="s">
        <v>9516</v>
      </c>
      <c r="J869" s="7"/>
      <c r="K869" s="7" t="s">
        <v>58</v>
      </c>
      <c r="L869" s="7" t="s">
        <v>59</v>
      </c>
      <c r="M869" s="7" t="s">
        <v>346</v>
      </c>
      <c r="N869" s="7"/>
      <c r="O869" s="7">
        <v>97480.0</v>
      </c>
      <c r="P869" s="7" t="s">
        <v>123</v>
      </c>
      <c r="Q869" s="7"/>
      <c r="R869" s="7"/>
      <c r="S869" s="7"/>
      <c r="T869" s="7"/>
      <c r="U869" s="7" t="s">
        <v>378</v>
      </c>
      <c r="V869" s="7"/>
      <c r="W869" s="7">
        <v>6.92687859E8</v>
      </c>
      <c r="X869" s="7">
        <v>6.92870933E8</v>
      </c>
      <c r="Y869" s="7"/>
      <c r="Z869" s="7" t="s">
        <v>7643</v>
      </c>
      <c r="AA869" s="7">
        <v>5.0</v>
      </c>
      <c r="AB869" s="7"/>
      <c r="AC869" s="7"/>
      <c r="AD869" s="7"/>
      <c r="AE869" s="7"/>
      <c r="AF869" s="7"/>
      <c r="AG869" s="7"/>
      <c r="AH869" s="7"/>
      <c r="AI869" s="7"/>
      <c r="AJ869" s="7" t="s">
        <v>9517</v>
      </c>
      <c r="AK869" s="7"/>
      <c r="AL869" s="7" t="s">
        <v>7646</v>
      </c>
      <c r="AM869" s="7" t="s">
        <v>7647</v>
      </c>
      <c r="AN869" s="7"/>
      <c r="AO869" s="7">
        <v>97480.0</v>
      </c>
      <c r="AP869" s="7" t="s">
        <v>385</v>
      </c>
      <c r="AQ869" s="7"/>
      <c r="AR869" s="7"/>
      <c r="AS869" s="7"/>
      <c r="AT869" s="7"/>
      <c r="AU869" s="7">
        <v>1.0</v>
      </c>
      <c r="AV869" s="7" t="s">
        <v>9519</v>
      </c>
      <c r="AW869" s="7"/>
      <c r="AX869" s="7"/>
      <c r="AY869" s="7"/>
      <c r="AZ869" s="7" t="s">
        <v>9520</v>
      </c>
      <c r="BA869" s="7"/>
      <c r="BB869" s="7"/>
      <c r="BC869" s="7" t="s">
        <v>401</v>
      </c>
      <c r="BD869" s="7"/>
      <c r="BE869" s="7"/>
      <c r="BF869" s="7"/>
      <c r="BG869" s="7"/>
      <c r="BH869" s="7"/>
      <c r="BI869" s="7" t="s">
        <v>9521</v>
      </c>
      <c r="BJ869" s="7"/>
      <c r="BK869" s="7" t="b">
        <v>0</v>
      </c>
      <c r="BL869" s="7" t="b">
        <v>0</v>
      </c>
      <c r="BM869" s="7"/>
      <c r="BN869" s="7" t="str">
        <f>IFERROR(__xludf.DUMMYFUNCTION(" IF( REGEXMATCH(C869 , ""[(].+[)]""),REGEXREPLACE( CONCATENATE(REGEXEXTRACT(C869 , ""[(].+[)]""),IF(REGEXMATCH(C869 , ""[(][Ll]['’][)]""),"""","" ""), REGEXEXTRACT(C869 ,""^(?:(?:[A-Za-zàäéèêîïöôûü0-9 ](?:[A-Za-zàäéèêîïöôûü'0-9 ]+)))"")) , ""[()]"", """")"&amp;",C869 )"),"La Varangue ")</f>
        <v>La Varangue </v>
      </c>
      <c r="BO869" s="25"/>
      <c r="BP869" s="7"/>
      <c r="BQ869" s="7"/>
      <c r="BR869" s="7"/>
      <c r="BS869" s="7"/>
      <c r="BT869" s="7"/>
      <c r="BU869" s="7"/>
      <c r="BV869" s="7"/>
      <c r="BW869" s="7"/>
      <c r="BX869" s="7"/>
      <c r="BY869" s="7"/>
      <c r="BZ869" s="7"/>
      <c r="CA869" s="7"/>
      <c r="CB869" s="7"/>
    </row>
    <row r="870" ht="21.75" customHeight="1">
      <c r="A870" s="7"/>
      <c r="B870" s="7" t="s">
        <v>9972</v>
      </c>
      <c r="C870" s="7" t="s">
        <v>8902</v>
      </c>
      <c r="D870" s="7" t="s">
        <v>8902</v>
      </c>
      <c r="E870" s="7"/>
      <c r="F870" s="7"/>
      <c r="G870" s="7" t="s">
        <v>343</v>
      </c>
      <c r="H870" s="7" t="s">
        <v>40</v>
      </c>
      <c r="I870" s="7" t="s">
        <v>9973</v>
      </c>
      <c r="J870" s="26" t="s">
        <v>8904</v>
      </c>
      <c r="K870" s="6" t="s">
        <v>469</v>
      </c>
      <c r="L870" s="7" t="s">
        <v>197</v>
      </c>
      <c r="M870" s="7" t="s">
        <v>9974</v>
      </c>
      <c r="N870" s="7" t="s">
        <v>422</v>
      </c>
      <c r="O870" s="7">
        <v>97414.0</v>
      </c>
      <c r="P870" s="7" t="s">
        <v>40</v>
      </c>
      <c r="Q870" s="7" t="s">
        <v>8279</v>
      </c>
      <c r="R870" s="7" t="s">
        <v>9975</v>
      </c>
      <c r="S870" s="7"/>
      <c r="T870" s="7" t="s">
        <v>377</v>
      </c>
      <c r="U870" s="7" t="s">
        <v>3296</v>
      </c>
      <c r="V870" s="7"/>
      <c r="W870" s="7">
        <v>6.92671659E8</v>
      </c>
      <c r="X870" s="7"/>
      <c r="Y870" s="7"/>
      <c r="Z870" s="7" t="s">
        <v>9976</v>
      </c>
      <c r="AA870" s="7">
        <v>250.0</v>
      </c>
      <c r="AB870" s="7"/>
      <c r="AC870" s="7"/>
      <c r="AD870" s="7" t="s">
        <v>9977</v>
      </c>
      <c r="AE870" s="7"/>
      <c r="AF870" s="7"/>
      <c r="AG870" s="7"/>
      <c r="AH870" s="7"/>
      <c r="AI870" s="7"/>
      <c r="AJ870" s="7" t="s">
        <v>8907</v>
      </c>
      <c r="AK870" s="7">
        <v>8.1823138300014E13</v>
      </c>
      <c r="AL870" s="7"/>
      <c r="AM870" s="7" t="s">
        <v>8908</v>
      </c>
      <c r="AN870" s="7"/>
      <c r="AO870" s="7">
        <v>97414.0</v>
      </c>
      <c r="AP870" s="7" t="s">
        <v>429</v>
      </c>
      <c r="AQ870" s="7"/>
      <c r="AR870" s="7"/>
      <c r="AS870" s="7"/>
      <c r="AT870" s="7"/>
      <c r="AU870" s="7"/>
      <c r="AV870" s="7" t="s">
        <v>8909</v>
      </c>
      <c r="AW870" s="7"/>
      <c r="AX870" s="7"/>
      <c r="AY870" s="7"/>
      <c r="AZ870" s="7"/>
      <c r="BA870" s="7"/>
      <c r="BB870" s="7"/>
      <c r="BC870" s="7" t="s">
        <v>401</v>
      </c>
      <c r="BD870" s="7"/>
      <c r="BE870" s="7"/>
      <c r="BF870" s="7"/>
      <c r="BG870" s="7"/>
      <c r="BH870" s="7">
        <v>8.18231383E8</v>
      </c>
      <c r="BI870" s="7" t="s">
        <v>1329</v>
      </c>
      <c r="BJ870" s="7"/>
      <c r="BK870" s="7" t="b">
        <v>0</v>
      </c>
      <c r="BL870" s="7" t="b">
        <v>0</v>
      </c>
      <c r="BM870" s="7"/>
      <c r="BN870" s="7" t="str">
        <f>IFERROR(__xludf.DUMMYFUNCTION(" IF( REGEXMATCH(C870 , ""[(].+[)]""),REGEXREPLACE( CONCATENATE(REGEXEXTRACT(C870 , ""[(].+[)]""),IF(REGEXMATCH(C870 , ""[(][Ll]['’][)]""),"""","" ""), REGEXEXTRACT(C870 ,""^(?:(?:[A-Za-zàäéèêîïöôûü0-9 ](?:[A-Za-zàäéèêîïöôûü'0-9 ]+)))"")) , ""[()]"", """")"&amp;",C870 )"),"Vavang Art")</f>
        <v>Vavang Art</v>
      </c>
      <c r="BO870" s="25"/>
      <c r="BP870" s="7"/>
      <c r="BQ870" s="7"/>
      <c r="BR870" s="7"/>
      <c r="BS870" s="7"/>
      <c r="BT870" s="7"/>
      <c r="BU870" s="7"/>
      <c r="BV870" s="7"/>
      <c r="BW870" s="7"/>
      <c r="BX870" s="7"/>
      <c r="BY870" s="7"/>
      <c r="BZ870" s="7"/>
      <c r="CA870" s="7"/>
      <c r="CB870" s="7"/>
    </row>
    <row r="871" ht="21.75" customHeight="1">
      <c r="A871" s="7"/>
      <c r="B871" s="7" t="s">
        <v>9978</v>
      </c>
      <c r="C871" s="7" t="s">
        <v>9979</v>
      </c>
      <c r="D871" s="7"/>
      <c r="E871" s="7"/>
      <c r="F871" s="7"/>
      <c r="G871" s="7" t="s">
        <v>343</v>
      </c>
      <c r="H871" s="7" t="s">
        <v>123</v>
      </c>
      <c r="I871" s="7" t="s">
        <v>9980</v>
      </c>
      <c r="J871" s="7"/>
      <c r="K871" s="7" t="s">
        <v>34</v>
      </c>
      <c r="L871" s="7" t="s">
        <v>622</v>
      </c>
      <c r="M871" s="7"/>
      <c r="N871" s="7"/>
      <c r="O871" s="7">
        <v>97480.0</v>
      </c>
      <c r="P871" s="7" t="s">
        <v>123</v>
      </c>
      <c r="Q871" s="7"/>
      <c r="R871" s="7"/>
      <c r="S871" s="7"/>
      <c r="T871" s="7"/>
      <c r="U871" s="7"/>
      <c r="V871" s="7">
        <v>2.62234545E8</v>
      </c>
      <c r="W871" s="7"/>
      <c r="X871" s="7"/>
      <c r="Y871" s="7"/>
      <c r="Z871" s="7"/>
      <c r="AA871" s="7">
        <v>80.0</v>
      </c>
      <c r="AB871" s="7"/>
      <c r="AC871" s="7"/>
      <c r="AD871" s="7"/>
      <c r="AE871" s="7"/>
      <c r="AF871" s="7"/>
      <c r="AG871" s="7"/>
      <c r="AH871" s="7"/>
      <c r="AI871" s="7"/>
      <c r="AJ871" s="7" t="s">
        <v>9981</v>
      </c>
      <c r="AK871" s="7"/>
      <c r="AL871" s="7"/>
      <c r="AM871" s="7"/>
      <c r="AN871" s="7"/>
      <c r="AO871" s="7"/>
      <c r="AP871" s="7"/>
      <c r="AQ871" s="7"/>
      <c r="AR871" s="7"/>
      <c r="AS871" s="7"/>
      <c r="AT871" s="7"/>
      <c r="AU871" s="7"/>
      <c r="AV871" s="7" t="s">
        <v>9982</v>
      </c>
      <c r="AW871" s="7"/>
      <c r="AX871" s="7"/>
      <c r="AY871" s="7"/>
      <c r="AZ871" s="7"/>
      <c r="BA871" s="7"/>
      <c r="BB871" s="7"/>
      <c r="BC871" s="7" t="s">
        <v>401</v>
      </c>
      <c r="BD871" s="7"/>
      <c r="BE871" s="7"/>
      <c r="BF871" s="7"/>
      <c r="BG871" s="7"/>
      <c r="BH871" s="7"/>
      <c r="BI871" s="7" t="s">
        <v>9983</v>
      </c>
      <c r="BJ871" s="7"/>
      <c r="BK871" s="7" t="b">
        <v>0</v>
      </c>
      <c r="BL871" s="7" t="b">
        <v>0</v>
      </c>
      <c r="BM871" s="7"/>
      <c r="BN871" s="7" t="str">
        <f>IFERROR(__xludf.DUMMYFUNCTION(" IF( REGEXMATCH(C871 , ""[(].+[)]""),REGEXREPLACE( CONCATENATE(REGEXEXTRACT(C871 , ""[(].+[)]""),IF(REGEXMATCH(C871 , ""[(][Ll]['’][)]""),"""","" ""), REGEXEXTRACT(C871 ,""^(?:(?:[A-Za-zàäéèêîïöôûü0-9 ](?:[A-Za-zàäéèêîïöôûü'0-9 ]+)))"")) , ""[()]"", """")"&amp;",C871 )"),"Victoria Club")</f>
        <v>Victoria Club</v>
      </c>
      <c r="BO871" s="25"/>
      <c r="BP871" s="7"/>
      <c r="BQ871" s="7"/>
      <c r="BR871" s="7"/>
      <c r="BS871" s="7"/>
      <c r="BT871" s="7"/>
      <c r="BU871" s="7"/>
      <c r="BV871" s="7"/>
      <c r="BW871" s="7"/>
      <c r="BX871" s="7"/>
      <c r="BY871" s="7"/>
      <c r="BZ871" s="7"/>
      <c r="CA871" s="7"/>
      <c r="CB871" s="7"/>
    </row>
    <row r="872" ht="21.75" customHeight="1">
      <c r="A872" s="7"/>
      <c r="B872" s="7" t="s">
        <v>9984</v>
      </c>
      <c r="C872" s="7" t="s">
        <v>9985</v>
      </c>
      <c r="D872" s="7"/>
      <c r="E872" s="7"/>
      <c r="F872" s="7"/>
      <c r="G872" s="7" t="s">
        <v>343</v>
      </c>
      <c r="H872" s="7" t="s">
        <v>344</v>
      </c>
      <c r="I872" s="7" t="s">
        <v>9986</v>
      </c>
      <c r="J872" s="7"/>
      <c r="K872" s="7" t="s">
        <v>58</v>
      </c>
      <c r="L872" s="7" t="s">
        <v>59</v>
      </c>
      <c r="M872" s="7" t="s">
        <v>346</v>
      </c>
      <c r="N872" s="7"/>
      <c r="O872" s="7">
        <v>97430.0</v>
      </c>
      <c r="P872" s="7" t="s">
        <v>344</v>
      </c>
      <c r="Q872" s="7" t="s">
        <v>3501</v>
      </c>
      <c r="R872" s="7"/>
      <c r="S872" s="7"/>
      <c r="T872" s="7"/>
      <c r="U872" s="7"/>
      <c r="V872" s="7"/>
      <c r="W872" s="7">
        <v>6.92449121E8</v>
      </c>
      <c r="X872" s="7"/>
      <c r="Y872" s="7"/>
      <c r="Z872" s="7" t="s">
        <v>9987</v>
      </c>
      <c r="AA872" s="7">
        <v>4.0</v>
      </c>
      <c r="AB872" s="7"/>
      <c r="AC872" s="7"/>
      <c r="AD872" s="7"/>
      <c r="AE872" s="7"/>
      <c r="AF872" s="7"/>
      <c r="AG872" s="7"/>
      <c r="AH872" s="7"/>
      <c r="AI872" s="7"/>
      <c r="AJ872" s="7" t="s">
        <v>9988</v>
      </c>
      <c r="AK872" s="7"/>
      <c r="AL872" s="7" t="s">
        <v>9986</v>
      </c>
      <c r="AM872" s="7" t="s">
        <v>9989</v>
      </c>
      <c r="AN872" s="7"/>
      <c r="AO872" s="7">
        <v>97430.0</v>
      </c>
      <c r="AP872" s="7" t="s">
        <v>494</v>
      </c>
      <c r="AQ872" s="7"/>
      <c r="AR872" s="7"/>
      <c r="AS872" s="7"/>
      <c r="AT872" s="7"/>
      <c r="AU872" s="7">
        <v>1.0</v>
      </c>
      <c r="AV872" s="7" t="s">
        <v>9990</v>
      </c>
      <c r="AW872" s="7"/>
      <c r="AX872" s="7"/>
      <c r="AY872" s="7"/>
      <c r="AZ872" s="7" t="s">
        <v>9991</v>
      </c>
      <c r="BA872" s="7"/>
      <c r="BB872" s="7"/>
      <c r="BC872" s="7" t="s">
        <v>401</v>
      </c>
      <c r="BD872" s="7"/>
      <c r="BE872" s="7"/>
      <c r="BF872" s="7"/>
      <c r="BG872" s="7"/>
      <c r="BH872" s="7"/>
      <c r="BI872" s="7" t="s">
        <v>9992</v>
      </c>
      <c r="BJ872" s="7"/>
      <c r="BK872" s="7" t="b">
        <v>0</v>
      </c>
      <c r="BL872" s="7" t="b">
        <v>0</v>
      </c>
      <c r="BM872" s="7"/>
      <c r="BN872" s="7" t="str">
        <f>IFERROR(__xludf.DUMMYFUNCTION(" IF( REGEXMATCH(C872 , ""[(].+[)]""),REGEXREPLACE( CONCATENATE(REGEXEXTRACT(C872 , ""[(].+[)]""),IF(REGEXMATCH(C872 , ""[(][Ll]['’][)]""),"""","" ""), REGEXEXTRACT(C872 ,""^(?:(?:[A-Za-zàäéèêîïöôûü0-9 ](?:[A-Za-zàäéèêîïöôûü'0-9 ]+)))"")) , ""[()]"", """")"&amp;",C872 )"),"Villa Amaryllis")</f>
        <v>Villa Amaryllis</v>
      </c>
      <c r="BO872" s="25"/>
      <c r="BP872" s="7"/>
      <c r="BQ872" s="7"/>
      <c r="BR872" s="7"/>
      <c r="BS872" s="7"/>
      <c r="BT872" s="7"/>
      <c r="BU872" s="7"/>
      <c r="BV872" s="7"/>
      <c r="BW872" s="7"/>
      <c r="BX872" s="7"/>
      <c r="BY872" s="7"/>
      <c r="BZ872" s="7"/>
      <c r="CA872" s="7"/>
      <c r="CB872" s="7"/>
    </row>
    <row r="873" ht="21.75" customHeight="1">
      <c r="A873" s="7"/>
      <c r="B873" s="7" t="s">
        <v>9993</v>
      </c>
      <c r="C873" s="7" t="s">
        <v>9994</v>
      </c>
      <c r="D873" s="7"/>
      <c r="E873" s="7"/>
      <c r="F873" s="7"/>
      <c r="G873" s="7" t="s">
        <v>343</v>
      </c>
      <c r="H873" s="7" t="s">
        <v>123</v>
      </c>
      <c r="I873" s="7" t="s">
        <v>9995</v>
      </c>
      <c r="J873" s="7"/>
      <c r="K873" s="7" t="s">
        <v>58</v>
      </c>
      <c r="L873" s="7" t="s">
        <v>59</v>
      </c>
      <c r="M873" s="7" t="s">
        <v>346</v>
      </c>
      <c r="N873" s="7"/>
      <c r="O873" s="7">
        <v>97480.0</v>
      </c>
      <c r="P873" s="7" t="s">
        <v>123</v>
      </c>
      <c r="Q873" s="7"/>
      <c r="R873" s="7" t="s">
        <v>9996</v>
      </c>
      <c r="S873" s="7"/>
      <c r="T873" s="7" t="s">
        <v>9997</v>
      </c>
      <c r="U873" s="7" t="s">
        <v>592</v>
      </c>
      <c r="V873" s="7"/>
      <c r="W873" s="7">
        <v>6.92601489E8</v>
      </c>
      <c r="X873" s="7"/>
      <c r="Y873" s="7"/>
      <c r="Z873" s="7" t="s">
        <v>9998</v>
      </c>
      <c r="AA873" s="7">
        <v>15.0</v>
      </c>
      <c r="AB873" s="7"/>
      <c r="AC873" s="7"/>
      <c r="AD873" s="7"/>
      <c r="AE873" s="7"/>
      <c r="AF873" s="7"/>
      <c r="AG873" s="7"/>
      <c r="AH873" s="7"/>
      <c r="AI873" s="7"/>
      <c r="AJ873" s="7" t="s">
        <v>9999</v>
      </c>
      <c r="AK873" s="7"/>
      <c r="AL873" s="7" t="s">
        <v>10000</v>
      </c>
      <c r="AM873" s="7" t="s">
        <v>10001</v>
      </c>
      <c r="AN873" s="7"/>
      <c r="AO873" s="7">
        <v>97480.0</v>
      </c>
      <c r="AP873" s="7" t="s">
        <v>385</v>
      </c>
      <c r="AQ873" s="7"/>
      <c r="AR873" s="7"/>
      <c r="AS873" s="7"/>
      <c r="AT873" s="7"/>
      <c r="AU873" s="7">
        <v>1.0</v>
      </c>
      <c r="AV873" s="7" t="s">
        <v>10002</v>
      </c>
      <c r="AW873" s="7"/>
      <c r="AX873" s="7"/>
      <c r="AY873" s="7"/>
      <c r="AZ873" s="7" t="s">
        <v>10003</v>
      </c>
      <c r="BA873" s="7"/>
      <c r="BB873" s="7"/>
      <c r="BC873" s="7" t="s">
        <v>401</v>
      </c>
      <c r="BD873" s="7"/>
      <c r="BE873" s="7"/>
      <c r="BF873" s="7"/>
      <c r="BG873" s="7"/>
      <c r="BH873" s="7"/>
      <c r="BI873" s="7" t="s">
        <v>10004</v>
      </c>
      <c r="BJ873" s="7"/>
      <c r="BK873" s="7" t="b">
        <v>0</v>
      </c>
      <c r="BL873" s="7" t="b">
        <v>0</v>
      </c>
      <c r="BM873" s="7"/>
      <c r="BN873" s="7" t="str">
        <f>IFERROR(__xludf.DUMMYFUNCTION(" IF( REGEXMATCH(C873 , ""[(].+[)]""),REGEXREPLACE( CONCATENATE(REGEXEXTRACT(C873 , ""[(].+[)]""),IF(REGEXMATCH(C873 , ""[(][Ll]['’][)]""),"""","" ""), REGEXEXTRACT(C873 ,""^(?:(?:[A-Za-zàäéèêîïöôûü0-9 ](?:[A-Za-zàäéèêîïöôûü'0-9 ]+)))"")) , ""[()]"", """")"&amp;",C873 )"),"Villa Anroca")</f>
        <v>Villa Anroca</v>
      </c>
      <c r="BO873" s="25"/>
      <c r="BP873" s="7"/>
      <c r="BQ873" s="7"/>
      <c r="BR873" s="7"/>
      <c r="BS873" s="7"/>
      <c r="BT873" s="7"/>
      <c r="BU873" s="7"/>
      <c r="BV873" s="7"/>
      <c r="BW873" s="7"/>
      <c r="BX873" s="7"/>
      <c r="BY873" s="7"/>
      <c r="BZ873" s="7"/>
      <c r="CA873" s="7"/>
      <c r="CB873" s="7"/>
    </row>
    <row r="874" ht="21.75" customHeight="1">
      <c r="A874" s="7"/>
      <c r="B874" s="7" t="s">
        <v>10005</v>
      </c>
      <c r="C874" s="7" t="s">
        <v>10006</v>
      </c>
      <c r="D874" s="7"/>
      <c r="E874" s="7"/>
      <c r="F874" s="7"/>
      <c r="G874" s="7" t="s">
        <v>343</v>
      </c>
      <c r="H874" s="7" t="s">
        <v>344</v>
      </c>
      <c r="I874" s="7" t="s">
        <v>10007</v>
      </c>
      <c r="J874" s="7"/>
      <c r="K874" s="7" t="s">
        <v>58</v>
      </c>
      <c r="L874" s="7" t="s">
        <v>59</v>
      </c>
      <c r="M874" s="7" t="s">
        <v>346</v>
      </c>
      <c r="N874" s="7"/>
      <c r="O874" s="7">
        <v>97418.0</v>
      </c>
      <c r="P874" s="7" t="s">
        <v>348</v>
      </c>
      <c r="Q874" s="7"/>
      <c r="R874" s="7"/>
      <c r="S874" s="7"/>
      <c r="T874" s="7"/>
      <c r="U874" s="7"/>
      <c r="V874" s="7"/>
      <c r="W874" s="7">
        <v>6.93309909E8</v>
      </c>
      <c r="X874" s="7"/>
      <c r="Y874" s="7"/>
      <c r="Z874" s="7" t="s">
        <v>10008</v>
      </c>
      <c r="AA874" s="7">
        <v>17.0</v>
      </c>
      <c r="AB874" s="7"/>
      <c r="AC874" s="7"/>
      <c r="AD874" s="7"/>
      <c r="AE874" s="7"/>
      <c r="AF874" s="7"/>
      <c r="AG874" s="7"/>
      <c r="AH874" s="7"/>
      <c r="AI874" s="7"/>
      <c r="AJ874" s="7" t="s">
        <v>10009</v>
      </c>
      <c r="AK874" s="7"/>
      <c r="AL874" s="7" t="s">
        <v>10010</v>
      </c>
      <c r="AM874" s="7" t="s">
        <v>10011</v>
      </c>
      <c r="AN874" s="7"/>
      <c r="AO874" s="7">
        <v>97411.0</v>
      </c>
      <c r="AP874" s="7" t="s">
        <v>2100</v>
      </c>
      <c r="AQ874" s="7"/>
      <c r="AR874" s="7"/>
      <c r="AS874" s="7"/>
      <c r="AT874" s="7"/>
      <c r="AU874" s="7">
        <v>1.0</v>
      </c>
      <c r="AV874" s="7" t="s">
        <v>10012</v>
      </c>
      <c r="AW874" s="7"/>
      <c r="AX874" s="7"/>
      <c r="AY874" s="7"/>
      <c r="AZ874" s="7" t="s">
        <v>10013</v>
      </c>
      <c r="BA874" s="7"/>
      <c r="BB874" s="7"/>
      <c r="BC874" s="7" t="s">
        <v>401</v>
      </c>
      <c r="BD874" s="7"/>
      <c r="BE874" s="7"/>
      <c r="BF874" s="7"/>
      <c r="BG874" s="7"/>
      <c r="BH874" s="7"/>
      <c r="BI874" s="7" t="s">
        <v>3409</v>
      </c>
      <c r="BJ874" s="7"/>
      <c r="BK874" s="7" t="b">
        <v>0</v>
      </c>
      <c r="BL874" s="7" t="b">
        <v>0</v>
      </c>
      <c r="BM874" s="7"/>
      <c r="BN874" s="7" t="str">
        <f>IFERROR(__xludf.DUMMYFUNCTION(" IF( REGEXMATCH(C874 , ""[(].+[)]""),REGEXREPLACE( CONCATENATE(REGEXEXTRACT(C874 , ""[(].+[)]""),IF(REGEXMATCH(C874 , ""[(][Ll]['’][)]""),"""","" ""), REGEXEXTRACT(C874 ,""^(?:(?:[A-Za-zàäéèêîïöôûü0-9 ](?:[A-Za-zàäéèêîïöôûü'0-9 ]+)))"")) , ""[()]"", """")"&amp;",C874 )"),"Villa Aubépine")</f>
        <v>Villa Aubépine</v>
      </c>
      <c r="BO874" s="25"/>
      <c r="BP874" s="7"/>
      <c r="BQ874" s="7"/>
      <c r="BR874" s="7"/>
      <c r="BS874" s="7"/>
      <c r="BT874" s="7"/>
      <c r="BU874" s="7"/>
      <c r="BV874" s="7"/>
      <c r="BW874" s="7"/>
      <c r="BX874" s="7"/>
      <c r="BY874" s="7"/>
      <c r="BZ874" s="7"/>
      <c r="CA874" s="7"/>
      <c r="CB874" s="7"/>
    </row>
    <row r="875" ht="21.75" customHeight="1">
      <c r="A875" s="7"/>
      <c r="B875" s="7" t="s">
        <v>10014</v>
      </c>
      <c r="C875" s="7" t="s">
        <v>10015</v>
      </c>
      <c r="D875" s="7" t="s">
        <v>8213</v>
      </c>
      <c r="E875" s="7"/>
      <c r="F875" s="7"/>
      <c r="G875" s="7" t="s">
        <v>343</v>
      </c>
      <c r="H875" s="7" t="s">
        <v>344</v>
      </c>
      <c r="I875" s="7" t="s">
        <v>10016</v>
      </c>
      <c r="J875" s="7"/>
      <c r="K875" s="7" t="s">
        <v>58</v>
      </c>
      <c r="L875" s="7" t="s">
        <v>59</v>
      </c>
      <c r="M875" s="7" t="s">
        <v>346</v>
      </c>
      <c r="N875" s="7"/>
      <c r="O875" s="7">
        <v>97418.0</v>
      </c>
      <c r="P875" s="7" t="s">
        <v>344</v>
      </c>
      <c r="Q875" s="7" t="s">
        <v>9494</v>
      </c>
      <c r="R875" s="7"/>
      <c r="S875" s="7"/>
      <c r="T875" s="7"/>
      <c r="U875" s="7" t="s">
        <v>9333</v>
      </c>
      <c r="V875" s="7"/>
      <c r="W875" s="7">
        <v>6.92013364E8</v>
      </c>
      <c r="X875" s="7"/>
      <c r="Y875" s="7"/>
      <c r="Z875" s="7" t="s">
        <v>10017</v>
      </c>
      <c r="AA875" s="7">
        <v>20.0</v>
      </c>
      <c r="AB875" s="7"/>
      <c r="AC875" s="7"/>
      <c r="AD875" s="7" t="s">
        <v>10018</v>
      </c>
      <c r="AE875" s="7"/>
      <c r="AF875" s="7"/>
      <c r="AG875" s="7"/>
      <c r="AH875" s="7"/>
      <c r="AI875" s="7"/>
      <c r="AJ875" s="7" t="s">
        <v>10019</v>
      </c>
      <c r="AK875" s="7"/>
      <c r="AL875" s="7" t="s">
        <v>10020</v>
      </c>
      <c r="AM875" s="7"/>
      <c r="AN875" s="7"/>
      <c r="AO875" s="7">
        <v>97432.0</v>
      </c>
      <c r="AP875" s="7" t="s">
        <v>8936</v>
      </c>
      <c r="AQ875" s="7"/>
      <c r="AR875" s="7"/>
      <c r="AS875" s="7"/>
      <c r="AT875" s="7"/>
      <c r="AU875" s="7">
        <v>1.0</v>
      </c>
      <c r="AV875" s="7" t="s">
        <v>10021</v>
      </c>
      <c r="AW875" s="7"/>
      <c r="AX875" s="7"/>
      <c r="AY875" s="7"/>
      <c r="AZ875" s="7"/>
      <c r="BA875" s="7"/>
      <c r="BB875" s="7"/>
      <c r="BC875" s="7" t="s">
        <v>401</v>
      </c>
      <c r="BD875" s="7"/>
      <c r="BE875" s="7"/>
      <c r="BF875" s="7"/>
      <c r="BG875" s="7"/>
      <c r="BH875" s="7"/>
      <c r="BI875" s="7" t="s">
        <v>10022</v>
      </c>
      <c r="BJ875" s="7"/>
      <c r="BK875" s="7" t="b">
        <v>0</v>
      </c>
      <c r="BL875" s="7" t="b">
        <v>0</v>
      </c>
      <c r="BM875" s="7"/>
      <c r="BN875" s="7" t="str">
        <f>IFERROR(__xludf.DUMMYFUNCTION(" IF( REGEXMATCH(C875 , ""[(].+[)]""),REGEXREPLACE( CONCATENATE(REGEXEXTRACT(C875 , ""[(].+[)]""),IF(REGEXMATCH(C875 , ""[(][Ll]['’][)]""),"""","" ""), REGEXEXTRACT(C875 ,""^(?:(?:[A-Za-zàäéèêîïöôûü0-9 ](?:[A-Za-zàäéèêîïöôûü'0-9 ]+)))"")) , ""[()]"", """")"&amp;",C875 )"),"VILLA BABET")</f>
        <v>VILLA BABET</v>
      </c>
      <c r="BO875" s="25"/>
      <c r="BP875" s="7"/>
      <c r="BQ875" s="7"/>
      <c r="BR875" s="7"/>
      <c r="BS875" s="7"/>
      <c r="BT875" s="7"/>
      <c r="BU875" s="7"/>
      <c r="BV875" s="7"/>
      <c r="BW875" s="7"/>
      <c r="BX875" s="7"/>
      <c r="BY875" s="7"/>
      <c r="BZ875" s="7"/>
      <c r="CA875" s="7"/>
      <c r="CB875" s="7"/>
    </row>
    <row r="876" ht="21.75" customHeight="1">
      <c r="A876" s="7"/>
      <c r="B876" s="7" t="s">
        <v>10023</v>
      </c>
      <c r="C876" s="7" t="s">
        <v>10024</v>
      </c>
      <c r="D876" s="7"/>
      <c r="E876" s="7"/>
      <c r="F876" s="7"/>
      <c r="G876" s="7" t="s">
        <v>343</v>
      </c>
      <c r="H876" s="7" t="s">
        <v>123</v>
      </c>
      <c r="I876" s="7" t="s">
        <v>10025</v>
      </c>
      <c r="J876" s="7"/>
      <c r="K876" s="7" t="s">
        <v>58</v>
      </c>
      <c r="L876" s="7" t="s">
        <v>59</v>
      </c>
      <c r="M876" s="7" t="s">
        <v>346</v>
      </c>
      <c r="N876" s="7" t="s">
        <v>422</v>
      </c>
      <c r="O876" s="7">
        <v>97480.0</v>
      </c>
      <c r="P876" s="7" t="s">
        <v>123</v>
      </c>
      <c r="Q876" s="7"/>
      <c r="R876" s="7" t="s">
        <v>8354</v>
      </c>
      <c r="S876" s="7"/>
      <c r="T876" s="7" t="s">
        <v>1863</v>
      </c>
      <c r="U876" s="7" t="s">
        <v>353</v>
      </c>
      <c r="V876" s="7"/>
      <c r="W876" s="7">
        <v>6.92857796E8</v>
      </c>
      <c r="X876" s="7"/>
      <c r="Y876" s="7"/>
      <c r="Z876" s="7" t="s">
        <v>10026</v>
      </c>
      <c r="AA876" s="7">
        <v>10.0</v>
      </c>
      <c r="AB876" s="7"/>
      <c r="AC876" s="7"/>
      <c r="AD876" s="7" t="s">
        <v>10027</v>
      </c>
      <c r="AE876" s="7"/>
      <c r="AF876" s="7"/>
      <c r="AG876" s="7"/>
      <c r="AH876" s="7"/>
      <c r="AI876" s="7"/>
      <c r="AJ876" s="7" t="s">
        <v>10028</v>
      </c>
      <c r="AK876" s="7"/>
      <c r="AL876" s="7" t="s">
        <v>10029</v>
      </c>
      <c r="AM876" s="7" t="s">
        <v>10030</v>
      </c>
      <c r="AN876" s="7"/>
      <c r="AO876" s="7">
        <v>97480.0</v>
      </c>
      <c r="AP876" s="7" t="s">
        <v>385</v>
      </c>
      <c r="AQ876" s="7"/>
      <c r="AR876" s="7"/>
      <c r="AS876" s="7"/>
      <c r="AT876" s="7"/>
      <c r="AU876" s="7">
        <v>1.0</v>
      </c>
      <c r="AV876" s="7" t="s">
        <v>10031</v>
      </c>
      <c r="AW876" s="7"/>
      <c r="AX876" s="7" t="s">
        <v>2045</v>
      </c>
      <c r="AY876" s="7" t="s">
        <v>1590</v>
      </c>
      <c r="AZ876" s="7" t="s">
        <v>10032</v>
      </c>
      <c r="BA876" s="7"/>
      <c r="BB876" s="7"/>
      <c r="BC876" s="7" t="s">
        <v>401</v>
      </c>
      <c r="BD876" s="7"/>
      <c r="BE876" s="7"/>
      <c r="BF876" s="7"/>
      <c r="BG876" s="7"/>
      <c r="BH876" s="7"/>
      <c r="BI876" s="7" t="s">
        <v>10033</v>
      </c>
      <c r="BJ876" s="7"/>
      <c r="BK876" s="7" t="b">
        <v>0</v>
      </c>
      <c r="BL876" s="7" t="b">
        <v>0</v>
      </c>
      <c r="BM876" s="7"/>
      <c r="BN876" s="7" t="str">
        <f>IFERROR(__xludf.DUMMYFUNCTION(" IF( REGEXMATCH(C876 , ""[(].+[)]""),REGEXREPLACE( CONCATENATE(REGEXEXTRACT(C876 , ""[(].+[)]""),IF(REGEXMATCH(C876 , ""[(][Ll]['’][)]""),"""","" ""), REGEXEXTRACT(C876 ,""^(?:(?:[A-Za-zàäéèêîïöôûü0-9 ](?:[A-Za-zàäéèêîïöôûü'0-9 ]+)))"")) , ""[()]"", """")"&amp;",C876 )"),"Villa Bambou")</f>
        <v>Villa Bambou</v>
      </c>
      <c r="BO876" s="25"/>
      <c r="BP876" s="7"/>
      <c r="BQ876" s="7"/>
      <c r="BR876" s="7"/>
      <c r="BS876" s="7"/>
      <c r="BT876" s="7"/>
      <c r="BU876" s="7"/>
      <c r="BV876" s="7"/>
      <c r="BW876" s="7"/>
      <c r="BX876" s="7"/>
      <c r="BY876" s="7"/>
      <c r="BZ876" s="7"/>
      <c r="CA876" s="7"/>
      <c r="CB876" s="7"/>
    </row>
    <row r="877" ht="21.75" customHeight="1">
      <c r="A877" s="7"/>
      <c r="B877" s="7" t="s">
        <v>10034</v>
      </c>
      <c r="C877" s="7" t="s">
        <v>10035</v>
      </c>
      <c r="D877" s="7"/>
      <c r="E877" s="7"/>
      <c r="F877" s="7"/>
      <c r="G877" s="7" t="s">
        <v>343</v>
      </c>
      <c r="H877" s="7" t="s">
        <v>123</v>
      </c>
      <c r="I877" s="7" t="s">
        <v>10036</v>
      </c>
      <c r="J877" s="7"/>
      <c r="K877" s="7" t="s">
        <v>58</v>
      </c>
      <c r="L877" s="7" t="s">
        <v>59</v>
      </c>
      <c r="M877" s="7" t="s">
        <v>346</v>
      </c>
      <c r="N877" s="7" t="s">
        <v>375</v>
      </c>
      <c r="O877" s="7">
        <v>97480.0</v>
      </c>
      <c r="P877" s="7" t="s">
        <v>123</v>
      </c>
      <c r="Q877" s="7" t="s">
        <v>8364</v>
      </c>
      <c r="R877" s="7" t="s">
        <v>1026</v>
      </c>
      <c r="S877" s="7" t="s">
        <v>8613</v>
      </c>
      <c r="T877" s="7" t="s">
        <v>3504</v>
      </c>
      <c r="U877" s="7" t="s">
        <v>424</v>
      </c>
      <c r="V877" s="7"/>
      <c r="W877" s="7">
        <v>6.93472068E8</v>
      </c>
      <c r="X877" s="7"/>
      <c r="Y877" s="7"/>
      <c r="Z877" s="7" t="s">
        <v>10037</v>
      </c>
      <c r="AA877" s="7">
        <v>8.0</v>
      </c>
      <c r="AB877" s="7"/>
      <c r="AC877" s="7"/>
      <c r="AD877" s="7"/>
      <c r="AE877" s="7"/>
      <c r="AF877" s="7"/>
      <c r="AG877" s="7"/>
      <c r="AH877" s="7"/>
      <c r="AI877" s="7"/>
      <c r="AJ877" s="7" t="s">
        <v>10038</v>
      </c>
      <c r="AK877" s="7"/>
      <c r="AL877" s="7" t="s">
        <v>10039</v>
      </c>
      <c r="AM877" s="7" t="s">
        <v>10040</v>
      </c>
      <c r="AN877" s="7"/>
      <c r="AO877" s="7">
        <v>97410.0</v>
      </c>
      <c r="AP877" s="7" t="s">
        <v>512</v>
      </c>
      <c r="AQ877" s="7"/>
      <c r="AR877" s="7"/>
      <c r="AS877" s="7"/>
      <c r="AT877" s="7"/>
      <c r="AU877" s="7">
        <v>1.0</v>
      </c>
      <c r="AV877" s="7" t="s">
        <v>10041</v>
      </c>
      <c r="AW877" s="7"/>
      <c r="AX877" s="7"/>
      <c r="AY877" s="7"/>
      <c r="AZ877" s="7" t="s">
        <v>10042</v>
      </c>
      <c r="BA877" s="7"/>
      <c r="BB877" s="7"/>
      <c r="BC877" s="7" t="s">
        <v>401</v>
      </c>
      <c r="BD877" s="7"/>
      <c r="BE877" s="7"/>
      <c r="BF877" s="7"/>
      <c r="BG877" s="7"/>
      <c r="BH877" s="7"/>
      <c r="BI877" s="7" t="s">
        <v>10043</v>
      </c>
      <c r="BJ877" s="7"/>
      <c r="BK877" s="7" t="b">
        <v>0</v>
      </c>
      <c r="BL877" s="7" t="b">
        <v>0</v>
      </c>
      <c r="BM877" s="7"/>
      <c r="BN877" s="7" t="str">
        <f>IFERROR(__xludf.DUMMYFUNCTION(" IF( REGEXMATCH(C877 , ""[(].+[)]""),REGEXREPLACE( CONCATENATE(REGEXEXTRACT(C877 , ""[(].+[)]""),IF(REGEXMATCH(C877 , ""[(][Ll]['’][)]""),"""","" ""), REGEXEXTRACT(C877 ,""^(?:(?:[A-Za-zàäéèêîïöôûü0-9 ](?:[A-Za-zàäéèêîïöôûü'0-9 ]+)))"")) , ""[()]"", """")"&amp;",C877 )"),"Villa Bleu Océan")</f>
        <v>Villa Bleu Océan</v>
      </c>
      <c r="BO877" s="25"/>
      <c r="BP877" s="7"/>
      <c r="BQ877" s="7"/>
      <c r="BR877" s="7"/>
      <c r="BS877" s="7"/>
      <c r="BT877" s="7"/>
      <c r="BU877" s="7"/>
      <c r="BV877" s="7"/>
      <c r="BW877" s="7"/>
      <c r="BX877" s="7"/>
      <c r="BY877" s="7"/>
      <c r="BZ877" s="7"/>
      <c r="CA877" s="7"/>
      <c r="CB877" s="7"/>
    </row>
    <row r="878" ht="21.75" customHeight="1">
      <c r="A878" s="7"/>
      <c r="B878" s="7" t="s">
        <v>10044</v>
      </c>
      <c r="C878" s="7" t="s">
        <v>10045</v>
      </c>
      <c r="D878" s="7" t="s">
        <v>8213</v>
      </c>
      <c r="E878" s="7"/>
      <c r="F878" s="7"/>
      <c r="G878" s="7" t="s">
        <v>343</v>
      </c>
      <c r="H878" s="7" t="s">
        <v>344</v>
      </c>
      <c r="I878" s="7" t="s">
        <v>10046</v>
      </c>
      <c r="J878" s="7"/>
      <c r="K878" s="7" t="s">
        <v>58</v>
      </c>
      <c r="L878" s="7" t="s">
        <v>59</v>
      </c>
      <c r="M878" s="7" t="s">
        <v>346</v>
      </c>
      <c r="N878" s="7" t="s">
        <v>10047</v>
      </c>
      <c r="O878" s="7">
        <v>97430.0</v>
      </c>
      <c r="P878" s="7" t="s">
        <v>344</v>
      </c>
      <c r="Q878" s="7" t="s">
        <v>8411</v>
      </c>
      <c r="R878" s="7" t="s">
        <v>10048</v>
      </c>
      <c r="S878" s="7" t="s">
        <v>10049</v>
      </c>
      <c r="T878" s="7" t="s">
        <v>9455</v>
      </c>
      <c r="U878" s="7" t="s">
        <v>10050</v>
      </c>
      <c r="V878" s="7"/>
      <c r="W878" s="7">
        <v>6.92326483E8</v>
      </c>
      <c r="X878" s="7"/>
      <c r="Y878" s="7"/>
      <c r="Z878" s="7" t="s">
        <v>10051</v>
      </c>
      <c r="AA878" s="7">
        <v>8.0</v>
      </c>
      <c r="AB878" s="7"/>
      <c r="AC878" s="7"/>
      <c r="AD878" s="7" t="s">
        <v>10052</v>
      </c>
      <c r="AE878" s="7"/>
      <c r="AF878" s="7"/>
      <c r="AG878" s="7"/>
      <c r="AH878" s="7"/>
      <c r="AI878" s="7"/>
      <c r="AJ878" s="7" t="s">
        <v>10053</v>
      </c>
      <c r="AK878" s="7">
        <v>8.8166806500017E13</v>
      </c>
      <c r="AL878" s="7" t="s">
        <v>10046</v>
      </c>
      <c r="AM878" s="7" t="s">
        <v>10054</v>
      </c>
      <c r="AN878" s="7"/>
      <c r="AO878" s="7">
        <v>97430.0</v>
      </c>
      <c r="AP878" s="7" t="s">
        <v>494</v>
      </c>
      <c r="AQ878" s="7"/>
      <c r="AR878" s="7"/>
      <c r="AS878" s="7"/>
      <c r="AT878" s="7"/>
      <c r="AU878" s="7">
        <v>1.0</v>
      </c>
      <c r="AV878" s="7" t="s">
        <v>10055</v>
      </c>
      <c r="AW878" s="7"/>
      <c r="AX878" s="7"/>
      <c r="AY878" s="7"/>
      <c r="AZ878" s="7"/>
      <c r="BA878" s="7"/>
      <c r="BB878" s="7"/>
      <c r="BC878" s="7" t="s">
        <v>401</v>
      </c>
      <c r="BD878" s="7"/>
      <c r="BE878" s="7"/>
      <c r="BF878" s="7"/>
      <c r="BG878" s="7"/>
      <c r="BH878" s="7">
        <v>8.81668065E8</v>
      </c>
      <c r="BI878" s="7" t="s">
        <v>10056</v>
      </c>
      <c r="BJ878" s="7" t="s">
        <v>10057</v>
      </c>
      <c r="BK878" s="7" t="b">
        <v>0</v>
      </c>
      <c r="BL878" s="7" t="b">
        <v>0</v>
      </c>
      <c r="BM878" s="7"/>
      <c r="BN878" s="7" t="str">
        <f>IFERROR(__xludf.DUMMYFUNCTION(" IF( REGEXMATCH(C878 , ""[(].+[)]""),REGEXREPLACE( CONCATENATE(REGEXEXTRACT(C878 , ""[(].+[)]""),IF(REGEXMATCH(C878 , ""[(][Ll]['’][)]""),"""","" ""), REGEXEXTRACT(C878 ,""^(?:(?:[A-Za-zàäéèêîïöôûü0-9 ](?:[A-Za-zàäéèêîïöôûü'0-9 ]+)))"")) , ""[()]"", """")"&amp;",C878 )"),"La Villa Dany ")</f>
        <v>La Villa Dany </v>
      </c>
      <c r="BO878" s="25"/>
      <c r="BP878" s="7"/>
      <c r="BQ878" s="7"/>
      <c r="BR878" s="7"/>
      <c r="BS878" s="7"/>
      <c r="BT878" s="7"/>
      <c r="BU878" s="7"/>
      <c r="BV878" s="7"/>
      <c r="BW878" s="7"/>
      <c r="BX878" s="7"/>
      <c r="BY878" s="7"/>
      <c r="BZ878" s="7"/>
      <c r="CA878" s="7"/>
      <c r="CB878" s="7"/>
    </row>
    <row r="879" ht="21.75" customHeight="1">
      <c r="A879" s="7"/>
      <c r="B879" s="7" t="s">
        <v>10058</v>
      </c>
      <c r="C879" s="7" t="s">
        <v>10059</v>
      </c>
      <c r="D879" s="7"/>
      <c r="E879" s="7"/>
      <c r="F879" s="7"/>
      <c r="G879" s="7" t="s">
        <v>343</v>
      </c>
      <c r="H879" s="7" t="s">
        <v>344</v>
      </c>
      <c r="I879" s="7" t="s">
        <v>10060</v>
      </c>
      <c r="J879" s="7"/>
      <c r="K879" s="7" t="s">
        <v>58</v>
      </c>
      <c r="L879" s="7" t="s">
        <v>59</v>
      </c>
      <c r="M879" s="7" t="s">
        <v>346</v>
      </c>
      <c r="N879" s="7"/>
      <c r="O879" s="7">
        <v>97430.0</v>
      </c>
      <c r="P879" s="7" t="s">
        <v>344</v>
      </c>
      <c r="Q879" s="7"/>
      <c r="R879" s="7"/>
      <c r="S879" s="7"/>
      <c r="T879" s="7"/>
      <c r="U879" s="7" t="s">
        <v>378</v>
      </c>
      <c r="V879" s="7"/>
      <c r="W879" s="7">
        <v>6.92613942E8</v>
      </c>
      <c r="X879" s="7"/>
      <c r="Y879" s="7"/>
      <c r="Z879" s="7" t="s">
        <v>10061</v>
      </c>
      <c r="AA879" s="7">
        <v>4.0</v>
      </c>
      <c r="AB879" s="7"/>
      <c r="AC879" s="7"/>
      <c r="AD879" s="7"/>
      <c r="AE879" s="7"/>
      <c r="AF879" s="7"/>
      <c r="AG879" s="7"/>
      <c r="AH879" s="7"/>
      <c r="AI879" s="7"/>
      <c r="AJ879" s="7" t="s">
        <v>10062</v>
      </c>
      <c r="AK879" s="7"/>
      <c r="AL879" s="7" t="s">
        <v>10063</v>
      </c>
      <c r="AM879" s="7" t="s">
        <v>10064</v>
      </c>
      <c r="AN879" s="7"/>
      <c r="AO879" s="7">
        <v>97430.0</v>
      </c>
      <c r="AP879" s="7" t="s">
        <v>494</v>
      </c>
      <c r="AQ879" s="7"/>
      <c r="AR879" s="7"/>
      <c r="AS879" s="7"/>
      <c r="AT879" s="7"/>
      <c r="AU879" s="7">
        <v>1.0</v>
      </c>
      <c r="AV879" s="7" t="s">
        <v>10065</v>
      </c>
      <c r="AW879" s="7"/>
      <c r="AX879" s="7"/>
      <c r="AY879" s="7"/>
      <c r="AZ879" s="7" t="s">
        <v>10066</v>
      </c>
      <c r="BA879" s="7"/>
      <c r="BB879" s="7"/>
      <c r="BC879" s="7" t="s">
        <v>401</v>
      </c>
      <c r="BD879" s="7"/>
      <c r="BE879" s="7"/>
      <c r="BF879" s="7"/>
      <c r="BG879" s="7"/>
      <c r="BH879" s="7"/>
      <c r="BI879" s="7" t="s">
        <v>10067</v>
      </c>
      <c r="BJ879" s="7" t="s">
        <v>10068</v>
      </c>
      <c r="BK879" s="7" t="b">
        <v>0</v>
      </c>
      <c r="BL879" s="7" t="b">
        <v>0</v>
      </c>
      <c r="BM879" s="7"/>
      <c r="BN879" s="7" t="str">
        <f>IFERROR(__xludf.DUMMYFUNCTION(" IF( REGEXMATCH(C879 , ""[(].+[)]""),REGEXREPLACE( CONCATENATE(REGEXEXTRACT(C879 , ""[(].+[)]""),IF(REGEXMATCH(C879 , ""[(][Ll]['’][)]""),"""","" ""), REGEXEXTRACT(C879 ,""^(?:(?:[A-Za-zàäéèêîïöôûü0-9 ](?:[A-Za-zàäéèêîïöôûü'0-9 ]+)))"")) , ""[()]"", """")"&amp;",C879 )"),"Villa des Songes")</f>
        <v>Villa des Songes</v>
      </c>
      <c r="BO879" s="25"/>
      <c r="BP879" s="7"/>
      <c r="BQ879" s="7"/>
      <c r="BR879" s="7"/>
      <c r="BS879" s="7"/>
      <c r="BT879" s="7"/>
      <c r="BU879" s="7"/>
      <c r="BV879" s="7"/>
      <c r="BW879" s="7"/>
      <c r="BX879" s="7"/>
      <c r="BY879" s="7"/>
      <c r="BZ879" s="7"/>
      <c r="CA879" s="7"/>
      <c r="CB879" s="7"/>
    </row>
    <row r="880" ht="21.75" customHeight="1">
      <c r="A880" s="7"/>
      <c r="B880" s="7" t="s">
        <v>10069</v>
      </c>
      <c r="C880" s="7" t="s">
        <v>10070</v>
      </c>
      <c r="D880" s="7"/>
      <c r="E880" s="7"/>
      <c r="F880" s="7"/>
      <c r="G880" s="7" t="s">
        <v>343</v>
      </c>
      <c r="H880" s="7" t="s">
        <v>123</v>
      </c>
      <c r="I880" s="7" t="s">
        <v>10071</v>
      </c>
      <c r="J880" s="7"/>
      <c r="K880" s="7" t="s">
        <v>58</v>
      </c>
      <c r="L880" s="7" t="s">
        <v>59</v>
      </c>
      <c r="M880" s="7" t="s">
        <v>346</v>
      </c>
      <c r="N880" s="7"/>
      <c r="O880" s="7">
        <v>97480.0</v>
      </c>
      <c r="P880" s="7" t="s">
        <v>123</v>
      </c>
      <c r="Q880" s="7"/>
      <c r="R880" s="7" t="s">
        <v>10072</v>
      </c>
      <c r="S880" s="7"/>
      <c r="T880" s="7" t="s">
        <v>3504</v>
      </c>
      <c r="U880" s="7" t="s">
        <v>10073</v>
      </c>
      <c r="V880" s="7"/>
      <c r="W880" s="7">
        <v>6.92924648E8</v>
      </c>
      <c r="X880" s="7"/>
      <c r="Y880" s="7"/>
      <c r="Z880" s="7" t="s">
        <v>10074</v>
      </c>
      <c r="AA880" s="7">
        <v>12.0</v>
      </c>
      <c r="AB880" s="7"/>
      <c r="AC880" s="7"/>
      <c r="AD880" s="7"/>
      <c r="AE880" s="7"/>
      <c r="AF880" s="7"/>
      <c r="AG880" s="7"/>
      <c r="AH880" s="7"/>
      <c r="AI880" s="7"/>
      <c r="AJ880" s="7" t="s">
        <v>10075</v>
      </c>
      <c r="AK880" s="7"/>
      <c r="AL880" s="7" t="s">
        <v>10071</v>
      </c>
      <c r="AM880" s="7" t="s">
        <v>10076</v>
      </c>
      <c r="AN880" s="7"/>
      <c r="AO880" s="7">
        <v>97480.0</v>
      </c>
      <c r="AP880" s="7" t="s">
        <v>385</v>
      </c>
      <c r="AQ880" s="7"/>
      <c r="AR880" s="7"/>
      <c r="AS880" s="7"/>
      <c r="AT880" s="7"/>
      <c r="AU880" s="7">
        <v>1.0</v>
      </c>
      <c r="AV880" s="7" t="s">
        <v>6354</v>
      </c>
      <c r="AW880" s="7"/>
      <c r="AX880" s="7"/>
      <c r="AY880" s="7"/>
      <c r="AZ880" s="7" t="s">
        <v>10077</v>
      </c>
      <c r="BA880" s="7"/>
      <c r="BB880" s="7"/>
      <c r="BC880" s="7" t="s">
        <v>401</v>
      </c>
      <c r="BD880" s="7"/>
      <c r="BE880" s="7"/>
      <c r="BF880" s="7"/>
      <c r="BG880" s="7"/>
      <c r="BH880" s="7"/>
      <c r="BI880" s="7" t="s">
        <v>10078</v>
      </c>
      <c r="BJ880" s="7"/>
      <c r="BK880" s="7" t="b">
        <v>0</v>
      </c>
      <c r="BL880" s="7" t="b">
        <v>0</v>
      </c>
      <c r="BM880" s="7"/>
      <c r="BN880" s="7" t="str">
        <f>IFERROR(__xludf.DUMMYFUNCTION(" IF( REGEXMATCH(C880 , ""[(].+[)]""),REGEXREPLACE( CONCATENATE(REGEXEXTRACT(C880 , ""[(].+[)]""),IF(REGEXMATCH(C880 , ""[(][Ll]['’][)]""),"""","" ""), REGEXEXTRACT(C880 ,""^(?:(?:[A-Za-zàäéèêîïöôûü0-9 ](?:[A-Za-zàäéèêîïöôûü'0-9 ]+)))"")) , ""[()]"", """")"&amp;",C880 )"),"Villa Grand Coude")</f>
        <v>Villa Grand Coude</v>
      </c>
      <c r="BO880" s="25"/>
      <c r="BP880" s="7"/>
      <c r="BQ880" s="7"/>
      <c r="BR880" s="7"/>
      <c r="BS880" s="7"/>
      <c r="BT880" s="7"/>
      <c r="BU880" s="7"/>
      <c r="BV880" s="7"/>
      <c r="BW880" s="7"/>
      <c r="BX880" s="7"/>
      <c r="BY880" s="7"/>
      <c r="BZ880" s="7"/>
      <c r="CA880" s="7"/>
      <c r="CB880" s="7"/>
    </row>
    <row r="881" ht="21.75" customHeight="1">
      <c r="A881" s="7"/>
      <c r="B881" s="7" t="s">
        <v>10079</v>
      </c>
      <c r="C881" s="7" t="s">
        <v>10080</v>
      </c>
      <c r="D881" s="7"/>
      <c r="E881" s="7"/>
      <c r="F881" s="7"/>
      <c r="G881" s="7" t="s">
        <v>343</v>
      </c>
      <c r="H881" s="7" t="s">
        <v>123</v>
      </c>
      <c r="I881" s="7" t="s">
        <v>10081</v>
      </c>
      <c r="J881" s="7"/>
      <c r="K881" s="7" t="s">
        <v>58</v>
      </c>
      <c r="L881" s="7" t="s">
        <v>59</v>
      </c>
      <c r="M881" s="7" t="s">
        <v>346</v>
      </c>
      <c r="N881" s="7" t="s">
        <v>422</v>
      </c>
      <c r="O881" s="7">
        <v>97480.0</v>
      </c>
      <c r="P881" s="7" t="s">
        <v>123</v>
      </c>
      <c r="Q881" s="7"/>
      <c r="R881" s="7" t="s">
        <v>10082</v>
      </c>
      <c r="S881" s="7"/>
      <c r="T881" s="7" t="s">
        <v>1863</v>
      </c>
      <c r="U881" s="7" t="s">
        <v>8505</v>
      </c>
      <c r="V881" s="7"/>
      <c r="W881" s="7">
        <v>6.92857796E8</v>
      </c>
      <c r="X881" s="7"/>
      <c r="Y881" s="7"/>
      <c r="Z881" s="7" t="s">
        <v>10026</v>
      </c>
      <c r="AA881" s="7">
        <v>20.0</v>
      </c>
      <c r="AB881" s="7"/>
      <c r="AC881" s="7"/>
      <c r="AD881" s="7" t="s">
        <v>10083</v>
      </c>
      <c r="AE881" s="7"/>
      <c r="AF881" s="7"/>
      <c r="AG881" s="7"/>
      <c r="AH881" s="7"/>
      <c r="AI881" s="7"/>
      <c r="AJ881" s="7" t="s">
        <v>10084</v>
      </c>
      <c r="AK881" s="7"/>
      <c r="AL881" s="7" t="s">
        <v>10029</v>
      </c>
      <c r="AM881" s="7" t="s">
        <v>10085</v>
      </c>
      <c r="AN881" s="7"/>
      <c r="AO881" s="7">
        <v>97480.0</v>
      </c>
      <c r="AP881" s="7" t="s">
        <v>385</v>
      </c>
      <c r="AQ881" s="7"/>
      <c r="AR881" s="7"/>
      <c r="AS881" s="7"/>
      <c r="AT881" s="7"/>
      <c r="AU881" s="7">
        <v>1.0</v>
      </c>
      <c r="AV881" s="7" t="s">
        <v>10086</v>
      </c>
      <c r="AW881" s="7"/>
      <c r="AX881" s="7" t="s">
        <v>10087</v>
      </c>
      <c r="AY881" s="7" t="s">
        <v>1590</v>
      </c>
      <c r="AZ881" s="7" t="s">
        <v>10088</v>
      </c>
      <c r="BA881" s="7"/>
      <c r="BB881" s="7"/>
      <c r="BC881" s="7" t="s">
        <v>401</v>
      </c>
      <c r="BD881" s="7"/>
      <c r="BE881" s="7"/>
      <c r="BF881" s="7"/>
      <c r="BG881" s="7"/>
      <c r="BH881" s="7"/>
      <c r="BI881" s="7" t="s">
        <v>10089</v>
      </c>
      <c r="BJ881" s="7"/>
      <c r="BK881" s="7" t="b">
        <v>0</v>
      </c>
      <c r="BL881" s="7" t="b">
        <v>0</v>
      </c>
      <c r="BM881" s="7"/>
      <c r="BN881" s="7" t="str">
        <f>IFERROR(__xludf.DUMMYFUNCTION(" IF( REGEXMATCH(C881 , ""[(].+[)]""),REGEXREPLACE( CONCATENATE(REGEXEXTRACT(C881 , ""[(].+[)]""),IF(REGEXMATCH(C881 , ""[(][Ll]['’][)]""),"""","" ""), REGEXEXTRACT(C881 ,""^(?:(?:[A-Za-zàäéèêîïöôûü0-9 ](?:[A-Za-zàäéèêîïöôûü'0-9 ]+)))"")) , ""[()]"", """")"&amp;",C881 )"),"La Villa Léa ")</f>
        <v>La Villa Léa </v>
      </c>
      <c r="BO881" s="25"/>
      <c r="BP881" s="7"/>
      <c r="BQ881" s="7"/>
      <c r="BR881" s="7"/>
      <c r="BS881" s="7"/>
      <c r="BT881" s="7"/>
      <c r="BU881" s="7"/>
      <c r="BV881" s="7"/>
      <c r="BW881" s="7"/>
      <c r="BX881" s="7"/>
      <c r="BY881" s="7"/>
      <c r="BZ881" s="7"/>
      <c r="CA881" s="7"/>
      <c r="CB881" s="7"/>
    </row>
    <row r="882" ht="21.75" customHeight="1">
      <c r="A882" s="7"/>
      <c r="B882" s="7" t="s">
        <v>10090</v>
      </c>
      <c r="C882" s="7" t="s">
        <v>10091</v>
      </c>
      <c r="D882" s="7"/>
      <c r="E882" s="7"/>
      <c r="F882" s="7"/>
      <c r="G882" s="7" t="s">
        <v>343</v>
      </c>
      <c r="H882" s="7" t="s">
        <v>123</v>
      </c>
      <c r="I882" s="7" t="s">
        <v>10092</v>
      </c>
      <c r="J882" s="7"/>
      <c r="K882" s="7" t="s">
        <v>58</v>
      </c>
      <c r="L882" s="7" t="s">
        <v>59</v>
      </c>
      <c r="M882" s="7" t="s">
        <v>346</v>
      </c>
      <c r="N882" s="7" t="s">
        <v>422</v>
      </c>
      <c r="O882" s="7">
        <v>97480.0</v>
      </c>
      <c r="P882" s="7" t="s">
        <v>123</v>
      </c>
      <c r="Q882" s="7"/>
      <c r="R882" s="7" t="s">
        <v>10093</v>
      </c>
      <c r="S882" s="7" t="s">
        <v>10094</v>
      </c>
      <c r="T882" s="7" t="s">
        <v>10095</v>
      </c>
      <c r="U882" s="7" t="s">
        <v>353</v>
      </c>
      <c r="V882" s="7"/>
      <c r="W882" s="7">
        <v>6.92607963E8</v>
      </c>
      <c r="X882" s="7"/>
      <c r="Y882" s="7"/>
      <c r="Z882" s="7" t="s">
        <v>10096</v>
      </c>
      <c r="AA882" s="7">
        <v>7.0</v>
      </c>
      <c r="AB882" s="7"/>
      <c r="AC882" s="7"/>
      <c r="AD882" s="7" t="s">
        <v>10097</v>
      </c>
      <c r="AE882" s="7"/>
      <c r="AF882" s="7"/>
      <c r="AG882" s="7"/>
      <c r="AH882" s="7"/>
      <c r="AI882" s="7"/>
      <c r="AJ882" s="7" t="s">
        <v>10098</v>
      </c>
      <c r="AK882" s="7"/>
      <c r="AL882" s="7" t="s">
        <v>10099</v>
      </c>
      <c r="AM882" s="7" t="s">
        <v>10100</v>
      </c>
      <c r="AN882" s="7"/>
      <c r="AO882" s="7">
        <v>97430.0</v>
      </c>
      <c r="AP882" s="7" t="s">
        <v>494</v>
      </c>
      <c r="AQ882" s="7"/>
      <c r="AR882" s="7"/>
      <c r="AS882" s="7"/>
      <c r="AT882" s="7"/>
      <c r="AU882" s="7">
        <v>1.0</v>
      </c>
      <c r="AV882" s="7" t="s">
        <v>10101</v>
      </c>
      <c r="AW882" s="7"/>
      <c r="AX882" s="7" t="s">
        <v>5758</v>
      </c>
      <c r="AY882" s="7" t="s">
        <v>1962</v>
      </c>
      <c r="AZ882" s="7" t="s">
        <v>10102</v>
      </c>
      <c r="BA882" s="7"/>
      <c r="BB882" s="7"/>
      <c r="BC882" s="7" t="s">
        <v>401</v>
      </c>
      <c r="BD882" s="7"/>
      <c r="BE882" s="7"/>
      <c r="BF882" s="7"/>
      <c r="BG882" s="7"/>
      <c r="BH882" s="7"/>
      <c r="BI882" s="7" t="s">
        <v>10103</v>
      </c>
      <c r="BJ882" s="7"/>
      <c r="BK882" s="7" t="b">
        <v>0</v>
      </c>
      <c r="BL882" s="7" t="b">
        <v>0</v>
      </c>
      <c r="BM882" s="7"/>
      <c r="BN882" s="7" t="str">
        <f>IFERROR(__xludf.DUMMYFUNCTION(" IF( REGEXMATCH(C882 , ""[(].+[)]""),REGEXREPLACE( CONCATENATE(REGEXEXTRACT(C882 , ""[(].+[)]""),IF(REGEXMATCH(C882 , ""[(][Ll]['’][)]""),"""","" ""), REGEXEXTRACT(C882 ,""^(?:(?:[A-Za-zàäéèêîïöôûü0-9 ](?:[A-Za-zàäéèêîïöôûü'0-9 ]+)))"")) , ""[()]"", """")"&amp;",C882 )"),"Villa Letchi")</f>
        <v>Villa Letchi</v>
      </c>
      <c r="BO882" s="25"/>
      <c r="BP882" s="7"/>
      <c r="BQ882" s="7"/>
      <c r="BR882" s="7"/>
      <c r="BS882" s="7"/>
      <c r="BT882" s="7"/>
      <c r="BU882" s="7"/>
      <c r="BV882" s="7"/>
      <c r="BW882" s="7"/>
      <c r="BX882" s="7"/>
      <c r="BY882" s="7"/>
      <c r="BZ882" s="7"/>
      <c r="CA882" s="7"/>
      <c r="CB882" s="7"/>
    </row>
    <row r="883" ht="21.75" customHeight="1">
      <c r="A883" s="7"/>
      <c r="B883" s="7" t="s">
        <v>10104</v>
      </c>
      <c r="C883" s="7" t="s">
        <v>10105</v>
      </c>
      <c r="D883" s="7"/>
      <c r="E883" s="7"/>
      <c r="F883" s="7"/>
      <c r="G883" s="7" t="s">
        <v>343</v>
      </c>
      <c r="H883" s="7" t="s">
        <v>40</v>
      </c>
      <c r="I883" s="7" t="s">
        <v>10106</v>
      </c>
      <c r="J883" s="7"/>
      <c r="K883" s="7" t="s">
        <v>58</v>
      </c>
      <c r="L883" s="7" t="s">
        <v>59</v>
      </c>
      <c r="M883" s="7" t="s">
        <v>346</v>
      </c>
      <c r="N883" s="7"/>
      <c r="O883" s="7">
        <v>97414.0</v>
      </c>
      <c r="P883" s="7" t="s">
        <v>40</v>
      </c>
      <c r="Q883" s="7" t="s">
        <v>8344</v>
      </c>
      <c r="R883" s="7"/>
      <c r="S883" s="7"/>
      <c r="T883" s="7"/>
      <c r="U883" s="7"/>
      <c r="V883" s="7"/>
      <c r="W883" s="7">
        <v>6.92765244E8</v>
      </c>
      <c r="X883" s="7"/>
      <c r="Y883" s="7"/>
      <c r="Z883" s="7" t="s">
        <v>10107</v>
      </c>
      <c r="AA883" s="7">
        <v>18.0</v>
      </c>
      <c r="AB883" s="7" t="s">
        <v>2716</v>
      </c>
      <c r="AC883" s="7"/>
      <c r="AD883" s="7"/>
      <c r="AE883" s="7"/>
      <c r="AF883" s="7"/>
      <c r="AG883" s="7"/>
      <c r="AH883" s="7"/>
      <c r="AI883" s="7"/>
      <c r="AJ883" s="7" t="s">
        <v>10108</v>
      </c>
      <c r="AK883" s="7"/>
      <c r="AL883" s="7" t="s">
        <v>10109</v>
      </c>
      <c r="AM883" s="7" t="s">
        <v>10110</v>
      </c>
      <c r="AN883" s="7"/>
      <c r="AO883" s="7">
        <v>97410.0</v>
      </c>
      <c r="AP883" s="7" t="s">
        <v>512</v>
      </c>
      <c r="AQ883" s="7"/>
      <c r="AR883" s="7"/>
      <c r="AS883" s="7"/>
      <c r="AT883" s="7"/>
      <c r="AU883" s="7">
        <v>1.0</v>
      </c>
      <c r="AV883" s="7" t="s">
        <v>9898</v>
      </c>
      <c r="AW883" s="7"/>
      <c r="AX883" s="7"/>
      <c r="AY883" s="7"/>
      <c r="AZ883" s="7" t="s">
        <v>10111</v>
      </c>
      <c r="BA883" s="7"/>
      <c r="BB883" s="7"/>
      <c r="BC883" s="7" t="s">
        <v>401</v>
      </c>
      <c r="BD883" s="7"/>
      <c r="BE883" s="7"/>
      <c r="BF883" s="7"/>
      <c r="BG883" s="7"/>
      <c r="BH883" s="7"/>
      <c r="BI883" s="7" t="s">
        <v>10112</v>
      </c>
      <c r="BJ883" s="7"/>
      <c r="BK883" s="7" t="b">
        <v>0</v>
      </c>
      <c r="BL883" s="7" t="b">
        <v>0</v>
      </c>
      <c r="BM883" s="7"/>
      <c r="BN883" s="7" t="str">
        <f>IFERROR(__xludf.DUMMYFUNCTION(" IF( REGEXMATCH(C883 , ""[(].+[)]""),REGEXREPLACE( CONCATENATE(REGEXEXTRACT(C883 , ""[(].+[)]""),IF(REGEXMATCH(C883 , ""[(][Ll]['’][)]""),"""","" ""), REGEXEXTRACT(C883 ,""^(?:(?:[A-Za-zàäéèêîïöôûü0-9 ](?:[A-Za-zàäéèêîïöôûü'0-9 ]+)))"")) , ""[()]"", """")"&amp;",C883 )"),"Villa Mandarine")</f>
        <v>Villa Mandarine</v>
      </c>
      <c r="BO883" s="25"/>
      <c r="BP883" s="7"/>
      <c r="BQ883" s="7"/>
      <c r="BR883" s="7"/>
      <c r="BS883" s="7"/>
      <c r="BT883" s="7"/>
      <c r="BU883" s="7"/>
      <c r="BV883" s="7"/>
      <c r="BW883" s="7"/>
      <c r="BX883" s="7"/>
      <c r="BY883" s="7"/>
      <c r="BZ883" s="7"/>
      <c r="CA883" s="7"/>
      <c r="CB883" s="7"/>
    </row>
    <row r="884" ht="21.75" customHeight="1">
      <c r="A884" s="7"/>
      <c r="B884" s="7" t="s">
        <v>10113</v>
      </c>
      <c r="C884" s="7" t="s">
        <v>10114</v>
      </c>
      <c r="D884" s="7"/>
      <c r="E884" s="7"/>
      <c r="F884" s="7"/>
      <c r="G884" s="7" t="s">
        <v>343</v>
      </c>
      <c r="H884" s="7" t="s">
        <v>123</v>
      </c>
      <c r="I884" s="7" t="s">
        <v>9812</v>
      </c>
      <c r="J884" s="7"/>
      <c r="K884" s="7" t="s">
        <v>58</v>
      </c>
      <c r="L884" s="7" t="s">
        <v>59</v>
      </c>
      <c r="M884" s="7" t="s">
        <v>346</v>
      </c>
      <c r="N884" s="7"/>
      <c r="O884" s="7">
        <v>97480.0</v>
      </c>
      <c r="P884" s="7" t="s">
        <v>123</v>
      </c>
      <c r="Q884" s="7"/>
      <c r="R884" s="7"/>
      <c r="S884" s="7"/>
      <c r="T884" s="7"/>
      <c r="U884" s="7" t="s">
        <v>378</v>
      </c>
      <c r="V884" s="7"/>
      <c r="W884" s="7">
        <v>6.03977112E8</v>
      </c>
      <c r="X884" s="7">
        <v>6.82021759E8</v>
      </c>
      <c r="Y884" s="7"/>
      <c r="Z884" s="7" t="s">
        <v>9813</v>
      </c>
      <c r="AA884" s="7">
        <v>6.0</v>
      </c>
      <c r="AB884" s="7" t="s">
        <v>2716</v>
      </c>
      <c r="AC884" s="7"/>
      <c r="AD884" s="7"/>
      <c r="AE884" s="7"/>
      <c r="AF884" s="7"/>
      <c r="AG884" s="7"/>
      <c r="AH884" s="7"/>
      <c r="AI884" s="7"/>
      <c r="AJ884" s="7" t="s">
        <v>9814</v>
      </c>
      <c r="AK884" s="7"/>
      <c r="AL884" s="7" t="s">
        <v>9815</v>
      </c>
      <c r="AM884" s="7"/>
      <c r="AN884" s="7"/>
      <c r="AO884" s="7"/>
      <c r="AP884" s="7"/>
      <c r="AQ884" s="7"/>
      <c r="AR884" s="7"/>
      <c r="AS884" s="7"/>
      <c r="AT884" s="7"/>
      <c r="AU884" s="7"/>
      <c r="AV884" s="7" t="s">
        <v>9816</v>
      </c>
      <c r="AW884" s="7"/>
      <c r="AX884" s="7"/>
      <c r="AY884" s="7"/>
      <c r="AZ884" s="7" t="s">
        <v>10115</v>
      </c>
      <c r="BA884" s="7"/>
      <c r="BB884" s="7"/>
      <c r="BC884" s="7" t="s">
        <v>401</v>
      </c>
      <c r="BD884" s="7"/>
      <c r="BE884" s="7"/>
      <c r="BF884" s="7"/>
      <c r="BG884" s="7"/>
      <c r="BH884" s="7"/>
      <c r="BI884" s="7" t="s">
        <v>9818</v>
      </c>
      <c r="BJ884" s="7"/>
      <c r="BK884" s="7" t="b">
        <v>0</v>
      </c>
      <c r="BL884" s="7" t="b">
        <v>0</v>
      </c>
      <c r="BM884" s="7"/>
      <c r="BN884" s="7" t="str">
        <f>IFERROR(__xludf.DUMMYFUNCTION(" IF( REGEXMATCH(C884 , ""[(].+[)]""),REGEXREPLACE( CONCATENATE(REGEXEXTRACT(C884 , ""[(].+[)]""),IF(REGEXMATCH(C884 , ""[(][Ll]['’][)]""),"""","" ""), REGEXEXTRACT(C884 ,""^(?:(?:[A-Za-zàäéèêîïöôûü0-9 ](?:[A-Za-zàäéèêîïöôûü'0-9 ]+)))"")) , ""[()]"", """")"&amp;",C884 )"),"Villa Moringa *")</f>
        <v>Villa Moringa *</v>
      </c>
      <c r="BO884" s="25"/>
      <c r="BP884" s="7"/>
      <c r="BQ884" s="7"/>
      <c r="BR884" s="7"/>
      <c r="BS884" s="7"/>
      <c r="BT884" s="7"/>
      <c r="BU884" s="7"/>
      <c r="BV884" s="7"/>
      <c r="BW884" s="7"/>
      <c r="BX884" s="7"/>
      <c r="BY884" s="7"/>
      <c r="BZ884" s="7"/>
      <c r="CA884" s="7"/>
      <c r="CB884" s="7"/>
    </row>
    <row r="885" ht="21.75" customHeight="1">
      <c r="A885" s="7"/>
      <c r="B885" s="7" t="s">
        <v>10116</v>
      </c>
      <c r="C885" s="7" t="s">
        <v>10117</v>
      </c>
      <c r="D885" s="7"/>
      <c r="E885" s="7"/>
      <c r="F885" s="7"/>
      <c r="G885" s="7" t="s">
        <v>343</v>
      </c>
      <c r="H885" s="7" t="s">
        <v>33</v>
      </c>
      <c r="I885" s="7" t="s">
        <v>10118</v>
      </c>
      <c r="J885" s="7"/>
      <c r="K885" s="7" t="s">
        <v>58</v>
      </c>
      <c r="L885" s="7" t="s">
        <v>59</v>
      </c>
      <c r="M885" s="7" t="s">
        <v>346</v>
      </c>
      <c r="N885" s="7"/>
      <c r="O885" s="7">
        <v>97442.0</v>
      </c>
      <c r="P885" s="7" t="s">
        <v>33</v>
      </c>
      <c r="Q885" s="7"/>
      <c r="R885" s="7"/>
      <c r="S885" s="7"/>
      <c r="T885" s="7"/>
      <c r="U885" s="7"/>
      <c r="V885" s="7"/>
      <c r="W885" s="7">
        <v>6.9216102E8</v>
      </c>
      <c r="X885" s="7"/>
      <c r="Y885" s="7"/>
      <c r="Z885" s="7" t="s">
        <v>10119</v>
      </c>
      <c r="AA885" s="7">
        <v>6.0</v>
      </c>
      <c r="AB885" s="7"/>
      <c r="AC885" s="7"/>
      <c r="AD885" s="7"/>
      <c r="AE885" s="7"/>
      <c r="AF885" s="7"/>
      <c r="AG885" s="7"/>
      <c r="AH885" s="7"/>
      <c r="AI885" s="7"/>
      <c r="AJ885" s="7" t="s">
        <v>10120</v>
      </c>
      <c r="AK885" s="7"/>
      <c r="AL885" s="7" t="s">
        <v>10118</v>
      </c>
      <c r="AM885" s="7" t="s">
        <v>10121</v>
      </c>
      <c r="AN885" s="7"/>
      <c r="AO885" s="7">
        <v>97442.0</v>
      </c>
      <c r="AP885" s="7" t="s">
        <v>884</v>
      </c>
      <c r="AQ885" s="7"/>
      <c r="AR885" s="7"/>
      <c r="AS885" s="7"/>
      <c r="AT885" s="7"/>
      <c r="AU885" s="7">
        <v>1.0</v>
      </c>
      <c r="AV885" s="7" t="s">
        <v>10122</v>
      </c>
      <c r="AW885" s="7"/>
      <c r="AX885" s="7"/>
      <c r="AY885" s="7"/>
      <c r="AZ885" s="7" t="s">
        <v>10123</v>
      </c>
      <c r="BA885" s="7"/>
      <c r="BB885" s="7"/>
      <c r="BC885" s="7" t="s">
        <v>401</v>
      </c>
      <c r="BD885" s="7"/>
      <c r="BE885" s="7"/>
      <c r="BF885" s="7"/>
      <c r="BG885" s="7"/>
      <c r="BH885" s="7"/>
      <c r="BI885" s="7" t="s">
        <v>10124</v>
      </c>
      <c r="BJ885" s="7"/>
      <c r="BK885" s="7" t="b">
        <v>0</v>
      </c>
      <c r="BL885" s="7" t="b">
        <v>0</v>
      </c>
      <c r="BM885" s="7"/>
      <c r="BN885" s="7" t="str">
        <f>IFERROR(__xludf.DUMMYFUNCTION(" IF( REGEXMATCH(C885 , ""[(].+[)]""),REGEXREPLACE( CONCATENATE(REGEXEXTRACT(C885 , ""[(].+[)]""),IF(REGEXMATCH(C885 , ""[(][Ll]['’][)]""),"""","" ""), REGEXEXTRACT(C885 ,""^(?:(?:[A-Za-zàäéèêîïöôûü0-9 ](?:[A-Za-zàäéèêîïöôûü'0-9 ]+)))"")) , ""[()]"", """")"&amp;",C885 )"),"Villa Nick &amp; Yv")</f>
        <v>Villa Nick &amp; Yv</v>
      </c>
      <c r="BO885" s="25"/>
      <c r="BP885" s="7"/>
      <c r="BQ885" s="7"/>
      <c r="BR885" s="7"/>
      <c r="BS885" s="7"/>
      <c r="BT885" s="7"/>
      <c r="BU885" s="7"/>
      <c r="BV885" s="7"/>
      <c r="BW885" s="7"/>
      <c r="BX885" s="7"/>
      <c r="BY885" s="7"/>
      <c r="BZ885" s="7"/>
      <c r="CA885" s="7"/>
      <c r="CB885" s="7"/>
    </row>
    <row r="886" ht="21.75" customHeight="1">
      <c r="A886" s="7"/>
      <c r="B886" s="7" t="s">
        <v>10125</v>
      </c>
      <c r="C886" s="7" t="s">
        <v>10126</v>
      </c>
      <c r="D886" s="7"/>
      <c r="E886" s="7"/>
      <c r="F886" s="7"/>
      <c r="G886" s="7" t="s">
        <v>343</v>
      </c>
      <c r="H886" s="7" t="s">
        <v>123</v>
      </c>
      <c r="I886" s="7"/>
      <c r="J886" s="7"/>
      <c r="K886" s="7" t="s">
        <v>58</v>
      </c>
      <c r="L886" s="7" t="s">
        <v>59</v>
      </c>
      <c r="M886" s="7" t="s">
        <v>346</v>
      </c>
      <c r="N886" s="7"/>
      <c r="O886" s="7"/>
      <c r="P886" s="7"/>
      <c r="Q886" s="7" t="s">
        <v>10127</v>
      </c>
      <c r="R886" s="7" t="s">
        <v>8354</v>
      </c>
      <c r="S886" s="7"/>
      <c r="T886" s="7" t="s">
        <v>8184</v>
      </c>
      <c r="U886" s="7"/>
      <c r="V886" s="7"/>
      <c r="W886" s="7"/>
      <c r="X886" s="7"/>
      <c r="Y886" s="7"/>
      <c r="Z886" s="7"/>
      <c r="AA886" s="7">
        <v>8.0</v>
      </c>
      <c r="AB886" s="7"/>
      <c r="AC886" s="7"/>
      <c r="AD886" s="7"/>
      <c r="AE886" s="7"/>
      <c r="AF886" s="7"/>
      <c r="AG886" s="7"/>
      <c r="AH886" s="7"/>
      <c r="AI886" s="7"/>
      <c r="AJ886" s="7"/>
      <c r="AK886" s="7"/>
      <c r="AL886" s="7"/>
      <c r="AM886" s="7"/>
      <c r="AN886" s="7"/>
      <c r="AO886" s="7"/>
      <c r="AP886" s="7"/>
      <c r="AQ886" s="7"/>
      <c r="AR886" s="7"/>
      <c r="AS886" s="7"/>
      <c r="AT886" s="7"/>
      <c r="AU886" s="7">
        <v>1.0</v>
      </c>
      <c r="AV886" s="7"/>
      <c r="AW886" s="7"/>
      <c r="AX886" s="7"/>
      <c r="AY886" s="7"/>
      <c r="AZ886" s="7"/>
      <c r="BA886" s="7"/>
      <c r="BB886" s="7"/>
      <c r="BC886" s="7" t="s">
        <v>401</v>
      </c>
      <c r="BD886" s="7"/>
      <c r="BE886" s="7"/>
      <c r="BF886" s="7"/>
      <c r="BG886" s="7"/>
      <c r="BH886" s="7"/>
      <c r="BI886" s="7"/>
      <c r="BJ886" s="7"/>
      <c r="BK886" s="7" t="b">
        <v>0</v>
      </c>
      <c r="BL886" s="7" t="b">
        <v>0</v>
      </c>
      <c r="BM886" s="7"/>
      <c r="BN886" s="7" t="str">
        <f>IFERROR(__xludf.DUMMYFUNCTION(" IF( REGEXMATCH(C886 , ""[(].+[)]""),REGEXREPLACE( CONCATENATE(REGEXEXTRACT(C886 , ""[(].+[)]""),IF(REGEXMATCH(C886 , ""[(][Ll]['’][)]""),"""","" ""), REGEXEXTRACT(C886 ,""^(?:(?:[A-Za-zàäéèêîïöôûü0-9 ](?:[A-Za-zàäéèêîïöôûü'0-9 ]+)))"")) , ""[()]"", """")"&amp;",C886 )"),"Villa Paille en Queue")</f>
        <v>Villa Paille en Queue</v>
      </c>
      <c r="BO886" s="25"/>
      <c r="BP886" s="7"/>
      <c r="BQ886" s="7"/>
      <c r="BR886" s="7"/>
      <c r="BS886" s="7"/>
      <c r="BT886" s="7"/>
      <c r="BU886" s="7"/>
      <c r="BV886" s="7"/>
      <c r="BW886" s="7"/>
      <c r="BX886" s="7"/>
      <c r="BY886" s="7"/>
      <c r="BZ886" s="7"/>
      <c r="CA886" s="7"/>
      <c r="CB886" s="7"/>
    </row>
    <row r="887" ht="21.75" customHeight="1">
      <c r="A887" s="7"/>
      <c r="B887" s="7" t="s">
        <v>10128</v>
      </c>
      <c r="C887" s="7" t="s">
        <v>10129</v>
      </c>
      <c r="D887" s="7"/>
      <c r="E887" s="7"/>
      <c r="F887" s="7"/>
      <c r="G887" s="7" t="s">
        <v>343</v>
      </c>
      <c r="H887" s="7" t="s">
        <v>123</v>
      </c>
      <c r="I887" s="7" t="s">
        <v>8450</v>
      </c>
      <c r="J887" s="7"/>
      <c r="K887" s="7" t="s">
        <v>58</v>
      </c>
      <c r="L887" s="7" t="s">
        <v>59</v>
      </c>
      <c r="M887" s="7" t="s">
        <v>346</v>
      </c>
      <c r="N887" s="7"/>
      <c r="O887" s="7">
        <v>97480.0</v>
      </c>
      <c r="P887" s="7" t="s">
        <v>123</v>
      </c>
      <c r="Q887" s="7"/>
      <c r="R887" s="7"/>
      <c r="S887" s="7"/>
      <c r="T887" s="7"/>
      <c r="U887" s="7"/>
      <c r="V887" s="7"/>
      <c r="W887" s="7">
        <v>6.9268121E8</v>
      </c>
      <c r="X887" s="7"/>
      <c r="Y887" s="7"/>
      <c r="Z887" s="7" t="s">
        <v>8451</v>
      </c>
      <c r="AA887" s="7">
        <v>6.0</v>
      </c>
      <c r="AB887" s="7"/>
      <c r="AC887" s="7"/>
      <c r="AD887" s="7"/>
      <c r="AE887" s="7"/>
      <c r="AF887" s="7"/>
      <c r="AG887" s="7"/>
      <c r="AH887" s="7"/>
      <c r="AI887" s="7"/>
      <c r="AJ887" s="7" t="s">
        <v>8452</v>
      </c>
      <c r="AK887" s="7"/>
      <c r="AL887" s="7" t="s">
        <v>8450</v>
      </c>
      <c r="AM887" s="7" t="s">
        <v>8453</v>
      </c>
      <c r="AN887" s="7"/>
      <c r="AO887" s="7">
        <v>97480.0</v>
      </c>
      <c r="AP887" s="7" t="s">
        <v>385</v>
      </c>
      <c r="AQ887" s="7"/>
      <c r="AR887" s="7"/>
      <c r="AS887" s="7"/>
      <c r="AT887" s="7"/>
      <c r="AU887" s="7"/>
      <c r="AV887" s="7" t="s">
        <v>8454</v>
      </c>
      <c r="AW887" s="7"/>
      <c r="AX887" s="7"/>
      <c r="AY887" s="7"/>
      <c r="AZ887" s="7" t="s">
        <v>8455</v>
      </c>
      <c r="BA887" s="7"/>
      <c r="BB887" s="7"/>
      <c r="BC887" s="7" t="s">
        <v>401</v>
      </c>
      <c r="BD887" s="7"/>
      <c r="BE887" s="7"/>
      <c r="BF887" s="7"/>
      <c r="BG887" s="7"/>
      <c r="BH887" s="7"/>
      <c r="BI887" s="7" t="s">
        <v>8456</v>
      </c>
      <c r="BJ887" s="7"/>
      <c r="BK887" s="7" t="b">
        <v>0</v>
      </c>
      <c r="BL887" s="7" t="b">
        <v>0</v>
      </c>
      <c r="BM887" s="7"/>
      <c r="BN887" s="7" t="str">
        <f>IFERROR(__xludf.DUMMYFUNCTION(" IF( REGEXMATCH(C887 , ""[(].+[)]""),REGEXREPLACE( CONCATENATE(REGEXEXTRACT(C887 , ""[(].+[)]""),IF(REGEXMATCH(C887 , ""[(][Ll]['’][)]""),"""","" ""), REGEXEXTRACT(C887 ,""^(?:(?:[A-Za-zàäéèêîïöôûü0-9 ](?:[A-Za-zàäéèêîïöôûü'0-9 ]+)))"")) , ""[()]"", """")"&amp;",C887 )"),"Villa piscine débordement et vue exceptionnelle")</f>
        <v>Villa piscine débordement et vue exceptionnelle</v>
      </c>
      <c r="BO887" s="25"/>
      <c r="BP887" s="7"/>
      <c r="BQ887" s="7"/>
      <c r="BR887" s="7"/>
      <c r="BS887" s="7"/>
      <c r="BT887" s="7"/>
      <c r="BU887" s="7"/>
      <c r="BV887" s="7"/>
      <c r="BW887" s="7"/>
      <c r="BX887" s="7"/>
      <c r="BY887" s="7"/>
      <c r="BZ887" s="7"/>
      <c r="CA887" s="7"/>
      <c r="CB887" s="7"/>
    </row>
    <row r="888" ht="21.75" customHeight="1">
      <c r="A888" s="7"/>
      <c r="B888" s="7" t="s">
        <v>10130</v>
      </c>
      <c r="C888" s="7" t="s">
        <v>10131</v>
      </c>
      <c r="D888" s="7"/>
      <c r="E888" s="7"/>
      <c r="F888" s="7"/>
      <c r="G888" s="7" t="s">
        <v>343</v>
      </c>
      <c r="H888" s="7" t="s">
        <v>40</v>
      </c>
      <c r="I888" s="7" t="s">
        <v>10132</v>
      </c>
      <c r="J888" s="26" t="s">
        <v>10133</v>
      </c>
      <c r="K888" s="7" t="s">
        <v>58</v>
      </c>
      <c r="L888" s="7" t="s">
        <v>453</v>
      </c>
      <c r="M888" s="7" t="s">
        <v>454</v>
      </c>
      <c r="N888" s="7"/>
      <c r="O888" s="7">
        <v>97414.0</v>
      </c>
      <c r="P888" s="7" t="s">
        <v>40</v>
      </c>
      <c r="Q888" s="7" t="s">
        <v>8279</v>
      </c>
      <c r="R888" s="7"/>
      <c r="S888" s="7"/>
      <c r="T888" s="7"/>
      <c r="U888" s="7"/>
      <c r="V888" s="7"/>
      <c r="W888" s="7">
        <v>6.93402558E8</v>
      </c>
      <c r="X888" s="7"/>
      <c r="Y888" s="7"/>
      <c r="Z888" s="7" t="s">
        <v>10134</v>
      </c>
      <c r="AA888" s="7">
        <v>6.0</v>
      </c>
      <c r="AB888" s="7"/>
      <c r="AC888" s="7"/>
      <c r="AD888" s="7"/>
      <c r="AE888" s="7"/>
      <c r="AF888" s="7"/>
      <c r="AG888" s="7"/>
      <c r="AH888" s="7"/>
      <c r="AI888" s="7"/>
      <c r="AJ888" s="7" t="s">
        <v>10135</v>
      </c>
      <c r="AK888" s="7"/>
      <c r="AL888" s="7" t="s">
        <v>10136</v>
      </c>
      <c r="AM888" s="7" t="s">
        <v>10137</v>
      </c>
      <c r="AN888" s="7"/>
      <c r="AO888" s="7">
        <v>97414.0</v>
      </c>
      <c r="AP888" s="7" t="s">
        <v>429</v>
      </c>
      <c r="AQ888" s="7"/>
      <c r="AR888" s="7"/>
      <c r="AS888" s="7"/>
      <c r="AT888" s="7"/>
      <c r="AU888" s="7">
        <v>1.0</v>
      </c>
      <c r="AV888" s="7" t="s">
        <v>10138</v>
      </c>
      <c r="AW888" s="7"/>
      <c r="AX888" s="7"/>
      <c r="AY888" s="7"/>
      <c r="AZ888" s="7" t="s">
        <v>10139</v>
      </c>
      <c r="BA888" s="7"/>
      <c r="BB888" s="7"/>
      <c r="BC888" s="7" t="s">
        <v>401</v>
      </c>
      <c r="BD888" s="7"/>
      <c r="BE888" s="7"/>
      <c r="BF888" s="7"/>
      <c r="BG888" s="7"/>
      <c r="BH888" s="7"/>
      <c r="BI888" s="7" t="s">
        <v>10140</v>
      </c>
      <c r="BJ888" s="7"/>
      <c r="BK888" s="7" t="b">
        <v>0</v>
      </c>
      <c r="BL888" s="7" t="b">
        <v>0</v>
      </c>
      <c r="BM888" s="7"/>
      <c r="BN888" s="7" t="str">
        <f>IFERROR(__xludf.DUMMYFUNCTION(" IF( REGEXMATCH(C888 , ""[(].+[)]""),REGEXREPLACE( CONCATENATE(REGEXEXTRACT(C888 , ""[(].+[)]""),IF(REGEXMATCH(C888 , ""[(][Ll]['’][)]""),"""","" ""), REGEXEXTRACT(C888 ,""^(?:(?:[A-Za-zàäéèêîïöôûü0-9 ](?:[A-Za-zàäéèêîïöôûü'0-9 ]+)))"")) , ""[()]"", """")"&amp;",C888 )"),"Villa Pitaya")</f>
        <v>Villa Pitaya</v>
      </c>
      <c r="BO888" s="25"/>
      <c r="BP888" s="7"/>
      <c r="BQ888" s="7"/>
      <c r="BR888" s="7"/>
      <c r="BS888" s="7"/>
      <c r="BT888" s="7"/>
      <c r="BU888" s="7"/>
      <c r="BV888" s="7"/>
      <c r="BW888" s="7"/>
      <c r="BX888" s="7"/>
      <c r="BY888" s="7"/>
      <c r="BZ888" s="7"/>
      <c r="CA888" s="7"/>
      <c r="CB888" s="7"/>
    </row>
    <row r="889" ht="21.75" customHeight="1">
      <c r="A889" s="7"/>
      <c r="B889" s="7" t="s">
        <v>10141</v>
      </c>
      <c r="C889" s="7" t="s">
        <v>10142</v>
      </c>
      <c r="D889" s="7"/>
      <c r="E889" s="7"/>
      <c r="F889" s="7"/>
      <c r="G889" s="7" t="s">
        <v>343</v>
      </c>
      <c r="H889" s="7" t="s">
        <v>123</v>
      </c>
      <c r="I889" s="7" t="s">
        <v>10143</v>
      </c>
      <c r="J889" s="7"/>
      <c r="K889" s="7" t="s">
        <v>58</v>
      </c>
      <c r="L889" s="7" t="s">
        <v>59</v>
      </c>
      <c r="M889" s="7" t="s">
        <v>346</v>
      </c>
      <c r="N889" s="7"/>
      <c r="O889" s="7">
        <v>97480.0</v>
      </c>
      <c r="P889" s="7" t="s">
        <v>123</v>
      </c>
      <c r="Q889" s="7"/>
      <c r="R889" s="7"/>
      <c r="S889" s="7"/>
      <c r="T889" s="7"/>
      <c r="U889" s="7"/>
      <c r="V889" s="7"/>
      <c r="W889" s="7">
        <v>6.93018181E8</v>
      </c>
      <c r="X889" s="7"/>
      <c r="Y889" s="7"/>
      <c r="Z889" s="7" t="s">
        <v>10144</v>
      </c>
      <c r="AA889" s="7">
        <v>9.0</v>
      </c>
      <c r="AB889" s="7"/>
      <c r="AC889" s="7"/>
      <c r="AD889" s="7"/>
      <c r="AE889" s="7"/>
      <c r="AF889" s="7"/>
      <c r="AG889" s="7"/>
      <c r="AH889" s="7"/>
      <c r="AI889" s="7"/>
      <c r="AJ889" s="7" t="s">
        <v>10145</v>
      </c>
      <c r="AK889" s="7"/>
      <c r="AL889" s="7" t="s">
        <v>10146</v>
      </c>
      <c r="AM889" s="7" t="s">
        <v>10147</v>
      </c>
      <c r="AN889" s="7"/>
      <c r="AO889" s="7">
        <v>97480.0</v>
      </c>
      <c r="AP889" s="7" t="s">
        <v>385</v>
      </c>
      <c r="AQ889" s="7"/>
      <c r="AR889" s="7"/>
      <c r="AS889" s="7"/>
      <c r="AT889" s="7"/>
      <c r="AU889" s="7">
        <v>1.0</v>
      </c>
      <c r="AV889" s="7" t="s">
        <v>10148</v>
      </c>
      <c r="AW889" s="7"/>
      <c r="AX889" s="7"/>
      <c r="AY889" s="7"/>
      <c r="AZ889" s="7" t="s">
        <v>10149</v>
      </c>
      <c r="BA889" s="7"/>
      <c r="BB889" s="7"/>
      <c r="BC889" s="7" t="s">
        <v>401</v>
      </c>
      <c r="BD889" s="7"/>
      <c r="BE889" s="7"/>
      <c r="BF889" s="7"/>
      <c r="BG889" s="7"/>
      <c r="BH889" s="7"/>
      <c r="BI889" s="7" t="s">
        <v>10150</v>
      </c>
      <c r="BJ889" s="7"/>
      <c r="BK889" s="7" t="b">
        <v>0</v>
      </c>
      <c r="BL889" s="7" t="b">
        <v>0</v>
      </c>
      <c r="BM889" s="7"/>
      <c r="BN889" s="7" t="str">
        <f>IFERROR(__xludf.DUMMYFUNCTION(" IF( REGEXMATCH(C889 , ""[(].+[)]""),REGEXREPLACE( CONCATENATE(REGEXEXTRACT(C889 , ""[(].+[)]""),IF(REGEXMATCH(C889 , ""[(][Ll]['’][)]""),"""","" ""), REGEXEXTRACT(C889 ,""^(?:(?:[A-Za-zàäéèêîïöôûü0-9 ](?:[A-Za-zàäéèêîïöôûü'0-9 ]+)))"")) , ""[()]"", """")"&amp;",C889 )"),"Villa Réunion")</f>
        <v>Villa Réunion</v>
      </c>
      <c r="BO889" s="25"/>
      <c r="BP889" s="7"/>
      <c r="BQ889" s="7"/>
      <c r="BR889" s="7"/>
      <c r="BS889" s="7"/>
      <c r="BT889" s="7"/>
      <c r="BU889" s="7"/>
      <c r="BV889" s="7"/>
      <c r="BW889" s="7"/>
      <c r="BX889" s="7"/>
      <c r="BY889" s="7"/>
      <c r="BZ889" s="7"/>
      <c r="CA889" s="7"/>
      <c r="CB889" s="7"/>
    </row>
    <row r="890" ht="21.75" customHeight="1">
      <c r="A890" s="7"/>
      <c r="B890" s="7" t="s">
        <v>10151</v>
      </c>
      <c r="C890" s="7" t="s">
        <v>10152</v>
      </c>
      <c r="D890" s="7"/>
      <c r="E890" s="7"/>
      <c r="F890" s="7"/>
      <c r="G890" s="7" t="s">
        <v>343</v>
      </c>
      <c r="H890" s="7" t="s">
        <v>40</v>
      </c>
      <c r="I890" s="7" t="s">
        <v>10153</v>
      </c>
      <c r="J890" s="7"/>
      <c r="K890" s="7" t="s">
        <v>58</v>
      </c>
      <c r="L890" s="7" t="s">
        <v>59</v>
      </c>
      <c r="M890" s="7" t="s">
        <v>346</v>
      </c>
      <c r="N890" s="7"/>
      <c r="O890" s="7">
        <v>97414.0</v>
      </c>
      <c r="P890" s="7" t="s">
        <v>40</v>
      </c>
      <c r="Q890" s="7" t="s">
        <v>8279</v>
      </c>
      <c r="R890" s="7"/>
      <c r="S890" s="7"/>
      <c r="T890" s="7"/>
      <c r="U890" s="7"/>
      <c r="V890" s="7"/>
      <c r="W890" s="7">
        <v>6.93902144E8</v>
      </c>
      <c r="X890" s="7"/>
      <c r="Y890" s="7"/>
      <c r="Z890" s="7" t="s">
        <v>10154</v>
      </c>
      <c r="AA890" s="7">
        <v>10.0</v>
      </c>
      <c r="AB890" s="7"/>
      <c r="AC890" s="7"/>
      <c r="AD890" s="7"/>
      <c r="AE890" s="7"/>
      <c r="AF890" s="7"/>
      <c r="AG890" s="7"/>
      <c r="AH890" s="7"/>
      <c r="AI890" s="7"/>
      <c r="AJ890" s="7" t="s">
        <v>10155</v>
      </c>
      <c r="AK890" s="7"/>
      <c r="AL890" s="7" t="s">
        <v>10156</v>
      </c>
      <c r="AM890" s="7" t="s">
        <v>10157</v>
      </c>
      <c r="AN890" s="7"/>
      <c r="AO890" s="7">
        <v>97414.0</v>
      </c>
      <c r="AP890" s="7" t="s">
        <v>429</v>
      </c>
      <c r="AQ890" s="7"/>
      <c r="AR890" s="7"/>
      <c r="AS890" s="7"/>
      <c r="AT890" s="7"/>
      <c r="AU890" s="7">
        <v>1.0</v>
      </c>
      <c r="AV890" s="7" t="s">
        <v>10158</v>
      </c>
      <c r="AW890" s="7"/>
      <c r="AX890" s="7"/>
      <c r="AY890" s="7"/>
      <c r="AZ890" s="7" t="s">
        <v>10159</v>
      </c>
      <c r="BA890" s="7"/>
      <c r="BB890" s="7"/>
      <c r="BC890" s="7" t="s">
        <v>401</v>
      </c>
      <c r="BD890" s="7"/>
      <c r="BE890" s="7"/>
      <c r="BF890" s="7"/>
      <c r="BG890" s="7"/>
      <c r="BH890" s="7"/>
      <c r="BI890" s="7" t="s">
        <v>10160</v>
      </c>
      <c r="BJ890" s="7"/>
      <c r="BK890" s="7" t="b">
        <v>0</v>
      </c>
      <c r="BL890" s="7" t="b">
        <v>0</v>
      </c>
      <c r="BM890" s="7"/>
      <c r="BN890" s="7" t="str">
        <f>IFERROR(__xludf.DUMMYFUNCTION(" IF( REGEXMATCH(C890 , ""[(].+[)]""),REGEXREPLACE( CONCATENATE(REGEXEXTRACT(C890 , ""[(].+[)]""),IF(REGEXMATCH(C890 , ""[(][Ll]['’][)]""),"""","" ""), REGEXEXTRACT(C890 ,""^(?:(?:[A-Za-zàäéèêîïöôûü0-9 ](?:[A-Za-zàäéèêîïöôûü'0-9 ]+)))"")) , ""[()]"", """")"&amp;",C890 )"),"Villa Sassa")</f>
        <v>Villa Sassa</v>
      </c>
      <c r="BO890" s="25"/>
      <c r="BP890" s="7"/>
      <c r="BQ890" s="7"/>
      <c r="BR890" s="7"/>
      <c r="BS890" s="7"/>
      <c r="BT890" s="7"/>
      <c r="BU890" s="7"/>
      <c r="BV890" s="7"/>
      <c r="BW890" s="7"/>
      <c r="BX890" s="7"/>
      <c r="BY890" s="7"/>
      <c r="BZ890" s="7"/>
      <c r="CA890" s="7"/>
      <c r="CB890" s="7"/>
    </row>
    <row r="891" ht="21.75" customHeight="1">
      <c r="A891" s="7"/>
      <c r="B891" s="7" t="s">
        <v>10161</v>
      </c>
      <c r="C891" s="7" t="s">
        <v>10162</v>
      </c>
      <c r="D891" s="7"/>
      <c r="E891" s="7"/>
      <c r="F891" s="7"/>
      <c r="G891" s="7" t="s">
        <v>343</v>
      </c>
      <c r="H891" s="7" t="s">
        <v>123</v>
      </c>
      <c r="I891" s="7" t="s">
        <v>10163</v>
      </c>
      <c r="J891" s="26" t="s">
        <v>10164</v>
      </c>
      <c r="K891" s="6" t="s">
        <v>469</v>
      </c>
      <c r="L891" s="7"/>
      <c r="M891" s="7"/>
      <c r="N891" s="7"/>
      <c r="O891" s="7">
        <v>97480.0</v>
      </c>
      <c r="P891" s="7" t="s">
        <v>123</v>
      </c>
      <c r="Q891" s="7" t="s">
        <v>3556</v>
      </c>
      <c r="R891" s="7"/>
      <c r="S891" s="7"/>
      <c r="T891" s="7"/>
      <c r="U891" s="7" t="s">
        <v>378</v>
      </c>
      <c r="V891" s="7">
        <v>2.62913248E8</v>
      </c>
      <c r="W891" s="7"/>
      <c r="X891" s="7"/>
      <c r="Y891" s="7"/>
      <c r="Z891" s="7" t="s">
        <v>10165</v>
      </c>
      <c r="AA891" s="7"/>
      <c r="AB891" s="7"/>
      <c r="AC891" s="7"/>
      <c r="AD891" s="7" t="s">
        <v>10166</v>
      </c>
      <c r="AE891" s="7"/>
      <c r="AF891" s="7"/>
      <c r="AG891" s="7"/>
      <c r="AH891" s="7"/>
      <c r="AI891" s="7"/>
      <c r="AJ891" s="7" t="s">
        <v>10167</v>
      </c>
      <c r="AK891" s="7"/>
      <c r="AL891" s="7"/>
      <c r="AM891" s="7" t="s">
        <v>10168</v>
      </c>
      <c r="AN891" s="7"/>
      <c r="AO891" s="7"/>
      <c r="AP891" s="7"/>
      <c r="AQ891" s="7"/>
      <c r="AR891" s="7"/>
      <c r="AS891" s="7"/>
      <c r="AT891" s="7"/>
      <c r="AU891" s="7"/>
      <c r="AV891" s="7" t="s">
        <v>10169</v>
      </c>
      <c r="AW891" s="7"/>
      <c r="AX891" s="7"/>
      <c r="AY891" s="7"/>
      <c r="AZ891" s="7"/>
      <c r="BA891" s="7"/>
      <c r="BB891" s="7"/>
      <c r="BC891" s="7" t="s">
        <v>401</v>
      </c>
      <c r="BD891" s="7"/>
      <c r="BE891" s="7"/>
      <c r="BF891" s="7"/>
      <c r="BG891" s="7"/>
      <c r="BH891" s="7"/>
      <c r="BI891" s="7" t="s">
        <v>10170</v>
      </c>
      <c r="BJ891" s="7"/>
      <c r="BK891" s="7" t="b">
        <v>0</v>
      </c>
      <c r="BL891" s="7" t="b">
        <v>0</v>
      </c>
      <c r="BM891" s="7"/>
      <c r="BN891" s="7" t="str">
        <f>IFERROR(__xludf.DUMMYFUNCTION(" IF( REGEXMATCH(C891 , ""[(].+[)]""),REGEXREPLACE( CONCATENATE(REGEXEXTRACT(C891 , ""[(].+[)]""),IF(REGEXMATCH(C891 , ""[(][Ll]['’][)]""),"""","" ""), REGEXEXTRACT(C891 ,""^(?:(?:[A-Za-zàäéèêîïöôûü0-9 ](?:[A-Za-zàäéèêîïöôûü'0-9 ]+)))"")) , ""[()]"", """")"&amp;",C891 )"),"Village Pêche Nature")</f>
        <v>Village Pêche Nature</v>
      </c>
      <c r="BO891" s="25"/>
      <c r="BP891" s="7"/>
      <c r="BQ891" s="7"/>
      <c r="BR891" s="7"/>
      <c r="BS891" s="7"/>
      <c r="BT891" s="7"/>
      <c r="BU891" s="7"/>
      <c r="BV891" s="7"/>
      <c r="BW891" s="7"/>
      <c r="BX891" s="7"/>
      <c r="BY891" s="7"/>
      <c r="BZ891" s="7"/>
      <c r="CA891" s="7"/>
      <c r="CB891" s="7"/>
    </row>
    <row r="892" ht="21.75" customHeight="1">
      <c r="A892" s="7"/>
      <c r="B892" s="7" t="s">
        <v>10171</v>
      </c>
      <c r="C892" s="7" t="s">
        <v>10172</v>
      </c>
      <c r="D892" s="7"/>
      <c r="E892" s="7"/>
      <c r="F892" s="7"/>
      <c r="G892" s="7" t="s">
        <v>343</v>
      </c>
      <c r="H892" s="7" t="s">
        <v>123</v>
      </c>
      <c r="I892" s="7" t="s">
        <v>10173</v>
      </c>
      <c r="J892" s="7"/>
      <c r="K892" s="6" t="s">
        <v>469</v>
      </c>
      <c r="L892" s="7" t="s">
        <v>470</v>
      </c>
      <c r="M892" s="7" t="s">
        <v>5109</v>
      </c>
      <c r="N892" s="7"/>
      <c r="O892" s="7">
        <v>97480.0</v>
      </c>
      <c r="P892" s="7" t="s">
        <v>123</v>
      </c>
      <c r="Q892" s="7" t="s">
        <v>9102</v>
      </c>
      <c r="R892" s="7"/>
      <c r="S892" s="7"/>
      <c r="T892" s="7"/>
      <c r="U892" s="7" t="s">
        <v>424</v>
      </c>
      <c r="V892" s="7"/>
      <c r="W892" s="7">
        <v>6.92085383E8</v>
      </c>
      <c r="X892" s="7"/>
      <c r="Y892" s="7"/>
      <c r="Z892" s="7" t="s">
        <v>10174</v>
      </c>
      <c r="AA892" s="7">
        <v>6.0</v>
      </c>
      <c r="AB892" s="7"/>
      <c r="AC892" s="7"/>
      <c r="AD892" s="7" t="s">
        <v>10175</v>
      </c>
      <c r="AE892" s="7"/>
      <c r="AF892" s="7"/>
      <c r="AG892" s="7"/>
      <c r="AH892" s="7"/>
      <c r="AI892" s="7"/>
      <c r="AJ892" s="7" t="s">
        <v>10176</v>
      </c>
      <c r="AK892" s="7"/>
      <c r="AL892" s="7"/>
      <c r="AM892" s="7" t="s">
        <v>10177</v>
      </c>
      <c r="AN892" s="7"/>
      <c r="AO892" s="7"/>
      <c r="AP892" s="7"/>
      <c r="AQ892" s="7"/>
      <c r="AR892" s="7"/>
      <c r="AS892" s="7"/>
      <c r="AT892" s="7"/>
      <c r="AU892" s="7"/>
      <c r="AV892" s="7" t="s">
        <v>10178</v>
      </c>
      <c r="AW892" s="7"/>
      <c r="AX892" s="7"/>
      <c r="AY892" s="7"/>
      <c r="AZ892" s="7"/>
      <c r="BA892" s="7"/>
      <c r="BB892" s="7"/>
      <c r="BC892" s="7" t="s">
        <v>401</v>
      </c>
      <c r="BD892" s="7"/>
      <c r="BE892" s="7"/>
      <c r="BF892" s="7"/>
      <c r="BG892" s="7"/>
      <c r="BH892" s="7"/>
      <c r="BI892" s="7" t="s">
        <v>10179</v>
      </c>
      <c r="BJ892" s="7"/>
      <c r="BK892" s="7" t="b">
        <v>0</v>
      </c>
      <c r="BL892" s="7" t="b">
        <v>0</v>
      </c>
      <c r="BM892" s="7"/>
      <c r="BN892" s="7" t="str">
        <f>IFERROR(__xludf.DUMMYFUNCTION(" IF( REGEXMATCH(C892 , ""[(].+[)]""),REGEXREPLACE( CONCATENATE(REGEXEXTRACT(C892 , ""[(].+[)]""),IF(REGEXMATCH(C892 , ""[(][Ll]['’][)]""),"""","" ""), REGEXEXTRACT(C892 ,""^(?:(?:[A-Za-zàäéèêîïöôûü0-9 ](?:[A-Za-zàäéèêîïöôûü'0-9 ]+)))"")) , ""[()]"", """")"&amp;",C892 )"),"Z'ile 4*4")</f>
        <v>Z'ile 4*4</v>
      </c>
      <c r="BO892" s="25"/>
      <c r="BP892" s="7"/>
      <c r="BQ892" s="7"/>
      <c r="BR892" s="7"/>
      <c r="BS892" s="7"/>
      <c r="BT892" s="7"/>
      <c r="BU892" s="7"/>
      <c r="BV892" s="7"/>
      <c r="BW892" s="7"/>
      <c r="BX892" s="7"/>
      <c r="BY892" s="7"/>
      <c r="BZ892" s="7"/>
      <c r="CA892" s="7"/>
      <c r="CB892" s="7"/>
    </row>
    <row r="893" ht="21.75" customHeight="1">
      <c r="A893" s="7"/>
      <c r="B893" s="7" t="s">
        <v>10180</v>
      </c>
      <c r="C893" s="7" t="s">
        <v>10181</v>
      </c>
      <c r="D893" s="7"/>
      <c r="E893" s="7"/>
      <c r="F893" s="7"/>
      <c r="G893" s="7" t="s">
        <v>343</v>
      </c>
      <c r="H893" s="7" t="s">
        <v>123</v>
      </c>
      <c r="I893" s="7" t="s">
        <v>10182</v>
      </c>
      <c r="J893" s="7"/>
      <c r="K893" s="7" t="s">
        <v>58</v>
      </c>
      <c r="L893" s="7" t="s">
        <v>59</v>
      </c>
      <c r="M893" s="7" t="s">
        <v>346</v>
      </c>
      <c r="N893" s="7" t="s">
        <v>455</v>
      </c>
      <c r="O893" s="7">
        <v>97480.0</v>
      </c>
      <c r="P893" s="7" t="s">
        <v>123</v>
      </c>
      <c r="Q893" s="7" t="s">
        <v>4456</v>
      </c>
      <c r="R893" s="7"/>
      <c r="S893" s="7"/>
      <c r="T893" s="7" t="s">
        <v>377</v>
      </c>
      <c r="U893" s="7" t="s">
        <v>353</v>
      </c>
      <c r="V893" s="7"/>
      <c r="W893" s="7">
        <v>6.9258482E8</v>
      </c>
      <c r="X893" s="7"/>
      <c r="Y893" s="7"/>
      <c r="Z893" s="7" t="s">
        <v>10183</v>
      </c>
      <c r="AA893" s="7">
        <v>6.0</v>
      </c>
      <c r="AB893" s="7"/>
      <c r="AC893" s="7"/>
      <c r="AD893" s="7" t="s">
        <v>10184</v>
      </c>
      <c r="AE893" s="7"/>
      <c r="AF893" s="7"/>
      <c r="AG893" s="7"/>
      <c r="AH893" s="7"/>
      <c r="AI893" s="7"/>
      <c r="AJ893" s="7" t="s">
        <v>10185</v>
      </c>
      <c r="AK893" s="7"/>
      <c r="AL893" s="7" t="s">
        <v>10186</v>
      </c>
      <c r="AM893" s="7" t="s">
        <v>10187</v>
      </c>
      <c r="AN893" s="7"/>
      <c r="AO893" s="7">
        <v>97480.0</v>
      </c>
      <c r="AP893" s="7" t="s">
        <v>385</v>
      </c>
      <c r="AQ893" s="7"/>
      <c r="AR893" s="7"/>
      <c r="AS893" s="7"/>
      <c r="AT893" s="7"/>
      <c r="AU893" s="7">
        <v>3.0</v>
      </c>
      <c r="AV893" s="7" t="s">
        <v>10188</v>
      </c>
      <c r="AW893" s="7"/>
      <c r="AX893" s="7"/>
      <c r="AY893" s="7"/>
      <c r="AZ893" s="7" t="s">
        <v>10189</v>
      </c>
      <c r="BA893" s="7"/>
      <c r="BB893" s="7"/>
      <c r="BC893" s="7" t="s">
        <v>401</v>
      </c>
      <c r="BD893" s="7"/>
      <c r="BE893" s="7"/>
      <c r="BF893" s="7"/>
      <c r="BG893" s="7"/>
      <c r="BH893" s="7"/>
      <c r="BI893" s="7" t="s">
        <v>10190</v>
      </c>
      <c r="BJ893" s="7"/>
      <c r="BK893" s="7" t="b">
        <v>0</v>
      </c>
      <c r="BL893" s="7" t="b">
        <v>0</v>
      </c>
      <c r="BM893" s="7"/>
      <c r="BN893" s="7" t="str">
        <f>IFERROR(__xludf.DUMMYFUNCTION(" IF( REGEXMATCH(C893 , ""[(].+[)]""),REGEXREPLACE( CONCATENATE(REGEXEXTRACT(C893 , ""[(].+[)]""),IF(REGEXMATCH(C893 , ""[(][Ll]['’][)]""),"""","" ""), REGEXEXTRACT(C893 ,""^(?:(?:[A-Za-zàäéèêîïöôûü0-9 ](?:[A-Za-zàäéèêîïöôûü'0-9 ]+)))"")) , ""[()]"", """")"&amp;",C893 )"),"Les Zamours des Lianes ")</f>
        <v>Les Zamours des Lianes </v>
      </c>
      <c r="BO893" s="25"/>
      <c r="BP893" s="7"/>
      <c r="BQ893" s="7"/>
      <c r="BR893" s="7"/>
      <c r="BS893" s="7"/>
      <c r="BT893" s="7"/>
      <c r="BU893" s="7"/>
      <c r="BV893" s="7"/>
      <c r="BW893" s="7"/>
      <c r="BX893" s="7"/>
      <c r="BY893" s="7"/>
      <c r="BZ893" s="7"/>
      <c r="CA893" s="7"/>
      <c r="CB893" s="7"/>
    </row>
    <row r="894" ht="21.75" customHeight="1">
      <c r="A894" s="7"/>
      <c r="B894" s="7" t="s">
        <v>261</v>
      </c>
      <c r="C894" s="7" t="s">
        <v>10191</v>
      </c>
      <c r="D894" s="7" t="s">
        <v>10192</v>
      </c>
      <c r="E894" s="7"/>
      <c r="F894" s="7"/>
      <c r="G894" s="7" t="s">
        <v>343</v>
      </c>
      <c r="H894" s="7" t="s">
        <v>344</v>
      </c>
      <c r="I894" s="7" t="s">
        <v>10193</v>
      </c>
      <c r="J894" s="7"/>
      <c r="K894" s="6" t="s">
        <v>469</v>
      </c>
      <c r="L894" s="7" t="s">
        <v>197</v>
      </c>
      <c r="M894" s="7"/>
      <c r="N894" s="7" t="s">
        <v>664</v>
      </c>
      <c r="O894" s="7">
        <v>97430.0</v>
      </c>
      <c r="P894" s="7" t="s">
        <v>344</v>
      </c>
      <c r="Q894" s="7" t="s">
        <v>10194</v>
      </c>
      <c r="R894" s="7"/>
      <c r="S894" s="7"/>
      <c r="T894" s="7"/>
      <c r="U894" s="7"/>
      <c r="V894" s="7"/>
      <c r="W894" s="7">
        <v>6.92989263E8</v>
      </c>
      <c r="X894" s="7"/>
      <c r="Y894" s="7"/>
      <c r="Z894" s="7" t="s">
        <v>10195</v>
      </c>
      <c r="AA894" s="7"/>
      <c r="AB894" s="7"/>
      <c r="AC894" s="7"/>
      <c r="AD894" s="7" t="s">
        <v>10196</v>
      </c>
      <c r="AE894" s="7"/>
      <c r="AF894" s="7"/>
      <c r="AG894" s="7"/>
      <c r="AH894" s="7"/>
      <c r="AI894" s="7"/>
      <c r="AJ894" s="7" t="s">
        <v>10197</v>
      </c>
      <c r="AK894" s="7"/>
      <c r="AL894" s="7" t="s">
        <v>10198</v>
      </c>
      <c r="AM894" s="7"/>
      <c r="AN894" s="7"/>
      <c r="AO894" s="7">
        <v>97430.0</v>
      </c>
      <c r="AP894" s="7" t="s">
        <v>494</v>
      </c>
      <c r="AQ894" s="7"/>
      <c r="AR894" s="7"/>
      <c r="AS894" s="7"/>
      <c r="AT894" s="7"/>
      <c r="AU894" s="7">
        <v>1.0</v>
      </c>
      <c r="AV894" s="7"/>
      <c r="AW894" s="7"/>
      <c r="AX894" s="7"/>
      <c r="AY894" s="7"/>
      <c r="AZ894" s="7"/>
      <c r="BA894" s="7"/>
      <c r="BB894" s="7"/>
      <c r="BC894" s="7" t="s">
        <v>401</v>
      </c>
      <c r="BD894" s="7"/>
      <c r="BE894" s="7"/>
      <c r="BF894" s="7"/>
      <c r="BG894" s="7"/>
      <c r="BH894" s="7"/>
      <c r="BI894" s="7"/>
      <c r="BJ894" s="7"/>
      <c r="BK894" s="7" t="b">
        <v>0</v>
      </c>
      <c r="BL894" s="7" t="b">
        <v>0</v>
      </c>
      <c r="BM894" s="7"/>
      <c r="BN894" s="7" t="str">
        <f>IFERROR(__xludf.DUMMYFUNCTION(" IF( REGEXMATCH(C894 , ""[(].+[)]""),REGEXREPLACE( CONCATENATE(REGEXEXTRACT(C894 , ""[(].+[)]""),IF(REGEXMATCH(C894 , ""[(][Ll]['’][)]""),"""","" ""), REGEXEXTRACT(C894 ,""^(?:(?:[A-Za-zàäéèêîïöôûü0-9 ](?:[A-Za-zàäéèêîïöôûü'0-9 ]+)))"")) , ""[()]"", """")"&amp;",C894 )"),"ZAMPONE")</f>
        <v>ZAMPONE</v>
      </c>
      <c r="BO894" s="25"/>
      <c r="BP894" s="7"/>
      <c r="BQ894" s="7"/>
      <c r="BR894" s="7"/>
      <c r="BS894" s="7"/>
      <c r="BT894" s="7"/>
      <c r="BU894" s="7"/>
      <c r="BV894" s="7"/>
      <c r="BW894" s="7"/>
      <c r="BX894" s="7"/>
      <c r="BY894" s="7"/>
      <c r="BZ894" s="7"/>
      <c r="CA894" s="7"/>
      <c r="CB894" s="7"/>
    </row>
    <row r="895" ht="21.75" customHeight="1">
      <c r="A895" s="7"/>
      <c r="B895" s="7" t="s">
        <v>10199</v>
      </c>
      <c r="C895" s="7" t="s">
        <v>10200</v>
      </c>
      <c r="D895" s="7"/>
      <c r="E895" s="7"/>
      <c r="F895" s="7"/>
      <c r="G895" s="7" t="s">
        <v>343</v>
      </c>
      <c r="H895" s="7" t="s">
        <v>344</v>
      </c>
      <c r="I895" s="7" t="s">
        <v>10201</v>
      </c>
      <c r="J895" s="7"/>
      <c r="K895" s="7" t="s">
        <v>58</v>
      </c>
      <c r="L895" s="7" t="s">
        <v>59</v>
      </c>
      <c r="M895" s="7"/>
      <c r="N895" s="7"/>
      <c r="O895" s="7">
        <v>97430.0</v>
      </c>
      <c r="P895" s="7" t="s">
        <v>344</v>
      </c>
      <c r="Q895" s="7" t="s">
        <v>9050</v>
      </c>
      <c r="R895" s="7"/>
      <c r="S895" s="7"/>
      <c r="T895" s="7"/>
      <c r="U895" s="7"/>
      <c r="V895" s="7"/>
      <c r="W895" s="7">
        <v>6.92520052E8</v>
      </c>
      <c r="X895" s="7"/>
      <c r="Y895" s="7"/>
      <c r="Z895" s="7" t="s">
        <v>10202</v>
      </c>
      <c r="AA895" s="7">
        <v>8.0</v>
      </c>
      <c r="AB895" s="7"/>
      <c r="AC895" s="7"/>
      <c r="AD895" s="7"/>
      <c r="AE895" s="7"/>
      <c r="AF895" s="7"/>
      <c r="AG895" s="7"/>
      <c r="AH895" s="7"/>
      <c r="AI895" s="7"/>
      <c r="AJ895" s="7" t="s">
        <v>10203</v>
      </c>
      <c r="AK895" s="7"/>
      <c r="AL895" s="7" t="s">
        <v>10204</v>
      </c>
      <c r="AM895" s="7"/>
      <c r="AN895" s="7"/>
      <c r="AO895" s="7">
        <v>97430.0</v>
      </c>
      <c r="AP895" s="7"/>
      <c r="AQ895" s="7"/>
      <c r="AR895" s="7"/>
      <c r="AS895" s="7"/>
      <c r="AT895" s="7"/>
      <c r="AU895" s="7">
        <v>1.0</v>
      </c>
      <c r="AV895" s="7" t="s">
        <v>10205</v>
      </c>
      <c r="AW895" s="7"/>
      <c r="AX895" s="7"/>
      <c r="AY895" s="7"/>
      <c r="AZ895" s="7" t="s">
        <v>10206</v>
      </c>
      <c r="BA895" s="7"/>
      <c r="BB895" s="7"/>
      <c r="BC895" s="7" t="s">
        <v>401</v>
      </c>
      <c r="BD895" s="7"/>
      <c r="BE895" s="7"/>
      <c r="BF895" s="7"/>
      <c r="BG895" s="7"/>
      <c r="BH895" s="7"/>
      <c r="BI895" s="7" t="s">
        <v>10207</v>
      </c>
      <c r="BJ895" s="7"/>
      <c r="BK895" s="7" t="b">
        <v>0</v>
      </c>
      <c r="BL895" s="7" t="b">
        <v>0</v>
      </c>
      <c r="BM895" s="7"/>
      <c r="BN895" s="7" t="str">
        <f>IFERROR(__xludf.DUMMYFUNCTION(" IF( REGEXMATCH(C895 , ""[(].+[)]""),REGEXREPLACE( CONCATENATE(REGEXEXTRACT(C895 , ""[(].+[)]""),IF(REGEXMATCH(C895 , ""[(][Ll]['’][)]""),"""","" ""), REGEXEXTRACT(C895 ,""^(?:(?:[A-Za-zàäéèêîïöôûü0-9 ](?:[A-Za-zàäéèêîïöôûü'0-9 ]+)))"")) , ""[()]"", """")"&amp;",C895 )"),"Zen Location")</f>
        <v>Zen Location</v>
      </c>
      <c r="BO895" s="25"/>
      <c r="BP895" s="7"/>
      <c r="BQ895" s="7"/>
      <c r="BR895" s="7"/>
      <c r="BS895" s="7"/>
      <c r="BT895" s="7"/>
      <c r="BU895" s="7"/>
      <c r="BV895" s="7"/>
      <c r="BW895" s="7"/>
      <c r="BX895" s="7"/>
      <c r="BY895" s="7"/>
      <c r="BZ895" s="7"/>
      <c r="CA895" s="7"/>
      <c r="CB895" s="7"/>
    </row>
    <row r="896" ht="21.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24"/>
      <c r="AI896" s="7"/>
      <c r="AJ896" s="7"/>
      <c r="AK896" s="7"/>
      <c r="AL896" s="7"/>
      <c r="AM896" s="7"/>
      <c r="AN896" s="7"/>
      <c r="AO896" s="7"/>
      <c r="AP896" s="7"/>
      <c r="AQ896" s="7"/>
      <c r="AR896" s="7"/>
      <c r="AS896" s="7"/>
      <c r="AT896" s="7"/>
      <c r="AU896" s="7"/>
      <c r="AV896" s="7"/>
      <c r="AW896" s="7"/>
      <c r="AX896" s="7"/>
      <c r="AY896" s="7"/>
      <c r="AZ896" s="7"/>
      <c r="BA896" s="7"/>
      <c r="BB896" s="7"/>
      <c r="BC896" s="7"/>
      <c r="BD896" s="27"/>
      <c r="BE896" s="7"/>
      <c r="BF896" s="7"/>
      <c r="BG896" s="24"/>
      <c r="BH896" s="7"/>
      <c r="BI896" s="7"/>
      <c r="BJ896" s="7"/>
      <c r="BK896" s="7" t="b">
        <v>0</v>
      </c>
      <c r="BL896" s="7" t="b">
        <v>0</v>
      </c>
      <c r="BM896" s="7"/>
      <c r="BN896" s="7"/>
      <c r="BO896" s="25"/>
      <c r="BP896" s="7"/>
      <c r="BQ896" s="7"/>
      <c r="BR896" s="7"/>
      <c r="BS896" s="7"/>
      <c r="BT896" s="7"/>
      <c r="BU896" s="7"/>
      <c r="BV896" s="7"/>
      <c r="BW896" s="7"/>
      <c r="BX896" s="7"/>
      <c r="BY896" s="7"/>
      <c r="BZ896" s="7"/>
      <c r="CA896" s="7"/>
      <c r="CB896" s="7"/>
    </row>
    <row r="897" ht="21.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24"/>
      <c r="AI897" s="7"/>
      <c r="AJ897" s="7"/>
      <c r="AK897" s="7"/>
      <c r="AL897" s="7"/>
      <c r="AM897" s="7"/>
      <c r="AN897" s="7"/>
      <c r="AO897" s="7"/>
      <c r="AP897" s="7"/>
      <c r="AQ897" s="7"/>
      <c r="AR897" s="7"/>
      <c r="AS897" s="7"/>
      <c r="AT897" s="7"/>
      <c r="AU897" s="7"/>
      <c r="AV897" s="7"/>
      <c r="AW897" s="7"/>
      <c r="AX897" s="7"/>
      <c r="AY897" s="7"/>
      <c r="AZ897" s="7"/>
      <c r="BA897" s="7"/>
      <c r="BB897" s="7"/>
      <c r="BC897" s="7"/>
      <c r="BD897" s="27"/>
      <c r="BE897" s="7"/>
      <c r="BF897" s="7"/>
      <c r="BG897" s="24"/>
      <c r="BH897" s="7"/>
      <c r="BI897" s="7"/>
      <c r="BJ897" s="7"/>
      <c r="BK897" s="7" t="b">
        <v>0</v>
      </c>
      <c r="BL897" s="7" t="b">
        <v>0</v>
      </c>
      <c r="BM897" s="7"/>
      <c r="BN897" s="7"/>
      <c r="BO897" s="25"/>
      <c r="BP897" s="7"/>
      <c r="BQ897" s="7"/>
      <c r="BR897" s="7"/>
      <c r="BS897" s="7"/>
      <c r="BT897" s="7"/>
      <c r="BU897" s="7"/>
      <c r="BV897" s="7"/>
      <c r="BW897" s="7"/>
      <c r="BX897" s="7"/>
      <c r="BY897" s="7"/>
      <c r="BZ897" s="7"/>
      <c r="CA897" s="7"/>
      <c r="CB897" s="7"/>
    </row>
  </sheetData>
  <autoFilter ref="$A$1:$CB$897"/>
  <hyperlinks>
    <hyperlink r:id="rId1" ref="J5"/>
    <hyperlink r:id="rId2" ref="J16"/>
    <hyperlink r:id="rId3" ref="J19"/>
    <hyperlink r:id="rId4" ref="BM23"/>
    <hyperlink r:id="rId5" ref="J26"/>
    <hyperlink r:id="rId6" ref="J28"/>
    <hyperlink r:id="rId7" ref="J29"/>
    <hyperlink r:id="rId8" ref="J32"/>
    <hyperlink r:id="rId9" ref="J34"/>
    <hyperlink r:id="rId10" ref="J37"/>
    <hyperlink r:id="rId11" ref="J43"/>
    <hyperlink r:id="rId12" ref="J45"/>
    <hyperlink r:id="rId13" ref="J46"/>
    <hyperlink r:id="rId14" ref="J48"/>
    <hyperlink r:id="rId15" ref="J51"/>
    <hyperlink r:id="rId16" ref="J71"/>
    <hyperlink r:id="rId17" ref="J85"/>
    <hyperlink r:id="rId18" ref="J89"/>
    <hyperlink r:id="rId19" ref="J94"/>
    <hyperlink r:id="rId20" ref="J100"/>
    <hyperlink r:id="rId21" ref="J105"/>
    <hyperlink r:id="rId22" ref="J106"/>
    <hyperlink r:id="rId23" ref="J108"/>
    <hyperlink r:id="rId24" ref="J110"/>
    <hyperlink r:id="rId25" ref="J111"/>
    <hyperlink r:id="rId26" ref="J112"/>
    <hyperlink r:id="rId27" ref="J114"/>
    <hyperlink r:id="rId28" ref="J117"/>
    <hyperlink r:id="rId29" ref="J118"/>
    <hyperlink r:id="rId30" ref="J120"/>
    <hyperlink r:id="rId31" ref="J123"/>
    <hyperlink r:id="rId32" ref="J129"/>
    <hyperlink r:id="rId33" ref="J137"/>
    <hyperlink r:id="rId34" ref="J138"/>
    <hyperlink r:id="rId35" ref="J139"/>
    <hyperlink r:id="rId36" ref="J141"/>
    <hyperlink r:id="rId37" ref="J143"/>
    <hyperlink r:id="rId38" ref="J144"/>
    <hyperlink r:id="rId39" ref="J151"/>
    <hyperlink r:id="rId40" ref="J162"/>
    <hyperlink r:id="rId41" ref="J163"/>
    <hyperlink r:id="rId42" ref="J164"/>
    <hyperlink r:id="rId43" ref="J171"/>
    <hyperlink r:id="rId44" ref="J185"/>
    <hyperlink r:id="rId45" ref="J187"/>
    <hyperlink r:id="rId46" ref="J189"/>
    <hyperlink r:id="rId47" ref="J190"/>
    <hyperlink r:id="rId48" ref="J191"/>
    <hyperlink r:id="rId49" ref="J193"/>
    <hyperlink r:id="rId50" ref="J194"/>
    <hyperlink r:id="rId51" ref="J197"/>
    <hyperlink r:id="rId52" ref="J198"/>
    <hyperlink r:id="rId53" ref="J200"/>
    <hyperlink r:id="rId54" ref="J201"/>
    <hyperlink r:id="rId55" ref="J203"/>
    <hyperlink r:id="rId56" ref="J207"/>
    <hyperlink r:id="rId57" ref="J208"/>
    <hyperlink r:id="rId58" ref="J209"/>
    <hyperlink r:id="rId59" ref="J210"/>
    <hyperlink r:id="rId60" ref="J212"/>
    <hyperlink r:id="rId61" ref="J215"/>
    <hyperlink r:id="rId62" ref="J223"/>
    <hyperlink r:id="rId63" ref="J227"/>
    <hyperlink r:id="rId64" ref="J228"/>
    <hyperlink r:id="rId65" ref="J229"/>
    <hyperlink r:id="rId66" ref="J231"/>
    <hyperlink r:id="rId67" ref="J232"/>
    <hyperlink r:id="rId68" ref="J233"/>
    <hyperlink r:id="rId69" ref="J234"/>
    <hyperlink r:id="rId70" ref="J236"/>
    <hyperlink r:id="rId71" ref="J238"/>
    <hyperlink r:id="rId72" ref="J240"/>
    <hyperlink r:id="rId73" ref="J241"/>
    <hyperlink r:id="rId74" ref="J246"/>
    <hyperlink r:id="rId75" ref="J247"/>
    <hyperlink r:id="rId76" ref="J248"/>
    <hyperlink r:id="rId77" ref="J250"/>
    <hyperlink r:id="rId78" ref="J251"/>
    <hyperlink r:id="rId79" ref="J252"/>
    <hyperlink r:id="rId80" ref="J255"/>
    <hyperlink r:id="rId81" ref="J256"/>
    <hyperlink r:id="rId82" ref="J257"/>
    <hyperlink r:id="rId83" ref="J259"/>
    <hyperlink r:id="rId84" ref="J261"/>
    <hyperlink r:id="rId85" ref="J265"/>
    <hyperlink r:id="rId86" ref="J268"/>
    <hyperlink r:id="rId87" ref="J270"/>
    <hyperlink r:id="rId88" ref="J271"/>
    <hyperlink r:id="rId89" ref="J273"/>
    <hyperlink r:id="rId90" ref="J276"/>
    <hyperlink r:id="rId91" ref="J277"/>
    <hyperlink r:id="rId92" ref="J278"/>
    <hyperlink r:id="rId93" ref="J280"/>
    <hyperlink r:id="rId94" ref="J281"/>
    <hyperlink r:id="rId95" ref="J285"/>
    <hyperlink r:id="rId96" ref="J286"/>
    <hyperlink r:id="rId97" ref="J289"/>
    <hyperlink r:id="rId98" ref="J298"/>
    <hyperlink r:id="rId99" ref="J300"/>
    <hyperlink r:id="rId100" ref="J301"/>
    <hyperlink r:id="rId101" ref="J306"/>
    <hyperlink r:id="rId102" ref="J307"/>
    <hyperlink r:id="rId103" ref="J308"/>
    <hyperlink r:id="rId104" ref="J309"/>
    <hyperlink r:id="rId105" ref="J310"/>
    <hyperlink r:id="rId106" ref="J312"/>
    <hyperlink r:id="rId107" ref="J313"/>
    <hyperlink r:id="rId108" ref="J314"/>
    <hyperlink r:id="rId109" ref="J315"/>
    <hyperlink r:id="rId110" ref="J316"/>
    <hyperlink r:id="rId111" ref="J317"/>
    <hyperlink r:id="rId112" ref="J319"/>
    <hyperlink r:id="rId113" ref="J320"/>
    <hyperlink r:id="rId114" ref="J324"/>
    <hyperlink r:id="rId115" ref="J328"/>
    <hyperlink r:id="rId116" ref="J337"/>
    <hyperlink r:id="rId117" ref="J339"/>
    <hyperlink r:id="rId118" ref="J346"/>
    <hyperlink r:id="rId119" ref="J355"/>
    <hyperlink r:id="rId120" ref="J357"/>
    <hyperlink r:id="rId121" ref="J360"/>
    <hyperlink r:id="rId122" ref="J363"/>
    <hyperlink r:id="rId123" ref="J368"/>
    <hyperlink r:id="rId124" ref="J370"/>
    <hyperlink r:id="rId125" ref="J371"/>
    <hyperlink r:id="rId126" ref="J372"/>
    <hyperlink r:id="rId127" ref="J374"/>
    <hyperlink r:id="rId128" ref="J381"/>
    <hyperlink r:id="rId129" ref="J384"/>
    <hyperlink r:id="rId130" ref="J388"/>
    <hyperlink r:id="rId131" ref="J390"/>
    <hyperlink r:id="rId132" ref="J393"/>
    <hyperlink r:id="rId133" ref="J398"/>
    <hyperlink r:id="rId134" ref="J407"/>
    <hyperlink r:id="rId135" ref="J410"/>
    <hyperlink r:id="rId136" ref="J412"/>
    <hyperlink r:id="rId137" ref="J413"/>
    <hyperlink r:id="rId138" ref="J415"/>
    <hyperlink r:id="rId139" ref="J416"/>
    <hyperlink r:id="rId140" ref="J417"/>
    <hyperlink r:id="rId141" ref="J418"/>
    <hyperlink r:id="rId142" ref="J421"/>
    <hyperlink r:id="rId143" ref="J426"/>
    <hyperlink r:id="rId144" ref="J427"/>
    <hyperlink r:id="rId145" ref="J428"/>
    <hyperlink r:id="rId146" ref="J435"/>
    <hyperlink r:id="rId147" ref="J436"/>
    <hyperlink r:id="rId148" ref="J442"/>
    <hyperlink r:id="rId149" ref="J443"/>
    <hyperlink r:id="rId150" ref="J447"/>
    <hyperlink r:id="rId151" ref="J448"/>
    <hyperlink r:id="rId152" ref="J453"/>
    <hyperlink r:id="rId153" ref="J457"/>
    <hyperlink r:id="rId154" ref="J459"/>
    <hyperlink r:id="rId155" ref="J463"/>
    <hyperlink r:id="rId156" ref="J464"/>
    <hyperlink r:id="rId157" ref="J466"/>
    <hyperlink r:id="rId158" ref="J467"/>
    <hyperlink r:id="rId159" ref="J485"/>
    <hyperlink r:id="rId160" ref="J491"/>
    <hyperlink r:id="rId161" ref="J492"/>
    <hyperlink r:id="rId162" ref="J498"/>
    <hyperlink r:id="rId163" ref="J504"/>
    <hyperlink r:id="rId164" ref="J505"/>
    <hyperlink r:id="rId165" ref="J511"/>
    <hyperlink r:id="rId166" ref="J518"/>
    <hyperlink r:id="rId167" ref="J519"/>
    <hyperlink r:id="rId168" ref="J520"/>
    <hyperlink r:id="rId169" ref="J522"/>
    <hyperlink r:id="rId170" ref="J524"/>
    <hyperlink r:id="rId171" ref="J530"/>
    <hyperlink r:id="rId172" ref="J532"/>
    <hyperlink r:id="rId173" ref="J533"/>
    <hyperlink r:id="rId174" ref="J536"/>
    <hyperlink r:id="rId175" ref="J546"/>
    <hyperlink r:id="rId176" ref="J548"/>
    <hyperlink r:id="rId177" ref="J550"/>
    <hyperlink r:id="rId178" ref="J555"/>
    <hyperlink r:id="rId179" ref="J556"/>
    <hyperlink r:id="rId180" ref="J561"/>
    <hyperlink r:id="rId181" ref="J570"/>
    <hyperlink r:id="rId182" ref="J572"/>
    <hyperlink r:id="rId183" ref="J584"/>
    <hyperlink r:id="rId184" ref="J585"/>
    <hyperlink r:id="rId185" ref="J586"/>
    <hyperlink r:id="rId186" ref="J594"/>
    <hyperlink r:id="rId187" ref="J597"/>
    <hyperlink r:id="rId188" ref="J599"/>
    <hyperlink r:id="rId189" ref="J610"/>
    <hyperlink r:id="rId190" ref="J611"/>
    <hyperlink r:id="rId191" ref="J616"/>
    <hyperlink r:id="rId192" ref="J619"/>
    <hyperlink r:id="rId193" ref="J623"/>
    <hyperlink r:id="rId194" ref="J624"/>
    <hyperlink r:id="rId195" ref="J630"/>
    <hyperlink r:id="rId196" ref="J634"/>
    <hyperlink r:id="rId197" ref="J635"/>
    <hyperlink r:id="rId198" ref="J641"/>
    <hyperlink r:id="rId199" ref="J642"/>
    <hyperlink r:id="rId200" ref="J647"/>
    <hyperlink r:id="rId201" ref="J648"/>
    <hyperlink r:id="rId202" ref="J650"/>
    <hyperlink r:id="rId203" ref="J651"/>
    <hyperlink r:id="rId204" ref="J652"/>
    <hyperlink r:id="rId205" ref="J653"/>
    <hyperlink r:id="rId206" ref="J655"/>
    <hyperlink r:id="rId207" ref="J657"/>
    <hyperlink r:id="rId208" ref="J659"/>
    <hyperlink r:id="rId209" ref="J661"/>
    <hyperlink r:id="rId210" ref="J663"/>
    <hyperlink r:id="rId211" ref="J664"/>
    <hyperlink r:id="rId212" ref="J665"/>
    <hyperlink r:id="rId213" ref="J671"/>
    <hyperlink r:id="rId214" ref="J672"/>
    <hyperlink r:id="rId215" ref="J676"/>
    <hyperlink r:id="rId216" ref="J677"/>
    <hyperlink r:id="rId217" ref="J700"/>
    <hyperlink r:id="rId218" ref="J707"/>
    <hyperlink r:id="rId219" ref="J708"/>
    <hyperlink r:id="rId220" ref="J710"/>
    <hyperlink r:id="rId221" ref="J711"/>
    <hyperlink r:id="rId222" ref="J717"/>
    <hyperlink r:id="rId223" ref="J718"/>
    <hyperlink r:id="rId224" ref="J741"/>
    <hyperlink r:id="rId225" ref="J747"/>
    <hyperlink r:id="rId226" ref="J760"/>
    <hyperlink r:id="rId227" ref="J776"/>
    <hyperlink r:id="rId228" ref="J777"/>
    <hyperlink r:id="rId229" ref="J786"/>
    <hyperlink r:id="rId230" ref="J788"/>
    <hyperlink r:id="rId231" ref="J795"/>
    <hyperlink r:id="rId232" ref="J796"/>
    <hyperlink r:id="rId233" ref="J798"/>
    <hyperlink r:id="rId234" ref="J834"/>
    <hyperlink r:id="rId235" ref="J836"/>
    <hyperlink r:id="rId236" ref="J838"/>
    <hyperlink r:id="rId237" ref="J863"/>
    <hyperlink r:id="rId238" ref="J868"/>
    <hyperlink r:id="rId239" ref="J870"/>
    <hyperlink r:id="rId240" ref="J888"/>
    <hyperlink r:id="rId241" ref="J891"/>
  </hyperlinks>
  <drawing r:id="rId24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88"/>
  </cols>
  <sheetData>
    <row r="1">
      <c r="A1" s="9" t="s">
        <v>10208</v>
      </c>
      <c r="B1" s="9" t="s">
        <v>10209</v>
      </c>
    </row>
    <row r="2">
      <c r="A2" s="9" t="s">
        <v>10210</v>
      </c>
      <c r="B2" s="9" t="s">
        <v>10211</v>
      </c>
    </row>
    <row r="3">
      <c r="A3" s="9" t="s">
        <v>10212</v>
      </c>
      <c r="B3" s="9" t="s">
        <v>5277</v>
      </c>
    </row>
    <row r="4">
      <c r="A4" s="9" t="s">
        <v>10213</v>
      </c>
      <c r="B4" s="9" t="s">
        <v>8430</v>
      </c>
    </row>
    <row r="5">
      <c r="A5" s="9" t="s">
        <v>10214</v>
      </c>
      <c r="B5" s="9" t="s">
        <v>1344</v>
      </c>
    </row>
    <row r="6">
      <c r="A6" s="9" t="s">
        <v>10215</v>
      </c>
      <c r="B6" s="9" t="s">
        <v>5091</v>
      </c>
    </row>
    <row r="7">
      <c r="A7" s="9" t="s">
        <v>10216</v>
      </c>
      <c r="B7" s="9" t="s">
        <v>10217</v>
      </c>
    </row>
    <row r="8">
      <c r="A8" s="9" t="s">
        <v>10218</v>
      </c>
      <c r="B8" s="9" t="s">
        <v>9147</v>
      </c>
    </row>
    <row r="9">
      <c r="A9" s="9" t="s">
        <v>10219</v>
      </c>
      <c r="B9" s="9" t="s">
        <v>9261</v>
      </c>
    </row>
    <row r="10">
      <c r="A10" s="9" t="s">
        <v>10220</v>
      </c>
      <c r="B10" s="9" t="s">
        <v>1166</v>
      </c>
    </row>
    <row r="11">
      <c r="A11" s="9" t="s">
        <v>10221</v>
      </c>
      <c r="B11" s="9" t="s">
        <v>5314</v>
      </c>
    </row>
    <row r="12">
      <c r="A12" s="9" t="s">
        <v>10222</v>
      </c>
      <c r="B12" s="9" t="s">
        <v>10223</v>
      </c>
    </row>
    <row r="13">
      <c r="A13" s="9" t="s">
        <v>10224</v>
      </c>
      <c r="B13" s="9" t="s">
        <v>10225</v>
      </c>
    </row>
    <row r="14">
      <c r="A14" s="9" t="s">
        <v>10226</v>
      </c>
      <c r="B14" s="9" t="s">
        <v>8711</v>
      </c>
    </row>
    <row r="15">
      <c r="A15" s="9" t="s">
        <v>10227</v>
      </c>
      <c r="B15" s="9" t="s">
        <v>9080</v>
      </c>
    </row>
    <row r="16">
      <c r="A16" s="9" t="s">
        <v>10228</v>
      </c>
      <c r="B16" s="9" t="s">
        <v>9970</v>
      </c>
    </row>
    <row r="17">
      <c r="A17" s="9" t="s">
        <v>10229</v>
      </c>
      <c r="B17" s="9" t="s">
        <v>10230</v>
      </c>
    </row>
    <row r="18">
      <c r="A18" s="9" t="s">
        <v>10231</v>
      </c>
      <c r="B18" s="9" t="s">
        <v>2508</v>
      </c>
    </row>
    <row r="19">
      <c r="A19" s="9" t="s">
        <v>10232</v>
      </c>
      <c r="B19" s="9" t="s">
        <v>10233</v>
      </c>
    </row>
    <row r="20">
      <c r="A20" s="9" t="s">
        <v>10234</v>
      </c>
      <c r="B20" s="9" t="s">
        <v>6145</v>
      </c>
    </row>
    <row r="21">
      <c r="A21" s="9" t="s">
        <v>10235</v>
      </c>
      <c r="B21" s="9" t="s">
        <v>9030</v>
      </c>
    </row>
    <row r="22">
      <c r="A22" s="9" t="s">
        <v>10236</v>
      </c>
      <c r="B22" s="9" t="s">
        <v>8361</v>
      </c>
    </row>
    <row r="23">
      <c r="A23" s="9" t="s">
        <v>10237</v>
      </c>
      <c r="B23" s="9" t="s">
        <v>10238</v>
      </c>
    </row>
    <row r="24">
      <c r="A24" s="9" t="s">
        <v>10239</v>
      </c>
      <c r="B24" s="9" t="s">
        <v>10240</v>
      </c>
    </row>
    <row r="25">
      <c r="A25" s="9" t="s">
        <v>10241</v>
      </c>
      <c r="B25" s="9" t="s">
        <v>6807</v>
      </c>
    </row>
    <row r="26">
      <c r="A26" s="9" t="s">
        <v>10242</v>
      </c>
      <c r="B26" s="9" t="s">
        <v>10243</v>
      </c>
    </row>
    <row r="27">
      <c r="A27" s="9" t="s">
        <v>10244</v>
      </c>
      <c r="B27" s="9" t="s">
        <v>10245</v>
      </c>
    </row>
    <row r="28">
      <c r="A28" s="9" t="s">
        <v>10246</v>
      </c>
      <c r="B28" s="9" t="s">
        <v>10247</v>
      </c>
    </row>
    <row r="29">
      <c r="A29" s="9" t="s">
        <v>10248</v>
      </c>
      <c r="B29" s="9" t="s">
        <v>10249</v>
      </c>
    </row>
    <row r="30">
      <c r="A30" s="9" t="s">
        <v>10250</v>
      </c>
      <c r="B30" s="9" t="s">
        <v>10251</v>
      </c>
    </row>
    <row r="31">
      <c r="A31" s="9" t="s">
        <v>10252</v>
      </c>
      <c r="B31" s="9" t="s">
        <v>6527</v>
      </c>
    </row>
    <row r="32">
      <c r="A32" s="9" t="s">
        <v>10253</v>
      </c>
      <c r="B32" s="9" t="s">
        <v>7145</v>
      </c>
    </row>
    <row r="33">
      <c r="A33" s="9" t="s">
        <v>10254</v>
      </c>
      <c r="B33" s="9" t="s">
        <v>6094</v>
      </c>
    </row>
    <row r="34">
      <c r="A34" s="9" t="s">
        <v>10255</v>
      </c>
      <c r="B34" s="9" t="s">
        <v>7785</v>
      </c>
    </row>
    <row r="35">
      <c r="A35" s="9" t="s">
        <v>10256</v>
      </c>
      <c r="B35" s="9" t="s">
        <v>5739</v>
      </c>
    </row>
    <row r="36">
      <c r="A36" s="9" t="s">
        <v>10257</v>
      </c>
      <c r="B36" s="9" t="s">
        <v>6490</v>
      </c>
    </row>
    <row r="37">
      <c r="A37" s="9" t="s">
        <v>10258</v>
      </c>
      <c r="B37" s="9" t="s">
        <v>4161</v>
      </c>
    </row>
    <row r="38">
      <c r="A38" s="9" t="s">
        <v>10259</v>
      </c>
      <c r="B38" s="9" t="s">
        <v>7380</v>
      </c>
    </row>
    <row r="39">
      <c r="A39" s="9" t="s">
        <v>10260</v>
      </c>
      <c r="B39" s="9" t="s">
        <v>4505</v>
      </c>
    </row>
    <row r="40">
      <c r="A40" s="9" t="s">
        <v>10261</v>
      </c>
      <c r="B40" s="9" t="s">
        <v>10262</v>
      </c>
    </row>
    <row r="41">
      <c r="A41" s="9" t="s">
        <v>10263</v>
      </c>
      <c r="B41" s="9" t="s">
        <v>8598</v>
      </c>
    </row>
    <row r="42">
      <c r="A42" s="9" t="s">
        <v>10264</v>
      </c>
      <c r="B42" s="9" t="s">
        <v>4559</v>
      </c>
    </row>
    <row r="43">
      <c r="A43" s="9" t="s">
        <v>10265</v>
      </c>
      <c r="B43" s="9" t="s">
        <v>2615</v>
      </c>
    </row>
    <row r="44">
      <c r="A44" s="9" t="s">
        <v>10266</v>
      </c>
      <c r="B44" s="9" t="s">
        <v>6779</v>
      </c>
    </row>
    <row r="45">
      <c r="A45" s="9" t="s">
        <v>10267</v>
      </c>
      <c r="B45" s="9" t="s">
        <v>3256</v>
      </c>
    </row>
    <row r="46">
      <c r="A46" s="9" t="s">
        <v>10268</v>
      </c>
      <c r="B46" s="9" t="s">
        <v>10269</v>
      </c>
    </row>
    <row r="47">
      <c r="A47" s="9" t="s">
        <v>10270</v>
      </c>
      <c r="B47" s="9" t="s">
        <v>10271</v>
      </c>
    </row>
    <row r="48">
      <c r="A48" s="9" t="s">
        <v>10272</v>
      </c>
      <c r="B48" s="9" t="s">
        <v>3638</v>
      </c>
    </row>
    <row r="49">
      <c r="A49" s="9" t="s">
        <v>10273</v>
      </c>
      <c r="B49" s="9" t="s">
        <v>7372</v>
      </c>
    </row>
    <row r="50">
      <c r="A50" s="9" t="s">
        <v>10274</v>
      </c>
      <c r="B50" s="9" t="s">
        <v>245</v>
      </c>
    </row>
    <row r="51">
      <c r="A51" s="9" t="s">
        <v>10275</v>
      </c>
      <c r="B51" s="9" t="s">
        <v>10276</v>
      </c>
    </row>
    <row r="52">
      <c r="A52" s="9" t="s">
        <v>10277</v>
      </c>
      <c r="B52" s="9" t="s">
        <v>4146</v>
      </c>
    </row>
    <row r="53">
      <c r="A53" s="9" t="s">
        <v>10278</v>
      </c>
      <c r="B53" s="9" t="s">
        <v>5139</v>
      </c>
    </row>
    <row r="54">
      <c r="A54" s="9" t="s">
        <v>10279</v>
      </c>
      <c r="B54" s="9" t="s">
        <v>3765</v>
      </c>
    </row>
    <row r="55">
      <c r="A55" s="9" t="s">
        <v>10280</v>
      </c>
    </row>
    <row r="56">
      <c r="A56" s="9" t="s">
        <v>10281</v>
      </c>
      <c r="B56" s="9" t="s">
        <v>7358</v>
      </c>
    </row>
    <row r="57">
      <c r="A57" s="9" t="s">
        <v>10282</v>
      </c>
      <c r="B57" s="9" t="s">
        <v>10283</v>
      </c>
    </row>
    <row r="58">
      <c r="A58" s="9" t="s">
        <v>10284</v>
      </c>
      <c r="B58" s="9" t="s">
        <v>10285</v>
      </c>
    </row>
    <row r="59">
      <c r="A59" s="9" t="s">
        <v>10286</v>
      </c>
      <c r="B59" s="9" t="s">
        <v>10287</v>
      </c>
    </row>
    <row r="60">
      <c r="A60" s="9" t="s">
        <v>10288</v>
      </c>
      <c r="B60" s="9" t="s">
        <v>10289</v>
      </c>
    </row>
    <row r="61">
      <c r="A61" s="9" t="s">
        <v>10290</v>
      </c>
      <c r="B61" s="9" t="s">
        <v>10291</v>
      </c>
    </row>
    <row r="62">
      <c r="A62" s="9" t="s">
        <v>10292</v>
      </c>
      <c r="B62" s="9" t="s">
        <v>6071</v>
      </c>
    </row>
    <row r="63">
      <c r="A63" s="9" t="s">
        <v>10293</v>
      </c>
      <c r="B63" s="9" t="s">
        <v>7231</v>
      </c>
    </row>
    <row r="64">
      <c r="A64" s="9" t="s">
        <v>10294</v>
      </c>
      <c r="B64" s="9" t="s">
        <v>706</v>
      </c>
    </row>
    <row r="65">
      <c r="A65" s="9" t="s">
        <v>10295</v>
      </c>
      <c r="B65" s="9" t="s">
        <v>8744</v>
      </c>
    </row>
    <row r="66">
      <c r="A66" s="9" t="s">
        <v>10296</v>
      </c>
      <c r="B66" s="9" t="s">
        <v>10297</v>
      </c>
    </row>
    <row r="67">
      <c r="A67" s="9" t="s">
        <v>10298</v>
      </c>
      <c r="B67" s="9" t="s">
        <v>2902</v>
      </c>
    </row>
    <row r="68">
      <c r="A68" s="9" t="s">
        <v>10299</v>
      </c>
      <c r="B68" s="9">
        <v>3.5985348E7</v>
      </c>
    </row>
    <row r="69">
      <c r="A69" s="9" t="s">
        <v>10300</v>
      </c>
      <c r="B69" s="9" t="s">
        <v>9858</v>
      </c>
    </row>
    <row r="70">
      <c r="A70" s="9" t="s">
        <v>10301</v>
      </c>
      <c r="B70" s="9" t="s">
        <v>5545</v>
      </c>
    </row>
    <row r="71">
      <c r="A71" s="9" t="s">
        <v>10302</v>
      </c>
      <c r="B71" s="9" t="s">
        <v>10303</v>
      </c>
    </row>
    <row r="72">
      <c r="A72" s="9" t="s">
        <v>10304</v>
      </c>
      <c r="B72" s="9" t="s">
        <v>4176</v>
      </c>
    </row>
    <row r="73">
      <c r="A73" s="9" t="s">
        <v>10305</v>
      </c>
      <c r="B73" s="9" t="s">
        <v>1233</v>
      </c>
    </row>
    <row r="74">
      <c r="A74" s="9" t="s">
        <v>10306</v>
      </c>
      <c r="B74" s="9" t="s">
        <v>1707</v>
      </c>
    </row>
    <row r="75">
      <c r="A75" s="9" t="s">
        <v>10307</v>
      </c>
      <c r="B75" s="9" t="s">
        <v>10308</v>
      </c>
    </row>
    <row r="76">
      <c r="A76" s="9" t="s">
        <v>10309</v>
      </c>
      <c r="B76" s="9" t="s">
        <v>10310</v>
      </c>
    </row>
    <row r="77">
      <c r="A77" s="9" t="s">
        <v>10311</v>
      </c>
      <c r="B77" s="9" t="s">
        <v>10312</v>
      </c>
    </row>
    <row r="78">
      <c r="A78" s="9" t="s">
        <v>10313</v>
      </c>
      <c r="B78" s="9" t="s">
        <v>234</v>
      </c>
    </row>
    <row r="79">
      <c r="A79" s="9" t="s">
        <v>10314</v>
      </c>
      <c r="B79" s="9" t="s">
        <v>6049</v>
      </c>
    </row>
    <row r="80">
      <c r="A80" s="9" t="s">
        <v>10315</v>
      </c>
      <c r="B80" s="9" t="s">
        <v>1631</v>
      </c>
    </row>
    <row r="81">
      <c r="A81" s="9" t="s">
        <v>10316</v>
      </c>
      <c r="B81" s="9" t="s">
        <v>1594</v>
      </c>
    </row>
    <row r="82">
      <c r="A82" s="9" t="s">
        <v>10317</v>
      </c>
      <c r="B82" s="9" t="s">
        <v>10318</v>
      </c>
    </row>
    <row r="83">
      <c r="A83" s="9" t="s">
        <v>10319</v>
      </c>
      <c r="B83" s="9" t="s">
        <v>10320</v>
      </c>
    </row>
    <row r="84">
      <c r="A84" s="9" t="s">
        <v>10321</v>
      </c>
      <c r="B84" s="9" t="s">
        <v>10322</v>
      </c>
    </row>
    <row r="85">
      <c r="A85" s="9" t="s">
        <v>10323</v>
      </c>
      <c r="B85" s="9" t="s">
        <v>6159</v>
      </c>
    </row>
    <row r="86">
      <c r="A86" s="9" t="s">
        <v>10324</v>
      </c>
      <c r="B86" s="9" t="s">
        <v>7495</v>
      </c>
    </row>
    <row r="87">
      <c r="A87" s="9" t="s">
        <v>10325</v>
      </c>
      <c r="B87" s="9" t="s">
        <v>252</v>
      </c>
    </row>
    <row r="88">
      <c r="A88" s="9" t="s">
        <v>10326</v>
      </c>
      <c r="B88" s="9" t="s">
        <v>3227</v>
      </c>
    </row>
    <row r="89">
      <c r="A89" s="9" t="s">
        <v>10327</v>
      </c>
      <c r="B89" s="9" t="s">
        <v>2219</v>
      </c>
    </row>
    <row r="90">
      <c r="A90" s="9" t="s">
        <v>10328</v>
      </c>
      <c r="B90" s="9" t="s">
        <v>9778</v>
      </c>
    </row>
    <row r="91">
      <c r="A91" s="9" t="s">
        <v>10329</v>
      </c>
      <c r="B91" s="9" t="s">
        <v>6292</v>
      </c>
    </row>
    <row r="92">
      <c r="A92" s="9" t="s">
        <v>10330</v>
      </c>
      <c r="B92" s="9" t="s">
        <v>643</v>
      </c>
    </row>
    <row r="93">
      <c r="A93" s="9" t="s">
        <v>10331</v>
      </c>
      <c r="B93" s="9" t="s">
        <v>10332</v>
      </c>
    </row>
    <row r="94">
      <c r="A94" s="9" t="s">
        <v>10333</v>
      </c>
      <c r="B94" s="9" t="s">
        <v>10334</v>
      </c>
    </row>
    <row r="95">
      <c r="A95" s="9" t="s">
        <v>10335</v>
      </c>
      <c r="B95" s="9" t="s">
        <v>7667</v>
      </c>
    </row>
    <row r="96">
      <c r="A96" s="9" t="s">
        <v>10336</v>
      </c>
      <c r="B96" s="9" t="s">
        <v>9199</v>
      </c>
    </row>
    <row r="97">
      <c r="A97" s="9" t="s">
        <v>10337</v>
      </c>
      <c r="B97" s="9" t="s">
        <v>231</v>
      </c>
    </row>
    <row r="98">
      <c r="A98" s="9" t="s">
        <v>10338</v>
      </c>
      <c r="B98" s="9" t="s">
        <v>7612</v>
      </c>
    </row>
    <row r="99">
      <c r="A99" s="9" t="s">
        <v>10339</v>
      </c>
      <c r="B99" s="9" t="s">
        <v>1049</v>
      </c>
    </row>
    <row r="100">
      <c r="A100" s="9" t="s">
        <v>10340</v>
      </c>
      <c r="B100" s="9" t="s">
        <v>8842</v>
      </c>
    </row>
    <row r="101">
      <c r="A101" s="9" t="s">
        <v>10341</v>
      </c>
      <c r="B101" s="9" t="s">
        <v>4838</v>
      </c>
    </row>
    <row r="102">
      <c r="A102" s="9" t="s">
        <v>10342</v>
      </c>
      <c r="B102" s="9" t="s">
        <v>7315</v>
      </c>
    </row>
    <row r="103">
      <c r="A103" s="9" t="s">
        <v>10343</v>
      </c>
      <c r="B103" s="9" t="s">
        <v>10344</v>
      </c>
    </row>
    <row r="104">
      <c r="A104" s="9" t="s">
        <v>10345</v>
      </c>
      <c r="B104" s="9" t="s">
        <v>7240</v>
      </c>
    </row>
    <row r="105">
      <c r="A105" s="9" t="s">
        <v>10346</v>
      </c>
      <c r="B105" s="9" t="s">
        <v>10347</v>
      </c>
    </row>
    <row r="106">
      <c r="A106" s="9" t="s">
        <v>10348</v>
      </c>
      <c r="B106" s="9" t="s">
        <v>9796</v>
      </c>
    </row>
    <row r="107">
      <c r="A107" s="9" t="s">
        <v>10349</v>
      </c>
      <c r="B107" s="9" t="s">
        <v>9514</v>
      </c>
    </row>
    <row r="108">
      <c r="A108" s="9" t="s">
        <v>10350</v>
      </c>
    </row>
    <row r="109">
      <c r="A109" s="9" t="s">
        <v>10351</v>
      </c>
      <c r="B109" s="9" t="s">
        <v>1880</v>
      </c>
    </row>
    <row r="110">
      <c r="A110" s="9" t="s">
        <v>10352</v>
      </c>
      <c r="B110" s="9" t="s">
        <v>3027</v>
      </c>
    </row>
    <row r="111">
      <c r="A111" s="9" t="s">
        <v>10353</v>
      </c>
      <c r="B111" s="9" t="s">
        <v>10354</v>
      </c>
    </row>
    <row r="112">
      <c r="A112" s="9" t="s">
        <v>10355</v>
      </c>
      <c r="B112" s="9" t="s">
        <v>9119</v>
      </c>
    </row>
    <row r="113">
      <c r="A113" s="9" t="s">
        <v>10356</v>
      </c>
      <c r="B113" s="9" t="s">
        <v>9810</v>
      </c>
    </row>
    <row r="114">
      <c r="A114" s="9" t="s">
        <v>10357</v>
      </c>
      <c r="B114" s="9" t="s">
        <v>8817</v>
      </c>
    </row>
    <row r="115">
      <c r="A115" s="9" t="s">
        <v>10358</v>
      </c>
      <c r="B115" s="9" t="s">
        <v>10359</v>
      </c>
    </row>
    <row r="116">
      <c r="A116" s="9" t="s">
        <v>10360</v>
      </c>
      <c r="B116" s="9" t="s">
        <v>248</v>
      </c>
    </row>
    <row r="117">
      <c r="A117" s="9" t="s">
        <v>10361</v>
      </c>
      <c r="B117" s="9" t="s">
        <v>10199</v>
      </c>
    </row>
    <row r="118">
      <c r="A118" s="9" t="s">
        <v>10362</v>
      </c>
      <c r="B118" s="9" t="s">
        <v>10363</v>
      </c>
    </row>
    <row r="119">
      <c r="A119" s="9" t="s">
        <v>10364</v>
      </c>
      <c r="B119" s="9" t="s">
        <v>8545</v>
      </c>
    </row>
    <row r="120">
      <c r="A120" s="9" t="s">
        <v>10365</v>
      </c>
      <c r="B120" s="9" t="s">
        <v>9530</v>
      </c>
    </row>
    <row r="121">
      <c r="A121" s="9" t="s">
        <v>10366</v>
      </c>
      <c r="B121" s="9" t="s">
        <v>9189</v>
      </c>
    </row>
    <row r="122">
      <c r="A122" s="9" t="s">
        <v>10367</v>
      </c>
      <c r="B122" s="9" t="s">
        <v>10368</v>
      </c>
    </row>
    <row r="123">
      <c r="A123" s="9" t="s">
        <v>10369</v>
      </c>
      <c r="B123" s="9" t="s">
        <v>10370</v>
      </c>
    </row>
    <row r="124">
      <c r="A124" s="9" t="s">
        <v>10371</v>
      </c>
      <c r="B124" s="9" t="s">
        <v>5472</v>
      </c>
    </row>
    <row r="125">
      <c r="A125" s="9" t="s">
        <v>10372</v>
      </c>
      <c r="B125" s="9" t="s">
        <v>3721</v>
      </c>
    </row>
    <row r="126">
      <c r="A126" s="9" t="s">
        <v>10373</v>
      </c>
    </row>
    <row r="127">
      <c r="A127" s="9" t="s">
        <v>10374</v>
      </c>
      <c r="B127" s="9" t="s">
        <v>7089</v>
      </c>
    </row>
    <row r="128">
      <c r="A128" s="9" t="s">
        <v>10375</v>
      </c>
      <c r="B128" s="9" t="s">
        <v>8677</v>
      </c>
    </row>
    <row r="129">
      <c r="A129" s="9" t="s">
        <v>10376</v>
      </c>
      <c r="B129" s="9" t="s">
        <v>8224</v>
      </c>
    </row>
    <row r="130">
      <c r="A130" s="9" t="s">
        <v>10377</v>
      </c>
      <c r="B130" s="9" t="s">
        <v>10378</v>
      </c>
    </row>
    <row r="131">
      <c r="A131" s="9" t="s">
        <v>10379</v>
      </c>
      <c r="B131" s="9" t="s">
        <v>10380</v>
      </c>
    </row>
    <row r="132">
      <c r="A132" s="9" t="s">
        <v>10381</v>
      </c>
      <c r="B132" s="9" t="s">
        <v>6269</v>
      </c>
    </row>
    <row r="133">
      <c r="A133" s="9" t="s">
        <v>10382</v>
      </c>
      <c r="B133" s="9" t="s">
        <v>10113</v>
      </c>
    </row>
    <row r="134">
      <c r="A134" s="9" t="s">
        <v>10383</v>
      </c>
      <c r="B134" s="9" t="s">
        <v>10384</v>
      </c>
    </row>
    <row r="135">
      <c r="A135" s="9" t="s">
        <v>10385</v>
      </c>
      <c r="B135" s="9" t="s">
        <v>8867</v>
      </c>
    </row>
    <row r="136">
      <c r="A136" s="9" t="s">
        <v>10386</v>
      </c>
      <c r="B136" s="9" t="s">
        <v>10387</v>
      </c>
    </row>
    <row r="137">
      <c r="A137" s="9" t="s">
        <v>10388</v>
      </c>
      <c r="B137" s="9" t="s">
        <v>10116</v>
      </c>
    </row>
    <row r="138">
      <c r="A138" s="9" t="s">
        <v>10389</v>
      </c>
      <c r="B138" s="9" t="s">
        <v>5300</v>
      </c>
    </row>
    <row r="139">
      <c r="A139" s="9" t="s">
        <v>10390</v>
      </c>
      <c r="B139" s="9" t="s">
        <v>10391</v>
      </c>
    </row>
    <row r="140">
      <c r="A140" s="9" t="s">
        <v>10392</v>
      </c>
      <c r="B140" s="9" t="s">
        <v>7640</v>
      </c>
    </row>
    <row r="141">
      <c r="A141" s="9" t="s">
        <v>10393</v>
      </c>
      <c r="B141" s="9" t="s">
        <v>10394</v>
      </c>
    </row>
    <row r="142">
      <c r="A142" s="9" t="s">
        <v>10395</v>
      </c>
      <c r="B142" s="9" t="s">
        <v>10396</v>
      </c>
    </row>
    <row r="143">
      <c r="A143" s="9" t="s">
        <v>10397</v>
      </c>
      <c r="B143" s="9" t="s">
        <v>10398</v>
      </c>
    </row>
    <row r="144">
      <c r="A144" s="9" t="s">
        <v>10399</v>
      </c>
      <c r="B144" s="9" t="s">
        <v>10400</v>
      </c>
    </row>
    <row r="145">
      <c r="A145" s="9" t="s">
        <v>10401</v>
      </c>
      <c r="B145" s="9" t="s">
        <v>6764</v>
      </c>
    </row>
    <row r="146">
      <c r="A146" s="9" t="s">
        <v>10402</v>
      </c>
      <c r="B146" s="9" t="s">
        <v>9323</v>
      </c>
    </row>
    <row r="147">
      <c r="A147" s="9" t="s">
        <v>10403</v>
      </c>
      <c r="B147" s="9" t="s">
        <v>1124</v>
      </c>
    </row>
    <row r="148">
      <c r="A148" s="9" t="s">
        <v>10404</v>
      </c>
      <c r="B148" s="9" t="s">
        <v>7631</v>
      </c>
    </row>
    <row r="149">
      <c r="A149" s="9" t="s">
        <v>10405</v>
      </c>
      <c r="B149" s="9" t="s">
        <v>255</v>
      </c>
    </row>
    <row r="150">
      <c r="A150" s="9" t="s">
        <v>10406</v>
      </c>
      <c r="B150" s="9" t="s">
        <v>8889</v>
      </c>
    </row>
    <row r="151">
      <c r="A151" s="9" t="s">
        <v>10407</v>
      </c>
      <c r="B151" s="9" t="s">
        <v>8998</v>
      </c>
    </row>
    <row r="152">
      <c r="A152" s="9" t="s">
        <v>10408</v>
      </c>
      <c r="B152" s="9" t="s">
        <v>8657</v>
      </c>
    </row>
    <row r="153">
      <c r="A153" s="9" t="s">
        <v>10409</v>
      </c>
      <c r="B153" s="9" t="s">
        <v>9006</v>
      </c>
    </row>
    <row r="154">
      <c r="A154" s="9" t="s">
        <v>10410</v>
      </c>
      <c r="B154" s="9" t="s">
        <v>8408</v>
      </c>
    </row>
    <row r="155">
      <c r="A155" s="9" t="s">
        <v>10411</v>
      </c>
      <c r="B155" s="9" t="s">
        <v>8236</v>
      </c>
    </row>
    <row r="156">
      <c r="A156" s="9" t="s">
        <v>10412</v>
      </c>
      <c r="B156" s="9" t="s">
        <v>9450</v>
      </c>
    </row>
    <row r="157">
      <c r="A157" s="9" t="s">
        <v>10413</v>
      </c>
      <c r="B157" s="9" t="s">
        <v>3018</v>
      </c>
    </row>
    <row r="158">
      <c r="A158" s="9" t="s">
        <v>10414</v>
      </c>
      <c r="B158" s="9" t="s">
        <v>249</v>
      </c>
    </row>
    <row r="159">
      <c r="A159" s="9" t="s">
        <v>10415</v>
      </c>
      <c r="B159" s="9" t="s">
        <v>10416</v>
      </c>
    </row>
    <row r="160">
      <c r="A160" s="9" t="s">
        <v>10417</v>
      </c>
      <c r="B160" s="9" t="s">
        <v>6330</v>
      </c>
    </row>
    <row r="161">
      <c r="A161" s="9" t="s">
        <v>10418</v>
      </c>
      <c r="B161" s="9" t="s">
        <v>7041</v>
      </c>
    </row>
    <row r="162">
      <c r="A162" s="9" t="s">
        <v>10419</v>
      </c>
      <c r="B162" s="9" t="s">
        <v>10420</v>
      </c>
    </row>
    <row r="163">
      <c r="A163" s="9" t="s">
        <v>10421</v>
      </c>
      <c r="B163" s="9" t="s">
        <v>8956</v>
      </c>
    </row>
    <row r="164">
      <c r="A164" s="9" t="s">
        <v>10422</v>
      </c>
      <c r="B164" s="9" t="s">
        <v>10423</v>
      </c>
    </row>
    <row r="165">
      <c r="A165" s="9" t="s">
        <v>10424</v>
      </c>
      <c r="B165" s="9" t="s">
        <v>10425</v>
      </c>
    </row>
    <row r="166">
      <c r="A166" s="9" t="s">
        <v>10426</v>
      </c>
      <c r="B166" s="9" t="s">
        <v>10427</v>
      </c>
    </row>
    <row r="167">
      <c r="A167" s="9" t="s">
        <v>10428</v>
      </c>
    </row>
    <row r="168">
      <c r="A168" s="9" t="s">
        <v>10429</v>
      </c>
      <c r="B168" s="9" t="s">
        <v>8201</v>
      </c>
    </row>
    <row r="169">
      <c r="A169" s="9" t="s">
        <v>10430</v>
      </c>
      <c r="B169" s="9" t="s">
        <v>3744</v>
      </c>
    </row>
    <row r="170">
      <c r="A170" s="9" t="s">
        <v>10431</v>
      </c>
      <c r="B170" s="9" t="s">
        <v>10432</v>
      </c>
    </row>
    <row r="171">
      <c r="A171" s="9" t="s">
        <v>10433</v>
      </c>
      <c r="B171" s="9" t="s">
        <v>10171</v>
      </c>
    </row>
    <row r="172">
      <c r="A172" s="9" t="s">
        <v>10434</v>
      </c>
      <c r="B172" s="9" t="s">
        <v>6679</v>
      </c>
    </row>
    <row r="173">
      <c r="A173" s="9" t="s">
        <v>10435</v>
      </c>
      <c r="B173" s="9" t="s">
        <v>4800</v>
      </c>
    </row>
    <row r="174">
      <c r="A174" s="9" t="s">
        <v>10436</v>
      </c>
      <c r="B174" s="9" t="s">
        <v>10437</v>
      </c>
    </row>
    <row r="175">
      <c r="A175" s="9" t="s">
        <v>10438</v>
      </c>
      <c r="B175" s="9" t="s">
        <v>5924</v>
      </c>
    </row>
    <row r="176">
      <c r="A176" s="9" t="s">
        <v>10439</v>
      </c>
      <c r="B176" s="9" t="s">
        <v>10440</v>
      </c>
    </row>
    <row r="177">
      <c r="A177" s="9" t="s">
        <v>10441</v>
      </c>
      <c r="B177" s="9" t="s">
        <v>627</v>
      </c>
    </row>
    <row r="178">
      <c r="A178" s="9" t="s">
        <v>10442</v>
      </c>
      <c r="B178" s="9" t="s">
        <v>3713</v>
      </c>
    </row>
    <row r="179">
      <c r="A179" s="9" t="s">
        <v>10443</v>
      </c>
      <c r="B179" s="9" t="s">
        <v>7163</v>
      </c>
    </row>
    <row r="180">
      <c r="A180" s="9" t="s">
        <v>10444</v>
      </c>
      <c r="B180" s="9" t="s">
        <v>7808</v>
      </c>
    </row>
    <row r="181">
      <c r="A181" s="9" t="s">
        <v>10445</v>
      </c>
      <c r="B181" s="9" t="s">
        <v>5563</v>
      </c>
    </row>
    <row r="182">
      <c r="A182" s="9" t="s">
        <v>10446</v>
      </c>
      <c r="B182" s="9" t="s">
        <v>10447</v>
      </c>
    </row>
    <row r="183">
      <c r="A183" s="9" t="s">
        <v>10448</v>
      </c>
      <c r="B183" s="9" t="s">
        <v>10449</v>
      </c>
    </row>
    <row r="184">
      <c r="A184" s="9" t="s">
        <v>10450</v>
      </c>
      <c r="B184" s="9" t="s">
        <v>8312</v>
      </c>
    </row>
    <row r="185">
      <c r="A185" s="9" t="s">
        <v>10451</v>
      </c>
      <c r="B185" s="9" t="s">
        <v>1947</v>
      </c>
    </row>
    <row r="186">
      <c r="A186" s="9" t="s">
        <v>10452</v>
      </c>
      <c r="B186" s="9" t="s">
        <v>10453</v>
      </c>
    </row>
    <row r="187">
      <c r="A187" s="9" t="s">
        <v>10454</v>
      </c>
      <c r="B187" s="9" t="s">
        <v>3436</v>
      </c>
    </row>
    <row r="188">
      <c r="A188" s="9" t="s">
        <v>10455</v>
      </c>
      <c r="B188" s="9" t="s">
        <v>3455</v>
      </c>
    </row>
    <row r="189">
      <c r="A189" s="9" t="s">
        <v>10456</v>
      </c>
      <c r="B189" s="9" t="s">
        <v>3464</v>
      </c>
    </row>
    <row r="190">
      <c r="A190" s="9" t="s">
        <v>10457</v>
      </c>
      <c r="B190" s="9" t="s">
        <v>10141</v>
      </c>
    </row>
    <row r="191">
      <c r="A191" s="9" t="s">
        <v>10458</v>
      </c>
      <c r="B191" s="9" t="s">
        <v>10459</v>
      </c>
    </row>
    <row r="192">
      <c r="A192" s="9" t="s">
        <v>10460</v>
      </c>
      <c r="B192" s="9" t="s">
        <v>8608</v>
      </c>
    </row>
    <row r="193">
      <c r="A193" s="9" t="s">
        <v>10461</v>
      </c>
      <c r="B193" s="9" t="s">
        <v>9729</v>
      </c>
    </row>
    <row r="194">
      <c r="A194" s="9" t="s">
        <v>10462</v>
      </c>
      <c r="B194" s="9" t="s">
        <v>7020</v>
      </c>
    </row>
    <row r="195">
      <c r="A195" s="9" t="s">
        <v>10463</v>
      </c>
      <c r="B195" s="9" t="s">
        <v>6583</v>
      </c>
    </row>
    <row r="196">
      <c r="A196" s="9" t="s">
        <v>10464</v>
      </c>
      <c r="B196" s="9" t="s">
        <v>9946</v>
      </c>
    </row>
    <row r="197">
      <c r="A197" s="9" t="s">
        <v>10465</v>
      </c>
      <c r="B197" s="9" t="s">
        <v>9984</v>
      </c>
    </row>
    <row r="198">
      <c r="A198" s="9" t="s">
        <v>10466</v>
      </c>
      <c r="B198" s="9" t="s">
        <v>10467</v>
      </c>
    </row>
    <row r="199">
      <c r="A199" s="9" t="s">
        <v>10468</v>
      </c>
      <c r="B199" s="9">
        <v>8.3237123E7</v>
      </c>
    </row>
    <row r="200">
      <c r="A200" s="9" t="s">
        <v>10469</v>
      </c>
      <c r="B200" s="9" t="s">
        <v>270</v>
      </c>
    </row>
    <row r="201">
      <c r="A201" s="9" t="s">
        <v>10470</v>
      </c>
      <c r="B201" s="9" t="s">
        <v>2432</v>
      </c>
    </row>
    <row r="202">
      <c r="A202" s="9" t="s">
        <v>10471</v>
      </c>
      <c r="B202" s="9" t="s">
        <v>10472</v>
      </c>
    </row>
    <row r="203">
      <c r="A203" s="9" t="s">
        <v>10473</v>
      </c>
      <c r="B203" s="9" t="s">
        <v>8502</v>
      </c>
    </row>
    <row r="204">
      <c r="A204" s="9" t="s">
        <v>10474</v>
      </c>
      <c r="B204" s="9" t="s">
        <v>10475</v>
      </c>
    </row>
    <row r="205">
      <c r="A205" s="9" t="s">
        <v>10476</v>
      </c>
      <c r="B205" s="9" t="s">
        <v>10477</v>
      </c>
    </row>
    <row r="206">
      <c r="A206" s="9" t="s">
        <v>10478</v>
      </c>
      <c r="B206" s="9" t="s">
        <v>9420</v>
      </c>
    </row>
    <row r="207">
      <c r="A207" s="9" t="s">
        <v>10479</v>
      </c>
      <c r="B207" s="9" t="s">
        <v>10480</v>
      </c>
    </row>
    <row r="208">
      <c r="A208" s="9" t="s">
        <v>10481</v>
      </c>
      <c r="B208" s="9" t="s">
        <v>10482</v>
      </c>
    </row>
    <row r="209">
      <c r="A209" s="9" t="s">
        <v>10483</v>
      </c>
      <c r="B209" s="9" t="s">
        <v>7526</v>
      </c>
    </row>
    <row r="210">
      <c r="A210" s="9" t="s">
        <v>10484</v>
      </c>
      <c r="B210" s="9" t="s">
        <v>5037</v>
      </c>
    </row>
    <row r="211">
      <c r="A211" s="9" t="s">
        <v>10485</v>
      </c>
      <c r="B211" s="9" t="s">
        <v>10486</v>
      </c>
    </row>
    <row r="212">
      <c r="A212" s="9" t="s">
        <v>10487</v>
      </c>
      <c r="B212" s="9" t="s">
        <v>10488</v>
      </c>
    </row>
    <row r="213">
      <c r="A213" s="9" t="s">
        <v>10489</v>
      </c>
      <c r="B213" s="9" t="s">
        <v>10490</v>
      </c>
    </row>
    <row r="214">
      <c r="A214" s="9" t="s">
        <v>10491</v>
      </c>
      <c r="B214" s="9" t="s">
        <v>6130</v>
      </c>
    </row>
    <row r="215">
      <c r="A215" s="9" t="s">
        <v>10492</v>
      </c>
      <c r="B215" s="9" t="s">
        <v>10493</v>
      </c>
    </row>
    <row r="216">
      <c r="A216" s="9" t="s">
        <v>10494</v>
      </c>
      <c r="B216" s="9" t="s">
        <v>5446</v>
      </c>
    </row>
    <row r="217">
      <c r="A217" s="9" t="s">
        <v>10495</v>
      </c>
      <c r="B217" s="9" t="s">
        <v>10496</v>
      </c>
    </row>
    <row r="218">
      <c r="A218" s="9" t="s">
        <v>10497</v>
      </c>
      <c r="B218" s="9" t="s">
        <v>10498</v>
      </c>
    </row>
    <row r="219">
      <c r="A219" s="9" t="s">
        <v>10499</v>
      </c>
      <c r="B219" s="9" t="s">
        <v>10500</v>
      </c>
    </row>
    <row r="220">
      <c r="A220" s="9" t="s">
        <v>10501</v>
      </c>
      <c r="B220" s="9" t="s">
        <v>10502</v>
      </c>
    </row>
    <row r="221">
      <c r="A221" s="9" t="s">
        <v>10503</v>
      </c>
      <c r="B221" s="9" t="s">
        <v>3221</v>
      </c>
    </row>
    <row r="222">
      <c r="A222" s="9" t="s">
        <v>10504</v>
      </c>
      <c r="B222" s="9" t="s">
        <v>9639</v>
      </c>
    </row>
    <row r="223">
      <c r="A223" s="9" t="s">
        <v>10505</v>
      </c>
      <c r="B223" s="9" t="s">
        <v>10506</v>
      </c>
    </row>
    <row r="224">
      <c r="A224" s="9" t="s">
        <v>10507</v>
      </c>
      <c r="B224" s="9" t="s">
        <v>4379</v>
      </c>
    </row>
    <row r="225">
      <c r="A225" s="9" t="s">
        <v>10508</v>
      </c>
      <c r="B225" s="9" t="s">
        <v>10509</v>
      </c>
    </row>
    <row r="226">
      <c r="A226" s="9" t="s">
        <v>10510</v>
      </c>
      <c r="B226" s="9">
        <v>7.8372796E7</v>
      </c>
    </row>
    <row r="227">
      <c r="A227" s="9" t="s">
        <v>10511</v>
      </c>
      <c r="B227" s="9" t="s">
        <v>244</v>
      </c>
    </row>
    <row r="228">
      <c r="A228" s="9" t="s">
        <v>10512</v>
      </c>
      <c r="B228" s="9" t="s">
        <v>9746</v>
      </c>
    </row>
    <row r="229">
      <c r="A229" s="9" t="s">
        <v>10513</v>
      </c>
      <c r="B229" s="9" t="s">
        <v>9544</v>
      </c>
    </row>
    <row r="230">
      <c r="A230" s="9" t="s">
        <v>10514</v>
      </c>
      <c r="B230" s="9" t="s">
        <v>9429</v>
      </c>
    </row>
    <row r="231">
      <c r="A231" s="9" t="s">
        <v>10515</v>
      </c>
      <c r="B231" s="9" t="s">
        <v>6107</v>
      </c>
    </row>
    <row r="232">
      <c r="A232" s="9" t="s">
        <v>10516</v>
      </c>
      <c r="B232" s="9" t="s">
        <v>8256</v>
      </c>
    </row>
    <row r="233">
      <c r="A233" s="9" t="s">
        <v>10517</v>
      </c>
      <c r="B233" s="9" t="s">
        <v>10518</v>
      </c>
    </row>
    <row r="234">
      <c r="A234" s="9" t="s">
        <v>10519</v>
      </c>
      <c r="B234" s="9" t="s">
        <v>6620</v>
      </c>
    </row>
    <row r="235">
      <c r="A235" s="9" t="s">
        <v>10520</v>
      </c>
      <c r="B235" s="9" t="s">
        <v>261</v>
      </c>
    </row>
    <row r="236">
      <c r="A236" s="9" t="s">
        <v>10521</v>
      </c>
      <c r="B236" s="9" t="s">
        <v>10522</v>
      </c>
    </row>
    <row r="237">
      <c r="A237" s="9" t="s">
        <v>10523</v>
      </c>
      <c r="B237" s="9">
        <v>7.293847E7</v>
      </c>
    </row>
    <row r="238">
      <c r="A238" s="9" t="s">
        <v>10524</v>
      </c>
      <c r="B238" s="9" t="s">
        <v>997</v>
      </c>
    </row>
    <row r="239">
      <c r="A239" s="9" t="s">
        <v>10525</v>
      </c>
      <c r="B239" s="9" t="s">
        <v>8114</v>
      </c>
    </row>
    <row r="240">
      <c r="A240" s="9" t="s">
        <v>10526</v>
      </c>
      <c r="B240" s="9" t="s">
        <v>10090</v>
      </c>
    </row>
    <row r="241">
      <c r="A241" s="9" t="s">
        <v>10527</v>
      </c>
      <c r="B241" s="9" t="s">
        <v>3420</v>
      </c>
    </row>
    <row r="242">
      <c r="A242" s="9" t="s">
        <v>10528</v>
      </c>
      <c r="B242" s="9" t="s">
        <v>10529</v>
      </c>
    </row>
    <row r="243">
      <c r="A243" s="9" t="s">
        <v>10530</v>
      </c>
      <c r="B243" s="9" t="s">
        <v>10531</v>
      </c>
    </row>
    <row r="244">
      <c r="A244" s="9" t="s">
        <v>10532</v>
      </c>
      <c r="B244" s="9" t="s">
        <v>10533</v>
      </c>
    </row>
    <row r="245">
      <c r="A245" s="9" t="s">
        <v>10534</v>
      </c>
      <c r="B245" s="9" t="s">
        <v>10535</v>
      </c>
    </row>
    <row r="246">
      <c r="A246" s="9" t="s">
        <v>10536</v>
      </c>
      <c r="B246" s="9" t="s">
        <v>251</v>
      </c>
    </row>
    <row r="247">
      <c r="A247" s="9" t="s">
        <v>10537</v>
      </c>
      <c r="B247" s="9" t="s">
        <v>243</v>
      </c>
    </row>
    <row r="248">
      <c r="A248" s="9" t="s">
        <v>10538</v>
      </c>
      <c r="B248" s="9" t="s">
        <v>8488</v>
      </c>
    </row>
    <row r="249">
      <c r="A249" s="9" t="s">
        <v>10539</v>
      </c>
      <c r="B249" s="9" t="s">
        <v>10058</v>
      </c>
    </row>
    <row r="250">
      <c r="A250" s="9" t="s">
        <v>10540</v>
      </c>
      <c r="B250" s="9" t="s">
        <v>8388</v>
      </c>
    </row>
    <row r="251">
      <c r="A251" s="9" t="s">
        <v>10541</v>
      </c>
      <c r="B251" s="9" t="s">
        <v>8393</v>
      </c>
    </row>
    <row r="252">
      <c r="A252" s="9" t="s">
        <v>10542</v>
      </c>
      <c r="B252" s="9" t="s">
        <v>8419</v>
      </c>
    </row>
    <row r="253">
      <c r="A253" s="9" t="s">
        <v>10543</v>
      </c>
      <c r="B253" s="9" t="s">
        <v>8457</v>
      </c>
    </row>
    <row r="254">
      <c r="A254" s="9" t="s">
        <v>10544</v>
      </c>
      <c r="B254" s="9" t="s">
        <v>256</v>
      </c>
    </row>
    <row r="255">
      <c r="A255" s="9" t="s">
        <v>10545</v>
      </c>
      <c r="B255" s="9" t="s">
        <v>246</v>
      </c>
    </row>
    <row r="256">
      <c r="A256" s="9" t="s">
        <v>10546</v>
      </c>
      <c r="B256" s="9" t="s">
        <v>10547</v>
      </c>
    </row>
    <row r="257">
      <c r="A257" s="9" t="s">
        <v>10548</v>
      </c>
      <c r="B257" s="9" t="s">
        <v>9394</v>
      </c>
    </row>
    <row r="258">
      <c r="A258" s="9" t="s">
        <v>10549</v>
      </c>
      <c r="B258" s="9" t="s">
        <v>9361</v>
      </c>
    </row>
    <row r="259">
      <c r="A259" s="9" t="s">
        <v>10550</v>
      </c>
      <c r="B259" s="9" t="s">
        <v>8763</v>
      </c>
    </row>
    <row r="260">
      <c r="A260" s="9" t="s">
        <v>10551</v>
      </c>
      <c r="B260" s="9" t="s">
        <v>10552</v>
      </c>
    </row>
    <row r="261">
      <c r="A261" s="9" t="s">
        <v>10553</v>
      </c>
      <c r="B261" s="9" t="s">
        <v>7773</v>
      </c>
    </row>
    <row r="262">
      <c r="A262" s="9" t="s">
        <v>10554</v>
      </c>
      <c r="B262" s="9" t="s">
        <v>3963</v>
      </c>
    </row>
    <row r="263">
      <c r="A263" s="9" t="s">
        <v>10555</v>
      </c>
      <c r="B263" s="9" t="s">
        <v>10556</v>
      </c>
    </row>
    <row r="264">
      <c r="A264" s="9" t="s">
        <v>10557</v>
      </c>
      <c r="B264" s="9" t="s">
        <v>8774</v>
      </c>
    </row>
    <row r="265">
      <c r="A265" s="9" t="s">
        <v>10558</v>
      </c>
      <c r="B265" s="9" t="s">
        <v>8851</v>
      </c>
    </row>
    <row r="266">
      <c r="A266" s="9" t="s">
        <v>10559</v>
      </c>
      <c r="B266" s="9" t="s">
        <v>8880</v>
      </c>
    </row>
    <row r="267">
      <c r="A267" s="9" t="s">
        <v>10560</v>
      </c>
      <c r="B267" s="9" t="s">
        <v>8558</v>
      </c>
    </row>
    <row r="268">
      <c r="A268" s="9" t="s">
        <v>10561</v>
      </c>
      <c r="B268" s="9" t="s">
        <v>10562</v>
      </c>
    </row>
    <row r="269">
      <c r="A269" s="9" t="s">
        <v>10563</v>
      </c>
      <c r="B269" s="9" t="s">
        <v>10564</v>
      </c>
    </row>
    <row r="270">
      <c r="A270" s="9" t="s">
        <v>10565</v>
      </c>
      <c r="B270" s="9" t="s">
        <v>2193</v>
      </c>
    </row>
    <row r="271">
      <c r="A271" s="9" t="s">
        <v>10566</v>
      </c>
      <c r="B271" s="9" t="s">
        <v>10567</v>
      </c>
    </row>
    <row r="272">
      <c r="A272" s="9" t="s">
        <v>10568</v>
      </c>
      <c r="B272" s="9" t="s">
        <v>3663</v>
      </c>
    </row>
    <row r="273">
      <c r="A273" s="9" t="s">
        <v>10569</v>
      </c>
      <c r="B273" s="9" t="s">
        <v>1814</v>
      </c>
    </row>
    <row r="274">
      <c r="A274" s="9" t="s">
        <v>10570</v>
      </c>
      <c r="B274" s="9" t="s">
        <v>10571</v>
      </c>
    </row>
    <row r="275">
      <c r="A275" s="9" t="s">
        <v>10572</v>
      </c>
      <c r="B275" s="9" t="s">
        <v>9063</v>
      </c>
    </row>
    <row r="276">
      <c r="A276" s="9" t="s">
        <v>10573</v>
      </c>
      <c r="B276" s="9" t="s">
        <v>9160</v>
      </c>
    </row>
    <row r="277">
      <c r="A277" s="9" t="s">
        <v>10574</v>
      </c>
      <c r="B277" s="9" t="s">
        <v>5676</v>
      </c>
    </row>
    <row r="278">
      <c r="A278" s="9" t="s">
        <v>10575</v>
      </c>
      <c r="B278" s="9" t="s">
        <v>5361</v>
      </c>
    </row>
    <row r="279">
      <c r="A279" s="9" t="s">
        <v>10576</v>
      </c>
      <c r="B279" s="9" t="s">
        <v>6928</v>
      </c>
    </row>
    <row r="280">
      <c r="A280" s="9" t="s">
        <v>10577</v>
      </c>
    </row>
    <row r="281">
      <c r="A281" s="9" t="s">
        <v>10578</v>
      </c>
      <c r="B281" s="9" t="s">
        <v>8266</v>
      </c>
    </row>
    <row r="282">
      <c r="A282" s="9" t="s">
        <v>10579</v>
      </c>
      <c r="B282" s="9" t="s">
        <v>9835</v>
      </c>
    </row>
    <row r="283">
      <c r="A283" s="9" t="s">
        <v>10580</v>
      </c>
      <c r="B283" s="9" t="s">
        <v>6473</v>
      </c>
    </row>
    <row r="284">
      <c r="A284" s="9" t="s">
        <v>10581</v>
      </c>
      <c r="B284" s="9" t="s">
        <v>9167</v>
      </c>
    </row>
    <row r="285">
      <c r="A285" s="9" t="s">
        <v>10582</v>
      </c>
      <c r="B285" s="9" t="s">
        <v>10023</v>
      </c>
    </row>
    <row r="286">
      <c r="A286" s="9" t="s">
        <v>10583</v>
      </c>
      <c r="B286" s="9" t="s">
        <v>5841</v>
      </c>
    </row>
    <row r="287">
      <c r="A287" s="9" t="s">
        <v>10584</v>
      </c>
      <c r="B287" s="9" t="s">
        <v>4821</v>
      </c>
    </row>
    <row r="288">
      <c r="A288" s="9" t="s">
        <v>10585</v>
      </c>
      <c r="B288" s="9" t="s">
        <v>9178</v>
      </c>
    </row>
    <row r="289">
      <c r="A289" s="9" t="s">
        <v>10586</v>
      </c>
      <c r="B289" s="9" t="s">
        <v>9228</v>
      </c>
    </row>
    <row r="290">
      <c r="A290" s="9" t="s">
        <v>10587</v>
      </c>
      <c r="B290" s="9" t="s">
        <v>9240</v>
      </c>
    </row>
    <row r="291">
      <c r="A291" s="9" t="s">
        <v>10588</v>
      </c>
      <c r="B291" s="9" t="s">
        <v>9683</v>
      </c>
    </row>
    <row r="292">
      <c r="A292" s="9" t="s">
        <v>10589</v>
      </c>
      <c r="B292" s="9" t="s">
        <v>8993</v>
      </c>
    </row>
    <row r="293">
      <c r="A293" s="9" t="s">
        <v>10590</v>
      </c>
      <c r="B293" s="9" t="s">
        <v>10591</v>
      </c>
    </row>
    <row r="294">
      <c r="A294" s="9" t="s">
        <v>10592</v>
      </c>
      <c r="B294" s="9" t="s">
        <v>7336</v>
      </c>
    </row>
    <row r="295">
      <c r="A295" s="9" t="s">
        <v>10593</v>
      </c>
      <c r="B295" s="9" t="s">
        <v>10594</v>
      </c>
    </row>
    <row r="296">
      <c r="A296" s="9" t="s">
        <v>10595</v>
      </c>
      <c r="B296" s="9" t="s">
        <v>9375</v>
      </c>
    </row>
    <row r="297">
      <c r="A297" s="9" t="s">
        <v>10596</v>
      </c>
      <c r="B297" s="9" t="s">
        <v>9564</v>
      </c>
    </row>
    <row r="298">
      <c r="A298" s="9" t="s">
        <v>10597</v>
      </c>
      <c r="B298" s="9" t="s">
        <v>675</v>
      </c>
    </row>
    <row r="299">
      <c r="A299" s="9" t="s">
        <v>10598</v>
      </c>
      <c r="B299" s="9" t="s">
        <v>9648</v>
      </c>
    </row>
    <row r="300">
      <c r="A300" s="9" t="s">
        <v>10599</v>
      </c>
      <c r="B300" s="9" t="s">
        <v>10600</v>
      </c>
    </row>
    <row r="301">
      <c r="A301" s="9" t="s">
        <v>10601</v>
      </c>
      <c r="B301" s="9" t="s">
        <v>741</v>
      </c>
    </row>
    <row r="302">
      <c r="A302" s="9" t="s">
        <v>10602</v>
      </c>
      <c r="B302" s="9" t="s">
        <v>10603</v>
      </c>
    </row>
    <row r="303">
      <c r="A303" s="9" t="s">
        <v>10604</v>
      </c>
      <c r="B303" s="9" t="s">
        <v>4336</v>
      </c>
    </row>
    <row r="304">
      <c r="A304" s="9" t="s">
        <v>10605</v>
      </c>
      <c r="B304" s="9" t="s">
        <v>7328</v>
      </c>
    </row>
    <row r="305">
      <c r="A305" s="9" t="s">
        <v>10606</v>
      </c>
      <c r="B305" s="9" t="s">
        <v>2736</v>
      </c>
    </row>
    <row r="306">
      <c r="A306" s="9" t="s">
        <v>10607</v>
      </c>
      <c r="B306" s="9" t="s">
        <v>10608</v>
      </c>
    </row>
    <row r="307">
      <c r="A307" s="9" t="s">
        <v>10609</v>
      </c>
      <c r="B307" s="9" t="s">
        <v>8522</v>
      </c>
    </row>
    <row r="308">
      <c r="A308" s="9" t="s">
        <v>10610</v>
      </c>
      <c r="B308" s="9" t="s">
        <v>9141</v>
      </c>
    </row>
    <row r="309">
      <c r="A309" s="9" t="s">
        <v>10611</v>
      </c>
      <c r="B309" s="9" t="s">
        <v>4712</v>
      </c>
    </row>
    <row r="310">
      <c r="A310" s="9" t="s">
        <v>10612</v>
      </c>
      <c r="B310" s="9" t="s">
        <v>10613</v>
      </c>
    </row>
    <row r="311">
      <c r="A311" s="9" t="s">
        <v>10614</v>
      </c>
      <c r="B311" s="9" t="s">
        <v>9688</v>
      </c>
    </row>
    <row r="312">
      <c r="A312" s="9" t="s">
        <v>10615</v>
      </c>
      <c r="B312" s="9" t="s">
        <v>10616</v>
      </c>
    </row>
    <row r="313">
      <c r="A313" s="9" t="s">
        <v>10617</v>
      </c>
      <c r="B313" s="9" t="s">
        <v>9708</v>
      </c>
    </row>
    <row r="314">
      <c r="A314" s="9" t="s">
        <v>10618</v>
      </c>
      <c r="B314" s="9" t="s">
        <v>9736</v>
      </c>
    </row>
    <row r="315">
      <c r="A315" s="9" t="s">
        <v>10619</v>
      </c>
      <c r="B315" s="9" t="s">
        <v>9557</v>
      </c>
    </row>
    <row r="316">
      <c r="A316" s="9" t="s">
        <v>10620</v>
      </c>
      <c r="B316" s="9" t="s">
        <v>9757</v>
      </c>
    </row>
    <row r="317">
      <c r="A317" s="9" t="s">
        <v>10621</v>
      </c>
      <c r="B317" s="9" t="s">
        <v>10622</v>
      </c>
    </row>
    <row r="318">
      <c r="A318" s="9" t="s">
        <v>10623</v>
      </c>
      <c r="B318" s="9" t="s">
        <v>4000</v>
      </c>
    </row>
    <row r="319">
      <c r="A319" s="9" t="s">
        <v>10624</v>
      </c>
      <c r="B319" s="9" t="s">
        <v>1247</v>
      </c>
    </row>
    <row r="320">
      <c r="A320" s="9" t="s">
        <v>10625</v>
      </c>
      <c r="B320" s="9" t="s">
        <v>4879</v>
      </c>
    </row>
    <row r="321">
      <c r="A321" s="9" t="s">
        <v>10626</v>
      </c>
      <c r="B321" s="9" t="s">
        <v>9787</v>
      </c>
    </row>
    <row r="322">
      <c r="A322" s="9" t="s">
        <v>10627</v>
      </c>
      <c r="B322" s="9" t="s">
        <v>9901</v>
      </c>
    </row>
    <row r="323">
      <c r="A323" s="9" t="s">
        <v>10628</v>
      </c>
      <c r="B323" s="9" t="s">
        <v>5484</v>
      </c>
    </row>
    <row r="324">
      <c r="A324" s="9" t="s">
        <v>10629</v>
      </c>
      <c r="B324" s="9" t="s">
        <v>8028</v>
      </c>
    </row>
    <row r="325">
      <c r="A325" s="9" t="s">
        <v>10630</v>
      </c>
      <c r="B325" s="9" t="s">
        <v>9949</v>
      </c>
    </row>
    <row r="326">
      <c r="A326" s="9" t="s">
        <v>10631</v>
      </c>
      <c r="B326" s="9" t="s">
        <v>9978</v>
      </c>
    </row>
    <row r="327">
      <c r="A327" s="9" t="s">
        <v>10632</v>
      </c>
      <c r="B327" s="9" t="s">
        <v>9993</v>
      </c>
    </row>
    <row r="328">
      <c r="A328" s="9" t="s">
        <v>10633</v>
      </c>
      <c r="B328" s="9" t="s">
        <v>8779</v>
      </c>
    </row>
    <row r="329">
      <c r="A329" s="9" t="s">
        <v>10634</v>
      </c>
      <c r="B329" s="9" t="s">
        <v>8689</v>
      </c>
    </row>
    <row r="330">
      <c r="A330" s="9" t="s">
        <v>10635</v>
      </c>
      <c r="B330" s="9" t="s">
        <v>9680</v>
      </c>
    </row>
    <row r="331">
      <c r="A331" s="9" t="s">
        <v>10636</v>
      </c>
      <c r="B331" s="9" t="s">
        <v>9698</v>
      </c>
    </row>
    <row r="332">
      <c r="A332" s="9" t="s">
        <v>10637</v>
      </c>
      <c r="B332" s="9" t="s">
        <v>10638</v>
      </c>
    </row>
    <row r="333">
      <c r="A333" s="9" t="s">
        <v>10639</v>
      </c>
      <c r="B333" s="9" t="s">
        <v>10005</v>
      </c>
    </row>
    <row r="334">
      <c r="A334" s="9" t="s">
        <v>10640</v>
      </c>
      <c r="B334" s="9" t="s">
        <v>10034</v>
      </c>
    </row>
    <row r="335">
      <c r="A335" s="9" t="s">
        <v>10641</v>
      </c>
      <c r="B335" s="9" t="s">
        <v>10104</v>
      </c>
    </row>
    <row r="336">
      <c r="A336" s="9" t="s">
        <v>10642</v>
      </c>
      <c r="B336" s="9" t="s">
        <v>3810</v>
      </c>
    </row>
    <row r="337">
      <c r="A337" s="9" t="s">
        <v>10643</v>
      </c>
      <c r="B337" s="9" t="s">
        <v>8490</v>
      </c>
    </row>
    <row r="338">
      <c r="A338" s="9" t="s">
        <v>10644</v>
      </c>
      <c r="B338" s="9" t="s">
        <v>9087</v>
      </c>
    </row>
    <row r="339">
      <c r="A339" s="9" t="s">
        <v>10645</v>
      </c>
      <c r="B339" s="9" t="s">
        <v>10646</v>
      </c>
    </row>
    <row r="340">
      <c r="A340" s="9" t="s">
        <v>10647</v>
      </c>
      <c r="B340" s="9" t="s">
        <v>9819</v>
      </c>
    </row>
    <row r="341">
      <c r="A341" s="9" t="s">
        <v>10648</v>
      </c>
      <c r="B341" s="9" t="s">
        <v>10649</v>
      </c>
    </row>
    <row r="342">
      <c r="A342" s="9" t="s">
        <v>10650</v>
      </c>
      <c r="B342" s="9" t="s">
        <v>605</v>
      </c>
    </row>
    <row r="343">
      <c r="A343" s="9" t="s">
        <v>10651</v>
      </c>
      <c r="B343" s="9" t="s">
        <v>266</v>
      </c>
    </row>
    <row r="344">
      <c r="A344" s="9" t="s">
        <v>10652</v>
      </c>
      <c r="B344" s="9" t="s">
        <v>8549</v>
      </c>
    </row>
    <row r="345">
      <c r="A345" s="9" t="s">
        <v>10653</v>
      </c>
      <c r="B345" s="9" t="s">
        <v>5206</v>
      </c>
    </row>
    <row r="346">
      <c r="A346" s="9" t="s">
        <v>10654</v>
      </c>
      <c r="B346" s="9" t="s">
        <v>4674</v>
      </c>
    </row>
    <row r="347">
      <c r="A347" s="9" t="s">
        <v>10655</v>
      </c>
      <c r="B347" s="9" t="s">
        <v>9310</v>
      </c>
    </row>
    <row r="348">
      <c r="A348" s="9" t="s">
        <v>10656</v>
      </c>
      <c r="B348" s="9" t="s">
        <v>3384</v>
      </c>
    </row>
    <row r="349">
      <c r="A349" s="9" t="s">
        <v>10657</v>
      </c>
      <c r="B349" s="9" t="s">
        <v>10658</v>
      </c>
    </row>
    <row r="350">
      <c r="A350" s="9" t="s">
        <v>10659</v>
      </c>
      <c r="B350" s="9" t="s">
        <v>6197</v>
      </c>
    </row>
    <row r="351">
      <c r="A351" s="9" t="s">
        <v>10660</v>
      </c>
      <c r="B351" s="9" t="s">
        <v>8668</v>
      </c>
    </row>
    <row r="352">
      <c r="A352" s="9" t="s">
        <v>10661</v>
      </c>
      <c r="B352" s="9" t="s">
        <v>10662</v>
      </c>
    </row>
    <row r="353">
      <c r="A353" s="9" t="s">
        <v>10663</v>
      </c>
      <c r="B353" s="9" t="s">
        <v>10664</v>
      </c>
    </row>
    <row r="354">
      <c r="A354" s="9" t="s">
        <v>10665</v>
      </c>
      <c r="B354" s="9" t="s">
        <v>6716</v>
      </c>
    </row>
    <row r="355">
      <c r="A355" s="9" t="s">
        <v>10666</v>
      </c>
      <c r="B355" s="9" t="s">
        <v>10667</v>
      </c>
    </row>
    <row r="356">
      <c r="A356" s="9" t="s">
        <v>10668</v>
      </c>
      <c r="B356" s="9" t="s">
        <v>7556</v>
      </c>
    </row>
    <row r="357">
      <c r="A357" s="9" t="s">
        <v>10669</v>
      </c>
      <c r="B357" s="9" t="s">
        <v>5240</v>
      </c>
    </row>
    <row r="358">
      <c r="A358" s="9" t="s">
        <v>10670</v>
      </c>
      <c r="B358" s="9" t="s">
        <v>8736</v>
      </c>
    </row>
    <row r="359">
      <c r="A359" s="9" t="s">
        <v>10671</v>
      </c>
      <c r="B359" s="9" t="s">
        <v>10672</v>
      </c>
    </row>
    <row r="360">
      <c r="A360" s="9" t="s">
        <v>10673</v>
      </c>
      <c r="B360" s="9" t="s">
        <v>10674</v>
      </c>
    </row>
    <row r="361">
      <c r="A361" s="9" t="s">
        <v>10675</v>
      </c>
      <c r="B361" s="9" t="s">
        <v>1561</v>
      </c>
    </row>
    <row r="362">
      <c r="A362" s="9" t="s">
        <v>10676</v>
      </c>
      <c r="B362" s="9" t="s">
        <v>10079</v>
      </c>
    </row>
    <row r="363">
      <c r="A363" s="9" t="s">
        <v>10677</v>
      </c>
      <c r="B363" s="9" t="s">
        <v>6390</v>
      </c>
    </row>
    <row r="364">
      <c r="A364" s="9" t="s">
        <v>10678</v>
      </c>
      <c r="B364" s="9" t="s">
        <v>10679</v>
      </c>
    </row>
    <row r="365">
      <c r="A365" s="9" t="s">
        <v>10680</v>
      </c>
      <c r="B365" s="9" t="s">
        <v>7219</v>
      </c>
    </row>
    <row r="366">
      <c r="A366" s="9" t="s">
        <v>10681</v>
      </c>
      <c r="B366" s="9" t="s">
        <v>10682</v>
      </c>
    </row>
    <row r="367">
      <c r="A367" s="9" t="s">
        <v>10683</v>
      </c>
      <c r="B367" s="9" t="s">
        <v>10069</v>
      </c>
    </row>
    <row r="368">
      <c r="A368" s="9" t="s">
        <v>10684</v>
      </c>
      <c r="B368" s="9" t="s">
        <v>9020</v>
      </c>
    </row>
    <row r="369">
      <c r="A369" s="9" t="s">
        <v>10685</v>
      </c>
      <c r="B369" s="9" t="s">
        <v>9122</v>
      </c>
    </row>
    <row r="370">
      <c r="A370" s="9" t="s">
        <v>10686</v>
      </c>
      <c r="B370" s="9" t="s">
        <v>8727</v>
      </c>
    </row>
    <row r="371">
      <c r="A371" s="9" t="s">
        <v>10687</v>
      </c>
      <c r="B371" s="9" t="s">
        <v>6255</v>
      </c>
    </row>
    <row r="372">
      <c r="A372" s="9" t="s">
        <v>10688</v>
      </c>
      <c r="B372" s="9" t="s">
        <v>2522</v>
      </c>
    </row>
    <row r="373">
      <c r="A373" s="9" t="s">
        <v>10689</v>
      </c>
      <c r="B373" s="9" t="s">
        <v>9892</v>
      </c>
    </row>
    <row r="374">
      <c r="A374" s="9" t="s">
        <v>10690</v>
      </c>
      <c r="B374" s="9" t="s">
        <v>10691</v>
      </c>
    </row>
    <row r="375">
      <c r="A375" s="9" t="s">
        <v>10692</v>
      </c>
      <c r="B375" s="9" t="s">
        <v>7925</v>
      </c>
    </row>
    <row r="376">
      <c r="A376" s="9" t="s">
        <v>10693</v>
      </c>
      <c r="B376" s="9" t="s">
        <v>7537</v>
      </c>
    </row>
    <row r="377">
      <c r="A377" s="9" t="s">
        <v>10694</v>
      </c>
      <c r="B377" s="9" t="s">
        <v>10695</v>
      </c>
    </row>
    <row r="378">
      <c r="A378" s="9" t="s">
        <v>10696</v>
      </c>
      <c r="B378" s="9" t="s">
        <v>8468</v>
      </c>
    </row>
    <row r="379">
      <c r="A379" s="9" t="s">
        <v>10697</v>
      </c>
      <c r="B379" s="9" t="s">
        <v>8179</v>
      </c>
    </row>
    <row r="380">
      <c r="A380" s="9" t="s">
        <v>10698</v>
      </c>
      <c r="B380" s="9" t="s">
        <v>10699</v>
      </c>
    </row>
    <row r="381">
      <c r="A381" s="9" t="s">
        <v>10700</v>
      </c>
      <c r="B381" s="9" t="s">
        <v>10701</v>
      </c>
    </row>
    <row r="382">
      <c r="A382" s="9" t="s">
        <v>10702</v>
      </c>
      <c r="B382" s="9" t="s">
        <v>3692</v>
      </c>
    </row>
    <row r="383">
      <c r="A383" s="9" t="s">
        <v>10703</v>
      </c>
      <c r="B383" s="9" t="s">
        <v>7008</v>
      </c>
    </row>
    <row r="384">
      <c r="A384" s="9" t="s">
        <v>10704</v>
      </c>
      <c r="B384" s="9" t="s">
        <v>10705</v>
      </c>
    </row>
    <row r="385">
      <c r="A385" s="9" t="s">
        <v>10706</v>
      </c>
      <c r="B385" s="9" t="s">
        <v>10707</v>
      </c>
    </row>
    <row r="386">
      <c r="A386" s="9" t="s">
        <v>10708</v>
      </c>
      <c r="B386" s="9" t="s">
        <v>10709</v>
      </c>
    </row>
    <row r="387">
      <c r="A387" s="9" t="s">
        <v>10710</v>
      </c>
      <c r="B387" s="9" t="s">
        <v>10711</v>
      </c>
    </row>
    <row r="388">
      <c r="A388" s="9" t="s">
        <v>10712</v>
      </c>
      <c r="B388" s="9" t="s">
        <v>2050</v>
      </c>
    </row>
    <row r="389">
      <c r="A389" s="9" t="s">
        <v>10713</v>
      </c>
      <c r="B389" s="9" t="s">
        <v>8568</v>
      </c>
    </row>
    <row r="390">
      <c r="A390" s="9" t="s">
        <v>10714</v>
      </c>
      <c r="B390" s="9" t="s">
        <v>10715</v>
      </c>
    </row>
    <row r="391">
      <c r="A391" s="9" t="s">
        <v>10716</v>
      </c>
      <c r="B391" s="9" t="s">
        <v>4364</v>
      </c>
    </row>
    <row r="392">
      <c r="A392" s="9" t="s">
        <v>10717</v>
      </c>
      <c r="B392" s="9" t="s">
        <v>9072</v>
      </c>
    </row>
    <row r="393">
      <c r="A393" s="9" t="s">
        <v>10718</v>
      </c>
      <c r="B393" s="9" t="s">
        <v>10719</v>
      </c>
    </row>
    <row r="394">
      <c r="A394" s="9" t="s">
        <v>10720</v>
      </c>
      <c r="B394" s="9" t="s">
        <v>10721</v>
      </c>
    </row>
    <row r="395">
      <c r="A395" s="9" t="s">
        <v>10722</v>
      </c>
      <c r="B395" s="9" t="s">
        <v>8948</v>
      </c>
    </row>
    <row r="396">
      <c r="A396" s="9" t="s">
        <v>10723</v>
      </c>
      <c r="B396" s="9" t="s">
        <v>8939</v>
      </c>
    </row>
    <row r="397">
      <c r="A397" s="9" t="s">
        <v>10724</v>
      </c>
      <c r="B397" s="9" t="s">
        <v>10725</v>
      </c>
    </row>
    <row r="398">
      <c r="A398" s="9" t="s">
        <v>10726</v>
      </c>
      <c r="B398" s="9" t="s">
        <v>780</v>
      </c>
    </row>
    <row r="399">
      <c r="A399" s="9" t="s">
        <v>10727</v>
      </c>
      <c r="B399" s="9" t="s">
        <v>7348</v>
      </c>
    </row>
    <row r="400">
      <c r="A400" s="9" t="s">
        <v>10728</v>
      </c>
      <c r="B400" s="9" t="s">
        <v>9437</v>
      </c>
    </row>
    <row r="401">
      <c r="A401" s="9" t="s">
        <v>10729</v>
      </c>
      <c r="B401" s="9" t="s">
        <v>10730</v>
      </c>
    </row>
    <row r="402">
      <c r="A402" s="9" t="s">
        <v>10731</v>
      </c>
      <c r="B402" s="9" t="s">
        <v>9329</v>
      </c>
    </row>
    <row r="403">
      <c r="A403" s="9" t="s">
        <v>10732</v>
      </c>
      <c r="B403" s="9" t="s">
        <v>10733</v>
      </c>
    </row>
    <row r="404">
      <c r="A404" s="9" t="s">
        <v>10734</v>
      </c>
      <c r="B404" s="9" t="s">
        <v>10735</v>
      </c>
    </row>
    <row r="405">
      <c r="A405" s="9" t="s">
        <v>10736</v>
      </c>
      <c r="B405" s="9" t="s">
        <v>6458</v>
      </c>
    </row>
    <row r="406">
      <c r="A406" s="9" t="s">
        <v>10737</v>
      </c>
      <c r="B406" s="9" t="s">
        <v>10738</v>
      </c>
    </row>
    <row r="407">
      <c r="A407" s="9" t="s">
        <v>10739</v>
      </c>
      <c r="B407" s="9" t="s">
        <v>10740</v>
      </c>
    </row>
    <row r="408">
      <c r="A408" s="9" t="s">
        <v>10741</v>
      </c>
      <c r="B408" s="9" t="s">
        <v>7889</v>
      </c>
    </row>
    <row r="409">
      <c r="A409" s="9" t="s">
        <v>10742</v>
      </c>
      <c r="B409" s="9" t="s">
        <v>1640</v>
      </c>
    </row>
    <row r="410">
      <c r="A410" s="9" t="s">
        <v>10743</v>
      </c>
      <c r="B410" s="9" t="s">
        <v>9252</v>
      </c>
    </row>
    <row r="411">
      <c r="A411" s="9" t="s">
        <v>10744</v>
      </c>
      <c r="B411" s="9" t="s">
        <v>10745</v>
      </c>
    </row>
    <row r="412">
      <c r="A412" s="9" t="s">
        <v>10746</v>
      </c>
      <c r="B412" s="9" t="s">
        <v>4568</v>
      </c>
    </row>
    <row r="413">
      <c r="A413" s="9" t="s">
        <v>10747</v>
      </c>
      <c r="B413" s="9" t="s">
        <v>6343</v>
      </c>
    </row>
    <row r="414">
      <c r="A414" s="9" t="s">
        <v>10748</v>
      </c>
      <c r="B414" s="9" t="s">
        <v>8590</v>
      </c>
    </row>
    <row r="415">
      <c r="A415" s="9" t="s">
        <v>10749</v>
      </c>
      <c r="B415" s="9" t="s">
        <v>7001</v>
      </c>
    </row>
    <row r="416">
      <c r="A416" s="9" t="s">
        <v>10750</v>
      </c>
      <c r="B416" s="9" t="s">
        <v>8060</v>
      </c>
    </row>
    <row r="417">
      <c r="A417" s="9" t="s">
        <v>10751</v>
      </c>
      <c r="B417" s="9" t="s">
        <v>4089</v>
      </c>
    </row>
    <row r="418">
      <c r="A418" s="9" t="s">
        <v>10752</v>
      </c>
      <c r="B418" s="9" t="s">
        <v>2029</v>
      </c>
    </row>
    <row r="419">
      <c r="A419" s="9" t="s">
        <v>10753</v>
      </c>
      <c r="B419" s="9" t="s">
        <v>9667</v>
      </c>
    </row>
    <row r="420">
      <c r="A420" s="9" t="s">
        <v>10754</v>
      </c>
      <c r="B420" s="9" t="s">
        <v>4106</v>
      </c>
    </row>
    <row r="421">
      <c r="A421" s="9" t="s">
        <v>10755</v>
      </c>
      <c r="B421" s="9" t="s">
        <v>10756</v>
      </c>
    </row>
    <row r="422">
      <c r="A422" s="9" t="s">
        <v>10757</v>
      </c>
      <c r="B422" s="9" t="s">
        <v>3515</v>
      </c>
    </row>
    <row r="423">
      <c r="A423" s="9" t="s">
        <v>10758</v>
      </c>
      <c r="B423" s="9" t="s">
        <v>9383</v>
      </c>
    </row>
    <row r="424">
      <c r="A424" s="9" t="s">
        <v>10759</v>
      </c>
      <c r="B424" s="9" t="s">
        <v>982</v>
      </c>
    </row>
    <row r="425">
      <c r="A425" s="9" t="s">
        <v>10760</v>
      </c>
      <c r="B425" s="9" t="s">
        <v>4688</v>
      </c>
    </row>
    <row r="426">
      <c r="A426" s="9" t="s">
        <v>10761</v>
      </c>
      <c r="B426" s="9" t="s">
        <v>8306</v>
      </c>
    </row>
    <row r="427">
      <c r="A427" s="9" t="s">
        <v>10762</v>
      </c>
      <c r="B427" s="9" t="s">
        <v>10763</v>
      </c>
    </row>
    <row r="428">
      <c r="A428" s="9" t="s">
        <v>10764</v>
      </c>
      <c r="B428" s="9" t="s">
        <v>433</v>
      </c>
    </row>
    <row r="429">
      <c r="A429" s="9" t="s">
        <v>10765</v>
      </c>
      <c r="B429" s="9" t="s">
        <v>5788</v>
      </c>
    </row>
    <row r="430">
      <c r="A430" s="9" t="s">
        <v>10766</v>
      </c>
      <c r="B430" s="9" t="s">
        <v>6379</v>
      </c>
    </row>
    <row r="431">
      <c r="A431" s="9" t="s">
        <v>10767</v>
      </c>
      <c r="B431" s="9" t="s">
        <v>1274</v>
      </c>
    </row>
    <row r="432">
      <c r="A432" s="9" t="s">
        <v>10768</v>
      </c>
      <c r="B432" s="9" t="s">
        <v>8044</v>
      </c>
    </row>
    <row r="433">
      <c r="A433" s="9" t="s">
        <v>10769</v>
      </c>
      <c r="B433" s="9" t="s">
        <v>1062</v>
      </c>
    </row>
    <row r="434">
      <c r="A434" s="9" t="s">
        <v>10770</v>
      </c>
      <c r="B434" s="9" t="s">
        <v>2709</v>
      </c>
    </row>
    <row r="435">
      <c r="A435" s="9" t="s">
        <v>10771</v>
      </c>
      <c r="B435" s="9" t="s">
        <v>3889</v>
      </c>
    </row>
    <row r="436">
      <c r="A436" s="9" t="s">
        <v>10772</v>
      </c>
      <c r="B436" s="9" t="s">
        <v>2329</v>
      </c>
    </row>
    <row r="437">
      <c r="A437" s="9" t="s">
        <v>10773</v>
      </c>
      <c r="B437" s="9" t="s">
        <v>4470</v>
      </c>
    </row>
    <row r="438">
      <c r="A438" s="9" t="s">
        <v>10774</v>
      </c>
      <c r="B438" s="9" t="s">
        <v>5331</v>
      </c>
    </row>
    <row r="439">
      <c r="A439" s="9" t="s">
        <v>10775</v>
      </c>
      <c r="B439" s="9" t="s">
        <v>5955</v>
      </c>
    </row>
    <row r="440">
      <c r="A440" s="9" t="s">
        <v>10776</v>
      </c>
      <c r="B440" s="9" t="s">
        <v>4969</v>
      </c>
    </row>
    <row r="441">
      <c r="A441" s="9" t="s">
        <v>10777</v>
      </c>
      <c r="B441" s="9" t="s">
        <v>5970</v>
      </c>
    </row>
    <row r="442">
      <c r="A442" s="9" t="s">
        <v>10778</v>
      </c>
      <c r="B442" s="9" t="s">
        <v>10779</v>
      </c>
    </row>
    <row r="443">
      <c r="A443" s="9" t="s">
        <v>10780</v>
      </c>
      <c r="B443" s="9" t="s">
        <v>10781</v>
      </c>
    </row>
    <row r="444">
      <c r="A444" s="9" t="s">
        <v>10782</v>
      </c>
      <c r="B444" s="9" t="s">
        <v>1260</v>
      </c>
    </row>
    <row r="445">
      <c r="A445" s="9" t="s">
        <v>10783</v>
      </c>
      <c r="B445" s="9" t="s">
        <v>10784</v>
      </c>
    </row>
    <row r="446">
      <c r="A446" s="9" t="s">
        <v>10785</v>
      </c>
      <c r="B446" s="9" t="s">
        <v>10786</v>
      </c>
    </row>
    <row r="447">
      <c r="A447" s="9" t="s">
        <v>10787</v>
      </c>
      <c r="B447" s="9" t="s">
        <v>10788</v>
      </c>
    </row>
    <row r="448">
      <c r="A448" s="9" t="s">
        <v>10789</v>
      </c>
      <c r="B448" s="9" t="s">
        <v>10790</v>
      </c>
    </row>
    <row r="449">
      <c r="A449" s="9" t="s">
        <v>10791</v>
      </c>
      <c r="B449" s="9" t="s">
        <v>10792</v>
      </c>
    </row>
    <row r="450">
      <c r="A450" s="9" t="s">
        <v>10793</v>
      </c>
      <c r="B450" s="9" t="s">
        <v>10794</v>
      </c>
    </row>
    <row r="451">
      <c r="A451" s="9" t="s">
        <v>10795</v>
      </c>
      <c r="B451" s="9" t="s">
        <v>10796</v>
      </c>
    </row>
    <row r="452">
      <c r="A452" s="9" t="s">
        <v>10797</v>
      </c>
      <c r="B452" s="9" t="s">
        <v>10798</v>
      </c>
    </row>
    <row r="453">
      <c r="A453" s="9" t="s">
        <v>10799</v>
      </c>
      <c r="B453" s="9" t="s">
        <v>10800</v>
      </c>
    </row>
    <row r="454">
      <c r="A454" s="9" t="s">
        <v>10801</v>
      </c>
      <c r="B454" s="9" t="s">
        <v>10802</v>
      </c>
    </row>
    <row r="455">
      <c r="A455" s="9" t="s">
        <v>10803</v>
      </c>
      <c r="B455" s="9" t="s">
        <v>10804</v>
      </c>
    </row>
    <row r="456">
      <c r="A456" s="9" t="s">
        <v>10805</v>
      </c>
      <c r="B456" s="9" t="s">
        <v>10806</v>
      </c>
    </row>
    <row r="457">
      <c r="A457" s="9" t="s">
        <v>10807</v>
      </c>
      <c r="B457" s="9" t="s">
        <v>10808</v>
      </c>
    </row>
    <row r="458">
      <c r="A458" s="9" t="s">
        <v>10809</v>
      </c>
      <c r="B458" s="9" t="s">
        <v>10810</v>
      </c>
    </row>
    <row r="459">
      <c r="A459" s="9" t="s">
        <v>10811</v>
      </c>
      <c r="B459" s="9" t="s">
        <v>10812</v>
      </c>
    </row>
    <row r="460">
      <c r="A460" s="9" t="s">
        <v>10813</v>
      </c>
      <c r="B460" s="9" t="s">
        <v>10814</v>
      </c>
    </row>
    <row r="461">
      <c r="A461" s="9" t="s">
        <v>10815</v>
      </c>
      <c r="B461" s="9" t="s">
        <v>10816</v>
      </c>
    </row>
    <row r="462">
      <c r="A462" s="9" t="s">
        <v>10817</v>
      </c>
      <c r="B462" s="9" t="s">
        <v>10818</v>
      </c>
    </row>
    <row r="463">
      <c r="A463" s="9" t="s">
        <v>10819</v>
      </c>
      <c r="B463" s="9" t="s">
        <v>10820</v>
      </c>
    </row>
    <row r="464">
      <c r="A464" s="9" t="s">
        <v>10821</v>
      </c>
      <c r="B464" s="9" t="s">
        <v>10822</v>
      </c>
    </row>
    <row r="465">
      <c r="A465" s="9" t="s">
        <v>10823</v>
      </c>
      <c r="B465" s="9" t="s">
        <v>10824</v>
      </c>
    </row>
    <row r="466">
      <c r="A466" s="9" t="s">
        <v>10825</v>
      </c>
      <c r="B466" s="9" t="s">
        <v>10826</v>
      </c>
    </row>
    <row r="467">
      <c r="A467" s="9" t="s">
        <v>10827</v>
      </c>
      <c r="B467" s="9" t="s">
        <v>10828</v>
      </c>
    </row>
    <row r="468">
      <c r="A468" s="9" t="s">
        <v>10829</v>
      </c>
      <c r="B468" s="9" t="s">
        <v>10830</v>
      </c>
    </row>
    <row r="469">
      <c r="A469" s="9" t="s">
        <v>10831</v>
      </c>
      <c r="B469" s="9" t="s">
        <v>10832</v>
      </c>
    </row>
    <row r="470">
      <c r="A470" s="9" t="s">
        <v>10833</v>
      </c>
      <c r="B470" s="9" t="s">
        <v>10834</v>
      </c>
    </row>
    <row r="471">
      <c r="A471" s="9" t="s">
        <v>10835</v>
      </c>
      <c r="B471" s="9" t="s">
        <v>10836</v>
      </c>
    </row>
    <row r="472">
      <c r="A472" s="9" t="s">
        <v>10837</v>
      </c>
      <c r="B472" s="9" t="s">
        <v>688</v>
      </c>
    </row>
    <row r="473">
      <c r="A473" s="9" t="s">
        <v>10838</v>
      </c>
      <c r="B473" s="9" t="s">
        <v>10839</v>
      </c>
    </row>
    <row r="474">
      <c r="A474" s="9" t="s">
        <v>10840</v>
      </c>
      <c r="B474" s="9" t="s">
        <v>10841</v>
      </c>
    </row>
    <row r="475">
      <c r="A475" s="9" t="s">
        <v>10842</v>
      </c>
      <c r="B475" s="9" t="s">
        <v>10843</v>
      </c>
    </row>
    <row r="476">
      <c r="A476" s="9" t="s">
        <v>10844</v>
      </c>
      <c r="B476" s="9" t="s">
        <v>10845</v>
      </c>
    </row>
    <row r="477">
      <c r="A477" s="9" t="s">
        <v>10846</v>
      </c>
      <c r="B477" s="9" t="s">
        <v>10847</v>
      </c>
    </row>
    <row r="478">
      <c r="A478" s="9" t="s">
        <v>10848</v>
      </c>
      <c r="B478" s="9" t="s">
        <v>10849</v>
      </c>
    </row>
    <row r="479">
      <c r="A479" s="9" t="s">
        <v>10850</v>
      </c>
      <c r="B479" s="9" t="s">
        <v>10851</v>
      </c>
    </row>
    <row r="480">
      <c r="A480" s="9" t="s">
        <v>10852</v>
      </c>
      <c r="B480" s="9" t="s">
        <v>10853</v>
      </c>
    </row>
    <row r="481">
      <c r="A481" s="9" t="s">
        <v>10854</v>
      </c>
      <c r="B481" s="9" t="s">
        <v>10855</v>
      </c>
    </row>
    <row r="482">
      <c r="A482" s="9" t="s">
        <v>10856</v>
      </c>
      <c r="B482" s="9" t="s">
        <v>10857</v>
      </c>
    </row>
    <row r="483">
      <c r="A483" s="9" t="s">
        <v>10858</v>
      </c>
      <c r="B483" s="9" t="s">
        <v>10859</v>
      </c>
    </row>
    <row r="484">
      <c r="A484" s="9" t="s">
        <v>10860</v>
      </c>
      <c r="B484" s="9" t="s">
        <v>10861</v>
      </c>
    </row>
    <row r="485">
      <c r="A485" s="9" t="s">
        <v>10862</v>
      </c>
      <c r="B485" s="9" t="s">
        <v>10863</v>
      </c>
    </row>
    <row r="486">
      <c r="A486" s="9" t="s">
        <v>10864</v>
      </c>
      <c r="B486" s="9" t="s">
        <v>10865</v>
      </c>
    </row>
    <row r="487">
      <c r="A487" s="9" t="s">
        <v>10866</v>
      </c>
      <c r="B487" s="9" t="s">
        <v>10867</v>
      </c>
    </row>
    <row r="488">
      <c r="A488" s="9" t="s">
        <v>10868</v>
      </c>
      <c r="B488" s="9" t="s">
        <v>10869</v>
      </c>
    </row>
    <row r="489">
      <c r="A489" s="9" t="s">
        <v>10870</v>
      </c>
      <c r="B489" s="9" t="s">
        <v>10871</v>
      </c>
    </row>
    <row r="490">
      <c r="A490" s="9" t="s">
        <v>10872</v>
      </c>
      <c r="B490" s="9" t="s">
        <v>10873</v>
      </c>
    </row>
    <row r="491">
      <c r="A491" s="9" t="s">
        <v>10874</v>
      </c>
      <c r="B491" s="9" t="s">
        <v>10875</v>
      </c>
    </row>
    <row r="492">
      <c r="A492" s="9" t="s">
        <v>10876</v>
      </c>
      <c r="B492" s="9" t="s">
        <v>10877</v>
      </c>
    </row>
    <row r="493">
      <c r="A493" s="9" t="s">
        <v>10878</v>
      </c>
      <c r="B493" s="9" t="s">
        <v>10879</v>
      </c>
    </row>
    <row r="494">
      <c r="A494" s="9" t="s">
        <v>10880</v>
      </c>
      <c r="B494" s="9" t="s">
        <v>10881</v>
      </c>
    </row>
    <row r="495">
      <c r="A495" s="9" t="s">
        <v>10882</v>
      </c>
      <c r="B495" s="9" t="s">
        <v>10883</v>
      </c>
    </row>
    <row r="496">
      <c r="A496" s="9" t="s">
        <v>10884</v>
      </c>
      <c r="B496" s="9" t="s">
        <v>10885</v>
      </c>
    </row>
    <row r="497">
      <c r="A497" s="9" t="s">
        <v>10886</v>
      </c>
      <c r="B497" s="9" t="s">
        <v>10887</v>
      </c>
    </row>
    <row r="498">
      <c r="A498" s="9" t="s">
        <v>10888</v>
      </c>
      <c r="B498" s="9" t="s">
        <v>10889</v>
      </c>
    </row>
    <row r="499">
      <c r="A499" s="9" t="s">
        <v>10890</v>
      </c>
      <c r="B499" s="9" t="s">
        <v>10891</v>
      </c>
    </row>
    <row r="500">
      <c r="A500" s="9" t="s">
        <v>10892</v>
      </c>
      <c r="B500" s="9" t="s">
        <v>10893</v>
      </c>
    </row>
    <row r="501">
      <c r="A501" s="9" t="s">
        <v>10894</v>
      </c>
      <c r="B501" s="9" t="s">
        <v>10895</v>
      </c>
    </row>
    <row r="502">
      <c r="A502" s="9" t="s">
        <v>10896</v>
      </c>
      <c r="B502" s="9" t="s">
        <v>10897</v>
      </c>
    </row>
    <row r="503">
      <c r="A503" s="9" t="s">
        <v>10898</v>
      </c>
      <c r="B503" s="9" t="s">
        <v>10899</v>
      </c>
    </row>
    <row r="504">
      <c r="A504" s="9" t="s">
        <v>10900</v>
      </c>
      <c r="B504" s="9" t="s">
        <v>10901</v>
      </c>
    </row>
    <row r="505">
      <c r="A505" s="9" t="s">
        <v>10902</v>
      </c>
      <c r="B505" s="9" t="s">
        <v>10903</v>
      </c>
    </row>
    <row r="506">
      <c r="A506" s="9" t="s">
        <v>10904</v>
      </c>
      <c r="B506" s="9" t="s">
        <v>10905</v>
      </c>
    </row>
    <row r="507">
      <c r="A507" s="9" t="s">
        <v>10906</v>
      </c>
      <c r="B507" s="9" t="s">
        <v>10907</v>
      </c>
    </row>
    <row r="508">
      <c r="A508" s="9" t="s">
        <v>10908</v>
      </c>
      <c r="B508" s="9" t="s">
        <v>10909</v>
      </c>
    </row>
    <row r="509">
      <c r="A509" s="9" t="s">
        <v>10910</v>
      </c>
      <c r="B509" s="9" t="s">
        <v>10911</v>
      </c>
    </row>
    <row r="510">
      <c r="A510" s="9" t="s">
        <v>10912</v>
      </c>
      <c r="B510" s="9" t="s">
        <v>10913</v>
      </c>
    </row>
    <row r="511">
      <c r="A511" s="9" t="s">
        <v>10914</v>
      </c>
    </row>
    <row r="512">
      <c r="A512" s="9" t="s">
        <v>10915</v>
      </c>
      <c r="B512" s="9" t="s">
        <v>10916</v>
      </c>
    </row>
    <row r="513">
      <c r="A513" s="9" t="s">
        <v>10917</v>
      </c>
      <c r="B513" s="9" t="s">
        <v>10918</v>
      </c>
    </row>
    <row r="514">
      <c r="A514" s="9" t="s">
        <v>10919</v>
      </c>
      <c r="B514" s="9" t="s">
        <v>10920</v>
      </c>
    </row>
    <row r="515">
      <c r="A515" s="9" t="s">
        <v>10921</v>
      </c>
      <c r="B515" s="9" t="s">
        <v>10922</v>
      </c>
    </row>
    <row r="516">
      <c r="A516" s="9" t="s">
        <v>10923</v>
      </c>
      <c r="B516" s="9" t="s">
        <v>10924</v>
      </c>
    </row>
    <row r="517">
      <c r="A517" s="9" t="s">
        <v>10925</v>
      </c>
      <c r="B517" s="9" t="s">
        <v>10926</v>
      </c>
    </row>
    <row r="518">
      <c r="A518" s="9" t="s">
        <v>10927</v>
      </c>
      <c r="B518" s="9" t="s">
        <v>10928</v>
      </c>
    </row>
    <row r="519">
      <c r="A519" s="9" t="s">
        <v>10929</v>
      </c>
      <c r="B519" s="9" t="s">
        <v>10930</v>
      </c>
    </row>
    <row r="520">
      <c r="A520" s="9" t="s">
        <v>10931</v>
      </c>
      <c r="B520" s="9" t="s">
        <v>10932</v>
      </c>
    </row>
    <row r="521">
      <c r="A521" s="9" t="s">
        <v>10933</v>
      </c>
      <c r="B521" s="9" t="s">
        <v>10934</v>
      </c>
    </row>
    <row r="522">
      <c r="A522" s="9" t="s">
        <v>10935</v>
      </c>
      <c r="B522" s="9" t="s">
        <v>10936</v>
      </c>
    </row>
    <row r="523">
      <c r="A523" s="9" t="s">
        <v>10937</v>
      </c>
      <c r="B523" s="9" t="s">
        <v>10938</v>
      </c>
    </row>
    <row r="524">
      <c r="A524" s="9" t="s">
        <v>10939</v>
      </c>
      <c r="B524" s="9" t="s">
        <v>10940</v>
      </c>
    </row>
    <row r="525">
      <c r="A525" s="9" t="s">
        <v>10941</v>
      </c>
      <c r="B525" s="9" t="s">
        <v>10942</v>
      </c>
    </row>
    <row r="526">
      <c r="A526" s="9" t="s">
        <v>10943</v>
      </c>
      <c r="B526" s="9" t="s">
        <v>10944</v>
      </c>
    </row>
    <row r="527">
      <c r="A527" s="9" t="s">
        <v>10945</v>
      </c>
      <c r="B527" s="9" t="s">
        <v>10946</v>
      </c>
    </row>
    <row r="528">
      <c r="A528" s="9" t="s">
        <v>10947</v>
      </c>
      <c r="B528" s="9" t="s">
        <v>10948</v>
      </c>
    </row>
    <row r="529">
      <c r="A529" s="9" t="s">
        <v>10949</v>
      </c>
      <c r="B529" s="9" t="s">
        <v>10950</v>
      </c>
    </row>
    <row r="530">
      <c r="A530" s="9" t="s">
        <v>10951</v>
      </c>
      <c r="B530" s="9" t="s">
        <v>10952</v>
      </c>
    </row>
    <row r="531">
      <c r="A531" s="9" t="s">
        <v>10953</v>
      </c>
      <c r="B531" s="9" t="s">
        <v>10954</v>
      </c>
    </row>
    <row r="532">
      <c r="A532" s="9" t="s">
        <v>10955</v>
      </c>
      <c r="B532" s="9" t="s">
        <v>10956</v>
      </c>
    </row>
    <row r="533">
      <c r="A533" s="9" t="s">
        <v>10957</v>
      </c>
      <c r="B533" s="9" t="s">
        <v>10958</v>
      </c>
    </row>
    <row r="534">
      <c r="A534" s="9" t="s">
        <v>10959</v>
      </c>
      <c r="B534" s="9" t="s">
        <v>10960</v>
      </c>
    </row>
    <row r="535">
      <c r="A535" s="9" t="s">
        <v>10961</v>
      </c>
      <c r="B535" s="9" t="s">
        <v>10962</v>
      </c>
    </row>
    <row r="536">
      <c r="A536" s="9" t="s">
        <v>10963</v>
      </c>
      <c r="B536" s="9" t="s">
        <v>10964</v>
      </c>
    </row>
    <row r="537">
      <c r="A537" s="9" t="s">
        <v>10965</v>
      </c>
      <c r="B537" s="9" t="s">
        <v>10966</v>
      </c>
    </row>
    <row r="538">
      <c r="A538" s="9" t="s">
        <v>10967</v>
      </c>
      <c r="B538" s="9" t="s">
        <v>10968</v>
      </c>
    </row>
    <row r="539">
      <c r="A539" s="9" t="s">
        <v>10969</v>
      </c>
      <c r="B539" s="9" t="s">
        <v>10970</v>
      </c>
    </row>
    <row r="540">
      <c r="A540" s="9" t="s">
        <v>10971</v>
      </c>
      <c r="B540" s="9" t="s">
        <v>10972</v>
      </c>
    </row>
    <row r="541">
      <c r="A541" s="9" t="s">
        <v>10973</v>
      </c>
      <c r="B541" s="9" t="s">
        <v>10974</v>
      </c>
    </row>
    <row r="542">
      <c r="A542" s="9" t="s">
        <v>10975</v>
      </c>
      <c r="B542" s="9" t="s">
        <v>10976</v>
      </c>
    </row>
    <row r="543">
      <c r="A543" s="9" t="s">
        <v>10977</v>
      </c>
      <c r="B543" s="9" t="s">
        <v>10978</v>
      </c>
    </row>
    <row r="544">
      <c r="A544" s="9" t="s">
        <v>10979</v>
      </c>
      <c r="B544" s="9" t="s">
        <v>10980</v>
      </c>
    </row>
    <row r="545">
      <c r="A545" s="9" t="s">
        <v>10981</v>
      </c>
      <c r="B545" s="9" t="s">
        <v>10982</v>
      </c>
    </row>
    <row r="546">
      <c r="A546" s="9" t="s">
        <v>10983</v>
      </c>
      <c r="B546" s="9" t="s">
        <v>10984</v>
      </c>
    </row>
    <row r="547">
      <c r="A547" s="9" t="s">
        <v>10985</v>
      </c>
      <c r="B547" s="9" t="s">
        <v>10986</v>
      </c>
    </row>
    <row r="548">
      <c r="A548" s="9" t="s">
        <v>10987</v>
      </c>
      <c r="B548" s="9">
        <v>1.1866825E7</v>
      </c>
    </row>
    <row r="549">
      <c r="A549" s="9" t="s">
        <v>10988</v>
      </c>
      <c r="B549" s="9" t="s">
        <v>10989</v>
      </c>
    </row>
    <row r="550">
      <c r="A550" s="9" t="s">
        <v>10990</v>
      </c>
      <c r="B550" s="9" t="s">
        <v>10991</v>
      </c>
    </row>
    <row r="551">
      <c r="A551" s="9" t="s">
        <v>10992</v>
      </c>
      <c r="B551" s="9" t="s">
        <v>10993</v>
      </c>
    </row>
    <row r="552">
      <c r="A552" s="9" t="s">
        <v>10994</v>
      </c>
      <c r="B552" s="9" t="s">
        <v>10995</v>
      </c>
    </row>
    <row r="553">
      <c r="A553" s="9" t="s">
        <v>10996</v>
      </c>
      <c r="B553" s="9" t="s">
        <v>10997</v>
      </c>
    </row>
    <row r="554">
      <c r="A554" s="9" t="s">
        <v>10998</v>
      </c>
      <c r="B554" s="9" t="s">
        <v>10999</v>
      </c>
    </row>
    <row r="555">
      <c r="A555" s="9" t="s">
        <v>11000</v>
      </c>
      <c r="B555" s="9" t="s">
        <v>11001</v>
      </c>
    </row>
    <row r="556">
      <c r="A556" s="9" t="s">
        <v>11002</v>
      </c>
      <c r="B556" s="9" t="s">
        <v>11003</v>
      </c>
    </row>
    <row r="557">
      <c r="A557" s="9" t="s">
        <v>11004</v>
      </c>
      <c r="B557" s="9" t="s">
        <v>11005</v>
      </c>
    </row>
    <row r="558">
      <c r="A558" s="9" t="s">
        <v>11006</v>
      </c>
      <c r="B558" s="9" t="s">
        <v>11007</v>
      </c>
    </row>
    <row r="559">
      <c r="A559" s="9" t="s">
        <v>11008</v>
      </c>
      <c r="B559" s="9" t="s">
        <v>11009</v>
      </c>
    </row>
    <row r="560">
      <c r="A560" s="9" t="s">
        <v>11010</v>
      </c>
      <c r="B560" s="9" t="s">
        <v>11011</v>
      </c>
    </row>
    <row r="561">
      <c r="A561" s="9" t="s">
        <v>11012</v>
      </c>
      <c r="B561" s="9" t="s">
        <v>11013</v>
      </c>
    </row>
    <row r="562">
      <c r="A562" s="9" t="s">
        <v>11014</v>
      </c>
      <c r="B562" s="9" t="s">
        <v>11015</v>
      </c>
    </row>
    <row r="563">
      <c r="A563" s="9" t="s">
        <v>11016</v>
      </c>
      <c r="B563" s="9" t="s">
        <v>11017</v>
      </c>
    </row>
    <row r="564">
      <c r="A564" s="9" t="s">
        <v>11018</v>
      </c>
      <c r="B564" s="9" t="s">
        <v>11019</v>
      </c>
    </row>
    <row r="565">
      <c r="A565" s="9" t="s">
        <v>11020</v>
      </c>
      <c r="B565" s="9" t="s">
        <v>11021</v>
      </c>
    </row>
    <row r="566">
      <c r="A566" s="9" t="s">
        <v>11022</v>
      </c>
      <c r="B566" s="9" t="s">
        <v>11023</v>
      </c>
    </row>
    <row r="567">
      <c r="A567" s="9" t="s">
        <v>11024</v>
      </c>
      <c r="B567" s="9" t="s">
        <v>11025</v>
      </c>
    </row>
    <row r="568">
      <c r="A568" s="9" t="s">
        <v>11026</v>
      </c>
      <c r="B568" s="9" t="s">
        <v>11027</v>
      </c>
    </row>
    <row r="569">
      <c r="A569" s="9" t="s">
        <v>11028</v>
      </c>
      <c r="B569" s="9" t="s">
        <v>11029</v>
      </c>
    </row>
    <row r="570">
      <c r="A570" s="9" t="s">
        <v>11030</v>
      </c>
      <c r="B570" s="9" t="s">
        <v>11031</v>
      </c>
    </row>
    <row r="571">
      <c r="A571" s="9" t="s">
        <v>11032</v>
      </c>
      <c r="B571" s="9" t="s">
        <v>11033</v>
      </c>
    </row>
    <row r="572">
      <c r="A572" s="9" t="s">
        <v>11034</v>
      </c>
      <c r="B572" s="9" t="s">
        <v>11035</v>
      </c>
    </row>
    <row r="573">
      <c r="A573" s="9" t="s">
        <v>11036</v>
      </c>
      <c r="B573" s="9" t="s">
        <v>11037</v>
      </c>
    </row>
    <row r="574">
      <c r="A574" s="9" t="s">
        <v>11038</v>
      </c>
      <c r="B574" s="9" t="s">
        <v>11039</v>
      </c>
    </row>
    <row r="575">
      <c r="A575" s="9" t="s">
        <v>11040</v>
      </c>
      <c r="B575" s="9" t="s">
        <v>11041</v>
      </c>
    </row>
    <row r="576">
      <c r="A576" s="9" t="s">
        <v>11042</v>
      </c>
      <c r="B576" s="9" t="s">
        <v>11043</v>
      </c>
    </row>
    <row r="577">
      <c r="A577" s="9" t="s">
        <v>11044</v>
      </c>
      <c r="B577" s="9" t="s">
        <v>11045</v>
      </c>
    </row>
    <row r="578">
      <c r="A578" s="9" t="s">
        <v>11046</v>
      </c>
      <c r="B578" s="9" t="s">
        <v>11047</v>
      </c>
    </row>
    <row r="579">
      <c r="A579" s="9" t="s">
        <v>11048</v>
      </c>
      <c r="B579" s="9" t="s">
        <v>11049</v>
      </c>
    </row>
    <row r="580">
      <c r="A580" s="9" t="s">
        <v>11050</v>
      </c>
      <c r="B580" s="9" t="s">
        <v>11051</v>
      </c>
    </row>
    <row r="581">
      <c r="A581" s="9" t="s">
        <v>11052</v>
      </c>
      <c r="B581" s="9" t="s">
        <v>11053</v>
      </c>
    </row>
    <row r="582">
      <c r="A582" s="9" t="s">
        <v>11054</v>
      </c>
      <c r="B582" s="9" t="s">
        <v>11055</v>
      </c>
    </row>
    <row r="583">
      <c r="A583" s="9" t="s">
        <v>11056</v>
      </c>
      <c r="B583" s="9" t="s">
        <v>11057</v>
      </c>
    </row>
    <row r="584">
      <c r="A584" s="9" t="s">
        <v>11058</v>
      </c>
      <c r="B584" s="9" t="s">
        <v>11059</v>
      </c>
    </row>
    <row r="585">
      <c r="A585" s="9" t="s">
        <v>11060</v>
      </c>
      <c r="B585" s="9" t="s">
        <v>11061</v>
      </c>
    </row>
    <row r="586">
      <c r="A586" s="9" t="s">
        <v>11062</v>
      </c>
      <c r="B586" s="9" t="s">
        <v>8291</v>
      </c>
    </row>
    <row r="587">
      <c r="A587" s="9" t="s">
        <v>11063</v>
      </c>
      <c r="B587" s="9" t="s">
        <v>11064</v>
      </c>
    </row>
    <row r="588">
      <c r="A588" s="9" t="s">
        <v>11065</v>
      </c>
      <c r="B588" s="9" t="s">
        <v>11066</v>
      </c>
    </row>
    <row r="589">
      <c r="A589" s="9" t="s">
        <v>11067</v>
      </c>
      <c r="B589" s="9" t="s">
        <v>11068</v>
      </c>
    </row>
    <row r="590">
      <c r="A590" s="9" t="s">
        <v>11069</v>
      </c>
      <c r="B590" s="9" t="s">
        <v>11070</v>
      </c>
    </row>
    <row r="591">
      <c r="A591" s="9" t="s">
        <v>11071</v>
      </c>
      <c r="B591" s="9" t="s">
        <v>11072</v>
      </c>
    </row>
    <row r="592">
      <c r="A592" s="9" t="s">
        <v>11073</v>
      </c>
      <c r="B592" s="9" t="s">
        <v>11074</v>
      </c>
    </row>
    <row r="593">
      <c r="A593" s="9" t="s">
        <v>11075</v>
      </c>
      <c r="B593" s="9" t="s">
        <v>11076</v>
      </c>
    </row>
    <row r="594">
      <c r="A594" s="9" t="s">
        <v>11077</v>
      </c>
      <c r="B594" s="9" t="s">
        <v>11078</v>
      </c>
    </row>
    <row r="595">
      <c r="A595" s="9" t="s">
        <v>11079</v>
      </c>
      <c r="B595" s="9" t="s">
        <v>11080</v>
      </c>
    </row>
    <row r="596">
      <c r="A596" s="9" t="s">
        <v>11081</v>
      </c>
      <c r="B596" s="9" t="s">
        <v>11082</v>
      </c>
    </row>
    <row r="597">
      <c r="A597" s="9" t="s">
        <v>11083</v>
      </c>
      <c r="B597" s="9" t="s">
        <v>11084</v>
      </c>
    </row>
    <row r="598">
      <c r="A598" s="9" t="s">
        <v>11085</v>
      </c>
      <c r="B598" s="9" t="s">
        <v>11086</v>
      </c>
    </row>
    <row r="599">
      <c r="A599" s="9" t="s">
        <v>11087</v>
      </c>
      <c r="B599" s="9" t="s">
        <v>11088</v>
      </c>
    </row>
    <row r="600">
      <c r="A600" s="9" t="s">
        <v>11089</v>
      </c>
      <c r="B600" s="9" t="s">
        <v>11090</v>
      </c>
    </row>
    <row r="601">
      <c r="A601" s="9" t="s">
        <v>11091</v>
      </c>
      <c r="B601" s="9" t="s">
        <v>11092</v>
      </c>
    </row>
    <row r="602">
      <c r="A602" s="9" t="s">
        <v>11093</v>
      </c>
      <c r="B602" s="9" t="s">
        <v>11094</v>
      </c>
    </row>
    <row r="603">
      <c r="A603" s="9" t="s">
        <v>11095</v>
      </c>
      <c r="B603" s="9" t="s">
        <v>11096</v>
      </c>
    </row>
    <row r="604">
      <c r="A604" s="9" t="s">
        <v>11097</v>
      </c>
      <c r="B604" s="9" t="s">
        <v>11098</v>
      </c>
    </row>
    <row r="605">
      <c r="A605" s="9" t="s">
        <v>11099</v>
      </c>
      <c r="B605" s="9" t="s">
        <v>11100</v>
      </c>
    </row>
    <row r="606">
      <c r="A606" s="9" t="s">
        <v>11101</v>
      </c>
      <c r="B606" s="9" t="s">
        <v>11102</v>
      </c>
    </row>
    <row r="607">
      <c r="A607" s="9" t="s">
        <v>11103</v>
      </c>
      <c r="B607" s="9" t="s">
        <v>11104</v>
      </c>
    </row>
    <row r="608">
      <c r="A608" s="9" t="s">
        <v>11105</v>
      </c>
      <c r="B608" s="9" t="s">
        <v>11106</v>
      </c>
    </row>
    <row r="609">
      <c r="A609" s="9" t="s">
        <v>11107</v>
      </c>
      <c r="B609" s="9" t="s">
        <v>11108</v>
      </c>
    </row>
    <row r="610">
      <c r="A610" s="9" t="s">
        <v>11109</v>
      </c>
      <c r="B610" s="9" t="s">
        <v>11110</v>
      </c>
    </row>
    <row r="611">
      <c r="A611" s="9" t="s">
        <v>11111</v>
      </c>
      <c r="B611" s="9" t="s">
        <v>11112</v>
      </c>
    </row>
    <row r="612">
      <c r="A612" s="9" t="s">
        <v>11113</v>
      </c>
      <c r="B612" s="9" t="s">
        <v>11114</v>
      </c>
    </row>
    <row r="613">
      <c r="A613" s="9" t="s">
        <v>11115</v>
      </c>
      <c r="B613" s="9" t="s">
        <v>11116</v>
      </c>
    </row>
    <row r="614">
      <c r="A614" s="9" t="s">
        <v>11117</v>
      </c>
      <c r="B614" s="9" t="s">
        <v>11118</v>
      </c>
    </row>
    <row r="615">
      <c r="A615" s="9" t="s">
        <v>11119</v>
      </c>
      <c r="B615" s="9" t="s">
        <v>11120</v>
      </c>
    </row>
    <row r="616">
      <c r="A616" s="9" t="s">
        <v>11121</v>
      </c>
      <c r="B616" s="9" t="s">
        <v>11122</v>
      </c>
    </row>
    <row r="617">
      <c r="A617" s="9" t="s">
        <v>11123</v>
      </c>
      <c r="B617" s="9" t="s">
        <v>11124</v>
      </c>
    </row>
    <row r="618">
      <c r="A618" s="9" t="s">
        <v>11125</v>
      </c>
      <c r="B618" s="9" t="s">
        <v>11126</v>
      </c>
    </row>
    <row r="619">
      <c r="A619" s="9" t="s">
        <v>11127</v>
      </c>
      <c r="B619" s="9" t="s">
        <v>11128</v>
      </c>
    </row>
    <row r="620">
      <c r="A620" s="9" t="s">
        <v>11129</v>
      </c>
      <c r="B620" s="9" t="s">
        <v>11130</v>
      </c>
    </row>
    <row r="621">
      <c r="A621" s="9" t="s">
        <v>11131</v>
      </c>
      <c r="B621" s="9" t="s">
        <v>9151</v>
      </c>
    </row>
    <row r="622">
      <c r="A622" s="9" t="s">
        <v>11132</v>
      </c>
      <c r="B622" s="9" t="s">
        <v>11133</v>
      </c>
    </row>
    <row r="623">
      <c r="A623" s="9" t="s">
        <v>11134</v>
      </c>
      <c r="B623" s="9" t="s">
        <v>11135</v>
      </c>
    </row>
    <row r="624">
      <c r="A624" s="9" t="s">
        <v>11136</v>
      </c>
      <c r="B624" s="9" t="s">
        <v>11137</v>
      </c>
    </row>
    <row r="625">
      <c r="A625" s="9" t="s">
        <v>11138</v>
      </c>
      <c r="B625" s="9" t="s">
        <v>11139</v>
      </c>
    </row>
    <row r="626">
      <c r="A626" s="9" t="s">
        <v>11140</v>
      </c>
      <c r="B626" s="9" t="s">
        <v>11141</v>
      </c>
    </row>
    <row r="627">
      <c r="A627" s="9" t="s">
        <v>11142</v>
      </c>
      <c r="B627" s="9" t="s">
        <v>11143</v>
      </c>
    </row>
    <row r="628">
      <c r="A628" s="9" t="s">
        <v>11144</v>
      </c>
      <c r="B628" s="9" t="s">
        <v>11145</v>
      </c>
    </row>
    <row r="629">
      <c r="A629" s="9" t="s">
        <v>11146</v>
      </c>
      <c r="B629" s="9" t="s">
        <v>11147</v>
      </c>
    </row>
    <row r="630">
      <c r="A630" s="9" t="s">
        <v>11148</v>
      </c>
      <c r="B630" s="9" t="s">
        <v>11149</v>
      </c>
    </row>
    <row r="631">
      <c r="A631" s="9" t="s">
        <v>11150</v>
      </c>
      <c r="B631" s="9" t="s">
        <v>11151</v>
      </c>
    </row>
    <row r="632">
      <c r="A632" s="9" t="s">
        <v>11152</v>
      </c>
      <c r="B632" s="9" t="s">
        <v>11153</v>
      </c>
    </row>
    <row r="633">
      <c r="A633" s="9" t="s">
        <v>11154</v>
      </c>
      <c r="B633" s="9" t="s">
        <v>11155</v>
      </c>
    </row>
    <row r="634">
      <c r="A634" s="9" t="s">
        <v>11156</v>
      </c>
      <c r="B634" s="9" t="s">
        <v>11157</v>
      </c>
    </row>
    <row r="635">
      <c r="A635" s="9" t="s">
        <v>11158</v>
      </c>
      <c r="B635" s="9" t="s">
        <v>11159</v>
      </c>
    </row>
    <row r="636">
      <c r="A636" s="9" t="s">
        <v>11160</v>
      </c>
      <c r="B636" s="9" t="s">
        <v>11161</v>
      </c>
    </row>
    <row r="637">
      <c r="A637" s="9" t="s">
        <v>11162</v>
      </c>
      <c r="B637" s="9" t="s">
        <v>11163</v>
      </c>
    </row>
    <row r="638">
      <c r="A638" s="9" t="s">
        <v>11164</v>
      </c>
      <c r="B638" s="9" t="s">
        <v>11165</v>
      </c>
    </row>
    <row r="639">
      <c r="A639" s="9" t="s">
        <v>11166</v>
      </c>
      <c r="B639" s="9" t="s">
        <v>11167</v>
      </c>
    </row>
    <row r="640">
      <c r="A640" s="9" t="s">
        <v>11168</v>
      </c>
      <c r="B640" s="9" t="s">
        <v>11169</v>
      </c>
    </row>
    <row r="641">
      <c r="A641" s="9" t="s">
        <v>11170</v>
      </c>
      <c r="B641" s="9" t="s">
        <v>11171</v>
      </c>
    </row>
    <row r="642">
      <c r="A642" s="9" t="s">
        <v>11172</v>
      </c>
      <c r="B642" s="9" t="s">
        <v>11173</v>
      </c>
    </row>
    <row r="643">
      <c r="A643" s="9" t="s">
        <v>11174</v>
      </c>
      <c r="B643" s="9" t="s">
        <v>11175</v>
      </c>
    </row>
    <row r="644">
      <c r="A644" s="9" t="s">
        <v>11176</v>
      </c>
      <c r="B644" s="9" t="s">
        <v>11177</v>
      </c>
    </row>
    <row r="645">
      <c r="A645" s="9" t="s">
        <v>11178</v>
      </c>
      <c r="B645" s="9" t="s">
        <v>11179</v>
      </c>
    </row>
    <row r="646">
      <c r="A646" s="9" t="s">
        <v>11180</v>
      </c>
      <c r="B646" s="9" t="s">
        <v>11181</v>
      </c>
    </row>
    <row r="647">
      <c r="A647" s="9" t="s">
        <v>11182</v>
      </c>
      <c r="B647" s="9" t="s">
        <v>11183</v>
      </c>
    </row>
    <row r="648">
      <c r="A648" s="9" t="s">
        <v>11184</v>
      </c>
      <c r="B648" s="9" t="s">
        <v>11185</v>
      </c>
    </row>
    <row r="649">
      <c r="A649" s="9" t="s">
        <v>11186</v>
      </c>
      <c r="B649" s="9" t="s">
        <v>11187</v>
      </c>
    </row>
    <row r="650">
      <c r="A650" s="9" t="s">
        <v>11188</v>
      </c>
      <c r="B650" s="9" t="s">
        <v>11189</v>
      </c>
    </row>
    <row r="651">
      <c r="A651" s="9" t="s">
        <v>11190</v>
      </c>
      <c r="B651" s="9" t="s">
        <v>11191</v>
      </c>
    </row>
    <row r="652">
      <c r="A652" s="9" t="s">
        <v>11192</v>
      </c>
      <c r="B652" s="9" t="s">
        <v>11193</v>
      </c>
    </row>
    <row r="653">
      <c r="A653" s="9" t="s">
        <v>11194</v>
      </c>
      <c r="B653" s="9" t="s">
        <v>11195</v>
      </c>
    </row>
    <row r="654">
      <c r="A654" s="9" t="s">
        <v>11196</v>
      </c>
      <c r="B654" s="9" t="s">
        <v>11197</v>
      </c>
    </row>
    <row r="655">
      <c r="A655" s="9" t="s">
        <v>11198</v>
      </c>
      <c r="B655" s="9" t="s">
        <v>11199</v>
      </c>
    </row>
    <row r="656">
      <c r="A656" s="9" t="s">
        <v>11200</v>
      </c>
      <c r="B656" s="9" t="s">
        <v>11201</v>
      </c>
    </row>
    <row r="657">
      <c r="A657" s="9" t="s">
        <v>11202</v>
      </c>
      <c r="B657" s="9" t="s">
        <v>11203</v>
      </c>
    </row>
    <row r="658">
      <c r="A658" s="9" t="s">
        <v>11204</v>
      </c>
      <c r="B658" s="9" t="s">
        <v>11205</v>
      </c>
    </row>
    <row r="659">
      <c r="A659" s="9" t="s">
        <v>11206</v>
      </c>
      <c r="B659" s="9" t="s">
        <v>11207</v>
      </c>
    </row>
    <row r="660">
      <c r="A660" s="9" t="s">
        <v>11208</v>
      </c>
      <c r="B660" s="9" t="s">
        <v>11209</v>
      </c>
    </row>
    <row r="661">
      <c r="A661" s="9" t="s">
        <v>11210</v>
      </c>
      <c r="B661" s="9" t="s">
        <v>11211</v>
      </c>
    </row>
    <row r="662">
      <c r="A662" s="9" t="s">
        <v>11212</v>
      </c>
      <c r="B662" s="9" t="s">
        <v>11213</v>
      </c>
    </row>
    <row r="663">
      <c r="A663" s="9" t="s">
        <v>11214</v>
      </c>
      <c r="B663" s="9" t="s">
        <v>11215</v>
      </c>
    </row>
    <row r="664">
      <c r="A664" s="9" t="s">
        <v>11216</v>
      </c>
      <c r="B664" s="9" t="s">
        <v>11217</v>
      </c>
    </row>
    <row r="665">
      <c r="A665" s="9" t="s">
        <v>11218</v>
      </c>
      <c r="B665" s="9" t="s">
        <v>11219</v>
      </c>
    </row>
    <row r="666">
      <c r="A666" s="9" t="s">
        <v>11220</v>
      </c>
      <c r="B666" s="9" t="s">
        <v>11221</v>
      </c>
    </row>
    <row r="667">
      <c r="A667" s="9" t="s">
        <v>11222</v>
      </c>
      <c r="B667" s="9" t="s">
        <v>11223</v>
      </c>
    </row>
    <row r="668">
      <c r="A668" s="9" t="s">
        <v>11224</v>
      </c>
      <c r="B668" s="9" t="s">
        <v>11225</v>
      </c>
    </row>
    <row r="669">
      <c r="A669" s="9" t="s">
        <v>11226</v>
      </c>
      <c r="B669" s="9" t="s">
        <v>11227</v>
      </c>
    </row>
    <row r="670">
      <c r="A670" s="9" t="s">
        <v>11228</v>
      </c>
      <c r="B670" s="9" t="s">
        <v>11229</v>
      </c>
    </row>
    <row r="671">
      <c r="A671" s="9" t="s">
        <v>11230</v>
      </c>
      <c r="B671" s="9" t="s">
        <v>11231</v>
      </c>
    </row>
    <row r="672">
      <c r="A672" s="9" t="s">
        <v>11232</v>
      </c>
      <c r="B672" s="9" t="s">
        <v>11233</v>
      </c>
    </row>
    <row r="673">
      <c r="A673" s="9" t="s">
        <v>11234</v>
      </c>
      <c r="B673" s="9" t="s">
        <v>11235</v>
      </c>
    </row>
    <row r="674">
      <c r="A674" s="9" t="s">
        <v>11236</v>
      </c>
      <c r="B674" s="9" t="s">
        <v>11237</v>
      </c>
    </row>
    <row r="675">
      <c r="A675" s="9" t="s">
        <v>11238</v>
      </c>
      <c r="B675" s="9" t="s">
        <v>11239</v>
      </c>
    </row>
    <row r="676">
      <c r="A676" s="9" t="s">
        <v>11240</v>
      </c>
      <c r="B676" s="9" t="s">
        <v>11241</v>
      </c>
    </row>
    <row r="677">
      <c r="A677" s="9" t="s">
        <v>11242</v>
      </c>
      <c r="B677" s="9" t="s">
        <v>11243</v>
      </c>
    </row>
    <row r="678">
      <c r="A678" s="9" t="s">
        <v>11244</v>
      </c>
      <c r="B678" s="9" t="s">
        <v>11245</v>
      </c>
    </row>
    <row r="679">
      <c r="A679" s="9" t="s">
        <v>11246</v>
      </c>
      <c r="B679" s="9" t="s">
        <v>11247</v>
      </c>
    </row>
    <row r="680">
      <c r="A680" s="9" t="s">
        <v>11248</v>
      </c>
      <c r="B680" s="9" t="s">
        <v>11249</v>
      </c>
    </row>
    <row r="681">
      <c r="A681" s="9" t="s">
        <v>11250</v>
      </c>
      <c r="B681" s="9" t="s">
        <v>11251</v>
      </c>
    </row>
    <row r="682">
      <c r="A682" s="9" t="s">
        <v>11252</v>
      </c>
      <c r="B682" s="9" t="s">
        <v>11253</v>
      </c>
    </row>
    <row r="683">
      <c r="A683" s="9" t="s">
        <v>11254</v>
      </c>
      <c r="B683" s="9" t="s">
        <v>11255</v>
      </c>
    </row>
    <row r="684">
      <c r="A684" s="9" t="s">
        <v>11256</v>
      </c>
      <c r="B684" s="9" t="s">
        <v>11257</v>
      </c>
    </row>
    <row r="685">
      <c r="A685" s="9" t="s">
        <v>11258</v>
      </c>
      <c r="B685" s="9" t="s">
        <v>11259</v>
      </c>
    </row>
    <row r="686">
      <c r="A686" s="9" t="s">
        <v>11260</v>
      </c>
      <c r="B686" s="9" t="s">
        <v>11261</v>
      </c>
    </row>
    <row r="687">
      <c r="A687" s="9" t="s">
        <v>11262</v>
      </c>
      <c r="B687" s="9" t="s">
        <v>11263</v>
      </c>
    </row>
    <row r="688">
      <c r="A688" s="9" t="s">
        <v>11264</v>
      </c>
      <c r="B688" s="9" t="s">
        <v>11265</v>
      </c>
    </row>
    <row r="689">
      <c r="A689" s="9" t="s">
        <v>11266</v>
      </c>
      <c r="B689" s="9" t="s">
        <v>11267</v>
      </c>
    </row>
    <row r="690">
      <c r="A690" s="9" t="s">
        <v>11268</v>
      </c>
      <c r="B690" s="9" t="s">
        <v>11269</v>
      </c>
    </row>
    <row r="691">
      <c r="A691" s="9" t="s">
        <v>11270</v>
      </c>
      <c r="B691" s="9" t="s">
        <v>11271</v>
      </c>
    </row>
    <row r="692">
      <c r="A692" s="9" t="s">
        <v>11272</v>
      </c>
      <c r="B692" s="9" t="s">
        <v>11273</v>
      </c>
    </row>
    <row r="693">
      <c r="A693" s="9" t="s">
        <v>11274</v>
      </c>
      <c r="B693" s="9" t="s">
        <v>11275</v>
      </c>
    </row>
    <row r="694">
      <c r="A694" s="9" t="s">
        <v>11276</v>
      </c>
      <c r="B694" s="9" t="s">
        <v>11277</v>
      </c>
    </row>
    <row r="695">
      <c r="A695" s="9" t="s">
        <v>11278</v>
      </c>
      <c r="B695" s="9" t="s">
        <v>11279</v>
      </c>
    </row>
    <row r="696">
      <c r="A696" s="9" t="s">
        <v>11280</v>
      </c>
      <c r="B696" s="9" t="s">
        <v>11281</v>
      </c>
    </row>
    <row r="697">
      <c r="A697" s="9" t="s">
        <v>11282</v>
      </c>
      <c r="B697" s="9" t="s">
        <v>11283</v>
      </c>
    </row>
    <row r="698">
      <c r="A698" s="9" t="s">
        <v>11284</v>
      </c>
      <c r="B698" s="9" t="s">
        <v>2994</v>
      </c>
    </row>
    <row r="699">
      <c r="A699" s="9" t="s">
        <v>11285</v>
      </c>
      <c r="B699" s="9" t="s">
        <v>11286</v>
      </c>
    </row>
    <row r="700">
      <c r="A700" s="9" t="s">
        <v>11287</v>
      </c>
      <c r="B700" s="9" t="s">
        <v>11288</v>
      </c>
    </row>
    <row r="701">
      <c r="A701" s="9" t="s">
        <v>11289</v>
      </c>
      <c r="B701" s="9" t="s">
        <v>11290</v>
      </c>
    </row>
    <row r="702">
      <c r="A702" s="9" t="s">
        <v>11291</v>
      </c>
      <c r="B702" s="9" t="s">
        <v>11292</v>
      </c>
    </row>
    <row r="703">
      <c r="A703" s="9" t="s">
        <v>11293</v>
      </c>
      <c r="B703" s="9" t="s">
        <v>11294</v>
      </c>
    </row>
    <row r="704">
      <c r="A704" s="9" t="s">
        <v>11295</v>
      </c>
      <c r="B704" s="9" t="s">
        <v>11296</v>
      </c>
    </row>
    <row r="705">
      <c r="A705" s="9" t="s">
        <v>11297</v>
      </c>
      <c r="B705" s="9" t="s">
        <v>11298</v>
      </c>
    </row>
    <row r="706">
      <c r="A706" s="9" t="s">
        <v>11299</v>
      </c>
      <c r="B706" s="9" t="s">
        <v>11300</v>
      </c>
    </row>
    <row r="707">
      <c r="A707" s="9" t="s">
        <v>11301</v>
      </c>
      <c r="B707" s="9" t="s">
        <v>11302</v>
      </c>
    </row>
    <row r="708">
      <c r="A708" s="9" t="s">
        <v>11303</v>
      </c>
      <c r="B708" s="9" t="s">
        <v>11304</v>
      </c>
    </row>
    <row r="709">
      <c r="A709" s="9" t="s">
        <v>11305</v>
      </c>
      <c r="B709" s="9" t="s">
        <v>11306</v>
      </c>
    </row>
    <row r="710">
      <c r="A710" s="9" t="s">
        <v>11307</v>
      </c>
      <c r="B710" s="9" t="s">
        <v>11308</v>
      </c>
    </row>
    <row r="711">
      <c r="A711" s="9" t="s">
        <v>11309</v>
      </c>
      <c r="B711" s="9" t="s">
        <v>11310</v>
      </c>
    </row>
    <row r="712">
      <c r="A712" s="9" t="s">
        <v>11311</v>
      </c>
      <c r="B712" s="9" t="s">
        <v>11312</v>
      </c>
    </row>
    <row r="713">
      <c r="A713" s="9" t="s">
        <v>11313</v>
      </c>
    </row>
    <row r="714">
      <c r="A714" s="9" t="s">
        <v>11314</v>
      </c>
      <c r="B714" s="9" t="s">
        <v>11315</v>
      </c>
    </row>
    <row r="715">
      <c r="A715" s="9" t="s">
        <v>11316</v>
      </c>
      <c r="B715" s="9" t="s">
        <v>11317</v>
      </c>
    </row>
    <row r="716">
      <c r="A716" s="9" t="s">
        <v>11318</v>
      </c>
      <c r="B716" s="9" t="s">
        <v>11319</v>
      </c>
    </row>
    <row r="717">
      <c r="A717" s="9" t="s">
        <v>11320</v>
      </c>
      <c r="B717" s="9" t="s">
        <v>11321</v>
      </c>
    </row>
    <row r="718">
      <c r="A718" s="9" t="s">
        <v>11322</v>
      </c>
      <c r="B718" s="9" t="s">
        <v>11323</v>
      </c>
    </row>
    <row r="719">
      <c r="A719" s="9" t="s">
        <v>11324</v>
      </c>
      <c r="B719" s="9" t="s">
        <v>11325</v>
      </c>
    </row>
    <row r="720">
      <c r="A720" s="9" t="s">
        <v>11326</v>
      </c>
      <c r="B720" s="9" t="s">
        <v>11327</v>
      </c>
    </row>
    <row r="721">
      <c r="A721" s="9" t="s">
        <v>11328</v>
      </c>
      <c r="B721" s="9" t="s">
        <v>11329</v>
      </c>
    </row>
    <row r="722">
      <c r="A722" s="9" t="s">
        <v>11330</v>
      </c>
      <c r="B722" s="9" t="s">
        <v>11331</v>
      </c>
    </row>
    <row r="723">
      <c r="A723" s="9" t="s">
        <v>11332</v>
      </c>
      <c r="B723" s="9" t="s">
        <v>11333</v>
      </c>
    </row>
    <row r="724">
      <c r="A724" s="9" t="s">
        <v>11334</v>
      </c>
      <c r="B724" s="9" t="s">
        <v>11335</v>
      </c>
    </row>
    <row r="725">
      <c r="A725" s="9" t="s">
        <v>11336</v>
      </c>
      <c r="B725" s="9" t="s">
        <v>11337</v>
      </c>
    </row>
    <row r="726">
      <c r="A726" s="9" t="s">
        <v>11338</v>
      </c>
      <c r="B726" s="9" t="s">
        <v>11339</v>
      </c>
    </row>
    <row r="727">
      <c r="A727" s="9" t="s">
        <v>11340</v>
      </c>
      <c r="B727" s="9" t="s">
        <v>11341</v>
      </c>
    </row>
    <row r="728">
      <c r="A728" s="9" t="s">
        <v>11342</v>
      </c>
      <c r="B728" s="9" t="s">
        <v>11343</v>
      </c>
    </row>
    <row r="729">
      <c r="A729" s="9" t="s">
        <v>11344</v>
      </c>
      <c r="B729" s="9" t="s">
        <v>11345</v>
      </c>
    </row>
    <row r="730">
      <c r="A730" s="9" t="s">
        <v>11346</v>
      </c>
      <c r="B730" s="9" t="s">
        <v>11347</v>
      </c>
    </row>
    <row r="731">
      <c r="A731" s="9" t="s">
        <v>11348</v>
      </c>
      <c r="B731" s="9" t="s">
        <v>11349</v>
      </c>
    </row>
    <row r="732">
      <c r="A732" s="9" t="s">
        <v>11350</v>
      </c>
      <c r="B732" s="9" t="s">
        <v>11351</v>
      </c>
    </row>
    <row r="733">
      <c r="A733" s="9" t="s">
        <v>11352</v>
      </c>
      <c r="B733" s="9" t="s">
        <v>11353</v>
      </c>
    </row>
    <row r="734">
      <c r="A734" s="9" t="s">
        <v>11354</v>
      </c>
      <c r="B734" s="9" t="s">
        <v>10151</v>
      </c>
    </row>
    <row r="735">
      <c r="A735" s="9" t="s">
        <v>11355</v>
      </c>
      <c r="B735" s="9" t="s">
        <v>9478</v>
      </c>
    </row>
    <row r="736">
      <c r="A736" s="9" t="s">
        <v>11356</v>
      </c>
      <c r="B736" s="9" t="s">
        <v>9619</v>
      </c>
    </row>
    <row r="737">
      <c r="A737" s="9" t="s">
        <v>11357</v>
      </c>
      <c r="B737" s="9" t="s">
        <v>11358</v>
      </c>
    </row>
    <row r="738">
      <c r="A738" s="9" t="s">
        <v>11359</v>
      </c>
      <c r="B738" s="9" t="s">
        <v>9827</v>
      </c>
    </row>
    <row r="739">
      <c r="A739" s="9" t="s">
        <v>11360</v>
      </c>
      <c r="B739" s="9" t="s">
        <v>9657</v>
      </c>
    </row>
    <row r="740">
      <c r="A740" s="9" t="s">
        <v>11361</v>
      </c>
      <c r="B740" s="9" t="s">
        <v>11362</v>
      </c>
    </row>
    <row r="741">
      <c r="A741" s="9" t="s">
        <v>11363</v>
      </c>
      <c r="B741" s="9" t="s">
        <v>11364</v>
      </c>
    </row>
    <row r="742">
      <c r="A742" s="9" t="s">
        <v>11365</v>
      </c>
      <c r="B742" s="9" t="s">
        <v>11366</v>
      </c>
    </row>
    <row r="743">
      <c r="A743" s="9" t="s">
        <v>11367</v>
      </c>
      <c r="B743" s="9" t="s">
        <v>11368</v>
      </c>
    </row>
    <row r="744">
      <c r="A744" s="9" t="s">
        <v>11369</v>
      </c>
      <c r="B744" s="9" t="s">
        <v>2876</v>
      </c>
    </row>
    <row r="745">
      <c r="A745" s="9" t="s">
        <v>11370</v>
      </c>
      <c r="B745" s="9" t="s">
        <v>11371</v>
      </c>
    </row>
    <row r="746">
      <c r="A746" s="9" t="s">
        <v>11372</v>
      </c>
      <c r="B746" s="9" t="s">
        <v>11373</v>
      </c>
    </row>
    <row r="747">
      <c r="A747" s="9" t="s">
        <v>11374</v>
      </c>
      <c r="B747" s="9" t="s">
        <v>11375</v>
      </c>
    </row>
    <row r="748">
      <c r="A748" s="9" t="s">
        <v>11376</v>
      </c>
      <c r="B748" s="9" t="s">
        <v>11377</v>
      </c>
    </row>
    <row r="749">
      <c r="A749" s="9" t="s">
        <v>11378</v>
      </c>
      <c r="B749" s="9" t="s">
        <v>11379</v>
      </c>
    </row>
    <row r="750">
      <c r="A750" s="9" t="s">
        <v>11380</v>
      </c>
      <c r="B750" s="9" t="s">
        <v>11381</v>
      </c>
    </row>
    <row r="751">
      <c r="A751" s="9" t="s">
        <v>11382</v>
      </c>
      <c r="B751" s="9" t="s">
        <v>11383</v>
      </c>
    </row>
    <row r="752">
      <c r="A752" s="9" t="s">
        <v>11384</v>
      </c>
      <c r="B752" s="9" t="s">
        <v>11385</v>
      </c>
    </row>
    <row r="753">
      <c r="A753" s="9" t="s">
        <v>11386</v>
      </c>
      <c r="B753" s="9" t="s">
        <v>11387</v>
      </c>
    </row>
    <row r="754">
      <c r="A754" s="9" t="s">
        <v>11388</v>
      </c>
      <c r="B754" s="9" t="s">
        <v>11389</v>
      </c>
    </row>
    <row r="755">
      <c r="A755" s="9" t="s">
        <v>11390</v>
      </c>
      <c r="B755" s="9" t="s">
        <v>4852</v>
      </c>
    </row>
    <row r="756">
      <c r="A756" s="9" t="s">
        <v>11391</v>
      </c>
      <c r="B756" s="9" t="s">
        <v>11392</v>
      </c>
    </row>
    <row r="757">
      <c r="A757" s="9" t="s">
        <v>11393</v>
      </c>
      <c r="B757" s="9" t="s">
        <v>11394</v>
      </c>
    </row>
    <row r="758">
      <c r="A758" s="9" t="s">
        <v>11395</v>
      </c>
      <c r="B758" s="9" t="s">
        <v>11396</v>
      </c>
    </row>
    <row r="759">
      <c r="A759" s="9" t="s">
        <v>11397</v>
      </c>
      <c r="B759" s="9" t="s">
        <v>11398</v>
      </c>
    </row>
    <row r="760">
      <c r="A760" s="9" t="s">
        <v>11399</v>
      </c>
      <c r="B760" s="9" t="s">
        <v>11400</v>
      </c>
    </row>
    <row r="761">
      <c r="A761" s="9" t="s">
        <v>11401</v>
      </c>
      <c r="B761" s="9" t="s">
        <v>11402</v>
      </c>
    </row>
    <row r="762">
      <c r="A762" s="9" t="s">
        <v>11403</v>
      </c>
      <c r="B762" s="9" t="s">
        <v>11404</v>
      </c>
    </row>
    <row r="763">
      <c r="A763" s="9" t="s">
        <v>11405</v>
      </c>
      <c r="B763" s="9" t="s">
        <v>11406</v>
      </c>
    </row>
    <row r="764">
      <c r="A764" s="9" t="s">
        <v>11407</v>
      </c>
      <c r="B764" s="9" t="s">
        <v>260</v>
      </c>
    </row>
    <row r="765">
      <c r="A765" s="9" t="s">
        <v>11408</v>
      </c>
      <c r="B765" s="9" t="s">
        <v>11409</v>
      </c>
    </row>
    <row r="766">
      <c r="A766" s="9" t="s">
        <v>11410</v>
      </c>
      <c r="B766" s="9" t="s">
        <v>11411</v>
      </c>
    </row>
    <row r="767">
      <c r="A767" s="9" t="s">
        <v>11412</v>
      </c>
      <c r="B767" s="9" t="s">
        <v>11413</v>
      </c>
    </row>
    <row r="768">
      <c r="A768" s="9" t="s">
        <v>11414</v>
      </c>
      <c r="B768" s="9" t="s">
        <v>11415</v>
      </c>
    </row>
    <row r="769">
      <c r="A769" s="9" t="s">
        <v>11416</v>
      </c>
      <c r="B769" s="9" t="s">
        <v>11417</v>
      </c>
    </row>
    <row r="770">
      <c r="A770" s="9" t="s">
        <v>11418</v>
      </c>
      <c r="B770" s="9" t="s">
        <v>11419</v>
      </c>
    </row>
    <row r="771">
      <c r="A771" s="9" t="s">
        <v>11420</v>
      </c>
      <c r="B771" s="9" t="s">
        <v>11421</v>
      </c>
    </row>
    <row r="772">
      <c r="A772" s="9" t="s">
        <v>11422</v>
      </c>
      <c r="B772" s="9" t="s">
        <v>11423</v>
      </c>
    </row>
    <row r="773">
      <c r="A773" s="9" t="s">
        <v>11424</v>
      </c>
      <c r="B773" s="9" t="s">
        <v>11425</v>
      </c>
    </row>
    <row r="774">
      <c r="A774" s="9" t="s">
        <v>11426</v>
      </c>
      <c r="B774" s="9" t="s">
        <v>11427</v>
      </c>
    </row>
    <row r="775">
      <c r="A775" s="9" t="s">
        <v>11428</v>
      </c>
      <c r="B775" s="9" t="s">
        <v>11429</v>
      </c>
    </row>
    <row r="776">
      <c r="A776" s="9" t="s">
        <v>11430</v>
      </c>
      <c r="B776" s="9" t="s">
        <v>11431</v>
      </c>
    </row>
    <row r="777">
      <c r="A777" s="9" t="s">
        <v>11432</v>
      </c>
      <c r="B777" s="9" t="s">
        <v>11433</v>
      </c>
    </row>
    <row r="778">
      <c r="A778" s="9" t="s">
        <v>11434</v>
      </c>
      <c r="B778" s="9" t="s">
        <v>11435</v>
      </c>
    </row>
    <row r="779">
      <c r="A779" s="9" t="s">
        <v>11436</v>
      </c>
      <c r="B779" s="9" t="s">
        <v>11437</v>
      </c>
    </row>
    <row r="780">
      <c r="A780" s="9" t="s">
        <v>11438</v>
      </c>
      <c r="B780" s="9" t="s">
        <v>11439</v>
      </c>
    </row>
    <row r="781">
      <c r="A781" s="9" t="s">
        <v>11440</v>
      </c>
      <c r="B781" s="9" t="s">
        <v>11441</v>
      </c>
    </row>
    <row r="782">
      <c r="A782" s="9" t="s">
        <v>11442</v>
      </c>
      <c r="B782" s="9" t="s">
        <v>11443</v>
      </c>
    </row>
    <row r="783">
      <c r="A783" s="9" t="s">
        <v>11444</v>
      </c>
      <c r="B783" s="9" t="s">
        <v>11445</v>
      </c>
    </row>
    <row r="784">
      <c r="A784" s="9" t="s">
        <v>11446</v>
      </c>
      <c r="B784" s="9" t="s">
        <v>8900</v>
      </c>
    </row>
    <row r="785">
      <c r="A785" s="9" t="s">
        <v>11447</v>
      </c>
      <c r="B785" s="9" t="s">
        <v>11448</v>
      </c>
    </row>
    <row r="786">
      <c r="A786" s="9" t="s">
        <v>11449</v>
      </c>
      <c r="B786" s="9" t="s">
        <v>11450</v>
      </c>
    </row>
    <row r="787">
      <c r="A787" s="9" t="s">
        <v>11451</v>
      </c>
      <c r="B787" s="9" t="s">
        <v>11452</v>
      </c>
    </row>
    <row r="788">
      <c r="A788" s="9" t="s">
        <v>11453</v>
      </c>
      <c r="B788" s="9" t="s">
        <v>11454</v>
      </c>
    </row>
    <row r="789">
      <c r="A789" s="9" t="s">
        <v>11455</v>
      </c>
      <c r="B789" s="9" t="s">
        <v>11456</v>
      </c>
    </row>
    <row r="790">
      <c r="A790" s="9" t="s">
        <v>11457</v>
      </c>
      <c r="B790" s="9" t="s">
        <v>11458</v>
      </c>
    </row>
    <row r="791">
      <c r="A791" s="9" t="s">
        <v>11459</v>
      </c>
      <c r="B791" s="9" t="s">
        <v>11460</v>
      </c>
    </row>
    <row r="792">
      <c r="A792" s="9" t="s">
        <v>11461</v>
      </c>
      <c r="B792" s="9" t="s">
        <v>11462</v>
      </c>
    </row>
    <row r="793">
      <c r="A793" s="9" t="s">
        <v>11463</v>
      </c>
      <c r="B793" s="9" t="s">
        <v>11464</v>
      </c>
    </row>
    <row r="794">
      <c r="A794" s="9" t="s">
        <v>11465</v>
      </c>
      <c r="B794" s="9" t="s">
        <v>11466</v>
      </c>
    </row>
    <row r="795">
      <c r="A795" s="9" t="s">
        <v>11467</v>
      </c>
      <c r="B795" s="9" t="s">
        <v>11468</v>
      </c>
    </row>
    <row r="796">
      <c r="A796" s="9" t="s">
        <v>11469</v>
      </c>
      <c r="B796" s="9" t="s">
        <v>11470</v>
      </c>
    </row>
    <row r="797">
      <c r="A797" s="9" t="s">
        <v>11471</v>
      </c>
      <c r="B797" s="9" t="s">
        <v>11472</v>
      </c>
    </row>
    <row r="798">
      <c r="A798" s="9" t="s">
        <v>11473</v>
      </c>
      <c r="B798" s="9" t="s">
        <v>11474</v>
      </c>
    </row>
    <row r="799">
      <c r="A799" s="9" t="s">
        <v>11475</v>
      </c>
      <c r="B799" s="9" t="s">
        <v>11476</v>
      </c>
    </row>
    <row r="800">
      <c r="A800" s="9" t="s">
        <v>11477</v>
      </c>
      <c r="B800" s="9" t="s">
        <v>11478</v>
      </c>
    </row>
    <row r="801">
      <c r="A801" s="9" t="s">
        <v>11479</v>
      </c>
      <c r="B801" s="9" t="s">
        <v>11480</v>
      </c>
    </row>
    <row r="802">
      <c r="A802" s="9" t="s">
        <v>11481</v>
      </c>
      <c r="B802" s="9" t="s">
        <v>11482</v>
      </c>
    </row>
    <row r="803">
      <c r="A803" s="9" t="s">
        <v>11483</v>
      </c>
      <c r="B803" s="9" t="s">
        <v>11484</v>
      </c>
    </row>
    <row r="804">
      <c r="A804" s="9" t="s">
        <v>11485</v>
      </c>
      <c r="B804" s="9" t="s">
        <v>11486</v>
      </c>
    </row>
    <row r="805">
      <c r="A805" s="9" t="s">
        <v>11487</v>
      </c>
      <c r="B805" s="9" t="s">
        <v>4210</v>
      </c>
    </row>
    <row r="806">
      <c r="A806" s="9" t="s">
        <v>11488</v>
      </c>
      <c r="B806" s="9" t="s">
        <v>11489</v>
      </c>
    </row>
    <row r="807">
      <c r="A807" s="9" t="s">
        <v>11490</v>
      </c>
      <c r="B807" s="9" t="s">
        <v>11491</v>
      </c>
    </row>
    <row r="808">
      <c r="A808" s="9" t="s">
        <v>11492</v>
      </c>
      <c r="B808" s="9" t="s">
        <v>9131</v>
      </c>
    </row>
    <row r="809">
      <c r="A809" s="9" t="s">
        <v>11493</v>
      </c>
      <c r="B809" s="9" t="s">
        <v>11494</v>
      </c>
    </row>
    <row r="810">
      <c r="A810" s="9" t="s">
        <v>11495</v>
      </c>
      <c r="B810" s="9" t="s">
        <v>11496</v>
      </c>
    </row>
    <row r="811">
      <c r="A811" s="9" t="s">
        <v>11497</v>
      </c>
      <c r="B811" s="9" t="s">
        <v>11498</v>
      </c>
    </row>
    <row r="812">
      <c r="A812" s="9" t="s">
        <v>11499</v>
      </c>
      <c r="B812" s="9" t="s">
        <v>9206</v>
      </c>
    </row>
    <row r="813">
      <c r="A813" s="9" t="s">
        <v>11500</v>
      </c>
      <c r="B813" s="9" t="s">
        <v>11501</v>
      </c>
    </row>
    <row r="814">
      <c r="A814" s="9" t="s">
        <v>11502</v>
      </c>
      <c r="B814" s="9" t="s">
        <v>11503</v>
      </c>
    </row>
    <row r="815">
      <c r="A815" s="9" t="s">
        <v>11504</v>
      </c>
      <c r="B815" s="9" t="s">
        <v>11505</v>
      </c>
    </row>
    <row r="816">
      <c r="A816" s="9" t="s">
        <v>11506</v>
      </c>
      <c r="B816" s="9" t="s">
        <v>11507</v>
      </c>
    </row>
    <row r="817">
      <c r="A817" s="9" t="s">
        <v>11508</v>
      </c>
      <c r="B817" s="9" t="s">
        <v>11509</v>
      </c>
    </row>
    <row r="818">
      <c r="A818" s="9" t="s">
        <v>11510</v>
      </c>
      <c r="B818" s="9">
        <v>6.7551572E7</v>
      </c>
    </row>
    <row r="819">
      <c r="A819" s="9" t="s">
        <v>11511</v>
      </c>
      <c r="B819" s="9" t="s">
        <v>8910</v>
      </c>
    </row>
    <row r="820">
      <c r="A820" s="9" t="s">
        <v>11512</v>
      </c>
      <c r="B820" s="9" t="s">
        <v>11513</v>
      </c>
    </row>
    <row r="821">
      <c r="A821" s="9" t="s">
        <v>11514</v>
      </c>
      <c r="B821" s="9" t="s">
        <v>247</v>
      </c>
    </row>
    <row r="822">
      <c r="A822" s="9" t="s">
        <v>11515</v>
      </c>
      <c r="B822" s="9" t="s">
        <v>11516</v>
      </c>
    </row>
    <row r="823">
      <c r="A823" s="9" t="s">
        <v>11517</v>
      </c>
      <c r="B823" s="9" t="s">
        <v>11518</v>
      </c>
    </row>
    <row r="824">
      <c r="A824" s="9" t="s">
        <v>11519</v>
      </c>
      <c r="B824" s="9" t="s">
        <v>11520</v>
      </c>
    </row>
    <row r="825">
      <c r="A825" s="9" t="s">
        <v>11521</v>
      </c>
      <c r="B825" s="9" t="s">
        <v>11522</v>
      </c>
    </row>
    <row r="826">
      <c r="A826" s="9" t="s">
        <v>11523</v>
      </c>
      <c r="B826" s="9" t="s">
        <v>11524</v>
      </c>
    </row>
    <row r="827">
      <c r="A827" s="9" t="s">
        <v>11525</v>
      </c>
      <c r="B827" s="9" t="s">
        <v>11526</v>
      </c>
    </row>
    <row r="828">
      <c r="A828" s="9" t="s">
        <v>11527</v>
      </c>
      <c r="B828" s="9" t="s">
        <v>11528</v>
      </c>
    </row>
    <row r="829">
      <c r="A829" s="9" t="s">
        <v>11529</v>
      </c>
      <c r="B829" s="9" t="s">
        <v>11530</v>
      </c>
    </row>
    <row r="830">
      <c r="A830" s="9" t="s">
        <v>11531</v>
      </c>
      <c r="B830" s="9" t="s">
        <v>11532</v>
      </c>
    </row>
    <row r="831">
      <c r="A831" s="9" t="s">
        <v>11533</v>
      </c>
      <c r="B831" s="9" t="s">
        <v>11534</v>
      </c>
    </row>
    <row r="832">
      <c r="A832" s="9" t="s">
        <v>11535</v>
      </c>
      <c r="B832" s="9" t="s">
        <v>4887</v>
      </c>
    </row>
    <row r="833">
      <c r="A833" s="9" t="s">
        <v>11536</v>
      </c>
      <c r="B833" s="9" t="s">
        <v>11537</v>
      </c>
    </row>
    <row r="834">
      <c r="A834" s="9" t="s">
        <v>11538</v>
      </c>
      <c r="B834" s="9" t="s">
        <v>11539</v>
      </c>
    </row>
    <row r="835">
      <c r="A835" s="9" t="s">
        <v>11540</v>
      </c>
      <c r="B835" s="9" t="s">
        <v>11541</v>
      </c>
    </row>
    <row r="836">
      <c r="A836" s="9" t="s">
        <v>11542</v>
      </c>
      <c r="B836" s="9" t="s">
        <v>11543</v>
      </c>
    </row>
    <row r="837">
      <c r="A837" s="9" t="s">
        <v>11544</v>
      </c>
      <c r="B837" s="9" t="s">
        <v>11545</v>
      </c>
    </row>
    <row r="838">
      <c r="A838" s="9" t="s">
        <v>11546</v>
      </c>
      <c r="B838" s="9" t="s">
        <v>11547</v>
      </c>
    </row>
    <row r="839">
      <c r="A839" s="9" t="s">
        <v>11548</v>
      </c>
      <c r="B839" s="9" t="s">
        <v>11549</v>
      </c>
    </row>
    <row r="840">
      <c r="A840" s="9" t="s">
        <v>11550</v>
      </c>
      <c r="B840" s="9" t="s">
        <v>11551</v>
      </c>
    </row>
    <row r="841">
      <c r="A841" s="9" t="s">
        <v>11552</v>
      </c>
      <c r="B841" s="9" t="s">
        <v>11553</v>
      </c>
    </row>
    <row r="842">
      <c r="A842" s="9" t="s">
        <v>11554</v>
      </c>
      <c r="B842" s="9" t="s">
        <v>1747</v>
      </c>
    </row>
    <row r="843">
      <c r="A843" s="9" t="s">
        <v>11555</v>
      </c>
      <c r="B843" s="9" t="s">
        <v>11556</v>
      </c>
    </row>
    <row r="844">
      <c r="A844" s="9" t="s">
        <v>11557</v>
      </c>
      <c r="B844" s="9" t="s">
        <v>11558</v>
      </c>
    </row>
    <row r="845">
      <c r="A845" s="9" t="s">
        <v>11559</v>
      </c>
      <c r="B845" s="9" t="s">
        <v>11560</v>
      </c>
    </row>
    <row r="846">
      <c r="A846" s="9" t="s">
        <v>11561</v>
      </c>
      <c r="B846" s="9" t="s">
        <v>11562</v>
      </c>
    </row>
    <row r="847">
      <c r="A847" s="9" t="s">
        <v>11563</v>
      </c>
    </row>
    <row r="848">
      <c r="A848" s="9" t="s">
        <v>11564</v>
      </c>
      <c r="B848" s="9" t="s">
        <v>11565</v>
      </c>
    </row>
    <row r="849">
      <c r="A849" s="9" t="s">
        <v>11566</v>
      </c>
      <c r="B849" s="9" t="s">
        <v>11567</v>
      </c>
    </row>
    <row r="850">
      <c r="A850" s="9" t="s">
        <v>11568</v>
      </c>
      <c r="B850" s="9" t="s">
        <v>11569</v>
      </c>
    </row>
    <row r="851">
      <c r="A851" s="9" t="s">
        <v>11570</v>
      </c>
      <c r="B851" s="9" t="s">
        <v>11571</v>
      </c>
    </row>
    <row r="852">
      <c r="A852" s="9" t="s">
        <v>11572</v>
      </c>
      <c r="B852" s="9" t="s">
        <v>259</v>
      </c>
    </row>
    <row r="853">
      <c r="A853" s="9" t="s">
        <v>11573</v>
      </c>
      <c r="B853" s="9" t="s">
        <v>11574</v>
      </c>
    </row>
    <row r="854">
      <c r="A854" s="9" t="s">
        <v>11575</v>
      </c>
      <c r="B854" s="9" t="s">
        <v>11576</v>
      </c>
    </row>
    <row r="855">
      <c r="A855" s="9" t="s">
        <v>11577</v>
      </c>
      <c r="B855" s="9" t="s">
        <v>11578</v>
      </c>
    </row>
    <row r="856">
      <c r="A856" s="9" t="s">
        <v>11579</v>
      </c>
      <c r="B856" s="9" t="s">
        <v>11580</v>
      </c>
    </row>
    <row r="857">
      <c r="A857" s="9" t="s">
        <v>11581</v>
      </c>
      <c r="B857" s="9" t="s">
        <v>1546</v>
      </c>
    </row>
    <row r="858">
      <c r="A858" s="9" t="s">
        <v>11582</v>
      </c>
      <c r="B858" s="9" t="s">
        <v>11583</v>
      </c>
    </row>
    <row r="859">
      <c r="A859" s="9" t="s">
        <v>11584</v>
      </c>
      <c r="B859" s="9" t="s">
        <v>11585</v>
      </c>
    </row>
    <row r="860">
      <c r="A860" s="9" t="s">
        <v>11586</v>
      </c>
      <c r="B860" s="9" t="s">
        <v>11587</v>
      </c>
    </row>
    <row r="861">
      <c r="A861" s="9" t="s">
        <v>11588</v>
      </c>
      <c r="B861" s="9" t="s">
        <v>11589</v>
      </c>
    </row>
    <row r="862">
      <c r="A862" s="9" t="s">
        <v>11590</v>
      </c>
      <c r="B862" s="9" t="s">
        <v>8351</v>
      </c>
    </row>
    <row r="863">
      <c r="A863" s="9" t="s">
        <v>11591</v>
      </c>
      <c r="B863" s="9" t="s">
        <v>11592</v>
      </c>
    </row>
    <row r="864">
      <c r="A864" s="9" t="s">
        <v>11593</v>
      </c>
      <c r="B864" s="9" t="s">
        <v>4639</v>
      </c>
    </row>
    <row r="865">
      <c r="A865" s="9" t="s">
        <v>11594</v>
      </c>
      <c r="B865" s="9">
        <v>5.9341748E7</v>
      </c>
    </row>
    <row r="866">
      <c r="A866" s="9" t="s">
        <v>11595</v>
      </c>
      <c r="B866" s="9" t="s">
        <v>3314</v>
      </c>
    </row>
    <row r="867">
      <c r="A867" s="9" t="s">
        <v>11596</v>
      </c>
      <c r="B867" s="9" t="s">
        <v>7879</v>
      </c>
    </row>
    <row r="868">
      <c r="A868" s="9" t="s">
        <v>11597</v>
      </c>
      <c r="B868" s="9" t="s">
        <v>2242</v>
      </c>
    </row>
    <row r="869">
      <c r="A869" s="9" t="s">
        <v>11598</v>
      </c>
      <c r="B869" s="9" t="s">
        <v>6554</v>
      </c>
    </row>
    <row r="870">
      <c r="A870" s="9" t="s">
        <v>11599</v>
      </c>
      <c r="B870" s="9" t="s">
        <v>11600</v>
      </c>
    </row>
    <row r="871">
      <c r="A871" s="9" t="s">
        <v>11601</v>
      </c>
    </row>
    <row r="872">
      <c r="A872" s="9" t="s">
        <v>11602</v>
      </c>
      <c r="B872" s="9" t="s">
        <v>9933</v>
      </c>
    </row>
    <row r="873">
      <c r="A873" s="9" t="s">
        <v>11603</v>
      </c>
      <c r="B873" s="9" t="s">
        <v>8284</v>
      </c>
    </row>
    <row r="874">
      <c r="A874" s="9" t="s">
        <v>11604</v>
      </c>
      <c r="B874" s="9" t="s">
        <v>2496</v>
      </c>
    </row>
    <row r="875">
      <c r="A875" s="9" t="s">
        <v>11605</v>
      </c>
      <c r="B875" s="9" t="s">
        <v>9714</v>
      </c>
    </row>
    <row r="876">
      <c r="A876" s="9" t="s">
        <v>11606</v>
      </c>
      <c r="B876" s="9" t="s">
        <v>273</v>
      </c>
    </row>
    <row r="877">
      <c r="A877" s="9" t="s">
        <v>11607</v>
      </c>
      <c r="B877" s="9" t="s">
        <v>9922</v>
      </c>
    </row>
    <row r="878">
      <c r="A878" s="9" t="s">
        <v>11608</v>
      </c>
      <c r="B878" s="9" t="s">
        <v>7026</v>
      </c>
    </row>
    <row r="879">
      <c r="A879" s="9" t="s">
        <v>11609</v>
      </c>
      <c r="B879" s="9" t="s">
        <v>11610</v>
      </c>
    </row>
    <row r="880">
      <c r="A880" s="9" t="s">
        <v>11611</v>
      </c>
      <c r="B880" s="9" t="s">
        <v>267</v>
      </c>
    </row>
    <row r="881">
      <c r="A881" s="9" t="s">
        <v>11612</v>
      </c>
    </row>
    <row r="882">
      <c r="A882" s="9" t="s">
        <v>11613</v>
      </c>
    </row>
    <row r="883">
      <c r="A883" s="9" t="s">
        <v>11614</v>
      </c>
      <c r="B883" s="9" t="s">
        <v>8540</v>
      </c>
    </row>
    <row r="884">
      <c r="A884" s="9" t="s">
        <v>11615</v>
      </c>
      <c r="B884" s="9" t="s">
        <v>263</v>
      </c>
    </row>
    <row r="885">
      <c r="A885" s="9" t="s">
        <v>11616</v>
      </c>
      <c r="B885" s="9" t="s">
        <v>7988</v>
      </c>
    </row>
    <row r="886">
      <c r="A886" s="9" t="s">
        <v>11617</v>
      </c>
      <c r="B886" s="9" t="s">
        <v>11618</v>
      </c>
    </row>
    <row r="887">
      <c r="A887" s="9" t="s">
        <v>11619</v>
      </c>
      <c r="B887" s="9" t="s">
        <v>862</v>
      </c>
    </row>
    <row r="888">
      <c r="A888" s="9" t="s">
        <v>11620</v>
      </c>
      <c r="B888" s="9" t="s">
        <v>11621</v>
      </c>
    </row>
    <row r="889">
      <c r="A889" s="9" t="s">
        <v>11622</v>
      </c>
      <c r="B889" s="9" t="s">
        <v>11623</v>
      </c>
    </row>
    <row r="890">
      <c r="A890" s="9" t="s">
        <v>11624</v>
      </c>
    </row>
    <row r="891">
      <c r="A891" s="9" t="s">
        <v>11625</v>
      </c>
      <c r="B891" s="9" t="s">
        <v>9972</v>
      </c>
    </row>
    <row r="892">
      <c r="A892" s="9" t="s">
        <v>11626</v>
      </c>
      <c r="B892" s="9" t="s">
        <v>11627</v>
      </c>
    </row>
    <row r="893">
      <c r="A893" s="9" t="s">
        <v>11628</v>
      </c>
      <c r="B893" s="9" t="s">
        <v>11629</v>
      </c>
    </row>
    <row r="894">
      <c r="A894" s="9" t="s">
        <v>11630</v>
      </c>
      <c r="B894" s="9" t="s">
        <v>2181</v>
      </c>
    </row>
    <row r="895">
      <c r="A895" s="9" t="s">
        <v>11631</v>
      </c>
      <c r="B895" s="9" t="s">
        <v>2797</v>
      </c>
    </row>
    <row r="896">
      <c r="A896" s="9" t="s">
        <v>11632</v>
      </c>
      <c r="B896" s="9" t="s">
        <v>11633</v>
      </c>
    </row>
    <row r="897">
      <c r="A897" s="9" t="s">
        <v>11634</v>
      </c>
      <c r="B897" s="9" t="s">
        <v>269</v>
      </c>
    </row>
    <row r="898">
      <c r="A898" s="9" t="s">
        <v>11635</v>
      </c>
      <c r="B898" s="9" t="s">
        <v>4545</v>
      </c>
    </row>
    <row r="899">
      <c r="A899" s="9" t="s">
        <v>11636</v>
      </c>
      <c r="B899" s="9" t="s">
        <v>11637</v>
      </c>
    </row>
    <row r="900">
      <c r="A900" s="9" t="s">
        <v>11638</v>
      </c>
      <c r="B900" s="9" t="s">
        <v>6209</v>
      </c>
    </row>
    <row r="901">
      <c r="A901" s="9" t="s">
        <v>11639</v>
      </c>
      <c r="B901" s="9" t="s">
        <v>11640</v>
      </c>
    </row>
    <row r="902">
      <c r="A902" s="9" t="s">
        <v>11641</v>
      </c>
      <c r="B902" s="9" t="s">
        <v>7390</v>
      </c>
    </row>
    <row r="903">
      <c r="A903" s="9" t="s">
        <v>11642</v>
      </c>
      <c r="B903" s="9" t="s">
        <v>4011</v>
      </c>
    </row>
    <row r="904">
      <c r="A904" s="9" t="s">
        <v>11643</v>
      </c>
    </row>
    <row r="905">
      <c r="A905" s="9" t="s">
        <v>11644</v>
      </c>
      <c r="B905" s="9" t="s">
        <v>11645</v>
      </c>
    </row>
    <row r="906">
      <c r="A906" s="9" t="s">
        <v>11646</v>
      </c>
      <c r="B906" s="9" t="s">
        <v>8331</v>
      </c>
    </row>
    <row r="907">
      <c r="A907" s="9" t="s">
        <v>11647</v>
      </c>
      <c r="B907" s="9" t="s">
        <v>9724</v>
      </c>
    </row>
    <row r="908">
      <c r="A908" s="9" t="s">
        <v>11648</v>
      </c>
      <c r="B908" s="9" t="s">
        <v>8322</v>
      </c>
    </row>
    <row r="909">
      <c r="A909" s="9" t="s">
        <v>11649</v>
      </c>
      <c r="B909" s="9" t="s">
        <v>7102</v>
      </c>
    </row>
    <row r="910">
      <c r="A910" s="9" t="s">
        <v>11650</v>
      </c>
      <c r="B910" s="9" t="s">
        <v>1530</v>
      </c>
    </row>
    <row r="911">
      <c r="A911" s="9" t="s">
        <v>11651</v>
      </c>
      <c r="B911" s="9" t="s">
        <v>11652</v>
      </c>
    </row>
    <row r="912">
      <c r="A912" s="9" t="s">
        <v>11653</v>
      </c>
      <c r="B912" s="9" t="s">
        <v>3233</v>
      </c>
    </row>
    <row r="913">
      <c r="A913" s="9" t="s">
        <v>11654</v>
      </c>
      <c r="B913" s="9" t="s">
        <v>11655</v>
      </c>
    </row>
    <row r="914">
      <c r="A914" s="9" t="s">
        <v>11656</v>
      </c>
      <c r="B914" s="9" t="s">
        <v>11657</v>
      </c>
    </row>
    <row r="915">
      <c r="A915" s="9" t="s">
        <v>11658</v>
      </c>
      <c r="B915" s="9" t="s">
        <v>271</v>
      </c>
    </row>
    <row r="916">
      <c r="A916" s="9" t="s">
        <v>11659</v>
      </c>
      <c r="B916" s="9" t="s">
        <v>11660</v>
      </c>
    </row>
    <row r="917">
      <c r="A917" s="9" t="s">
        <v>11661</v>
      </c>
      <c r="B917" s="9" t="s">
        <v>2920</v>
      </c>
    </row>
    <row r="918">
      <c r="A918" s="9" t="s">
        <v>11662</v>
      </c>
      <c r="B918" s="9" t="s">
        <v>10180</v>
      </c>
    </row>
    <row r="919">
      <c r="A919" s="9" t="s">
        <v>11663</v>
      </c>
      <c r="B919" s="9" t="s">
        <v>11664</v>
      </c>
    </row>
    <row r="920">
      <c r="A920" s="9" t="s">
        <v>11665</v>
      </c>
      <c r="B920" s="9">
        <v>2.9348652E7</v>
      </c>
    </row>
    <row r="921">
      <c r="A921" s="9" t="s">
        <v>11666</v>
      </c>
      <c r="B921" s="9" t="s">
        <v>540</v>
      </c>
    </row>
    <row r="922">
      <c r="A922" s="9" t="s">
        <v>11667</v>
      </c>
      <c r="B922" s="9" t="s">
        <v>11668</v>
      </c>
    </row>
    <row r="923">
      <c r="A923" s="9" t="s">
        <v>11669</v>
      </c>
      <c r="B923" s="9" t="s">
        <v>4121</v>
      </c>
    </row>
    <row r="924">
      <c r="A924" s="9" t="s">
        <v>11670</v>
      </c>
      <c r="B924" s="9" t="s">
        <v>11671</v>
      </c>
    </row>
    <row r="925">
      <c r="A925" s="9" t="s">
        <v>11672</v>
      </c>
    </row>
    <row r="926">
      <c r="A926" s="9" t="s">
        <v>11673</v>
      </c>
      <c r="B926" s="9" t="s">
        <v>11674</v>
      </c>
    </row>
    <row r="927">
      <c r="A927" s="9" t="s">
        <v>11675</v>
      </c>
      <c r="B927" s="9" t="s">
        <v>11676</v>
      </c>
    </row>
    <row r="928">
      <c r="A928" s="9" t="s">
        <v>11677</v>
      </c>
      <c r="B928" s="9" t="s">
        <v>9048</v>
      </c>
    </row>
    <row r="929">
      <c r="A929" s="9" t="s">
        <v>11678</v>
      </c>
      <c r="B929" s="9" t="s">
        <v>9958</v>
      </c>
    </row>
    <row r="930">
      <c r="A930" s="9" t="s">
        <v>11679</v>
      </c>
      <c r="B930" s="9" t="s">
        <v>11680</v>
      </c>
    </row>
    <row r="931">
      <c r="A931" s="9" t="s">
        <v>11681</v>
      </c>
      <c r="B931" s="9" t="s">
        <v>11682</v>
      </c>
    </row>
    <row r="932">
      <c r="A932" s="9" t="s">
        <v>11683</v>
      </c>
      <c r="B932" s="9" t="s">
        <v>11684</v>
      </c>
    </row>
    <row r="933">
      <c r="A933" s="9" t="s">
        <v>11685</v>
      </c>
      <c r="B933" s="9" t="s">
        <v>11686</v>
      </c>
    </row>
    <row r="934">
      <c r="A934" s="9" t="s">
        <v>11687</v>
      </c>
    </row>
    <row r="935">
      <c r="A935" s="9" t="s">
        <v>11688</v>
      </c>
      <c r="B935" s="9" t="s">
        <v>7298</v>
      </c>
    </row>
    <row r="936">
      <c r="A936" s="9" t="s">
        <v>11689</v>
      </c>
      <c r="B936" s="9" t="s">
        <v>5067</v>
      </c>
    </row>
    <row r="937">
      <c r="A937" s="9" t="s">
        <v>11690</v>
      </c>
      <c r="B937" s="9" t="s">
        <v>11691</v>
      </c>
    </row>
    <row r="938">
      <c r="A938" s="9" t="s">
        <v>11692</v>
      </c>
    </row>
    <row r="939">
      <c r="A939" s="9" t="s">
        <v>11693</v>
      </c>
      <c r="B939" s="9" t="s">
        <v>11694</v>
      </c>
    </row>
    <row r="940">
      <c r="A940" s="9" t="s">
        <v>11695</v>
      </c>
      <c r="B940" s="9" t="s">
        <v>8972</v>
      </c>
    </row>
    <row r="941">
      <c r="A941" s="9" t="s">
        <v>11696</v>
      </c>
      <c r="B941" s="9" t="s">
        <v>9594</v>
      </c>
    </row>
    <row r="942">
      <c r="A942" s="9" t="s">
        <v>11697</v>
      </c>
      <c r="B942" s="9" t="s">
        <v>7585</v>
      </c>
    </row>
    <row r="943">
      <c r="A943" s="9" t="s">
        <v>11698</v>
      </c>
      <c r="B943" s="9" t="s">
        <v>6605</v>
      </c>
    </row>
    <row r="944">
      <c r="A944" s="9" t="s">
        <v>11699</v>
      </c>
      <c r="B944" s="9" t="s">
        <v>11700</v>
      </c>
    </row>
    <row r="945">
      <c r="A945" s="9" t="s">
        <v>11701</v>
      </c>
      <c r="B945" s="9" t="s">
        <v>4952</v>
      </c>
    </row>
    <row r="946">
      <c r="A946" s="9" t="s">
        <v>11702</v>
      </c>
      <c r="B946" s="9" t="s">
        <v>11703</v>
      </c>
    </row>
    <row r="947">
      <c r="A947" s="9" t="s">
        <v>11704</v>
      </c>
      <c r="B947" s="9" t="s">
        <v>3009</v>
      </c>
    </row>
    <row r="948">
      <c r="A948" s="9" t="s">
        <v>11705</v>
      </c>
    </row>
    <row r="949">
      <c r="A949" s="9" t="s">
        <v>11706</v>
      </c>
      <c r="B949" s="9" t="s">
        <v>9448</v>
      </c>
    </row>
    <row r="950">
      <c r="A950" s="9" t="s">
        <v>11707</v>
      </c>
      <c r="B950" s="9" t="s">
        <v>11708</v>
      </c>
    </row>
    <row r="951">
      <c r="A951" s="9" t="s">
        <v>11709</v>
      </c>
      <c r="B951" s="9" t="s">
        <v>4045</v>
      </c>
    </row>
    <row r="952">
      <c r="A952" s="9" t="s">
        <v>11710</v>
      </c>
      <c r="B952" s="9" t="s">
        <v>1893</v>
      </c>
    </row>
    <row r="953">
      <c r="A953" s="9" t="s">
        <v>11711</v>
      </c>
    </row>
    <row r="954">
      <c r="A954" s="9" t="s">
        <v>11712</v>
      </c>
      <c r="B954" s="9" t="s">
        <v>5461</v>
      </c>
    </row>
    <row r="955">
      <c r="A955" s="9" t="s">
        <v>11713</v>
      </c>
      <c r="B955" s="9" t="s">
        <v>5651</v>
      </c>
    </row>
    <row r="956">
      <c r="A956" s="9" t="s">
        <v>11714</v>
      </c>
    </row>
    <row r="957">
      <c r="A957" s="9" t="s">
        <v>11715</v>
      </c>
      <c r="B957" s="9" t="s">
        <v>8965</v>
      </c>
    </row>
    <row r="958">
      <c r="A958" s="9" t="s">
        <v>11716</v>
      </c>
      <c r="B958" s="9" t="s">
        <v>11717</v>
      </c>
    </row>
    <row r="959">
      <c r="A959" s="9" t="s">
        <v>11718</v>
      </c>
      <c r="B959" s="9" t="s">
        <v>11719</v>
      </c>
    </row>
    <row r="960">
      <c r="A960" s="9" t="s">
        <v>11720</v>
      </c>
      <c r="B960" s="9" t="s">
        <v>8275</v>
      </c>
    </row>
    <row r="961">
      <c r="A961" s="9" t="s">
        <v>11721</v>
      </c>
      <c r="B961" s="9" t="s">
        <v>7678</v>
      </c>
    </row>
    <row r="962">
      <c r="A962" s="9" t="s">
        <v>11722</v>
      </c>
    </row>
    <row r="963">
      <c r="A963" s="9" t="s">
        <v>11723</v>
      </c>
      <c r="B963" s="9" t="s">
        <v>11724</v>
      </c>
    </row>
    <row r="964">
      <c r="A964" s="9" t="s">
        <v>11725</v>
      </c>
      <c r="B964" s="9" t="s">
        <v>8341</v>
      </c>
    </row>
    <row r="965">
      <c r="A965" s="9" t="s">
        <v>11726</v>
      </c>
      <c r="B965" s="9" t="s">
        <v>7909</v>
      </c>
    </row>
    <row r="966">
      <c r="A966" s="9" t="s">
        <v>11727</v>
      </c>
      <c r="B966" s="9" t="s">
        <v>9522</v>
      </c>
    </row>
    <row r="967">
      <c r="A967" s="9" t="s">
        <v>11728</v>
      </c>
      <c r="B967" s="9" t="s">
        <v>7483</v>
      </c>
    </row>
    <row r="968">
      <c r="A968" s="9" t="s">
        <v>11729</v>
      </c>
      <c r="B968" s="9" t="s">
        <v>2354</v>
      </c>
    </row>
    <row r="969">
      <c r="A969" s="9" t="s">
        <v>11730</v>
      </c>
      <c r="B969" s="9" t="s">
        <v>11731</v>
      </c>
    </row>
    <row r="970">
      <c r="A970" s="9" t="s">
        <v>11732</v>
      </c>
      <c r="B970" s="9" t="s">
        <v>11733</v>
      </c>
    </row>
    <row r="971">
      <c r="A971" s="9" t="s">
        <v>11734</v>
      </c>
      <c r="B971" s="9" t="s">
        <v>8644</v>
      </c>
    </row>
    <row r="972">
      <c r="A972" s="9" t="s">
        <v>11735</v>
      </c>
      <c r="B972" s="9" t="s">
        <v>7689</v>
      </c>
    </row>
    <row r="973">
      <c r="A973" s="9" t="s">
        <v>11736</v>
      </c>
      <c r="B973" s="9" t="s">
        <v>9218</v>
      </c>
    </row>
    <row r="974">
      <c r="A974" s="9" t="s">
        <v>11737</v>
      </c>
      <c r="B974" s="9" t="s">
        <v>2933</v>
      </c>
    </row>
    <row r="975">
      <c r="A975" s="9" t="s">
        <v>11738</v>
      </c>
      <c r="B975" s="9" t="s">
        <v>6880</v>
      </c>
    </row>
    <row r="976">
      <c r="A976" s="9" t="s">
        <v>11739</v>
      </c>
      <c r="B976" s="9" t="s">
        <v>11740</v>
      </c>
    </row>
    <row r="977">
      <c r="A977" s="9" t="s">
        <v>11741</v>
      </c>
      <c r="B977" s="9" t="s">
        <v>1188</v>
      </c>
    </row>
    <row r="978">
      <c r="A978" s="9" t="s">
        <v>11742</v>
      </c>
      <c r="B978" s="9" t="s">
        <v>1410</v>
      </c>
    </row>
    <row r="979">
      <c r="A979" s="9" t="s">
        <v>11743</v>
      </c>
      <c r="B979" s="9" t="s">
        <v>11744</v>
      </c>
    </row>
    <row r="980">
      <c r="A980" s="9" t="s">
        <v>11745</v>
      </c>
      <c r="B980" s="9" t="s">
        <v>7545</v>
      </c>
    </row>
    <row r="981">
      <c r="A981" s="9" t="s">
        <v>11746</v>
      </c>
      <c r="B981" s="9" t="s">
        <v>5748</v>
      </c>
    </row>
    <row r="982">
      <c r="A982" s="9" t="s">
        <v>11747</v>
      </c>
      <c r="B982" s="9" t="s">
        <v>11748</v>
      </c>
    </row>
    <row r="983">
      <c r="A983" s="9" t="s">
        <v>11749</v>
      </c>
      <c r="B983" s="9" t="s">
        <v>11750</v>
      </c>
    </row>
    <row r="984">
      <c r="A984" s="9" t="s">
        <v>11751</v>
      </c>
      <c r="B984" s="9" t="s">
        <v>8512</v>
      </c>
    </row>
    <row r="985">
      <c r="A985" s="9" t="s">
        <v>11752</v>
      </c>
    </row>
    <row r="986">
      <c r="A986" s="9" t="s">
        <v>11753</v>
      </c>
      <c r="B986" s="9" t="s">
        <v>9911</v>
      </c>
    </row>
    <row r="987">
      <c r="A987" s="9" t="s">
        <v>11754</v>
      </c>
      <c r="B987" s="9" t="s">
        <v>9012</v>
      </c>
    </row>
    <row r="988">
      <c r="A988" s="9" t="s">
        <v>11755</v>
      </c>
      <c r="B988" s="9" t="s">
        <v>3497</v>
      </c>
    </row>
    <row r="989">
      <c r="A989" s="9" t="s">
        <v>11756</v>
      </c>
    </row>
    <row r="990">
      <c r="A990" s="9" t="s">
        <v>11757</v>
      </c>
      <c r="B990" s="9" t="s">
        <v>11758</v>
      </c>
    </row>
    <row r="991">
      <c r="A991" s="9" t="s">
        <v>11759</v>
      </c>
      <c r="B991" s="9" t="s">
        <v>3346</v>
      </c>
    </row>
    <row r="992">
      <c r="A992" s="9" t="s">
        <v>11760</v>
      </c>
      <c r="B992" s="9" t="s">
        <v>1470</v>
      </c>
    </row>
    <row r="993">
      <c r="A993" s="9" t="s">
        <v>11761</v>
      </c>
      <c r="B993" s="9" t="s">
        <v>1307</v>
      </c>
    </row>
    <row r="994">
      <c r="A994" s="9" t="s">
        <v>11762</v>
      </c>
      <c r="B994" s="9" t="s">
        <v>11763</v>
      </c>
    </row>
    <row r="995">
      <c r="A995" s="9" t="s">
        <v>11764</v>
      </c>
      <c r="B995" s="9" t="s">
        <v>2679</v>
      </c>
    </row>
    <row r="996">
      <c r="A996" s="9" t="s">
        <v>11765</v>
      </c>
      <c r="B996" s="9" t="s">
        <v>5519</v>
      </c>
    </row>
    <row r="997">
      <c r="A997" s="9" t="s">
        <v>11766</v>
      </c>
      <c r="B997" s="9" t="s">
        <v>11767</v>
      </c>
    </row>
    <row r="998">
      <c r="A998" s="9" t="s">
        <v>11768</v>
      </c>
      <c r="B998" s="9" t="s">
        <v>5219</v>
      </c>
    </row>
    <row r="999">
      <c r="A999" s="9" t="s">
        <v>11769</v>
      </c>
      <c r="B999" s="9" t="s">
        <v>10130</v>
      </c>
    </row>
    <row r="1000">
      <c r="A1000" s="9" t="s">
        <v>11770</v>
      </c>
      <c r="B1000" s="9" t="s">
        <v>7823</v>
      </c>
    </row>
    <row r="1001">
      <c r="A1001" s="9" t="s">
        <v>11771</v>
      </c>
      <c r="B1001" s="9" t="s">
        <v>11772</v>
      </c>
    </row>
    <row r="1002">
      <c r="A1002" s="9" t="s">
        <v>11773</v>
      </c>
      <c r="B1002" s="9" t="s">
        <v>11774</v>
      </c>
    </row>
    <row r="1003">
      <c r="A1003" s="9" t="s">
        <v>11775</v>
      </c>
    </row>
    <row r="1004">
      <c r="A1004" s="9" t="s">
        <v>11776</v>
      </c>
      <c r="B1004" s="9" t="s">
        <v>11777</v>
      </c>
    </row>
    <row r="1005">
      <c r="A1005" s="9" t="s">
        <v>11778</v>
      </c>
      <c r="B1005" s="9" t="s">
        <v>5345</v>
      </c>
    </row>
    <row r="1006">
      <c r="A1006" s="9" t="s">
        <v>11779</v>
      </c>
      <c r="B1006" s="9" t="s">
        <v>11780</v>
      </c>
    </row>
    <row r="1007">
      <c r="A1007" s="9" t="s">
        <v>11781</v>
      </c>
      <c r="B1007" s="9" t="s">
        <v>8621</v>
      </c>
    </row>
    <row r="1008">
      <c r="A1008" s="9" t="s">
        <v>11782</v>
      </c>
    </row>
    <row r="1009">
      <c r="A1009" s="9" t="s">
        <v>11783</v>
      </c>
      <c r="B1009" s="9" t="s">
        <v>10128</v>
      </c>
    </row>
    <row r="1010">
      <c r="A1010" s="9" t="s">
        <v>11784</v>
      </c>
      <c r="B1010" s="9" t="s">
        <v>942</v>
      </c>
    </row>
    <row r="1011">
      <c r="A1011" s="9" t="s">
        <v>11785</v>
      </c>
      <c r="B1011" s="9" t="s">
        <v>4758</v>
      </c>
    </row>
    <row r="1012">
      <c r="A1012" s="9" t="s">
        <v>11786</v>
      </c>
      <c r="B1012" s="9" t="s">
        <v>9603</v>
      </c>
    </row>
    <row r="1013">
      <c r="A1013" s="9" t="s">
        <v>11787</v>
      </c>
      <c r="B1013" s="9" t="s">
        <v>11788</v>
      </c>
    </row>
    <row r="1014">
      <c r="A1014" s="9" t="s">
        <v>11789</v>
      </c>
    </row>
    <row r="1015">
      <c r="A1015" s="9" t="s">
        <v>11790</v>
      </c>
      <c r="B1015" s="9" t="s">
        <v>10044</v>
      </c>
    </row>
    <row r="1016">
      <c r="A1016" s="9" t="s">
        <v>11791</v>
      </c>
      <c r="B1016" s="9" t="s">
        <v>9801</v>
      </c>
    </row>
    <row r="1017">
      <c r="A1017" s="9" t="s">
        <v>11792</v>
      </c>
      <c r="B1017" s="9" t="s">
        <v>5426</v>
      </c>
    </row>
    <row r="1018">
      <c r="A1018" s="9" t="s">
        <v>11793</v>
      </c>
      <c r="B1018" s="9" t="s">
        <v>3844</v>
      </c>
    </row>
    <row r="1019">
      <c r="A1019" s="9" t="s">
        <v>11794</v>
      </c>
      <c r="B1019" s="9" t="s">
        <v>11795</v>
      </c>
    </row>
    <row r="1020">
      <c r="A1020" s="9" t="s">
        <v>11796</v>
      </c>
    </row>
    <row r="1021">
      <c r="A1021" s="9" t="s">
        <v>11797</v>
      </c>
    </row>
    <row r="1022">
      <c r="A1022" s="9" t="s">
        <v>11798</v>
      </c>
      <c r="B1022" s="9" t="s">
        <v>6989</v>
      </c>
    </row>
    <row r="1023">
      <c r="A1023" s="9" t="s">
        <v>11799</v>
      </c>
      <c r="B1023" s="9" t="s">
        <v>11800</v>
      </c>
    </row>
    <row r="1024">
      <c r="A1024" s="9" t="s">
        <v>11801</v>
      </c>
      <c r="B1024" s="9" t="s">
        <v>11802</v>
      </c>
    </row>
    <row r="1025">
      <c r="A1025" s="9" t="s">
        <v>11803</v>
      </c>
    </row>
    <row r="1026">
      <c r="A1026" s="9" t="s">
        <v>11804</v>
      </c>
      <c r="B1026" s="9" t="s">
        <v>11805</v>
      </c>
    </row>
    <row r="1027">
      <c r="A1027" s="9" t="s">
        <v>11806</v>
      </c>
      <c r="B1027" s="9" t="s">
        <v>3527</v>
      </c>
    </row>
    <row r="1028">
      <c r="A1028" s="9" t="s">
        <v>11807</v>
      </c>
      <c r="B1028" s="9" t="s">
        <v>2234</v>
      </c>
    </row>
    <row r="1029">
      <c r="A1029" s="9" t="s">
        <v>11808</v>
      </c>
      <c r="B1029" s="9" t="s">
        <v>268</v>
      </c>
    </row>
    <row r="1030">
      <c r="A1030" s="9" t="s">
        <v>11809</v>
      </c>
      <c r="B1030" s="9" t="s">
        <v>3129</v>
      </c>
    </row>
    <row r="1031">
      <c r="A1031" s="9" t="s">
        <v>11810</v>
      </c>
      <c r="B1031" s="9" t="s">
        <v>264</v>
      </c>
    </row>
    <row r="1032">
      <c r="A1032" s="9" t="s">
        <v>11811</v>
      </c>
      <c r="B1032" s="9" t="s">
        <v>931</v>
      </c>
    </row>
    <row r="1033">
      <c r="A1033" s="9" t="s">
        <v>11812</v>
      </c>
      <c r="B1033" s="9" t="s">
        <v>11813</v>
      </c>
    </row>
    <row r="1034">
      <c r="A1034" s="9" t="s">
        <v>11814</v>
      </c>
      <c r="B1034" s="9" t="s">
        <v>3056</v>
      </c>
    </row>
    <row r="1035">
      <c r="A1035" s="9" t="s">
        <v>11815</v>
      </c>
      <c r="B1035" s="9" t="s">
        <v>4351</v>
      </c>
    </row>
    <row r="1036">
      <c r="A1036" s="9" t="s">
        <v>11816</v>
      </c>
      <c r="B1036" s="9" t="s">
        <v>11817</v>
      </c>
    </row>
    <row r="1037">
      <c r="A1037" s="9" t="s">
        <v>11818</v>
      </c>
      <c r="B1037" s="9" t="s">
        <v>254</v>
      </c>
    </row>
    <row r="1038">
      <c r="A1038" s="9" t="s">
        <v>11819</v>
      </c>
      <c r="B1038" s="9" t="s">
        <v>2471</v>
      </c>
    </row>
    <row r="1039">
      <c r="A1039" s="9" t="s">
        <v>11820</v>
      </c>
      <c r="B1039" s="9" t="s">
        <v>11821</v>
      </c>
    </row>
    <row r="1040">
      <c r="A1040" s="9" t="s">
        <v>11822</v>
      </c>
      <c r="B1040" s="9" t="s">
        <v>4302</v>
      </c>
    </row>
    <row r="1041">
      <c r="A1041" s="9" t="s">
        <v>11823</v>
      </c>
      <c r="B1041" s="9" t="s">
        <v>5260</v>
      </c>
    </row>
    <row r="1042">
      <c r="A1042" s="9" t="s">
        <v>11824</v>
      </c>
      <c r="B1042" s="9" t="s">
        <v>1291</v>
      </c>
    </row>
    <row r="1043">
      <c r="A1043" s="9" t="s">
        <v>11825</v>
      </c>
      <c r="B1043" s="9" t="s">
        <v>11826</v>
      </c>
    </row>
    <row r="1044">
      <c r="A1044" s="9" t="s">
        <v>11827</v>
      </c>
    </row>
    <row r="1045">
      <c r="A1045" s="9" t="s">
        <v>11828</v>
      </c>
      <c r="B1045" s="9" t="s">
        <v>2009</v>
      </c>
    </row>
    <row r="1046">
      <c r="A1046" s="9" t="s">
        <v>11829</v>
      </c>
      <c r="B1046" s="9" t="s">
        <v>11830</v>
      </c>
    </row>
    <row r="1047">
      <c r="A1047" s="9" t="s">
        <v>11831</v>
      </c>
      <c r="B1047" s="9" t="s">
        <v>9106</v>
      </c>
    </row>
    <row r="1048">
      <c r="A1048" s="9" t="s">
        <v>11832</v>
      </c>
      <c r="B1048" s="9" t="s">
        <v>1393</v>
      </c>
    </row>
    <row r="1049">
      <c r="A1049" s="9" t="s">
        <v>11833</v>
      </c>
      <c r="B1049" s="9" t="s">
        <v>11834</v>
      </c>
    </row>
    <row r="1050">
      <c r="A1050" s="9" t="s">
        <v>11835</v>
      </c>
      <c r="B1050" s="9" t="s">
        <v>11836</v>
      </c>
    </row>
    <row r="1051">
      <c r="A1051" s="9" t="s">
        <v>11837</v>
      </c>
      <c r="B1051" s="9" t="s">
        <v>5119</v>
      </c>
    </row>
    <row r="1052">
      <c r="A1052" s="9" t="s">
        <v>11838</v>
      </c>
      <c r="B1052" s="9" t="s">
        <v>9749</v>
      </c>
    </row>
    <row r="1053">
      <c r="A1053" s="9" t="s">
        <v>11839</v>
      </c>
      <c r="B1053" s="9" t="s">
        <v>11840</v>
      </c>
    </row>
    <row r="1054">
      <c r="A1054" s="9" t="s">
        <v>11841</v>
      </c>
      <c r="B1054" s="9" t="s">
        <v>4935</v>
      </c>
    </row>
    <row r="1055">
      <c r="A1055" s="9" t="s">
        <v>11842</v>
      </c>
      <c r="B1055" s="9" t="s">
        <v>4985</v>
      </c>
    </row>
    <row r="1056">
      <c r="A1056" s="9" t="s">
        <v>11843</v>
      </c>
      <c r="B1056" s="9" t="s">
        <v>9448</v>
      </c>
    </row>
    <row r="1057">
      <c r="A1057" s="9" t="s">
        <v>11844</v>
      </c>
      <c r="B1057" s="9" t="s">
        <v>11845</v>
      </c>
    </row>
    <row r="1058">
      <c r="A1058" s="9" t="s">
        <v>11846</v>
      </c>
      <c r="B1058" s="9" t="s">
        <v>11847</v>
      </c>
    </row>
    <row r="1059">
      <c r="A1059" s="9" t="s">
        <v>11848</v>
      </c>
      <c r="B1059" s="9" t="s">
        <v>11849</v>
      </c>
    </row>
    <row r="1060">
      <c r="A1060" s="9" t="s">
        <v>11850</v>
      </c>
      <c r="B1060" s="9" t="s">
        <v>11851</v>
      </c>
    </row>
    <row r="1061">
      <c r="A1061" s="9" t="s">
        <v>11852</v>
      </c>
      <c r="B1061" s="9" t="s">
        <v>4521</v>
      </c>
    </row>
    <row r="1062">
      <c r="A1062" s="9" t="s">
        <v>11853</v>
      </c>
      <c r="B1062" s="9" t="s">
        <v>1656</v>
      </c>
    </row>
    <row r="1063">
      <c r="A1063" s="9" t="s">
        <v>11854</v>
      </c>
      <c r="B1063" s="9" t="s">
        <v>5388</v>
      </c>
    </row>
    <row r="1064">
      <c r="A1064" s="9" t="s">
        <v>11855</v>
      </c>
      <c r="B1064" s="9" t="s">
        <v>1904</v>
      </c>
    </row>
    <row r="1065">
      <c r="A1065" s="9" t="s">
        <v>11856</v>
      </c>
      <c r="B1065" s="9" t="s">
        <v>8926</v>
      </c>
    </row>
    <row r="1066">
      <c r="A1066" s="9" t="s">
        <v>11857</v>
      </c>
      <c r="B1066" s="9" t="s">
        <v>8795</v>
      </c>
    </row>
    <row r="1067">
      <c r="A1067" s="9" t="s">
        <v>11858</v>
      </c>
      <c r="B1067" s="9" t="s">
        <v>7001</v>
      </c>
    </row>
    <row r="1068">
      <c r="A1068" s="9" t="s">
        <v>11859</v>
      </c>
      <c r="B1068" s="9" t="s">
        <v>7600</v>
      </c>
    </row>
    <row r="1069">
      <c r="A1069" s="9" t="s">
        <v>11860</v>
      </c>
      <c r="B1069" s="9" t="s">
        <v>11861</v>
      </c>
    </row>
    <row r="1070">
      <c r="A1070" s="9" t="s">
        <v>11862</v>
      </c>
      <c r="B1070" s="9" t="s">
        <v>5899</v>
      </c>
    </row>
    <row r="1071">
      <c r="A1071" s="9" t="s">
        <v>11863</v>
      </c>
      <c r="B1071" s="9" t="s">
        <v>11864</v>
      </c>
    </row>
    <row r="1072">
      <c r="A1072" s="9" t="s">
        <v>11865</v>
      </c>
      <c r="B1072" s="9" t="s">
        <v>11866</v>
      </c>
    </row>
    <row r="1073">
      <c r="A1073" s="9" t="s">
        <v>11867</v>
      </c>
      <c r="B1073" s="9" t="s">
        <v>2483</v>
      </c>
    </row>
    <row r="1074">
      <c r="A1074" s="9" t="s">
        <v>11868</v>
      </c>
    </row>
    <row r="1075">
      <c r="A1075" s="9" t="s">
        <v>11869</v>
      </c>
      <c r="B1075" s="9" t="s">
        <v>11870</v>
      </c>
    </row>
    <row r="1076">
      <c r="A1076" s="9" t="s">
        <v>11871</v>
      </c>
      <c r="B1076" s="9" t="s">
        <v>2568</v>
      </c>
    </row>
    <row r="1077">
      <c r="A1077" s="9" t="s">
        <v>11872</v>
      </c>
      <c r="B1077" s="9" t="s">
        <v>6934</v>
      </c>
    </row>
    <row r="1078">
      <c r="A1078" s="9" t="s">
        <v>11873</v>
      </c>
      <c r="B1078" s="9" t="s">
        <v>8100</v>
      </c>
    </row>
    <row r="1079">
      <c r="A1079" s="9" t="s">
        <v>11874</v>
      </c>
      <c r="B1079" s="9" t="s">
        <v>11875</v>
      </c>
    </row>
    <row r="1080">
      <c r="A1080" s="9" t="s">
        <v>11876</v>
      </c>
      <c r="B1080" s="9" t="s">
        <v>3793</v>
      </c>
    </row>
    <row r="1081">
      <c r="A1081" s="9" t="s">
        <v>11877</v>
      </c>
      <c r="B1081" s="9" t="s">
        <v>3606</v>
      </c>
    </row>
    <row r="1082">
      <c r="A1082" s="9" t="s">
        <v>11878</v>
      </c>
      <c r="B1082" s="9" t="s">
        <v>7867</v>
      </c>
    </row>
    <row r="1083">
      <c r="A1083" s="9" t="s">
        <v>11879</v>
      </c>
      <c r="B1083" s="9" t="s">
        <v>6081</v>
      </c>
    </row>
    <row r="1084">
      <c r="A1084" s="9" t="s">
        <v>11880</v>
      </c>
      <c r="B1084" s="9" t="s">
        <v>9491</v>
      </c>
    </row>
    <row r="1085">
      <c r="A1085" s="9" t="s">
        <v>11881</v>
      </c>
      <c r="B1085" s="9" t="s">
        <v>9464</v>
      </c>
    </row>
    <row r="1086">
      <c r="A1086" s="9" t="s">
        <v>11882</v>
      </c>
      <c r="B1086" s="9" t="s">
        <v>9039</v>
      </c>
    </row>
    <row r="1087">
      <c r="A1087" s="9" t="s">
        <v>11883</v>
      </c>
      <c r="B1087" s="9" t="s">
        <v>11884</v>
      </c>
    </row>
    <row r="1088">
      <c r="A1088" s="9" t="s">
        <v>11885</v>
      </c>
      <c r="B1088" s="9" t="s">
        <v>9032</v>
      </c>
    </row>
    <row r="1089">
      <c r="A1089" s="9" t="s">
        <v>11886</v>
      </c>
      <c r="B1089" s="9" t="s">
        <v>11887</v>
      </c>
    </row>
    <row r="1090">
      <c r="A1090" s="9" t="s">
        <v>11888</v>
      </c>
      <c r="B1090" s="9" t="s">
        <v>9571</v>
      </c>
    </row>
    <row r="1091">
      <c r="A1091" s="9" t="s">
        <v>11889</v>
      </c>
      <c r="B1091" s="9" t="s">
        <v>9577</v>
      </c>
    </row>
    <row r="1092">
      <c r="A1092" s="9" t="s">
        <v>11890</v>
      </c>
      <c r="B1092" s="9" t="s">
        <v>3368</v>
      </c>
    </row>
    <row r="1093">
      <c r="A1093" s="9" t="s">
        <v>11891</v>
      </c>
      <c r="B1093" s="9" t="s">
        <v>4224</v>
      </c>
    </row>
    <row r="1094">
      <c r="A1094" s="9" t="s">
        <v>11892</v>
      </c>
      <c r="B1094" s="9" t="s">
        <v>11893</v>
      </c>
    </row>
    <row r="1095">
      <c r="A1095" s="9" t="s">
        <v>11894</v>
      </c>
      <c r="B1095" s="9" t="s">
        <v>2978</v>
      </c>
    </row>
    <row r="1096">
      <c r="A1096" s="9" t="s">
        <v>11895</v>
      </c>
      <c r="B1096" s="9" t="s">
        <v>565</v>
      </c>
    </row>
    <row r="1097">
      <c r="A1097" s="9" t="s">
        <v>11896</v>
      </c>
    </row>
    <row r="1098">
      <c r="A1098" s="9" t="s">
        <v>11897</v>
      </c>
    </row>
    <row r="1099">
      <c r="A1099" s="9" t="s">
        <v>11898</v>
      </c>
      <c r="B1099" s="9" t="s">
        <v>11899</v>
      </c>
    </row>
    <row r="1100">
      <c r="A1100" s="9" t="s">
        <v>11900</v>
      </c>
      <c r="B1100" s="9" t="s">
        <v>8439</v>
      </c>
    </row>
    <row r="1101">
      <c r="A1101" s="9" t="s">
        <v>11901</v>
      </c>
      <c r="B1101" s="9" t="s">
        <v>4034</v>
      </c>
    </row>
    <row r="1102">
      <c r="A1102" s="9" t="s">
        <v>11902</v>
      </c>
      <c r="B1102" s="9" t="s">
        <v>11903</v>
      </c>
    </row>
    <row r="1103">
      <c r="A1103" s="9" t="s">
        <v>11904</v>
      </c>
      <c r="B1103" s="9" t="s">
        <v>9268</v>
      </c>
    </row>
    <row r="1104">
      <c r="A1104" s="9" t="s">
        <v>11905</v>
      </c>
      <c r="B1104" s="9" t="s">
        <v>1966</v>
      </c>
    </row>
    <row r="1105">
      <c r="A1105" s="9" t="s">
        <v>11906</v>
      </c>
      <c r="B1105" s="9" t="s">
        <v>3040</v>
      </c>
    </row>
    <row r="1106">
      <c r="A1106" s="9" t="s">
        <v>11907</v>
      </c>
      <c r="B1106" s="9" t="s">
        <v>3274</v>
      </c>
    </row>
    <row r="1107">
      <c r="A1107" s="9" t="s">
        <v>11908</v>
      </c>
    </row>
    <row r="1108">
      <c r="A1108" s="9" t="s">
        <v>11909</v>
      </c>
    </row>
    <row r="1109">
      <c r="A1109" s="9" t="s">
        <v>11910</v>
      </c>
      <c r="B1109" s="9" t="s">
        <v>11911</v>
      </c>
    </row>
    <row r="1110">
      <c r="A1110" s="9" t="s">
        <v>11912</v>
      </c>
      <c r="B1110" s="9" t="s">
        <v>388</v>
      </c>
    </row>
    <row r="1111">
      <c r="A1111" s="9" t="s">
        <v>11913</v>
      </c>
      <c r="B1111" s="9" t="s">
        <v>11914</v>
      </c>
    </row>
    <row r="1112">
      <c r="A1112" s="9" t="s">
        <v>11915</v>
      </c>
      <c r="B1112" s="9" t="s">
        <v>5728</v>
      </c>
    </row>
    <row r="1113">
      <c r="A1113" s="9" t="s">
        <v>11916</v>
      </c>
      <c r="B1113" s="9" t="s">
        <v>11917</v>
      </c>
    </row>
    <row r="1114">
      <c r="A1114" s="9" t="s">
        <v>11918</v>
      </c>
      <c r="B1114" s="9" t="s">
        <v>11919</v>
      </c>
    </row>
    <row r="1115">
      <c r="A1115" s="9" t="s">
        <v>11920</v>
      </c>
      <c r="B1115" s="9" t="s">
        <v>11921</v>
      </c>
    </row>
    <row r="1116">
      <c r="A1116" s="9" t="s">
        <v>11922</v>
      </c>
      <c r="B1116" s="9" t="s">
        <v>6444</v>
      </c>
    </row>
    <row r="1117">
      <c r="A1117" s="9" t="s">
        <v>11923</v>
      </c>
      <c r="B1117" s="9" t="s">
        <v>5434</v>
      </c>
    </row>
    <row r="1118">
      <c r="A1118" s="9" t="s">
        <v>11924</v>
      </c>
      <c r="B1118" s="9" t="s">
        <v>2136</v>
      </c>
    </row>
    <row r="1119">
      <c r="A1119" s="9" t="s">
        <v>11925</v>
      </c>
      <c r="B1119" s="9" t="s">
        <v>6411</v>
      </c>
    </row>
    <row r="1120">
      <c r="A1120" s="9" t="s">
        <v>11926</v>
      </c>
      <c r="B1120" s="9" t="s">
        <v>3410</v>
      </c>
    </row>
    <row r="1121">
      <c r="A1121" s="9" t="s">
        <v>11927</v>
      </c>
      <c r="B1121" s="9" t="s">
        <v>7121</v>
      </c>
    </row>
    <row r="1122">
      <c r="A1122" s="9" t="s">
        <v>11928</v>
      </c>
      <c r="B1122" s="9" t="s">
        <v>11929</v>
      </c>
    </row>
    <row r="1123">
      <c r="A1123" s="9" t="s">
        <v>11930</v>
      </c>
      <c r="B1123" s="9" t="s">
        <v>11931</v>
      </c>
    </row>
    <row r="1124">
      <c r="A1124" s="9" t="s">
        <v>11932</v>
      </c>
      <c r="B1124" s="9" t="s">
        <v>8246</v>
      </c>
    </row>
    <row r="1125">
      <c r="A1125" s="9" t="s">
        <v>11933</v>
      </c>
      <c r="B1125" s="9" t="s">
        <v>1854</v>
      </c>
    </row>
    <row r="1126">
      <c r="A1126" s="9" t="s">
        <v>11934</v>
      </c>
      <c r="B1126" s="9" t="s">
        <v>9537</v>
      </c>
    </row>
    <row r="1127">
      <c r="A1127" s="9" t="s">
        <v>11935</v>
      </c>
      <c r="B1127" s="9" t="s">
        <v>3945</v>
      </c>
    </row>
    <row r="1128">
      <c r="A1128" s="9" t="s">
        <v>11936</v>
      </c>
      <c r="B1128" s="9" t="s">
        <v>9868</v>
      </c>
    </row>
    <row r="1129">
      <c r="A1129" s="9" t="s">
        <v>11937</v>
      </c>
      <c r="B1129" s="9" t="s">
        <v>11938</v>
      </c>
    </row>
    <row r="1130">
      <c r="A1130" s="9" t="s">
        <v>11939</v>
      </c>
      <c r="B1130" s="9" t="s">
        <v>4423</v>
      </c>
    </row>
    <row r="1131">
      <c r="A1131" s="9" t="s">
        <v>11940</v>
      </c>
      <c r="B1131" s="9" t="s">
        <v>1150</v>
      </c>
    </row>
    <row r="1132">
      <c r="A1132" s="9" t="s">
        <v>11941</v>
      </c>
      <c r="B1132" s="9" t="s">
        <v>11942</v>
      </c>
    </row>
    <row r="1133">
      <c r="A1133" s="9" t="s">
        <v>11943</v>
      </c>
      <c r="B1133" s="9" t="s">
        <v>8166</v>
      </c>
    </row>
    <row r="1134">
      <c r="A1134" s="9" t="s">
        <v>11944</v>
      </c>
      <c r="B1134" s="9" t="s">
        <v>11945</v>
      </c>
    </row>
    <row r="1135">
      <c r="A1135" s="9" t="s">
        <v>11946</v>
      </c>
      <c r="B1135" s="9" t="s">
        <v>11947</v>
      </c>
    </row>
    <row r="1136">
      <c r="A1136" s="9" t="s">
        <v>11948</v>
      </c>
      <c r="B1136" s="9" t="s">
        <v>11949</v>
      </c>
    </row>
    <row r="1137">
      <c r="A1137" s="9" t="s">
        <v>11950</v>
      </c>
      <c r="B1137" s="9" t="s">
        <v>11951</v>
      </c>
    </row>
    <row r="1138">
      <c r="A1138" s="9" t="s">
        <v>11952</v>
      </c>
      <c r="B1138" s="9" t="s">
        <v>1722</v>
      </c>
    </row>
    <row r="1139">
      <c r="A1139" s="9" t="s">
        <v>11953</v>
      </c>
      <c r="B1139" s="9" t="s">
        <v>8370</v>
      </c>
    </row>
    <row r="1140">
      <c r="A1140" s="9" t="s">
        <v>11954</v>
      </c>
      <c r="B1140" s="9" t="s">
        <v>11955</v>
      </c>
    </row>
    <row r="1141">
      <c r="A1141" s="9" t="s">
        <v>11956</v>
      </c>
    </row>
    <row r="1142">
      <c r="A1142" s="9" t="s">
        <v>11957</v>
      </c>
      <c r="B1142" s="9" t="s">
        <v>9884</v>
      </c>
    </row>
    <row r="1143">
      <c r="A1143" s="9" t="s">
        <v>11958</v>
      </c>
      <c r="B1143" s="9" t="s">
        <v>9551</v>
      </c>
    </row>
    <row r="1144">
      <c r="A1144" s="9" t="s">
        <v>11959</v>
      </c>
      <c r="B1144" s="9" t="s">
        <v>4785</v>
      </c>
    </row>
    <row r="1145">
      <c r="A1145" s="9" t="s">
        <v>11960</v>
      </c>
      <c r="B1145" s="9" t="s">
        <v>7157</v>
      </c>
    </row>
    <row r="1146">
      <c r="A1146" s="9" t="s">
        <v>11961</v>
      </c>
    </row>
    <row r="1147">
      <c r="A1147" s="9" t="s">
        <v>11962</v>
      </c>
      <c r="B1147" s="9" t="s">
        <v>11963</v>
      </c>
    </row>
    <row r="1148">
      <c r="A1148" s="9" t="s">
        <v>11964</v>
      </c>
      <c r="B1148" s="9" t="s">
        <v>275</v>
      </c>
    </row>
    <row r="1149">
      <c r="A1149" s="9" t="s">
        <v>11965</v>
      </c>
      <c r="B1149" s="9" t="s">
        <v>7425</v>
      </c>
    </row>
    <row r="1150">
      <c r="A1150" s="9" t="s">
        <v>11966</v>
      </c>
    </row>
    <row r="1151">
      <c r="A1151" s="9" t="s">
        <v>11967</v>
      </c>
      <c r="B1151" s="9" t="s">
        <v>3827</v>
      </c>
    </row>
    <row r="1152">
      <c r="A1152" s="9" t="s">
        <v>11968</v>
      </c>
      <c r="B1152" s="9" t="s">
        <v>7511</v>
      </c>
    </row>
    <row r="1153">
      <c r="A1153" s="9" t="s">
        <v>11969</v>
      </c>
      <c r="B1153" s="9" t="s">
        <v>465</v>
      </c>
    </row>
    <row r="1154">
      <c r="A1154" s="9" t="s">
        <v>11970</v>
      </c>
      <c r="B1154" s="9" t="s">
        <v>11971</v>
      </c>
    </row>
    <row r="1155">
      <c r="A1155" s="9" t="s">
        <v>11972</v>
      </c>
      <c r="B1155" s="9" t="s">
        <v>8011</v>
      </c>
    </row>
    <row r="1156">
      <c r="A1156" s="9" t="s">
        <v>11973</v>
      </c>
      <c r="B1156" s="9" t="s">
        <v>5936</v>
      </c>
    </row>
    <row r="1157">
      <c r="A1157" s="9" t="s">
        <v>11974</v>
      </c>
      <c r="B1157" s="9" t="s">
        <v>11975</v>
      </c>
    </row>
    <row r="1158">
      <c r="A1158" s="9" t="s">
        <v>11976</v>
      </c>
      <c r="B1158" s="9" t="s">
        <v>8211</v>
      </c>
    </row>
    <row r="1159">
      <c r="A1159" s="9" t="s">
        <v>11977</v>
      </c>
      <c r="B1159" s="9" t="s">
        <v>1919</v>
      </c>
    </row>
    <row r="1160">
      <c r="A1160" s="9" t="s">
        <v>11978</v>
      </c>
      <c r="B1160" s="9" t="s">
        <v>11979</v>
      </c>
    </row>
    <row r="1161">
      <c r="A1161" s="9" t="s">
        <v>11980</v>
      </c>
      <c r="B1161" s="9" t="s">
        <v>11981</v>
      </c>
    </row>
    <row r="1162">
      <c r="A1162" s="9" t="s">
        <v>11982</v>
      </c>
      <c r="B1162" s="9" t="s">
        <v>11983</v>
      </c>
    </row>
    <row r="1163">
      <c r="A1163" s="9" t="s">
        <v>11984</v>
      </c>
      <c r="B1163" s="9" t="s">
        <v>5981</v>
      </c>
    </row>
    <row r="1164">
      <c r="A1164" s="9" t="s">
        <v>11985</v>
      </c>
      <c r="B1164" s="9" t="s">
        <v>7838</v>
      </c>
    </row>
    <row r="1165">
      <c r="A1165" s="9" t="s">
        <v>11986</v>
      </c>
      <c r="B1165" s="9" t="s">
        <v>11987</v>
      </c>
    </row>
    <row r="1166">
      <c r="A1166" s="9" t="s">
        <v>11988</v>
      </c>
    </row>
    <row r="1167">
      <c r="A1167" s="9" t="s">
        <v>11989</v>
      </c>
      <c r="B1167" s="9" t="s">
        <v>11990</v>
      </c>
    </row>
    <row r="1168">
      <c r="A1168" s="9" t="s">
        <v>11991</v>
      </c>
      <c r="B1168" s="9" t="s">
        <v>11992</v>
      </c>
    </row>
    <row r="1169">
      <c r="A1169" s="9" t="s">
        <v>11993</v>
      </c>
    </row>
    <row r="1170">
      <c r="A1170" s="9" t="s">
        <v>11994</v>
      </c>
      <c r="B1170" s="9" t="s">
        <v>2545</v>
      </c>
    </row>
    <row r="1171">
      <c r="A1171" s="9" t="s">
        <v>11995</v>
      </c>
      <c r="B1171" s="9" t="s">
        <v>276</v>
      </c>
    </row>
    <row r="1172">
      <c r="A1172" s="9" t="s">
        <v>11996</v>
      </c>
      <c r="B1172" s="9" t="s">
        <v>9762</v>
      </c>
    </row>
    <row r="1173">
      <c r="A1173" s="9" t="s">
        <v>11997</v>
      </c>
    </row>
    <row r="1174">
      <c r="A1174" s="9" t="s">
        <v>11998</v>
      </c>
      <c r="B1174" s="9" t="s">
        <v>11999</v>
      </c>
    </row>
    <row r="1175">
      <c r="A1175" s="9" t="s">
        <v>12000</v>
      </c>
      <c r="B1175" s="9" t="s">
        <v>7447</v>
      </c>
    </row>
    <row r="1176">
      <c r="A1176" s="9" t="s">
        <v>12001</v>
      </c>
      <c r="B1176" s="9" t="s">
        <v>8809</v>
      </c>
    </row>
    <row r="1177">
      <c r="A1177" s="9" t="s">
        <v>12002</v>
      </c>
      <c r="B1177" s="9" t="s">
        <v>8635</v>
      </c>
    </row>
    <row r="1178">
      <c r="A1178" s="9" t="s">
        <v>12003</v>
      </c>
      <c r="B1178" s="9" t="s">
        <v>12004</v>
      </c>
    </row>
    <row r="1179">
      <c r="A1179" s="9" t="s">
        <v>12005</v>
      </c>
      <c r="B1179" s="9" t="s">
        <v>6947</v>
      </c>
    </row>
    <row r="1180">
      <c r="A1180" s="9" t="s">
        <v>12006</v>
      </c>
      <c r="B1180" s="9" t="s">
        <v>5249</v>
      </c>
    </row>
    <row r="1181">
      <c r="A1181" s="9" t="s">
        <v>12007</v>
      </c>
      <c r="B1181" s="9" t="s">
        <v>2814</v>
      </c>
    </row>
    <row r="1182">
      <c r="A1182" s="9" t="s">
        <v>12008</v>
      </c>
      <c r="B1182" s="9" t="s">
        <v>8153</v>
      </c>
    </row>
    <row r="1183">
      <c r="A1183" s="9" t="s">
        <v>12009</v>
      </c>
      <c r="B1183" s="9" t="s">
        <v>8448</v>
      </c>
    </row>
    <row r="1184">
      <c r="A1184" s="9" t="s">
        <v>12010</v>
      </c>
    </row>
    <row r="1185">
      <c r="A1185" s="9" t="s">
        <v>12011</v>
      </c>
      <c r="B1185" s="9" t="s">
        <v>3864</v>
      </c>
    </row>
    <row r="1186">
      <c r="A1186" s="9" t="s">
        <v>12012</v>
      </c>
      <c r="B1186" s="9" t="s">
        <v>12013</v>
      </c>
    </row>
    <row r="1187">
      <c r="A1187" s="9" t="s">
        <v>12014</v>
      </c>
      <c r="B1187" s="9" t="s">
        <v>9099</v>
      </c>
    </row>
    <row r="1188">
      <c r="A1188" s="9" t="s">
        <v>12015</v>
      </c>
      <c r="B1188" s="9" t="s">
        <v>12016</v>
      </c>
    </row>
    <row r="1189">
      <c r="A1189" s="9" t="s">
        <v>12017</v>
      </c>
      <c r="B1189" s="9" t="s">
        <v>12018</v>
      </c>
    </row>
    <row r="1190">
      <c r="A1190" s="9" t="s">
        <v>12019</v>
      </c>
      <c r="B1190" s="9" t="s">
        <v>12020</v>
      </c>
    </row>
    <row r="1191">
      <c r="A1191" s="9" t="s">
        <v>12021</v>
      </c>
      <c r="B1191" s="9" t="s">
        <v>10161</v>
      </c>
    </row>
    <row r="1192">
      <c r="A1192" s="9" t="s">
        <v>12022</v>
      </c>
      <c r="B1192" s="9" t="s">
        <v>9940</v>
      </c>
    </row>
    <row r="1193">
      <c r="A1193" s="9" t="s">
        <v>12023</v>
      </c>
      <c r="B1193" s="9" t="s">
        <v>12024</v>
      </c>
    </row>
    <row r="1194">
      <c r="A1194" s="9" t="s">
        <v>12025</v>
      </c>
      <c r="B1194" s="9" t="s">
        <v>7565</v>
      </c>
    </row>
    <row r="1195">
      <c r="A1195" s="9" t="s">
        <v>12026</v>
      </c>
      <c r="B1195" s="9" t="s">
        <v>12027</v>
      </c>
    </row>
    <row r="1196">
      <c r="A1196" s="9" t="s">
        <v>12028</v>
      </c>
      <c r="B1196" s="9" t="s">
        <v>4269</v>
      </c>
    </row>
    <row r="1197">
      <c r="A1197" s="9" t="s">
        <v>12029</v>
      </c>
      <c r="B1197" s="9" t="s">
        <v>12030</v>
      </c>
    </row>
    <row r="1198">
      <c r="A1198" s="9" t="s">
        <v>12031</v>
      </c>
      <c r="B1198" s="9" t="s">
        <v>6185</v>
      </c>
    </row>
    <row r="1199">
      <c r="A1199" s="9" t="s">
        <v>12032</v>
      </c>
      <c r="B1199" s="9" t="s">
        <v>12033</v>
      </c>
    </row>
    <row r="1200">
      <c r="A1200" s="9" t="s">
        <v>12034</v>
      </c>
      <c r="B1200" s="9" t="s">
        <v>2301</v>
      </c>
    </row>
    <row r="1201">
      <c r="A1201" s="9" t="s">
        <v>12035</v>
      </c>
      <c r="B1201" s="9" t="s">
        <v>4193</v>
      </c>
    </row>
    <row r="1202">
      <c r="A1202" s="9" t="s">
        <v>12036</v>
      </c>
      <c r="B1202" s="9" t="s">
        <v>1034</v>
      </c>
    </row>
    <row r="1203">
      <c r="A1203" s="9" t="s">
        <v>12037</v>
      </c>
      <c r="B1203" s="9" t="s">
        <v>12038</v>
      </c>
    </row>
    <row r="1204">
      <c r="A1204" s="9" t="s">
        <v>12039</v>
      </c>
      <c r="B1204" s="9" t="s">
        <v>9339</v>
      </c>
    </row>
    <row r="1205">
      <c r="A1205" s="9" t="s">
        <v>12040</v>
      </c>
      <c r="B1205" s="9" t="s">
        <v>12041</v>
      </c>
    </row>
    <row r="1206">
      <c r="A1206" s="9" t="s">
        <v>12042</v>
      </c>
      <c r="B1206" s="9" t="s">
        <v>5586</v>
      </c>
    </row>
    <row r="1207">
      <c r="A1207" s="9" t="s">
        <v>12043</v>
      </c>
      <c r="B1207" s="9" t="s">
        <v>722</v>
      </c>
    </row>
    <row r="1208">
      <c r="A1208" s="9" t="s">
        <v>12044</v>
      </c>
      <c r="B1208" s="9" t="s">
        <v>10014</v>
      </c>
    </row>
    <row r="1209">
      <c r="A1209" s="9" t="s">
        <v>12045</v>
      </c>
      <c r="B1209" s="9" t="s">
        <v>9612</v>
      </c>
    </row>
    <row r="1210">
      <c r="A1210" s="9" t="s">
        <v>12046</v>
      </c>
      <c r="B1210" s="9" t="s">
        <v>6692</v>
      </c>
    </row>
    <row r="1211">
      <c r="A1211" s="9" t="s">
        <v>12047</v>
      </c>
      <c r="B1211" s="9" t="s">
        <v>12048</v>
      </c>
    </row>
    <row r="1212">
      <c r="A1212" s="9" t="s">
        <v>12049</v>
      </c>
      <c r="B1212" s="9" t="s">
        <v>12050</v>
      </c>
    </row>
    <row r="1213">
      <c r="A1213" s="9" t="s">
        <v>12051</v>
      </c>
      <c r="B1213" s="9" t="s">
        <v>5604</v>
      </c>
    </row>
    <row r="1214">
      <c r="A1214" s="9" t="s">
        <v>12052</v>
      </c>
    </row>
    <row r="1215">
      <c r="A1215" s="9" t="s">
        <v>12053</v>
      </c>
      <c r="B1215" s="9">
        <v>9.3921678E7</v>
      </c>
    </row>
    <row r="1216">
      <c r="A1216" s="9" t="s">
        <v>12054</v>
      </c>
    </row>
    <row r="1217">
      <c r="A1217" s="9" t="s">
        <v>12055</v>
      </c>
      <c r="B1217" s="9" t="s">
        <v>5633</v>
      </c>
    </row>
    <row r="1218">
      <c r="A1218" s="9" t="s">
        <v>12056</v>
      </c>
    </row>
    <row r="1219">
      <c r="A1219" s="9" t="s">
        <v>12057</v>
      </c>
      <c r="B1219" s="9" t="s">
        <v>2414</v>
      </c>
    </row>
    <row r="1220">
      <c r="A1220" s="9" t="s">
        <v>12058</v>
      </c>
      <c r="B1220" s="9" t="s">
        <v>12059</v>
      </c>
    </row>
    <row r="1221">
      <c r="A1221" s="9" t="s">
        <v>12060</v>
      </c>
      <c r="B1221" s="9" t="s">
        <v>12061</v>
      </c>
    </row>
    <row r="1222">
      <c r="A1222" s="9" t="s">
        <v>12062</v>
      </c>
      <c r="B1222" s="9" t="s">
        <v>6433</v>
      </c>
    </row>
    <row r="1223">
      <c r="A1223" s="9" t="s">
        <v>12063</v>
      </c>
      <c r="B1223" s="9" t="s">
        <v>759</v>
      </c>
    </row>
    <row r="1224">
      <c r="A1224" s="9" t="s">
        <v>12064</v>
      </c>
      <c r="B1224" s="9" t="s">
        <v>12065</v>
      </c>
    </row>
    <row r="1225">
      <c r="A1225" s="9" t="s">
        <v>12066</v>
      </c>
      <c r="B1225" s="9" t="s">
        <v>12067</v>
      </c>
    </row>
    <row r="1226">
      <c r="A1226" s="9" t="s">
        <v>12068</v>
      </c>
      <c r="B1226" s="9" t="s">
        <v>5372</v>
      </c>
    </row>
    <row r="1227">
      <c r="A1227" s="9" t="s">
        <v>12069</v>
      </c>
      <c r="B1227" s="9" t="s">
        <v>262</v>
      </c>
    </row>
    <row r="1228">
      <c r="A1228" s="9" t="s">
        <v>12070</v>
      </c>
      <c r="B1228" s="9" t="s">
        <v>12071</v>
      </c>
    </row>
    <row r="1229">
      <c r="A1229" s="9" t="s">
        <v>12072</v>
      </c>
      <c r="B1229" s="9" t="s">
        <v>6314</v>
      </c>
    </row>
    <row r="1230">
      <c r="A1230" s="9" t="s">
        <v>12073</v>
      </c>
      <c r="B1230" s="9" t="s">
        <v>5823</v>
      </c>
    </row>
    <row r="1231">
      <c r="A1231" s="9" t="s">
        <v>12074</v>
      </c>
      <c r="B1231" s="9" t="s">
        <v>9583</v>
      </c>
    </row>
    <row r="1232">
      <c r="A1232" s="9" t="s">
        <v>12075</v>
      </c>
    </row>
    <row r="1233">
      <c r="A1233" s="9" t="s">
        <v>12076</v>
      </c>
      <c r="B1233" s="9" t="s">
        <v>2385</v>
      </c>
    </row>
    <row r="1234">
      <c r="A1234" s="9" t="s">
        <v>12077</v>
      </c>
      <c r="B1234" s="9" t="s">
        <v>6501</v>
      </c>
    </row>
    <row r="1235">
      <c r="A1235" s="9" t="s">
        <v>12078</v>
      </c>
    </row>
    <row r="1236">
      <c r="A1236" s="9" t="s">
        <v>12079</v>
      </c>
      <c r="B1236" s="9" t="s">
        <v>12080</v>
      </c>
    </row>
    <row r="1237">
      <c r="A1237" s="9" t="s">
        <v>12081</v>
      </c>
      <c r="B1237" s="9" t="s">
        <v>12082</v>
      </c>
    </row>
    <row r="1238">
      <c r="A1238" s="9" t="s">
        <v>12083</v>
      </c>
    </row>
    <row r="1239">
      <c r="A1239" s="9" t="s">
        <v>12084</v>
      </c>
      <c r="B1239" s="9" t="s">
        <v>12085</v>
      </c>
    </row>
    <row r="1240">
      <c r="A1240" s="9" t="s">
        <v>12086</v>
      </c>
      <c r="B1240" s="9" t="s">
        <v>6513</v>
      </c>
    </row>
    <row r="1241">
      <c r="A1241" s="9" t="s">
        <v>12087</v>
      </c>
      <c r="B1241" s="9" t="s">
        <v>1088</v>
      </c>
    </row>
    <row r="1242">
      <c r="A1242" s="9" t="s">
        <v>12088</v>
      </c>
    </row>
    <row r="1243">
      <c r="A1243" s="9" t="s">
        <v>12089</v>
      </c>
      <c r="B1243" s="9" t="s">
        <v>3079</v>
      </c>
    </row>
    <row r="1244">
      <c r="A1244" s="9" t="s">
        <v>12090</v>
      </c>
      <c r="B1244" s="9" t="s">
        <v>12091</v>
      </c>
    </row>
    <row r="1245">
      <c r="A1245" s="9" t="s">
        <v>12092</v>
      </c>
      <c r="B1245" s="9" t="s">
        <v>12093</v>
      </c>
    </row>
    <row r="1246">
      <c r="A1246" s="9" t="s">
        <v>12094</v>
      </c>
      <c r="B1246" s="9" t="s">
        <v>9237</v>
      </c>
    </row>
    <row r="1247">
      <c r="A1247" s="9" t="s">
        <v>12095</v>
      </c>
      <c r="B1247" s="9" t="s">
        <v>2944</v>
      </c>
    </row>
    <row r="1248">
      <c r="A1248" s="9" t="s">
        <v>12096</v>
      </c>
      <c r="B1248" s="9" t="s">
        <v>9411</v>
      </c>
    </row>
    <row r="1249">
      <c r="A1249" s="9" t="s">
        <v>12097</v>
      </c>
      <c r="B1249" s="9" t="s">
        <v>5808</v>
      </c>
    </row>
    <row r="1250">
      <c r="A1250" s="9" t="s">
        <v>12098</v>
      </c>
      <c r="B1250" s="9" t="s">
        <v>7249</v>
      </c>
    </row>
    <row r="1251">
      <c r="A1251" s="9" t="s">
        <v>12099</v>
      </c>
      <c r="B1251" s="9" t="s">
        <v>12100</v>
      </c>
    </row>
    <row r="1252">
      <c r="A1252" s="9" t="s">
        <v>12101</v>
      </c>
      <c r="B1252" s="9" t="s">
        <v>12102</v>
      </c>
    </row>
    <row r="1253">
      <c r="A1253" s="9" t="s">
        <v>12103</v>
      </c>
      <c r="B1253" s="9" t="s">
        <v>12104</v>
      </c>
    </row>
    <row r="1254">
      <c r="A1254" s="9" t="s">
        <v>12105</v>
      </c>
      <c r="B1254" s="9" t="s">
        <v>2122</v>
      </c>
    </row>
    <row r="1255">
      <c r="A1255" s="9" t="s">
        <v>12106</v>
      </c>
      <c r="B1255" s="9" t="s">
        <v>843</v>
      </c>
    </row>
    <row r="1256">
      <c r="A1256" s="9" t="s">
        <v>12107</v>
      </c>
      <c r="B1256" s="9" t="s">
        <v>12108</v>
      </c>
    </row>
    <row r="1257">
      <c r="A1257" s="9" t="s">
        <v>12109</v>
      </c>
      <c r="B1257" s="9" t="s">
        <v>6224</v>
      </c>
    </row>
    <row r="1258">
      <c r="A1258" s="9" t="s">
        <v>12110</v>
      </c>
      <c r="B1258" s="9" t="s">
        <v>2210</v>
      </c>
    </row>
    <row r="1259">
      <c r="A1259" s="9" t="s">
        <v>12111</v>
      </c>
      <c r="B1259" s="9" t="s">
        <v>1013</v>
      </c>
    </row>
    <row r="1260">
      <c r="A1260" s="9" t="s">
        <v>12112</v>
      </c>
      <c r="B1260" s="9" t="s">
        <v>8977</v>
      </c>
    </row>
    <row r="1261">
      <c r="A1261" s="9" t="s">
        <v>12113</v>
      </c>
      <c r="B1261" s="9" t="s">
        <v>8478</v>
      </c>
    </row>
    <row r="1262">
      <c r="A1262" s="9" t="s">
        <v>12114</v>
      </c>
      <c r="B1262" s="9" t="s">
        <v>12115</v>
      </c>
    </row>
    <row r="1263">
      <c r="A1263" s="9" t="s">
        <v>12116</v>
      </c>
      <c r="B1263" s="9" t="s">
        <v>5718</v>
      </c>
    </row>
    <row r="1264">
      <c r="A1264" s="9" t="s">
        <v>12117</v>
      </c>
      <c r="B1264" s="9" t="s">
        <v>12118</v>
      </c>
    </row>
    <row r="1265">
      <c r="A1265" s="9" t="s">
        <v>12119</v>
      </c>
      <c r="B1265" s="9" t="s">
        <v>12120</v>
      </c>
    </row>
    <row r="1266">
      <c r="A1266" s="9" t="s">
        <v>12121</v>
      </c>
      <c r="B1266" s="9" t="s">
        <v>1787</v>
      </c>
    </row>
    <row r="1267">
      <c r="A1267" s="9" t="s">
        <v>12122</v>
      </c>
    </row>
    <row r="1268">
      <c r="A1268" s="9" t="s">
        <v>12123</v>
      </c>
      <c r="B1268" s="9" t="s">
        <v>6854</v>
      </c>
    </row>
    <row r="1269">
      <c r="A1269" s="9" t="s">
        <v>12124</v>
      </c>
      <c r="B1269" s="9" t="s">
        <v>12125</v>
      </c>
    </row>
    <row r="1270">
      <c r="A1270" s="9" t="s">
        <v>12126</v>
      </c>
      <c r="B1270" s="9" t="s">
        <v>8380</v>
      </c>
    </row>
    <row r="1271">
      <c r="A1271" s="9" t="s">
        <v>12127</v>
      </c>
      <c r="B1271" s="9" t="s">
        <v>12128</v>
      </c>
    </row>
    <row r="1272">
      <c r="A1272" s="9" t="s">
        <v>12129</v>
      </c>
      <c r="B1272" s="9" t="s">
        <v>1579</v>
      </c>
    </row>
    <row r="1273">
      <c r="A1273" s="9" t="s">
        <v>12130</v>
      </c>
      <c r="B1273" s="9" t="s">
        <v>6705</v>
      </c>
    </row>
    <row r="1274">
      <c r="A1274" s="9" t="s">
        <v>12131</v>
      </c>
      <c r="B1274" s="9" t="s">
        <v>12132</v>
      </c>
    </row>
    <row r="1275">
      <c r="A1275" s="9" t="s">
        <v>12133</v>
      </c>
      <c r="B1275" s="9" t="s">
        <v>3331</v>
      </c>
    </row>
    <row r="1276">
      <c r="A1276" s="9" t="s">
        <v>12134</v>
      </c>
      <c r="B1276" s="9" t="s">
        <v>6908</v>
      </c>
    </row>
    <row r="1277">
      <c r="A1277" s="9" t="s">
        <v>12135</v>
      </c>
      <c r="B1277" s="9" t="s">
        <v>12136</v>
      </c>
    </row>
    <row r="1278">
      <c r="A1278" s="9" t="s">
        <v>12137</v>
      </c>
      <c r="B1278" s="9" t="s">
        <v>12138</v>
      </c>
    </row>
    <row r="1279">
      <c r="A1279" s="9" t="s">
        <v>12139</v>
      </c>
      <c r="B1279" s="9" t="s">
        <v>8833</v>
      </c>
    </row>
    <row r="1280">
      <c r="A1280" s="9" t="s">
        <v>12140</v>
      </c>
      <c r="B1280" s="9" t="s">
        <v>1195</v>
      </c>
    </row>
    <row r="1281">
      <c r="A1281" s="9" t="s">
        <v>12141</v>
      </c>
    </row>
    <row r="1282">
      <c r="A1282" s="9" t="s">
        <v>12142</v>
      </c>
      <c r="B1282" s="9" t="s">
        <v>9350</v>
      </c>
    </row>
    <row r="1283">
      <c r="A1283" s="9" t="s">
        <v>12143</v>
      </c>
      <c r="B1283" s="9" t="s">
        <v>12144</v>
      </c>
    </row>
    <row r="1284">
      <c r="A1284" s="9" t="s">
        <v>12145</v>
      </c>
      <c r="B1284" s="9" t="s">
        <v>12146</v>
      </c>
    </row>
    <row r="1285">
      <c r="A1285" s="9" t="s">
        <v>12147</v>
      </c>
      <c r="B1285" s="9" t="s">
        <v>12148</v>
      </c>
    </row>
    <row r="1286">
      <c r="A1286" s="9" t="s">
        <v>12149</v>
      </c>
      <c r="B1286" s="9" t="s">
        <v>586</v>
      </c>
    </row>
    <row r="1287">
      <c r="A1287" s="9" t="s">
        <v>12150</v>
      </c>
      <c r="B1287" s="9" t="s">
        <v>1453</v>
      </c>
    </row>
    <row r="1288">
      <c r="A1288" s="9" t="s">
        <v>12151</v>
      </c>
      <c r="B1288" s="9" t="s">
        <v>8397</v>
      </c>
    </row>
    <row r="1289">
      <c r="A1289" s="9" t="s">
        <v>12152</v>
      </c>
      <c r="B1289" s="9" t="s">
        <v>237</v>
      </c>
    </row>
    <row r="1290">
      <c r="A1290" s="9" t="s">
        <v>12153</v>
      </c>
      <c r="B1290" s="9" t="s">
        <v>6752</v>
      </c>
    </row>
    <row r="1291">
      <c r="A1291" s="9" t="s">
        <v>12154</v>
      </c>
      <c r="B1291" s="9" t="s">
        <v>3185</v>
      </c>
    </row>
    <row r="1292">
      <c r="A1292" s="9" t="s">
        <v>12155</v>
      </c>
      <c r="B1292" s="9" t="s">
        <v>9847</v>
      </c>
    </row>
    <row r="1293">
      <c r="A1293" s="9" t="s">
        <v>12156</v>
      </c>
    </row>
    <row r="1294">
      <c r="A1294" s="9" t="s">
        <v>12157</v>
      </c>
      <c r="B1294" s="9" t="s">
        <v>4253</v>
      </c>
    </row>
    <row r="1295">
      <c r="A1295" s="9" t="s">
        <v>12158</v>
      </c>
      <c r="B1295" s="9" t="s">
        <v>12159</v>
      </c>
    </row>
    <row r="1296">
      <c r="A1296" s="9" t="s">
        <v>12160</v>
      </c>
      <c r="B1296" s="9" t="s">
        <v>8755</v>
      </c>
    </row>
    <row r="1297">
      <c r="A1297" s="9" t="s">
        <v>12161</v>
      </c>
      <c r="B1297" s="9" t="s">
        <v>12162</v>
      </c>
    </row>
    <row r="1298">
      <c r="A1298" s="9" t="s">
        <v>12163</v>
      </c>
      <c r="B1298" s="9" t="s">
        <v>265</v>
      </c>
    </row>
    <row r="1299">
      <c r="A1299" s="9" t="s">
        <v>12164</v>
      </c>
      <c r="B1299" s="9" t="s">
        <v>12165</v>
      </c>
    </row>
    <row r="1300">
      <c r="A1300" s="9" t="s">
        <v>12166</v>
      </c>
      <c r="B1300" s="9" t="s">
        <v>808</v>
      </c>
    </row>
    <row r="1301">
      <c r="A1301" s="9" t="s">
        <v>12167</v>
      </c>
      <c r="B1301" s="9" t="s">
        <v>9703</v>
      </c>
    </row>
    <row r="1302">
      <c r="A1302" s="9" t="s">
        <v>12168</v>
      </c>
      <c r="B1302" s="9" t="s">
        <v>9285</v>
      </c>
    </row>
    <row r="1303">
      <c r="A1303" s="9" t="s">
        <v>12169</v>
      </c>
      <c r="B1303" s="9" t="s">
        <v>12170</v>
      </c>
    </row>
    <row r="1304">
      <c r="A1304" s="9" t="s">
        <v>12171</v>
      </c>
      <c r="B1304" s="9" t="s">
        <v>12172</v>
      </c>
    </row>
    <row r="1305">
      <c r="A1305" s="9" t="s">
        <v>12173</v>
      </c>
      <c r="B1305" s="9" t="s">
        <v>12174</v>
      </c>
    </row>
    <row r="1306">
      <c r="A1306" s="9" t="s">
        <v>12175</v>
      </c>
      <c r="B1306" s="9" t="s">
        <v>12176</v>
      </c>
    </row>
    <row r="1307">
      <c r="A1307" s="9" t="s">
        <v>12177</v>
      </c>
      <c r="B1307" s="9" t="s">
        <v>8871</v>
      </c>
    </row>
    <row r="1308">
      <c r="A1308" s="9" t="s">
        <v>12178</v>
      </c>
      <c r="B1308" s="9" t="s">
        <v>2767</v>
      </c>
    </row>
    <row r="1309">
      <c r="A1309" s="9" t="s">
        <v>12179</v>
      </c>
      <c r="B1309" s="9" t="s">
        <v>12180</v>
      </c>
    </row>
    <row r="1310">
      <c r="A1310" s="9" t="s">
        <v>12181</v>
      </c>
    </row>
    <row r="1311">
      <c r="A1311" s="9" t="s">
        <v>12182</v>
      </c>
      <c r="B1311" s="9" t="s">
        <v>5692</v>
      </c>
    </row>
    <row r="1312">
      <c r="A1312" s="9" t="s">
        <v>12183</v>
      </c>
      <c r="B1312" s="9" t="s">
        <v>5620</v>
      </c>
    </row>
    <row r="1313">
      <c r="A1313" s="9" t="s">
        <v>12184</v>
      </c>
      <c r="B1313" s="9" t="s">
        <v>12185</v>
      </c>
    </row>
    <row r="1314">
      <c r="A1314" s="9" t="s">
        <v>12186</v>
      </c>
      <c r="B1314" s="9" t="s">
        <v>3158</v>
      </c>
    </row>
    <row r="1315">
      <c r="A1315" s="9" t="s">
        <v>12187</v>
      </c>
      <c r="B1315" s="9" t="s">
        <v>4453</v>
      </c>
    </row>
    <row r="1316">
      <c r="A1316" s="9" t="s">
        <v>12188</v>
      </c>
      <c r="B1316" s="9" t="s">
        <v>3203</v>
      </c>
    </row>
    <row r="1317">
      <c r="A1317" s="9" t="s">
        <v>12189</v>
      </c>
      <c r="B1317" s="9" t="s">
        <v>9502</v>
      </c>
    </row>
    <row r="1318">
      <c r="A1318" s="9" t="s">
        <v>12190</v>
      </c>
      <c r="B1318" s="9" t="s">
        <v>12191</v>
      </c>
    </row>
    <row r="1319">
      <c r="A1319" s="9" t="s">
        <v>12192</v>
      </c>
      <c r="B1319" s="9" t="s">
        <v>3096</v>
      </c>
    </row>
    <row r="1320">
      <c r="A1320" s="9" t="s">
        <v>12193</v>
      </c>
      <c r="B1320" s="9" t="s">
        <v>8858</v>
      </c>
    </row>
    <row r="1321">
      <c r="A1321" s="9" t="s">
        <v>12194</v>
      </c>
      <c r="B1321" s="9" t="s">
        <v>8987</v>
      </c>
    </row>
    <row r="1322">
      <c r="A1322" s="9" t="s">
        <v>12195</v>
      </c>
      <c r="B1322" s="9" t="s">
        <v>9626</v>
      </c>
    </row>
    <row r="1323">
      <c r="A1323" s="9" t="s">
        <v>12196</v>
      </c>
      <c r="B1323" s="9" t="s">
        <v>12197</v>
      </c>
    </row>
    <row r="1324">
      <c r="A1324" s="9" t="s">
        <v>12198</v>
      </c>
      <c r="B1324" s="9" t="s">
        <v>8076</v>
      </c>
    </row>
    <row r="1325">
      <c r="A1325" s="9" t="s">
        <v>12199</v>
      </c>
      <c r="B1325" s="9" t="s">
        <v>8578</v>
      </c>
    </row>
    <row r="1326">
      <c r="A1326" s="9" t="s">
        <v>12200</v>
      </c>
      <c r="B1326" s="9" t="s">
        <v>2848</v>
      </c>
    </row>
    <row r="1327">
      <c r="A1327" s="9" t="s">
        <v>12201</v>
      </c>
      <c r="B1327" s="9" t="s">
        <v>7437</v>
      </c>
    </row>
    <row r="1328">
      <c r="A1328" s="9" t="s">
        <v>12202</v>
      </c>
      <c r="B1328" s="9" t="s">
        <v>3852</v>
      </c>
    </row>
    <row r="1329">
      <c r="A1329" s="9" t="s">
        <v>12203</v>
      </c>
      <c r="B1329" s="9" t="s">
        <v>7975</v>
      </c>
    </row>
    <row r="1330">
      <c r="A1330" s="9" t="s">
        <v>12204</v>
      </c>
      <c r="B1330" s="9" t="s">
        <v>6239</v>
      </c>
    </row>
    <row r="1331">
      <c r="A1331" s="9" t="s">
        <v>12205</v>
      </c>
      <c r="B1331" s="9" t="s">
        <v>1491</v>
      </c>
    </row>
    <row r="1332">
      <c r="A1332" s="9" t="s">
        <v>12206</v>
      </c>
      <c r="B1332" s="9" t="s">
        <v>12207</v>
      </c>
    </row>
    <row r="1333">
      <c r="A1333" s="9" t="s">
        <v>12208</v>
      </c>
      <c r="B1333" s="9" t="s">
        <v>9054</v>
      </c>
    </row>
    <row r="1334">
      <c r="A1334" s="9" t="s">
        <v>12209</v>
      </c>
      <c r="B1334" s="9" t="s">
        <v>9590</v>
      </c>
    </row>
    <row r="1335">
      <c r="A1335" s="9" t="s">
        <v>12210</v>
      </c>
    </row>
    <row r="1336">
      <c r="A1336" s="9" t="s">
        <v>12211</v>
      </c>
      <c r="B1336" s="9" t="s">
        <v>7714</v>
      </c>
    </row>
    <row r="1337">
      <c r="A1337" s="9" t="s">
        <v>12212</v>
      </c>
      <c r="B1337" s="9" t="s">
        <v>12213</v>
      </c>
    </row>
    <row r="1338">
      <c r="A1338" s="9" t="s">
        <v>12214</v>
      </c>
      <c r="B1338" s="9" t="s">
        <v>9298</v>
      </c>
    </row>
    <row r="1339">
      <c r="A1339" s="9" t="s">
        <v>12215</v>
      </c>
    </row>
    <row r="1340">
      <c r="A1340" s="9" t="s">
        <v>12216</v>
      </c>
      <c r="B1340" s="9" t="s">
        <v>5129</v>
      </c>
    </row>
    <row r="1341">
      <c r="A1341" s="9" t="s">
        <v>12217</v>
      </c>
      <c r="B1341" s="9" t="s">
        <v>3552</v>
      </c>
    </row>
    <row r="1342">
      <c r="A1342" s="9" t="s">
        <v>12218</v>
      </c>
      <c r="B1342" s="9" t="s">
        <v>12219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13"/>
    <col customWidth="1" min="2" max="3" width="24.38"/>
    <col customWidth="1" min="4" max="4" width="36.25"/>
    <col customWidth="1" min="5" max="5" width="27.13"/>
    <col customWidth="1" min="6" max="6" width="12.63"/>
  </cols>
  <sheetData>
    <row r="1" ht="15.75" customHeight="1">
      <c r="A1" s="28" t="s">
        <v>5</v>
      </c>
      <c r="B1" s="28" t="s">
        <v>288</v>
      </c>
      <c r="C1" s="28" t="s">
        <v>6</v>
      </c>
      <c r="D1" s="29" t="s">
        <v>12220</v>
      </c>
      <c r="E1" s="30" t="s">
        <v>12221</v>
      </c>
      <c r="F1" s="31" t="s">
        <v>12222</v>
      </c>
      <c r="G1" s="32"/>
      <c r="H1" s="33"/>
      <c r="I1" s="33"/>
      <c r="J1" s="33"/>
      <c r="K1" s="33"/>
      <c r="L1" s="33"/>
      <c r="M1" s="33"/>
      <c r="N1" s="33"/>
      <c r="O1" s="33"/>
      <c r="P1" s="33"/>
      <c r="Q1" s="33"/>
      <c r="R1" s="33"/>
      <c r="S1" s="33"/>
      <c r="T1" s="33"/>
      <c r="U1" s="33"/>
      <c r="V1" s="33"/>
      <c r="W1" s="33"/>
      <c r="X1" s="33"/>
      <c r="Y1" s="33"/>
      <c r="Z1" s="33"/>
    </row>
    <row r="2" ht="15.75" customHeight="1">
      <c r="A2" s="4" t="s">
        <v>58</v>
      </c>
      <c r="B2" s="4" t="s">
        <v>2833</v>
      </c>
      <c r="C2" s="4" t="s">
        <v>1414</v>
      </c>
      <c r="D2" s="34" t="s">
        <v>12223</v>
      </c>
      <c r="E2" s="35" t="s">
        <v>12224</v>
      </c>
      <c r="F2" s="9" t="s">
        <v>12225</v>
      </c>
    </row>
    <row r="3" ht="15.75" customHeight="1">
      <c r="A3" s="5" t="s">
        <v>117</v>
      </c>
      <c r="B3" s="4" t="s">
        <v>847</v>
      </c>
      <c r="C3" s="4" t="s">
        <v>678</v>
      </c>
      <c r="D3" s="34" t="s">
        <v>12226</v>
      </c>
      <c r="E3" s="35" t="s">
        <v>12227</v>
      </c>
      <c r="F3" s="9" t="s">
        <v>12228</v>
      </c>
    </row>
    <row r="4" ht="15.75" customHeight="1">
      <c r="A4" s="4" t="s">
        <v>34</v>
      </c>
      <c r="B4" s="4" t="s">
        <v>823</v>
      </c>
      <c r="C4" s="4" t="s">
        <v>1859</v>
      </c>
      <c r="D4" s="34" t="s">
        <v>12229</v>
      </c>
      <c r="E4" s="35" t="s">
        <v>12230</v>
      </c>
      <c r="F4" s="9" t="s">
        <v>12231</v>
      </c>
    </row>
    <row r="5" ht="15.75" customHeight="1">
      <c r="A5" s="4" t="s">
        <v>822</v>
      </c>
      <c r="B5" s="4" t="s">
        <v>197</v>
      </c>
      <c r="C5" s="4" t="s">
        <v>453</v>
      </c>
      <c r="D5" s="34" t="s">
        <v>12232</v>
      </c>
      <c r="E5" s="35" t="s">
        <v>12233</v>
      </c>
      <c r="F5" s="34" t="s">
        <v>12234</v>
      </c>
    </row>
    <row r="6" ht="15.75" customHeight="1">
      <c r="A6" s="4" t="s">
        <v>1198</v>
      </c>
      <c r="B6" s="4" t="s">
        <v>1414</v>
      </c>
      <c r="C6" s="4" t="s">
        <v>137</v>
      </c>
      <c r="D6" s="34" t="s">
        <v>12235</v>
      </c>
      <c r="E6" s="35" t="s">
        <v>12236</v>
      </c>
      <c r="F6" s="9" t="s">
        <v>12237</v>
      </c>
    </row>
    <row r="7" ht="15.75" customHeight="1">
      <c r="A7" s="4" t="s">
        <v>2832</v>
      </c>
      <c r="B7" s="4" t="s">
        <v>1199</v>
      </c>
      <c r="C7" s="4" t="s">
        <v>1141</v>
      </c>
      <c r="D7" s="34" t="s">
        <v>12238</v>
      </c>
      <c r="E7" s="35" t="s">
        <v>12239</v>
      </c>
    </row>
    <row r="8" ht="15.75" customHeight="1">
      <c r="A8" s="4" t="s">
        <v>7702</v>
      </c>
      <c r="B8" s="4" t="s">
        <v>678</v>
      </c>
      <c r="C8" s="4" t="s">
        <v>59</v>
      </c>
      <c r="D8" s="34" t="s">
        <v>12234</v>
      </c>
      <c r="E8" s="35" t="s">
        <v>12240</v>
      </c>
    </row>
    <row r="9" ht="15.75" customHeight="1">
      <c r="B9" s="4" t="s">
        <v>1859</v>
      </c>
      <c r="C9" s="4" t="s">
        <v>622</v>
      </c>
      <c r="D9" s="34" t="s">
        <v>12241</v>
      </c>
      <c r="E9" s="35" t="s">
        <v>12242</v>
      </c>
    </row>
    <row r="10" ht="15.75" customHeight="1">
      <c r="B10" s="4" t="s">
        <v>453</v>
      </c>
      <c r="C10" s="4" t="s">
        <v>485</v>
      </c>
      <c r="D10" s="34" t="s">
        <v>12243</v>
      </c>
      <c r="E10" s="9" t="s">
        <v>12244</v>
      </c>
    </row>
    <row r="11" ht="15.75" customHeight="1">
      <c r="B11" s="4" t="s">
        <v>1792</v>
      </c>
      <c r="D11" s="34" t="s">
        <v>12245</v>
      </c>
      <c r="E11" s="35" t="s">
        <v>12246</v>
      </c>
    </row>
    <row r="12" ht="15.75" customHeight="1">
      <c r="B12" s="4" t="s">
        <v>1908</v>
      </c>
      <c r="D12" s="34" t="s">
        <v>12247</v>
      </c>
      <c r="E12" s="35" t="s">
        <v>12248</v>
      </c>
    </row>
    <row r="13" ht="15.75" customHeight="1">
      <c r="B13" s="4" t="s">
        <v>137</v>
      </c>
      <c r="D13" s="9" t="s">
        <v>12249</v>
      </c>
      <c r="E13" s="35" t="s">
        <v>12250</v>
      </c>
    </row>
    <row r="14" ht="15.75" customHeight="1">
      <c r="B14" s="4" t="s">
        <v>1141</v>
      </c>
      <c r="D14" s="9" t="s">
        <v>12251</v>
      </c>
      <c r="E14" s="35" t="s">
        <v>12252</v>
      </c>
    </row>
    <row r="15" ht="15.75" customHeight="1">
      <c r="B15" s="4" t="s">
        <v>2451</v>
      </c>
      <c r="D15" s="9" t="s">
        <v>12253</v>
      </c>
      <c r="E15" s="35" t="s">
        <v>12254</v>
      </c>
    </row>
    <row r="16" ht="15.75" customHeight="1">
      <c r="B16" s="4" t="s">
        <v>59</v>
      </c>
      <c r="D16" s="9" t="s">
        <v>12237</v>
      </c>
      <c r="E16" s="9" t="s">
        <v>12255</v>
      </c>
    </row>
    <row r="17" ht="15.75" customHeight="1">
      <c r="B17" s="4" t="s">
        <v>6960</v>
      </c>
      <c r="E17" s="9" t="s">
        <v>12256</v>
      </c>
    </row>
    <row r="18" ht="15.75" customHeight="1">
      <c r="B18" s="4" t="s">
        <v>2982</v>
      </c>
      <c r="E18" s="35" t="s">
        <v>12257</v>
      </c>
    </row>
    <row r="19" ht="15.75" customHeight="1">
      <c r="B19" s="4" t="s">
        <v>5200</v>
      </c>
      <c r="E19" s="35" t="s">
        <v>12258</v>
      </c>
    </row>
    <row r="20" ht="15.75" customHeight="1">
      <c r="B20" s="4" t="s">
        <v>4789</v>
      </c>
      <c r="E20" s="9" t="s">
        <v>12259</v>
      </c>
    </row>
    <row r="21" ht="15.75" customHeight="1">
      <c r="B21" s="4" t="s">
        <v>1805</v>
      </c>
      <c r="E21" s="9" t="s">
        <v>12260</v>
      </c>
    </row>
    <row r="22" ht="15.75" customHeight="1">
      <c r="B22" s="4" t="s">
        <v>12261</v>
      </c>
      <c r="D22" s="34"/>
    </row>
    <row r="23" ht="15.75" customHeight="1">
      <c r="B23" s="4" t="s">
        <v>4826</v>
      </c>
    </row>
    <row r="24" ht="15.75" customHeight="1">
      <c r="B24" s="4" t="s">
        <v>1549</v>
      </c>
    </row>
    <row r="25" ht="15.75" customHeight="1">
      <c r="B25" s="4" t="s">
        <v>622</v>
      </c>
    </row>
    <row r="26" ht="15.75" customHeight="1">
      <c r="B26" s="4" t="s">
        <v>1644</v>
      </c>
    </row>
    <row r="27" ht="15.75" customHeight="1">
      <c r="B27" s="4" t="s">
        <v>485</v>
      </c>
    </row>
    <row r="28" ht="15.75" customHeight="1">
      <c r="B28" s="4" t="s">
        <v>470</v>
      </c>
    </row>
    <row r="29" ht="15.75" customHeight="1">
      <c r="B29" s="4" t="s">
        <v>1405</v>
      </c>
    </row>
    <row r="30" ht="15.75" customHeight="1">
      <c r="B30" s="4" t="s">
        <v>7703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12262</v>
      </c>
    </row>
    <row r="2">
      <c r="A2" s="36" t="str">
        <f>IFERROR(__xludf.DUMMYFUNCTION("UNIQUE(FLATTEN(ARRAYFORMULA(SPLIT(formulaire!Y2:Y2590, "",""))))
"),"Chèque")</f>
        <v>Chèque</v>
      </c>
    </row>
    <row r="3">
      <c r="A3" s="36" t="str">
        <f>IFERROR(__xludf.DUMMYFUNCTION("""COMPUTED_VALUE"""),"Carte Bancaire")</f>
        <v>Carte Bancaire</v>
      </c>
    </row>
    <row r="4">
      <c r="A4" s="36" t="str">
        <f>IFERROR(__xludf.DUMMYFUNCTION("""COMPUTED_VALUE"""),"Espèces")</f>
        <v>Espèces</v>
      </c>
    </row>
    <row r="5">
      <c r="A5" s="36"/>
    </row>
    <row r="6">
      <c r="A6" s="36" t="str">
        <f>IFERROR(__xludf.DUMMYFUNCTION("""COMPUTED_VALUE"""),"Eurocard")</f>
        <v>Eurocard</v>
      </c>
    </row>
    <row r="7">
      <c r="A7" s="36" t="str">
        <f>IFERROR(__xludf.DUMMYFUNCTION("""COMPUTED_VALUE"""),"Chèques vacances")</f>
        <v>Chèques vacances</v>
      </c>
    </row>
    <row r="8">
      <c r="A8" s="36" t="str">
        <f>IFERROR(__xludf.DUMMYFUNCTION("""COMPUTED_VALUE"""),"Tickets restaurant")</f>
        <v>Tickets restaurant</v>
      </c>
    </row>
    <row r="9">
      <c r="A9" s="36" t="str">
        <f>IFERROR(__xludf.DUMMYFUNCTION("""COMPUTED_VALUE"""),"American express")</f>
        <v>American express</v>
      </c>
    </row>
    <row r="10">
      <c r="A10" s="36" t="str">
        <f>IFERROR(__xludf.DUMMYFUNCTION("""COMPUTED_VALUE"""),"#VALUE!")</f>
        <v>#VALUE!</v>
      </c>
    </row>
    <row r="11">
      <c r="A11" s="36" t="str">
        <f>IFERROR(__xludf.DUMMYFUNCTION("""COMPUTED_VALUE"""),"Virement")</f>
        <v>Virement</v>
      </c>
    </row>
    <row r="12">
      <c r="A12" s="36" t="str">
        <f>IFERROR(__xludf.DUMMYFUNCTION("""COMPUTED_VALUE"""),"booking")</f>
        <v>booking</v>
      </c>
    </row>
    <row r="13">
      <c r="A13" s="36" t="str">
        <f>IFERROR(__xludf.DUMMYFUNCTION("""COMPUTED_VALUE"""),"airbnb")</f>
        <v>airbnb</v>
      </c>
    </row>
    <row r="14">
      <c r="A14" s="36" t="str">
        <f>IFERROR(__xludf.DUMMYFUNCTION("""COMPUTED_VALUE"""),"Abritel")</f>
        <v>Abritel</v>
      </c>
    </row>
    <row r="15">
      <c r="A15" s="36" t="str">
        <f>IFERROR(__xludf.DUMMYFUNCTION("""COMPUTED_VALUE"""),"Caro&amp;co")</f>
        <v>Caro&amp;co</v>
      </c>
    </row>
    <row r="16">
      <c r="A16" s="36" t="str">
        <f>IFERROR(__xludf.DUMMYFUNCTION("""COMPUTED_VALUE"""),"Paypal")</f>
        <v>Paypal</v>
      </c>
    </row>
    <row r="17">
      <c r="A17" s="36" t="str">
        <f>IFERROR(__xludf.DUMMYFUNCTION("""COMPUTED_VALUE"""),"Le bon coin")</f>
        <v>Le bon coin</v>
      </c>
    </row>
    <row r="18">
      <c r="A18" s="36" t="str">
        <f>IFERROR(__xludf.DUMMYFUNCTION("""COMPUTED_VALUE"""),"site internet")</f>
        <v>site internet</v>
      </c>
    </row>
    <row r="19">
      <c r="A19" s="36" t="str">
        <f>IFERROR(__xludf.DUMMYFUNCTION("""COMPUTED_VALUE"""),"Mandat postal")</f>
        <v>Mandat postal</v>
      </c>
    </row>
    <row r="20">
      <c r="A20" s="37" t="str">
        <f>IFERROR(__xludf.DUMMYFUNCTION("""COMPUTED_VALUE"""),"reunion.fr")</f>
        <v>reunion.fr</v>
      </c>
    </row>
    <row r="21">
      <c r="A21" s="36" t="str">
        <f>IFERROR(__xludf.DUMMYFUNCTION("""COMPUTED_VALUE"""),"chèques déjeuner")</f>
        <v>chèques déjeuner</v>
      </c>
    </row>
    <row r="22">
      <c r="A22" s="36" t="str">
        <f>IFERROR(__xludf.DUMMYFUNCTION("""COMPUTED_VALUE"""),"carte bancaire uniquement en ligne")</f>
        <v>carte bancaire uniquement en ligne</v>
      </c>
    </row>
    <row r="23">
      <c r="A23" s="36" t="str">
        <f>IFERROR(__xludf.DUMMYFUNCTION("""COMPUTED_VALUE"""),"Billikers")</f>
        <v>Billikers</v>
      </c>
    </row>
    <row r="24">
      <c r="A24" s="36" t="str">
        <f>IFERROR(__xludf.DUMMYFUNCTION("""COMPUTED_VALUE"""),"PassLoisirs")</f>
        <v>PassLoisirs</v>
      </c>
    </row>
    <row r="25">
      <c r="A25" s="36" t="str">
        <f>IFERROR(__xludf.DUMMYFUNCTION("""COMPUTED_VALUE"""),"PassKdo")</f>
        <v>PassKdo</v>
      </c>
    </row>
    <row r="26">
      <c r="A26" s="36" t="str">
        <f>IFERROR(__xludf.DUMMYFUNCTION("""COMPUTED_VALUE"""),"Lien UP2 PAY Crédit Agricole")</f>
        <v>Lien UP2 PAY Crédit Agricole</v>
      </c>
    </row>
    <row r="27">
      <c r="A27" s="36" t="str">
        <f>IFERROR(__xludf.DUMMYFUNCTION("""COMPUTED_VALUE"""),"Chèques Peï (dispositif partenaire)")</f>
        <v>Chèques Peï (dispositif partenaire)</v>
      </c>
    </row>
    <row r="28">
      <c r="A28" s="36" t="str">
        <f>IFERROR(__xludf.DUMMYFUNCTION("""COMPUTED_VALUE"""),"Bon CE")</f>
        <v>Bon CE</v>
      </c>
    </row>
    <row r="29">
      <c r="A29" s="36" t="str">
        <f>IFERROR(__xludf.DUMMYFUNCTION("""COMPUTED_VALUE"""),"gîte de france")</f>
        <v>gîte de france</v>
      </c>
    </row>
    <row r="30">
      <c r="A30" s="36" t="str">
        <f>IFERROR(__xludf.DUMMYFUNCTION("""COMPUTED_VALUE"""),"Apple Pay")</f>
        <v>Apple Pay</v>
      </c>
    </row>
  </sheetData>
  <hyperlinks>
    <hyperlink r:id="rId1" ref="A2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13"/>
    <col customWidth="1" min="2" max="2" width="49.13"/>
    <col customWidth="1" min="3" max="5" width="23.13"/>
    <col customWidth="1" min="6" max="6" width="9.63"/>
    <col customWidth="1" min="7" max="7" width="23.13"/>
    <col customWidth="1" min="8" max="8" width="26.38"/>
    <col customWidth="1" min="9" max="9" width="27.13"/>
    <col customWidth="1" min="10" max="18" width="23.13"/>
    <col customWidth="1" min="19" max="19" width="30.13"/>
    <col customWidth="1" min="20" max="20" width="33.38"/>
    <col customWidth="1" min="21" max="24" width="23.13"/>
    <col customWidth="1" min="25" max="25" width="39.5"/>
    <col customWidth="1" min="26" max="45" width="23.13"/>
  </cols>
  <sheetData>
    <row r="1" ht="19.5" customHeight="1">
      <c r="A1" s="3" t="s">
        <v>278</v>
      </c>
      <c r="B1" s="3" t="s">
        <v>12263</v>
      </c>
      <c r="C1" s="3" t="s">
        <v>287</v>
      </c>
      <c r="D1" s="3" t="s">
        <v>288</v>
      </c>
      <c r="E1" s="3" t="s">
        <v>289</v>
      </c>
      <c r="F1" s="3" t="s">
        <v>8</v>
      </c>
      <c r="G1" s="3" t="s">
        <v>290</v>
      </c>
      <c r="H1" s="3" t="s">
        <v>303</v>
      </c>
      <c r="I1" s="3" t="s">
        <v>308</v>
      </c>
      <c r="J1" s="3" t="s">
        <v>12264</v>
      </c>
      <c r="K1" s="3" t="s">
        <v>12265</v>
      </c>
      <c r="L1" s="3" t="s">
        <v>12266</v>
      </c>
      <c r="M1" s="3" t="s">
        <v>12267</v>
      </c>
      <c r="N1" s="3" t="s">
        <v>293</v>
      </c>
      <c r="O1" s="3" t="s">
        <v>323</v>
      </c>
      <c r="P1" s="3" t="s">
        <v>302</v>
      </c>
      <c r="Q1" s="3" t="s">
        <v>12268</v>
      </c>
      <c r="R1" s="3" t="s">
        <v>300</v>
      </c>
      <c r="S1" s="38" t="s">
        <v>12269</v>
      </c>
      <c r="T1" s="3" t="s">
        <v>328</v>
      </c>
      <c r="U1" s="3" t="s">
        <v>329</v>
      </c>
      <c r="V1" s="3" t="s">
        <v>306</v>
      </c>
      <c r="W1" s="3" t="s">
        <v>294</v>
      </c>
      <c r="X1" s="3" t="s">
        <v>295</v>
      </c>
      <c r="Y1" s="3" t="s">
        <v>296</v>
      </c>
      <c r="Z1" s="3" t="s">
        <v>297</v>
      </c>
      <c r="AA1" s="3" t="s">
        <v>325</v>
      </c>
      <c r="AB1" s="3" t="s">
        <v>326</v>
      </c>
      <c r="AC1" s="3" t="s">
        <v>12270</v>
      </c>
      <c r="AD1" s="3" t="s">
        <v>335</v>
      </c>
      <c r="AE1" s="3" t="s">
        <v>330</v>
      </c>
      <c r="AF1" s="39" t="s">
        <v>331</v>
      </c>
      <c r="AG1" s="3" t="s">
        <v>12271</v>
      </c>
      <c r="AH1" s="3" t="s">
        <v>12272</v>
      </c>
      <c r="AI1" s="3" t="s">
        <v>12273</v>
      </c>
      <c r="AJ1" s="3" t="s">
        <v>12274</v>
      </c>
      <c r="AK1" s="4" t="s">
        <v>3</v>
      </c>
      <c r="AL1" s="4" t="s">
        <v>2</v>
      </c>
      <c r="AM1" s="7" t="s">
        <v>327</v>
      </c>
      <c r="AN1" s="7" t="s">
        <v>12275</v>
      </c>
      <c r="AO1" s="6" t="s">
        <v>12276</v>
      </c>
      <c r="AP1" s="40" t="s">
        <v>12277</v>
      </c>
      <c r="AQ1" s="40" t="s">
        <v>12278</v>
      </c>
      <c r="AR1" s="40" t="s">
        <v>12279</v>
      </c>
      <c r="AS1" s="40" t="s">
        <v>12280</v>
      </c>
    </row>
    <row r="2" ht="19.5" customHeight="1">
      <c r="A2" s="7" t="s">
        <v>5314</v>
      </c>
      <c r="B2" s="7" t="s">
        <v>12281</v>
      </c>
      <c r="C2" s="7" t="s">
        <v>34</v>
      </c>
      <c r="D2" s="7" t="s">
        <v>622</v>
      </c>
      <c r="E2" s="7" t="s">
        <v>622</v>
      </c>
      <c r="F2" s="7">
        <v>100.0</v>
      </c>
      <c r="G2" s="7" t="s">
        <v>664</v>
      </c>
      <c r="H2" s="7"/>
      <c r="I2" s="7"/>
      <c r="J2" s="41" t="s">
        <v>12282</v>
      </c>
      <c r="K2" s="7" t="s">
        <v>12283</v>
      </c>
      <c r="L2" s="7">
        <v>97430.0</v>
      </c>
      <c r="M2" s="7" t="s">
        <v>71</v>
      </c>
      <c r="N2" s="7"/>
      <c r="O2" s="6" t="s">
        <v>12284</v>
      </c>
      <c r="P2" s="42" t="s">
        <v>5318</v>
      </c>
      <c r="Q2" s="43" t="s">
        <v>12285</v>
      </c>
      <c r="R2" s="43" t="s">
        <v>12286</v>
      </c>
      <c r="S2" s="44" t="s">
        <v>12287</v>
      </c>
      <c r="T2" s="7" t="s">
        <v>5320</v>
      </c>
      <c r="U2" s="7" t="s">
        <v>5319</v>
      </c>
      <c r="V2" s="6" t="s">
        <v>12288</v>
      </c>
      <c r="W2" s="7"/>
      <c r="X2" s="7"/>
      <c r="Y2" s="7" t="s">
        <v>5317</v>
      </c>
      <c r="Z2" s="7" t="s">
        <v>353</v>
      </c>
      <c r="AA2" s="7"/>
      <c r="AB2" s="7"/>
      <c r="AC2" s="6">
        <v>4.48519983E8</v>
      </c>
      <c r="AD2" s="6">
        <v>4.48519983E8</v>
      </c>
      <c r="AE2" s="6" t="s">
        <v>401</v>
      </c>
      <c r="AF2" s="45">
        <v>45372.65199074074</v>
      </c>
      <c r="AG2" s="7" t="s">
        <v>12289</v>
      </c>
      <c r="AH2" s="46" t="s">
        <v>12290</v>
      </c>
      <c r="AI2" s="7"/>
      <c r="AJ2" s="6" t="s">
        <v>12291</v>
      </c>
      <c r="AK2" s="6" t="b">
        <v>1</v>
      </c>
      <c r="AL2" s="7" t="b">
        <v>0</v>
      </c>
      <c r="AM2" s="7"/>
      <c r="AN2" s="6" t="s">
        <v>5314</v>
      </c>
      <c r="AO2" s="6">
        <v>4337.0</v>
      </c>
      <c r="AP2" s="6"/>
      <c r="AQ2" s="6" t="b">
        <v>1</v>
      </c>
      <c r="AR2" s="6"/>
      <c r="AS2" s="6"/>
    </row>
    <row r="3" ht="19.5" customHeight="1">
      <c r="A3" s="7" t="s">
        <v>3827</v>
      </c>
      <c r="B3" s="7" t="s">
        <v>12292</v>
      </c>
      <c r="C3" s="7" t="s">
        <v>34</v>
      </c>
      <c r="D3" s="7" t="s">
        <v>1414</v>
      </c>
      <c r="E3" s="7" t="s">
        <v>1415</v>
      </c>
      <c r="F3" s="7">
        <v>80.0</v>
      </c>
      <c r="G3" s="7" t="s">
        <v>407</v>
      </c>
      <c r="H3" s="7"/>
      <c r="I3" s="7"/>
      <c r="J3" s="41" t="s">
        <v>12293</v>
      </c>
      <c r="K3" s="6" t="s">
        <v>12294</v>
      </c>
      <c r="L3" s="7">
        <v>97418.0</v>
      </c>
      <c r="M3" s="7" t="s">
        <v>71</v>
      </c>
      <c r="N3" s="7" t="s">
        <v>216</v>
      </c>
      <c r="O3" s="6" t="s">
        <v>12295</v>
      </c>
      <c r="P3" s="42" t="s">
        <v>3833</v>
      </c>
      <c r="Q3" s="43" t="s">
        <v>12296</v>
      </c>
      <c r="R3" s="43" t="s">
        <v>12297</v>
      </c>
      <c r="S3" s="47" t="s">
        <v>3830</v>
      </c>
      <c r="T3" s="7" t="s">
        <v>3835</v>
      </c>
      <c r="U3" s="6" t="s">
        <v>12298</v>
      </c>
      <c r="V3" s="7" t="s">
        <v>3836</v>
      </c>
      <c r="W3" s="6" t="s">
        <v>12299</v>
      </c>
      <c r="X3" s="7" t="s">
        <v>647</v>
      </c>
      <c r="Y3" s="7" t="s">
        <v>3832</v>
      </c>
      <c r="Z3" s="7" t="s">
        <v>353</v>
      </c>
      <c r="AA3" s="7"/>
      <c r="AB3" s="7"/>
      <c r="AC3" s="7">
        <v>4.8826191800012E13</v>
      </c>
      <c r="AD3" s="7">
        <v>4.88261918E8</v>
      </c>
      <c r="AE3" s="6" t="s">
        <v>401</v>
      </c>
      <c r="AF3" s="45">
        <v>45372.62170138889</v>
      </c>
      <c r="AG3" s="7" t="s">
        <v>12300</v>
      </c>
      <c r="AH3" s="46" t="s">
        <v>12301</v>
      </c>
      <c r="AI3" s="7"/>
      <c r="AJ3" s="6" t="s">
        <v>12302</v>
      </c>
      <c r="AK3" s="6" t="b">
        <v>1</v>
      </c>
      <c r="AL3" s="7" t="b">
        <v>0</v>
      </c>
      <c r="AM3" s="7"/>
      <c r="AN3" s="6" t="s">
        <v>3827</v>
      </c>
      <c r="AO3" s="6">
        <v>1531.0</v>
      </c>
      <c r="AP3" s="6"/>
      <c r="AQ3" s="6" t="b">
        <v>1</v>
      </c>
      <c r="AR3" s="6"/>
      <c r="AS3" s="48" t="s">
        <v>12303</v>
      </c>
    </row>
    <row r="4" ht="19.5" customHeight="1">
      <c r="A4" s="7" t="s">
        <v>7145</v>
      </c>
      <c r="B4" s="7" t="s">
        <v>7146</v>
      </c>
      <c r="C4" s="7" t="s">
        <v>34</v>
      </c>
      <c r="D4" s="7" t="s">
        <v>1414</v>
      </c>
      <c r="E4" s="7" t="s">
        <v>1414</v>
      </c>
      <c r="F4" s="7">
        <v>130.0</v>
      </c>
      <c r="G4" s="7" t="s">
        <v>407</v>
      </c>
      <c r="H4" s="7"/>
      <c r="I4" s="7"/>
      <c r="J4" s="7">
        <v>34.0</v>
      </c>
      <c r="K4" s="7" t="s">
        <v>12304</v>
      </c>
      <c r="L4" s="7">
        <v>97430.0</v>
      </c>
      <c r="M4" s="7" t="s">
        <v>71</v>
      </c>
      <c r="N4" s="7"/>
      <c r="O4" s="6" t="s">
        <v>12305</v>
      </c>
      <c r="P4" s="42" t="s">
        <v>12306</v>
      </c>
      <c r="Q4" s="49" t="s">
        <v>12307</v>
      </c>
      <c r="R4" s="50"/>
      <c r="S4" s="51"/>
      <c r="T4" s="7" t="s">
        <v>7150</v>
      </c>
      <c r="U4" s="7" t="s">
        <v>7149</v>
      </c>
      <c r="V4" s="7" t="s">
        <v>7151</v>
      </c>
      <c r="W4" s="6" t="s">
        <v>3059</v>
      </c>
      <c r="X4" s="6" t="s">
        <v>409</v>
      </c>
      <c r="Y4" s="7" t="s">
        <v>377</v>
      </c>
      <c r="Z4" s="7" t="s">
        <v>353</v>
      </c>
      <c r="AA4" s="7"/>
      <c r="AB4" s="7"/>
      <c r="AC4" s="7"/>
      <c r="AD4" s="7"/>
      <c r="AE4" s="6" t="s">
        <v>401</v>
      </c>
      <c r="AF4" s="45">
        <v>45372.597037037034</v>
      </c>
      <c r="AG4" s="7" t="s">
        <v>12308</v>
      </c>
      <c r="AH4" s="46" t="s">
        <v>12309</v>
      </c>
      <c r="AI4" s="7"/>
      <c r="AJ4" s="6" t="s">
        <v>12310</v>
      </c>
      <c r="AK4" s="7" t="b">
        <v>0</v>
      </c>
      <c r="AL4" s="7" t="b">
        <v>0</v>
      </c>
      <c r="AM4" s="7"/>
      <c r="AN4" s="6" t="s">
        <v>7145</v>
      </c>
      <c r="AO4" s="6">
        <v>4126.0</v>
      </c>
      <c r="AP4" s="6"/>
      <c r="AQ4" s="6" t="b">
        <v>1</v>
      </c>
      <c r="AR4" s="6"/>
      <c r="AS4" s="6" t="s">
        <v>12303</v>
      </c>
    </row>
    <row r="5" ht="19.5" customHeight="1">
      <c r="A5" s="7" t="s">
        <v>5129</v>
      </c>
      <c r="B5" s="7" t="s">
        <v>12311</v>
      </c>
      <c r="C5" s="7" t="s">
        <v>34</v>
      </c>
      <c r="D5" s="7" t="s">
        <v>622</v>
      </c>
      <c r="E5" s="7" t="s">
        <v>622</v>
      </c>
      <c r="F5" s="7">
        <v>60.0</v>
      </c>
      <c r="G5" s="7" t="s">
        <v>1092</v>
      </c>
      <c r="H5" s="7"/>
      <c r="I5" s="7"/>
      <c r="J5" s="7">
        <v>2.0</v>
      </c>
      <c r="K5" s="7" t="s">
        <v>12312</v>
      </c>
      <c r="L5" s="7">
        <v>97418.0</v>
      </c>
      <c r="M5" s="7" t="s">
        <v>71</v>
      </c>
      <c r="N5" s="7" t="s">
        <v>216</v>
      </c>
      <c r="O5" s="6" t="s">
        <v>12313</v>
      </c>
      <c r="P5" s="42" t="s">
        <v>5132</v>
      </c>
      <c r="Q5" s="49" t="s">
        <v>12314</v>
      </c>
      <c r="R5" s="43" t="s">
        <v>12315</v>
      </c>
      <c r="S5" s="51"/>
      <c r="T5" s="7" t="s">
        <v>5134</v>
      </c>
      <c r="U5" s="7" t="s">
        <v>5133</v>
      </c>
      <c r="V5" s="6" t="s">
        <v>12316</v>
      </c>
      <c r="W5" s="6" t="s">
        <v>801</v>
      </c>
      <c r="X5" s="7" t="s">
        <v>1725</v>
      </c>
      <c r="Y5" s="7" t="s">
        <v>1612</v>
      </c>
      <c r="Z5" s="7" t="s">
        <v>592</v>
      </c>
      <c r="AA5" s="7"/>
      <c r="AB5" s="7"/>
      <c r="AC5" s="7">
        <v>8.1859571200014E13</v>
      </c>
      <c r="AD5" s="7">
        <v>8.18595712E8</v>
      </c>
      <c r="AE5" s="6" t="s">
        <v>401</v>
      </c>
      <c r="AF5" s="45">
        <v>45372.584085648145</v>
      </c>
      <c r="AG5" s="7" t="s">
        <v>12317</v>
      </c>
      <c r="AH5" s="46" t="s">
        <v>12318</v>
      </c>
      <c r="AI5" s="7"/>
      <c r="AJ5" s="6" t="s">
        <v>12319</v>
      </c>
      <c r="AK5" s="6" t="b">
        <v>1</v>
      </c>
      <c r="AL5" s="7" t="b">
        <v>0</v>
      </c>
      <c r="AM5" s="7"/>
      <c r="AN5" s="6" t="s">
        <v>5129</v>
      </c>
      <c r="AO5" s="6">
        <v>4146.0</v>
      </c>
      <c r="AP5" s="6"/>
      <c r="AQ5" s="6" t="b">
        <v>1</v>
      </c>
      <c r="AR5" s="6"/>
      <c r="AS5" s="48" t="s">
        <v>12303</v>
      </c>
    </row>
    <row r="6" ht="19.5" customHeight="1">
      <c r="A6" s="7" t="s">
        <v>6094</v>
      </c>
      <c r="B6" s="7" t="s">
        <v>12320</v>
      </c>
      <c r="C6" s="7" t="s">
        <v>34</v>
      </c>
      <c r="D6" s="7" t="s">
        <v>622</v>
      </c>
      <c r="E6" s="7" t="s">
        <v>622</v>
      </c>
      <c r="F6" s="7">
        <v>80.0</v>
      </c>
      <c r="G6" s="7" t="s">
        <v>664</v>
      </c>
      <c r="H6" s="7"/>
      <c r="I6" s="7"/>
      <c r="J6" s="7">
        <v>134.0</v>
      </c>
      <c r="K6" s="7" t="s">
        <v>12321</v>
      </c>
      <c r="L6" s="7">
        <v>97480.0</v>
      </c>
      <c r="M6" s="7" t="s">
        <v>123</v>
      </c>
      <c r="N6" s="7"/>
      <c r="O6" s="6" t="s">
        <v>12322</v>
      </c>
      <c r="P6" s="42" t="s">
        <v>12323</v>
      </c>
      <c r="Q6" s="49" t="s">
        <v>12324</v>
      </c>
      <c r="R6" s="50"/>
      <c r="S6" s="51"/>
      <c r="T6" s="7" t="s">
        <v>6101</v>
      </c>
      <c r="U6" s="7"/>
      <c r="V6" s="7"/>
      <c r="W6" s="6" t="s">
        <v>12325</v>
      </c>
      <c r="X6" s="7" t="s">
        <v>6099</v>
      </c>
      <c r="Y6" s="7" t="s">
        <v>6100</v>
      </c>
      <c r="Z6" s="7" t="s">
        <v>592</v>
      </c>
      <c r="AA6" s="7"/>
      <c r="AB6" s="7"/>
      <c r="AC6" s="7">
        <v>3.5369737800019E13</v>
      </c>
      <c r="AD6" s="7">
        <v>3.53697378E8</v>
      </c>
      <c r="AE6" s="6" t="s">
        <v>401</v>
      </c>
      <c r="AF6" s="45">
        <v>45372.49947916667</v>
      </c>
      <c r="AG6" s="7" t="s">
        <v>12326</v>
      </c>
      <c r="AH6" s="46" t="s">
        <v>12327</v>
      </c>
      <c r="AI6" s="7"/>
      <c r="AJ6" s="6" t="s">
        <v>12328</v>
      </c>
      <c r="AK6" s="6" t="b">
        <v>1</v>
      </c>
      <c r="AL6" s="7" t="b">
        <v>0</v>
      </c>
      <c r="AM6" s="7"/>
      <c r="AN6" s="6" t="s">
        <v>6094</v>
      </c>
      <c r="AO6" s="6">
        <v>997.0</v>
      </c>
      <c r="AP6" s="6"/>
      <c r="AQ6" s="6" t="b">
        <v>1</v>
      </c>
      <c r="AR6" s="6"/>
      <c r="AS6" s="6"/>
    </row>
    <row r="7" ht="19.5" customHeight="1">
      <c r="A7" s="9" t="s">
        <v>11748</v>
      </c>
      <c r="B7" s="9" t="s">
        <v>12329</v>
      </c>
      <c r="C7" s="9" t="s">
        <v>34</v>
      </c>
      <c r="D7" s="9" t="s">
        <v>678</v>
      </c>
      <c r="E7" s="9" t="s">
        <v>12330</v>
      </c>
      <c r="G7" s="9" t="s">
        <v>9780</v>
      </c>
      <c r="J7" s="52" t="s">
        <v>12331</v>
      </c>
      <c r="K7" s="9" t="s">
        <v>12332</v>
      </c>
      <c r="L7" s="9">
        <v>97480.0</v>
      </c>
      <c r="M7" s="9" t="s">
        <v>123</v>
      </c>
      <c r="N7" s="9" t="s">
        <v>8383</v>
      </c>
      <c r="O7" s="9" t="s">
        <v>12333</v>
      </c>
      <c r="P7" s="53" t="s">
        <v>12334</v>
      </c>
      <c r="Q7" s="49" t="s">
        <v>12335</v>
      </c>
      <c r="R7" s="50"/>
      <c r="S7" s="54"/>
      <c r="T7" s="9" t="s">
        <v>12336</v>
      </c>
      <c r="U7" s="9" t="s">
        <v>12337</v>
      </c>
      <c r="V7" s="9" t="s">
        <v>8383</v>
      </c>
      <c r="W7" s="9" t="s">
        <v>12338</v>
      </c>
      <c r="X7" s="9" t="s">
        <v>12339</v>
      </c>
      <c r="Z7" s="9" t="s">
        <v>353</v>
      </c>
      <c r="AC7" s="9">
        <v>8.3249790300019E13</v>
      </c>
      <c r="AD7" s="9">
        <v>8.32497903E8</v>
      </c>
      <c r="AE7" s="9" t="s">
        <v>401</v>
      </c>
      <c r="AF7" s="55">
        <v>45485.58928240741</v>
      </c>
      <c r="AG7" s="9" t="s">
        <v>12340</v>
      </c>
      <c r="AH7" s="9" t="s">
        <v>12341</v>
      </c>
      <c r="AJ7" s="9" t="s">
        <v>12342</v>
      </c>
      <c r="AK7" s="9" t="b">
        <v>0</v>
      </c>
      <c r="AL7" s="9" t="b">
        <v>0</v>
      </c>
      <c r="AN7" s="9" t="s">
        <v>11748</v>
      </c>
      <c r="AP7" s="56">
        <v>44601.0</v>
      </c>
      <c r="AQ7" s="9" t="b">
        <v>0</v>
      </c>
      <c r="AR7" s="9" t="s">
        <v>12343</v>
      </c>
      <c r="AS7" s="9" t="s">
        <v>12303</v>
      </c>
    </row>
    <row r="8" ht="19.5" customHeight="1">
      <c r="A8" s="9" t="s">
        <v>10662</v>
      </c>
      <c r="B8" s="9" t="s">
        <v>12344</v>
      </c>
      <c r="C8" s="9" t="s">
        <v>58</v>
      </c>
      <c r="D8" s="9" t="s">
        <v>59</v>
      </c>
      <c r="E8" s="9" t="s">
        <v>346</v>
      </c>
      <c r="F8" s="9">
        <v>10.0</v>
      </c>
      <c r="G8" s="9" t="s">
        <v>375</v>
      </c>
      <c r="J8" s="52" t="s">
        <v>12345</v>
      </c>
      <c r="K8" s="9" t="s">
        <v>12346</v>
      </c>
      <c r="L8" s="9">
        <v>97480.0</v>
      </c>
      <c r="M8" s="9" t="s">
        <v>123</v>
      </c>
      <c r="N8" s="9" t="s">
        <v>3556</v>
      </c>
      <c r="O8" s="9" t="s">
        <v>12347</v>
      </c>
      <c r="P8" s="53" t="s">
        <v>12348</v>
      </c>
      <c r="Q8" s="49" t="s">
        <v>12349</v>
      </c>
      <c r="R8" s="50"/>
      <c r="S8" s="54" t="s">
        <v>12350</v>
      </c>
      <c r="T8" s="9" t="s">
        <v>12351</v>
      </c>
      <c r="U8" s="9" t="s">
        <v>12352</v>
      </c>
      <c r="W8" s="9" t="s">
        <v>12353</v>
      </c>
      <c r="X8" s="9" t="s">
        <v>12354</v>
      </c>
      <c r="Y8" s="9" t="s">
        <v>1863</v>
      </c>
      <c r="Z8" s="9" t="s">
        <v>353</v>
      </c>
      <c r="AE8" s="9" t="s">
        <v>12355</v>
      </c>
      <c r="AF8" s="55">
        <v>45370.582025462965</v>
      </c>
      <c r="AG8" s="9" t="s">
        <v>12356</v>
      </c>
      <c r="AH8" s="9" t="s">
        <v>12357</v>
      </c>
      <c r="AJ8" s="9" t="s">
        <v>12358</v>
      </c>
      <c r="AK8" s="9" t="b">
        <v>0</v>
      </c>
      <c r="AL8" s="9" t="b">
        <v>0</v>
      </c>
      <c r="AM8" s="9" t="s">
        <v>12359</v>
      </c>
      <c r="AN8" s="9" t="s">
        <v>10662</v>
      </c>
      <c r="AP8" s="56">
        <v>44442.0</v>
      </c>
      <c r="AQ8" s="6" t="b">
        <v>0</v>
      </c>
      <c r="AR8" s="6"/>
      <c r="AS8" s="6"/>
    </row>
    <row r="9" ht="19.5" customHeight="1">
      <c r="A9" s="7" t="s">
        <v>3256</v>
      </c>
      <c r="B9" s="7" t="s">
        <v>12360</v>
      </c>
      <c r="C9" s="7" t="s">
        <v>58</v>
      </c>
      <c r="D9" s="7" t="s">
        <v>59</v>
      </c>
      <c r="E9" s="7" t="s">
        <v>374</v>
      </c>
      <c r="F9" s="7">
        <v>2.0</v>
      </c>
      <c r="G9" s="7" t="s">
        <v>375</v>
      </c>
      <c r="H9" s="7" t="s">
        <v>355</v>
      </c>
      <c r="I9" s="7"/>
      <c r="J9" s="7">
        <v>137.0</v>
      </c>
      <c r="K9" s="7" t="s">
        <v>12361</v>
      </c>
      <c r="L9" s="7">
        <v>97480.0</v>
      </c>
      <c r="M9" s="7" t="s">
        <v>123</v>
      </c>
      <c r="N9" s="7" t="s">
        <v>206</v>
      </c>
      <c r="O9" s="7" t="s">
        <v>3269</v>
      </c>
      <c r="P9" s="42" t="s">
        <v>3263</v>
      </c>
      <c r="Q9" s="43" t="s">
        <v>12362</v>
      </c>
      <c r="R9" s="43" t="s">
        <v>12363</v>
      </c>
      <c r="S9" s="57" t="s">
        <v>12364</v>
      </c>
      <c r="T9" s="6" t="s">
        <v>12365</v>
      </c>
      <c r="U9" s="6" t="s">
        <v>12366</v>
      </c>
      <c r="V9" s="7" t="s">
        <v>3265</v>
      </c>
      <c r="W9" s="6" t="s">
        <v>12367</v>
      </c>
      <c r="X9" s="7" t="s">
        <v>1458</v>
      </c>
      <c r="Y9" s="7" t="s">
        <v>377</v>
      </c>
      <c r="Z9" s="7" t="s">
        <v>3262</v>
      </c>
      <c r="AA9" s="7" t="s">
        <v>3270</v>
      </c>
      <c r="AB9" s="7" t="s">
        <v>1590</v>
      </c>
      <c r="AC9" s="7">
        <v>4.3299257600012E13</v>
      </c>
      <c r="AD9" s="7">
        <v>4.32992576E8</v>
      </c>
      <c r="AE9" s="6" t="s">
        <v>401</v>
      </c>
      <c r="AF9" s="45">
        <v>45369.63644675926</v>
      </c>
      <c r="AG9" s="7" t="s">
        <v>12368</v>
      </c>
      <c r="AH9" s="46" t="s">
        <v>12369</v>
      </c>
      <c r="AI9" s="7"/>
      <c r="AJ9" s="6" t="s">
        <v>12370</v>
      </c>
      <c r="AK9" s="7" t="b">
        <v>0</v>
      </c>
      <c r="AL9" s="7" t="b">
        <v>0</v>
      </c>
      <c r="AM9" s="6" t="s">
        <v>3271</v>
      </c>
      <c r="AN9" s="6" t="s">
        <v>3256</v>
      </c>
      <c r="AO9" s="6">
        <v>368.0</v>
      </c>
      <c r="AP9" s="6"/>
      <c r="AQ9" s="6" t="b">
        <v>1</v>
      </c>
      <c r="AR9" s="6"/>
      <c r="AS9" s="6"/>
    </row>
    <row r="10" ht="19.5" customHeight="1">
      <c r="A10" s="7" t="s">
        <v>3864</v>
      </c>
      <c r="B10" s="6" t="s">
        <v>3865</v>
      </c>
      <c r="C10" s="7" t="s">
        <v>34</v>
      </c>
      <c r="D10" s="7" t="s">
        <v>485</v>
      </c>
      <c r="E10" s="6" t="s">
        <v>486</v>
      </c>
      <c r="F10" s="6">
        <v>20.0</v>
      </c>
      <c r="G10" s="7" t="s">
        <v>455</v>
      </c>
      <c r="H10" s="6"/>
      <c r="I10" s="6" t="s">
        <v>12371</v>
      </c>
      <c r="J10" s="7">
        <v>90.0</v>
      </c>
      <c r="K10" s="7" t="s">
        <v>12372</v>
      </c>
      <c r="L10" s="7">
        <v>97430.0</v>
      </c>
      <c r="M10" s="7" t="s">
        <v>71</v>
      </c>
      <c r="N10" s="6" t="s">
        <v>12373</v>
      </c>
      <c r="O10" s="6" t="s">
        <v>12374</v>
      </c>
      <c r="P10" s="53" t="s">
        <v>12375</v>
      </c>
      <c r="Q10" s="49" t="s">
        <v>12376</v>
      </c>
      <c r="R10" s="50"/>
      <c r="S10" s="47" t="s">
        <v>3867</v>
      </c>
      <c r="T10" s="7" t="s">
        <v>3870</v>
      </c>
      <c r="U10" s="7" t="s">
        <v>3869</v>
      </c>
      <c r="V10" s="7" t="s">
        <v>3871</v>
      </c>
      <c r="W10" s="6" t="s">
        <v>12377</v>
      </c>
      <c r="X10" s="6" t="s">
        <v>12378</v>
      </c>
      <c r="Y10" s="7" t="s">
        <v>377</v>
      </c>
      <c r="Z10" s="6" t="s">
        <v>353</v>
      </c>
      <c r="AA10" s="7"/>
      <c r="AB10" s="7"/>
      <c r="AC10" s="7">
        <v>8.1195195300017E13</v>
      </c>
      <c r="AD10" s="7">
        <v>8.11951953E8</v>
      </c>
      <c r="AE10" s="6" t="s">
        <v>401</v>
      </c>
      <c r="AF10" s="45">
        <v>45908.3503587963</v>
      </c>
      <c r="AG10" s="6" t="s">
        <v>12379</v>
      </c>
      <c r="AH10" s="46" t="s">
        <v>12380</v>
      </c>
      <c r="AI10" s="7"/>
      <c r="AJ10" s="6" t="s">
        <v>12381</v>
      </c>
      <c r="AK10" s="7" t="b">
        <v>0</v>
      </c>
      <c r="AL10" s="7" t="b">
        <v>0</v>
      </c>
      <c r="AM10" s="7"/>
      <c r="AN10" s="6" t="s">
        <v>3864</v>
      </c>
      <c r="AO10" s="6"/>
      <c r="AP10" s="6"/>
      <c r="AQ10" s="6" t="b">
        <v>1</v>
      </c>
      <c r="AR10" s="6" t="s">
        <v>12382</v>
      </c>
      <c r="AS10" s="6" t="s">
        <v>12303</v>
      </c>
    </row>
    <row r="11" ht="19.5" customHeight="1">
      <c r="A11" s="9" t="s">
        <v>10269</v>
      </c>
      <c r="B11" s="9" t="s">
        <v>12383</v>
      </c>
      <c r="C11" s="9" t="s">
        <v>58</v>
      </c>
      <c r="D11" s="9" t="s">
        <v>59</v>
      </c>
      <c r="E11" s="9" t="s">
        <v>12384</v>
      </c>
      <c r="F11" s="9">
        <v>6.0</v>
      </c>
      <c r="G11" s="9" t="s">
        <v>455</v>
      </c>
      <c r="H11" s="9" t="s">
        <v>395</v>
      </c>
      <c r="I11" s="9"/>
      <c r="J11" s="52" t="s">
        <v>12385</v>
      </c>
      <c r="K11" s="9" t="s">
        <v>12386</v>
      </c>
      <c r="L11" s="9">
        <v>97480.0</v>
      </c>
      <c r="M11" s="9" t="s">
        <v>123</v>
      </c>
      <c r="N11" s="9" t="s">
        <v>8325</v>
      </c>
      <c r="O11" s="9" t="s">
        <v>12387</v>
      </c>
      <c r="P11" s="53" t="s">
        <v>12388</v>
      </c>
      <c r="Q11" s="49" t="s">
        <v>12389</v>
      </c>
      <c r="R11" s="50"/>
      <c r="S11" s="58" t="s">
        <v>12390</v>
      </c>
      <c r="T11" s="9" t="s">
        <v>12391</v>
      </c>
      <c r="U11" s="9" t="s">
        <v>12392</v>
      </c>
      <c r="V11" s="9" t="s">
        <v>12393</v>
      </c>
      <c r="W11" s="9" t="s">
        <v>12394</v>
      </c>
      <c r="X11" s="9" t="s">
        <v>12395</v>
      </c>
      <c r="Y11" s="9" t="s">
        <v>12396</v>
      </c>
      <c r="Z11" s="9" t="s">
        <v>424</v>
      </c>
      <c r="AC11" s="9">
        <v>8.0356608200027E13</v>
      </c>
      <c r="AD11" s="9">
        <v>8.03566082E8</v>
      </c>
      <c r="AE11" s="9" t="s">
        <v>401</v>
      </c>
      <c r="AF11" s="55">
        <v>45982.40861111111</v>
      </c>
      <c r="AG11" s="52" t="s">
        <v>12397</v>
      </c>
      <c r="AH11" s="9" t="s">
        <v>12398</v>
      </c>
      <c r="AJ11" s="9" t="s">
        <v>12399</v>
      </c>
      <c r="AK11" s="9" t="b">
        <v>0</v>
      </c>
      <c r="AL11" s="9" t="b">
        <v>0</v>
      </c>
      <c r="AM11" s="9" t="s">
        <v>12400</v>
      </c>
      <c r="AN11" s="9" t="s">
        <v>10269</v>
      </c>
      <c r="AP11" s="56">
        <v>45259.0</v>
      </c>
      <c r="AQ11" s="9" t="b">
        <v>0</v>
      </c>
      <c r="AR11" s="9"/>
    </row>
    <row r="12" ht="19.5" customHeight="1">
      <c r="A12" s="9" t="s">
        <v>10271</v>
      </c>
      <c r="B12" s="9" t="s">
        <v>12401</v>
      </c>
      <c r="C12" s="9" t="s">
        <v>58</v>
      </c>
      <c r="D12" s="9" t="s">
        <v>59</v>
      </c>
      <c r="E12" s="9" t="s">
        <v>346</v>
      </c>
      <c r="F12" s="9">
        <v>6.0</v>
      </c>
      <c r="G12" s="9" t="s">
        <v>375</v>
      </c>
      <c r="H12" s="9" t="s">
        <v>2716</v>
      </c>
      <c r="J12" s="52" t="s">
        <v>12402</v>
      </c>
      <c r="K12" s="9" t="s">
        <v>12403</v>
      </c>
      <c r="L12" s="9">
        <v>97480.0</v>
      </c>
      <c r="M12" s="9" t="s">
        <v>123</v>
      </c>
      <c r="N12" s="9" t="s">
        <v>8325</v>
      </c>
      <c r="O12" s="9" t="s">
        <v>12404</v>
      </c>
      <c r="P12" s="53" t="s">
        <v>12405</v>
      </c>
      <c r="Q12" s="49" t="s">
        <v>12406</v>
      </c>
      <c r="R12" s="50"/>
      <c r="S12" s="54"/>
      <c r="T12" s="9" t="s">
        <v>12407</v>
      </c>
      <c r="U12" s="9" t="s">
        <v>12408</v>
      </c>
      <c r="V12" s="9" t="s">
        <v>12409</v>
      </c>
      <c r="W12" s="9" t="s">
        <v>12410</v>
      </c>
      <c r="X12" s="9" t="s">
        <v>12411</v>
      </c>
      <c r="Y12" s="9" t="s">
        <v>12412</v>
      </c>
      <c r="Z12" s="9" t="s">
        <v>592</v>
      </c>
      <c r="AC12" s="9">
        <v>9.1256346700014E13</v>
      </c>
      <c r="AD12" s="9">
        <v>9.12563467E8</v>
      </c>
      <c r="AE12" s="9" t="s">
        <v>401</v>
      </c>
      <c r="AF12" s="55">
        <v>45369.44918981481</v>
      </c>
      <c r="AG12" s="9" t="s">
        <v>12413</v>
      </c>
      <c r="AH12" s="9" t="s">
        <v>12414</v>
      </c>
      <c r="AJ12" s="9" t="s">
        <v>12415</v>
      </c>
      <c r="AK12" s="9" t="b">
        <v>0</v>
      </c>
      <c r="AL12" s="9" t="b">
        <v>0</v>
      </c>
      <c r="AM12" s="9" t="s">
        <v>12416</v>
      </c>
      <c r="AN12" s="9" t="s">
        <v>10271</v>
      </c>
      <c r="AP12" s="56">
        <v>44900.0</v>
      </c>
      <c r="AQ12" s="9" t="b">
        <v>0</v>
      </c>
    </row>
    <row r="13" ht="19.5" customHeight="1">
      <c r="A13" s="7" t="s">
        <v>3638</v>
      </c>
      <c r="B13" s="7" t="s">
        <v>12417</v>
      </c>
      <c r="C13" s="7" t="s">
        <v>58</v>
      </c>
      <c r="D13" s="7" t="s">
        <v>453</v>
      </c>
      <c r="E13" s="7" t="s">
        <v>454</v>
      </c>
      <c r="F13" s="7">
        <v>6.0</v>
      </c>
      <c r="G13" s="7" t="s">
        <v>455</v>
      </c>
      <c r="H13" s="7" t="s">
        <v>574</v>
      </c>
      <c r="I13" s="7" t="s">
        <v>1869</v>
      </c>
      <c r="J13" s="7">
        <v>197.0</v>
      </c>
      <c r="K13" s="7" t="s">
        <v>12418</v>
      </c>
      <c r="L13" s="7">
        <v>97418.0</v>
      </c>
      <c r="M13" s="7" t="s">
        <v>71</v>
      </c>
      <c r="N13" s="7" t="s">
        <v>9050</v>
      </c>
      <c r="O13" s="6" t="s">
        <v>12419</v>
      </c>
      <c r="P13" s="42" t="s">
        <v>3643</v>
      </c>
      <c r="Q13" s="49" t="s">
        <v>12420</v>
      </c>
      <c r="R13" s="43" t="s">
        <v>12421</v>
      </c>
      <c r="S13" s="51"/>
      <c r="T13" s="6" t="s">
        <v>12422</v>
      </c>
      <c r="U13" s="6" t="s">
        <v>12423</v>
      </c>
      <c r="V13" s="7" t="s">
        <v>3646</v>
      </c>
      <c r="W13" s="6" t="s">
        <v>12424</v>
      </c>
      <c r="X13" s="6" t="s">
        <v>12425</v>
      </c>
      <c r="Y13" s="6" t="s">
        <v>499</v>
      </c>
      <c r="Z13" s="7" t="s">
        <v>353</v>
      </c>
      <c r="AA13" s="7" t="s">
        <v>2399</v>
      </c>
      <c r="AB13" s="7" t="s">
        <v>1829</v>
      </c>
      <c r="AC13" s="7">
        <v>4.4497081800019E13</v>
      </c>
      <c r="AD13" s="7">
        <v>4.44970818E8</v>
      </c>
      <c r="AE13" s="6" t="s">
        <v>401</v>
      </c>
      <c r="AF13" s="45">
        <v>45602.39402777778</v>
      </c>
      <c r="AG13" s="7" t="s">
        <v>12426</v>
      </c>
      <c r="AH13" s="46" t="s">
        <v>12427</v>
      </c>
      <c r="AI13" s="7"/>
      <c r="AJ13" s="6" t="s">
        <v>12428</v>
      </c>
      <c r="AK13" s="6" t="b">
        <v>1</v>
      </c>
      <c r="AL13" s="7" t="b">
        <v>0</v>
      </c>
      <c r="AM13" s="6" t="s">
        <v>3652</v>
      </c>
      <c r="AN13" s="6" t="s">
        <v>3638</v>
      </c>
      <c r="AO13" s="6">
        <v>1701.0</v>
      </c>
      <c r="AP13" s="6"/>
      <c r="AQ13" s="6" t="b">
        <v>1</v>
      </c>
      <c r="AR13" s="6" t="s">
        <v>12429</v>
      </c>
      <c r="AS13" s="48" t="s">
        <v>12303</v>
      </c>
    </row>
    <row r="14" ht="19.5" customHeight="1">
      <c r="A14" s="7" t="s">
        <v>9268</v>
      </c>
      <c r="B14" s="7" t="s">
        <v>12430</v>
      </c>
      <c r="C14" s="7" t="s">
        <v>58</v>
      </c>
      <c r="D14" s="7" t="s">
        <v>59</v>
      </c>
      <c r="E14" s="7" t="s">
        <v>346</v>
      </c>
      <c r="F14" s="7">
        <v>6.0</v>
      </c>
      <c r="G14" s="7" t="s">
        <v>455</v>
      </c>
      <c r="H14" s="7"/>
      <c r="I14" s="7"/>
      <c r="J14" s="7">
        <v>8.0</v>
      </c>
      <c r="K14" s="7" t="s">
        <v>12431</v>
      </c>
      <c r="L14" s="7">
        <v>97418.0</v>
      </c>
      <c r="M14" s="7" t="s">
        <v>71</v>
      </c>
      <c r="N14" s="7" t="s">
        <v>216</v>
      </c>
      <c r="O14" s="6" t="s">
        <v>12432</v>
      </c>
      <c r="P14" s="42" t="s">
        <v>12433</v>
      </c>
      <c r="Q14" s="43" t="s">
        <v>12434</v>
      </c>
      <c r="R14" s="50"/>
      <c r="S14" s="47" t="s">
        <v>9271</v>
      </c>
      <c r="T14" s="6" t="s">
        <v>12435</v>
      </c>
      <c r="U14" s="6" t="s">
        <v>12436</v>
      </c>
      <c r="V14" s="6" t="s">
        <v>12437</v>
      </c>
      <c r="W14" s="6" t="s">
        <v>12438</v>
      </c>
      <c r="X14" s="7" t="s">
        <v>9274</v>
      </c>
      <c r="Y14" s="6" t="s">
        <v>12439</v>
      </c>
      <c r="Z14" s="6" t="s">
        <v>5551</v>
      </c>
      <c r="AA14" s="7" t="s">
        <v>1828</v>
      </c>
      <c r="AB14" s="7" t="s">
        <v>1590</v>
      </c>
      <c r="AC14" s="7">
        <v>8.5351213500015E13</v>
      </c>
      <c r="AD14" s="7">
        <v>8.53512135E8</v>
      </c>
      <c r="AE14" s="6" t="s">
        <v>12355</v>
      </c>
      <c r="AF14" s="45">
        <v>46041.5703125</v>
      </c>
      <c r="AG14" s="7" t="s">
        <v>12440</v>
      </c>
      <c r="AH14" s="46" t="s">
        <v>12441</v>
      </c>
      <c r="AI14" s="7"/>
      <c r="AJ14" s="6" t="s">
        <v>12442</v>
      </c>
      <c r="AK14" s="7" t="b">
        <v>0</v>
      </c>
      <c r="AL14" s="7" t="b">
        <v>0</v>
      </c>
      <c r="AM14" s="6" t="s">
        <v>9283</v>
      </c>
      <c r="AN14" s="6" t="s">
        <v>9268</v>
      </c>
      <c r="AO14" s="7"/>
      <c r="AP14" s="7"/>
      <c r="AQ14" s="6" t="b">
        <v>1</v>
      </c>
      <c r="AR14" s="6" t="s">
        <v>12443</v>
      </c>
      <c r="AS14" s="48" t="s">
        <v>12303</v>
      </c>
    </row>
    <row r="15" ht="19.5" customHeight="1">
      <c r="A15" s="7" t="s">
        <v>7372</v>
      </c>
      <c r="B15" s="7" t="s">
        <v>12444</v>
      </c>
      <c r="C15" s="7" t="s">
        <v>34</v>
      </c>
      <c r="D15" s="7" t="s">
        <v>622</v>
      </c>
      <c r="E15" s="7" t="s">
        <v>1347</v>
      </c>
      <c r="F15" s="7">
        <v>20.0</v>
      </c>
      <c r="G15" s="7" t="s">
        <v>664</v>
      </c>
      <c r="H15" s="7"/>
      <c r="I15" s="7"/>
      <c r="J15" s="41" t="s">
        <v>12445</v>
      </c>
      <c r="K15" s="7" t="s">
        <v>12446</v>
      </c>
      <c r="L15" s="7">
        <v>97480.0</v>
      </c>
      <c r="M15" s="7" t="s">
        <v>123</v>
      </c>
      <c r="N15" s="6" t="s">
        <v>12447</v>
      </c>
      <c r="O15" s="7" t="s">
        <v>7378</v>
      </c>
      <c r="P15" s="42" t="s">
        <v>7363</v>
      </c>
      <c r="Q15" s="49" t="s">
        <v>12448</v>
      </c>
      <c r="R15" s="50"/>
      <c r="S15" s="51"/>
      <c r="T15" s="7" t="s">
        <v>7376</v>
      </c>
      <c r="U15" s="7"/>
      <c r="V15" s="7" t="s">
        <v>7377</v>
      </c>
      <c r="W15" s="6" t="s">
        <v>12449</v>
      </c>
      <c r="X15" s="7" t="s">
        <v>5170</v>
      </c>
      <c r="Y15" s="7" t="s">
        <v>1838</v>
      </c>
      <c r="Z15" s="7" t="s">
        <v>1508</v>
      </c>
      <c r="AA15" s="7"/>
      <c r="AB15" s="7"/>
      <c r="AC15" s="7">
        <v>3.7956396800039E13</v>
      </c>
      <c r="AD15" s="7">
        <v>3.79563968E8</v>
      </c>
      <c r="AE15" s="6" t="s">
        <v>12355</v>
      </c>
      <c r="AF15" s="45">
        <v>45366.51875</v>
      </c>
      <c r="AG15" s="7" t="s">
        <v>12450</v>
      </c>
      <c r="AH15" s="46" t="s">
        <v>12451</v>
      </c>
      <c r="AI15" s="7"/>
      <c r="AJ15" s="6" t="s">
        <v>12452</v>
      </c>
      <c r="AK15" s="7" t="b">
        <v>0</v>
      </c>
      <c r="AL15" s="7" t="b">
        <v>0</v>
      </c>
      <c r="AM15" s="7"/>
      <c r="AN15" s="6" t="s">
        <v>7372</v>
      </c>
      <c r="AO15" s="6">
        <v>521.0</v>
      </c>
      <c r="AP15" s="6"/>
      <c r="AQ15" s="6" t="b">
        <v>1</v>
      </c>
      <c r="AR15" s="6"/>
      <c r="AS15" s="6"/>
    </row>
    <row r="16" ht="19.5" customHeight="1">
      <c r="A16" s="7" t="s">
        <v>245</v>
      </c>
      <c r="B16" s="7" t="s">
        <v>8826</v>
      </c>
      <c r="C16" s="7" t="s">
        <v>34</v>
      </c>
      <c r="D16" s="7" t="s">
        <v>485</v>
      </c>
      <c r="E16" s="7" t="s">
        <v>486</v>
      </c>
      <c r="F16" s="6">
        <v>30.0</v>
      </c>
      <c r="G16" s="6" t="s">
        <v>455</v>
      </c>
      <c r="H16" s="7"/>
      <c r="I16" s="7"/>
      <c r="J16" s="7">
        <v>10.0</v>
      </c>
      <c r="K16" s="7" t="s">
        <v>12453</v>
      </c>
      <c r="L16" s="7">
        <v>97480.0</v>
      </c>
      <c r="M16" s="7" t="s">
        <v>123</v>
      </c>
      <c r="N16" s="7" t="s">
        <v>3556</v>
      </c>
      <c r="O16" s="7" t="s">
        <v>8831</v>
      </c>
      <c r="P16" s="53" t="s">
        <v>12454</v>
      </c>
      <c r="Q16" s="49" t="s">
        <v>12455</v>
      </c>
      <c r="R16" s="50"/>
      <c r="S16" s="51"/>
      <c r="T16" s="6" t="s">
        <v>12456</v>
      </c>
      <c r="U16" s="6" t="s">
        <v>12457</v>
      </c>
      <c r="V16" s="6" t="s">
        <v>12458</v>
      </c>
      <c r="W16" s="6" t="s">
        <v>12459</v>
      </c>
      <c r="X16" s="6" t="s">
        <v>12460</v>
      </c>
      <c r="Y16" s="6" t="s">
        <v>12461</v>
      </c>
      <c r="Z16" s="6" t="s">
        <v>353</v>
      </c>
      <c r="AA16" s="7"/>
      <c r="AB16" s="7"/>
      <c r="AC16" s="7">
        <v>4.2035997800012E13</v>
      </c>
      <c r="AD16" s="7">
        <v>4.20359978E8</v>
      </c>
      <c r="AE16" s="6" t="s">
        <v>401</v>
      </c>
      <c r="AF16" s="45">
        <v>45498.595289351855</v>
      </c>
      <c r="AG16" s="6" t="s">
        <v>12462</v>
      </c>
      <c r="AH16" s="46" t="s">
        <v>12463</v>
      </c>
      <c r="AI16" s="7"/>
      <c r="AJ16" s="6" t="s">
        <v>12464</v>
      </c>
      <c r="AK16" s="6" t="b">
        <v>1</v>
      </c>
      <c r="AL16" s="7" t="b">
        <v>0</v>
      </c>
      <c r="AM16" s="7"/>
      <c r="AN16" s="6" t="s">
        <v>245</v>
      </c>
      <c r="AO16" s="7"/>
      <c r="AP16" s="7"/>
      <c r="AQ16" s="6" t="b">
        <v>1</v>
      </c>
      <c r="AR16" s="6" t="s">
        <v>12465</v>
      </c>
      <c r="AS16" s="6" t="s">
        <v>12303</v>
      </c>
    </row>
    <row r="17" ht="19.5" customHeight="1">
      <c r="A17" s="9" t="s">
        <v>10276</v>
      </c>
      <c r="B17" s="9" t="s">
        <v>12466</v>
      </c>
      <c r="C17" s="9" t="s">
        <v>58</v>
      </c>
      <c r="D17" s="9" t="s">
        <v>59</v>
      </c>
      <c r="E17" s="9" t="s">
        <v>12467</v>
      </c>
      <c r="F17" s="9">
        <v>6.0</v>
      </c>
      <c r="G17" s="9" t="s">
        <v>455</v>
      </c>
      <c r="H17" s="9"/>
      <c r="I17" s="9"/>
      <c r="J17" s="52" t="s">
        <v>12468</v>
      </c>
      <c r="K17" s="9" t="s">
        <v>12469</v>
      </c>
      <c r="L17" s="9">
        <v>97430.0</v>
      </c>
      <c r="M17" s="9" t="s">
        <v>71</v>
      </c>
      <c r="N17" s="9" t="s">
        <v>12373</v>
      </c>
      <c r="O17" s="9" t="s">
        <v>12470</v>
      </c>
      <c r="P17" s="53" t="s">
        <v>12471</v>
      </c>
      <c r="Q17" s="49" t="s">
        <v>12472</v>
      </c>
      <c r="R17" s="50"/>
      <c r="S17" s="59"/>
      <c r="T17" s="9" t="s">
        <v>12473</v>
      </c>
      <c r="U17" s="9" t="s">
        <v>12474</v>
      </c>
      <c r="V17" s="9" t="s">
        <v>12475</v>
      </c>
      <c r="W17" s="9" t="s">
        <v>12476</v>
      </c>
      <c r="X17" s="9" t="s">
        <v>12477</v>
      </c>
      <c r="Y17" s="9" t="s">
        <v>12478</v>
      </c>
      <c r="Z17" s="9" t="s">
        <v>12479</v>
      </c>
      <c r="AC17" s="9">
        <v>9.8187847300017E13</v>
      </c>
      <c r="AD17" s="9">
        <v>9.81878473E8</v>
      </c>
      <c r="AE17" s="9" t="s">
        <v>401</v>
      </c>
      <c r="AF17" s="55">
        <v>45694.50896990741</v>
      </c>
      <c r="AG17" s="9" t="s">
        <v>12480</v>
      </c>
      <c r="AH17" s="9" t="s">
        <v>12481</v>
      </c>
      <c r="AJ17" s="9" t="s">
        <v>12482</v>
      </c>
      <c r="AK17" s="9" t="b">
        <v>1</v>
      </c>
      <c r="AL17" s="9" t="b">
        <v>0</v>
      </c>
      <c r="AM17" s="9" t="s">
        <v>12483</v>
      </c>
      <c r="AN17" s="9" t="s">
        <v>10276</v>
      </c>
      <c r="AP17" s="56">
        <v>45324.0</v>
      </c>
      <c r="AQ17" s="9" t="b">
        <v>0</v>
      </c>
      <c r="AR17" s="9"/>
    </row>
    <row r="18" ht="19.5" customHeight="1">
      <c r="A18" s="7" t="s">
        <v>7714</v>
      </c>
      <c r="B18" s="7" t="s">
        <v>12484</v>
      </c>
      <c r="C18" s="7" t="s">
        <v>34</v>
      </c>
      <c r="D18" s="7" t="s">
        <v>622</v>
      </c>
      <c r="E18" s="7" t="s">
        <v>622</v>
      </c>
      <c r="F18" s="7">
        <v>30.0</v>
      </c>
      <c r="G18" s="7" t="s">
        <v>664</v>
      </c>
      <c r="H18" s="7"/>
      <c r="I18" s="7"/>
      <c r="J18" s="7">
        <v>265.0</v>
      </c>
      <c r="K18" s="7" t="s">
        <v>12485</v>
      </c>
      <c r="L18" s="7">
        <v>97480.0</v>
      </c>
      <c r="M18" s="7" t="s">
        <v>123</v>
      </c>
      <c r="N18" s="7"/>
      <c r="O18" s="7" t="s">
        <v>7722</v>
      </c>
      <c r="P18" s="42"/>
      <c r="Q18" s="49" t="s">
        <v>12486</v>
      </c>
      <c r="R18" s="50"/>
      <c r="S18" s="51"/>
      <c r="T18" s="7" t="s">
        <v>7717</v>
      </c>
      <c r="U18" s="7"/>
      <c r="V18" s="7" t="s">
        <v>7718</v>
      </c>
      <c r="W18" s="6" t="s">
        <v>12487</v>
      </c>
      <c r="X18" s="7" t="s">
        <v>6518</v>
      </c>
      <c r="Y18" s="6" t="s">
        <v>4227</v>
      </c>
      <c r="Z18" s="7" t="s">
        <v>353</v>
      </c>
      <c r="AA18" s="7"/>
      <c r="AB18" s="7"/>
      <c r="AC18" s="7">
        <v>3.2198346200011E13</v>
      </c>
      <c r="AD18" s="7">
        <v>3.21983462E8</v>
      </c>
      <c r="AE18" s="6" t="s">
        <v>401</v>
      </c>
      <c r="AF18" s="45">
        <v>45365.65163194444</v>
      </c>
      <c r="AG18" s="7" t="s">
        <v>12488</v>
      </c>
      <c r="AH18" s="46" t="s">
        <v>12489</v>
      </c>
      <c r="AI18" s="7"/>
      <c r="AJ18" s="7"/>
      <c r="AK18" s="6" t="b">
        <v>1</v>
      </c>
      <c r="AL18" s="7" t="b">
        <v>0</v>
      </c>
      <c r="AM18" s="7"/>
      <c r="AN18" s="6" t="s">
        <v>7714</v>
      </c>
      <c r="AO18" s="6">
        <v>523.0</v>
      </c>
      <c r="AP18" s="6"/>
      <c r="AQ18" s="6" t="b">
        <v>1</v>
      </c>
      <c r="AR18" s="6"/>
      <c r="AS18" s="6"/>
    </row>
    <row r="19" ht="19.5" customHeight="1">
      <c r="A19" s="7" t="s">
        <v>4887</v>
      </c>
      <c r="B19" s="6" t="s">
        <v>12490</v>
      </c>
      <c r="C19" s="7" t="s">
        <v>34</v>
      </c>
      <c r="D19" s="7" t="s">
        <v>622</v>
      </c>
      <c r="E19" s="7" t="s">
        <v>622</v>
      </c>
      <c r="F19" s="7">
        <v>15.0</v>
      </c>
      <c r="G19" s="7" t="s">
        <v>422</v>
      </c>
      <c r="H19" s="7"/>
      <c r="I19" s="7"/>
      <c r="J19" s="7">
        <v>218.0</v>
      </c>
      <c r="K19" s="7" t="s">
        <v>12491</v>
      </c>
      <c r="L19" s="7">
        <v>97480.0</v>
      </c>
      <c r="M19" s="7" t="s">
        <v>123</v>
      </c>
      <c r="N19" s="6" t="s">
        <v>8395</v>
      </c>
      <c r="O19" s="6" t="s">
        <v>12492</v>
      </c>
      <c r="P19" s="53" t="s">
        <v>12493</v>
      </c>
      <c r="Q19" s="49" t="s">
        <v>12494</v>
      </c>
      <c r="R19" s="50"/>
      <c r="S19" s="51"/>
      <c r="T19" s="7" t="s">
        <v>4891</v>
      </c>
      <c r="U19" s="7"/>
      <c r="V19" s="6" t="s">
        <v>12495</v>
      </c>
      <c r="W19" s="7"/>
      <c r="X19" s="7"/>
      <c r="Y19" s="7" t="s">
        <v>377</v>
      </c>
      <c r="Z19" s="7" t="s">
        <v>378</v>
      </c>
      <c r="AA19" s="7"/>
      <c r="AB19" s="7"/>
      <c r="AC19" s="6">
        <v>8.3930736000017E13</v>
      </c>
      <c r="AD19" s="6">
        <v>8.3930736E8</v>
      </c>
      <c r="AE19" s="6" t="s">
        <v>401</v>
      </c>
      <c r="AF19" s="45">
        <v>45510.617627314816</v>
      </c>
      <c r="AG19" s="7" t="s">
        <v>12496</v>
      </c>
      <c r="AH19" s="46" t="s">
        <v>12497</v>
      </c>
      <c r="AI19" s="7"/>
      <c r="AJ19" s="6" t="s">
        <v>12498</v>
      </c>
      <c r="AK19" s="6" t="b">
        <v>1</v>
      </c>
      <c r="AL19" s="7" t="b">
        <v>0</v>
      </c>
      <c r="AM19" s="7"/>
      <c r="AN19" s="6" t="s">
        <v>4887</v>
      </c>
      <c r="AO19" s="6">
        <v>3036.0</v>
      </c>
      <c r="AP19" s="6"/>
      <c r="AQ19" s="6" t="b">
        <v>1</v>
      </c>
      <c r="AR19" s="6"/>
      <c r="AS19" s="6" t="s">
        <v>12303</v>
      </c>
    </row>
    <row r="20" ht="19.5" customHeight="1">
      <c r="A20" s="7" t="s">
        <v>4146</v>
      </c>
      <c r="B20" s="7" t="s">
        <v>12499</v>
      </c>
      <c r="C20" s="7" t="s">
        <v>34</v>
      </c>
      <c r="D20" s="7" t="s">
        <v>622</v>
      </c>
      <c r="E20" s="7" t="s">
        <v>622</v>
      </c>
      <c r="F20" s="7">
        <v>30.0</v>
      </c>
      <c r="G20" s="7" t="s">
        <v>4149</v>
      </c>
      <c r="H20" s="7"/>
      <c r="I20" s="7"/>
      <c r="J20" s="7">
        <v>1.0</v>
      </c>
      <c r="K20" s="7" t="s">
        <v>12500</v>
      </c>
      <c r="L20" s="7">
        <v>97414.0</v>
      </c>
      <c r="M20" s="7" t="s">
        <v>40</v>
      </c>
      <c r="N20" s="7"/>
      <c r="O20" s="6" t="s">
        <v>12501</v>
      </c>
      <c r="P20" s="42" t="s">
        <v>4151</v>
      </c>
      <c r="Q20" s="43" t="s">
        <v>12502</v>
      </c>
      <c r="R20" s="50"/>
      <c r="S20" s="51"/>
      <c r="T20" s="6" t="s">
        <v>12503</v>
      </c>
      <c r="U20" s="6" t="s">
        <v>12504</v>
      </c>
      <c r="V20" s="7" t="s">
        <v>4154</v>
      </c>
      <c r="W20" s="6" t="s">
        <v>12505</v>
      </c>
      <c r="X20" s="6" t="s">
        <v>12506</v>
      </c>
      <c r="Y20" s="7" t="s">
        <v>963</v>
      </c>
      <c r="Z20" s="7" t="s">
        <v>424</v>
      </c>
      <c r="AA20" s="7"/>
      <c r="AB20" s="7"/>
      <c r="AC20" s="7">
        <v>5.1032265400029E13</v>
      </c>
      <c r="AD20" s="7">
        <v>5.10322654E8</v>
      </c>
      <c r="AE20" s="6" t="s">
        <v>401</v>
      </c>
      <c r="AF20" s="45">
        <v>45365.58804398148</v>
      </c>
      <c r="AG20" s="7" t="s">
        <v>12507</v>
      </c>
      <c r="AH20" s="46" t="s">
        <v>12508</v>
      </c>
      <c r="AI20" s="7"/>
      <c r="AJ20" s="6" t="s">
        <v>12509</v>
      </c>
      <c r="AK20" s="6" t="b">
        <v>1</v>
      </c>
      <c r="AL20" s="6" t="b">
        <v>1</v>
      </c>
      <c r="AM20" s="7"/>
      <c r="AN20" s="6" t="s">
        <v>4146</v>
      </c>
      <c r="AO20" s="6">
        <v>4552.0</v>
      </c>
      <c r="AP20" s="6"/>
      <c r="AQ20" s="6" t="b">
        <v>1</v>
      </c>
      <c r="AR20" s="6"/>
      <c r="AS20" s="48" t="s">
        <v>12303</v>
      </c>
    </row>
    <row r="21" ht="19.5" customHeight="1">
      <c r="A21" s="7" t="s">
        <v>2876</v>
      </c>
      <c r="B21" s="7" t="s">
        <v>12510</v>
      </c>
      <c r="C21" s="7" t="s">
        <v>34</v>
      </c>
      <c r="D21" s="7" t="s">
        <v>622</v>
      </c>
      <c r="E21" s="7" t="s">
        <v>622</v>
      </c>
      <c r="F21" s="7"/>
      <c r="G21" s="7" t="s">
        <v>422</v>
      </c>
      <c r="H21" s="7"/>
      <c r="I21" s="7"/>
      <c r="J21" s="7">
        <v>57.0</v>
      </c>
      <c r="K21" s="7" t="s">
        <v>12511</v>
      </c>
      <c r="L21" s="7">
        <v>97480.0</v>
      </c>
      <c r="M21" s="7" t="s">
        <v>123</v>
      </c>
      <c r="N21" s="7"/>
      <c r="O21" s="6" t="s">
        <v>12512</v>
      </c>
      <c r="P21" s="42" t="s">
        <v>12513</v>
      </c>
      <c r="Q21" s="49" t="s">
        <v>12514</v>
      </c>
      <c r="R21" s="50"/>
      <c r="S21" s="51"/>
      <c r="T21" s="7" t="s">
        <v>2880</v>
      </c>
      <c r="U21" s="7"/>
      <c r="V21" s="7"/>
      <c r="W21" s="7"/>
      <c r="X21" s="7"/>
      <c r="Y21" s="7" t="s">
        <v>377</v>
      </c>
      <c r="Z21" s="7" t="s">
        <v>378</v>
      </c>
      <c r="AA21" s="7"/>
      <c r="AB21" s="7"/>
      <c r="AC21" s="7"/>
      <c r="AD21" s="7"/>
      <c r="AE21" s="6" t="s">
        <v>401</v>
      </c>
      <c r="AF21" s="45">
        <v>45365.57282407407</v>
      </c>
      <c r="AG21" s="7" t="s">
        <v>12515</v>
      </c>
      <c r="AH21" s="46" t="s">
        <v>12516</v>
      </c>
      <c r="AI21" s="7"/>
      <c r="AJ21" s="7"/>
      <c r="AK21" s="6" t="b">
        <v>1</v>
      </c>
      <c r="AL21" s="7" t="b">
        <v>0</v>
      </c>
      <c r="AM21" s="7"/>
      <c r="AN21" s="6" t="s">
        <v>2876</v>
      </c>
      <c r="AO21" s="6">
        <v>3985.0</v>
      </c>
      <c r="AP21" s="6"/>
      <c r="AQ21" s="6" t="b">
        <v>1</v>
      </c>
      <c r="AR21" s="6" t="s">
        <v>12517</v>
      </c>
      <c r="AS21" s="6" t="s">
        <v>12303</v>
      </c>
    </row>
    <row r="22" ht="19.5" customHeight="1">
      <c r="A22" s="7" t="s">
        <v>6705</v>
      </c>
      <c r="B22" s="7" t="s">
        <v>12518</v>
      </c>
      <c r="C22" s="7" t="s">
        <v>34</v>
      </c>
      <c r="D22" s="7" t="s">
        <v>622</v>
      </c>
      <c r="E22" s="7" t="s">
        <v>1347</v>
      </c>
      <c r="F22" s="7"/>
      <c r="G22" s="7"/>
      <c r="H22" s="7"/>
      <c r="I22" s="7"/>
      <c r="J22" s="7">
        <v>37.0</v>
      </c>
      <c r="K22" s="7" t="s">
        <v>12519</v>
      </c>
      <c r="L22" s="7">
        <v>97480.0</v>
      </c>
      <c r="M22" s="7" t="s">
        <v>123</v>
      </c>
      <c r="N22" s="7"/>
      <c r="O22" s="6" t="s">
        <v>12520</v>
      </c>
      <c r="P22" s="53" t="s">
        <v>12521</v>
      </c>
      <c r="Q22" s="43" t="s">
        <v>12522</v>
      </c>
      <c r="R22" s="50"/>
      <c r="S22" s="44" t="s">
        <v>12523</v>
      </c>
      <c r="T22" s="7" t="s">
        <v>6709</v>
      </c>
      <c r="U22" s="7" t="s">
        <v>6708</v>
      </c>
      <c r="V22" s="7"/>
      <c r="W22" s="7"/>
      <c r="X22" s="6" t="s">
        <v>2436</v>
      </c>
      <c r="Y22" s="7"/>
      <c r="Z22" s="7" t="s">
        <v>378</v>
      </c>
      <c r="AA22" s="7"/>
      <c r="AB22" s="7"/>
      <c r="AC22" s="7"/>
      <c r="AD22" s="7"/>
      <c r="AE22" s="6" t="s">
        <v>401</v>
      </c>
      <c r="AF22" s="45">
        <v>45377.4562037037</v>
      </c>
      <c r="AG22" s="7" t="s">
        <v>12524</v>
      </c>
      <c r="AH22" s="46" t="s">
        <v>12525</v>
      </c>
      <c r="AI22" s="7"/>
      <c r="AJ22" s="6" t="s">
        <v>12526</v>
      </c>
      <c r="AK22" s="6" t="b">
        <v>1</v>
      </c>
      <c r="AL22" s="7" t="b">
        <v>0</v>
      </c>
      <c r="AM22" s="7"/>
      <c r="AN22" s="6" t="s">
        <v>6705</v>
      </c>
      <c r="AO22" s="6">
        <v>4584.0</v>
      </c>
      <c r="AP22" s="6"/>
      <c r="AQ22" s="6" t="b">
        <v>1</v>
      </c>
      <c r="AR22" s="6"/>
      <c r="AS22" s="6"/>
    </row>
    <row r="23" ht="19.5" customHeight="1">
      <c r="A23" s="7" t="s">
        <v>5139</v>
      </c>
      <c r="B23" s="7" t="s">
        <v>12527</v>
      </c>
      <c r="C23" s="7" t="s">
        <v>34</v>
      </c>
      <c r="D23" s="7" t="s">
        <v>485</v>
      </c>
      <c r="E23" s="7" t="s">
        <v>486</v>
      </c>
      <c r="F23" s="7">
        <v>25.0</v>
      </c>
      <c r="G23" s="7" t="s">
        <v>455</v>
      </c>
      <c r="H23" s="7"/>
      <c r="I23" s="7"/>
      <c r="J23" s="41" t="s">
        <v>12528</v>
      </c>
      <c r="K23" s="6" t="s">
        <v>12529</v>
      </c>
      <c r="L23" s="7">
        <v>97480.0</v>
      </c>
      <c r="M23" s="7" t="s">
        <v>123</v>
      </c>
      <c r="N23" s="7"/>
      <c r="O23" s="6" t="s">
        <v>12530</v>
      </c>
      <c r="P23" s="42" t="s">
        <v>5143</v>
      </c>
      <c r="Q23" s="43" t="s">
        <v>12531</v>
      </c>
      <c r="R23" s="50"/>
      <c r="S23" s="51"/>
      <c r="T23" s="7" t="s">
        <v>5145</v>
      </c>
      <c r="U23" s="7" t="s">
        <v>5144</v>
      </c>
      <c r="V23" s="7" t="s">
        <v>5146</v>
      </c>
      <c r="W23" s="6" t="s">
        <v>12532</v>
      </c>
      <c r="X23" s="7" t="s">
        <v>5142</v>
      </c>
      <c r="Y23" s="7" t="s">
        <v>377</v>
      </c>
      <c r="Z23" s="7" t="s">
        <v>353</v>
      </c>
      <c r="AA23" s="7"/>
      <c r="AB23" s="7"/>
      <c r="AC23" s="6">
        <v>4.4464876000015E13</v>
      </c>
      <c r="AD23" s="6">
        <v>4.4464876E8</v>
      </c>
      <c r="AE23" s="6" t="s">
        <v>401</v>
      </c>
      <c r="AF23" s="45">
        <v>45995.418171296296</v>
      </c>
      <c r="AG23" s="7" t="s">
        <v>12533</v>
      </c>
      <c r="AH23" s="46" t="s">
        <v>12534</v>
      </c>
      <c r="AI23" s="7"/>
      <c r="AJ23" s="6" t="s">
        <v>12535</v>
      </c>
      <c r="AK23" s="6" t="b">
        <v>1</v>
      </c>
      <c r="AL23" s="7" t="b">
        <v>0</v>
      </c>
      <c r="AM23" s="7"/>
      <c r="AN23" s="6" t="s">
        <v>5139</v>
      </c>
      <c r="AO23" s="6">
        <v>3919.0</v>
      </c>
      <c r="AP23" s="6"/>
      <c r="AQ23" s="6" t="b">
        <v>1</v>
      </c>
      <c r="AR23" s="6"/>
      <c r="AS23" s="6" t="s">
        <v>12303</v>
      </c>
    </row>
    <row r="24" ht="19.5" customHeight="1">
      <c r="A24" s="7" t="s">
        <v>2496</v>
      </c>
      <c r="B24" s="7" t="s">
        <v>2497</v>
      </c>
      <c r="C24" s="7" t="s">
        <v>34</v>
      </c>
      <c r="D24" s="7" t="s">
        <v>622</v>
      </c>
      <c r="E24" s="7" t="s">
        <v>1347</v>
      </c>
      <c r="F24" s="7">
        <v>70.0</v>
      </c>
      <c r="G24" s="7" t="s">
        <v>422</v>
      </c>
      <c r="H24" s="7"/>
      <c r="I24" s="7"/>
      <c r="J24" s="7">
        <v>194.0</v>
      </c>
      <c r="K24" s="7" t="s">
        <v>12536</v>
      </c>
      <c r="L24" s="7">
        <v>97480.0</v>
      </c>
      <c r="M24" s="7" t="s">
        <v>123</v>
      </c>
      <c r="N24" s="6" t="s">
        <v>3556</v>
      </c>
      <c r="O24" s="6" t="s">
        <v>12537</v>
      </c>
      <c r="P24" s="53" t="s">
        <v>12538</v>
      </c>
      <c r="Q24" s="49" t="s">
        <v>12539</v>
      </c>
      <c r="R24" s="50"/>
      <c r="S24" s="51"/>
      <c r="T24" s="6" t="s">
        <v>12540</v>
      </c>
      <c r="U24" s="6" t="s">
        <v>12541</v>
      </c>
      <c r="V24" s="6" t="s">
        <v>12542</v>
      </c>
      <c r="W24" s="6" t="s">
        <v>12543</v>
      </c>
      <c r="X24" s="6" t="s">
        <v>12544</v>
      </c>
      <c r="Y24" s="7" t="s">
        <v>377</v>
      </c>
      <c r="Z24" s="7" t="s">
        <v>353</v>
      </c>
      <c r="AA24" s="7"/>
      <c r="AB24" s="7"/>
      <c r="AC24" s="7">
        <v>8.441702330001E13</v>
      </c>
      <c r="AD24" s="7">
        <v>8.44170233E8</v>
      </c>
      <c r="AE24" s="6" t="s">
        <v>401</v>
      </c>
      <c r="AF24" s="45">
        <v>45457.343680555554</v>
      </c>
      <c r="AG24" s="7" t="s">
        <v>12545</v>
      </c>
      <c r="AH24" s="46" t="s">
        <v>12546</v>
      </c>
      <c r="AI24" s="7"/>
      <c r="AJ24" s="6" t="s">
        <v>12547</v>
      </c>
      <c r="AK24" s="6" t="b">
        <v>1</v>
      </c>
      <c r="AL24" s="7" t="b">
        <v>0</v>
      </c>
      <c r="AM24" s="7"/>
      <c r="AN24" s="6" t="s">
        <v>2496</v>
      </c>
      <c r="AO24" s="6">
        <v>3983.0</v>
      </c>
      <c r="AP24" s="6"/>
      <c r="AQ24" s="6" t="b">
        <v>1</v>
      </c>
      <c r="AR24" s="6"/>
      <c r="AS24" s="6" t="s">
        <v>12303</v>
      </c>
    </row>
    <row r="25" ht="19.5" customHeight="1">
      <c r="A25" s="7" t="s">
        <v>3765</v>
      </c>
      <c r="B25" s="7" t="s">
        <v>3766</v>
      </c>
      <c r="C25" s="7" t="s">
        <v>34</v>
      </c>
      <c r="D25" s="7" t="s">
        <v>1414</v>
      </c>
      <c r="E25" s="7" t="s">
        <v>1415</v>
      </c>
      <c r="F25" s="7">
        <v>80.0</v>
      </c>
      <c r="G25" s="7" t="s">
        <v>455</v>
      </c>
      <c r="H25" s="7"/>
      <c r="I25" s="7" t="s">
        <v>1419</v>
      </c>
      <c r="J25" s="7">
        <v>44.0</v>
      </c>
      <c r="K25" s="6" t="s">
        <v>12548</v>
      </c>
      <c r="L25" s="7">
        <v>97480.0</v>
      </c>
      <c r="M25" s="7" t="s">
        <v>123</v>
      </c>
      <c r="N25" s="7" t="s">
        <v>8373</v>
      </c>
      <c r="O25" s="6" t="s">
        <v>12549</v>
      </c>
      <c r="P25" s="42" t="s">
        <v>3771</v>
      </c>
      <c r="Q25" s="43" t="s">
        <v>12550</v>
      </c>
      <c r="R25" s="43" t="s">
        <v>12551</v>
      </c>
      <c r="S25" s="47" t="s">
        <v>3769</v>
      </c>
      <c r="T25" s="7" t="s">
        <v>3773</v>
      </c>
      <c r="U25" s="7" t="s">
        <v>3772</v>
      </c>
      <c r="V25" s="7" t="s">
        <v>3774</v>
      </c>
      <c r="W25" s="6" t="s">
        <v>12552</v>
      </c>
      <c r="X25" s="7" t="s">
        <v>3334</v>
      </c>
      <c r="Y25" s="7" t="s">
        <v>377</v>
      </c>
      <c r="Z25" s="7" t="s">
        <v>592</v>
      </c>
      <c r="AA25" s="7"/>
      <c r="AB25" s="7"/>
      <c r="AC25" s="7">
        <v>4.2181946700018E13</v>
      </c>
      <c r="AD25" s="7">
        <v>4.21819467E8</v>
      </c>
      <c r="AE25" s="6" t="s">
        <v>401</v>
      </c>
      <c r="AF25" s="45">
        <v>45364.64643518518</v>
      </c>
      <c r="AG25" s="7" t="s">
        <v>12553</v>
      </c>
      <c r="AH25" s="46" t="s">
        <v>12554</v>
      </c>
      <c r="AI25" s="7"/>
      <c r="AJ25" s="6" t="s">
        <v>12555</v>
      </c>
      <c r="AK25" s="6" t="b">
        <v>1</v>
      </c>
      <c r="AL25" s="7" t="b">
        <v>0</v>
      </c>
      <c r="AM25" s="7"/>
      <c r="AN25" s="6" t="s">
        <v>3765</v>
      </c>
      <c r="AO25" s="6">
        <v>447.0</v>
      </c>
      <c r="AP25" s="6"/>
      <c r="AQ25" s="6" t="b">
        <v>1</v>
      </c>
      <c r="AR25" s="6"/>
      <c r="AS25" s="6" t="s">
        <v>12303</v>
      </c>
    </row>
    <row r="26" ht="19.5" customHeight="1">
      <c r="A26" s="7" t="s">
        <v>1410</v>
      </c>
      <c r="B26" s="7" t="s">
        <v>12556</v>
      </c>
      <c r="C26" s="7" t="s">
        <v>34</v>
      </c>
      <c r="D26" s="7" t="s">
        <v>1414</v>
      </c>
      <c r="E26" s="7" t="s">
        <v>1415</v>
      </c>
      <c r="F26" s="7">
        <v>80.0</v>
      </c>
      <c r="G26" s="7" t="s">
        <v>455</v>
      </c>
      <c r="H26" s="7"/>
      <c r="I26" s="7" t="s">
        <v>1419</v>
      </c>
      <c r="J26" s="7">
        <v>39.0</v>
      </c>
      <c r="K26" s="7" t="s">
        <v>12557</v>
      </c>
      <c r="L26" s="7">
        <v>97480.0</v>
      </c>
      <c r="M26" s="7" t="s">
        <v>123</v>
      </c>
      <c r="N26" s="6" t="s">
        <v>4456</v>
      </c>
      <c r="O26" s="6" t="s">
        <v>12558</v>
      </c>
      <c r="P26" s="42" t="s">
        <v>1416</v>
      </c>
      <c r="Q26" s="49" t="s">
        <v>12559</v>
      </c>
      <c r="R26" s="43" t="s">
        <v>12559</v>
      </c>
      <c r="S26" s="51"/>
      <c r="T26" s="7" t="s">
        <v>1418</v>
      </c>
      <c r="U26" s="7" t="s">
        <v>1417</v>
      </c>
      <c r="V26" s="7"/>
      <c r="W26" s="6" t="s">
        <v>12532</v>
      </c>
      <c r="X26" s="7"/>
      <c r="Y26" s="7" t="s">
        <v>377</v>
      </c>
      <c r="Z26" s="7" t="s">
        <v>378</v>
      </c>
      <c r="AA26" s="7"/>
      <c r="AB26" s="7"/>
      <c r="AC26" s="7"/>
      <c r="AD26" s="7"/>
      <c r="AE26" s="6" t="s">
        <v>401</v>
      </c>
      <c r="AF26" s="45">
        <v>45364.58859953703</v>
      </c>
      <c r="AG26" s="7" t="s">
        <v>12560</v>
      </c>
      <c r="AH26" s="46" t="s">
        <v>12561</v>
      </c>
      <c r="AI26" s="7"/>
      <c r="AJ26" s="6" t="s">
        <v>12562</v>
      </c>
      <c r="AK26" s="6" t="b">
        <v>1</v>
      </c>
      <c r="AL26" s="7" t="b">
        <v>0</v>
      </c>
      <c r="AM26" s="7"/>
      <c r="AN26" s="6" t="s">
        <v>1410</v>
      </c>
      <c r="AO26" s="6">
        <v>3053.0</v>
      </c>
      <c r="AP26" s="6"/>
      <c r="AQ26" s="6" t="b">
        <v>1</v>
      </c>
      <c r="AR26" s="6"/>
      <c r="AS26" s="6" t="s">
        <v>12303</v>
      </c>
    </row>
    <row r="27" ht="19.5" customHeight="1">
      <c r="A27" s="9" t="s">
        <v>11929</v>
      </c>
      <c r="B27" s="9" t="s">
        <v>12563</v>
      </c>
      <c r="C27" s="9" t="s">
        <v>58</v>
      </c>
      <c r="D27" s="9" t="s">
        <v>59</v>
      </c>
      <c r="E27" s="9" t="s">
        <v>545</v>
      </c>
      <c r="F27" s="9">
        <v>4.0</v>
      </c>
      <c r="G27" s="9" t="s">
        <v>375</v>
      </c>
      <c r="H27" s="9" t="s">
        <v>2716</v>
      </c>
      <c r="J27" s="9" t="s">
        <v>12564</v>
      </c>
      <c r="K27" s="9" t="s">
        <v>12565</v>
      </c>
      <c r="L27" s="9">
        <v>97480.0</v>
      </c>
      <c r="M27" s="9" t="s">
        <v>123</v>
      </c>
      <c r="N27" s="9" t="s">
        <v>206</v>
      </c>
      <c r="O27" s="9" t="s">
        <v>12566</v>
      </c>
      <c r="P27" s="53" t="s">
        <v>12567</v>
      </c>
      <c r="Q27" s="49" t="s">
        <v>12568</v>
      </c>
      <c r="R27" s="50"/>
      <c r="S27" s="54"/>
      <c r="T27" s="9" t="s">
        <v>12569</v>
      </c>
      <c r="U27" s="9" t="s">
        <v>12570</v>
      </c>
      <c r="V27" s="9" t="s">
        <v>12571</v>
      </c>
      <c r="W27" s="9" t="s">
        <v>12572</v>
      </c>
      <c r="X27" s="9" t="s">
        <v>12573</v>
      </c>
      <c r="Y27" s="9" t="s">
        <v>12574</v>
      </c>
      <c r="Z27" s="9" t="s">
        <v>353</v>
      </c>
      <c r="AC27" s="9">
        <v>3.5355633500027E13</v>
      </c>
      <c r="AD27" s="9">
        <v>3.53556335E8</v>
      </c>
      <c r="AE27" s="9" t="s">
        <v>401</v>
      </c>
      <c r="AF27" s="55">
        <v>45400.44314814815</v>
      </c>
      <c r="AG27" s="9" t="s">
        <v>12575</v>
      </c>
      <c r="AH27" s="9" t="s">
        <v>12576</v>
      </c>
      <c r="AJ27" s="9" t="s">
        <v>12577</v>
      </c>
      <c r="AK27" s="9" t="b">
        <v>0</v>
      </c>
      <c r="AL27" s="9" t="b">
        <v>0</v>
      </c>
      <c r="AM27" s="9" t="s">
        <v>12578</v>
      </c>
      <c r="AN27" s="9" t="s">
        <v>11929</v>
      </c>
      <c r="AP27" s="56">
        <v>45036.0</v>
      </c>
      <c r="AQ27" s="9" t="b">
        <v>0</v>
      </c>
      <c r="AR27" s="9" t="s">
        <v>12579</v>
      </c>
    </row>
    <row r="28" ht="19.5" customHeight="1">
      <c r="A28" s="7" t="s">
        <v>7358</v>
      </c>
      <c r="B28" s="7" t="s">
        <v>12580</v>
      </c>
      <c r="C28" s="7" t="s">
        <v>34</v>
      </c>
      <c r="D28" s="7" t="s">
        <v>622</v>
      </c>
      <c r="E28" s="7" t="s">
        <v>622</v>
      </c>
      <c r="F28" s="6">
        <v>100.0</v>
      </c>
      <c r="G28" s="7" t="s">
        <v>455</v>
      </c>
      <c r="H28" s="7"/>
      <c r="I28" s="7"/>
      <c r="J28" s="7">
        <v>23.0</v>
      </c>
      <c r="K28" s="6" t="s">
        <v>12581</v>
      </c>
      <c r="L28" s="7">
        <v>97480.0</v>
      </c>
      <c r="M28" s="7" t="s">
        <v>123</v>
      </c>
      <c r="N28" s="7" t="s">
        <v>8325</v>
      </c>
      <c r="O28" s="6" t="s">
        <v>12582</v>
      </c>
      <c r="P28" s="42"/>
      <c r="Q28" s="49" t="s">
        <v>12583</v>
      </c>
      <c r="R28" s="50"/>
      <c r="S28" s="51"/>
      <c r="T28" s="6" t="s">
        <v>12584</v>
      </c>
      <c r="U28" s="7" t="s">
        <v>7364</v>
      </c>
      <c r="V28" s="7" t="s">
        <v>7366</v>
      </c>
      <c r="W28" s="6" t="s">
        <v>12585</v>
      </c>
      <c r="X28" s="7" t="s">
        <v>7361</v>
      </c>
      <c r="Y28" s="6" t="s">
        <v>7362</v>
      </c>
      <c r="Z28" s="7" t="s">
        <v>1508</v>
      </c>
      <c r="AA28" s="7"/>
      <c r="AB28" s="7"/>
      <c r="AC28" s="6">
        <v>4.1763598400046E13</v>
      </c>
      <c r="AD28" s="6">
        <v>4.17635984E8</v>
      </c>
      <c r="AE28" s="7" t="s">
        <v>401</v>
      </c>
      <c r="AF28" s="45">
        <v>45364.57083333333</v>
      </c>
      <c r="AG28" s="7" t="s">
        <v>12450</v>
      </c>
      <c r="AH28" s="46" t="s">
        <v>12586</v>
      </c>
      <c r="AI28" s="7"/>
      <c r="AJ28" s="6" t="s">
        <v>12587</v>
      </c>
      <c r="AK28" s="6" t="b">
        <v>1</v>
      </c>
      <c r="AL28" s="7" t="b">
        <v>0</v>
      </c>
      <c r="AM28" s="7"/>
      <c r="AN28" s="6" t="s">
        <v>7358</v>
      </c>
      <c r="AO28" s="7"/>
      <c r="AP28" s="7"/>
      <c r="AQ28" s="6" t="b">
        <v>1</v>
      </c>
      <c r="AR28" s="6"/>
      <c r="AS28" s="6"/>
    </row>
    <row r="29" ht="19.5" customHeight="1">
      <c r="A29" s="9" t="s">
        <v>11526</v>
      </c>
      <c r="B29" s="9" t="s">
        <v>12588</v>
      </c>
      <c r="C29" s="9" t="s">
        <v>58</v>
      </c>
      <c r="D29" s="9" t="s">
        <v>59</v>
      </c>
      <c r="E29" s="9" t="s">
        <v>346</v>
      </c>
      <c r="F29" s="9">
        <v>8.0</v>
      </c>
      <c r="G29" s="9" t="s">
        <v>455</v>
      </c>
      <c r="H29" s="9"/>
      <c r="I29" s="9"/>
      <c r="J29" s="52" t="s">
        <v>12589</v>
      </c>
      <c r="K29" s="9" t="s">
        <v>12590</v>
      </c>
      <c r="L29" s="9">
        <v>97418.0</v>
      </c>
      <c r="M29" s="9" t="s">
        <v>71</v>
      </c>
      <c r="N29" s="9" t="s">
        <v>216</v>
      </c>
      <c r="O29" s="9" t="s">
        <v>12591</v>
      </c>
      <c r="P29" s="53" t="s">
        <v>12592</v>
      </c>
      <c r="Q29" s="49" t="s">
        <v>12593</v>
      </c>
      <c r="R29" s="50"/>
      <c r="S29" s="59"/>
      <c r="T29" s="9" t="s">
        <v>12594</v>
      </c>
      <c r="U29" s="9" t="s">
        <v>12588</v>
      </c>
      <c r="V29" s="9" t="s">
        <v>12595</v>
      </c>
      <c r="W29" s="9" t="s">
        <v>12596</v>
      </c>
      <c r="X29" s="9" t="s">
        <v>12597</v>
      </c>
      <c r="Y29" s="9" t="s">
        <v>12598</v>
      </c>
      <c r="Z29" s="9" t="s">
        <v>3685</v>
      </c>
      <c r="AC29" s="9">
        <v>9.8177763400016E13</v>
      </c>
      <c r="AD29" s="9">
        <v>9.81777634E8</v>
      </c>
      <c r="AE29" s="9" t="s">
        <v>12355</v>
      </c>
      <c r="AF29" s="55">
        <v>45545.55899305556</v>
      </c>
      <c r="AG29" s="9" t="s">
        <v>12599</v>
      </c>
      <c r="AH29" s="9" t="s">
        <v>12600</v>
      </c>
      <c r="AJ29" s="9" t="s">
        <v>12601</v>
      </c>
      <c r="AK29" s="9" t="b">
        <v>1</v>
      </c>
      <c r="AL29" s="9" t="b">
        <v>0</v>
      </c>
      <c r="AM29" s="9" t="s">
        <v>12602</v>
      </c>
      <c r="AN29" s="9" t="s">
        <v>11526</v>
      </c>
      <c r="AP29" s="56">
        <v>45273.0</v>
      </c>
      <c r="AQ29" s="9" t="b">
        <v>0</v>
      </c>
      <c r="AR29" s="9"/>
    </row>
    <row r="30" ht="19.5" customHeight="1">
      <c r="A30" s="9" t="s">
        <v>11817</v>
      </c>
      <c r="B30" s="9" t="s">
        <v>12603</v>
      </c>
      <c r="C30" s="9" t="s">
        <v>58</v>
      </c>
      <c r="D30" s="9" t="s">
        <v>59</v>
      </c>
      <c r="E30" s="9" t="s">
        <v>346</v>
      </c>
      <c r="F30" s="9">
        <v>3.0</v>
      </c>
      <c r="J30" s="9" t="s">
        <v>12604</v>
      </c>
      <c r="K30" s="9" t="s">
        <v>12605</v>
      </c>
      <c r="L30" s="9">
        <v>97480.0</v>
      </c>
      <c r="M30" s="9" t="s">
        <v>123</v>
      </c>
      <c r="N30" s="9" t="s">
        <v>12603</v>
      </c>
      <c r="O30" s="9" t="s">
        <v>12606</v>
      </c>
      <c r="P30" s="53" t="s">
        <v>8722</v>
      </c>
      <c r="Q30" s="49" t="s">
        <v>12607</v>
      </c>
      <c r="R30" s="50"/>
      <c r="S30" s="54"/>
      <c r="W30" s="9" t="s">
        <v>12608</v>
      </c>
      <c r="Y30" s="9" t="s">
        <v>499</v>
      </c>
      <c r="Z30" s="9" t="s">
        <v>5551</v>
      </c>
      <c r="AE30" s="9" t="s">
        <v>12355</v>
      </c>
      <c r="AF30" s="55">
        <v>45894.61263888889</v>
      </c>
      <c r="AG30" s="9" t="s">
        <v>12609</v>
      </c>
      <c r="AH30" s="9" t="s">
        <v>12610</v>
      </c>
      <c r="AJ30" s="9" t="s">
        <v>12611</v>
      </c>
      <c r="AM30" s="9" t="s">
        <v>12612</v>
      </c>
      <c r="AN30" s="9" t="s">
        <v>11817</v>
      </c>
      <c r="AP30" s="56">
        <v>44609.0</v>
      </c>
      <c r="AQ30" s="9" t="b">
        <v>0</v>
      </c>
      <c r="AR30" s="9" t="s">
        <v>12613</v>
      </c>
    </row>
    <row r="31" ht="19.5" customHeight="1">
      <c r="A31" s="9" t="s">
        <v>11830</v>
      </c>
      <c r="B31" s="9" t="s">
        <v>12614</v>
      </c>
      <c r="C31" s="9" t="s">
        <v>58</v>
      </c>
      <c r="D31" s="9" t="s">
        <v>59</v>
      </c>
      <c r="E31" s="9" t="s">
        <v>374</v>
      </c>
      <c r="F31" s="9">
        <v>4.0</v>
      </c>
      <c r="G31" s="9"/>
      <c r="H31" s="9"/>
      <c r="I31" s="9"/>
      <c r="J31" s="52" t="s">
        <v>12615</v>
      </c>
      <c r="K31" s="9" t="s">
        <v>12616</v>
      </c>
      <c r="L31" s="9">
        <v>97430.0</v>
      </c>
      <c r="M31" s="9" t="s">
        <v>71</v>
      </c>
      <c r="N31" s="9"/>
      <c r="O31" s="9" t="s">
        <v>12617</v>
      </c>
      <c r="P31" s="53" t="s">
        <v>12618</v>
      </c>
      <c r="Q31" s="49" t="s">
        <v>12619</v>
      </c>
      <c r="R31" s="50"/>
      <c r="S31" s="59"/>
      <c r="T31" s="9" t="s">
        <v>12620</v>
      </c>
      <c r="U31" s="9" t="s">
        <v>12621</v>
      </c>
      <c r="V31" s="9"/>
      <c r="W31" s="9" t="s">
        <v>12622</v>
      </c>
      <c r="X31" s="9" t="s">
        <v>12623</v>
      </c>
      <c r="Y31" s="9" t="s">
        <v>12624</v>
      </c>
      <c r="Z31" s="9" t="s">
        <v>378</v>
      </c>
      <c r="AC31" s="9">
        <v>8.9128337600012E13</v>
      </c>
      <c r="AD31" s="9">
        <v>8.91283376E8</v>
      </c>
      <c r="AE31" s="9" t="s">
        <v>401</v>
      </c>
      <c r="AF31" s="55">
        <v>45363.36017361111</v>
      </c>
      <c r="AG31" s="9" t="s">
        <v>12625</v>
      </c>
      <c r="AH31" s="9" t="s">
        <v>12626</v>
      </c>
      <c r="AJ31" s="9" t="s">
        <v>12627</v>
      </c>
      <c r="AK31" s="9" t="b">
        <v>0</v>
      </c>
      <c r="AL31" s="9" t="b">
        <v>0</v>
      </c>
      <c r="AM31" s="9" t="s">
        <v>12628</v>
      </c>
      <c r="AN31" s="9" t="s">
        <v>11830</v>
      </c>
      <c r="AP31" s="56">
        <v>45295.0</v>
      </c>
      <c r="AQ31" s="9" t="b">
        <v>0</v>
      </c>
      <c r="AR31" s="9"/>
    </row>
    <row r="32" ht="19.5" customHeight="1">
      <c r="A32" s="9" t="s">
        <v>10283</v>
      </c>
      <c r="B32" s="9" t="s">
        <v>12629</v>
      </c>
      <c r="C32" s="9" t="s">
        <v>58</v>
      </c>
      <c r="D32" s="9" t="s">
        <v>59</v>
      </c>
      <c r="E32" s="9" t="s">
        <v>374</v>
      </c>
      <c r="F32" s="9">
        <v>4.0</v>
      </c>
      <c r="G32" s="9"/>
      <c r="H32" s="9"/>
      <c r="I32" s="9"/>
      <c r="J32" s="52" t="s">
        <v>12630</v>
      </c>
      <c r="K32" s="9" t="s">
        <v>12631</v>
      </c>
      <c r="L32" s="9">
        <v>97430.0</v>
      </c>
      <c r="M32" s="9" t="s">
        <v>71</v>
      </c>
      <c r="N32" s="9"/>
      <c r="O32" s="9" t="s">
        <v>12632</v>
      </c>
      <c r="P32" s="53" t="s">
        <v>12618</v>
      </c>
      <c r="Q32" s="49" t="s">
        <v>12619</v>
      </c>
      <c r="R32" s="50"/>
      <c r="S32" s="59"/>
      <c r="T32" s="9" t="s">
        <v>12633</v>
      </c>
      <c r="U32" s="9" t="s">
        <v>12634</v>
      </c>
      <c r="V32" s="9"/>
      <c r="W32" s="9" t="s">
        <v>12635</v>
      </c>
      <c r="X32" s="9" t="s">
        <v>12636</v>
      </c>
      <c r="Y32" s="9" t="s">
        <v>12624</v>
      </c>
      <c r="Z32" s="9" t="s">
        <v>378</v>
      </c>
      <c r="AC32" s="9">
        <v>8.9128337600012E13</v>
      </c>
      <c r="AD32" s="9">
        <v>8.91283376E8</v>
      </c>
      <c r="AE32" s="9" t="s">
        <v>401</v>
      </c>
      <c r="AF32" s="55">
        <v>45363.35958333333</v>
      </c>
      <c r="AG32" s="9" t="s">
        <v>12625</v>
      </c>
      <c r="AH32" s="9" t="s">
        <v>12637</v>
      </c>
      <c r="AJ32" s="9" t="s">
        <v>12638</v>
      </c>
      <c r="AK32" s="9" t="b">
        <v>1</v>
      </c>
      <c r="AL32" s="9" t="b">
        <v>0</v>
      </c>
      <c r="AM32" s="9" t="s">
        <v>12639</v>
      </c>
      <c r="AN32" s="9" t="s">
        <v>10283</v>
      </c>
      <c r="AP32" s="56">
        <v>45295.0</v>
      </c>
      <c r="AQ32" s="9" t="b">
        <v>0</v>
      </c>
      <c r="AR32" s="9"/>
    </row>
    <row r="33" ht="19.5" customHeight="1">
      <c r="A33" s="7" t="s">
        <v>5563</v>
      </c>
      <c r="B33" s="7" t="s">
        <v>12640</v>
      </c>
      <c r="C33" s="7" t="s">
        <v>34</v>
      </c>
      <c r="D33" s="7" t="s">
        <v>485</v>
      </c>
      <c r="E33" s="7" t="s">
        <v>486</v>
      </c>
      <c r="F33" s="7">
        <v>100.0</v>
      </c>
      <c r="G33" s="7" t="s">
        <v>347</v>
      </c>
      <c r="H33" s="7"/>
      <c r="I33" s="7"/>
      <c r="J33" s="41" t="s">
        <v>12641</v>
      </c>
      <c r="K33" s="6" t="s">
        <v>12642</v>
      </c>
      <c r="L33" s="7">
        <v>97480.0</v>
      </c>
      <c r="M33" s="7" t="s">
        <v>123</v>
      </c>
      <c r="N33" s="6" t="s">
        <v>8383</v>
      </c>
      <c r="O33" s="6" t="s">
        <v>12643</v>
      </c>
      <c r="P33" s="42" t="s">
        <v>4355</v>
      </c>
      <c r="Q33" s="43" t="s">
        <v>12644</v>
      </c>
      <c r="R33" s="43" t="s">
        <v>12645</v>
      </c>
      <c r="S33" s="51"/>
      <c r="T33" s="7" t="s">
        <v>5566</v>
      </c>
      <c r="U33" s="7"/>
      <c r="V33" s="7" t="s">
        <v>5567</v>
      </c>
      <c r="W33" s="7" t="s">
        <v>646</v>
      </c>
      <c r="X33" s="7" t="s">
        <v>2106</v>
      </c>
      <c r="Y33" s="7" t="s">
        <v>377</v>
      </c>
      <c r="Z33" s="7" t="s">
        <v>592</v>
      </c>
      <c r="AA33" s="7"/>
      <c r="AB33" s="7"/>
      <c r="AC33" s="7">
        <v>7.9246334100026E13</v>
      </c>
      <c r="AD33" s="6">
        <v>7.92463341E8</v>
      </c>
      <c r="AE33" s="6" t="s">
        <v>401</v>
      </c>
      <c r="AF33" s="45">
        <v>45359.640625</v>
      </c>
      <c r="AG33" s="7" t="s">
        <v>12646</v>
      </c>
      <c r="AH33" s="46" t="s">
        <v>12647</v>
      </c>
      <c r="AI33" s="7"/>
      <c r="AJ33" s="7"/>
      <c r="AK33" s="7" t="b">
        <v>0</v>
      </c>
      <c r="AL33" s="7" t="b">
        <v>0</v>
      </c>
      <c r="AM33" s="7"/>
      <c r="AN33" s="6" t="s">
        <v>5563</v>
      </c>
      <c r="AO33" s="6">
        <v>958.0</v>
      </c>
      <c r="AP33" s="6"/>
      <c r="AQ33" s="6" t="b">
        <v>1</v>
      </c>
      <c r="AR33" s="6"/>
      <c r="AS33" s="6" t="s">
        <v>12303</v>
      </c>
    </row>
    <row r="34" ht="19.5" customHeight="1">
      <c r="A34" s="7" t="s">
        <v>7380</v>
      </c>
      <c r="B34" s="7" t="s">
        <v>12648</v>
      </c>
      <c r="C34" s="7" t="s">
        <v>34</v>
      </c>
      <c r="D34" s="7" t="s">
        <v>622</v>
      </c>
      <c r="E34" s="7" t="s">
        <v>622</v>
      </c>
      <c r="F34" s="7">
        <v>30.0</v>
      </c>
      <c r="G34" s="7" t="s">
        <v>422</v>
      </c>
      <c r="H34" s="7"/>
      <c r="I34" s="7"/>
      <c r="J34" s="7">
        <v>234.0</v>
      </c>
      <c r="K34" s="7" t="s">
        <v>12649</v>
      </c>
      <c r="L34" s="7">
        <v>97480.0</v>
      </c>
      <c r="M34" s="7" t="s">
        <v>123</v>
      </c>
      <c r="N34" s="6" t="s">
        <v>8395</v>
      </c>
      <c r="O34" s="6" t="s">
        <v>12650</v>
      </c>
      <c r="P34" s="42" t="s">
        <v>7383</v>
      </c>
      <c r="Q34" s="43" t="s">
        <v>12651</v>
      </c>
      <c r="R34" s="43" t="s">
        <v>12652</v>
      </c>
      <c r="S34" s="51"/>
      <c r="T34" s="6" t="s">
        <v>12653</v>
      </c>
      <c r="U34" s="6" t="s">
        <v>12654</v>
      </c>
      <c r="V34" s="7"/>
      <c r="W34" s="6" t="s">
        <v>12655</v>
      </c>
      <c r="X34" s="7"/>
      <c r="Y34" s="6" t="s">
        <v>12656</v>
      </c>
      <c r="Z34" s="7" t="s">
        <v>353</v>
      </c>
      <c r="AA34" s="7"/>
      <c r="AB34" s="7"/>
      <c r="AC34" s="7"/>
      <c r="AD34" s="7"/>
      <c r="AE34" s="6" t="s">
        <v>401</v>
      </c>
      <c r="AF34" s="45">
        <v>45673.44835648148</v>
      </c>
      <c r="AG34" s="7" t="s">
        <v>12657</v>
      </c>
      <c r="AH34" s="46" t="s">
        <v>12658</v>
      </c>
      <c r="AI34" s="7"/>
      <c r="AJ34" s="6" t="s">
        <v>12659</v>
      </c>
      <c r="AK34" s="6" t="b">
        <v>1</v>
      </c>
      <c r="AL34" s="7" t="b">
        <v>0</v>
      </c>
      <c r="AM34" s="7"/>
      <c r="AN34" s="6" t="s">
        <v>7380</v>
      </c>
      <c r="AO34" s="6">
        <v>3984.0</v>
      </c>
      <c r="AP34" s="6"/>
      <c r="AQ34" s="6" t="b">
        <v>1</v>
      </c>
      <c r="AR34" s="6"/>
      <c r="AS34" s="6" t="s">
        <v>12303</v>
      </c>
    </row>
    <row r="35" ht="19.5" customHeight="1">
      <c r="A35" s="9" t="s">
        <v>10289</v>
      </c>
      <c r="B35" s="9" t="s">
        <v>12660</v>
      </c>
      <c r="C35" s="9" t="s">
        <v>58</v>
      </c>
      <c r="D35" s="9" t="s">
        <v>59</v>
      </c>
      <c r="E35" s="9" t="s">
        <v>374</v>
      </c>
      <c r="F35" s="9">
        <v>2.0</v>
      </c>
      <c r="J35" s="9" t="s">
        <v>12661</v>
      </c>
      <c r="K35" s="9" t="s">
        <v>12662</v>
      </c>
      <c r="L35" s="9">
        <v>97480.0</v>
      </c>
      <c r="M35" s="9" t="s">
        <v>123</v>
      </c>
      <c r="N35" s="9" t="s">
        <v>206</v>
      </c>
      <c r="O35" s="9" t="s">
        <v>12663</v>
      </c>
      <c r="P35" s="53" t="s">
        <v>12664</v>
      </c>
      <c r="Q35" s="49" t="s">
        <v>12665</v>
      </c>
      <c r="R35" s="50"/>
      <c r="S35" s="54"/>
      <c r="T35" s="9" t="s">
        <v>12666</v>
      </c>
      <c r="W35" s="9" t="s">
        <v>12667</v>
      </c>
      <c r="X35" s="9" t="s">
        <v>12668</v>
      </c>
      <c r="Y35" s="9" t="s">
        <v>12669</v>
      </c>
      <c r="Z35" s="9" t="s">
        <v>592</v>
      </c>
      <c r="AE35" s="9" t="s">
        <v>12355</v>
      </c>
      <c r="AF35" s="55">
        <v>45673.65896990741</v>
      </c>
      <c r="AG35" s="9" t="s">
        <v>12670</v>
      </c>
      <c r="AH35" s="9" t="s">
        <v>12671</v>
      </c>
      <c r="AK35" s="9" t="b">
        <v>0</v>
      </c>
      <c r="AL35" s="9" t="b">
        <v>0</v>
      </c>
      <c r="AM35" s="9" t="s">
        <v>12672</v>
      </c>
      <c r="AN35" s="9" t="s">
        <v>10289</v>
      </c>
      <c r="AP35" s="56">
        <v>44537.0</v>
      </c>
      <c r="AQ35" s="9" t="b">
        <v>0</v>
      </c>
      <c r="AR35" s="9" t="s">
        <v>12673</v>
      </c>
    </row>
    <row r="36" ht="19.5" customHeight="1">
      <c r="A36" s="9" t="s">
        <v>11513</v>
      </c>
      <c r="B36" s="9" t="s">
        <v>12674</v>
      </c>
      <c r="C36" s="9" t="s">
        <v>58</v>
      </c>
      <c r="D36" s="9" t="s">
        <v>59</v>
      </c>
      <c r="E36" s="9" t="s">
        <v>346</v>
      </c>
      <c r="F36" s="9">
        <v>5.0</v>
      </c>
      <c r="J36" s="52" t="s">
        <v>12675</v>
      </c>
      <c r="K36" s="9" t="s">
        <v>12676</v>
      </c>
      <c r="L36" s="9">
        <v>97480.0</v>
      </c>
      <c r="M36" s="9" t="s">
        <v>123</v>
      </c>
      <c r="N36" s="9" t="s">
        <v>206</v>
      </c>
      <c r="O36" s="9" t="s">
        <v>12677</v>
      </c>
      <c r="P36" s="53" t="s">
        <v>12678</v>
      </c>
      <c r="Q36" s="49" t="s">
        <v>12679</v>
      </c>
      <c r="R36" s="50"/>
      <c r="S36" s="54"/>
      <c r="Z36" s="9" t="s">
        <v>378</v>
      </c>
      <c r="AE36" s="9" t="s">
        <v>12355</v>
      </c>
      <c r="AF36" s="60">
        <v>45434.508784722224</v>
      </c>
      <c r="AG36" s="9" t="s">
        <v>12680</v>
      </c>
      <c r="AH36" s="9" t="s">
        <v>12681</v>
      </c>
      <c r="AM36" s="9" t="s">
        <v>12682</v>
      </c>
      <c r="AN36" s="9" t="s">
        <v>11513</v>
      </c>
      <c r="AP36" s="61">
        <v>44547.0</v>
      </c>
      <c r="AQ36" s="9" t="b">
        <v>0</v>
      </c>
      <c r="AR36" s="9" t="s">
        <v>12683</v>
      </c>
    </row>
    <row r="37" ht="19.5" customHeight="1">
      <c r="A37" s="7" t="s">
        <v>1966</v>
      </c>
      <c r="B37" s="7" t="s">
        <v>12684</v>
      </c>
      <c r="C37" s="7" t="s">
        <v>58</v>
      </c>
      <c r="D37" s="7" t="s">
        <v>137</v>
      </c>
      <c r="E37" s="7" t="s">
        <v>1091</v>
      </c>
      <c r="F37" s="6">
        <v>20.0</v>
      </c>
      <c r="G37" s="7" t="s">
        <v>1092</v>
      </c>
      <c r="H37" s="7"/>
      <c r="I37" s="7"/>
      <c r="J37" s="41" t="s">
        <v>12445</v>
      </c>
      <c r="K37" s="7" t="s">
        <v>12685</v>
      </c>
      <c r="L37" s="7">
        <v>97418.0</v>
      </c>
      <c r="M37" s="7" t="s">
        <v>71</v>
      </c>
      <c r="N37" s="6" t="s">
        <v>12685</v>
      </c>
      <c r="O37" s="7" t="s">
        <v>1972</v>
      </c>
      <c r="P37" s="42" t="s">
        <v>12686</v>
      </c>
      <c r="Q37" s="49" t="s">
        <v>12687</v>
      </c>
      <c r="R37" s="50"/>
      <c r="S37" s="51"/>
      <c r="T37" s="6" t="s">
        <v>12688</v>
      </c>
      <c r="U37" s="6" t="s">
        <v>12689</v>
      </c>
      <c r="V37" s="6" t="s">
        <v>12685</v>
      </c>
      <c r="W37" s="6" t="s">
        <v>12690</v>
      </c>
      <c r="X37" s="6" t="s">
        <v>12691</v>
      </c>
      <c r="Y37" s="6" t="s">
        <v>2390</v>
      </c>
      <c r="Z37" s="6" t="s">
        <v>786</v>
      </c>
      <c r="AA37" s="7"/>
      <c r="AB37" s="7"/>
      <c r="AC37" s="7"/>
      <c r="AD37" s="7"/>
      <c r="AE37" s="6" t="s">
        <v>401</v>
      </c>
      <c r="AF37" s="45">
        <v>45376.38862268518</v>
      </c>
      <c r="AG37" s="7" t="s">
        <v>12692</v>
      </c>
      <c r="AH37" s="46" t="s">
        <v>12693</v>
      </c>
      <c r="AI37" s="7"/>
      <c r="AJ37" s="6" t="s">
        <v>12694</v>
      </c>
      <c r="AK37" s="7" t="b">
        <v>0</v>
      </c>
      <c r="AL37" s="7" t="b">
        <v>0</v>
      </c>
      <c r="AM37" s="6" t="s">
        <v>1973</v>
      </c>
      <c r="AN37" s="6" t="s">
        <v>1966</v>
      </c>
      <c r="AO37" s="6">
        <v>1716.0</v>
      </c>
      <c r="AP37" s="6"/>
      <c r="AQ37" s="6" t="b">
        <v>1</v>
      </c>
      <c r="AR37" s="6"/>
      <c r="AS37" s="48" t="s">
        <v>12303</v>
      </c>
    </row>
    <row r="38" ht="19.5" customHeight="1">
      <c r="A38" s="7" t="s">
        <v>3027</v>
      </c>
      <c r="B38" s="7" t="s">
        <v>12695</v>
      </c>
      <c r="C38" s="7" t="s">
        <v>58</v>
      </c>
      <c r="D38" s="7" t="s">
        <v>59</v>
      </c>
      <c r="E38" s="7" t="s">
        <v>374</v>
      </c>
      <c r="F38" s="7">
        <v>6.0</v>
      </c>
      <c r="G38" s="7" t="s">
        <v>455</v>
      </c>
      <c r="H38" s="7"/>
      <c r="I38" s="7"/>
      <c r="J38" s="41" t="s">
        <v>12696</v>
      </c>
      <c r="K38" s="7" t="s">
        <v>12697</v>
      </c>
      <c r="L38" s="7">
        <v>97430.0</v>
      </c>
      <c r="M38" s="7" t="s">
        <v>71</v>
      </c>
      <c r="N38" s="6" t="s">
        <v>12698</v>
      </c>
      <c r="O38" s="6" t="s">
        <v>12699</v>
      </c>
      <c r="P38" s="42" t="s">
        <v>3030</v>
      </c>
      <c r="Q38" s="49" t="s">
        <v>12700</v>
      </c>
      <c r="R38" s="43" t="s">
        <v>12701</v>
      </c>
      <c r="S38" s="51"/>
      <c r="T38" s="7" t="s">
        <v>3031</v>
      </c>
      <c r="U38" s="7"/>
      <c r="V38" s="7" t="s">
        <v>3032</v>
      </c>
      <c r="W38" s="6" t="s">
        <v>12702</v>
      </c>
      <c r="X38" s="7" t="s">
        <v>1222</v>
      </c>
      <c r="Y38" s="7" t="s">
        <v>377</v>
      </c>
      <c r="Z38" s="7" t="s">
        <v>592</v>
      </c>
      <c r="AA38" s="7"/>
      <c r="AB38" s="7"/>
      <c r="AC38" s="6">
        <v>4.5074033700032E13</v>
      </c>
      <c r="AD38" s="6">
        <v>4.50740337E8</v>
      </c>
      <c r="AE38" s="6" t="s">
        <v>401</v>
      </c>
      <c r="AF38" s="45">
        <v>46014.48064814815</v>
      </c>
      <c r="AG38" s="7" t="s">
        <v>12703</v>
      </c>
      <c r="AH38" s="46" t="s">
        <v>12704</v>
      </c>
      <c r="AI38" s="7"/>
      <c r="AJ38" s="6" t="s">
        <v>12705</v>
      </c>
      <c r="AK38" s="7" t="b">
        <v>0</v>
      </c>
      <c r="AL38" s="7" t="b">
        <v>0</v>
      </c>
      <c r="AM38" s="6" t="s">
        <v>3037</v>
      </c>
      <c r="AN38" s="6" t="s">
        <v>3027</v>
      </c>
      <c r="AO38" s="6">
        <v>1546.0</v>
      </c>
      <c r="AP38" s="6"/>
      <c r="AQ38" s="6" t="b">
        <v>1</v>
      </c>
      <c r="AR38" s="6" t="s">
        <v>12706</v>
      </c>
      <c r="AS38" s="6"/>
    </row>
    <row r="39" ht="19.5" customHeight="1">
      <c r="A39" s="9" t="s">
        <v>10285</v>
      </c>
      <c r="B39" s="9" t="s">
        <v>12707</v>
      </c>
      <c r="C39" s="9" t="s">
        <v>34</v>
      </c>
      <c r="D39" s="9" t="s">
        <v>485</v>
      </c>
      <c r="E39" s="9" t="s">
        <v>486</v>
      </c>
      <c r="F39" s="9">
        <v>25.0</v>
      </c>
      <c r="J39" s="9" t="s">
        <v>12708</v>
      </c>
      <c r="K39" s="9" t="s">
        <v>12709</v>
      </c>
      <c r="L39" s="9">
        <v>97480.0</v>
      </c>
      <c r="M39" s="9" t="s">
        <v>123</v>
      </c>
      <c r="N39" s="9" t="s">
        <v>8325</v>
      </c>
      <c r="O39" s="9" t="s">
        <v>12710</v>
      </c>
      <c r="P39" s="53" t="s">
        <v>12711</v>
      </c>
      <c r="Q39" s="49" t="s">
        <v>12712</v>
      </c>
      <c r="R39" s="50"/>
      <c r="S39" s="54"/>
      <c r="T39" s="9" t="s">
        <v>12713</v>
      </c>
      <c r="W39" s="9" t="s">
        <v>12714</v>
      </c>
      <c r="Y39" s="9" t="s">
        <v>12715</v>
      </c>
      <c r="Z39" s="9" t="s">
        <v>592</v>
      </c>
      <c r="AC39" s="9">
        <v>9.0511975600013E13</v>
      </c>
      <c r="AD39" s="9">
        <v>9.05119756E8</v>
      </c>
      <c r="AE39" s="9" t="s">
        <v>401</v>
      </c>
      <c r="AF39" s="60">
        <v>45357.637453703705</v>
      </c>
      <c r="AG39" s="9" t="s">
        <v>12716</v>
      </c>
      <c r="AH39" s="9" t="s">
        <v>12717</v>
      </c>
      <c r="AJ39" s="9" t="s">
        <v>12718</v>
      </c>
      <c r="AK39" s="9" t="b">
        <v>0</v>
      </c>
      <c r="AL39" s="9" t="b">
        <v>0</v>
      </c>
      <c r="AN39" s="9" t="s">
        <v>10285</v>
      </c>
      <c r="AP39" s="61">
        <v>44530.0</v>
      </c>
      <c r="AQ39" s="9" t="b">
        <v>0</v>
      </c>
    </row>
    <row r="40" ht="19.5" customHeight="1">
      <c r="A40" s="9" t="s">
        <v>10287</v>
      </c>
      <c r="B40" s="9" t="s">
        <v>12719</v>
      </c>
      <c r="C40" s="9" t="s">
        <v>58</v>
      </c>
      <c r="D40" s="9" t="s">
        <v>453</v>
      </c>
      <c r="E40" s="9" t="s">
        <v>454</v>
      </c>
      <c r="F40" s="9">
        <v>8.0</v>
      </c>
      <c r="G40" s="9" t="s">
        <v>455</v>
      </c>
      <c r="H40" s="9"/>
      <c r="I40" s="9"/>
      <c r="J40" s="52" t="s">
        <v>12720</v>
      </c>
      <c r="K40" s="9" t="s">
        <v>12721</v>
      </c>
      <c r="L40" s="9">
        <v>97480.0</v>
      </c>
      <c r="M40" s="9" t="s">
        <v>123</v>
      </c>
      <c r="N40" s="9" t="s">
        <v>8325</v>
      </c>
      <c r="O40" s="9" t="s">
        <v>12722</v>
      </c>
      <c r="P40" s="53" t="s">
        <v>12723</v>
      </c>
      <c r="Q40" s="49" t="s">
        <v>12724</v>
      </c>
      <c r="R40" s="50"/>
      <c r="S40" s="59"/>
      <c r="T40" s="9" t="s">
        <v>12725</v>
      </c>
      <c r="U40" s="9" t="s">
        <v>12726</v>
      </c>
      <c r="V40" s="9" t="s">
        <v>8325</v>
      </c>
      <c r="W40" s="9" t="s">
        <v>12727</v>
      </c>
      <c r="X40" s="9" t="s">
        <v>12728</v>
      </c>
      <c r="Y40" s="9" t="s">
        <v>12729</v>
      </c>
      <c r="Z40" s="9" t="s">
        <v>378</v>
      </c>
      <c r="AC40" s="9">
        <v>9.5210799300018E13</v>
      </c>
      <c r="AD40" s="9">
        <v>9.52107993E8</v>
      </c>
      <c r="AE40" s="9" t="s">
        <v>401</v>
      </c>
      <c r="AF40" s="55">
        <v>45442.581921296296</v>
      </c>
      <c r="AG40" s="9" t="s">
        <v>12730</v>
      </c>
      <c r="AH40" s="9" t="s">
        <v>12731</v>
      </c>
      <c r="AJ40" s="9" t="s">
        <v>12732</v>
      </c>
      <c r="AK40" s="9" t="b">
        <v>0</v>
      </c>
      <c r="AL40" s="9" t="b">
        <v>0</v>
      </c>
      <c r="AM40" s="9" t="s">
        <v>12733</v>
      </c>
      <c r="AN40" s="9" t="s">
        <v>10287</v>
      </c>
      <c r="AP40" s="56">
        <v>45223.0</v>
      </c>
      <c r="AQ40" s="9" t="b">
        <v>0</v>
      </c>
      <c r="AR40" s="9"/>
    </row>
    <row r="41" ht="19.5" customHeight="1">
      <c r="A41" s="7" t="s">
        <v>9032</v>
      </c>
      <c r="B41" s="7" t="s">
        <v>9033</v>
      </c>
      <c r="C41" s="7" t="s">
        <v>34</v>
      </c>
      <c r="D41" s="7" t="s">
        <v>1414</v>
      </c>
      <c r="E41" s="7" t="s">
        <v>1415</v>
      </c>
      <c r="F41" s="7"/>
      <c r="G41" s="7"/>
      <c r="H41" s="7"/>
      <c r="I41" s="7"/>
      <c r="J41" s="7">
        <v>10.0</v>
      </c>
      <c r="K41" s="7" t="s">
        <v>12734</v>
      </c>
      <c r="L41" s="7">
        <v>97480.0</v>
      </c>
      <c r="M41" s="7" t="s">
        <v>123</v>
      </c>
      <c r="N41" s="7"/>
      <c r="O41" s="6" t="s">
        <v>12735</v>
      </c>
      <c r="P41" s="42" t="s">
        <v>12736</v>
      </c>
      <c r="Q41" s="43" t="s">
        <v>12737</v>
      </c>
      <c r="R41" s="50"/>
      <c r="S41" s="51"/>
      <c r="T41" s="7"/>
      <c r="U41" s="7"/>
      <c r="V41" s="7"/>
      <c r="W41" s="7"/>
      <c r="X41" s="7"/>
      <c r="Y41" s="7" t="s">
        <v>377</v>
      </c>
      <c r="Z41" s="7" t="s">
        <v>353</v>
      </c>
      <c r="AA41" s="7"/>
      <c r="AB41" s="7"/>
      <c r="AC41" s="7">
        <v>4.4959386200021E13</v>
      </c>
      <c r="AD41" s="7">
        <v>4.49593862E8</v>
      </c>
      <c r="AE41" s="6" t="s">
        <v>401</v>
      </c>
      <c r="AF41" s="45">
        <v>45357.600486111114</v>
      </c>
      <c r="AG41" s="7" t="s">
        <v>12738</v>
      </c>
      <c r="AH41" s="46" t="s">
        <v>12739</v>
      </c>
      <c r="AI41" s="7"/>
      <c r="AJ41" s="7"/>
      <c r="AK41" s="6" t="b">
        <v>1</v>
      </c>
      <c r="AL41" s="7" t="b">
        <v>0</v>
      </c>
      <c r="AM41" s="7"/>
      <c r="AN41" s="6" t="s">
        <v>9032</v>
      </c>
      <c r="AO41" s="7"/>
      <c r="AP41" s="7"/>
      <c r="AQ41" s="6" t="b">
        <v>0</v>
      </c>
      <c r="AR41" s="6"/>
      <c r="AS41" s="6"/>
    </row>
    <row r="42" ht="19.5" customHeight="1">
      <c r="A42" s="9" t="s">
        <v>10291</v>
      </c>
      <c r="B42" s="9" t="s">
        <v>12740</v>
      </c>
      <c r="C42" s="9" t="s">
        <v>34</v>
      </c>
      <c r="D42" s="9" t="s">
        <v>622</v>
      </c>
      <c r="E42" s="9" t="s">
        <v>622</v>
      </c>
      <c r="F42" s="9"/>
      <c r="G42" s="9"/>
      <c r="I42" s="9" t="s">
        <v>597</v>
      </c>
      <c r="J42" s="52" t="s">
        <v>12741</v>
      </c>
      <c r="K42" s="9" t="s">
        <v>12742</v>
      </c>
      <c r="L42" s="9">
        <v>97418.0</v>
      </c>
      <c r="M42" s="9" t="s">
        <v>71</v>
      </c>
      <c r="N42" s="9" t="s">
        <v>216</v>
      </c>
      <c r="O42" s="9" t="s">
        <v>12743</v>
      </c>
      <c r="P42" s="53" t="s">
        <v>12744</v>
      </c>
      <c r="Q42" s="49" t="s">
        <v>12745</v>
      </c>
      <c r="R42" s="50"/>
      <c r="S42" s="58" t="s">
        <v>12746</v>
      </c>
      <c r="T42" s="9"/>
      <c r="U42" s="9" t="s">
        <v>12747</v>
      </c>
      <c r="V42" s="9"/>
      <c r="W42" s="9"/>
      <c r="X42" s="9"/>
      <c r="Y42" s="9"/>
      <c r="Z42" s="9" t="s">
        <v>378</v>
      </c>
      <c r="AC42" s="9">
        <v>8.2249568500023E13</v>
      </c>
      <c r="AD42" s="9">
        <v>8.22495685E8</v>
      </c>
      <c r="AE42" s="9" t="s">
        <v>12355</v>
      </c>
      <c r="AF42" s="55">
        <v>45357.57969907407</v>
      </c>
      <c r="AG42" s="9" t="s">
        <v>12748</v>
      </c>
      <c r="AH42" s="9" t="s">
        <v>12749</v>
      </c>
      <c r="AJ42" s="9" t="s">
        <v>12750</v>
      </c>
      <c r="AK42" s="9"/>
      <c r="AL42" s="9"/>
      <c r="AM42" s="9"/>
      <c r="AN42" s="9" t="s">
        <v>10291</v>
      </c>
      <c r="AP42" s="56">
        <v>45174.0</v>
      </c>
      <c r="AQ42" s="9" t="b">
        <v>0</v>
      </c>
      <c r="AR42" s="9"/>
    </row>
    <row r="43" ht="19.5" customHeight="1">
      <c r="A43" s="7" t="s">
        <v>6071</v>
      </c>
      <c r="B43" s="7" t="s">
        <v>12751</v>
      </c>
      <c r="C43" s="7" t="s">
        <v>34</v>
      </c>
      <c r="D43" s="6" t="s">
        <v>678</v>
      </c>
      <c r="E43" s="6" t="s">
        <v>12752</v>
      </c>
      <c r="F43" s="7">
        <v>300.0</v>
      </c>
      <c r="G43" s="7" t="s">
        <v>375</v>
      </c>
      <c r="H43" s="7"/>
      <c r="I43" s="7"/>
      <c r="J43" s="7">
        <v>9.0</v>
      </c>
      <c r="K43" s="7" t="s">
        <v>12753</v>
      </c>
      <c r="L43" s="7">
        <v>97430.0</v>
      </c>
      <c r="M43" s="7" t="s">
        <v>71</v>
      </c>
      <c r="N43" s="7"/>
      <c r="O43" s="6" t="s">
        <v>12754</v>
      </c>
      <c r="P43" s="42" t="s">
        <v>12755</v>
      </c>
      <c r="Q43" s="43" t="s">
        <v>12756</v>
      </c>
      <c r="R43" s="43" t="s">
        <v>12757</v>
      </c>
      <c r="S43" s="44" t="s">
        <v>12758</v>
      </c>
      <c r="T43" s="7" t="s">
        <v>6075</v>
      </c>
      <c r="U43" s="7" t="s">
        <v>6074</v>
      </c>
      <c r="V43" s="6" t="s">
        <v>12759</v>
      </c>
      <c r="W43" s="7" t="s">
        <v>801</v>
      </c>
      <c r="X43" s="7"/>
      <c r="Y43" s="7" t="s">
        <v>1612</v>
      </c>
      <c r="Z43" s="7" t="s">
        <v>378</v>
      </c>
      <c r="AA43" s="7"/>
      <c r="AB43" s="7"/>
      <c r="AC43" s="6">
        <v>4.8830675400026E13</v>
      </c>
      <c r="AD43" s="6">
        <v>4.88306754E8</v>
      </c>
      <c r="AE43" s="6" t="s">
        <v>401</v>
      </c>
      <c r="AF43" s="45">
        <v>45357.57914351852</v>
      </c>
      <c r="AG43" s="7" t="s">
        <v>12760</v>
      </c>
      <c r="AH43" s="62" t="s">
        <v>12761</v>
      </c>
      <c r="AI43" s="7"/>
      <c r="AJ43" s="6" t="s">
        <v>12762</v>
      </c>
      <c r="AK43" s="7" t="b">
        <v>0</v>
      </c>
      <c r="AL43" s="7" t="b">
        <v>0</v>
      </c>
      <c r="AM43" s="7"/>
      <c r="AN43" s="6" t="s">
        <v>6071</v>
      </c>
      <c r="AO43" s="6">
        <v>3860.0</v>
      </c>
      <c r="AP43" s="6"/>
      <c r="AQ43" s="6" t="b">
        <v>1</v>
      </c>
      <c r="AR43" s="6"/>
      <c r="AS43" s="6"/>
    </row>
    <row r="44" ht="19.5" customHeight="1">
      <c r="A44" s="7" t="s">
        <v>7231</v>
      </c>
      <c r="B44" s="7" t="s">
        <v>7232</v>
      </c>
      <c r="C44" s="7" t="s">
        <v>34</v>
      </c>
      <c r="D44" s="6" t="s">
        <v>678</v>
      </c>
      <c r="E44" s="7" t="s">
        <v>1347</v>
      </c>
      <c r="F44" s="6">
        <v>2.0</v>
      </c>
      <c r="G44" s="7"/>
      <c r="H44" s="7"/>
      <c r="I44" s="7"/>
      <c r="J44" s="7">
        <v>251.0</v>
      </c>
      <c r="K44" s="7" t="s">
        <v>12763</v>
      </c>
      <c r="L44" s="7">
        <v>97430.0</v>
      </c>
      <c r="M44" s="7" t="s">
        <v>71</v>
      </c>
      <c r="N44" s="7" t="s">
        <v>9050</v>
      </c>
      <c r="O44" s="6" t="s">
        <v>12764</v>
      </c>
      <c r="P44" s="42"/>
      <c r="Q44" s="43" t="s">
        <v>12765</v>
      </c>
      <c r="R44" s="50"/>
      <c r="S44" s="51"/>
      <c r="T44" s="7" t="s">
        <v>7235</v>
      </c>
      <c r="U44" s="6" t="s">
        <v>12766</v>
      </c>
      <c r="V44" s="6" t="s">
        <v>12767</v>
      </c>
      <c r="W44" s="6" t="s">
        <v>12768</v>
      </c>
      <c r="X44" s="6" t="s">
        <v>12769</v>
      </c>
      <c r="Y44" s="7" t="s">
        <v>1076</v>
      </c>
      <c r="Z44" s="6" t="s">
        <v>592</v>
      </c>
      <c r="AA44" s="7"/>
      <c r="AB44" s="7"/>
      <c r="AC44" s="7">
        <v>8.1965214000016E13</v>
      </c>
      <c r="AD44" s="7">
        <v>8.1965214E8</v>
      </c>
      <c r="AE44" s="6" t="s">
        <v>401</v>
      </c>
      <c r="AF44" s="45">
        <v>45357.57634259259</v>
      </c>
      <c r="AG44" s="7" t="s">
        <v>12770</v>
      </c>
      <c r="AH44" s="62" t="s">
        <v>12771</v>
      </c>
      <c r="AI44" s="7"/>
      <c r="AJ44" s="6" t="s">
        <v>12772</v>
      </c>
      <c r="AK44" s="7" t="b">
        <v>0</v>
      </c>
      <c r="AL44" s="6" t="b">
        <v>1</v>
      </c>
      <c r="AM44" s="7"/>
      <c r="AN44" s="6" t="s">
        <v>7231</v>
      </c>
      <c r="AO44" s="6">
        <v>4649.0</v>
      </c>
      <c r="AP44" s="6"/>
      <c r="AQ44" s="6" t="b">
        <v>1</v>
      </c>
      <c r="AR44" s="6"/>
      <c r="AS44" s="6" t="s">
        <v>12303</v>
      </c>
    </row>
    <row r="45" ht="19.5" customHeight="1">
      <c r="A45" s="7" t="s">
        <v>7249</v>
      </c>
      <c r="B45" s="7" t="s">
        <v>7250</v>
      </c>
      <c r="C45" s="7" t="s">
        <v>34</v>
      </c>
      <c r="D45" s="6" t="s">
        <v>678</v>
      </c>
      <c r="E45" s="7" t="s">
        <v>1347</v>
      </c>
      <c r="F45" s="7"/>
      <c r="G45" s="7"/>
      <c r="H45" s="7"/>
      <c r="I45" s="7"/>
      <c r="J45" s="7" t="s">
        <v>12773</v>
      </c>
      <c r="K45" s="7" t="s">
        <v>12774</v>
      </c>
      <c r="L45" s="7">
        <v>97480.0</v>
      </c>
      <c r="M45" s="7" t="s">
        <v>123</v>
      </c>
      <c r="N45" s="7"/>
      <c r="O45" s="6" t="s">
        <v>12775</v>
      </c>
      <c r="P45" s="42"/>
      <c r="Q45" s="43" t="s">
        <v>12776</v>
      </c>
      <c r="R45" s="50"/>
      <c r="S45" s="51"/>
      <c r="T45" s="7" t="s">
        <v>7253</v>
      </c>
      <c r="U45" s="7" t="s">
        <v>7252</v>
      </c>
      <c r="V45" s="7"/>
      <c r="W45" s="7"/>
      <c r="X45" s="7"/>
      <c r="Y45" s="7" t="s">
        <v>2390</v>
      </c>
      <c r="Z45" s="7" t="s">
        <v>378</v>
      </c>
      <c r="AA45" s="7"/>
      <c r="AB45" s="7"/>
      <c r="AC45" s="7"/>
      <c r="AD45" s="7"/>
      <c r="AE45" s="6" t="s">
        <v>401</v>
      </c>
      <c r="AF45" s="45">
        <v>45357.575</v>
      </c>
      <c r="AG45" s="7" t="s">
        <v>12777</v>
      </c>
      <c r="AH45" s="46" t="s">
        <v>12778</v>
      </c>
      <c r="AI45" s="7"/>
      <c r="AJ45" s="7"/>
      <c r="AK45" s="7" t="b">
        <v>0</v>
      </c>
      <c r="AL45" s="7" t="b">
        <v>0</v>
      </c>
      <c r="AM45" s="7"/>
      <c r="AN45" s="6" t="s">
        <v>7249</v>
      </c>
      <c r="AO45" s="6">
        <v>4709.0</v>
      </c>
      <c r="AP45" s="6"/>
      <c r="AQ45" s="6" t="b">
        <v>1</v>
      </c>
      <c r="AR45" s="6"/>
      <c r="AS45" s="6"/>
    </row>
    <row r="46" ht="19.5" customHeight="1">
      <c r="A46" s="7" t="s">
        <v>8977</v>
      </c>
      <c r="B46" s="7" t="s">
        <v>8978</v>
      </c>
      <c r="C46" s="7" t="s">
        <v>34</v>
      </c>
      <c r="D46" s="6" t="s">
        <v>678</v>
      </c>
      <c r="E46" s="7" t="s">
        <v>1347</v>
      </c>
      <c r="F46" s="7">
        <v>30.0</v>
      </c>
      <c r="G46" s="7" t="s">
        <v>422</v>
      </c>
      <c r="H46" s="7"/>
      <c r="I46" s="7"/>
      <c r="J46" s="7">
        <v>4.0</v>
      </c>
      <c r="K46" s="7" t="s">
        <v>12779</v>
      </c>
      <c r="L46" s="7">
        <v>97414.0</v>
      </c>
      <c r="M46" s="7" t="s">
        <v>40</v>
      </c>
      <c r="N46" s="7"/>
      <c r="O46" s="6" t="s">
        <v>12780</v>
      </c>
      <c r="P46" s="42" t="s">
        <v>8981</v>
      </c>
      <c r="Q46" s="43" t="s">
        <v>12781</v>
      </c>
      <c r="R46" s="50"/>
      <c r="S46" s="51"/>
      <c r="T46" s="7" t="s">
        <v>8982</v>
      </c>
      <c r="U46" s="7"/>
      <c r="V46" s="7"/>
      <c r="W46" s="7"/>
      <c r="X46" s="7"/>
      <c r="Y46" s="7" t="s">
        <v>8980</v>
      </c>
      <c r="Z46" s="7" t="s">
        <v>353</v>
      </c>
      <c r="AA46" s="7"/>
      <c r="AB46" s="7"/>
      <c r="AC46" s="7">
        <v>8.1883842700016E13</v>
      </c>
      <c r="AD46" s="7">
        <v>8.18838427E8</v>
      </c>
      <c r="AE46" s="6" t="s">
        <v>401</v>
      </c>
      <c r="AF46" s="45">
        <v>45357.57445601852</v>
      </c>
      <c r="AG46" s="7" t="s">
        <v>12782</v>
      </c>
      <c r="AH46" s="46" t="s">
        <v>12783</v>
      </c>
      <c r="AI46" s="7"/>
      <c r="AJ46" s="7"/>
      <c r="AK46" s="7" t="b">
        <v>0</v>
      </c>
      <c r="AL46" s="7" t="b">
        <v>0</v>
      </c>
      <c r="AM46" s="7"/>
      <c r="AN46" s="6" t="s">
        <v>8977</v>
      </c>
      <c r="AO46" s="7"/>
      <c r="AP46" s="7"/>
      <c r="AQ46" s="6" t="b">
        <v>0</v>
      </c>
      <c r="AR46" s="6"/>
      <c r="AS46" s="48" t="s">
        <v>12303</v>
      </c>
    </row>
    <row r="47" ht="19.5" customHeight="1">
      <c r="A47" s="7" t="s">
        <v>706</v>
      </c>
      <c r="B47" s="7" t="s">
        <v>12784</v>
      </c>
      <c r="C47" s="7" t="s">
        <v>34</v>
      </c>
      <c r="D47" s="7" t="s">
        <v>622</v>
      </c>
      <c r="E47" s="7" t="s">
        <v>622</v>
      </c>
      <c r="F47" s="7">
        <v>40.0</v>
      </c>
      <c r="G47" s="7" t="s">
        <v>407</v>
      </c>
      <c r="H47" s="7"/>
      <c r="I47" s="7"/>
      <c r="J47" s="7">
        <v>29.0</v>
      </c>
      <c r="K47" s="6" t="s">
        <v>12785</v>
      </c>
      <c r="L47" s="7">
        <v>97414.0</v>
      </c>
      <c r="M47" s="7" t="s">
        <v>40</v>
      </c>
      <c r="N47" s="7"/>
      <c r="O47" s="7" t="s">
        <v>719</v>
      </c>
      <c r="P47" s="42" t="s">
        <v>12786</v>
      </c>
      <c r="Q47" s="49" t="s">
        <v>12787</v>
      </c>
      <c r="R47" s="43" t="s">
        <v>12788</v>
      </c>
      <c r="S47" s="51"/>
      <c r="T47" s="6" t="s">
        <v>12789</v>
      </c>
      <c r="U47" s="6" t="s">
        <v>12790</v>
      </c>
      <c r="V47" s="7" t="s">
        <v>714</v>
      </c>
      <c r="W47" s="6" t="s">
        <v>12791</v>
      </c>
      <c r="X47" s="7" t="s">
        <v>710</v>
      </c>
      <c r="Y47" s="6" t="s">
        <v>1076</v>
      </c>
      <c r="Z47" s="7" t="s">
        <v>378</v>
      </c>
      <c r="AA47" s="7"/>
      <c r="AB47" s="7"/>
      <c r="AC47" s="6">
        <v>9.8394692200025E13</v>
      </c>
      <c r="AD47" s="6">
        <v>9.83946922E8</v>
      </c>
      <c r="AE47" s="6" t="s">
        <v>401</v>
      </c>
      <c r="AF47" s="45">
        <v>45357.56097222222</v>
      </c>
      <c r="AG47" s="7" t="s">
        <v>12792</v>
      </c>
      <c r="AH47" s="46" t="s">
        <v>12793</v>
      </c>
      <c r="AI47" s="7"/>
      <c r="AJ47" s="7"/>
      <c r="AK47" s="6" t="b">
        <v>1</v>
      </c>
      <c r="AL47" s="7" t="b">
        <v>0</v>
      </c>
      <c r="AM47" s="7"/>
      <c r="AN47" s="6" t="s">
        <v>706</v>
      </c>
      <c r="AO47" s="6">
        <v>1929.0</v>
      </c>
      <c r="AP47" s="6"/>
      <c r="AQ47" s="6" t="b">
        <v>1</v>
      </c>
      <c r="AR47" s="6"/>
      <c r="AS47" s="48" t="s">
        <v>12303</v>
      </c>
    </row>
    <row r="48" ht="19.5" customHeight="1">
      <c r="A48" s="7" t="s">
        <v>8351</v>
      </c>
      <c r="B48" s="7" t="s">
        <v>8352</v>
      </c>
      <c r="C48" s="7" t="s">
        <v>58</v>
      </c>
      <c r="D48" s="7" t="s">
        <v>59</v>
      </c>
      <c r="E48" s="7" t="s">
        <v>346</v>
      </c>
      <c r="F48" s="7">
        <v>12.0</v>
      </c>
      <c r="G48" s="7" t="s">
        <v>375</v>
      </c>
      <c r="H48" s="7"/>
      <c r="I48" s="7"/>
      <c r="J48" s="41" t="s">
        <v>12385</v>
      </c>
      <c r="K48" s="7" t="s">
        <v>12794</v>
      </c>
      <c r="L48" s="7">
        <v>97442.0</v>
      </c>
      <c r="M48" s="7" t="s">
        <v>33</v>
      </c>
      <c r="N48" s="7"/>
      <c r="O48" s="6" t="s">
        <v>12795</v>
      </c>
      <c r="P48" s="42" t="s">
        <v>8356</v>
      </c>
      <c r="Q48" s="43" t="s">
        <v>12796</v>
      </c>
      <c r="R48" s="50"/>
      <c r="S48" s="51"/>
      <c r="T48" s="6" t="s">
        <v>12797</v>
      </c>
      <c r="U48" s="6" t="s">
        <v>12798</v>
      </c>
      <c r="V48" s="7"/>
      <c r="W48" s="6" t="s">
        <v>12799</v>
      </c>
      <c r="X48" s="7" t="s">
        <v>8355</v>
      </c>
      <c r="Y48" s="7"/>
      <c r="Z48" s="7" t="s">
        <v>592</v>
      </c>
      <c r="AA48" s="7"/>
      <c r="AB48" s="7"/>
      <c r="AC48" s="6">
        <v>8.9018903800015E13</v>
      </c>
      <c r="AD48" s="6">
        <v>8.90189038E8</v>
      </c>
      <c r="AE48" s="6" t="s">
        <v>401</v>
      </c>
      <c r="AF48" s="45">
        <v>45357.55747685185</v>
      </c>
      <c r="AG48" s="7" t="s">
        <v>12800</v>
      </c>
      <c r="AH48" s="46" t="s">
        <v>12801</v>
      </c>
      <c r="AI48" s="7"/>
      <c r="AJ48" s="6" t="s">
        <v>12802</v>
      </c>
      <c r="AK48" s="7" t="b">
        <v>0</v>
      </c>
      <c r="AL48" s="7" t="b">
        <v>0</v>
      </c>
      <c r="AM48" s="6" t="s">
        <v>12803</v>
      </c>
      <c r="AN48" s="6" t="s">
        <v>8351</v>
      </c>
      <c r="AO48" s="7"/>
      <c r="AP48" s="7"/>
      <c r="AQ48" s="6" t="b">
        <v>0</v>
      </c>
      <c r="AR48" s="6"/>
      <c r="AS48" s="48" t="s">
        <v>12303</v>
      </c>
    </row>
    <row r="49" ht="19.5" customHeight="1">
      <c r="A49" s="9" t="s">
        <v>12100</v>
      </c>
      <c r="B49" s="9" t="s">
        <v>12804</v>
      </c>
      <c r="C49" s="9" t="s">
        <v>58</v>
      </c>
      <c r="D49" s="9" t="s">
        <v>59</v>
      </c>
      <c r="E49" s="9" t="s">
        <v>12384</v>
      </c>
      <c r="F49" s="9">
        <v>4.0</v>
      </c>
      <c r="G49" s="9" t="s">
        <v>455</v>
      </c>
      <c r="H49" s="9" t="s">
        <v>395</v>
      </c>
      <c r="I49" s="9"/>
      <c r="J49" s="52" t="s">
        <v>12805</v>
      </c>
      <c r="K49" s="9" t="s">
        <v>12806</v>
      </c>
      <c r="L49" s="9">
        <v>97480.0</v>
      </c>
      <c r="M49" s="9" t="s">
        <v>123</v>
      </c>
      <c r="N49" s="9" t="s">
        <v>8259</v>
      </c>
      <c r="O49" s="9" t="s">
        <v>12807</v>
      </c>
      <c r="P49" s="53" t="s">
        <v>12808</v>
      </c>
      <c r="Q49" s="49" t="s">
        <v>12809</v>
      </c>
      <c r="R49" s="50"/>
      <c r="S49" s="58" t="s">
        <v>12810</v>
      </c>
      <c r="T49" s="9" t="s">
        <v>12811</v>
      </c>
      <c r="U49" s="9" t="s">
        <v>12812</v>
      </c>
      <c r="V49" s="9" t="s">
        <v>8259</v>
      </c>
      <c r="W49" s="9" t="s">
        <v>12813</v>
      </c>
      <c r="X49" s="9" t="s">
        <v>12814</v>
      </c>
      <c r="Y49" s="9" t="s">
        <v>9455</v>
      </c>
      <c r="Z49" s="9" t="s">
        <v>353</v>
      </c>
      <c r="AC49" s="9">
        <v>5.3271013400034E13</v>
      </c>
      <c r="AD49" s="9">
        <v>5.32710134E8</v>
      </c>
      <c r="AE49" s="9" t="s">
        <v>401</v>
      </c>
      <c r="AF49" s="55">
        <v>46069.57877314815</v>
      </c>
      <c r="AG49" s="9" t="s">
        <v>12815</v>
      </c>
      <c r="AH49" s="9" t="s">
        <v>12816</v>
      </c>
      <c r="AJ49" s="9" t="s">
        <v>12817</v>
      </c>
      <c r="AK49" s="9" t="b">
        <v>0</v>
      </c>
      <c r="AL49" s="9" t="b">
        <v>0</v>
      </c>
      <c r="AM49" s="9" t="s">
        <v>12818</v>
      </c>
      <c r="AN49" s="9" t="s">
        <v>12100</v>
      </c>
      <c r="AP49" s="56">
        <v>45299.0</v>
      </c>
      <c r="AQ49" s="9" t="b">
        <v>1</v>
      </c>
      <c r="AR49" s="9"/>
    </row>
    <row r="50" ht="19.5" customHeight="1">
      <c r="A50" s="9" t="s">
        <v>10664</v>
      </c>
      <c r="B50" s="9" t="s">
        <v>12819</v>
      </c>
      <c r="C50" s="9" t="s">
        <v>58</v>
      </c>
      <c r="D50" s="9" t="s">
        <v>59</v>
      </c>
      <c r="E50" s="9" t="s">
        <v>346</v>
      </c>
      <c r="F50" s="9">
        <v>6.0</v>
      </c>
      <c r="G50" s="9" t="s">
        <v>422</v>
      </c>
      <c r="J50" s="52" t="s">
        <v>12820</v>
      </c>
      <c r="K50" s="9" t="s">
        <v>12821</v>
      </c>
      <c r="L50" s="9">
        <v>97414.0</v>
      </c>
      <c r="M50" s="9" t="s">
        <v>40</v>
      </c>
      <c r="N50" s="9" t="s">
        <v>12822</v>
      </c>
      <c r="O50" s="9" t="s">
        <v>12823</v>
      </c>
      <c r="P50" s="53" t="s">
        <v>12824</v>
      </c>
      <c r="Q50" s="49" t="s">
        <v>12825</v>
      </c>
      <c r="R50" s="50"/>
      <c r="S50" s="54" t="s">
        <v>12350</v>
      </c>
      <c r="T50" s="9" t="s">
        <v>12826</v>
      </c>
      <c r="U50" s="9" t="s">
        <v>12827</v>
      </c>
      <c r="V50" s="9" t="s">
        <v>12828</v>
      </c>
      <c r="W50" s="9" t="s">
        <v>12829</v>
      </c>
      <c r="X50" s="9" t="s">
        <v>12830</v>
      </c>
      <c r="Y50" s="9" t="s">
        <v>12831</v>
      </c>
      <c r="Z50" s="9" t="s">
        <v>378</v>
      </c>
      <c r="AC50" s="9">
        <v>9.51845676E8</v>
      </c>
      <c r="AD50" s="9">
        <v>9.51845676E8</v>
      </c>
      <c r="AE50" s="9" t="s">
        <v>12355</v>
      </c>
      <c r="AF50" s="55">
        <v>45544.64241898148</v>
      </c>
      <c r="AG50" s="9" t="s">
        <v>12832</v>
      </c>
      <c r="AH50" s="9" t="s">
        <v>12833</v>
      </c>
      <c r="AJ50" s="9" t="s">
        <v>12834</v>
      </c>
      <c r="AK50" s="9" t="b">
        <v>0</v>
      </c>
      <c r="AL50" s="9" t="b">
        <v>0</v>
      </c>
      <c r="AM50" s="9" t="s">
        <v>12835</v>
      </c>
      <c r="AN50" s="9" t="s">
        <v>10664</v>
      </c>
      <c r="AP50" s="56">
        <v>44419.0</v>
      </c>
      <c r="AQ50" s="6" t="b">
        <v>0</v>
      </c>
      <c r="AR50" s="6" t="s">
        <v>12836</v>
      </c>
      <c r="AS50" s="48" t="s">
        <v>12303</v>
      </c>
    </row>
    <row r="51" ht="19.5" customHeight="1">
      <c r="A51" s="9" t="s">
        <v>10297</v>
      </c>
      <c r="B51" s="9" t="s">
        <v>12837</v>
      </c>
      <c r="C51" s="9" t="s">
        <v>58</v>
      </c>
      <c r="D51" s="9" t="s">
        <v>59</v>
      </c>
      <c r="E51" s="9" t="s">
        <v>346</v>
      </c>
      <c r="F51" s="9">
        <v>6.0</v>
      </c>
      <c r="H51" s="9" t="s">
        <v>2716</v>
      </c>
      <c r="J51" s="52" t="s">
        <v>12838</v>
      </c>
      <c r="K51" s="9" t="s">
        <v>12839</v>
      </c>
      <c r="L51" s="9">
        <v>97480.0</v>
      </c>
      <c r="M51" s="9" t="s">
        <v>123</v>
      </c>
      <c r="N51" s="9" t="s">
        <v>8395</v>
      </c>
      <c r="O51" s="9" t="s">
        <v>12840</v>
      </c>
      <c r="P51" s="53" t="s">
        <v>12841</v>
      </c>
      <c r="Q51" s="49" t="s">
        <v>12842</v>
      </c>
      <c r="R51" s="50"/>
      <c r="S51" s="58" t="s">
        <v>12843</v>
      </c>
      <c r="T51" s="9" t="s">
        <v>12844</v>
      </c>
      <c r="U51" s="9" t="s">
        <v>12845</v>
      </c>
      <c r="V51" s="9" t="s">
        <v>12846</v>
      </c>
      <c r="W51" s="9" t="s">
        <v>12847</v>
      </c>
      <c r="X51" s="9" t="s">
        <v>12848</v>
      </c>
      <c r="Y51" s="9" t="s">
        <v>12849</v>
      </c>
      <c r="Z51" s="9" t="s">
        <v>592</v>
      </c>
      <c r="AC51" s="9">
        <v>5.3481764800031E13</v>
      </c>
      <c r="AD51" s="9">
        <v>5.34817648E8</v>
      </c>
      <c r="AE51" s="9" t="s">
        <v>12355</v>
      </c>
      <c r="AF51" s="55">
        <v>46043.47099537037</v>
      </c>
      <c r="AG51" s="9" t="s">
        <v>12850</v>
      </c>
      <c r="AH51" s="9" t="s">
        <v>12851</v>
      </c>
      <c r="AJ51" s="9" t="s">
        <v>12852</v>
      </c>
      <c r="AK51" s="9" t="b">
        <v>0</v>
      </c>
      <c r="AL51" s="9" t="b">
        <v>0</v>
      </c>
      <c r="AM51" s="9" t="s">
        <v>12853</v>
      </c>
      <c r="AN51" s="9" t="s">
        <v>10297</v>
      </c>
      <c r="AP51" s="56">
        <v>44442.0</v>
      </c>
      <c r="AQ51" s="6" t="b">
        <v>0</v>
      </c>
      <c r="AR51" s="6" t="s">
        <v>12854</v>
      </c>
      <c r="AS51" s="6" t="s">
        <v>12303</v>
      </c>
    </row>
    <row r="52" ht="19.5" customHeight="1">
      <c r="A52" s="7" t="s">
        <v>6716</v>
      </c>
      <c r="B52" s="7" t="s">
        <v>6717</v>
      </c>
      <c r="C52" s="7" t="s">
        <v>58</v>
      </c>
      <c r="D52" s="7" t="s">
        <v>137</v>
      </c>
      <c r="E52" s="7" t="s">
        <v>1091</v>
      </c>
      <c r="F52" s="7">
        <v>16.0</v>
      </c>
      <c r="G52" s="7" t="s">
        <v>1001</v>
      </c>
      <c r="H52" s="7"/>
      <c r="I52" s="7"/>
      <c r="J52" s="7">
        <v>37.0</v>
      </c>
      <c r="K52" s="7" t="s">
        <v>12855</v>
      </c>
      <c r="L52" s="7">
        <v>97442.0</v>
      </c>
      <c r="M52" s="7" t="s">
        <v>33</v>
      </c>
      <c r="N52" s="7"/>
      <c r="O52" s="7" t="s">
        <v>6729</v>
      </c>
      <c r="P52" s="42" t="s">
        <v>6722</v>
      </c>
      <c r="Q52" s="43" t="s">
        <v>12856</v>
      </c>
      <c r="R52" s="50"/>
      <c r="S52" s="51"/>
      <c r="T52" s="6" t="s">
        <v>12857</v>
      </c>
      <c r="U52" s="7" t="s">
        <v>6723</v>
      </c>
      <c r="V52" s="7" t="s">
        <v>6725</v>
      </c>
      <c r="W52" s="6" t="s">
        <v>12858</v>
      </c>
      <c r="X52" s="7" t="s">
        <v>6721</v>
      </c>
      <c r="Y52" s="7" t="s">
        <v>499</v>
      </c>
      <c r="Z52" s="7" t="s">
        <v>353</v>
      </c>
      <c r="AA52" s="7"/>
      <c r="AB52" s="7"/>
      <c r="AC52" s="7">
        <v>4.0418112500018E13</v>
      </c>
      <c r="AD52" s="7">
        <v>4.04181125E8</v>
      </c>
      <c r="AE52" s="6" t="s">
        <v>12355</v>
      </c>
      <c r="AF52" s="45">
        <v>45352.60832175926</v>
      </c>
      <c r="AG52" s="7" t="s">
        <v>12859</v>
      </c>
      <c r="AH52" s="46" t="s">
        <v>12860</v>
      </c>
      <c r="AI52" s="7"/>
      <c r="AJ52" s="6" t="s">
        <v>12861</v>
      </c>
      <c r="AK52" s="6" t="b">
        <v>1</v>
      </c>
      <c r="AL52" s="7" t="b">
        <v>0</v>
      </c>
      <c r="AM52" s="6" t="s">
        <v>6731</v>
      </c>
      <c r="AN52" s="6" t="s">
        <v>6716</v>
      </c>
      <c r="AO52" s="6">
        <v>764.0</v>
      </c>
      <c r="AP52" s="6"/>
      <c r="AQ52" s="6" t="b">
        <v>1</v>
      </c>
      <c r="AR52" s="6" t="s">
        <v>12862</v>
      </c>
      <c r="AS52" s="48" t="s">
        <v>12303</v>
      </c>
    </row>
    <row r="53" ht="19.5" customHeight="1">
      <c r="A53" s="9" t="s">
        <v>12213</v>
      </c>
      <c r="B53" s="9" t="s">
        <v>12863</v>
      </c>
      <c r="C53" s="9" t="s">
        <v>117</v>
      </c>
      <c r="D53" s="9" t="s">
        <v>1549</v>
      </c>
      <c r="E53" s="9" t="s">
        <v>12864</v>
      </c>
      <c r="G53" s="9" t="s">
        <v>664</v>
      </c>
      <c r="J53" s="52" t="s">
        <v>12865</v>
      </c>
      <c r="K53" s="9" t="s">
        <v>12866</v>
      </c>
      <c r="L53" s="9">
        <v>97430.0</v>
      </c>
      <c r="M53" s="9" t="s">
        <v>71</v>
      </c>
      <c r="O53" s="9" t="s">
        <v>12867</v>
      </c>
      <c r="P53" s="53" t="s">
        <v>12868</v>
      </c>
      <c r="Q53" s="49" t="s">
        <v>12869</v>
      </c>
      <c r="R53" s="50"/>
      <c r="S53" s="54"/>
      <c r="T53" s="9" t="s">
        <v>12870</v>
      </c>
      <c r="U53" s="9" t="s">
        <v>12871</v>
      </c>
      <c r="V53" s="9" t="s">
        <v>12872</v>
      </c>
      <c r="Y53" s="9" t="s">
        <v>12873</v>
      </c>
      <c r="AC53" s="9">
        <v>9.0343516200016E13</v>
      </c>
      <c r="AD53" s="9">
        <v>9.03435162E8</v>
      </c>
      <c r="AE53" s="9" t="s">
        <v>401</v>
      </c>
      <c r="AF53" s="55">
        <v>45579.5700462963</v>
      </c>
      <c r="AG53" s="9" t="s">
        <v>12874</v>
      </c>
      <c r="AH53" s="9" t="s">
        <v>12875</v>
      </c>
      <c r="AJ53" s="9" t="s">
        <v>12876</v>
      </c>
      <c r="AK53" s="9" t="b">
        <v>0</v>
      </c>
      <c r="AN53" s="9" t="s">
        <v>12213</v>
      </c>
      <c r="AP53" s="56">
        <v>44727.0</v>
      </c>
      <c r="AQ53" s="9" t="b">
        <v>0</v>
      </c>
      <c r="AR53" s="9" t="s">
        <v>12877</v>
      </c>
    </row>
    <row r="54" ht="19.5" customHeight="1">
      <c r="A54" s="7" t="s">
        <v>2902</v>
      </c>
      <c r="B54" s="7" t="s">
        <v>2903</v>
      </c>
      <c r="C54" s="7" t="s">
        <v>58</v>
      </c>
      <c r="D54" s="7" t="s">
        <v>453</v>
      </c>
      <c r="E54" s="7" t="s">
        <v>454</v>
      </c>
      <c r="F54" s="7">
        <v>10.0</v>
      </c>
      <c r="G54" s="7" t="s">
        <v>1092</v>
      </c>
      <c r="H54" s="7" t="s">
        <v>574</v>
      </c>
      <c r="I54" s="7" t="s">
        <v>578</v>
      </c>
      <c r="J54" s="7">
        <v>8.0</v>
      </c>
      <c r="K54" s="7" t="s">
        <v>12312</v>
      </c>
      <c r="L54" s="7">
        <v>97418.0</v>
      </c>
      <c r="M54" s="7" t="s">
        <v>71</v>
      </c>
      <c r="N54" s="7" t="s">
        <v>216</v>
      </c>
      <c r="O54" s="6" t="s">
        <v>12878</v>
      </c>
      <c r="P54" s="42" t="s">
        <v>2908</v>
      </c>
      <c r="Q54" s="49" t="s">
        <v>12879</v>
      </c>
      <c r="R54" s="50"/>
      <c r="S54" s="47" t="s">
        <v>2905</v>
      </c>
      <c r="T54" s="6" t="s">
        <v>12880</v>
      </c>
      <c r="U54" s="7" t="s">
        <v>2909</v>
      </c>
      <c r="V54" s="7" t="s">
        <v>2911</v>
      </c>
      <c r="W54" s="6" t="s">
        <v>12881</v>
      </c>
      <c r="X54" s="7" t="s">
        <v>2907</v>
      </c>
      <c r="Y54" s="7" t="s">
        <v>377</v>
      </c>
      <c r="Z54" s="7" t="s">
        <v>424</v>
      </c>
      <c r="AA54" s="7" t="s">
        <v>2917</v>
      </c>
      <c r="AB54" s="7" t="s">
        <v>1829</v>
      </c>
      <c r="AC54" s="7">
        <v>8.4054615400013E13</v>
      </c>
      <c r="AD54" s="7">
        <v>8.40546154E8</v>
      </c>
      <c r="AE54" s="6" t="s">
        <v>401</v>
      </c>
      <c r="AF54" s="45">
        <v>45498.56841435185</v>
      </c>
      <c r="AG54" s="7" t="s">
        <v>12882</v>
      </c>
      <c r="AH54" s="46" t="s">
        <v>12883</v>
      </c>
      <c r="AI54" s="7"/>
      <c r="AJ54" s="6" t="s">
        <v>12884</v>
      </c>
      <c r="AK54" s="7" t="b">
        <v>0</v>
      </c>
      <c r="AL54" s="7" t="b">
        <v>0</v>
      </c>
      <c r="AM54" s="6" t="s">
        <v>2918</v>
      </c>
      <c r="AN54" s="6" t="s">
        <v>2902</v>
      </c>
      <c r="AO54" s="6">
        <v>4606.0</v>
      </c>
      <c r="AP54" s="6"/>
      <c r="AQ54" s="6" t="b">
        <v>1</v>
      </c>
      <c r="AR54" s="6" t="s">
        <v>12885</v>
      </c>
      <c r="AS54" s="48" t="s">
        <v>12303</v>
      </c>
    </row>
    <row r="55" ht="19.5" customHeight="1">
      <c r="A55" s="52" t="s">
        <v>12886</v>
      </c>
      <c r="B55" s="9" t="s">
        <v>12887</v>
      </c>
      <c r="C55" s="9" t="s">
        <v>822</v>
      </c>
      <c r="D55" s="9" t="s">
        <v>4826</v>
      </c>
      <c r="E55" s="9" t="s">
        <v>1806</v>
      </c>
      <c r="I55" s="9" t="s">
        <v>12888</v>
      </c>
      <c r="J55" s="52" t="s">
        <v>12385</v>
      </c>
      <c r="K55" s="9" t="s">
        <v>12889</v>
      </c>
      <c r="L55" s="9">
        <v>97480.0</v>
      </c>
      <c r="M55" s="9" t="s">
        <v>123</v>
      </c>
      <c r="N55" s="9" t="s">
        <v>8383</v>
      </c>
      <c r="O55" s="9" t="s">
        <v>12890</v>
      </c>
      <c r="P55" s="53" t="s">
        <v>12891</v>
      </c>
      <c r="Q55" s="49" t="s">
        <v>12892</v>
      </c>
      <c r="R55" s="50"/>
      <c r="S55" s="54"/>
      <c r="T55" s="9" t="s">
        <v>12893</v>
      </c>
      <c r="U55" s="9" t="s">
        <v>12894</v>
      </c>
      <c r="V55" s="9" t="s">
        <v>12895</v>
      </c>
      <c r="X55" s="9" t="s">
        <v>12896</v>
      </c>
      <c r="Y55" s="9" t="s">
        <v>377</v>
      </c>
      <c r="Z55" s="9" t="s">
        <v>353</v>
      </c>
      <c r="AC55" s="9">
        <v>5.1785416200016E13</v>
      </c>
      <c r="AD55" s="9">
        <v>5.17854162E8</v>
      </c>
      <c r="AE55" s="9" t="s">
        <v>401</v>
      </c>
      <c r="AF55" s="60">
        <v>45350.636979166666</v>
      </c>
      <c r="AG55" s="9" t="s">
        <v>12897</v>
      </c>
      <c r="AH55" s="9" t="s">
        <v>12898</v>
      </c>
      <c r="AJ55" s="9" t="s">
        <v>12899</v>
      </c>
      <c r="AK55" s="9" t="b">
        <v>1</v>
      </c>
      <c r="AL55" s="9" t="b">
        <v>0</v>
      </c>
      <c r="AN55" s="52" t="s">
        <v>12886</v>
      </c>
      <c r="AP55" s="61">
        <v>44855.0</v>
      </c>
      <c r="AQ55" s="9" t="b">
        <v>0</v>
      </c>
      <c r="AR55" s="9" t="s">
        <v>12900</v>
      </c>
    </row>
    <row r="56" ht="19.5" customHeight="1">
      <c r="A56" s="7" t="s">
        <v>9858</v>
      </c>
      <c r="B56" s="7" t="s">
        <v>9859</v>
      </c>
      <c r="C56" s="7" t="s">
        <v>58</v>
      </c>
      <c r="D56" s="7" t="s">
        <v>59</v>
      </c>
      <c r="E56" s="7" t="s">
        <v>346</v>
      </c>
      <c r="F56" s="7">
        <v>12.0</v>
      </c>
      <c r="G56" s="7"/>
      <c r="H56" s="7"/>
      <c r="I56" s="7"/>
      <c r="J56" s="7">
        <v>28.0</v>
      </c>
      <c r="K56" s="7" t="s">
        <v>12901</v>
      </c>
      <c r="L56" s="7">
        <v>97418.0</v>
      </c>
      <c r="M56" s="7" t="s">
        <v>71</v>
      </c>
      <c r="N56" s="7" t="s">
        <v>216</v>
      </c>
      <c r="O56" s="7" t="s">
        <v>9865</v>
      </c>
      <c r="P56" s="42" t="s">
        <v>9861</v>
      </c>
      <c r="Q56" s="43" t="s">
        <v>12902</v>
      </c>
      <c r="R56" s="50"/>
      <c r="S56" s="51"/>
      <c r="T56" s="7"/>
      <c r="U56" s="7"/>
      <c r="V56" s="7"/>
      <c r="W56" s="7"/>
      <c r="X56" s="7"/>
      <c r="Y56" s="7"/>
      <c r="Z56" s="7"/>
      <c r="AA56" s="7"/>
      <c r="AB56" s="7"/>
      <c r="AC56" s="7"/>
      <c r="AD56" s="7"/>
      <c r="AE56" s="6" t="s">
        <v>12355</v>
      </c>
      <c r="AF56" s="45">
        <v>45349.36444444444</v>
      </c>
      <c r="AG56" s="7" t="s">
        <v>12903</v>
      </c>
      <c r="AH56" s="46" t="s">
        <v>12904</v>
      </c>
      <c r="AI56" s="7"/>
      <c r="AJ56" s="7"/>
      <c r="AK56" s="7" t="b">
        <v>0</v>
      </c>
      <c r="AL56" s="7" t="b">
        <v>0</v>
      </c>
      <c r="AM56" s="6" t="s">
        <v>9866</v>
      </c>
      <c r="AN56" s="6" t="s">
        <v>9858</v>
      </c>
      <c r="AO56" s="7"/>
      <c r="AP56" s="7"/>
      <c r="AQ56" s="6" t="b">
        <v>0</v>
      </c>
      <c r="AR56" s="6"/>
      <c r="AS56" s="48" t="s">
        <v>12303</v>
      </c>
    </row>
    <row r="57" ht="19.5" customHeight="1">
      <c r="A57" s="7" t="s">
        <v>4176</v>
      </c>
      <c r="B57" s="6" t="s">
        <v>4177</v>
      </c>
      <c r="C57" s="7" t="s">
        <v>58</v>
      </c>
      <c r="D57" s="7" t="s">
        <v>1141</v>
      </c>
      <c r="E57" s="7" t="s">
        <v>1141</v>
      </c>
      <c r="F57" s="7">
        <v>13.0</v>
      </c>
      <c r="G57" s="7" t="s">
        <v>3431</v>
      </c>
      <c r="H57" s="7" t="s">
        <v>355</v>
      </c>
      <c r="I57" s="7"/>
      <c r="J57" s="7">
        <v>87.0</v>
      </c>
      <c r="K57" s="6" t="s">
        <v>12905</v>
      </c>
      <c r="L57" s="7">
        <v>97480.0</v>
      </c>
      <c r="M57" s="7" t="s">
        <v>123</v>
      </c>
      <c r="N57" s="7" t="s">
        <v>206</v>
      </c>
      <c r="O57" s="6" t="s">
        <v>12906</v>
      </c>
      <c r="P57" s="53" t="s">
        <v>12907</v>
      </c>
      <c r="Q57" s="43" t="s">
        <v>12908</v>
      </c>
      <c r="R57" s="43" t="s">
        <v>12909</v>
      </c>
      <c r="S57" s="47" t="s">
        <v>4179</v>
      </c>
      <c r="T57" s="6" t="s">
        <v>12910</v>
      </c>
      <c r="U57" s="7" t="s">
        <v>4183</v>
      </c>
      <c r="V57" s="6" t="s">
        <v>12911</v>
      </c>
      <c r="W57" s="6" t="s">
        <v>12912</v>
      </c>
      <c r="X57" s="6" t="s">
        <v>12913</v>
      </c>
      <c r="Y57" s="6" t="s">
        <v>12914</v>
      </c>
      <c r="Z57" s="7" t="s">
        <v>1698</v>
      </c>
      <c r="AA57" s="7"/>
      <c r="AB57" s="7"/>
      <c r="AC57" s="7">
        <v>4.8873967300025E13</v>
      </c>
      <c r="AD57" s="7">
        <v>4.88739673E8</v>
      </c>
      <c r="AE57" s="6" t="s">
        <v>12355</v>
      </c>
      <c r="AF57" s="45">
        <v>45680.44131944444</v>
      </c>
      <c r="AG57" s="7" t="s">
        <v>12915</v>
      </c>
      <c r="AH57" s="46" t="s">
        <v>12916</v>
      </c>
      <c r="AI57" s="7"/>
      <c r="AJ57" s="6" t="s">
        <v>12917</v>
      </c>
      <c r="AK57" s="6" t="b">
        <v>1</v>
      </c>
      <c r="AL57" s="7" t="b">
        <v>0</v>
      </c>
      <c r="AM57" s="6" t="s">
        <v>4190</v>
      </c>
      <c r="AN57" s="6" t="s">
        <v>4176</v>
      </c>
      <c r="AO57" s="6">
        <v>440.0</v>
      </c>
      <c r="AP57" s="6"/>
      <c r="AQ57" s="6" t="b">
        <v>1</v>
      </c>
      <c r="AR57" s="6" t="s">
        <v>12918</v>
      </c>
      <c r="AS57" s="6"/>
    </row>
    <row r="58" ht="19.5" customHeight="1">
      <c r="A58" s="7" t="s">
        <v>1233</v>
      </c>
      <c r="B58" s="7" t="s">
        <v>1234</v>
      </c>
      <c r="C58" s="7" t="s">
        <v>58</v>
      </c>
      <c r="D58" s="7" t="s">
        <v>59</v>
      </c>
      <c r="E58" s="7" t="s">
        <v>545</v>
      </c>
      <c r="F58" s="7">
        <v>8.0</v>
      </c>
      <c r="G58" s="7" t="s">
        <v>1092</v>
      </c>
      <c r="H58" s="7"/>
      <c r="I58" s="7"/>
      <c r="J58" s="7"/>
      <c r="K58" s="7" t="s">
        <v>9494</v>
      </c>
      <c r="L58" s="7">
        <v>97418.0</v>
      </c>
      <c r="M58" s="7" t="s">
        <v>71</v>
      </c>
      <c r="N58" s="7" t="s">
        <v>216</v>
      </c>
      <c r="O58" s="7" t="s">
        <v>1244</v>
      </c>
      <c r="P58" s="42" t="s">
        <v>1238</v>
      </c>
      <c r="Q58" s="43" t="s">
        <v>12919</v>
      </c>
      <c r="R58" s="43" t="s">
        <v>12920</v>
      </c>
      <c r="S58" s="51"/>
      <c r="T58" s="7" t="s">
        <v>1240</v>
      </c>
      <c r="U58" s="7" t="s">
        <v>1239</v>
      </c>
      <c r="V58" s="7"/>
      <c r="W58" s="6" t="s">
        <v>12921</v>
      </c>
      <c r="X58" s="7" t="s">
        <v>1237</v>
      </c>
      <c r="Y58" s="7" t="s">
        <v>377</v>
      </c>
      <c r="Z58" s="7"/>
      <c r="AA58" s="7"/>
      <c r="AB58" s="7"/>
      <c r="AC58" s="7">
        <v>4.4298844000024E13</v>
      </c>
      <c r="AD58" s="7">
        <v>4.4298844E8</v>
      </c>
      <c r="AE58" s="6" t="s">
        <v>12355</v>
      </c>
      <c r="AF58" s="45">
        <v>45348.69478009259</v>
      </c>
      <c r="AG58" s="7" t="s">
        <v>12922</v>
      </c>
      <c r="AH58" s="46" t="s">
        <v>12923</v>
      </c>
      <c r="AI58" s="7"/>
      <c r="AJ58" s="7"/>
      <c r="AK58" s="7" t="b">
        <v>0</v>
      </c>
      <c r="AL58" s="7" t="b">
        <v>0</v>
      </c>
      <c r="AM58" s="6" t="s">
        <v>1245</v>
      </c>
      <c r="AN58" s="6" t="s">
        <v>1233</v>
      </c>
      <c r="AO58" s="6">
        <v>3880.0</v>
      </c>
      <c r="AP58" s="6"/>
      <c r="AQ58" s="6" t="b">
        <v>1</v>
      </c>
      <c r="AR58" s="6"/>
      <c r="AS58" s="48" t="s">
        <v>12303</v>
      </c>
    </row>
    <row r="59" ht="19.5" customHeight="1">
      <c r="A59" s="9" t="s">
        <v>10781</v>
      </c>
      <c r="B59" s="9" t="s">
        <v>12924</v>
      </c>
      <c r="C59" s="9" t="s">
        <v>58</v>
      </c>
      <c r="D59" s="9" t="s">
        <v>59</v>
      </c>
      <c r="E59" s="9" t="s">
        <v>12384</v>
      </c>
      <c r="F59" s="9">
        <v>12.0</v>
      </c>
      <c r="G59" s="9" t="s">
        <v>455</v>
      </c>
      <c r="H59" s="9"/>
      <c r="I59" s="9"/>
      <c r="J59" s="52" t="s">
        <v>12925</v>
      </c>
      <c r="K59" s="9" t="s">
        <v>12926</v>
      </c>
      <c r="L59" s="9">
        <v>97480.0</v>
      </c>
      <c r="M59" s="9" t="s">
        <v>123</v>
      </c>
      <c r="N59" s="9" t="s">
        <v>8747</v>
      </c>
      <c r="O59" s="9" t="s">
        <v>12927</v>
      </c>
      <c r="P59" s="53" t="s">
        <v>12928</v>
      </c>
      <c r="Q59" s="49" t="s">
        <v>12929</v>
      </c>
      <c r="R59" s="50"/>
      <c r="S59" s="59"/>
      <c r="T59" s="9" t="s">
        <v>12930</v>
      </c>
      <c r="U59" s="9" t="s">
        <v>12931</v>
      </c>
      <c r="V59" s="9" t="s">
        <v>12932</v>
      </c>
      <c r="W59" s="9" t="s">
        <v>12933</v>
      </c>
      <c r="X59" s="9" t="s">
        <v>12934</v>
      </c>
      <c r="Y59" s="9" t="s">
        <v>12935</v>
      </c>
      <c r="Z59" s="9" t="s">
        <v>592</v>
      </c>
      <c r="AC59" s="9">
        <v>9.8057203600013E13</v>
      </c>
      <c r="AD59" s="9">
        <v>9.80572036E8</v>
      </c>
      <c r="AE59" s="9" t="s">
        <v>12355</v>
      </c>
      <c r="AF59" s="55">
        <v>45513.469201388885</v>
      </c>
      <c r="AG59" s="9" t="s">
        <v>12936</v>
      </c>
      <c r="AH59" s="9" t="s">
        <v>12937</v>
      </c>
      <c r="AJ59" s="9" t="s">
        <v>12938</v>
      </c>
      <c r="AK59" s="9" t="b">
        <v>0</v>
      </c>
      <c r="AL59" s="9" t="b">
        <v>0</v>
      </c>
      <c r="AM59" s="9"/>
      <c r="AN59" s="9" t="s">
        <v>10781</v>
      </c>
      <c r="AP59" s="56">
        <v>45247.0</v>
      </c>
      <c r="AQ59" s="9" t="b">
        <v>1</v>
      </c>
      <c r="AR59" s="9"/>
    </row>
    <row r="60" ht="19.5" customHeight="1">
      <c r="A60" s="7" t="s">
        <v>5545</v>
      </c>
      <c r="B60" s="7" t="s">
        <v>12939</v>
      </c>
      <c r="C60" s="7" t="s">
        <v>58</v>
      </c>
      <c r="D60" s="7" t="s">
        <v>59</v>
      </c>
      <c r="E60" s="7" t="s">
        <v>374</v>
      </c>
      <c r="F60" s="7">
        <v>18.0</v>
      </c>
      <c r="G60" s="7" t="s">
        <v>375</v>
      </c>
      <c r="H60" s="7" t="s">
        <v>2716</v>
      </c>
      <c r="I60" s="7"/>
      <c r="J60" s="7">
        <v>108.0</v>
      </c>
      <c r="K60" s="7" t="s">
        <v>12940</v>
      </c>
      <c r="L60" s="7">
        <v>97480.0</v>
      </c>
      <c r="M60" s="7" t="s">
        <v>123</v>
      </c>
      <c r="N60" s="7" t="s">
        <v>206</v>
      </c>
      <c r="O60" s="6" t="s">
        <v>12941</v>
      </c>
      <c r="P60" s="42" t="s">
        <v>5552</v>
      </c>
      <c r="Q60" s="49" t="s">
        <v>12942</v>
      </c>
      <c r="R60" s="43" t="s">
        <v>12943</v>
      </c>
      <c r="S60" s="47" t="s">
        <v>5548</v>
      </c>
      <c r="T60" s="6" t="s">
        <v>12944</v>
      </c>
      <c r="U60" s="6" t="s">
        <v>12945</v>
      </c>
      <c r="V60" s="7" t="s">
        <v>5555</v>
      </c>
      <c r="W60" s="6" t="s">
        <v>12946</v>
      </c>
      <c r="X60" s="6" t="s">
        <v>12947</v>
      </c>
      <c r="Y60" s="7" t="s">
        <v>648</v>
      </c>
      <c r="Z60" s="7" t="s">
        <v>5551</v>
      </c>
      <c r="AA60" s="7" t="s">
        <v>2358</v>
      </c>
      <c r="AB60" s="7" t="s">
        <v>1590</v>
      </c>
      <c r="AC60" s="7">
        <v>8.0812805200012E13</v>
      </c>
      <c r="AD60" s="7">
        <v>8.08128052E8</v>
      </c>
      <c r="AE60" s="6" t="s">
        <v>401</v>
      </c>
      <c r="AF60" s="45">
        <v>46036.414375</v>
      </c>
      <c r="AG60" s="7" t="s">
        <v>12948</v>
      </c>
      <c r="AH60" s="46" t="s">
        <v>12949</v>
      </c>
      <c r="AI60" s="7"/>
      <c r="AJ60" s="6" t="s">
        <v>12950</v>
      </c>
      <c r="AK60" s="6" t="b">
        <v>1</v>
      </c>
      <c r="AL60" s="7" t="b">
        <v>0</v>
      </c>
      <c r="AM60" s="6" t="s">
        <v>5560</v>
      </c>
      <c r="AN60" s="6" t="s">
        <v>5545</v>
      </c>
      <c r="AO60" s="6">
        <v>3809.0</v>
      </c>
      <c r="AP60" s="6"/>
      <c r="AQ60" s="6" t="b">
        <v>1</v>
      </c>
      <c r="AR60" s="6" t="s">
        <v>12951</v>
      </c>
      <c r="AS60" s="6"/>
    </row>
    <row r="61" ht="19.5" customHeight="1">
      <c r="A61" s="9" t="s">
        <v>10303</v>
      </c>
      <c r="B61" s="9" t="s">
        <v>12952</v>
      </c>
      <c r="C61" s="9" t="s">
        <v>117</v>
      </c>
      <c r="D61" s="9" t="s">
        <v>1405</v>
      </c>
      <c r="E61" s="9" t="s">
        <v>1406</v>
      </c>
      <c r="G61" s="9" t="s">
        <v>422</v>
      </c>
      <c r="J61" s="52" t="s">
        <v>12820</v>
      </c>
      <c r="K61" s="9" t="s">
        <v>12953</v>
      </c>
      <c r="L61" s="9">
        <v>97414.0</v>
      </c>
      <c r="M61" s="9" t="s">
        <v>40</v>
      </c>
      <c r="N61" s="9" t="s">
        <v>40</v>
      </c>
      <c r="O61" s="9" t="s">
        <v>12954</v>
      </c>
      <c r="P61" s="53" t="s">
        <v>12955</v>
      </c>
      <c r="Q61" s="49" t="s">
        <v>12956</v>
      </c>
      <c r="R61" s="50"/>
      <c r="S61" s="58" t="s">
        <v>12957</v>
      </c>
      <c r="T61" s="9" t="s">
        <v>12958</v>
      </c>
      <c r="U61" s="9" t="s">
        <v>12959</v>
      </c>
      <c r="V61" s="9" t="s">
        <v>12960</v>
      </c>
      <c r="W61" s="9" t="s">
        <v>12961</v>
      </c>
      <c r="X61" s="9" t="s">
        <v>12962</v>
      </c>
      <c r="Y61" s="9" t="s">
        <v>377</v>
      </c>
      <c r="Z61" s="9" t="s">
        <v>592</v>
      </c>
      <c r="AC61" s="9">
        <v>4.2349190100025E13</v>
      </c>
      <c r="AD61" s="9">
        <v>4.23491901E8</v>
      </c>
      <c r="AE61" s="9" t="s">
        <v>401</v>
      </c>
      <c r="AF61" s="55">
        <v>45342.49317129629</v>
      </c>
      <c r="AG61" s="9" t="s">
        <v>12963</v>
      </c>
      <c r="AH61" s="9" t="s">
        <v>12964</v>
      </c>
      <c r="AJ61" s="9" t="s">
        <v>12965</v>
      </c>
      <c r="AK61" s="9" t="b">
        <v>0</v>
      </c>
      <c r="AL61" s="9" t="b">
        <v>0</v>
      </c>
      <c r="AN61" s="9" t="s">
        <v>10303</v>
      </c>
      <c r="AP61" s="56">
        <v>44979.0</v>
      </c>
      <c r="AQ61" s="9" t="b">
        <v>0</v>
      </c>
    </row>
    <row r="62" ht="19.5" customHeight="1">
      <c r="A62" s="7" t="s">
        <v>1707</v>
      </c>
      <c r="B62" s="7" t="s">
        <v>1708</v>
      </c>
      <c r="C62" s="7" t="s">
        <v>58</v>
      </c>
      <c r="D62" s="7" t="s">
        <v>59</v>
      </c>
      <c r="E62" s="7" t="s">
        <v>545</v>
      </c>
      <c r="F62" s="7">
        <v>6.0</v>
      </c>
      <c r="G62" s="7" t="s">
        <v>422</v>
      </c>
      <c r="H62" s="7" t="s">
        <v>355</v>
      </c>
      <c r="I62" s="7"/>
      <c r="J62" s="7">
        <v>10.0</v>
      </c>
      <c r="K62" s="7" t="s">
        <v>12966</v>
      </c>
      <c r="L62" s="7">
        <v>97430.0</v>
      </c>
      <c r="M62" s="7" t="s">
        <v>71</v>
      </c>
      <c r="N62" s="7" t="s">
        <v>12373</v>
      </c>
      <c r="O62" s="6" t="s">
        <v>12967</v>
      </c>
      <c r="P62" s="53" t="s">
        <v>12968</v>
      </c>
      <c r="Q62" s="43" t="s">
        <v>12969</v>
      </c>
      <c r="R62" s="43" t="s">
        <v>12970</v>
      </c>
      <c r="S62" s="47" t="s">
        <v>1710</v>
      </c>
      <c r="T62" s="7" t="s">
        <v>1714</v>
      </c>
      <c r="U62" s="7"/>
      <c r="V62" s="7"/>
      <c r="W62" s="6" t="s">
        <v>12971</v>
      </c>
      <c r="X62" s="7" t="s">
        <v>1712</v>
      </c>
      <c r="Y62" s="7" t="s">
        <v>439</v>
      </c>
      <c r="Z62" s="7" t="s">
        <v>353</v>
      </c>
      <c r="AA62" s="7"/>
      <c r="AB62" s="7"/>
      <c r="AC62" s="7"/>
      <c r="AD62" s="7"/>
      <c r="AE62" s="6" t="s">
        <v>12355</v>
      </c>
      <c r="AF62" s="45">
        <v>45485.35952546296</v>
      </c>
      <c r="AG62" s="7" t="s">
        <v>12972</v>
      </c>
      <c r="AH62" s="46" t="s">
        <v>12973</v>
      </c>
      <c r="AI62" s="7"/>
      <c r="AJ62" s="6" t="s">
        <v>12974</v>
      </c>
      <c r="AK62" s="7" t="b">
        <v>0</v>
      </c>
      <c r="AL62" s="7" t="b">
        <v>0</v>
      </c>
      <c r="AM62" s="6" t="s">
        <v>1719</v>
      </c>
      <c r="AN62" s="6" t="s">
        <v>1707</v>
      </c>
      <c r="AO62" s="6">
        <v>1769.0</v>
      </c>
      <c r="AP62" s="6"/>
      <c r="AQ62" s="6" t="b">
        <v>0</v>
      </c>
      <c r="AR62" s="6"/>
      <c r="AS62" s="6" t="s">
        <v>12303</v>
      </c>
    </row>
    <row r="63" ht="19.5" customHeight="1">
      <c r="A63" s="9" t="s">
        <v>10308</v>
      </c>
      <c r="B63" s="9" t="s">
        <v>12975</v>
      </c>
      <c r="C63" s="9" t="s">
        <v>58</v>
      </c>
      <c r="D63" s="9" t="s">
        <v>59</v>
      </c>
      <c r="E63" s="9" t="s">
        <v>12384</v>
      </c>
      <c r="F63" s="9">
        <v>3.0</v>
      </c>
      <c r="G63" s="9" t="s">
        <v>422</v>
      </c>
      <c r="H63" s="9" t="s">
        <v>395</v>
      </c>
      <c r="I63" s="9"/>
      <c r="J63" s="52" t="s">
        <v>12976</v>
      </c>
      <c r="K63" s="9" t="s">
        <v>12977</v>
      </c>
      <c r="L63" s="9">
        <v>97414.0</v>
      </c>
      <c r="M63" s="9" t="s">
        <v>40</v>
      </c>
      <c r="N63" s="9" t="s">
        <v>12822</v>
      </c>
      <c r="O63" s="9" t="s">
        <v>12978</v>
      </c>
      <c r="P63" s="53" t="s">
        <v>12979</v>
      </c>
      <c r="Q63" s="49" t="s">
        <v>12980</v>
      </c>
      <c r="R63" s="50"/>
      <c r="S63" s="59"/>
      <c r="T63" s="9" t="s">
        <v>12981</v>
      </c>
      <c r="U63" s="9" t="s">
        <v>12982</v>
      </c>
      <c r="V63" s="9" t="s">
        <v>12828</v>
      </c>
      <c r="W63" s="9" t="s">
        <v>12983</v>
      </c>
      <c r="X63" s="9" t="s">
        <v>12984</v>
      </c>
      <c r="Y63" s="9" t="s">
        <v>12985</v>
      </c>
      <c r="Z63" s="9" t="s">
        <v>1508</v>
      </c>
      <c r="AC63" s="9">
        <v>4.2305047500023E13</v>
      </c>
      <c r="AD63" s="9">
        <v>4.23050475E8</v>
      </c>
      <c r="AE63" s="9" t="s">
        <v>401</v>
      </c>
      <c r="AF63" s="55">
        <v>45335.57480324074</v>
      </c>
      <c r="AG63" s="9" t="s">
        <v>12986</v>
      </c>
      <c r="AH63" s="9" t="s">
        <v>12987</v>
      </c>
      <c r="AJ63" s="9" t="s">
        <v>12988</v>
      </c>
      <c r="AK63" s="9" t="b">
        <v>0</v>
      </c>
      <c r="AL63" s="9" t="b">
        <v>0</v>
      </c>
      <c r="AM63" s="9" t="s">
        <v>12989</v>
      </c>
      <c r="AN63" s="9" t="s">
        <v>10308</v>
      </c>
      <c r="AP63" s="56">
        <v>45162.0</v>
      </c>
      <c r="AQ63" s="9" t="b">
        <v>0</v>
      </c>
      <c r="AR63" s="9" t="s">
        <v>12990</v>
      </c>
    </row>
    <row r="64" ht="19.5" customHeight="1">
      <c r="A64" s="7" t="s">
        <v>4712</v>
      </c>
      <c r="B64" s="7" t="s">
        <v>4713</v>
      </c>
      <c r="C64" s="7" t="s">
        <v>58</v>
      </c>
      <c r="D64" s="7" t="s">
        <v>453</v>
      </c>
      <c r="E64" s="7" t="s">
        <v>454</v>
      </c>
      <c r="F64" s="7">
        <v>7.0</v>
      </c>
      <c r="G64" s="7" t="s">
        <v>455</v>
      </c>
      <c r="H64" s="7" t="s">
        <v>574</v>
      </c>
      <c r="I64" s="7" t="s">
        <v>578</v>
      </c>
      <c r="J64" s="7">
        <v>25.0</v>
      </c>
      <c r="K64" s="7" t="s">
        <v>12991</v>
      </c>
      <c r="L64" s="7">
        <v>97480.0</v>
      </c>
      <c r="M64" s="7" t="s">
        <v>123</v>
      </c>
      <c r="N64" s="6" t="s">
        <v>8325</v>
      </c>
      <c r="O64" s="6" t="s">
        <v>12992</v>
      </c>
      <c r="P64" s="42" t="s">
        <v>12993</v>
      </c>
      <c r="Q64" s="49" t="s">
        <v>12994</v>
      </c>
      <c r="R64" s="43" t="s">
        <v>12995</v>
      </c>
      <c r="S64" s="51"/>
      <c r="T64" s="7" t="s">
        <v>4720</v>
      </c>
      <c r="U64" s="7" t="s">
        <v>4719</v>
      </c>
      <c r="V64" s="7" t="s">
        <v>4721</v>
      </c>
      <c r="W64" s="6" t="s">
        <v>12996</v>
      </c>
      <c r="X64" s="7" t="s">
        <v>4716</v>
      </c>
      <c r="Y64" s="6" t="s">
        <v>4368</v>
      </c>
      <c r="Z64" s="7" t="s">
        <v>4717</v>
      </c>
      <c r="AA64" s="7"/>
      <c r="AB64" s="7"/>
      <c r="AC64" s="7">
        <v>3.8292111200019E13</v>
      </c>
      <c r="AD64" s="7">
        <v>3.82921112E8</v>
      </c>
      <c r="AE64" s="6" t="s">
        <v>401</v>
      </c>
      <c r="AF64" s="45">
        <v>45335.43833333333</v>
      </c>
      <c r="AG64" s="7" t="s">
        <v>12997</v>
      </c>
      <c r="AH64" s="46" t="s">
        <v>12998</v>
      </c>
      <c r="AI64" s="7"/>
      <c r="AJ64" s="6" t="s">
        <v>12999</v>
      </c>
      <c r="AK64" s="7" t="b">
        <v>0</v>
      </c>
      <c r="AL64" s="7" t="b">
        <v>0</v>
      </c>
      <c r="AM64" s="6" t="s">
        <v>4727</v>
      </c>
      <c r="AN64" s="6" t="s">
        <v>4712</v>
      </c>
      <c r="AO64" s="6">
        <v>3115.0</v>
      </c>
      <c r="AP64" s="6"/>
      <c r="AQ64" s="6" t="b">
        <v>1</v>
      </c>
      <c r="AR64" s="6"/>
      <c r="AS64" s="6" t="s">
        <v>12303</v>
      </c>
    </row>
    <row r="65" ht="19.5" customHeight="1">
      <c r="A65" s="9" t="s">
        <v>10674</v>
      </c>
      <c r="B65" s="9" t="s">
        <v>13000</v>
      </c>
      <c r="C65" s="9" t="s">
        <v>58</v>
      </c>
      <c r="D65" s="9" t="s">
        <v>59</v>
      </c>
      <c r="E65" s="9" t="s">
        <v>545</v>
      </c>
      <c r="F65" s="9">
        <v>2.0</v>
      </c>
      <c r="G65" s="9" t="s">
        <v>422</v>
      </c>
      <c r="H65" s="9" t="s">
        <v>355</v>
      </c>
      <c r="I65" s="9"/>
      <c r="J65" s="9" t="s">
        <v>13001</v>
      </c>
      <c r="K65" s="9" t="s">
        <v>13002</v>
      </c>
      <c r="L65" s="9">
        <v>97414.0</v>
      </c>
      <c r="M65" s="9" t="s">
        <v>40</v>
      </c>
      <c r="N65" s="9" t="s">
        <v>1860</v>
      </c>
      <c r="O65" s="9" t="s">
        <v>13003</v>
      </c>
      <c r="P65" s="53" t="s">
        <v>13004</v>
      </c>
      <c r="Q65" s="49" t="s">
        <v>13005</v>
      </c>
      <c r="R65" s="50"/>
      <c r="S65" s="59"/>
      <c r="T65" s="9" t="s">
        <v>13006</v>
      </c>
      <c r="U65" s="9" t="s">
        <v>13007</v>
      </c>
      <c r="V65" s="9" t="s">
        <v>13008</v>
      </c>
      <c r="W65" s="9" t="s">
        <v>13009</v>
      </c>
      <c r="X65" s="9" t="s">
        <v>13010</v>
      </c>
      <c r="Y65" s="9" t="s">
        <v>13011</v>
      </c>
      <c r="Z65" s="9" t="s">
        <v>424</v>
      </c>
      <c r="AC65" s="9"/>
      <c r="AD65" s="9"/>
      <c r="AE65" s="9" t="s">
        <v>12355</v>
      </c>
      <c r="AF65" s="55">
        <v>45545.48677083333</v>
      </c>
      <c r="AG65" s="9" t="s">
        <v>13012</v>
      </c>
      <c r="AH65" s="9" t="s">
        <v>13013</v>
      </c>
      <c r="AJ65" s="9" t="s">
        <v>13014</v>
      </c>
      <c r="AK65" s="9" t="b">
        <v>0</v>
      </c>
      <c r="AL65" s="9" t="b">
        <v>0</v>
      </c>
      <c r="AM65" s="9" t="s">
        <v>13015</v>
      </c>
      <c r="AN65" s="9" t="s">
        <v>10674</v>
      </c>
      <c r="AP65" s="56">
        <v>45238.0</v>
      </c>
      <c r="AQ65" s="9" t="b">
        <v>0</v>
      </c>
      <c r="AR65" s="9"/>
    </row>
    <row r="66" ht="19.5" customHeight="1">
      <c r="A66" s="7" t="s">
        <v>1561</v>
      </c>
      <c r="B66" s="6" t="s">
        <v>1562</v>
      </c>
      <c r="C66" s="7" t="s">
        <v>58</v>
      </c>
      <c r="D66" s="7" t="s">
        <v>59</v>
      </c>
      <c r="E66" s="7" t="s">
        <v>346</v>
      </c>
      <c r="F66" s="7">
        <v>8.0</v>
      </c>
      <c r="G66" s="7" t="s">
        <v>664</v>
      </c>
      <c r="H66" s="6" t="s">
        <v>395</v>
      </c>
      <c r="I66" s="7"/>
      <c r="J66" s="7">
        <v>5.0</v>
      </c>
      <c r="K66" s="7" t="s">
        <v>13016</v>
      </c>
      <c r="L66" s="7">
        <v>97430.0</v>
      </c>
      <c r="M66" s="7" t="s">
        <v>71</v>
      </c>
      <c r="N66" s="7"/>
      <c r="O66" s="7" t="s">
        <v>1575</v>
      </c>
      <c r="P66" s="42" t="s">
        <v>1568</v>
      </c>
      <c r="Q66" s="43" t="s">
        <v>13017</v>
      </c>
      <c r="R66" s="50"/>
      <c r="S66" s="47"/>
      <c r="T66" s="6" t="s">
        <v>13018</v>
      </c>
      <c r="U66" s="6" t="s">
        <v>13019</v>
      </c>
      <c r="V66" s="7"/>
      <c r="W66" s="6" t="s">
        <v>13020</v>
      </c>
      <c r="X66" s="6" t="s">
        <v>13021</v>
      </c>
      <c r="Y66" s="6" t="s">
        <v>1863</v>
      </c>
      <c r="Z66" s="7" t="s">
        <v>424</v>
      </c>
      <c r="AA66" s="7"/>
      <c r="AB66" s="7"/>
      <c r="AC66" s="7">
        <v>3.8116042300053E13</v>
      </c>
      <c r="AD66" s="7">
        <v>3.81160423E8</v>
      </c>
      <c r="AE66" s="6" t="s">
        <v>12355</v>
      </c>
      <c r="AF66" s="45">
        <v>45460.405625</v>
      </c>
      <c r="AG66" s="7" t="s">
        <v>13022</v>
      </c>
      <c r="AH66" s="46" t="s">
        <v>13023</v>
      </c>
      <c r="AI66" s="7"/>
      <c r="AJ66" s="6" t="s">
        <v>13024</v>
      </c>
      <c r="AK66" s="7" t="b">
        <v>0</v>
      </c>
      <c r="AL66" s="7" t="b">
        <v>0</v>
      </c>
      <c r="AM66" s="6" t="s">
        <v>1577</v>
      </c>
      <c r="AN66" s="6" t="s">
        <v>1561</v>
      </c>
      <c r="AO66" s="6">
        <v>4284.0</v>
      </c>
      <c r="AP66" s="6"/>
      <c r="AQ66" s="6" t="b">
        <v>0</v>
      </c>
      <c r="AR66" s="6" t="s">
        <v>13025</v>
      </c>
      <c r="AS66" s="6"/>
    </row>
    <row r="67" ht="19.5" customHeight="1">
      <c r="A67" s="9" t="s">
        <v>10310</v>
      </c>
      <c r="B67" s="9" t="s">
        <v>13026</v>
      </c>
      <c r="C67" s="9" t="s">
        <v>58</v>
      </c>
      <c r="D67" s="9" t="s">
        <v>59</v>
      </c>
      <c r="E67" s="9" t="s">
        <v>346</v>
      </c>
      <c r="F67" s="9">
        <v>20.0</v>
      </c>
      <c r="J67" s="52" t="s">
        <v>13027</v>
      </c>
      <c r="K67" s="9" t="s">
        <v>13028</v>
      </c>
      <c r="L67" s="9">
        <v>97418.0</v>
      </c>
      <c r="M67" s="9" t="s">
        <v>71</v>
      </c>
      <c r="N67" s="9" t="s">
        <v>13029</v>
      </c>
      <c r="O67" s="9" t="s">
        <v>13030</v>
      </c>
      <c r="P67" s="53" t="s">
        <v>13031</v>
      </c>
      <c r="Q67" s="49" t="s">
        <v>13032</v>
      </c>
      <c r="R67" s="50"/>
      <c r="S67" s="58" t="s">
        <v>13033</v>
      </c>
      <c r="T67" s="9" t="s">
        <v>13034</v>
      </c>
      <c r="U67" s="9" t="s">
        <v>13035</v>
      </c>
      <c r="W67" s="9" t="s">
        <v>13036</v>
      </c>
      <c r="X67" s="9" t="s">
        <v>13037</v>
      </c>
      <c r="Y67" s="9" t="s">
        <v>499</v>
      </c>
      <c r="Z67" s="9" t="s">
        <v>592</v>
      </c>
      <c r="AC67" s="9">
        <v>8.5084821900026E13</v>
      </c>
      <c r="AD67" s="9">
        <v>8.50848219E8</v>
      </c>
      <c r="AE67" s="9" t="s">
        <v>12355</v>
      </c>
      <c r="AF67" s="55">
        <v>45876.66271990741</v>
      </c>
      <c r="AG67" s="9" t="s">
        <v>13038</v>
      </c>
      <c r="AH67" s="9" t="s">
        <v>13039</v>
      </c>
      <c r="AJ67" s="9" t="s">
        <v>13040</v>
      </c>
      <c r="AK67" s="9" t="b">
        <v>0</v>
      </c>
      <c r="AL67" s="9" t="b">
        <v>0</v>
      </c>
      <c r="AM67" s="9" t="s">
        <v>13041</v>
      </c>
      <c r="AN67" s="9" t="s">
        <v>10310</v>
      </c>
      <c r="AP67" s="56">
        <v>44798.0</v>
      </c>
      <c r="AQ67" s="9" t="b">
        <v>0</v>
      </c>
      <c r="AR67" s="9" t="s">
        <v>13042</v>
      </c>
    </row>
    <row r="68" ht="19.5" customHeight="1">
      <c r="A68" s="7" t="s">
        <v>10079</v>
      </c>
      <c r="B68" s="7" t="s">
        <v>13043</v>
      </c>
      <c r="C68" s="7" t="s">
        <v>58</v>
      </c>
      <c r="D68" s="7" t="s">
        <v>59</v>
      </c>
      <c r="E68" s="7" t="s">
        <v>346</v>
      </c>
      <c r="F68" s="7">
        <v>20.0</v>
      </c>
      <c r="G68" s="7" t="s">
        <v>422</v>
      </c>
      <c r="H68" s="7"/>
      <c r="I68" s="7"/>
      <c r="J68" s="7">
        <v>497.0</v>
      </c>
      <c r="K68" s="7" t="s">
        <v>12485</v>
      </c>
      <c r="L68" s="7">
        <v>97480.0</v>
      </c>
      <c r="M68" s="7" t="s">
        <v>123</v>
      </c>
      <c r="N68" s="7"/>
      <c r="O68" s="6" t="s">
        <v>13044</v>
      </c>
      <c r="P68" s="42" t="s">
        <v>10026</v>
      </c>
      <c r="Q68" s="43" t="s">
        <v>13045</v>
      </c>
      <c r="R68" s="50" t="s">
        <v>12350</v>
      </c>
      <c r="S68" s="51"/>
      <c r="T68" s="6" t="s">
        <v>13046</v>
      </c>
      <c r="U68" s="6" t="s">
        <v>13047</v>
      </c>
      <c r="V68" s="6" t="s">
        <v>13048</v>
      </c>
      <c r="W68" s="6" t="s">
        <v>13049</v>
      </c>
      <c r="X68" s="6" t="s">
        <v>13050</v>
      </c>
      <c r="Y68" s="7" t="s">
        <v>1863</v>
      </c>
      <c r="Z68" s="6" t="s">
        <v>13051</v>
      </c>
      <c r="AA68" s="7" t="s">
        <v>10087</v>
      </c>
      <c r="AB68" s="7" t="s">
        <v>1590</v>
      </c>
      <c r="AC68" s="7"/>
      <c r="AD68" s="7"/>
      <c r="AE68" s="6" t="s">
        <v>12355</v>
      </c>
      <c r="AF68" s="45">
        <v>45533.42695601852</v>
      </c>
      <c r="AG68" s="7" t="s">
        <v>13052</v>
      </c>
      <c r="AH68" s="46" t="s">
        <v>13053</v>
      </c>
      <c r="AI68" s="7"/>
      <c r="AJ68" s="6" t="s">
        <v>13054</v>
      </c>
      <c r="AK68" s="6" t="b">
        <v>1</v>
      </c>
      <c r="AL68" s="7" t="b">
        <v>0</v>
      </c>
      <c r="AM68" s="6" t="s">
        <v>10088</v>
      </c>
      <c r="AN68" s="6" t="s">
        <v>10079</v>
      </c>
      <c r="AO68" s="7"/>
      <c r="AP68" s="7"/>
      <c r="AQ68" s="6" t="b">
        <v>0</v>
      </c>
      <c r="AR68" s="6" t="s">
        <v>13055</v>
      </c>
      <c r="AS68" s="6"/>
    </row>
    <row r="69" ht="19.5" customHeight="1">
      <c r="A69" s="9" t="s">
        <v>10312</v>
      </c>
      <c r="B69" s="9" t="s">
        <v>13056</v>
      </c>
      <c r="C69" s="9" t="s">
        <v>58</v>
      </c>
      <c r="D69" s="9" t="s">
        <v>59</v>
      </c>
      <c r="E69" s="9" t="s">
        <v>12384</v>
      </c>
      <c r="F69" s="9">
        <v>6.0</v>
      </c>
      <c r="G69" s="9" t="s">
        <v>455</v>
      </c>
      <c r="H69" s="9"/>
      <c r="I69" s="9"/>
      <c r="J69" s="9" t="s">
        <v>13001</v>
      </c>
      <c r="K69" s="9" t="s">
        <v>13057</v>
      </c>
      <c r="L69" s="9">
        <v>97430.0</v>
      </c>
      <c r="M69" s="9" t="s">
        <v>71</v>
      </c>
      <c r="N69" s="9" t="s">
        <v>13058</v>
      </c>
      <c r="O69" s="9" t="s">
        <v>13059</v>
      </c>
      <c r="P69" s="53" t="s">
        <v>13060</v>
      </c>
      <c r="Q69" s="49" t="s">
        <v>13061</v>
      </c>
      <c r="R69" s="50"/>
      <c r="S69" s="58" t="s">
        <v>13062</v>
      </c>
      <c r="T69" s="9" t="s">
        <v>13063</v>
      </c>
      <c r="U69" s="9" t="s">
        <v>13064</v>
      </c>
      <c r="V69" s="9" t="s">
        <v>13065</v>
      </c>
      <c r="W69" s="9" t="s">
        <v>13066</v>
      </c>
      <c r="X69" s="9" t="s">
        <v>13067</v>
      </c>
      <c r="Y69" s="9" t="s">
        <v>1863</v>
      </c>
      <c r="Z69" s="9" t="s">
        <v>378</v>
      </c>
      <c r="AC69" s="9">
        <v>8.0827567100028E13</v>
      </c>
      <c r="AD69" s="9">
        <v>8.08275671E8</v>
      </c>
      <c r="AE69" s="9" t="s">
        <v>12355</v>
      </c>
      <c r="AF69" s="55">
        <v>45323.64141203704</v>
      </c>
      <c r="AG69" s="9" t="s">
        <v>13068</v>
      </c>
      <c r="AH69" s="9" t="s">
        <v>13069</v>
      </c>
      <c r="AJ69" s="9" t="s">
        <v>13070</v>
      </c>
      <c r="AK69" s="9" t="b">
        <v>0</v>
      </c>
      <c r="AL69" s="9" t="b">
        <v>0</v>
      </c>
      <c r="AM69" s="9" t="s">
        <v>13071</v>
      </c>
      <c r="AN69" s="9" t="s">
        <v>10312</v>
      </c>
      <c r="AP69" s="56">
        <v>45233.0</v>
      </c>
      <c r="AQ69" s="9" t="b">
        <v>1</v>
      </c>
      <c r="AR69" s="9"/>
    </row>
    <row r="70" ht="19.5" customHeight="1">
      <c r="A70" s="9" t="s">
        <v>234</v>
      </c>
      <c r="B70" s="9" t="s">
        <v>13072</v>
      </c>
      <c r="C70" s="9" t="s">
        <v>58</v>
      </c>
      <c r="D70" s="9" t="s">
        <v>453</v>
      </c>
      <c r="E70" s="9" t="s">
        <v>454</v>
      </c>
      <c r="F70" s="9">
        <v>6.0</v>
      </c>
      <c r="G70" s="9" t="s">
        <v>455</v>
      </c>
      <c r="J70" s="52" t="s">
        <v>13073</v>
      </c>
      <c r="K70" s="9" t="s">
        <v>13074</v>
      </c>
      <c r="L70" s="9">
        <v>97480.0</v>
      </c>
      <c r="M70" s="9" t="s">
        <v>123</v>
      </c>
      <c r="N70" s="9" t="s">
        <v>12446</v>
      </c>
      <c r="O70" s="9" t="s">
        <v>13075</v>
      </c>
      <c r="P70" s="53" t="s">
        <v>13076</v>
      </c>
      <c r="Q70" s="49" t="s">
        <v>13077</v>
      </c>
      <c r="R70" s="50"/>
      <c r="S70" s="58" t="s">
        <v>13078</v>
      </c>
      <c r="T70" s="9" t="s">
        <v>13079</v>
      </c>
      <c r="U70" s="9" t="s">
        <v>13080</v>
      </c>
      <c r="V70" s="9" t="s">
        <v>13081</v>
      </c>
      <c r="W70" s="9" t="s">
        <v>13082</v>
      </c>
      <c r="X70" s="9" t="s">
        <v>13083</v>
      </c>
      <c r="Y70" s="9" t="s">
        <v>13084</v>
      </c>
      <c r="Z70" s="9" t="s">
        <v>353</v>
      </c>
      <c r="AC70" s="9">
        <v>4.4382247300023E13</v>
      </c>
      <c r="AD70" s="9">
        <v>4.43822473E8</v>
      </c>
      <c r="AE70" s="9" t="s">
        <v>401</v>
      </c>
      <c r="AF70" s="55">
        <v>45320.4565162037</v>
      </c>
      <c r="AG70" s="9" t="s">
        <v>13085</v>
      </c>
      <c r="AH70" s="9" t="s">
        <v>236</v>
      </c>
      <c r="AJ70" s="9" t="s">
        <v>13086</v>
      </c>
      <c r="AK70" s="9" t="b">
        <v>0</v>
      </c>
      <c r="AL70" s="9" t="b">
        <v>0</v>
      </c>
      <c r="AM70" s="9" t="s">
        <v>13087</v>
      </c>
      <c r="AN70" s="9" t="s">
        <v>234</v>
      </c>
      <c r="AP70" s="56">
        <v>44414.0</v>
      </c>
      <c r="AQ70" s="6" t="b">
        <v>0</v>
      </c>
      <c r="AR70" s="6" t="s">
        <v>13088</v>
      </c>
      <c r="AS70" s="6"/>
    </row>
    <row r="71" ht="19.5" customHeight="1">
      <c r="A71" s="7" t="s">
        <v>7879</v>
      </c>
      <c r="B71" s="7" t="s">
        <v>13089</v>
      </c>
      <c r="C71" s="7" t="s">
        <v>34</v>
      </c>
      <c r="D71" s="7" t="s">
        <v>622</v>
      </c>
      <c r="E71" s="7" t="s">
        <v>622</v>
      </c>
      <c r="F71" s="7">
        <v>45.0</v>
      </c>
      <c r="G71" s="7" t="s">
        <v>407</v>
      </c>
      <c r="H71" s="7"/>
      <c r="I71" s="7"/>
      <c r="J71" s="6" t="s">
        <v>13090</v>
      </c>
      <c r="K71" s="6" t="s">
        <v>13091</v>
      </c>
      <c r="L71" s="7">
        <v>97418.0</v>
      </c>
      <c r="M71" s="7" t="s">
        <v>71</v>
      </c>
      <c r="N71" s="7" t="s">
        <v>216</v>
      </c>
      <c r="O71" s="6" t="s">
        <v>13092</v>
      </c>
      <c r="P71" s="42" t="s">
        <v>7882</v>
      </c>
      <c r="Q71" s="43" t="s">
        <v>13093</v>
      </c>
      <c r="R71" s="50"/>
      <c r="S71" s="51"/>
      <c r="T71" s="6" t="s">
        <v>13094</v>
      </c>
      <c r="U71" s="6" t="s">
        <v>13095</v>
      </c>
      <c r="V71" s="6" t="s">
        <v>13096</v>
      </c>
      <c r="W71" s="6" t="s">
        <v>13097</v>
      </c>
      <c r="X71" s="7" t="s">
        <v>1108</v>
      </c>
      <c r="Y71" s="7" t="s">
        <v>5639</v>
      </c>
      <c r="Z71" s="7" t="s">
        <v>592</v>
      </c>
      <c r="AA71" s="7"/>
      <c r="AB71" s="7"/>
      <c r="AC71" s="7">
        <v>4.2485781100014E13</v>
      </c>
      <c r="AD71" s="7">
        <v>4.24857811E8</v>
      </c>
      <c r="AE71" s="6" t="s">
        <v>401</v>
      </c>
      <c r="AF71" s="45">
        <v>45320.45517361111</v>
      </c>
      <c r="AG71" s="7" t="s">
        <v>13098</v>
      </c>
      <c r="AH71" s="46" t="s">
        <v>13099</v>
      </c>
      <c r="AI71" s="7"/>
      <c r="AJ71" s="6" t="s">
        <v>13100</v>
      </c>
      <c r="AK71" s="6" t="b">
        <v>1</v>
      </c>
      <c r="AL71" s="7" t="b">
        <v>0</v>
      </c>
      <c r="AM71" s="7"/>
      <c r="AN71" s="6" t="s">
        <v>7879</v>
      </c>
      <c r="AO71" s="6">
        <v>266.0</v>
      </c>
      <c r="AP71" s="6"/>
      <c r="AQ71" s="6" t="b">
        <v>1</v>
      </c>
      <c r="AR71" s="6"/>
      <c r="AS71" s="48"/>
    </row>
    <row r="72" ht="19.5" customHeight="1">
      <c r="A72" s="7" t="s">
        <v>6049</v>
      </c>
      <c r="B72" s="7" t="s">
        <v>13101</v>
      </c>
      <c r="C72" s="7" t="s">
        <v>34</v>
      </c>
      <c r="D72" s="7" t="s">
        <v>622</v>
      </c>
      <c r="E72" s="7" t="s">
        <v>622</v>
      </c>
      <c r="F72" s="7"/>
      <c r="G72" s="7"/>
      <c r="H72" s="7"/>
      <c r="I72" s="7"/>
      <c r="J72" s="7">
        <v>136.0</v>
      </c>
      <c r="K72" s="7" t="s">
        <v>13102</v>
      </c>
      <c r="L72" s="7">
        <v>97430.0</v>
      </c>
      <c r="M72" s="7" t="s">
        <v>71</v>
      </c>
      <c r="N72" s="7"/>
      <c r="O72" s="6" t="s">
        <v>13103</v>
      </c>
      <c r="P72" s="42" t="s">
        <v>6052</v>
      </c>
      <c r="Q72" s="43" t="s">
        <v>13104</v>
      </c>
      <c r="R72" s="43" t="s">
        <v>13105</v>
      </c>
      <c r="S72" s="51"/>
      <c r="T72" s="7"/>
      <c r="U72" s="6" t="s">
        <v>6053</v>
      </c>
      <c r="V72" s="6" t="s">
        <v>13106</v>
      </c>
      <c r="W72" s="6" t="s">
        <v>13107</v>
      </c>
      <c r="X72" s="6" t="s">
        <v>13108</v>
      </c>
      <c r="Y72" s="7" t="s">
        <v>377</v>
      </c>
      <c r="Z72" s="7" t="s">
        <v>353</v>
      </c>
      <c r="AA72" s="7"/>
      <c r="AB72" s="7"/>
      <c r="AC72" s="7">
        <v>8.1738901800018E13</v>
      </c>
      <c r="AD72" s="7">
        <v>8.17389018E8</v>
      </c>
      <c r="AE72" s="6" t="s">
        <v>401</v>
      </c>
      <c r="AF72" s="45">
        <v>45320.36928240741</v>
      </c>
      <c r="AG72" s="7" t="s">
        <v>13109</v>
      </c>
      <c r="AH72" s="62" t="s">
        <v>13110</v>
      </c>
      <c r="AI72" s="7"/>
      <c r="AJ72" s="6" t="s">
        <v>13111</v>
      </c>
      <c r="AK72" s="6" t="b">
        <v>1</v>
      </c>
      <c r="AL72" s="7" t="b">
        <v>0</v>
      </c>
      <c r="AM72" s="7"/>
      <c r="AN72" s="6" t="s">
        <v>6049</v>
      </c>
      <c r="AO72" s="6">
        <v>4333.0</v>
      </c>
      <c r="AP72" s="6"/>
      <c r="AQ72" s="6" t="b">
        <v>1</v>
      </c>
      <c r="AR72" s="6"/>
      <c r="AS72" s="6"/>
    </row>
    <row r="73" ht="19.5" customHeight="1">
      <c r="A73" s="7" t="s">
        <v>1631</v>
      </c>
      <c r="B73" s="7" t="s">
        <v>13112</v>
      </c>
      <c r="C73" s="7" t="s">
        <v>34</v>
      </c>
      <c r="D73" s="7" t="s">
        <v>622</v>
      </c>
      <c r="E73" s="7" t="s">
        <v>622</v>
      </c>
      <c r="F73" s="7"/>
      <c r="G73" s="7" t="s">
        <v>1609</v>
      </c>
      <c r="H73" s="7"/>
      <c r="I73" s="7"/>
      <c r="J73" s="7">
        <v>65.0</v>
      </c>
      <c r="K73" s="7" t="s">
        <v>13113</v>
      </c>
      <c r="L73" s="7">
        <v>97430.0</v>
      </c>
      <c r="M73" s="7" t="s">
        <v>71</v>
      </c>
      <c r="N73" s="7"/>
      <c r="O73" s="6" t="s">
        <v>13114</v>
      </c>
      <c r="P73" s="42" t="s">
        <v>1634</v>
      </c>
      <c r="Q73" s="43" t="s">
        <v>13115</v>
      </c>
      <c r="R73" s="50"/>
      <c r="S73" s="51"/>
      <c r="T73" s="7" t="s">
        <v>1635</v>
      </c>
      <c r="U73" s="6" t="s">
        <v>13116</v>
      </c>
      <c r="V73" s="6" t="s">
        <v>13117</v>
      </c>
      <c r="W73" s="7"/>
      <c r="X73" s="6" t="s">
        <v>13118</v>
      </c>
      <c r="Y73" s="7" t="s">
        <v>377</v>
      </c>
      <c r="Z73" s="7" t="s">
        <v>378</v>
      </c>
      <c r="AA73" s="7"/>
      <c r="AB73" s="7"/>
      <c r="AC73" s="6">
        <v>3.4336021000011E13</v>
      </c>
      <c r="AD73" s="6">
        <v>3.4336021E8</v>
      </c>
      <c r="AE73" s="6" t="s">
        <v>401</v>
      </c>
      <c r="AF73" s="45">
        <v>45317.58237268519</v>
      </c>
      <c r="AG73" s="7" t="s">
        <v>13119</v>
      </c>
      <c r="AH73" s="46" t="s">
        <v>13120</v>
      </c>
      <c r="AI73" s="7"/>
      <c r="AJ73" s="6" t="s">
        <v>13121</v>
      </c>
      <c r="AK73" s="7" t="b">
        <v>0</v>
      </c>
      <c r="AL73" s="7" t="b">
        <v>0</v>
      </c>
      <c r="AM73" s="7"/>
      <c r="AN73" s="6" t="s">
        <v>1631</v>
      </c>
      <c r="AO73" s="6">
        <v>2247.0</v>
      </c>
      <c r="AP73" s="6"/>
      <c r="AQ73" s="6" t="b">
        <v>1</v>
      </c>
      <c r="AR73" s="6"/>
      <c r="AS73" s="6"/>
    </row>
    <row r="74" ht="19.5" customHeight="1">
      <c r="A74" s="7" t="s">
        <v>6390</v>
      </c>
      <c r="B74" s="6" t="s">
        <v>13122</v>
      </c>
      <c r="C74" s="7" t="s">
        <v>34</v>
      </c>
      <c r="D74" s="7" t="s">
        <v>622</v>
      </c>
      <c r="E74" s="7" t="s">
        <v>622</v>
      </c>
      <c r="F74" s="7">
        <v>120.0</v>
      </c>
      <c r="G74" s="7"/>
      <c r="H74" s="7"/>
      <c r="I74" s="7"/>
      <c r="J74" s="7">
        <v>10.0</v>
      </c>
      <c r="K74" s="6" t="s">
        <v>13123</v>
      </c>
      <c r="L74" s="7">
        <v>97430.0</v>
      </c>
      <c r="M74" s="7" t="s">
        <v>71</v>
      </c>
      <c r="N74" s="7"/>
      <c r="O74" s="6" t="s">
        <v>13124</v>
      </c>
      <c r="P74" s="42"/>
      <c r="Q74" s="50"/>
      <c r="R74" s="50"/>
      <c r="S74" s="51"/>
      <c r="T74" s="6" t="s">
        <v>13125</v>
      </c>
      <c r="U74" s="7"/>
      <c r="V74" s="7" t="s">
        <v>6394</v>
      </c>
      <c r="W74" s="7"/>
      <c r="X74" s="7"/>
      <c r="Y74" s="7" t="s">
        <v>1612</v>
      </c>
      <c r="Z74" s="7" t="s">
        <v>353</v>
      </c>
      <c r="AA74" s="7"/>
      <c r="AB74" s="7"/>
      <c r="AC74" s="6">
        <v>8.1290020700018E13</v>
      </c>
      <c r="AD74" s="6">
        <v>8.12900207E8</v>
      </c>
      <c r="AE74" s="6" t="s">
        <v>12355</v>
      </c>
      <c r="AF74" s="45">
        <v>45317.56497685185</v>
      </c>
      <c r="AG74" s="7" t="s">
        <v>13126</v>
      </c>
      <c r="AH74" s="46" t="s">
        <v>13127</v>
      </c>
      <c r="AI74" s="7"/>
      <c r="AJ74" s="7"/>
      <c r="AK74" s="7" t="b">
        <v>0</v>
      </c>
      <c r="AL74" s="7" t="b">
        <v>0</v>
      </c>
      <c r="AM74" s="7"/>
      <c r="AN74" s="6" t="s">
        <v>6390</v>
      </c>
      <c r="AO74" s="7"/>
      <c r="AP74" s="7"/>
      <c r="AQ74" s="6" t="b">
        <v>0</v>
      </c>
      <c r="AR74" s="6"/>
      <c r="AS74" s="6"/>
    </row>
    <row r="75" ht="19.5" customHeight="1">
      <c r="A75" s="7" t="s">
        <v>1594</v>
      </c>
      <c r="B75" s="6" t="s">
        <v>13128</v>
      </c>
      <c r="C75" s="7" t="s">
        <v>34</v>
      </c>
      <c r="D75" s="7" t="s">
        <v>622</v>
      </c>
      <c r="E75" s="7" t="s">
        <v>622</v>
      </c>
      <c r="F75" s="6">
        <v>80.0</v>
      </c>
      <c r="G75" s="7" t="s">
        <v>455</v>
      </c>
      <c r="H75" s="7"/>
      <c r="I75" s="7" t="s">
        <v>1600</v>
      </c>
      <c r="J75" s="41" t="s">
        <v>13129</v>
      </c>
      <c r="K75" s="6" t="s">
        <v>12616</v>
      </c>
      <c r="L75" s="7">
        <v>97430.0</v>
      </c>
      <c r="M75" s="7" t="s">
        <v>71</v>
      </c>
      <c r="N75" s="7"/>
      <c r="O75" s="6" t="s">
        <v>13130</v>
      </c>
      <c r="P75" s="42" t="s">
        <v>1597</v>
      </c>
      <c r="Q75" s="43" t="s">
        <v>13131</v>
      </c>
      <c r="R75" s="43" t="s">
        <v>13132</v>
      </c>
      <c r="S75" s="51"/>
      <c r="T75" s="6" t="s">
        <v>13133</v>
      </c>
      <c r="U75" s="6" t="s">
        <v>13134</v>
      </c>
      <c r="V75" s="6" t="s">
        <v>13135</v>
      </c>
      <c r="W75" s="6" t="s">
        <v>13136</v>
      </c>
      <c r="X75" s="6" t="s">
        <v>13137</v>
      </c>
      <c r="Y75" s="6" t="s">
        <v>13138</v>
      </c>
      <c r="Z75" s="6" t="s">
        <v>424</v>
      </c>
      <c r="AA75" s="7"/>
      <c r="AB75" s="7"/>
      <c r="AC75" s="6">
        <v>4.1075524300012E13</v>
      </c>
      <c r="AD75" s="6">
        <v>4.10755243E8</v>
      </c>
      <c r="AE75" s="6" t="s">
        <v>401</v>
      </c>
      <c r="AF75" s="45">
        <v>45317.45193287037</v>
      </c>
      <c r="AG75" s="7" t="s">
        <v>13139</v>
      </c>
      <c r="AH75" s="46" t="s">
        <v>13140</v>
      </c>
      <c r="AI75" s="7"/>
      <c r="AJ75" s="6" t="s">
        <v>13141</v>
      </c>
      <c r="AK75" s="7" t="b">
        <v>0</v>
      </c>
      <c r="AL75" s="7" t="b">
        <v>0</v>
      </c>
      <c r="AM75" s="7"/>
      <c r="AN75" s="6" t="s">
        <v>1594</v>
      </c>
      <c r="AO75" s="6">
        <v>1985.0</v>
      </c>
      <c r="AP75" s="6"/>
      <c r="AQ75" s="6" t="b">
        <v>1</v>
      </c>
      <c r="AR75" s="6"/>
      <c r="AS75" s="6"/>
    </row>
    <row r="76" ht="19.5" customHeight="1">
      <c r="A76" s="7" t="s">
        <v>8744</v>
      </c>
      <c r="B76" s="7" t="s">
        <v>8745</v>
      </c>
      <c r="C76" s="7" t="s">
        <v>58</v>
      </c>
      <c r="D76" s="7" t="s">
        <v>59</v>
      </c>
      <c r="E76" s="7" t="s">
        <v>346</v>
      </c>
      <c r="F76" s="7">
        <v>4.0</v>
      </c>
      <c r="G76" s="7"/>
      <c r="H76" s="7"/>
      <c r="I76" s="7"/>
      <c r="J76" s="7">
        <v>38.0</v>
      </c>
      <c r="K76" s="6" t="s">
        <v>13142</v>
      </c>
      <c r="L76" s="7">
        <v>97480.0</v>
      </c>
      <c r="M76" s="7" t="s">
        <v>123</v>
      </c>
      <c r="N76" s="7"/>
      <c r="O76" s="6" t="s">
        <v>13143</v>
      </c>
      <c r="P76" s="53" t="s">
        <v>8748</v>
      </c>
      <c r="Q76" s="43" t="s">
        <v>13144</v>
      </c>
      <c r="R76" s="50"/>
      <c r="S76" s="51"/>
      <c r="T76" s="6" t="s">
        <v>13145</v>
      </c>
      <c r="U76" s="7"/>
      <c r="V76" s="7"/>
      <c r="W76" s="7"/>
      <c r="X76" s="7"/>
      <c r="Y76" s="6" t="s">
        <v>13146</v>
      </c>
      <c r="Z76" s="6" t="s">
        <v>353</v>
      </c>
      <c r="AA76" s="7" t="s">
        <v>7024</v>
      </c>
      <c r="AB76" s="7" t="s">
        <v>1590</v>
      </c>
      <c r="AC76" s="7"/>
      <c r="AD76" s="7"/>
      <c r="AE76" s="6" t="s">
        <v>401</v>
      </c>
      <c r="AF76" s="45">
        <v>45316.48516203704</v>
      </c>
      <c r="AG76" s="7" t="s">
        <v>13147</v>
      </c>
      <c r="AH76" s="46" t="s">
        <v>13148</v>
      </c>
      <c r="AI76" s="7"/>
      <c r="AJ76" s="6" t="s">
        <v>13149</v>
      </c>
      <c r="AK76" s="7" t="b">
        <v>0</v>
      </c>
      <c r="AL76" s="7" t="b">
        <v>0</v>
      </c>
      <c r="AM76" s="6" t="s">
        <v>8753</v>
      </c>
      <c r="AN76" s="6" t="s">
        <v>8744</v>
      </c>
      <c r="AO76" s="7"/>
      <c r="AP76" s="7"/>
      <c r="AQ76" s="6" t="b">
        <v>0</v>
      </c>
      <c r="AR76" s="6"/>
      <c r="AS76" s="6"/>
    </row>
    <row r="77" ht="19.5" customHeight="1">
      <c r="A77" s="9" t="s">
        <v>10679</v>
      </c>
      <c r="B77" s="9" t="s">
        <v>13150</v>
      </c>
      <c r="C77" s="9" t="s">
        <v>58</v>
      </c>
      <c r="D77" s="9" t="s">
        <v>59</v>
      </c>
      <c r="E77" s="9" t="s">
        <v>12384</v>
      </c>
      <c r="F77" s="9">
        <v>10.0</v>
      </c>
      <c r="G77" s="9" t="s">
        <v>455</v>
      </c>
      <c r="J77" s="52" t="s">
        <v>13151</v>
      </c>
      <c r="K77" s="9" t="s">
        <v>13152</v>
      </c>
      <c r="L77" s="9">
        <v>97418.0</v>
      </c>
      <c r="M77" s="9" t="s">
        <v>71</v>
      </c>
      <c r="N77" s="9" t="s">
        <v>216</v>
      </c>
      <c r="O77" s="9" t="s">
        <v>13153</v>
      </c>
      <c r="P77" s="53" t="s">
        <v>13154</v>
      </c>
      <c r="Q77" s="49" t="s">
        <v>13155</v>
      </c>
      <c r="R77" s="50"/>
      <c r="S77" s="54"/>
      <c r="T77" s="9" t="s">
        <v>13156</v>
      </c>
      <c r="U77" s="9" t="s">
        <v>13157</v>
      </c>
      <c r="V77" s="9" t="s">
        <v>13158</v>
      </c>
      <c r="W77" s="9" t="s">
        <v>13159</v>
      </c>
      <c r="X77" s="9" t="s">
        <v>13160</v>
      </c>
      <c r="Y77" s="9" t="s">
        <v>499</v>
      </c>
      <c r="Z77" s="9" t="s">
        <v>353</v>
      </c>
      <c r="AC77" s="9">
        <v>9.516452900001E13</v>
      </c>
      <c r="AD77" s="9">
        <v>9.5164529E8</v>
      </c>
      <c r="AE77" s="9" t="s">
        <v>5287</v>
      </c>
      <c r="AF77" s="55">
        <v>45796.54651620371</v>
      </c>
      <c r="AG77" s="9" t="s">
        <v>13161</v>
      </c>
      <c r="AH77" s="9" t="s">
        <v>13162</v>
      </c>
      <c r="AJ77" s="9" t="s">
        <v>13163</v>
      </c>
      <c r="AK77" s="9" t="b">
        <v>0</v>
      </c>
      <c r="AL77" s="9" t="b">
        <v>0</v>
      </c>
      <c r="AM77" s="9" t="s">
        <v>13164</v>
      </c>
      <c r="AN77" s="9" t="s">
        <v>10679</v>
      </c>
      <c r="AP77" s="56">
        <v>45041.0</v>
      </c>
      <c r="AQ77" s="9" t="b">
        <v>0</v>
      </c>
      <c r="AR77" s="9" t="s">
        <v>13165</v>
      </c>
    </row>
    <row r="78" ht="19.5" customHeight="1">
      <c r="A78" s="9" t="s">
        <v>10318</v>
      </c>
      <c r="B78" s="9" t="s">
        <v>13166</v>
      </c>
      <c r="C78" s="9" t="s">
        <v>58</v>
      </c>
      <c r="D78" s="9" t="s">
        <v>59</v>
      </c>
      <c r="E78" s="9" t="s">
        <v>346</v>
      </c>
      <c r="F78" s="9">
        <v>15.0</v>
      </c>
      <c r="G78" s="9" t="s">
        <v>455</v>
      </c>
      <c r="J78" s="52" t="s">
        <v>13167</v>
      </c>
      <c r="K78" s="9" t="s">
        <v>13168</v>
      </c>
      <c r="L78" s="9">
        <v>97430.0</v>
      </c>
      <c r="M78" s="9" t="s">
        <v>71</v>
      </c>
      <c r="N78" s="9"/>
      <c r="O78" s="9" t="s">
        <v>13169</v>
      </c>
      <c r="P78" s="53" t="s">
        <v>13170</v>
      </c>
      <c r="Q78" s="49" t="s">
        <v>13171</v>
      </c>
      <c r="R78" s="50"/>
      <c r="S78" s="54"/>
      <c r="T78" s="9" t="s">
        <v>13172</v>
      </c>
      <c r="U78" s="9" t="s">
        <v>13173</v>
      </c>
      <c r="V78" s="9" t="s">
        <v>13174</v>
      </c>
      <c r="W78" s="9" t="s">
        <v>13175</v>
      </c>
      <c r="X78" s="9" t="s">
        <v>13176</v>
      </c>
      <c r="Y78" s="9" t="s">
        <v>377</v>
      </c>
      <c r="Z78" s="9" t="s">
        <v>592</v>
      </c>
      <c r="AC78" s="9">
        <v>9.4875925300016E13</v>
      </c>
      <c r="AD78" s="9">
        <v>9.48759253E8</v>
      </c>
      <c r="AE78" s="9" t="s">
        <v>401</v>
      </c>
      <c r="AF78" s="60">
        <v>45316.37918981481</v>
      </c>
      <c r="AG78" s="9" t="s">
        <v>13177</v>
      </c>
      <c r="AH78" s="9" t="s">
        <v>13178</v>
      </c>
      <c r="AJ78" s="9" t="s">
        <v>13179</v>
      </c>
      <c r="AK78" s="9" t="b">
        <v>0</v>
      </c>
      <c r="AL78" s="9" t="b">
        <v>0</v>
      </c>
      <c r="AM78" s="9" t="s">
        <v>13180</v>
      </c>
      <c r="AN78" s="9" t="s">
        <v>10318</v>
      </c>
      <c r="AP78" s="61">
        <v>44512.0</v>
      </c>
      <c r="AQ78" s="9" t="b">
        <v>0</v>
      </c>
      <c r="AR78" s="9" t="s">
        <v>13181</v>
      </c>
      <c r="AS78" s="9" t="s">
        <v>12303</v>
      </c>
    </row>
    <row r="79" ht="19.5" customHeight="1">
      <c r="A79" s="7" t="s">
        <v>6752</v>
      </c>
      <c r="B79" s="7" t="s">
        <v>13182</v>
      </c>
      <c r="C79" s="7" t="s">
        <v>34</v>
      </c>
      <c r="D79" s="7" t="s">
        <v>622</v>
      </c>
      <c r="E79" s="7" t="s">
        <v>622</v>
      </c>
      <c r="F79" s="7">
        <v>120.0</v>
      </c>
      <c r="G79" s="7" t="s">
        <v>407</v>
      </c>
      <c r="H79" s="7"/>
      <c r="I79" s="6"/>
      <c r="J79" s="41" t="s">
        <v>13183</v>
      </c>
      <c r="K79" s="6" t="s">
        <v>13184</v>
      </c>
      <c r="L79" s="7">
        <v>97418.0</v>
      </c>
      <c r="M79" s="7" t="s">
        <v>71</v>
      </c>
      <c r="N79" s="7" t="s">
        <v>216</v>
      </c>
      <c r="O79" s="6" t="s">
        <v>13185</v>
      </c>
      <c r="P79" s="42" t="s">
        <v>6756</v>
      </c>
      <c r="Q79" s="43" t="s">
        <v>13186</v>
      </c>
      <c r="R79" s="43" t="s">
        <v>13187</v>
      </c>
      <c r="S79" s="51"/>
      <c r="T79" s="6" t="s">
        <v>13188</v>
      </c>
      <c r="U79" s="7" t="s">
        <v>6757</v>
      </c>
      <c r="V79" s="6" t="s">
        <v>13189</v>
      </c>
      <c r="W79" s="7" t="s">
        <v>801</v>
      </c>
      <c r="X79" s="7" t="s">
        <v>647</v>
      </c>
      <c r="Y79" s="7" t="s">
        <v>963</v>
      </c>
      <c r="Z79" s="6" t="s">
        <v>424</v>
      </c>
      <c r="AA79" s="7"/>
      <c r="AB79" s="7"/>
      <c r="AC79" s="7">
        <v>4.8138444400024E13</v>
      </c>
      <c r="AD79" s="7">
        <v>4.81384444E8</v>
      </c>
      <c r="AE79" s="6" t="s">
        <v>401</v>
      </c>
      <c r="AF79" s="45">
        <v>45315.632256944446</v>
      </c>
      <c r="AG79" s="7" t="s">
        <v>13190</v>
      </c>
      <c r="AH79" s="46" t="s">
        <v>13191</v>
      </c>
      <c r="AI79" s="7"/>
      <c r="AJ79" s="6" t="s">
        <v>13192</v>
      </c>
      <c r="AK79" s="6" t="b">
        <v>1</v>
      </c>
      <c r="AL79" s="7" t="b">
        <v>0</v>
      </c>
      <c r="AM79" s="7"/>
      <c r="AN79" s="6" t="s">
        <v>6752</v>
      </c>
      <c r="AO79" s="6">
        <v>24.0</v>
      </c>
      <c r="AP79" s="6"/>
      <c r="AQ79" s="6" t="b">
        <v>1</v>
      </c>
      <c r="AR79" s="6"/>
      <c r="AS79" s="48" t="s">
        <v>12303</v>
      </c>
    </row>
    <row r="80" ht="19.5" customHeight="1">
      <c r="A80" s="7" t="s">
        <v>8809</v>
      </c>
      <c r="B80" s="7" t="s">
        <v>8810</v>
      </c>
      <c r="C80" s="7" t="s">
        <v>58</v>
      </c>
      <c r="D80" s="7" t="s">
        <v>59</v>
      </c>
      <c r="E80" s="7" t="s">
        <v>346</v>
      </c>
      <c r="F80" s="7">
        <v>6.0</v>
      </c>
      <c r="G80" s="7"/>
      <c r="H80" s="7"/>
      <c r="I80" s="7"/>
      <c r="J80" s="7">
        <v>37.0</v>
      </c>
      <c r="K80" s="7" t="s">
        <v>13193</v>
      </c>
      <c r="L80" s="7">
        <v>97418.0</v>
      </c>
      <c r="M80" s="7" t="s">
        <v>71</v>
      </c>
      <c r="N80" s="7" t="s">
        <v>216</v>
      </c>
      <c r="O80" s="6" t="s">
        <v>13194</v>
      </c>
      <c r="P80" s="42" t="s">
        <v>632</v>
      </c>
      <c r="Q80" s="43" t="s">
        <v>13186</v>
      </c>
      <c r="R80" s="43" t="s">
        <v>13187</v>
      </c>
      <c r="S80" s="51"/>
      <c r="T80" s="6" t="s">
        <v>13195</v>
      </c>
      <c r="U80" s="7"/>
      <c r="V80" s="7"/>
      <c r="W80" s="7"/>
      <c r="X80" s="7"/>
      <c r="Y80" s="7"/>
      <c r="Z80" s="7" t="s">
        <v>378</v>
      </c>
      <c r="AA80" s="7"/>
      <c r="AB80" s="7"/>
      <c r="AC80" s="7"/>
      <c r="AD80" s="7"/>
      <c r="AE80" s="6" t="s">
        <v>401</v>
      </c>
      <c r="AF80" s="45">
        <v>45315.62322916667</v>
      </c>
      <c r="AG80" s="7" t="s">
        <v>13190</v>
      </c>
      <c r="AH80" s="46" t="s">
        <v>13196</v>
      </c>
      <c r="AI80" s="7"/>
      <c r="AJ80" s="7"/>
      <c r="AK80" s="7" t="b">
        <v>0</v>
      </c>
      <c r="AL80" s="7" t="b">
        <v>0</v>
      </c>
      <c r="AM80" s="6" t="s">
        <v>8815</v>
      </c>
      <c r="AN80" s="6" t="s">
        <v>8809</v>
      </c>
      <c r="AO80" s="7"/>
      <c r="AP80" s="7"/>
      <c r="AQ80" s="6" t="b">
        <v>0</v>
      </c>
      <c r="AR80" s="6" t="s">
        <v>13197</v>
      </c>
      <c r="AS80" s="48" t="s">
        <v>12303</v>
      </c>
    </row>
    <row r="81" ht="19.5" customHeight="1">
      <c r="A81" s="9" t="s">
        <v>10320</v>
      </c>
      <c r="B81" s="9" t="s">
        <v>13198</v>
      </c>
      <c r="C81" s="9" t="s">
        <v>58</v>
      </c>
      <c r="D81" s="9" t="s">
        <v>59</v>
      </c>
      <c r="E81" s="9" t="s">
        <v>545</v>
      </c>
      <c r="F81" s="9">
        <v>4.0</v>
      </c>
      <c r="G81" s="9" t="s">
        <v>422</v>
      </c>
      <c r="H81" s="9"/>
      <c r="I81" s="9"/>
      <c r="J81" s="9" t="s">
        <v>13199</v>
      </c>
      <c r="K81" s="9" t="s">
        <v>13200</v>
      </c>
      <c r="L81" s="9">
        <v>97414.0</v>
      </c>
      <c r="M81" s="9" t="s">
        <v>40</v>
      </c>
      <c r="N81" s="9" t="s">
        <v>12447</v>
      </c>
      <c r="O81" s="9" t="s">
        <v>13201</v>
      </c>
      <c r="P81" s="53" t="s">
        <v>13202</v>
      </c>
      <c r="Q81" s="49" t="s">
        <v>13203</v>
      </c>
      <c r="R81" s="50"/>
      <c r="S81" s="58" t="s">
        <v>13204</v>
      </c>
      <c r="T81" s="9" t="s">
        <v>13205</v>
      </c>
      <c r="U81" s="9" t="s">
        <v>13206</v>
      </c>
      <c r="V81" s="9" t="s">
        <v>13207</v>
      </c>
      <c r="W81" s="9" t="s">
        <v>13208</v>
      </c>
      <c r="X81" s="9" t="s">
        <v>13209</v>
      </c>
      <c r="Y81" s="9" t="s">
        <v>13210</v>
      </c>
      <c r="Z81" s="9" t="s">
        <v>13211</v>
      </c>
      <c r="AC81" s="9">
        <v>8.8368580200018E13</v>
      </c>
      <c r="AD81" s="9">
        <v>8.83685802E8</v>
      </c>
      <c r="AE81" s="9" t="s">
        <v>401</v>
      </c>
      <c r="AF81" s="55">
        <v>45380.48846064815</v>
      </c>
      <c r="AG81" s="9" t="s">
        <v>13212</v>
      </c>
      <c r="AH81" s="9" t="s">
        <v>13213</v>
      </c>
      <c r="AJ81" s="9" t="s">
        <v>13214</v>
      </c>
      <c r="AK81" s="9" t="b">
        <v>0</v>
      </c>
      <c r="AL81" s="9" t="b">
        <v>0</v>
      </c>
      <c r="AM81" s="9" t="s">
        <v>13215</v>
      </c>
      <c r="AN81" s="9" t="s">
        <v>10320</v>
      </c>
      <c r="AP81" s="56">
        <v>45302.0</v>
      </c>
      <c r="AQ81" s="9" t="b">
        <v>0</v>
      </c>
      <c r="AR81" s="9"/>
    </row>
    <row r="82" ht="19.5" customHeight="1">
      <c r="A82" s="9" t="s">
        <v>10322</v>
      </c>
      <c r="B82" s="9" t="s">
        <v>13216</v>
      </c>
      <c r="C82" s="9" t="s">
        <v>58</v>
      </c>
      <c r="D82" s="9" t="s">
        <v>59</v>
      </c>
      <c r="E82" s="9" t="s">
        <v>545</v>
      </c>
      <c r="F82" s="9">
        <v>4.0</v>
      </c>
      <c r="G82" s="9" t="s">
        <v>455</v>
      </c>
      <c r="H82" s="9" t="s">
        <v>395</v>
      </c>
      <c r="J82" s="9" t="s">
        <v>13217</v>
      </c>
      <c r="K82" s="9" t="s">
        <v>13218</v>
      </c>
      <c r="L82" s="9">
        <v>97418.0</v>
      </c>
      <c r="M82" s="9" t="s">
        <v>71</v>
      </c>
      <c r="N82" s="9" t="s">
        <v>13219</v>
      </c>
      <c r="O82" s="9" t="s">
        <v>13220</v>
      </c>
      <c r="P82" s="53" t="s">
        <v>13221</v>
      </c>
      <c r="Q82" s="49" t="s">
        <v>13222</v>
      </c>
      <c r="R82" s="50"/>
      <c r="S82" s="54"/>
      <c r="T82" s="9" t="s">
        <v>13223</v>
      </c>
      <c r="U82" s="9" t="s">
        <v>13224</v>
      </c>
      <c r="V82" s="9" t="s">
        <v>13225</v>
      </c>
      <c r="W82" s="9" t="s">
        <v>13226</v>
      </c>
      <c r="X82" s="9" t="s">
        <v>13227</v>
      </c>
      <c r="Y82" s="9" t="s">
        <v>1863</v>
      </c>
      <c r="Z82" s="9" t="s">
        <v>13228</v>
      </c>
      <c r="AC82" s="9">
        <v>9.1521800200011E13</v>
      </c>
      <c r="AD82" s="9">
        <v>9.15218002E8</v>
      </c>
      <c r="AE82" s="9" t="s">
        <v>401</v>
      </c>
      <c r="AF82" s="55">
        <v>45873.47019675926</v>
      </c>
      <c r="AG82" s="19" t="s">
        <v>13229</v>
      </c>
      <c r="AH82" s="9" t="s">
        <v>13230</v>
      </c>
      <c r="AJ82" s="9" t="s">
        <v>13231</v>
      </c>
      <c r="AK82" s="9" t="b">
        <v>0</v>
      </c>
      <c r="AL82" s="9" t="b">
        <v>0</v>
      </c>
      <c r="AM82" s="9" t="s">
        <v>13232</v>
      </c>
      <c r="AN82" s="9" t="s">
        <v>10322</v>
      </c>
      <c r="AP82" s="56">
        <v>44603.0</v>
      </c>
      <c r="AQ82" s="9" t="b">
        <v>1</v>
      </c>
      <c r="AR82" s="9" t="s">
        <v>13233</v>
      </c>
      <c r="AS82" s="48"/>
    </row>
    <row r="83" ht="19.5" customHeight="1">
      <c r="A83" s="7" t="s">
        <v>862</v>
      </c>
      <c r="B83" s="6" t="s">
        <v>13234</v>
      </c>
      <c r="C83" s="7" t="s">
        <v>34</v>
      </c>
      <c r="D83" s="7" t="s">
        <v>622</v>
      </c>
      <c r="E83" s="7" t="s">
        <v>622</v>
      </c>
      <c r="F83" s="7"/>
      <c r="G83" s="6" t="s">
        <v>664</v>
      </c>
      <c r="H83" s="7"/>
      <c r="I83" s="7"/>
      <c r="J83" s="7">
        <v>110.0</v>
      </c>
      <c r="K83" s="6" t="s">
        <v>13235</v>
      </c>
      <c r="L83" s="7">
        <v>97430.0</v>
      </c>
      <c r="M83" s="7" t="s">
        <v>71</v>
      </c>
      <c r="N83" s="7"/>
      <c r="O83" s="7" t="s">
        <v>870</v>
      </c>
      <c r="P83" s="42" t="s">
        <v>13236</v>
      </c>
      <c r="Q83" s="49" t="s">
        <v>13237</v>
      </c>
      <c r="R83" s="43" t="s">
        <v>13238</v>
      </c>
      <c r="S83" s="51"/>
      <c r="T83" s="6" t="s">
        <v>13239</v>
      </c>
      <c r="U83" s="6" t="s">
        <v>13240</v>
      </c>
      <c r="V83" s="7"/>
      <c r="W83" s="7"/>
      <c r="X83" s="7" t="s">
        <v>865</v>
      </c>
      <c r="Y83" s="6" t="s">
        <v>2938</v>
      </c>
      <c r="Z83" s="6" t="s">
        <v>353</v>
      </c>
      <c r="AA83" s="7"/>
      <c r="AB83" s="7"/>
      <c r="AC83" s="7">
        <v>4.9166445400015E13</v>
      </c>
      <c r="AD83" s="7">
        <v>4.91664454E8</v>
      </c>
      <c r="AE83" s="6" t="s">
        <v>401</v>
      </c>
      <c r="AF83" s="45">
        <v>45314.647199074076</v>
      </c>
      <c r="AG83" s="7" t="s">
        <v>13241</v>
      </c>
      <c r="AH83" s="46" t="s">
        <v>13242</v>
      </c>
      <c r="AI83" s="7"/>
      <c r="AJ83" s="6" t="s">
        <v>13243</v>
      </c>
      <c r="AK83" s="7" t="b">
        <v>0</v>
      </c>
      <c r="AL83" s="7" t="b">
        <v>0</v>
      </c>
      <c r="AM83" s="7"/>
      <c r="AN83" s="6" t="s">
        <v>862</v>
      </c>
      <c r="AO83" s="6">
        <v>1687.0</v>
      </c>
      <c r="AP83" s="6"/>
      <c r="AQ83" s="6" t="b">
        <v>1</v>
      </c>
      <c r="AR83" s="6" t="s">
        <v>13244</v>
      </c>
      <c r="AS83" s="6"/>
    </row>
    <row r="84" ht="19.5" customHeight="1">
      <c r="A84" s="7" t="s">
        <v>6159</v>
      </c>
      <c r="B84" s="6" t="s">
        <v>13245</v>
      </c>
      <c r="C84" s="7" t="s">
        <v>34</v>
      </c>
      <c r="D84" s="7" t="s">
        <v>622</v>
      </c>
      <c r="E84" s="7" t="s">
        <v>622</v>
      </c>
      <c r="F84" s="6">
        <v>35.0</v>
      </c>
      <c r="G84" s="6" t="s">
        <v>664</v>
      </c>
      <c r="H84" s="7"/>
      <c r="I84" s="7"/>
      <c r="J84" s="7">
        <v>45.0</v>
      </c>
      <c r="K84" s="6" t="s">
        <v>13235</v>
      </c>
      <c r="L84" s="7">
        <v>97430.0</v>
      </c>
      <c r="M84" s="7" t="s">
        <v>71</v>
      </c>
      <c r="N84" s="7"/>
      <c r="O84" s="6" t="s">
        <v>13246</v>
      </c>
      <c r="P84" s="42" t="s">
        <v>13247</v>
      </c>
      <c r="Q84" s="43" t="s">
        <v>13248</v>
      </c>
      <c r="R84" s="50"/>
      <c r="S84" s="51"/>
      <c r="T84" s="6" t="s">
        <v>13249</v>
      </c>
      <c r="U84" s="6" t="s">
        <v>13250</v>
      </c>
      <c r="V84" s="6" t="s">
        <v>13251</v>
      </c>
      <c r="W84" s="7"/>
      <c r="X84" s="6" t="s">
        <v>13252</v>
      </c>
      <c r="Y84" s="6" t="s">
        <v>13253</v>
      </c>
      <c r="Z84" s="7" t="s">
        <v>378</v>
      </c>
      <c r="AA84" s="7"/>
      <c r="AB84" s="7"/>
      <c r="AC84" s="7">
        <v>4.3456837400012E13</v>
      </c>
      <c r="AD84" s="7">
        <v>4.34568374E8</v>
      </c>
      <c r="AE84" s="6" t="s">
        <v>401</v>
      </c>
      <c r="AF84" s="45">
        <v>45314.63008101852</v>
      </c>
      <c r="AG84" s="7" t="s">
        <v>13254</v>
      </c>
      <c r="AH84" s="46" t="s">
        <v>13255</v>
      </c>
      <c r="AI84" s="7"/>
      <c r="AJ84" s="6" t="s">
        <v>13256</v>
      </c>
      <c r="AK84" s="6" t="b">
        <v>1</v>
      </c>
      <c r="AL84" s="7" t="b">
        <v>0</v>
      </c>
      <c r="AM84" s="7"/>
      <c r="AN84" s="6" t="s">
        <v>6159</v>
      </c>
      <c r="AO84" s="6">
        <v>1693.0</v>
      </c>
      <c r="AP84" s="6"/>
      <c r="AQ84" s="6" t="b">
        <v>1</v>
      </c>
      <c r="AR84" s="6" t="s">
        <v>13257</v>
      </c>
      <c r="AS84" s="6"/>
    </row>
    <row r="85" ht="19.5" customHeight="1">
      <c r="A85" s="7" t="s">
        <v>3889</v>
      </c>
      <c r="B85" s="7" t="s">
        <v>3890</v>
      </c>
      <c r="C85" s="7" t="s">
        <v>34</v>
      </c>
      <c r="D85" s="7" t="s">
        <v>622</v>
      </c>
      <c r="E85" s="7" t="s">
        <v>622</v>
      </c>
      <c r="F85" s="7"/>
      <c r="G85" s="7" t="s">
        <v>664</v>
      </c>
      <c r="H85" s="7"/>
      <c r="I85" s="7"/>
      <c r="J85" s="7">
        <v>186.0</v>
      </c>
      <c r="K85" s="7" t="s">
        <v>13258</v>
      </c>
      <c r="L85" s="7">
        <v>97430.0</v>
      </c>
      <c r="M85" s="7" t="s">
        <v>71</v>
      </c>
      <c r="N85" s="7"/>
      <c r="O85" s="6" t="s">
        <v>13259</v>
      </c>
      <c r="P85" s="42" t="s">
        <v>3893</v>
      </c>
      <c r="Q85" s="43" t="s">
        <v>13260</v>
      </c>
      <c r="R85" s="50"/>
      <c r="S85" s="51"/>
      <c r="T85" s="6" t="s">
        <v>13261</v>
      </c>
      <c r="U85" s="6" t="s">
        <v>13262</v>
      </c>
      <c r="V85" s="7"/>
      <c r="W85" s="7"/>
      <c r="X85" s="7"/>
      <c r="Y85" s="7" t="s">
        <v>1612</v>
      </c>
      <c r="Z85" s="7" t="s">
        <v>1508</v>
      </c>
      <c r="AA85" s="7"/>
      <c r="AB85" s="7"/>
      <c r="AC85" s="6">
        <v>8.4194094300027E13</v>
      </c>
      <c r="AD85" s="6">
        <v>8.41940943E8</v>
      </c>
      <c r="AE85" s="6" t="s">
        <v>401</v>
      </c>
      <c r="AF85" s="45">
        <v>45313.43849537037</v>
      </c>
      <c r="AG85" s="7" t="s">
        <v>13263</v>
      </c>
      <c r="AH85" s="46" t="s">
        <v>13264</v>
      </c>
      <c r="AI85" s="7"/>
      <c r="AJ85" s="6" t="s">
        <v>13265</v>
      </c>
      <c r="AK85" s="6" t="b">
        <v>1</v>
      </c>
      <c r="AL85" s="7" t="b">
        <v>0</v>
      </c>
      <c r="AM85" s="7"/>
      <c r="AN85" s="6" t="s">
        <v>3889</v>
      </c>
      <c r="AO85" s="6">
        <v>1543.0</v>
      </c>
      <c r="AP85" s="6"/>
      <c r="AQ85" s="6" t="b">
        <v>1</v>
      </c>
      <c r="AR85" s="6"/>
      <c r="AS85" s="6"/>
    </row>
    <row r="86" ht="19.5" customHeight="1">
      <c r="A86" s="7" t="s">
        <v>7495</v>
      </c>
      <c r="B86" s="6" t="s">
        <v>13266</v>
      </c>
      <c r="C86" s="7" t="s">
        <v>34</v>
      </c>
      <c r="D86" s="7" t="s">
        <v>622</v>
      </c>
      <c r="E86" s="6" t="s">
        <v>622</v>
      </c>
      <c r="F86" s="7">
        <v>20.0</v>
      </c>
      <c r="G86" s="7" t="s">
        <v>422</v>
      </c>
      <c r="H86" s="7"/>
      <c r="I86" s="7"/>
      <c r="J86" s="41" t="s">
        <v>13267</v>
      </c>
      <c r="K86" s="6" t="s">
        <v>13268</v>
      </c>
      <c r="L86" s="7">
        <v>97418.0</v>
      </c>
      <c r="M86" s="7" t="s">
        <v>71</v>
      </c>
      <c r="N86" s="7" t="s">
        <v>216</v>
      </c>
      <c r="O86" s="6" t="s">
        <v>13269</v>
      </c>
      <c r="P86" s="53" t="s">
        <v>13270</v>
      </c>
      <c r="Q86" s="43" t="s">
        <v>13271</v>
      </c>
      <c r="R86" s="43" t="s">
        <v>13272</v>
      </c>
      <c r="S86" s="44" t="s">
        <v>13273</v>
      </c>
      <c r="T86" s="6" t="s">
        <v>13274</v>
      </c>
      <c r="U86" s="6" t="s">
        <v>13275</v>
      </c>
      <c r="V86" s="6" t="s">
        <v>13276</v>
      </c>
      <c r="W86" s="6" t="s">
        <v>801</v>
      </c>
      <c r="X86" s="7" t="s">
        <v>3815</v>
      </c>
      <c r="Y86" s="6" t="s">
        <v>8231</v>
      </c>
      <c r="Z86" s="7" t="s">
        <v>353</v>
      </c>
      <c r="AA86" s="7"/>
      <c r="AB86" s="7"/>
      <c r="AC86" s="6">
        <v>8.0319731800014E13</v>
      </c>
      <c r="AD86" s="6">
        <v>8.03197318E8</v>
      </c>
      <c r="AE86" s="6" t="s">
        <v>401</v>
      </c>
      <c r="AF86" s="45">
        <v>45310.64744212963</v>
      </c>
      <c r="AG86" s="7" t="s">
        <v>13277</v>
      </c>
      <c r="AH86" s="46" t="s">
        <v>13278</v>
      </c>
      <c r="AI86" s="7"/>
      <c r="AJ86" s="6" t="s">
        <v>13279</v>
      </c>
      <c r="AK86" s="7" t="b">
        <v>0</v>
      </c>
      <c r="AL86" s="7" t="b">
        <v>0</v>
      </c>
      <c r="AM86" s="7"/>
      <c r="AN86" s="6" t="s">
        <v>7495</v>
      </c>
      <c r="AO86" s="6">
        <v>3650.0</v>
      </c>
      <c r="AP86" s="6"/>
      <c r="AQ86" s="6" t="b">
        <v>1</v>
      </c>
      <c r="AR86" s="6"/>
      <c r="AS86" s="48"/>
    </row>
    <row r="87" ht="19.5" customHeight="1">
      <c r="A87" s="9" t="s">
        <v>252</v>
      </c>
      <c r="B87" s="9" t="s">
        <v>13280</v>
      </c>
      <c r="C87" s="9" t="s">
        <v>822</v>
      </c>
      <c r="D87" s="9" t="s">
        <v>4826</v>
      </c>
      <c r="E87" s="9" t="s">
        <v>591</v>
      </c>
      <c r="F87" s="9">
        <v>10.0</v>
      </c>
      <c r="G87" s="9" t="s">
        <v>455</v>
      </c>
      <c r="J87" s="52" t="s">
        <v>13281</v>
      </c>
      <c r="K87" s="9" t="s">
        <v>13282</v>
      </c>
      <c r="L87" s="9">
        <v>97480.0</v>
      </c>
      <c r="M87" s="9" t="s">
        <v>123</v>
      </c>
      <c r="N87" s="9" t="s">
        <v>8325</v>
      </c>
      <c r="O87" s="9" t="s">
        <v>13283</v>
      </c>
      <c r="P87" s="53" t="s">
        <v>13284</v>
      </c>
      <c r="Q87" s="49" t="s">
        <v>13285</v>
      </c>
      <c r="R87" s="50"/>
      <c r="S87" s="54"/>
      <c r="T87" s="9" t="s">
        <v>13286</v>
      </c>
      <c r="U87" s="9" t="s">
        <v>13287</v>
      </c>
      <c r="V87" s="52" t="s">
        <v>13288</v>
      </c>
      <c r="W87" s="9" t="s">
        <v>13289</v>
      </c>
      <c r="X87" s="9" t="s">
        <v>13290</v>
      </c>
      <c r="Y87" s="9" t="s">
        <v>1863</v>
      </c>
      <c r="Z87" s="9" t="s">
        <v>424</v>
      </c>
      <c r="AC87" s="9">
        <v>9.195259980001E13</v>
      </c>
      <c r="AD87" s="9">
        <v>9.19525998E8</v>
      </c>
      <c r="AE87" s="9" t="s">
        <v>401</v>
      </c>
      <c r="AF87" s="55">
        <v>45309.41967592593</v>
      </c>
      <c r="AG87" s="9" t="s">
        <v>13291</v>
      </c>
      <c r="AH87" s="9" t="s">
        <v>13292</v>
      </c>
      <c r="AJ87" s="9" t="s">
        <v>13293</v>
      </c>
      <c r="AK87" s="9" t="b">
        <v>0</v>
      </c>
      <c r="AL87" s="9" t="b">
        <v>0</v>
      </c>
      <c r="AN87" s="9" t="s">
        <v>252</v>
      </c>
      <c r="AP87" s="56">
        <v>44995.0</v>
      </c>
      <c r="AQ87" s="9" t="b">
        <v>0</v>
      </c>
      <c r="AR87" s="9"/>
    </row>
    <row r="88" ht="19.5" customHeight="1">
      <c r="A88" s="7" t="s">
        <v>3227</v>
      </c>
      <c r="B88" s="7" t="s">
        <v>3228</v>
      </c>
      <c r="C88" s="7" t="s">
        <v>58</v>
      </c>
      <c r="D88" s="7" t="s">
        <v>59</v>
      </c>
      <c r="E88" s="7" t="s">
        <v>346</v>
      </c>
      <c r="F88" s="7">
        <v>6.0</v>
      </c>
      <c r="G88" s="7" t="s">
        <v>422</v>
      </c>
      <c r="H88" s="6" t="s">
        <v>395</v>
      </c>
      <c r="I88" s="7"/>
      <c r="J88" s="7">
        <v>16.0</v>
      </c>
      <c r="K88" s="7" t="s">
        <v>13294</v>
      </c>
      <c r="L88" s="7">
        <v>97480.0</v>
      </c>
      <c r="M88" s="7" t="s">
        <v>123</v>
      </c>
      <c r="N88" s="7"/>
      <c r="O88" s="6" t="s">
        <v>13295</v>
      </c>
      <c r="P88" s="42" t="s">
        <v>519</v>
      </c>
      <c r="Q88" s="43" t="s">
        <v>13296</v>
      </c>
      <c r="R88" s="43" t="s">
        <v>13297</v>
      </c>
      <c r="S88" s="47" t="s">
        <v>3206</v>
      </c>
      <c r="T88" s="7" t="s">
        <v>3231</v>
      </c>
      <c r="U88" s="7" t="s">
        <v>3230</v>
      </c>
      <c r="V88" s="7" t="s">
        <v>532</v>
      </c>
      <c r="W88" s="6" t="s">
        <v>13298</v>
      </c>
      <c r="X88" s="7"/>
      <c r="Y88" s="7" t="s">
        <v>1567</v>
      </c>
      <c r="Z88" s="7" t="s">
        <v>3208</v>
      </c>
      <c r="AA88" s="7" t="s">
        <v>3216</v>
      </c>
      <c r="AB88" s="7" t="s">
        <v>3217</v>
      </c>
      <c r="AC88" s="7">
        <v>8.2843905900027E13</v>
      </c>
      <c r="AD88" s="7">
        <v>8.28439059E8</v>
      </c>
      <c r="AE88" s="6" t="s">
        <v>401</v>
      </c>
      <c r="AF88" s="45">
        <v>45308.6465625</v>
      </c>
      <c r="AG88" s="7" t="s">
        <v>13299</v>
      </c>
      <c r="AH88" s="46" t="s">
        <v>13300</v>
      </c>
      <c r="AI88" s="7"/>
      <c r="AJ88" s="7"/>
      <c r="AK88" s="7" t="b">
        <v>0</v>
      </c>
      <c r="AL88" s="7" t="b">
        <v>0</v>
      </c>
      <c r="AM88" s="6" t="s">
        <v>3218</v>
      </c>
      <c r="AN88" s="6" t="s">
        <v>3227</v>
      </c>
      <c r="AO88" s="6">
        <v>5113.0</v>
      </c>
      <c r="AP88" s="6"/>
      <c r="AQ88" s="6" t="b">
        <v>1</v>
      </c>
      <c r="AR88" s="6"/>
      <c r="AS88" s="6"/>
    </row>
    <row r="89" ht="19.5" customHeight="1">
      <c r="A89" s="7" t="s">
        <v>6554</v>
      </c>
      <c r="B89" s="7" t="s">
        <v>13301</v>
      </c>
      <c r="C89" s="7" t="s">
        <v>34</v>
      </c>
      <c r="D89" s="7" t="s">
        <v>622</v>
      </c>
      <c r="E89" s="7" t="s">
        <v>1347</v>
      </c>
      <c r="F89" s="7"/>
      <c r="G89" s="6" t="s">
        <v>422</v>
      </c>
      <c r="H89" s="7"/>
      <c r="I89" s="7"/>
      <c r="J89" s="6" t="s">
        <v>13199</v>
      </c>
      <c r="K89" s="6" t="s">
        <v>13302</v>
      </c>
      <c r="L89" s="7">
        <v>97414.0</v>
      </c>
      <c r="M89" s="7" t="s">
        <v>40</v>
      </c>
      <c r="N89" s="6" t="s">
        <v>40</v>
      </c>
      <c r="O89" s="6" t="s">
        <v>13303</v>
      </c>
      <c r="P89" s="53" t="s">
        <v>13304</v>
      </c>
      <c r="Q89" s="49" t="s">
        <v>13305</v>
      </c>
      <c r="R89" s="50"/>
      <c r="S89" s="44" t="s">
        <v>13306</v>
      </c>
      <c r="T89" s="6" t="s">
        <v>13307</v>
      </c>
      <c r="U89" s="6" t="s">
        <v>13308</v>
      </c>
      <c r="V89" s="6" t="s">
        <v>13309</v>
      </c>
      <c r="W89" s="6" t="s">
        <v>13310</v>
      </c>
      <c r="X89" s="7" t="s">
        <v>2658</v>
      </c>
      <c r="Y89" s="7" t="s">
        <v>377</v>
      </c>
      <c r="Z89" s="7" t="s">
        <v>353</v>
      </c>
      <c r="AA89" s="7"/>
      <c r="AB89" s="7"/>
      <c r="AC89" s="6">
        <v>3.9229713100022E13</v>
      </c>
      <c r="AD89" s="6">
        <v>3.92297131E8</v>
      </c>
      <c r="AE89" s="6" t="s">
        <v>401</v>
      </c>
      <c r="AF89" s="45">
        <v>45723.56162037037</v>
      </c>
      <c r="AG89" s="7" t="s">
        <v>13311</v>
      </c>
      <c r="AH89" s="46" t="s">
        <v>13312</v>
      </c>
      <c r="AI89" s="7"/>
      <c r="AJ89" s="6" t="s">
        <v>13313</v>
      </c>
      <c r="AK89" s="7" t="b">
        <v>0</v>
      </c>
      <c r="AL89" s="7" t="b">
        <v>0</v>
      </c>
      <c r="AM89" s="7"/>
      <c r="AN89" s="6" t="s">
        <v>6554</v>
      </c>
      <c r="AO89" s="6">
        <v>2258.0</v>
      </c>
      <c r="AP89" s="6"/>
      <c r="AQ89" s="6" t="b">
        <v>1</v>
      </c>
      <c r="AR89" s="6"/>
      <c r="AS89" s="48" t="s">
        <v>12303</v>
      </c>
    </row>
    <row r="90" ht="19.5" customHeight="1">
      <c r="A90" s="7" t="s">
        <v>2545</v>
      </c>
      <c r="B90" s="7" t="s">
        <v>2546</v>
      </c>
      <c r="C90" s="7" t="s">
        <v>34</v>
      </c>
      <c r="D90" s="7" t="s">
        <v>622</v>
      </c>
      <c r="E90" s="7" t="s">
        <v>622</v>
      </c>
      <c r="F90" s="7"/>
      <c r="G90" s="7"/>
      <c r="H90" s="7"/>
      <c r="I90" s="7"/>
      <c r="J90" s="7">
        <v>325.0</v>
      </c>
      <c r="K90" s="6" t="s">
        <v>12631</v>
      </c>
      <c r="L90" s="7">
        <v>97430.0</v>
      </c>
      <c r="M90" s="7" t="s">
        <v>71</v>
      </c>
      <c r="N90" s="7"/>
      <c r="O90" s="6" t="s">
        <v>13314</v>
      </c>
      <c r="P90" s="42" t="s">
        <v>2549</v>
      </c>
      <c r="Q90" s="43" t="s">
        <v>13315</v>
      </c>
      <c r="R90" s="50"/>
      <c r="S90" s="47"/>
      <c r="T90" s="6" t="s">
        <v>13316</v>
      </c>
      <c r="U90" s="6" t="s">
        <v>13317</v>
      </c>
      <c r="V90" s="6" t="s">
        <v>13318</v>
      </c>
      <c r="W90" s="7"/>
      <c r="X90" s="6" t="s">
        <v>13319</v>
      </c>
      <c r="Y90" s="7"/>
      <c r="Z90" s="6" t="s">
        <v>353</v>
      </c>
      <c r="AA90" s="7"/>
      <c r="AB90" s="7"/>
      <c r="AC90" s="6">
        <v>8.1412967200014E13</v>
      </c>
      <c r="AD90" s="6">
        <v>8.14129672E8</v>
      </c>
      <c r="AE90" s="6" t="s">
        <v>401</v>
      </c>
      <c r="AF90" s="45">
        <v>45308.4471412037</v>
      </c>
      <c r="AG90" s="7" t="s">
        <v>13320</v>
      </c>
      <c r="AH90" s="46" t="s">
        <v>13321</v>
      </c>
      <c r="AI90" s="7"/>
      <c r="AJ90" s="7"/>
      <c r="AK90" s="7" t="b">
        <v>0</v>
      </c>
      <c r="AL90" s="7" t="b">
        <v>0</v>
      </c>
      <c r="AM90" s="7"/>
      <c r="AN90" s="6" t="s">
        <v>2545</v>
      </c>
      <c r="AO90" s="6">
        <v>4566.0</v>
      </c>
      <c r="AP90" s="6"/>
      <c r="AQ90" s="6" t="b">
        <v>1</v>
      </c>
      <c r="AR90" s="6"/>
      <c r="AS90" s="6"/>
    </row>
    <row r="91" ht="19.5" customHeight="1">
      <c r="A91" s="7" t="s">
        <v>3040</v>
      </c>
      <c r="B91" s="7" t="s">
        <v>3041</v>
      </c>
      <c r="C91" s="7" t="s">
        <v>34</v>
      </c>
      <c r="D91" s="7" t="s">
        <v>622</v>
      </c>
      <c r="E91" s="7" t="s">
        <v>622</v>
      </c>
      <c r="F91" s="7">
        <v>26.0</v>
      </c>
      <c r="G91" s="7" t="s">
        <v>664</v>
      </c>
      <c r="H91" s="7"/>
      <c r="I91" s="7"/>
      <c r="J91" s="7">
        <v>430.0</v>
      </c>
      <c r="K91" s="7" t="s">
        <v>12779</v>
      </c>
      <c r="L91" s="7">
        <v>97430.0</v>
      </c>
      <c r="M91" s="7" t="s">
        <v>71</v>
      </c>
      <c r="N91" s="7"/>
      <c r="O91" s="6" t="s">
        <v>13322</v>
      </c>
      <c r="P91" s="42" t="s">
        <v>3046</v>
      </c>
      <c r="Q91" s="43" t="s">
        <v>13323</v>
      </c>
      <c r="R91" s="50"/>
      <c r="S91" s="47" t="s">
        <v>3044</v>
      </c>
      <c r="T91" s="7" t="s">
        <v>3048</v>
      </c>
      <c r="U91" s="6" t="s">
        <v>13324</v>
      </c>
      <c r="V91" s="6" t="s">
        <v>13325</v>
      </c>
      <c r="W91" s="7" t="s">
        <v>801</v>
      </c>
      <c r="X91" s="7" t="s">
        <v>3045</v>
      </c>
      <c r="Y91" s="7" t="s">
        <v>963</v>
      </c>
      <c r="Z91" s="7" t="s">
        <v>786</v>
      </c>
      <c r="AA91" s="7"/>
      <c r="AB91" s="7"/>
      <c r="AC91" s="7">
        <v>8.5258922500014E13</v>
      </c>
      <c r="AD91" s="7">
        <v>8.52589225E8</v>
      </c>
      <c r="AE91" s="6" t="s">
        <v>401</v>
      </c>
      <c r="AF91" s="45">
        <v>45308.421631944446</v>
      </c>
      <c r="AG91" s="7" t="s">
        <v>13326</v>
      </c>
      <c r="AH91" s="46" t="s">
        <v>13327</v>
      </c>
      <c r="AI91" s="7"/>
      <c r="AJ91" s="6" t="s">
        <v>13328</v>
      </c>
      <c r="AK91" s="7" t="b">
        <v>0</v>
      </c>
      <c r="AL91" s="7" t="b">
        <v>0</v>
      </c>
      <c r="AM91" s="7"/>
      <c r="AN91" s="6" t="s">
        <v>3040</v>
      </c>
      <c r="AO91" s="6">
        <v>3572.0</v>
      </c>
      <c r="AP91" s="6"/>
      <c r="AQ91" s="6" t="b">
        <v>1</v>
      </c>
      <c r="AR91" s="6"/>
      <c r="AS91" s="6"/>
    </row>
    <row r="92" ht="19.5" customHeight="1">
      <c r="A92" s="9" t="s">
        <v>11813</v>
      </c>
      <c r="B92" s="9" t="s">
        <v>13329</v>
      </c>
      <c r="C92" s="9" t="s">
        <v>34</v>
      </c>
      <c r="D92" s="9" t="s">
        <v>622</v>
      </c>
      <c r="E92" s="9" t="s">
        <v>13330</v>
      </c>
      <c r="F92" s="9">
        <v>119.0</v>
      </c>
      <c r="J92" s="52" t="s">
        <v>13331</v>
      </c>
      <c r="K92" s="9" t="s">
        <v>13332</v>
      </c>
      <c r="L92" s="9">
        <v>97418.0</v>
      </c>
      <c r="M92" s="9" t="s">
        <v>71</v>
      </c>
      <c r="N92" s="9" t="s">
        <v>216</v>
      </c>
      <c r="O92" s="9" t="s">
        <v>13333</v>
      </c>
      <c r="P92" s="53" t="s">
        <v>13334</v>
      </c>
      <c r="Q92" s="49" t="s">
        <v>13335</v>
      </c>
      <c r="R92" s="50"/>
      <c r="S92" s="58" t="s">
        <v>13336</v>
      </c>
      <c r="T92" s="9" t="s">
        <v>13337</v>
      </c>
      <c r="U92" s="9" t="s">
        <v>13338</v>
      </c>
      <c r="V92" s="9" t="s">
        <v>13339</v>
      </c>
      <c r="W92" s="9" t="s">
        <v>13340</v>
      </c>
      <c r="X92" s="9" t="s">
        <v>13341</v>
      </c>
      <c r="Y92" s="9" t="s">
        <v>13342</v>
      </c>
      <c r="Z92" s="9" t="s">
        <v>5551</v>
      </c>
      <c r="AC92" s="9">
        <v>8.8991799300012E13</v>
      </c>
      <c r="AD92" s="9">
        <v>8.89917993E8</v>
      </c>
      <c r="AE92" s="9" t="s">
        <v>12355</v>
      </c>
      <c r="AF92" s="55">
        <v>45573.3719212963</v>
      </c>
      <c r="AG92" s="9" t="s">
        <v>13343</v>
      </c>
      <c r="AH92" s="9" t="s">
        <v>13344</v>
      </c>
      <c r="AJ92" s="9" t="s">
        <v>13345</v>
      </c>
      <c r="AK92" s="9" t="b">
        <v>1</v>
      </c>
      <c r="AL92" s="9" t="b">
        <v>0</v>
      </c>
      <c r="AN92" s="9" t="s">
        <v>11813</v>
      </c>
      <c r="AP92" s="56">
        <v>44776.0</v>
      </c>
      <c r="AQ92" s="9" t="b">
        <v>1</v>
      </c>
      <c r="AR92" s="9" t="s">
        <v>13346</v>
      </c>
    </row>
    <row r="93" ht="19.5" customHeight="1">
      <c r="A93" s="7" t="s">
        <v>3203</v>
      </c>
      <c r="B93" s="7" t="s">
        <v>3204</v>
      </c>
      <c r="C93" s="7" t="s">
        <v>58</v>
      </c>
      <c r="D93" s="7" t="s">
        <v>59</v>
      </c>
      <c r="E93" s="7" t="s">
        <v>346</v>
      </c>
      <c r="F93" s="7">
        <v>5.0</v>
      </c>
      <c r="G93" s="7" t="s">
        <v>422</v>
      </c>
      <c r="H93" s="6" t="s">
        <v>395</v>
      </c>
      <c r="I93" s="7"/>
      <c r="J93" s="7">
        <v>16.0</v>
      </c>
      <c r="K93" s="7" t="s">
        <v>13294</v>
      </c>
      <c r="L93" s="7">
        <v>97480.0</v>
      </c>
      <c r="M93" s="7" t="s">
        <v>123</v>
      </c>
      <c r="N93" s="7"/>
      <c r="O93" s="6" t="s">
        <v>13347</v>
      </c>
      <c r="P93" s="42" t="s">
        <v>519</v>
      </c>
      <c r="Q93" s="43" t="s">
        <v>13296</v>
      </c>
      <c r="R93" s="43" t="s">
        <v>13297</v>
      </c>
      <c r="S93" s="47" t="s">
        <v>3206</v>
      </c>
      <c r="T93" s="7" t="s">
        <v>3210</v>
      </c>
      <c r="U93" s="7" t="s">
        <v>3209</v>
      </c>
      <c r="V93" s="7" t="s">
        <v>532</v>
      </c>
      <c r="W93" s="6" t="s">
        <v>13298</v>
      </c>
      <c r="X93" s="7"/>
      <c r="Y93" s="7" t="s">
        <v>1567</v>
      </c>
      <c r="Z93" s="7" t="s">
        <v>3208</v>
      </c>
      <c r="AA93" s="7" t="s">
        <v>3216</v>
      </c>
      <c r="AB93" s="7" t="s">
        <v>3217</v>
      </c>
      <c r="AC93" s="7">
        <v>8.2843905900027E13</v>
      </c>
      <c r="AD93" s="7">
        <v>8.28439059E8</v>
      </c>
      <c r="AE93" s="6" t="s">
        <v>401</v>
      </c>
      <c r="AF93" s="45">
        <v>45302.650358796294</v>
      </c>
      <c r="AG93" s="7" t="s">
        <v>13299</v>
      </c>
      <c r="AH93" s="46" t="s">
        <v>13348</v>
      </c>
      <c r="AI93" s="7"/>
      <c r="AJ93" s="7"/>
      <c r="AK93" s="7" t="b">
        <v>0</v>
      </c>
      <c r="AL93" s="7" t="b">
        <v>0</v>
      </c>
      <c r="AM93" s="6" t="s">
        <v>3218</v>
      </c>
      <c r="AN93" s="6" t="s">
        <v>3203</v>
      </c>
      <c r="AO93" s="6">
        <v>5112.0</v>
      </c>
      <c r="AP93" s="6"/>
      <c r="AQ93" s="6" t="b">
        <v>1</v>
      </c>
      <c r="AR93" s="6"/>
      <c r="AS93" s="6"/>
    </row>
    <row r="94" ht="19.5" customHeight="1">
      <c r="A94" s="9" t="s">
        <v>11640</v>
      </c>
      <c r="B94" s="9" t="s">
        <v>13349</v>
      </c>
      <c r="C94" s="9" t="s">
        <v>58</v>
      </c>
      <c r="D94" s="9" t="s">
        <v>59</v>
      </c>
      <c r="E94" s="9" t="s">
        <v>545</v>
      </c>
      <c r="F94" s="9">
        <v>4.0</v>
      </c>
      <c r="G94" s="9" t="s">
        <v>422</v>
      </c>
      <c r="I94" s="9"/>
      <c r="J94" s="52" t="s">
        <v>13350</v>
      </c>
      <c r="K94" s="9" t="s">
        <v>13351</v>
      </c>
      <c r="L94" s="9">
        <v>97414.0</v>
      </c>
      <c r="M94" s="9" t="s">
        <v>40</v>
      </c>
      <c r="N94" s="9" t="s">
        <v>40</v>
      </c>
      <c r="O94" s="9" t="s">
        <v>13352</v>
      </c>
      <c r="P94" s="53" t="s">
        <v>13353</v>
      </c>
      <c r="Q94" s="49" t="s">
        <v>13354</v>
      </c>
      <c r="R94" s="50"/>
      <c r="S94" s="59"/>
      <c r="T94" s="9" t="s">
        <v>13355</v>
      </c>
      <c r="U94" s="9" t="s">
        <v>13356</v>
      </c>
      <c r="V94" s="9" t="s">
        <v>13357</v>
      </c>
      <c r="W94" s="9" t="s">
        <v>13358</v>
      </c>
      <c r="X94" s="9" t="s">
        <v>13359</v>
      </c>
      <c r="Y94" s="9" t="s">
        <v>13360</v>
      </c>
      <c r="Z94" s="9" t="s">
        <v>378</v>
      </c>
      <c r="AC94" s="9"/>
      <c r="AD94" s="9"/>
      <c r="AE94" s="9" t="s">
        <v>401</v>
      </c>
      <c r="AF94" s="55">
        <v>45302.36269675926</v>
      </c>
      <c r="AG94" s="9" t="s">
        <v>13361</v>
      </c>
      <c r="AH94" s="9" t="s">
        <v>13362</v>
      </c>
      <c r="AJ94" s="9" t="s">
        <v>13363</v>
      </c>
      <c r="AK94" s="9" t="b">
        <v>0</v>
      </c>
      <c r="AL94" s="9" t="b">
        <v>0</v>
      </c>
      <c r="AM94" s="9" t="s">
        <v>13364</v>
      </c>
      <c r="AN94" s="9" t="s">
        <v>11640</v>
      </c>
      <c r="AP94" s="56">
        <v>45169.0</v>
      </c>
      <c r="AQ94" s="9" t="b">
        <v>0</v>
      </c>
      <c r="AR94" s="9"/>
    </row>
    <row r="95" ht="19.5" customHeight="1">
      <c r="A95" s="7" t="s">
        <v>2219</v>
      </c>
      <c r="B95" s="7" t="s">
        <v>13365</v>
      </c>
      <c r="C95" s="7" t="s">
        <v>58</v>
      </c>
      <c r="D95" s="7" t="s">
        <v>453</v>
      </c>
      <c r="E95" s="7" t="s">
        <v>454</v>
      </c>
      <c r="F95" s="7">
        <v>4.0</v>
      </c>
      <c r="G95" s="7" t="s">
        <v>375</v>
      </c>
      <c r="H95" s="7"/>
      <c r="I95" s="7"/>
      <c r="J95" s="7">
        <v>10.0</v>
      </c>
      <c r="K95" s="7" t="s">
        <v>13366</v>
      </c>
      <c r="L95" s="7">
        <v>97480.0</v>
      </c>
      <c r="M95" s="7" t="s">
        <v>123</v>
      </c>
      <c r="N95" s="7"/>
      <c r="O95" s="6" t="s">
        <v>13367</v>
      </c>
      <c r="P95" s="42" t="s">
        <v>2224</v>
      </c>
      <c r="Q95" s="43" t="s">
        <v>13368</v>
      </c>
      <c r="R95" s="43" t="s">
        <v>13369</v>
      </c>
      <c r="S95" s="47" t="s">
        <v>2222</v>
      </c>
      <c r="T95" s="7" t="s">
        <v>2226</v>
      </c>
      <c r="U95" s="7" t="s">
        <v>2225</v>
      </c>
      <c r="V95" s="7" t="s">
        <v>2227</v>
      </c>
      <c r="W95" s="6" t="s">
        <v>13370</v>
      </c>
      <c r="X95" s="7"/>
      <c r="Y95" s="7" t="s">
        <v>377</v>
      </c>
      <c r="Z95" s="7" t="s">
        <v>592</v>
      </c>
      <c r="AA95" s="7"/>
      <c r="AB95" s="7"/>
      <c r="AC95" s="7"/>
      <c r="AD95" s="7"/>
      <c r="AE95" s="6" t="s">
        <v>5287</v>
      </c>
      <c r="AF95" s="63">
        <v>45903.639699074076</v>
      </c>
      <c r="AG95" s="7" t="s">
        <v>13371</v>
      </c>
      <c r="AH95" s="46" t="s">
        <v>13372</v>
      </c>
      <c r="AI95" s="7"/>
      <c r="AJ95" s="6" t="s">
        <v>13373</v>
      </c>
      <c r="AK95" s="7" t="b">
        <v>0</v>
      </c>
      <c r="AL95" s="7" t="b">
        <v>0</v>
      </c>
      <c r="AM95" s="6" t="s">
        <v>2232</v>
      </c>
      <c r="AN95" s="6" t="s">
        <v>2219</v>
      </c>
      <c r="AO95" s="6">
        <v>2912.0</v>
      </c>
      <c r="AP95" s="6"/>
      <c r="AQ95" s="6" t="b">
        <v>1</v>
      </c>
      <c r="AR95" s="6" t="s">
        <v>13374</v>
      </c>
      <c r="AS95" s="6"/>
    </row>
    <row r="96" ht="19.5" customHeight="1">
      <c r="A96" s="7" t="s">
        <v>9778</v>
      </c>
      <c r="B96" s="6" t="s">
        <v>13375</v>
      </c>
      <c r="C96" s="7" t="s">
        <v>34</v>
      </c>
      <c r="D96" s="7" t="s">
        <v>622</v>
      </c>
      <c r="E96" s="7" t="s">
        <v>622</v>
      </c>
      <c r="F96" s="6">
        <v>50.0</v>
      </c>
      <c r="G96" s="7" t="s">
        <v>9780</v>
      </c>
      <c r="H96" s="7"/>
      <c r="I96" s="6" t="s">
        <v>13376</v>
      </c>
      <c r="J96" s="7">
        <v>40.0</v>
      </c>
      <c r="K96" s="6" t="s">
        <v>13377</v>
      </c>
      <c r="L96" s="7">
        <v>97418.0</v>
      </c>
      <c r="M96" s="7" t="s">
        <v>71</v>
      </c>
      <c r="N96" s="7" t="s">
        <v>216</v>
      </c>
      <c r="O96" s="6" t="s">
        <v>13378</v>
      </c>
      <c r="P96" s="42" t="s">
        <v>9774</v>
      </c>
      <c r="Q96" s="49" t="s">
        <v>13379</v>
      </c>
      <c r="R96" s="43" t="s">
        <v>13380</v>
      </c>
      <c r="S96" s="51"/>
      <c r="T96" s="6" t="s">
        <v>13381</v>
      </c>
      <c r="U96" s="6" t="s">
        <v>13382</v>
      </c>
      <c r="V96" s="6" t="s">
        <v>13383</v>
      </c>
      <c r="W96" s="7" t="s">
        <v>9782</v>
      </c>
      <c r="X96" s="7" t="s">
        <v>9783</v>
      </c>
      <c r="Y96" s="7" t="s">
        <v>8231</v>
      </c>
      <c r="Z96" s="6" t="s">
        <v>592</v>
      </c>
      <c r="AA96" s="7" t="s">
        <v>9786</v>
      </c>
      <c r="AB96" s="7" t="s">
        <v>1876</v>
      </c>
      <c r="AC96" s="6">
        <v>8.8517407800018E13</v>
      </c>
      <c r="AD96" s="6">
        <v>8.85174078E8</v>
      </c>
      <c r="AE96" s="6" t="s">
        <v>401</v>
      </c>
      <c r="AF96" s="45">
        <v>46013.63759259259</v>
      </c>
      <c r="AG96" s="7" t="s">
        <v>13384</v>
      </c>
      <c r="AH96" s="46" t="s">
        <v>13385</v>
      </c>
      <c r="AI96" s="7"/>
      <c r="AJ96" s="6" t="s">
        <v>13386</v>
      </c>
      <c r="AK96" s="6" t="b">
        <v>1</v>
      </c>
      <c r="AL96" s="7" t="b">
        <v>0</v>
      </c>
      <c r="AM96" s="7"/>
      <c r="AN96" s="6" t="s">
        <v>9778</v>
      </c>
      <c r="AO96" s="7"/>
      <c r="AP96" s="7"/>
      <c r="AQ96" s="6" t="b">
        <v>1</v>
      </c>
      <c r="AR96" s="6" t="s">
        <v>13387</v>
      </c>
      <c r="AS96" s="48" t="s">
        <v>12303</v>
      </c>
    </row>
    <row r="97" ht="19.5" customHeight="1">
      <c r="A97" s="7" t="s">
        <v>8448</v>
      </c>
      <c r="B97" s="7" t="s">
        <v>8449</v>
      </c>
      <c r="C97" s="7" t="s">
        <v>58</v>
      </c>
      <c r="D97" s="7" t="s">
        <v>59</v>
      </c>
      <c r="E97" s="6" t="s">
        <v>545</v>
      </c>
      <c r="F97" s="7">
        <v>6.0</v>
      </c>
      <c r="G97" s="6" t="s">
        <v>455</v>
      </c>
      <c r="H97" s="7"/>
      <c r="I97" s="7"/>
      <c r="J97" s="7">
        <v>14.0</v>
      </c>
      <c r="K97" s="7" t="s">
        <v>13388</v>
      </c>
      <c r="L97" s="7">
        <v>97480.0</v>
      </c>
      <c r="M97" s="7" t="s">
        <v>123</v>
      </c>
      <c r="N97" s="6" t="s">
        <v>12446</v>
      </c>
      <c r="O97" s="6" t="s">
        <v>13389</v>
      </c>
      <c r="P97" s="42" t="s">
        <v>8451</v>
      </c>
      <c r="Q97" s="49" t="s">
        <v>13390</v>
      </c>
      <c r="R97" s="50"/>
      <c r="S97" s="51"/>
      <c r="T97" s="7"/>
      <c r="U97" s="7"/>
      <c r="V97" s="7"/>
      <c r="W97" s="7"/>
      <c r="X97" s="7"/>
      <c r="Y97" s="7"/>
      <c r="Z97" s="6" t="s">
        <v>424</v>
      </c>
      <c r="AA97" s="7"/>
      <c r="AB97" s="7"/>
      <c r="AC97" s="7"/>
      <c r="AD97" s="7"/>
      <c r="AE97" s="6" t="s">
        <v>12355</v>
      </c>
      <c r="AF97" s="45">
        <v>45434.517916666664</v>
      </c>
      <c r="AG97" s="7" t="s">
        <v>13391</v>
      </c>
      <c r="AH97" s="46" t="s">
        <v>13392</v>
      </c>
      <c r="AI97" s="7"/>
      <c r="AJ97" s="7"/>
      <c r="AK97" s="7" t="b">
        <v>0</v>
      </c>
      <c r="AL97" s="7" t="b">
        <v>0</v>
      </c>
      <c r="AM97" s="6" t="s">
        <v>8455</v>
      </c>
      <c r="AN97" s="6" t="s">
        <v>8448</v>
      </c>
      <c r="AO97" s="7"/>
      <c r="AP97" s="7"/>
      <c r="AQ97" s="6" t="b">
        <v>1</v>
      </c>
      <c r="AR97" s="6" t="s">
        <v>13393</v>
      </c>
      <c r="AS97" s="6"/>
    </row>
    <row r="98" ht="19.5" customHeight="1">
      <c r="A98" s="7" t="s">
        <v>6292</v>
      </c>
      <c r="B98" s="7" t="s">
        <v>13394</v>
      </c>
      <c r="C98" s="7" t="s">
        <v>34</v>
      </c>
      <c r="D98" s="7" t="s">
        <v>622</v>
      </c>
      <c r="E98" s="7" t="s">
        <v>622</v>
      </c>
      <c r="F98" s="7"/>
      <c r="G98" s="7" t="s">
        <v>407</v>
      </c>
      <c r="H98" s="7"/>
      <c r="I98" s="7"/>
      <c r="J98" s="41" t="s">
        <v>13129</v>
      </c>
      <c r="K98" s="6" t="s">
        <v>13395</v>
      </c>
      <c r="L98" s="7">
        <v>97418.0</v>
      </c>
      <c r="M98" s="7" t="s">
        <v>71</v>
      </c>
      <c r="N98" s="7" t="s">
        <v>216</v>
      </c>
      <c r="O98" s="6" t="s">
        <v>13396</v>
      </c>
      <c r="P98" s="42" t="s">
        <v>6295</v>
      </c>
      <c r="Q98" s="43" t="s">
        <v>13397</v>
      </c>
      <c r="R98" s="43" t="s">
        <v>13398</v>
      </c>
      <c r="S98" s="44" t="s">
        <v>13399</v>
      </c>
      <c r="T98" s="7" t="s">
        <v>6297</v>
      </c>
      <c r="U98" s="7" t="s">
        <v>6296</v>
      </c>
      <c r="V98" s="7" t="s">
        <v>6298</v>
      </c>
      <c r="W98" s="7" t="s">
        <v>801</v>
      </c>
      <c r="X98" s="6" t="s">
        <v>13400</v>
      </c>
      <c r="Y98" s="7" t="s">
        <v>5639</v>
      </c>
      <c r="Z98" s="7" t="s">
        <v>592</v>
      </c>
      <c r="AA98" s="7"/>
      <c r="AB98" s="7"/>
      <c r="AC98" s="6">
        <v>4.4040148700028E13</v>
      </c>
      <c r="AD98" s="6">
        <v>4.40401487E8</v>
      </c>
      <c r="AE98" s="6" t="s">
        <v>401</v>
      </c>
      <c r="AF98" s="45">
        <v>45985.47765046296</v>
      </c>
      <c r="AG98" s="7" t="s">
        <v>13401</v>
      </c>
      <c r="AH98" s="46" t="s">
        <v>13402</v>
      </c>
      <c r="AI98" s="7"/>
      <c r="AJ98" s="6" t="s">
        <v>13403</v>
      </c>
      <c r="AK98" s="7" t="b">
        <v>0</v>
      </c>
      <c r="AL98" s="7" t="b">
        <v>0</v>
      </c>
      <c r="AM98" s="7"/>
      <c r="AN98" s="6" t="s">
        <v>6292</v>
      </c>
      <c r="AO98" s="6">
        <v>1557.0</v>
      </c>
      <c r="AP98" s="6"/>
      <c r="AQ98" s="6" t="b">
        <v>1</v>
      </c>
      <c r="AR98" s="6"/>
      <c r="AS98" s="48"/>
    </row>
    <row r="99" ht="19.5" customHeight="1">
      <c r="A99" s="7" t="s">
        <v>643</v>
      </c>
      <c r="B99" s="7" t="s">
        <v>13404</v>
      </c>
      <c r="C99" s="7" t="s">
        <v>34</v>
      </c>
      <c r="D99" s="7" t="s">
        <v>622</v>
      </c>
      <c r="E99" s="7" t="s">
        <v>622</v>
      </c>
      <c r="F99" s="6">
        <v>60.0</v>
      </c>
      <c r="G99" s="7" t="s">
        <v>407</v>
      </c>
      <c r="H99" s="7"/>
      <c r="I99" s="6" t="s">
        <v>13376</v>
      </c>
      <c r="J99" s="7">
        <v>13.0</v>
      </c>
      <c r="K99" s="6" t="s">
        <v>13405</v>
      </c>
      <c r="L99" s="7">
        <v>97430.0</v>
      </c>
      <c r="M99" s="7" t="s">
        <v>71</v>
      </c>
      <c r="N99" s="7" t="s">
        <v>3501</v>
      </c>
      <c r="O99" s="6" t="s">
        <v>13406</v>
      </c>
      <c r="P99" s="42" t="s">
        <v>649</v>
      </c>
      <c r="Q99" s="43" t="s">
        <v>13407</v>
      </c>
      <c r="R99" s="50"/>
      <c r="S99" s="51"/>
      <c r="T99" s="6" t="s">
        <v>13408</v>
      </c>
      <c r="U99" s="6" t="s">
        <v>13409</v>
      </c>
      <c r="V99" s="6" t="s">
        <v>13410</v>
      </c>
      <c r="W99" s="7" t="s">
        <v>646</v>
      </c>
      <c r="X99" s="7" t="s">
        <v>647</v>
      </c>
      <c r="Y99" s="7" t="s">
        <v>648</v>
      </c>
      <c r="Z99" s="6" t="s">
        <v>424</v>
      </c>
      <c r="AA99" s="7"/>
      <c r="AB99" s="7"/>
      <c r="AC99" s="6">
        <v>4.8839089900018E13</v>
      </c>
      <c r="AD99" s="6">
        <v>4.88390899E8</v>
      </c>
      <c r="AE99" s="6" t="s">
        <v>401</v>
      </c>
      <c r="AF99" s="45">
        <v>45301.461643518516</v>
      </c>
      <c r="AG99" s="7" t="s">
        <v>13411</v>
      </c>
      <c r="AH99" s="46" t="s">
        <v>13412</v>
      </c>
      <c r="AI99" s="7"/>
      <c r="AJ99" s="6" t="s">
        <v>13413</v>
      </c>
      <c r="AK99" s="6" t="b">
        <v>1</v>
      </c>
      <c r="AL99" s="7" t="b">
        <v>1</v>
      </c>
      <c r="AM99" s="7"/>
      <c r="AN99" s="6" t="s">
        <v>643</v>
      </c>
      <c r="AO99" s="6">
        <v>1517.0</v>
      </c>
      <c r="AP99" s="6"/>
      <c r="AQ99" s="6" t="b">
        <v>1</v>
      </c>
      <c r="AR99" s="6"/>
      <c r="AS99" s="6"/>
    </row>
    <row r="100" ht="19.5" customHeight="1">
      <c r="A100" s="9" t="s">
        <v>10332</v>
      </c>
      <c r="B100" s="9" t="s">
        <v>13414</v>
      </c>
      <c r="C100" s="9" t="s">
        <v>58</v>
      </c>
      <c r="D100" s="9" t="s">
        <v>1859</v>
      </c>
      <c r="E100" s="9" t="s">
        <v>1859</v>
      </c>
      <c r="F100" s="9">
        <v>30.0</v>
      </c>
      <c r="G100" s="9"/>
      <c r="H100" s="9"/>
      <c r="I100" s="9"/>
      <c r="J100" s="52" t="s">
        <v>12445</v>
      </c>
      <c r="K100" s="9" t="s">
        <v>13415</v>
      </c>
      <c r="L100" s="9">
        <v>97414.0</v>
      </c>
      <c r="M100" s="9" t="s">
        <v>40</v>
      </c>
      <c r="N100" s="9"/>
      <c r="O100" s="9" t="s">
        <v>13416</v>
      </c>
      <c r="P100" s="53" t="s">
        <v>13417</v>
      </c>
      <c r="Q100" s="49" t="s">
        <v>13418</v>
      </c>
      <c r="R100" s="50"/>
      <c r="S100" s="58" t="s">
        <v>13419</v>
      </c>
      <c r="T100" s="9" t="s">
        <v>13420</v>
      </c>
      <c r="U100" s="9" t="s">
        <v>13421</v>
      </c>
      <c r="V100" s="9" t="s">
        <v>13422</v>
      </c>
      <c r="W100" s="9" t="s">
        <v>13423</v>
      </c>
      <c r="X100" s="9" t="s">
        <v>13424</v>
      </c>
      <c r="Y100" s="9" t="s">
        <v>2938</v>
      </c>
      <c r="Z100" s="9" t="s">
        <v>353</v>
      </c>
      <c r="AC100" s="9">
        <v>9.2777788800011E13</v>
      </c>
      <c r="AD100" s="9">
        <v>9.27777888E8</v>
      </c>
      <c r="AE100" s="9" t="s">
        <v>401</v>
      </c>
      <c r="AF100" s="55">
        <v>45453.40862268519</v>
      </c>
      <c r="AG100" s="9" t="s">
        <v>13425</v>
      </c>
      <c r="AH100" s="9" t="s">
        <v>13426</v>
      </c>
      <c r="AJ100" s="9" t="s">
        <v>13427</v>
      </c>
      <c r="AK100" s="9" t="b">
        <v>0</v>
      </c>
      <c r="AL100" s="9" t="b">
        <v>1</v>
      </c>
      <c r="AM100" s="9" t="s">
        <v>13428</v>
      </c>
      <c r="AN100" s="9" t="s">
        <v>10332</v>
      </c>
      <c r="AP100" s="56">
        <v>45299.0</v>
      </c>
      <c r="AQ100" s="9" t="b">
        <v>0</v>
      </c>
      <c r="AR100" s="9"/>
    </row>
    <row r="101" ht="19.5" customHeight="1">
      <c r="A101" s="9" t="s">
        <v>10334</v>
      </c>
      <c r="B101" s="9" t="s">
        <v>13429</v>
      </c>
      <c r="C101" s="9" t="s">
        <v>58</v>
      </c>
      <c r="D101" s="9" t="s">
        <v>453</v>
      </c>
      <c r="E101" s="9" t="s">
        <v>454</v>
      </c>
      <c r="F101" s="9">
        <v>15.0</v>
      </c>
      <c r="G101" s="9"/>
      <c r="H101" s="9"/>
      <c r="I101" s="9"/>
      <c r="J101" s="52" t="s">
        <v>12445</v>
      </c>
      <c r="K101" s="9" t="s">
        <v>13430</v>
      </c>
      <c r="L101" s="9">
        <v>97414.0</v>
      </c>
      <c r="M101" s="9" t="s">
        <v>40</v>
      </c>
      <c r="N101" s="9"/>
      <c r="O101" s="9" t="s">
        <v>13431</v>
      </c>
      <c r="P101" s="53" t="s">
        <v>13417</v>
      </c>
      <c r="Q101" s="49" t="s">
        <v>13418</v>
      </c>
      <c r="R101" s="50"/>
      <c r="S101" s="58" t="s">
        <v>13419</v>
      </c>
      <c r="T101" s="9" t="s">
        <v>13432</v>
      </c>
      <c r="U101" s="9" t="s">
        <v>13421</v>
      </c>
      <c r="V101" s="9" t="s">
        <v>13422</v>
      </c>
      <c r="W101" s="9" t="s">
        <v>13433</v>
      </c>
      <c r="X101" s="9" t="s">
        <v>13434</v>
      </c>
      <c r="Y101" s="9" t="s">
        <v>2938</v>
      </c>
      <c r="Z101" s="9" t="s">
        <v>353</v>
      </c>
      <c r="AC101" s="9">
        <v>9.2777788800011E13</v>
      </c>
      <c r="AD101" s="9">
        <v>9.27777888E8</v>
      </c>
      <c r="AE101" s="9" t="s">
        <v>401</v>
      </c>
      <c r="AF101" s="55">
        <v>45453.40703703704</v>
      </c>
      <c r="AG101" s="9" t="s">
        <v>13425</v>
      </c>
      <c r="AH101" s="9" t="s">
        <v>13435</v>
      </c>
      <c r="AJ101" s="9" t="s">
        <v>13436</v>
      </c>
      <c r="AK101" s="9" t="b">
        <v>0</v>
      </c>
      <c r="AL101" s="9" t="b">
        <v>0</v>
      </c>
      <c r="AM101" s="9" t="s">
        <v>13437</v>
      </c>
      <c r="AN101" s="9" t="s">
        <v>10334</v>
      </c>
      <c r="AP101" s="56">
        <v>45299.0</v>
      </c>
      <c r="AQ101" s="9" t="b">
        <v>0</v>
      </c>
      <c r="AR101" s="9"/>
    </row>
    <row r="102" ht="19.5" customHeight="1">
      <c r="A102" s="7" t="s">
        <v>7667</v>
      </c>
      <c r="B102" s="7" t="s">
        <v>13438</v>
      </c>
      <c r="C102" s="7" t="s">
        <v>34</v>
      </c>
      <c r="D102" s="7" t="s">
        <v>622</v>
      </c>
      <c r="E102" s="7" t="s">
        <v>622</v>
      </c>
      <c r="F102" s="7">
        <v>300.0</v>
      </c>
      <c r="G102" s="7" t="s">
        <v>407</v>
      </c>
      <c r="H102" s="7"/>
      <c r="I102" s="7"/>
      <c r="J102" s="41" t="s">
        <v>13439</v>
      </c>
      <c r="K102" s="6" t="s">
        <v>13440</v>
      </c>
      <c r="L102" s="7">
        <v>97418.0</v>
      </c>
      <c r="M102" s="7" t="s">
        <v>71</v>
      </c>
      <c r="N102" s="7" t="s">
        <v>216</v>
      </c>
      <c r="O102" s="6" t="s">
        <v>13441</v>
      </c>
      <c r="P102" s="42" t="s">
        <v>7670</v>
      </c>
      <c r="Q102" s="43" t="s">
        <v>13442</v>
      </c>
      <c r="R102" s="43" t="s">
        <v>13443</v>
      </c>
      <c r="S102" s="51"/>
      <c r="T102" s="6" t="s">
        <v>13444</v>
      </c>
      <c r="U102" s="7" t="s">
        <v>7671</v>
      </c>
      <c r="V102" s="6" t="s">
        <v>13445</v>
      </c>
      <c r="W102" s="6" t="s">
        <v>13446</v>
      </c>
      <c r="X102" s="7" t="s">
        <v>647</v>
      </c>
      <c r="Y102" s="6" t="s">
        <v>13253</v>
      </c>
      <c r="Z102" s="6" t="s">
        <v>4369</v>
      </c>
      <c r="AA102" s="7"/>
      <c r="AB102" s="7"/>
      <c r="AC102" s="6">
        <v>3.9782195000029E13</v>
      </c>
      <c r="AD102" s="6">
        <v>3.9782195E8</v>
      </c>
      <c r="AE102" s="6" t="s">
        <v>401</v>
      </c>
      <c r="AF102" s="45">
        <v>45300.645208333335</v>
      </c>
      <c r="AG102" s="7" t="s">
        <v>13447</v>
      </c>
      <c r="AH102" s="46" t="s">
        <v>13448</v>
      </c>
      <c r="AI102" s="7"/>
      <c r="AJ102" s="6" t="s">
        <v>13449</v>
      </c>
      <c r="AK102" s="6" t="b">
        <v>1</v>
      </c>
      <c r="AL102" s="7" t="b">
        <v>0</v>
      </c>
      <c r="AM102" s="7"/>
      <c r="AN102" s="6" t="s">
        <v>7667</v>
      </c>
      <c r="AO102" s="6">
        <v>1554.0</v>
      </c>
      <c r="AP102" s="6"/>
      <c r="AQ102" s="6" t="b">
        <v>1</v>
      </c>
      <c r="AR102" s="6" t="s">
        <v>13450</v>
      </c>
      <c r="AS102" s="48"/>
    </row>
    <row r="103" ht="19.5" customHeight="1">
      <c r="A103" s="7" t="s">
        <v>7219</v>
      </c>
      <c r="B103" s="7" t="s">
        <v>7220</v>
      </c>
      <c r="C103" s="7" t="s">
        <v>34</v>
      </c>
      <c r="D103" s="7" t="s">
        <v>622</v>
      </c>
      <c r="E103" s="7" t="s">
        <v>1347</v>
      </c>
      <c r="F103" s="7">
        <v>50.0</v>
      </c>
      <c r="G103" s="7" t="s">
        <v>472</v>
      </c>
      <c r="H103" s="7"/>
      <c r="I103" s="7"/>
      <c r="J103" s="6" t="s">
        <v>13451</v>
      </c>
      <c r="K103" s="6" t="s">
        <v>13452</v>
      </c>
      <c r="L103" s="7">
        <v>97414.0</v>
      </c>
      <c r="M103" s="7" t="s">
        <v>40</v>
      </c>
      <c r="N103" s="6" t="s">
        <v>1860</v>
      </c>
      <c r="O103" s="7" t="s">
        <v>7230</v>
      </c>
      <c r="P103" s="42"/>
      <c r="Q103" s="43" t="s">
        <v>13453</v>
      </c>
      <c r="R103" s="50"/>
      <c r="S103" s="51"/>
      <c r="T103" s="6" t="s">
        <v>13454</v>
      </c>
      <c r="U103" s="6" t="s">
        <v>13455</v>
      </c>
      <c r="V103" s="7" t="s">
        <v>7226</v>
      </c>
      <c r="W103" s="6" t="s">
        <v>13456</v>
      </c>
      <c r="X103" s="7" t="s">
        <v>7224</v>
      </c>
      <c r="Y103" s="7" t="s">
        <v>377</v>
      </c>
      <c r="Z103" s="7" t="s">
        <v>353</v>
      </c>
      <c r="AA103" s="7"/>
      <c r="AB103" s="7"/>
      <c r="AC103" s="7">
        <v>4.279499040001E13</v>
      </c>
      <c r="AD103" s="7">
        <v>4.27949904E8</v>
      </c>
      <c r="AE103" s="6" t="s">
        <v>12355</v>
      </c>
      <c r="AF103" s="45">
        <v>45377.468668981484</v>
      </c>
      <c r="AG103" s="7" t="s">
        <v>13457</v>
      </c>
      <c r="AH103" s="46" t="s">
        <v>13458</v>
      </c>
      <c r="AI103" s="7"/>
      <c r="AJ103" s="6" t="s">
        <v>13459</v>
      </c>
      <c r="AK103" s="7" t="b">
        <v>0</v>
      </c>
      <c r="AL103" s="7" t="b">
        <v>0</v>
      </c>
      <c r="AM103" s="7"/>
      <c r="AN103" s="6" t="s">
        <v>7219</v>
      </c>
      <c r="AO103" s="6">
        <v>469.0</v>
      </c>
      <c r="AP103" s="6"/>
      <c r="AQ103" s="6" t="b">
        <v>1</v>
      </c>
      <c r="AR103" s="6"/>
      <c r="AS103" s="48" t="s">
        <v>12303</v>
      </c>
    </row>
    <row r="104" ht="19.5" customHeight="1">
      <c r="A104" s="7" t="s">
        <v>9984</v>
      </c>
      <c r="B104" s="7" t="s">
        <v>9985</v>
      </c>
      <c r="C104" s="7" t="s">
        <v>58</v>
      </c>
      <c r="D104" s="7" t="s">
        <v>59</v>
      </c>
      <c r="E104" s="7" t="s">
        <v>346</v>
      </c>
      <c r="F104" s="7">
        <v>4.0</v>
      </c>
      <c r="G104" s="7"/>
      <c r="H104" s="7"/>
      <c r="I104" s="7"/>
      <c r="J104" s="7">
        <v>12.0</v>
      </c>
      <c r="K104" s="7" t="s">
        <v>13460</v>
      </c>
      <c r="L104" s="7">
        <v>97430.0</v>
      </c>
      <c r="M104" s="7" t="s">
        <v>71</v>
      </c>
      <c r="N104" s="7"/>
      <c r="O104" s="6" t="s">
        <v>13461</v>
      </c>
      <c r="P104" s="42" t="s">
        <v>9987</v>
      </c>
      <c r="Q104" s="43" t="s">
        <v>13462</v>
      </c>
      <c r="R104" s="50" t="s">
        <v>12350</v>
      </c>
      <c r="S104" s="44" t="s">
        <v>13463</v>
      </c>
      <c r="T104" s="6" t="s">
        <v>13464</v>
      </c>
      <c r="U104" s="7"/>
      <c r="V104" s="7"/>
      <c r="W104" s="7"/>
      <c r="X104" s="7"/>
      <c r="Y104" s="7"/>
      <c r="Z104" s="7"/>
      <c r="AA104" s="7"/>
      <c r="AB104" s="7"/>
      <c r="AC104" s="6">
        <v>8.2090572700013E13</v>
      </c>
      <c r="AD104" s="6">
        <v>8.20905727E8</v>
      </c>
      <c r="AE104" s="6" t="s">
        <v>401</v>
      </c>
      <c r="AF104" s="63">
        <v>45299.40855324074</v>
      </c>
      <c r="AG104" s="7" t="s">
        <v>13465</v>
      </c>
      <c r="AH104" s="46" t="s">
        <v>13466</v>
      </c>
      <c r="AI104" s="7"/>
      <c r="AJ104" s="7"/>
      <c r="AK104" s="7" t="b">
        <v>0</v>
      </c>
      <c r="AL104" s="7" t="b">
        <v>0</v>
      </c>
      <c r="AM104" s="6" t="s">
        <v>9991</v>
      </c>
      <c r="AN104" s="6" t="s">
        <v>9984</v>
      </c>
      <c r="AO104" s="7"/>
      <c r="AP104" s="7"/>
      <c r="AQ104" s="6" t="b">
        <v>0</v>
      </c>
      <c r="AR104" s="6"/>
      <c r="AS104" s="6"/>
    </row>
    <row r="105" ht="19.5" customHeight="1">
      <c r="A105" s="7" t="s">
        <v>9199</v>
      </c>
      <c r="B105" s="7" t="s">
        <v>9200</v>
      </c>
      <c r="C105" s="7" t="s">
        <v>34</v>
      </c>
      <c r="D105" s="6" t="s">
        <v>13467</v>
      </c>
      <c r="E105" s="7"/>
      <c r="F105" s="6">
        <v>50.0</v>
      </c>
      <c r="G105" s="7"/>
      <c r="H105" s="7"/>
      <c r="I105" s="7"/>
      <c r="J105" s="7">
        <v>9.0</v>
      </c>
      <c r="K105" s="7" t="s">
        <v>13468</v>
      </c>
      <c r="L105" s="7">
        <v>97480.0</v>
      </c>
      <c r="M105" s="7" t="s">
        <v>123</v>
      </c>
      <c r="N105" s="7"/>
      <c r="O105" s="7" t="s">
        <v>9204</v>
      </c>
      <c r="P105" s="42" t="s">
        <v>13469</v>
      </c>
      <c r="Q105" s="43" t="s">
        <v>13470</v>
      </c>
      <c r="R105" s="43" t="s">
        <v>13471</v>
      </c>
      <c r="S105" s="51"/>
      <c r="T105" s="6" t="s">
        <v>13472</v>
      </c>
      <c r="U105" s="6" t="s">
        <v>13473</v>
      </c>
      <c r="V105" s="7"/>
      <c r="W105" s="6" t="s">
        <v>13474</v>
      </c>
      <c r="X105" s="6" t="s">
        <v>13475</v>
      </c>
      <c r="Y105" s="6" t="s">
        <v>499</v>
      </c>
      <c r="Z105" s="6" t="s">
        <v>353</v>
      </c>
      <c r="AA105" s="7"/>
      <c r="AB105" s="7"/>
      <c r="AC105" s="6">
        <v>4.9265098100011E13</v>
      </c>
      <c r="AD105" s="6">
        <v>4.92650981E8</v>
      </c>
      <c r="AE105" s="6" t="s">
        <v>401</v>
      </c>
      <c r="AF105" s="45">
        <v>45299.40657407408</v>
      </c>
      <c r="AG105" s="7" t="s">
        <v>13476</v>
      </c>
      <c r="AH105" s="46" t="s">
        <v>13477</v>
      </c>
      <c r="AI105" s="7"/>
      <c r="AJ105" s="6" t="s">
        <v>13478</v>
      </c>
      <c r="AK105" s="6" t="b">
        <v>1</v>
      </c>
      <c r="AL105" s="7" t="b">
        <v>0</v>
      </c>
      <c r="AM105" s="7"/>
      <c r="AN105" s="6" t="s">
        <v>9199</v>
      </c>
      <c r="AO105" s="7"/>
      <c r="AP105" s="7"/>
      <c r="AQ105" s="6" t="b">
        <v>0</v>
      </c>
      <c r="AR105" s="6" t="s">
        <v>13479</v>
      </c>
      <c r="AS105" s="6"/>
    </row>
    <row r="106" ht="19.5" customHeight="1">
      <c r="A106" s="7" t="s">
        <v>231</v>
      </c>
      <c r="B106" s="6" t="s">
        <v>13480</v>
      </c>
      <c r="C106" s="7" t="s">
        <v>58</v>
      </c>
      <c r="D106" s="7" t="s">
        <v>59</v>
      </c>
      <c r="E106" s="7"/>
      <c r="F106" s="7">
        <v>4.0</v>
      </c>
      <c r="G106" s="7"/>
      <c r="H106" s="7"/>
      <c r="I106" s="7"/>
      <c r="J106" s="7">
        <v>32.0</v>
      </c>
      <c r="K106" s="7" t="s">
        <v>13481</v>
      </c>
      <c r="L106" s="7">
        <v>97430.0</v>
      </c>
      <c r="M106" s="7" t="s">
        <v>71</v>
      </c>
      <c r="N106" s="6" t="s">
        <v>8411</v>
      </c>
      <c r="O106" s="6" t="s">
        <v>13482</v>
      </c>
      <c r="P106" s="42" t="s">
        <v>8790</v>
      </c>
      <c r="Q106" s="49" t="s">
        <v>13483</v>
      </c>
      <c r="R106" s="50"/>
      <c r="S106" s="51"/>
      <c r="T106" s="6" t="s">
        <v>13484</v>
      </c>
      <c r="U106" s="6" t="s">
        <v>13485</v>
      </c>
      <c r="V106" s="7"/>
      <c r="W106" s="6" t="s">
        <v>13486</v>
      </c>
      <c r="X106" s="6" t="s">
        <v>13487</v>
      </c>
      <c r="Y106" s="6" t="s">
        <v>499</v>
      </c>
      <c r="Z106" s="7"/>
      <c r="AA106" s="7"/>
      <c r="AB106" s="7"/>
      <c r="AC106" s="7"/>
      <c r="AD106" s="7"/>
      <c r="AE106" s="6" t="s">
        <v>12355</v>
      </c>
      <c r="AF106" s="63">
        <v>45888.34165509259</v>
      </c>
      <c r="AG106" s="7" t="s">
        <v>232</v>
      </c>
      <c r="AH106" s="46" t="s">
        <v>13488</v>
      </c>
      <c r="AI106" s="7"/>
      <c r="AJ106" s="6" t="s">
        <v>13489</v>
      </c>
      <c r="AK106" s="7" t="b">
        <v>0</v>
      </c>
      <c r="AL106" s="7" t="b">
        <v>0</v>
      </c>
      <c r="AM106" s="6" t="s">
        <v>8793</v>
      </c>
      <c r="AN106" s="6" t="s">
        <v>231</v>
      </c>
      <c r="AO106" s="7"/>
      <c r="AP106" s="7"/>
      <c r="AQ106" s="6" t="b">
        <v>0</v>
      </c>
      <c r="AR106" s="6" t="s">
        <v>13490</v>
      </c>
      <c r="AS106" s="6"/>
    </row>
    <row r="107" ht="19.5" customHeight="1">
      <c r="A107" s="7" t="s">
        <v>4210</v>
      </c>
      <c r="B107" s="7" t="s">
        <v>13491</v>
      </c>
      <c r="C107" s="7" t="s">
        <v>34</v>
      </c>
      <c r="D107" s="7" t="s">
        <v>622</v>
      </c>
      <c r="E107" s="7" t="s">
        <v>1127</v>
      </c>
      <c r="F107" s="6">
        <v>90.0</v>
      </c>
      <c r="G107" s="7" t="s">
        <v>630</v>
      </c>
      <c r="H107" s="7"/>
      <c r="I107" s="7"/>
      <c r="J107" s="7">
        <v>11.0</v>
      </c>
      <c r="K107" s="7" t="s">
        <v>13492</v>
      </c>
      <c r="L107" s="7">
        <v>97418.0</v>
      </c>
      <c r="M107" s="7" t="s">
        <v>71</v>
      </c>
      <c r="N107" s="7" t="s">
        <v>216</v>
      </c>
      <c r="O107" s="6" t="s">
        <v>13493</v>
      </c>
      <c r="P107" s="53" t="s">
        <v>13494</v>
      </c>
      <c r="Q107" s="43" t="s">
        <v>13495</v>
      </c>
      <c r="R107" s="43" t="s">
        <v>13496</v>
      </c>
      <c r="S107" s="47" t="s">
        <v>4213</v>
      </c>
      <c r="T107" s="7" t="s">
        <v>4217</v>
      </c>
      <c r="U107" s="7" t="s">
        <v>4216</v>
      </c>
      <c r="V107" s="7"/>
      <c r="W107" s="6" t="s">
        <v>13497</v>
      </c>
      <c r="X107" s="7" t="s">
        <v>1094</v>
      </c>
      <c r="Y107" s="6" t="s">
        <v>13498</v>
      </c>
      <c r="Z107" s="6" t="s">
        <v>786</v>
      </c>
      <c r="AA107" s="7"/>
      <c r="AB107" s="7"/>
      <c r="AC107" s="6">
        <v>9.5063831200021E13</v>
      </c>
      <c r="AD107" s="6">
        <v>9.50638312E8</v>
      </c>
      <c r="AE107" s="6" t="s">
        <v>401</v>
      </c>
      <c r="AF107" s="63">
        <v>45296.576736111114</v>
      </c>
      <c r="AG107" s="7" t="s">
        <v>13499</v>
      </c>
      <c r="AH107" s="46" t="s">
        <v>13500</v>
      </c>
      <c r="AI107" s="7"/>
      <c r="AJ107" s="6" t="s">
        <v>13501</v>
      </c>
      <c r="AK107" s="7" t="b">
        <v>0</v>
      </c>
      <c r="AL107" s="7" t="b">
        <v>0</v>
      </c>
      <c r="AM107" s="7"/>
      <c r="AN107" s="6" t="s">
        <v>4210</v>
      </c>
      <c r="AO107" s="6">
        <v>3822.0</v>
      </c>
      <c r="AP107" s="6"/>
      <c r="AQ107" s="6" t="b">
        <v>1</v>
      </c>
      <c r="AR107" s="6"/>
      <c r="AS107" s="48"/>
    </row>
    <row r="108" ht="19.5" customHeight="1">
      <c r="A108" s="7" t="s">
        <v>4224</v>
      </c>
      <c r="B108" s="64" t="s">
        <v>13491</v>
      </c>
      <c r="C108" s="7" t="s">
        <v>58</v>
      </c>
      <c r="D108" s="7" t="s">
        <v>1141</v>
      </c>
      <c r="E108" s="7" t="s">
        <v>1141</v>
      </c>
      <c r="F108" s="7">
        <v>63.0</v>
      </c>
      <c r="G108" s="7" t="s">
        <v>407</v>
      </c>
      <c r="H108" s="6" t="s">
        <v>2716</v>
      </c>
      <c r="I108" s="6" t="s">
        <v>597</v>
      </c>
      <c r="J108" s="7">
        <v>11.0</v>
      </c>
      <c r="K108" s="7" t="s">
        <v>13492</v>
      </c>
      <c r="L108" s="7">
        <v>97418.0</v>
      </c>
      <c r="M108" s="7" t="s">
        <v>71</v>
      </c>
      <c r="N108" s="7" t="s">
        <v>216</v>
      </c>
      <c r="O108" s="6" t="s">
        <v>13502</v>
      </c>
      <c r="P108" s="53" t="s">
        <v>13494</v>
      </c>
      <c r="Q108" s="49" t="s">
        <v>13503</v>
      </c>
      <c r="R108" s="43" t="s">
        <v>13496</v>
      </c>
      <c r="S108" s="47" t="s">
        <v>4213</v>
      </c>
      <c r="T108" s="7" t="s">
        <v>4229</v>
      </c>
      <c r="U108" s="7" t="s">
        <v>4228</v>
      </c>
      <c r="V108" s="6" t="s">
        <v>13504</v>
      </c>
      <c r="W108" s="6" t="s">
        <v>13505</v>
      </c>
      <c r="X108" s="7" t="s">
        <v>1094</v>
      </c>
      <c r="Y108" s="7" t="s">
        <v>4227</v>
      </c>
      <c r="Z108" s="6" t="s">
        <v>786</v>
      </c>
      <c r="AA108" s="7"/>
      <c r="AB108" s="7"/>
      <c r="AC108" s="6">
        <v>9.5063831200021E13</v>
      </c>
      <c r="AD108" s="7">
        <v>9.50638312E8</v>
      </c>
      <c r="AE108" s="6" t="s">
        <v>401</v>
      </c>
      <c r="AF108" s="45">
        <v>45474.57619212963</v>
      </c>
      <c r="AG108" s="7" t="s">
        <v>13499</v>
      </c>
      <c r="AH108" s="46" t="s">
        <v>13506</v>
      </c>
      <c r="AI108" s="7"/>
      <c r="AJ108" s="6" t="s">
        <v>13507</v>
      </c>
      <c r="AK108" s="7" t="b">
        <v>0</v>
      </c>
      <c r="AL108" s="7" t="b">
        <v>0</v>
      </c>
      <c r="AM108" s="6" t="s">
        <v>4230</v>
      </c>
      <c r="AN108" s="6" t="s">
        <v>4224</v>
      </c>
      <c r="AO108" s="6">
        <v>11.0</v>
      </c>
      <c r="AP108" s="6"/>
      <c r="AQ108" s="6" t="b">
        <v>1</v>
      </c>
      <c r="AR108" s="6"/>
      <c r="AS108" s="48" t="s">
        <v>12303</v>
      </c>
    </row>
    <row r="109" ht="19.5" customHeight="1">
      <c r="A109" s="7" t="s">
        <v>7612</v>
      </c>
      <c r="B109" s="64" t="s">
        <v>13508</v>
      </c>
      <c r="C109" s="7" t="s">
        <v>34</v>
      </c>
      <c r="D109" s="7" t="s">
        <v>622</v>
      </c>
      <c r="E109" s="7" t="s">
        <v>622</v>
      </c>
      <c r="F109" s="6">
        <v>30.0</v>
      </c>
      <c r="G109" s="7" t="s">
        <v>455</v>
      </c>
      <c r="H109" s="7"/>
      <c r="I109" s="7"/>
      <c r="J109" s="41" t="s">
        <v>13509</v>
      </c>
      <c r="K109" s="6" t="s">
        <v>13332</v>
      </c>
      <c r="L109" s="7">
        <v>97418.0</v>
      </c>
      <c r="M109" s="7" t="s">
        <v>71</v>
      </c>
      <c r="N109" s="7" t="s">
        <v>216</v>
      </c>
      <c r="O109" s="6" t="s">
        <v>13510</v>
      </c>
      <c r="P109" s="42"/>
      <c r="Q109" s="43" t="s">
        <v>13511</v>
      </c>
      <c r="R109" s="50"/>
      <c r="S109" s="51"/>
      <c r="T109" s="6" t="s">
        <v>13512</v>
      </c>
      <c r="U109" s="6" t="s">
        <v>13513</v>
      </c>
      <c r="V109" s="6" t="s">
        <v>13514</v>
      </c>
      <c r="W109" s="6" t="s">
        <v>13515</v>
      </c>
      <c r="X109" s="6" t="s">
        <v>13516</v>
      </c>
      <c r="Y109" s="7" t="s">
        <v>377</v>
      </c>
      <c r="Z109" s="7" t="s">
        <v>353</v>
      </c>
      <c r="AA109" s="7"/>
      <c r="AB109" s="7"/>
      <c r="AC109" s="7">
        <v>4.2809002100018E13</v>
      </c>
      <c r="AD109" s="7">
        <v>4.28090021E8</v>
      </c>
      <c r="AE109" s="6" t="s">
        <v>401</v>
      </c>
      <c r="AF109" s="45">
        <v>45296.457025462965</v>
      </c>
      <c r="AG109" s="7" t="s">
        <v>13517</v>
      </c>
      <c r="AH109" s="46" t="s">
        <v>13518</v>
      </c>
      <c r="AI109" s="7"/>
      <c r="AJ109" s="6" t="s">
        <v>13519</v>
      </c>
      <c r="AK109" s="6" t="b">
        <v>1</v>
      </c>
      <c r="AL109" s="6" t="b">
        <v>1</v>
      </c>
      <c r="AM109" s="7"/>
      <c r="AN109" s="6" t="s">
        <v>7612</v>
      </c>
      <c r="AO109" s="6">
        <v>1700.0</v>
      </c>
      <c r="AP109" s="6"/>
      <c r="AQ109" s="6" t="b">
        <v>1</v>
      </c>
      <c r="AR109" s="6" t="s">
        <v>13520</v>
      </c>
      <c r="AS109" s="48"/>
    </row>
    <row r="110" ht="19.5" customHeight="1">
      <c r="A110" s="7" t="s">
        <v>9703</v>
      </c>
      <c r="B110" s="6" t="s">
        <v>13521</v>
      </c>
      <c r="C110" s="7" t="s">
        <v>34</v>
      </c>
      <c r="D110" s="7" t="s">
        <v>622</v>
      </c>
      <c r="E110" s="6" t="s">
        <v>13522</v>
      </c>
      <c r="F110" s="7">
        <v>30.0</v>
      </c>
      <c r="G110" s="7"/>
      <c r="H110" s="7"/>
      <c r="I110" s="7"/>
      <c r="J110" s="7">
        <v>3.0</v>
      </c>
      <c r="K110" s="7" t="s">
        <v>13523</v>
      </c>
      <c r="L110" s="7">
        <v>97414.0</v>
      </c>
      <c r="M110" s="7" t="s">
        <v>40</v>
      </c>
      <c r="N110" s="7"/>
      <c r="O110" s="6" t="s">
        <v>13524</v>
      </c>
      <c r="P110" s="42" t="s">
        <v>13525</v>
      </c>
      <c r="Q110" s="43" t="s">
        <v>13526</v>
      </c>
      <c r="R110" s="43" t="s">
        <v>13527</v>
      </c>
      <c r="S110" s="51"/>
      <c r="T110" s="6" t="s">
        <v>13528</v>
      </c>
      <c r="U110" s="6" t="s">
        <v>13529</v>
      </c>
      <c r="V110" s="6" t="s">
        <v>13530</v>
      </c>
      <c r="W110" s="6" t="s">
        <v>13531</v>
      </c>
      <c r="X110" s="6" t="s">
        <v>13532</v>
      </c>
      <c r="Y110" s="6" t="s">
        <v>13253</v>
      </c>
      <c r="Z110" s="6" t="s">
        <v>592</v>
      </c>
      <c r="AA110" s="7"/>
      <c r="AB110" s="7"/>
      <c r="AC110" s="6">
        <v>8.939389440002E13</v>
      </c>
      <c r="AD110" s="6">
        <v>8.93938944E8</v>
      </c>
      <c r="AE110" s="6" t="s">
        <v>401</v>
      </c>
      <c r="AF110" s="45">
        <v>45894.50608796296</v>
      </c>
      <c r="AG110" s="7" t="s">
        <v>13533</v>
      </c>
      <c r="AH110" s="46" t="s">
        <v>13534</v>
      </c>
      <c r="AI110" s="7"/>
      <c r="AJ110" s="6" t="s">
        <v>13535</v>
      </c>
      <c r="AK110" s="6" t="b">
        <v>0</v>
      </c>
      <c r="AL110" s="7" t="b">
        <v>0</v>
      </c>
      <c r="AM110" s="7"/>
      <c r="AN110" s="6" t="s">
        <v>9703</v>
      </c>
      <c r="AO110" s="7"/>
      <c r="AP110" s="7"/>
      <c r="AQ110" s="6" t="b">
        <v>0</v>
      </c>
      <c r="AR110" s="6" t="s">
        <v>13536</v>
      </c>
      <c r="AS110" s="48" t="s">
        <v>12303</v>
      </c>
    </row>
    <row r="111" ht="19.5" customHeight="1">
      <c r="A111" s="7" t="s">
        <v>7565</v>
      </c>
      <c r="B111" s="7" t="s">
        <v>13537</v>
      </c>
      <c r="C111" s="7" t="s">
        <v>34</v>
      </c>
      <c r="D111" s="7" t="s">
        <v>622</v>
      </c>
      <c r="E111" s="7" t="s">
        <v>622</v>
      </c>
      <c r="F111" s="7">
        <v>60.0</v>
      </c>
      <c r="G111" s="7" t="s">
        <v>455</v>
      </c>
      <c r="H111" s="7"/>
      <c r="I111" s="7"/>
      <c r="J111" s="41" t="s">
        <v>13538</v>
      </c>
      <c r="K111" s="6" t="s">
        <v>13539</v>
      </c>
      <c r="L111" s="7">
        <v>97418.0</v>
      </c>
      <c r="M111" s="7" t="s">
        <v>71</v>
      </c>
      <c r="N111" s="7" t="s">
        <v>216</v>
      </c>
      <c r="O111" s="6" t="s">
        <v>13540</v>
      </c>
      <c r="P111" s="42" t="s">
        <v>13541</v>
      </c>
      <c r="Q111" s="43" t="s">
        <v>13542</v>
      </c>
      <c r="R111" s="43" t="s">
        <v>13543</v>
      </c>
      <c r="S111" s="44" t="s">
        <v>13544</v>
      </c>
      <c r="T111" s="6" t="s">
        <v>13545</v>
      </c>
      <c r="U111" s="6" t="s">
        <v>13546</v>
      </c>
      <c r="V111" s="7" t="s">
        <v>7569</v>
      </c>
      <c r="W111" s="6" t="s">
        <v>13547</v>
      </c>
      <c r="X111" s="6" t="s">
        <v>13548</v>
      </c>
      <c r="Y111" s="7" t="s">
        <v>963</v>
      </c>
      <c r="Z111" s="7" t="s">
        <v>378</v>
      </c>
      <c r="AA111" s="7"/>
      <c r="AB111" s="7"/>
      <c r="AC111" s="6">
        <v>5.2827402000015E13</v>
      </c>
      <c r="AD111" s="6">
        <v>5.2827402E8</v>
      </c>
      <c r="AE111" s="6" t="s">
        <v>401</v>
      </c>
      <c r="AF111" s="45">
        <v>45294.63605324074</v>
      </c>
      <c r="AG111" s="7" t="s">
        <v>13549</v>
      </c>
      <c r="AH111" s="46" t="s">
        <v>13550</v>
      </c>
      <c r="AI111" s="7"/>
      <c r="AJ111" s="6" t="s">
        <v>13551</v>
      </c>
      <c r="AK111" s="6" t="b">
        <v>1</v>
      </c>
      <c r="AL111" s="7" t="b">
        <v>0</v>
      </c>
      <c r="AM111" s="7"/>
      <c r="AN111" s="6" t="s">
        <v>7565</v>
      </c>
      <c r="AO111" s="6">
        <v>3008.0</v>
      </c>
      <c r="AP111" s="6"/>
      <c r="AQ111" s="6" t="b">
        <v>1</v>
      </c>
      <c r="AR111" s="6" t="s">
        <v>13552</v>
      </c>
      <c r="AS111" s="48" t="s">
        <v>12303</v>
      </c>
    </row>
    <row r="112" ht="19.5" customHeight="1">
      <c r="A112" s="7" t="s">
        <v>4838</v>
      </c>
      <c r="B112" s="6" t="s">
        <v>13553</v>
      </c>
      <c r="C112" s="7" t="s">
        <v>58</v>
      </c>
      <c r="D112" s="7" t="s">
        <v>59</v>
      </c>
      <c r="E112" s="7" t="s">
        <v>346</v>
      </c>
      <c r="F112" s="7">
        <v>8.0</v>
      </c>
      <c r="G112" s="7"/>
      <c r="H112" s="7"/>
      <c r="I112" s="7"/>
      <c r="J112" s="7">
        <v>7.0</v>
      </c>
      <c r="K112" s="7" t="s">
        <v>13554</v>
      </c>
      <c r="L112" s="7">
        <v>97430.0</v>
      </c>
      <c r="M112" s="7" t="s">
        <v>71</v>
      </c>
      <c r="N112" s="7"/>
      <c r="O112" s="6" t="s">
        <v>13555</v>
      </c>
      <c r="P112" s="42" t="s">
        <v>4842</v>
      </c>
      <c r="Q112" s="43" t="s">
        <v>13556</v>
      </c>
      <c r="R112" s="43" t="s">
        <v>13557</v>
      </c>
      <c r="S112" s="51"/>
      <c r="T112" s="7" t="s">
        <v>4844</v>
      </c>
      <c r="U112" s="7" t="s">
        <v>4843</v>
      </c>
      <c r="V112" s="7" t="s">
        <v>4845</v>
      </c>
      <c r="W112" s="6" t="s">
        <v>13558</v>
      </c>
      <c r="X112" s="7"/>
      <c r="Y112" s="7" t="s">
        <v>377</v>
      </c>
      <c r="Z112" s="7" t="s">
        <v>378</v>
      </c>
      <c r="AA112" s="7"/>
      <c r="AB112" s="7"/>
      <c r="AC112" s="7">
        <v>8.3438785400013E13</v>
      </c>
      <c r="AD112" s="7">
        <v>8.34387854E8</v>
      </c>
      <c r="AE112" s="6" t="s">
        <v>401</v>
      </c>
      <c r="AF112" s="45">
        <v>45294.61241898148</v>
      </c>
      <c r="AG112" s="7" t="s">
        <v>13559</v>
      </c>
      <c r="AH112" s="46" t="s">
        <v>13560</v>
      </c>
      <c r="AI112" s="7"/>
      <c r="AJ112" s="6" t="s">
        <v>13561</v>
      </c>
      <c r="AK112" s="7" t="b">
        <v>0</v>
      </c>
      <c r="AL112" s="7" t="b">
        <v>0</v>
      </c>
      <c r="AM112" s="6" t="s">
        <v>4850</v>
      </c>
      <c r="AN112" s="6" t="s">
        <v>4838</v>
      </c>
      <c r="AO112" s="6">
        <v>4560.0</v>
      </c>
      <c r="AP112" s="6"/>
      <c r="AQ112" s="6" t="b">
        <v>1</v>
      </c>
      <c r="AR112" s="6" t="s">
        <v>13562</v>
      </c>
      <c r="AS112" s="6" t="s">
        <v>12303</v>
      </c>
    </row>
    <row r="113" ht="19.5" customHeight="1">
      <c r="A113" s="7" t="s">
        <v>7315</v>
      </c>
      <c r="B113" s="7" t="s">
        <v>7316</v>
      </c>
      <c r="C113" s="7" t="s">
        <v>34</v>
      </c>
      <c r="D113" s="7" t="s">
        <v>622</v>
      </c>
      <c r="E113" s="7" t="s">
        <v>1127</v>
      </c>
      <c r="F113" s="7">
        <v>50.0</v>
      </c>
      <c r="G113" s="7" t="s">
        <v>664</v>
      </c>
      <c r="H113" s="7"/>
      <c r="I113" s="7"/>
      <c r="J113" s="7">
        <v>106.0</v>
      </c>
      <c r="K113" s="7" t="s">
        <v>13102</v>
      </c>
      <c r="L113" s="7">
        <v>97430.0</v>
      </c>
      <c r="M113" s="7" t="s">
        <v>71</v>
      </c>
      <c r="N113" s="7"/>
      <c r="O113" s="7" t="s">
        <v>7326</v>
      </c>
      <c r="P113" s="42" t="s">
        <v>7319</v>
      </c>
      <c r="Q113" s="43" t="s">
        <v>13563</v>
      </c>
      <c r="R113" s="50"/>
      <c r="S113" s="47" t="s">
        <v>7318</v>
      </c>
      <c r="T113" s="6" t="s">
        <v>13564</v>
      </c>
      <c r="U113" s="6" t="s">
        <v>13565</v>
      </c>
      <c r="V113" s="7" t="s">
        <v>7322</v>
      </c>
      <c r="W113" s="6" t="s">
        <v>13566</v>
      </c>
      <c r="X113" s="6" t="s">
        <v>13567</v>
      </c>
      <c r="Y113" s="6" t="s">
        <v>8231</v>
      </c>
      <c r="Z113" s="7" t="s">
        <v>353</v>
      </c>
      <c r="AA113" s="7"/>
      <c r="AB113" s="7"/>
      <c r="AC113" s="7">
        <v>4.1221483500016E13</v>
      </c>
      <c r="AD113" s="7">
        <v>4.12214835E8</v>
      </c>
      <c r="AE113" s="6" t="s">
        <v>401</v>
      </c>
      <c r="AF113" s="45">
        <v>45294.484305555554</v>
      </c>
      <c r="AG113" s="7" t="s">
        <v>13568</v>
      </c>
      <c r="AH113" s="46" t="s">
        <v>13569</v>
      </c>
      <c r="AI113" s="7"/>
      <c r="AJ113" s="6" t="s">
        <v>13570</v>
      </c>
      <c r="AK113" s="7" t="b">
        <v>0</v>
      </c>
      <c r="AL113" s="7" t="b">
        <v>0</v>
      </c>
      <c r="AM113" s="7"/>
      <c r="AN113" s="6" t="s">
        <v>7315</v>
      </c>
      <c r="AO113" s="6">
        <v>3801.0</v>
      </c>
      <c r="AP113" s="6"/>
      <c r="AQ113" s="6" t="b">
        <v>1</v>
      </c>
      <c r="AR113" s="6" t="s">
        <v>13571</v>
      </c>
      <c r="AS113" s="6"/>
    </row>
    <row r="114" ht="19.5" customHeight="1">
      <c r="A114" s="9" t="s">
        <v>10347</v>
      </c>
      <c r="B114" s="9" t="s">
        <v>13572</v>
      </c>
      <c r="C114" s="9" t="s">
        <v>58</v>
      </c>
      <c r="D114" s="9" t="s">
        <v>59</v>
      </c>
      <c r="E114" s="9" t="s">
        <v>12384</v>
      </c>
      <c r="F114" s="9">
        <v>6.0</v>
      </c>
      <c r="G114" s="9" t="s">
        <v>455</v>
      </c>
      <c r="H114" s="9"/>
      <c r="I114" s="9"/>
      <c r="J114" s="52" t="s">
        <v>13573</v>
      </c>
      <c r="K114" s="9" t="s">
        <v>13218</v>
      </c>
      <c r="L114" s="9">
        <v>97418.0</v>
      </c>
      <c r="M114" s="9" t="s">
        <v>71</v>
      </c>
      <c r="N114" s="9" t="s">
        <v>216</v>
      </c>
      <c r="O114" s="9" t="s">
        <v>13574</v>
      </c>
      <c r="P114" s="53" t="s">
        <v>13575</v>
      </c>
      <c r="Q114" s="49" t="s">
        <v>13576</v>
      </c>
      <c r="R114" s="50"/>
      <c r="S114" s="59"/>
      <c r="T114" s="9" t="s">
        <v>13577</v>
      </c>
      <c r="U114" s="9" t="s">
        <v>13578</v>
      </c>
      <c r="V114" s="9"/>
      <c r="W114" s="9"/>
      <c r="X114" s="9"/>
      <c r="Y114" s="9" t="s">
        <v>13011</v>
      </c>
      <c r="Z114" s="9" t="s">
        <v>353</v>
      </c>
      <c r="AC114" s="9">
        <v>9.5314683400015E13</v>
      </c>
      <c r="AD114" s="9">
        <v>9.53146834E8</v>
      </c>
      <c r="AE114" s="9" t="s">
        <v>12355</v>
      </c>
      <c r="AF114" s="55">
        <v>45512.551886574074</v>
      </c>
      <c r="AG114" s="9" t="s">
        <v>13579</v>
      </c>
      <c r="AH114" s="9" t="s">
        <v>13580</v>
      </c>
      <c r="AJ114" s="9" t="s">
        <v>13581</v>
      </c>
      <c r="AK114" s="9"/>
      <c r="AL114" s="9"/>
      <c r="AM114" s="9" t="s">
        <v>13582</v>
      </c>
      <c r="AN114" s="9" t="s">
        <v>10347</v>
      </c>
      <c r="AP114" s="56">
        <v>45282.0</v>
      </c>
      <c r="AQ114" s="9" t="b">
        <v>0</v>
      </c>
      <c r="AR114" s="9"/>
    </row>
    <row r="115" ht="19.5" customHeight="1">
      <c r="A115" s="7" t="s">
        <v>9612</v>
      </c>
      <c r="B115" s="7" t="s">
        <v>13583</v>
      </c>
      <c r="C115" s="7" t="s">
        <v>58</v>
      </c>
      <c r="D115" s="7" t="s">
        <v>59</v>
      </c>
      <c r="E115" s="6" t="s">
        <v>346</v>
      </c>
      <c r="F115" s="7">
        <v>6.0</v>
      </c>
      <c r="G115" s="7"/>
      <c r="H115" s="7"/>
      <c r="I115" s="7"/>
      <c r="J115" s="7">
        <v>5.0</v>
      </c>
      <c r="K115" s="7" t="s">
        <v>13584</v>
      </c>
      <c r="L115" s="7">
        <v>97480.0</v>
      </c>
      <c r="M115" s="7" t="s">
        <v>123</v>
      </c>
      <c r="N115" s="7" t="s">
        <v>206</v>
      </c>
      <c r="O115" s="6" t="s">
        <v>13585</v>
      </c>
      <c r="P115" s="42" t="s">
        <v>9615</v>
      </c>
      <c r="Q115" s="43" t="s">
        <v>13586</v>
      </c>
      <c r="R115" s="50"/>
      <c r="S115" s="51"/>
      <c r="T115" s="6" t="s">
        <v>13587</v>
      </c>
      <c r="U115" s="6" t="s">
        <v>13588</v>
      </c>
      <c r="V115" s="7"/>
      <c r="W115" s="6" t="s">
        <v>13589</v>
      </c>
      <c r="X115" s="7"/>
      <c r="Y115" s="6" t="s">
        <v>12669</v>
      </c>
      <c r="Z115" s="6" t="s">
        <v>353</v>
      </c>
      <c r="AA115" s="7"/>
      <c r="AB115" s="7"/>
      <c r="AC115" s="7">
        <v>8.8121639400018E13</v>
      </c>
      <c r="AD115" s="7">
        <v>8.81216394E8</v>
      </c>
      <c r="AE115" s="6" t="s">
        <v>401</v>
      </c>
      <c r="AF115" s="63">
        <v>45282.46224537037</v>
      </c>
      <c r="AG115" s="7" t="s">
        <v>13590</v>
      </c>
      <c r="AH115" s="46" t="s">
        <v>13591</v>
      </c>
      <c r="AI115" s="7"/>
      <c r="AJ115" s="7"/>
      <c r="AK115" s="7" t="b">
        <v>0</v>
      </c>
      <c r="AL115" s="7" t="b">
        <v>0</v>
      </c>
      <c r="AM115" s="6" t="s">
        <v>9618</v>
      </c>
      <c r="AN115" s="6" t="s">
        <v>9612</v>
      </c>
      <c r="AO115" s="7"/>
      <c r="AP115" s="7"/>
      <c r="AQ115" s="6" t="b">
        <v>0</v>
      </c>
      <c r="AR115" s="6" t="s">
        <v>13592</v>
      </c>
      <c r="AS115" s="6"/>
    </row>
    <row r="116" ht="19.5" customHeight="1">
      <c r="A116" s="9" t="s">
        <v>10344</v>
      </c>
      <c r="B116" s="9" t="s">
        <v>13593</v>
      </c>
      <c r="C116" s="9" t="s">
        <v>58</v>
      </c>
      <c r="D116" s="9" t="s">
        <v>59</v>
      </c>
      <c r="E116" s="9" t="s">
        <v>346</v>
      </c>
      <c r="F116" s="9">
        <v>10.0</v>
      </c>
      <c r="H116" s="9" t="s">
        <v>13594</v>
      </c>
      <c r="I116" s="9" t="s">
        <v>13595</v>
      </c>
      <c r="J116" s="9" t="s">
        <v>13596</v>
      </c>
      <c r="K116" s="9" t="s">
        <v>13597</v>
      </c>
      <c r="L116" s="9">
        <v>97442.0</v>
      </c>
      <c r="M116" s="9" t="s">
        <v>33</v>
      </c>
      <c r="O116" s="9" t="s">
        <v>13598</v>
      </c>
      <c r="P116" s="53" t="s">
        <v>13599</v>
      </c>
      <c r="Q116" s="49" t="s">
        <v>13600</v>
      </c>
      <c r="R116" s="50"/>
      <c r="S116" s="54"/>
      <c r="T116" s="9" t="s">
        <v>13601</v>
      </c>
      <c r="U116" s="9" t="s">
        <v>13602</v>
      </c>
      <c r="V116" s="9" t="s">
        <v>13603</v>
      </c>
      <c r="W116" s="9" t="s">
        <v>13604</v>
      </c>
      <c r="X116" s="9" t="s">
        <v>13605</v>
      </c>
      <c r="Y116" s="9" t="s">
        <v>2390</v>
      </c>
      <c r="Z116" s="9" t="s">
        <v>592</v>
      </c>
      <c r="AC116" s="9">
        <v>8.8895956600017E13</v>
      </c>
      <c r="AD116" s="9">
        <v>8.88959566E8</v>
      </c>
      <c r="AE116" s="9" t="s">
        <v>401</v>
      </c>
      <c r="AF116" s="60">
        <v>45411.56893518518</v>
      </c>
      <c r="AG116" s="9" t="s">
        <v>13606</v>
      </c>
      <c r="AH116" s="9" t="s">
        <v>13607</v>
      </c>
      <c r="AJ116" s="9" t="s">
        <v>13608</v>
      </c>
      <c r="AK116" s="9" t="b">
        <v>1</v>
      </c>
      <c r="AL116" s="9" t="b">
        <v>0</v>
      </c>
      <c r="AM116" s="9" t="s">
        <v>13609</v>
      </c>
      <c r="AN116" s="9" t="s">
        <v>10344</v>
      </c>
      <c r="AP116" s="61">
        <v>44519.0</v>
      </c>
      <c r="AQ116" s="9" t="b">
        <v>1</v>
      </c>
      <c r="AR116" s="9" t="s">
        <v>13610</v>
      </c>
      <c r="AS116" s="48" t="s">
        <v>12303</v>
      </c>
    </row>
    <row r="117" ht="19.5" customHeight="1">
      <c r="A117" s="7" t="s">
        <v>6947</v>
      </c>
      <c r="B117" s="7" t="s">
        <v>6948</v>
      </c>
      <c r="C117" s="7" t="s">
        <v>34</v>
      </c>
      <c r="D117" s="7" t="s">
        <v>622</v>
      </c>
      <c r="E117" s="7" t="s">
        <v>622</v>
      </c>
      <c r="F117" s="7">
        <v>60.0</v>
      </c>
      <c r="G117" s="7" t="s">
        <v>455</v>
      </c>
      <c r="H117" s="7"/>
      <c r="I117" s="7"/>
      <c r="J117" s="7">
        <v>20.0</v>
      </c>
      <c r="K117" s="6" t="s">
        <v>13332</v>
      </c>
      <c r="L117" s="7">
        <v>97418.0</v>
      </c>
      <c r="M117" s="7" t="s">
        <v>71</v>
      </c>
      <c r="N117" s="7" t="s">
        <v>216</v>
      </c>
      <c r="O117" s="6" t="s">
        <v>13611</v>
      </c>
      <c r="P117" s="53" t="s">
        <v>13612</v>
      </c>
      <c r="Q117" s="43" t="s">
        <v>13613</v>
      </c>
      <c r="R117" s="50"/>
      <c r="S117" s="51"/>
      <c r="T117" s="6" t="s">
        <v>13614</v>
      </c>
      <c r="U117" s="6" t="s">
        <v>13615</v>
      </c>
      <c r="V117" s="6" t="s">
        <v>13616</v>
      </c>
      <c r="W117" s="6" t="s">
        <v>13617</v>
      </c>
      <c r="X117" s="7" t="s">
        <v>802</v>
      </c>
      <c r="Y117" s="7" t="s">
        <v>377</v>
      </c>
      <c r="Z117" s="7" t="s">
        <v>353</v>
      </c>
      <c r="AA117" s="7"/>
      <c r="AB117" s="7"/>
      <c r="AC117" s="7">
        <v>3.8283286300023E13</v>
      </c>
      <c r="AD117" s="7">
        <v>3.82832863E8</v>
      </c>
      <c r="AE117" s="6" t="s">
        <v>5287</v>
      </c>
      <c r="AF117" s="63">
        <v>45478.374189814815</v>
      </c>
      <c r="AG117" s="7" t="s">
        <v>13618</v>
      </c>
      <c r="AH117" s="46" t="s">
        <v>13619</v>
      </c>
      <c r="AI117" s="7"/>
      <c r="AJ117" s="6" t="s">
        <v>13620</v>
      </c>
      <c r="AK117" s="7" t="b">
        <v>0</v>
      </c>
      <c r="AL117" s="7" t="b">
        <v>0</v>
      </c>
      <c r="AM117" s="7"/>
      <c r="AN117" s="6" t="s">
        <v>6947</v>
      </c>
      <c r="AO117" s="6">
        <v>1981.0</v>
      </c>
      <c r="AP117" s="6"/>
      <c r="AQ117" s="6" t="b">
        <v>1</v>
      </c>
      <c r="AR117" s="6"/>
      <c r="AS117" s="48" t="s">
        <v>12303</v>
      </c>
    </row>
    <row r="118" ht="19.5" customHeight="1">
      <c r="A118" s="7" t="s">
        <v>7240</v>
      </c>
      <c r="B118" s="7" t="s">
        <v>7241</v>
      </c>
      <c r="C118" s="7" t="s">
        <v>34</v>
      </c>
      <c r="D118" s="7" t="s">
        <v>622</v>
      </c>
      <c r="E118" s="7" t="s">
        <v>622</v>
      </c>
      <c r="F118" s="7"/>
      <c r="G118" s="7"/>
      <c r="H118" s="7"/>
      <c r="I118" s="7"/>
      <c r="J118" s="7">
        <v>62.0</v>
      </c>
      <c r="K118" s="7" t="s">
        <v>13621</v>
      </c>
      <c r="L118" s="7">
        <v>97430.0</v>
      </c>
      <c r="M118" s="7" t="s">
        <v>71</v>
      </c>
      <c r="N118" s="7"/>
      <c r="O118" s="6" t="s">
        <v>13622</v>
      </c>
      <c r="P118" s="42" t="s">
        <v>13623</v>
      </c>
      <c r="Q118" s="43" t="s">
        <v>13624</v>
      </c>
      <c r="R118" s="50"/>
      <c r="S118" s="51"/>
      <c r="T118" s="7" t="s">
        <v>7244</v>
      </c>
      <c r="U118" s="6" t="s">
        <v>13625</v>
      </c>
      <c r="V118" s="6" t="s">
        <v>13626</v>
      </c>
      <c r="W118" s="7"/>
      <c r="X118" s="6" t="s">
        <v>13627</v>
      </c>
      <c r="Y118" s="6" t="s">
        <v>377</v>
      </c>
      <c r="Z118" s="7" t="s">
        <v>378</v>
      </c>
      <c r="AA118" s="7"/>
      <c r="AB118" s="7"/>
      <c r="AC118" s="7">
        <v>8.1461577900018E13</v>
      </c>
      <c r="AD118" s="7">
        <v>8.14615779E8</v>
      </c>
      <c r="AE118" s="6" t="s">
        <v>401</v>
      </c>
      <c r="AF118" s="45">
        <v>45278.623564814814</v>
      </c>
      <c r="AG118" s="7" t="s">
        <v>13628</v>
      </c>
      <c r="AH118" s="46" t="s">
        <v>13629</v>
      </c>
      <c r="AI118" s="7"/>
      <c r="AJ118" s="6" t="s">
        <v>13630</v>
      </c>
      <c r="AK118" s="7" t="b">
        <v>0</v>
      </c>
      <c r="AL118" s="7" t="b">
        <v>0</v>
      </c>
      <c r="AM118" s="7"/>
      <c r="AN118" s="6" t="s">
        <v>7240</v>
      </c>
      <c r="AO118" s="6">
        <v>4675.0</v>
      </c>
      <c r="AP118" s="6"/>
      <c r="AQ118" s="6" t="b">
        <v>1</v>
      </c>
      <c r="AR118" s="6" t="s">
        <v>13631</v>
      </c>
      <c r="AS118" s="6" t="s">
        <v>12303</v>
      </c>
    </row>
    <row r="119" ht="19.5" customHeight="1">
      <c r="A119" s="7" t="s">
        <v>2234</v>
      </c>
      <c r="B119" s="7" t="s">
        <v>13632</v>
      </c>
      <c r="C119" s="7" t="s">
        <v>58</v>
      </c>
      <c r="D119" s="7" t="s">
        <v>59</v>
      </c>
      <c r="E119" s="7" t="s">
        <v>346</v>
      </c>
      <c r="F119" s="7">
        <v>15.0</v>
      </c>
      <c r="G119" s="7" t="s">
        <v>375</v>
      </c>
      <c r="H119" s="7"/>
      <c r="I119" s="7"/>
      <c r="J119" s="7">
        <v>10.0</v>
      </c>
      <c r="K119" s="7" t="s">
        <v>13366</v>
      </c>
      <c r="L119" s="7">
        <v>97480.0</v>
      </c>
      <c r="M119" s="7" t="s">
        <v>123</v>
      </c>
      <c r="N119" s="7"/>
      <c r="O119" s="6" t="s">
        <v>13633</v>
      </c>
      <c r="P119" s="42" t="s">
        <v>2224</v>
      </c>
      <c r="Q119" s="43" t="s">
        <v>13368</v>
      </c>
      <c r="R119" s="43" t="s">
        <v>13369</v>
      </c>
      <c r="S119" s="47" t="s">
        <v>2222</v>
      </c>
      <c r="T119" s="7" t="s">
        <v>2239</v>
      </c>
      <c r="U119" s="7"/>
      <c r="V119" s="7" t="s">
        <v>2240</v>
      </c>
      <c r="W119" s="6" t="s">
        <v>13634</v>
      </c>
      <c r="X119" s="7" t="s">
        <v>2238</v>
      </c>
      <c r="Y119" s="7" t="s">
        <v>377</v>
      </c>
      <c r="Z119" s="7" t="s">
        <v>592</v>
      </c>
      <c r="AA119" s="7"/>
      <c r="AB119" s="7"/>
      <c r="AC119" s="6">
        <v>8.4036334500041E13</v>
      </c>
      <c r="AD119" s="6">
        <v>8.40363345E8</v>
      </c>
      <c r="AE119" s="6" t="s">
        <v>5287</v>
      </c>
      <c r="AF119" s="63">
        <v>45903.63914351852</v>
      </c>
      <c r="AG119" s="7" t="s">
        <v>13371</v>
      </c>
      <c r="AH119" s="46" t="s">
        <v>13635</v>
      </c>
      <c r="AI119" s="7"/>
      <c r="AJ119" s="6" t="s">
        <v>13636</v>
      </c>
      <c r="AK119" s="7" t="b">
        <v>0</v>
      </c>
      <c r="AL119" s="7" t="b">
        <v>0</v>
      </c>
      <c r="AM119" s="6" t="s">
        <v>2241</v>
      </c>
      <c r="AN119" s="6" t="s">
        <v>2234</v>
      </c>
      <c r="AO119" s="6">
        <v>434.0</v>
      </c>
      <c r="AP119" s="6"/>
      <c r="AQ119" s="6" t="b">
        <v>1</v>
      </c>
      <c r="AR119" s="6" t="s">
        <v>13637</v>
      </c>
      <c r="AS119" s="6"/>
    </row>
    <row r="120" ht="19.5" customHeight="1">
      <c r="A120" s="7" t="s">
        <v>5841</v>
      </c>
      <c r="B120" s="7" t="s">
        <v>13638</v>
      </c>
      <c r="C120" s="7" t="s">
        <v>34</v>
      </c>
      <c r="D120" s="7" t="s">
        <v>622</v>
      </c>
      <c r="E120" s="7" t="s">
        <v>1347</v>
      </c>
      <c r="F120" s="7"/>
      <c r="G120" s="7" t="s">
        <v>407</v>
      </c>
      <c r="H120" s="7"/>
      <c r="I120" s="7"/>
      <c r="J120" s="6" t="s">
        <v>13539</v>
      </c>
      <c r="K120" s="6" t="s">
        <v>13639</v>
      </c>
      <c r="L120" s="7">
        <v>97418.0</v>
      </c>
      <c r="M120" s="7" t="s">
        <v>71</v>
      </c>
      <c r="N120" s="7" t="s">
        <v>216</v>
      </c>
      <c r="O120" s="7" t="s">
        <v>5850</v>
      </c>
      <c r="P120" s="42"/>
      <c r="Q120" s="49" t="s">
        <v>13640</v>
      </c>
      <c r="R120" s="43" t="s">
        <v>13640</v>
      </c>
      <c r="S120" s="51"/>
      <c r="T120" s="7" t="s">
        <v>5845</v>
      </c>
      <c r="U120" s="7"/>
      <c r="V120" s="7" t="s">
        <v>5846</v>
      </c>
      <c r="W120" s="6" t="s">
        <v>13641</v>
      </c>
      <c r="X120" s="7" t="s">
        <v>506</v>
      </c>
      <c r="Y120" s="7" t="s">
        <v>1612</v>
      </c>
      <c r="Z120" s="7" t="s">
        <v>353</v>
      </c>
      <c r="AA120" s="7"/>
      <c r="AB120" s="7"/>
      <c r="AC120" s="7">
        <v>3.8027497700038E13</v>
      </c>
      <c r="AD120" s="7">
        <v>3.80274977E8</v>
      </c>
      <c r="AE120" s="6" t="s">
        <v>401</v>
      </c>
      <c r="AF120" s="63">
        <v>45278.394849537035</v>
      </c>
      <c r="AG120" s="7" t="s">
        <v>13642</v>
      </c>
      <c r="AH120" s="46" t="s">
        <v>13643</v>
      </c>
      <c r="AI120" s="7"/>
      <c r="AJ120" s="7"/>
      <c r="AK120" s="7" t="b">
        <v>0</v>
      </c>
      <c r="AL120" s="7" t="b">
        <v>0</v>
      </c>
      <c r="AM120" s="7"/>
      <c r="AN120" s="6" t="s">
        <v>5841</v>
      </c>
      <c r="AO120" s="6">
        <v>264.0</v>
      </c>
      <c r="AP120" s="6"/>
      <c r="AQ120" s="6" t="b">
        <v>1</v>
      </c>
      <c r="AR120" s="6"/>
      <c r="AS120" s="48" t="s">
        <v>12303</v>
      </c>
    </row>
    <row r="121" ht="19.5" customHeight="1">
      <c r="A121" s="9" t="s">
        <v>10682</v>
      </c>
      <c r="B121" s="9" t="s">
        <v>13644</v>
      </c>
      <c r="C121" s="9" t="s">
        <v>58</v>
      </c>
      <c r="D121" s="9" t="s">
        <v>59</v>
      </c>
      <c r="E121" s="9" t="s">
        <v>346</v>
      </c>
      <c r="F121" s="9">
        <v>8.0</v>
      </c>
      <c r="G121" s="9" t="s">
        <v>455</v>
      </c>
      <c r="H121" s="9"/>
      <c r="I121" s="9"/>
      <c r="J121" s="52" t="s">
        <v>13645</v>
      </c>
      <c r="K121" s="9" t="s">
        <v>12590</v>
      </c>
      <c r="L121" s="9">
        <v>97418.0</v>
      </c>
      <c r="M121" s="9" t="s">
        <v>71</v>
      </c>
      <c r="N121" s="9" t="s">
        <v>216</v>
      </c>
      <c r="O121" s="9" t="s">
        <v>13646</v>
      </c>
      <c r="P121" s="53" t="s">
        <v>12592</v>
      </c>
      <c r="Q121" s="49" t="s">
        <v>12593</v>
      </c>
      <c r="R121" s="50"/>
      <c r="S121" s="59"/>
      <c r="T121" s="9" t="s">
        <v>12594</v>
      </c>
      <c r="U121" s="9" t="s">
        <v>13647</v>
      </c>
      <c r="V121" s="9" t="s">
        <v>12595</v>
      </c>
      <c r="W121" s="9" t="s">
        <v>13648</v>
      </c>
      <c r="X121" s="9" t="s">
        <v>13649</v>
      </c>
      <c r="Y121" s="9" t="s">
        <v>499</v>
      </c>
      <c r="Z121" s="9" t="s">
        <v>3685</v>
      </c>
      <c r="AC121" s="9">
        <v>9.8177763400016E13</v>
      </c>
      <c r="AD121" s="9">
        <v>9.81777634E8</v>
      </c>
      <c r="AE121" s="9" t="s">
        <v>12355</v>
      </c>
      <c r="AF121" s="55">
        <v>45545.55982638889</v>
      </c>
      <c r="AG121" s="9" t="s">
        <v>12599</v>
      </c>
      <c r="AH121" s="9" t="s">
        <v>13650</v>
      </c>
      <c r="AJ121" s="9" t="s">
        <v>13651</v>
      </c>
      <c r="AK121" s="9" t="b">
        <v>1</v>
      </c>
      <c r="AL121" s="9" t="b">
        <v>0</v>
      </c>
      <c r="AM121" s="9" t="s">
        <v>13652</v>
      </c>
      <c r="AN121" s="9" t="s">
        <v>10682</v>
      </c>
      <c r="AP121" s="56">
        <v>45273.0</v>
      </c>
      <c r="AQ121" s="9" t="b">
        <v>0</v>
      </c>
      <c r="AR121" s="9"/>
    </row>
    <row r="122" ht="19.5" customHeight="1">
      <c r="A122" s="7" t="s">
        <v>9537</v>
      </c>
      <c r="B122" s="6" t="s">
        <v>13653</v>
      </c>
      <c r="C122" s="7" t="s">
        <v>58</v>
      </c>
      <c r="D122" s="7" t="s">
        <v>137</v>
      </c>
      <c r="E122" s="7" t="s">
        <v>1091</v>
      </c>
      <c r="F122" s="6">
        <v>6.0</v>
      </c>
      <c r="G122" s="7"/>
      <c r="H122" s="7"/>
      <c r="I122" s="7"/>
      <c r="J122" s="6" t="s">
        <v>8701</v>
      </c>
      <c r="K122" s="7" t="s">
        <v>8701</v>
      </c>
      <c r="L122" s="7">
        <v>97414.0</v>
      </c>
      <c r="M122" s="7" t="s">
        <v>40</v>
      </c>
      <c r="N122" s="7"/>
      <c r="O122" s="7" t="s">
        <v>8707</v>
      </c>
      <c r="P122" s="53" t="s">
        <v>13654</v>
      </c>
      <c r="Q122" s="43" t="s">
        <v>13655</v>
      </c>
      <c r="R122" s="50"/>
      <c r="S122" s="51"/>
      <c r="T122" s="7"/>
      <c r="U122" s="7"/>
      <c r="V122" s="7"/>
      <c r="W122" s="6" t="s">
        <v>13656</v>
      </c>
      <c r="X122" s="6" t="s">
        <v>13657</v>
      </c>
      <c r="Y122" s="6" t="s">
        <v>2390</v>
      </c>
      <c r="Z122" s="6" t="s">
        <v>353</v>
      </c>
      <c r="AA122" s="7"/>
      <c r="AB122" s="7"/>
      <c r="AC122" s="6">
        <v>3.2059335300057E13</v>
      </c>
      <c r="AD122" s="6">
        <v>3.20593353E8</v>
      </c>
      <c r="AE122" s="6" t="s">
        <v>12355</v>
      </c>
      <c r="AF122" s="63">
        <v>45401.33121527778</v>
      </c>
      <c r="AG122" s="7" t="s">
        <v>13658</v>
      </c>
      <c r="AH122" s="46" t="s">
        <v>13659</v>
      </c>
      <c r="AI122" s="7"/>
      <c r="AJ122" s="7"/>
      <c r="AK122" s="7" t="b">
        <v>0</v>
      </c>
      <c r="AL122" s="7" t="b">
        <v>0</v>
      </c>
      <c r="AM122" s="6" t="s">
        <v>13660</v>
      </c>
      <c r="AN122" s="6" t="s">
        <v>9537</v>
      </c>
      <c r="AO122" s="7"/>
      <c r="AP122" s="7"/>
      <c r="AQ122" s="6" t="b">
        <v>0</v>
      </c>
      <c r="AR122" s="6" t="s">
        <v>13661</v>
      </c>
      <c r="AS122" s="48" t="s">
        <v>12303</v>
      </c>
    </row>
    <row r="123" ht="19.5" customHeight="1">
      <c r="A123" s="7" t="s">
        <v>1880</v>
      </c>
      <c r="B123" s="7" t="s">
        <v>13662</v>
      </c>
      <c r="C123" s="7" t="s">
        <v>34</v>
      </c>
      <c r="D123" s="7" t="s">
        <v>622</v>
      </c>
      <c r="E123" s="7" t="s">
        <v>622</v>
      </c>
      <c r="F123" s="7"/>
      <c r="G123" s="7"/>
      <c r="H123" s="7"/>
      <c r="I123" s="7"/>
      <c r="J123" s="7">
        <v>30.0</v>
      </c>
      <c r="K123" s="7" t="s">
        <v>13663</v>
      </c>
      <c r="L123" s="7">
        <v>97430.0</v>
      </c>
      <c r="M123" s="7" t="s">
        <v>71</v>
      </c>
      <c r="N123" s="7"/>
      <c r="O123" s="6" t="s">
        <v>13664</v>
      </c>
      <c r="P123" s="42" t="s">
        <v>1884</v>
      </c>
      <c r="Q123" s="43" t="s">
        <v>13665</v>
      </c>
      <c r="R123" s="43" t="s">
        <v>13666</v>
      </c>
      <c r="S123" s="47"/>
      <c r="T123" s="7" t="s">
        <v>1886</v>
      </c>
      <c r="U123" s="7" t="s">
        <v>1885</v>
      </c>
      <c r="V123" s="6" t="s">
        <v>13667</v>
      </c>
      <c r="W123" s="6" t="s">
        <v>801</v>
      </c>
      <c r="X123" s="6" t="s">
        <v>13668</v>
      </c>
      <c r="Y123" s="7" t="s">
        <v>1155</v>
      </c>
      <c r="Z123" s="7" t="s">
        <v>378</v>
      </c>
      <c r="AA123" s="7"/>
      <c r="AB123" s="7"/>
      <c r="AC123" s="7">
        <v>5.3399839900026E13</v>
      </c>
      <c r="AD123" s="7">
        <v>5.33998399E8</v>
      </c>
      <c r="AE123" s="6" t="s">
        <v>12355</v>
      </c>
      <c r="AF123" s="45">
        <v>45278.36740740741</v>
      </c>
      <c r="AG123" s="7" t="s">
        <v>13669</v>
      </c>
      <c r="AH123" s="46" t="s">
        <v>13670</v>
      </c>
      <c r="AI123" s="7"/>
      <c r="AJ123" s="6" t="s">
        <v>13671</v>
      </c>
      <c r="AK123" s="6" t="b">
        <v>1</v>
      </c>
      <c r="AL123" s="7" t="b">
        <v>0</v>
      </c>
      <c r="AM123" s="7"/>
      <c r="AN123" s="6" t="s">
        <v>1880</v>
      </c>
      <c r="AO123" s="6">
        <v>4000.0</v>
      </c>
      <c r="AP123" s="6"/>
      <c r="AQ123" s="6" t="b">
        <v>1</v>
      </c>
      <c r="AR123" s="6"/>
      <c r="AS123" s="6"/>
    </row>
    <row r="124" ht="19.5" customHeight="1">
      <c r="A124" s="9" t="s">
        <v>264</v>
      </c>
      <c r="B124" s="9" t="s">
        <v>13672</v>
      </c>
      <c r="C124" s="9" t="s">
        <v>58</v>
      </c>
      <c r="D124" s="9" t="s">
        <v>59</v>
      </c>
      <c r="E124" s="9" t="s">
        <v>13673</v>
      </c>
      <c r="F124" s="9">
        <v>6.0</v>
      </c>
      <c r="G124" s="9" t="s">
        <v>455</v>
      </c>
      <c r="H124" s="9" t="s">
        <v>395</v>
      </c>
      <c r="I124" s="9"/>
      <c r="J124" s="9" t="s">
        <v>13674</v>
      </c>
      <c r="K124" s="9" t="s">
        <v>13675</v>
      </c>
      <c r="L124" s="9">
        <v>97430.0</v>
      </c>
      <c r="M124" s="9" t="s">
        <v>71</v>
      </c>
      <c r="N124" s="9" t="s">
        <v>8411</v>
      </c>
      <c r="O124" s="9" t="s">
        <v>13676</v>
      </c>
      <c r="P124" s="53" t="s">
        <v>13677</v>
      </c>
      <c r="Q124" s="49" t="s">
        <v>13678</v>
      </c>
      <c r="R124" s="50"/>
      <c r="S124" s="59"/>
      <c r="T124" s="9" t="s">
        <v>13679</v>
      </c>
      <c r="U124" s="9" t="s">
        <v>13680</v>
      </c>
      <c r="V124" s="9" t="s">
        <v>13681</v>
      </c>
      <c r="W124" s="9" t="s">
        <v>13682</v>
      </c>
      <c r="X124" s="9" t="s">
        <v>13683</v>
      </c>
      <c r="Y124" s="9" t="s">
        <v>13684</v>
      </c>
      <c r="Z124" s="9" t="s">
        <v>353</v>
      </c>
      <c r="AC124" s="9">
        <v>9.8222728200018E13</v>
      </c>
      <c r="AD124" s="9">
        <v>9.82227282E8</v>
      </c>
      <c r="AE124" s="9" t="s">
        <v>401</v>
      </c>
      <c r="AF124" s="55">
        <v>45966.45775462963</v>
      </c>
      <c r="AG124" s="9" t="s">
        <v>13685</v>
      </c>
      <c r="AH124" s="9" t="s">
        <v>13686</v>
      </c>
      <c r="AJ124" s="9" t="s">
        <v>13687</v>
      </c>
      <c r="AK124" s="9" t="b">
        <v>0</v>
      </c>
      <c r="AL124" s="9" t="b">
        <v>0</v>
      </c>
      <c r="AM124" s="9" t="s">
        <v>13688</v>
      </c>
      <c r="AN124" s="9" t="s">
        <v>264</v>
      </c>
      <c r="AP124" s="56">
        <v>45275.0</v>
      </c>
      <c r="AQ124" s="9" t="b">
        <v>0</v>
      </c>
      <c r="AR124" s="9"/>
    </row>
    <row r="125" ht="19.5" customHeight="1">
      <c r="A125" s="7" t="s">
        <v>3096</v>
      </c>
      <c r="B125" s="6" t="s">
        <v>13689</v>
      </c>
      <c r="C125" s="7" t="s">
        <v>34</v>
      </c>
      <c r="D125" s="7" t="s">
        <v>622</v>
      </c>
      <c r="E125" s="7" t="s">
        <v>622</v>
      </c>
      <c r="F125" s="7">
        <v>80.0</v>
      </c>
      <c r="G125" s="7" t="s">
        <v>664</v>
      </c>
      <c r="H125" s="7"/>
      <c r="I125" s="7"/>
      <c r="J125" s="7">
        <v>14.0</v>
      </c>
      <c r="K125" s="6" t="s">
        <v>13690</v>
      </c>
      <c r="L125" s="7">
        <v>97430.0</v>
      </c>
      <c r="M125" s="7" t="s">
        <v>71</v>
      </c>
      <c r="N125" s="7"/>
      <c r="O125" s="6" t="s">
        <v>13691</v>
      </c>
      <c r="P125" s="42" t="s">
        <v>13692</v>
      </c>
      <c r="Q125" s="43" t="s">
        <v>13693</v>
      </c>
      <c r="R125" s="43" t="s">
        <v>13694</v>
      </c>
      <c r="S125" s="51"/>
      <c r="T125" s="6" t="s">
        <v>13695</v>
      </c>
      <c r="U125" s="6" t="s">
        <v>13696</v>
      </c>
      <c r="V125" s="6" t="s">
        <v>13697</v>
      </c>
      <c r="W125" s="6" t="s">
        <v>13698</v>
      </c>
      <c r="X125" s="6" t="s">
        <v>13699</v>
      </c>
      <c r="Y125" s="6" t="s">
        <v>1838</v>
      </c>
      <c r="Z125" s="6" t="s">
        <v>378</v>
      </c>
      <c r="AA125" s="7"/>
      <c r="AB125" s="7"/>
      <c r="AC125" s="7">
        <v>7.9533448100012E13</v>
      </c>
      <c r="AD125" s="7">
        <v>7.95334481E8</v>
      </c>
      <c r="AE125" s="6" t="s">
        <v>401</v>
      </c>
      <c r="AF125" s="63">
        <v>45275.486759259256</v>
      </c>
      <c r="AG125" s="7" t="s">
        <v>13700</v>
      </c>
      <c r="AH125" s="46" t="s">
        <v>13701</v>
      </c>
      <c r="AI125" s="7"/>
      <c r="AJ125" s="7"/>
      <c r="AK125" s="6" t="b">
        <v>1</v>
      </c>
      <c r="AL125" s="7" t="b">
        <v>0</v>
      </c>
      <c r="AM125" s="7"/>
      <c r="AN125" s="6" t="s">
        <v>3096</v>
      </c>
      <c r="AO125" s="6">
        <v>3009.0</v>
      </c>
      <c r="AP125" s="6"/>
      <c r="AQ125" s="6" t="b">
        <v>1</v>
      </c>
      <c r="AR125" s="6"/>
      <c r="AS125" s="6"/>
    </row>
    <row r="126" ht="19.5" customHeight="1">
      <c r="A126" s="7" t="s">
        <v>9020</v>
      </c>
      <c r="B126" s="7" t="s">
        <v>9021</v>
      </c>
      <c r="C126" s="7" t="s">
        <v>58</v>
      </c>
      <c r="D126" s="7" t="s">
        <v>1859</v>
      </c>
      <c r="E126" s="6" t="s">
        <v>13702</v>
      </c>
      <c r="F126" s="7">
        <v>2.0</v>
      </c>
      <c r="G126" s="7"/>
      <c r="H126" s="7"/>
      <c r="I126" s="7"/>
      <c r="J126" s="7">
        <v>2.0</v>
      </c>
      <c r="K126" s="6" t="s">
        <v>13703</v>
      </c>
      <c r="L126" s="7">
        <v>97414.0</v>
      </c>
      <c r="M126" s="7" t="s">
        <v>40</v>
      </c>
      <c r="N126" s="7"/>
      <c r="O126" s="6" t="s">
        <v>13704</v>
      </c>
      <c r="P126" s="42" t="s">
        <v>9023</v>
      </c>
      <c r="Q126" s="43" t="s">
        <v>13705</v>
      </c>
      <c r="R126" s="50"/>
      <c r="S126" s="44" t="s">
        <v>13706</v>
      </c>
      <c r="T126" s="6" t="s">
        <v>13707</v>
      </c>
      <c r="U126" s="6" t="s">
        <v>13708</v>
      </c>
      <c r="V126" s="6" t="s">
        <v>13709</v>
      </c>
      <c r="W126" s="6" t="s">
        <v>13710</v>
      </c>
      <c r="X126" s="7"/>
      <c r="Y126" s="7"/>
      <c r="Z126" s="7"/>
      <c r="AA126" s="7"/>
      <c r="AB126" s="7"/>
      <c r="AC126" s="7"/>
      <c r="AD126" s="7"/>
      <c r="AE126" s="6" t="s">
        <v>12355</v>
      </c>
      <c r="AF126" s="63">
        <v>45385.466215277775</v>
      </c>
      <c r="AG126" s="7" t="s">
        <v>13711</v>
      </c>
      <c r="AH126" s="46" t="s">
        <v>13712</v>
      </c>
      <c r="AI126" s="7"/>
      <c r="AJ126" s="7"/>
      <c r="AK126" s="7" t="b">
        <v>0</v>
      </c>
      <c r="AL126" s="7" t="b">
        <v>0</v>
      </c>
      <c r="AM126" s="6" t="s">
        <v>9028</v>
      </c>
      <c r="AN126" s="6" t="s">
        <v>9020</v>
      </c>
      <c r="AO126" s="7"/>
      <c r="AP126" s="7"/>
      <c r="AQ126" s="6" t="b">
        <v>0</v>
      </c>
      <c r="AR126" s="6" t="s">
        <v>13713</v>
      </c>
      <c r="AS126" s="48" t="s">
        <v>12303</v>
      </c>
    </row>
    <row r="127" ht="19.5" customHeight="1">
      <c r="A127" s="7" t="s">
        <v>8635</v>
      </c>
      <c r="B127" s="7" t="s">
        <v>13714</v>
      </c>
      <c r="C127" s="7" t="s">
        <v>58</v>
      </c>
      <c r="D127" s="7" t="s">
        <v>59</v>
      </c>
      <c r="E127" s="7" t="s">
        <v>346</v>
      </c>
      <c r="F127" s="7">
        <v>6.0</v>
      </c>
      <c r="G127" s="7"/>
      <c r="H127" s="7"/>
      <c r="I127" s="7"/>
      <c r="J127" s="7">
        <v>39.0</v>
      </c>
      <c r="K127" s="6" t="s">
        <v>13715</v>
      </c>
      <c r="L127" s="7">
        <v>97480.0</v>
      </c>
      <c r="M127" s="7" t="s">
        <v>123</v>
      </c>
      <c r="N127" s="7"/>
      <c r="O127" s="6" t="s">
        <v>13716</v>
      </c>
      <c r="P127" s="42" t="s">
        <v>8638</v>
      </c>
      <c r="Q127" s="43" t="s">
        <v>13717</v>
      </c>
      <c r="R127" s="50"/>
      <c r="S127" s="51"/>
      <c r="T127" s="6" t="s">
        <v>13718</v>
      </c>
      <c r="U127" s="6" t="s">
        <v>13719</v>
      </c>
      <c r="V127" s="7"/>
      <c r="W127" s="6" t="s">
        <v>13720</v>
      </c>
      <c r="X127" s="7"/>
      <c r="Y127" s="7"/>
      <c r="Z127" s="7"/>
      <c r="AA127" s="7"/>
      <c r="AB127" s="7"/>
      <c r="AC127" s="7"/>
      <c r="AD127" s="7"/>
      <c r="AE127" s="6" t="s">
        <v>401</v>
      </c>
      <c r="AF127" s="45">
        <v>45274.44892361111</v>
      </c>
      <c r="AG127" s="7" t="s">
        <v>13721</v>
      </c>
      <c r="AH127" s="46" t="s">
        <v>13722</v>
      </c>
      <c r="AI127" s="7"/>
      <c r="AJ127" s="6" t="s">
        <v>13723</v>
      </c>
      <c r="AK127" s="7" t="b">
        <v>0</v>
      </c>
      <c r="AL127" s="7" t="b">
        <v>0</v>
      </c>
      <c r="AM127" s="6" t="s">
        <v>8642</v>
      </c>
      <c r="AN127" s="6" t="s">
        <v>8635</v>
      </c>
      <c r="AO127" s="7"/>
      <c r="AP127" s="7"/>
      <c r="AQ127" s="6" t="b">
        <v>0</v>
      </c>
      <c r="AR127" s="6" t="s">
        <v>13724</v>
      </c>
      <c r="AS127" s="6"/>
    </row>
    <row r="128" ht="19.5" customHeight="1">
      <c r="A128" s="7" t="s">
        <v>9796</v>
      </c>
      <c r="B128" s="7" t="s">
        <v>9797</v>
      </c>
      <c r="C128" s="7" t="s">
        <v>34</v>
      </c>
      <c r="D128" s="7" t="s">
        <v>622</v>
      </c>
      <c r="E128" s="6" t="s">
        <v>1347</v>
      </c>
      <c r="F128" s="7"/>
      <c r="G128" s="6" t="s">
        <v>375</v>
      </c>
      <c r="H128" s="7"/>
      <c r="I128" s="7"/>
      <c r="J128" s="7">
        <v>176.0</v>
      </c>
      <c r="K128" s="7" t="s">
        <v>13725</v>
      </c>
      <c r="L128" s="7">
        <v>97480.0</v>
      </c>
      <c r="M128" s="7" t="s">
        <v>123</v>
      </c>
      <c r="N128" s="6" t="s">
        <v>3556</v>
      </c>
      <c r="O128" s="6" t="s">
        <v>13726</v>
      </c>
      <c r="P128" s="53" t="s">
        <v>13727</v>
      </c>
      <c r="Q128" s="49" t="s">
        <v>13728</v>
      </c>
      <c r="R128" s="50"/>
      <c r="S128" s="51"/>
      <c r="T128" s="6" t="s">
        <v>13729</v>
      </c>
      <c r="U128" s="6" t="s">
        <v>13730</v>
      </c>
      <c r="V128" s="6" t="s">
        <v>13731</v>
      </c>
      <c r="W128" s="6" t="s">
        <v>13732</v>
      </c>
      <c r="X128" s="6" t="s">
        <v>13733</v>
      </c>
      <c r="Y128" s="6" t="s">
        <v>13734</v>
      </c>
      <c r="Z128" s="6" t="s">
        <v>353</v>
      </c>
      <c r="AA128" s="7"/>
      <c r="AB128" s="7"/>
      <c r="AC128" s="6">
        <v>4.9071869900013E13</v>
      </c>
      <c r="AD128" s="6">
        <v>4.90718699E8</v>
      </c>
      <c r="AE128" s="6" t="s">
        <v>401</v>
      </c>
      <c r="AF128" s="45">
        <v>45273.62869212963</v>
      </c>
      <c r="AG128" s="7" t="s">
        <v>13735</v>
      </c>
      <c r="AH128" s="46" t="s">
        <v>13736</v>
      </c>
      <c r="AI128" s="7"/>
      <c r="AJ128" s="6" t="s">
        <v>13737</v>
      </c>
      <c r="AK128" s="6" t="b">
        <v>1</v>
      </c>
      <c r="AL128" s="7" t="b">
        <v>0</v>
      </c>
      <c r="AM128" s="7"/>
      <c r="AN128" s="6" t="s">
        <v>9796</v>
      </c>
      <c r="AO128" s="7"/>
      <c r="AP128" s="7"/>
      <c r="AQ128" s="6" t="b">
        <v>0</v>
      </c>
      <c r="AR128" s="6"/>
      <c r="AS128" s="6"/>
    </row>
    <row r="129" ht="19.5" customHeight="1">
      <c r="A129" s="7" t="s">
        <v>9514</v>
      </c>
      <c r="B129" s="7" t="s">
        <v>13738</v>
      </c>
      <c r="C129" s="7" t="s">
        <v>58</v>
      </c>
      <c r="D129" s="7" t="s">
        <v>59</v>
      </c>
      <c r="E129" s="6" t="s">
        <v>13673</v>
      </c>
      <c r="F129" s="7">
        <v>5.0</v>
      </c>
      <c r="G129" s="7"/>
      <c r="H129" s="7"/>
      <c r="I129" s="7"/>
      <c r="J129" s="6" t="s">
        <v>13739</v>
      </c>
      <c r="K129" s="7" t="s">
        <v>13740</v>
      </c>
      <c r="L129" s="7">
        <v>97480.0</v>
      </c>
      <c r="M129" s="7" t="s">
        <v>123</v>
      </c>
      <c r="N129" s="7"/>
      <c r="O129" s="6" t="s">
        <v>13741</v>
      </c>
      <c r="P129" s="42" t="s">
        <v>7643</v>
      </c>
      <c r="Q129" s="43" t="s">
        <v>13742</v>
      </c>
      <c r="R129" s="50"/>
      <c r="S129" s="51"/>
      <c r="T129" s="6" t="s">
        <v>13743</v>
      </c>
      <c r="U129" s="6" t="s">
        <v>13744</v>
      </c>
      <c r="V129" s="6" t="s">
        <v>13745</v>
      </c>
      <c r="W129" s="6" t="s">
        <v>13746</v>
      </c>
      <c r="X129" s="6" t="s">
        <v>13747</v>
      </c>
      <c r="Y129" s="6" t="s">
        <v>499</v>
      </c>
      <c r="Z129" s="6" t="s">
        <v>1508</v>
      </c>
      <c r="AA129" s="7"/>
      <c r="AB129" s="7"/>
      <c r="AC129" s="6">
        <v>8.52846716E8</v>
      </c>
      <c r="AD129" s="6">
        <v>8.52846716E8</v>
      </c>
      <c r="AE129" s="6" t="s">
        <v>401</v>
      </c>
      <c r="AF129" s="63">
        <v>45273.56050925926</v>
      </c>
      <c r="AG129" s="7" t="s">
        <v>13748</v>
      </c>
      <c r="AH129" s="46" t="s">
        <v>13749</v>
      </c>
      <c r="AI129" s="7"/>
      <c r="AJ129" s="6" t="s">
        <v>13750</v>
      </c>
      <c r="AK129" s="7" t="b">
        <v>0</v>
      </c>
      <c r="AL129" s="6" t="b">
        <v>1</v>
      </c>
      <c r="AM129" s="6" t="s">
        <v>9520</v>
      </c>
      <c r="AN129" s="6" t="s">
        <v>9514</v>
      </c>
      <c r="AO129" s="7"/>
      <c r="AP129" s="7"/>
      <c r="AQ129" s="6" t="b">
        <v>0</v>
      </c>
      <c r="AR129" s="6" t="s">
        <v>13751</v>
      </c>
      <c r="AS129" s="6"/>
    </row>
    <row r="130" ht="19.5" customHeight="1">
      <c r="A130" s="7" t="s">
        <v>9970</v>
      </c>
      <c r="B130" s="7" t="s">
        <v>13752</v>
      </c>
      <c r="C130" s="7" t="s">
        <v>58</v>
      </c>
      <c r="D130" s="7" t="s">
        <v>59</v>
      </c>
      <c r="E130" s="7" t="s">
        <v>346</v>
      </c>
      <c r="F130" s="7">
        <v>5.0</v>
      </c>
      <c r="G130" s="7"/>
      <c r="H130" s="7"/>
      <c r="I130" s="7"/>
      <c r="J130" s="7">
        <v>2.0</v>
      </c>
      <c r="K130" s="7" t="s">
        <v>13740</v>
      </c>
      <c r="L130" s="7">
        <v>97480.0</v>
      </c>
      <c r="M130" s="7" t="s">
        <v>123</v>
      </c>
      <c r="N130" s="7"/>
      <c r="O130" s="6" t="s">
        <v>13753</v>
      </c>
      <c r="P130" s="42" t="s">
        <v>7643</v>
      </c>
      <c r="Q130" s="43" t="s">
        <v>13754</v>
      </c>
      <c r="R130" s="50" t="s">
        <v>12350</v>
      </c>
      <c r="S130" s="51"/>
      <c r="T130" s="6" t="s">
        <v>13755</v>
      </c>
      <c r="U130" s="6" t="s">
        <v>13756</v>
      </c>
      <c r="V130" s="7"/>
      <c r="W130" s="6" t="s">
        <v>13757</v>
      </c>
      <c r="X130" s="7"/>
      <c r="Y130" s="7"/>
      <c r="Z130" s="7" t="s">
        <v>378</v>
      </c>
      <c r="AA130" s="7"/>
      <c r="AB130" s="7"/>
      <c r="AC130" s="7"/>
      <c r="AD130" s="7"/>
      <c r="AE130" s="6" t="s">
        <v>401</v>
      </c>
      <c r="AF130" s="45">
        <v>45273.5591087963</v>
      </c>
      <c r="AG130" s="7" t="s">
        <v>13748</v>
      </c>
      <c r="AH130" s="46" t="s">
        <v>13758</v>
      </c>
      <c r="AI130" s="7"/>
      <c r="AJ130" s="7"/>
      <c r="AK130" s="7" t="b">
        <v>0</v>
      </c>
      <c r="AL130" s="7" t="b">
        <v>0</v>
      </c>
      <c r="AM130" s="6" t="s">
        <v>9520</v>
      </c>
      <c r="AN130" s="6" t="s">
        <v>9970</v>
      </c>
      <c r="AO130" s="7"/>
      <c r="AP130" s="7"/>
      <c r="AQ130" s="6" t="b">
        <v>0</v>
      </c>
      <c r="AR130" s="6"/>
      <c r="AS130" s="6"/>
    </row>
    <row r="131" ht="19.5" customHeight="1">
      <c r="A131" s="7" t="s">
        <v>9006</v>
      </c>
      <c r="B131" s="7" t="s">
        <v>9007</v>
      </c>
      <c r="C131" s="7" t="s">
        <v>58</v>
      </c>
      <c r="D131" s="7" t="s">
        <v>137</v>
      </c>
      <c r="E131" s="7" t="s">
        <v>2013</v>
      </c>
      <c r="F131" s="7">
        <v>6.0</v>
      </c>
      <c r="G131" s="7"/>
      <c r="H131" s="7"/>
      <c r="I131" s="7"/>
      <c r="J131" s="6" t="s">
        <v>8701</v>
      </c>
      <c r="K131" s="7" t="s">
        <v>8701</v>
      </c>
      <c r="L131" s="7">
        <v>97414.0</v>
      </c>
      <c r="M131" s="7" t="s">
        <v>40</v>
      </c>
      <c r="N131" s="7"/>
      <c r="O131" s="7" t="s">
        <v>8707</v>
      </c>
      <c r="P131" s="42" t="s">
        <v>13759</v>
      </c>
      <c r="Q131" s="43" t="s">
        <v>13760</v>
      </c>
      <c r="R131" s="50"/>
      <c r="S131" s="51"/>
      <c r="T131" s="6" t="s">
        <v>13761</v>
      </c>
      <c r="U131" s="6" t="s">
        <v>13762</v>
      </c>
      <c r="V131" s="7"/>
      <c r="W131" s="7"/>
      <c r="X131" s="7"/>
      <c r="Y131" s="6" t="s">
        <v>377</v>
      </c>
      <c r="Z131" s="7"/>
      <c r="AA131" s="7"/>
      <c r="AB131" s="7"/>
      <c r="AC131" s="7"/>
      <c r="AD131" s="7"/>
      <c r="AE131" s="6" t="s">
        <v>401</v>
      </c>
      <c r="AF131" s="63">
        <v>45273.481527777774</v>
      </c>
      <c r="AG131" s="7" t="s">
        <v>13763</v>
      </c>
      <c r="AH131" s="46" t="s">
        <v>13764</v>
      </c>
      <c r="AI131" s="7"/>
      <c r="AJ131" s="6" t="s">
        <v>13765</v>
      </c>
      <c r="AK131" s="7" t="b">
        <v>0</v>
      </c>
      <c r="AL131" s="7" t="b">
        <v>0</v>
      </c>
      <c r="AM131" s="6" t="s">
        <v>13766</v>
      </c>
      <c r="AN131" s="6" t="s">
        <v>9006</v>
      </c>
      <c r="AO131" s="7"/>
      <c r="AP131" s="7"/>
      <c r="AQ131" s="6" t="b">
        <v>0</v>
      </c>
      <c r="AR131" s="6"/>
      <c r="AS131" s="48" t="s">
        <v>12303</v>
      </c>
    </row>
    <row r="132" ht="19.5" customHeight="1">
      <c r="A132" s="7" t="s">
        <v>9131</v>
      </c>
      <c r="B132" s="7" t="s">
        <v>13767</v>
      </c>
      <c r="C132" s="7" t="s">
        <v>58</v>
      </c>
      <c r="D132" s="7" t="s">
        <v>59</v>
      </c>
      <c r="E132" s="7" t="s">
        <v>346</v>
      </c>
      <c r="F132" s="7">
        <v>8.0</v>
      </c>
      <c r="G132" s="7"/>
      <c r="H132" s="7"/>
      <c r="I132" s="7"/>
      <c r="J132" s="7">
        <v>22.0</v>
      </c>
      <c r="K132" s="7" t="s">
        <v>13768</v>
      </c>
      <c r="L132" s="7">
        <v>97414.0</v>
      </c>
      <c r="M132" s="7" t="s">
        <v>40</v>
      </c>
      <c r="N132" s="7"/>
      <c r="O132" s="6" t="s">
        <v>13769</v>
      </c>
      <c r="P132" s="42" t="s">
        <v>9134</v>
      </c>
      <c r="Q132" s="43" t="s">
        <v>13770</v>
      </c>
      <c r="R132" s="50"/>
      <c r="S132" s="51"/>
      <c r="T132" s="7"/>
      <c r="U132" s="6" t="s">
        <v>13771</v>
      </c>
      <c r="V132" s="7"/>
      <c r="W132" s="7"/>
      <c r="X132" s="7"/>
      <c r="Y132" s="7"/>
      <c r="Z132" s="7"/>
      <c r="AA132" s="7"/>
      <c r="AB132" s="7"/>
      <c r="AC132" s="7"/>
      <c r="AD132" s="7"/>
      <c r="AE132" s="6" t="s">
        <v>12355</v>
      </c>
      <c r="AF132" s="63">
        <v>45434.44358796296</v>
      </c>
      <c r="AG132" s="7" t="s">
        <v>13772</v>
      </c>
      <c r="AH132" s="46" t="s">
        <v>13773</v>
      </c>
      <c r="AI132" s="7"/>
      <c r="AJ132" s="7"/>
      <c r="AK132" s="7" t="b">
        <v>0</v>
      </c>
      <c r="AL132" s="7" t="b">
        <v>0</v>
      </c>
      <c r="AM132" s="6" t="s">
        <v>13774</v>
      </c>
      <c r="AN132" s="6" t="s">
        <v>9131</v>
      </c>
      <c r="AO132" s="7"/>
      <c r="AP132" s="7"/>
      <c r="AQ132" s="6" t="b">
        <v>0</v>
      </c>
      <c r="AR132" s="6" t="s">
        <v>13775</v>
      </c>
      <c r="AS132" s="48" t="s">
        <v>12303</v>
      </c>
    </row>
    <row r="133" ht="19.5" customHeight="1">
      <c r="A133" s="9" t="s">
        <v>10354</v>
      </c>
      <c r="B133" s="9" t="s">
        <v>13776</v>
      </c>
      <c r="C133" s="9" t="s">
        <v>58</v>
      </c>
      <c r="D133" s="9" t="s">
        <v>59</v>
      </c>
      <c r="E133" s="9" t="s">
        <v>346</v>
      </c>
      <c r="F133" s="9">
        <v>10.0</v>
      </c>
      <c r="H133" s="9" t="s">
        <v>395</v>
      </c>
      <c r="J133" s="52" t="s">
        <v>13777</v>
      </c>
      <c r="K133" s="9" t="s">
        <v>13715</v>
      </c>
      <c r="L133" s="9">
        <v>97480.0</v>
      </c>
      <c r="M133" s="9" t="s">
        <v>123</v>
      </c>
      <c r="O133" s="9" t="s">
        <v>13778</v>
      </c>
      <c r="P133" s="53" t="s">
        <v>13779</v>
      </c>
      <c r="Q133" s="49" t="s">
        <v>13780</v>
      </c>
      <c r="R133" s="50"/>
      <c r="S133" s="54"/>
      <c r="T133" s="9" t="s">
        <v>13781</v>
      </c>
      <c r="U133" s="9" t="s">
        <v>13782</v>
      </c>
      <c r="V133" s="9" t="s">
        <v>13783</v>
      </c>
      <c r="W133" s="9" t="s">
        <v>13784</v>
      </c>
      <c r="X133" s="9" t="s">
        <v>13785</v>
      </c>
      <c r="Y133" s="9" t="s">
        <v>1567</v>
      </c>
      <c r="Z133" s="9" t="s">
        <v>13051</v>
      </c>
      <c r="AC133" s="9">
        <v>9.1410176100015E13</v>
      </c>
      <c r="AD133" s="9">
        <v>9.14101761E8</v>
      </c>
      <c r="AE133" s="9" t="s">
        <v>401</v>
      </c>
      <c r="AF133" s="55">
        <v>45272.37112268519</v>
      </c>
      <c r="AG133" s="9" t="s">
        <v>13786</v>
      </c>
      <c r="AH133" s="52" t="s">
        <v>13787</v>
      </c>
      <c r="AJ133" s="9" t="s">
        <v>13788</v>
      </c>
      <c r="AK133" s="9" t="b">
        <v>0</v>
      </c>
      <c r="AL133" s="9" t="b">
        <v>0</v>
      </c>
      <c r="AM133" s="9" t="s">
        <v>13789</v>
      </c>
      <c r="AN133" s="9" t="s">
        <v>10354</v>
      </c>
      <c r="AP133" s="56">
        <v>44594.0</v>
      </c>
      <c r="AQ133" s="9" t="b">
        <v>0</v>
      </c>
      <c r="AR133" s="9" t="s">
        <v>13790</v>
      </c>
      <c r="AS133" s="9"/>
    </row>
    <row r="134" ht="19.5" customHeight="1">
      <c r="A134" s="7" t="s">
        <v>9122</v>
      </c>
      <c r="B134" s="6" t="s">
        <v>13791</v>
      </c>
      <c r="C134" s="7" t="s">
        <v>58</v>
      </c>
      <c r="D134" s="7" t="s">
        <v>59</v>
      </c>
      <c r="E134" s="7"/>
      <c r="F134" s="7">
        <v>8.0</v>
      </c>
      <c r="G134" s="7"/>
      <c r="H134" s="7"/>
      <c r="I134" s="7"/>
      <c r="J134" s="7">
        <v>24.0</v>
      </c>
      <c r="K134" s="7" t="s">
        <v>13792</v>
      </c>
      <c r="L134" s="7">
        <v>97418.0</v>
      </c>
      <c r="M134" s="7" t="s">
        <v>71</v>
      </c>
      <c r="N134" s="7" t="s">
        <v>216</v>
      </c>
      <c r="O134" s="7" t="s">
        <v>9128</v>
      </c>
      <c r="P134" s="42" t="s">
        <v>9126</v>
      </c>
      <c r="Q134" s="43" t="s">
        <v>13793</v>
      </c>
      <c r="R134" s="50"/>
      <c r="S134" s="51"/>
      <c r="T134" s="7"/>
      <c r="U134" s="7"/>
      <c r="V134" s="7"/>
      <c r="W134" s="6" t="s">
        <v>13794</v>
      </c>
      <c r="X134" s="7"/>
      <c r="Y134" s="7"/>
      <c r="Z134" s="7"/>
      <c r="AA134" s="7" t="s">
        <v>8917</v>
      </c>
      <c r="AB134" s="7" t="s">
        <v>1590</v>
      </c>
      <c r="AC134" s="7"/>
      <c r="AD134" s="7"/>
      <c r="AE134" s="6" t="s">
        <v>12355</v>
      </c>
      <c r="AF134" s="63">
        <v>45979.60041666667</v>
      </c>
      <c r="AG134" s="7" t="s">
        <v>13795</v>
      </c>
      <c r="AH134" s="46" t="s">
        <v>13796</v>
      </c>
      <c r="AI134" s="7"/>
      <c r="AJ134" s="6" t="s">
        <v>13797</v>
      </c>
      <c r="AK134" s="7" t="b">
        <v>0</v>
      </c>
      <c r="AL134" s="7" t="b">
        <v>0</v>
      </c>
      <c r="AM134" s="6" t="s">
        <v>9129</v>
      </c>
      <c r="AN134" s="6" t="s">
        <v>9122</v>
      </c>
      <c r="AO134" s="7"/>
      <c r="AP134" s="7"/>
      <c r="AQ134" s="6" t="b">
        <v>0</v>
      </c>
      <c r="AR134" s="6"/>
      <c r="AS134" s="48" t="s">
        <v>12303</v>
      </c>
    </row>
    <row r="135" ht="19.5" customHeight="1">
      <c r="A135" s="7" t="s">
        <v>8727</v>
      </c>
      <c r="B135" s="7" t="s">
        <v>8728</v>
      </c>
      <c r="C135" s="7" t="s">
        <v>58</v>
      </c>
      <c r="D135" s="7" t="s">
        <v>59</v>
      </c>
      <c r="E135" s="7" t="s">
        <v>346</v>
      </c>
      <c r="F135" s="7">
        <v>8.0</v>
      </c>
      <c r="G135" s="7"/>
      <c r="H135" s="7"/>
      <c r="I135" s="7"/>
      <c r="J135" s="7">
        <v>66.0</v>
      </c>
      <c r="K135" s="7" t="s">
        <v>13798</v>
      </c>
      <c r="L135" s="7">
        <v>97442.0</v>
      </c>
      <c r="M135" s="7" t="s">
        <v>33</v>
      </c>
      <c r="N135" s="7"/>
      <c r="O135" s="7" t="s">
        <v>8733</v>
      </c>
      <c r="P135" s="42" t="s">
        <v>8730</v>
      </c>
      <c r="Q135" s="43" t="s">
        <v>13799</v>
      </c>
      <c r="R135" s="50"/>
      <c r="S135" s="51"/>
      <c r="T135" s="6" t="s">
        <v>13800</v>
      </c>
      <c r="U135" s="6" t="s">
        <v>13801</v>
      </c>
      <c r="V135" s="7"/>
      <c r="W135" s="6" t="s">
        <v>13802</v>
      </c>
      <c r="X135" s="6" t="s">
        <v>13803</v>
      </c>
      <c r="Y135" s="7"/>
      <c r="Z135" s="6" t="s">
        <v>378</v>
      </c>
      <c r="AA135" s="7"/>
      <c r="AB135" s="7"/>
      <c r="AC135" s="7"/>
      <c r="AD135" s="7"/>
      <c r="AE135" s="6" t="s">
        <v>12355</v>
      </c>
      <c r="AF135" s="45">
        <v>45271.84641203703</v>
      </c>
      <c r="AG135" s="7" t="s">
        <v>13804</v>
      </c>
      <c r="AH135" s="46" t="s">
        <v>13805</v>
      </c>
      <c r="AI135" s="7"/>
      <c r="AJ135" s="7"/>
      <c r="AK135" s="7" t="b">
        <v>0</v>
      </c>
      <c r="AL135" s="7" t="b">
        <v>0</v>
      </c>
      <c r="AM135" s="6" t="s">
        <v>8734</v>
      </c>
      <c r="AN135" s="6" t="s">
        <v>8727</v>
      </c>
      <c r="AO135" s="7"/>
      <c r="AP135" s="7"/>
      <c r="AQ135" s="6" t="b">
        <v>0</v>
      </c>
      <c r="AR135" s="6" t="s">
        <v>13806</v>
      </c>
      <c r="AS135" s="48" t="s">
        <v>12303</v>
      </c>
    </row>
    <row r="136" ht="19.5" customHeight="1">
      <c r="A136" s="7" t="s">
        <v>9119</v>
      </c>
      <c r="B136" s="6" t="s">
        <v>13807</v>
      </c>
      <c r="C136" s="7" t="s">
        <v>58</v>
      </c>
      <c r="D136" s="7" t="s">
        <v>59</v>
      </c>
      <c r="E136" s="7" t="s">
        <v>346</v>
      </c>
      <c r="F136" s="7">
        <v>10.0</v>
      </c>
      <c r="G136" s="7" t="s">
        <v>422</v>
      </c>
      <c r="H136" s="7"/>
      <c r="I136" s="7"/>
      <c r="J136" s="6" t="s">
        <v>13808</v>
      </c>
      <c r="K136" s="6" t="s">
        <v>13809</v>
      </c>
      <c r="L136" s="7">
        <v>97480.0</v>
      </c>
      <c r="M136" s="7" t="s">
        <v>123</v>
      </c>
      <c r="N136" s="7"/>
      <c r="O136" s="6" t="s">
        <v>13810</v>
      </c>
      <c r="P136" s="53" t="s">
        <v>9112</v>
      </c>
      <c r="Q136" s="49" t="s">
        <v>13811</v>
      </c>
      <c r="R136" s="50"/>
      <c r="S136" s="51"/>
      <c r="T136" s="6" t="s">
        <v>13812</v>
      </c>
      <c r="U136" s="6" t="s">
        <v>13813</v>
      </c>
      <c r="V136" s="7"/>
      <c r="W136" s="7"/>
      <c r="X136" s="7" t="s">
        <v>9111</v>
      </c>
      <c r="Y136" s="7" t="s">
        <v>8231</v>
      </c>
      <c r="Z136" s="7" t="s">
        <v>8505</v>
      </c>
      <c r="AA136" s="7" t="s">
        <v>9121</v>
      </c>
      <c r="AB136" s="7" t="s">
        <v>1590</v>
      </c>
      <c r="AC136" s="7"/>
      <c r="AD136" s="7"/>
      <c r="AE136" s="7" t="s">
        <v>401</v>
      </c>
      <c r="AF136" s="63">
        <v>45271.62006944444</v>
      </c>
      <c r="AG136" s="7" t="s">
        <v>13814</v>
      </c>
      <c r="AH136" s="46" t="s">
        <v>13815</v>
      </c>
      <c r="AI136" s="7"/>
      <c r="AJ136" s="6" t="s">
        <v>13816</v>
      </c>
      <c r="AK136" s="7" t="b">
        <v>0</v>
      </c>
      <c r="AL136" s="7" t="b">
        <v>0</v>
      </c>
      <c r="AM136" s="6" t="s">
        <v>13817</v>
      </c>
      <c r="AN136" s="6" t="s">
        <v>9119</v>
      </c>
      <c r="AO136" s="7"/>
      <c r="AP136" s="7"/>
      <c r="AQ136" s="6" t="b">
        <v>0</v>
      </c>
      <c r="AR136" s="6" t="s">
        <v>13818</v>
      </c>
      <c r="AS136" s="6" t="s">
        <v>12303</v>
      </c>
    </row>
    <row r="137" ht="19.5" customHeight="1">
      <c r="A137" s="7" t="s">
        <v>8598</v>
      </c>
      <c r="B137" s="7" t="s">
        <v>8599</v>
      </c>
      <c r="C137" s="7" t="s">
        <v>58</v>
      </c>
      <c r="D137" s="7" t="s">
        <v>59</v>
      </c>
      <c r="E137" s="7" t="s">
        <v>374</v>
      </c>
      <c r="F137" s="7">
        <v>2.0</v>
      </c>
      <c r="G137" s="7" t="s">
        <v>422</v>
      </c>
      <c r="H137" s="7"/>
      <c r="I137" s="7"/>
      <c r="J137" s="7">
        <v>150.0</v>
      </c>
      <c r="K137" s="7" t="s">
        <v>13819</v>
      </c>
      <c r="L137" s="7">
        <v>97430.0</v>
      </c>
      <c r="M137" s="7" t="s">
        <v>71</v>
      </c>
      <c r="N137" s="7"/>
      <c r="O137" s="7" t="s">
        <v>8606</v>
      </c>
      <c r="P137" s="42" t="s">
        <v>8603</v>
      </c>
      <c r="Q137" s="49" t="s">
        <v>13820</v>
      </c>
      <c r="R137" s="50"/>
      <c r="S137" s="51"/>
      <c r="T137" s="7"/>
      <c r="U137" s="7"/>
      <c r="V137" s="7"/>
      <c r="W137" s="6" t="s">
        <v>13821</v>
      </c>
      <c r="X137" s="7" t="s">
        <v>8602</v>
      </c>
      <c r="Y137" s="7" t="s">
        <v>2390</v>
      </c>
      <c r="Z137" s="7" t="s">
        <v>353</v>
      </c>
      <c r="AA137" s="7"/>
      <c r="AB137" s="7"/>
      <c r="AC137" s="7"/>
      <c r="AD137" s="7"/>
      <c r="AE137" s="6" t="s">
        <v>12355</v>
      </c>
      <c r="AF137" s="45">
        <v>45609.47724537037</v>
      </c>
      <c r="AG137" s="7" t="s">
        <v>13822</v>
      </c>
      <c r="AH137" s="46" t="s">
        <v>13823</v>
      </c>
      <c r="AI137" s="7"/>
      <c r="AJ137" s="6" t="s">
        <v>13824</v>
      </c>
      <c r="AK137" s="7" t="b">
        <v>0</v>
      </c>
      <c r="AL137" s="7" t="b">
        <v>0</v>
      </c>
      <c r="AM137" s="6" t="s">
        <v>13825</v>
      </c>
      <c r="AN137" s="6" t="s">
        <v>8598</v>
      </c>
      <c r="AO137" s="7"/>
      <c r="AP137" s="7"/>
      <c r="AQ137" s="6" t="b">
        <v>0</v>
      </c>
      <c r="AR137" s="6"/>
      <c r="AS137" s="6"/>
    </row>
    <row r="138" ht="19.5" customHeight="1">
      <c r="A138" s="7" t="s">
        <v>8817</v>
      </c>
      <c r="B138" s="6" t="s">
        <v>13826</v>
      </c>
      <c r="C138" s="7" t="s">
        <v>58</v>
      </c>
      <c r="D138" s="7" t="s">
        <v>59</v>
      </c>
      <c r="E138" s="7" t="s">
        <v>346</v>
      </c>
      <c r="F138" s="7">
        <v>8.0</v>
      </c>
      <c r="G138" s="7"/>
      <c r="H138" s="7"/>
      <c r="I138" s="7"/>
      <c r="J138" s="7">
        <v>283.0</v>
      </c>
      <c r="K138" s="7" t="s">
        <v>12304</v>
      </c>
      <c r="L138" s="7">
        <v>97430.0</v>
      </c>
      <c r="M138" s="7" t="s">
        <v>71</v>
      </c>
      <c r="N138" s="7"/>
      <c r="O138" s="7" t="s">
        <v>8823</v>
      </c>
      <c r="P138" s="42" t="s">
        <v>8820</v>
      </c>
      <c r="Q138" s="43" t="s">
        <v>13827</v>
      </c>
      <c r="R138" s="43" t="s">
        <v>13828</v>
      </c>
      <c r="S138" s="51"/>
      <c r="T138" s="7"/>
      <c r="U138" s="7"/>
      <c r="V138" s="7"/>
      <c r="W138" s="7"/>
      <c r="X138" s="7"/>
      <c r="Y138" s="7"/>
      <c r="Z138" s="7" t="s">
        <v>378</v>
      </c>
      <c r="AA138" s="7"/>
      <c r="AB138" s="7"/>
      <c r="AC138" s="6">
        <v>8.803604330001E13</v>
      </c>
      <c r="AD138" s="6">
        <v>8.80360433E8</v>
      </c>
      <c r="AE138" s="6" t="s">
        <v>12355</v>
      </c>
      <c r="AF138" s="63">
        <v>45271.4927662037</v>
      </c>
      <c r="AG138" s="7" t="s">
        <v>13829</v>
      </c>
      <c r="AH138" s="46" t="s">
        <v>13830</v>
      </c>
      <c r="AI138" s="7"/>
      <c r="AJ138" s="7"/>
      <c r="AK138" s="6" t="b">
        <v>1</v>
      </c>
      <c r="AL138" s="7" t="b">
        <v>0</v>
      </c>
      <c r="AM138" s="6" t="s">
        <v>8824</v>
      </c>
      <c r="AN138" s="6" t="s">
        <v>8817</v>
      </c>
      <c r="AO138" s="7"/>
      <c r="AP138" s="7"/>
      <c r="AQ138" s="6" t="b">
        <v>0</v>
      </c>
      <c r="AR138" s="6" t="s">
        <v>13831</v>
      </c>
      <c r="AS138" s="6" t="s">
        <v>12303</v>
      </c>
    </row>
    <row r="139" ht="19.5" customHeight="1">
      <c r="A139" s="7" t="s">
        <v>9810</v>
      </c>
      <c r="B139" s="6" t="s">
        <v>13832</v>
      </c>
      <c r="C139" s="7" t="s">
        <v>58</v>
      </c>
      <c r="D139" s="7" t="s">
        <v>59</v>
      </c>
      <c r="E139" s="7" t="s">
        <v>374</v>
      </c>
      <c r="F139" s="7">
        <v>2.0</v>
      </c>
      <c r="G139" s="6" t="s">
        <v>375</v>
      </c>
      <c r="H139" s="7" t="s">
        <v>355</v>
      </c>
      <c r="I139" s="7"/>
      <c r="J139" s="7">
        <v>8.0</v>
      </c>
      <c r="K139" s="7" t="s">
        <v>13833</v>
      </c>
      <c r="L139" s="7">
        <v>97480.0</v>
      </c>
      <c r="M139" s="7" t="s">
        <v>123</v>
      </c>
      <c r="N139" s="6" t="s">
        <v>206</v>
      </c>
      <c r="O139" s="6" t="s">
        <v>13834</v>
      </c>
      <c r="P139" s="42" t="s">
        <v>9813</v>
      </c>
      <c r="Q139" s="49" t="s">
        <v>13835</v>
      </c>
      <c r="R139" s="50"/>
      <c r="S139" s="51"/>
      <c r="T139" s="6" t="s">
        <v>13836</v>
      </c>
      <c r="U139" s="6" t="s">
        <v>13837</v>
      </c>
      <c r="V139" s="6" t="s">
        <v>13838</v>
      </c>
      <c r="W139" s="6" t="s">
        <v>13839</v>
      </c>
      <c r="X139" s="6" t="s">
        <v>13840</v>
      </c>
      <c r="Y139" s="6" t="s">
        <v>13841</v>
      </c>
      <c r="Z139" s="6" t="s">
        <v>424</v>
      </c>
      <c r="AA139" s="7"/>
      <c r="AB139" s="7"/>
      <c r="AC139" s="6">
        <v>9.1380986900013E13</v>
      </c>
      <c r="AD139" s="6">
        <v>9.13809869E8</v>
      </c>
      <c r="AE139" s="6" t="s">
        <v>401</v>
      </c>
      <c r="AF139" s="45">
        <v>45982.41303240741</v>
      </c>
      <c r="AG139" s="7" t="s">
        <v>13842</v>
      </c>
      <c r="AH139" s="46" t="s">
        <v>13843</v>
      </c>
      <c r="AI139" s="7"/>
      <c r="AJ139" s="6" t="s">
        <v>13844</v>
      </c>
      <c r="AK139" s="7" t="b">
        <v>0</v>
      </c>
      <c r="AL139" s="7" t="b">
        <v>0</v>
      </c>
      <c r="AM139" s="6" t="s">
        <v>9817</v>
      </c>
      <c r="AN139" s="6" t="s">
        <v>9810</v>
      </c>
      <c r="AO139" s="7"/>
      <c r="AP139" s="7"/>
      <c r="AQ139" s="6" t="b">
        <v>0</v>
      </c>
      <c r="AR139" s="6"/>
      <c r="AS139" s="6"/>
    </row>
    <row r="140" ht="19.5" customHeight="1">
      <c r="A140" s="7" t="s">
        <v>8545</v>
      </c>
      <c r="B140" s="7" t="s">
        <v>13845</v>
      </c>
      <c r="C140" s="7" t="s">
        <v>58</v>
      </c>
      <c r="D140" s="7" t="s">
        <v>59</v>
      </c>
      <c r="E140" s="7" t="s">
        <v>346</v>
      </c>
      <c r="F140" s="7">
        <v>5.0</v>
      </c>
      <c r="G140" s="7"/>
      <c r="H140" s="7"/>
      <c r="I140" s="7"/>
      <c r="J140" s="7">
        <v>2.0</v>
      </c>
      <c r="K140" s="7" t="s">
        <v>12312</v>
      </c>
      <c r="L140" s="7">
        <v>97418.0</v>
      </c>
      <c r="M140" s="7" t="s">
        <v>71</v>
      </c>
      <c r="N140" s="7" t="s">
        <v>216</v>
      </c>
      <c r="O140" s="7" t="s">
        <v>2412</v>
      </c>
      <c r="P140" s="42"/>
      <c r="Q140" s="50"/>
      <c r="R140" s="50"/>
      <c r="S140" s="51"/>
      <c r="T140" s="7"/>
      <c r="U140" s="7"/>
      <c r="V140" s="7"/>
      <c r="W140" s="7"/>
      <c r="X140" s="7"/>
      <c r="Y140" s="7" t="s">
        <v>377</v>
      </c>
      <c r="Z140" s="7" t="s">
        <v>424</v>
      </c>
      <c r="AA140" s="7"/>
      <c r="AB140" s="7"/>
      <c r="AC140" s="7"/>
      <c r="AD140" s="7"/>
      <c r="AE140" s="6" t="s">
        <v>12355</v>
      </c>
      <c r="AF140" s="45">
        <v>45268.59158564815</v>
      </c>
      <c r="AG140" s="7" t="s">
        <v>13846</v>
      </c>
      <c r="AH140" s="46" t="s">
        <v>13847</v>
      </c>
      <c r="AI140" s="7"/>
      <c r="AJ140" s="7"/>
      <c r="AK140" s="7" t="b">
        <v>0</v>
      </c>
      <c r="AL140" s="7" t="b">
        <v>0</v>
      </c>
      <c r="AM140" s="6" t="s">
        <v>8548</v>
      </c>
      <c r="AN140" s="6" t="s">
        <v>8545</v>
      </c>
      <c r="AO140" s="7"/>
      <c r="AP140" s="7"/>
      <c r="AQ140" s="6" t="b">
        <v>0</v>
      </c>
      <c r="AR140" s="6"/>
      <c r="AS140" s="48" t="s">
        <v>12303</v>
      </c>
    </row>
    <row r="141" ht="19.5" customHeight="1">
      <c r="A141" s="7" t="s">
        <v>6255</v>
      </c>
      <c r="B141" s="7" t="s">
        <v>13848</v>
      </c>
      <c r="C141" s="7" t="s">
        <v>58</v>
      </c>
      <c r="D141" s="7" t="s">
        <v>59</v>
      </c>
      <c r="E141" s="7" t="s">
        <v>374</v>
      </c>
      <c r="F141" s="7">
        <v>4.0</v>
      </c>
      <c r="G141" s="7" t="s">
        <v>1456</v>
      </c>
      <c r="H141" s="7" t="s">
        <v>355</v>
      </c>
      <c r="I141" s="7"/>
      <c r="J141" s="41" t="s">
        <v>13849</v>
      </c>
      <c r="K141" s="7" t="s">
        <v>13850</v>
      </c>
      <c r="L141" s="7">
        <v>97430.0</v>
      </c>
      <c r="M141" s="7" t="s">
        <v>71</v>
      </c>
      <c r="N141" s="6" t="s">
        <v>13851</v>
      </c>
      <c r="O141" s="7" t="s">
        <v>6265</v>
      </c>
      <c r="P141" s="42" t="s">
        <v>6258</v>
      </c>
      <c r="Q141" s="43" t="s">
        <v>13852</v>
      </c>
      <c r="R141" s="43" t="s">
        <v>13853</v>
      </c>
      <c r="S141" s="51"/>
      <c r="T141" s="7" t="s">
        <v>6259</v>
      </c>
      <c r="U141" s="7"/>
      <c r="V141" s="7" t="s">
        <v>6260</v>
      </c>
      <c r="W141" s="6" t="s">
        <v>13854</v>
      </c>
      <c r="X141" s="7" t="s">
        <v>2605</v>
      </c>
      <c r="Y141" s="7" t="s">
        <v>377</v>
      </c>
      <c r="Z141" s="7" t="s">
        <v>353</v>
      </c>
      <c r="AA141" s="7"/>
      <c r="AB141" s="7"/>
      <c r="AC141" s="7"/>
      <c r="AD141" s="7"/>
      <c r="AE141" s="6" t="s">
        <v>5287</v>
      </c>
      <c r="AF141" s="45">
        <v>45433.587800925925</v>
      </c>
      <c r="AG141" s="7" t="s">
        <v>13855</v>
      </c>
      <c r="AH141" s="46" t="s">
        <v>13856</v>
      </c>
      <c r="AI141" s="7"/>
      <c r="AJ141" s="7"/>
      <c r="AK141" s="7" t="b">
        <v>0</v>
      </c>
      <c r="AL141" s="7" t="b">
        <v>0</v>
      </c>
      <c r="AM141" s="6" t="s">
        <v>6266</v>
      </c>
      <c r="AN141" s="6" t="s">
        <v>6255</v>
      </c>
      <c r="AO141" s="6">
        <v>871.0</v>
      </c>
      <c r="AP141" s="6"/>
      <c r="AQ141" s="6" t="b">
        <v>1</v>
      </c>
      <c r="AR141" s="6" t="s">
        <v>13857</v>
      </c>
      <c r="AS141" s="6"/>
    </row>
    <row r="142" ht="19.5" customHeight="1">
      <c r="A142" s="9" t="s">
        <v>10359</v>
      </c>
      <c r="B142" s="9" t="s">
        <v>13858</v>
      </c>
      <c r="C142" s="9" t="s">
        <v>58</v>
      </c>
      <c r="D142" s="9" t="s">
        <v>59</v>
      </c>
      <c r="E142" s="9" t="s">
        <v>374</v>
      </c>
      <c r="F142" s="9">
        <v>8.0</v>
      </c>
      <c r="G142" s="9" t="s">
        <v>455</v>
      </c>
      <c r="H142" s="9" t="s">
        <v>2716</v>
      </c>
      <c r="I142" s="9"/>
      <c r="J142" s="52" t="s">
        <v>13859</v>
      </c>
      <c r="K142" s="9" t="s">
        <v>13860</v>
      </c>
      <c r="L142" s="9">
        <v>97418.0</v>
      </c>
      <c r="M142" s="9" t="s">
        <v>71</v>
      </c>
      <c r="N142" s="9" t="s">
        <v>216</v>
      </c>
      <c r="O142" s="9" t="s">
        <v>13861</v>
      </c>
      <c r="P142" s="53" t="s">
        <v>13862</v>
      </c>
      <c r="Q142" s="49" t="s">
        <v>13863</v>
      </c>
      <c r="R142" s="50"/>
      <c r="S142" s="58" t="s">
        <v>13864</v>
      </c>
      <c r="T142" s="9" t="s">
        <v>13865</v>
      </c>
      <c r="U142" s="9" t="s">
        <v>13866</v>
      </c>
      <c r="V142" s="9" t="s">
        <v>13867</v>
      </c>
      <c r="W142" s="9" t="s">
        <v>13868</v>
      </c>
      <c r="X142" s="9" t="s">
        <v>13869</v>
      </c>
      <c r="Y142" s="9" t="s">
        <v>13870</v>
      </c>
      <c r="Z142" s="9" t="s">
        <v>592</v>
      </c>
      <c r="AC142" s="9">
        <v>9.8141838700016E13</v>
      </c>
      <c r="AD142" s="9">
        <v>9.81418387E8</v>
      </c>
      <c r="AE142" s="9" t="s">
        <v>401</v>
      </c>
      <c r="AF142" s="55">
        <v>45268.44956018519</v>
      </c>
      <c r="AG142" s="9" t="s">
        <v>13871</v>
      </c>
      <c r="AH142" s="9" t="s">
        <v>13872</v>
      </c>
      <c r="AJ142" s="9" t="s">
        <v>13873</v>
      </c>
      <c r="AK142" s="9" t="b">
        <v>0</v>
      </c>
      <c r="AL142" s="9" t="b">
        <v>0</v>
      </c>
      <c r="AM142" s="9" t="s">
        <v>13874</v>
      </c>
      <c r="AN142" s="9" t="s">
        <v>10359</v>
      </c>
      <c r="AP142" s="56">
        <v>45259.0</v>
      </c>
      <c r="AQ142" s="9" t="b">
        <v>1</v>
      </c>
      <c r="AR142" s="9"/>
    </row>
    <row r="143" ht="19.5" customHeight="1">
      <c r="A143" s="9" t="s">
        <v>248</v>
      </c>
      <c r="B143" s="9" t="s">
        <v>13875</v>
      </c>
      <c r="C143" s="9" t="s">
        <v>58</v>
      </c>
      <c r="D143" s="9" t="s">
        <v>59</v>
      </c>
      <c r="E143" s="9" t="s">
        <v>374</v>
      </c>
      <c r="F143" s="9">
        <v>2.0</v>
      </c>
      <c r="G143" s="9" t="s">
        <v>455</v>
      </c>
      <c r="H143" s="9" t="s">
        <v>13594</v>
      </c>
      <c r="I143" s="9" t="s">
        <v>578</v>
      </c>
      <c r="J143" s="52" t="s">
        <v>13876</v>
      </c>
      <c r="K143" s="9" t="s">
        <v>13877</v>
      </c>
      <c r="L143" s="9">
        <v>97480.0</v>
      </c>
      <c r="M143" s="9" t="s">
        <v>123</v>
      </c>
      <c r="N143" s="9" t="s">
        <v>13878</v>
      </c>
      <c r="O143" s="9" t="s">
        <v>13879</v>
      </c>
      <c r="P143" s="53" t="s">
        <v>13880</v>
      </c>
      <c r="Q143" s="49" t="s">
        <v>13881</v>
      </c>
      <c r="R143" s="50"/>
      <c r="S143" s="58" t="s">
        <v>13882</v>
      </c>
      <c r="T143" s="9" t="s">
        <v>13883</v>
      </c>
      <c r="U143" s="9" t="s">
        <v>13884</v>
      </c>
      <c r="V143" s="9" t="s">
        <v>13885</v>
      </c>
      <c r="W143" s="9" t="s">
        <v>13886</v>
      </c>
      <c r="X143" s="9" t="s">
        <v>13887</v>
      </c>
      <c r="Y143" s="9" t="s">
        <v>13888</v>
      </c>
      <c r="Z143" s="9" t="s">
        <v>424</v>
      </c>
      <c r="AC143" s="9">
        <v>9.2247309500011E13</v>
      </c>
      <c r="AD143" s="9">
        <v>9.22473095E8</v>
      </c>
      <c r="AE143" s="9" t="s">
        <v>401</v>
      </c>
      <c r="AF143" s="55">
        <v>45411.57351851852</v>
      </c>
      <c r="AG143" s="9" t="s">
        <v>13889</v>
      </c>
      <c r="AH143" s="9" t="s">
        <v>13890</v>
      </c>
      <c r="AJ143" s="9" t="s">
        <v>13891</v>
      </c>
      <c r="AK143" s="9" t="b">
        <v>0</v>
      </c>
      <c r="AL143" s="9" t="b">
        <v>0</v>
      </c>
      <c r="AM143" s="9" t="s">
        <v>13892</v>
      </c>
      <c r="AN143" s="9" t="s">
        <v>248</v>
      </c>
      <c r="AP143" s="56">
        <v>45223.0</v>
      </c>
      <c r="AQ143" s="9" t="b">
        <v>0</v>
      </c>
      <c r="AR143" s="9" t="s">
        <v>13893</v>
      </c>
    </row>
    <row r="144" ht="19.5" customHeight="1">
      <c r="A144" s="7" t="s">
        <v>10199</v>
      </c>
      <c r="B144" s="7" t="s">
        <v>10200</v>
      </c>
      <c r="C144" s="7" t="s">
        <v>58</v>
      </c>
      <c r="D144" s="7" t="s">
        <v>59</v>
      </c>
      <c r="E144" s="7"/>
      <c r="F144" s="7">
        <v>8.0</v>
      </c>
      <c r="G144" s="7"/>
      <c r="H144" s="7"/>
      <c r="I144" s="7"/>
      <c r="J144" s="6" t="s">
        <v>13894</v>
      </c>
      <c r="K144" s="6" t="s">
        <v>13895</v>
      </c>
      <c r="L144" s="7">
        <v>97430.0</v>
      </c>
      <c r="M144" s="7" t="s">
        <v>71</v>
      </c>
      <c r="N144" s="7"/>
      <c r="O144" s="7" t="s">
        <v>10205</v>
      </c>
      <c r="P144" s="42" t="s">
        <v>10202</v>
      </c>
      <c r="Q144" s="43" t="s">
        <v>13896</v>
      </c>
      <c r="R144" s="50" t="s">
        <v>12350</v>
      </c>
      <c r="S144" s="51"/>
      <c r="T144" s="6" t="s">
        <v>13897</v>
      </c>
      <c r="U144" s="6" t="s">
        <v>13898</v>
      </c>
      <c r="V144" s="7"/>
      <c r="W144" s="6" t="s">
        <v>13899</v>
      </c>
      <c r="X144" s="7"/>
      <c r="Y144" s="6" t="s">
        <v>1567</v>
      </c>
      <c r="Z144" s="7"/>
      <c r="AA144" s="7"/>
      <c r="AB144" s="7"/>
      <c r="AC144" s="6">
        <v>9.078117560001E13</v>
      </c>
      <c r="AD144" s="6">
        <v>9.07811756E8</v>
      </c>
      <c r="AE144" s="6" t="s">
        <v>401</v>
      </c>
      <c r="AF144" s="45">
        <v>45266.53679398148</v>
      </c>
      <c r="AG144" s="7" t="s">
        <v>13900</v>
      </c>
      <c r="AH144" s="46" t="s">
        <v>13901</v>
      </c>
      <c r="AI144" s="7"/>
      <c r="AJ144" s="7"/>
      <c r="AK144" s="7" t="b">
        <v>0</v>
      </c>
      <c r="AL144" s="7" t="b">
        <v>0</v>
      </c>
      <c r="AM144" s="6" t="s">
        <v>10206</v>
      </c>
      <c r="AN144" s="6" t="s">
        <v>10199</v>
      </c>
      <c r="AO144" s="7"/>
      <c r="AP144" s="7"/>
      <c r="AQ144" s="6" t="b">
        <v>0</v>
      </c>
      <c r="AR144" s="6"/>
      <c r="AS144" s="6"/>
    </row>
    <row r="145" ht="19.5" customHeight="1">
      <c r="A145" s="9" t="s">
        <v>10363</v>
      </c>
      <c r="B145" s="9" t="s">
        <v>13902</v>
      </c>
      <c r="C145" s="9" t="s">
        <v>58</v>
      </c>
      <c r="D145" s="9" t="s">
        <v>59</v>
      </c>
      <c r="E145" s="9" t="s">
        <v>374</v>
      </c>
      <c r="F145" s="9">
        <v>4.0</v>
      </c>
      <c r="G145" s="9" t="s">
        <v>455</v>
      </c>
      <c r="H145" s="9" t="s">
        <v>13594</v>
      </c>
      <c r="I145" s="9" t="s">
        <v>578</v>
      </c>
      <c r="J145" s="52" t="s">
        <v>13876</v>
      </c>
      <c r="K145" s="9" t="s">
        <v>13903</v>
      </c>
      <c r="L145" s="9">
        <v>97480.0</v>
      </c>
      <c r="M145" s="9" t="s">
        <v>123</v>
      </c>
      <c r="N145" s="9" t="s">
        <v>13878</v>
      </c>
      <c r="O145" s="9" t="s">
        <v>13904</v>
      </c>
      <c r="P145" s="53" t="s">
        <v>13880</v>
      </c>
      <c r="Q145" s="49" t="s">
        <v>13881</v>
      </c>
      <c r="R145" s="50"/>
      <c r="S145" s="58" t="s">
        <v>13882</v>
      </c>
      <c r="T145" s="9" t="s">
        <v>13905</v>
      </c>
      <c r="U145" s="9" t="s">
        <v>13906</v>
      </c>
      <c r="V145" s="9" t="s">
        <v>13885</v>
      </c>
      <c r="W145" s="9" t="s">
        <v>13907</v>
      </c>
      <c r="X145" s="9" t="s">
        <v>13908</v>
      </c>
      <c r="Y145" s="9" t="s">
        <v>13888</v>
      </c>
      <c r="Z145" s="9" t="s">
        <v>424</v>
      </c>
      <c r="AC145" s="9">
        <v>9.2247309500011E13</v>
      </c>
      <c r="AD145" s="9">
        <v>9.22473095E8</v>
      </c>
      <c r="AE145" s="9" t="s">
        <v>401</v>
      </c>
      <c r="AF145" s="55">
        <v>45411.574016203704</v>
      </c>
      <c r="AG145" s="9" t="s">
        <v>13889</v>
      </c>
      <c r="AH145" s="9" t="s">
        <v>13909</v>
      </c>
      <c r="AJ145" s="9" t="s">
        <v>13910</v>
      </c>
      <c r="AK145" s="9" t="b">
        <v>0</v>
      </c>
      <c r="AL145" s="9" t="b">
        <v>0</v>
      </c>
      <c r="AM145" s="9" t="s">
        <v>13911</v>
      </c>
      <c r="AN145" s="9" t="s">
        <v>10363</v>
      </c>
      <c r="AP145" s="56">
        <v>45223.0</v>
      </c>
      <c r="AQ145" s="9" t="b">
        <v>0</v>
      </c>
      <c r="AR145" s="9"/>
    </row>
    <row r="146" ht="19.5" customHeight="1">
      <c r="A146" s="9" t="s">
        <v>11600</v>
      </c>
      <c r="B146" s="9" t="s">
        <v>13912</v>
      </c>
      <c r="C146" s="9" t="s">
        <v>58</v>
      </c>
      <c r="D146" s="9" t="s">
        <v>453</v>
      </c>
      <c r="E146" s="9" t="s">
        <v>454</v>
      </c>
      <c r="F146" s="9">
        <v>2.0</v>
      </c>
      <c r="G146" s="9" t="s">
        <v>455</v>
      </c>
      <c r="H146" s="9"/>
      <c r="I146" s="9"/>
      <c r="J146" s="52" t="s">
        <v>13876</v>
      </c>
      <c r="K146" s="9" t="s">
        <v>13903</v>
      </c>
      <c r="L146" s="9">
        <v>97480.0</v>
      </c>
      <c r="M146" s="9" t="s">
        <v>123</v>
      </c>
      <c r="N146" s="9" t="s">
        <v>13878</v>
      </c>
      <c r="O146" s="9" t="s">
        <v>13913</v>
      </c>
      <c r="P146" s="53" t="s">
        <v>13914</v>
      </c>
      <c r="Q146" s="49" t="s">
        <v>13881</v>
      </c>
      <c r="R146" s="50"/>
      <c r="S146" s="58" t="s">
        <v>13915</v>
      </c>
      <c r="T146" s="9" t="s">
        <v>13916</v>
      </c>
      <c r="U146" s="9" t="s">
        <v>13917</v>
      </c>
      <c r="V146" s="9" t="s">
        <v>13885</v>
      </c>
      <c r="W146" s="9" t="s">
        <v>13918</v>
      </c>
      <c r="X146" s="9" t="s">
        <v>13919</v>
      </c>
      <c r="Y146" s="9" t="s">
        <v>13888</v>
      </c>
      <c r="Z146" s="9" t="s">
        <v>424</v>
      </c>
      <c r="AC146" s="9">
        <v>9.2247309500011E13</v>
      </c>
      <c r="AD146" s="9">
        <v>9.22473095E8</v>
      </c>
      <c r="AE146" s="9" t="s">
        <v>401</v>
      </c>
      <c r="AF146" s="55">
        <v>45266.46990740741</v>
      </c>
      <c r="AG146" s="9" t="s">
        <v>13889</v>
      </c>
      <c r="AH146" s="9" t="s">
        <v>13920</v>
      </c>
      <c r="AJ146" s="9" t="s">
        <v>13921</v>
      </c>
      <c r="AK146" s="9" t="b">
        <v>0</v>
      </c>
      <c r="AL146" s="9" t="b">
        <v>0</v>
      </c>
      <c r="AM146" s="9" t="s">
        <v>13922</v>
      </c>
      <c r="AN146" s="9" t="s">
        <v>11600</v>
      </c>
      <c r="AP146" s="56">
        <v>45223.0</v>
      </c>
      <c r="AQ146" s="9" t="b">
        <v>0</v>
      </c>
      <c r="AR146" s="9" t="s">
        <v>13923</v>
      </c>
    </row>
    <row r="147" ht="19.5" customHeight="1">
      <c r="A147" s="7" t="s">
        <v>9106</v>
      </c>
      <c r="B147" s="7" t="s">
        <v>9107</v>
      </c>
      <c r="C147" s="7" t="s">
        <v>58</v>
      </c>
      <c r="D147" s="7" t="s">
        <v>59</v>
      </c>
      <c r="E147" s="7" t="s">
        <v>346</v>
      </c>
      <c r="F147" s="7">
        <v>6.0</v>
      </c>
      <c r="G147" s="7" t="s">
        <v>422</v>
      </c>
      <c r="H147" s="7"/>
      <c r="I147" s="7"/>
      <c r="J147" s="7">
        <v>109.0</v>
      </c>
      <c r="K147" s="7" t="s">
        <v>13924</v>
      </c>
      <c r="L147" s="7">
        <v>97480.0</v>
      </c>
      <c r="M147" s="7" t="s">
        <v>123</v>
      </c>
      <c r="N147" s="7"/>
      <c r="O147" s="6" t="s">
        <v>13925</v>
      </c>
      <c r="P147" s="42" t="s">
        <v>9112</v>
      </c>
      <c r="Q147" s="43" t="s">
        <v>13811</v>
      </c>
      <c r="R147" s="50"/>
      <c r="S147" s="51"/>
      <c r="T147" s="6" t="s">
        <v>13926</v>
      </c>
      <c r="U147" s="6" t="s">
        <v>13927</v>
      </c>
      <c r="V147" s="7"/>
      <c r="W147" s="6" t="s">
        <v>13928</v>
      </c>
      <c r="X147" s="7" t="s">
        <v>9111</v>
      </c>
      <c r="Y147" s="7" t="s">
        <v>8231</v>
      </c>
      <c r="Z147" s="7" t="s">
        <v>8505</v>
      </c>
      <c r="AA147" s="7" t="s">
        <v>9117</v>
      </c>
      <c r="AB147" s="7" t="s">
        <v>1590</v>
      </c>
      <c r="AC147" s="7"/>
      <c r="AD147" s="7"/>
      <c r="AE147" s="6" t="s">
        <v>401</v>
      </c>
      <c r="AF147" s="45">
        <v>45265.667025462964</v>
      </c>
      <c r="AG147" s="7" t="s">
        <v>13814</v>
      </c>
      <c r="AH147" s="46" t="s">
        <v>13929</v>
      </c>
      <c r="AI147" s="7"/>
      <c r="AJ147" s="6" t="s">
        <v>13930</v>
      </c>
      <c r="AK147" s="6" t="b">
        <v>1</v>
      </c>
      <c r="AL147" s="7" t="b">
        <v>0</v>
      </c>
      <c r="AM147" s="6" t="s">
        <v>13931</v>
      </c>
      <c r="AN147" s="6" t="s">
        <v>9106</v>
      </c>
      <c r="AO147" s="7"/>
      <c r="AP147" s="7"/>
      <c r="AQ147" s="6" t="b">
        <v>0</v>
      </c>
      <c r="AR147" s="6"/>
      <c r="AS147" s="6" t="s">
        <v>12303</v>
      </c>
    </row>
    <row r="148" ht="19.5" customHeight="1">
      <c r="A148" s="7" t="s">
        <v>5388</v>
      </c>
      <c r="B148" s="7" t="s">
        <v>13932</v>
      </c>
      <c r="C148" s="7" t="s">
        <v>58</v>
      </c>
      <c r="D148" s="7" t="s">
        <v>137</v>
      </c>
      <c r="E148" s="7" t="s">
        <v>1091</v>
      </c>
      <c r="F148" s="7">
        <v>25.0</v>
      </c>
      <c r="G148" s="7" t="s">
        <v>4306</v>
      </c>
      <c r="H148" s="7"/>
      <c r="I148" s="7"/>
      <c r="J148" s="41" t="s">
        <v>13933</v>
      </c>
      <c r="K148" s="7" t="s">
        <v>13934</v>
      </c>
      <c r="L148" s="7">
        <v>97480.0</v>
      </c>
      <c r="M148" s="7" t="s">
        <v>123</v>
      </c>
      <c r="N148" s="6" t="s">
        <v>13934</v>
      </c>
      <c r="O148" s="7" t="s">
        <v>5397</v>
      </c>
      <c r="P148" s="42" t="s">
        <v>13935</v>
      </c>
      <c r="Q148" s="43" t="s">
        <v>13936</v>
      </c>
      <c r="R148" s="50"/>
      <c r="S148" s="51"/>
      <c r="T148" s="6" t="s">
        <v>13937</v>
      </c>
      <c r="U148" s="6" t="s">
        <v>13938</v>
      </c>
      <c r="V148" s="6" t="s">
        <v>13939</v>
      </c>
      <c r="W148" s="6" t="s">
        <v>13940</v>
      </c>
      <c r="X148" s="7" t="s">
        <v>2842</v>
      </c>
      <c r="Y148" s="7" t="s">
        <v>439</v>
      </c>
      <c r="Z148" s="7" t="s">
        <v>353</v>
      </c>
      <c r="AA148" s="7"/>
      <c r="AB148" s="7"/>
      <c r="AC148" s="7"/>
      <c r="AD148" s="7"/>
      <c r="AE148" s="6" t="s">
        <v>401</v>
      </c>
      <c r="AF148" s="63">
        <v>46015.459375</v>
      </c>
      <c r="AG148" s="6" t="s">
        <v>13941</v>
      </c>
      <c r="AH148" s="46" t="s">
        <v>13942</v>
      </c>
      <c r="AI148" s="7"/>
      <c r="AJ148" s="6" t="s">
        <v>13943</v>
      </c>
      <c r="AK148" s="7" t="b">
        <v>0</v>
      </c>
      <c r="AL148" s="7" t="b">
        <v>0</v>
      </c>
      <c r="AM148" s="6" t="s">
        <v>5398</v>
      </c>
      <c r="AN148" s="6" t="s">
        <v>5388</v>
      </c>
      <c r="AO148" s="6">
        <v>910.0</v>
      </c>
      <c r="AP148" s="6"/>
      <c r="AQ148" s="6" t="b">
        <v>1</v>
      </c>
      <c r="AR148" s="6"/>
      <c r="AS148" s="6" t="s">
        <v>12303</v>
      </c>
    </row>
    <row r="149" ht="19.5" customHeight="1">
      <c r="A149" s="7" t="s">
        <v>9448</v>
      </c>
      <c r="B149" s="7" t="s">
        <v>13932</v>
      </c>
      <c r="C149" s="7" t="s">
        <v>34</v>
      </c>
      <c r="D149" s="7" t="s">
        <v>485</v>
      </c>
      <c r="E149" s="7" t="s">
        <v>486</v>
      </c>
      <c r="F149" s="7">
        <v>45.0</v>
      </c>
      <c r="G149" s="7"/>
      <c r="H149" s="7"/>
      <c r="I149" s="7"/>
      <c r="J149" s="41" t="s">
        <v>13933</v>
      </c>
      <c r="K149" s="6" t="s">
        <v>13934</v>
      </c>
      <c r="L149" s="7">
        <v>97480.0</v>
      </c>
      <c r="M149" s="7" t="s">
        <v>123</v>
      </c>
      <c r="N149" s="7"/>
      <c r="O149" s="7" t="s">
        <v>9105</v>
      </c>
      <c r="P149" s="42" t="s">
        <v>13935</v>
      </c>
      <c r="Q149" s="43" t="s">
        <v>13936</v>
      </c>
      <c r="R149" s="50"/>
      <c r="S149" s="51"/>
      <c r="T149" s="7"/>
      <c r="U149" s="6" t="s">
        <v>13944</v>
      </c>
      <c r="V149" s="7"/>
      <c r="W149" s="7"/>
      <c r="X149" s="7"/>
      <c r="Y149" s="7"/>
      <c r="Z149" s="7"/>
      <c r="AA149" s="7"/>
      <c r="AB149" s="7"/>
      <c r="AC149" s="7"/>
      <c r="AD149" s="7"/>
      <c r="AE149" s="6" t="s">
        <v>401</v>
      </c>
      <c r="AF149" s="45">
        <v>45442.63140046296</v>
      </c>
      <c r="AG149" s="7" t="s">
        <v>13941</v>
      </c>
      <c r="AH149" s="46" t="s">
        <v>13945</v>
      </c>
      <c r="AI149" s="7"/>
      <c r="AJ149" s="6" t="s">
        <v>13946</v>
      </c>
      <c r="AK149" s="7" t="b">
        <v>0</v>
      </c>
      <c r="AL149" s="7" t="b">
        <v>0</v>
      </c>
      <c r="AM149" s="7"/>
      <c r="AN149" s="6" t="s">
        <v>9448</v>
      </c>
      <c r="AO149" s="7"/>
      <c r="AP149" s="7"/>
      <c r="AQ149" s="6" t="b">
        <v>0</v>
      </c>
      <c r="AR149" s="6"/>
      <c r="AS149" s="6" t="s">
        <v>12303</v>
      </c>
    </row>
    <row r="150" ht="19.5" customHeight="1">
      <c r="A150" s="7" t="s">
        <v>9206</v>
      </c>
      <c r="B150" s="7" t="s">
        <v>13947</v>
      </c>
      <c r="C150" s="7" t="s">
        <v>58</v>
      </c>
      <c r="D150" s="7" t="s">
        <v>453</v>
      </c>
      <c r="E150" s="7" t="s">
        <v>454</v>
      </c>
      <c r="F150" s="7">
        <v>2.0</v>
      </c>
      <c r="G150" s="7" t="s">
        <v>422</v>
      </c>
      <c r="H150" s="7"/>
      <c r="I150" s="7"/>
      <c r="J150" s="41" t="s">
        <v>13948</v>
      </c>
      <c r="K150" s="6" t="s">
        <v>13949</v>
      </c>
      <c r="L150" s="7">
        <v>97480.0</v>
      </c>
      <c r="M150" s="7" t="s">
        <v>123</v>
      </c>
      <c r="N150" s="7"/>
      <c r="O150" s="6" t="s">
        <v>13950</v>
      </c>
      <c r="P150" s="42" t="s">
        <v>9212</v>
      </c>
      <c r="Q150" s="43" t="s">
        <v>13951</v>
      </c>
      <c r="R150" s="43" t="s">
        <v>13952</v>
      </c>
      <c r="S150" s="51"/>
      <c r="T150" s="6" t="s">
        <v>13953</v>
      </c>
      <c r="U150" s="6" t="s">
        <v>13954</v>
      </c>
      <c r="V150" s="7"/>
      <c r="W150" s="6" t="s">
        <v>13955</v>
      </c>
      <c r="X150" s="7" t="s">
        <v>9211</v>
      </c>
      <c r="Y150" s="6" t="s">
        <v>377</v>
      </c>
      <c r="Z150" s="7" t="s">
        <v>353</v>
      </c>
      <c r="AA150" s="7" t="s">
        <v>3270</v>
      </c>
      <c r="AB150" s="7" t="s">
        <v>1590</v>
      </c>
      <c r="AC150" s="6">
        <v>8.5259068600014E13</v>
      </c>
      <c r="AD150" s="6">
        <v>8.52590686E8</v>
      </c>
      <c r="AE150" s="6" t="s">
        <v>12355</v>
      </c>
      <c r="AF150" s="45">
        <v>46024.35356481482</v>
      </c>
      <c r="AG150" s="7" t="s">
        <v>13956</v>
      </c>
      <c r="AH150" s="46" t="s">
        <v>13957</v>
      </c>
      <c r="AI150" s="7"/>
      <c r="AJ150" s="6" t="s">
        <v>13958</v>
      </c>
      <c r="AK150" s="7" t="b">
        <v>0</v>
      </c>
      <c r="AL150" s="7" t="b">
        <v>0</v>
      </c>
      <c r="AM150" s="6" t="s">
        <v>9216</v>
      </c>
      <c r="AN150" s="6" t="s">
        <v>9206</v>
      </c>
      <c r="AO150" s="7"/>
      <c r="AP150" s="7"/>
      <c r="AQ150" s="6" t="b">
        <v>0</v>
      </c>
      <c r="AR150" s="6" t="s">
        <v>13959</v>
      </c>
      <c r="AS150" s="6"/>
    </row>
    <row r="151" ht="19.5" customHeight="1">
      <c r="A151" s="7" t="s">
        <v>8858</v>
      </c>
      <c r="B151" s="6" t="s">
        <v>13960</v>
      </c>
      <c r="C151" s="7" t="s">
        <v>58</v>
      </c>
      <c r="D151" s="7" t="s">
        <v>59</v>
      </c>
      <c r="E151" s="7" t="s">
        <v>346</v>
      </c>
      <c r="F151" s="7">
        <v>7.0</v>
      </c>
      <c r="G151" s="7"/>
      <c r="H151" s="6" t="s">
        <v>355</v>
      </c>
      <c r="I151" s="7"/>
      <c r="J151" s="7">
        <v>54.0</v>
      </c>
      <c r="K151" s="6" t="s">
        <v>13961</v>
      </c>
      <c r="L151" s="7">
        <v>97480.0</v>
      </c>
      <c r="M151" s="7" t="s">
        <v>123</v>
      </c>
      <c r="N151" s="7"/>
      <c r="O151" s="6" t="s">
        <v>13962</v>
      </c>
      <c r="P151" s="42" t="s">
        <v>8861</v>
      </c>
      <c r="Q151" s="43" t="s">
        <v>13963</v>
      </c>
      <c r="R151" s="50"/>
      <c r="S151" s="51"/>
      <c r="T151" s="6" t="s">
        <v>13964</v>
      </c>
      <c r="U151" s="6" t="s">
        <v>13965</v>
      </c>
      <c r="V151" s="7"/>
      <c r="W151" s="6" t="s">
        <v>13966</v>
      </c>
      <c r="X151" s="7"/>
      <c r="Y151" s="6" t="s">
        <v>4973</v>
      </c>
      <c r="Z151" s="7" t="s">
        <v>592</v>
      </c>
      <c r="AA151" s="7"/>
      <c r="AB151" s="7"/>
      <c r="AC151" s="7"/>
      <c r="AD151" s="7"/>
      <c r="AE151" s="6" t="s">
        <v>401</v>
      </c>
      <c r="AF151" s="63">
        <v>45890.41898148148</v>
      </c>
      <c r="AG151" s="7" t="s">
        <v>13967</v>
      </c>
      <c r="AH151" s="46" t="s">
        <v>13968</v>
      </c>
      <c r="AI151" s="7"/>
      <c r="AJ151" s="6" t="s">
        <v>13969</v>
      </c>
      <c r="AK151" s="7" t="b">
        <v>0</v>
      </c>
      <c r="AL151" s="7" t="b">
        <v>0</v>
      </c>
      <c r="AM151" s="6" t="s">
        <v>8865</v>
      </c>
      <c r="AN151" s="6" t="s">
        <v>8858</v>
      </c>
      <c r="AO151" s="7"/>
      <c r="AP151" s="7"/>
      <c r="AQ151" s="6" t="b">
        <v>0</v>
      </c>
      <c r="AR151" s="6" t="s">
        <v>13970</v>
      </c>
      <c r="AS151" s="6"/>
    </row>
    <row r="152" ht="19.5" customHeight="1">
      <c r="A152" s="7" t="s">
        <v>10128</v>
      </c>
      <c r="B152" s="7" t="s">
        <v>10129</v>
      </c>
      <c r="C152" s="7" t="s">
        <v>58</v>
      </c>
      <c r="D152" s="7" t="s">
        <v>59</v>
      </c>
      <c r="E152" s="7" t="s">
        <v>346</v>
      </c>
      <c r="F152" s="7">
        <v>6.0</v>
      </c>
      <c r="G152" s="6" t="s">
        <v>455</v>
      </c>
      <c r="H152" s="7"/>
      <c r="I152" s="7"/>
      <c r="J152" s="7">
        <v>14.0</v>
      </c>
      <c r="K152" s="7" t="s">
        <v>13388</v>
      </c>
      <c r="L152" s="7">
        <v>97480.0</v>
      </c>
      <c r="M152" s="7" t="s">
        <v>123</v>
      </c>
      <c r="N152" s="6" t="s">
        <v>12446</v>
      </c>
      <c r="O152" s="6" t="s">
        <v>13971</v>
      </c>
      <c r="P152" s="42" t="s">
        <v>8451</v>
      </c>
      <c r="Q152" s="49" t="s">
        <v>13972</v>
      </c>
      <c r="R152" s="50" t="s">
        <v>12350</v>
      </c>
      <c r="S152" s="51"/>
      <c r="T152" s="6" t="s">
        <v>13973</v>
      </c>
      <c r="U152" s="6" t="s">
        <v>13974</v>
      </c>
      <c r="V152" s="6" t="s">
        <v>13975</v>
      </c>
      <c r="W152" s="6" t="s">
        <v>13976</v>
      </c>
      <c r="X152" s="6" t="s">
        <v>13977</v>
      </c>
      <c r="Y152" s="6" t="s">
        <v>13978</v>
      </c>
      <c r="Z152" s="6" t="s">
        <v>592</v>
      </c>
      <c r="AA152" s="7"/>
      <c r="AB152" s="7"/>
      <c r="AC152" s="7"/>
      <c r="AD152" s="7"/>
      <c r="AE152" s="6" t="s">
        <v>12355</v>
      </c>
      <c r="AF152" s="45">
        <v>45811.365798611114</v>
      </c>
      <c r="AG152" s="7" t="s">
        <v>13979</v>
      </c>
      <c r="AH152" s="46" t="s">
        <v>13980</v>
      </c>
      <c r="AI152" s="7"/>
      <c r="AJ152" s="6" t="s">
        <v>13981</v>
      </c>
      <c r="AK152" s="7" t="b">
        <v>0</v>
      </c>
      <c r="AL152" s="6" t="b">
        <v>1</v>
      </c>
      <c r="AM152" s="6" t="s">
        <v>8455</v>
      </c>
      <c r="AN152" s="6" t="s">
        <v>10128</v>
      </c>
      <c r="AO152" s="7"/>
      <c r="AP152" s="7"/>
      <c r="AQ152" s="6" t="b">
        <v>0</v>
      </c>
      <c r="AR152" s="6"/>
      <c r="AS152" s="6"/>
    </row>
    <row r="153" ht="19.5" customHeight="1">
      <c r="A153" s="7" t="s">
        <v>9530</v>
      </c>
      <c r="B153" s="7" t="s">
        <v>9531</v>
      </c>
      <c r="C153" s="7" t="s">
        <v>58</v>
      </c>
      <c r="D153" s="7" t="s">
        <v>59</v>
      </c>
      <c r="E153" s="7"/>
      <c r="F153" s="7">
        <v>4.0</v>
      </c>
      <c r="G153" s="7"/>
      <c r="H153" s="7"/>
      <c r="I153" s="7"/>
      <c r="J153" s="7"/>
      <c r="K153" s="7" t="s">
        <v>13982</v>
      </c>
      <c r="L153" s="7">
        <v>97480.0</v>
      </c>
      <c r="M153" s="7" t="s">
        <v>123</v>
      </c>
      <c r="N153" s="7"/>
      <c r="O153" s="7" t="s">
        <v>8369</v>
      </c>
      <c r="P153" s="42" t="s">
        <v>9533</v>
      </c>
      <c r="Q153" s="43" t="s">
        <v>13983</v>
      </c>
      <c r="R153" s="50"/>
      <c r="S153" s="51"/>
      <c r="T153" s="7"/>
      <c r="U153" s="7"/>
      <c r="V153" s="7"/>
      <c r="W153" s="7"/>
      <c r="X153" s="7"/>
      <c r="Y153" s="7"/>
      <c r="Z153" s="7"/>
      <c r="AA153" s="7"/>
      <c r="AB153" s="7"/>
      <c r="AC153" s="7"/>
      <c r="AD153" s="7"/>
      <c r="AE153" s="6" t="s">
        <v>12355</v>
      </c>
      <c r="AF153" s="63">
        <v>45264.370891203704</v>
      </c>
      <c r="AG153" s="7" t="s">
        <v>13984</v>
      </c>
      <c r="AH153" s="46" t="s">
        <v>13985</v>
      </c>
      <c r="AI153" s="7"/>
      <c r="AJ153" s="7"/>
      <c r="AK153" s="7" t="b">
        <v>0</v>
      </c>
      <c r="AL153" s="7" t="b">
        <v>0</v>
      </c>
      <c r="AM153" s="6" t="s">
        <v>9536</v>
      </c>
      <c r="AN153" s="6" t="s">
        <v>9530</v>
      </c>
      <c r="AO153" s="7"/>
      <c r="AP153" s="7"/>
      <c r="AQ153" s="6" t="b">
        <v>0</v>
      </c>
      <c r="AR153" s="6" t="s">
        <v>13986</v>
      </c>
      <c r="AS153" s="6"/>
    </row>
    <row r="154" ht="19.5" customHeight="1">
      <c r="A154" s="7" t="s">
        <v>9189</v>
      </c>
      <c r="B154" s="6" t="s">
        <v>13987</v>
      </c>
      <c r="C154" s="7" t="s">
        <v>58</v>
      </c>
      <c r="D154" s="7" t="s">
        <v>453</v>
      </c>
      <c r="E154" s="7" t="s">
        <v>454</v>
      </c>
      <c r="F154" s="7">
        <v>36.0</v>
      </c>
      <c r="G154" s="7"/>
      <c r="H154" s="7"/>
      <c r="I154" s="7"/>
      <c r="J154" s="41" t="s">
        <v>13933</v>
      </c>
      <c r="K154" s="7" t="s">
        <v>9191</v>
      </c>
      <c r="L154" s="7">
        <v>97418.0</v>
      </c>
      <c r="M154" s="7" t="s">
        <v>71</v>
      </c>
      <c r="N154" s="7" t="s">
        <v>216</v>
      </c>
      <c r="O154" s="7" t="s">
        <v>9196</v>
      </c>
      <c r="P154" s="53" t="s">
        <v>13988</v>
      </c>
      <c r="Q154" s="43" t="s">
        <v>13989</v>
      </c>
      <c r="R154" s="50"/>
      <c r="S154" s="47" t="s">
        <v>9192</v>
      </c>
      <c r="T154" s="7"/>
      <c r="U154" s="7"/>
      <c r="V154" s="7"/>
      <c r="W154" s="7"/>
      <c r="X154" s="7"/>
      <c r="Y154" s="7"/>
      <c r="Z154" s="7"/>
      <c r="AA154" s="7"/>
      <c r="AB154" s="7"/>
      <c r="AC154" s="7"/>
      <c r="AD154" s="7"/>
      <c r="AE154" s="6" t="s">
        <v>12355</v>
      </c>
      <c r="AF154" s="45">
        <v>45261.607523148145</v>
      </c>
      <c r="AG154" s="7" t="s">
        <v>13990</v>
      </c>
      <c r="AH154" s="46" t="s">
        <v>13991</v>
      </c>
      <c r="AI154" s="7"/>
      <c r="AJ154" s="6" t="s">
        <v>13992</v>
      </c>
      <c r="AK154" s="7" t="b">
        <v>0</v>
      </c>
      <c r="AL154" s="7" t="b">
        <v>0</v>
      </c>
      <c r="AM154" s="6" t="s">
        <v>9197</v>
      </c>
      <c r="AN154" s="6" t="s">
        <v>9189</v>
      </c>
      <c r="AO154" s="7"/>
      <c r="AP154" s="7"/>
      <c r="AQ154" s="6" t="b">
        <v>0</v>
      </c>
      <c r="AR154" s="6" t="s">
        <v>13993</v>
      </c>
      <c r="AS154" s="48" t="s">
        <v>12303</v>
      </c>
    </row>
    <row r="155" ht="19.5" customHeight="1">
      <c r="A155" s="9" t="s">
        <v>10368</v>
      </c>
      <c r="B155" s="9" t="s">
        <v>13994</v>
      </c>
      <c r="C155" s="9" t="s">
        <v>58</v>
      </c>
      <c r="D155" s="9" t="s">
        <v>59</v>
      </c>
      <c r="E155" s="9" t="s">
        <v>374</v>
      </c>
      <c r="F155" s="9">
        <v>4.0</v>
      </c>
      <c r="G155" s="9" t="s">
        <v>455</v>
      </c>
      <c r="H155" s="9" t="s">
        <v>395</v>
      </c>
      <c r="J155" s="52" t="s">
        <v>12720</v>
      </c>
      <c r="K155" s="9" t="s">
        <v>13995</v>
      </c>
      <c r="L155" s="9">
        <v>97430.0</v>
      </c>
      <c r="M155" s="9" t="s">
        <v>71</v>
      </c>
      <c r="N155" s="9" t="s">
        <v>12698</v>
      </c>
      <c r="O155" s="9" t="s">
        <v>13996</v>
      </c>
      <c r="P155" s="53" t="s">
        <v>13997</v>
      </c>
      <c r="Q155" s="49" t="s">
        <v>13998</v>
      </c>
      <c r="R155" s="50"/>
      <c r="S155" s="54"/>
      <c r="T155" s="9" t="s">
        <v>13999</v>
      </c>
      <c r="U155" s="9" t="s">
        <v>14000</v>
      </c>
      <c r="V155" s="9" t="s">
        <v>14001</v>
      </c>
      <c r="W155" s="9" t="s">
        <v>14002</v>
      </c>
      <c r="X155" s="9" t="s">
        <v>14003</v>
      </c>
      <c r="Y155" s="9" t="s">
        <v>13011</v>
      </c>
      <c r="Z155" s="9" t="s">
        <v>592</v>
      </c>
      <c r="AC155" s="9">
        <v>9.0497870700019E13</v>
      </c>
      <c r="AD155" s="9">
        <v>9.04978707E8</v>
      </c>
      <c r="AE155" s="9" t="s">
        <v>401</v>
      </c>
      <c r="AF155" s="55">
        <v>45261.58457175926</v>
      </c>
      <c r="AG155" s="9" t="s">
        <v>14004</v>
      </c>
      <c r="AH155" s="9" t="s">
        <v>14005</v>
      </c>
      <c r="AJ155" s="9" t="s">
        <v>14006</v>
      </c>
      <c r="AK155" s="9" t="b">
        <v>0</v>
      </c>
      <c r="AL155" s="9" t="b">
        <v>0</v>
      </c>
      <c r="AM155" s="9" t="s">
        <v>14007</v>
      </c>
      <c r="AN155" s="9" t="s">
        <v>10368</v>
      </c>
      <c r="AP155" s="56">
        <v>44874.0</v>
      </c>
      <c r="AQ155" s="9" t="b">
        <v>1</v>
      </c>
      <c r="AR155" s="9" t="s">
        <v>14008</v>
      </c>
    </row>
    <row r="156" ht="19.5" customHeight="1">
      <c r="A156" s="9" t="s">
        <v>10370</v>
      </c>
      <c r="B156" s="9" t="s">
        <v>14009</v>
      </c>
      <c r="C156" s="9" t="s">
        <v>822</v>
      </c>
      <c r="D156" s="9" t="s">
        <v>14010</v>
      </c>
      <c r="E156" s="9" t="s">
        <v>1406</v>
      </c>
      <c r="F156" s="9"/>
      <c r="G156" s="9" t="s">
        <v>14011</v>
      </c>
      <c r="H156" s="9"/>
      <c r="I156" s="9" t="s">
        <v>14012</v>
      </c>
      <c r="J156" s="9" t="s">
        <v>14013</v>
      </c>
      <c r="K156" s="9" t="s">
        <v>14014</v>
      </c>
      <c r="L156" s="9">
        <v>97480.0</v>
      </c>
      <c r="M156" s="9" t="s">
        <v>123</v>
      </c>
      <c r="N156" s="9" t="s">
        <v>7743</v>
      </c>
      <c r="O156" s="9" t="s">
        <v>14015</v>
      </c>
      <c r="P156" s="53" t="s">
        <v>14016</v>
      </c>
      <c r="Q156" s="49" t="s">
        <v>14017</v>
      </c>
      <c r="R156" s="50"/>
      <c r="S156" s="58" t="s">
        <v>14018</v>
      </c>
      <c r="T156" s="9" t="s">
        <v>14019</v>
      </c>
      <c r="U156" s="9" t="s">
        <v>14009</v>
      </c>
      <c r="V156" s="9" t="s">
        <v>14020</v>
      </c>
      <c r="W156" s="9" t="s">
        <v>14021</v>
      </c>
      <c r="X156" s="9" t="s">
        <v>14022</v>
      </c>
      <c r="Y156" s="9"/>
      <c r="Z156" s="9" t="s">
        <v>353</v>
      </c>
      <c r="AC156" s="9">
        <v>8.0889411700031E13</v>
      </c>
      <c r="AD156" s="9">
        <v>8.08894117E8</v>
      </c>
      <c r="AE156" s="9" t="s">
        <v>401</v>
      </c>
      <c r="AF156" s="55">
        <v>46077.36709490741</v>
      </c>
      <c r="AG156" s="9" t="s">
        <v>14023</v>
      </c>
      <c r="AH156" s="9" t="s">
        <v>14024</v>
      </c>
      <c r="AJ156" s="9" t="s">
        <v>14025</v>
      </c>
      <c r="AK156" s="9" t="b">
        <v>0</v>
      </c>
      <c r="AL156" s="9" t="b">
        <v>0</v>
      </c>
      <c r="AM156" s="9"/>
      <c r="AN156" s="9" t="s">
        <v>10370</v>
      </c>
      <c r="AP156" s="56">
        <v>45247.0</v>
      </c>
      <c r="AQ156" s="9" t="b">
        <v>0</v>
      </c>
      <c r="AR156" s="9"/>
    </row>
    <row r="157" ht="19.5" customHeight="1">
      <c r="A157" s="7" t="s">
        <v>8677</v>
      </c>
      <c r="B157" s="6" t="s">
        <v>8678</v>
      </c>
      <c r="C157" s="7" t="s">
        <v>58</v>
      </c>
      <c r="D157" s="7" t="s">
        <v>59</v>
      </c>
      <c r="E157" s="7" t="s">
        <v>346</v>
      </c>
      <c r="F157" s="7">
        <v>8.0</v>
      </c>
      <c r="G157" s="7"/>
      <c r="H157" s="7"/>
      <c r="I157" s="7"/>
      <c r="J157" s="7">
        <v>7.0</v>
      </c>
      <c r="K157" s="7" t="s">
        <v>14026</v>
      </c>
      <c r="L157" s="7">
        <v>97480.0</v>
      </c>
      <c r="M157" s="7" t="s">
        <v>123</v>
      </c>
      <c r="N157" s="7"/>
      <c r="O157" s="7" t="s">
        <v>8685</v>
      </c>
      <c r="P157" s="42" t="s">
        <v>8680</v>
      </c>
      <c r="Q157" s="43" t="s">
        <v>14027</v>
      </c>
      <c r="R157" s="50"/>
      <c r="S157" s="51"/>
      <c r="T157" s="7" t="s">
        <v>8681</v>
      </c>
      <c r="U157" s="7"/>
      <c r="V157" s="7"/>
      <c r="W157" s="7"/>
      <c r="X157" s="7"/>
      <c r="Y157" s="7"/>
      <c r="Z157" s="7"/>
      <c r="AA157" s="7" t="s">
        <v>8686</v>
      </c>
      <c r="AB157" s="7" t="s">
        <v>1590</v>
      </c>
      <c r="AC157" s="7"/>
      <c r="AD157" s="7"/>
      <c r="AE157" s="6" t="s">
        <v>12355</v>
      </c>
      <c r="AF157" s="63">
        <v>45261.54153935185</v>
      </c>
      <c r="AG157" s="7" t="s">
        <v>14028</v>
      </c>
      <c r="AH157" s="46" t="s">
        <v>14029</v>
      </c>
      <c r="AI157" s="7"/>
      <c r="AJ157" s="7"/>
      <c r="AK157" s="7" t="b">
        <v>0</v>
      </c>
      <c r="AL157" s="7" t="b">
        <v>0</v>
      </c>
      <c r="AM157" s="6" t="s">
        <v>8687</v>
      </c>
      <c r="AN157" s="6" t="s">
        <v>8677</v>
      </c>
      <c r="AO157" s="7"/>
      <c r="AP157" s="7"/>
      <c r="AQ157" s="6" t="b">
        <v>0</v>
      </c>
      <c r="AR157" s="6" t="s">
        <v>14030</v>
      </c>
      <c r="AS157" s="6"/>
    </row>
    <row r="158" ht="19.5" customHeight="1">
      <c r="A158" s="7" t="s">
        <v>5472</v>
      </c>
      <c r="B158" s="6" t="s">
        <v>14031</v>
      </c>
      <c r="C158" s="7" t="s">
        <v>822</v>
      </c>
      <c r="D158" s="7" t="s">
        <v>4789</v>
      </c>
      <c r="E158" s="7" t="s">
        <v>4790</v>
      </c>
      <c r="F158" s="7">
        <v>15.0</v>
      </c>
      <c r="G158" s="7" t="s">
        <v>455</v>
      </c>
      <c r="H158" s="7"/>
      <c r="I158" s="6" t="s">
        <v>12888</v>
      </c>
      <c r="J158" s="7">
        <v>15.0</v>
      </c>
      <c r="K158" s="7" t="s">
        <v>14032</v>
      </c>
      <c r="L158" s="7">
        <v>97480.0</v>
      </c>
      <c r="M158" s="7" t="s">
        <v>123</v>
      </c>
      <c r="N158" s="6" t="s">
        <v>8383</v>
      </c>
      <c r="O158" s="7" t="s">
        <v>5482</v>
      </c>
      <c r="P158" s="42" t="s">
        <v>5476</v>
      </c>
      <c r="Q158" s="43" t="s">
        <v>14033</v>
      </c>
      <c r="R158" s="43" t="s">
        <v>14034</v>
      </c>
      <c r="S158" s="47" t="s">
        <v>5475</v>
      </c>
      <c r="T158" s="7" t="s">
        <v>5478</v>
      </c>
      <c r="U158" s="7" t="s">
        <v>5477</v>
      </c>
      <c r="V158" s="7"/>
      <c r="W158" s="6" t="s">
        <v>14035</v>
      </c>
      <c r="X158" s="6" t="s">
        <v>14036</v>
      </c>
      <c r="Y158" s="7" t="s">
        <v>377</v>
      </c>
      <c r="Z158" s="7" t="s">
        <v>424</v>
      </c>
      <c r="AA158" s="7"/>
      <c r="AB158" s="7"/>
      <c r="AC158" s="7">
        <v>8.1817059900018E13</v>
      </c>
      <c r="AD158" s="7">
        <v>8.18170599E8</v>
      </c>
      <c r="AE158" s="6" t="s">
        <v>401</v>
      </c>
      <c r="AF158" s="45">
        <v>45400.76424768518</v>
      </c>
      <c r="AG158" s="7" t="s">
        <v>14037</v>
      </c>
      <c r="AH158" s="46" t="s">
        <v>14038</v>
      </c>
      <c r="AI158" s="7"/>
      <c r="AJ158" s="6" t="s">
        <v>14039</v>
      </c>
      <c r="AK158" s="7" t="b">
        <v>0</v>
      </c>
      <c r="AL158" s="7" t="b">
        <v>0</v>
      </c>
      <c r="AM158" s="7"/>
      <c r="AN158" s="6" t="s">
        <v>5472</v>
      </c>
      <c r="AO158" s="6">
        <v>2031.0</v>
      </c>
      <c r="AP158" s="6"/>
      <c r="AQ158" s="6" t="b">
        <v>1</v>
      </c>
      <c r="AR158" s="6" t="s">
        <v>14040</v>
      </c>
      <c r="AS158" s="6" t="s">
        <v>12303</v>
      </c>
    </row>
    <row r="159" ht="19.5" customHeight="1">
      <c r="A159" s="7" t="s">
        <v>8224</v>
      </c>
      <c r="B159" s="6" t="s">
        <v>14041</v>
      </c>
      <c r="C159" s="6" t="s">
        <v>117</v>
      </c>
      <c r="D159" s="7" t="s">
        <v>197</v>
      </c>
      <c r="E159" s="7" t="s">
        <v>8228</v>
      </c>
      <c r="F159" s="6">
        <v>2.0</v>
      </c>
      <c r="G159" s="7" t="s">
        <v>664</v>
      </c>
      <c r="H159" s="7"/>
      <c r="I159" s="7"/>
      <c r="J159" s="7">
        <v>108.0</v>
      </c>
      <c r="K159" s="7" t="s">
        <v>14042</v>
      </c>
      <c r="L159" s="7">
        <v>97430.0</v>
      </c>
      <c r="M159" s="7" t="s">
        <v>71</v>
      </c>
      <c r="N159" s="7"/>
      <c r="O159" s="6" t="s">
        <v>14043</v>
      </c>
      <c r="P159" s="42" t="s">
        <v>14044</v>
      </c>
      <c r="Q159" s="43" t="s">
        <v>14045</v>
      </c>
      <c r="R159" s="50"/>
      <c r="S159" s="51"/>
      <c r="T159" s="6" t="s">
        <v>14046</v>
      </c>
      <c r="U159" s="6" t="s">
        <v>14047</v>
      </c>
      <c r="V159" s="6" t="s">
        <v>14048</v>
      </c>
      <c r="W159" s="6" t="s">
        <v>1999</v>
      </c>
      <c r="X159" s="6" t="s">
        <v>14049</v>
      </c>
      <c r="Y159" s="7" t="s">
        <v>8231</v>
      </c>
      <c r="Z159" s="7" t="s">
        <v>8232</v>
      </c>
      <c r="AA159" s="7"/>
      <c r="AB159" s="7"/>
      <c r="AC159" s="7">
        <v>5.2539124900014E13</v>
      </c>
      <c r="AD159" s="7">
        <v>5.25391249E8</v>
      </c>
      <c r="AE159" s="6" t="s">
        <v>401</v>
      </c>
      <c r="AF159" s="63">
        <v>45260.59658564815</v>
      </c>
      <c r="AG159" s="7" t="s">
        <v>14050</v>
      </c>
      <c r="AH159" s="46" t="s">
        <v>14051</v>
      </c>
      <c r="AI159" s="7"/>
      <c r="AJ159" s="6" t="s">
        <v>14052</v>
      </c>
      <c r="AK159" s="6" t="b">
        <v>1</v>
      </c>
      <c r="AL159" s="7" t="b">
        <v>0</v>
      </c>
      <c r="AM159" s="7"/>
      <c r="AN159" s="6" t="s">
        <v>8224</v>
      </c>
      <c r="AO159" s="7"/>
      <c r="AP159" s="7"/>
      <c r="AQ159" s="6" t="b">
        <v>0</v>
      </c>
      <c r="AR159" s="6" t="s">
        <v>14053</v>
      </c>
      <c r="AS159" s="6"/>
    </row>
    <row r="160" ht="19.5" customHeight="1">
      <c r="A160" s="9" t="s">
        <v>10378</v>
      </c>
      <c r="B160" s="9" t="s">
        <v>14054</v>
      </c>
      <c r="C160" s="9" t="s">
        <v>58</v>
      </c>
      <c r="D160" s="9" t="s">
        <v>137</v>
      </c>
      <c r="E160" s="9" t="s">
        <v>346</v>
      </c>
      <c r="F160" s="9">
        <v>14.0</v>
      </c>
      <c r="G160" s="9" t="s">
        <v>422</v>
      </c>
      <c r="H160" s="9" t="s">
        <v>574</v>
      </c>
      <c r="I160" s="9" t="s">
        <v>578</v>
      </c>
      <c r="J160" s="9" t="s">
        <v>14055</v>
      </c>
      <c r="K160" s="9" t="s">
        <v>14056</v>
      </c>
      <c r="L160" s="9">
        <v>97414.0</v>
      </c>
      <c r="M160" s="9" t="s">
        <v>40</v>
      </c>
      <c r="N160" s="9" t="s">
        <v>8701</v>
      </c>
      <c r="O160" s="9" t="s">
        <v>14057</v>
      </c>
      <c r="P160" s="53" t="s">
        <v>14058</v>
      </c>
      <c r="Q160" s="49" t="s">
        <v>14059</v>
      </c>
      <c r="R160" s="50"/>
      <c r="S160" s="54" t="s">
        <v>14060</v>
      </c>
      <c r="T160" s="9" t="s">
        <v>14061</v>
      </c>
      <c r="U160" s="9" t="s">
        <v>14062</v>
      </c>
      <c r="V160" s="9" t="s">
        <v>14063</v>
      </c>
      <c r="W160" s="9" t="s">
        <v>14064</v>
      </c>
      <c r="X160" s="9" t="s">
        <v>14065</v>
      </c>
      <c r="Y160" s="9" t="s">
        <v>2390</v>
      </c>
      <c r="Z160" s="9" t="s">
        <v>393</v>
      </c>
      <c r="AC160" s="9">
        <v>9.0235089100013E13</v>
      </c>
      <c r="AD160" s="9">
        <v>9.02350891E8</v>
      </c>
      <c r="AE160" s="9" t="s">
        <v>401</v>
      </c>
      <c r="AF160" s="60">
        <v>45877.61019675926</v>
      </c>
      <c r="AG160" s="9" t="s">
        <v>14066</v>
      </c>
      <c r="AH160" s="9" t="s">
        <v>14067</v>
      </c>
      <c r="AJ160" s="9" t="s">
        <v>14068</v>
      </c>
      <c r="AK160" s="9" t="b">
        <v>0</v>
      </c>
      <c r="AL160" s="9" t="b">
        <v>0</v>
      </c>
      <c r="AM160" s="9" t="s">
        <v>14069</v>
      </c>
      <c r="AN160" s="9" t="s">
        <v>10378</v>
      </c>
      <c r="AP160" s="61">
        <v>44551.0</v>
      </c>
      <c r="AQ160" s="9" t="b">
        <v>1</v>
      </c>
      <c r="AR160" s="9" t="s">
        <v>14070</v>
      </c>
      <c r="AS160" s="48" t="s">
        <v>12303</v>
      </c>
    </row>
    <row r="161" ht="19.5" customHeight="1">
      <c r="A161" s="7" t="s">
        <v>8478</v>
      </c>
      <c r="B161" s="6" t="s">
        <v>14071</v>
      </c>
      <c r="C161" s="7" t="s">
        <v>58</v>
      </c>
      <c r="D161" s="7" t="s">
        <v>59</v>
      </c>
      <c r="E161" s="7" t="s">
        <v>346</v>
      </c>
      <c r="F161" s="7">
        <v>8.0</v>
      </c>
      <c r="G161" s="6" t="s">
        <v>422</v>
      </c>
      <c r="H161" s="7"/>
      <c r="I161" s="7"/>
      <c r="J161" s="6" t="s">
        <v>14072</v>
      </c>
      <c r="K161" s="6" t="s">
        <v>14073</v>
      </c>
      <c r="L161" s="7">
        <v>97414.0</v>
      </c>
      <c r="M161" s="7" t="s">
        <v>40</v>
      </c>
      <c r="N161" s="6" t="s">
        <v>12822</v>
      </c>
      <c r="O161" s="7" t="s">
        <v>8485</v>
      </c>
      <c r="P161" s="42" t="s">
        <v>8481</v>
      </c>
      <c r="Q161" s="49" t="s">
        <v>14074</v>
      </c>
      <c r="R161" s="50"/>
      <c r="S161" s="44" t="s">
        <v>14075</v>
      </c>
      <c r="T161" s="6" t="s">
        <v>14076</v>
      </c>
      <c r="U161" s="6" t="s">
        <v>14077</v>
      </c>
      <c r="V161" s="6" t="s">
        <v>14078</v>
      </c>
      <c r="W161" s="6" t="s">
        <v>14079</v>
      </c>
      <c r="X161" s="6" t="s">
        <v>14080</v>
      </c>
      <c r="Y161" s="6" t="s">
        <v>13684</v>
      </c>
      <c r="Z161" s="6" t="s">
        <v>353</v>
      </c>
      <c r="AA161" s="7"/>
      <c r="AB161" s="7"/>
      <c r="AC161" s="7"/>
      <c r="AD161" s="7"/>
      <c r="AE161" s="6" t="s">
        <v>401</v>
      </c>
      <c r="AF161" s="63">
        <v>45259.63753472222</v>
      </c>
      <c r="AG161" s="7" t="s">
        <v>14081</v>
      </c>
      <c r="AH161" s="46" t="s">
        <v>14082</v>
      </c>
      <c r="AI161" s="7"/>
      <c r="AJ161" s="6" t="s">
        <v>14083</v>
      </c>
      <c r="AK161" s="6" t="b">
        <v>0</v>
      </c>
      <c r="AL161" s="7" t="b">
        <v>0</v>
      </c>
      <c r="AM161" s="6" t="s">
        <v>14084</v>
      </c>
      <c r="AN161" s="6" t="s">
        <v>8478</v>
      </c>
      <c r="AO161" s="7"/>
      <c r="AP161" s="7"/>
      <c r="AQ161" s="6" t="b">
        <v>0</v>
      </c>
      <c r="AR161" s="6"/>
      <c r="AS161" s="48"/>
    </row>
    <row r="162" ht="19.5" customHeight="1">
      <c r="A162" s="9" t="s">
        <v>10380</v>
      </c>
      <c r="B162" s="9" t="s">
        <v>14085</v>
      </c>
      <c r="C162" s="9" t="s">
        <v>58</v>
      </c>
      <c r="D162" s="9" t="s">
        <v>59</v>
      </c>
      <c r="E162" s="9" t="s">
        <v>346</v>
      </c>
      <c r="F162" s="9">
        <v>8.0</v>
      </c>
      <c r="G162" s="9" t="s">
        <v>455</v>
      </c>
      <c r="J162" s="52" t="s">
        <v>14086</v>
      </c>
      <c r="K162" s="9" t="s">
        <v>14087</v>
      </c>
      <c r="L162" s="9">
        <v>97480.0</v>
      </c>
      <c r="M162" s="9" t="s">
        <v>123</v>
      </c>
      <c r="N162" s="9" t="s">
        <v>8325</v>
      </c>
      <c r="O162" s="9" t="s">
        <v>14088</v>
      </c>
      <c r="P162" s="53" t="s">
        <v>14089</v>
      </c>
      <c r="Q162" s="49" t="s">
        <v>14090</v>
      </c>
      <c r="R162" s="50"/>
      <c r="S162" s="54" t="s">
        <v>12350</v>
      </c>
      <c r="T162" s="9" t="s">
        <v>14091</v>
      </c>
      <c r="U162" s="9" t="s">
        <v>14092</v>
      </c>
      <c r="V162" s="9" t="s">
        <v>14093</v>
      </c>
      <c r="W162" s="9" t="s">
        <v>14094</v>
      </c>
      <c r="X162" s="9" t="s">
        <v>14095</v>
      </c>
      <c r="Y162" s="9" t="s">
        <v>499</v>
      </c>
      <c r="Z162" s="9" t="s">
        <v>4369</v>
      </c>
      <c r="AE162" s="9" t="s">
        <v>401</v>
      </c>
      <c r="AF162" s="55">
        <v>45737.37521990741</v>
      </c>
      <c r="AG162" s="9" t="s">
        <v>14096</v>
      </c>
      <c r="AH162" s="9" t="s">
        <v>14097</v>
      </c>
      <c r="AJ162" s="9" t="s">
        <v>14098</v>
      </c>
      <c r="AK162" s="9" t="b">
        <v>1</v>
      </c>
      <c r="AL162" s="9" t="b">
        <v>0</v>
      </c>
      <c r="AM162" s="9" t="s">
        <v>14099</v>
      </c>
      <c r="AN162" s="9" t="s">
        <v>10380</v>
      </c>
      <c r="AP162" s="56">
        <v>44414.0</v>
      </c>
      <c r="AQ162" s="6" t="b">
        <v>0</v>
      </c>
      <c r="AR162" s="6"/>
      <c r="AS162" s="6"/>
    </row>
    <row r="163" ht="19.5" customHeight="1">
      <c r="A163" s="9" t="s">
        <v>269</v>
      </c>
      <c r="B163" s="9" t="s">
        <v>14100</v>
      </c>
      <c r="C163" s="9" t="s">
        <v>822</v>
      </c>
      <c r="D163" s="9" t="s">
        <v>823</v>
      </c>
      <c r="E163" s="9" t="s">
        <v>559</v>
      </c>
      <c r="F163" s="9"/>
      <c r="G163" s="9" t="s">
        <v>455</v>
      </c>
      <c r="H163" s="9"/>
      <c r="I163" s="9"/>
      <c r="J163" s="52" t="s">
        <v>13948</v>
      </c>
      <c r="K163" s="9" t="s">
        <v>14101</v>
      </c>
      <c r="L163" s="9">
        <v>97430.0</v>
      </c>
      <c r="M163" s="9" t="s">
        <v>71</v>
      </c>
      <c r="N163" s="9" t="s">
        <v>13851</v>
      </c>
      <c r="O163" s="9" t="s">
        <v>14102</v>
      </c>
      <c r="P163" s="53" t="s">
        <v>14103</v>
      </c>
      <c r="Q163" s="49" t="s">
        <v>14104</v>
      </c>
      <c r="R163" s="50"/>
      <c r="S163" s="59"/>
      <c r="T163" s="9" t="s">
        <v>14105</v>
      </c>
      <c r="U163" s="9" t="s">
        <v>14106</v>
      </c>
      <c r="V163" s="9" t="s">
        <v>14107</v>
      </c>
      <c r="W163" s="9" t="s">
        <v>14108</v>
      </c>
      <c r="X163" s="9" t="s">
        <v>14109</v>
      </c>
      <c r="Y163" s="9" t="s">
        <v>8231</v>
      </c>
      <c r="Z163" s="9" t="s">
        <v>353</v>
      </c>
      <c r="AC163" s="9">
        <v>5.1494323200074E13</v>
      </c>
      <c r="AD163" s="9">
        <v>5.14943232E8</v>
      </c>
      <c r="AE163" s="9" t="s">
        <v>401</v>
      </c>
      <c r="AF163" s="55">
        <v>45502.58934027778</v>
      </c>
      <c r="AG163" s="9" t="s">
        <v>14110</v>
      </c>
      <c r="AH163" s="9" t="s">
        <v>14111</v>
      </c>
      <c r="AJ163" s="9" t="s">
        <v>14112</v>
      </c>
      <c r="AK163" s="9" t="b">
        <v>1</v>
      </c>
      <c r="AL163" s="9" t="b">
        <v>0</v>
      </c>
      <c r="AM163" s="9"/>
      <c r="AN163" s="9" t="s">
        <v>269</v>
      </c>
      <c r="AP163" s="56">
        <v>45233.0</v>
      </c>
      <c r="AQ163" s="9" t="b">
        <v>0</v>
      </c>
      <c r="AR163" s="9"/>
    </row>
    <row r="164" ht="19.5" customHeight="1">
      <c r="A164" s="7" t="s">
        <v>8987</v>
      </c>
      <c r="B164" s="6" t="s">
        <v>14113</v>
      </c>
      <c r="C164" s="7" t="s">
        <v>34</v>
      </c>
      <c r="D164" s="7" t="s">
        <v>678</v>
      </c>
      <c r="E164" s="6" t="s">
        <v>14114</v>
      </c>
      <c r="F164" s="7"/>
      <c r="G164" s="7"/>
      <c r="H164" s="7"/>
      <c r="I164" s="7"/>
      <c r="J164" s="7" t="s">
        <v>14115</v>
      </c>
      <c r="K164" s="7" t="s">
        <v>14116</v>
      </c>
      <c r="L164" s="7">
        <v>97414.0</v>
      </c>
      <c r="M164" s="7" t="s">
        <v>40</v>
      </c>
      <c r="N164" s="7"/>
      <c r="O164" s="6" t="s">
        <v>14117</v>
      </c>
      <c r="P164" s="42" t="s">
        <v>8990</v>
      </c>
      <c r="Q164" s="43" t="s">
        <v>14118</v>
      </c>
      <c r="R164" s="50"/>
      <c r="S164" s="51"/>
      <c r="T164" s="7"/>
      <c r="U164" s="6" t="s">
        <v>14119</v>
      </c>
      <c r="V164" s="7"/>
      <c r="W164" s="7"/>
      <c r="X164" s="6" t="s">
        <v>14120</v>
      </c>
      <c r="Y164" s="6" t="s">
        <v>8231</v>
      </c>
      <c r="Z164" s="7"/>
      <c r="AA164" s="7"/>
      <c r="AB164" s="7"/>
      <c r="AC164" s="6">
        <v>8.8468316000029E13</v>
      </c>
      <c r="AD164" s="6">
        <v>8.8468316E8</v>
      </c>
      <c r="AE164" s="6" t="s">
        <v>401</v>
      </c>
      <c r="AF164" s="45">
        <v>45442.62204861111</v>
      </c>
      <c r="AG164" s="7" t="s">
        <v>14121</v>
      </c>
      <c r="AH164" s="62" t="s">
        <v>14122</v>
      </c>
      <c r="AI164" s="7"/>
      <c r="AJ164" s="6" t="s">
        <v>14123</v>
      </c>
      <c r="AK164" s="6" t="b">
        <v>1</v>
      </c>
      <c r="AL164" s="7" t="b">
        <v>0</v>
      </c>
      <c r="AM164" s="7"/>
      <c r="AN164" s="6" t="s">
        <v>8987</v>
      </c>
      <c r="AO164" s="7"/>
      <c r="AP164" s="7"/>
      <c r="AQ164" s="6" t="b">
        <v>0</v>
      </c>
      <c r="AR164" s="6"/>
      <c r="AS164" s="48" t="s">
        <v>12303</v>
      </c>
    </row>
    <row r="165" ht="19.5" customHeight="1">
      <c r="A165" s="7" t="s">
        <v>2522</v>
      </c>
      <c r="B165" s="7" t="s">
        <v>2523</v>
      </c>
      <c r="C165" s="7" t="s">
        <v>58</v>
      </c>
      <c r="D165" s="7" t="s">
        <v>59</v>
      </c>
      <c r="E165" s="7" t="s">
        <v>346</v>
      </c>
      <c r="F165" s="6">
        <v>6.0</v>
      </c>
      <c r="G165" s="6" t="s">
        <v>455</v>
      </c>
      <c r="H165" s="7"/>
      <c r="I165" s="7"/>
      <c r="J165" s="41" t="s">
        <v>14124</v>
      </c>
      <c r="K165" s="7" t="s">
        <v>14125</v>
      </c>
      <c r="L165" s="7">
        <v>97430.0</v>
      </c>
      <c r="M165" s="7" t="s">
        <v>71</v>
      </c>
      <c r="N165" s="6" t="s">
        <v>14126</v>
      </c>
      <c r="O165" s="6" t="s">
        <v>14127</v>
      </c>
      <c r="P165" s="42" t="s">
        <v>2527</v>
      </c>
      <c r="Q165" s="49" t="s">
        <v>14128</v>
      </c>
      <c r="R165" s="43" t="s">
        <v>14129</v>
      </c>
      <c r="S165" s="51"/>
      <c r="T165" s="6" t="s">
        <v>14130</v>
      </c>
      <c r="U165" s="6" t="s">
        <v>14131</v>
      </c>
      <c r="V165" s="7" t="s">
        <v>2530</v>
      </c>
      <c r="W165" s="6" t="s">
        <v>14132</v>
      </c>
      <c r="X165" s="7" t="s">
        <v>1611</v>
      </c>
      <c r="Y165" s="7" t="s">
        <v>352</v>
      </c>
      <c r="Z165" s="7" t="s">
        <v>592</v>
      </c>
      <c r="AA165" s="7" t="s">
        <v>2535</v>
      </c>
      <c r="AB165" s="7" t="s">
        <v>1962</v>
      </c>
      <c r="AC165" s="6">
        <v>4.3791271000013E13</v>
      </c>
      <c r="AD165" s="6">
        <v>4.3791271E8</v>
      </c>
      <c r="AE165" s="6" t="s">
        <v>12355</v>
      </c>
      <c r="AF165" s="45">
        <v>45722.4128587963</v>
      </c>
      <c r="AG165" s="7" t="s">
        <v>14133</v>
      </c>
      <c r="AH165" s="46" t="s">
        <v>14134</v>
      </c>
      <c r="AI165" s="7"/>
      <c r="AJ165" s="6" t="s">
        <v>14135</v>
      </c>
      <c r="AK165" s="7" t="b">
        <v>0</v>
      </c>
      <c r="AL165" s="7" t="b">
        <v>0</v>
      </c>
      <c r="AM165" s="6" t="s">
        <v>2536</v>
      </c>
      <c r="AN165" s="6" t="s">
        <v>2522</v>
      </c>
      <c r="AO165" s="6">
        <v>867.0</v>
      </c>
      <c r="AP165" s="6"/>
      <c r="AQ165" s="6" t="b">
        <v>1</v>
      </c>
      <c r="AR165" s="6"/>
      <c r="AS165" s="6"/>
    </row>
    <row r="166" ht="19.5" customHeight="1">
      <c r="A166" s="7" t="s">
        <v>10113</v>
      </c>
      <c r="B166" s="6" t="s">
        <v>14136</v>
      </c>
      <c r="C166" s="7" t="s">
        <v>58</v>
      </c>
      <c r="D166" s="7" t="s">
        <v>59</v>
      </c>
      <c r="E166" s="7" t="s">
        <v>346</v>
      </c>
      <c r="F166" s="7">
        <v>6.0</v>
      </c>
      <c r="G166" s="6" t="s">
        <v>375</v>
      </c>
      <c r="H166" s="7" t="s">
        <v>2716</v>
      </c>
      <c r="I166" s="7"/>
      <c r="J166" s="7">
        <v>8.0</v>
      </c>
      <c r="K166" s="7" t="s">
        <v>13833</v>
      </c>
      <c r="L166" s="7">
        <v>97480.0</v>
      </c>
      <c r="M166" s="7" t="s">
        <v>123</v>
      </c>
      <c r="N166" s="6" t="s">
        <v>206</v>
      </c>
      <c r="O166" s="6" t="s">
        <v>14137</v>
      </c>
      <c r="P166" s="42" t="s">
        <v>9813</v>
      </c>
      <c r="Q166" s="49" t="s">
        <v>14138</v>
      </c>
      <c r="R166" s="50" t="s">
        <v>12350</v>
      </c>
      <c r="S166" s="51"/>
      <c r="T166" s="6" t="s">
        <v>14139</v>
      </c>
      <c r="U166" s="6" t="s">
        <v>14140</v>
      </c>
      <c r="V166" s="6" t="s">
        <v>14141</v>
      </c>
      <c r="W166" s="6" t="s">
        <v>14142</v>
      </c>
      <c r="X166" s="6" t="s">
        <v>14143</v>
      </c>
      <c r="Y166" s="7"/>
      <c r="Z166" s="7" t="s">
        <v>378</v>
      </c>
      <c r="AA166" s="7"/>
      <c r="AB166" s="7"/>
      <c r="AC166" s="6">
        <v>9.1380986900013E13</v>
      </c>
      <c r="AD166" s="6">
        <v>9.13809869E8</v>
      </c>
      <c r="AE166" s="6" t="s">
        <v>401</v>
      </c>
      <c r="AF166" s="63">
        <v>45982.4119212963</v>
      </c>
      <c r="AG166" s="7" t="s">
        <v>13842</v>
      </c>
      <c r="AH166" s="46" t="s">
        <v>14144</v>
      </c>
      <c r="AI166" s="7"/>
      <c r="AJ166" s="6" t="s">
        <v>14145</v>
      </c>
      <c r="AK166" s="7" t="b">
        <v>0</v>
      </c>
      <c r="AL166" s="7" t="b">
        <v>0</v>
      </c>
      <c r="AM166" s="6" t="s">
        <v>10115</v>
      </c>
      <c r="AN166" s="6" t="s">
        <v>10113</v>
      </c>
      <c r="AO166" s="7"/>
      <c r="AP166" s="7"/>
      <c r="AQ166" s="6" t="b">
        <v>0</v>
      </c>
      <c r="AR166" s="6"/>
      <c r="AS166" s="6"/>
    </row>
    <row r="167" ht="19.5" customHeight="1">
      <c r="A167" s="7" t="s">
        <v>9892</v>
      </c>
      <c r="B167" s="6" t="s">
        <v>14146</v>
      </c>
      <c r="C167" s="7" t="s">
        <v>58</v>
      </c>
      <c r="D167" s="7" t="s">
        <v>59</v>
      </c>
      <c r="E167" s="7" t="s">
        <v>346</v>
      </c>
      <c r="F167" s="7">
        <v>4.0</v>
      </c>
      <c r="G167" s="7"/>
      <c r="H167" s="7"/>
      <c r="I167" s="7"/>
      <c r="J167" s="7">
        <v>70.0</v>
      </c>
      <c r="K167" s="6" t="s">
        <v>14147</v>
      </c>
      <c r="L167" s="7">
        <v>97414.0</v>
      </c>
      <c r="M167" s="7" t="s">
        <v>40</v>
      </c>
      <c r="N167" s="7"/>
      <c r="O167" s="7" t="s">
        <v>9898</v>
      </c>
      <c r="P167" s="42" t="s">
        <v>9895</v>
      </c>
      <c r="Q167" s="43" t="s">
        <v>14148</v>
      </c>
      <c r="R167" s="50"/>
      <c r="S167" s="51"/>
      <c r="T167" s="7"/>
      <c r="U167" s="6" t="s">
        <v>14149</v>
      </c>
      <c r="V167" s="7"/>
      <c r="W167" s="7"/>
      <c r="X167" s="7"/>
      <c r="Y167" s="6" t="s">
        <v>14150</v>
      </c>
      <c r="Z167" s="7" t="s">
        <v>353</v>
      </c>
      <c r="AA167" s="7"/>
      <c r="AB167" s="7"/>
      <c r="AC167" s="7"/>
      <c r="AD167" s="7"/>
      <c r="AE167" s="6" t="s">
        <v>12355</v>
      </c>
      <c r="AF167" s="63">
        <v>45257.441342592596</v>
      </c>
      <c r="AG167" s="7" t="s">
        <v>14151</v>
      </c>
      <c r="AH167" s="46" t="s">
        <v>14152</v>
      </c>
      <c r="AI167" s="7"/>
      <c r="AJ167" s="7"/>
      <c r="AK167" s="7" t="b">
        <v>0</v>
      </c>
      <c r="AL167" s="7" t="b">
        <v>0</v>
      </c>
      <c r="AM167" s="6" t="s">
        <v>14153</v>
      </c>
      <c r="AN167" s="6" t="s">
        <v>9892</v>
      </c>
      <c r="AO167" s="7"/>
      <c r="AP167" s="7"/>
      <c r="AQ167" s="6" t="b">
        <v>0</v>
      </c>
      <c r="AR167" s="6"/>
      <c r="AS167" s="48"/>
    </row>
    <row r="168" ht="19.5" customHeight="1">
      <c r="A168" s="7" t="s">
        <v>9762</v>
      </c>
      <c r="B168" s="7" t="s">
        <v>9763</v>
      </c>
      <c r="C168" s="7" t="s">
        <v>34</v>
      </c>
      <c r="D168" s="7" t="s">
        <v>485</v>
      </c>
      <c r="E168" s="7" t="s">
        <v>486</v>
      </c>
      <c r="F168" s="7"/>
      <c r="G168" s="7"/>
      <c r="H168" s="7"/>
      <c r="I168" s="7"/>
      <c r="J168" s="7">
        <v>245.0</v>
      </c>
      <c r="K168" s="7" t="s">
        <v>12304</v>
      </c>
      <c r="L168" s="7">
        <v>97430.0</v>
      </c>
      <c r="M168" s="7" t="s">
        <v>71</v>
      </c>
      <c r="N168" s="7"/>
      <c r="O168" s="6" t="s">
        <v>14154</v>
      </c>
      <c r="P168" s="42" t="s">
        <v>9765</v>
      </c>
      <c r="Q168" s="49" t="s">
        <v>14155</v>
      </c>
      <c r="R168" s="50"/>
      <c r="S168" s="51"/>
      <c r="T168" s="6" t="s">
        <v>14156</v>
      </c>
      <c r="U168" s="6" t="s">
        <v>14157</v>
      </c>
      <c r="V168" s="6" t="s">
        <v>14158</v>
      </c>
      <c r="W168" s="7"/>
      <c r="X168" s="7"/>
      <c r="Y168" s="7"/>
      <c r="Z168" s="7"/>
      <c r="AA168" s="7"/>
      <c r="AB168" s="7"/>
      <c r="AC168" s="6">
        <v>4.3915491500011E13</v>
      </c>
      <c r="AD168" s="6">
        <v>4.39154915E8</v>
      </c>
      <c r="AE168" s="6" t="s">
        <v>401</v>
      </c>
      <c r="AF168" s="45">
        <v>45442.61341435185</v>
      </c>
      <c r="AG168" s="7" t="s">
        <v>14159</v>
      </c>
      <c r="AH168" s="46" t="s">
        <v>14160</v>
      </c>
      <c r="AI168" s="7"/>
      <c r="AJ168" s="6" t="s">
        <v>14161</v>
      </c>
      <c r="AK168" s="7" t="b">
        <v>0</v>
      </c>
      <c r="AL168" s="7" t="b">
        <v>0</v>
      </c>
      <c r="AM168" s="7"/>
      <c r="AN168" s="6" t="s">
        <v>9762</v>
      </c>
      <c r="AO168" s="7"/>
      <c r="AP168" s="7"/>
      <c r="AQ168" s="6" t="b">
        <v>0</v>
      </c>
      <c r="AR168" s="6" t="s">
        <v>14162</v>
      </c>
      <c r="AS168" s="6" t="s">
        <v>12303</v>
      </c>
    </row>
    <row r="169" ht="19.5" customHeight="1">
      <c r="A169" s="9" t="s">
        <v>10384</v>
      </c>
      <c r="B169" s="9" t="s">
        <v>14163</v>
      </c>
      <c r="C169" s="9" t="s">
        <v>58</v>
      </c>
      <c r="D169" s="9" t="s">
        <v>59</v>
      </c>
      <c r="E169" s="9" t="s">
        <v>545</v>
      </c>
      <c r="F169" s="9">
        <v>4.0</v>
      </c>
      <c r="G169" s="9" t="s">
        <v>422</v>
      </c>
      <c r="J169" s="9" t="s">
        <v>14164</v>
      </c>
      <c r="K169" s="9" t="s">
        <v>14165</v>
      </c>
      <c r="L169" s="9">
        <v>97414.0</v>
      </c>
      <c r="M169" s="9" t="s">
        <v>40</v>
      </c>
      <c r="N169" s="9" t="s">
        <v>40</v>
      </c>
      <c r="O169" s="9" t="s">
        <v>14166</v>
      </c>
      <c r="P169" s="53" t="s">
        <v>14167</v>
      </c>
      <c r="Q169" s="49" t="s">
        <v>14168</v>
      </c>
      <c r="R169" s="50"/>
      <c r="S169" s="54"/>
      <c r="T169" s="9" t="s">
        <v>14169</v>
      </c>
      <c r="U169" s="9" t="s">
        <v>14170</v>
      </c>
      <c r="V169" s="9" t="s">
        <v>14171</v>
      </c>
      <c r="W169" s="9" t="s">
        <v>14172</v>
      </c>
      <c r="X169" s="9" t="s">
        <v>14173</v>
      </c>
      <c r="Y169" s="9" t="s">
        <v>14174</v>
      </c>
      <c r="Z169" s="9" t="s">
        <v>5551</v>
      </c>
      <c r="AC169" s="9">
        <v>9.1829322600018E13</v>
      </c>
      <c r="AD169" s="9">
        <v>9.18293226E8</v>
      </c>
      <c r="AE169" s="9" t="s">
        <v>401</v>
      </c>
      <c r="AF169" s="55">
        <v>45401.456342592595</v>
      </c>
      <c r="AG169" s="9" t="s">
        <v>14175</v>
      </c>
      <c r="AH169" s="9" t="s">
        <v>14176</v>
      </c>
      <c r="AJ169" s="9" t="s">
        <v>14177</v>
      </c>
      <c r="AK169" s="9" t="b">
        <v>0</v>
      </c>
      <c r="AL169" s="9" t="b">
        <v>0</v>
      </c>
      <c r="AM169" s="9" t="s">
        <v>14178</v>
      </c>
      <c r="AN169" s="9" t="s">
        <v>10384</v>
      </c>
      <c r="AP169" s="56">
        <v>44809.0</v>
      </c>
      <c r="AQ169" s="9" t="b">
        <v>0</v>
      </c>
      <c r="AR169" s="9" t="s">
        <v>14179</v>
      </c>
    </row>
    <row r="170" ht="19.5" customHeight="1">
      <c r="A170" s="7" t="s">
        <v>8867</v>
      </c>
      <c r="B170" s="6" t="s">
        <v>14180</v>
      </c>
      <c r="C170" s="7" t="s">
        <v>34</v>
      </c>
      <c r="D170" s="7" t="s">
        <v>622</v>
      </c>
      <c r="E170" s="7" t="s">
        <v>622</v>
      </c>
      <c r="F170" s="7">
        <v>60.0</v>
      </c>
      <c r="G170" s="7"/>
      <c r="H170" s="7"/>
      <c r="I170" s="7"/>
      <c r="J170" s="41" t="s">
        <v>14181</v>
      </c>
      <c r="K170" s="6" t="s">
        <v>14182</v>
      </c>
      <c r="L170" s="7">
        <v>97414.0</v>
      </c>
      <c r="M170" s="7" t="s">
        <v>40</v>
      </c>
      <c r="N170" s="7"/>
      <c r="O170" s="6" t="s">
        <v>14183</v>
      </c>
      <c r="P170" s="53" t="s">
        <v>14184</v>
      </c>
      <c r="Q170" s="49" t="s">
        <v>14185</v>
      </c>
      <c r="R170" s="43" t="s">
        <v>14186</v>
      </c>
      <c r="S170" s="51"/>
      <c r="T170" s="6" t="s">
        <v>14187</v>
      </c>
      <c r="U170" s="6" t="s">
        <v>14188</v>
      </c>
      <c r="V170" s="7"/>
      <c r="W170" s="6" t="s">
        <v>14189</v>
      </c>
      <c r="X170" s="7"/>
      <c r="Y170" s="6" t="s">
        <v>13253</v>
      </c>
      <c r="Z170" s="6" t="s">
        <v>353</v>
      </c>
      <c r="AA170" s="7"/>
      <c r="AB170" s="7"/>
      <c r="AC170" s="6">
        <v>9.2326058200013E13</v>
      </c>
      <c r="AD170" s="6">
        <v>9.23260582E8</v>
      </c>
      <c r="AE170" s="6" t="s">
        <v>401</v>
      </c>
      <c r="AF170" s="45">
        <v>45442.59365740741</v>
      </c>
      <c r="AG170" s="7" t="s">
        <v>14190</v>
      </c>
      <c r="AH170" s="46" t="s">
        <v>14191</v>
      </c>
      <c r="AI170" s="7"/>
      <c r="AJ170" s="6" t="s">
        <v>14192</v>
      </c>
      <c r="AK170" s="6" t="b">
        <v>1</v>
      </c>
      <c r="AL170" s="7" t="b">
        <v>0</v>
      </c>
      <c r="AM170" s="7"/>
      <c r="AN170" s="6" t="s">
        <v>8867</v>
      </c>
      <c r="AO170" s="7"/>
      <c r="AP170" s="7"/>
      <c r="AQ170" s="6" t="b">
        <v>0</v>
      </c>
      <c r="AR170" s="6" t="s">
        <v>14193</v>
      </c>
      <c r="AS170" s="48"/>
    </row>
    <row r="171" ht="19.5" customHeight="1">
      <c r="A171" s="9" t="s">
        <v>11864</v>
      </c>
      <c r="B171" s="9" t="s">
        <v>14194</v>
      </c>
      <c r="C171" s="9" t="s">
        <v>58</v>
      </c>
      <c r="D171" s="9" t="s">
        <v>59</v>
      </c>
      <c r="E171" s="9" t="s">
        <v>346</v>
      </c>
      <c r="F171" s="9">
        <v>12.0</v>
      </c>
      <c r="G171" s="9" t="s">
        <v>422</v>
      </c>
      <c r="H171" s="9" t="s">
        <v>2716</v>
      </c>
      <c r="J171" s="52" t="s">
        <v>14195</v>
      </c>
      <c r="K171" s="9" t="s">
        <v>12977</v>
      </c>
      <c r="L171" s="9">
        <v>97414.0</v>
      </c>
      <c r="M171" s="9" t="s">
        <v>40</v>
      </c>
      <c r="N171" s="9" t="s">
        <v>14196</v>
      </c>
      <c r="O171" s="9" t="s">
        <v>14197</v>
      </c>
      <c r="P171" s="53" t="s">
        <v>14198</v>
      </c>
      <c r="Q171" s="49" t="s">
        <v>14199</v>
      </c>
      <c r="R171" s="50"/>
      <c r="S171" s="58" t="s">
        <v>14200</v>
      </c>
      <c r="T171" s="9" t="s">
        <v>14201</v>
      </c>
      <c r="U171" s="9" t="s">
        <v>14202</v>
      </c>
      <c r="V171" s="9" t="s">
        <v>14203</v>
      </c>
      <c r="W171" s="9" t="s">
        <v>14204</v>
      </c>
      <c r="X171" s="9" t="s">
        <v>14205</v>
      </c>
      <c r="Y171" s="9" t="s">
        <v>14206</v>
      </c>
      <c r="Z171" s="9" t="s">
        <v>592</v>
      </c>
      <c r="AC171" s="9">
        <v>3.3988294600033E13</v>
      </c>
      <c r="AD171" s="9">
        <v>3.39882946E8</v>
      </c>
      <c r="AE171" s="9" t="s">
        <v>12355</v>
      </c>
      <c r="AF171" s="55">
        <v>45882.36761574074</v>
      </c>
      <c r="AG171" s="9" t="s">
        <v>14207</v>
      </c>
      <c r="AH171" s="9" t="s">
        <v>14208</v>
      </c>
      <c r="AJ171" s="9" t="s">
        <v>14209</v>
      </c>
      <c r="AK171" s="9" t="b">
        <v>1</v>
      </c>
      <c r="AL171" s="9" t="b">
        <v>0</v>
      </c>
      <c r="AM171" s="9" t="s">
        <v>14210</v>
      </c>
      <c r="AN171" s="9" t="s">
        <v>11864</v>
      </c>
      <c r="AP171" s="56">
        <v>44459.0</v>
      </c>
      <c r="AQ171" s="6" t="b">
        <v>1</v>
      </c>
      <c r="AR171" s="6" t="s">
        <v>14211</v>
      </c>
      <c r="AS171" s="48" t="s">
        <v>12303</v>
      </c>
    </row>
    <row r="172" ht="19.5" customHeight="1">
      <c r="A172" s="9" t="s">
        <v>10387</v>
      </c>
      <c r="B172" s="9" t="s">
        <v>14212</v>
      </c>
      <c r="C172" s="9" t="s">
        <v>58</v>
      </c>
      <c r="D172" s="9" t="s">
        <v>59</v>
      </c>
      <c r="E172" s="9" t="s">
        <v>346</v>
      </c>
      <c r="F172" s="9">
        <v>10.0</v>
      </c>
      <c r="J172" s="52" t="s">
        <v>12589</v>
      </c>
      <c r="K172" s="9" t="s">
        <v>14213</v>
      </c>
      <c r="L172" s="9">
        <v>97442.0</v>
      </c>
      <c r="M172" s="9" t="s">
        <v>33</v>
      </c>
      <c r="O172" s="9" t="s">
        <v>14214</v>
      </c>
      <c r="P172" s="53" t="s">
        <v>14215</v>
      </c>
      <c r="Q172" s="49" t="s">
        <v>14216</v>
      </c>
      <c r="R172" s="50"/>
      <c r="S172" s="54"/>
      <c r="T172" s="9" t="s">
        <v>14217</v>
      </c>
      <c r="U172" s="9" t="s">
        <v>14218</v>
      </c>
      <c r="W172" s="9" t="s">
        <v>14219</v>
      </c>
      <c r="X172" s="9" t="s">
        <v>14220</v>
      </c>
      <c r="Y172" s="9" t="s">
        <v>377</v>
      </c>
      <c r="Z172" s="9" t="s">
        <v>353</v>
      </c>
      <c r="AE172" s="9" t="s">
        <v>401</v>
      </c>
      <c r="AF172" s="55">
        <v>45876.419895833336</v>
      </c>
      <c r="AG172" s="9" t="s">
        <v>14221</v>
      </c>
      <c r="AH172" s="9" t="s">
        <v>14222</v>
      </c>
      <c r="AJ172" s="9" t="s">
        <v>14223</v>
      </c>
      <c r="AK172" s="9" t="b">
        <v>0</v>
      </c>
      <c r="AL172" s="9" t="b">
        <v>0</v>
      </c>
      <c r="AM172" s="9" t="s">
        <v>14224</v>
      </c>
      <c r="AN172" s="9" t="s">
        <v>10387</v>
      </c>
      <c r="AP172" s="56">
        <v>44589.0</v>
      </c>
      <c r="AQ172" s="9" t="b">
        <v>0</v>
      </c>
      <c r="AS172" s="48" t="s">
        <v>12303</v>
      </c>
    </row>
    <row r="173" ht="19.5" customHeight="1">
      <c r="A173" s="7" t="s">
        <v>10116</v>
      </c>
      <c r="B173" s="7" t="s">
        <v>10117</v>
      </c>
      <c r="C173" s="7" t="s">
        <v>58</v>
      </c>
      <c r="D173" s="7" t="s">
        <v>59</v>
      </c>
      <c r="E173" s="7" t="s">
        <v>346</v>
      </c>
      <c r="F173" s="7">
        <v>6.0</v>
      </c>
      <c r="G173" s="7"/>
      <c r="H173" s="7"/>
      <c r="I173" s="7"/>
      <c r="J173" s="7">
        <v>59.0</v>
      </c>
      <c r="K173" s="6" t="s">
        <v>14225</v>
      </c>
      <c r="L173" s="7">
        <v>97442.0</v>
      </c>
      <c r="M173" s="7" t="s">
        <v>33</v>
      </c>
      <c r="N173" s="7" t="s">
        <v>224</v>
      </c>
      <c r="O173" s="6" t="s">
        <v>14226</v>
      </c>
      <c r="P173" s="42" t="s">
        <v>10119</v>
      </c>
      <c r="Q173" s="43" t="s">
        <v>14227</v>
      </c>
      <c r="R173" s="50" t="s">
        <v>12350</v>
      </c>
      <c r="S173" s="51"/>
      <c r="T173" s="6" t="s">
        <v>14228</v>
      </c>
      <c r="U173" s="6" t="s">
        <v>14229</v>
      </c>
      <c r="V173" s="6" t="s">
        <v>14230</v>
      </c>
      <c r="W173" s="6" t="s">
        <v>8626</v>
      </c>
      <c r="X173" s="6" t="s">
        <v>14231</v>
      </c>
      <c r="Y173" s="7"/>
      <c r="Z173" s="6" t="s">
        <v>592</v>
      </c>
      <c r="AA173" s="7"/>
      <c r="AB173" s="7"/>
      <c r="AC173" s="7"/>
      <c r="AD173" s="7"/>
      <c r="AE173" s="6" t="s">
        <v>401</v>
      </c>
      <c r="AF173" s="45">
        <v>45876.40797453704</v>
      </c>
      <c r="AG173" s="7" t="s">
        <v>14232</v>
      </c>
      <c r="AH173" s="46" t="s">
        <v>14233</v>
      </c>
      <c r="AI173" s="7"/>
      <c r="AJ173" s="6" t="s">
        <v>14234</v>
      </c>
      <c r="AK173" s="7" t="b">
        <v>0</v>
      </c>
      <c r="AL173" s="7" t="b">
        <v>0</v>
      </c>
      <c r="AM173" s="6" t="s">
        <v>10123</v>
      </c>
      <c r="AN173" s="6" t="s">
        <v>10116</v>
      </c>
      <c r="AO173" s="7"/>
      <c r="AP173" s="7"/>
      <c r="AQ173" s="6" t="b">
        <v>0</v>
      </c>
      <c r="AR173" s="6"/>
      <c r="AS173" s="48" t="s">
        <v>12303</v>
      </c>
    </row>
    <row r="174" ht="19.5" customHeight="1">
      <c r="A174" s="7" t="s">
        <v>5300</v>
      </c>
      <c r="B174" s="7" t="s">
        <v>14235</v>
      </c>
      <c r="C174" s="7" t="s">
        <v>34</v>
      </c>
      <c r="D174" s="7" t="s">
        <v>622</v>
      </c>
      <c r="E174" s="6" t="s">
        <v>14236</v>
      </c>
      <c r="F174" s="7">
        <v>70.0</v>
      </c>
      <c r="G174" s="7" t="s">
        <v>5304</v>
      </c>
      <c r="H174" s="7"/>
      <c r="I174" s="7"/>
      <c r="J174" s="41" t="s">
        <v>13073</v>
      </c>
      <c r="K174" s="6" t="s">
        <v>14237</v>
      </c>
      <c r="L174" s="7">
        <v>97414.0</v>
      </c>
      <c r="M174" s="7" t="s">
        <v>40</v>
      </c>
      <c r="N174" s="6" t="s">
        <v>8279</v>
      </c>
      <c r="O174" s="6" t="s">
        <v>14238</v>
      </c>
      <c r="P174" s="53" t="s">
        <v>14239</v>
      </c>
      <c r="Q174" s="49" t="s">
        <v>14240</v>
      </c>
      <c r="R174" s="43" t="s">
        <v>14241</v>
      </c>
      <c r="S174" s="51"/>
      <c r="T174" s="6" t="s">
        <v>14242</v>
      </c>
      <c r="U174" s="6" t="s">
        <v>14243</v>
      </c>
      <c r="V174" s="7" t="s">
        <v>5308</v>
      </c>
      <c r="W174" s="6" t="s">
        <v>14244</v>
      </c>
      <c r="X174" s="7" t="s">
        <v>5305</v>
      </c>
      <c r="Y174" s="7" t="s">
        <v>1612</v>
      </c>
      <c r="Z174" s="6" t="s">
        <v>786</v>
      </c>
      <c r="AA174" s="7"/>
      <c r="AB174" s="7"/>
      <c r="AC174" s="6">
        <v>5.0355634200023E13</v>
      </c>
      <c r="AD174" s="6">
        <v>5.03556342E8</v>
      </c>
      <c r="AE174" s="6" t="s">
        <v>401</v>
      </c>
      <c r="AF174" s="45">
        <v>45442.566666666666</v>
      </c>
      <c r="AG174" s="7" t="s">
        <v>14245</v>
      </c>
      <c r="AH174" s="46" t="s">
        <v>14246</v>
      </c>
      <c r="AI174" s="7"/>
      <c r="AJ174" s="6" t="s">
        <v>14247</v>
      </c>
      <c r="AK174" s="6" t="b">
        <v>1</v>
      </c>
      <c r="AL174" s="7" t="b">
        <v>0</v>
      </c>
      <c r="AM174" s="7"/>
      <c r="AN174" s="6" t="s">
        <v>5300</v>
      </c>
      <c r="AO174" s="6">
        <v>793.0</v>
      </c>
      <c r="AP174" s="6"/>
      <c r="AQ174" s="6" t="b">
        <v>1</v>
      </c>
      <c r="AR174" s="6" t="s">
        <v>14248</v>
      </c>
      <c r="AS174" s="48" t="s">
        <v>12303</v>
      </c>
    </row>
    <row r="175" ht="19.5" customHeight="1">
      <c r="A175" s="9" t="s">
        <v>11674</v>
      </c>
      <c r="B175" s="9" t="s">
        <v>14249</v>
      </c>
      <c r="C175" s="9" t="s">
        <v>822</v>
      </c>
      <c r="D175" s="9" t="s">
        <v>823</v>
      </c>
      <c r="E175" s="9" t="s">
        <v>14250</v>
      </c>
      <c r="F175" s="9"/>
      <c r="G175" s="9" t="s">
        <v>422</v>
      </c>
      <c r="H175" s="9"/>
      <c r="I175" s="9"/>
      <c r="J175" s="52" t="s">
        <v>14251</v>
      </c>
      <c r="K175" s="9" t="s">
        <v>14252</v>
      </c>
      <c r="L175" s="9">
        <v>97414.0</v>
      </c>
      <c r="M175" s="9" t="s">
        <v>40</v>
      </c>
      <c r="N175" s="9" t="s">
        <v>12822</v>
      </c>
      <c r="O175" s="9" t="s">
        <v>14253</v>
      </c>
      <c r="P175" s="53" t="s">
        <v>14254</v>
      </c>
      <c r="Q175" s="49" t="s">
        <v>14255</v>
      </c>
      <c r="R175" s="50"/>
      <c r="S175" s="58" t="s">
        <v>14256</v>
      </c>
      <c r="T175" s="9" t="s">
        <v>14257</v>
      </c>
      <c r="U175" s="9" t="s">
        <v>14258</v>
      </c>
      <c r="V175" s="9" t="s">
        <v>14259</v>
      </c>
      <c r="W175" s="9" t="s">
        <v>14260</v>
      </c>
      <c r="X175" s="9"/>
      <c r="Y175" s="9" t="s">
        <v>14261</v>
      </c>
      <c r="Z175" s="9" t="s">
        <v>4369</v>
      </c>
      <c r="AC175" s="9">
        <v>8.0948567500023E13</v>
      </c>
      <c r="AD175" s="9">
        <v>8.09485675E8</v>
      </c>
      <c r="AE175" s="9" t="s">
        <v>12355</v>
      </c>
      <c r="AF175" s="55">
        <v>46044.622199074074</v>
      </c>
      <c r="AG175" s="9" t="s">
        <v>14262</v>
      </c>
      <c r="AH175" s="9" t="s">
        <v>14263</v>
      </c>
      <c r="AJ175" s="9" t="s">
        <v>14264</v>
      </c>
      <c r="AK175" s="9" t="b">
        <v>0</v>
      </c>
      <c r="AL175" s="9" t="b">
        <v>0</v>
      </c>
      <c r="AM175" s="9"/>
      <c r="AN175" s="9" t="s">
        <v>11674</v>
      </c>
      <c r="AP175" s="56">
        <v>45243.0</v>
      </c>
      <c r="AQ175" s="9" t="b">
        <v>0</v>
      </c>
      <c r="AR175" s="9"/>
    </row>
    <row r="176" ht="19.5" customHeight="1">
      <c r="A176" s="9" t="s">
        <v>10691</v>
      </c>
      <c r="B176" s="9" t="s">
        <v>14265</v>
      </c>
      <c r="C176" s="9" t="s">
        <v>58</v>
      </c>
      <c r="D176" s="9" t="s">
        <v>59</v>
      </c>
      <c r="E176" s="9" t="s">
        <v>346</v>
      </c>
      <c r="F176" s="9">
        <v>8.0</v>
      </c>
      <c r="G176" s="9" t="s">
        <v>455</v>
      </c>
      <c r="J176" s="9" t="s">
        <v>14266</v>
      </c>
      <c r="K176" s="9" t="s">
        <v>14267</v>
      </c>
      <c r="L176" s="9">
        <v>97480.0</v>
      </c>
      <c r="M176" s="9" t="s">
        <v>123</v>
      </c>
      <c r="N176" s="9"/>
      <c r="O176" s="9" t="s">
        <v>14268</v>
      </c>
      <c r="P176" s="53" t="s">
        <v>14269</v>
      </c>
      <c r="Q176" s="49" t="s">
        <v>14270</v>
      </c>
      <c r="R176" s="50"/>
      <c r="S176" s="54" t="s">
        <v>12350</v>
      </c>
      <c r="T176" s="9" t="s">
        <v>14271</v>
      </c>
      <c r="V176" s="9" t="s">
        <v>14272</v>
      </c>
      <c r="W176" s="9" t="s">
        <v>14273</v>
      </c>
      <c r="Y176" s="9" t="s">
        <v>13342</v>
      </c>
      <c r="Z176" s="9" t="s">
        <v>353</v>
      </c>
      <c r="AE176" s="9" t="s">
        <v>12355</v>
      </c>
      <c r="AF176" s="55">
        <v>45251.29677083333</v>
      </c>
      <c r="AG176" s="9" t="s">
        <v>14274</v>
      </c>
      <c r="AH176" s="9" t="s">
        <v>14275</v>
      </c>
      <c r="AK176" s="9" t="b">
        <v>0</v>
      </c>
      <c r="AL176" s="9" t="b">
        <v>1</v>
      </c>
      <c r="AM176" s="9" t="s">
        <v>14276</v>
      </c>
      <c r="AN176" s="9" t="s">
        <v>10691</v>
      </c>
      <c r="AP176" s="56">
        <v>44414.0</v>
      </c>
      <c r="AQ176" s="6" t="b">
        <v>0</v>
      </c>
      <c r="AR176" s="6" t="s">
        <v>14277</v>
      </c>
      <c r="AS176" s="6"/>
    </row>
    <row r="177" ht="15.75" customHeight="1">
      <c r="A177" s="7" t="s">
        <v>7925</v>
      </c>
      <c r="B177" s="7" t="s">
        <v>7926</v>
      </c>
      <c r="C177" s="7" t="s">
        <v>58</v>
      </c>
      <c r="D177" s="7" t="s">
        <v>59</v>
      </c>
      <c r="E177" s="7" t="s">
        <v>346</v>
      </c>
      <c r="F177" s="7">
        <v>6.0</v>
      </c>
      <c r="G177" s="6" t="s">
        <v>455</v>
      </c>
      <c r="H177" s="7"/>
      <c r="I177" s="7"/>
      <c r="J177" s="6" t="s">
        <v>14278</v>
      </c>
      <c r="K177" s="7" t="s">
        <v>14279</v>
      </c>
      <c r="L177" s="7">
        <v>97430.0</v>
      </c>
      <c r="M177" s="7" t="s">
        <v>71</v>
      </c>
      <c r="N177" s="6" t="s">
        <v>12447</v>
      </c>
      <c r="O177" s="7" t="s">
        <v>7937</v>
      </c>
      <c r="P177" s="42" t="s">
        <v>7930</v>
      </c>
      <c r="Q177" s="43" t="s">
        <v>14280</v>
      </c>
      <c r="R177" s="43" t="s">
        <v>14281</v>
      </c>
      <c r="S177" s="47" t="s">
        <v>7928</v>
      </c>
      <c r="T177" s="7" t="s">
        <v>7932</v>
      </c>
      <c r="U177" s="7" t="s">
        <v>7931</v>
      </c>
      <c r="V177" s="7" t="s">
        <v>7933</v>
      </c>
      <c r="W177" s="6" t="s">
        <v>14282</v>
      </c>
      <c r="X177" s="7" t="s">
        <v>2714</v>
      </c>
      <c r="Y177" s="7" t="s">
        <v>1119</v>
      </c>
      <c r="Z177" s="7" t="s">
        <v>353</v>
      </c>
      <c r="AA177" s="7"/>
      <c r="AB177" s="7"/>
      <c r="AC177" s="7">
        <v>8.2972542300018E13</v>
      </c>
      <c r="AD177" s="7">
        <v>8.29725423E8</v>
      </c>
      <c r="AE177" s="6" t="s">
        <v>12355</v>
      </c>
      <c r="AF177" s="45">
        <v>45250.5919212963</v>
      </c>
      <c r="AG177" s="7" t="s">
        <v>14283</v>
      </c>
      <c r="AH177" s="46" t="s">
        <v>14284</v>
      </c>
      <c r="AI177" s="7"/>
      <c r="AJ177" s="6" t="s">
        <v>14285</v>
      </c>
      <c r="AK177" s="7" t="b">
        <v>0</v>
      </c>
      <c r="AL177" s="7" t="b">
        <v>0</v>
      </c>
      <c r="AM177" s="6" t="s">
        <v>7938</v>
      </c>
      <c r="AN177" s="6" t="s">
        <v>7925</v>
      </c>
      <c r="AO177" s="6">
        <v>4347.0</v>
      </c>
      <c r="AP177" s="6"/>
      <c r="AQ177" s="6" t="b">
        <v>1</v>
      </c>
      <c r="AR177" s="6"/>
      <c r="AS177" s="6" t="s">
        <v>12303</v>
      </c>
    </row>
    <row r="178" ht="15.75" customHeight="1">
      <c r="A178" s="9" t="s">
        <v>10391</v>
      </c>
      <c r="B178" s="9" t="s">
        <v>14286</v>
      </c>
      <c r="C178" s="9" t="s">
        <v>58</v>
      </c>
      <c r="D178" s="9" t="s">
        <v>59</v>
      </c>
      <c r="E178" s="9" t="s">
        <v>545</v>
      </c>
      <c r="F178" s="9">
        <v>5.0</v>
      </c>
      <c r="G178" s="9" t="s">
        <v>2525</v>
      </c>
      <c r="H178" s="9" t="s">
        <v>3460</v>
      </c>
      <c r="I178" s="9" t="s">
        <v>751</v>
      </c>
      <c r="J178" s="52" t="s">
        <v>14287</v>
      </c>
      <c r="K178" s="9" t="s">
        <v>14288</v>
      </c>
      <c r="L178" s="9">
        <v>97430.0</v>
      </c>
      <c r="M178" s="9" t="s">
        <v>71</v>
      </c>
      <c r="N178" s="9" t="s">
        <v>14289</v>
      </c>
      <c r="O178" s="9" t="s">
        <v>14290</v>
      </c>
      <c r="P178" s="53" t="s">
        <v>14291</v>
      </c>
      <c r="Q178" s="49" t="s">
        <v>14292</v>
      </c>
      <c r="R178" s="50"/>
      <c r="S178" s="54"/>
      <c r="T178" s="9" t="s">
        <v>14293</v>
      </c>
      <c r="U178" s="9" t="s">
        <v>14294</v>
      </c>
      <c r="V178" s="9" t="s">
        <v>14295</v>
      </c>
      <c r="W178" s="9" t="s">
        <v>14296</v>
      </c>
      <c r="X178" s="9" t="s">
        <v>14297</v>
      </c>
      <c r="Y178" s="9" t="s">
        <v>14298</v>
      </c>
      <c r="Z178" s="9" t="s">
        <v>592</v>
      </c>
      <c r="AC178" s="9">
        <v>9.1814226600017E13</v>
      </c>
      <c r="AD178" s="9">
        <v>9.18142266E8</v>
      </c>
      <c r="AE178" s="9" t="s">
        <v>12355</v>
      </c>
      <c r="AF178" s="55">
        <v>45250.582280092596</v>
      </c>
      <c r="AG178" s="9" t="s">
        <v>14299</v>
      </c>
      <c r="AH178" s="9" t="s">
        <v>14300</v>
      </c>
      <c r="AJ178" s="9" t="s">
        <v>14301</v>
      </c>
      <c r="AK178" s="9" t="b">
        <v>0</v>
      </c>
      <c r="AL178" s="9" t="b">
        <v>0</v>
      </c>
      <c r="AM178" s="9" t="s">
        <v>14302</v>
      </c>
      <c r="AN178" s="9" t="s">
        <v>10391</v>
      </c>
      <c r="AP178" s="56">
        <v>44803.0</v>
      </c>
      <c r="AQ178" s="9" t="b">
        <v>1</v>
      </c>
      <c r="AR178" s="9" t="s">
        <v>14303</v>
      </c>
    </row>
    <row r="179" ht="15.75" customHeight="1">
      <c r="A179" s="52" t="s">
        <v>14304</v>
      </c>
      <c r="B179" s="9" t="s">
        <v>14305</v>
      </c>
      <c r="C179" s="9" t="s">
        <v>58</v>
      </c>
      <c r="D179" s="9" t="s">
        <v>59</v>
      </c>
      <c r="E179" s="9" t="s">
        <v>14306</v>
      </c>
      <c r="F179" s="9">
        <v>6.0</v>
      </c>
      <c r="G179" s="9" t="s">
        <v>455</v>
      </c>
      <c r="H179" s="9" t="s">
        <v>5667</v>
      </c>
      <c r="I179" s="9"/>
      <c r="J179" s="52" t="s">
        <v>12820</v>
      </c>
      <c r="K179" s="9" t="s">
        <v>14307</v>
      </c>
      <c r="L179" s="9">
        <v>97480.0</v>
      </c>
      <c r="M179" s="9" t="s">
        <v>123</v>
      </c>
      <c r="N179" s="9" t="s">
        <v>3556</v>
      </c>
      <c r="O179" s="9" t="s">
        <v>14308</v>
      </c>
      <c r="P179" s="53" t="s">
        <v>7031</v>
      </c>
      <c r="Q179" s="49" t="s">
        <v>14309</v>
      </c>
      <c r="R179" s="50"/>
      <c r="S179" s="58" t="s">
        <v>14310</v>
      </c>
      <c r="T179" s="9" t="s">
        <v>14311</v>
      </c>
      <c r="U179" s="9" t="s">
        <v>14312</v>
      </c>
      <c r="V179" s="9" t="s">
        <v>14313</v>
      </c>
      <c r="W179" s="9" t="s">
        <v>14314</v>
      </c>
      <c r="X179" s="9" t="s">
        <v>14315</v>
      </c>
      <c r="Y179" s="9" t="s">
        <v>14316</v>
      </c>
      <c r="Z179" s="9" t="s">
        <v>4369</v>
      </c>
      <c r="AC179" s="9">
        <v>5.3938219200018E13</v>
      </c>
      <c r="AD179" s="9">
        <v>5.39382192E8</v>
      </c>
      <c r="AE179" s="9" t="s">
        <v>401</v>
      </c>
      <c r="AF179" s="55">
        <v>45250.34931712963</v>
      </c>
      <c r="AG179" s="9" t="s">
        <v>14317</v>
      </c>
      <c r="AH179" s="9" t="s">
        <v>14318</v>
      </c>
      <c r="AJ179" s="9" t="s">
        <v>14319</v>
      </c>
      <c r="AK179" s="9" t="b">
        <v>0</v>
      </c>
      <c r="AL179" s="9" t="b">
        <v>0</v>
      </c>
      <c r="AM179" s="9" t="s">
        <v>14320</v>
      </c>
      <c r="AN179" s="52" t="s">
        <v>14304</v>
      </c>
      <c r="AP179" s="56">
        <v>45208.0</v>
      </c>
      <c r="AQ179" s="9" t="b">
        <v>0</v>
      </c>
      <c r="AR179" s="9"/>
    </row>
    <row r="180" ht="15.75" customHeight="1">
      <c r="A180" s="9" t="s">
        <v>11708</v>
      </c>
      <c r="B180" s="9" t="s">
        <v>14321</v>
      </c>
      <c r="C180" s="9" t="s">
        <v>58</v>
      </c>
      <c r="D180" s="9" t="s">
        <v>59</v>
      </c>
      <c r="E180" s="9" t="s">
        <v>12384</v>
      </c>
      <c r="F180" s="9">
        <v>6.0</v>
      </c>
      <c r="G180" s="9" t="s">
        <v>422</v>
      </c>
      <c r="H180" s="9" t="s">
        <v>2716</v>
      </c>
      <c r="I180" s="9"/>
      <c r="J180" s="52" t="s">
        <v>12820</v>
      </c>
      <c r="K180" s="9" t="s">
        <v>14322</v>
      </c>
      <c r="L180" s="9">
        <v>97414.0</v>
      </c>
      <c r="M180" s="9" t="s">
        <v>40</v>
      </c>
      <c r="N180" s="9" t="s">
        <v>12447</v>
      </c>
      <c r="O180" s="9" t="s">
        <v>14323</v>
      </c>
      <c r="P180" s="53" t="s">
        <v>14324</v>
      </c>
      <c r="Q180" s="49" t="s">
        <v>14325</v>
      </c>
      <c r="R180" s="50"/>
      <c r="S180" s="58" t="s">
        <v>14326</v>
      </c>
      <c r="T180" s="9" t="s">
        <v>14327</v>
      </c>
      <c r="U180" s="9" t="s">
        <v>14328</v>
      </c>
      <c r="V180" s="9" t="s">
        <v>14329</v>
      </c>
      <c r="W180" s="9" t="s">
        <v>14330</v>
      </c>
      <c r="X180" s="9" t="s">
        <v>14331</v>
      </c>
      <c r="Y180" s="9" t="s">
        <v>14332</v>
      </c>
      <c r="Z180" s="9" t="s">
        <v>4369</v>
      </c>
      <c r="AC180" s="9">
        <v>9.8122135100019E13</v>
      </c>
      <c r="AD180" s="9">
        <v>9.81221351E8</v>
      </c>
      <c r="AE180" s="9" t="s">
        <v>401</v>
      </c>
      <c r="AF180" s="55">
        <v>45616.44359953704</v>
      </c>
      <c r="AG180" s="9" t="s">
        <v>14333</v>
      </c>
      <c r="AH180" s="9" t="s">
        <v>14334</v>
      </c>
      <c r="AJ180" s="9" t="s">
        <v>14335</v>
      </c>
      <c r="AK180" s="9" t="b">
        <v>0</v>
      </c>
      <c r="AL180" s="9" t="b">
        <v>0</v>
      </c>
      <c r="AM180" s="9" t="s">
        <v>14336</v>
      </c>
      <c r="AN180" s="9" t="s">
        <v>11708</v>
      </c>
      <c r="AP180" s="56">
        <v>45237.0</v>
      </c>
      <c r="AQ180" s="9" t="b">
        <v>0</v>
      </c>
      <c r="AR180" s="9"/>
    </row>
    <row r="181" ht="15.75" customHeight="1">
      <c r="A181" s="9" t="s">
        <v>10233</v>
      </c>
      <c r="B181" s="9" t="s">
        <v>14337</v>
      </c>
      <c r="C181" s="9" t="s">
        <v>117</v>
      </c>
      <c r="D181" s="9" t="s">
        <v>1792</v>
      </c>
      <c r="E181" s="9" t="s">
        <v>559</v>
      </c>
      <c r="F181" s="9">
        <v>15.0</v>
      </c>
      <c r="G181" s="9" t="s">
        <v>422</v>
      </c>
      <c r="H181" s="9"/>
      <c r="I181" s="9"/>
      <c r="J181" s="52" t="s">
        <v>14338</v>
      </c>
      <c r="K181" s="9" t="s">
        <v>14339</v>
      </c>
      <c r="L181" s="9">
        <v>97414.0</v>
      </c>
      <c r="M181" s="9" t="s">
        <v>40</v>
      </c>
      <c r="N181" s="9" t="s">
        <v>40</v>
      </c>
      <c r="O181" s="9" t="s">
        <v>14340</v>
      </c>
      <c r="P181" s="53" t="s">
        <v>14341</v>
      </c>
      <c r="Q181" s="49" t="s">
        <v>14342</v>
      </c>
      <c r="R181" s="50"/>
      <c r="S181" s="59"/>
      <c r="T181" s="9" t="s">
        <v>14343</v>
      </c>
      <c r="U181" s="9" t="s">
        <v>14344</v>
      </c>
      <c r="V181" s="9" t="s">
        <v>14345</v>
      </c>
      <c r="W181" s="9" t="s">
        <v>14346</v>
      </c>
      <c r="X181" s="9" t="s">
        <v>14347</v>
      </c>
      <c r="Y181" s="9" t="s">
        <v>499</v>
      </c>
      <c r="Z181" s="9" t="s">
        <v>3685</v>
      </c>
      <c r="AC181" s="9">
        <v>4.3274176700086E13</v>
      </c>
      <c r="AD181" s="9">
        <v>4.32741767E8</v>
      </c>
      <c r="AE181" s="9" t="s">
        <v>401</v>
      </c>
      <c r="AF181" s="55">
        <v>45247.388657407406</v>
      </c>
      <c r="AG181" s="9" t="s">
        <v>14348</v>
      </c>
      <c r="AH181" s="9" t="s">
        <v>14349</v>
      </c>
      <c r="AJ181" s="9" t="s">
        <v>14350</v>
      </c>
      <c r="AK181" s="9" t="b">
        <v>1</v>
      </c>
      <c r="AL181" s="9" t="b">
        <v>0</v>
      </c>
      <c r="AM181" s="9"/>
      <c r="AN181" s="9" t="s">
        <v>10233</v>
      </c>
      <c r="AP181" s="56">
        <v>45245.0</v>
      </c>
      <c r="AQ181" s="9" t="b">
        <v>0</v>
      </c>
      <c r="AR181" s="9"/>
    </row>
    <row r="182" ht="15.75" customHeight="1">
      <c r="A182" s="7" t="s">
        <v>7640</v>
      </c>
      <c r="B182" s="7" t="s">
        <v>14351</v>
      </c>
      <c r="C182" s="7" t="s">
        <v>58</v>
      </c>
      <c r="D182" s="7" t="s">
        <v>59</v>
      </c>
      <c r="E182" s="7" t="s">
        <v>346</v>
      </c>
      <c r="F182" s="7">
        <v>8.0</v>
      </c>
      <c r="G182" s="6" t="s">
        <v>375</v>
      </c>
      <c r="H182" s="7" t="s">
        <v>2716</v>
      </c>
      <c r="I182" s="7"/>
      <c r="J182" s="7">
        <v>11.0</v>
      </c>
      <c r="K182" s="7" t="s">
        <v>13740</v>
      </c>
      <c r="L182" s="7">
        <v>97480.0</v>
      </c>
      <c r="M182" s="7" t="s">
        <v>123</v>
      </c>
      <c r="N182" s="6" t="s">
        <v>9209</v>
      </c>
      <c r="O182" s="6" t="s">
        <v>14352</v>
      </c>
      <c r="P182" s="42" t="s">
        <v>7643</v>
      </c>
      <c r="Q182" s="49" t="s">
        <v>14353</v>
      </c>
      <c r="R182" s="50"/>
      <c r="S182" s="51"/>
      <c r="T182" s="6" t="s">
        <v>14354</v>
      </c>
      <c r="U182" s="6" t="s">
        <v>14355</v>
      </c>
      <c r="V182" s="6" t="s">
        <v>14356</v>
      </c>
      <c r="W182" s="6" t="s">
        <v>14357</v>
      </c>
      <c r="X182" s="6" t="s">
        <v>14358</v>
      </c>
      <c r="Y182" s="6" t="s">
        <v>14359</v>
      </c>
      <c r="Z182" s="6" t="s">
        <v>1508</v>
      </c>
      <c r="AA182" s="7"/>
      <c r="AB182" s="7"/>
      <c r="AC182" s="6">
        <v>3.7952920900023E13</v>
      </c>
      <c r="AD182" s="6">
        <v>3.79529209E8</v>
      </c>
      <c r="AE182" s="6" t="s">
        <v>401</v>
      </c>
      <c r="AF182" s="63">
        <v>45981.37880787037</v>
      </c>
      <c r="AG182" s="7" t="s">
        <v>13748</v>
      </c>
      <c r="AH182" s="46" t="s">
        <v>14360</v>
      </c>
      <c r="AI182" s="7"/>
      <c r="AJ182" s="6" t="s">
        <v>14361</v>
      </c>
      <c r="AK182" s="7" t="b">
        <v>0</v>
      </c>
      <c r="AL182" s="6" t="b">
        <v>1</v>
      </c>
      <c r="AM182" s="6" t="s">
        <v>7649</v>
      </c>
      <c r="AN182" s="6" t="s">
        <v>7640</v>
      </c>
      <c r="AO182" s="6">
        <v>5245.0</v>
      </c>
      <c r="AP182" s="6"/>
      <c r="AQ182" s="6" t="b">
        <v>0</v>
      </c>
      <c r="AR182" s="6" t="s">
        <v>14362</v>
      </c>
      <c r="AS182" s="6"/>
    </row>
    <row r="183" ht="15.75" customHeight="1">
      <c r="A183" s="7" t="s">
        <v>9080</v>
      </c>
      <c r="B183" s="7" t="s">
        <v>9081</v>
      </c>
      <c r="C183" s="7" t="s">
        <v>58</v>
      </c>
      <c r="D183" s="7" t="s">
        <v>59</v>
      </c>
      <c r="E183" s="7" t="s">
        <v>346</v>
      </c>
      <c r="F183" s="7">
        <v>4.0</v>
      </c>
      <c r="G183" s="7" t="s">
        <v>375</v>
      </c>
      <c r="H183" s="7"/>
      <c r="I183" s="7"/>
      <c r="J183" s="41" t="s">
        <v>13859</v>
      </c>
      <c r="K183" s="6" t="s">
        <v>14363</v>
      </c>
      <c r="L183" s="7">
        <v>97480.0</v>
      </c>
      <c r="M183" s="7" t="s">
        <v>123</v>
      </c>
      <c r="N183" s="7" t="s">
        <v>206</v>
      </c>
      <c r="O183" s="6" t="s">
        <v>14364</v>
      </c>
      <c r="P183" s="42" t="s">
        <v>9083</v>
      </c>
      <c r="Q183" s="43" t="s">
        <v>14365</v>
      </c>
      <c r="R183" s="50"/>
      <c r="S183" s="51"/>
      <c r="T183" s="7"/>
      <c r="U183" s="7"/>
      <c r="V183" s="7"/>
      <c r="W183" s="7"/>
      <c r="X183" s="7"/>
      <c r="Y183" s="7" t="s">
        <v>377</v>
      </c>
      <c r="Z183" s="7" t="s">
        <v>378</v>
      </c>
      <c r="AA183" s="7"/>
      <c r="AB183" s="7"/>
      <c r="AC183" s="7"/>
      <c r="AD183" s="7"/>
      <c r="AE183" s="6" t="s">
        <v>12355</v>
      </c>
      <c r="AF183" s="63">
        <v>45694.424629629626</v>
      </c>
      <c r="AG183" s="7" t="s">
        <v>14366</v>
      </c>
      <c r="AH183" s="46" t="s">
        <v>14367</v>
      </c>
      <c r="AI183" s="7"/>
      <c r="AJ183" s="6" t="s">
        <v>14368</v>
      </c>
      <c r="AK183" s="7" t="b">
        <v>0</v>
      </c>
      <c r="AL183" s="7" t="b">
        <v>0</v>
      </c>
      <c r="AM183" s="6" t="s">
        <v>9086</v>
      </c>
      <c r="AN183" s="6" t="s">
        <v>9080</v>
      </c>
      <c r="AO183" s="7"/>
      <c r="AP183" s="7"/>
      <c r="AQ183" s="6" t="b">
        <v>0</v>
      </c>
      <c r="AR183" s="6" t="s">
        <v>14369</v>
      </c>
      <c r="AS183" s="6"/>
    </row>
    <row r="184" ht="15.75" customHeight="1">
      <c r="A184" s="7" t="s">
        <v>7537</v>
      </c>
      <c r="B184" s="7" t="s">
        <v>7538</v>
      </c>
      <c r="C184" s="7" t="s">
        <v>34</v>
      </c>
      <c r="D184" s="7" t="s">
        <v>622</v>
      </c>
      <c r="E184" s="6" t="s">
        <v>14370</v>
      </c>
      <c r="F184" s="6">
        <v>20.0</v>
      </c>
      <c r="G184" s="7"/>
      <c r="H184" s="7"/>
      <c r="I184" s="7"/>
      <c r="J184" s="7">
        <v>127.0</v>
      </c>
      <c r="K184" s="7" t="s">
        <v>12940</v>
      </c>
      <c r="L184" s="7">
        <v>97480.0</v>
      </c>
      <c r="M184" s="7" t="s">
        <v>123</v>
      </c>
      <c r="N184" s="7" t="s">
        <v>206</v>
      </c>
      <c r="O184" s="7" t="s">
        <v>7543</v>
      </c>
      <c r="P184" s="53" t="s">
        <v>14371</v>
      </c>
      <c r="Q184" s="43" t="s">
        <v>14372</v>
      </c>
      <c r="R184" s="50"/>
      <c r="S184" s="51"/>
      <c r="T184" s="7" t="s">
        <v>7540</v>
      </c>
      <c r="U184" s="6" t="s">
        <v>14373</v>
      </c>
      <c r="V184" s="6" t="s">
        <v>14374</v>
      </c>
      <c r="W184" s="6" t="s">
        <v>14375</v>
      </c>
      <c r="X184" s="6" t="s">
        <v>14376</v>
      </c>
      <c r="Y184" s="6" t="s">
        <v>2938</v>
      </c>
      <c r="Z184" s="6" t="s">
        <v>592</v>
      </c>
      <c r="AA184" s="7"/>
      <c r="AB184" s="7"/>
      <c r="AC184" s="7">
        <v>4.8220933500025E13</v>
      </c>
      <c r="AD184" s="7">
        <v>4.82209335E8</v>
      </c>
      <c r="AE184" s="6" t="s">
        <v>12355</v>
      </c>
      <c r="AF184" s="45">
        <v>45245.58128472222</v>
      </c>
      <c r="AG184" s="7" t="s">
        <v>14377</v>
      </c>
      <c r="AH184" s="46" t="s">
        <v>14378</v>
      </c>
      <c r="AI184" s="7"/>
      <c r="AJ184" s="6" t="s">
        <v>14379</v>
      </c>
      <c r="AK184" s="7" t="b">
        <v>0</v>
      </c>
      <c r="AL184" s="7" t="b">
        <v>0</v>
      </c>
      <c r="AM184" s="7"/>
      <c r="AN184" s="6" t="s">
        <v>7537</v>
      </c>
      <c r="AO184" s="6">
        <v>4737.0</v>
      </c>
      <c r="AP184" s="6"/>
      <c r="AQ184" s="6" t="b">
        <v>1</v>
      </c>
      <c r="AR184" s="6" t="s">
        <v>14380</v>
      </c>
      <c r="AS184" s="6"/>
    </row>
    <row r="185" ht="15.75" customHeight="1">
      <c r="A185" s="9" t="s">
        <v>10400</v>
      </c>
      <c r="B185" s="9" t="s">
        <v>14381</v>
      </c>
      <c r="C185" s="9" t="s">
        <v>58</v>
      </c>
      <c r="D185" s="9" t="s">
        <v>59</v>
      </c>
      <c r="E185" s="9" t="s">
        <v>346</v>
      </c>
      <c r="F185" s="9">
        <v>2.0</v>
      </c>
      <c r="I185" s="9"/>
      <c r="J185" s="9" t="s">
        <v>14382</v>
      </c>
      <c r="K185" s="9" t="s">
        <v>14383</v>
      </c>
      <c r="L185" s="9">
        <v>97430.0</v>
      </c>
      <c r="M185" s="9" t="s">
        <v>71</v>
      </c>
      <c r="N185" s="9" t="s">
        <v>3501</v>
      </c>
      <c r="O185" s="9" t="s">
        <v>14384</v>
      </c>
      <c r="P185" s="53" t="s">
        <v>14385</v>
      </c>
      <c r="Q185" s="49" t="s">
        <v>14386</v>
      </c>
      <c r="R185" s="50"/>
      <c r="S185" s="58" t="s">
        <v>14387</v>
      </c>
      <c r="T185" s="9" t="s">
        <v>14388</v>
      </c>
      <c r="U185" s="9" t="s">
        <v>14389</v>
      </c>
      <c r="V185" s="9" t="s">
        <v>14390</v>
      </c>
      <c r="W185" s="9" t="s">
        <v>14391</v>
      </c>
      <c r="X185" s="9" t="s">
        <v>14392</v>
      </c>
      <c r="Y185" s="9" t="s">
        <v>1863</v>
      </c>
      <c r="Z185" s="9" t="s">
        <v>592</v>
      </c>
      <c r="AC185" s="9">
        <v>8.3814000200018E13</v>
      </c>
      <c r="AD185" s="9">
        <v>8.38140002E8</v>
      </c>
      <c r="AE185" s="9" t="s">
        <v>401</v>
      </c>
      <c r="AF185" s="55">
        <v>45415.41539351852</v>
      </c>
      <c r="AG185" s="9" t="s">
        <v>14393</v>
      </c>
      <c r="AH185" s="9" t="s">
        <v>14394</v>
      </c>
      <c r="AJ185" s="9" t="s">
        <v>14395</v>
      </c>
      <c r="AK185" s="9" t="b">
        <v>0</v>
      </c>
      <c r="AL185" s="9" t="b">
        <v>0</v>
      </c>
      <c r="AM185" s="9" t="s">
        <v>14396</v>
      </c>
      <c r="AN185" s="9" t="s">
        <v>10400</v>
      </c>
      <c r="AP185" s="56">
        <v>45069.0</v>
      </c>
      <c r="AQ185" s="9" t="b">
        <v>1</v>
      </c>
      <c r="AR185" s="9"/>
    </row>
    <row r="186" ht="15.75" customHeight="1">
      <c r="A186" s="7" t="s">
        <v>942</v>
      </c>
      <c r="B186" s="7" t="s">
        <v>943</v>
      </c>
      <c r="C186" s="7" t="s">
        <v>58</v>
      </c>
      <c r="D186" s="6" t="s">
        <v>59</v>
      </c>
      <c r="E186" s="6" t="s">
        <v>346</v>
      </c>
      <c r="F186" s="6">
        <v>20.0</v>
      </c>
      <c r="G186" s="7" t="s">
        <v>455</v>
      </c>
      <c r="H186" s="7"/>
      <c r="I186" s="7"/>
      <c r="J186" s="7">
        <v>52.0</v>
      </c>
      <c r="K186" s="7" t="s">
        <v>14397</v>
      </c>
      <c r="L186" s="7">
        <v>97480.0</v>
      </c>
      <c r="M186" s="7" t="s">
        <v>123</v>
      </c>
      <c r="N186" s="7" t="s">
        <v>3556</v>
      </c>
      <c r="O186" s="6" t="s">
        <v>14398</v>
      </c>
      <c r="P186" s="42" t="s">
        <v>948</v>
      </c>
      <c r="Q186" s="43" t="s">
        <v>14399</v>
      </c>
      <c r="R186" s="43" t="s">
        <v>14400</v>
      </c>
      <c r="S186" s="47"/>
      <c r="T186" s="6" t="s">
        <v>14401</v>
      </c>
      <c r="U186" s="6" t="s">
        <v>14402</v>
      </c>
      <c r="V186" s="7" t="s">
        <v>951</v>
      </c>
      <c r="W186" s="6" t="s">
        <v>14403</v>
      </c>
      <c r="X186" s="6" t="s">
        <v>14404</v>
      </c>
      <c r="Y186" s="6" t="s">
        <v>8231</v>
      </c>
      <c r="Z186" s="6" t="s">
        <v>353</v>
      </c>
      <c r="AA186" s="7"/>
      <c r="AB186" s="7"/>
      <c r="AC186" s="7">
        <v>4.1169046400028E13</v>
      </c>
      <c r="AD186" s="7">
        <v>4.11690464E8</v>
      </c>
      <c r="AE186" s="6" t="s">
        <v>401</v>
      </c>
      <c r="AF186" s="45">
        <v>45244.37399305555</v>
      </c>
      <c r="AG186" s="7" t="s">
        <v>14405</v>
      </c>
      <c r="AH186" s="46" t="s">
        <v>14406</v>
      </c>
      <c r="AI186" s="7"/>
      <c r="AJ186" s="6" t="s">
        <v>14407</v>
      </c>
      <c r="AK186" s="6" t="b">
        <v>1</v>
      </c>
      <c r="AL186" s="7" t="b">
        <v>0</v>
      </c>
      <c r="AM186" s="6" t="s">
        <v>956</v>
      </c>
      <c r="AN186" s="6" t="s">
        <v>942</v>
      </c>
      <c r="AO186" s="6">
        <v>4341.0</v>
      </c>
      <c r="AP186" s="6"/>
      <c r="AQ186" s="6" t="b">
        <v>1</v>
      </c>
      <c r="AR186" s="6" t="s">
        <v>14408</v>
      </c>
      <c r="AS186" s="6"/>
    </row>
    <row r="187" ht="15.75" customHeight="1">
      <c r="A187" s="7" t="s">
        <v>9922</v>
      </c>
      <c r="B187" s="7" t="s">
        <v>14409</v>
      </c>
      <c r="C187" s="7" t="s">
        <v>58</v>
      </c>
      <c r="D187" s="7" t="s">
        <v>59</v>
      </c>
      <c r="E187" s="7" t="s">
        <v>346</v>
      </c>
      <c r="F187" s="7">
        <v>4.0</v>
      </c>
      <c r="G187" s="6" t="s">
        <v>422</v>
      </c>
      <c r="H187" s="7"/>
      <c r="I187" s="7"/>
      <c r="J187" s="7">
        <v>249.0</v>
      </c>
      <c r="K187" s="7" t="s">
        <v>13523</v>
      </c>
      <c r="L187" s="7">
        <v>97414.0</v>
      </c>
      <c r="M187" s="7" t="s">
        <v>40</v>
      </c>
      <c r="N187" s="6" t="s">
        <v>12822</v>
      </c>
      <c r="O187" s="6" t="s">
        <v>14410</v>
      </c>
      <c r="P187" s="42" t="s">
        <v>9927</v>
      </c>
      <c r="Q187" s="49" t="s">
        <v>14411</v>
      </c>
      <c r="R187" s="50"/>
      <c r="S187" s="57" t="s">
        <v>14412</v>
      </c>
      <c r="T187" s="6" t="s">
        <v>14413</v>
      </c>
      <c r="U187" s="6" t="s">
        <v>14414</v>
      </c>
      <c r="V187" s="6" t="s">
        <v>14415</v>
      </c>
      <c r="W187" s="6" t="s">
        <v>14416</v>
      </c>
      <c r="X187" s="6" t="s">
        <v>14417</v>
      </c>
      <c r="Y187" s="6" t="s">
        <v>14418</v>
      </c>
      <c r="Z187" s="6" t="s">
        <v>353</v>
      </c>
      <c r="AA187" s="7"/>
      <c r="AB187" s="7"/>
      <c r="AC187" s="7"/>
      <c r="AD187" s="7"/>
      <c r="AE187" s="6" t="s">
        <v>401</v>
      </c>
      <c r="AF187" s="63">
        <v>45243.58457175926</v>
      </c>
      <c r="AG187" s="7" t="s">
        <v>14419</v>
      </c>
      <c r="AH187" s="46" t="s">
        <v>14420</v>
      </c>
      <c r="AI187" s="7"/>
      <c r="AJ187" s="7"/>
      <c r="AK187" s="7" t="b">
        <v>0</v>
      </c>
      <c r="AL187" s="7" t="b">
        <v>0</v>
      </c>
      <c r="AM187" s="6" t="s">
        <v>14421</v>
      </c>
      <c r="AN187" s="6" t="s">
        <v>9922</v>
      </c>
      <c r="AO187" s="7"/>
      <c r="AP187" s="7"/>
      <c r="AQ187" s="6" t="b">
        <v>0</v>
      </c>
      <c r="AR187" s="6"/>
      <c r="AS187" s="48" t="s">
        <v>12303</v>
      </c>
    </row>
    <row r="188" ht="15.75" customHeight="1">
      <c r="A188" s="9" t="s">
        <v>11800</v>
      </c>
      <c r="B188" s="9" t="s">
        <v>14422</v>
      </c>
      <c r="C188" s="9" t="s">
        <v>58</v>
      </c>
      <c r="D188" s="9" t="s">
        <v>59</v>
      </c>
      <c r="E188" s="9" t="s">
        <v>12384</v>
      </c>
      <c r="F188" s="9">
        <v>6.0</v>
      </c>
      <c r="G188" s="9" t="s">
        <v>455</v>
      </c>
      <c r="I188" s="9"/>
      <c r="J188" s="52" t="s">
        <v>13151</v>
      </c>
      <c r="K188" s="9" t="s">
        <v>14423</v>
      </c>
      <c r="L188" s="9">
        <v>97430.0</v>
      </c>
      <c r="M188" s="9" t="s">
        <v>71</v>
      </c>
      <c r="N188" s="9" t="s">
        <v>12447</v>
      </c>
      <c r="O188" s="9" t="s">
        <v>14424</v>
      </c>
      <c r="P188" s="53" t="s">
        <v>14425</v>
      </c>
      <c r="Q188" s="49" t="s">
        <v>14426</v>
      </c>
      <c r="R188" s="50"/>
      <c r="S188" s="59"/>
      <c r="T188" s="9" t="s">
        <v>14427</v>
      </c>
      <c r="U188" s="9" t="s">
        <v>14428</v>
      </c>
      <c r="V188" s="9" t="s">
        <v>14429</v>
      </c>
      <c r="W188" s="9" t="s">
        <v>14430</v>
      </c>
      <c r="X188" s="9" t="s">
        <v>14431</v>
      </c>
      <c r="Y188" s="9" t="s">
        <v>14298</v>
      </c>
      <c r="Z188" s="9" t="s">
        <v>353</v>
      </c>
      <c r="AC188" s="9">
        <v>9.789470910001E13</v>
      </c>
      <c r="AD188" s="9">
        <v>9.78947091E8</v>
      </c>
      <c r="AE188" s="9" t="s">
        <v>401</v>
      </c>
      <c r="AF188" s="55">
        <v>45243.40739583333</v>
      </c>
      <c r="AG188" s="9" t="s">
        <v>14432</v>
      </c>
      <c r="AH188" s="9" t="s">
        <v>14433</v>
      </c>
      <c r="AJ188" s="9" t="s">
        <v>14434</v>
      </c>
      <c r="AK188" s="9" t="b">
        <v>0</v>
      </c>
      <c r="AL188" s="9" t="b">
        <v>0</v>
      </c>
      <c r="AM188" s="9" t="s">
        <v>14435</v>
      </c>
      <c r="AN188" s="9" t="s">
        <v>11800</v>
      </c>
      <c r="AP188" s="56">
        <v>45174.0</v>
      </c>
      <c r="AQ188" s="9" t="b">
        <v>1</v>
      </c>
      <c r="AR188" s="9"/>
    </row>
    <row r="189" ht="15.75" customHeight="1">
      <c r="A189" s="9" t="s">
        <v>10394</v>
      </c>
      <c r="B189" s="9" t="s">
        <v>14436</v>
      </c>
      <c r="C189" s="9" t="s">
        <v>58</v>
      </c>
      <c r="D189" s="9" t="s">
        <v>59</v>
      </c>
      <c r="E189" s="9" t="s">
        <v>12384</v>
      </c>
      <c r="F189" s="9">
        <v>6.0</v>
      </c>
      <c r="G189" s="9" t="s">
        <v>455</v>
      </c>
      <c r="H189" s="9"/>
      <c r="I189" s="9" t="s">
        <v>1419</v>
      </c>
      <c r="J189" s="9" t="s">
        <v>14437</v>
      </c>
      <c r="K189" s="9" t="s">
        <v>14438</v>
      </c>
      <c r="L189" s="9">
        <v>97480.0</v>
      </c>
      <c r="M189" s="9" t="s">
        <v>123</v>
      </c>
      <c r="N189" s="9" t="s">
        <v>14439</v>
      </c>
      <c r="O189" s="9" t="s">
        <v>14440</v>
      </c>
      <c r="P189" s="53" t="s">
        <v>14441</v>
      </c>
      <c r="Q189" s="49" t="s">
        <v>14442</v>
      </c>
      <c r="R189" s="50"/>
      <c r="S189" s="58" t="s">
        <v>14443</v>
      </c>
      <c r="T189" s="9" t="s">
        <v>14444</v>
      </c>
      <c r="U189" s="9" t="s">
        <v>14445</v>
      </c>
      <c r="V189" s="9" t="s">
        <v>14446</v>
      </c>
      <c r="W189" s="9" t="s">
        <v>14447</v>
      </c>
      <c r="X189" s="9" t="s">
        <v>14448</v>
      </c>
      <c r="Y189" s="9" t="s">
        <v>12478</v>
      </c>
      <c r="Z189" s="9" t="s">
        <v>353</v>
      </c>
      <c r="AC189" s="9"/>
      <c r="AD189" s="9"/>
      <c r="AE189" s="9" t="s">
        <v>401</v>
      </c>
      <c r="AF189" s="55">
        <v>45908.369108796294</v>
      </c>
      <c r="AG189" s="9" t="s">
        <v>14449</v>
      </c>
      <c r="AH189" s="9" t="s">
        <v>14450</v>
      </c>
      <c r="AJ189" s="9" t="s">
        <v>14451</v>
      </c>
      <c r="AK189" s="9" t="b">
        <v>0</v>
      </c>
      <c r="AL189" s="9" t="b">
        <v>0</v>
      </c>
      <c r="AM189" s="9" t="s">
        <v>14452</v>
      </c>
      <c r="AN189" s="9" t="s">
        <v>10394</v>
      </c>
      <c r="AP189" s="56">
        <v>45198.0</v>
      </c>
      <c r="AQ189" s="9" t="b">
        <v>1</v>
      </c>
      <c r="AR189" s="9" t="s">
        <v>14453</v>
      </c>
    </row>
    <row r="190" ht="15.75" customHeight="1">
      <c r="A190" s="7" t="s">
        <v>3079</v>
      </c>
      <c r="B190" s="7" t="s">
        <v>3080</v>
      </c>
      <c r="C190" s="7" t="s">
        <v>58</v>
      </c>
      <c r="D190" s="7" t="s">
        <v>59</v>
      </c>
      <c r="E190" s="7" t="s">
        <v>545</v>
      </c>
      <c r="F190" s="7">
        <v>8.0</v>
      </c>
      <c r="G190" s="7" t="s">
        <v>664</v>
      </c>
      <c r="H190" s="7" t="s">
        <v>2716</v>
      </c>
      <c r="I190" s="7"/>
      <c r="J190" s="7">
        <v>19.0</v>
      </c>
      <c r="K190" s="7" t="s">
        <v>14454</v>
      </c>
      <c r="L190" s="7">
        <v>97442.0</v>
      </c>
      <c r="M190" s="7" t="s">
        <v>33</v>
      </c>
      <c r="N190" s="7"/>
      <c r="O190" s="6" t="s">
        <v>14455</v>
      </c>
      <c r="P190" s="42" t="s">
        <v>3085</v>
      </c>
      <c r="Q190" s="43" t="s">
        <v>14456</v>
      </c>
      <c r="R190" s="43" t="s">
        <v>14457</v>
      </c>
      <c r="S190" s="47" t="s">
        <v>3082</v>
      </c>
      <c r="T190" s="6" t="s">
        <v>14458</v>
      </c>
      <c r="U190" s="7" t="s">
        <v>3086</v>
      </c>
      <c r="V190" s="7" t="s">
        <v>3088</v>
      </c>
      <c r="W190" s="6" t="s">
        <v>14459</v>
      </c>
      <c r="X190" s="7" t="s">
        <v>3084</v>
      </c>
      <c r="Y190" s="7" t="s">
        <v>377</v>
      </c>
      <c r="Z190" s="7" t="s">
        <v>424</v>
      </c>
      <c r="AA190" s="7"/>
      <c r="AB190" s="7"/>
      <c r="AC190" s="7">
        <v>7.8983710100011E13</v>
      </c>
      <c r="AD190" s="7">
        <v>7.89837101E8</v>
      </c>
      <c r="AE190" s="6" t="s">
        <v>401</v>
      </c>
      <c r="AF190" s="45">
        <v>45239.48810185185</v>
      </c>
      <c r="AG190" s="7" t="s">
        <v>14460</v>
      </c>
      <c r="AH190" s="46" t="s">
        <v>14461</v>
      </c>
      <c r="AI190" s="7"/>
      <c r="AJ190" s="6" t="s">
        <v>14462</v>
      </c>
      <c r="AK190" s="7" t="b">
        <v>0</v>
      </c>
      <c r="AL190" s="7" t="b">
        <v>0</v>
      </c>
      <c r="AM190" s="6" t="s">
        <v>3093</v>
      </c>
      <c r="AN190" s="6" t="s">
        <v>3079</v>
      </c>
      <c r="AO190" s="6">
        <v>3544.0</v>
      </c>
      <c r="AP190" s="6"/>
      <c r="AQ190" s="6" t="b">
        <v>1</v>
      </c>
      <c r="AR190" s="6" t="s">
        <v>14463</v>
      </c>
      <c r="AS190" s="48" t="s">
        <v>12303</v>
      </c>
    </row>
    <row r="191" ht="15.75" customHeight="1">
      <c r="A191" s="9" t="s">
        <v>12180</v>
      </c>
      <c r="B191" s="9" t="s">
        <v>14464</v>
      </c>
      <c r="C191" s="9" t="s">
        <v>58</v>
      </c>
      <c r="D191" s="9" t="s">
        <v>59</v>
      </c>
      <c r="E191" s="9" t="s">
        <v>12384</v>
      </c>
      <c r="F191" s="9">
        <v>3.0</v>
      </c>
      <c r="G191" s="9" t="s">
        <v>455</v>
      </c>
      <c r="H191" s="9" t="s">
        <v>2716</v>
      </c>
      <c r="I191" s="9"/>
      <c r="J191" s="52" t="s">
        <v>14465</v>
      </c>
      <c r="K191" s="9" t="s">
        <v>14466</v>
      </c>
      <c r="L191" s="9">
        <v>97430.0</v>
      </c>
      <c r="M191" s="9" t="s">
        <v>71</v>
      </c>
      <c r="N191" s="9" t="s">
        <v>12447</v>
      </c>
      <c r="O191" s="9" t="s">
        <v>14467</v>
      </c>
      <c r="P191" s="53" t="s">
        <v>14468</v>
      </c>
      <c r="Q191" s="49" t="s">
        <v>14469</v>
      </c>
      <c r="R191" s="50"/>
      <c r="S191" s="59"/>
      <c r="T191" s="9" t="s">
        <v>14470</v>
      </c>
      <c r="U191" s="9" t="s">
        <v>14471</v>
      </c>
      <c r="V191" s="9" t="s">
        <v>14472</v>
      </c>
      <c r="W191" s="9" t="s">
        <v>14473</v>
      </c>
      <c r="X191" s="9" t="s">
        <v>14474</v>
      </c>
      <c r="Y191" s="9" t="s">
        <v>13011</v>
      </c>
      <c r="Z191" s="9" t="s">
        <v>378</v>
      </c>
      <c r="AC191" s="9">
        <v>8.8445968600017E13</v>
      </c>
      <c r="AD191" s="9">
        <v>8.84459686E8</v>
      </c>
      <c r="AE191" s="9" t="s">
        <v>401</v>
      </c>
      <c r="AF191" s="55">
        <v>45427.582349537035</v>
      </c>
      <c r="AG191" s="9" t="s">
        <v>14475</v>
      </c>
      <c r="AH191" s="9" t="s">
        <v>14476</v>
      </c>
      <c r="AJ191" s="9" t="s">
        <v>14477</v>
      </c>
      <c r="AK191" s="9" t="b">
        <v>0</v>
      </c>
      <c r="AL191" s="9" t="b">
        <v>0</v>
      </c>
      <c r="AM191" s="9" t="s">
        <v>14478</v>
      </c>
      <c r="AN191" s="9" t="s">
        <v>12180</v>
      </c>
      <c r="AP191" s="56">
        <v>45226.0</v>
      </c>
      <c r="AQ191" s="9" t="b">
        <v>0</v>
      </c>
      <c r="AR191" s="9" t="s">
        <v>14479</v>
      </c>
    </row>
    <row r="192" ht="15.75" customHeight="1">
      <c r="A192" s="7" t="s">
        <v>3552</v>
      </c>
      <c r="B192" s="6" t="s">
        <v>14480</v>
      </c>
      <c r="C192" s="7" t="s">
        <v>58</v>
      </c>
      <c r="D192" s="7" t="s">
        <v>59</v>
      </c>
      <c r="E192" s="7" t="s">
        <v>346</v>
      </c>
      <c r="F192" s="6">
        <v>4.0</v>
      </c>
      <c r="G192" s="7" t="s">
        <v>407</v>
      </c>
      <c r="H192" s="7" t="s">
        <v>2716</v>
      </c>
      <c r="I192" s="7"/>
      <c r="J192" s="6" t="s">
        <v>14481</v>
      </c>
      <c r="K192" s="7" t="s">
        <v>14482</v>
      </c>
      <c r="L192" s="7">
        <v>97480.0</v>
      </c>
      <c r="M192" s="7" t="s">
        <v>123</v>
      </c>
      <c r="N192" s="7" t="s">
        <v>3556</v>
      </c>
      <c r="O192" s="6" t="s">
        <v>14483</v>
      </c>
      <c r="P192" s="53" t="s">
        <v>14484</v>
      </c>
      <c r="Q192" s="49" t="s">
        <v>14485</v>
      </c>
      <c r="R192" s="43" t="s">
        <v>14486</v>
      </c>
      <c r="S192" s="47" t="s">
        <v>12350</v>
      </c>
      <c r="T192" s="6" t="s">
        <v>14487</v>
      </c>
      <c r="U192" s="7" t="s">
        <v>3560</v>
      </c>
      <c r="V192" s="7" t="s">
        <v>3562</v>
      </c>
      <c r="W192" s="6" t="s">
        <v>14488</v>
      </c>
      <c r="X192" s="7" t="s">
        <v>1458</v>
      </c>
      <c r="Y192" s="6" t="s">
        <v>499</v>
      </c>
      <c r="Z192" s="7" t="s">
        <v>353</v>
      </c>
      <c r="AA192" s="7" t="s">
        <v>3568</v>
      </c>
      <c r="AB192" s="7" t="s">
        <v>1829</v>
      </c>
      <c r="AC192" s="6">
        <v>9.2359387500019E13</v>
      </c>
      <c r="AD192" s="6">
        <v>9.23593875E8</v>
      </c>
      <c r="AE192" s="6" t="s">
        <v>401</v>
      </c>
      <c r="AF192" s="45">
        <v>45749.54754629629</v>
      </c>
      <c r="AG192" s="19" t="s">
        <v>14489</v>
      </c>
      <c r="AH192" s="46" t="s">
        <v>14490</v>
      </c>
      <c r="AI192" s="7"/>
      <c r="AJ192" s="6" t="s">
        <v>14491</v>
      </c>
      <c r="AK192" s="7" t="b">
        <v>0</v>
      </c>
      <c r="AL192" s="7" t="b">
        <v>0</v>
      </c>
      <c r="AM192" s="6" t="s">
        <v>3569</v>
      </c>
      <c r="AN192" s="6" t="s">
        <v>3552</v>
      </c>
      <c r="AO192" s="6">
        <v>883.0</v>
      </c>
      <c r="AP192" s="6"/>
      <c r="AQ192" s="6" t="b">
        <v>0</v>
      </c>
      <c r="AR192" s="6" t="s">
        <v>14492</v>
      </c>
      <c r="AS192" s="6"/>
    </row>
    <row r="193" ht="15.75" customHeight="1">
      <c r="A193" s="9" t="s">
        <v>10396</v>
      </c>
      <c r="B193" s="9" t="s">
        <v>14493</v>
      </c>
      <c r="C193" s="9" t="s">
        <v>117</v>
      </c>
      <c r="D193" s="9" t="s">
        <v>197</v>
      </c>
      <c r="E193" s="9" t="s">
        <v>14250</v>
      </c>
      <c r="F193" s="9"/>
      <c r="G193" s="9"/>
      <c r="H193" s="9"/>
      <c r="I193" s="9"/>
      <c r="J193" s="52" t="s">
        <v>14494</v>
      </c>
      <c r="K193" s="9" t="s">
        <v>14495</v>
      </c>
      <c r="L193" s="9">
        <v>97430.0</v>
      </c>
      <c r="M193" s="9" t="s">
        <v>71</v>
      </c>
      <c r="N193" s="9" t="s">
        <v>3501</v>
      </c>
      <c r="O193" s="9" t="s">
        <v>14496</v>
      </c>
      <c r="P193" s="53" t="s">
        <v>14497</v>
      </c>
      <c r="Q193" s="49" t="s">
        <v>14498</v>
      </c>
      <c r="R193" s="50"/>
      <c r="S193" s="58" t="s">
        <v>14499</v>
      </c>
      <c r="T193" s="9" t="s">
        <v>14500</v>
      </c>
      <c r="U193" s="9" t="s">
        <v>14501</v>
      </c>
      <c r="V193" s="9"/>
      <c r="W193" s="9"/>
      <c r="X193" s="9"/>
      <c r="Y193" s="9" t="s">
        <v>2938</v>
      </c>
      <c r="Z193" s="9" t="s">
        <v>353</v>
      </c>
      <c r="AC193" s="9">
        <v>5.297753300001E13</v>
      </c>
      <c r="AD193" s="9">
        <v>5.2977533E8</v>
      </c>
      <c r="AE193" s="9" t="s">
        <v>12355</v>
      </c>
      <c r="AF193" s="55">
        <v>45855.57305555556</v>
      </c>
      <c r="AG193" s="9" t="s">
        <v>14502</v>
      </c>
      <c r="AH193" s="9" t="s">
        <v>14503</v>
      </c>
      <c r="AJ193" s="9" t="s">
        <v>14504</v>
      </c>
      <c r="AK193" s="9"/>
      <c r="AL193" s="9"/>
      <c r="AM193" s="9"/>
      <c r="AN193" s="9" t="s">
        <v>10396</v>
      </c>
      <c r="AP193" s="56">
        <v>45226.0</v>
      </c>
      <c r="AQ193" s="9" t="b">
        <v>0</v>
      </c>
      <c r="AR193" s="9"/>
    </row>
    <row r="194" ht="15.75" customHeight="1">
      <c r="A194" s="9" t="s">
        <v>10398</v>
      </c>
      <c r="B194" s="9" t="s">
        <v>14505</v>
      </c>
      <c r="C194" s="9" t="s">
        <v>117</v>
      </c>
      <c r="D194" s="9" t="s">
        <v>197</v>
      </c>
      <c r="E194" s="9" t="s">
        <v>559</v>
      </c>
      <c r="F194" s="9"/>
      <c r="G194" s="9"/>
      <c r="H194" s="9"/>
      <c r="I194" s="9"/>
      <c r="J194" s="52" t="s">
        <v>12445</v>
      </c>
      <c r="K194" s="9" t="s">
        <v>14506</v>
      </c>
      <c r="L194" s="9">
        <v>97414.0</v>
      </c>
      <c r="M194" s="9" t="s">
        <v>40</v>
      </c>
      <c r="N194" s="9"/>
      <c r="O194" s="9" t="s">
        <v>14507</v>
      </c>
      <c r="P194" s="53" t="s">
        <v>14508</v>
      </c>
      <c r="Q194" s="49" t="s">
        <v>14509</v>
      </c>
      <c r="R194" s="50"/>
      <c r="S194" s="59"/>
      <c r="T194" s="9" t="s">
        <v>14510</v>
      </c>
      <c r="U194" s="9" t="s">
        <v>14511</v>
      </c>
      <c r="V194" s="9"/>
      <c r="W194" s="9"/>
      <c r="X194" s="9"/>
      <c r="Y194" s="9" t="s">
        <v>8231</v>
      </c>
      <c r="Z194" s="9" t="s">
        <v>424</v>
      </c>
      <c r="AC194" s="9">
        <v>4.3274176700016E13</v>
      </c>
      <c r="AD194" s="9">
        <v>4.32741767E8</v>
      </c>
      <c r="AE194" s="9" t="s">
        <v>401</v>
      </c>
      <c r="AF194" s="55">
        <v>45855.58452546296</v>
      </c>
      <c r="AG194" s="9" t="s">
        <v>14512</v>
      </c>
      <c r="AH194" s="9" t="s">
        <v>14513</v>
      </c>
      <c r="AJ194" s="9" t="s">
        <v>14514</v>
      </c>
      <c r="AK194" s="9" t="b">
        <v>1</v>
      </c>
      <c r="AL194" s="9" t="b">
        <v>1</v>
      </c>
      <c r="AM194" s="9"/>
      <c r="AN194" s="9" t="s">
        <v>10398</v>
      </c>
      <c r="AP194" s="56">
        <v>45209.0</v>
      </c>
      <c r="AQ194" s="9" t="b">
        <v>0</v>
      </c>
      <c r="AR194" s="9" t="s">
        <v>14515</v>
      </c>
    </row>
    <row r="195" ht="15.75" customHeight="1">
      <c r="A195" s="7" t="s">
        <v>6764</v>
      </c>
      <c r="B195" s="7" t="s">
        <v>6765</v>
      </c>
      <c r="C195" s="7" t="s">
        <v>58</v>
      </c>
      <c r="D195" s="7" t="s">
        <v>453</v>
      </c>
      <c r="E195" s="7" t="s">
        <v>454</v>
      </c>
      <c r="F195" s="7">
        <v>7.0</v>
      </c>
      <c r="G195" s="7" t="s">
        <v>2474</v>
      </c>
      <c r="H195" s="7"/>
      <c r="I195" s="7"/>
      <c r="J195" s="41" t="s">
        <v>14516</v>
      </c>
      <c r="K195" s="7" t="s">
        <v>12431</v>
      </c>
      <c r="L195" s="7">
        <v>97418.0</v>
      </c>
      <c r="M195" s="7" t="s">
        <v>71</v>
      </c>
      <c r="N195" s="7" t="s">
        <v>216</v>
      </c>
      <c r="O195" s="6" t="s">
        <v>14517</v>
      </c>
      <c r="P195" s="42" t="s">
        <v>6769</v>
      </c>
      <c r="Q195" s="43" t="s">
        <v>14518</v>
      </c>
      <c r="R195" s="43" t="s">
        <v>14519</v>
      </c>
      <c r="S195" s="47" t="s">
        <v>6767</v>
      </c>
      <c r="T195" s="7" t="s">
        <v>6771</v>
      </c>
      <c r="U195" s="7" t="s">
        <v>6770</v>
      </c>
      <c r="V195" s="7" t="s">
        <v>6772</v>
      </c>
      <c r="W195" s="6" t="s">
        <v>14520</v>
      </c>
      <c r="X195" s="7" t="s">
        <v>1521</v>
      </c>
      <c r="Y195" s="7" t="s">
        <v>377</v>
      </c>
      <c r="Z195" s="7" t="s">
        <v>378</v>
      </c>
      <c r="AA195" s="7" t="s">
        <v>3849</v>
      </c>
      <c r="AB195" s="7" t="s">
        <v>1829</v>
      </c>
      <c r="AC195" s="7">
        <v>4.4337258600018E13</v>
      </c>
      <c r="AD195" s="7">
        <v>4.43372586E8</v>
      </c>
      <c r="AE195" s="6" t="s">
        <v>401</v>
      </c>
      <c r="AF195" s="63">
        <v>45224.62163194444</v>
      </c>
      <c r="AG195" s="7" t="s">
        <v>14521</v>
      </c>
      <c r="AH195" s="46" t="s">
        <v>14522</v>
      </c>
      <c r="AI195" s="7"/>
      <c r="AJ195" s="7"/>
      <c r="AK195" s="7" t="b">
        <v>0</v>
      </c>
      <c r="AL195" s="7" t="b">
        <v>0</v>
      </c>
      <c r="AM195" s="6" t="s">
        <v>6777</v>
      </c>
      <c r="AN195" s="6" t="s">
        <v>6764</v>
      </c>
      <c r="AO195" s="6">
        <v>2831.0</v>
      </c>
      <c r="AP195" s="6"/>
      <c r="AQ195" s="6" t="b">
        <v>1</v>
      </c>
      <c r="AR195" s="6"/>
      <c r="AS195" s="48" t="s">
        <v>12303</v>
      </c>
    </row>
    <row r="196" ht="15.75" customHeight="1">
      <c r="A196" s="7" t="s">
        <v>9323</v>
      </c>
      <c r="B196" s="7" t="s">
        <v>14523</v>
      </c>
      <c r="C196" s="7" t="s">
        <v>822</v>
      </c>
      <c r="D196" s="7" t="s">
        <v>1405</v>
      </c>
      <c r="E196" s="7" t="s">
        <v>1406</v>
      </c>
      <c r="F196" s="7"/>
      <c r="G196" s="6" t="s">
        <v>375</v>
      </c>
      <c r="H196" s="7"/>
      <c r="I196" s="6" t="s">
        <v>14012</v>
      </c>
      <c r="J196" s="41" t="s">
        <v>14524</v>
      </c>
      <c r="K196" s="6" t="s">
        <v>14525</v>
      </c>
      <c r="L196" s="7">
        <v>97442.0</v>
      </c>
      <c r="M196" s="7" t="s">
        <v>33</v>
      </c>
      <c r="N196" s="6" t="s">
        <v>14526</v>
      </c>
      <c r="O196" s="6" t="s">
        <v>14527</v>
      </c>
      <c r="P196" s="42" t="s">
        <v>9326</v>
      </c>
      <c r="Q196" s="49" t="s">
        <v>14528</v>
      </c>
      <c r="R196" s="43" t="s">
        <v>14529</v>
      </c>
      <c r="S196" s="51"/>
      <c r="T196" s="6" t="s">
        <v>14530</v>
      </c>
      <c r="U196" s="6" t="s">
        <v>14531</v>
      </c>
      <c r="V196" s="6" t="s">
        <v>14532</v>
      </c>
      <c r="W196" s="6" t="s">
        <v>14533</v>
      </c>
      <c r="X196" s="6" t="s">
        <v>14534</v>
      </c>
      <c r="Y196" s="6" t="s">
        <v>2938</v>
      </c>
      <c r="Z196" s="6" t="s">
        <v>592</v>
      </c>
      <c r="AA196" s="7"/>
      <c r="AB196" s="7"/>
      <c r="AC196" s="6">
        <v>5.02981996E8</v>
      </c>
      <c r="AD196" s="6">
        <v>5.02981996E8</v>
      </c>
      <c r="AE196" s="6" t="s">
        <v>401</v>
      </c>
      <c r="AF196" s="45">
        <v>46078.4453125</v>
      </c>
      <c r="AG196" s="7" t="s">
        <v>14535</v>
      </c>
      <c r="AH196" s="46" t="s">
        <v>14536</v>
      </c>
      <c r="AI196" s="7"/>
      <c r="AJ196" s="6" t="s">
        <v>14537</v>
      </c>
      <c r="AK196" s="6" t="b">
        <v>1</v>
      </c>
      <c r="AL196" s="7" t="b">
        <v>0</v>
      </c>
      <c r="AM196" s="7"/>
      <c r="AN196" s="6" t="s">
        <v>9323</v>
      </c>
      <c r="AO196" s="7"/>
      <c r="AP196" s="7"/>
      <c r="AQ196" s="6" t="b">
        <v>1</v>
      </c>
      <c r="AR196" s="6"/>
      <c r="AS196" s="48" t="s">
        <v>12303</v>
      </c>
    </row>
    <row r="197" ht="15.75" customHeight="1">
      <c r="A197" s="7" t="s">
        <v>255</v>
      </c>
      <c r="B197" s="7" t="s">
        <v>14538</v>
      </c>
      <c r="C197" s="6" t="s">
        <v>822</v>
      </c>
      <c r="D197" s="6" t="s">
        <v>14010</v>
      </c>
      <c r="E197" s="6" t="s">
        <v>14539</v>
      </c>
      <c r="F197" s="6">
        <v>25.0</v>
      </c>
      <c r="G197" s="7" t="s">
        <v>407</v>
      </c>
      <c r="H197" s="7"/>
      <c r="I197" s="6" t="s">
        <v>14540</v>
      </c>
      <c r="J197" s="7">
        <v>18.0</v>
      </c>
      <c r="K197" s="7" t="s">
        <v>14541</v>
      </c>
      <c r="L197" s="7">
        <v>97480.0</v>
      </c>
      <c r="M197" s="7" t="s">
        <v>123</v>
      </c>
      <c r="N197" s="6" t="s">
        <v>8383</v>
      </c>
      <c r="O197" s="6" t="s">
        <v>14542</v>
      </c>
      <c r="P197" s="42" t="s">
        <v>5157</v>
      </c>
      <c r="Q197" s="49" t="s">
        <v>14543</v>
      </c>
      <c r="R197" s="43" t="s">
        <v>14544</v>
      </c>
      <c r="S197" s="47" t="s">
        <v>5156</v>
      </c>
      <c r="T197" s="6" t="s">
        <v>14545</v>
      </c>
      <c r="U197" s="7" t="s">
        <v>5158</v>
      </c>
      <c r="V197" s="7" t="s">
        <v>5160</v>
      </c>
      <c r="W197" s="6" t="s">
        <v>14546</v>
      </c>
      <c r="X197" s="6" t="s">
        <v>14547</v>
      </c>
      <c r="Y197" s="6" t="s">
        <v>14548</v>
      </c>
      <c r="Z197" s="6" t="s">
        <v>5551</v>
      </c>
      <c r="AA197" s="7"/>
      <c r="AB197" s="7"/>
      <c r="AC197" s="7">
        <v>4.8303651300024E13</v>
      </c>
      <c r="AD197" s="7">
        <v>4.83036513E8</v>
      </c>
      <c r="AE197" s="6" t="s">
        <v>401</v>
      </c>
      <c r="AF197" s="45">
        <v>46063.516875</v>
      </c>
      <c r="AG197" s="7" t="s">
        <v>14549</v>
      </c>
      <c r="AH197" s="46" t="s">
        <v>14550</v>
      </c>
      <c r="AI197" s="7"/>
      <c r="AJ197" s="6" t="s">
        <v>14551</v>
      </c>
      <c r="AK197" s="7" t="b">
        <v>0</v>
      </c>
      <c r="AL197" s="6" t="b">
        <v>1</v>
      </c>
      <c r="AM197" s="7"/>
      <c r="AN197" s="6" t="s">
        <v>255</v>
      </c>
      <c r="AO197" s="6">
        <v>1790.0</v>
      </c>
      <c r="AP197" s="6"/>
      <c r="AQ197" s="6" t="b">
        <v>1</v>
      </c>
      <c r="AR197" s="6" t="s">
        <v>14552</v>
      </c>
      <c r="AS197" s="6" t="s">
        <v>12303</v>
      </c>
    </row>
    <row r="198" ht="15.75" customHeight="1">
      <c r="A198" s="9" t="s">
        <v>11893</v>
      </c>
      <c r="B198" s="9" t="s">
        <v>14553</v>
      </c>
      <c r="C198" s="9" t="s">
        <v>822</v>
      </c>
      <c r="D198" s="9" t="s">
        <v>1405</v>
      </c>
      <c r="E198" s="9" t="s">
        <v>1406</v>
      </c>
      <c r="F198" s="9"/>
      <c r="G198" s="9" t="s">
        <v>664</v>
      </c>
      <c r="H198" s="9"/>
      <c r="I198" s="9"/>
      <c r="J198" s="52" t="s">
        <v>14554</v>
      </c>
      <c r="K198" s="9" t="s">
        <v>14555</v>
      </c>
      <c r="L198" s="9">
        <v>97430.0</v>
      </c>
      <c r="M198" s="9" t="s">
        <v>71</v>
      </c>
      <c r="N198" s="9" t="s">
        <v>12447</v>
      </c>
      <c r="O198" s="9" t="s">
        <v>14556</v>
      </c>
      <c r="P198" s="53" t="s">
        <v>14557</v>
      </c>
      <c r="Q198" s="49" t="s">
        <v>14558</v>
      </c>
      <c r="R198" s="50"/>
      <c r="S198" s="59"/>
      <c r="T198" s="9" t="s">
        <v>14559</v>
      </c>
      <c r="U198" s="9" t="s">
        <v>14560</v>
      </c>
      <c r="V198" s="9" t="s">
        <v>14561</v>
      </c>
      <c r="W198" s="9"/>
      <c r="X198" s="9"/>
      <c r="Y198" s="9"/>
      <c r="Z198" s="9" t="s">
        <v>353</v>
      </c>
      <c r="AC198" s="9"/>
      <c r="AD198" s="9"/>
      <c r="AE198" s="9" t="s">
        <v>401</v>
      </c>
      <c r="AF198" s="55">
        <v>45223.44938657407</v>
      </c>
      <c r="AG198" s="9" t="s">
        <v>14562</v>
      </c>
      <c r="AH198" s="9" t="s">
        <v>14563</v>
      </c>
      <c r="AJ198" s="9"/>
      <c r="AK198" s="9"/>
      <c r="AL198" s="9"/>
      <c r="AM198" s="9"/>
      <c r="AN198" s="9" t="s">
        <v>11893</v>
      </c>
      <c r="AP198" s="56">
        <v>45223.0</v>
      </c>
      <c r="AQ198" s="9" t="b">
        <v>0</v>
      </c>
      <c r="AR198" s="9"/>
    </row>
    <row r="199" ht="15.75" customHeight="1">
      <c r="A199" s="9" t="s">
        <v>10695</v>
      </c>
      <c r="B199" s="9" t="s">
        <v>14564</v>
      </c>
      <c r="C199" s="9" t="s">
        <v>58</v>
      </c>
      <c r="D199" s="9" t="s">
        <v>59</v>
      </c>
      <c r="E199" s="9" t="s">
        <v>12384</v>
      </c>
      <c r="F199" s="9">
        <v>6.0</v>
      </c>
      <c r="G199" s="9" t="s">
        <v>375</v>
      </c>
      <c r="J199" s="9" t="s">
        <v>14565</v>
      </c>
      <c r="K199" s="9" t="s">
        <v>14566</v>
      </c>
      <c r="L199" s="9">
        <v>97442.0</v>
      </c>
      <c r="M199" s="9" t="s">
        <v>33</v>
      </c>
      <c r="N199" s="9" t="s">
        <v>14526</v>
      </c>
      <c r="O199" s="9" t="s">
        <v>14567</v>
      </c>
      <c r="P199" s="53" t="s">
        <v>14568</v>
      </c>
      <c r="Q199" s="49" t="s">
        <v>14569</v>
      </c>
      <c r="R199" s="50"/>
      <c r="S199" s="54"/>
      <c r="T199" s="9" t="s">
        <v>14570</v>
      </c>
      <c r="U199" s="9" t="s">
        <v>14571</v>
      </c>
      <c r="W199" s="9" t="s">
        <v>14572</v>
      </c>
      <c r="X199" s="9" t="s">
        <v>14573</v>
      </c>
      <c r="Y199" s="9" t="s">
        <v>14574</v>
      </c>
      <c r="Z199" s="9" t="s">
        <v>353</v>
      </c>
      <c r="AC199" s="9">
        <v>9.5128942000014E13</v>
      </c>
      <c r="AD199" s="9">
        <v>9.5128942E8</v>
      </c>
      <c r="AE199" s="9" t="s">
        <v>12355</v>
      </c>
      <c r="AF199" s="55">
        <v>45223.3593287037</v>
      </c>
      <c r="AG199" s="9" t="s">
        <v>14575</v>
      </c>
      <c r="AH199" s="9" t="s">
        <v>14576</v>
      </c>
      <c r="AJ199" s="9" t="s">
        <v>14577</v>
      </c>
      <c r="AK199" s="9" t="b">
        <v>0</v>
      </c>
      <c r="AL199" s="9" t="b">
        <v>0</v>
      </c>
      <c r="AM199" s="9" t="s">
        <v>14578</v>
      </c>
      <c r="AN199" s="9" t="s">
        <v>10695</v>
      </c>
      <c r="AP199" s="56">
        <v>45041.0</v>
      </c>
      <c r="AQ199" s="9" t="b">
        <v>0</v>
      </c>
    </row>
    <row r="200" ht="15.75" customHeight="1">
      <c r="A200" s="9" t="s">
        <v>12136</v>
      </c>
      <c r="B200" s="9" t="s">
        <v>14579</v>
      </c>
      <c r="C200" s="9" t="s">
        <v>58</v>
      </c>
      <c r="D200" s="9" t="s">
        <v>59</v>
      </c>
      <c r="E200" s="9" t="s">
        <v>12384</v>
      </c>
      <c r="F200" s="9">
        <v>10.0</v>
      </c>
      <c r="G200" s="9" t="s">
        <v>455</v>
      </c>
      <c r="I200" s="9"/>
      <c r="J200" s="52" t="s">
        <v>14580</v>
      </c>
      <c r="K200" s="9" t="s">
        <v>14581</v>
      </c>
      <c r="L200" s="9">
        <v>97430.0</v>
      </c>
      <c r="M200" s="9" t="s">
        <v>71</v>
      </c>
      <c r="N200" s="9" t="s">
        <v>14582</v>
      </c>
      <c r="O200" s="9" t="s">
        <v>14583</v>
      </c>
      <c r="P200" s="53" t="s">
        <v>14584</v>
      </c>
      <c r="Q200" s="49" t="s">
        <v>14585</v>
      </c>
      <c r="R200" s="50"/>
      <c r="S200" s="59"/>
      <c r="T200" s="9" t="s">
        <v>14586</v>
      </c>
      <c r="U200" s="9" t="s">
        <v>14579</v>
      </c>
      <c r="V200" s="9" t="s">
        <v>14587</v>
      </c>
      <c r="W200" s="9" t="s">
        <v>14588</v>
      </c>
      <c r="X200" s="9" t="s">
        <v>14589</v>
      </c>
      <c r="Y200" s="9" t="s">
        <v>499</v>
      </c>
      <c r="Z200" s="9" t="s">
        <v>353</v>
      </c>
      <c r="AC200" s="9">
        <v>3.7932991500035E13</v>
      </c>
      <c r="AD200" s="9">
        <v>3.79329915E8</v>
      </c>
      <c r="AE200" s="9" t="s">
        <v>401</v>
      </c>
      <c r="AF200" s="55">
        <v>45222.54971064815</v>
      </c>
      <c r="AG200" s="9" t="s">
        <v>14590</v>
      </c>
      <c r="AH200" s="9" t="s">
        <v>14591</v>
      </c>
      <c r="AJ200" s="9" t="s">
        <v>14592</v>
      </c>
      <c r="AK200" s="9" t="b">
        <v>1</v>
      </c>
      <c r="AL200" s="9" t="b">
        <v>0</v>
      </c>
      <c r="AM200" s="9" t="s">
        <v>14593</v>
      </c>
      <c r="AN200" s="9" t="s">
        <v>12136</v>
      </c>
      <c r="AP200" s="56">
        <v>45168.0</v>
      </c>
      <c r="AQ200" s="9" t="b">
        <v>0</v>
      </c>
      <c r="AR200" s="9"/>
    </row>
    <row r="201" ht="15.75" customHeight="1">
      <c r="A201" s="9" t="s">
        <v>12132</v>
      </c>
      <c r="B201" s="9" t="s">
        <v>14594</v>
      </c>
      <c r="C201" s="9" t="s">
        <v>58</v>
      </c>
      <c r="D201" s="9" t="s">
        <v>453</v>
      </c>
      <c r="E201" s="9" t="s">
        <v>346</v>
      </c>
      <c r="F201" s="9">
        <v>6.0</v>
      </c>
      <c r="G201" s="9" t="s">
        <v>422</v>
      </c>
      <c r="I201" s="9"/>
      <c r="J201" s="52" t="s">
        <v>13350</v>
      </c>
      <c r="K201" s="9" t="s">
        <v>13351</v>
      </c>
      <c r="L201" s="9">
        <v>97414.0</v>
      </c>
      <c r="M201" s="9" t="s">
        <v>40</v>
      </c>
      <c r="N201" s="9" t="s">
        <v>40</v>
      </c>
      <c r="O201" s="9" t="s">
        <v>14595</v>
      </c>
      <c r="P201" s="53" t="s">
        <v>13353</v>
      </c>
      <c r="Q201" s="49" t="s">
        <v>14596</v>
      </c>
      <c r="R201" s="50"/>
      <c r="S201" s="59"/>
      <c r="T201" s="9" t="s">
        <v>14597</v>
      </c>
      <c r="U201" s="9" t="s">
        <v>14598</v>
      </c>
      <c r="V201" s="9" t="s">
        <v>13357</v>
      </c>
      <c r="W201" s="9" t="s">
        <v>14599</v>
      </c>
      <c r="X201" s="9" t="s">
        <v>14600</v>
      </c>
      <c r="Y201" s="9" t="s">
        <v>13360</v>
      </c>
      <c r="Z201" s="9" t="s">
        <v>353</v>
      </c>
      <c r="AC201" s="9">
        <v>9.7885215000017E13</v>
      </c>
      <c r="AD201" s="9">
        <v>9.7885215E8</v>
      </c>
      <c r="AE201" s="9" t="s">
        <v>401</v>
      </c>
      <c r="AF201" s="55">
        <v>45679.64372685185</v>
      </c>
      <c r="AG201" s="9" t="s">
        <v>13361</v>
      </c>
      <c r="AH201" s="9" t="s">
        <v>14601</v>
      </c>
      <c r="AJ201" s="9" t="s">
        <v>14602</v>
      </c>
      <c r="AK201" s="9" t="b">
        <v>0</v>
      </c>
      <c r="AL201" s="9" t="b">
        <v>0</v>
      </c>
      <c r="AM201" s="9" t="s">
        <v>14603</v>
      </c>
      <c r="AN201" s="9" t="s">
        <v>12132</v>
      </c>
      <c r="AP201" s="56">
        <v>45169.0</v>
      </c>
      <c r="AQ201" s="9" t="b">
        <v>1</v>
      </c>
      <c r="AR201" s="9" t="s">
        <v>14604</v>
      </c>
    </row>
    <row r="202" ht="15.75" customHeight="1">
      <c r="A202" s="7" t="s">
        <v>8889</v>
      </c>
      <c r="B202" s="7" t="s">
        <v>8890</v>
      </c>
      <c r="C202" s="7" t="s">
        <v>58</v>
      </c>
      <c r="D202" s="7" t="s">
        <v>59</v>
      </c>
      <c r="E202" s="7" t="s">
        <v>374</v>
      </c>
      <c r="F202" s="7">
        <v>4.0</v>
      </c>
      <c r="G202" s="7" t="s">
        <v>455</v>
      </c>
      <c r="H202" s="7"/>
      <c r="I202" s="7"/>
      <c r="J202" s="7">
        <v>232.0</v>
      </c>
      <c r="K202" s="7" t="s">
        <v>14605</v>
      </c>
      <c r="L202" s="7">
        <v>97430.0</v>
      </c>
      <c r="M202" s="7" t="s">
        <v>71</v>
      </c>
      <c r="N202" s="6" t="s">
        <v>3501</v>
      </c>
      <c r="O202" s="6" t="s">
        <v>14606</v>
      </c>
      <c r="P202" s="42" t="s">
        <v>8892</v>
      </c>
      <c r="Q202" s="49" t="s">
        <v>14607</v>
      </c>
      <c r="R202" s="50"/>
      <c r="S202" s="51"/>
      <c r="T202" s="6" t="s">
        <v>14608</v>
      </c>
      <c r="U202" s="6" t="s">
        <v>14609</v>
      </c>
      <c r="V202" s="7"/>
      <c r="W202" s="6" t="s">
        <v>14610</v>
      </c>
      <c r="X202" s="6" t="s">
        <v>14611</v>
      </c>
      <c r="Y202" s="6" t="s">
        <v>13684</v>
      </c>
      <c r="Z202" s="7" t="s">
        <v>592</v>
      </c>
      <c r="AA202" s="7" t="s">
        <v>8897</v>
      </c>
      <c r="AB202" s="7" t="s">
        <v>1590</v>
      </c>
      <c r="AC202" s="7"/>
      <c r="AD202" s="7"/>
      <c r="AE202" s="6" t="s">
        <v>401</v>
      </c>
      <c r="AF202" s="63">
        <v>45215.62694444445</v>
      </c>
      <c r="AG202" s="6" t="s">
        <v>14612</v>
      </c>
      <c r="AH202" s="46" t="s">
        <v>14613</v>
      </c>
      <c r="AI202" s="7"/>
      <c r="AJ202" s="6" t="s">
        <v>14614</v>
      </c>
      <c r="AK202" s="7" t="b">
        <v>0</v>
      </c>
      <c r="AL202" s="6" t="b">
        <v>1</v>
      </c>
      <c r="AM202" s="6" t="s">
        <v>8898</v>
      </c>
      <c r="AN202" s="6" t="s">
        <v>8889</v>
      </c>
      <c r="AO202" s="7"/>
      <c r="AP202" s="7"/>
      <c r="AQ202" s="6" t="b">
        <v>0</v>
      </c>
      <c r="AR202" s="6" t="s">
        <v>14615</v>
      </c>
      <c r="AS202" s="6"/>
    </row>
    <row r="203" ht="15.75" customHeight="1">
      <c r="A203" s="7" t="s">
        <v>8998</v>
      </c>
      <c r="B203" s="7" t="s">
        <v>14616</v>
      </c>
      <c r="C203" s="7" t="s">
        <v>58</v>
      </c>
      <c r="D203" s="7" t="s">
        <v>59</v>
      </c>
      <c r="E203" s="6" t="s">
        <v>12384</v>
      </c>
      <c r="F203" s="7">
        <v>3.0</v>
      </c>
      <c r="G203" s="6" t="s">
        <v>375</v>
      </c>
      <c r="H203" s="7"/>
      <c r="I203" s="7"/>
      <c r="J203" s="7">
        <v>13.0</v>
      </c>
      <c r="K203" s="7" t="s">
        <v>14617</v>
      </c>
      <c r="L203" s="7">
        <v>97480.0</v>
      </c>
      <c r="M203" s="7" t="s">
        <v>123</v>
      </c>
      <c r="N203" s="7" t="s">
        <v>8325</v>
      </c>
      <c r="O203" s="6" t="s">
        <v>14618</v>
      </c>
      <c r="P203" s="42" t="s">
        <v>9001</v>
      </c>
      <c r="Q203" s="49" t="s">
        <v>14619</v>
      </c>
      <c r="R203" s="50"/>
      <c r="S203" s="51"/>
      <c r="T203" s="6" t="s">
        <v>14620</v>
      </c>
      <c r="U203" s="6" t="s">
        <v>14621</v>
      </c>
      <c r="V203" s="6" t="s">
        <v>14622</v>
      </c>
      <c r="W203" s="6" t="s">
        <v>14623</v>
      </c>
      <c r="X203" s="6" t="s">
        <v>14624</v>
      </c>
      <c r="Y203" s="6" t="s">
        <v>1863</v>
      </c>
      <c r="Z203" s="6" t="s">
        <v>353</v>
      </c>
      <c r="AA203" s="7"/>
      <c r="AB203" s="7"/>
      <c r="AC203" s="7"/>
      <c r="AD203" s="7"/>
      <c r="AE203" s="6" t="s">
        <v>401</v>
      </c>
      <c r="AF203" s="63">
        <v>45215.577048611114</v>
      </c>
      <c r="AG203" s="7" t="s">
        <v>14625</v>
      </c>
      <c r="AH203" s="46" t="s">
        <v>14626</v>
      </c>
      <c r="AI203" s="7"/>
      <c r="AJ203" s="7"/>
      <c r="AK203" s="7" t="b">
        <v>0</v>
      </c>
      <c r="AL203" s="7" t="b">
        <v>0</v>
      </c>
      <c r="AM203" s="6" t="s">
        <v>9004</v>
      </c>
      <c r="AN203" s="6" t="s">
        <v>8998</v>
      </c>
      <c r="AO203" s="7"/>
      <c r="AP203" s="7"/>
      <c r="AQ203" s="6" t="b">
        <v>0</v>
      </c>
      <c r="AR203" s="6"/>
      <c r="AS203" s="6"/>
    </row>
    <row r="204" ht="15.75" customHeight="1">
      <c r="A204" s="7" t="s">
        <v>8657</v>
      </c>
      <c r="B204" s="7" t="s">
        <v>14627</v>
      </c>
      <c r="C204" s="7" t="s">
        <v>58</v>
      </c>
      <c r="D204" s="7" t="s">
        <v>59</v>
      </c>
      <c r="E204" s="7" t="s">
        <v>346</v>
      </c>
      <c r="F204" s="7">
        <v>8.0</v>
      </c>
      <c r="G204" s="6" t="s">
        <v>422</v>
      </c>
      <c r="H204" s="7"/>
      <c r="I204" s="7"/>
      <c r="J204" s="7">
        <v>60.0</v>
      </c>
      <c r="K204" s="7" t="s">
        <v>14628</v>
      </c>
      <c r="L204" s="7">
        <v>97414.0</v>
      </c>
      <c r="M204" s="7" t="s">
        <v>40</v>
      </c>
      <c r="N204" s="6" t="s">
        <v>12447</v>
      </c>
      <c r="O204" s="6" t="s">
        <v>14629</v>
      </c>
      <c r="P204" s="42" t="s">
        <v>8660</v>
      </c>
      <c r="Q204" s="49" t="s">
        <v>14630</v>
      </c>
      <c r="R204" s="50"/>
      <c r="S204" s="51"/>
      <c r="T204" s="6" t="s">
        <v>14631</v>
      </c>
      <c r="U204" s="6" t="s">
        <v>14632</v>
      </c>
      <c r="V204" s="7"/>
      <c r="W204" s="6" t="s">
        <v>14633</v>
      </c>
      <c r="X204" s="6" t="s">
        <v>14634</v>
      </c>
      <c r="Y204" s="6" t="s">
        <v>2390</v>
      </c>
      <c r="Z204" s="6" t="s">
        <v>353</v>
      </c>
      <c r="AA204" s="7"/>
      <c r="AB204" s="7"/>
      <c r="AC204" s="6">
        <v>8.3761822200017E13</v>
      </c>
      <c r="AD204" s="6">
        <v>8.37618222E8</v>
      </c>
      <c r="AE204" s="6" t="s">
        <v>401</v>
      </c>
      <c r="AF204" s="63">
        <v>45985.401655092595</v>
      </c>
      <c r="AG204" s="7" t="s">
        <v>14635</v>
      </c>
      <c r="AH204" s="46" t="s">
        <v>14636</v>
      </c>
      <c r="AI204" s="7"/>
      <c r="AJ204" s="6" t="s">
        <v>14637</v>
      </c>
      <c r="AK204" s="7" t="b">
        <v>0</v>
      </c>
      <c r="AL204" s="7" t="b">
        <v>0</v>
      </c>
      <c r="AM204" s="6" t="s">
        <v>14638</v>
      </c>
      <c r="AN204" s="6" t="s">
        <v>8657</v>
      </c>
      <c r="AO204" s="7"/>
      <c r="AP204" s="7"/>
      <c r="AQ204" s="6" t="b">
        <v>0</v>
      </c>
      <c r="AR204" s="6" t="s">
        <v>14639</v>
      </c>
      <c r="AS204" s="48" t="s">
        <v>12303</v>
      </c>
    </row>
    <row r="205" ht="15.75" customHeight="1">
      <c r="A205" s="7" t="s">
        <v>8468</v>
      </c>
      <c r="B205" s="6" t="s">
        <v>8469</v>
      </c>
      <c r="C205" s="7" t="s">
        <v>58</v>
      </c>
      <c r="D205" s="7" t="s">
        <v>59</v>
      </c>
      <c r="E205" s="7" t="s">
        <v>374</v>
      </c>
      <c r="F205" s="7">
        <v>3.0</v>
      </c>
      <c r="G205" s="6" t="s">
        <v>455</v>
      </c>
      <c r="H205" s="7" t="s">
        <v>355</v>
      </c>
      <c r="I205" s="7"/>
      <c r="J205" s="7">
        <v>5.0</v>
      </c>
      <c r="K205" s="7" t="s">
        <v>14640</v>
      </c>
      <c r="L205" s="7">
        <v>97418.0</v>
      </c>
      <c r="M205" s="7" t="s">
        <v>71</v>
      </c>
      <c r="N205" s="7" t="s">
        <v>216</v>
      </c>
      <c r="O205" s="7" t="s">
        <v>8475</v>
      </c>
      <c r="P205" s="42" t="s">
        <v>8472</v>
      </c>
      <c r="Q205" s="49" t="s">
        <v>14641</v>
      </c>
      <c r="R205" s="50"/>
      <c r="S205" s="51"/>
      <c r="T205" s="6" t="s">
        <v>14642</v>
      </c>
      <c r="U205" s="6" t="s">
        <v>14643</v>
      </c>
      <c r="V205" s="6" t="s">
        <v>14644</v>
      </c>
      <c r="W205" s="6" t="s">
        <v>14645</v>
      </c>
      <c r="X205" s="6" t="s">
        <v>14646</v>
      </c>
      <c r="Y205" s="6" t="s">
        <v>14298</v>
      </c>
      <c r="Z205" s="7" t="s">
        <v>1698</v>
      </c>
      <c r="AA205" s="7"/>
      <c r="AB205" s="7"/>
      <c r="AC205" s="7">
        <v>8.7774915000018E13</v>
      </c>
      <c r="AD205" s="7">
        <v>8.7774915E8</v>
      </c>
      <c r="AE205" s="6" t="s">
        <v>12355</v>
      </c>
      <c r="AF205" s="63">
        <v>45680.434965277775</v>
      </c>
      <c r="AG205" s="7" t="s">
        <v>14647</v>
      </c>
      <c r="AH205" s="46" t="s">
        <v>14648</v>
      </c>
      <c r="AI205" s="7"/>
      <c r="AJ205" s="6" t="s">
        <v>14649</v>
      </c>
      <c r="AK205" s="7" t="b">
        <v>0</v>
      </c>
      <c r="AL205" s="6" t="b">
        <v>1</v>
      </c>
      <c r="AM205" s="6" t="s">
        <v>8476</v>
      </c>
      <c r="AN205" s="6" t="s">
        <v>8468</v>
      </c>
      <c r="AO205" s="7"/>
      <c r="AP205" s="7"/>
      <c r="AQ205" s="6" t="b">
        <v>0</v>
      </c>
      <c r="AR205" s="16" t="s">
        <v>14650</v>
      </c>
      <c r="AS205" s="48" t="s">
        <v>12303</v>
      </c>
    </row>
    <row r="206" ht="15.75" customHeight="1">
      <c r="A206" s="7" t="s">
        <v>8408</v>
      </c>
      <c r="B206" s="7" t="s">
        <v>14651</v>
      </c>
      <c r="C206" s="7" t="s">
        <v>58</v>
      </c>
      <c r="D206" s="7" t="s">
        <v>59</v>
      </c>
      <c r="E206" s="7" t="s">
        <v>346</v>
      </c>
      <c r="F206" s="7">
        <v>10.0</v>
      </c>
      <c r="G206" s="6" t="s">
        <v>455</v>
      </c>
      <c r="H206" s="7"/>
      <c r="I206" s="7"/>
      <c r="J206" s="7">
        <v>77.0</v>
      </c>
      <c r="K206" s="7" t="s">
        <v>14652</v>
      </c>
      <c r="L206" s="7">
        <v>97430.0</v>
      </c>
      <c r="M206" s="7" t="s">
        <v>71</v>
      </c>
      <c r="N206" s="6" t="s">
        <v>8422</v>
      </c>
      <c r="O206" s="6" t="s">
        <v>14653</v>
      </c>
      <c r="P206" s="42" t="s">
        <v>8412</v>
      </c>
      <c r="Q206" s="49" t="s">
        <v>14654</v>
      </c>
      <c r="R206" s="43" t="s">
        <v>14655</v>
      </c>
      <c r="S206" s="51"/>
      <c r="T206" s="6" t="s">
        <v>14656</v>
      </c>
      <c r="U206" s="6" t="s">
        <v>14657</v>
      </c>
      <c r="V206" s="6" t="s">
        <v>14658</v>
      </c>
      <c r="W206" s="6" t="s">
        <v>14659</v>
      </c>
      <c r="X206" s="6" t="s">
        <v>14660</v>
      </c>
      <c r="Y206" s="6" t="s">
        <v>14661</v>
      </c>
      <c r="Z206" s="7" t="s">
        <v>424</v>
      </c>
      <c r="AA206" s="7"/>
      <c r="AB206" s="7"/>
      <c r="AC206" s="7">
        <v>5.0808342500019E13</v>
      </c>
      <c r="AD206" s="7">
        <v>5.08083425E8</v>
      </c>
      <c r="AE206" s="6" t="s">
        <v>401</v>
      </c>
      <c r="AF206" s="63">
        <v>45215.44503472222</v>
      </c>
      <c r="AG206" s="7" t="s">
        <v>14662</v>
      </c>
      <c r="AH206" s="46" t="s">
        <v>14663</v>
      </c>
      <c r="AI206" s="7"/>
      <c r="AJ206" s="7"/>
      <c r="AK206" s="7" t="b">
        <v>0</v>
      </c>
      <c r="AL206" s="7" t="b">
        <v>0</v>
      </c>
      <c r="AM206" s="6" t="s">
        <v>8417</v>
      </c>
      <c r="AN206" s="6" t="s">
        <v>8408</v>
      </c>
      <c r="AO206" s="7"/>
      <c r="AP206" s="7"/>
      <c r="AQ206" s="6" t="b">
        <v>0</v>
      </c>
      <c r="AR206" s="6"/>
      <c r="AS206" s="6" t="s">
        <v>12303</v>
      </c>
    </row>
    <row r="207" ht="15.75" customHeight="1">
      <c r="A207" s="7" t="s">
        <v>8236</v>
      </c>
      <c r="B207" s="7" t="s">
        <v>14664</v>
      </c>
      <c r="C207" s="7" t="s">
        <v>58</v>
      </c>
      <c r="D207" s="7" t="s">
        <v>59</v>
      </c>
      <c r="E207" s="7" t="s">
        <v>545</v>
      </c>
      <c r="F207" s="7">
        <v>8.0</v>
      </c>
      <c r="G207" s="6" t="s">
        <v>422</v>
      </c>
      <c r="H207" s="7"/>
      <c r="I207" s="7"/>
      <c r="J207" s="41" t="s">
        <v>14665</v>
      </c>
      <c r="K207" s="7" t="s">
        <v>14666</v>
      </c>
      <c r="L207" s="7">
        <v>97414.0</v>
      </c>
      <c r="M207" s="7" t="s">
        <v>40</v>
      </c>
      <c r="N207" s="6" t="s">
        <v>1860</v>
      </c>
      <c r="O207" s="6" t="s">
        <v>14667</v>
      </c>
      <c r="P207" s="42" t="s">
        <v>8239</v>
      </c>
      <c r="Q207" s="49" t="s">
        <v>14668</v>
      </c>
      <c r="R207" s="50"/>
      <c r="S207" s="51"/>
      <c r="T207" s="6" t="s">
        <v>14669</v>
      </c>
      <c r="U207" s="6" t="s">
        <v>14670</v>
      </c>
      <c r="V207" s="7"/>
      <c r="W207" s="6" t="s">
        <v>14671</v>
      </c>
      <c r="X207" s="6" t="s">
        <v>14672</v>
      </c>
      <c r="Y207" s="6" t="s">
        <v>13011</v>
      </c>
      <c r="Z207" s="6" t="s">
        <v>353</v>
      </c>
      <c r="AA207" s="7"/>
      <c r="AB207" s="7"/>
      <c r="AC207" s="7">
        <v>8.0492156700017E13</v>
      </c>
      <c r="AD207" s="7">
        <v>8.04921567E8</v>
      </c>
      <c r="AE207" s="6" t="s">
        <v>401</v>
      </c>
      <c r="AF207" s="45">
        <v>45215.40247685185</v>
      </c>
      <c r="AG207" s="7" t="s">
        <v>14673</v>
      </c>
      <c r="AH207" s="46" t="s">
        <v>14674</v>
      </c>
      <c r="AI207" s="7"/>
      <c r="AJ207" s="7"/>
      <c r="AK207" s="7" t="b">
        <v>0</v>
      </c>
      <c r="AL207" s="7" t="b">
        <v>0</v>
      </c>
      <c r="AM207" s="6" t="s">
        <v>8244</v>
      </c>
      <c r="AN207" s="6" t="s">
        <v>8236</v>
      </c>
      <c r="AO207" s="7"/>
      <c r="AP207" s="7"/>
      <c r="AQ207" s="6" t="b">
        <v>0</v>
      </c>
      <c r="AR207" s="6"/>
      <c r="AS207" s="48" t="s">
        <v>12303</v>
      </c>
    </row>
    <row r="208" ht="15.75" customHeight="1">
      <c r="A208" s="7" t="s">
        <v>9450</v>
      </c>
      <c r="B208" s="7" t="s">
        <v>9451</v>
      </c>
      <c r="C208" s="7" t="s">
        <v>58</v>
      </c>
      <c r="D208" s="7" t="s">
        <v>59</v>
      </c>
      <c r="E208" s="6" t="s">
        <v>346</v>
      </c>
      <c r="F208" s="6">
        <v>7.0</v>
      </c>
      <c r="G208" s="7"/>
      <c r="H208" s="7"/>
      <c r="I208" s="7"/>
      <c r="J208" s="7">
        <v>107.0</v>
      </c>
      <c r="K208" s="7" t="s">
        <v>14605</v>
      </c>
      <c r="L208" s="7">
        <v>97430.0</v>
      </c>
      <c r="M208" s="7" t="s">
        <v>71</v>
      </c>
      <c r="N208" s="7" t="s">
        <v>3501</v>
      </c>
      <c r="O208" s="7" t="s">
        <v>9461</v>
      </c>
      <c r="P208" s="42" t="s">
        <v>9456</v>
      </c>
      <c r="Q208" s="49" t="s">
        <v>14675</v>
      </c>
      <c r="R208" s="50"/>
      <c r="S208" s="51"/>
      <c r="T208" s="7" t="s">
        <v>9458</v>
      </c>
      <c r="U208" s="7" t="s">
        <v>9457</v>
      </c>
      <c r="V208" s="7"/>
      <c r="W208" s="6" t="s">
        <v>14676</v>
      </c>
      <c r="X208" s="7" t="s">
        <v>9454</v>
      </c>
      <c r="Y208" s="7" t="s">
        <v>9455</v>
      </c>
      <c r="Z208" s="7" t="s">
        <v>353</v>
      </c>
      <c r="AA208" s="7" t="s">
        <v>3806</v>
      </c>
      <c r="AB208" s="7" t="s">
        <v>1590</v>
      </c>
      <c r="AC208" s="6">
        <v>8.4975097100012E13</v>
      </c>
      <c r="AD208" s="6">
        <v>8.49750971E8</v>
      </c>
      <c r="AE208" s="6" t="s">
        <v>401</v>
      </c>
      <c r="AF208" s="63">
        <v>46071.56162037037</v>
      </c>
      <c r="AG208" s="7" t="s">
        <v>14677</v>
      </c>
      <c r="AH208" s="46" t="s">
        <v>14678</v>
      </c>
      <c r="AI208" s="7"/>
      <c r="AJ208" s="6" t="s">
        <v>14679</v>
      </c>
      <c r="AK208" s="7" t="b">
        <v>0</v>
      </c>
      <c r="AL208" s="7" t="b">
        <v>0</v>
      </c>
      <c r="AM208" s="6" t="s">
        <v>9462</v>
      </c>
      <c r="AN208" s="6" t="s">
        <v>9450</v>
      </c>
      <c r="AO208" s="7"/>
      <c r="AP208" s="7"/>
      <c r="AQ208" s="6" t="b">
        <v>0</v>
      </c>
      <c r="AR208" s="6"/>
      <c r="AS208" s="6"/>
    </row>
    <row r="209" ht="15.75" customHeight="1">
      <c r="A209" s="7" t="s">
        <v>249</v>
      </c>
      <c r="B209" s="7" t="s">
        <v>14680</v>
      </c>
      <c r="C209" s="7" t="s">
        <v>58</v>
      </c>
      <c r="D209" s="7" t="s">
        <v>137</v>
      </c>
      <c r="E209" s="7" t="s">
        <v>545</v>
      </c>
      <c r="F209" s="7">
        <v>20.0</v>
      </c>
      <c r="G209" s="6" t="s">
        <v>422</v>
      </c>
      <c r="H209" s="7"/>
      <c r="I209" s="7"/>
      <c r="J209" s="6" t="s">
        <v>14681</v>
      </c>
      <c r="K209" s="7" t="s">
        <v>8701</v>
      </c>
      <c r="L209" s="7">
        <v>97414.0</v>
      </c>
      <c r="M209" s="7" t="s">
        <v>40</v>
      </c>
      <c r="N209" s="6" t="s">
        <v>8701</v>
      </c>
      <c r="O209" s="6" t="s">
        <v>14682</v>
      </c>
      <c r="P209" s="42" t="s">
        <v>8703</v>
      </c>
      <c r="Q209" s="49" t="s">
        <v>14683</v>
      </c>
      <c r="R209" s="43" t="s">
        <v>14684</v>
      </c>
      <c r="S209" s="47"/>
      <c r="T209" s="6" t="s">
        <v>14685</v>
      </c>
      <c r="U209" s="6" t="s">
        <v>14686</v>
      </c>
      <c r="V209" s="6" t="s">
        <v>14687</v>
      </c>
      <c r="W209" s="6" t="s">
        <v>14688</v>
      </c>
      <c r="X209" s="6" t="s">
        <v>14689</v>
      </c>
      <c r="Y209" s="7" t="s">
        <v>377</v>
      </c>
      <c r="Z209" s="6" t="s">
        <v>14690</v>
      </c>
      <c r="AA209" s="7" t="s">
        <v>8708</v>
      </c>
      <c r="AB209" s="7" t="s">
        <v>1590</v>
      </c>
      <c r="AC209" s="6">
        <v>8.3218748800024E13</v>
      </c>
      <c r="AD209" s="6">
        <v>8.32187488E8</v>
      </c>
      <c r="AE209" s="6" t="s">
        <v>401</v>
      </c>
      <c r="AF209" s="45">
        <v>45985.41423611111</v>
      </c>
      <c r="AG209" s="7" t="s">
        <v>14691</v>
      </c>
      <c r="AH209" s="46" t="s">
        <v>14692</v>
      </c>
      <c r="AI209" s="7"/>
      <c r="AJ209" s="6" t="s">
        <v>14693</v>
      </c>
      <c r="AK209" s="7" t="b">
        <v>0</v>
      </c>
      <c r="AL209" s="7" t="b">
        <v>0</v>
      </c>
      <c r="AM209" s="6" t="s">
        <v>8709</v>
      </c>
      <c r="AN209" s="6" t="s">
        <v>249</v>
      </c>
      <c r="AO209" s="6">
        <v>2320.0</v>
      </c>
      <c r="AP209" s="6"/>
      <c r="AQ209" s="6" t="b">
        <v>1</v>
      </c>
      <c r="AR209" s="6"/>
      <c r="AS209" s="48" t="s">
        <v>12303</v>
      </c>
    </row>
    <row r="210" ht="15.75" customHeight="1">
      <c r="A210" s="7" t="s">
        <v>9012</v>
      </c>
      <c r="B210" s="6" t="s">
        <v>14694</v>
      </c>
      <c r="C210" s="7" t="s">
        <v>58</v>
      </c>
      <c r="D210" s="7" t="s">
        <v>59</v>
      </c>
      <c r="E210" s="6" t="s">
        <v>346</v>
      </c>
      <c r="F210" s="7">
        <v>4.0</v>
      </c>
      <c r="G210" s="6" t="s">
        <v>455</v>
      </c>
      <c r="H210" s="7" t="s">
        <v>2716</v>
      </c>
      <c r="I210" s="7"/>
      <c r="J210" s="7">
        <v>10.0</v>
      </c>
      <c r="K210" s="7" t="s">
        <v>14695</v>
      </c>
      <c r="L210" s="7">
        <v>97480.0</v>
      </c>
      <c r="M210" s="7" t="s">
        <v>123</v>
      </c>
      <c r="N210" s="6" t="s">
        <v>9209</v>
      </c>
      <c r="O210" s="6" t="s">
        <v>14696</v>
      </c>
      <c r="P210" s="42" t="s">
        <v>9015</v>
      </c>
      <c r="Q210" s="49" t="s">
        <v>14697</v>
      </c>
      <c r="R210" s="50"/>
      <c r="S210" s="51"/>
      <c r="T210" s="6" t="s">
        <v>14698</v>
      </c>
      <c r="U210" s="6" t="s">
        <v>14699</v>
      </c>
      <c r="V210" s="7"/>
      <c r="W210" s="6" t="s">
        <v>14700</v>
      </c>
      <c r="X210" s="6" t="s">
        <v>14701</v>
      </c>
      <c r="Y210" s="6" t="s">
        <v>14150</v>
      </c>
      <c r="Z210" s="6" t="s">
        <v>378</v>
      </c>
      <c r="AA210" s="7"/>
      <c r="AB210" s="7"/>
      <c r="AC210" s="6">
        <v>3.8774943500047E13</v>
      </c>
      <c r="AD210" s="6">
        <v>3.87749435E8</v>
      </c>
      <c r="AE210" s="6" t="s">
        <v>12355</v>
      </c>
      <c r="AF210" s="45">
        <v>46009.58707175926</v>
      </c>
      <c r="AG210" s="7" t="s">
        <v>14702</v>
      </c>
      <c r="AH210" s="46" t="s">
        <v>14703</v>
      </c>
      <c r="AI210" s="7"/>
      <c r="AJ210" s="6" t="s">
        <v>14704</v>
      </c>
      <c r="AK210" s="7" t="b">
        <v>0</v>
      </c>
      <c r="AL210" s="7" t="b">
        <v>0</v>
      </c>
      <c r="AM210" s="6" t="s">
        <v>9018</v>
      </c>
      <c r="AN210" s="6" t="s">
        <v>9012</v>
      </c>
      <c r="AO210" s="7"/>
      <c r="AP210" s="7"/>
      <c r="AQ210" s="6" t="b">
        <v>0</v>
      </c>
      <c r="AR210" s="6"/>
      <c r="AS210" s="6"/>
    </row>
    <row r="211" ht="15.75" customHeight="1">
      <c r="A211" s="9" t="s">
        <v>10416</v>
      </c>
      <c r="B211" s="9" t="s">
        <v>14705</v>
      </c>
      <c r="C211" s="9" t="s">
        <v>1198</v>
      </c>
      <c r="D211" s="9" t="s">
        <v>1644</v>
      </c>
      <c r="E211" s="9" t="s">
        <v>9717</v>
      </c>
      <c r="F211" s="9">
        <v>8.0</v>
      </c>
      <c r="G211" s="9" t="s">
        <v>455</v>
      </c>
      <c r="H211" s="9"/>
      <c r="I211" s="9"/>
      <c r="J211" s="52" t="s">
        <v>14181</v>
      </c>
      <c r="K211" s="9" t="s">
        <v>14706</v>
      </c>
      <c r="L211" s="9">
        <v>97480.0</v>
      </c>
      <c r="M211" s="9" t="s">
        <v>123</v>
      </c>
      <c r="N211" s="9" t="s">
        <v>12698</v>
      </c>
      <c r="O211" s="9" t="s">
        <v>14707</v>
      </c>
      <c r="P211" s="53" t="s">
        <v>14708</v>
      </c>
      <c r="Q211" s="49" t="s">
        <v>14709</v>
      </c>
      <c r="R211" s="50"/>
      <c r="S211" s="59"/>
      <c r="T211" s="9" t="s">
        <v>14710</v>
      </c>
      <c r="U211" s="9" t="s">
        <v>14711</v>
      </c>
      <c r="V211" s="9"/>
      <c r="W211" s="9"/>
      <c r="X211" s="9"/>
      <c r="Y211" s="9"/>
      <c r="Z211" s="9" t="s">
        <v>353</v>
      </c>
      <c r="AC211" s="9">
        <v>9.4984320500012E13</v>
      </c>
      <c r="AD211" s="9">
        <v>9.49843205E8</v>
      </c>
      <c r="AE211" s="9" t="s">
        <v>12355</v>
      </c>
      <c r="AF211" s="55">
        <v>45849.41275462963</v>
      </c>
      <c r="AG211" s="9" t="s">
        <v>14712</v>
      </c>
      <c r="AH211" s="9" t="s">
        <v>14713</v>
      </c>
      <c r="AJ211" s="9" t="s">
        <v>14714</v>
      </c>
      <c r="AK211" s="9"/>
      <c r="AL211" s="9" t="b">
        <v>0</v>
      </c>
      <c r="AM211" s="9"/>
      <c r="AN211" s="9" t="s">
        <v>10416</v>
      </c>
      <c r="AP211" s="56">
        <v>45210.0</v>
      </c>
      <c r="AQ211" s="9" t="b">
        <v>0</v>
      </c>
      <c r="AR211" s="9"/>
    </row>
    <row r="212" ht="15.75" customHeight="1">
      <c r="A212" s="7" t="s">
        <v>6330</v>
      </c>
      <c r="B212" s="7" t="s">
        <v>6331</v>
      </c>
      <c r="C212" s="7" t="s">
        <v>58</v>
      </c>
      <c r="D212" s="7" t="s">
        <v>453</v>
      </c>
      <c r="E212" s="7" t="s">
        <v>454</v>
      </c>
      <c r="F212" s="7">
        <v>4.0</v>
      </c>
      <c r="G212" s="7" t="s">
        <v>6334</v>
      </c>
      <c r="H212" s="7"/>
      <c r="I212" s="7"/>
      <c r="J212" s="6" t="s">
        <v>14715</v>
      </c>
      <c r="K212" s="6" t="s">
        <v>14716</v>
      </c>
      <c r="L212" s="7">
        <v>97418.0</v>
      </c>
      <c r="M212" s="7" t="s">
        <v>71</v>
      </c>
      <c r="N212" s="6" t="s">
        <v>12685</v>
      </c>
      <c r="O212" s="7" t="s">
        <v>6341</v>
      </c>
      <c r="P212" s="42" t="s">
        <v>6335</v>
      </c>
      <c r="Q212" s="49" t="s">
        <v>14717</v>
      </c>
      <c r="R212" s="50"/>
      <c r="S212" s="47" t="s">
        <v>6333</v>
      </c>
      <c r="T212" s="7" t="s">
        <v>6337</v>
      </c>
      <c r="U212" s="7" t="s">
        <v>6336</v>
      </c>
      <c r="V212" s="6" t="s">
        <v>14718</v>
      </c>
      <c r="W212" s="6" t="s">
        <v>14719</v>
      </c>
      <c r="X212" s="6" t="s">
        <v>14720</v>
      </c>
      <c r="Y212" s="7" t="s">
        <v>377</v>
      </c>
      <c r="Z212" s="6" t="s">
        <v>353</v>
      </c>
      <c r="AA212" s="7"/>
      <c r="AB212" s="7"/>
      <c r="AC212" s="7">
        <v>8.0079589000014E13</v>
      </c>
      <c r="AD212" s="7">
        <v>8.0079589E8</v>
      </c>
      <c r="AE212" s="6" t="s">
        <v>401</v>
      </c>
      <c r="AF212" s="63">
        <v>45376.48815972222</v>
      </c>
      <c r="AG212" s="7" t="s">
        <v>14721</v>
      </c>
      <c r="AH212" s="46" t="s">
        <v>14722</v>
      </c>
      <c r="AI212" s="7"/>
      <c r="AJ212" s="6" t="s">
        <v>14723</v>
      </c>
      <c r="AK212" s="7" t="b">
        <v>0</v>
      </c>
      <c r="AL212" s="7" t="b">
        <v>0</v>
      </c>
      <c r="AM212" s="6" t="s">
        <v>6342</v>
      </c>
      <c r="AN212" s="6" t="s">
        <v>6330</v>
      </c>
      <c r="AO212" s="6">
        <v>4533.0</v>
      </c>
      <c r="AP212" s="6"/>
      <c r="AQ212" s="6" t="b">
        <v>1</v>
      </c>
      <c r="AR212" s="6"/>
      <c r="AS212" s="48" t="s">
        <v>12303</v>
      </c>
    </row>
    <row r="213" ht="15.75" customHeight="1">
      <c r="A213" s="7" t="s">
        <v>8179</v>
      </c>
      <c r="B213" s="7" t="s">
        <v>8180</v>
      </c>
      <c r="C213" s="6" t="s">
        <v>117</v>
      </c>
      <c r="D213" s="7" t="s">
        <v>847</v>
      </c>
      <c r="E213" s="7" t="s">
        <v>8183</v>
      </c>
      <c r="F213" s="7"/>
      <c r="G213" s="7"/>
      <c r="H213" s="7"/>
      <c r="I213" s="7"/>
      <c r="J213" s="7">
        <v>13.0</v>
      </c>
      <c r="K213" s="7" t="s">
        <v>14724</v>
      </c>
      <c r="L213" s="7">
        <v>97430.0</v>
      </c>
      <c r="M213" s="7" t="s">
        <v>71</v>
      </c>
      <c r="N213" s="7" t="s">
        <v>3501</v>
      </c>
      <c r="O213" s="7" t="s">
        <v>8191</v>
      </c>
      <c r="P213" s="42" t="s">
        <v>8185</v>
      </c>
      <c r="Q213" s="43" t="s">
        <v>14725</v>
      </c>
      <c r="R213" s="50"/>
      <c r="S213" s="47" t="s">
        <v>8182</v>
      </c>
      <c r="T213" s="7" t="s">
        <v>8187</v>
      </c>
      <c r="U213" s="7" t="s">
        <v>8186</v>
      </c>
      <c r="V213" s="7" t="s">
        <v>8188</v>
      </c>
      <c r="W213" s="7"/>
      <c r="X213" s="7"/>
      <c r="Y213" s="7" t="s">
        <v>8184</v>
      </c>
      <c r="Z213" s="7" t="s">
        <v>353</v>
      </c>
      <c r="AA213" s="7"/>
      <c r="AB213" s="7"/>
      <c r="AC213" s="7">
        <v>8.4811955800015E13</v>
      </c>
      <c r="AD213" s="7">
        <v>8.48119558E8</v>
      </c>
      <c r="AE213" s="6" t="s">
        <v>12355</v>
      </c>
      <c r="AF213" s="45">
        <v>45210.63618055556</v>
      </c>
      <c r="AG213" s="7" t="s">
        <v>14726</v>
      </c>
      <c r="AH213" s="46" t="s">
        <v>14727</v>
      </c>
      <c r="AI213" s="7"/>
      <c r="AJ213" s="7"/>
      <c r="AK213" s="7" t="b">
        <v>0</v>
      </c>
      <c r="AL213" s="7" t="b">
        <v>0</v>
      </c>
      <c r="AM213" s="7"/>
      <c r="AN213" s="6" t="s">
        <v>8179</v>
      </c>
      <c r="AO213" s="7"/>
      <c r="AP213" s="7"/>
      <c r="AQ213" s="6" t="b">
        <v>0</v>
      </c>
      <c r="AR213" s="6"/>
      <c r="AS213" s="6"/>
    </row>
    <row r="214" ht="15.75" customHeight="1">
      <c r="A214" s="7" t="s">
        <v>7041</v>
      </c>
      <c r="B214" s="6" t="s">
        <v>7042</v>
      </c>
      <c r="C214" s="7" t="s">
        <v>58</v>
      </c>
      <c r="D214" s="7" t="s">
        <v>59</v>
      </c>
      <c r="E214" s="7" t="s">
        <v>545</v>
      </c>
      <c r="F214" s="6">
        <v>9.0</v>
      </c>
      <c r="G214" s="7" t="s">
        <v>455</v>
      </c>
      <c r="H214" s="6" t="s">
        <v>5667</v>
      </c>
      <c r="I214" s="7"/>
      <c r="J214" s="7">
        <v>4.0</v>
      </c>
      <c r="K214" s="7" t="s">
        <v>14482</v>
      </c>
      <c r="L214" s="7">
        <v>97480.0</v>
      </c>
      <c r="M214" s="7" t="s">
        <v>123</v>
      </c>
      <c r="N214" s="7" t="s">
        <v>3556</v>
      </c>
      <c r="O214" s="6" t="s">
        <v>14728</v>
      </c>
      <c r="P214" s="42" t="s">
        <v>7031</v>
      </c>
      <c r="Q214" s="49" t="s">
        <v>14729</v>
      </c>
      <c r="R214" s="43" t="s">
        <v>14730</v>
      </c>
      <c r="S214" s="47" t="s">
        <v>7029</v>
      </c>
      <c r="T214" s="6" t="s">
        <v>14731</v>
      </c>
      <c r="U214" s="6" t="s">
        <v>14732</v>
      </c>
      <c r="V214" s="7" t="s">
        <v>7034</v>
      </c>
      <c r="W214" s="6" t="s">
        <v>14733</v>
      </c>
      <c r="X214" s="6" t="s">
        <v>14734</v>
      </c>
      <c r="Y214" s="6" t="s">
        <v>14735</v>
      </c>
      <c r="Z214" s="6" t="s">
        <v>4369</v>
      </c>
      <c r="AA214" s="7"/>
      <c r="AB214" s="7"/>
      <c r="AC214" s="7">
        <v>5.3938219200018E13</v>
      </c>
      <c r="AD214" s="7">
        <v>5.39382192E8</v>
      </c>
      <c r="AE214" s="6" t="s">
        <v>401</v>
      </c>
      <c r="AF214" s="45">
        <v>45209.61775462963</v>
      </c>
      <c r="AG214" s="7" t="s">
        <v>14317</v>
      </c>
      <c r="AH214" s="46" t="s">
        <v>14736</v>
      </c>
      <c r="AI214" s="7"/>
      <c r="AJ214" s="7"/>
      <c r="AK214" s="7" t="b">
        <v>0</v>
      </c>
      <c r="AL214" s="7" t="b">
        <v>0</v>
      </c>
      <c r="AM214" s="6" t="s">
        <v>7046</v>
      </c>
      <c r="AN214" s="6" t="s">
        <v>7041</v>
      </c>
      <c r="AO214" s="6">
        <v>3390.0</v>
      </c>
      <c r="AP214" s="6"/>
      <c r="AQ214" s="6" t="b">
        <v>1</v>
      </c>
      <c r="AR214" s="6"/>
      <c r="AS214" s="6"/>
    </row>
    <row r="215" ht="15.75" customHeight="1">
      <c r="A215" s="9" t="s">
        <v>10420</v>
      </c>
      <c r="B215" s="9" t="s">
        <v>14737</v>
      </c>
      <c r="C215" s="9" t="s">
        <v>58</v>
      </c>
      <c r="D215" s="9" t="s">
        <v>59</v>
      </c>
      <c r="E215" s="9" t="s">
        <v>374</v>
      </c>
      <c r="F215" s="9">
        <v>4.0</v>
      </c>
      <c r="J215" s="9" t="s">
        <v>14738</v>
      </c>
      <c r="K215" s="9" t="s">
        <v>14739</v>
      </c>
      <c r="L215" s="9">
        <v>97430.0</v>
      </c>
      <c r="M215" s="9" t="s">
        <v>71</v>
      </c>
      <c r="O215" s="9" t="s">
        <v>14740</v>
      </c>
      <c r="P215" s="53" t="s">
        <v>14741</v>
      </c>
      <c r="Q215" s="49" t="s">
        <v>14742</v>
      </c>
      <c r="R215" s="50"/>
      <c r="S215" s="54"/>
      <c r="T215" s="9" t="s">
        <v>14743</v>
      </c>
      <c r="U215" s="9" t="s">
        <v>14744</v>
      </c>
      <c r="W215" s="9" t="s">
        <v>14745</v>
      </c>
      <c r="X215" s="9" t="s">
        <v>14746</v>
      </c>
      <c r="Z215" s="9" t="s">
        <v>378</v>
      </c>
      <c r="AC215" s="9">
        <v>9.1390411600013E13</v>
      </c>
      <c r="AD215" s="9">
        <v>9.13904116E8</v>
      </c>
      <c r="AE215" s="9" t="s">
        <v>401</v>
      </c>
      <c r="AF215" s="55">
        <v>45209.43099537037</v>
      </c>
      <c r="AG215" s="9" t="s">
        <v>14747</v>
      </c>
      <c r="AH215" s="9" t="s">
        <v>14748</v>
      </c>
      <c r="AK215" s="9" t="b">
        <v>0</v>
      </c>
      <c r="AL215" s="9" t="b">
        <v>0</v>
      </c>
      <c r="AN215" s="9" t="s">
        <v>10420</v>
      </c>
      <c r="AP215" s="56">
        <v>44897.0</v>
      </c>
      <c r="AQ215" s="9" t="b">
        <v>0</v>
      </c>
      <c r="AR215" s="9" t="s">
        <v>14749</v>
      </c>
    </row>
    <row r="216" ht="15.75" customHeight="1">
      <c r="A216" s="9" t="s">
        <v>10509</v>
      </c>
      <c r="B216" s="9" t="s">
        <v>14750</v>
      </c>
      <c r="C216" s="9" t="s">
        <v>117</v>
      </c>
      <c r="D216" s="9" t="s">
        <v>470</v>
      </c>
      <c r="E216" s="9" t="s">
        <v>14751</v>
      </c>
      <c r="F216" s="9">
        <v>15.0</v>
      </c>
      <c r="G216" s="9" t="s">
        <v>422</v>
      </c>
      <c r="I216" s="9" t="s">
        <v>14752</v>
      </c>
      <c r="J216" s="52" t="s">
        <v>14181</v>
      </c>
      <c r="K216" s="9" t="s">
        <v>14753</v>
      </c>
      <c r="L216" s="9">
        <v>97480.0</v>
      </c>
      <c r="M216" s="9" t="s">
        <v>123</v>
      </c>
      <c r="N216" s="9" t="s">
        <v>14754</v>
      </c>
      <c r="O216" s="9" t="s">
        <v>14755</v>
      </c>
      <c r="P216" s="53" t="s">
        <v>14441</v>
      </c>
      <c r="Q216" s="49" t="s">
        <v>14756</v>
      </c>
      <c r="R216" s="50"/>
      <c r="S216" s="54" t="s">
        <v>14757</v>
      </c>
      <c r="T216" s="9" t="s">
        <v>14758</v>
      </c>
      <c r="U216" s="9" t="s">
        <v>14759</v>
      </c>
      <c r="V216" s="9" t="s">
        <v>14760</v>
      </c>
      <c r="W216" s="9" t="s">
        <v>14761</v>
      </c>
      <c r="X216" s="9" t="s">
        <v>907</v>
      </c>
      <c r="Y216" s="9" t="s">
        <v>2938</v>
      </c>
      <c r="Z216" s="9" t="s">
        <v>353</v>
      </c>
      <c r="AC216" s="9">
        <v>8.0972417200014E13</v>
      </c>
      <c r="AD216" s="9">
        <v>8.09724172E8</v>
      </c>
      <c r="AE216" s="9" t="s">
        <v>401</v>
      </c>
      <c r="AF216" s="60">
        <v>45908.37400462963</v>
      </c>
      <c r="AG216" s="9" t="s">
        <v>14449</v>
      </c>
      <c r="AH216" s="9" t="s">
        <v>14762</v>
      </c>
      <c r="AJ216" s="9" t="s">
        <v>14763</v>
      </c>
      <c r="AK216" s="9" t="b">
        <v>1</v>
      </c>
      <c r="AL216" s="9" t="b">
        <v>0</v>
      </c>
      <c r="AN216" s="9" t="s">
        <v>10509</v>
      </c>
      <c r="AP216" s="61">
        <v>44522.0</v>
      </c>
      <c r="AQ216" s="9" t="b">
        <v>0</v>
      </c>
      <c r="AS216" s="9" t="s">
        <v>12303</v>
      </c>
    </row>
    <row r="217" ht="15.75" customHeight="1">
      <c r="A217" s="7" t="s">
        <v>7026</v>
      </c>
      <c r="B217" s="6" t="s">
        <v>7042</v>
      </c>
      <c r="C217" s="7" t="s">
        <v>58</v>
      </c>
      <c r="D217" s="7" t="s">
        <v>453</v>
      </c>
      <c r="E217" s="7" t="s">
        <v>454</v>
      </c>
      <c r="F217" s="6">
        <v>4.0</v>
      </c>
      <c r="G217" s="6" t="s">
        <v>455</v>
      </c>
      <c r="H217" s="7"/>
      <c r="I217" s="7"/>
      <c r="J217" s="7">
        <v>4.0</v>
      </c>
      <c r="K217" s="7" t="s">
        <v>14482</v>
      </c>
      <c r="L217" s="7">
        <v>97480.0</v>
      </c>
      <c r="M217" s="7" t="s">
        <v>123</v>
      </c>
      <c r="N217" s="7" t="s">
        <v>3556</v>
      </c>
      <c r="O217" s="6" t="s">
        <v>14764</v>
      </c>
      <c r="P217" s="53" t="s">
        <v>7031</v>
      </c>
      <c r="Q217" s="49" t="s">
        <v>14729</v>
      </c>
      <c r="R217" s="50"/>
      <c r="S217" s="47" t="s">
        <v>7029</v>
      </c>
      <c r="T217" s="6" t="s">
        <v>14765</v>
      </c>
      <c r="U217" s="6" t="s">
        <v>14766</v>
      </c>
      <c r="V217" s="7" t="s">
        <v>7034</v>
      </c>
      <c r="W217" s="6" t="s">
        <v>14767</v>
      </c>
      <c r="X217" s="7" t="s">
        <v>1551</v>
      </c>
      <c r="Y217" s="6" t="s">
        <v>14316</v>
      </c>
      <c r="Z217" s="6" t="s">
        <v>4369</v>
      </c>
      <c r="AA217" s="7"/>
      <c r="AB217" s="7"/>
      <c r="AC217" s="7">
        <v>5.3938219200018E13</v>
      </c>
      <c r="AD217" s="7">
        <v>5.39382192E8</v>
      </c>
      <c r="AE217" s="7" t="s">
        <v>401</v>
      </c>
      <c r="AF217" s="45">
        <v>45208.44972222222</v>
      </c>
      <c r="AG217" s="7" t="s">
        <v>14317</v>
      </c>
      <c r="AH217" s="46" t="s">
        <v>14768</v>
      </c>
      <c r="AI217" s="7"/>
      <c r="AJ217" s="7"/>
      <c r="AK217" s="7" t="b">
        <v>0</v>
      </c>
      <c r="AL217" s="7" t="b">
        <v>0</v>
      </c>
      <c r="AM217" s="6" t="s">
        <v>7039</v>
      </c>
      <c r="AN217" s="6" t="s">
        <v>7026</v>
      </c>
      <c r="AO217" s="7"/>
      <c r="AP217" s="7"/>
      <c r="AQ217" s="6" t="b">
        <v>1</v>
      </c>
      <c r="AR217" s="6" t="s">
        <v>14769</v>
      </c>
      <c r="AS217" s="6"/>
    </row>
    <row r="218" ht="15.75" customHeight="1">
      <c r="A218" s="7" t="s">
        <v>8100</v>
      </c>
      <c r="B218" s="7" t="s">
        <v>8101</v>
      </c>
      <c r="C218" s="7" t="s">
        <v>58</v>
      </c>
      <c r="D218" s="7" t="s">
        <v>59</v>
      </c>
      <c r="E218" s="7" t="s">
        <v>346</v>
      </c>
      <c r="F218" s="7">
        <v>10.0</v>
      </c>
      <c r="G218" s="7" t="s">
        <v>455</v>
      </c>
      <c r="H218" s="7" t="s">
        <v>2716</v>
      </c>
      <c r="I218" s="7"/>
      <c r="J218" s="6" t="s">
        <v>14770</v>
      </c>
      <c r="K218" s="7" t="s">
        <v>14771</v>
      </c>
      <c r="L218" s="7">
        <v>97480.0</v>
      </c>
      <c r="M218" s="7" t="s">
        <v>123</v>
      </c>
      <c r="N218" s="7" t="s">
        <v>206</v>
      </c>
      <c r="O218" s="6" t="s">
        <v>14772</v>
      </c>
      <c r="P218" s="42" t="s">
        <v>8105</v>
      </c>
      <c r="Q218" s="49" t="s">
        <v>14773</v>
      </c>
      <c r="R218" s="50"/>
      <c r="S218" s="47" t="s">
        <v>8103</v>
      </c>
      <c r="T218" s="6" t="s">
        <v>14774</v>
      </c>
      <c r="U218" s="7" t="s">
        <v>8106</v>
      </c>
      <c r="V218" s="6" t="s">
        <v>14775</v>
      </c>
      <c r="W218" s="6" t="s">
        <v>14776</v>
      </c>
      <c r="X218" s="7" t="s">
        <v>2714</v>
      </c>
      <c r="Y218" s="7" t="s">
        <v>499</v>
      </c>
      <c r="Z218" s="7" t="s">
        <v>378</v>
      </c>
      <c r="AA218" s="7"/>
      <c r="AB218" s="7"/>
      <c r="AC218" s="7">
        <v>8.2883571000017E13</v>
      </c>
      <c r="AD218" s="7">
        <v>8.2883571E8</v>
      </c>
      <c r="AE218" s="6" t="s">
        <v>401</v>
      </c>
      <c r="AF218" s="45">
        <v>46069.49383101852</v>
      </c>
      <c r="AG218" s="7" t="s">
        <v>14777</v>
      </c>
      <c r="AH218" s="46" t="s">
        <v>14778</v>
      </c>
      <c r="AI218" s="7"/>
      <c r="AJ218" s="6" t="s">
        <v>14779</v>
      </c>
      <c r="AK218" s="7" t="b">
        <v>0</v>
      </c>
      <c r="AL218" s="7" t="b">
        <v>0</v>
      </c>
      <c r="AM218" s="6" t="s">
        <v>8112</v>
      </c>
      <c r="AN218" s="6" t="s">
        <v>8100</v>
      </c>
      <c r="AO218" s="6">
        <v>4414.0</v>
      </c>
      <c r="AP218" s="6"/>
      <c r="AQ218" s="6" t="b">
        <v>1</v>
      </c>
      <c r="AR218" s="6"/>
      <c r="AS218" s="6"/>
    </row>
    <row r="219" ht="15.75" customHeight="1">
      <c r="A219" s="7" t="s">
        <v>8956</v>
      </c>
      <c r="B219" s="7" t="s">
        <v>8957</v>
      </c>
      <c r="C219" s="6" t="s">
        <v>117</v>
      </c>
      <c r="D219" s="7" t="s">
        <v>470</v>
      </c>
      <c r="E219" s="7" t="s">
        <v>5109</v>
      </c>
      <c r="F219" s="7">
        <v>5.0</v>
      </c>
      <c r="G219" s="7" t="s">
        <v>472</v>
      </c>
      <c r="H219" s="7"/>
      <c r="I219" s="7"/>
      <c r="J219" s="41" t="s">
        <v>13933</v>
      </c>
      <c r="K219" s="7" t="s">
        <v>8701</v>
      </c>
      <c r="L219" s="7">
        <v>97414.0</v>
      </c>
      <c r="M219" s="7" t="s">
        <v>40</v>
      </c>
      <c r="N219" s="6" t="s">
        <v>8701</v>
      </c>
      <c r="O219" s="6" t="s">
        <v>14780</v>
      </c>
      <c r="P219" s="42" t="s">
        <v>8959</v>
      </c>
      <c r="Q219" s="49" t="s">
        <v>14781</v>
      </c>
      <c r="R219" s="50"/>
      <c r="S219" s="47" t="s">
        <v>8958</v>
      </c>
      <c r="T219" s="6" t="s">
        <v>14782</v>
      </c>
      <c r="U219" s="6" t="s">
        <v>14783</v>
      </c>
      <c r="V219" s="6" t="s">
        <v>14784</v>
      </c>
      <c r="W219" s="6" t="s">
        <v>14785</v>
      </c>
      <c r="X219" s="7" t="s">
        <v>1922</v>
      </c>
      <c r="Y219" s="7" t="s">
        <v>377</v>
      </c>
      <c r="Z219" s="7" t="s">
        <v>8505</v>
      </c>
      <c r="AA219" s="7" t="s">
        <v>8964</v>
      </c>
      <c r="AB219" s="7" t="s">
        <v>1876</v>
      </c>
      <c r="AC219" s="6">
        <v>4.2452911300013E13</v>
      </c>
      <c r="AD219" s="6">
        <v>4.24529113E8</v>
      </c>
      <c r="AE219" s="6" t="s">
        <v>401</v>
      </c>
      <c r="AF219" s="45">
        <v>45205.33996527778</v>
      </c>
      <c r="AG219" s="7" t="s">
        <v>14786</v>
      </c>
      <c r="AH219" s="46" t="s">
        <v>14787</v>
      </c>
      <c r="AI219" s="7"/>
      <c r="AJ219" s="6" t="s">
        <v>14788</v>
      </c>
      <c r="AK219" s="7" t="b">
        <v>0</v>
      </c>
      <c r="AL219" s="7" t="b">
        <v>0</v>
      </c>
      <c r="AM219" s="7"/>
      <c r="AN219" s="6" t="s">
        <v>8956</v>
      </c>
      <c r="AO219" s="7"/>
      <c r="AP219" s="7"/>
      <c r="AQ219" s="6" t="b">
        <v>0</v>
      </c>
      <c r="AR219" s="6"/>
      <c r="AS219" s="48" t="s">
        <v>12303</v>
      </c>
    </row>
    <row r="220" ht="15.75" customHeight="1">
      <c r="A220" s="9" t="s">
        <v>12059</v>
      </c>
      <c r="B220" s="9" t="s">
        <v>14789</v>
      </c>
      <c r="C220" s="9" t="s">
        <v>58</v>
      </c>
      <c r="D220" s="9" t="s">
        <v>59</v>
      </c>
      <c r="E220" s="9" t="s">
        <v>346</v>
      </c>
      <c r="F220" s="9">
        <v>11.0</v>
      </c>
      <c r="G220" s="9" t="s">
        <v>455</v>
      </c>
      <c r="H220" s="9" t="s">
        <v>2716</v>
      </c>
      <c r="I220" s="9"/>
      <c r="J220" s="52" t="s">
        <v>14790</v>
      </c>
      <c r="K220" s="9" t="s">
        <v>14791</v>
      </c>
      <c r="L220" s="9">
        <v>97480.0</v>
      </c>
      <c r="M220" s="9" t="s">
        <v>123</v>
      </c>
      <c r="N220" s="9" t="s">
        <v>8259</v>
      </c>
      <c r="O220" s="9" t="s">
        <v>14792</v>
      </c>
      <c r="P220" s="53" t="s">
        <v>14793</v>
      </c>
      <c r="Q220" s="49" t="s">
        <v>14794</v>
      </c>
      <c r="R220" s="50"/>
      <c r="S220" s="59"/>
      <c r="T220" s="9" t="s">
        <v>14795</v>
      </c>
      <c r="U220" s="9" t="s">
        <v>14796</v>
      </c>
      <c r="V220" s="9" t="s">
        <v>14797</v>
      </c>
      <c r="W220" s="9" t="s">
        <v>14798</v>
      </c>
      <c r="X220" s="9" t="s">
        <v>14799</v>
      </c>
      <c r="Y220" s="9" t="s">
        <v>14800</v>
      </c>
      <c r="Z220" s="9" t="s">
        <v>592</v>
      </c>
      <c r="AC220" s="9">
        <v>9.205195760001E13</v>
      </c>
      <c r="AD220" s="9">
        <v>9.20519576E8</v>
      </c>
      <c r="AE220" s="9" t="s">
        <v>401</v>
      </c>
      <c r="AF220" s="55">
        <v>45204.45259259259</v>
      </c>
      <c r="AG220" s="9" t="s">
        <v>14801</v>
      </c>
      <c r="AH220" s="9" t="s">
        <v>14802</v>
      </c>
      <c r="AJ220" s="9" t="s">
        <v>14803</v>
      </c>
      <c r="AK220" s="9" t="b">
        <v>0</v>
      </c>
      <c r="AL220" s="9" t="b">
        <v>0</v>
      </c>
      <c r="AM220" s="9" t="s">
        <v>14804</v>
      </c>
      <c r="AN220" s="9" t="s">
        <v>12059</v>
      </c>
      <c r="AP220" s="56">
        <v>45202.0</v>
      </c>
      <c r="AQ220" s="9" t="b">
        <v>0</v>
      </c>
      <c r="AR220" s="9"/>
    </row>
    <row r="221" ht="15.75" customHeight="1">
      <c r="A221" s="9" t="s">
        <v>10423</v>
      </c>
      <c r="B221" s="9" t="s">
        <v>14805</v>
      </c>
      <c r="C221" s="9" t="s">
        <v>58</v>
      </c>
      <c r="D221" s="9" t="s">
        <v>59</v>
      </c>
      <c r="E221" s="9" t="s">
        <v>545</v>
      </c>
      <c r="F221" s="9">
        <v>9.0</v>
      </c>
      <c r="G221" s="9" t="s">
        <v>455</v>
      </c>
      <c r="I221" s="9"/>
      <c r="J221" s="52" t="s">
        <v>13859</v>
      </c>
      <c r="K221" s="9" t="s">
        <v>14806</v>
      </c>
      <c r="L221" s="9">
        <v>97418.0</v>
      </c>
      <c r="M221" s="9" t="s">
        <v>71</v>
      </c>
      <c r="N221" s="9" t="s">
        <v>216</v>
      </c>
      <c r="O221" s="9" t="s">
        <v>14807</v>
      </c>
      <c r="P221" s="53" t="s">
        <v>14808</v>
      </c>
      <c r="Q221" s="49" t="s">
        <v>14809</v>
      </c>
      <c r="R221" s="50"/>
      <c r="S221" s="59"/>
      <c r="T221" s="9" t="s">
        <v>14810</v>
      </c>
      <c r="U221" s="9" t="s">
        <v>14811</v>
      </c>
      <c r="V221" s="9" t="s">
        <v>14812</v>
      </c>
      <c r="W221" s="9" t="s">
        <v>14813</v>
      </c>
      <c r="X221" s="9" t="s">
        <v>14814</v>
      </c>
      <c r="Y221" s="9" t="s">
        <v>499</v>
      </c>
      <c r="Z221" s="9" t="s">
        <v>353</v>
      </c>
      <c r="AC221" s="9">
        <v>5.1971296200017E13</v>
      </c>
      <c r="AD221" s="9">
        <v>5.19712962E8</v>
      </c>
      <c r="AE221" s="9" t="s">
        <v>401</v>
      </c>
      <c r="AF221" s="55">
        <v>45203.484768518516</v>
      </c>
      <c r="AG221" s="9" t="s">
        <v>14815</v>
      </c>
      <c r="AH221" s="9" t="s">
        <v>14816</v>
      </c>
      <c r="AJ221" s="9" t="s">
        <v>14817</v>
      </c>
      <c r="AK221" s="9" t="b">
        <v>0</v>
      </c>
      <c r="AL221" s="9" t="b">
        <v>0</v>
      </c>
      <c r="AM221" s="9" t="s">
        <v>14818</v>
      </c>
      <c r="AN221" s="9" t="s">
        <v>10423</v>
      </c>
      <c r="AP221" s="56">
        <v>45159.0</v>
      </c>
      <c r="AQ221" s="9" t="b">
        <v>0</v>
      </c>
      <c r="AR221" s="9" t="s">
        <v>14819</v>
      </c>
      <c r="AS221" s="9" t="s">
        <v>12303</v>
      </c>
    </row>
    <row r="222" ht="15.75" customHeight="1">
      <c r="A222" s="7" t="s">
        <v>9884</v>
      </c>
      <c r="B222" s="7" t="s">
        <v>9885</v>
      </c>
      <c r="C222" s="7" t="s">
        <v>58</v>
      </c>
      <c r="D222" s="7" t="s">
        <v>59</v>
      </c>
      <c r="E222" s="6" t="s">
        <v>346</v>
      </c>
      <c r="F222" s="6">
        <v>2.0</v>
      </c>
      <c r="G222" s="6" t="s">
        <v>455</v>
      </c>
      <c r="H222" s="7"/>
      <c r="I222" s="7"/>
      <c r="J222" s="7">
        <v>320.0</v>
      </c>
      <c r="K222" s="7" t="s">
        <v>12753</v>
      </c>
      <c r="L222" s="7">
        <v>97430.0</v>
      </c>
      <c r="M222" s="7" t="s">
        <v>71</v>
      </c>
      <c r="N222" s="7" t="s">
        <v>9050</v>
      </c>
      <c r="O222" s="6" t="s">
        <v>14820</v>
      </c>
      <c r="P222" s="42" t="s">
        <v>9887</v>
      </c>
      <c r="Q222" s="49" t="s">
        <v>14821</v>
      </c>
      <c r="R222" s="50"/>
      <c r="S222" s="51"/>
      <c r="T222" s="6" t="s">
        <v>14822</v>
      </c>
      <c r="U222" s="6" t="s">
        <v>9885</v>
      </c>
      <c r="V222" s="6" t="s">
        <v>14823</v>
      </c>
      <c r="W222" s="6" t="s">
        <v>14824</v>
      </c>
      <c r="X222" s="6" t="s">
        <v>14825</v>
      </c>
      <c r="Y222" s="6" t="s">
        <v>4368</v>
      </c>
      <c r="Z222" s="6" t="s">
        <v>4369</v>
      </c>
      <c r="AA222" s="7"/>
      <c r="AB222" s="7"/>
      <c r="AC222" s="6">
        <v>8.1279941900021E13</v>
      </c>
      <c r="AD222" s="6">
        <v>8.12799419E8</v>
      </c>
      <c r="AE222" s="6" t="s">
        <v>401</v>
      </c>
      <c r="AF222" s="45">
        <v>45573.62846064815</v>
      </c>
      <c r="AG222" s="7" t="s">
        <v>14826</v>
      </c>
      <c r="AH222" s="46" t="s">
        <v>14827</v>
      </c>
      <c r="AI222" s="7"/>
      <c r="AJ222" s="6" t="s">
        <v>14828</v>
      </c>
      <c r="AK222" s="7" t="b">
        <v>0</v>
      </c>
      <c r="AL222" s="7" t="b">
        <v>0</v>
      </c>
      <c r="AM222" s="6" t="s">
        <v>9890</v>
      </c>
      <c r="AN222" s="6" t="s">
        <v>9884</v>
      </c>
      <c r="AO222" s="7"/>
      <c r="AP222" s="7"/>
      <c r="AQ222" s="6" t="b">
        <v>0</v>
      </c>
      <c r="AR222" s="6"/>
      <c r="AS222" s="6" t="s">
        <v>12303</v>
      </c>
    </row>
    <row r="223" ht="15.75" customHeight="1">
      <c r="A223" s="7" t="s">
        <v>2978</v>
      </c>
      <c r="B223" s="7" t="s">
        <v>2979</v>
      </c>
      <c r="C223" s="6" t="s">
        <v>117</v>
      </c>
      <c r="D223" s="7" t="s">
        <v>2982</v>
      </c>
      <c r="E223" s="7" t="s">
        <v>2983</v>
      </c>
      <c r="F223" s="7">
        <v>12.0</v>
      </c>
      <c r="G223" s="6" t="s">
        <v>455</v>
      </c>
      <c r="H223" s="7"/>
      <c r="I223" s="7"/>
      <c r="J223" s="7">
        <v>71.0</v>
      </c>
      <c r="K223" s="7" t="s">
        <v>12321</v>
      </c>
      <c r="L223" s="7">
        <v>97480.0</v>
      </c>
      <c r="M223" s="7" t="s">
        <v>123</v>
      </c>
      <c r="N223" s="7"/>
      <c r="O223" s="7" t="s">
        <v>2991</v>
      </c>
      <c r="P223" s="42" t="s">
        <v>2985</v>
      </c>
      <c r="Q223" s="43" t="s">
        <v>14829</v>
      </c>
      <c r="R223" s="50"/>
      <c r="S223" s="47" t="s">
        <v>2981</v>
      </c>
      <c r="T223" s="6" t="s">
        <v>14830</v>
      </c>
      <c r="U223" s="7" t="s">
        <v>2986</v>
      </c>
      <c r="V223" s="6" t="s">
        <v>14831</v>
      </c>
      <c r="W223" s="6" t="s">
        <v>14832</v>
      </c>
      <c r="X223" s="6" t="s">
        <v>14833</v>
      </c>
      <c r="Y223" s="6" t="s">
        <v>12478</v>
      </c>
      <c r="Z223" s="7" t="s">
        <v>424</v>
      </c>
      <c r="AA223" s="7"/>
      <c r="AB223" s="7"/>
      <c r="AC223" s="7">
        <v>8.1472263300017E13</v>
      </c>
      <c r="AD223" s="7">
        <v>8.14722633E8</v>
      </c>
      <c r="AE223" s="6" t="s">
        <v>401</v>
      </c>
      <c r="AF223" s="63">
        <v>45201.440613425926</v>
      </c>
      <c r="AG223" s="7" t="s">
        <v>14834</v>
      </c>
      <c r="AH223" s="46" t="s">
        <v>14835</v>
      </c>
      <c r="AI223" s="7"/>
      <c r="AJ223" s="6" t="s">
        <v>14836</v>
      </c>
      <c r="AK223" s="7" t="b">
        <v>0</v>
      </c>
      <c r="AL223" s="7" t="b">
        <v>0</v>
      </c>
      <c r="AM223" s="7"/>
      <c r="AN223" s="6" t="s">
        <v>2978</v>
      </c>
      <c r="AO223" s="6">
        <v>4490.0</v>
      </c>
      <c r="AP223" s="6"/>
      <c r="AQ223" s="6" t="b">
        <v>1</v>
      </c>
      <c r="AR223" s="6"/>
      <c r="AS223" s="6"/>
    </row>
    <row r="224" ht="15.75" customHeight="1">
      <c r="A224" s="9" t="s">
        <v>10425</v>
      </c>
      <c r="B224" s="9" t="s">
        <v>14837</v>
      </c>
      <c r="C224" s="9" t="s">
        <v>58</v>
      </c>
      <c r="D224" s="9" t="s">
        <v>59</v>
      </c>
      <c r="E224" s="9" t="s">
        <v>346</v>
      </c>
      <c r="F224" s="9">
        <v>6.0</v>
      </c>
      <c r="G224" s="9" t="s">
        <v>455</v>
      </c>
      <c r="H224" s="9" t="s">
        <v>2716</v>
      </c>
      <c r="J224" s="52" t="s">
        <v>14838</v>
      </c>
      <c r="K224" s="9" t="s">
        <v>14839</v>
      </c>
      <c r="L224" s="9">
        <v>97480.0</v>
      </c>
      <c r="M224" s="9" t="s">
        <v>123</v>
      </c>
      <c r="N224" s="9" t="s">
        <v>8325</v>
      </c>
      <c r="O224" s="9" t="s">
        <v>14840</v>
      </c>
      <c r="P224" s="53" t="s">
        <v>14841</v>
      </c>
      <c r="Q224" s="49" t="s">
        <v>14842</v>
      </c>
      <c r="R224" s="50"/>
      <c r="S224" s="58" t="s">
        <v>14843</v>
      </c>
      <c r="T224" s="9" t="s">
        <v>14844</v>
      </c>
      <c r="U224" s="9" t="s">
        <v>14845</v>
      </c>
      <c r="W224" s="9" t="s">
        <v>14846</v>
      </c>
      <c r="Y224" s="9" t="s">
        <v>14150</v>
      </c>
      <c r="Z224" s="9" t="s">
        <v>378</v>
      </c>
      <c r="AC224" s="9">
        <v>8.4257148100022E13</v>
      </c>
      <c r="AD224" s="9">
        <v>8.42571481E8</v>
      </c>
      <c r="AE224" s="9" t="s">
        <v>401</v>
      </c>
      <c r="AF224" s="55">
        <v>45198.417037037034</v>
      </c>
      <c r="AG224" s="9" t="s">
        <v>14847</v>
      </c>
      <c r="AH224" s="9" t="s">
        <v>14848</v>
      </c>
      <c r="AJ224" s="9" t="s">
        <v>14849</v>
      </c>
      <c r="AL224" s="9" t="b">
        <v>1</v>
      </c>
      <c r="AM224" s="9" t="s">
        <v>14850</v>
      </c>
      <c r="AN224" s="9" t="s">
        <v>10425</v>
      </c>
      <c r="AP224" s="56">
        <v>44995.0</v>
      </c>
      <c r="AQ224" s="9" t="b">
        <v>0</v>
      </c>
      <c r="AR224" s="9" t="s">
        <v>14851</v>
      </c>
    </row>
    <row r="225" ht="15.75" customHeight="1">
      <c r="A225" s="9" t="s">
        <v>10699</v>
      </c>
      <c r="B225" s="9" t="s">
        <v>14852</v>
      </c>
      <c r="C225" s="9" t="s">
        <v>58</v>
      </c>
      <c r="D225" s="9" t="s">
        <v>59</v>
      </c>
      <c r="E225" s="9" t="s">
        <v>12384</v>
      </c>
      <c r="F225" s="9">
        <v>4.0</v>
      </c>
      <c r="G225" s="9" t="s">
        <v>455</v>
      </c>
      <c r="H225" s="9" t="s">
        <v>2716</v>
      </c>
      <c r="I225" s="9"/>
      <c r="J225" s="9" t="s">
        <v>14853</v>
      </c>
      <c r="K225" s="9" t="s">
        <v>14854</v>
      </c>
      <c r="L225" s="9">
        <v>97480.0</v>
      </c>
      <c r="M225" s="9" t="s">
        <v>123</v>
      </c>
      <c r="N225" s="9" t="s">
        <v>3556</v>
      </c>
      <c r="O225" s="9" t="s">
        <v>14855</v>
      </c>
      <c r="P225" s="53" t="s">
        <v>14856</v>
      </c>
      <c r="Q225" s="49" t="s">
        <v>14857</v>
      </c>
      <c r="R225" s="50"/>
      <c r="S225" s="59"/>
      <c r="T225" s="9" t="s">
        <v>14858</v>
      </c>
      <c r="U225" s="9" t="s">
        <v>14859</v>
      </c>
      <c r="V225" s="9" t="s">
        <v>14860</v>
      </c>
      <c r="W225" s="9" t="s">
        <v>14861</v>
      </c>
      <c r="X225" s="9" t="s">
        <v>14862</v>
      </c>
      <c r="Y225" s="9" t="s">
        <v>13684</v>
      </c>
      <c r="Z225" s="9" t="s">
        <v>353</v>
      </c>
      <c r="AC225" s="9"/>
      <c r="AD225" s="9"/>
      <c r="AE225" s="9" t="s">
        <v>12355</v>
      </c>
      <c r="AF225" s="55">
        <v>45705.38600694444</v>
      </c>
      <c r="AG225" s="9" t="s">
        <v>14863</v>
      </c>
      <c r="AH225" s="9" t="s">
        <v>14864</v>
      </c>
      <c r="AJ225" s="9" t="s">
        <v>14865</v>
      </c>
      <c r="AK225" s="9"/>
      <c r="AL225" s="9" t="b">
        <v>1</v>
      </c>
      <c r="AM225" s="9" t="s">
        <v>14866</v>
      </c>
      <c r="AN225" s="9" t="s">
        <v>10699</v>
      </c>
      <c r="AP225" s="56">
        <v>45198.0</v>
      </c>
      <c r="AQ225" s="9" t="b">
        <v>0</v>
      </c>
      <c r="AR225" s="9" t="s">
        <v>14867</v>
      </c>
    </row>
    <row r="226" ht="15.75" customHeight="1">
      <c r="A226" s="7" t="s">
        <v>9151</v>
      </c>
      <c r="B226" s="7" t="s">
        <v>9152</v>
      </c>
      <c r="C226" s="6" t="s">
        <v>117</v>
      </c>
      <c r="D226" s="7" t="s">
        <v>470</v>
      </c>
      <c r="E226" s="7" t="s">
        <v>608</v>
      </c>
      <c r="F226" s="6">
        <v>8.0</v>
      </c>
      <c r="G226" s="7" t="s">
        <v>455</v>
      </c>
      <c r="H226" s="7"/>
      <c r="I226" s="7"/>
      <c r="J226" s="7">
        <v>49.0</v>
      </c>
      <c r="K226" s="7" t="s">
        <v>14868</v>
      </c>
      <c r="L226" s="7">
        <v>97430.0</v>
      </c>
      <c r="M226" s="7" t="s">
        <v>71</v>
      </c>
      <c r="N226" s="7"/>
      <c r="O226" s="7" t="s">
        <v>9158</v>
      </c>
      <c r="P226" s="42" t="s">
        <v>14869</v>
      </c>
      <c r="Q226" s="43" t="s">
        <v>14870</v>
      </c>
      <c r="R226" s="50"/>
      <c r="S226" s="44" t="s">
        <v>14871</v>
      </c>
      <c r="T226" s="6" t="s">
        <v>14872</v>
      </c>
      <c r="U226" s="6" t="s">
        <v>14873</v>
      </c>
      <c r="V226" s="7"/>
      <c r="W226" s="6" t="s">
        <v>14874</v>
      </c>
      <c r="X226" s="6" t="s">
        <v>14875</v>
      </c>
      <c r="Y226" s="7"/>
      <c r="Z226" s="7" t="s">
        <v>592</v>
      </c>
      <c r="AA226" s="7"/>
      <c r="AB226" s="7"/>
      <c r="AC226" s="7">
        <v>4.4504261700016E13</v>
      </c>
      <c r="AD226" s="7">
        <v>4.45042617E8</v>
      </c>
      <c r="AE226" s="6" t="s">
        <v>401</v>
      </c>
      <c r="AF226" s="45">
        <v>45197.64674768518</v>
      </c>
      <c r="AG226" s="7" t="s">
        <v>14876</v>
      </c>
      <c r="AH226" s="46" t="s">
        <v>14877</v>
      </c>
      <c r="AI226" s="7"/>
      <c r="AJ226" s="6"/>
      <c r="AK226" s="7" t="b">
        <v>0</v>
      </c>
      <c r="AL226" s="7" t="b">
        <v>0</v>
      </c>
      <c r="AM226" s="7"/>
      <c r="AN226" s="6" t="s">
        <v>9151</v>
      </c>
      <c r="AO226" s="7"/>
      <c r="AP226" s="7"/>
      <c r="AQ226" s="6" t="b">
        <v>0</v>
      </c>
      <c r="AR226" s="6"/>
      <c r="AS226" s="6" t="s">
        <v>12303</v>
      </c>
    </row>
    <row r="227" ht="15.75" customHeight="1">
      <c r="A227" s="7" t="s">
        <v>3331</v>
      </c>
      <c r="B227" s="7" t="s">
        <v>3332</v>
      </c>
      <c r="C227" s="6" t="s">
        <v>117</v>
      </c>
      <c r="D227" s="7" t="s">
        <v>470</v>
      </c>
      <c r="E227" s="7" t="s">
        <v>608</v>
      </c>
      <c r="F227" s="7">
        <v>10.0</v>
      </c>
      <c r="G227" s="7" t="s">
        <v>569</v>
      </c>
      <c r="H227" s="7"/>
      <c r="I227" s="7" t="s">
        <v>3339</v>
      </c>
      <c r="J227" s="41" t="s">
        <v>14878</v>
      </c>
      <c r="K227" s="6" t="s">
        <v>14879</v>
      </c>
      <c r="L227" s="7">
        <v>97418.0</v>
      </c>
      <c r="M227" s="7" t="s">
        <v>71</v>
      </c>
      <c r="N227" s="7" t="s">
        <v>216</v>
      </c>
      <c r="O227" s="7" t="s">
        <v>3343</v>
      </c>
      <c r="P227" s="53" t="s">
        <v>14880</v>
      </c>
      <c r="Q227" s="43" t="s">
        <v>14881</v>
      </c>
      <c r="R227" s="50"/>
      <c r="S227" s="51"/>
      <c r="T227" s="6" t="s">
        <v>14882</v>
      </c>
      <c r="U227" s="7" t="s">
        <v>3336</v>
      </c>
      <c r="V227" s="7" t="s">
        <v>3338</v>
      </c>
      <c r="W227" s="6" t="s">
        <v>14883</v>
      </c>
      <c r="X227" s="6" t="s">
        <v>14884</v>
      </c>
      <c r="Y227" s="7" t="s">
        <v>974</v>
      </c>
      <c r="Z227" s="7" t="s">
        <v>353</v>
      </c>
      <c r="AA227" s="7"/>
      <c r="AB227" s="7"/>
      <c r="AC227" s="7">
        <v>4.3493569800028E13</v>
      </c>
      <c r="AD227" s="7">
        <v>4.34935698E8</v>
      </c>
      <c r="AE227" s="6" t="s">
        <v>401</v>
      </c>
      <c r="AF227" s="45">
        <v>45197.64460648148</v>
      </c>
      <c r="AG227" s="7" t="s">
        <v>14885</v>
      </c>
      <c r="AH227" s="46" t="s">
        <v>14886</v>
      </c>
      <c r="AI227" s="7"/>
      <c r="AJ227" s="6" t="s">
        <v>14887</v>
      </c>
      <c r="AK227" s="7" t="b">
        <v>0</v>
      </c>
      <c r="AL227" s="7" t="b">
        <v>0</v>
      </c>
      <c r="AM227" s="7"/>
      <c r="AN227" s="6" t="s">
        <v>3331</v>
      </c>
      <c r="AO227" s="6">
        <v>9.0</v>
      </c>
      <c r="AP227" s="6"/>
      <c r="AQ227" s="6" t="b">
        <v>1</v>
      </c>
      <c r="AR227" s="6"/>
      <c r="AS227" s="48" t="s">
        <v>12303</v>
      </c>
    </row>
    <row r="228" ht="15.75" customHeight="1">
      <c r="A228" s="7" t="s">
        <v>9551</v>
      </c>
      <c r="B228" s="7" t="s">
        <v>9552</v>
      </c>
      <c r="C228" s="6" t="s">
        <v>822</v>
      </c>
      <c r="D228" s="6" t="s">
        <v>4789</v>
      </c>
      <c r="E228" s="7" t="s">
        <v>1406</v>
      </c>
      <c r="F228" s="6">
        <v>6.0</v>
      </c>
      <c r="G228" s="7" t="s">
        <v>455</v>
      </c>
      <c r="H228" s="7"/>
      <c r="I228" s="7"/>
      <c r="J228" s="6" t="s">
        <v>14888</v>
      </c>
      <c r="K228" s="7" t="s">
        <v>14889</v>
      </c>
      <c r="L228" s="7">
        <v>97480.0</v>
      </c>
      <c r="M228" s="7" t="s">
        <v>123</v>
      </c>
      <c r="N228" s="6" t="s">
        <v>14754</v>
      </c>
      <c r="O228" s="7" t="s">
        <v>8976</v>
      </c>
      <c r="P228" s="42" t="s">
        <v>9554</v>
      </c>
      <c r="Q228" s="43" t="s">
        <v>14890</v>
      </c>
      <c r="R228" s="50"/>
      <c r="S228" s="51"/>
      <c r="T228" s="7" t="s">
        <v>9555</v>
      </c>
      <c r="U228" s="6" t="s">
        <v>14891</v>
      </c>
      <c r="V228" s="7"/>
      <c r="W228" s="6" t="s">
        <v>14892</v>
      </c>
      <c r="X228" s="6" t="s">
        <v>4429</v>
      </c>
      <c r="Y228" s="7"/>
      <c r="Z228" s="6" t="s">
        <v>353</v>
      </c>
      <c r="AA228" s="7"/>
      <c r="AB228" s="7"/>
      <c r="AC228" s="6">
        <v>4.0162235200029E13</v>
      </c>
      <c r="AD228" s="6">
        <v>4.01622352E8</v>
      </c>
      <c r="AE228" s="6" t="s">
        <v>401</v>
      </c>
      <c r="AF228" s="45">
        <v>45197.640381944446</v>
      </c>
      <c r="AG228" s="7" t="s">
        <v>14893</v>
      </c>
      <c r="AH228" s="46" t="s">
        <v>14894</v>
      </c>
      <c r="AI228" s="7"/>
      <c r="AJ228" s="7"/>
      <c r="AK228" s="7" t="b">
        <v>0</v>
      </c>
      <c r="AL228" s="7" t="b">
        <v>0</v>
      </c>
      <c r="AM228" s="7"/>
      <c r="AN228" s="6" t="s">
        <v>9551</v>
      </c>
      <c r="AO228" s="7"/>
      <c r="AP228" s="7"/>
      <c r="AQ228" s="6" t="b">
        <v>0</v>
      </c>
      <c r="AR228" s="6"/>
      <c r="AS228" s="6" t="s">
        <v>12303</v>
      </c>
    </row>
    <row r="229" ht="15.75" customHeight="1">
      <c r="A229" s="7" t="s">
        <v>8201</v>
      </c>
      <c r="B229" s="7" t="s">
        <v>8202</v>
      </c>
      <c r="C229" s="6" t="s">
        <v>117</v>
      </c>
      <c r="D229" s="6" t="s">
        <v>14895</v>
      </c>
      <c r="E229" s="6" t="s">
        <v>1909</v>
      </c>
      <c r="F229" s="6">
        <v>10.0</v>
      </c>
      <c r="G229" s="7"/>
      <c r="H229" s="7"/>
      <c r="I229" s="7"/>
      <c r="J229" s="41" t="s">
        <v>14896</v>
      </c>
      <c r="K229" s="6" t="s">
        <v>14897</v>
      </c>
      <c r="L229" s="7">
        <v>97480.0</v>
      </c>
      <c r="M229" s="7" t="s">
        <v>123</v>
      </c>
      <c r="N229" s="6" t="s">
        <v>3556</v>
      </c>
      <c r="O229" s="6" t="s">
        <v>14898</v>
      </c>
      <c r="P229" s="42" t="s">
        <v>8205</v>
      </c>
      <c r="Q229" s="43" t="s">
        <v>14899</v>
      </c>
      <c r="R229" s="50"/>
      <c r="S229" s="47" t="s">
        <v>8204</v>
      </c>
      <c r="T229" s="6" t="s">
        <v>14900</v>
      </c>
      <c r="U229" s="6" t="s">
        <v>8206</v>
      </c>
      <c r="V229" s="6" t="s">
        <v>14901</v>
      </c>
      <c r="W229" s="6" t="s">
        <v>14902</v>
      </c>
      <c r="X229" s="6" t="s">
        <v>14903</v>
      </c>
      <c r="Y229" s="7"/>
      <c r="Z229" s="6" t="s">
        <v>592</v>
      </c>
      <c r="AA229" s="7"/>
      <c r="AB229" s="7"/>
      <c r="AC229" s="6">
        <v>5.0017034500069E13</v>
      </c>
      <c r="AD229" s="6">
        <v>5.00170345E8</v>
      </c>
      <c r="AE229" s="6" t="s">
        <v>401</v>
      </c>
      <c r="AF229" s="45">
        <v>45197.63275462963</v>
      </c>
      <c r="AG229" s="7" t="s">
        <v>14904</v>
      </c>
      <c r="AH229" s="46" t="s">
        <v>14905</v>
      </c>
      <c r="AI229" s="7"/>
      <c r="AJ229" s="6" t="s">
        <v>14906</v>
      </c>
      <c r="AK229" s="7" t="b">
        <v>0</v>
      </c>
      <c r="AL229" s="7" t="b">
        <v>0</v>
      </c>
      <c r="AM229" s="7"/>
      <c r="AN229" s="6" t="s">
        <v>8201</v>
      </c>
      <c r="AO229" s="7"/>
      <c r="AP229" s="7"/>
      <c r="AQ229" s="6" t="b">
        <v>0</v>
      </c>
      <c r="AR229" s="6" t="s">
        <v>14907</v>
      </c>
      <c r="AS229" s="6" t="s">
        <v>12303</v>
      </c>
    </row>
    <row r="230" ht="15.75" customHeight="1">
      <c r="A230" s="7" t="s">
        <v>843</v>
      </c>
      <c r="B230" s="7" t="s">
        <v>844</v>
      </c>
      <c r="C230" s="6" t="s">
        <v>117</v>
      </c>
      <c r="D230" s="7" t="s">
        <v>847</v>
      </c>
      <c r="E230" s="7" t="s">
        <v>848</v>
      </c>
      <c r="F230" s="6">
        <v>4.0</v>
      </c>
      <c r="G230" s="7" t="s">
        <v>455</v>
      </c>
      <c r="H230" s="7"/>
      <c r="I230" s="7"/>
      <c r="J230" s="41" t="s">
        <v>12720</v>
      </c>
      <c r="K230" s="6" t="s">
        <v>14908</v>
      </c>
      <c r="L230" s="7">
        <v>97414.0</v>
      </c>
      <c r="M230" s="7" t="s">
        <v>40</v>
      </c>
      <c r="N230" s="7"/>
      <c r="O230" s="6" t="s">
        <v>14909</v>
      </c>
      <c r="P230" s="42" t="s">
        <v>852</v>
      </c>
      <c r="Q230" s="43" t="s">
        <v>14910</v>
      </c>
      <c r="R230" s="50"/>
      <c r="S230" s="47" t="s">
        <v>846</v>
      </c>
      <c r="T230" s="7" t="s">
        <v>854</v>
      </c>
      <c r="U230" s="7" t="s">
        <v>853</v>
      </c>
      <c r="V230" s="7" t="s">
        <v>855</v>
      </c>
      <c r="W230" s="6" t="s">
        <v>14911</v>
      </c>
      <c r="X230" s="7" t="s">
        <v>850</v>
      </c>
      <c r="Y230" s="7" t="s">
        <v>377</v>
      </c>
      <c r="Z230" s="7" t="s">
        <v>851</v>
      </c>
      <c r="AA230" s="7"/>
      <c r="AB230" s="7"/>
      <c r="AC230" s="7">
        <v>8.133268240003E13</v>
      </c>
      <c r="AD230" s="7">
        <v>8.13326824E8</v>
      </c>
      <c r="AE230" s="6" t="s">
        <v>401</v>
      </c>
      <c r="AF230" s="45">
        <v>45197.62920138889</v>
      </c>
      <c r="AG230" s="7" t="s">
        <v>14912</v>
      </c>
      <c r="AH230" s="46" t="s">
        <v>14913</v>
      </c>
      <c r="AI230" s="7"/>
      <c r="AJ230" s="7"/>
      <c r="AK230" s="7" t="b">
        <v>0</v>
      </c>
      <c r="AL230" s="7" t="b">
        <v>0</v>
      </c>
      <c r="AM230" s="7"/>
      <c r="AN230" s="6" t="s">
        <v>843</v>
      </c>
      <c r="AO230" s="6">
        <v>4775.0</v>
      </c>
      <c r="AP230" s="6"/>
      <c r="AQ230" s="6" t="b">
        <v>1</v>
      </c>
      <c r="AR230" s="6"/>
      <c r="AS230" s="48" t="s">
        <v>12303</v>
      </c>
    </row>
    <row r="231" ht="15.75" customHeight="1">
      <c r="A231" s="7" t="s">
        <v>465</v>
      </c>
      <c r="B231" s="7" t="s">
        <v>466</v>
      </c>
      <c r="C231" s="6" t="s">
        <v>117</v>
      </c>
      <c r="D231" s="7" t="s">
        <v>470</v>
      </c>
      <c r="E231" s="6" t="s">
        <v>14914</v>
      </c>
      <c r="F231" s="7">
        <v>12.0</v>
      </c>
      <c r="G231" s="7" t="s">
        <v>472</v>
      </c>
      <c r="H231" s="7"/>
      <c r="I231" s="7"/>
      <c r="J231" s="7">
        <v>12.0</v>
      </c>
      <c r="K231" s="7" t="s">
        <v>14915</v>
      </c>
      <c r="L231" s="7">
        <v>97414.0</v>
      </c>
      <c r="M231" s="7" t="s">
        <v>40</v>
      </c>
      <c r="N231" s="6" t="s">
        <v>8701</v>
      </c>
      <c r="O231" s="6" t="s">
        <v>14916</v>
      </c>
      <c r="P231" s="42" t="s">
        <v>473</v>
      </c>
      <c r="Q231" s="43" t="s">
        <v>14917</v>
      </c>
      <c r="R231" s="50"/>
      <c r="S231" s="51"/>
      <c r="T231" s="7" t="s">
        <v>474</v>
      </c>
      <c r="U231" s="6" t="s">
        <v>14918</v>
      </c>
      <c r="V231" s="7" t="s">
        <v>475</v>
      </c>
      <c r="W231" s="6" t="s">
        <v>14919</v>
      </c>
      <c r="X231" s="6" t="s">
        <v>14920</v>
      </c>
      <c r="Y231" s="7" t="s">
        <v>377</v>
      </c>
      <c r="Z231" s="6" t="s">
        <v>424</v>
      </c>
      <c r="AA231" s="7"/>
      <c r="AB231" s="7"/>
      <c r="AC231" s="7">
        <v>5.0450680900012E13</v>
      </c>
      <c r="AD231" s="7">
        <v>5.04506809E8</v>
      </c>
      <c r="AE231" s="6" t="s">
        <v>401</v>
      </c>
      <c r="AF231" s="63">
        <v>45520.47094907407</v>
      </c>
      <c r="AG231" s="7" t="s">
        <v>14921</v>
      </c>
      <c r="AH231" s="46" t="s">
        <v>14922</v>
      </c>
      <c r="AI231" s="7"/>
      <c r="AJ231" s="6" t="s">
        <v>14923</v>
      </c>
      <c r="AK231" s="7" t="b">
        <v>0</v>
      </c>
      <c r="AL231" s="7" t="b">
        <v>0</v>
      </c>
      <c r="AM231" s="7"/>
      <c r="AN231" s="6" t="s">
        <v>465</v>
      </c>
      <c r="AO231" s="6">
        <v>1856.0</v>
      </c>
      <c r="AP231" s="6"/>
      <c r="AQ231" s="6" t="b">
        <v>1</v>
      </c>
      <c r="AR231" s="6" t="s">
        <v>14924</v>
      </c>
      <c r="AS231" s="48" t="s">
        <v>12303</v>
      </c>
    </row>
    <row r="232" ht="15.75" customHeight="1">
      <c r="A232" s="7" t="s">
        <v>3744</v>
      </c>
      <c r="B232" s="7" t="s">
        <v>3731</v>
      </c>
      <c r="C232" s="6" t="s">
        <v>117</v>
      </c>
      <c r="D232" s="7" t="s">
        <v>1908</v>
      </c>
      <c r="E232" s="7" t="s">
        <v>1909</v>
      </c>
      <c r="F232" s="7">
        <v>10.0</v>
      </c>
      <c r="G232" s="6" t="s">
        <v>455</v>
      </c>
      <c r="H232" s="7"/>
      <c r="I232" s="7" t="s">
        <v>597</v>
      </c>
      <c r="J232" s="7">
        <v>1.0</v>
      </c>
      <c r="K232" s="7" t="s">
        <v>14925</v>
      </c>
      <c r="L232" s="7">
        <v>97480.0</v>
      </c>
      <c r="M232" s="7" t="s">
        <v>123</v>
      </c>
      <c r="N232" s="7"/>
      <c r="O232" s="6" t="s">
        <v>14926</v>
      </c>
      <c r="P232" s="42" t="s">
        <v>3735</v>
      </c>
      <c r="Q232" s="43" t="s">
        <v>14927</v>
      </c>
      <c r="R232" s="50"/>
      <c r="S232" s="47" t="s">
        <v>3733</v>
      </c>
      <c r="T232" s="7" t="s">
        <v>3746</v>
      </c>
      <c r="U232" s="7" t="s">
        <v>3736</v>
      </c>
      <c r="V232" s="7" t="s">
        <v>3738</v>
      </c>
      <c r="W232" s="6" t="s">
        <v>14919</v>
      </c>
      <c r="X232" s="6" t="s">
        <v>14928</v>
      </c>
      <c r="Y232" s="7" t="s">
        <v>499</v>
      </c>
      <c r="Z232" s="7" t="s">
        <v>440</v>
      </c>
      <c r="AA232" s="7"/>
      <c r="AB232" s="7"/>
      <c r="AC232" s="7">
        <v>4.4055140600042E13</v>
      </c>
      <c r="AD232" s="7">
        <v>4.40551406E8</v>
      </c>
      <c r="AE232" s="6" t="s">
        <v>401</v>
      </c>
      <c r="AF232" s="45">
        <v>45196.632743055554</v>
      </c>
      <c r="AG232" s="7" t="s">
        <v>14929</v>
      </c>
      <c r="AH232" s="46" t="s">
        <v>14930</v>
      </c>
      <c r="AI232" s="7"/>
      <c r="AJ232" s="6" t="s">
        <v>14931</v>
      </c>
      <c r="AK232" s="7" t="b">
        <v>0</v>
      </c>
      <c r="AL232" s="7" t="b">
        <v>0</v>
      </c>
      <c r="AM232" s="7"/>
      <c r="AN232" s="6" t="s">
        <v>3744</v>
      </c>
      <c r="AO232" s="6">
        <v>1209.0</v>
      </c>
      <c r="AP232" s="6"/>
      <c r="AQ232" s="6" t="b">
        <v>1</v>
      </c>
      <c r="AR232" s="6"/>
      <c r="AS232" s="6"/>
    </row>
    <row r="233" ht="15.75" customHeight="1">
      <c r="A233" s="7" t="s">
        <v>3852</v>
      </c>
      <c r="B233" s="7" t="s">
        <v>3853</v>
      </c>
      <c r="C233" s="6" t="s">
        <v>117</v>
      </c>
      <c r="D233" s="7" t="s">
        <v>470</v>
      </c>
      <c r="E233" s="7" t="s">
        <v>608</v>
      </c>
      <c r="F233" s="7">
        <v>50.0</v>
      </c>
      <c r="G233" s="7"/>
      <c r="H233" s="7"/>
      <c r="I233" s="7"/>
      <c r="J233" s="7">
        <v>4.0</v>
      </c>
      <c r="K233" s="7" t="s">
        <v>14932</v>
      </c>
      <c r="L233" s="7">
        <v>97442.0</v>
      </c>
      <c r="M233" s="7" t="s">
        <v>33</v>
      </c>
      <c r="N233" s="6" t="s">
        <v>14933</v>
      </c>
      <c r="O233" s="6" t="s">
        <v>14934</v>
      </c>
      <c r="P233" s="42" t="s">
        <v>3856</v>
      </c>
      <c r="Q233" s="49" t="s">
        <v>14935</v>
      </c>
      <c r="R233" s="50"/>
      <c r="S233" s="51" t="s">
        <v>14936</v>
      </c>
      <c r="T233" s="6" t="s">
        <v>14937</v>
      </c>
      <c r="U233" s="6" t="s">
        <v>14938</v>
      </c>
      <c r="V233" s="6" t="s">
        <v>14939</v>
      </c>
      <c r="W233" s="6" t="s">
        <v>14940</v>
      </c>
      <c r="X233" s="6" t="s">
        <v>14941</v>
      </c>
      <c r="Y233" s="7" t="s">
        <v>377</v>
      </c>
      <c r="Z233" s="6" t="s">
        <v>592</v>
      </c>
      <c r="AA233" s="7"/>
      <c r="AB233" s="7"/>
      <c r="AC233" s="7">
        <v>8.0839730100025E13</v>
      </c>
      <c r="AD233" s="7">
        <v>8.08397301E8</v>
      </c>
      <c r="AE233" s="6" t="s">
        <v>401</v>
      </c>
      <c r="AF233" s="45">
        <v>45196.63041666667</v>
      </c>
      <c r="AG233" s="7" t="s">
        <v>14942</v>
      </c>
      <c r="AH233" s="46" t="s">
        <v>14943</v>
      </c>
      <c r="AI233" s="7"/>
      <c r="AJ233" s="6" t="s">
        <v>14944</v>
      </c>
      <c r="AK233" s="6" t="b">
        <v>1</v>
      </c>
      <c r="AL233" s="6" t="b">
        <v>1</v>
      </c>
      <c r="AM233" s="7"/>
      <c r="AN233" s="6" t="s">
        <v>3852</v>
      </c>
      <c r="AO233" s="6">
        <v>5027.0</v>
      </c>
      <c r="AP233" s="6"/>
      <c r="AQ233" s="6" t="b">
        <v>1</v>
      </c>
      <c r="AR233" s="6" t="s">
        <v>14945</v>
      </c>
      <c r="AS233" s="48" t="s">
        <v>12303</v>
      </c>
    </row>
    <row r="234" ht="15.75" customHeight="1">
      <c r="A234" s="7" t="s">
        <v>9683</v>
      </c>
      <c r="B234" s="7" t="s">
        <v>14946</v>
      </c>
      <c r="C234" s="6" t="s">
        <v>117</v>
      </c>
      <c r="D234" s="6" t="s">
        <v>1792</v>
      </c>
      <c r="E234" s="6" t="s">
        <v>608</v>
      </c>
      <c r="F234" s="7"/>
      <c r="G234" s="6" t="s">
        <v>9780</v>
      </c>
      <c r="H234" s="7"/>
      <c r="I234" s="7"/>
      <c r="J234" s="41" t="s">
        <v>13933</v>
      </c>
      <c r="K234" s="6" t="s">
        <v>14947</v>
      </c>
      <c r="L234" s="7">
        <v>97480.0</v>
      </c>
      <c r="M234" s="7" t="s">
        <v>123</v>
      </c>
      <c r="N234" s="6" t="s">
        <v>8383</v>
      </c>
      <c r="O234" s="6" t="s">
        <v>14948</v>
      </c>
      <c r="P234" s="42" t="s">
        <v>9685</v>
      </c>
      <c r="Q234" s="43" t="s">
        <v>14949</v>
      </c>
      <c r="R234" s="50"/>
      <c r="S234" s="51"/>
      <c r="T234" s="6" t="s">
        <v>14950</v>
      </c>
      <c r="U234" s="6" t="s">
        <v>9686</v>
      </c>
      <c r="V234" s="7"/>
      <c r="W234" s="6" t="s">
        <v>14951</v>
      </c>
      <c r="X234" s="6" t="s">
        <v>14952</v>
      </c>
      <c r="Y234" s="7"/>
      <c r="Z234" s="6" t="s">
        <v>353</v>
      </c>
      <c r="AA234" s="7"/>
      <c r="AB234" s="7"/>
      <c r="AC234" s="7">
        <v>4.0925647600022E13</v>
      </c>
      <c r="AD234" s="7">
        <v>4.09256476E8</v>
      </c>
      <c r="AE234" s="6" t="s">
        <v>401</v>
      </c>
      <c r="AF234" s="45">
        <v>45196.62768518519</v>
      </c>
      <c r="AG234" s="7" t="s">
        <v>14953</v>
      </c>
      <c r="AH234" s="46" t="s">
        <v>14954</v>
      </c>
      <c r="AI234" s="7"/>
      <c r="AJ234" s="6" t="s">
        <v>14955</v>
      </c>
      <c r="AK234" s="7" t="b">
        <v>0</v>
      </c>
      <c r="AL234" s="7" t="b">
        <v>0</v>
      </c>
      <c r="AM234" s="7"/>
      <c r="AN234" s="6" t="s">
        <v>9683</v>
      </c>
      <c r="AO234" s="7"/>
      <c r="AP234" s="7"/>
      <c r="AQ234" s="6" t="b">
        <v>0</v>
      </c>
      <c r="AR234" s="6" t="s">
        <v>14956</v>
      </c>
      <c r="AS234" s="6" t="s">
        <v>12303</v>
      </c>
    </row>
    <row r="235" ht="15.75" customHeight="1">
      <c r="A235" s="7" t="s">
        <v>9724</v>
      </c>
      <c r="B235" s="7" t="s">
        <v>9725</v>
      </c>
      <c r="C235" s="6" t="s">
        <v>117</v>
      </c>
      <c r="D235" s="6" t="s">
        <v>4826</v>
      </c>
      <c r="E235" s="6" t="s">
        <v>14957</v>
      </c>
      <c r="F235" s="6">
        <v>8.0</v>
      </c>
      <c r="G235" s="6" t="s">
        <v>455</v>
      </c>
      <c r="H235" s="7"/>
      <c r="I235" s="7"/>
      <c r="J235" s="41" t="s">
        <v>13933</v>
      </c>
      <c r="K235" s="7" t="s">
        <v>12542</v>
      </c>
      <c r="L235" s="7">
        <v>97480.0</v>
      </c>
      <c r="M235" s="7" t="s">
        <v>123</v>
      </c>
      <c r="N235" s="6" t="s">
        <v>3556</v>
      </c>
      <c r="O235" s="7" t="s">
        <v>8209</v>
      </c>
      <c r="P235" s="42" t="s">
        <v>9727</v>
      </c>
      <c r="Q235" s="43" t="s">
        <v>14958</v>
      </c>
      <c r="R235" s="50"/>
      <c r="S235" s="47" t="s">
        <v>9726</v>
      </c>
      <c r="T235" s="6" t="s">
        <v>14959</v>
      </c>
      <c r="U235" s="6" t="s">
        <v>14960</v>
      </c>
      <c r="V235" s="6" t="s">
        <v>14961</v>
      </c>
      <c r="W235" s="6" t="s">
        <v>14962</v>
      </c>
      <c r="X235" s="6" t="s">
        <v>14963</v>
      </c>
      <c r="Y235" s="7"/>
      <c r="Z235" s="6" t="s">
        <v>592</v>
      </c>
      <c r="AA235" s="7"/>
      <c r="AB235" s="7"/>
      <c r="AC235" s="6">
        <v>4.0523173900021E13</v>
      </c>
      <c r="AD235" s="6">
        <v>4.05231739E8</v>
      </c>
      <c r="AE235" s="6" t="s">
        <v>401</v>
      </c>
      <c r="AF235" s="63">
        <v>45196.59181712963</v>
      </c>
      <c r="AG235" s="7" t="s">
        <v>14964</v>
      </c>
      <c r="AH235" s="62" t="s">
        <v>14965</v>
      </c>
      <c r="AI235" s="7"/>
      <c r="AJ235" s="6" t="s">
        <v>14966</v>
      </c>
      <c r="AK235" s="7" t="b">
        <v>0</v>
      </c>
      <c r="AL235" s="7" t="b">
        <v>0</v>
      </c>
      <c r="AM235" s="7"/>
      <c r="AN235" s="6" t="s">
        <v>9724</v>
      </c>
      <c r="AO235" s="7"/>
      <c r="AP235" s="7"/>
      <c r="AQ235" s="6" t="b">
        <v>0</v>
      </c>
      <c r="AR235" s="6"/>
      <c r="AS235" s="6" t="s">
        <v>12303</v>
      </c>
    </row>
    <row r="236" ht="15.75" customHeight="1">
      <c r="A236" s="9" t="s">
        <v>10432</v>
      </c>
      <c r="B236" s="9" t="s">
        <v>14967</v>
      </c>
      <c r="C236" s="9" t="s">
        <v>117</v>
      </c>
      <c r="D236" s="9" t="s">
        <v>470</v>
      </c>
      <c r="E236" s="9" t="s">
        <v>14968</v>
      </c>
      <c r="F236" s="9">
        <v>7.0</v>
      </c>
      <c r="J236" s="52" t="s">
        <v>12820</v>
      </c>
      <c r="K236" s="9" t="s">
        <v>14969</v>
      </c>
      <c r="L236" s="9">
        <v>97414.0</v>
      </c>
      <c r="M236" s="9" t="s">
        <v>40</v>
      </c>
      <c r="N236" s="9" t="s">
        <v>8701</v>
      </c>
      <c r="O236" s="9" t="s">
        <v>14970</v>
      </c>
      <c r="P236" s="53" t="s">
        <v>14971</v>
      </c>
      <c r="Q236" s="49" t="s">
        <v>14972</v>
      </c>
      <c r="R236" s="50"/>
      <c r="S236" s="58" t="s">
        <v>14973</v>
      </c>
      <c r="T236" s="9" t="s">
        <v>14974</v>
      </c>
      <c r="U236" s="9" t="s">
        <v>14975</v>
      </c>
      <c r="V236" s="9" t="s">
        <v>14976</v>
      </c>
      <c r="W236" s="9" t="s">
        <v>14977</v>
      </c>
      <c r="X236" s="9" t="s">
        <v>14978</v>
      </c>
      <c r="Y236" s="9" t="s">
        <v>2938</v>
      </c>
      <c r="Z236" s="9" t="s">
        <v>14979</v>
      </c>
      <c r="AC236" s="9">
        <v>8.997620660002E13</v>
      </c>
      <c r="AD236" s="9">
        <v>8.99762066E8</v>
      </c>
      <c r="AE236" s="9" t="s">
        <v>401</v>
      </c>
      <c r="AF236" s="55">
        <v>45595.55403935185</v>
      </c>
      <c r="AG236" s="9" t="s">
        <v>14980</v>
      </c>
      <c r="AH236" s="9" t="s">
        <v>14981</v>
      </c>
      <c r="AJ236" s="9" t="s">
        <v>14982</v>
      </c>
      <c r="AK236" s="9" t="b">
        <v>0</v>
      </c>
      <c r="AL236" s="9" t="b">
        <v>0</v>
      </c>
      <c r="AN236" s="9" t="s">
        <v>10432</v>
      </c>
      <c r="AP236" s="56">
        <v>44587.0</v>
      </c>
      <c r="AQ236" s="9" t="b">
        <v>0</v>
      </c>
      <c r="AR236" s="9" t="s">
        <v>14983</v>
      </c>
      <c r="AS236" s="48" t="s">
        <v>12303</v>
      </c>
    </row>
    <row r="237" ht="15.75" customHeight="1">
      <c r="A237" s="9" t="s">
        <v>11990</v>
      </c>
      <c r="B237" s="9" t="s">
        <v>14984</v>
      </c>
      <c r="C237" s="9" t="s">
        <v>1198</v>
      </c>
      <c r="D237" s="9" t="s">
        <v>1644</v>
      </c>
      <c r="E237" s="9" t="s">
        <v>9717</v>
      </c>
      <c r="F237" s="9">
        <v>4.0</v>
      </c>
      <c r="G237" s="9"/>
      <c r="I237" s="9"/>
      <c r="J237" s="52" t="s">
        <v>14338</v>
      </c>
      <c r="K237" s="9" t="s">
        <v>14985</v>
      </c>
      <c r="L237" s="9">
        <v>97418.0</v>
      </c>
      <c r="M237" s="9" t="s">
        <v>71</v>
      </c>
      <c r="N237" s="9" t="s">
        <v>216</v>
      </c>
      <c r="O237" s="9" t="s">
        <v>14986</v>
      </c>
      <c r="P237" s="53" t="s">
        <v>14987</v>
      </c>
      <c r="Q237" s="49" t="s">
        <v>14988</v>
      </c>
      <c r="R237" s="50"/>
      <c r="S237" s="58" t="s">
        <v>14989</v>
      </c>
      <c r="T237" s="9" t="s">
        <v>14990</v>
      </c>
      <c r="U237" s="9" t="s">
        <v>14991</v>
      </c>
      <c r="V237" s="9"/>
      <c r="W237" s="9"/>
      <c r="X237" s="9"/>
      <c r="Y237" s="9" t="s">
        <v>1863</v>
      </c>
      <c r="Z237" s="9" t="s">
        <v>353</v>
      </c>
      <c r="AC237" s="9">
        <v>4.3909749400033E13</v>
      </c>
      <c r="AD237" s="9">
        <v>4.39097494E8</v>
      </c>
      <c r="AE237" s="9" t="s">
        <v>401</v>
      </c>
      <c r="AF237" s="55">
        <v>45889.45239583333</v>
      </c>
      <c r="AG237" s="9" t="s">
        <v>14992</v>
      </c>
      <c r="AH237" s="9" t="s">
        <v>14993</v>
      </c>
      <c r="AJ237" s="9" t="s">
        <v>14994</v>
      </c>
      <c r="AK237" s="9" t="b">
        <v>0</v>
      </c>
      <c r="AL237" s="9" t="b">
        <v>0</v>
      </c>
      <c r="AM237" s="9"/>
      <c r="AN237" s="9" t="s">
        <v>11990</v>
      </c>
      <c r="AP237" s="56">
        <v>45196.0</v>
      </c>
      <c r="AQ237" s="9" t="b">
        <v>0</v>
      </c>
      <c r="AR237" s="9"/>
    </row>
    <row r="238" ht="15.75" customHeight="1">
      <c r="A238" s="7" t="s">
        <v>10171</v>
      </c>
      <c r="B238" s="6" t="s">
        <v>14995</v>
      </c>
      <c r="C238" s="6" t="s">
        <v>117</v>
      </c>
      <c r="D238" s="7" t="s">
        <v>470</v>
      </c>
      <c r="E238" s="7" t="s">
        <v>5109</v>
      </c>
      <c r="F238" s="7">
        <v>6.0</v>
      </c>
      <c r="G238" s="7"/>
      <c r="H238" s="7"/>
      <c r="I238" s="7"/>
      <c r="J238" s="41" t="s">
        <v>13933</v>
      </c>
      <c r="K238" s="7" t="s">
        <v>9102</v>
      </c>
      <c r="L238" s="7">
        <v>97480.0</v>
      </c>
      <c r="M238" s="7" t="s">
        <v>123</v>
      </c>
      <c r="N238" s="6" t="s">
        <v>9102</v>
      </c>
      <c r="O238" s="7" t="s">
        <v>10178</v>
      </c>
      <c r="P238" s="42" t="s">
        <v>10174</v>
      </c>
      <c r="Q238" s="43" t="s">
        <v>14996</v>
      </c>
      <c r="R238" s="50" t="s">
        <v>12350</v>
      </c>
      <c r="S238" s="51" t="s">
        <v>14997</v>
      </c>
      <c r="T238" s="7" t="s">
        <v>10175</v>
      </c>
      <c r="U238" s="6" t="s">
        <v>14998</v>
      </c>
      <c r="V238" s="6" t="s">
        <v>14999</v>
      </c>
      <c r="W238" s="6" t="s">
        <v>14892</v>
      </c>
      <c r="X238" s="6" t="s">
        <v>15000</v>
      </c>
      <c r="Y238" s="6" t="s">
        <v>8930</v>
      </c>
      <c r="Z238" s="7" t="s">
        <v>424</v>
      </c>
      <c r="AA238" s="7"/>
      <c r="AB238" s="7"/>
      <c r="AC238" s="6">
        <v>8.1891397200019E13</v>
      </c>
      <c r="AD238" s="6">
        <v>8.18913972E8</v>
      </c>
      <c r="AE238" s="6" t="s">
        <v>401</v>
      </c>
      <c r="AF238" s="45">
        <v>45196.58207175926</v>
      </c>
      <c r="AG238" s="7" t="s">
        <v>15001</v>
      </c>
      <c r="AH238" s="46" t="s">
        <v>15002</v>
      </c>
      <c r="AI238" s="7"/>
      <c r="AJ238" s="6" t="s">
        <v>15003</v>
      </c>
      <c r="AK238" s="7" t="b">
        <v>0</v>
      </c>
      <c r="AL238" s="7" t="b">
        <v>0</v>
      </c>
      <c r="AM238" s="7"/>
      <c r="AN238" s="6" t="s">
        <v>10171</v>
      </c>
      <c r="AO238" s="7"/>
      <c r="AP238" s="7"/>
      <c r="AQ238" s="6" t="b">
        <v>0</v>
      </c>
      <c r="AR238" s="6"/>
      <c r="AS238" s="6" t="s">
        <v>12303</v>
      </c>
    </row>
    <row r="239" ht="15.75" customHeight="1">
      <c r="A239" s="7" t="s">
        <v>276</v>
      </c>
      <c r="B239" s="7" t="s">
        <v>5105</v>
      </c>
      <c r="C239" s="6" t="s">
        <v>117</v>
      </c>
      <c r="D239" s="7" t="s">
        <v>470</v>
      </c>
      <c r="E239" s="7" t="s">
        <v>5109</v>
      </c>
      <c r="F239" s="7">
        <v>30.0</v>
      </c>
      <c r="G239" s="7" t="s">
        <v>407</v>
      </c>
      <c r="H239" s="7"/>
      <c r="I239" s="7" t="s">
        <v>597</v>
      </c>
      <c r="J239" s="7">
        <v>4.0</v>
      </c>
      <c r="K239" s="7" t="s">
        <v>15004</v>
      </c>
      <c r="L239" s="7">
        <v>97414.0</v>
      </c>
      <c r="M239" s="7" t="s">
        <v>40</v>
      </c>
      <c r="N239" s="6" t="s">
        <v>40</v>
      </c>
      <c r="O239" s="7" t="s">
        <v>5116</v>
      </c>
      <c r="P239" s="53" t="s">
        <v>15005</v>
      </c>
      <c r="Q239" s="49" t="s">
        <v>15006</v>
      </c>
      <c r="R239" s="43" t="s">
        <v>15007</v>
      </c>
      <c r="S239" s="47" t="s">
        <v>5108</v>
      </c>
      <c r="T239" s="7" t="s">
        <v>5112</v>
      </c>
      <c r="U239" s="7" t="s">
        <v>5111</v>
      </c>
      <c r="V239" s="6" t="s">
        <v>15008</v>
      </c>
      <c r="W239" s="6" t="s">
        <v>14892</v>
      </c>
      <c r="X239" s="7" t="s">
        <v>1052</v>
      </c>
      <c r="Y239" s="7" t="s">
        <v>392</v>
      </c>
      <c r="Z239" s="7" t="s">
        <v>592</v>
      </c>
      <c r="AA239" s="7"/>
      <c r="AB239" s="7"/>
      <c r="AC239" s="7">
        <v>3.9959384700029E13</v>
      </c>
      <c r="AD239" s="7">
        <v>3.99593847E8</v>
      </c>
      <c r="AE239" s="6" t="s">
        <v>401</v>
      </c>
      <c r="AF239" s="45">
        <v>45656.34946759259</v>
      </c>
      <c r="AG239" s="7" t="s">
        <v>15009</v>
      </c>
      <c r="AH239" s="46" t="s">
        <v>15010</v>
      </c>
      <c r="AI239" s="7"/>
      <c r="AJ239" s="6" t="s">
        <v>15011</v>
      </c>
      <c r="AK239" s="7" t="b">
        <v>0</v>
      </c>
      <c r="AL239" s="7" t="b">
        <v>0</v>
      </c>
      <c r="AM239" s="7"/>
      <c r="AN239" s="6" t="s">
        <v>276</v>
      </c>
      <c r="AO239" s="6">
        <v>318.0</v>
      </c>
      <c r="AP239" s="6"/>
      <c r="AQ239" s="6" t="b">
        <v>1</v>
      </c>
      <c r="AR239" s="6"/>
      <c r="AS239" s="48" t="s">
        <v>12303</v>
      </c>
    </row>
    <row r="240" ht="15.75" customHeight="1">
      <c r="A240" s="7" t="s">
        <v>6679</v>
      </c>
      <c r="B240" s="6" t="s">
        <v>15012</v>
      </c>
      <c r="C240" s="6" t="s">
        <v>117</v>
      </c>
      <c r="D240" s="7" t="s">
        <v>470</v>
      </c>
      <c r="E240" s="6" t="s">
        <v>15013</v>
      </c>
      <c r="F240" s="6">
        <v>6.0</v>
      </c>
      <c r="G240" s="7" t="s">
        <v>375</v>
      </c>
      <c r="H240" s="7"/>
      <c r="I240" s="7"/>
      <c r="J240" s="7">
        <v>139.0</v>
      </c>
      <c r="K240" s="7" t="s">
        <v>12940</v>
      </c>
      <c r="L240" s="7">
        <v>97480.0</v>
      </c>
      <c r="M240" s="7" t="s">
        <v>123</v>
      </c>
      <c r="N240" s="7" t="s">
        <v>206</v>
      </c>
      <c r="O240" s="7" t="s">
        <v>6690</v>
      </c>
      <c r="P240" s="42" t="s">
        <v>6684</v>
      </c>
      <c r="Q240" s="49" t="s">
        <v>15014</v>
      </c>
      <c r="R240" s="50"/>
      <c r="S240" s="44" t="s">
        <v>15015</v>
      </c>
      <c r="T240" s="7" t="s">
        <v>6686</v>
      </c>
      <c r="U240" s="7" t="s">
        <v>6685</v>
      </c>
      <c r="V240" s="6" t="s">
        <v>15016</v>
      </c>
      <c r="W240" s="6" t="s">
        <v>15017</v>
      </c>
      <c r="X240" s="7" t="s">
        <v>6683</v>
      </c>
      <c r="Y240" s="7" t="s">
        <v>377</v>
      </c>
      <c r="Z240" s="7" t="s">
        <v>592</v>
      </c>
      <c r="AA240" s="7"/>
      <c r="AB240" s="7"/>
      <c r="AC240" s="7">
        <v>5.0535041300017E13</v>
      </c>
      <c r="AD240" s="7">
        <v>5.05350413E8</v>
      </c>
      <c r="AE240" s="6" t="s">
        <v>401</v>
      </c>
      <c r="AF240" s="63">
        <v>45915.47299768519</v>
      </c>
      <c r="AG240" s="7" t="s">
        <v>15018</v>
      </c>
      <c r="AH240" s="46" t="s">
        <v>15019</v>
      </c>
      <c r="AI240" s="7"/>
      <c r="AJ240" s="6" t="s">
        <v>15020</v>
      </c>
      <c r="AK240" s="7" t="b">
        <v>0</v>
      </c>
      <c r="AL240" s="7" t="b">
        <v>0</v>
      </c>
      <c r="AM240" s="7"/>
      <c r="AN240" s="6" t="s">
        <v>6679</v>
      </c>
      <c r="AO240" s="6">
        <v>1919.0</v>
      </c>
      <c r="AP240" s="6"/>
      <c r="AQ240" s="6" t="b">
        <v>1</v>
      </c>
      <c r="AR240" s="6"/>
      <c r="AS240" s="6"/>
    </row>
    <row r="241" ht="15.75" customHeight="1">
      <c r="A241" s="7" t="s">
        <v>4800</v>
      </c>
      <c r="B241" s="7" t="s">
        <v>15021</v>
      </c>
      <c r="C241" s="7" t="s">
        <v>822</v>
      </c>
      <c r="D241" s="7" t="s">
        <v>1805</v>
      </c>
      <c r="E241" s="7" t="s">
        <v>1806</v>
      </c>
      <c r="F241" s="6">
        <v>8.0</v>
      </c>
      <c r="G241" s="7" t="s">
        <v>422</v>
      </c>
      <c r="H241" s="7"/>
      <c r="I241" s="7"/>
      <c r="J241" s="7">
        <v>18.0</v>
      </c>
      <c r="K241" s="7" t="s">
        <v>14541</v>
      </c>
      <c r="L241" s="7">
        <v>97480.0</v>
      </c>
      <c r="M241" s="7" t="s">
        <v>123</v>
      </c>
      <c r="N241" s="6" t="s">
        <v>8383</v>
      </c>
      <c r="O241" s="6" t="s">
        <v>15022</v>
      </c>
      <c r="P241" s="42" t="s">
        <v>4804</v>
      </c>
      <c r="Q241" s="49" t="s">
        <v>15023</v>
      </c>
      <c r="R241" s="43" t="s">
        <v>15024</v>
      </c>
      <c r="S241" s="44" t="s">
        <v>15025</v>
      </c>
      <c r="T241" s="7" t="s">
        <v>4806</v>
      </c>
      <c r="U241" s="7" t="s">
        <v>4805</v>
      </c>
      <c r="V241" s="6" t="s">
        <v>15026</v>
      </c>
      <c r="W241" s="6" t="s">
        <v>15027</v>
      </c>
      <c r="X241" s="6" t="s">
        <v>15028</v>
      </c>
      <c r="Y241" s="6" t="s">
        <v>2938</v>
      </c>
      <c r="Z241" s="7" t="s">
        <v>353</v>
      </c>
      <c r="AA241" s="7"/>
      <c r="AB241" s="7"/>
      <c r="AC241" s="7">
        <v>8.4036985400012E13</v>
      </c>
      <c r="AD241" s="7">
        <v>8.40369854E8</v>
      </c>
      <c r="AE241" s="6" t="s">
        <v>401</v>
      </c>
      <c r="AF241" s="63">
        <v>45811.57896990741</v>
      </c>
      <c r="AG241" s="7" t="s">
        <v>15029</v>
      </c>
      <c r="AH241" s="46" t="s">
        <v>15030</v>
      </c>
      <c r="AI241" s="7"/>
      <c r="AJ241" s="6" t="s">
        <v>15031</v>
      </c>
      <c r="AK241" s="7" t="b">
        <v>0</v>
      </c>
      <c r="AL241" s="7" t="b">
        <v>0</v>
      </c>
      <c r="AM241" s="7"/>
      <c r="AN241" s="6" t="s">
        <v>4800</v>
      </c>
      <c r="AO241" s="6">
        <v>4561.0</v>
      </c>
      <c r="AP241" s="6"/>
      <c r="AQ241" s="6" t="b">
        <v>1</v>
      </c>
      <c r="AR241" s="6" t="s">
        <v>15032</v>
      </c>
      <c r="AS241" s="6" t="s">
        <v>12303</v>
      </c>
    </row>
    <row r="242" ht="15.75" customHeight="1">
      <c r="A242" s="7" t="s">
        <v>7102</v>
      </c>
      <c r="B242" s="7" t="s">
        <v>7103</v>
      </c>
      <c r="C242" s="6" t="s">
        <v>117</v>
      </c>
      <c r="D242" s="7" t="s">
        <v>470</v>
      </c>
      <c r="E242" s="7" t="s">
        <v>591</v>
      </c>
      <c r="F242" s="6">
        <v>6.0</v>
      </c>
      <c r="G242" s="7"/>
      <c r="H242" s="7"/>
      <c r="I242" s="7"/>
      <c r="J242" s="7">
        <v>1.0</v>
      </c>
      <c r="K242" s="7" t="s">
        <v>15033</v>
      </c>
      <c r="L242" s="7">
        <v>97442.0</v>
      </c>
      <c r="M242" s="7" t="s">
        <v>33</v>
      </c>
      <c r="N242" s="6" t="s">
        <v>15034</v>
      </c>
      <c r="O242" s="7" t="s">
        <v>7110</v>
      </c>
      <c r="P242" s="42" t="s">
        <v>2950</v>
      </c>
      <c r="Q242" s="43" t="s">
        <v>15035</v>
      </c>
      <c r="R242" s="43" t="s">
        <v>15036</v>
      </c>
      <c r="S242" s="51"/>
      <c r="T242" s="7" t="s">
        <v>7106</v>
      </c>
      <c r="U242" s="6" t="s">
        <v>15037</v>
      </c>
      <c r="V242" s="6" t="s">
        <v>15016</v>
      </c>
      <c r="W242" s="6" t="s">
        <v>14892</v>
      </c>
      <c r="X242" s="6" t="s">
        <v>15038</v>
      </c>
      <c r="Y242" s="7" t="s">
        <v>377</v>
      </c>
      <c r="Z242" s="6" t="s">
        <v>592</v>
      </c>
      <c r="AA242" s="7"/>
      <c r="AB242" s="7"/>
      <c r="AC242" s="6">
        <v>5.0281474200016E13</v>
      </c>
      <c r="AD242" s="6">
        <v>5.02814742E8</v>
      </c>
      <c r="AE242" s="6" t="s">
        <v>401</v>
      </c>
      <c r="AF242" s="45">
        <v>45195.655439814815</v>
      </c>
      <c r="AG242" s="7" t="s">
        <v>15039</v>
      </c>
      <c r="AH242" s="46" t="s">
        <v>15040</v>
      </c>
      <c r="AI242" s="7"/>
      <c r="AJ242" s="7"/>
      <c r="AK242" s="7" t="b">
        <v>0</v>
      </c>
      <c r="AL242" s="7" t="b">
        <v>0</v>
      </c>
      <c r="AM242" s="7"/>
      <c r="AN242" s="6" t="s">
        <v>7102</v>
      </c>
      <c r="AO242" s="6">
        <v>2849.0</v>
      </c>
      <c r="AP242" s="6"/>
      <c r="AQ242" s="6" t="b">
        <v>1</v>
      </c>
      <c r="AR242" s="6"/>
      <c r="AS242" s="48" t="s">
        <v>12303</v>
      </c>
    </row>
    <row r="243" ht="15.75" customHeight="1">
      <c r="A243" s="7" t="s">
        <v>1291</v>
      </c>
      <c r="B243" s="7" t="s">
        <v>1292</v>
      </c>
      <c r="C243" s="6" t="s">
        <v>117</v>
      </c>
      <c r="D243" s="7" t="s">
        <v>470</v>
      </c>
      <c r="E243" s="6" t="s">
        <v>15013</v>
      </c>
      <c r="F243" s="6">
        <v>6.0</v>
      </c>
      <c r="G243" s="7" t="s">
        <v>375</v>
      </c>
      <c r="H243" s="7"/>
      <c r="I243" s="6" t="s">
        <v>12888</v>
      </c>
      <c r="J243" s="7">
        <v>63.0</v>
      </c>
      <c r="K243" s="7" t="s">
        <v>15041</v>
      </c>
      <c r="L243" s="7">
        <v>97480.0</v>
      </c>
      <c r="M243" s="7" t="s">
        <v>123</v>
      </c>
      <c r="N243" s="6" t="s">
        <v>12446</v>
      </c>
      <c r="O243" s="6" t="s">
        <v>15042</v>
      </c>
      <c r="P243" s="42" t="s">
        <v>1297</v>
      </c>
      <c r="Q243" s="43" t="s">
        <v>12842</v>
      </c>
      <c r="R243" s="50"/>
      <c r="S243" s="44" t="s">
        <v>15043</v>
      </c>
      <c r="T243" s="6" t="s">
        <v>15044</v>
      </c>
      <c r="U243" s="6" t="s">
        <v>15045</v>
      </c>
      <c r="V243" s="7" t="s">
        <v>1300</v>
      </c>
      <c r="W243" s="6" t="s">
        <v>14892</v>
      </c>
      <c r="X243" s="7" t="s">
        <v>1296</v>
      </c>
      <c r="Y243" s="6" t="s">
        <v>15046</v>
      </c>
      <c r="Z243" s="7" t="s">
        <v>353</v>
      </c>
      <c r="AA243" s="7"/>
      <c r="AB243" s="7"/>
      <c r="AC243" s="7">
        <v>5.3481764800023E13</v>
      </c>
      <c r="AD243" s="7">
        <v>5.34817648E8</v>
      </c>
      <c r="AE243" s="6" t="s">
        <v>401</v>
      </c>
      <c r="AF243" s="45">
        <v>45484.44986111111</v>
      </c>
      <c r="AG243" s="7" t="s">
        <v>12850</v>
      </c>
      <c r="AH243" s="46" t="s">
        <v>15047</v>
      </c>
      <c r="AI243" s="7"/>
      <c r="AJ243" s="6" t="s">
        <v>15048</v>
      </c>
      <c r="AK243" s="7" t="b">
        <v>0</v>
      </c>
      <c r="AL243" s="7" t="b">
        <v>0</v>
      </c>
      <c r="AM243" s="7"/>
      <c r="AN243" s="6" t="s">
        <v>1291</v>
      </c>
      <c r="AO243" s="6">
        <v>3611.0</v>
      </c>
      <c r="AP243" s="6"/>
      <c r="AQ243" s="6" t="b">
        <v>1</v>
      </c>
      <c r="AR243" s="6" t="s">
        <v>15049</v>
      </c>
      <c r="AS243" s="6" t="s">
        <v>12303</v>
      </c>
    </row>
    <row r="244" ht="15.75" customHeight="1">
      <c r="A244" s="7" t="s">
        <v>6314</v>
      </c>
      <c r="B244" s="7" t="s">
        <v>6315</v>
      </c>
      <c r="C244" s="6" t="s">
        <v>117</v>
      </c>
      <c r="D244" s="7" t="s">
        <v>1908</v>
      </c>
      <c r="E244" s="7" t="s">
        <v>6319</v>
      </c>
      <c r="F244" s="7">
        <v>100.0</v>
      </c>
      <c r="G244" s="7" t="s">
        <v>455</v>
      </c>
      <c r="H244" s="7"/>
      <c r="I244" s="7"/>
      <c r="J244" s="7">
        <v>43.0</v>
      </c>
      <c r="K244" s="7" t="s">
        <v>15050</v>
      </c>
      <c r="L244" s="7">
        <v>97480.0</v>
      </c>
      <c r="M244" s="7" t="s">
        <v>123</v>
      </c>
      <c r="N244" s="6" t="s">
        <v>3556</v>
      </c>
      <c r="O244" s="6" t="s">
        <v>15051</v>
      </c>
      <c r="P244" s="42" t="s">
        <v>6320</v>
      </c>
      <c r="Q244" s="49" t="s">
        <v>15052</v>
      </c>
      <c r="R244" s="43" t="s">
        <v>15053</v>
      </c>
      <c r="S244" s="47" t="s">
        <v>6318</v>
      </c>
      <c r="T244" s="7" t="s">
        <v>6322</v>
      </c>
      <c r="U244" s="7" t="s">
        <v>6321</v>
      </c>
      <c r="V244" s="7" t="s">
        <v>6323</v>
      </c>
      <c r="W244" s="6" t="s">
        <v>15054</v>
      </c>
      <c r="X244" s="6" t="s">
        <v>15055</v>
      </c>
      <c r="Y244" s="7" t="s">
        <v>377</v>
      </c>
      <c r="Z244" s="6" t="s">
        <v>592</v>
      </c>
      <c r="AA244" s="7"/>
      <c r="AB244" s="7"/>
      <c r="AC244" s="7">
        <v>5.3079712500016E13</v>
      </c>
      <c r="AD244" s="7">
        <v>5.30797125E8</v>
      </c>
      <c r="AE244" s="6" t="s">
        <v>401</v>
      </c>
      <c r="AF244" s="45">
        <v>45195.64832175926</v>
      </c>
      <c r="AG244" s="7" t="s">
        <v>15056</v>
      </c>
      <c r="AH244" s="46" t="s">
        <v>15057</v>
      </c>
      <c r="AI244" s="7"/>
      <c r="AJ244" s="6" t="s">
        <v>15058</v>
      </c>
      <c r="AK244" s="7" t="b">
        <v>0</v>
      </c>
      <c r="AL244" s="7" t="b">
        <v>0</v>
      </c>
      <c r="AM244" s="7"/>
      <c r="AN244" s="6" t="s">
        <v>6314</v>
      </c>
      <c r="AO244" s="6">
        <v>3163.0</v>
      </c>
      <c r="AP244" s="6"/>
      <c r="AQ244" s="6" t="b">
        <v>1</v>
      </c>
      <c r="AR244" s="6" t="s">
        <v>15059</v>
      </c>
      <c r="AS244" s="6" t="s">
        <v>12303</v>
      </c>
    </row>
    <row r="245" ht="15.75" customHeight="1">
      <c r="A245" s="9" t="s">
        <v>10437</v>
      </c>
      <c r="B245" s="9" t="s">
        <v>15060</v>
      </c>
      <c r="C245" s="9" t="s">
        <v>117</v>
      </c>
      <c r="D245" s="9" t="s">
        <v>1792</v>
      </c>
      <c r="E245" s="9" t="s">
        <v>6177</v>
      </c>
      <c r="F245" s="9">
        <v>10.0</v>
      </c>
      <c r="J245" s="52" t="s">
        <v>13933</v>
      </c>
      <c r="K245" s="9" t="s">
        <v>15061</v>
      </c>
      <c r="L245" s="9">
        <v>97414.0</v>
      </c>
      <c r="M245" s="9" t="s">
        <v>40</v>
      </c>
      <c r="N245" s="9" t="s">
        <v>1860</v>
      </c>
      <c r="O245" s="9" t="s">
        <v>15062</v>
      </c>
      <c r="P245" s="53" t="s">
        <v>15063</v>
      </c>
      <c r="Q245" s="49" t="s">
        <v>15064</v>
      </c>
      <c r="R245" s="50"/>
      <c r="S245" s="54" t="s">
        <v>15065</v>
      </c>
      <c r="T245" s="9" t="s">
        <v>15066</v>
      </c>
      <c r="U245" s="9" t="s">
        <v>15067</v>
      </c>
      <c r="V245" s="9" t="s">
        <v>15068</v>
      </c>
      <c r="W245" s="9" t="s">
        <v>14892</v>
      </c>
      <c r="X245" s="9" t="s">
        <v>15069</v>
      </c>
      <c r="Y245" s="9" t="s">
        <v>499</v>
      </c>
      <c r="Z245" s="9" t="s">
        <v>592</v>
      </c>
      <c r="AC245" s="9">
        <v>7.89655545E8</v>
      </c>
      <c r="AD245" s="9">
        <v>7.89655545E8</v>
      </c>
      <c r="AE245" s="9" t="s">
        <v>401</v>
      </c>
      <c r="AF245" s="55">
        <v>45195.64496527778</v>
      </c>
      <c r="AG245" s="9" t="s">
        <v>15070</v>
      </c>
      <c r="AH245" s="9" t="s">
        <v>15071</v>
      </c>
      <c r="AJ245" s="9" t="s">
        <v>15072</v>
      </c>
      <c r="AK245" s="9" t="b">
        <v>0</v>
      </c>
      <c r="AL245" s="9" t="b">
        <v>1</v>
      </c>
      <c r="AN245" s="9" t="s">
        <v>10437</v>
      </c>
      <c r="AP245" s="56">
        <v>44623.0</v>
      </c>
      <c r="AQ245" s="9" t="b">
        <v>0</v>
      </c>
      <c r="AS245" s="48" t="s">
        <v>12303</v>
      </c>
    </row>
    <row r="246" ht="15.75" customHeight="1">
      <c r="A246" s="7" t="s">
        <v>5924</v>
      </c>
      <c r="B246" s="7" t="s">
        <v>5925</v>
      </c>
      <c r="C246" s="7" t="s">
        <v>822</v>
      </c>
      <c r="D246" s="7" t="s">
        <v>1805</v>
      </c>
      <c r="E246" s="7" t="s">
        <v>1806</v>
      </c>
      <c r="F246" s="7"/>
      <c r="G246" s="7"/>
      <c r="H246" s="7"/>
      <c r="I246" s="7"/>
      <c r="J246" s="41" t="s">
        <v>13933</v>
      </c>
      <c r="K246" s="7" t="s">
        <v>15073</v>
      </c>
      <c r="L246" s="7">
        <v>97430.0</v>
      </c>
      <c r="M246" s="7" t="s">
        <v>71</v>
      </c>
      <c r="N246" s="6" t="s">
        <v>12373</v>
      </c>
      <c r="O246" s="7" t="s">
        <v>5934</v>
      </c>
      <c r="P246" s="42" t="s">
        <v>5928</v>
      </c>
      <c r="Q246" s="49" t="s">
        <v>15074</v>
      </c>
      <c r="R246" s="50"/>
      <c r="S246" s="47" t="s">
        <v>5927</v>
      </c>
      <c r="T246" s="7" t="s">
        <v>5930</v>
      </c>
      <c r="U246" s="7" t="s">
        <v>5929</v>
      </c>
      <c r="V246" s="6" t="s">
        <v>14961</v>
      </c>
      <c r="W246" s="6" t="s">
        <v>8626</v>
      </c>
      <c r="X246" s="6" t="s">
        <v>1038</v>
      </c>
      <c r="Y246" s="7" t="s">
        <v>377</v>
      </c>
      <c r="Z246" s="7" t="s">
        <v>851</v>
      </c>
      <c r="AA246" s="7"/>
      <c r="AB246" s="7"/>
      <c r="AC246" s="7">
        <v>8.2386178600015E13</v>
      </c>
      <c r="AD246" s="7">
        <v>8.23861786E8</v>
      </c>
      <c r="AE246" s="6" t="s">
        <v>401</v>
      </c>
      <c r="AF246" s="45">
        <v>45925.378657407404</v>
      </c>
      <c r="AG246" s="7" t="s">
        <v>15075</v>
      </c>
      <c r="AH246" s="46" t="s">
        <v>15076</v>
      </c>
      <c r="AI246" s="7"/>
      <c r="AJ246" s="6" t="s">
        <v>15077</v>
      </c>
      <c r="AK246" s="7" t="b">
        <v>0</v>
      </c>
      <c r="AL246" s="7" t="b">
        <v>0</v>
      </c>
      <c r="AM246" s="7"/>
      <c r="AN246" s="6" t="s">
        <v>5924</v>
      </c>
      <c r="AO246" s="6">
        <v>4553.0</v>
      </c>
      <c r="AP246" s="6"/>
      <c r="AQ246" s="6" t="b">
        <v>1</v>
      </c>
      <c r="AR246" s="6"/>
      <c r="AS246" s="6"/>
    </row>
    <row r="247" ht="15.75" customHeight="1">
      <c r="A247" s="9" t="s">
        <v>11358</v>
      </c>
      <c r="B247" s="9" t="s">
        <v>15078</v>
      </c>
      <c r="C247" s="9" t="s">
        <v>58</v>
      </c>
      <c r="D247" s="9" t="s">
        <v>59</v>
      </c>
      <c r="E247" s="9" t="s">
        <v>346</v>
      </c>
      <c r="F247" s="9">
        <v>7.0</v>
      </c>
      <c r="G247" s="9" t="s">
        <v>375</v>
      </c>
      <c r="I247" s="9"/>
      <c r="J247" s="52" t="s">
        <v>14790</v>
      </c>
      <c r="K247" s="9" t="s">
        <v>15079</v>
      </c>
      <c r="L247" s="9">
        <v>97442.0</v>
      </c>
      <c r="M247" s="9" t="s">
        <v>33</v>
      </c>
      <c r="N247" s="9" t="s">
        <v>15080</v>
      </c>
      <c r="O247" s="9" t="s">
        <v>15081</v>
      </c>
      <c r="P247" s="53" t="s">
        <v>15082</v>
      </c>
      <c r="Q247" s="49" t="s">
        <v>15083</v>
      </c>
      <c r="R247" s="50"/>
      <c r="S247" s="59"/>
      <c r="T247" s="9" t="s">
        <v>15084</v>
      </c>
      <c r="U247" s="9" t="s">
        <v>15085</v>
      </c>
      <c r="V247" s="9" t="s">
        <v>15086</v>
      </c>
      <c r="W247" s="9" t="s">
        <v>15087</v>
      </c>
      <c r="X247" s="9" t="s">
        <v>15088</v>
      </c>
      <c r="Y247" s="9" t="s">
        <v>13011</v>
      </c>
      <c r="Z247" s="9" t="s">
        <v>424</v>
      </c>
      <c r="AC247" s="9">
        <v>9.7774749200014E13</v>
      </c>
      <c r="AD247" s="9">
        <v>9.77747492E8</v>
      </c>
      <c r="AE247" s="9" t="s">
        <v>401</v>
      </c>
      <c r="AF247" s="55">
        <v>45195.61820601852</v>
      </c>
      <c r="AG247" s="9" t="s">
        <v>15089</v>
      </c>
      <c r="AH247" s="9" t="s">
        <v>15090</v>
      </c>
      <c r="AJ247" s="9" t="s">
        <v>15091</v>
      </c>
      <c r="AK247" s="9" t="b">
        <v>0</v>
      </c>
      <c r="AL247" s="9" t="b">
        <v>0</v>
      </c>
      <c r="AM247" s="9" t="s">
        <v>15092</v>
      </c>
      <c r="AN247" s="9" t="s">
        <v>11358</v>
      </c>
      <c r="AP247" s="56">
        <v>45128.0</v>
      </c>
      <c r="AQ247" s="9" t="b">
        <v>0</v>
      </c>
      <c r="AR247" s="9"/>
    </row>
    <row r="248" ht="15.75" customHeight="1">
      <c r="A248" s="9" t="s">
        <v>11938</v>
      </c>
      <c r="B248" s="9" t="s">
        <v>15093</v>
      </c>
      <c r="C248" s="9" t="s">
        <v>117</v>
      </c>
      <c r="D248" s="9" t="s">
        <v>197</v>
      </c>
      <c r="E248" s="9" t="s">
        <v>559</v>
      </c>
      <c r="F248" s="9"/>
      <c r="G248" s="9" t="s">
        <v>455</v>
      </c>
      <c r="J248" s="52" t="s">
        <v>15094</v>
      </c>
      <c r="K248" s="9" t="s">
        <v>15095</v>
      </c>
      <c r="L248" s="9">
        <v>97442.0</v>
      </c>
      <c r="M248" s="9" t="s">
        <v>33</v>
      </c>
      <c r="N248" s="9" t="s">
        <v>15096</v>
      </c>
      <c r="O248" s="9" t="s">
        <v>15097</v>
      </c>
      <c r="P248" s="53" t="s">
        <v>15098</v>
      </c>
      <c r="Q248" s="49" t="s">
        <v>15099</v>
      </c>
      <c r="R248" s="50"/>
      <c r="S248" s="59"/>
      <c r="T248" s="9" t="s">
        <v>15100</v>
      </c>
      <c r="U248" s="9" t="s">
        <v>15101</v>
      </c>
      <c r="V248" s="9" t="s">
        <v>15102</v>
      </c>
      <c r="W248" s="9"/>
      <c r="X248" s="9"/>
      <c r="Y248" s="9" t="s">
        <v>2938</v>
      </c>
      <c r="Z248" s="9" t="s">
        <v>15103</v>
      </c>
      <c r="AC248" s="9">
        <v>4.5396810900034E13</v>
      </c>
      <c r="AD248" s="9">
        <v>4.53968109E8</v>
      </c>
      <c r="AE248" s="9" t="s">
        <v>401</v>
      </c>
      <c r="AF248" s="55">
        <v>45195.60784722222</v>
      </c>
      <c r="AG248" s="9" t="s">
        <v>15104</v>
      </c>
      <c r="AH248" s="9" t="s">
        <v>15105</v>
      </c>
      <c r="AJ248" s="9" t="s">
        <v>15106</v>
      </c>
      <c r="AK248" s="9" t="b">
        <v>0</v>
      </c>
      <c r="AL248" s="9" t="b">
        <v>0</v>
      </c>
      <c r="AM248" s="9"/>
      <c r="AN248" s="9" t="s">
        <v>11938</v>
      </c>
      <c r="AP248" s="56">
        <v>45062.0</v>
      </c>
      <c r="AQ248" s="9" t="b">
        <v>0</v>
      </c>
      <c r="AR248" s="9" t="s">
        <v>15107</v>
      </c>
    </row>
    <row r="249" ht="36.0" customHeight="1">
      <c r="A249" s="9" t="s">
        <v>10440</v>
      </c>
      <c r="B249" s="9" t="s">
        <v>15108</v>
      </c>
      <c r="C249" s="9" t="s">
        <v>58</v>
      </c>
      <c r="D249" s="9" t="s">
        <v>59</v>
      </c>
      <c r="E249" s="9" t="s">
        <v>12384</v>
      </c>
      <c r="F249" s="9">
        <v>10.0</v>
      </c>
      <c r="G249" s="9" t="s">
        <v>455</v>
      </c>
      <c r="I249" s="9"/>
      <c r="J249" s="52" t="s">
        <v>13151</v>
      </c>
      <c r="K249" s="9" t="s">
        <v>15109</v>
      </c>
      <c r="L249" s="9">
        <v>97418.0</v>
      </c>
      <c r="M249" s="9" t="s">
        <v>71</v>
      </c>
      <c r="N249" s="9" t="s">
        <v>14582</v>
      </c>
      <c r="O249" s="9" t="s">
        <v>15110</v>
      </c>
      <c r="P249" s="53" t="s">
        <v>15111</v>
      </c>
      <c r="Q249" s="49" t="s">
        <v>15112</v>
      </c>
      <c r="R249" s="50"/>
      <c r="S249" s="58" t="s">
        <v>15113</v>
      </c>
      <c r="T249" s="9" t="s">
        <v>15114</v>
      </c>
      <c r="U249" s="9" t="s">
        <v>15115</v>
      </c>
      <c r="V249" s="9" t="s">
        <v>15116</v>
      </c>
      <c r="W249" s="9" t="s">
        <v>15117</v>
      </c>
      <c r="X249" s="9" t="s">
        <v>15118</v>
      </c>
      <c r="Y249" s="9" t="s">
        <v>15119</v>
      </c>
      <c r="Z249" s="9" t="s">
        <v>353</v>
      </c>
      <c r="AC249" s="9">
        <v>4.3912541000019E13</v>
      </c>
      <c r="AD249" s="9">
        <v>4.3912541E8</v>
      </c>
      <c r="AE249" s="9" t="s">
        <v>401</v>
      </c>
      <c r="AF249" s="55">
        <v>45792.617106481484</v>
      </c>
      <c r="AG249" s="9" t="s">
        <v>15120</v>
      </c>
      <c r="AH249" s="9" t="s">
        <v>15121</v>
      </c>
      <c r="AJ249" s="9" t="s">
        <v>15122</v>
      </c>
      <c r="AK249" s="9" t="b">
        <v>0</v>
      </c>
      <c r="AL249" s="9" t="b">
        <v>0</v>
      </c>
      <c r="AM249" s="9" t="s">
        <v>15123</v>
      </c>
      <c r="AN249" s="9" t="s">
        <v>10440</v>
      </c>
      <c r="AP249" s="56">
        <v>45181.0</v>
      </c>
      <c r="AQ249" s="9" t="b">
        <v>0</v>
      </c>
      <c r="AR249" s="9"/>
    </row>
    <row r="250" ht="15.75" customHeight="1">
      <c r="A250" s="9" t="s">
        <v>10701</v>
      </c>
      <c r="B250" s="9" t="s">
        <v>15124</v>
      </c>
      <c r="C250" s="9" t="s">
        <v>58</v>
      </c>
      <c r="D250" s="9" t="s">
        <v>59</v>
      </c>
      <c r="F250" s="9">
        <v>8.0</v>
      </c>
      <c r="J250" s="9" t="s">
        <v>15125</v>
      </c>
      <c r="K250" s="9" t="s">
        <v>15126</v>
      </c>
      <c r="L250" s="9">
        <v>97480.0</v>
      </c>
      <c r="M250" s="9" t="s">
        <v>123</v>
      </c>
      <c r="N250" s="9" t="s">
        <v>7743</v>
      </c>
      <c r="O250" s="9" t="s">
        <v>15127</v>
      </c>
      <c r="P250" s="53" t="s">
        <v>15128</v>
      </c>
      <c r="Q250" s="49" t="s">
        <v>15129</v>
      </c>
      <c r="R250" s="50"/>
      <c r="S250" s="54"/>
      <c r="T250" s="9" t="s">
        <v>15130</v>
      </c>
      <c r="U250" s="9" t="s">
        <v>15131</v>
      </c>
      <c r="V250" s="9" t="s">
        <v>15132</v>
      </c>
      <c r="W250" s="9" t="s">
        <v>15133</v>
      </c>
      <c r="X250" s="9" t="s">
        <v>15134</v>
      </c>
      <c r="Y250" s="9" t="s">
        <v>377</v>
      </c>
      <c r="Z250" s="9" t="s">
        <v>353</v>
      </c>
      <c r="AE250" s="9" t="s">
        <v>12355</v>
      </c>
      <c r="AF250" s="60">
        <v>45194.49084490741</v>
      </c>
      <c r="AG250" s="9" t="s">
        <v>15135</v>
      </c>
      <c r="AH250" s="9" t="s">
        <v>15136</v>
      </c>
      <c r="AL250" s="9" t="b">
        <v>0</v>
      </c>
      <c r="AM250" s="9" t="s">
        <v>15137</v>
      </c>
      <c r="AN250" s="9" t="s">
        <v>10701</v>
      </c>
      <c r="AP250" s="61">
        <v>44519.0</v>
      </c>
      <c r="AQ250" s="9" t="b">
        <v>0</v>
      </c>
      <c r="AS250" s="9" t="s">
        <v>12303</v>
      </c>
    </row>
    <row r="251" ht="15.75" customHeight="1">
      <c r="A251" s="9" t="s">
        <v>11981</v>
      </c>
      <c r="B251" s="9" t="s">
        <v>15138</v>
      </c>
      <c r="C251" s="9" t="s">
        <v>117</v>
      </c>
      <c r="D251" s="9" t="s">
        <v>197</v>
      </c>
      <c r="E251" s="9" t="s">
        <v>559</v>
      </c>
      <c r="F251" s="9">
        <v>1.0</v>
      </c>
      <c r="G251" s="9" t="s">
        <v>422</v>
      </c>
      <c r="J251" s="52" t="s">
        <v>15139</v>
      </c>
      <c r="K251" s="9" t="s">
        <v>12977</v>
      </c>
      <c r="L251" s="9">
        <v>97414.0</v>
      </c>
      <c r="M251" s="9" t="s">
        <v>40</v>
      </c>
      <c r="N251" s="9" t="s">
        <v>12447</v>
      </c>
      <c r="O251" s="9" t="s">
        <v>15140</v>
      </c>
      <c r="P251" s="53" t="s">
        <v>15141</v>
      </c>
      <c r="Q251" s="49" t="s">
        <v>15142</v>
      </c>
      <c r="R251" s="50"/>
      <c r="S251" s="54"/>
      <c r="T251" s="9" t="s">
        <v>15143</v>
      </c>
      <c r="U251" s="9" t="s">
        <v>15144</v>
      </c>
      <c r="V251" s="9" t="s">
        <v>15145</v>
      </c>
      <c r="W251" s="9" t="s">
        <v>15146</v>
      </c>
      <c r="X251" s="9" t="s">
        <v>15147</v>
      </c>
      <c r="Y251" s="9" t="s">
        <v>377</v>
      </c>
      <c r="Z251" s="9" t="s">
        <v>353</v>
      </c>
      <c r="AC251" s="9">
        <v>9.1913812300014E13</v>
      </c>
      <c r="AD251" s="9">
        <v>9.19138123E8</v>
      </c>
      <c r="AE251" s="9" t="s">
        <v>401</v>
      </c>
      <c r="AF251" s="55">
        <v>45860.46431712963</v>
      </c>
      <c r="AG251" s="9" t="s">
        <v>15148</v>
      </c>
      <c r="AH251" s="9" t="s">
        <v>15149</v>
      </c>
      <c r="AJ251" s="9" t="s">
        <v>15150</v>
      </c>
      <c r="AK251" s="9" t="b">
        <v>1</v>
      </c>
      <c r="AL251" s="9" t="b">
        <v>0</v>
      </c>
      <c r="AN251" s="9" t="s">
        <v>11981</v>
      </c>
      <c r="AP251" s="56">
        <v>44818.0</v>
      </c>
      <c r="AQ251" s="9" t="b">
        <v>0</v>
      </c>
    </row>
    <row r="252" ht="15.75" customHeight="1">
      <c r="A252" s="9" t="s">
        <v>10447</v>
      </c>
      <c r="B252" s="9" t="s">
        <v>15151</v>
      </c>
      <c r="C252" s="9" t="s">
        <v>58</v>
      </c>
      <c r="D252" s="9" t="s">
        <v>59</v>
      </c>
      <c r="E252" s="9" t="s">
        <v>346</v>
      </c>
      <c r="F252" s="9">
        <v>8.0</v>
      </c>
      <c r="G252" s="9" t="s">
        <v>455</v>
      </c>
      <c r="H252" s="9" t="s">
        <v>2716</v>
      </c>
      <c r="I252" s="9"/>
      <c r="J252" s="52" t="s">
        <v>13933</v>
      </c>
      <c r="K252" s="9" t="s">
        <v>15152</v>
      </c>
      <c r="L252" s="9">
        <v>97442.0</v>
      </c>
      <c r="M252" s="9" t="s">
        <v>33</v>
      </c>
      <c r="N252" s="9" t="s">
        <v>15080</v>
      </c>
      <c r="O252" s="9" t="s">
        <v>15153</v>
      </c>
      <c r="P252" s="53" t="s">
        <v>15154</v>
      </c>
      <c r="Q252" s="49" t="s">
        <v>15155</v>
      </c>
      <c r="R252" s="50"/>
      <c r="S252" s="59"/>
      <c r="T252" s="9" t="s">
        <v>15156</v>
      </c>
      <c r="U252" s="9" t="s">
        <v>15157</v>
      </c>
      <c r="V252" s="9" t="s">
        <v>15158</v>
      </c>
      <c r="W252" s="9" t="s">
        <v>15159</v>
      </c>
      <c r="X252" s="9" t="s">
        <v>15160</v>
      </c>
      <c r="Y252" s="9" t="s">
        <v>15161</v>
      </c>
      <c r="Z252" s="9" t="s">
        <v>5551</v>
      </c>
      <c r="AC252" s="9">
        <v>9.5220499800019E13</v>
      </c>
      <c r="AD252" s="9">
        <v>9.52204998E8</v>
      </c>
      <c r="AE252" s="9" t="s">
        <v>401</v>
      </c>
      <c r="AF252" s="55">
        <v>45385.596238425926</v>
      </c>
      <c r="AG252" s="9" t="s">
        <v>15162</v>
      </c>
      <c r="AH252" s="9" t="s">
        <v>15163</v>
      </c>
      <c r="AJ252" s="9" t="s">
        <v>15164</v>
      </c>
      <c r="AK252" s="9" t="b">
        <v>0</v>
      </c>
      <c r="AL252" s="9" t="b">
        <v>0</v>
      </c>
      <c r="AM252" s="9" t="s">
        <v>15165</v>
      </c>
      <c r="AN252" s="9" t="s">
        <v>10447</v>
      </c>
      <c r="AP252" s="56">
        <v>45098.0</v>
      </c>
      <c r="AQ252" s="9" t="b">
        <v>0</v>
      </c>
      <c r="AR252" s="9"/>
    </row>
    <row r="253" ht="15.75" customHeight="1">
      <c r="A253" s="9" t="s">
        <v>11931</v>
      </c>
      <c r="B253" s="9" t="s">
        <v>15166</v>
      </c>
      <c r="C253" s="9" t="s">
        <v>58</v>
      </c>
      <c r="D253" s="9" t="s">
        <v>59</v>
      </c>
      <c r="E253" s="9" t="s">
        <v>12384</v>
      </c>
      <c r="F253" s="9">
        <v>6.0</v>
      </c>
      <c r="G253" s="9" t="s">
        <v>455</v>
      </c>
      <c r="I253" s="9"/>
      <c r="J253" s="52" t="s">
        <v>15167</v>
      </c>
      <c r="K253" s="9" t="s">
        <v>15168</v>
      </c>
      <c r="L253" s="9">
        <v>97430.0</v>
      </c>
      <c r="M253" s="9" t="s">
        <v>71</v>
      </c>
      <c r="N253" s="9" t="s">
        <v>12447</v>
      </c>
      <c r="O253" s="9" t="s">
        <v>15169</v>
      </c>
      <c r="P253" s="53" t="s">
        <v>15170</v>
      </c>
      <c r="Q253" s="49" t="s">
        <v>15171</v>
      </c>
      <c r="R253" s="50"/>
      <c r="S253" s="59"/>
      <c r="T253" s="9"/>
      <c r="U253" s="9"/>
      <c r="V253" s="9"/>
      <c r="W253" s="9" t="s">
        <v>15172</v>
      </c>
      <c r="X253" s="9"/>
      <c r="Y253" s="9" t="s">
        <v>1863</v>
      </c>
      <c r="Z253" s="9" t="s">
        <v>353</v>
      </c>
      <c r="AC253" s="9"/>
      <c r="AD253" s="9"/>
      <c r="AE253" s="9" t="s">
        <v>401</v>
      </c>
      <c r="AF253" s="55">
        <v>45184.467465277776</v>
      </c>
      <c r="AG253" s="9" t="s">
        <v>15173</v>
      </c>
      <c r="AH253" s="9" t="s">
        <v>15174</v>
      </c>
      <c r="AJ253" s="9"/>
      <c r="AK253" s="9" t="b">
        <v>0</v>
      </c>
      <c r="AL253" s="9" t="b">
        <v>0</v>
      </c>
      <c r="AM253" s="9" t="s">
        <v>15175</v>
      </c>
      <c r="AN253" s="9" t="s">
        <v>11931</v>
      </c>
      <c r="AP253" s="56">
        <v>45182.0</v>
      </c>
      <c r="AQ253" s="9" t="b">
        <v>0</v>
      </c>
      <c r="AR253" s="9"/>
    </row>
    <row r="254" ht="15.75" customHeight="1">
      <c r="A254" s="9" t="s">
        <v>11610</v>
      </c>
      <c r="B254" s="9" t="s">
        <v>15176</v>
      </c>
      <c r="C254" s="9" t="s">
        <v>58</v>
      </c>
      <c r="D254" s="9" t="s">
        <v>59</v>
      </c>
      <c r="E254" s="9" t="s">
        <v>346</v>
      </c>
      <c r="F254" s="9">
        <v>3.0</v>
      </c>
      <c r="G254" s="9"/>
      <c r="I254" s="9"/>
      <c r="J254" s="52" t="s">
        <v>15177</v>
      </c>
      <c r="K254" s="9" t="s">
        <v>15178</v>
      </c>
      <c r="L254" s="9">
        <v>97480.0</v>
      </c>
      <c r="M254" s="9" t="s">
        <v>123</v>
      </c>
      <c r="N254" s="9" t="s">
        <v>8325</v>
      </c>
      <c r="O254" s="9" t="s">
        <v>15179</v>
      </c>
      <c r="P254" s="53" t="s">
        <v>15180</v>
      </c>
      <c r="Q254" s="49" t="s">
        <v>15181</v>
      </c>
      <c r="R254" s="50"/>
      <c r="S254" s="58" t="s">
        <v>15182</v>
      </c>
      <c r="T254" s="9" t="s">
        <v>15183</v>
      </c>
      <c r="U254" s="9" t="s">
        <v>15184</v>
      </c>
      <c r="V254" s="9"/>
      <c r="W254" s="9" t="s">
        <v>15185</v>
      </c>
      <c r="X254" s="9"/>
      <c r="Y254" s="9" t="s">
        <v>499</v>
      </c>
      <c r="Z254" s="9" t="s">
        <v>424</v>
      </c>
      <c r="AC254" s="9">
        <v>8.4967400700026E13</v>
      </c>
      <c r="AD254" s="9">
        <v>8.49674007E8</v>
      </c>
      <c r="AE254" s="9" t="s">
        <v>401</v>
      </c>
      <c r="AF254" s="55">
        <v>45183.65353009259</v>
      </c>
      <c r="AG254" s="9" t="s">
        <v>15186</v>
      </c>
      <c r="AH254" s="9" t="s">
        <v>15187</v>
      </c>
      <c r="AJ254" s="9" t="s">
        <v>15188</v>
      </c>
      <c r="AK254" s="9" t="b">
        <v>0</v>
      </c>
      <c r="AL254" s="9" t="b">
        <v>0</v>
      </c>
      <c r="AM254" s="9" t="s">
        <v>15189</v>
      </c>
      <c r="AN254" s="9" t="s">
        <v>11610</v>
      </c>
      <c r="AP254" s="56">
        <v>45183.0</v>
      </c>
      <c r="AQ254" s="9" t="b">
        <v>0</v>
      </c>
      <c r="AR254" s="9" t="s">
        <v>15190</v>
      </c>
    </row>
    <row r="255" ht="15.75" customHeight="1">
      <c r="A255" s="9" t="s">
        <v>10449</v>
      </c>
      <c r="B255" s="9" t="s">
        <v>15191</v>
      </c>
      <c r="C255" s="9" t="s">
        <v>58</v>
      </c>
      <c r="D255" s="9" t="s">
        <v>59</v>
      </c>
      <c r="E255" s="9" t="s">
        <v>12384</v>
      </c>
      <c r="F255" s="9">
        <v>14.0</v>
      </c>
      <c r="G255" s="9" t="s">
        <v>455</v>
      </c>
      <c r="I255" s="9"/>
      <c r="J255" s="52" t="s">
        <v>15192</v>
      </c>
      <c r="K255" s="9" t="s">
        <v>15193</v>
      </c>
      <c r="L255" s="9">
        <v>97418.0</v>
      </c>
      <c r="M255" s="9" t="s">
        <v>71</v>
      </c>
      <c r="N255" s="9" t="s">
        <v>216</v>
      </c>
      <c r="O255" s="9" t="s">
        <v>15194</v>
      </c>
      <c r="P255" s="53" t="s">
        <v>15195</v>
      </c>
      <c r="Q255" s="49" t="s">
        <v>15196</v>
      </c>
      <c r="R255" s="50"/>
      <c r="S255" s="59"/>
      <c r="T255" s="9" t="s">
        <v>15197</v>
      </c>
      <c r="U255" s="9" t="s">
        <v>15198</v>
      </c>
      <c r="V255" s="9" t="s">
        <v>15199</v>
      </c>
      <c r="W255" s="9" t="s">
        <v>15200</v>
      </c>
      <c r="X255" s="9" t="s">
        <v>15201</v>
      </c>
      <c r="Y255" s="9" t="s">
        <v>15202</v>
      </c>
      <c r="Z255" s="9" t="s">
        <v>353</v>
      </c>
      <c r="AC255" s="9">
        <v>4.5366626500013E13</v>
      </c>
      <c r="AD255" s="9">
        <v>4.53666265E8</v>
      </c>
      <c r="AE255" s="9" t="s">
        <v>401</v>
      </c>
      <c r="AF255" s="55">
        <v>45182.56726851852</v>
      </c>
      <c r="AG255" s="9" t="s">
        <v>15203</v>
      </c>
      <c r="AH255" s="9" t="s">
        <v>15204</v>
      </c>
      <c r="AJ255" s="9" t="s">
        <v>15205</v>
      </c>
      <c r="AK255" s="9" t="b">
        <v>1</v>
      </c>
      <c r="AL255" s="9" t="b">
        <v>0</v>
      </c>
      <c r="AM255" s="9"/>
      <c r="AN255" s="9" t="s">
        <v>10449</v>
      </c>
      <c r="AP255" s="56">
        <v>45181.0</v>
      </c>
      <c r="AQ255" s="9" t="b">
        <v>0</v>
      </c>
      <c r="AR255" s="9"/>
    </row>
    <row r="256" ht="15.75" customHeight="1">
      <c r="A256" s="9" t="s">
        <v>12138</v>
      </c>
      <c r="B256" s="9" t="s">
        <v>15206</v>
      </c>
      <c r="C256" s="9" t="s">
        <v>117</v>
      </c>
      <c r="D256" s="9" t="s">
        <v>1644</v>
      </c>
      <c r="E256" s="9" t="s">
        <v>921</v>
      </c>
      <c r="F256" s="9">
        <v>6.0</v>
      </c>
      <c r="G256" s="9" t="s">
        <v>455</v>
      </c>
      <c r="J256" s="9" t="s">
        <v>15207</v>
      </c>
      <c r="K256" s="9" t="s">
        <v>15208</v>
      </c>
      <c r="L256" s="9">
        <v>97418.0</v>
      </c>
      <c r="M256" s="9" t="s">
        <v>71</v>
      </c>
      <c r="N256" s="9" t="s">
        <v>216</v>
      </c>
      <c r="O256" s="9" t="s">
        <v>15209</v>
      </c>
      <c r="P256" s="53" t="s">
        <v>15210</v>
      </c>
      <c r="Q256" s="49" t="s">
        <v>15211</v>
      </c>
      <c r="R256" s="50"/>
      <c r="S256" s="58" t="s">
        <v>15212</v>
      </c>
      <c r="T256" s="9" t="s">
        <v>15213</v>
      </c>
      <c r="U256" s="9" t="s">
        <v>15214</v>
      </c>
      <c r="W256" s="9" t="s">
        <v>15215</v>
      </c>
      <c r="X256" s="9" t="s">
        <v>15216</v>
      </c>
      <c r="Y256" s="9" t="s">
        <v>2938</v>
      </c>
      <c r="Z256" s="9" t="s">
        <v>353</v>
      </c>
      <c r="AC256" s="9">
        <v>9.1107263500012E13</v>
      </c>
      <c r="AD256" s="9">
        <v>9.11072635E8</v>
      </c>
      <c r="AE256" s="9" t="s">
        <v>401</v>
      </c>
      <c r="AF256" s="55">
        <v>45182.47462962963</v>
      </c>
      <c r="AG256" s="9" t="s">
        <v>15217</v>
      </c>
      <c r="AH256" s="9" t="s">
        <v>15218</v>
      </c>
      <c r="AJ256" s="9" t="s">
        <v>15219</v>
      </c>
      <c r="AL256" s="9" t="b">
        <v>0</v>
      </c>
      <c r="AN256" s="9" t="s">
        <v>12138</v>
      </c>
      <c r="AP256" s="56">
        <v>45005.0</v>
      </c>
      <c r="AQ256" s="9" t="b">
        <v>0</v>
      </c>
    </row>
    <row r="257" ht="15.75" customHeight="1">
      <c r="A257" s="9" t="s">
        <v>11899</v>
      </c>
      <c r="B257" s="9" t="s">
        <v>15220</v>
      </c>
      <c r="C257" s="9" t="s">
        <v>58</v>
      </c>
      <c r="D257" s="9" t="s">
        <v>59</v>
      </c>
      <c r="E257" s="9" t="s">
        <v>545</v>
      </c>
      <c r="F257" s="9">
        <v>5.0</v>
      </c>
      <c r="G257" s="9" t="s">
        <v>455</v>
      </c>
      <c r="I257" s="9"/>
      <c r="J257" s="52" t="s">
        <v>15221</v>
      </c>
      <c r="K257" s="9" t="s">
        <v>15222</v>
      </c>
      <c r="L257" s="9">
        <v>97418.0</v>
      </c>
      <c r="M257" s="9" t="s">
        <v>71</v>
      </c>
      <c r="N257" s="9" t="s">
        <v>216</v>
      </c>
      <c r="O257" s="9" t="s">
        <v>15223</v>
      </c>
      <c r="P257" s="53" t="s">
        <v>14808</v>
      </c>
      <c r="Q257" s="49" t="s">
        <v>14809</v>
      </c>
      <c r="R257" s="50"/>
      <c r="S257" s="59"/>
      <c r="T257" s="9" t="s">
        <v>15224</v>
      </c>
      <c r="U257" s="9" t="s">
        <v>15225</v>
      </c>
      <c r="V257" s="9" t="s">
        <v>15226</v>
      </c>
      <c r="W257" s="9"/>
      <c r="X257" s="9"/>
      <c r="Y257" s="9" t="s">
        <v>377</v>
      </c>
      <c r="Z257" s="9" t="s">
        <v>353</v>
      </c>
      <c r="AC257" s="9">
        <v>5.1971296200017E13</v>
      </c>
      <c r="AD257" s="9">
        <v>5.19712962E8</v>
      </c>
      <c r="AE257" s="9" t="s">
        <v>401</v>
      </c>
      <c r="AF257" s="55">
        <v>45181.60736111111</v>
      </c>
      <c r="AG257" s="9" t="s">
        <v>14815</v>
      </c>
      <c r="AH257" s="9" t="s">
        <v>15227</v>
      </c>
      <c r="AJ257" s="9" t="s">
        <v>15228</v>
      </c>
      <c r="AK257" s="9" t="b">
        <v>0</v>
      </c>
      <c r="AL257" s="9" t="b">
        <v>0</v>
      </c>
      <c r="AM257" s="9" t="s">
        <v>15229</v>
      </c>
      <c r="AN257" s="9" t="s">
        <v>11899</v>
      </c>
      <c r="AP257" s="56">
        <v>45159.0</v>
      </c>
      <c r="AQ257" s="9" t="b">
        <v>0</v>
      </c>
      <c r="AR257" s="9" t="s">
        <v>15230</v>
      </c>
      <c r="AS257" s="9" t="s">
        <v>12303</v>
      </c>
    </row>
    <row r="258" ht="15.75" customHeight="1">
      <c r="A258" s="7" t="s">
        <v>9502</v>
      </c>
      <c r="B258" s="7" t="s">
        <v>9503</v>
      </c>
      <c r="C258" s="7" t="s">
        <v>34</v>
      </c>
      <c r="D258" s="7" t="s">
        <v>622</v>
      </c>
      <c r="E258" s="7" t="s">
        <v>9505</v>
      </c>
      <c r="F258" s="7"/>
      <c r="G258" s="7" t="s">
        <v>422</v>
      </c>
      <c r="H258" s="7"/>
      <c r="I258" s="7"/>
      <c r="J258" s="7">
        <v>8.0</v>
      </c>
      <c r="K258" s="6" t="s">
        <v>15231</v>
      </c>
      <c r="L258" s="7">
        <v>97414.0</v>
      </c>
      <c r="M258" s="7" t="s">
        <v>40</v>
      </c>
      <c r="N258" s="6" t="s">
        <v>40</v>
      </c>
      <c r="O258" s="6" t="s">
        <v>15232</v>
      </c>
      <c r="P258" s="53" t="s">
        <v>15233</v>
      </c>
      <c r="Q258" s="49" t="s">
        <v>15234</v>
      </c>
      <c r="R258" s="50"/>
      <c r="S258" s="51"/>
      <c r="T258" s="7" t="s">
        <v>9508</v>
      </c>
      <c r="U258" s="6" t="s">
        <v>15235</v>
      </c>
      <c r="V258" s="7" t="s">
        <v>9509</v>
      </c>
      <c r="W258" s="7"/>
      <c r="X258" s="7"/>
      <c r="Y258" s="7" t="s">
        <v>9506</v>
      </c>
      <c r="Z258" s="7" t="s">
        <v>353</v>
      </c>
      <c r="AA258" s="7"/>
      <c r="AB258" s="7"/>
      <c r="AC258" s="7">
        <v>8.931010970001E13</v>
      </c>
      <c r="AD258" s="7">
        <v>8.93101097E8</v>
      </c>
      <c r="AE258" s="6" t="s">
        <v>401</v>
      </c>
      <c r="AF258" s="45">
        <v>45442.546747685185</v>
      </c>
      <c r="AG258" s="7" t="s">
        <v>15236</v>
      </c>
      <c r="AH258" s="62" t="s">
        <v>15237</v>
      </c>
      <c r="AI258" s="7"/>
      <c r="AJ258" s="6" t="s">
        <v>15238</v>
      </c>
      <c r="AK258" s="7" t="b">
        <v>0</v>
      </c>
      <c r="AL258" s="7" t="b">
        <v>0</v>
      </c>
      <c r="AM258" s="7"/>
      <c r="AN258" s="6" t="s">
        <v>9502</v>
      </c>
      <c r="AO258" s="7"/>
      <c r="AP258" s="7"/>
      <c r="AQ258" s="6" t="b">
        <v>0</v>
      </c>
      <c r="AR258" s="6"/>
      <c r="AS258" s="48" t="s">
        <v>12303</v>
      </c>
    </row>
    <row r="259" ht="15.75" customHeight="1">
      <c r="A259" s="7" t="s">
        <v>1904</v>
      </c>
      <c r="B259" s="7" t="s">
        <v>1905</v>
      </c>
      <c r="C259" s="6" t="s">
        <v>117</v>
      </c>
      <c r="D259" s="7" t="s">
        <v>1908</v>
      </c>
      <c r="E259" s="7" t="s">
        <v>1909</v>
      </c>
      <c r="F259" s="6">
        <v>12.0</v>
      </c>
      <c r="G259" s="7" t="s">
        <v>455</v>
      </c>
      <c r="H259" s="7"/>
      <c r="I259" s="6" t="s">
        <v>1600</v>
      </c>
      <c r="J259" s="7">
        <v>194.0</v>
      </c>
      <c r="K259" s="7" t="s">
        <v>13725</v>
      </c>
      <c r="L259" s="7">
        <v>97480.0</v>
      </c>
      <c r="M259" s="7" t="s">
        <v>123</v>
      </c>
      <c r="N259" s="6" t="s">
        <v>3556</v>
      </c>
      <c r="O259" s="6" t="s">
        <v>15239</v>
      </c>
      <c r="P259" s="42" t="s">
        <v>1910</v>
      </c>
      <c r="Q259" s="43" t="s">
        <v>15240</v>
      </c>
      <c r="R259" s="50"/>
      <c r="S259" s="47" t="s">
        <v>1907</v>
      </c>
      <c r="T259" s="7" t="s">
        <v>1912</v>
      </c>
      <c r="U259" s="7" t="s">
        <v>1911</v>
      </c>
      <c r="V259" s="6" t="s">
        <v>15241</v>
      </c>
      <c r="W259" s="6" t="s">
        <v>15242</v>
      </c>
      <c r="X259" s="6" t="s">
        <v>15243</v>
      </c>
      <c r="Y259" s="7" t="s">
        <v>352</v>
      </c>
      <c r="Z259" s="7" t="s">
        <v>424</v>
      </c>
      <c r="AA259" s="7"/>
      <c r="AB259" s="7"/>
      <c r="AC259" s="7">
        <v>5.0316983100032E13</v>
      </c>
      <c r="AD259" s="7">
        <v>5.03169831E8</v>
      </c>
      <c r="AE259" s="6" t="s">
        <v>401</v>
      </c>
      <c r="AF259" s="63">
        <v>45474.56474537037</v>
      </c>
      <c r="AG259" s="7" t="s">
        <v>15244</v>
      </c>
      <c r="AH259" s="46" t="s">
        <v>15245</v>
      </c>
      <c r="AI259" s="7"/>
      <c r="AJ259" s="6" t="s">
        <v>15246</v>
      </c>
      <c r="AK259" s="7" t="b">
        <v>0</v>
      </c>
      <c r="AL259" s="7" t="b">
        <v>0</v>
      </c>
      <c r="AM259" s="7"/>
      <c r="AN259" s="6" t="s">
        <v>1904</v>
      </c>
      <c r="AO259" s="6">
        <v>4847.0</v>
      </c>
      <c r="AP259" s="6"/>
      <c r="AQ259" s="6" t="b">
        <v>1</v>
      </c>
      <c r="AR259" s="6" t="s">
        <v>15247</v>
      </c>
      <c r="AS259" s="6" t="s">
        <v>12303</v>
      </c>
    </row>
    <row r="260" ht="15.75" customHeight="1">
      <c r="A260" s="7" t="s">
        <v>8312</v>
      </c>
      <c r="B260" s="6" t="s">
        <v>15248</v>
      </c>
      <c r="C260" s="6" t="s">
        <v>117</v>
      </c>
      <c r="D260" s="7" t="s">
        <v>197</v>
      </c>
      <c r="E260" s="7"/>
      <c r="F260" s="6">
        <v>8.0</v>
      </c>
      <c r="G260" s="7"/>
      <c r="H260" s="7"/>
      <c r="I260" s="7"/>
      <c r="J260" s="7">
        <v>32.0</v>
      </c>
      <c r="K260" s="7" t="s">
        <v>15249</v>
      </c>
      <c r="L260" s="7">
        <v>97414.0</v>
      </c>
      <c r="M260" s="7" t="s">
        <v>40</v>
      </c>
      <c r="N260" s="6" t="s">
        <v>1860</v>
      </c>
      <c r="O260" s="6" t="s">
        <v>15250</v>
      </c>
      <c r="P260" s="42" t="s">
        <v>8316</v>
      </c>
      <c r="Q260" s="43" t="s">
        <v>15251</v>
      </c>
      <c r="R260" s="50"/>
      <c r="S260" s="47" t="s">
        <v>8315</v>
      </c>
      <c r="T260" s="6" t="s">
        <v>15252</v>
      </c>
      <c r="U260" s="6" t="s">
        <v>15253</v>
      </c>
      <c r="V260" s="6" t="s">
        <v>15254</v>
      </c>
      <c r="W260" s="6" t="s">
        <v>15255</v>
      </c>
      <c r="X260" s="6" t="s">
        <v>15256</v>
      </c>
      <c r="Y260" s="6" t="s">
        <v>2938</v>
      </c>
      <c r="Z260" s="6" t="s">
        <v>378</v>
      </c>
      <c r="AA260" s="7"/>
      <c r="AB260" s="7"/>
      <c r="AC260" s="6">
        <v>7.9088304500029E13</v>
      </c>
      <c r="AD260" s="6">
        <v>7.90883045E8</v>
      </c>
      <c r="AE260" s="6" t="s">
        <v>12355</v>
      </c>
      <c r="AF260" s="45">
        <v>45854.483506944445</v>
      </c>
      <c r="AG260" s="7" t="s">
        <v>15257</v>
      </c>
      <c r="AH260" s="46" t="s">
        <v>15258</v>
      </c>
      <c r="AI260" s="7"/>
      <c r="AJ260" s="6" t="s">
        <v>15259</v>
      </c>
      <c r="AK260" s="7" t="b">
        <v>0</v>
      </c>
      <c r="AL260" s="7" t="b">
        <v>0</v>
      </c>
      <c r="AM260" s="7"/>
      <c r="AN260" s="6" t="s">
        <v>8312</v>
      </c>
      <c r="AO260" s="7"/>
      <c r="AP260" s="7"/>
      <c r="AQ260" s="6" t="b">
        <v>0</v>
      </c>
      <c r="AR260" s="6" t="s">
        <v>15260</v>
      </c>
      <c r="AS260" s="48" t="s">
        <v>12303</v>
      </c>
    </row>
    <row r="261" ht="15.75" customHeight="1">
      <c r="A261" s="7" t="s">
        <v>9350</v>
      </c>
      <c r="B261" s="7" t="s">
        <v>15261</v>
      </c>
      <c r="C261" s="7" t="s">
        <v>58</v>
      </c>
      <c r="D261" s="7" t="s">
        <v>59</v>
      </c>
      <c r="E261" s="6" t="s">
        <v>346</v>
      </c>
      <c r="F261" s="7">
        <v>6.0</v>
      </c>
      <c r="G261" s="7"/>
      <c r="H261" s="7"/>
      <c r="I261" s="7"/>
      <c r="J261" s="7">
        <v>46.0</v>
      </c>
      <c r="K261" s="7" t="s">
        <v>15262</v>
      </c>
      <c r="L261" s="7">
        <v>97480.0</v>
      </c>
      <c r="M261" s="7" t="s">
        <v>123</v>
      </c>
      <c r="N261" s="7"/>
      <c r="O261" s="7" t="s">
        <v>9358</v>
      </c>
      <c r="P261" s="53" t="s">
        <v>9112</v>
      </c>
      <c r="Q261" s="43" t="s">
        <v>15263</v>
      </c>
      <c r="R261" s="43" t="s">
        <v>13811</v>
      </c>
      <c r="S261" s="51"/>
      <c r="T261" s="7"/>
      <c r="U261" s="7"/>
      <c r="V261" s="7"/>
      <c r="W261" s="6" t="s">
        <v>15264</v>
      </c>
      <c r="X261" s="7" t="s">
        <v>9354</v>
      </c>
      <c r="Y261" s="7" t="s">
        <v>8231</v>
      </c>
      <c r="Z261" s="7" t="s">
        <v>5551</v>
      </c>
      <c r="AA261" s="7" t="s">
        <v>9117</v>
      </c>
      <c r="AB261" s="7" t="s">
        <v>1590</v>
      </c>
      <c r="AC261" s="7"/>
      <c r="AD261" s="7"/>
      <c r="AE261" s="6" t="s">
        <v>401</v>
      </c>
      <c r="AF261" s="45">
        <v>45180.609918981485</v>
      </c>
      <c r="AG261" s="7" t="s">
        <v>13814</v>
      </c>
      <c r="AH261" s="46" t="s">
        <v>15265</v>
      </c>
      <c r="AI261" s="7"/>
      <c r="AJ261" s="7"/>
      <c r="AK261" s="7" t="b">
        <v>0</v>
      </c>
      <c r="AL261" s="7" t="b">
        <v>0</v>
      </c>
      <c r="AM261" s="6" t="s">
        <v>9359</v>
      </c>
      <c r="AN261" s="6" t="s">
        <v>9350</v>
      </c>
      <c r="AO261" s="7"/>
      <c r="AP261" s="7"/>
      <c r="AQ261" s="6" t="b">
        <v>0</v>
      </c>
      <c r="AR261" s="6"/>
      <c r="AS261" s="6"/>
    </row>
    <row r="262" ht="15.75" customHeight="1">
      <c r="A262" s="9" t="s">
        <v>10453</v>
      </c>
      <c r="B262" s="9" t="s">
        <v>15266</v>
      </c>
      <c r="C262" s="9" t="s">
        <v>58</v>
      </c>
      <c r="D262" s="9" t="s">
        <v>59</v>
      </c>
      <c r="E262" s="9" t="s">
        <v>346</v>
      </c>
      <c r="F262" s="9">
        <v>6.0</v>
      </c>
      <c r="G262" s="9" t="s">
        <v>455</v>
      </c>
      <c r="H262" s="9" t="s">
        <v>395</v>
      </c>
      <c r="J262" s="9" t="s">
        <v>15267</v>
      </c>
      <c r="K262" s="9" t="s">
        <v>15268</v>
      </c>
      <c r="L262" s="9">
        <v>97430.0</v>
      </c>
      <c r="M262" s="9" t="s">
        <v>71</v>
      </c>
      <c r="N262" s="9" t="s">
        <v>9288</v>
      </c>
      <c r="O262" s="9" t="s">
        <v>15269</v>
      </c>
      <c r="P262" s="53" t="s">
        <v>15270</v>
      </c>
      <c r="Q262" s="49" t="s">
        <v>15271</v>
      </c>
      <c r="R262" s="50"/>
      <c r="S262" s="54"/>
      <c r="T262" s="9" t="s">
        <v>15272</v>
      </c>
      <c r="U262" s="9" t="s">
        <v>15273</v>
      </c>
      <c r="V262" s="9" t="s">
        <v>15274</v>
      </c>
      <c r="W262" s="9" t="s">
        <v>15275</v>
      </c>
      <c r="X262" s="9" t="s">
        <v>15276</v>
      </c>
      <c r="Y262" s="9" t="s">
        <v>14150</v>
      </c>
      <c r="Z262" s="9" t="s">
        <v>378</v>
      </c>
      <c r="AC262" s="9">
        <v>9.22831524000017E14</v>
      </c>
      <c r="AD262" s="9">
        <v>9.22831524E8</v>
      </c>
      <c r="AE262" s="9" t="s">
        <v>401</v>
      </c>
      <c r="AF262" s="55">
        <v>45180.45900462963</v>
      </c>
      <c r="AG262" s="9" t="s">
        <v>15277</v>
      </c>
      <c r="AH262" s="9" t="s">
        <v>15278</v>
      </c>
      <c r="AJ262" s="9" t="s">
        <v>15279</v>
      </c>
      <c r="AK262" s="9" t="b">
        <v>0</v>
      </c>
      <c r="AL262" s="9" t="b">
        <v>0</v>
      </c>
      <c r="AM262" s="9" t="s">
        <v>15280</v>
      </c>
      <c r="AN262" s="9" t="s">
        <v>10453</v>
      </c>
      <c r="AP262" s="56">
        <v>44967.0</v>
      </c>
      <c r="AQ262" s="9" t="b">
        <v>1</v>
      </c>
    </row>
    <row r="263" ht="15.75" customHeight="1">
      <c r="A263" s="9" t="s">
        <v>11717</v>
      </c>
      <c r="B263" s="9" t="s">
        <v>15281</v>
      </c>
      <c r="C263" s="9" t="s">
        <v>58</v>
      </c>
      <c r="D263" s="9" t="s">
        <v>59</v>
      </c>
      <c r="E263" s="9" t="s">
        <v>346</v>
      </c>
      <c r="F263" s="9">
        <v>4.0</v>
      </c>
      <c r="J263" s="52" t="s">
        <v>13151</v>
      </c>
      <c r="K263" s="9" t="s">
        <v>15282</v>
      </c>
      <c r="L263" s="9">
        <v>97480.0</v>
      </c>
      <c r="M263" s="9" t="s">
        <v>123</v>
      </c>
      <c r="N263" s="9" t="s">
        <v>8383</v>
      </c>
      <c r="O263" s="9" t="s">
        <v>15283</v>
      </c>
      <c r="P263" s="53" t="s">
        <v>15284</v>
      </c>
      <c r="Q263" s="49" t="s">
        <v>15285</v>
      </c>
      <c r="R263" s="50"/>
      <c r="S263" s="54" t="s">
        <v>12350</v>
      </c>
      <c r="T263" s="9" t="s">
        <v>15286</v>
      </c>
      <c r="W263" s="9" t="s">
        <v>15287</v>
      </c>
      <c r="X263" s="9" t="s">
        <v>15288</v>
      </c>
      <c r="Z263" s="9" t="s">
        <v>378</v>
      </c>
      <c r="AE263" s="9" t="s">
        <v>401</v>
      </c>
      <c r="AF263" s="55">
        <v>45475.44017361111</v>
      </c>
      <c r="AG263" s="9" t="s">
        <v>15289</v>
      </c>
      <c r="AH263" s="9" t="s">
        <v>15290</v>
      </c>
      <c r="AJ263" s="9" t="s">
        <v>15291</v>
      </c>
      <c r="AM263" s="9" t="s">
        <v>15292</v>
      </c>
      <c r="AN263" s="9" t="s">
        <v>11717</v>
      </c>
      <c r="AP263" s="56">
        <v>44412.0</v>
      </c>
      <c r="AQ263" s="6" t="b">
        <v>0</v>
      </c>
      <c r="AR263" s="6" t="s">
        <v>15293</v>
      </c>
      <c r="AS263" s="6" t="s">
        <v>12303</v>
      </c>
    </row>
    <row r="264" ht="15.75" customHeight="1">
      <c r="A264" s="7" t="s">
        <v>3692</v>
      </c>
      <c r="B264" s="7" t="s">
        <v>15294</v>
      </c>
      <c r="C264" s="7" t="s">
        <v>34</v>
      </c>
      <c r="D264" s="7" t="s">
        <v>485</v>
      </c>
      <c r="E264" s="7" t="s">
        <v>486</v>
      </c>
      <c r="F264" s="7">
        <v>25.0</v>
      </c>
      <c r="G264" s="7" t="s">
        <v>347</v>
      </c>
      <c r="H264" s="7"/>
      <c r="I264" s="7" t="s">
        <v>578</v>
      </c>
      <c r="J264" s="7">
        <v>15.0</v>
      </c>
      <c r="K264" s="7" t="s">
        <v>14032</v>
      </c>
      <c r="L264" s="7">
        <v>97480.0</v>
      </c>
      <c r="M264" s="7" t="s">
        <v>123</v>
      </c>
      <c r="N264" s="7"/>
      <c r="O264" s="7" t="s">
        <v>3703</v>
      </c>
      <c r="P264" s="42" t="s">
        <v>3696</v>
      </c>
      <c r="Q264" s="43" t="s">
        <v>14033</v>
      </c>
      <c r="R264" s="50"/>
      <c r="S264" s="51"/>
      <c r="T264" s="7" t="s">
        <v>3698</v>
      </c>
      <c r="U264" s="7" t="s">
        <v>3697</v>
      </c>
      <c r="V264" s="7" t="s">
        <v>3699</v>
      </c>
      <c r="W264" s="6" t="s">
        <v>15295</v>
      </c>
      <c r="X264" s="7" t="s">
        <v>1108</v>
      </c>
      <c r="Y264" s="7" t="s">
        <v>377</v>
      </c>
      <c r="Z264" s="7" t="s">
        <v>353</v>
      </c>
      <c r="AA264" s="7"/>
      <c r="AB264" s="7"/>
      <c r="AC264" s="7">
        <v>4.9271294800016E13</v>
      </c>
      <c r="AD264" s="7">
        <v>4.92712948E8</v>
      </c>
      <c r="AE264" s="6" t="s">
        <v>12355</v>
      </c>
      <c r="AF264" s="45">
        <v>45177.42265046296</v>
      </c>
      <c r="AG264" s="7" t="s">
        <v>15296</v>
      </c>
      <c r="AH264" s="46" t="s">
        <v>15297</v>
      </c>
      <c r="AI264" s="7"/>
      <c r="AJ264" s="7"/>
      <c r="AK264" s="7" t="b">
        <v>0</v>
      </c>
      <c r="AL264" s="7" t="b">
        <v>0</v>
      </c>
      <c r="AM264" s="7"/>
      <c r="AN264" s="6" t="s">
        <v>3692</v>
      </c>
      <c r="AO264" s="6">
        <v>788.0</v>
      </c>
      <c r="AP264" s="6"/>
      <c r="AQ264" s="6" t="b">
        <v>1</v>
      </c>
      <c r="AR264" s="6" t="s">
        <v>15298</v>
      </c>
      <c r="AS264" s="6" t="s">
        <v>12303</v>
      </c>
    </row>
    <row r="265" ht="15.75" customHeight="1">
      <c r="A265" s="9" t="s">
        <v>11795</v>
      </c>
      <c r="B265" s="9" t="s">
        <v>15299</v>
      </c>
      <c r="C265" s="9" t="s">
        <v>117</v>
      </c>
      <c r="D265" s="9" t="s">
        <v>15300</v>
      </c>
      <c r="E265" s="9" t="s">
        <v>4827</v>
      </c>
      <c r="F265" s="9">
        <v>24.0</v>
      </c>
      <c r="G265" s="9" t="s">
        <v>455</v>
      </c>
      <c r="J265" s="52" t="s">
        <v>15301</v>
      </c>
      <c r="K265" s="9" t="s">
        <v>15302</v>
      </c>
      <c r="L265" s="9">
        <v>97430.0</v>
      </c>
      <c r="M265" s="9" t="s">
        <v>71</v>
      </c>
      <c r="N265" s="9" t="s">
        <v>15303</v>
      </c>
      <c r="O265" s="9" t="s">
        <v>15304</v>
      </c>
      <c r="P265" s="53" t="s">
        <v>15305</v>
      </c>
      <c r="Q265" s="49" t="s">
        <v>15306</v>
      </c>
      <c r="R265" s="50"/>
      <c r="S265" s="54"/>
      <c r="T265" s="9" t="s">
        <v>15307</v>
      </c>
      <c r="U265" s="9" t="s">
        <v>15308</v>
      </c>
      <c r="V265" s="9" t="s">
        <v>15309</v>
      </c>
      <c r="W265" s="9" t="s">
        <v>15310</v>
      </c>
      <c r="X265" s="9" t="s">
        <v>15311</v>
      </c>
      <c r="Y265" s="9" t="s">
        <v>2390</v>
      </c>
      <c r="Z265" s="9" t="s">
        <v>353</v>
      </c>
      <c r="AC265" s="9">
        <v>3.3888705200011E13</v>
      </c>
      <c r="AD265" s="9">
        <v>3.38887052E8</v>
      </c>
      <c r="AE265" s="9" t="s">
        <v>5287</v>
      </c>
      <c r="AF265" s="60">
        <v>45532.44834490741</v>
      </c>
      <c r="AG265" s="9" t="s">
        <v>15312</v>
      </c>
      <c r="AH265" s="9" t="s">
        <v>15313</v>
      </c>
      <c r="AJ265" s="9" t="s">
        <v>15314</v>
      </c>
      <c r="AK265" s="9" t="b">
        <v>1</v>
      </c>
      <c r="AL265" s="9" t="b">
        <v>0</v>
      </c>
      <c r="AN265" s="9" t="s">
        <v>11795</v>
      </c>
      <c r="AP265" s="61">
        <v>44858.0</v>
      </c>
      <c r="AQ265" s="9" t="b">
        <v>0</v>
      </c>
      <c r="AR265" s="9" t="s">
        <v>15315</v>
      </c>
    </row>
    <row r="266" ht="15.75" customHeight="1">
      <c r="A266" s="9" t="s">
        <v>11949</v>
      </c>
      <c r="B266" s="9" t="s">
        <v>15316</v>
      </c>
      <c r="C266" s="9" t="s">
        <v>58</v>
      </c>
      <c r="D266" s="9" t="s">
        <v>59</v>
      </c>
      <c r="E266" s="9" t="s">
        <v>346</v>
      </c>
      <c r="F266" s="9">
        <v>8.0</v>
      </c>
      <c r="G266" s="9" t="s">
        <v>375</v>
      </c>
      <c r="J266" s="9" t="s">
        <v>15317</v>
      </c>
      <c r="K266" s="9" t="s">
        <v>15318</v>
      </c>
      <c r="L266" s="9">
        <v>97480.0</v>
      </c>
      <c r="M266" s="9" t="s">
        <v>123</v>
      </c>
      <c r="N266" s="9" t="s">
        <v>206</v>
      </c>
      <c r="O266" s="9" t="s">
        <v>15319</v>
      </c>
      <c r="P266" s="53" t="s">
        <v>15320</v>
      </c>
      <c r="Q266" s="49" t="s">
        <v>15321</v>
      </c>
      <c r="R266" s="50"/>
      <c r="S266" s="58" t="s">
        <v>15322</v>
      </c>
      <c r="T266" s="9" t="s">
        <v>15323</v>
      </c>
      <c r="U266" s="9" t="s">
        <v>15324</v>
      </c>
      <c r="V266" s="9" t="s">
        <v>15318</v>
      </c>
      <c r="W266" s="9" t="s">
        <v>15325</v>
      </c>
      <c r="X266" s="9" t="s">
        <v>15326</v>
      </c>
      <c r="Y266" s="9" t="s">
        <v>14800</v>
      </c>
      <c r="Z266" s="9" t="s">
        <v>353</v>
      </c>
      <c r="AC266" s="9">
        <v>5.3768336900038E13</v>
      </c>
      <c r="AD266" s="9">
        <v>5.37683369E8</v>
      </c>
      <c r="AE266" s="9" t="s">
        <v>401</v>
      </c>
      <c r="AF266" s="55">
        <v>45915.50239583333</v>
      </c>
      <c r="AG266" s="9" t="s">
        <v>15327</v>
      </c>
      <c r="AH266" s="9" t="s">
        <v>15328</v>
      </c>
      <c r="AJ266" s="9" t="s">
        <v>15329</v>
      </c>
      <c r="AK266" s="9" t="b">
        <v>0</v>
      </c>
      <c r="AL266" s="9" t="b">
        <v>0</v>
      </c>
      <c r="AM266" s="9" t="s">
        <v>15330</v>
      </c>
      <c r="AN266" s="9" t="s">
        <v>11949</v>
      </c>
      <c r="AP266" s="56">
        <v>44785.0</v>
      </c>
      <c r="AQ266" s="9" t="b">
        <v>0</v>
      </c>
    </row>
    <row r="267" ht="15.75" customHeight="1">
      <c r="A267" s="9" t="s">
        <v>11731</v>
      </c>
      <c r="B267" s="9" t="s">
        <v>15331</v>
      </c>
      <c r="C267" s="9" t="s">
        <v>58</v>
      </c>
      <c r="D267" s="9" t="s">
        <v>59</v>
      </c>
      <c r="E267" s="9" t="s">
        <v>346</v>
      </c>
      <c r="F267" s="9">
        <v>8.0</v>
      </c>
      <c r="G267" s="9" t="s">
        <v>455</v>
      </c>
      <c r="J267" s="52" t="s">
        <v>15332</v>
      </c>
      <c r="K267" s="9" t="s">
        <v>15333</v>
      </c>
      <c r="L267" s="9">
        <v>97480.0</v>
      </c>
      <c r="M267" s="9" t="s">
        <v>123</v>
      </c>
      <c r="N267" s="9" t="s">
        <v>12446</v>
      </c>
      <c r="O267" s="9" t="s">
        <v>15334</v>
      </c>
      <c r="P267" s="53" t="s">
        <v>15335</v>
      </c>
      <c r="Q267" s="49" t="s">
        <v>15336</v>
      </c>
      <c r="R267" s="50"/>
      <c r="S267" s="58" t="s">
        <v>15337</v>
      </c>
      <c r="T267" s="9" t="s">
        <v>15338</v>
      </c>
      <c r="U267" s="9" t="s">
        <v>15339</v>
      </c>
      <c r="V267" s="9" t="s">
        <v>15340</v>
      </c>
      <c r="W267" s="9" t="s">
        <v>15341</v>
      </c>
      <c r="X267" s="9" t="s">
        <v>15342</v>
      </c>
      <c r="Y267" s="9" t="s">
        <v>15343</v>
      </c>
      <c r="Z267" s="9" t="s">
        <v>5551</v>
      </c>
      <c r="AC267" s="9">
        <v>8.9977983900013E13</v>
      </c>
      <c r="AD267" s="9">
        <v>8.99779839E8</v>
      </c>
      <c r="AE267" s="9" t="s">
        <v>401</v>
      </c>
      <c r="AF267" s="55">
        <v>45173.42387731482</v>
      </c>
      <c r="AG267" s="9" t="s">
        <v>15344</v>
      </c>
      <c r="AH267" s="9" t="s">
        <v>15345</v>
      </c>
      <c r="AJ267" s="9" t="s">
        <v>15346</v>
      </c>
      <c r="AK267" s="9" t="b">
        <v>0</v>
      </c>
      <c r="AL267" s="9" t="b">
        <v>0</v>
      </c>
      <c r="AM267" s="9" t="s">
        <v>15347</v>
      </c>
      <c r="AN267" s="9" t="s">
        <v>11731</v>
      </c>
      <c r="AP267" s="56">
        <v>44662.0</v>
      </c>
      <c r="AQ267" s="9" t="b">
        <v>0</v>
      </c>
      <c r="AR267" s="9" t="s">
        <v>15348</v>
      </c>
      <c r="AS267" s="9"/>
    </row>
    <row r="268" ht="15.75" customHeight="1">
      <c r="A268" s="7" t="s">
        <v>1579</v>
      </c>
      <c r="B268" s="7" t="s">
        <v>1580</v>
      </c>
      <c r="C268" s="7" t="s">
        <v>58</v>
      </c>
      <c r="D268" s="7" t="s">
        <v>59</v>
      </c>
      <c r="E268" s="7" t="s">
        <v>545</v>
      </c>
      <c r="F268" s="7">
        <v>3.0</v>
      </c>
      <c r="G268" s="7" t="s">
        <v>455</v>
      </c>
      <c r="H268" s="7"/>
      <c r="I268" s="7"/>
      <c r="J268" s="7">
        <v>222.0</v>
      </c>
      <c r="K268" s="7" t="s">
        <v>15349</v>
      </c>
      <c r="L268" s="7">
        <v>97418.0</v>
      </c>
      <c r="M268" s="7" t="s">
        <v>71</v>
      </c>
      <c r="N268" s="7" t="s">
        <v>216</v>
      </c>
      <c r="O268" s="7" t="s">
        <v>1588</v>
      </c>
      <c r="P268" s="42" t="s">
        <v>1582</v>
      </c>
      <c r="Q268" s="43" t="s">
        <v>15350</v>
      </c>
      <c r="R268" s="50"/>
      <c r="S268" s="51"/>
      <c r="T268" s="7" t="s">
        <v>1584</v>
      </c>
      <c r="U268" s="7" t="s">
        <v>1583</v>
      </c>
      <c r="V268" s="7"/>
      <c r="W268" s="7"/>
      <c r="X268" s="7"/>
      <c r="Y268" s="7" t="s">
        <v>377</v>
      </c>
      <c r="Z268" s="7" t="s">
        <v>424</v>
      </c>
      <c r="AA268" s="7" t="s">
        <v>1589</v>
      </c>
      <c r="AB268" s="7" t="s">
        <v>1590</v>
      </c>
      <c r="AC268" s="7"/>
      <c r="AD268" s="7"/>
      <c r="AE268" s="6" t="s">
        <v>12355</v>
      </c>
      <c r="AF268" s="45">
        <v>45418.4681712963</v>
      </c>
      <c r="AG268" s="7" t="s">
        <v>15351</v>
      </c>
      <c r="AH268" s="46" t="s">
        <v>15352</v>
      </c>
      <c r="AI268" s="7"/>
      <c r="AJ268" s="7"/>
      <c r="AK268" s="7" t="b">
        <v>0</v>
      </c>
      <c r="AL268" s="7" t="b">
        <v>0</v>
      </c>
      <c r="AM268" s="6" t="s">
        <v>1591</v>
      </c>
      <c r="AN268" s="6" t="s">
        <v>1579</v>
      </c>
      <c r="AO268" s="6">
        <v>3867.0</v>
      </c>
      <c r="AP268" s="6"/>
      <c r="AQ268" s="6" t="b">
        <v>1</v>
      </c>
      <c r="AR268" s="6" t="s">
        <v>15353</v>
      </c>
      <c r="AS268" s="48" t="s">
        <v>12303</v>
      </c>
    </row>
    <row r="269" ht="15.75" customHeight="1">
      <c r="A269" s="9" t="s">
        <v>12004</v>
      </c>
      <c r="B269" s="9" t="s">
        <v>15354</v>
      </c>
      <c r="C269" s="9" t="s">
        <v>58</v>
      </c>
      <c r="D269" s="9" t="s">
        <v>59</v>
      </c>
      <c r="E269" s="9" t="s">
        <v>346</v>
      </c>
      <c r="F269" s="9">
        <v>6.0</v>
      </c>
      <c r="G269" s="9" t="s">
        <v>375</v>
      </c>
      <c r="I269" s="9"/>
      <c r="J269" s="52" t="s">
        <v>13073</v>
      </c>
      <c r="K269" s="9" t="s">
        <v>15355</v>
      </c>
      <c r="L269" s="9">
        <v>97442.0</v>
      </c>
      <c r="M269" s="9" t="s">
        <v>33</v>
      </c>
      <c r="N269" s="9" t="s">
        <v>224</v>
      </c>
      <c r="O269" s="9" t="s">
        <v>15356</v>
      </c>
      <c r="P269" s="53" t="s">
        <v>15357</v>
      </c>
      <c r="Q269" s="49" t="s">
        <v>15358</v>
      </c>
      <c r="R269" s="50"/>
      <c r="S269" s="59"/>
      <c r="T269" s="9" t="s">
        <v>15359</v>
      </c>
      <c r="U269" s="9" t="s">
        <v>15360</v>
      </c>
      <c r="V269" s="9" t="s">
        <v>15361</v>
      </c>
      <c r="W269" s="9" t="s">
        <v>15362</v>
      </c>
      <c r="X269" s="9" t="s">
        <v>15363</v>
      </c>
      <c r="Y269" s="9" t="s">
        <v>14150</v>
      </c>
      <c r="Z269" s="9" t="s">
        <v>353</v>
      </c>
      <c r="AC269" s="9">
        <v>5.1175530800026E13</v>
      </c>
      <c r="AD269" s="9">
        <v>5.11755308E8</v>
      </c>
      <c r="AE269" s="9" t="s">
        <v>401</v>
      </c>
      <c r="AF269" s="55">
        <v>45891.46928240741</v>
      </c>
      <c r="AG269" s="9" t="s">
        <v>15364</v>
      </c>
      <c r="AH269" s="9" t="s">
        <v>15365</v>
      </c>
      <c r="AJ269" s="9" t="s">
        <v>15366</v>
      </c>
      <c r="AK269" s="9" t="b">
        <v>0</v>
      </c>
      <c r="AL269" s="9" t="b">
        <v>0</v>
      </c>
      <c r="AM269" s="9" t="s">
        <v>15367</v>
      </c>
      <c r="AN269" s="9" t="s">
        <v>12004</v>
      </c>
      <c r="AP269" s="56">
        <v>45128.0</v>
      </c>
      <c r="AQ269" s="9" t="b">
        <v>0</v>
      </c>
      <c r="AR269" s="9" t="s">
        <v>15368</v>
      </c>
    </row>
    <row r="270" ht="15.75" customHeight="1">
      <c r="A270" s="9" t="s">
        <v>12085</v>
      </c>
      <c r="B270" s="9" t="s">
        <v>15369</v>
      </c>
      <c r="C270" s="9" t="s">
        <v>58</v>
      </c>
      <c r="D270" s="9" t="s">
        <v>59</v>
      </c>
      <c r="E270" s="9" t="s">
        <v>374</v>
      </c>
      <c r="F270" s="9">
        <v>4.0</v>
      </c>
      <c r="G270" s="9" t="s">
        <v>455</v>
      </c>
      <c r="J270" s="52" t="s">
        <v>12345</v>
      </c>
      <c r="K270" s="9" t="s">
        <v>15370</v>
      </c>
      <c r="L270" s="9">
        <v>97480.0</v>
      </c>
      <c r="M270" s="9" t="s">
        <v>123</v>
      </c>
      <c r="N270" s="9" t="s">
        <v>9209</v>
      </c>
      <c r="O270" s="9" t="s">
        <v>15371</v>
      </c>
      <c r="P270" s="53" t="s">
        <v>15372</v>
      </c>
      <c r="Q270" s="49" t="s">
        <v>15373</v>
      </c>
      <c r="R270" s="50"/>
      <c r="S270" s="54"/>
      <c r="T270" s="9" t="s">
        <v>15374</v>
      </c>
      <c r="U270" s="9" t="s">
        <v>15375</v>
      </c>
      <c r="W270" s="9" t="s">
        <v>15376</v>
      </c>
      <c r="X270" s="9" t="s">
        <v>15377</v>
      </c>
      <c r="Y270" s="9" t="s">
        <v>12669</v>
      </c>
      <c r="Z270" s="9" t="s">
        <v>424</v>
      </c>
      <c r="AE270" s="9" t="s">
        <v>401</v>
      </c>
      <c r="AF270" s="55">
        <v>45168.49302083333</v>
      </c>
      <c r="AG270" s="9" t="s">
        <v>15378</v>
      </c>
      <c r="AH270" s="9" t="s">
        <v>15379</v>
      </c>
      <c r="AJ270" s="9" t="s">
        <v>15380</v>
      </c>
      <c r="AK270" s="9" t="b">
        <v>0</v>
      </c>
      <c r="AL270" s="9" t="b">
        <v>1</v>
      </c>
      <c r="AN270" s="9" t="s">
        <v>12085</v>
      </c>
      <c r="AP270" s="56">
        <v>44691.0</v>
      </c>
      <c r="AQ270" s="9" t="b">
        <v>0</v>
      </c>
      <c r="AR270" s="9" t="s">
        <v>15381</v>
      </c>
    </row>
    <row r="271" ht="15.75" customHeight="1">
      <c r="A271" s="9" t="s">
        <v>11921</v>
      </c>
      <c r="B271" s="9" t="s">
        <v>15382</v>
      </c>
      <c r="C271" s="9" t="s">
        <v>58</v>
      </c>
      <c r="D271" s="9" t="s">
        <v>1859</v>
      </c>
      <c r="E271" s="9" t="s">
        <v>1859</v>
      </c>
      <c r="F271" s="9"/>
      <c r="G271" s="9" t="s">
        <v>455</v>
      </c>
      <c r="I271" s="9"/>
      <c r="J271" s="52" t="s">
        <v>15383</v>
      </c>
      <c r="K271" s="9" t="s">
        <v>15384</v>
      </c>
      <c r="L271" s="9">
        <v>97480.0</v>
      </c>
      <c r="M271" s="9" t="s">
        <v>123</v>
      </c>
      <c r="N271" s="9" t="s">
        <v>8383</v>
      </c>
      <c r="O271" s="9" t="s">
        <v>15385</v>
      </c>
      <c r="P271" s="53" t="s">
        <v>15386</v>
      </c>
      <c r="Q271" s="49" t="s">
        <v>15387</v>
      </c>
      <c r="R271" s="50"/>
      <c r="S271" s="59"/>
      <c r="T271" s="9" t="s">
        <v>15388</v>
      </c>
      <c r="U271" s="9" t="s">
        <v>15389</v>
      </c>
      <c r="V271" s="9"/>
      <c r="W271" s="9"/>
      <c r="X271" s="9"/>
      <c r="Y271" s="9"/>
      <c r="Z271" s="9" t="s">
        <v>353</v>
      </c>
      <c r="AC271" s="9">
        <v>5.3768002700019E13</v>
      </c>
      <c r="AD271" s="9">
        <v>5.37680027E8</v>
      </c>
      <c r="AE271" s="9" t="s">
        <v>12355</v>
      </c>
      <c r="AF271" s="55">
        <v>46043.6424537037</v>
      </c>
      <c r="AG271" s="9" t="s">
        <v>15390</v>
      </c>
      <c r="AH271" s="9" t="s">
        <v>15391</v>
      </c>
      <c r="AJ271" s="9" t="s">
        <v>15392</v>
      </c>
      <c r="AK271" s="9" t="b">
        <v>0</v>
      </c>
      <c r="AL271" s="9" t="b">
        <v>0</v>
      </c>
      <c r="AM271" s="9" t="s">
        <v>15393</v>
      </c>
      <c r="AN271" s="9" t="s">
        <v>11921</v>
      </c>
      <c r="AP271" s="56">
        <v>45126.0</v>
      </c>
      <c r="AQ271" s="9" t="b">
        <v>0</v>
      </c>
      <c r="AR271" s="9" t="s">
        <v>15394</v>
      </c>
    </row>
    <row r="272" ht="15.75" customHeight="1">
      <c r="A272" s="7" t="s">
        <v>3436</v>
      </c>
      <c r="B272" s="7" t="s">
        <v>3437</v>
      </c>
      <c r="C272" s="7" t="s">
        <v>58</v>
      </c>
      <c r="D272" s="7" t="s">
        <v>453</v>
      </c>
      <c r="E272" s="7" t="s">
        <v>454</v>
      </c>
      <c r="F272" s="6">
        <v>10.0</v>
      </c>
      <c r="G272" s="7" t="s">
        <v>407</v>
      </c>
      <c r="H272" s="7" t="s">
        <v>1429</v>
      </c>
      <c r="I272" s="7" t="s">
        <v>751</v>
      </c>
      <c r="J272" s="7">
        <v>8.0</v>
      </c>
      <c r="K272" s="7" t="s">
        <v>15395</v>
      </c>
      <c r="L272" s="7">
        <v>97414.0</v>
      </c>
      <c r="M272" s="7" t="s">
        <v>40</v>
      </c>
      <c r="N272" s="6" t="s">
        <v>40</v>
      </c>
      <c r="O272" s="6" t="s">
        <v>15396</v>
      </c>
      <c r="P272" s="53" t="s">
        <v>3442</v>
      </c>
      <c r="Q272" s="49" t="s">
        <v>15397</v>
      </c>
      <c r="R272" s="50"/>
      <c r="S272" s="57" t="s">
        <v>15398</v>
      </c>
      <c r="T272" s="6" t="s">
        <v>15399</v>
      </c>
      <c r="U272" s="7" t="s">
        <v>3443</v>
      </c>
      <c r="V272" s="6" t="s">
        <v>15400</v>
      </c>
      <c r="W272" s="6" t="s">
        <v>15401</v>
      </c>
      <c r="X272" s="6" t="s">
        <v>15402</v>
      </c>
      <c r="Y272" s="6" t="s">
        <v>15403</v>
      </c>
      <c r="Z272" s="6" t="s">
        <v>851</v>
      </c>
      <c r="AA272" s="7" t="s">
        <v>3451</v>
      </c>
      <c r="AB272" s="7" t="s">
        <v>3452</v>
      </c>
      <c r="AC272" s="7">
        <v>5.3920488300018E13</v>
      </c>
      <c r="AD272" s="7">
        <v>5.39204883E8</v>
      </c>
      <c r="AE272" s="7" t="s">
        <v>401</v>
      </c>
      <c r="AF272" s="45">
        <v>45882.637453703705</v>
      </c>
      <c r="AG272" s="7" t="s">
        <v>15404</v>
      </c>
      <c r="AH272" s="46" t="s">
        <v>15405</v>
      </c>
      <c r="AI272" s="7"/>
      <c r="AJ272" s="6" t="s">
        <v>15406</v>
      </c>
      <c r="AK272" s="7" t="b">
        <v>0</v>
      </c>
      <c r="AL272" s="7" t="b">
        <v>0</v>
      </c>
      <c r="AM272" s="6" t="s">
        <v>3453</v>
      </c>
      <c r="AN272" s="6" t="s">
        <v>3436</v>
      </c>
      <c r="AO272" s="7"/>
      <c r="AP272" s="7"/>
      <c r="AQ272" s="6" t="b">
        <v>1</v>
      </c>
      <c r="AR272" s="6"/>
      <c r="AS272" s="48" t="s">
        <v>12303</v>
      </c>
    </row>
    <row r="273" ht="15.75" customHeight="1">
      <c r="A273" s="7" t="s">
        <v>3455</v>
      </c>
      <c r="B273" s="7" t="s">
        <v>3456</v>
      </c>
      <c r="C273" s="7" t="s">
        <v>58</v>
      </c>
      <c r="D273" s="7" t="s">
        <v>453</v>
      </c>
      <c r="E273" s="7" t="s">
        <v>454</v>
      </c>
      <c r="F273" s="7">
        <v>2.0</v>
      </c>
      <c r="G273" s="7" t="s">
        <v>407</v>
      </c>
      <c r="H273" s="7" t="s">
        <v>3460</v>
      </c>
      <c r="I273" s="7" t="s">
        <v>751</v>
      </c>
      <c r="J273" s="7">
        <v>8.0</v>
      </c>
      <c r="K273" s="7" t="s">
        <v>15395</v>
      </c>
      <c r="L273" s="7">
        <v>97414.0</v>
      </c>
      <c r="M273" s="7" t="s">
        <v>40</v>
      </c>
      <c r="N273" s="6" t="s">
        <v>40</v>
      </c>
      <c r="O273" s="6" t="s">
        <v>15407</v>
      </c>
      <c r="P273" s="42" t="s">
        <v>3442</v>
      </c>
      <c r="Q273" s="49" t="s">
        <v>15397</v>
      </c>
      <c r="R273" s="43" t="s">
        <v>15408</v>
      </c>
      <c r="S273" s="57" t="s">
        <v>15398</v>
      </c>
      <c r="T273" s="6" t="s">
        <v>15409</v>
      </c>
      <c r="U273" s="7" t="s">
        <v>3443</v>
      </c>
      <c r="V273" s="7" t="s">
        <v>3445</v>
      </c>
      <c r="W273" s="6" t="s">
        <v>15410</v>
      </c>
      <c r="X273" s="7" t="s">
        <v>3459</v>
      </c>
      <c r="Y273" s="6" t="s">
        <v>15411</v>
      </c>
      <c r="Z273" s="6" t="s">
        <v>851</v>
      </c>
      <c r="AA273" s="7" t="s">
        <v>3463</v>
      </c>
      <c r="AB273" s="7" t="s">
        <v>3452</v>
      </c>
      <c r="AC273" s="7">
        <v>5.3920488300018E13</v>
      </c>
      <c r="AD273" s="7">
        <v>5.39204883E8</v>
      </c>
      <c r="AE273" s="6" t="s">
        <v>401</v>
      </c>
      <c r="AF273" s="45">
        <v>45167.64349537037</v>
      </c>
      <c r="AG273" s="7" t="s">
        <v>15404</v>
      </c>
      <c r="AH273" s="46" t="s">
        <v>15412</v>
      </c>
      <c r="AI273" s="7"/>
      <c r="AJ273" s="6" t="s">
        <v>15413</v>
      </c>
      <c r="AK273" s="7" t="b">
        <v>0</v>
      </c>
      <c r="AL273" s="7" t="b">
        <v>0</v>
      </c>
      <c r="AM273" s="6" t="s">
        <v>3453</v>
      </c>
      <c r="AN273" s="6" t="s">
        <v>3455</v>
      </c>
      <c r="AO273" s="6">
        <v>3686.0</v>
      </c>
      <c r="AP273" s="6"/>
      <c r="AQ273" s="6" t="b">
        <v>1</v>
      </c>
      <c r="AR273" s="6"/>
      <c r="AS273" s="48" t="s">
        <v>12303</v>
      </c>
    </row>
    <row r="274" ht="15.75" customHeight="1">
      <c r="A274" s="7" t="s">
        <v>3464</v>
      </c>
      <c r="B274" s="7" t="s">
        <v>3465</v>
      </c>
      <c r="C274" s="7" t="s">
        <v>58</v>
      </c>
      <c r="D274" s="7" t="s">
        <v>59</v>
      </c>
      <c r="E274" s="7" t="s">
        <v>374</v>
      </c>
      <c r="F274" s="7">
        <v>4.0</v>
      </c>
      <c r="G274" s="7" t="s">
        <v>407</v>
      </c>
      <c r="H274" s="6" t="s">
        <v>3460</v>
      </c>
      <c r="I274" s="7" t="s">
        <v>751</v>
      </c>
      <c r="J274" s="7">
        <v>8.0</v>
      </c>
      <c r="K274" s="7" t="s">
        <v>15395</v>
      </c>
      <c r="L274" s="7">
        <v>97414.0</v>
      </c>
      <c r="M274" s="7" t="s">
        <v>40</v>
      </c>
      <c r="N274" s="6" t="s">
        <v>40</v>
      </c>
      <c r="O274" s="6" t="s">
        <v>15414</v>
      </c>
      <c r="P274" s="42" t="s">
        <v>3442</v>
      </c>
      <c r="Q274" s="49" t="s">
        <v>15397</v>
      </c>
      <c r="R274" s="43" t="s">
        <v>15408</v>
      </c>
      <c r="S274" s="57" t="s">
        <v>15398</v>
      </c>
      <c r="T274" s="6" t="s">
        <v>15415</v>
      </c>
      <c r="U274" s="7" t="s">
        <v>3468</v>
      </c>
      <c r="V274" s="6" t="s">
        <v>15400</v>
      </c>
      <c r="W274" s="6" t="s">
        <v>15416</v>
      </c>
      <c r="X274" s="7" t="s">
        <v>3441</v>
      </c>
      <c r="Y274" s="6" t="s">
        <v>15417</v>
      </c>
      <c r="Z274" s="6" t="s">
        <v>851</v>
      </c>
      <c r="AA274" s="7" t="s">
        <v>3470</v>
      </c>
      <c r="AB274" s="7" t="s">
        <v>3471</v>
      </c>
      <c r="AC274" s="7">
        <v>5.3920488300018E13</v>
      </c>
      <c r="AD274" s="7">
        <v>5.39204883E8</v>
      </c>
      <c r="AE274" s="6" t="s">
        <v>401</v>
      </c>
      <c r="AF274" s="45">
        <v>45167.64295138889</v>
      </c>
      <c r="AG274" s="7" t="s">
        <v>15404</v>
      </c>
      <c r="AH274" s="46" t="s">
        <v>15418</v>
      </c>
      <c r="AI274" s="7"/>
      <c r="AJ274" s="6"/>
      <c r="AK274" s="7" t="b">
        <v>0</v>
      </c>
      <c r="AL274" s="7" t="b">
        <v>0</v>
      </c>
      <c r="AM274" s="6" t="s">
        <v>3472</v>
      </c>
      <c r="AN274" s="6" t="s">
        <v>3464</v>
      </c>
      <c r="AO274" s="6">
        <v>3182.0</v>
      </c>
      <c r="AP274" s="6"/>
      <c r="AQ274" s="6" t="b">
        <v>0</v>
      </c>
      <c r="AR274" s="6"/>
      <c r="AS274" s="48" t="s">
        <v>12303</v>
      </c>
    </row>
    <row r="275" ht="15.75" customHeight="1">
      <c r="A275" s="7" t="s">
        <v>8166</v>
      </c>
      <c r="B275" s="7" t="s">
        <v>15419</v>
      </c>
      <c r="C275" s="7" t="s">
        <v>58</v>
      </c>
      <c r="D275" s="7" t="s">
        <v>453</v>
      </c>
      <c r="E275" s="7" t="s">
        <v>454</v>
      </c>
      <c r="F275" s="7">
        <v>4.0</v>
      </c>
      <c r="G275" s="7" t="s">
        <v>407</v>
      </c>
      <c r="H275" s="7" t="s">
        <v>574</v>
      </c>
      <c r="I275" s="7" t="s">
        <v>578</v>
      </c>
      <c r="J275" s="41" t="s">
        <v>15094</v>
      </c>
      <c r="K275" s="6" t="s">
        <v>15420</v>
      </c>
      <c r="L275" s="7">
        <v>97418.0</v>
      </c>
      <c r="M275" s="7" t="s">
        <v>71</v>
      </c>
      <c r="N275" s="7" t="s">
        <v>216</v>
      </c>
      <c r="O275" s="7" t="s">
        <v>8176</v>
      </c>
      <c r="P275" s="53" t="s">
        <v>15421</v>
      </c>
      <c r="Q275" s="49" t="s">
        <v>15422</v>
      </c>
      <c r="R275" s="43" t="s">
        <v>15423</v>
      </c>
      <c r="S275" s="51"/>
      <c r="T275" s="7" t="s">
        <v>8171</v>
      </c>
      <c r="U275" s="7" t="s">
        <v>8170</v>
      </c>
      <c r="V275" s="7" t="s">
        <v>8172</v>
      </c>
      <c r="W275" s="6" t="s">
        <v>15424</v>
      </c>
      <c r="X275" s="7" t="s">
        <v>647</v>
      </c>
      <c r="Y275" s="7" t="s">
        <v>377</v>
      </c>
      <c r="Z275" s="7" t="s">
        <v>353</v>
      </c>
      <c r="AA275" s="7"/>
      <c r="AB275" s="7"/>
      <c r="AC275" s="7"/>
      <c r="AD275" s="7"/>
      <c r="AE275" s="6" t="s">
        <v>5287</v>
      </c>
      <c r="AF275" s="45">
        <v>45167.46984953704</v>
      </c>
      <c r="AG275" s="7" t="s">
        <v>15425</v>
      </c>
      <c r="AH275" s="62" t="s">
        <v>15426</v>
      </c>
      <c r="AI275" s="7"/>
      <c r="AJ275" s="7"/>
      <c r="AK275" s="7" t="b">
        <v>0</v>
      </c>
      <c r="AL275" s="7" t="b">
        <v>0</v>
      </c>
      <c r="AM275" s="6" t="s">
        <v>8177</v>
      </c>
      <c r="AN275" s="6" t="s">
        <v>8166</v>
      </c>
      <c r="AO275" s="6">
        <v>32.0</v>
      </c>
      <c r="AP275" s="6"/>
      <c r="AQ275" s="6" t="b">
        <v>1</v>
      </c>
      <c r="AR275" s="6" t="s">
        <v>15427</v>
      </c>
      <c r="AS275" s="48" t="s">
        <v>12303</v>
      </c>
    </row>
    <row r="276" ht="15.75" customHeight="1">
      <c r="A276" s="7" t="s">
        <v>7975</v>
      </c>
      <c r="B276" s="7" t="s">
        <v>7976</v>
      </c>
      <c r="C276" s="7" t="s">
        <v>58</v>
      </c>
      <c r="D276" s="7" t="s">
        <v>59</v>
      </c>
      <c r="E276" s="7" t="s">
        <v>346</v>
      </c>
      <c r="F276" s="6">
        <v>3.0</v>
      </c>
      <c r="G276" s="7" t="s">
        <v>422</v>
      </c>
      <c r="H276" s="7"/>
      <c r="I276" s="7"/>
      <c r="J276" s="7">
        <v>53.0</v>
      </c>
      <c r="K276" s="6" t="s">
        <v>15428</v>
      </c>
      <c r="L276" s="7">
        <v>97414.0</v>
      </c>
      <c r="M276" s="7" t="s">
        <v>40</v>
      </c>
      <c r="N276" s="6" t="s">
        <v>8279</v>
      </c>
      <c r="O276" s="6" t="s">
        <v>15429</v>
      </c>
      <c r="P276" s="42" t="s">
        <v>7979</v>
      </c>
      <c r="Q276" s="49" t="s">
        <v>15430</v>
      </c>
      <c r="R276" s="43" t="s">
        <v>15431</v>
      </c>
      <c r="S276" s="51"/>
      <c r="T276" s="6" t="s">
        <v>15432</v>
      </c>
      <c r="U276" s="6" t="s">
        <v>15433</v>
      </c>
      <c r="V276" s="6" t="s">
        <v>15434</v>
      </c>
      <c r="W276" s="6" t="s">
        <v>15435</v>
      </c>
      <c r="X276" s="7" t="s">
        <v>2053</v>
      </c>
      <c r="Y276" s="7" t="s">
        <v>377</v>
      </c>
      <c r="Z276" s="6" t="s">
        <v>592</v>
      </c>
      <c r="AA276" s="7"/>
      <c r="AB276" s="7"/>
      <c r="AC276" s="6">
        <v>8.2384421200014E13</v>
      </c>
      <c r="AD276" s="6">
        <v>8.23844212E8</v>
      </c>
      <c r="AE276" s="6" t="s">
        <v>401</v>
      </c>
      <c r="AF276" s="45">
        <v>45166.34622685185</v>
      </c>
      <c r="AG276" s="7" t="s">
        <v>15436</v>
      </c>
      <c r="AH276" s="46" t="s">
        <v>15437</v>
      </c>
      <c r="AI276" s="7"/>
      <c r="AJ276" s="6" t="s">
        <v>15438</v>
      </c>
      <c r="AK276" s="7" t="b">
        <v>0</v>
      </c>
      <c r="AL276" s="7" t="b">
        <v>0</v>
      </c>
      <c r="AM276" s="6" t="s">
        <v>7985</v>
      </c>
      <c r="AN276" s="6" t="s">
        <v>7975</v>
      </c>
      <c r="AO276" s="6">
        <v>2717.0</v>
      </c>
      <c r="AP276" s="6"/>
      <c r="AQ276" s="6" t="b">
        <v>1</v>
      </c>
      <c r="AR276" s="6"/>
      <c r="AS276" s="48" t="s">
        <v>12303</v>
      </c>
    </row>
    <row r="277" ht="15.75" customHeight="1">
      <c r="A277" s="7" t="s">
        <v>8380</v>
      </c>
      <c r="B277" s="7" t="s">
        <v>8381</v>
      </c>
      <c r="C277" s="7" t="s">
        <v>34</v>
      </c>
      <c r="D277" s="6" t="s">
        <v>1414</v>
      </c>
      <c r="E277" s="7" t="s">
        <v>1414</v>
      </c>
      <c r="F277" s="7">
        <v>80.0</v>
      </c>
      <c r="G277" s="6" t="s">
        <v>455</v>
      </c>
      <c r="H277" s="7"/>
      <c r="I277" s="7"/>
      <c r="J277" s="7">
        <v>21.0</v>
      </c>
      <c r="K277" s="7" t="s">
        <v>15439</v>
      </c>
      <c r="L277" s="7">
        <v>97480.0</v>
      </c>
      <c r="M277" s="7" t="s">
        <v>123</v>
      </c>
      <c r="N277" s="6" t="s">
        <v>8383</v>
      </c>
      <c r="O277" s="6" t="s">
        <v>15440</v>
      </c>
      <c r="P277" s="42" t="s">
        <v>15441</v>
      </c>
      <c r="Q277" s="49" t="s">
        <v>15442</v>
      </c>
      <c r="R277" s="50"/>
      <c r="S277" s="51"/>
      <c r="T277" s="7"/>
      <c r="U277" s="7"/>
      <c r="V277" s="7"/>
      <c r="W277" s="7"/>
      <c r="X277" s="7"/>
      <c r="Y277" s="7"/>
      <c r="Z277" s="7"/>
      <c r="AA277" s="7"/>
      <c r="AB277" s="7"/>
      <c r="AC277" s="6">
        <v>3.2660216600034E13</v>
      </c>
      <c r="AD277" s="6">
        <v>3.26602166E8</v>
      </c>
      <c r="AE277" s="6" t="s">
        <v>401</v>
      </c>
      <c r="AF277" s="45">
        <v>45163.49376157407</v>
      </c>
      <c r="AG277" s="7" t="s">
        <v>15443</v>
      </c>
      <c r="AH277" s="46" t="s">
        <v>15444</v>
      </c>
      <c r="AI277" s="7"/>
      <c r="AJ277" s="7"/>
      <c r="AK277" s="7" t="b">
        <v>0</v>
      </c>
      <c r="AL277" s="7" t="b">
        <v>0</v>
      </c>
      <c r="AM277" s="7"/>
      <c r="AN277" s="6" t="s">
        <v>8380</v>
      </c>
      <c r="AO277" s="7"/>
      <c r="AP277" s="7"/>
      <c r="AQ277" s="6" t="b">
        <v>0</v>
      </c>
      <c r="AR277" s="6"/>
      <c r="AS277" s="6" t="s">
        <v>12303</v>
      </c>
    </row>
    <row r="278" ht="15.75" customHeight="1">
      <c r="A278" s="7" t="s">
        <v>8578</v>
      </c>
      <c r="B278" s="7" t="s">
        <v>8579</v>
      </c>
      <c r="C278" s="7" t="s">
        <v>58</v>
      </c>
      <c r="D278" s="7" t="s">
        <v>59</v>
      </c>
      <c r="E278" s="7" t="s">
        <v>545</v>
      </c>
      <c r="F278" s="7">
        <v>6.0</v>
      </c>
      <c r="G278" s="6" t="s">
        <v>422</v>
      </c>
      <c r="H278" s="6" t="s">
        <v>355</v>
      </c>
      <c r="I278" s="7"/>
      <c r="J278" s="7">
        <v>90.0</v>
      </c>
      <c r="K278" s="7" t="s">
        <v>15445</v>
      </c>
      <c r="L278" s="7">
        <v>97414.0</v>
      </c>
      <c r="M278" s="7" t="s">
        <v>40</v>
      </c>
      <c r="N278" s="6" t="s">
        <v>40</v>
      </c>
      <c r="O278" s="6" t="s">
        <v>15446</v>
      </c>
      <c r="P278" s="42" t="s">
        <v>8583</v>
      </c>
      <c r="Q278" s="49" t="s">
        <v>15447</v>
      </c>
      <c r="R278" s="50"/>
      <c r="S278" s="47" t="s">
        <v>8581</v>
      </c>
      <c r="T278" s="6" t="s">
        <v>15448</v>
      </c>
      <c r="U278" s="6" t="s">
        <v>15449</v>
      </c>
      <c r="V278" s="6" t="s">
        <v>15450</v>
      </c>
      <c r="W278" s="6" t="s">
        <v>15451</v>
      </c>
      <c r="X278" s="6" t="s">
        <v>15452</v>
      </c>
      <c r="Y278" s="6" t="s">
        <v>15453</v>
      </c>
      <c r="Z278" s="6" t="s">
        <v>353</v>
      </c>
      <c r="AA278" s="7" t="s">
        <v>3270</v>
      </c>
      <c r="AB278" s="7" t="s">
        <v>1590</v>
      </c>
      <c r="AC278" s="7">
        <v>3.5209309000038E13</v>
      </c>
      <c r="AD278" s="7">
        <v>3.5209309E8</v>
      </c>
      <c r="AE278" s="6" t="s">
        <v>401</v>
      </c>
      <c r="AF278" s="45">
        <v>45163.426400462966</v>
      </c>
      <c r="AG278" s="7" t="s">
        <v>15454</v>
      </c>
      <c r="AH278" s="46" t="s">
        <v>15455</v>
      </c>
      <c r="AI278" s="7"/>
      <c r="AJ278" s="6" t="s">
        <v>15456</v>
      </c>
      <c r="AK278" s="7" t="b">
        <v>0</v>
      </c>
      <c r="AL278" s="7" t="b">
        <v>0</v>
      </c>
      <c r="AM278" s="6" t="s">
        <v>15457</v>
      </c>
      <c r="AN278" s="6" t="s">
        <v>8578</v>
      </c>
      <c r="AO278" s="7"/>
      <c r="AP278" s="7"/>
      <c r="AQ278" s="6" t="b">
        <v>0</v>
      </c>
      <c r="AR278" s="6"/>
      <c r="AS278" s="48" t="s">
        <v>12303</v>
      </c>
    </row>
    <row r="279" ht="15.75" customHeight="1">
      <c r="A279" s="7" t="s">
        <v>10141</v>
      </c>
      <c r="B279" s="7" t="s">
        <v>10142</v>
      </c>
      <c r="C279" s="7" t="s">
        <v>58</v>
      </c>
      <c r="D279" s="7" t="s">
        <v>59</v>
      </c>
      <c r="E279" s="7" t="s">
        <v>346</v>
      </c>
      <c r="F279" s="7">
        <v>9.0</v>
      </c>
      <c r="G279" s="6" t="s">
        <v>455</v>
      </c>
      <c r="H279" s="7"/>
      <c r="I279" s="7"/>
      <c r="J279" s="7">
        <v>4.0</v>
      </c>
      <c r="K279" s="7" t="s">
        <v>15458</v>
      </c>
      <c r="L279" s="7">
        <v>97480.0</v>
      </c>
      <c r="M279" s="7" t="s">
        <v>123</v>
      </c>
      <c r="N279" s="6" t="s">
        <v>9209</v>
      </c>
      <c r="O279" s="6" t="s">
        <v>15459</v>
      </c>
      <c r="P279" s="42" t="s">
        <v>10144</v>
      </c>
      <c r="Q279" s="49" t="s">
        <v>15460</v>
      </c>
      <c r="R279" s="50" t="s">
        <v>12350</v>
      </c>
      <c r="S279" s="44" t="s">
        <v>15461</v>
      </c>
      <c r="T279" s="6" t="s">
        <v>15462</v>
      </c>
      <c r="U279" s="6" t="s">
        <v>15463</v>
      </c>
      <c r="V279" s="6" t="s">
        <v>15464</v>
      </c>
      <c r="W279" s="6" t="s">
        <v>15465</v>
      </c>
      <c r="X279" s="6" t="s">
        <v>15466</v>
      </c>
      <c r="Y279" s="6" t="s">
        <v>1863</v>
      </c>
      <c r="Z279" s="6" t="s">
        <v>353</v>
      </c>
      <c r="AA279" s="7"/>
      <c r="AB279" s="7"/>
      <c r="AC279" s="7"/>
      <c r="AD279" s="7"/>
      <c r="AE279" s="6" t="s">
        <v>12355</v>
      </c>
      <c r="AF279" s="45">
        <v>45992.560069444444</v>
      </c>
      <c r="AG279" s="7" t="s">
        <v>15467</v>
      </c>
      <c r="AH279" s="46" t="s">
        <v>15468</v>
      </c>
      <c r="AI279" s="7"/>
      <c r="AJ279" s="6" t="s">
        <v>15469</v>
      </c>
      <c r="AK279" s="7" t="b">
        <v>0</v>
      </c>
      <c r="AL279" s="7" t="b">
        <v>0</v>
      </c>
      <c r="AM279" s="6" t="s">
        <v>10149</v>
      </c>
      <c r="AN279" s="6" t="s">
        <v>10141</v>
      </c>
      <c r="AO279" s="7"/>
      <c r="AP279" s="7"/>
      <c r="AQ279" s="6" t="b">
        <v>0</v>
      </c>
      <c r="AR279" s="6"/>
      <c r="AS279" s="6"/>
    </row>
    <row r="280" ht="15.75" customHeight="1">
      <c r="A280" s="9" t="s">
        <v>11866</v>
      </c>
      <c r="B280" s="9" t="s">
        <v>15470</v>
      </c>
      <c r="C280" s="9" t="s">
        <v>58</v>
      </c>
      <c r="D280" s="9" t="s">
        <v>59</v>
      </c>
      <c r="E280" s="9" t="s">
        <v>346</v>
      </c>
      <c r="F280" s="9">
        <v>10.0</v>
      </c>
      <c r="J280" s="52" t="s">
        <v>14287</v>
      </c>
      <c r="K280" s="9" t="s">
        <v>15471</v>
      </c>
      <c r="L280" s="9">
        <v>97430.0</v>
      </c>
      <c r="M280" s="9" t="s">
        <v>71</v>
      </c>
      <c r="O280" s="9" t="s">
        <v>15472</v>
      </c>
      <c r="P280" s="53" t="s">
        <v>15473</v>
      </c>
      <c r="Q280" s="49" t="s">
        <v>15474</v>
      </c>
      <c r="R280" s="50"/>
      <c r="S280" s="58" t="s">
        <v>15475</v>
      </c>
      <c r="T280" s="9" t="s">
        <v>15476</v>
      </c>
      <c r="U280" s="9" t="s">
        <v>15477</v>
      </c>
      <c r="W280" s="9" t="s">
        <v>15478</v>
      </c>
      <c r="X280" s="9" t="s">
        <v>8229</v>
      </c>
      <c r="Y280" s="9" t="s">
        <v>15479</v>
      </c>
      <c r="Z280" s="9" t="s">
        <v>592</v>
      </c>
      <c r="AE280" s="9" t="s">
        <v>401</v>
      </c>
      <c r="AF280" s="55">
        <v>45160.62359953704</v>
      </c>
      <c r="AG280" s="9" t="s">
        <v>15480</v>
      </c>
      <c r="AH280" s="9" t="s">
        <v>15481</v>
      </c>
      <c r="AJ280" s="9" t="s">
        <v>15482</v>
      </c>
      <c r="AK280" s="9" t="b">
        <v>0</v>
      </c>
      <c r="AL280" s="9" t="b">
        <v>0</v>
      </c>
      <c r="AM280" s="9" t="s">
        <v>15483</v>
      </c>
      <c r="AN280" s="9" t="s">
        <v>11866</v>
      </c>
      <c r="AP280" s="56">
        <v>44727.0</v>
      </c>
      <c r="AQ280" s="9" t="b">
        <v>0</v>
      </c>
      <c r="AR280" s="9" t="s">
        <v>15484</v>
      </c>
    </row>
    <row r="281" ht="15.75" customHeight="1">
      <c r="A281" s="9" t="s">
        <v>10459</v>
      </c>
      <c r="B281" s="9" t="s">
        <v>15485</v>
      </c>
      <c r="C281" s="9" t="s">
        <v>34</v>
      </c>
      <c r="D281" s="9" t="s">
        <v>622</v>
      </c>
      <c r="E281" s="9" t="s">
        <v>13330</v>
      </c>
      <c r="F281" s="9">
        <v>40.0</v>
      </c>
      <c r="G281" s="9" t="s">
        <v>455</v>
      </c>
      <c r="J281" s="9" t="s">
        <v>15486</v>
      </c>
      <c r="K281" s="9" t="s">
        <v>15487</v>
      </c>
      <c r="L281" s="9">
        <v>97414.0</v>
      </c>
      <c r="M281" s="9" t="s">
        <v>40</v>
      </c>
      <c r="N281" s="9" t="s">
        <v>40</v>
      </c>
      <c r="O281" s="9" t="s">
        <v>15488</v>
      </c>
      <c r="P281" s="53" t="s">
        <v>15489</v>
      </c>
      <c r="Q281" s="49" t="s">
        <v>15490</v>
      </c>
      <c r="R281" s="50"/>
      <c r="S281" s="54"/>
      <c r="T281" s="9" t="s">
        <v>15491</v>
      </c>
      <c r="U281" s="9" t="s">
        <v>15492</v>
      </c>
      <c r="V281" s="9" t="s">
        <v>15493</v>
      </c>
      <c r="W281" s="9" t="s">
        <v>15494</v>
      </c>
      <c r="X281" s="9" t="s">
        <v>15495</v>
      </c>
      <c r="Y281" s="9" t="s">
        <v>2938</v>
      </c>
      <c r="Z281" s="9" t="s">
        <v>378</v>
      </c>
      <c r="AC281" s="9">
        <v>9.1978449600011E13</v>
      </c>
      <c r="AD281" s="9">
        <v>9.19784496E8</v>
      </c>
      <c r="AE281" s="9" t="s">
        <v>401</v>
      </c>
      <c r="AF281" s="55">
        <v>45779.4140162037</v>
      </c>
      <c r="AG281" s="9" t="s">
        <v>15496</v>
      </c>
      <c r="AH281" s="9" t="s">
        <v>15497</v>
      </c>
      <c r="AJ281" s="9" t="s">
        <v>15498</v>
      </c>
      <c r="AK281" s="9" t="b">
        <v>1</v>
      </c>
      <c r="AL281" s="9" t="b">
        <v>1</v>
      </c>
      <c r="AN281" s="9" t="s">
        <v>10459</v>
      </c>
      <c r="AP281" s="56">
        <v>45041.0</v>
      </c>
      <c r="AQ281" s="9" t="b">
        <v>0</v>
      </c>
    </row>
    <row r="282" ht="15.75" customHeight="1">
      <c r="A282" s="9" t="s">
        <v>11845</v>
      </c>
      <c r="B282" s="9" t="s">
        <v>15499</v>
      </c>
      <c r="C282" s="9" t="s">
        <v>822</v>
      </c>
      <c r="D282" s="9" t="s">
        <v>1405</v>
      </c>
      <c r="E282" s="9" t="s">
        <v>1406</v>
      </c>
      <c r="F282" s="9"/>
      <c r="G282" s="9" t="s">
        <v>422</v>
      </c>
      <c r="I282" s="9"/>
      <c r="J282" s="52" t="s">
        <v>15500</v>
      </c>
      <c r="K282" s="9" t="s">
        <v>15501</v>
      </c>
      <c r="L282" s="9">
        <v>97414.0</v>
      </c>
      <c r="M282" s="9" t="s">
        <v>40</v>
      </c>
      <c r="N282" s="9" t="s">
        <v>8279</v>
      </c>
      <c r="O282" s="9" t="s">
        <v>15502</v>
      </c>
      <c r="P282" s="53" t="s">
        <v>7979</v>
      </c>
      <c r="Q282" s="49" t="s">
        <v>15503</v>
      </c>
      <c r="R282" s="50"/>
      <c r="S282" s="59"/>
      <c r="T282" s="9" t="s">
        <v>15504</v>
      </c>
      <c r="U282" s="9" t="s">
        <v>15505</v>
      </c>
      <c r="V282" s="9" t="s">
        <v>15506</v>
      </c>
      <c r="W282" s="9" t="s">
        <v>15507</v>
      </c>
      <c r="X282" s="9" t="s">
        <v>15508</v>
      </c>
      <c r="Y282" s="9" t="s">
        <v>2390</v>
      </c>
      <c r="Z282" s="9" t="s">
        <v>592</v>
      </c>
      <c r="AC282" s="9">
        <v>8.2384421200022E13</v>
      </c>
      <c r="AD282" s="9">
        <v>8.23844212E8</v>
      </c>
      <c r="AE282" s="9" t="s">
        <v>401</v>
      </c>
      <c r="AF282" s="55">
        <v>45568.43350694444</v>
      </c>
      <c r="AG282" s="9" t="s">
        <v>15436</v>
      </c>
      <c r="AH282" s="9" t="s">
        <v>15509</v>
      </c>
      <c r="AJ282" s="9" t="s">
        <v>15510</v>
      </c>
      <c r="AK282" s="9"/>
      <c r="AL282" s="9"/>
      <c r="AM282" s="9"/>
      <c r="AN282" s="9" t="s">
        <v>11845</v>
      </c>
      <c r="AP282" s="56">
        <v>45156.0</v>
      </c>
      <c r="AQ282" s="9" t="b">
        <v>0</v>
      </c>
      <c r="AR282" s="9"/>
    </row>
    <row r="283" ht="15.75" customHeight="1">
      <c r="A283" s="7" t="s">
        <v>9729</v>
      </c>
      <c r="B283" s="7" t="s">
        <v>15511</v>
      </c>
      <c r="C283" s="7" t="s">
        <v>34</v>
      </c>
      <c r="D283" s="7"/>
      <c r="E283" s="7"/>
      <c r="F283" s="7"/>
      <c r="G283" s="7"/>
      <c r="H283" s="7"/>
      <c r="I283" s="7"/>
      <c r="J283" s="7">
        <v>82.0</v>
      </c>
      <c r="K283" s="7" t="s">
        <v>15512</v>
      </c>
      <c r="L283" s="7">
        <v>97480.0</v>
      </c>
      <c r="M283" s="7" t="s">
        <v>123</v>
      </c>
      <c r="N283" s="7"/>
      <c r="O283" s="7" t="s">
        <v>9734</v>
      </c>
      <c r="P283" s="42" t="s">
        <v>9732</v>
      </c>
      <c r="Q283" s="43" t="s">
        <v>15513</v>
      </c>
      <c r="R283" s="43" t="s">
        <v>15514</v>
      </c>
      <c r="S283" s="51"/>
      <c r="T283" s="7"/>
      <c r="U283" s="7"/>
      <c r="V283" s="7"/>
      <c r="W283" s="7"/>
      <c r="X283" s="7"/>
      <c r="Y283" s="7"/>
      <c r="Z283" s="7"/>
      <c r="AA283" s="7"/>
      <c r="AB283" s="7"/>
      <c r="AC283" s="7"/>
      <c r="AD283" s="7"/>
      <c r="AE283" s="6" t="s">
        <v>12355</v>
      </c>
      <c r="AF283" s="45">
        <v>45159.35729166667</v>
      </c>
      <c r="AG283" s="7" t="s">
        <v>15515</v>
      </c>
      <c r="AH283" s="46" t="s">
        <v>15516</v>
      </c>
      <c r="AI283" s="7"/>
      <c r="AJ283" s="7"/>
      <c r="AK283" s="7" t="b">
        <v>0</v>
      </c>
      <c r="AL283" s="7" t="b">
        <v>0</v>
      </c>
      <c r="AM283" s="7"/>
      <c r="AN283" s="6" t="s">
        <v>9729</v>
      </c>
      <c r="AO283" s="7"/>
      <c r="AP283" s="7"/>
      <c r="AQ283" s="6" t="b">
        <v>0</v>
      </c>
      <c r="AR283" s="6"/>
      <c r="AS283" s="6" t="s">
        <v>12303</v>
      </c>
    </row>
    <row r="284" ht="15.75" customHeight="1">
      <c r="A284" s="7" t="s">
        <v>7008</v>
      </c>
      <c r="B284" s="7" t="s">
        <v>7009</v>
      </c>
      <c r="C284" s="7" t="s">
        <v>34</v>
      </c>
      <c r="D284" s="7" t="s">
        <v>485</v>
      </c>
      <c r="E284" s="7" t="s">
        <v>486</v>
      </c>
      <c r="F284" s="7">
        <v>25.0</v>
      </c>
      <c r="G284" s="7" t="s">
        <v>455</v>
      </c>
      <c r="H284" s="7"/>
      <c r="I284" s="7" t="s">
        <v>578</v>
      </c>
      <c r="J284" s="7">
        <v>71.0</v>
      </c>
      <c r="K284" s="7" t="s">
        <v>15517</v>
      </c>
      <c r="L284" s="7">
        <v>97430.0</v>
      </c>
      <c r="M284" s="7" t="s">
        <v>71</v>
      </c>
      <c r="N284" s="7"/>
      <c r="O284" s="7" t="s">
        <v>7018</v>
      </c>
      <c r="P284" s="42" t="s">
        <v>15518</v>
      </c>
      <c r="Q284" s="43" t="s">
        <v>15519</v>
      </c>
      <c r="R284" s="50"/>
      <c r="S284" s="51"/>
      <c r="T284" s="7" t="s">
        <v>7013</v>
      </c>
      <c r="U284" s="7"/>
      <c r="V284" s="7" t="s">
        <v>7014</v>
      </c>
      <c r="W284" s="6" t="s">
        <v>13097</v>
      </c>
      <c r="X284" s="7" t="s">
        <v>7011</v>
      </c>
      <c r="Y284" s="7" t="s">
        <v>377</v>
      </c>
      <c r="Z284" s="7" t="s">
        <v>378</v>
      </c>
      <c r="AA284" s="7"/>
      <c r="AB284" s="7"/>
      <c r="AC284" s="7"/>
      <c r="AD284" s="7"/>
      <c r="AE284" s="6" t="s">
        <v>12355</v>
      </c>
      <c r="AF284" s="45">
        <v>45156.617800925924</v>
      </c>
      <c r="AG284" s="7" t="s">
        <v>15520</v>
      </c>
      <c r="AH284" s="46" t="s">
        <v>15521</v>
      </c>
      <c r="AI284" s="7"/>
      <c r="AJ284" s="7"/>
      <c r="AK284" s="7" t="b">
        <v>0</v>
      </c>
      <c r="AL284" s="7" t="b">
        <v>0</v>
      </c>
      <c r="AM284" s="7"/>
      <c r="AN284" s="6" t="s">
        <v>7008</v>
      </c>
      <c r="AO284" s="6">
        <v>2231.0</v>
      </c>
      <c r="AP284" s="6"/>
      <c r="AQ284" s="6" t="b">
        <v>1</v>
      </c>
      <c r="AR284" s="6" t="s">
        <v>15522</v>
      </c>
      <c r="AS284" s="6" t="s">
        <v>12303</v>
      </c>
    </row>
    <row r="285" ht="15.75" customHeight="1">
      <c r="A285" s="7" t="s">
        <v>7020</v>
      </c>
      <c r="B285" s="7" t="s">
        <v>7009</v>
      </c>
      <c r="C285" s="7" t="s">
        <v>58</v>
      </c>
      <c r="D285" s="7" t="s">
        <v>453</v>
      </c>
      <c r="E285" s="7" t="s">
        <v>454</v>
      </c>
      <c r="F285" s="7">
        <v>2.0</v>
      </c>
      <c r="G285" s="7" t="s">
        <v>455</v>
      </c>
      <c r="H285" s="7" t="s">
        <v>788</v>
      </c>
      <c r="I285" s="7" t="s">
        <v>578</v>
      </c>
      <c r="J285" s="7">
        <v>71.0</v>
      </c>
      <c r="K285" s="7" t="s">
        <v>15517</v>
      </c>
      <c r="L285" s="7">
        <v>97430.0</v>
      </c>
      <c r="M285" s="7" t="s">
        <v>71</v>
      </c>
      <c r="N285" s="7"/>
      <c r="O285" s="7" t="s">
        <v>7018</v>
      </c>
      <c r="P285" s="42" t="s">
        <v>7012</v>
      </c>
      <c r="Q285" s="43" t="s">
        <v>15519</v>
      </c>
      <c r="R285" s="50"/>
      <c r="S285" s="51"/>
      <c r="T285" s="7" t="s">
        <v>7023</v>
      </c>
      <c r="U285" s="7"/>
      <c r="V285" s="7" t="s">
        <v>7014</v>
      </c>
      <c r="W285" s="6" t="s">
        <v>15523</v>
      </c>
      <c r="X285" s="7" t="s">
        <v>7022</v>
      </c>
      <c r="Y285" s="7" t="s">
        <v>377</v>
      </c>
      <c r="Z285" s="7" t="s">
        <v>353</v>
      </c>
      <c r="AA285" s="7" t="s">
        <v>7024</v>
      </c>
      <c r="AB285" s="7" t="s">
        <v>1829</v>
      </c>
      <c r="AC285" s="7"/>
      <c r="AD285" s="7"/>
      <c r="AE285" s="6" t="s">
        <v>12355</v>
      </c>
      <c r="AF285" s="45">
        <v>45156.61211805556</v>
      </c>
      <c r="AG285" s="7" t="s">
        <v>15520</v>
      </c>
      <c r="AH285" s="46" t="s">
        <v>15524</v>
      </c>
      <c r="AI285" s="7"/>
      <c r="AJ285" s="7"/>
      <c r="AK285" s="7" t="b">
        <v>0</v>
      </c>
      <c r="AL285" s="7" t="b">
        <v>0</v>
      </c>
      <c r="AM285" s="6" t="s">
        <v>7025</v>
      </c>
      <c r="AN285" s="6" t="s">
        <v>7020</v>
      </c>
      <c r="AO285" s="6">
        <v>1785.0</v>
      </c>
      <c r="AP285" s="6"/>
      <c r="AQ285" s="6" t="b">
        <v>1</v>
      </c>
      <c r="AR285" s="6" t="s">
        <v>15525</v>
      </c>
      <c r="AS285" s="6" t="s">
        <v>12303</v>
      </c>
    </row>
    <row r="286" ht="15.75" customHeight="1">
      <c r="A286" s="7" t="s">
        <v>6583</v>
      </c>
      <c r="B286" s="7" t="s">
        <v>6584</v>
      </c>
      <c r="C286" s="7" t="s">
        <v>58</v>
      </c>
      <c r="D286" s="7" t="s">
        <v>453</v>
      </c>
      <c r="E286" s="7" t="s">
        <v>454</v>
      </c>
      <c r="F286" s="7">
        <v>6.0</v>
      </c>
      <c r="G286" s="7" t="s">
        <v>407</v>
      </c>
      <c r="H286" s="7"/>
      <c r="I286" s="7"/>
      <c r="J286" s="7">
        <v>39.0</v>
      </c>
      <c r="K286" s="7" t="s">
        <v>15526</v>
      </c>
      <c r="L286" s="7">
        <v>97480.0</v>
      </c>
      <c r="M286" s="7" t="s">
        <v>123</v>
      </c>
      <c r="N286" s="7" t="s">
        <v>8373</v>
      </c>
      <c r="O286" s="7" t="s">
        <v>6594</v>
      </c>
      <c r="P286" s="42" t="s">
        <v>6587</v>
      </c>
      <c r="Q286" s="43" t="s">
        <v>15527</v>
      </c>
      <c r="R286" s="50"/>
      <c r="S286" s="51"/>
      <c r="T286" s="7" t="s">
        <v>6589</v>
      </c>
      <c r="U286" s="7" t="s">
        <v>6588</v>
      </c>
      <c r="V286" s="7" t="s">
        <v>6590</v>
      </c>
      <c r="W286" s="6" t="s">
        <v>15528</v>
      </c>
      <c r="X286" s="7"/>
      <c r="Y286" s="7" t="s">
        <v>1076</v>
      </c>
      <c r="Z286" s="7" t="s">
        <v>378</v>
      </c>
      <c r="AA286" s="7"/>
      <c r="AB286" s="7"/>
      <c r="AC286" s="7">
        <v>7.8945739700022E13</v>
      </c>
      <c r="AD286" s="7">
        <v>7.89457397E8</v>
      </c>
      <c r="AE286" s="6" t="s">
        <v>12355</v>
      </c>
      <c r="AF286" s="45">
        <v>45156.58495370371</v>
      </c>
      <c r="AG286" s="7" t="s">
        <v>15529</v>
      </c>
      <c r="AH286" s="46" t="s">
        <v>15530</v>
      </c>
      <c r="AI286" s="7"/>
      <c r="AJ286" s="7"/>
      <c r="AK286" s="7" t="b">
        <v>0</v>
      </c>
      <c r="AL286" s="7" t="b">
        <v>0</v>
      </c>
      <c r="AM286" s="6" t="s">
        <v>6595</v>
      </c>
      <c r="AN286" s="6" t="s">
        <v>6583</v>
      </c>
      <c r="AO286" s="6">
        <v>4538.0</v>
      </c>
      <c r="AP286" s="6"/>
      <c r="AQ286" s="6" t="b">
        <v>1</v>
      </c>
      <c r="AR286" s="6" t="s">
        <v>15531</v>
      </c>
      <c r="AS286" s="6" t="s">
        <v>12303</v>
      </c>
    </row>
    <row r="287" ht="15.75" customHeight="1">
      <c r="A287" s="7" t="s">
        <v>9946</v>
      </c>
      <c r="B287" s="7" t="s">
        <v>9947</v>
      </c>
      <c r="C287" s="7" t="s">
        <v>34</v>
      </c>
      <c r="D287" s="7"/>
      <c r="E287" s="7" t="s">
        <v>5053</v>
      </c>
      <c r="F287" s="7"/>
      <c r="G287" s="7"/>
      <c r="H287" s="7"/>
      <c r="I287" s="7"/>
      <c r="J287" s="7"/>
      <c r="K287" s="7" t="s">
        <v>40</v>
      </c>
      <c r="L287" s="7">
        <v>97414.0</v>
      </c>
      <c r="M287" s="7" t="s">
        <v>40</v>
      </c>
      <c r="N287" s="7"/>
      <c r="O287" s="7" t="s">
        <v>4237</v>
      </c>
      <c r="P287" s="42"/>
      <c r="Q287" s="50"/>
      <c r="R287" s="50"/>
      <c r="S287" s="51"/>
      <c r="T287" s="7"/>
      <c r="U287" s="7"/>
      <c r="V287" s="7"/>
      <c r="W287" s="7"/>
      <c r="X287" s="7"/>
      <c r="Y287" s="7"/>
      <c r="Z287" s="7"/>
      <c r="AA287" s="7"/>
      <c r="AB287" s="7"/>
      <c r="AC287" s="7"/>
      <c r="AD287" s="7"/>
      <c r="AE287" s="6" t="s">
        <v>12355</v>
      </c>
      <c r="AF287" s="45">
        <v>45155.61644675926</v>
      </c>
      <c r="AG287" s="7" t="s">
        <v>15532</v>
      </c>
      <c r="AH287" s="46" t="s">
        <v>15533</v>
      </c>
      <c r="AI287" s="7"/>
      <c r="AJ287" s="7"/>
      <c r="AK287" s="7" t="b">
        <v>0</v>
      </c>
      <c r="AL287" s="7" t="b">
        <v>0</v>
      </c>
      <c r="AM287" s="7"/>
      <c r="AN287" s="6" t="s">
        <v>9946</v>
      </c>
      <c r="AO287" s="7"/>
      <c r="AP287" s="7"/>
      <c r="AQ287" s="6" t="b">
        <v>0</v>
      </c>
      <c r="AR287" s="6"/>
      <c r="AS287" s="48" t="s">
        <v>12303</v>
      </c>
    </row>
    <row r="288" ht="15.75" customHeight="1">
      <c r="A288" s="9" t="s">
        <v>11963</v>
      </c>
      <c r="B288" s="9" t="s">
        <v>15534</v>
      </c>
      <c r="C288" s="9" t="s">
        <v>117</v>
      </c>
      <c r="D288" s="9" t="s">
        <v>197</v>
      </c>
      <c r="E288" s="9" t="s">
        <v>15535</v>
      </c>
      <c r="F288" s="9"/>
      <c r="G288" s="9" t="s">
        <v>455</v>
      </c>
      <c r="I288" s="9"/>
      <c r="J288" s="52" t="s">
        <v>15536</v>
      </c>
      <c r="K288" s="9" t="s">
        <v>15537</v>
      </c>
      <c r="L288" s="9">
        <v>97430.0</v>
      </c>
      <c r="M288" s="9" t="s">
        <v>71</v>
      </c>
      <c r="N288" s="9" t="s">
        <v>15538</v>
      </c>
      <c r="O288" s="9" t="s">
        <v>15539</v>
      </c>
      <c r="P288" s="53" t="s">
        <v>15540</v>
      </c>
      <c r="Q288" s="49" t="s">
        <v>15541</v>
      </c>
      <c r="R288" s="50"/>
      <c r="S288" s="59"/>
      <c r="T288" s="9" t="s">
        <v>15542</v>
      </c>
      <c r="U288" s="9" t="s">
        <v>15543</v>
      </c>
      <c r="V288" s="9" t="s">
        <v>15544</v>
      </c>
      <c r="W288" s="9" t="s">
        <v>15545</v>
      </c>
      <c r="X288" s="9" t="s">
        <v>15546</v>
      </c>
      <c r="Y288" s="9" t="s">
        <v>8231</v>
      </c>
      <c r="Z288" s="9" t="s">
        <v>353</v>
      </c>
      <c r="AC288" s="9">
        <v>9.0307601600018E13</v>
      </c>
      <c r="AD288" s="9">
        <v>9.03076016E8</v>
      </c>
      <c r="AE288" s="9" t="s">
        <v>401</v>
      </c>
      <c r="AF288" s="55">
        <v>45154.48563657407</v>
      </c>
      <c r="AG288" s="9" t="s">
        <v>15547</v>
      </c>
      <c r="AH288" s="9" t="s">
        <v>15548</v>
      </c>
      <c r="AJ288" s="9"/>
      <c r="AK288" s="9" t="b">
        <v>0</v>
      </c>
      <c r="AL288" s="9" t="b">
        <v>0</v>
      </c>
      <c r="AM288" s="9"/>
      <c r="AN288" s="9" t="s">
        <v>11963</v>
      </c>
      <c r="AP288" s="56">
        <v>45154.0</v>
      </c>
      <c r="AQ288" s="9" t="b">
        <v>0</v>
      </c>
      <c r="AR288" s="9"/>
    </row>
    <row r="289" ht="15.75" customHeight="1">
      <c r="A289" s="9" t="s">
        <v>11694</v>
      </c>
      <c r="B289" s="9" t="s">
        <v>15549</v>
      </c>
      <c r="C289" s="9" t="s">
        <v>34</v>
      </c>
      <c r="D289" s="9" t="s">
        <v>485</v>
      </c>
      <c r="E289" s="9" t="s">
        <v>486</v>
      </c>
      <c r="F289" s="9"/>
      <c r="G289" s="9" t="s">
        <v>455</v>
      </c>
      <c r="I289" s="9"/>
      <c r="J289" s="52" t="s">
        <v>15536</v>
      </c>
      <c r="K289" s="9" t="s">
        <v>15550</v>
      </c>
      <c r="L289" s="9">
        <v>97430.0</v>
      </c>
      <c r="M289" s="9" t="s">
        <v>71</v>
      </c>
      <c r="N289" s="9" t="s">
        <v>15538</v>
      </c>
      <c r="O289" s="9" t="s">
        <v>15551</v>
      </c>
      <c r="P289" s="53" t="s">
        <v>15540</v>
      </c>
      <c r="Q289" s="49" t="s">
        <v>15552</v>
      </c>
      <c r="R289" s="50"/>
      <c r="S289" s="59"/>
      <c r="T289" s="9" t="s">
        <v>15553</v>
      </c>
      <c r="U289" s="9" t="s">
        <v>15554</v>
      </c>
      <c r="V289" s="9" t="s">
        <v>15544</v>
      </c>
      <c r="W289" s="9" t="s">
        <v>15555</v>
      </c>
      <c r="X289" s="9" t="s">
        <v>15556</v>
      </c>
      <c r="Y289" s="9" t="s">
        <v>8231</v>
      </c>
      <c r="Z289" s="9" t="s">
        <v>353</v>
      </c>
      <c r="AC289" s="9">
        <v>9.0307601600018E13</v>
      </c>
      <c r="AD289" s="9">
        <v>9.03076016E8</v>
      </c>
      <c r="AE289" s="9" t="s">
        <v>401</v>
      </c>
      <c r="AF289" s="55">
        <v>45442.46896990741</v>
      </c>
      <c r="AG289" s="9" t="s">
        <v>15547</v>
      </c>
      <c r="AH289" s="9" t="s">
        <v>15557</v>
      </c>
      <c r="AJ289" s="9" t="s">
        <v>15558</v>
      </c>
      <c r="AK289" s="9" t="b">
        <v>0</v>
      </c>
      <c r="AL289" s="9" t="b">
        <v>0</v>
      </c>
      <c r="AM289" s="9"/>
      <c r="AN289" s="9" t="s">
        <v>11694</v>
      </c>
      <c r="AP289" s="56">
        <v>45154.0</v>
      </c>
      <c r="AQ289" s="9" t="b">
        <v>0</v>
      </c>
      <c r="AR289" s="9"/>
    </row>
    <row r="290" ht="15.75" customHeight="1">
      <c r="A290" s="7" t="s">
        <v>9749</v>
      </c>
      <c r="B290" s="6" t="s">
        <v>15559</v>
      </c>
      <c r="C290" s="7" t="s">
        <v>34</v>
      </c>
      <c r="D290" s="7" t="s">
        <v>622</v>
      </c>
      <c r="E290" s="7" t="s">
        <v>622</v>
      </c>
      <c r="F290" s="7"/>
      <c r="G290" s="7"/>
      <c r="H290" s="7"/>
      <c r="I290" s="7"/>
      <c r="J290" s="7">
        <v>12.0</v>
      </c>
      <c r="K290" s="7" t="s">
        <v>15560</v>
      </c>
      <c r="L290" s="7">
        <v>97414.0</v>
      </c>
      <c r="M290" s="7" t="s">
        <v>40</v>
      </c>
      <c r="N290" s="7"/>
      <c r="O290" s="6" t="s">
        <v>15561</v>
      </c>
      <c r="P290" s="53" t="s">
        <v>9752</v>
      </c>
      <c r="Q290" s="49" t="s">
        <v>15562</v>
      </c>
      <c r="R290" s="50"/>
      <c r="S290" s="51"/>
      <c r="T290" s="7"/>
      <c r="U290" s="6" t="s">
        <v>15563</v>
      </c>
      <c r="V290" s="7"/>
      <c r="W290" s="6" t="s">
        <v>15564</v>
      </c>
      <c r="X290" s="7"/>
      <c r="Y290" s="7" t="s">
        <v>2938</v>
      </c>
      <c r="Z290" s="7" t="s">
        <v>592</v>
      </c>
      <c r="AA290" s="7"/>
      <c r="AB290" s="7"/>
      <c r="AC290" s="7">
        <v>5.0297938800035E13</v>
      </c>
      <c r="AD290" s="7">
        <v>5.02979388E8</v>
      </c>
      <c r="AE290" s="7" t="s">
        <v>401</v>
      </c>
      <c r="AF290" s="45">
        <v>45442.47423611111</v>
      </c>
      <c r="AG290" s="7" t="s">
        <v>15565</v>
      </c>
      <c r="AH290" s="46" t="s">
        <v>15566</v>
      </c>
      <c r="AI290" s="7"/>
      <c r="AJ290" s="6" t="s">
        <v>15567</v>
      </c>
      <c r="AK290" s="6" t="b">
        <v>1</v>
      </c>
      <c r="AL290" s="7" t="b">
        <v>0</v>
      </c>
      <c r="AM290" s="7"/>
      <c r="AN290" s="6" t="s">
        <v>9749</v>
      </c>
      <c r="AO290" s="7"/>
      <c r="AP290" s="7"/>
      <c r="AQ290" s="6" t="b">
        <v>1</v>
      </c>
      <c r="AR290" s="6"/>
      <c r="AS290" s="48" t="s">
        <v>12303</v>
      </c>
    </row>
    <row r="291" ht="15.75" customHeight="1">
      <c r="A291" s="7" t="s">
        <v>8608</v>
      </c>
      <c r="B291" s="7" t="s">
        <v>8609</v>
      </c>
      <c r="C291" s="7" t="s">
        <v>58</v>
      </c>
      <c r="D291" s="7" t="s">
        <v>59</v>
      </c>
      <c r="E291" s="7" t="s">
        <v>346</v>
      </c>
      <c r="F291" s="7">
        <v>20.0</v>
      </c>
      <c r="G291" s="7" t="s">
        <v>455</v>
      </c>
      <c r="H291" s="7"/>
      <c r="I291" s="6" t="s">
        <v>15568</v>
      </c>
      <c r="J291" s="7">
        <v>31.0</v>
      </c>
      <c r="K291" s="7" t="s">
        <v>15569</v>
      </c>
      <c r="L291" s="7">
        <v>97480.0</v>
      </c>
      <c r="M291" s="7" t="s">
        <v>123</v>
      </c>
      <c r="N291" s="7" t="s">
        <v>206</v>
      </c>
      <c r="O291" s="6" t="s">
        <v>15570</v>
      </c>
      <c r="P291" s="42" t="s">
        <v>8614</v>
      </c>
      <c r="Q291" s="49" t="s">
        <v>15571</v>
      </c>
      <c r="R291" s="50"/>
      <c r="S291" s="47" t="s">
        <v>8611</v>
      </c>
      <c r="T291" s="6" t="s">
        <v>15572</v>
      </c>
      <c r="U291" s="6" t="s">
        <v>15573</v>
      </c>
      <c r="V291" s="6" t="s">
        <v>15574</v>
      </c>
      <c r="W291" s="6" t="s">
        <v>15575</v>
      </c>
      <c r="X291" s="7" t="s">
        <v>8613</v>
      </c>
      <c r="Y291" s="7" t="s">
        <v>377</v>
      </c>
      <c r="Z291" s="6" t="s">
        <v>9276</v>
      </c>
      <c r="AA291" s="7" t="s">
        <v>2399</v>
      </c>
      <c r="AB291" s="7" t="s">
        <v>1590</v>
      </c>
      <c r="AC291" s="7">
        <v>8.3005068800019E13</v>
      </c>
      <c r="AD291" s="7">
        <v>8.30050688E8</v>
      </c>
      <c r="AE291" s="6" t="s">
        <v>401</v>
      </c>
      <c r="AF291" s="45">
        <v>46037.56456018519</v>
      </c>
      <c r="AG291" s="7" t="s">
        <v>15576</v>
      </c>
      <c r="AH291" s="46" t="s">
        <v>15577</v>
      </c>
      <c r="AI291" s="7"/>
      <c r="AJ291" s="6" t="s">
        <v>15578</v>
      </c>
      <c r="AK291" s="6" t="b">
        <v>1</v>
      </c>
      <c r="AL291" s="7" t="b">
        <v>0</v>
      </c>
      <c r="AM291" s="6" t="s">
        <v>8619</v>
      </c>
      <c r="AN291" s="6" t="s">
        <v>8608</v>
      </c>
      <c r="AO291" s="7"/>
      <c r="AP291" s="7"/>
      <c r="AQ291" s="6" t="b">
        <v>0</v>
      </c>
      <c r="AR291" s="6" t="s">
        <v>15579</v>
      </c>
      <c r="AS291" s="6"/>
    </row>
    <row r="292" ht="15.75" customHeight="1">
      <c r="A292" s="9" t="s">
        <v>11744</v>
      </c>
      <c r="B292" s="9" t="s">
        <v>15580</v>
      </c>
      <c r="C292" s="9" t="s">
        <v>58</v>
      </c>
      <c r="D292" s="9" t="s">
        <v>59</v>
      </c>
      <c r="E292" s="9" t="s">
        <v>12384</v>
      </c>
      <c r="F292" s="9">
        <v>4.0</v>
      </c>
      <c r="G292" s="9" t="s">
        <v>375</v>
      </c>
      <c r="H292" s="9" t="s">
        <v>2716</v>
      </c>
      <c r="I292" s="9"/>
      <c r="J292" s="52" t="s">
        <v>14790</v>
      </c>
      <c r="K292" s="9" t="s">
        <v>15581</v>
      </c>
      <c r="L292" s="9">
        <v>97442.0</v>
      </c>
      <c r="M292" s="9" t="s">
        <v>33</v>
      </c>
      <c r="N292" s="9" t="s">
        <v>15582</v>
      </c>
      <c r="O292" s="9" t="s">
        <v>15583</v>
      </c>
      <c r="P292" s="53" t="s">
        <v>15584</v>
      </c>
      <c r="Q292" s="49" t="s">
        <v>15585</v>
      </c>
      <c r="R292" s="50"/>
      <c r="S292" s="58" t="s">
        <v>15586</v>
      </c>
      <c r="T292" s="9" t="s">
        <v>15587</v>
      </c>
      <c r="U292" s="9" t="s">
        <v>15588</v>
      </c>
      <c r="V292" s="9" t="s">
        <v>15589</v>
      </c>
      <c r="W292" s="9" t="s">
        <v>15590</v>
      </c>
      <c r="X292" s="9" t="s">
        <v>15591</v>
      </c>
      <c r="Y292" s="9" t="s">
        <v>15592</v>
      </c>
      <c r="Z292" s="9" t="s">
        <v>592</v>
      </c>
      <c r="AC292" s="9">
        <v>9.1925083700011E13</v>
      </c>
      <c r="AD292" s="9">
        <v>9.19250837E8</v>
      </c>
      <c r="AE292" s="9" t="s">
        <v>401</v>
      </c>
      <c r="AF292" s="55">
        <v>45589.45890046296</v>
      </c>
      <c r="AG292" s="9" t="s">
        <v>15593</v>
      </c>
      <c r="AH292" s="9" t="s">
        <v>15594</v>
      </c>
      <c r="AJ292" s="9" t="s">
        <v>15595</v>
      </c>
      <c r="AK292" s="9" t="b">
        <v>0</v>
      </c>
      <c r="AL292" s="9" t="b">
        <v>0</v>
      </c>
      <c r="AM292" s="9" t="s">
        <v>15596</v>
      </c>
      <c r="AN292" s="9" t="s">
        <v>11744</v>
      </c>
      <c r="AP292" s="56">
        <v>45107.0</v>
      </c>
      <c r="AQ292" s="9" t="b">
        <v>0</v>
      </c>
      <c r="AR292" s="9"/>
    </row>
    <row r="293" ht="15.75" customHeight="1">
      <c r="A293" s="9" t="s">
        <v>12065</v>
      </c>
      <c r="B293" s="9" t="s">
        <v>15597</v>
      </c>
      <c r="C293" s="9" t="s">
        <v>58</v>
      </c>
      <c r="D293" s="9" t="s">
        <v>59</v>
      </c>
      <c r="E293" s="9" t="s">
        <v>12384</v>
      </c>
      <c r="F293" s="9">
        <v>4.0</v>
      </c>
      <c r="G293" s="9" t="s">
        <v>455</v>
      </c>
      <c r="I293" s="9"/>
      <c r="J293" s="52" t="s">
        <v>15598</v>
      </c>
      <c r="K293" s="9" t="s">
        <v>15599</v>
      </c>
      <c r="L293" s="9">
        <v>97442.0</v>
      </c>
      <c r="M293" s="9" t="s">
        <v>33</v>
      </c>
      <c r="N293" s="9" t="s">
        <v>15080</v>
      </c>
      <c r="O293" s="9" t="s">
        <v>15600</v>
      </c>
      <c r="P293" s="53" t="s">
        <v>15601</v>
      </c>
      <c r="Q293" s="49" t="s">
        <v>15602</v>
      </c>
      <c r="R293" s="50"/>
      <c r="S293" s="59"/>
      <c r="T293" s="9" t="s">
        <v>15603</v>
      </c>
      <c r="U293" s="9" t="s">
        <v>15604</v>
      </c>
      <c r="V293" s="9" t="s">
        <v>15605</v>
      </c>
      <c r="W293" s="9" t="s">
        <v>15606</v>
      </c>
      <c r="X293" s="9" t="s">
        <v>15607</v>
      </c>
      <c r="Y293" s="9" t="s">
        <v>12831</v>
      </c>
      <c r="Z293" s="9" t="s">
        <v>353</v>
      </c>
      <c r="AC293" s="9">
        <v>4.2323574500085E13</v>
      </c>
      <c r="AD293" s="9">
        <v>4.23235745E8</v>
      </c>
      <c r="AE293" s="9" t="s">
        <v>401</v>
      </c>
      <c r="AF293" s="55">
        <v>45149.56416666666</v>
      </c>
      <c r="AG293" s="9" t="s">
        <v>15608</v>
      </c>
      <c r="AH293" s="9" t="s">
        <v>15609</v>
      </c>
      <c r="AJ293" s="9"/>
      <c r="AK293" s="9" t="b">
        <v>0</v>
      </c>
      <c r="AL293" s="9" t="b">
        <v>1</v>
      </c>
      <c r="AM293" s="9" t="s">
        <v>15610</v>
      </c>
      <c r="AN293" s="9" t="s">
        <v>12065</v>
      </c>
      <c r="AP293" s="56">
        <v>45149.0</v>
      </c>
      <c r="AQ293" s="9" t="b">
        <v>0</v>
      </c>
      <c r="AR293" s="9"/>
    </row>
    <row r="294" ht="15.75" customHeight="1">
      <c r="A294" s="9" t="s">
        <v>12093</v>
      </c>
      <c r="B294" s="9" t="s">
        <v>15611</v>
      </c>
      <c r="C294" s="9" t="s">
        <v>58</v>
      </c>
      <c r="D294" s="9" t="s">
        <v>59</v>
      </c>
      <c r="E294" s="9" t="s">
        <v>346</v>
      </c>
      <c r="F294" s="9">
        <v>4.0</v>
      </c>
      <c r="I294" s="9"/>
      <c r="J294" s="9" t="s">
        <v>15612</v>
      </c>
      <c r="K294" s="9" t="s">
        <v>15613</v>
      </c>
      <c r="L294" s="9">
        <v>97430.0</v>
      </c>
      <c r="M294" s="9" t="s">
        <v>71</v>
      </c>
      <c r="N294" s="9" t="s">
        <v>3501</v>
      </c>
      <c r="O294" s="9" t="s">
        <v>15614</v>
      </c>
      <c r="P294" s="53" t="s">
        <v>14385</v>
      </c>
      <c r="Q294" s="49" t="s">
        <v>14386</v>
      </c>
      <c r="R294" s="50"/>
      <c r="S294" s="58" t="s">
        <v>14387</v>
      </c>
      <c r="T294" s="9" t="s">
        <v>14388</v>
      </c>
      <c r="U294" s="9" t="s">
        <v>15615</v>
      </c>
      <c r="V294" s="9" t="s">
        <v>14390</v>
      </c>
      <c r="W294" s="9" t="s">
        <v>15616</v>
      </c>
      <c r="X294" s="9" t="s">
        <v>15617</v>
      </c>
      <c r="Y294" s="9" t="s">
        <v>1863</v>
      </c>
      <c r="Z294" s="9" t="s">
        <v>592</v>
      </c>
      <c r="AC294" s="9">
        <v>8.3814000200018E13</v>
      </c>
      <c r="AD294" s="9">
        <v>8.38140002E8</v>
      </c>
      <c r="AE294" s="9" t="s">
        <v>12355</v>
      </c>
      <c r="AF294" s="55">
        <v>45415.49454861111</v>
      </c>
      <c r="AG294" s="9" t="s">
        <v>14393</v>
      </c>
      <c r="AH294" s="9" t="s">
        <v>15618</v>
      </c>
      <c r="AJ294" s="9" t="s">
        <v>15619</v>
      </c>
      <c r="AK294" s="9" t="b">
        <v>0</v>
      </c>
      <c r="AL294" s="9" t="b">
        <v>0</v>
      </c>
      <c r="AM294" s="9" t="s">
        <v>14396</v>
      </c>
      <c r="AN294" s="9" t="s">
        <v>12093</v>
      </c>
      <c r="AP294" s="56">
        <v>45069.0</v>
      </c>
      <c r="AQ294" s="9" t="b">
        <v>0</v>
      </c>
      <c r="AR294" s="9" t="s">
        <v>15620</v>
      </c>
    </row>
    <row r="295" ht="15.75" customHeight="1">
      <c r="A295" s="9" t="s">
        <v>10467</v>
      </c>
      <c r="B295" s="9" t="s">
        <v>15621</v>
      </c>
      <c r="C295" s="9" t="s">
        <v>58</v>
      </c>
      <c r="D295" s="9" t="s">
        <v>59</v>
      </c>
      <c r="E295" s="9" t="s">
        <v>346</v>
      </c>
      <c r="F295" s="9">
        <v>2.0</v>
      </c>
      <c r="J295" s="9" t="s">
        <v>15622</v>
      </c>
      <c r="K295" s="9" t="s">
        <v>14383</v>
      </c>
      <c r="L295" s="9">
        <v>97430.0</v>
      </c>
      <c r="M295" s="9" t="s">
        <v>71</v>
      </c>
      <c r="N295" s="9" t="s">
        <v>3501</v>
      </c>
      <c r="O295" s="9" t="s">
        <v>15623</v>
      </c>
      <c r="P295" s="53" t="s">
        <v>15624</v>
      </c>
      <c r="Q295" s="49" t="s">
        <v>14386</v>
      </c>
      <c r="R295" s="50"/>
      <c r="S295" s="58" t="s">
        <v>14387</v>
      </c>
      <c r="T295" s="9" t="s">
        <v>14388</v>
      </c>
      <c r="U295" s="9" t="s">
        <v>14389</v>
      </c>
      <c r="V295" s="9" t="s">
        <v>14390</v>
      </c>
      <c r="W295" s="9" t="s">
        <v>15616</v>
      </c>
      <c r="X295" s="9" t="s">
        <v>15625</v>
      </c>
      <c r="Y295" s="9" t="s">
        <v>1863</v>
      </c>
      <c r="Z295" s="9" t="s">
        <v>424</v>
      </c>
      <c r="AC295" s="9">
        <v>8.3814000200018E13</v>
      </c>
      <c r="AD295" s="9">
        <v>8.38140002E8</v>
      </c>
      <c r="AE295" s="9" t="s">
        <v>401</v>
      </c>
      <c r="AF295" s="55">
        <v>45149.49306712963</v>
      </c>
      <c r="AG295" s="9" t="s">
        <v>14393</v>
      </c>
      <c r="AH295" s="9" t="s">
        <v>15626</v>
      </c>
      <c r="AJ295" s="9" t="s">
        <v>15627</v>
      </c>
      <c r="AK295" s="9" t="b">
        <v>0</v>
      </c>
      <c r="AL295" s="9" t="b">
        <v>0</v>
      </c>
      <c r="AM295" s="9" t="s">
        <v>14396</v>
      </c>
      <c r="AN295" s="9" t="s">
        <v>10467</v>
      </c>
      <c r="AP295" s="56">
        <v>44733.0</v>
      </c>
      <c r="AQ295" s="9" t="b">
        <v>1</v>
      </c>
      <c r="AR295" s="9" t="s">
        <v>15628</v>
      </c>
    </row>
    <row r="296" ht="15.75" customHeight="1">
      <c r="A296" s="9" t="s">
        <v>10705</v>
      </c>
      <c r="B296" s="9" t="s">
        <v>15629</v>
      </c>
      <c r="C296" s="9" t="s">
        <v>58</v>
      </c>
      <c r="D296" s="9" t="s">
        <v>59</v>
      </c>
      <c r="E296" s="9" t="s">
        <v>346</v>
      </c>
      <c r="F296" s="9">
        <v>6.0</v>
      </c>
      <c r="J296" s="52" t="s">
        <v>13151</v>
      </c>
      <c r="K296" s="9" t="s">
        <v>15630</v>
      </c>
      <c r="L296" s="9">
        <v>97418.0</v>
      </c>
      <c r="M296" s="9" t="s">
        <v>71</v>
      </c>
      <c r="N296" s="9" t="s">
        <v>216</v>
      </c>
      <c r="O296" s="9" t="s">
        <v>15631</v>
      </c>
      <c r="P296" s="53" t="s">
        <v>15632</v>
      </c>
      <c r="Q296" s="49" t="s">
        <v>15633</v>
      </c>
      <c r="R296" s="50"/>
      <c r="S296" s="58" t="s">
        <v>15634</v>
      </c>
      <c r="T296" s="9" t="s">
        <v>15635</v>
      </c>
      <c r="W296" s="9" t="s">
        <v>15636</v>
      </c>
      <c r="Z296" s="9" t="s">
        <v>378</v>
      </c>
      <c r="AE296" s="9" t="s">
        <v>12355</v>
      </c>
      <c r="AF296" s="55">
        <v>45149.46800925926</v>
      </c>
      <c r="AG296" s="19" t="s">
        <v>15637</v>
      </c>
      <c r="AH296" s="9" t="s">
        <v>15638</v>
      </c>
      <c r="AJ296" s="9" t="s">
        <v>15639</v>
      </c>
      <c r="AK296" s="9" t="b">
        <v>0</v>
      </c>
      <c r="AL296" s="9" t="b">
        <v>0</v>
      </c>
      <c r="AM296" s="9" t="s">
        <v>15640</v>
      </c>
      <c r="AN296" s="9" t="s">
        <v>10705</v>
      </c>
      <c r="AP296" s="56">
        <v>44720.0</v>
      </c>
      <c r="AQ296" s="9" t="b">
        <v>0</v>
      </c>
      <c r="AR296" s="9" t="s">
        <v>15641</v>
      </c>
    </row>
    <row r="297" ht="15.75" customHeight="1">
      <c r="A297" s="41" t="s">
        <v>15642</v>
      </c>
      <c r="B297" s="6" t="s">
        <v>15643</v>
      </c>
      <c r="C297" s="6" t="s">
        <v>58</v>
      </c>
      <c r="D297" s="6" t="s">
        <v>59</v>
      </c>
      <c r="E297" s="6" t="s">
        <v>545</v>
      </c>
      <c r="F297" s="6">
        <v>3.0</v>
      </c>
      <c r="G297" s="6" t="s">
        <v>14011</v>
      </c>
      <c r="H297" s="6" t="s">
        <v>2716</v>
      </c>
      <c r="I297" s="7"/>
      <c r="J297" s="41" t="s">
        <v>15598</v>
      </c>
      <c r="K297" s="6" t="s">
        <v>15644</v>
      </c>
      <c r="L297" s="6">
        <v>97442.0</v>
      </c>
      <c r="M297" s="6" t="s">
        <v>33</v>
      </c>
      <c r="N297" s="6" t="s">
        <v>15080</v>
      </c>
      <c r="O297" s="6" t="s">
        <v>15645</v>
      </c>
      <c r="P297" s="53" t="s">
        <v>15601</v>
      </c>
      <c r="Q297" s="49" t="s">
        <v>15646</v>
      </c>
      <c r="R297" s="50"/>
      <c r="S297" s="44" t="s">
        <v>15647</v>
      </c>
      <c r="T297" s="6" t="s">
        <v>15648</v>
      </c>
      <c r="U297" s="6" t="s">
        <v>15649</v>
      </c>
      <c r="V297" s="6" t="s">
        <v>15605</v>
      </c>
      <c r="W297" s="6" t="s">
        <v>15650</v>
      </c>
      <c r="X297" s="6" t="s">
        <v>15651</v>
      </c>
      <c r="Y297" s="6" t="s">
        <v>13011</v>
      </c>
      <c r="Z297" s="6" t="s">
        <v>378</v>
      </c>
      <c r="AA297" s="7"/>
      <c r="AB297" s="7"/>
      <c r="AC297" s="6">
        <v>4.3223574500085E13</v>
      </c>
      <c r="AD297" s="6">
        <v>4.32235745E8</v>
      </c>
      <c r="AE297" s="6" t="s">
        <v>401</v>
      </c>
      <c r="AF297" s="45">
        <v>45659.490949074076</v>
      </c>
      <c r="AG297" s="6" t="s">
        <v>15608</v>
      </c>
      <c r="AH297" s="6" t="s">
        <v>15652</v>
      </c>
      <c r="AI297" s="7"/>
      <c r="AJ297" s="6" t="s">
        <v>15653</v>
      </c>
      <c r="AK297" s="6" t="b">
        <v>0</v>
      </c>
      <c r="AL297" s="6" t="b">
        <v>0</v>
      </c>
      <c r="AM297" s="6" t="s">
        <v>15654</v>
      </c>
      <c r="AN297" s="41" t="s">
        <v>15642</v>
      </c>
      <c r="AO297" s="7"/>
      <c r="AP297" s="65">
        <v>44393.0</v>
      </c>
      <c r="AQ297" s="6" t="b">
        <v>1</v>
      </c>
      <c r="AR297" s="6" t="s">
        <v>15655</v>
      </c>
      <c r="AS297" s="48" t="s">
        <v>12303</v>
      </c>
    </row>
    <row r="298" ht="15.75" customHeight="1">
      <c r="A298" s="7" t="s">
        <v>4011</v>
      </c>
      <c r="B298" s="6" t="s">
        <v>15656</v>
      </c>
      <c r="C298" s="6" t="s">
        <v>117</v>
      </c>
      <c r="D298" s="7" t="s">
        <v>197</v>
      </c>
      <c r="E298" s="7" t="s">
        <v>559</v>
      </c>
      <c r="F298" s="7">
        <v>25.0</v>
      </c>
      <c r="G298" s="7" t="s">
        <v>455</v>
      </c>
      <c r="H298" s="7"/>
      <c r="I298" s="7"/>
      <c r="J298" s="7">
        <v>21.0</v>
      </c>
      <c r="K298" s="7" t="s">
        <v>15657</v>
      </c>
      <c r="L298" s="7">
        <v>97418.0</v>
      </c>
      <c r="M298" s="7" t="s">
        <v>71</v>
      </c>
      <c r="N298" s="7" t="s">
        <v>216</v>
      </c>
      <c r="O298" s="6" t="s">
        <v>15658</v>
      </c>
      <c r="P298" s="53" t="s">
        <v>15659</v>
      </c>
      <c r="Q298" s="49" t="s">
        <v>15660</v>
      </c>
      <c r="R298" s="43" t="s">
        <v>15661</v>
      </c>
      <c r="S298" s="51"/>
      <c r="T298" s="6" t="s">
        <v>15662</v>
      </c>
      <c r="U298" s="7" t="s">
        <v>4015</v>
      </c>
      <c r="V298" s="6" t="s">
        <v>15663</v>
      </c>
      <c r="W298" s="6" t="s">
        <v>15664</v>
      </c>
      <c r="X298" s="6" t="s">
        <v>15665</v>
      </c>
      <c r="Y298" s="7" t="s">
        <v>974</v>
      </c>
      <c r="Z298" s="6" t="s">
        <v>353</v>
      </c>
      <c r="AA298" s="7"/>
      <c r="AB298" s="7"/>
      <c r="AC298" s="6">
        <v>4.345450910001E13</v>
      </c>
      <c r="AD298" s="6">
        <v>4.34545091E8</v>
      </c>
      <c r="AE298" s="6" t="s">
        <v>401</v>
      </c>
      <c r="AF298" s="45">
        <v>45915.412881944445</v>
      </c>
      <c r="AG298" s="7" t="s">
        <v>15666</v>
      </c>
      <c r="AH298" s="46" t="s">
        <v>15667</v>
      </c>
      <c r="AI298" s="7"/>
      <c r="AJ298" s="6" t="s">
        <v>15668</v>
      </c>
      <c r="AK298" s="7" t="b">
        <v>0</v>
      </c>
      <c r="AL298" s="7" t="b">
        <v>0</v>
      </c>
      <c r="AM298" s="7"/>
      <c r="AN298" s="6" t="s">
        <v>4011</v>
      </c>
      <c r="AO298" s="6">
        <v>3016.0</v>
      </c>
      <c r="AP298" s="6"/>
      <c r="AQ298" s="6" t="b">
        <v>1</v>
      </c>
      <c r="AR298" s="6"/>
      <c r="AS298" s="48" t="s">
        <v>12303</v>
      </c>
    </row>
    <row r="299" ht="15.75" customHeight="1">
      <c r="A299" s="7" t="s">
        <v>8291</v>
      </c>
      <c r="B299" s="6" t="s">
        <v>15669</v>
      </c>
      <c r="C299" s="6" t="s">
        <v>117</v>
      </c>
      <c r="D299" s="7" t="s">
        <v>197</v>
      </c>
      <c r="E299" s="6" t="s">
        <v>559</v>
      </c>
      <c r="F299" s="7"/>
      <c r="G299" s="6" t="s">
        <v>455</v>
      </c>
      <c r="H299" s="7"/>
      <c r="I299" s="7"/>
      <c r="J299" s="7">
        <v>3.0</v>
      </c>
      <c r="K299" s="7" t="s">
        <v>15670</v>
      </c>
      <c r="L299" s="7">
        <v>97480.0</v>
      </c>
      <c r="M299" s="7" t="s">
        <v>123</v>
      </c>
      <c r="N299" s="6" t="s">
        <v>8259</v>
      </c>
      <c r="O299" s="7" t="s">
        <v>8298</v>
      </c>
      <c r="P299" s="42" t="s">
        <v>8294</v>
      </c>
      <c r="Q299" s="49" t="s">
        <v>15671</v>
      </c>
      <c r="R299" s="43" t="s">
        <v>15672</v>
      </c>
      <c r="S299" s="51"/>
      <c r="T299" s="6" t="s">
        <v>15673</v>
      </c>
      <c r="U299" s="6" t="s">
        <v>15674</v>
      </c>
      <c r="V299" s="6" t="s">
        <v>15675</v>
      </c>
      <c r="W299" s="6" t="s">
        <v>14892</v>
      </c>
      <c r="X299" s="6" t="s">
        <v>15676</v>
      </c>
      <c r="Y299" s="6" t="s">
        <v>8231</v>
      </c>
      <c r="Z299" s="6" t="s">
        <v>353</v>
      </c>
      <c r="AA299" s="7"/>
      <c r="AB299" s="7"/>
      <c r="AC299" s="6">
        <v>9.1010458700019E13</v>
      </c>
      <c r="AD299" s="6">
        <v>9.10104587E8</v>
      </c>
      <c r="AE299" s="6" t="s">
        <v>401</v>
      </c>
      <c r="AF299" s="45">
        <v>45145.38199074074</v>
      </c>
      <c r="AG299" s="7" t="s">
        <v>15677</v>
      </c>
      <c r="AH299" s="46" t="s">
        <v>15678</v>
      </c>
      <c r="AI299" s="7"/>
      <c r="AJ299" s="6" t="s">
        <v>15679</v>
      </c>
      <c r="AK299" s="7" t="b">
        <v>0</v>
      </c>
      <c r="AL299" s="7" t="b">
        <v>0</v>
      </c>
      <c r="AM299" s="7"/>
      <c r="AN299" s="6" t="s">
        <v>8291</v>
      </c>
      <c r="AO299" s="7"/>
      <c r="AP299" s="7"/>
      <c r="AQ299" s="6" t="b">
        <v>1</v>
      </c>
      <c r="AR299" s="6"/>
      <c r="AS299" s="6" t="s">
        <v>12303</v>
      </c>
    </row>
    <row r="300" ht="15.75" customHeight="1">
      <c r="A300" s="9" t="s">
        <v>11802</v>
      </c>
      <c r="B300" s="9" t="s">
        <v>15680</v>
      </c>
      <c r="C300" s="9" t="s">
        <v>1198</v>
      </c>
      <c r="D300" s="9" t="s">
        <v>1644</v>
      </c>
      <c r="E300" s="9" t="s">
        <v>9717</v>
      </c>
      <c r="F300" s="9">
        <v>5.0</v>
      </c>
      <c r="J300" s="52" t="s">
        <v>14878</v>
      </c>
      <c r="K300" s="9" t="s">
        <v>15681</v>
      </c>
      <c r="L300" s="9">
        <v>97480.0</v>
      </c>
      <c r="M300" s="9" t="s">
        <v>123</v>
      </c>
      <c r="N300" s="9" t="s">
        <v>12446</v>
      </c>
      <c r="O300" s="9" t="s">
        <v>15682</v>
      </c>
      <c r="P300" s="53" t="s">
        <v>15683</v>
      </c>
      <c r="Q300" s="49" t="s">
        <v>15684</v>
      </c>
      <c r="R300" s="50"/>
      <c r="S300" s="58" t="s">
        <v>15685</v>
      </c>
      <c r="T300" s="9" t="s">
        <v>15686</v>
      </c>
      <c r="U300" s="9" t="s">
        <v>15687</v>
      </c>
      <c r="Y300" s="9" t="s">
        <v>15688</v>
      </c>
      <c r="Z300" s="9" t="s">
        <v>353</v>
      </c>
      <c r="AC300" s="9">
        <v>8.3852162300028E13</v>
      </c>
      <c r="AD300" s="9">
        <v>8.38521623E8</v>
      </c>
      <c r="AE300" s="9" t="s">
        <v>401</v>
      </c>
      <c r="AF300" s="55">
        <v>45140.56756944444</v>
      </c>
      <c r="AG300" s="9" t="s">
        <v>15689</v>
      </c>
      <c r="AH300" s="9" t="s">
        <v>15690</v>
      </c>
      <c r="AJ300" s="9" t="s">
        <v>15691</v>
      </c>
      <c r="AK300" s="9" t="b">
        <v>1</v>
      </c>
      <c r="AL300" s="9" t="b">
        <v>0</v>
      </c>
      <c r="AN300" s="9" t="s">
        <v>11802</v>
      </c>
      <c r="AP300" s="56">
        <v>45034.0</v>
      </c>
      <c r="AQ300" s="9" t="b">
        <v>1</v>
      </c>
      <c r="AR300" s="9" t="s">
        <v>15692</v>
      </c>
    </row>
    <row r="301" ht="15.75" customHeight="1">
      <c r="A301" s="7" t="s">
        <v>9411</v>
      </c>
      <c r="B301" s="7" t="s">
        <v>9412</v>
      </c>
      <c r="C301" s="7" t="s">
        <v>58</v>
      </c>
      <c r="D301" s="7" t="s">
        <v>59</v>
      </c>
      <c r="E301" s="6" t="s">
        <v>374</v>
      </c>
      <c r="F301" s="7">
        <v>12.0</v>
      </c>
      <c r="G301" s="6" t="s">
        <v>455</v>
      </c>
      <c r="H301" s="7"/>
      <c r="I301" s="7"/>
      <c r="J301" s="7">
        <v>16.0</v>
      </c>
      <c r="K301" s="7" t="s">
        <v>15693</v>
      </c>
      <c r="L301" s="7">
        <v>97430.0</v>
      </c>
      <c r="M301" s="7" t="s">
        <v>71</v>
      </c>
      <c r="N301" s="7" t="s">
        <v>3501</v>
      </c>
      <c r="O301" s="6" t="s">
        <v>15694</v>
      </c>
      <c r="P301" s="42" t="s">
        <v>15695</v>
      </c>
      <c r="Q301" s="49" t="s">
        <v>15696</v>
      </c>
      <c r="R301" s="50"/>
      <c r="S301" s="51"/>
      <c r="T301" s="6" t="s">
        <v>15697</v>
      </c>
      <c r="U301" s="6" t="s">
        <v>15698</v>
      </c>
      <c r="V301" s="6" t="s">
        <v>15699</v>
      </c>
      <c r="W301" s="6" t="s">
        <v>15700</v>
      </c>
      <c r="X301" s="6" t="s">
        <v>15701</v>
      </c>
      <c r="Y301" s="6" t="s">
        <v>15702</v>
      </c>
      <c r="Z301" s="6" t="s">
        <v>353</v>
      </c>
      <c r="AA301" s="7"/>
      <c r="AB301" s="7"/>
      <c r="AC301" s="6">
        <v>4.4854622600029E13</v>
      </c>
      <c r="AD301" s="6">
        <v>4.48546226E8</v>
      </c>
      <c r="AE301" s="6" t="s">
        <v>401</v>
      </c>
      <c r="AF301" s="45">
        <v>45993.497199074074</v>
      </c>
      <c r="AG301" s="7" t="s">
        <v>15703</v>
      </c>
      <c r="AH301" s="46" t="s">
        <v>15704</v>
      </c>
      <c r="AI301" s="7"/>
      <c r="AJ301" s="6" t="s">
        <v>15705</v>
      </c>
      <c r="AK301" s="7" t="b">
        <v>0</v>
      </c>
      <c r="AL301" s="7" t="b">
        <v>0</v>
      </c>
      <c r="AM301" s="6" t="s">
        <v>9418</v>
      </c>
      <c r="AN301" s="6" t="s">
        <v>9411</v>
      </c>
      <c r="AO301" s="7"/>
      <c r="AP301" s="7"/>
      <c r="AQ301" s="6" t="b">
        <v>0</v>
      </c>
      <c r="AR301" s="6"/>
      <c r="AS301" s="6"/>
    </row>
    <row r="302" ht="15.75" customHeight="1">
      <c r="A302" s="9" t="s">
        <v>270</v>
      </c>
      <c r="B302" s="9" t="s">
        <v>15706</v>
      </c>
      <c r="C302" s="9" t="s">
        <v>117</v>
      </c>
      <c r="D302" s="9" t="s">
        <v>197</v>
      </c>
      <c r="E302" s="9" t="s">
        <v>14250</v>
      </c>
      <c r="F302" s="9">
        <v>10.0</v>
      </c>
      <c r="G302" s="9" t="s">
        <v>455</v>
      </c>
      <c r="I302" s="9"/>
      <c r="J302" s="9" t="s">
        <v>15707</v>
      </c>
      <c r="K302" s="9" t="s">
        <v>15708</v>
      </c>
      <c r="L302" s="9">
        <v>97418.0</v>
      </c>
      <c r="M302" s="9" t="s">
        <v>71</v>
      </c>
      <c r="N302" s="9" t="s">
        <v>216</v>
      </c>
      <c r="O302" s="9" t="s">
        <v>15709</v>
      </c>
      <c r="P302" s="53" t="s">
        <v>15710</v>
      </c>
      <c r="Q302" s="49" t="s">
        <v>15711</v>
      </c>
      <c r="R302" s="50"/>
      <c r="S302" s="58" t="s">
        <v>15712</v>
      </c>
      <c r="T302" s="9" t="s">
        <v>15713</v>
      </c>
      <c r="U302" s="9" t="s">
        <v>15714</v>
      </c>
      <c r="V302" s="9" t="s">
        <v>15715</v>
      </c>
      <c r="W302" s="9" t="s">
        <v>15716</v>
      </c>
      <c r="X302" s="9" t="s">
        <v>15717</v>
      </c>
      <c r="Y302" s="9" t="s">
        <v>8231</v>
      </c>
      <c r="Z302" s="9" t="s">
        <v>353</v>
      </c>
      <c r="AC302" s="9">
        <v>7.5205406400015E13</v>
      </c>
      <c r="AD302" s="9">
        <v>7.52054064E8</v>
      </c>
      <c r="AE302" s="9" t="s">
        <v>401</v>
      </c>
      <c r="AF302" s="55">
        <v>45140.356145833335</v>
      </c>
      <c r="AG302" s="9" t="s">
        <v>15718</v>
      </c>
      <c r="AH302" s="9" t="s">
        <v>15719</v>
      </c>
      <c r="AJ302" s="9"/>
      <c r="AK302" s="9" t="b">
        <v>1</v>
      </c>
      <c r="AL302" s="9" t="b">
        <v>0</v>
      </c>
      <c r="AM302" s="9"/>
      <c r="AN302" s="9" t="s">
        <v>270</v>
      </c>
      <c r="AP302" s="56">
        <v>45086.0</v>
      </c>
      <c r="AQ302" s="9" t="b">
        <v>0</v>
      </c>
      <c r="AR302" s="9" t="s">
        <v>15720</v>
      </c>
    </row>
    <row r="303" ht="15.75" customHeight="1">
      <c r="A303" s="7" t="s">
        <v>9801</v>
      </c>
      <c r="B303" s="7" t="s">
        <v>9802</v>
      </c>
      <c r="C303" s="7" t="s">
        <v>58</v>
      </c>
      <c r="D303" s="7" t="s">
        <v>59</v>
      </c>
      <c r="E303" s="7" t="s">
        <v>9804</v>
      </c>
      <c r="F303" s="7">
        <v>2.0</v>
      </c>
      <c r="G303" s="7"/>
      <c r="H303" s="7" t="s">
        <v>355</v>
      </c>
      <c r="I303" s="7"/>
      <c r="J303" s="7">
        <v>9.0</v>
      </c>
      <c r="K303" s="6" t="s">
        <v>15721</v>
      </c>
      <c r="L303" s="7">
        <v>97430.0</v>
      </c>
      <c r="M303" s="7" t="s">
        <v>71</v>
      </c>
      <c r="N303" s="7"/>
      <c r="O303" s="6" t="s">
        <v>15722</v>
      </c>
      <c r="P303" s="42" t="s">
        <v>1819</v>
      </c>
      <c r="Q303" s="43" t="s">
        <v>15723</v>
      </c>
      <c r="R303" s="43" t="s">
        <v>15724</v>
      </c>
      <c r="S303" s="51"/>
      <c r="T303" s="6" t="s">
        <v>15725</v>
      </c>
      <c r="U303" s="6" t="s">
        <v>15726</v>
      </c>
      <c r="V303" s="7"/>
      <c r="W303" s="7"/>
      <c r="X303" s="7"/>
      <c r="Y303" s="6" t="s">
        <v>15727</v>
      </c>
      <c r="Z303" s="6" t="s">
        <v>15728</v>
      </c>
      <c r="AA303" s="7" t="s">
        <v>4318</v>
      </c>
      <c r="AB303" s="7" t="s">
        <v>9808</v>
      </c>
      <c r="AC303" s="7">
        <v>8.3788306500018E13</v>
      </c>
      <c r="AD303" s="7">
        <v>8.37883065E8</v>
      </c>
      <c r="AE303" s="6" t="s">
        <v>401</v>
      </c>
      <c r="AF303" s="45">
        <v>45138.44466435185</v>
      </c>
      <c r="AG303" s="7" t="s">
        <v>15729</v>
      </c>
      <c r="AH303" s="46" t="s">
        <v>15730</v>
      </c>
      <c r="AI303" s="7"/>
      <c r="AJ303" s="6" t="s">
        <v>15731</v>
      </c>
      <c r="AK303" s="7" t="b">
        <v>0</v>
      </c>
      <c r="AL303" s="7" t="b">
        <v>0</v>
      </c>
      <c r="AM303" s="6" t="s">
        <v>9809</v>
      </c>
      <c r="AN303" s="6" t="s">
        <v>9801</v>
      </c>
      <c r="AO303" s="7"/>
      <c r="AP303" s="7"/>
      <c r="AQ303" s="6" t="b">
        <v>1</v>
      </c>
      <c r="AR303" s="6" t="s">
        <v>13818</v>
      </c>
      <c r="AS303" s="6"/>
    </row>
    <row r="304" ht="15.75" customHeight="1">
      <c r="A304" s="7" t="s">
        <v>1747</v>
      </c>
      <c r="B304" s="7" t="s">
        <v>15732</v>
      </c>
      <c r="C304" s="7" t="s">
        <v>58</v>
      </c>
      <c r="D304" s="7" t="s">
        <v>59</v>
      </c>
      <c r="E304" s="7" t="s">
        <v>545</v>
      </c>
      <c r="F304" s="7">
        <v>6.0</v>
      </c>
      <c r="G304" s="7" t="s">
        <v>455</v>
      </c>
      <c r="H304" s="7"/>
      <c r="I304" s="7"/>
      <c r="J304" s="7">
        <v>81.0</v>
      </c>
      <c r="K304" s="6" t="s">
        <v>15733</v>
      </c>
      <c r="L304" s="7">
        <v>97442.0</v>
      </c>
      <c r="M304" s="7" t="s">
        <v>33</v>
      </c>
      <c r="N304" s="7"/>
      <c r="O304" s="6" t="s">
        <v>15734</v>
      </c>
      <c r="P304" s="42" t="s">
        <v>1751</v>
      </c>
      <c r="Q304" s="43" t="s">
        <v>15735</v>
      </c>
      <c r="R304" s="43" t="s">
        <v>15736</v>
      </c>
      <c r="S304" s="51"/>
      <c r="T304" s="7" t="s">
        <v>1753</v>
      </c>
      <c r="U304" s="7" t="s">
        <v>1752</v>
      </c>
      <c r="V304" s="7" t="s">
        <v>1754</v>
      </c>
      <c r="W304" s="6" t="s">
        <v>15737</v>
      </c>
      <c r="X304" s="7"/>
      <c r="Y304" s="7" t="s">
        <v>377</v>
      </c>
      <c r="Z304" s="7" t="s">
        <v>424</v>
      </c>
      <c r="AA304" s="7"/>
      <c r="AB304" s="7"/>
      <c r="AC304" s="6">
        <v>5.2123087000029E13</v>
      </c>
      <c r="AD304" s="6">
        <v>5.2123087E8</v>
      </c>
      <c r="AE304" s="6" t="s">
        <v>401</v>
      </c>
      <c r="AF304" s="45">
        <v>45995.39240740741</v>
      </c>
      <c r="AG304" s="7" t="s">
        <v>15738</v>
      </c>
      <c r="AH304" s="46" t="s">
        <v>15739</v>
      </c>
      <c r="AI304" s="7"/>
      <c r="AJ304" s="6" t="s">
        <v>15740</v>
      </c>
      <c r="AK304" s="7" t="b">
        <v>0</v>
      </c>
      <c r="AL304" s="7" t="b">
        <v>0</v>
      </c>
      <c r="AM304" s="6" t="s">
        <v>1759</v>
      </c>
      <c r="AN304" s="6" t="s">
        <v>1747</v>
      </c>
      <c r="AO304" s="6">
        <v>3542.0</v>
      </c>
      <c r="AP304" s="6"/>
      <c r="AQ304" s="6" t="b">
        <v>1</v>
      </c>
      <c r="AR304" s="6"/>
      <c r="AS304" s="48" t="s">
        <v>12303</v>
      </c>
    </row>
    <row r="305" ht="15.75" customHeight="1">
      <c r="A305" s="9" t="s">
        <v>10707</v>
      </c>
      <c r="B305" s="9" t="s">
        <v>15741</v>
      </c>
      <c r="C305" s="9" t="s">
        <v>58</v>
      </c>
      <c r="D305" s="9" t="s">
        <v>59</v>
      </c>
      <c r="F305" s="9">
        <v>7.0</v>
      </c>
      <c r="J305" s="9" t="s">
        <v>15742</v>
      </c>
      <c r="K305" s="9" t="s">
        <v>15743</v>
      </c>
      <c r="L305" s="9">
        <v>97414.0</v>
      </c>
      <c r="M305" s="9" t="s">
        <v>40</v>
      </c>
      <c r="O305" s="9" t="s">
        <v>15744</v>
      </c>
      <c r="P305" s="53" t="s">
        <v>15745</v>
      </c>
      <c r="Q305" s="49" t="s">
        <v>15746</v>
      </c>
      <c r="R305" s="50"/>
      <c r="S305" s="58" t="s">
        <v>15747</v>
      </c>
      <c r="T305" s="9" t="s">
        <v>15748</v>
      </c>
      <c r="U305" s="9" t="s">
        <v>15749</v>
      </c>
      <c r="Y305" s="9" t="s">
        <v>15750</v>
      </c>
      <c r="Z305" s="9" t="s">
        <v>353</v>
      </c>
      <c r="AC305" s="9">
        <v>9.1755002200011E13</v>
      </c>
      <c r="AD305" s="9">
        <v>9.17550022E8</v>
      </c>
      <c r="AE305" s="9" t="s">
        <v>12355</v>
      </c>
      <c r="AF305" s="55">
        <v>45532.45890046296</v>
      </c>
      <c r="AG305" s="9" t="s">
        <v>15751</v>
      </c>
      <c r="AH305" s="9" t="s">
        <v>15752</v>
      </c>
      <c r="AJ305" s="9" t="s">
        <v>15753</v>
      </c>
      <c r="AK305" s="9" t="b">
        <v>0</v>
      </c>
      <c r="AL305" s="9" t="b">
        <v>0</v>
      </c>
      <c r="AM305" s="9" t="s">
        <v>15754</v>
      </c>
      <c r="AN305" s="9" t="s">
        <v>10707</v>
      </c>
      <c r="AP305" s="56">
        <v>45048.0</v>
      </c>
      <c r="AQ305" s="9" t="b">
        <v>0</v>
      </c>
      <c r="AR305" s="9" t="s">
        <v>15755</v>
      </c>
    </row>
    <row r="306" ht="15.75" customHeight="1">
      <c r="A306" s="9" t="s">
        <v>12041</v>
      </c>
      <c r="B306" s="9" t="s">
        <v>420</v>
      </c>
      <c r="C306" s="9" t="s">
        <v>58</v>
      </c>
      <c r="D306" s="9" t="s">
        <v>59</v>
      </c>
      <c r="E306" s="9" t="s">
        <v>374</v>
      </c>
      <c r="F306" s="9">
        <v>4.0</v>
      </c>
      <c r="G306" s="9" t="s">
        <v>422</v>
      </c>
      <c r="J306" s="52" t="s">
        <v>15756</v>
      </c>
      <c r="K306" s="9" t="s">
        <v>15757</v>
      </c>
      <c r="L306" s="9">
        <v>97414.0</v>
      </c>
      <c r="M306" s="9" t="s">
        <v>40</v>
      </c>
      <c r="N306" s="9" t="s">
        <v>40</v>
      </c>
      <c r="O306" s="9" t="s">
        <v>15758</v>
      </c>
      <c r="P306" s="53" t="s">
        <v>425</v>
      </c>
      <c r="Q306" s="49" t="s">
        <v>15759</v>
      </c>
      <c r="R306" s="50"/>
      <c r="S306" s="54"/>
      <c r="T306" s="9" t="s">
        <v>15760</v>
      </c>
      <c r="U306" s="9" t="s">
        <v>15761</v>
      </c>
      <c r="V306" s="9" t="s">
        <v>15762</v>
      </c>
      <c r="W306" s="9" t="s">
        <v>15763</v>
      </c>
      <c r="X306" s="9" t="s">
        <v>15764</v>
      </c>
      <c r="Y306" s="9" t="s">
        <v>499</v>
      </c>
      <c r="Z306" s="9" t="s">
        <v>592</v>
      </c>
      <c r="AE306" s="9" t="s">
        <v>5287</v>
      </c>
      <c r="AF306" s="60">
        <v>45887.41721064815</v>
      </c>
      <c r="AG306" s="9" t="s">
        <v>15765</v>
      </c>
      <c r="AH306" s="9" t="s">
        <v>15766</v>
      </c>
      <c r="AJ306" s="9" t="s">
        <v>15767</v>
      </c>
      <c r="AK306" s="9" t="b">
        <v>0</v>
      </c>
      <c r="AL306" s="9" t="b">
        <v>0</v>
      </c>
      <c r="AM306" s="9" t="s">
        <v>431</v>
      </c>
      <c r="AN306" s="9" t="s">
        <v>12041</v>
      </c>
      <c r="AP306" s="61">
        <v>44515.0</v>
      </c>
      <c r="AQ306" s="9" t="b">
        <v>0</v>
      </c>
      <c r="AR306" s="9" t="s">
        <v>15768</v>
      </c>
      <c r="AS306" s="48" t="s">
        <v>12303</v>
      </c>
    </row>
    <row r="307" ht="15.75" customHeight="1">
      <c r="A307" s="9" t="s">
        <v>11413</v>
      </c>
      <c r="B307" s="9" t="s">
        <v>15769</v>
      </c>
      <c r="C307" s="9" t="s">
        <v>58</v>
      </c>
      <c r="D307" s="9" t="s">
        <v>59</v>
      </c>
      <c r="E307" s="9" t="s">
        <v>346</v>
      </c>
      <c r="F307" s="9">
        <v>12.0</v>
      </c>
      <c r="G307" s="9" t="s">
        <v>455</v>
      </c>
      <c r="I307" s="9"/>
      <c r="J307" s="52" t="s">
        <v>15770</v>
      </c>
      <c r="K307" s="9" t="s">
        <v>15771</v>
      </c>
      <c r="L307" s="9">
        <v>97430.0</v>
      </c>
      <c r="M307" s="9" t="s">
        <v>71</v>
      </c>
      <c r="N307" s="9" t="s">
        <v>3501</v>
      </c>
      <c r="O307" s="9" t="s">
        <v>15772</v>
      </c>
      <c r="P307" s="53" t="s">
        <v>15773</v>
      </c>
      <c r="Q307" s="49" t="s">
        <v>15774</v>
      </c>
      <c r="R307" s="50"/>
      <c r="S307" s="58" t="s">
        <v>15775</v>
      </c>
      <c r="T307" s="9" t="s">
        <v>15776</v>
      </c>
      <c r="U307" s="9" t="s">
        <v>15777</v>
      </c>
      <c r="V307" s="9" t="s">
        <v>15778</v>
      </c>
      <c r="W307" s="9" t="s">
        <v>15779</v>
      </c>
      <c r="X307" s="9" t="s">
        <v>15780</v>
      </c>
      <c r="Y307" s="9" t="s">
        <v>15781</v>
      </c>
      <c r="Z307" s="9" t="s">
        <v>592</v>
      </c>
      <c r="AC307" s="9">
        <v>9.5222789000011E13</v>
      </c>
      <c r="AD307" s="9">
        <v>9.5222789E8</v>
      </c>
      <c r="AE307" s="9" t="s">
        <v>401</v>
      </c>
      <c r="AF307" s="55">
        <v>45131.419490740744</v>
      </c>
      <c r="AG307" s="9" t="s">
        <v>15782</v>
      </c>
      <c r="AH307" s="9" t="s">
        <v>15783</v>
      </c>
      <c r="AJ307" s="9"/>
      <c r="AK307" s="9" t="b">
        <v>1</v>
      </c>
      <c r="AL307" s="9" t="b">
        <v>0</v>
      </c>
      <c r="AM307" s="9" t="s">
        <v>15784</v>
      </c>
      <c r="AN307" s="9" t="s">
        <v>11413</v>
      </c>
      <c r="AP307" s="56">
        <v>45114.0</v>
      </c>
      <c r="AQ307" s="9" t="b">
        <v>0</v>
      </c>
      <c r="AR307" s="9"/>
    </row>
    <row r="308" ht="15.75" customHeight="1">
      <c r="A308" s="9" t="s">
        <v>10472</v>
      </c>
      <c r="B308" s="9" t="s">
        <v>15785</v>
      </c>
      <c r="C308" s="9" t="s">
        <v>58</v>
      </c>
      <c r="D308" s="9" t="s">
        <v>59</v>
      </c>
      <c r="F308" s="9">
        <v>6.0</v>
      </c>
      <c r="J308" s="52" t="s">
        <v>15167</v>
      </c>
      <c r="K308" s="9" t="s">
        <v>15786</v>
      </c>
      <c r="L308" s="9">
        <v>97480.0</v>
      </c>
      <c r="M308" s="9" t="s">
        <v>123</v>
      </c>
      <c r="N308" s="9" t="s">
        <v>8747</v>
      </c>
      <c r="O308" s="9" t="s">
        <v>15787</v>
      </c>
      <c r="P308" s="53" t="s">
        <v>15788</v>
      </c>
      <c r="Q308" s="49" t="s">
        <v>15789</v>
      </c>
      <c r="R308" s="50"/>
      <c r="S308" s="54"/>
      <c r="T308" s="9" t="s">
        <v>15790</v>
      </c>
      <c r="U308" s="9" t="s">
        <v>15791</v>
      </c>
      <c r="W308" s="9" t="s">
        <v>15792</v>
      </c>
      <c r="X308" s="9" t="s">
        <v>15793</v>
      </c>
      <c r="Z308" s="9" t="s">
        <v>353</v>
      </c>
      <c r="AC308" s="9">
        <v>9.09722563E8</v>
      </c>
      <c r="AD308" s="9">
        <v>9.09722563E8</v>
      </c>
      <c r="AE308" s="9" t="s">
        <v>401</v>
      </c>
      <c r="AF308" s="55">
        <v>45849.44162037037</v>
      </c>
      <c r="AG308" s="9" t="s">
        <v>15794</v>
      </c>
      <c r="AH308" s="9" t="s">
        <v>15795</v>
      </c>
      <c r="AJ308" s="9" t="s">
        <v>15796</v>
      </c>
      <c r="AK308" s="9" t="b">
        <v>0</v>
      </c>
      <c r="AL308" s="9" t="b">
        <v>0</v>
      </c>
      <c r="AM308" s="9" t="s">
        <v>15797</v>
      </c>
      <c r="AN308" s="9" t="s">
        <v>10472</v>
      </c>
      <c r="AP308" s="56">
        <v>44929.0</v>
      </c>
      <c r="AQ308" s="9" t="b">
        <v>0</v>
      </c>
      <c r="AR308" s="9" t="s">
        <v>15798</v>
      </c>
    </row>
    <row r="309" ht="15.75" customHeight="1">
      <c r="A309" s="7" t="s">
        <v>540</v>
      </c>
      <c r="B309" s="7" t="s">
        <v>15799</v>
      </c>
      <c r="C309" s="7" t="s">
        <v>58</v>
      </c>
      <c r="D309" s="7" t="s">
        <v>59</v>
      </c>
      <c r="E309" s="7" t="s">
        <v>545</v>
      </c>
      <c r="F309" s="7">
        <v>8.0</v>
      </c>
      <c r="G309" s="7"/>
      <c r="H309" s="7"/>
      <c r="I309" s="7"/>
      <c r="J309" s="7">
        <v>89.0</v>
      </c>
      <c r="K309" s="7" t="s">
        <v>15800</v>
      </c>
      <c r="L309" s="7">
        <v>97430.0</v>
      </c>
      <c r="M309" s="7" t="s">
        <v>71</v>
      </c>
      <c r="N309" s="7"/>
      <c r="O309" s="6" t="s">
        <v>15801</v>
      </c>
      <c r="P309" s="42" t="s">
        <v>547</v>
      </c>
      <c r="Q309" s="43" t="s">
        <v>15802</v>
      </c>
      <c r="R309" s="43" t="s">
        <v>15803</v>
      </c>
      <c r="S309" s="66" t="s">
        <v>544</v>
      </c>
      <c r="T309" s="6" t="s">
        <v>15804</v>
      </c>
      <c r="U309" s="6" t="s">
        <v>15805</v>
      </c>
      <c r="V309" s="7" t="s">
        <v>549</v>
      </c>
      <c r="W309" s="6" t="s">
        <v>15806</v>
      </c>
      <c r="X309" s="7"/>
      <c r="Y309" s="7" t="s">
        <v>377</v>
      </c>
      <c r="Z309" s="7" t="s">
        <v>378</v>
      </c>
      <c r="AA309" s="7"/>
      <c r="AB309" s="7"/>
      <c r="AC309" s="7">
        <v>5.3157715300012E13</v>
      </c>
      <c r="AD309" s="7">
        <v>5.31577153E8</v>
      </c>
      <c r="AE309" s="6" t="s">
        <v>401</v>
      </c>
      <c r="AF309" s="45">
        <v>45128.474699074075</v>
      </c>
      <c r="AG309" s="7" t="s">
        <v>15807</v>
      </c>
      <c r="AH309" s="46" t="s">
        <v>15808</v>
      </c>
      <c r="AI309" s="7"/>
      <c r="AJ309" s="7"/>
      <c r="AK309" s="7" t="b">
        <v>0</v>
      </c>
      <c r="AL309" s="7" t="b">
        <v>1</v>
      </c>
      <c r="AM309" s="6" t="s">
        <v>554</v>
      </c>
      <c r="AN309" s="6" t="s">
        <v>540</v>
      </c>
      <c r="AO309" s="6">
        <v>2999.0</v>
      </c>
      <c r="AP309" s="6"/>
      <c r="AQ309" s="6" t="b">
        <v>1</v>
      </c>
      <c r="AR309" s="6" t="s">
        <v>15798</v>
      </c>
      <c r="AS309" s="6"/>
    </row>
    <row r="310" ht="15.75" customHeight="1">
      <c r="A310" s="9" t="s">
        <v>12128</v>
      </c>
      <c r="B310" s="9" t="s">
        <v>15809</v>
      </c>
      <c r="C310" s="9" t="s">
        <v>34</v>
      </c>
      <c r="D310" s="9" t="s">
        <v>678</v>
      </c>
      <c r="E310" s="9" t="s">
        <v>15535</v>
      </c>
      <c r="F310" s="9">
        <v>8.0</v>
      </c>
      <c r="G310" s="9" t="s">
        <v>455</v>
      </c>
      <c r="I310" s="9"/>
      <c r="J310" s="52" t="s">
        <v>12820</v>
      </c>
      <c r="K310" s="9" t="s">
        <v>15810</v>
      </c>
      <c r="L310" s="9">
        <v>97480.0</v>
      </c>
      <c r="M310" s="9" t="s">
        <v>123</v>
      </c>
      <c r="N310" s="9" t="s">
        <v>9209</v>
      </c>
      <c r="O310" s="9" t="s">
        <v>15811</v>
      </c>
      <c r="P310" s="53" t="s">
        <v>15812</v>
      </c>
      <c r="Q310" s="49" t="s">
        <v>15813</v>
      </c>
      <c r="R310" s="50"/>
      <c r="S310" s="59"/>
      <c r="T310" s="9" t="s">
        <v>15814</v>
      </c>
      <c r="U310" s="9" t="s">
        <v>15815</v>
      </c>
      <c r="V310" s="9" t="s">
        <v>15816</v>
      </c>
      <c r="W310" s="9" t="s">
        <v>15817</v>
      </c>
      <c r="X310" s="9"/>
      <c r="Y310" s="9" t="s">
        <v>2390</v>
      </c>
      <c r="Z310" s="9" t="s">
        <v>353</v>
      </c>
      <c r="AC310" s="9">
        <v>4.4340406600054E13</v>
      </c>
      <c r="AD310" s="9">
        <v>4.43404066E8</v>
      </c>
      <c r="AE310" s="9" t="s">
        <v>401</v>
      </c>
      <c r="AF310" s="55">
        <v>45582.4687037037</v>
      </c>
      <c r="AG310" s="9" t="s">
        <v>15818</v>
      </c>
      <c r="AH310" s="9" t="s">
        <v>15819</v>
      </c>
      <c r="AJ310" s="9" t="s">
        <v>15820</v>
      </c>
      <c r="AK310" s="9" t="b">
        <v>0</v>
      </c>
      <c r="AL310" s="9" t="b">
        <v>0</v>
      </c>
      <c r="AM310" s="9"/>
      <c r="AN310" s="9" t="s">
        <v>12128</v>
      </c>
      <c r="AP310" s="56">
        <v>45127.0</v>
      </c>
      <c r="AQ310" s="9" t="b">
        <v>0</v>
      </c>
      <c r="AR310" s="9" t="s">
        <v>15821</v>
      </c>
    </row>
    <row r="311" ht="15.75" customHeight="1">
      <c r="A311" s="7" t="s">
        <v>8502</v>
      </c>
      <c r="B311" s="6" t="s">
        <v>15822</v>
      </c>
      <c r="C311" s="6" t="s">
        <v>117</v>
      </c>
      <c r="D311" s="7" t="s">
        <v>1405</v>
      </c>
      <c r="E311" s="7" t="s">
        <v>1406</v>
      </c>
      <c r="F311" s="6">
        <v>40.0</v>
      </c>
      <c r="G311" s="7" t="s">
        <v>407</v>
      </c>
      <c r="H311" s="7"/>
      <c r="I311" s="7"/>
      <c r="J311" s="41" t="s">
        <v>15823</v>
      </c>
      <c r="K311" s="6" t="s">
        <v>15824</v>
      </c>
      <c r="L311" s="7">
        <v>97442.0</v>
      </c>
      <c r="M311" s="7" t="s">
        <v>33</v>
      </c>
      <c r="N311" s="6" t="s">
        <v>15582</v>
      </c>
      <c r="O311" s="6" t="s">
        <v>15825</v>
      </c>
      <c r="P311" s="42" t="s">
        <v>8506</v>
      </c>
      <c r="Q311" s="49" t="s">
        <v>15826</v>
      </c>
      <c r="R311" s="43" t="s">
        <v>15827</v>
      </c>
      <c r="S311" s="51"/>
      <c r="T311" s="6" t="s">
        <v>15828</v>
      </c>
      <c r="U311" s="6" t="s">
        <v>15829</v>
      </c>
      <c r="V311" s="6" t="s">
        <v>15830</v>
      </c>
      <c r="W311" s="6" t="s">
        <v>15831</v>
      </c>
      <c r="X311" s="6" t="s">
        <v>15832</v>
      </c>
      <c r="Y311" s="7" t="s">
        <v>2938</v>
      </c>
      <c r="Z311" s="7" t="s">
        <v>8505</v>
      </c>
      <c r="AA311" s="7"/>
      <c r="AB311" s="7"/>
      <c r="AC311" s="7"/>
      <c r="AD311" s="7"/>
      <c r="AE311" s="6" t="s">
        <v>401</v>
      </c>
      <c r="AF311" s="45">
        <v>45601.475277777776</v>
      </c>
      <c r="AG311" s="7" t="s">
        <v>15833</v>
      </c>
      <c r="AH311" s="46" t="s">
        <v>15834</v>
      </c>
      <c r="AI311" s="7"/>
      <c r="AJ311" s="6" t="s">
        <v>15835</v>
      </c>
      <c r="AK311" s="7" t="b">
        <v>0</v>
      </c>
      <c r="AL311" s="7" t="b">
        <v>0</v>
      </c>
      <c r="AM311" s="7"/>
      <c r="AN311" s="6" t="s">
        <v>8502</v>
      </c>
      <c r="AO311" s="7"/>
      <c r="AP311" s="7"/>
      <c r="AQ311" s="6" t="b">
        <v>0</v>
      </c>
      <c r="AR311" s="6" t="s">
        <v>15836</v>
      </c>
      <c r="AS311" s="48" t="s">
        <v>12303</v>
      </c>
    </row>
    <row r="312" ht="15.75" customHeight="1">
      <c r="A312" s="9" t="s">
        <v>263</v>
      </c>
      <c r="B312" s="9" t="s">
        <v>15837</v>
      </c>
      <c r="C312" s="9" t="s">
        <v>34</v>
      </c>
      <c r="D312" s="9" t="s">
        <v>622</v>
      </c>
      <c r="E312" s="9" t="s">
        <v>622</v>
      </c>
      <c r="F312" s="9">
        <v>45.0</v>
      </c>
      <c r="G312" s="9" t="s">
        <v>455</v>
      </c>
      <c r="J312" s="9" t="s">
        <v>15838</v>
      </c>
      <c r="K312" s="9" t="s">
        <v>15839</v>
      </c>
      <c r="L312" s="9">
        <v>97442.0</v>
      </c>
      <c r="M312" s="9" t="s">
        <v>33</v>
      </c>
      <c r="N312" s="9" t="s">
        <v>15034</v>
      </c>
      <c r="O312" s="9" t="s">
        <v>15840</v>
      </c>
      <c r="P312" s="53" t="s">
        <v>15841</v>
      </c>
      <c r="Q312" s="49" t="s">
        <v>15842</v>
      </c>
      <c r="R312" s="50"/>
      <c r="S312" s="54"/>
      <c r="T312" s="9" t="s">
        <v>15843</v>
      </c>
      <c r="U312" s="9" t="s">
        <v>15844</v>
      </c>
      <c r="V312" s="9" t="s">
        <v>15845</v>
      </c>
      <c r="W312" s="9" t="s">
        <v>15846</v>
      </c>
      <c r="X312" s="9" t="s">
        <v>15847</v>
      </c>
      <c r="Y312" s="9" t="s">
        <v>8231</v>
      </c>
      <c r="Z312" s="9" t="s">
        <v>592</v>
      </c>
      <c r="AC312" s="9">
        <v>8.87998268E8</v>
      </c>
      <c r="AD312" s="9">
        <v>8.87998268E8</v>
      </c>
      <c r="AE312" s="9" t="s">
        <v>401</v>
      </c>
      <c r="AF312" s="55">
        <v>45660.56673611111</v>
      </c>
      <c r="AG312" s="9" t="s">
        <v>15848</v>
      </c>
      <c r="AH312" s="9" t="s">
        <v>15849</v>
      </c>
      <c r="AJ312" s="9" t="s">
        <v>15850</v>
      </c>
      <c r="AK312" s="9" t="b">
        <v>1</v>
      </c>
      <c r="AL312" s="9" t="b">
        <v>0</v>
      </c>
      <c r="AN312" s="9" t="s">
        <v>263</v>
      </c>
      <c r="AP312" s="56">
        <v>44658.0</v>
      </c>
      <c r="AQ312" s="9" t="b">
        <v>0</v>
      </c>
      <c r="AR312" s="9" t="s">
        <v>15851</v>
      </c>
      <c r="AS312" s="48" t="s">
        <v>12303</v>
      </c>
    </row>
    <row r="313" ht="15.75" customHeight="1">
      <c r="A313" s="7" t="s">
        <v>1530</v>
      </c>
      <c r="B313" s="7" t="s">
        <v>15852</v>
      </c>
      <c r="C313" s="7" t="s">
        <v>34</v>
      </c>
      <c r="D313" s="7" t="s">
        <v>622</v>
      </c>
      <c r="E313" s="7" t="s">
        <v>622</v>
      </c>
      <c r="F313" s="6">
        <v>50.0</v>
      </c>
      <c r="G313" s="7" t="s">
        <v>375</v>
      </c>
      <c r="H313" s="7"/>
      <c r="I313" s="7"/>
      <c r="J313" s="41" t="s">
        <v>12402</v>
      </c>
      <c r="K313" s="6" t="s">
        <v>15853</v>
      </c>
      <c r="L313" s="7">
        <v>97442.0</v>
      </c>
      <c r="M313" s="7" t="s">
        <v>33</v>
      </c>
      <c r="N313" s="6" t="s">
        <v>12447</v>
      </c>
      <c r="O313" s="6" t="s">
        <v>15854</v>
      </c>
      <c r="P313" s="42" t="s">
        <v>1537</v>
      </c>
      <c r="Q313" s="49" t="s">
        <v>15855</v>
      </c>
      <c r="R313" s="43" t="s">
        <v>15856</v>
      </c>
      <c r="S313" s="51"/>
      <c r="T313" s="6" t="s">
        <v>15857</v>
      </c>
      <c r="U313" s="6" t="s">
        <v>15858</v>
      </c>
      <c r="V313" s="7" t="s">
        <v>1539</v>
      </c>
      <c r="W313" s="6" t="s">
        <v>15859</v>
      </c>
      <c r="X313" s="7" t="s">
        <v>1535</v>
      </c>
      <c r="Y313" s="6" t="s">
        <v>8231</v>
      </c>
      <c r="Z313" s="6" t="s">
        <v>592</v>
      </c>
      <c r="AA313" s="7"/>
      <c r="AB313" s="7"/>
      <c r="AC313" s="7">
        <v>4.1367192600025E13</v>
      </c>
      <c r="AD313" s="7">
        <v>4.13671926E8</v>
      </c>
      <c r="AE313" s="6" t="s">
        <v>401</v>
      </c>
      <c r="AF313" s="45">
        <v>45435.65671296296</v>
      </c>
      <c r="AG313" s="7" t="s">
        <v>15860</v>
      </c>
      <c r="AH313" s="46" t="s">
        <v>15861</v>
      </c>
      <c r="AI313" s="7"/>
      <c r="AJ313" s="6" t="s">
        <v>15862</v>
      </c>
      <c r="AK313" s="6" t="b">
        <v>1</v>
      </c>
      <c r="AL313" s="7" t="b">
        <v>0</v>
      </c>
      <c r="AM313" s="7"/>
      <c r="AN313" s="6" t="s">
        <v>1530</v>
      </c>
      <c r="AO313" s="6">
        <v>2833.0</v>
      </c>
      <c r="AP313" s="6"/>
      <c r="AQ313" s="6" t="b">
        <v>1</v>
      </c>
      <c r="AR313" s="6" t="s">
        <v>15863</v>
      </c>
      <c r="AS313" s="48" t="s">
        <v>12303</v>
      </c>
    </row>
    <row r="314" ht="15.75" customHeight="1">
      <c r="A314" s="7" t="s">
        <v>9714</v>
      </c>
      <c r="B314" s="6" t="s">
        <v>15864</v>
      </c>
      <c r="C314" s="7" t="s">
        <v>1198</v>
      </c>
      <c r="D314" s="7" t="s">
        <v>1644</v>
      </c>
      <c r="E314" s="7" t="s">
        <v>9717</v>
      </c>
      <c r="F314" s="7">
        <v>4.0</v>
      </c>
      <c r="G314" s="7"/>
      <c r="H314" s="7"/>
      <c r="I314" s="7"/>
      <c r="J314" s="7">
        <v>16.0</v>
      </c>
      <c r="K314" s="7" t="s">
        <v>15865</v>
      </c>
      <c r="L314" s="7">
        <v>97430.0</v>
      </c>
      <c r="M314" s="7" t="s">
        <v>71</v>
      </c>
      <c r="N314" s="7" t="s">
        <v>3501</v>
      </c>
      <c r="O314" s="7" t="s">
        <v>9417</v>
      </c>
      <c r="P314" s="42" t="s">
        <v>15866</v>
      </c>
      <c r="Q314" s="43" t="s">
        <v>15867</v>
      </c>
      <c r="R314" s="50"/>
      <c r="S314" s="51"/>
      <c r="T314" s="7"/>
      <c r="U314" s="7"/>
      <c r="V314" s="7"/>
      <c r="W314" s="7"/>
      <c r="X314" s="7"/>
      <c r="Y314" s="7" t="s">
        <v>9718</v>
      </c>
      <c r="Z314" s="7"/>
      <c r="AA314" s="7"/>
      <c r="AB314" s="7"/>
      <c r="AC314" s="7">
        <v>8.8213776300018E13</v>
      </c>
      <c r="AD314" s="7">
        <v>8.82137763E8</v>
      </c>
      <c r="AE314" s="6" t="s">
        <v>401</v>
      </c>
      <c r="AF314" s="45">
        <v>45127.45892361111</v>
      </c>
      <c r="AG314" s="7" t="s">
        <v>15868</v>
      </c>
      <c r="AH314" s="46" t="s">
        <v>15869</v>
      </c>
      <c r="AI314" s="7"/>
      <c r="AJ314" s="7"/>
      <c r="AK314" s="7" t="b">
        <v>0</v>
      </c>
      <c r="AL314" s="7" t="b">
        <v>0</v>
      </c>
      <c r="AM314" s="7"/>
      <c r="AN314" s="6" t="s">
        <v>9714</v>
      </c>
      <c r="AO314" s="7"/>
      <c r="AP314" s="7"/>
      <c r="AQ314" s="6" t="b">
        <v>0</v>
      </c>
      <c r="AR314" s="6"/>
      <c r="AS314" s="6"/>
    </row>
    <row r="315" ht="15.75" customHeight="1">
      <c r="A315" s="9" t="s">
        <v>10477</v>
      </c>
      <c r="B315" s="9" t="s">
        <v>15870</v>
      </c>
      <c r="C315" s="9" t="s">
        <v>58</v>
      </c>
      <c r="D315" s="9" t="s">
        <v>59</v>
      </c>
      <c r="E315" s="9" t="s">
        <v>346</v>
      </c>
      <c r="F315" s="9">
        <v>10.0</v>
      </c>
      <c r="J315" s="52" t="s">
        <v>15221</v>
      </c>
      <c r="K315" s="9" t="s">
        <v>15871</v>
      </c>
      <c r="L315" s="9">
        <v>97480.0</v>
      </c>
      <c r="M315" s="9" t="s">
        <v>123</v>
      </c>
      <c r="N315" s="9" t="s">
        <v>12447</v>
      </c>
      <c r="O315" s="9" t="s">
        <v>15872</v>
      </c>
      <c r="P315" s="53" t="s">
        <v>15873</v>
      </c>
      <c r="Q315" s="49" t="s">
        <v>15874</v>
      </c>
      <c r="R315" s="50"/>
      <c r="S315" s="54"/>
      <c r="T315" s="9" t="s">
        <v>15875</v>
      </c>
      <c r="U315" s="9" t="s">
        <v>15876</v>
      </c>
      <c r="V315" s="9" t="s">
        <v>15877</v>
      </c>
      <c r="W315" s="9" t="s">
        <v>15878</v>
      </c>
      <c r="X315" s="9" t="s">
        <v>15879</v>
      </c>
      <c r="Y315" s="9" t="s">
        <v>14298</v>
      </c>
      <c r="Z315" s="9" t="s">
        <v>353</v>
      </c>
      <c r="AE315" s="9" t="s">
        <v>12355</v>
      </c>
      <c r="AF315" s="55">
        <v>45127.41074074074</v>
      </c>
      <c r="AG315" s="9" t="s">
        <v>15880</v>
      </c>
      <c r="AH315" s="9" t="s">
        <v>15881</v>
      </c>
      <c r="AJ315" s="9" t="s">
        <v>15882</v>
      </c>
      <c r="AK315" s="9" t="b">
        <v>0</v>
      </c>
      <c r="AL315" s="9" t="b">
        <v>0</v>
      </c>
      <c r="AM315" s="9" t="s">
        <v>15883</v>
      </c>
      <c r="AN315" s="9" t="s">
        <v>10477</v>
      </c>
      <c r="AP315" s="56">
        <v>44601.0</v>
      </c>
      <c r="AQ315" s="9" t="b">
        <v>0</v>
      </c>
      <c r="AR315" s="9" t="s">
        <v>15884</v>
      </c>
      <c r="AS315" s="9"/>
    </row>
    <row r="316" ht="15.75" customHeight="1">
      <c r="A316" s="7" t="s">
        <v>9420</v>
      </c>
      <c r="B316" s="7" t="s">
        <v>9421</v>
      </c>
      <c r="C316" s="7" t="s">
        <v>58</v>
      </c>
      <c r="D316" s="7" t="s">
        <v>59</v>
      </c>
      <c r="E316" s="7"/>
      <c r="F316" s="7">
        <v>6.0</v>
      </c>
      <c r="G316" s="7"/>
      <c r="H316" s="7"/>
      <c r="I316" s="7"/>
      <c r="J316" s="7">
        <v>331.0</v>
      </c>
      <c r="K316" s="7" t="s">
        <v>12418</v>
      </c>
      <c r="L316" s="7">
        <v>97418.0</v>
      </c>
      <c r="M316" s="7" t="s">
        <v>71</v>
      </c>
      <c r="N316" s="7" t="s">
        <v>9050</v>
      </c>
      <c r="O316" s="7" t="s">
        <v>9426</v>
      </c>
      <c r="P316" s="42" t="s">
        <v>9423</v>
      </c>
      <c r="Q316" s="43" t="s">
        <v>15885</v>
      </c>
      <c r="R316" s="50"/>
      <c r="S316" s="51"/>
      <c r="T316" s="7"/>
      <c r="U316" s="7"/>
      <c r="V316" s="7"/>
      <c r="W316" s="7"/>
      <c r="X316" s="7"/>
      <c r="Y316" s="7"/>
      <c r="Z316" s="7"/>
      <c r="AA316" s="7"/>
      <c r="AB316" s="7"/>
      <c r="AC316" s="7"/>
      <c r="AD316" s="7"/>
      <c r="AE316" s="6" t="s">
        <v>12355</v>
      </c>
      <c r="AF316" s="45">
        <v>45127.357303240744</v>
      </c>
      <c r="AG316" s="7" t="s">
        <v>15886</v>
      </c>
      <c r="AH316" s="46" t="s">
        <v>15887</v>
      </c>
      <c r="AI316" s="7"/>
      <c r="AJ316" s="7"/>
      <c r="AK316" s="7" t="b">
        <v>0</v>
      </c>
      <c r="AL316" s="7" t="b">
        <v>0</v>
      </c>
      <c r="AM316" s="6" t="s">
        <v>9427</v>
      </c>
      <c r="AN316" s="6" t="s">
        <v>9420</v>
      </c>
      <c r="AO316" s="7"/>
      <c r="AP316" s="7"/>
      <c r="AQ316" s="6" t="b">
        <v>0</v>
      </c>
      <c r="AR316" s="6"/>
      <c r="AS316" s="48" t="s">
        <v>12303</v>
      </c>
    </row>
    <row r="317" ht="15.75" customHeight="1">
      <c r="A317" s="9" t="s">
        <v>10475</v>
      </c>
      <c r="B317" s="9" t="s">
        <v>15382</v>
      </c>
      <c r="C317" s="9" t="s">
        <v>117</v>
      </c>
      <c r="D317" s="9" t="s">
        <v>1805</v>
      </c>
      <c r="E317" s="9"/>
      <c r="F317" s="9"/>
      <c r="G317" s="9"/>
      <c r="I317" s="9"/>
      <c r="J317" s="52" t="s">
        <v>15383</v>
      </c>
      <c r="K317" s="9" t="s">
        <v>15888</v>
      </c>
      <c r="L317" s="9">
        <v>97480.0</v>
      </c>
      <c r="M317" s="9" t="s">
        <v>123</v>
      </c>
      <c r="N317" s="9" t="s">
        <v>8383</v>
      </c>
      <c r="O317" s="9" t="s">
        <v>15889</v>
      </c>
      <c r="P317" s="53" t="s">
        <v>15386</v>
      </c>
      <c r="Q317" s="49" t="s">
        <v>15890</v>
      </c>
      <c r="R317" s="50"/>
      <c r="S317" s="59"/>
      <c r="T317" s="9" t="s">
        <v>15891</v>
      </c>
      <c r="U317" s="9" t="s">
        <v>15892</v>
      </c>
      <c r="V317" s="9"/>
      <c r="W317" s="9"/>
      <c r="X317" s="9"/>
      <c r="Y317" s="9" t="s">
        <v>499</v>
      </c>
      <c r="Z317" s="9" t="s">
        <v>353</v>
      </c>
      <c r="AC317" s="9">
        <v>5.3768002700019E13</v>
      </c>
      <c r="AD317" s="9">
        <v>5.37680027E8</v>
      </c>
      <c r="AE317" s="9" t="s">
        <v>12355</v>
      </c>
      <c r="AF317" s="55">
        <v>46043.643113425926</v>
      </c>
      <c r="AG317" s="9" t="s">
        <v>15390</v>
      </c>
      <c r="AH317" s="9" t="s">
        <v>15893</v>
      </c>
      <c r="AJ317" s="9" t="s">
        <v>15894</v>
      </c>
      <c r="AK317" s="9"/>
      <c r="AL317" s="9"/>
      <c r="AM317" s="9"/>
      <c r="AN317" s="9" t="s">
        <v>10475</v>
      </c>
      <c r="AP317" s="56">
        <v>45126.0</v>
      </c>
      <c r="AQ317" s="9" t="b">
        <v>0</v>
      </c>
      <c r="AR317" s="9" t="s">
        <v>15895</v>
      </c>
    </row>
    <row r="318" ht="15.75" customHeight="1">
      <c r="A318" s="9" t="s">
        <v>11629</v>
      </c>
      <c r="B318" s="9" t="s">
        <v>15896</v>
      </c>
      <c r="C318" s="9" t="s">
        <v>58</v>
      </c>
      <c r="D318" s="9" t="s">
        <v>59</v>
      </c>
      <c r="E318" s="9" t="s">
        <v>545</v>
      </c>
      <c r="F318" s="9">
        <v>5.0</v>
      </c>
      <c r="G318" s="9" t="s">
        <v>455</v>
      </c>
      <c r="H318" s="9" t="s">
        <v>3460</v>
      </c>
      <c r="I318" s="9" t="s">
        <v>751</v>
      </c>
      <c r="J318" s="52" t="s">
        <v>13331</v>
      </c>
      <c r="K318" s="9" t="s">
        <v>14288</v>
      </c>
      <c r="L318" s="9">
        <v>97430.0</v>
      </c>
      <c r="M318" s="9" t="s">
        <v>71</v>
      </c>
      <c r="N318" s="9" t="s">
        <v>14289</v>
      </c>
      <c r="O318" s="9" t="s">
        <v>15897</v>
      </c>
      <c r="P318" s="53" t="s">
        <v>14291</v>
      </c>
      <c r="Q318" s="49" t="s">
        <v>14292</v>
      </c>
      <c r="R318" s="50"/>
      <c r="S318" s="54"/>
      <c r="T318" s="9" t="s">
        <v>15898</v>
      </c>
      <c r="U318" s="9" t="s">
        <v>15899</v>
      </c>
      <c r="V318" s="9" t="s">
        <v>14295</v>
      </c>
      <c r="W318" s="9" t="s">
        <v>15900</v>
      </c>
      <c r="X318" s="9" t="s">
        <v>15901</v>
      </c>
      <c r="Y318" s="9" t="s">
        <v>14298</v>
      </c>
      <c r="Z318" s="9" t="s">
        <v>592</v>
      </c>
      <c r="AC318" s="9">
        <v>9.1814226600017E13</v>
      </c>
      <c r="AD318" s="9">
        <v>9.18142266E8</v>
      </c>
      <c r="AE318" s="9" t="s">
        <v>401</v>
      </c>
      <c r="AF318" s="55">
        <v>45124.59641203703</v>
      </c>
      <c r="AG318" s="9" t="s">
        <v>14299</v>
      </c>
      <c r="AH318" s="9" t="s">
        <v>15902</v>
      </c>
      <c r="AJ318" s="9" t="s">
        <v>15903</v>
      </c>
      <c r="AK318" s="9" t="b">
        <v>0</v>
      </c>
      <c r="AL318" s="9" t="b">
        <v>0</v>
      </c>
      <c r="AM318" s="9" t="s">
        <v>15904</v>
      </c>
      <c r="AN318" s="9" t="s">
        <v>11629</v>
      </c>
      <c r="AP318" s="56">
        <v>44803.0</v>
      </c>
      <c r="AQ318" s="9" t="b">
        <v>1</v>
      </c>
      <c r="AR318" s="9" t="s">
        <v>15905</v>
      </c>
    </row>
    <row r="319" ht="15.75" customHeight="1">
      <c r="A319" s="7" t="s">
        <v>6239</v>
      </c>
      <c r="B319" s="7" t="s">
        <v>15906</v>
      </c>
      <c r="C319" s="7" t="s">
        <v>58</v>
      </c>
      <c r="D319" s="7" t="s">
        <v>59</v>
      </c>
      <c r="E319" s="7" t="s">
        <v>374</v>
      </c>
      <c r="F319" s="7">
        <v>2.0</v>
      </c>
      <c r="G319" s="7" t="s">
        <v>455</v>
      </c>
      <c r="H319" s="6" t="s">
        <v>2716</v>
      </c>
      <c r="I319" s="7"/>
      <c r="J319" s="41" t="s">
        <v>12331</v>
      </c>
      <c r="K319" s="6" t="s">
        <v>15907</v>
      </c>
      <c r="L319" s="7">
        <v>97430.0</v>
      </c>
      <c r="M319" s="7" t="s">
        <v>71</v>
      </c>
      <c r="N319" s="6" t="s">
        <v>14289</v>
      </c>
      <c r="O319" s="7" t="s">
        <v>6251</v>
      </c>
      <c r="P319" s="53" t="s">
        <v>6244</v>
      </c>
      <c r="Q319" s="49" t="s">
        <v>15908</v>
      </c>
      <c r="R319" s="50"/>
      <c r="S319" s="47" t="s">
        <v>6242</v>
      </c>
      <c r="T319" s="6" t="s">
        <v>15909</v>
      </c>
      <c r="U319" s="6" t="s">
        <v>15910</v>
      </c>
      <c r="V319" s="7" t="s">
        <v>6247</v>
      </c>
      <c r="W319" s="6" t="s">
        <v>15911</v>
      </c>
      <c r="X319" s="7" t="s">
        <v>2605</v>
      </c>
      <c r="Y319" s="7" t="s">
        <v>377</v>
      </c>
      <c r="Z319" s="7" t="s">
        <v>353</v>
      </c>
      <c r="AA319" s="7"/>
      <c r="AB319" s="7"/>
      <c r="AC319" s="7"/>
      <c r="AD319" s="7"/>
      <c r="AE319" s="7" t="s">
        <v>401</v>
      </c>
      <c r="AF319" s="45">
        <v>45120.66291666667</v>
      </c>
      <c r="AG319" s="7" t="s">
        <v>15912</v>
      </c>
      <c r="AH319" s="46" t="s">
        <v>15913</v>
      </c>
      <c r="AI319" s="7"/>
      <c r="AJ319" s="6" t="s">
        <v>15914</v>
      </c>
      <c r="AK319" s="7" t="b">
        <v>0</v>
      </c>
      <c r="AL319" s="7" t="b">
        <v>0</v>
      </c>
      <c r="AM319" s="6" t="s">
        <v>6252</v>
      </c>
      <c r="AN319" s="6" t="s">
        <v>6239</v>
      </c>
      <c r="AO319" s="7"/>
      <c r="AP319" s="7"/>
      <c r="AQ319" s="6" t="b">
        <v>1</v>
      </c>
      <c r="AR319" s="6"/>
      <c r="AS319" s="6"/>
    </row>
    <row r="320" ht="15.75" customHeight="1">
      <c r="A320" s="9" t="s">
        <v>10709</v>
      </c>
      <c r="B320" s="9" t="s">
        <v>15915</v>
      </c>
      <c r="C320" s="9" t="s">
        <v>34</v>
      </c>
      <c r="D320" s="9" t="s">
        <v>13467</v>
      </c>
      <c r="E320" s="9" t="s">
        <v>15916</v>
      </c>
      <c r="F320" s="9"/>
      <c r="G320" s="9" t="s">
        <v>375</v>
      </c>
      <c r="I320" s="9"/>
      <c r="J320" s="52" t="s">
        <v>12445</v>
      </c>
      <c r="K320" s="9" t="s">
        <v>15917</v>
      </c>
      <c r="L320" s="9">
        <v>97442.0</v>
      </c>
      <c r="M320" s="9" t="s">
        <v>33</v>
      </c>
      <c r="N320" s="9" t="s">
        <v>224</v>
      </c>
      <c r="O320" s="9" t="s">
        <v>15918</v>
      </c>
      <c r="P320" s="53" t="s">
        <v>15919</v>
      </c>
      <c r="Q320" s="49" t="s">
        <v>15920</v>
      </c>
      <c r="R320" s="50"/>
      <c r="S320" s="59"/>
      <c r="T320" s="9" t="s">
        <v>15921</v>
      </c>
      <c r="U320" s="9" t="s">
        <v>15922</v>
      </c>
      <c r="V320" s="9" t="s">
        <v>15923</v>
      </c>
      <c r="W320" s="9" t="s">
        <v>15924</v>
      </c>
      <c r="X320" s="9" t="s">
        <v>15925</v>
      </c>
      <c r="Y320" s="9" t="s">
        <v>8231</v>
      </c>
      <c r="Z320" s="9" t="s">
        <v>15926</v>
      </c>
      <c r="AC320" s="9">
        <v>3.9937002200028E13</v>
      </c>
      <c r="AD320" s="9">
        <v>3.99370022E8</v>
      </c>
      <c r="AE320" s="9" t="s">
        <v>12355</v>
      </c>
      <c r="AF320" s="55">
        <v>45428.496087962965</v>
      </c>
      <c r="AG320" s="9" t="s">
        <v>15927</v>
      </c>
      <c r="AH320" s="9" t="s">
        <v>15928</v>
      </c>
      <c r="AJ320" s="9" t="s">
        <v>15929</v>
      </c>
      <c r="AK320" s="9" t="b">
        <v>1</v>
      </c>
      <c r="AL320" s="9" t="b">
        <v>1</v>
      </c>
      <c r="AM320" s="9"/>
      <c r="AN320" s="9" t="s">
        <v>10709</v>
      </c>
      <c r="AP320" s="56">
        <v>45120.0</v>
      </c>
      <c r="AQ320" s="9" t="b">
        <v>0</v>
      </c>
      <c r="AR320" s="9" t="s">
        <v>15930</v>
      </c>
    </row>
    <row r="321" ht="15.75" customHeight="1">
      <c r="A321" s="9" t="s">
        <v>11777</v>
      </c>
      <c r="B321" s="9" t="s">
        <v>15931</v>
      </c>
      <c r="C321" s="9" t="s">
        <v>34</v>
      </c>
      <c r="D321" s="9" t="s">
        <v>485</v>
      </c>
      <c r="E321" s="9" t="s">
        <v>486</v>
      </c>
      <c r="F321" s="9">
        <v>-15.0</v>
      </c>
      <c r="G321" s="9" t="s">
        <v>9780</v>
      </c>
      <c r="J321" s="52" t="s">
        <v>13933</v>
      </c>
      <c r="K321" s="9" t="s">
        <v>15932</v>
      </c>
      <c r="L321" s="9">
        <v>97414.0</v>
      </c>
      <c r="M321" s="9" t="s">
        <v>40</v>
      </c>
      <c r="N321" s="9" t="s">
        <v>8701</v>
      </c>
      <c r="O321" s="9" t="s">
        <v>15933</v>
      </c>
      <c r="P321" s="53" t="s">
        <v>15934</v>
      </c>
      <c r="Q321" s="49" t="s">
        <v>15935</v>
      </c>
      <c r="R321" s="50"/>
      <c r="S321" s="54"/>
      <c r="T321" s="9" t="s">
        <v>15936</v>
      </c>
      <c r="U321" s="9" t="s">
        <v>15937</v>
      </c>
      <c r="V321" s="9" t="s">
        <v>8701</v>
      </c>
      <c r="W321" s="9" t="s">
        <v>15938</v>
      </c>
      <c r="X321" s="9" t="s">
        <v>15939</v>
      </c>
      <c r="Y321" s="9" t="s">
        <v>377</v>
      </c>
      <c r="Z321" s="9" t="s">
        <v>353</v>
      </c>
      <c r="AC321" s="9">
        <v>4.5062551200048E13</v>
      </c>
      <c r="AD321" s="9">
        <v>4.50625512E8</v>
      </c>
      <c r="AE321" s="9" t="s">
        <v>401</v>
      </c>
      <c r="AF321" s="55">
        <v>45485.62194444444</v>
      </c>
      <c r="AG321" s="9" t="s">
        <v>15940</v>
      </c>
      <c r="AH321" s="9" t="s">
        <v>15941</v>
      </c>
      <c r="AJ321" s="9" t="s">
        <v>15942</v>
      </c>
      <c r="AK321" s="9" t="b">
        <v>0</v>
      </c>
      <c r="AL321" s="9" t="b">
        <v>0</v>
      </c>
      <c r="AN321" s="9" t="s">
        <v>11777</v>
      </c>
      <c r="AP321" s="56">
        <v>44806.0</v>
      </c>
      <c r="AQ321" s="9" t="b">
        <v>0</v>
      </c>
      <c r="AR321" s="9" t="s">
        <v>15943</v>
      </c>
    </row>
    <row r="322" ht="15.75" customHeight="1">
      <c r="A322" s="9" t="s">
        <v>12176</v>
      </c>
      <c r="B322" s="9" t="s">
        <v>15944</v>
      </c>
      <c r="C322" s="9" t="s">
        <v>58</v>
      </c>
      <c r="D322" s="9" t="s">
        <v>59</v>
      </c>
      <c r="E322" s="9" t="s">
        <v>374</v>
      </c>
      <c r="F322" s="9">
        <v>3.0</v>
      </c>
      <c r="G322" s="9" t="s">
        <v>455</v>
      </c>
      <c r="I322" s="9"/>
      <c r="J322" s="52" t="s">
        <v>15945</v>
      </c>
      <c r="K322" s="9" t="s">
        <v>15946</v>
      </c>
      <c r="L322" s="9">
        <v>97430.0</v>
      </c>
      <c r="M322" s="9" t="s">
        <v>71</v>
      </c>
      <c r="N322" s="9" t="s">
        <v>12698</v>
      </c>
      <c r="O322" s="9" t="s">
        <v>15947</v>
      </c>
      <c r="P322" s="53" t="s">
        <v>15948</v>
      </c>
      <c r="Q322" s="49" t="s">
        <v>15949</v>
      </c>
      <c r="R322" s="50"/>
      <c r="S322" s="58" t="s">
        <v>15950</v>
      </c>
      <c r="T322" s="9" t="s">
        <v>15951</v>
      </c>
      <c r="U322" s="9" t="s">
        <v>15952</v>
      </c>
      <c r="V322" s="9" t="s">
        <v>15953</v>
      </c>
      <c r="W322" s="9" t="s">
        <v>15954</v>
      </c>
      <c r="X322" s="9" t="s">
        <v>15955</v>
      </c>
      <c r="Y322" s="9" t="s">
        <v>15956</v>
      </c>
      <c r="Z322" s="9" t="s">
        <v>1508</v>
      </c>
      <c r="AC322" s="9">
        <v>8.4815477900013E13</v>
      </c>
      <c r="AD322" s="9">
        <v>8.48154779E8</v>
      </c>
      <c r="AE322" s="9" t="s">
        <v>401</v>
      </c>
      <c r="AF322" s="55">
        <v>45118.46060185185</v>
      </c>
      <c r="AG322" s="9" t="s">
        <v>15957</v>
      </c>
      <c r="AH322" s="9" t="s">
        <v>15958</v>
      </c>
      <c r="AJ322" s="9" t="s">
        <v>15959</v>
      </c>
      <c r="AK322" s="9" t="b">
        <v>0</v>
      </c>
      <c r="AL322" s="9" t="b">
        <v>0</v>
      </c>
      <c r="AM322" s="9" t="s">
        <v>15960</v>
      </c>
      <c r="AN322" s="9" t="s">
        <v>12176</v>
      </c>
      <c r="AP322" s="56">
        <v>45103.0</v>
      </c>
      <c r="AQ322" s="9" t="b">
        <v>0</v>
      </c>
      <c r="AR322" s="9"/>
    </row>
    <row r="323" ht="15.75" customHeight="1">
      <c r="A323" s="9" t="s">
        <v>10480</v>
      </c>
      <c r="B323" s="9" t="s">
        <v>15961</v>
      </c>
      <c r="C323" s="9" t="s">
        <v>58</v>
      </c>
      <c r="D323" s="9" t="s">
        <v>59</v>
      </c>
      <c r="E323" s="9" t="s">
        <v>374</v>
      </c>
      <c r="F323" s="9">
        <v>3.0</v>
      </c>
      <c r="G323" s="9" t="s">
        <v>455</v>
      </c>
      <c r="I323" s="9"/>
      <c r="J323" s="52" t="s">
        <v>15945</v>
      </c>
      <c r="K323" s="9" t="s">
        <v>15946</v>
      </c>
      <c r="L323" s="9">
        <v>97430.0</v>
      </c>
      <c r="M323" s="9" t="s">
        <v>71</v>
      </c>
      <c r="N323" s="9" t="s">
        <v>12698</v>
      </c>
      <c r="O323" s="9" t="s">
        <v>15962</v>
      </c>
      <c r="P323" s="53" t="s">
        <v>15948</v>
      </c>
      <c r="Q323" s="49" t="s">
        <v>15949</v>
      </c>
      <c r="R323" s="50"/>
      <c r="S323" s="58" t="s">
        <v>15963</v>
      </c>
      <c r="T323" s="9" t="s">
        <v>15964</v>
      </c>
      <c r="U323" s="9" t="s">
        <v>15965</v>
      </c>
      <c r="V323" s="9" t="s">
        <v>15953</v>
      </c>
      <c r="W323" s="9" t="s">
        <v>15966</v>
      </c>
      <c r="X323" s="9" t="s">
        <v>15967</v>
      </c>
      <c r="Y323" s="9" t="s">
        <v>15968</v>
      </c>
      <c r="Z323" s="9" t="s">
        <v>1508</v>
      </c>
      <c r="AC323" s="9">
        <v>8.4815477900013E13</v>
      </c>
      <c r="AD323" s="9">
        <v>8.48154779E8</v>
      </c>
      <c r="AE323" s="9" t="s">
        <v>401</v>
      </c>
      <c r="AF323" s="55">
        <v>45118.4591087963</v>
      </c>
      <c r="AG323" s="9" t="s">
        <v>15957</v>
      </c>
      <c r="AH323" s="9" t="s">
        <v>15969</v>
      </c>
      <c r="AJ323" s="9" t="s">
        <v>15970</v>
      </c>
      <c r="AK323" s="9" t="b">
        <v>0</v>
      </c>
      <c r="AL323" s="9" t="b">
        <v>0</v>
      </c>
      <c r="AM323" s="9" t="s">
        <v>15971</v>
      </c>
      <c r="AN323" s="9" t="s">
        <v>10480</v>
      </c>
      <c r="AP323" s="56">
        <v>45103.0</v>
      </c>
      <c r="AQ323" s="9" t="b">
        <v>0</v>
      </c>
      <c r="AR323" s="9"/>
    </row>
    <row r="324" ht="15.75" customHeight="1">
      <c r="A324" s="9" t="s">
        <v>10482</v>
      </c>
      <c r="B324" s="9" t="s">
        <v>15972</v>
      </c>
      <c r="C324" s="9" t="s">
        <v>58</v>
      </c>
      <c r="D324" s="9" t="s">
        <v>59</v>
      </c>
      <c r="E324" s="9" t="s">
        <v>374</v>
      </c>
      <c r="F324" s="9">
        <v>2.0</v>
      </c>
      <c r="G324" s="9" t="s">
        <v>455</v>
      </c>
      <c r="I324" s="9"/>
      <c r="J324" s="52" t="s">
        <v>15945</v>
      </c>
      <c r="K324" s="9" t="s">
        <v>15946</v>
      </c>
      <c r="L324" s="9">
        <v>97430.0</v>
      </c>
      <c r="M324" s="9" t="s">
        <v>71</v>
      </c>
      <c r="N324" s="9" t="s">
        <v>12698</v>
      </c>
      <c r="O324" s="9" t="s">
        <v>15973</v>
      </c>
      <c r="P324" s="53" t="s">
        <v>15948</v>
      </c>
      <c r="Q324" s="49" t="s">
        <v>15949</v>
      </c>
      <c r="R324" s="50"/>
      <c r="S324" s="58" t="s">
        <v>15974</v>
      </c>
      <c r="T324" s="9" t="s">
        <v>15975</v>
      </c>
      <c r="U324" s="9" t="s">
        <v>15952</v>
      </c>
      <c r="V324" s="9" t="s">
        <v>15953</v>
      </c>
      <c r="W324" s="9" t="s">
        <v>15976</v>
      </c>
      <c r="X324" s="9" t="s">
        <v>15977</v>
      </c>
      <c r="Y324" s="9" t="s">
        <v>15978</v>
      </c>
      <c r="Z324" s="9" t="s">
        <v>1508</v>
      </c>
      <c r="AC324" s="9">
        <v>8.4815477900013E13</v>
      </c>
      <c r="AD324" s="9">
        <v>8.48154779E8</v>
      </c>
      <c r="AE324" s="9" t="s">
        <v>401</v>
      </c>
      <c r="AF324" s="55">
        <v>45118.4587962963</v>
      </c>
      <c r="AG324" s="9" t="s">
        <v>15957</v>
      </c>
      <c r="AH324" s="9" t="s">
        <v>15979</v>
      </c>
      <c r="AJ324" s="9"/>
      <c r="AK324" s="9" t="b">
        <v>0</v>
      </c>
      <c r="AL324" s="9" t="b">
        <v>0</v>
      </c>
      <c r="AM324" s="9" t="s">
        <v>15980</v>
      </c>
      <c r="AN324" s="9" t="s">
        <v>10482</v>
      </c>
      <c r="AP324" s="56">
        <v>45084.0</v>
      </c>
      <c r="AQ324" s="9" t="b">
        <v>0</v>
      </c>
      <c r="AR324" s="9"/>
    </row>
    <row r="325" ht="15.75" customHeight="1">
      <c r="A325" s="9" t="s">
        <v>10225</v>
      </c>
      <c r="B325" s="9" t="s">
        <v>15981</v>
      </c>
      <c r="C325" s="9" t="s">
        <v>58</v>
      </c>
      <c r="D325" s="9" t="s">
        <v>453</v>
      </c>
      <c r="E325" s="9" t="s">
        <v>454</v>
      </c>
      <c r="F325" s="9">
        <v>8.0</v>
      </c>
      <c r="G325" s="9" t="s">
        <v>455</v>
      </c>
      <c r="J325" s="52" t="s">
        <v>12720</v>
      </c>
      <c r="K325" s="9" t="s">
        <v>15982</v>
      </c>
      <c r="L325" s="9">
        <v>97480.0</v>
      </c>
      <c r="M325" s="9" t="s">
        <v>123</v>
      </c>
      <c r="N325" s="9" t="s">
        <v>9209</v>
      </c>
      <c r="O325" s="9" t="s">
        <v>15983</v>
      </c>
      <c r="P325" s="53" t="s">
        <v>15984</v>
      </c>
      <c r="Q325" s="49" t="s">
        <v>15985</v>
      </c>
      <c r="R325" s="50"/>
      <c r="S325" s="54"/>
      <c r="T325" s="9" t="s">
        <v>15986</v>
      </c>
      <c r="U325" s="9" t="s">
        <v>15987</v>
      </c>
      <c r="V325" s="9" t="s">
        <v>15988</v>
      </c>
      <c r="W325" s="9" t="s">
        <v>15989</v>
      </c>
      <c r="X325" s="9" t="s">
        <v>15990</v>
      </c>
      <c r="Y325" s="9" t="s">
        <v>499</v>
      </c>
      <c r="Z325" s="9" t="s">
        <v>424</v>
      </c>
      <c r="AC325" s="9">
        <v>9.1020588900017E13</v>
      </c>
      <c r="AD325" s="9">
        <v>9.10205889E8</v>
      </c>
      <c r="AE325" s="9" t="s">
        <v>401</v>
      </c>
      <c r="AF325" s="55">
        <v>45118.37771990741</v>
      </c>
      <c r="AG325" s="9" t="s">
        <v>15991</v>
      </c>
      <c r="AH325" s="9" t="s">
        <v>15992</v>
      </c>
      <c r="AJ325" s="9"/>
      <c r="AK325" s="9" t="b">
        <v>0</v>
      </c>
      <c r="AL325" s="9" t="b">
        <v>0</v>
      </c>
      <c r="AM325" s="9" t="s">
        <v>15993</v>
      </c>
      <c r="AN325" s="9" t="s">
        <v>10225</v>
      </c>
      <c r="AP325" s="56">
        <v>44656.0</v>
      </c>
      <c r="AQ325" s="9" t="b">
        <v>1</v>
      </c>
      <c r="AR325" s="9" t="s">
        <v>15994</v>
      </c>
      <c r="AS325" s="9"/>
    </row>
    <row r="326" ht="15.75" customHeight="1">
      <c r="A326" s="7" t="s">
        <v>7988</v>
      </c>
      <c r="B326" s="7" t="s">
        <v>7989</v>
      </c>
      <c r="C326" s="7" t="s">
        <v>58</v>
      </c>
      <c r="D326" s="7" t="s">
        <v>453</v>
      </c>
      <c r="E326" s="7" t="s">
        <v>454</v>
      </c>
      <c r="F326" s="7">
        <v>6.0</v>
      </c>
      <c r="G326" s="7" t="s">
        <v>422</v>
      </c>
      <c r="H326" s="7" t="s">
        <v>3460</v>
      </c>
      <c r="I326" s="7" t="s">
        <v>751</v>
      </c>
      <c r="J326" s="7">
        <v>29.0</v>
      </c>
      <c r="K326" s="7" t="s">
        <v>15560</v>
      </c>
      <c r="L326" s="7">
        <v>97414.0</v>
      </c>
      <c r="M326" s="7" t="s">
        <v>40</v>
      </c>
      <c r="N326" s="6" t="s">
        <v>14196</v>
      </c>
      <c r="O326" s="6" t="s">
        <v>15995</v>
      </c>
      <c r="P326" s="42" t="s">
        <v>7993</v>
      </c>
      <c r="Q326" s="49" t="s">
        <v>15996</v>
      </c>
      <c r="R326" s="43" t="s">
        <v>15997</v>
      </c>
      <c r="S326" s="47" t="s">
        <v>7991</v>
      </c>
      <c r="T326" s="7" t="s">
        <v>7995</v>
      </c>
      <c r="U326" s="7" t="s">
        <v>7994</v>
      </c>
      <c r="V326" s="7" t="s">
        <v>7996</v>
      </c>
      <c r="W326" s="6" t="s">
        <v>15998</v>
      </c>
      <c r="X326" s="7" t="s">
        <v>3084</v>
      </c>
      <c r="Y326" s="6" t="s">
        <v>8231</v>
      </c>
      <c r="Z326" s="7" t="s">
        <v>424</v>
      </c>
      <c r="AA326" s="7"/>
      <c r="AB326" s="7"/>
      <c r="AC326" s="6">
        <v>7.934813000001E13</v>
      </c>
      <c r="AD326" s="6">
        <v>7.934813E8</v>
      </c>
      <c r="AE326" s="6" t="s">
        <v>401</v>
      </c>
      <c r="AF326" s="45">
        <v>45981.434282407405</v>
      </c>
      <c r="AG326" s="7" t="s">
        <v>15999</v>
      </c>
      <c r="AH326" s="46" t="s">
        <v>16000</v>
      </c>
      <c r="AI326" s="7"/>
      <c r="AJ326" s="6" t="s">
        <v>16001</v>
      </c>
      <c r="AK326" s="7" t="b">
        <v>0</v>
      </c>
      <c r="AL326" s="7" t="b">
        <v>0</v>
      </c>
      <c r="AM326" s="6" t="s">
        <v>8001</v>
      </c>
      <c r="AN326" s="6" t="s">
        <v>7988</v>
      </c>
      <c r="AO326" s="6">
        <v>3517.0</v>
      </c>
      <c r="AP326" s="6"/>
      <c r="AQ326" s="6" t="b">
        <v>1</v>
      </c>
      <c r="AR326" s="6"/>
      <c r="AS326" s="48" t="s">
        <v>12303</v>
      </c>
    </row>
    <row r="327" ht="15.75" customHeight="1">
      <c r="A327" s="7" t="s">
        <v>7526</v>
      </c>
      <c r="B327" s="7" t="s">
        <v>7527</v>
      </c>
      <c r="C327" s="7" t="s">
        <v>58</v>
      </c>
      <c r="D327" s="7" t="s">
        <v>59</v>
      </c>
      <c r="E327" s="7" t="s">
        <v>346</v>
      </c>
      <c r="F327" s="6">
        <v>6.0</v>
      </c>
      <c r="G327" s="7" t="s">
        <v>455</v>
      </c>
      <c r="H327" s="7"/>
      <c r="I327" s="7"/>
      <c r="J327" s="41" t="s">
        <v>14338</v>
      </c>
      <c r="K327" s="6" t="s">
        <v>16002</v>
      </c>
      <c r="L327" s="7">
        <v>97418.0</v>
      </c>
      <c r="M327" s="7" t="s">
        <v>71</v>
      </c>
      <c r="N327" s="7" t="s">
        <v>216</v>
      </c>
      <c r="O327" s="6" t="s">
        <v>16003</v>
      </c>
      <c r="P327" s="42" t="s">
        <v>5041</v>
      </c>
      <c r="Q327" s="49" t="s">
        <v>16004</v>
      </c>
      <c r="R327" s="50"/>
      <c r="S327" s="51"/>
      <c r="T327" s="7" t="s">
        <v>7530</v>
      </c>
      <c r="U327" s="7" t="s">
        <v>7529</v>
      </c>
      <c r="V327" s="7" t="s">
        <v>7531</v>
      </c>
      <c r="W327" s="6" t="s">
        <v>16005</v>
      </c>
      <c r="X327" s="6" t="s">
        <v>16006</v>
      </c>
      <c r="Y327" s="7" t="s">
        <v>377</v>
      </c>
      <c r="Z327" s="7" t="s">
        <v>378</v>
      </c>
      <c r="AA327" s="7"/>
      <c r="AB327" s="7"/>
      <c r="AC327" s="7">
        <v>8.2976428100012E13</v>
      </c>
      <c r="AD327" s="7">
        <v>8.29764281E8</v>
      </c>
      <c r="AE327" s="6" t="s">
        <v>401</v>
      </c>
      <c r="AF327" s="45">
        <v>45118.36483796296</v>
      </c>
      <c r="AG327" s="7" t="s">
        <v>16007</v>
      </c>
      <c r="AH327" s="46" t="s">
        <v>16008</v>
      </c>
      <c r="AI327" s="7"/>
      <c r="AJ327" s="6" t="s">
        <v>16009</v>
      </c>
      <c r="AK327" s="7" t="b">
        <v>0</v>
      </c>
      <c r="AL327" s="6" t="b">
        <v>1</v>
      </c>
      <c r="AM327" s="6" t="s">
        <v>7534</v>
      </c>
      <c r="AN327" s="6" t="s">
        <v>7526</v>
      </c>
      <c r="AO327" s="6">
        <v>4483.0</v>
      </c>
      <c r="AP327" s="6"/>
      <c r="AQ327" s="6" t="b">
        <v>1</v>
      </c>
      <c r="AR327" s="6" t="s">
        <v>16010</v>
      </c>
      <c r="AS327" s="48" t="s">
        <v>12303</v>
      </c>
    </row>
    <row r="328" ht="15.75" customHeight="1">
      <c r="A328" s="7" t="s">
        <v>5037</v>
      </c>
      <c r="B328" s="6" t="s">
        <v>16011</v>
      </c>
      <c r="C328" s="7" t="s">
        <v>58</v>
      </c>
      <c r="D328" s="7" t="s">
        <v>59</v>
      </c>
      <c r="E328" s="7" t="s">
        <v>346</v>
      </c>
      <c r="F328" s="6">
        <v>8.0</v>
      </c>
      <c r="G328" s="7" t="s">
        <v>407</v>
      </c>
      <c r="H328" s="6" t="s">
        <v>355</v>
      </c>
      <c r="I328" s="7"/>
      <c r="J328" s="41" t="s">
        <v>14338</v>
      </c>
      <c r="K328" s="6" t="s">
        <v>16002</v>
      </c>
      <c r="L328" s="7">
        <v>97418.0</v>
      </c>
      <c r="M328" s="7" t="s">
        <v>71</v>
      </c>
      <c r="N328" s="7" t="s">
        <v>216</v>
      </c>
      <c r="O328" s="6" t="s">
        <v>16012</v>
      </c>
      <c r="P328" s="42" t="s">
        <v>5041</v>
      </c>
      <c r="Q328" s="49" t="s">
        <v>16004</v>
      </c>
      <c r="R328" s="50"/>
      <c r="S328" s="51"/>
      <c r="T328" s="7" t="s">
        <v>5043</v>
      </c>
      <c r="U328" s="7" t="s">
        <v>5042</v>
      </c>
      <c r="V328" s="7" t="s">
        <v>5044</v>
      </c>
      <c r="W328" s="6" t="s">
        <v>16013</v>
      </c>
      <c r="X328" s="6" t="s">
        <v>16014</v>
      </c>
      <c r="Y328" s="6" t="s">
        <v>499</v>
      </c>
      <c r="Z328" s="7" t="s">
        <v>378</v>
      </c>
      <c r="AA328" s="7"/>
      <c r="AB328" s="7"/>
      <c r="AC328" s="7">
        <v>8.2976428100012E13</v>
      </c>
      <c r="AD328" s="7">
        <v>8.29764281E8</v>
      </c>
      <c r="AE328" s="6" t="s">
        <v>401</v>
      </c>
      <c r="AF328" s="45">
        <v>45118.35916666667</v>
      </c>
      <c r="AG328" s="7" t="s">
        <v>16007</v>
      </c>
      <c r="AH328" s="46" t="s">
        <v>16015</v>
      </c>
      <c r="AI328" s="7"/>
      <c r="AJ328" s="6" t="s">
        <v>16016</v>
      </c>
      <c r="AK328" s="7" t="b">
        <v>0</v>
      </c>
      <c r="AL328" s="6" t="b">
        <v>1</v>
      </c>
      <c r="AM328" s="6" t="s">
        <v>5049</v>
      </c>
      <c r="AN328" s="6" t="s">
        <v>5037</v>
      </c>
      <c r="AO328" s="6">
        <v>4508.0</v>
      </c>
      <c r="AP328" s="6"/>
      <c r="AQ328" s="6" t="b">
        <v>1</v>
      </c>
      <c r="AR328" s="6" t="s">
        <v>16010</v>
      </c>
      <c r="AS328" s="48" t="s">
        <v>12303</v>
      </c>
    </row>
    <row r="329" ht="15.75" customHeight="1">
      <c r="A329" s="7" t="s">
        <v>1546</v>
      </c>
      <c r="B329" s="7" t="s">
        <v>16017</v>
      </c>
      <c r="C329" s="6" t="s">
        <v>117</v>
      </c>
      <c r="D329" s="7" t="s">
        <v>1549</v>
      </c>
      <c r="E329" s="7" t="s">
        <v>1550</v>
      </c>
      <c r="F329" s="7"/>
      <c r="G329" s="7" t="s">
        <v>455</v>
      </c>
      <c r="H329" s="7"/>
      <c r="I329" s="7"/>
      <c r="J329" s="41" t="s">
        <v>16018</v>
      </c>
      <c r="K329" s="6" t="s">
        <v>16019</v>
      </c>
      <c r="L329" s="7">
        <v>97480.0</v>
      </c>
      <c r="M329" s="7" t="s">
        <v>123</v>
      </c>
      <c r="N329" s="7" t="s">
        <v>3556</v>
      </c>
      <c r="O329" s="6" t="s">
        <v>16020</v>
      </c>
      <c r="P329" s="42" t="s">
        <v>1552</v>
      </c>
      <c r="Q329" s="43" t="s">
        <v>16021</v>
      </c>
      <c r="R329" s="43" t="s">
        <v>16022</v>
      </c>
      <c r="S329" s="51"/>
      <c r="T329" s="6" t="s">
        <v>16023</v>
      </c>
      <c r="U329" s="6" t="s">
        <v>16024</v>
      </c>
      <c r="V329" s="7"/>
      <c r="W329" s="7"/>
      <c r="X329" s="7" t="s">
        <v>1551</v>
      </c>
      <c r="Y329" s="7" t="s">
        <v>377</v>
      </c>
      <c r="Z329" s="7" t="s">
        <v>378</v>
      </c>
      <c r="AA329" s="7"/>
      <c r="AB329" s="7"/>
      <c r="AC329" s="7">
        <v>7.8969849500015E13</v>
      </c>
      <c r="AD329" s="7">
        <v>7.89698495E8</v>
      </c>
      <c r="AE329" s="6" t="s">
        <v>12355</v>
      </c>
      <c r="AF329" s="45">
        <v>45580.41447916667</v>
      </c>
      <c r="AG329" s="7" t="s">
        <v>16025</v>
      </c>
      <c r="AH329" s="46" t="s">
        <v>16026</v>
      </c>
      <c r="AI329" s="7"/>
      <c r="AJ329" s="6" t="s">
        <v>16027</v>
      </c>
      <c r="AK329" s="6" t="b">
        <v>1</v>
      </c>
      <c r="AL329" s="7" t="b">
        <v>0</v>
      </c>
      <c r="AM329" s="7"/>
      <c r="AN329" s="6" t="s">
        <v>1546</v>
      </c>
      <c r="AO329" s="6">
        <v>4475.0</v>
      </c>
      <c r="AP329" s="6"/>
      <c r="AQ329" s="6" t="b">
        <v>1</v>
      </c>
      <c r="AR329" s="6"/>
      <c r="AS329" s="6"/>
    </row>
    <row r="330" ht="15.75" customHeight="1">
      <c r="A330" s="9" t="s">
        <v>10486</v>
      </c>
      <c r="B330" s="9" t="s">
        <v>10091</v>
      </c>
      <c r="C330" s="9" t="s">
        <v>58</v>
      </c>
      <c r="D330" s="9" t="s">
        <v>59</v>
      </c>
      <c r="E330" s="9" t="s">
        <v>346</v>
      </c>
      <c r="F330" s="9">
        <v>8.0</v>
      </c>
      <c r="G330" s="9" t="s">
        <v>407</v>
      </c>
      <c r="H330" s="9" t="s">
        <v>2716</v>
      </c>
      <c r="J330" s="9" t="s">
        <v>16028</v>
      </c>
      <c r="K330" s="9" t="s">
        <v>16029</v>
      </c>
      <c r="L330" s="9">
        <v>97414.0</v>
      </c>
      <c r="M330" s="9" t="s">
        <v>40</v>
      </c>
      <c r="N330" s="9" t="s">
        <v>12822</v>
      </c>
      <c r="O330" s="9" t="s">
        <v>16030</v>
      </c>
      <c r="P330" s="53" t="s">
        <v>16031</v>
      </c>
      <c r="Q330" s="49" t="s">
        <v>16032</v>
      </c>
      <c r="R330" s="50"/>
      <c r="S330" s="54"/>
      <c r="T330" s="9" t="s">
        <v>16033</v>
      </c>
      <c r="U330" s="9" t="s">
        <v>16034</v>
      </c>
      <c r="V330" s="9" t="s">
        <v>16035</v>
      </c>
      <c r="W330" s="9" t="s">
        <v>16036</v>
      </c>
      <c r="X330" s="9" t="s">
        <v>16037</v>
      </c>
      <c r="Y330" s="9" t="s">
        <v>9455</v>
      </c>
      <c r="Z330" s="9" t="s">
        <v>5551</v>
      </c>
      <c r="AC330" s="9">
        <v>9.195452510001E13</v>
      </c>
      <c r="AD330" s="9">
        <v>9.19545251E8</v>
      </c>
      <c r="AE330" s="9" t="s">
        <v>401</v>
      </c>
      <c r="AF330" s="55">
        <v>45117.54445601852</v>
      </c>
      <c r="AG330" s="9" t="s">
        <v>16038</v>
      </c>
      <c r="AH330" s="9" t="s">
        <v>16039</v>
      </c>
      <c r="AJ330" s="9" t="s">
        <v>16040</v>
      </c>
      <c r="AK330" s="9" t="b">
        <v>0</v>
      </c>
      <c r="AL330" s="9" t="b">
        <v>0</v>
      </c>
      <c r="AM330" s="9" t="s">
        <v>16041</v>
      </c>
      <c r="AN330" s="9" t="s">
        <v>10486</v>
      </c>
      <c r="AP330" s="56">
        <v>44825.0</v>
      </c>
      <c r="AQ330" s="9" t="b">
        <v>0</v>
      </c>
      <c r="AR330" s="9" t="s">
        <v>16042</v>
      </c>
    </row>
    <row r="331" ht="15.75" customHeight="1">
      <c r="A331" s="9" t="s">
        <v>10488</v>
      </c>
      <c r="B331" s="9" t="s">
        <v>16043</v>
      </c>
      <c r="C331" s="9" t="s">
        <v>58</v>
      </c>
      <c r="D331" s="9" t="s">
        <v>59</v>
      </c>
      <c r="E331" s="9" t="s">
        <v>346</v>
      </c>
      <c r="F331" s="9">
        <v>4.0</v>
      </c>
      <c r="G331" s="9" t="s">
        <v>455</v>
      </c>
      <c r="J331" s="52" t="s">
        <v>16044</v>
      </c>
      <c r="K331" s="9" t="s">
        <v>16045</v>
      </c>
      <c r="L331" s="9">
        <v>97430.0</v>
      </c>
      <c r="M331" s="9" t="s">
        <v>71</v>
      </c>
      <c r="N331" s="9" t="s">
        <v>14126</v>
      </c>
      <c r="O331" s="9" t="s">
        <v>16046</v>
      </c>
      <c r="P331" s="53" t="s">
        <v>16047</v>
      </c>
      <c r="Q331" s="49" t="s">
        <v>16048</v>
      </c>
      <c r="R331" s="50"/>
      <c r="S331" s="59"/>
      <c r="T331" s="9" t="s">
        <v>16049</v>
      </c>
      <c r="U331" s="9" t="s">
        <v>16050</v>
      </c>
      <c r="V331" s="9" t="s">
        <v>16051</v>
      </c>
      <c r="W331" s="9" t="s">
        <v>16052</v>
      </c>
      <c r="X331" s="9" t="s">
        <v>16053</v>
      </c>
      <c r="Y331" s="9" t="s">
        <v>1863</v>
      </c>
      <c r="Z331" s="9" t="s">
        <v>353</v>
      </c>
      <c r="AC331" s="9">
        <v>8.7750413400017E13</v>
      </c>
      <c r="AD331" s="9">
        <v>8.77504134E8</v>
      </c>
      <c r="AE331" s="9" t="s">
        <v>401</v>
      </c>
      <c r="AF331" s="55">
        <v>45993.61268518519</v>
      </c>
      <c r="AG331" s="9" t="s">
        <v>16054</v>
      </c>
      <c r="AH331" s="9" t="s">
        <v>16055</v>
      </c>
      <c r="AJ331" s="9" t="s">
        <v>16056</v>
      </c>
      <c r="AK331" s="9" t="b">
        <v>0</v>
      </c>
      <c r="AL331" s="9" t="b">
        <v>0</v>
      </c>
      <c r="AM331" s="9" t="s">
        <v>16057</v>
      </c>
      <c r="AN331" s="9" t="s">
        <v>10488</v>
      </c>
      <c r="AP331" s="56">
        <v>45051.0</v>
      </c>
      <c r="AQ331" s="9" t="b">
        <v>0</v>
      </c>
      <c r="AR331" s="9"/>
    </row>
    <row r="332" ht="15.75" customHeight="1">
      <c r="A332" s="7" t="s">
        <v>9626</v>
      </c>
      <c r="B332" s="6" t="s">
        <v>16058</v>
      </c>
      <c r="C332" s="7" t="s">
        <v>34</v>
      </c>
      <c r="D332" s="7" t="s">
        <v>678</v>
      </c>
      <c r="E332" s="7" t="s">
        <v>5053</v>
      </c>
      <c r="F332" s="7"/>
      <c r="G332" s="7"/>
      <c r="H332" s="7"/>
      <c r="I332" s="7"/>
      <c r="J332" s="7">
        <v>104.0</v>
      </c>
      <c r="K332" s="7" t="s">
        <v>16059</v>
      </c>
      <c r="L332" s="7">
        <v>97480.0</v>
      </c>
      <c r="M332" s="7" t="s">
        <v>123</v>
      </c>
      <c r="N332" s="7" t="s">
        <v>8325</v>
      </c>
      <c r="O332" s="7" t="s">
        <v>9630</v>
      </c>
      <c r="P332" s="53" t="s">
        <v>16060</v>
      </c>
      <c r="Q332" s="43" t="s">
        <v>16061</v>
      </c>
      <c r="R332" s="50"/>
      <c r="S332" s="44" t="s">
        <v>16062</v>
      </c>
      <c r="T332" s="7"/>
      <c r="U332" s="7"/>
      <c r="V332" s="7"/>
      <c r="W332" s="7"/>
      <c r="X332" s="7"/>
      <c r="Y332" s="7"/>
      <c r="Z332" s="7"/>
      <c r="AA332" s="7"/>
      <c r="AB332" s="7"/>
      <c r="AC332" s="7"/>
      <c r="AD332" s="7"/>
      <c r="AE332" s="6" t="s">
        <v>401</v>
      </c>
      <c r="AF332" s="45">
        <v>45114.66328703704</v>
      </c>
      <c r="AG332" s="7" t="s">
        <v>16063</v>
      </c>
      <c r="AH332" s="46" t="s">
        <v>16064</v>
      </c>
      <c r="AI332" s="7"/>
      <c r="AJ332" s="6"/>
      <c r="AK332" s="7" t="b">
        <v>0</v>
      </c>
      <c r="AL332" s="7" t="b">
        <v>0</v>
      </c>
      <c r="AM332" s="7"/>
      <c r="AN332" s="6" t="s">
        <v>9626</v>
      </c>
      <c r="AO332" s="7"/>
      <c r="AP332" s="7"/>
      <c r="AQ332" s="6" t="b">
        <v>0</v>
      </c>
      <c r="AR332" s="6"/>
      <c r="AS332" s="6"/>
    </row>
    <row r="333" ht="15.75" customHeight="1">
      <c r="A333" s="9" t="s">
        <v>10490</v>
      </c>
      <c r="B333" s="9" t="s">
        <v>16065</v>
      </c>
      <c r="C333" s="9" t="s">
        <v>58</v>
      </c>
      <c r="D333" s="9" t="s">
        <v>453</v>
      </c>
      <c r="E333" s="9" t="s">
        <v>454</v>
      </c>
      <c r="F333" s="9">
        <v>10.0</v>
      </c>
      <c r="G333" s="9" t="s">
        <v>9243</v>
      </c>
      <c r="J333" s="52" t="s">
        <v>15094</v>
      </c>
      <c r="K333" s="9" t="s">
        <v>16066</v>
      </c>
      <c r="L333" s="9">
        <v>97442.0</v>
      </c>
      <c r="M333" s="9" t="s">
        <v>33</v>
      </c>
      <c r="N333" s="9" t="s">
        <v>16067</v>
      </c>
      <c r="O333" s="9" t="s">
        <v>16068</v>
      </c>
      <c r="P333" s="53" t="s">
        <v>16069</v>
      </c>
      <c r="Q333" s="49" t="s">
        <v>16070</v>
      </c>
      <c r="R333" s="50"/>
      <c r="S333" s="54"/>
      <c r="T333" s="9" t="s">
        <v>16071</v>
      </c>
      <c r="U333" s="9" t="s">
        <v>16072</v>
      </c>
      <c r="V333" s="9" t="s">
        <v>16073</v>
      </c>
      <c r="W333" s="9" t="s">
        <v>16074</v>
      </c>
      <c r="X333" s="9" t="s">
        <v>16075</v>
      </c>
      <c r="Y333" s="9" t="s">
        <v>15702</v>
      </c>
      <c r="Z333" s="9" t="s">
        <v>592</v>
      </c>
      <c r="AC333" s="9">
        <v>7.947228840001E13</v>
      </c>
      <c r="AD333" s="9">
        <v>7.94722884E8</v>
      </c>
      <c r="AE333" s="9" t="s">
        <v>401</v>
      </c>
      <c r="AF333" s="55">
        <v>45114.49596064815</v>
      </c>
      <c r="AG333" s="9" t="s">
        <v>16076</v>
      </c>
      <c r="AH333" s="9" t="s">
        <v>16077</v>
      </c>
      <c r="AJ333" s="9" t="s">
        <v>16078</v>
      </c>
      <c r="AK333" s="9" t="b">
        <v>0</v>
      </c>
      <c r="AL333" s="9" t="b">
        <v>0</v>
      </c>
      <c r="AM333" s="9" t="s">
        <v>16079</v>
      </c>
      <c r="AN333" s="9" t="s">
        <v>10490</v>
      </c>
      <c r="AP333" s="56">
        <v>45005.0</v>
      </c>
      <c r="AQ333" s="9" t="b">
        <v>0</v>
      </c>
      <c r="AR333" s="9" t="s">
        <v>16080</v>
      </c>
    </row>
    <row r="334" ht="15.75" customHeight="1">
      <c r="A334" s="9" t="s">
        <v>10493</v>
      </c>
      <c r="B334" s="9" t="s">
        <v>16081</v>
      </c>
      <c r="C334" s="9" t="s">
        <v>117</v>
      </c>
      <c r="D334" s="9" t="s">
        <v>1549</v>
      </c>
      <c r="E334" s="9" t="s">
        <v>16082</v>
      </c>
      <c r="F334" s="9"/>
      <c r="G334" s="9" t="s">
        <v>455</v>
      </c>
      <c r="I334" s="9"/>
      <c r="J334" s="52" t="s">
        <v>16083</v>
      </c>
      <c r="K334" s="9" t="s">
        <v>16084</v>
      </c>
      <c r="L334" s="9">
        <v>97414.0</v>
      </c>
      <c r="M334" s="9" t="s">
        <v>40</v>
      </c>
      <c r="N334" s="9" t="s">
        <v>14196</v>
      </c>
      <c r="O334" s="9" t="s">
        <v>16085</v>
      </c>
      <c r="P334" s="53" t="s">
        <v>16086</v>
      </c>
      <c r="Q334" s="49" t="s">
        <v>16087</v>
      </c>
      <c r="R334" s="50"/>
      <c r="S334" s="59"/>
      <c r="T334" s="9" t="s">
        <v>16088</v>
      </c>
      <c r="U334" s="9" t="s">
        <v>16089</v>
      </c>
      <c r="V334" s="9" t="s">
        <v>16090</v>
      </c>
      <c r="W334" s="9" t="s">
        <v>16091</v>
      </c>
      <c r="X334" s="9" t="s">
        <v>16092</v>
      </c>
      <c r="Y334" s="9"/>
      <c r="Z334" s="9" t="s">
        <v>353</v>
      </c>
      <c r="AC334" s="9">
        <v>9.4780661800015E13</v>
      </c>
      <c r="AD334" s="9">
        <v>9.47806618E8</v>
      </c>
      <c r="AE334" s="9" t="s">
        <v>401</v>
      </c>
      <c r="AF334" s="55">
        <v>45917.666967592595</v>
      </c>
      <c r="AG334" s="9" t="s">
        <v>16093</v>
      </c>
      <c r="AH334" s="9" t="s">
        <v>16094</v>
      </c>
      <c r="AJ334" s="9" t="s">
        <v>16095</v>
      </c>
      <c r="AK334" s="9" t="b">
        <v>1</v>
      </c>
      <c r="AL334" s="9" t="b">
        <v>0</v>
      </c>
      <c r="AM334" s="9"/>
      <c r="AN334" s="9" t="s">
        <v>10493</v>
      </c>
      <c r="AP334" s="56">
        <v>45072.0</v>
      </c>
      <c r="AQ334" s="9" t="b">
        <v>0</v>
      </c>
      <c r="AR334" s="9"/>
    </row>
    <row r="335" ht="15.75" customHeight="1">
      <c r="A335" s="7" t="s">
        <v>4193</v>
      </c>
      <c r="B335" s="7" t="s">
        <v>16096</v>
      </c>
      <c r="C335" s="7" t="s">
        <v>58</v>
      </c>
      <c r="D335" s="7" t="s">
        <v>59</v>
      </c>
      <c r="E335" s="7" t="s">
        <v>374</v>
      </c>
      <c r="F335" s="7">
        <v>6.0</v>
      </c>
      <c r="G335" s="7" t="s">
        <v>422</v>
      </c>
      <c r="H335" s="6" t="s">
        <v>355</v>
      </c>
      <c r="I335" s="7"/>
      <c r="J335" s="7">
        <v>9.0</v>
      </c>
      <c r="K335" s="7" t="s">
        <v>13584</v>
      </c>
      <c r="L335" s="7">
        <v>97480.0</v>
      </c>
      <c r="M335" s="7" t="s">
        <v>123</v>
      </c>
      <c r="N335" s="7" t="s">
        <v>206</v>
      </c>
      <c r="O335" s="6" t="s">
        <v>16097</v>
      </c>
      <c r="P335" s="42" t="s">
        <v>4198</v>
      </c>
      <c r="Q335" s="49" t="s">
        <v>16098</v>
      </c>
      <c r="R335" s="43" t="s">
        <v>16099</v>
      </c>
      <c r="S335" s="57" t="s">
        <v>16100</v>
      </c>
      <c r="T335" s="6" t="s">
        <v>16101</v>
      </c>
      <c r="U335" s="7" t="s">
        <v>4199</v>
      </c>
      <c r="V335" s="7" t="s">
        <v>4201</v>
      </c>
      <c r="W335" s="6" t="s">
        <v>16102</v>
      </c>
      <c r="X335" s="6" t="s">
        <v>16103</v>
      </c>
      <c r="Y335" s="6" t="s">
        <v>13684</v>
      </c>
      <c r="Z335" s="6" t="s">
        <v>592</v>
      </c>
      <c r="AA335" s="7" t="s">
        <v>4206</v>
      </c>
      <c r="AB335" s="7" t="s">
        <v>1590</v>
      </c>
      <c r="AC335" s="7">
        <v>8.5409099000029E13</v>
      </c>
      <c r="AD335" s="7">
        <v>8.5409099E8</v>
      </c>
      <c r="AE335" s="6" t="s">
        <v>401</v>
      </c>
      <c r="AF335" s="45">
        <v>45497.34273148148</v>
      </c>
      <c r="AG335" s="7" t="s">
        <v>16104</v>
      </c>
      <c r="AH335" s="62" t="s">
        <v>16105</v>
      </c>
      <c r="AI335" s="7"/>
      <c r="AJ335" s="6" t="s">
        <v>16106</v>
      </c>
      <c r="AK335" s="7" t="b">
        <v>0</v>
      </c>
      <c r="AL335" s="7" t="b">
        <v>0</v>
      </c>
      <c r="AM335" s="6" t="s">
        <v>4207</v>
      </c>
      <c r="AN335" s="6" t="s">
        <v>4193</v>
      </c>
      <c r="AO335" s="6"/>
      <c r="AP335" s="6"/>
      <c r="AQ335" s="6" t="b">
        <v>1</v>
      </c>
      <c r="AR335" s="6" t="s">
        <v>16107</v>
      </c>
      <c r="AS335" s="6"/>
    </row>
    <row r="336" ht="15.75" customHeight="1">
      <c r="A336" s="7" t="s">
        <v>5446</v>
      </c>
      <c r="B336" s="7" t="s">
        <v>16108</v>
      </c>
      <c r="C336" s="7" t="s">
        <v>58</v>
      </c>
      <c r="D336" s="6" t="s">
        <v>453</v>
      </c>
      <c r="E336" s="6" t="s">
        <v>454</v>
      </c>
      <c r="F336" s="7">
        <v>6.0</v>
      </c>
      <c r="G336" s="6" t="s">
        <v>455</v>
      </c>
      <c r="H336" s="7"/>
      <c r="I336" s="7"/>
      <c r="J336" s="7">
        <v>7.0</v>
      </c>
      <c r="K336" s="7" t="s">
        <v>16109</v>
      </c>
      <c r="L336" s="7">
        <v>97480.0</v>
      </c>
      <c r="M336" s="7" t="s">
        <v>123</v>
      </c>
      <c r="N336" s="6" t="s">
        <v>12447</v>
      </c>
      <c r="O336" s="6" t="s">
        <v>16110</v>
      </c>
      <c r="P336" s="42" t="s">
        <v>4198</v>
      </c>
      <c r="Q336" s="49" t="s">
        <v>16098</v>
      </c>
      <c r="R336" s="43" t="s">
        <v>16111</v>
      </c>
      <c r="S336" s="57" t="s">
        <v>16112</v>
      </c>
      <c r="T336" s="6" t="s">
        <v>16113</v>
      </c>
      <c r="U336" s="6" t="s">
        <v>16114</v>
      </c>
      <c r="V336" s="6" t="s">
        <v>16115</v>
      </c>
      <c r="W336" s="6" t="s">
        <v>16116</v>
      </c>
      <c r="X336" s="7" t="s">
        <v>5451</v>
      </c>
      <c r="Y336" s="6" t="s">
        <v>13684</v>
      </c>
      <c r="Z336" s="6" t="s">
        <v>424</v>
      </c>
      <c r="AA336" s="7" t="s">
        <v>3806</v>
      </c>
      <c r="AB336" s="7" t="s">
        <v>1829</v>
      </c>
      <c r="AC336" s="7">
        <v>8.5409099000029E13</v>
      </c>
      <c r="AD336" s="7">
        <v>8.5409099E8</v>
      </c>
      <c r="AE336" s="6" t="s">
        <v>401</v>
      </c>
      <c r="AF336" s="45">
        <v>45631.60105324074</v>
      </c>
      <c r="AG336" s="7" t="s">
        <v>16104</v>
      </c>
      <c r="AH336" s="46" t="s">
        <v>16117</v>
      </c>
      <c r="AI336" s="7"/>
      <c r="AJ336" s="6" t="s">
        <v>16118</v>
      </c>
      <c r="AK336" s="7" t="b">
        <v>0</v>
      </c>
      <c r="AL336" s="7" t="b">
        <v>0</v>
      </c>
      <c r="AM336" s="6" t="s">
        <v>5458</v>
      </c>
      <c r="AN336" s="6" t="s">
        <v>5446</v>
      </c>
      <c r="AO336" s="6">
        <v>5150.0</v>
      </c>
      <c r="AP336" s="6"/>
      <c r="AQ336" s="6" t="b">
        <v>1</v>
      </c>
      <c r="AR336" s="6" t="s">
        <v>16119</v>
      </c>
      <c r="AS336" s="6"/>
    </row>
    <row r="337" ht="15.75" customHeight="1">
      <c r="A337" s="9" t="s">
        <v>10496</v>
      </c>
      <c r="B337" s="9" t="s">
        <v>16120</v>
      </c>
      <c r="C337" s="9" t="s">
        <v>117</v>
      </c>
      <c r="D337" s="9" t="s">
        <v>1405</v>
      </c>
      <c r="G337" s="9" t="s">
        <v>455</v>
      </c>
      <c r="I337" s="9" t="s">
        <v>16121</v>
      </c>
      <c r="J337" s="9" t="s">
        <v>16122</v>
      </c>
      <c r="K337" s="9" t="s">
        <v>16123</v>
      </c>
      <c r="L337" s="9">
        <v>97418.0</v>
      </c>
      <c r="M337" s="9" t="s">
        <v>71</v>
      </c>
      <c r="N337" s="9" t="s">
        <v>9288</v>
      </c>
      <c r="O337" s="9" t="s">
        <v>16124</v>
      </c>
      <c r="P337" s="53" t="s">
        <v>16125</v>
      </c>
      <c r="Q337" s="49" t="s">
        <v>16126</v>
      </c>
      <c r="R337" s="50"/>
      <c r="S337" s="54"/>
      <c r="T337" s="9" t="s">
        <v>16127</v>
      </c>
      <c r="U337" s="9" t="s">
        <v>16128</v>
      </c>
      <c r="W337" s="9" t="s">
        <v>14260</v>
      </c>
      <c r="Y337" s="9" t="s">
        <v>2938</v>
      </c>
      <c r="Z337" s="9" t="s">
        <v>353</v>
      </c>
      <c r="AC337" s="9">
        <v>7.884801500001E13</v>
      </c>
      <c r="AD337" s="9">
        <v>7.8848015E8</v>
      </c>
      <c r="AE337" s="9" t="s">
        <v>401</v>
      </c>
      <c r="AF337" s="55">
        <v>45114.48496527778</v>
      </c>
      <c r="AG337" s="9" t="s">
        <v>16129</v>
      </c>
      <c r="AH337" s="9" t="s">
        <v>16130</v>
      </c>
      <c r="AJ337" s="9" t="s">
        <v>16131</v>
      </c>
      <c r="AK337" s="9" t="b">
        <v>0</v>
      </c>
      <c r="AL337" s="9" t="b">
        <v>0</v>
      </c>
      <c r="AN337" s="9" t="s">
        <v>10496</v>
      </c>
      <c r="AP337" s="56">
        <v>45040.0</v>
      </c>
      <c r="AQ337" s="9" t="b">
        <v>0</v>
      </c>
      <c r="AR337" s="9" t="s">
        <v>16132</v>
      </c>
    </row>
    <row r="338" ht="15.75" customHeight="1">
      <c r="A338" s="9" t="s">
        <v>10498</v>
      </c>
      <c r="B338" s="9" t="s">
        <v>16133</v>
      </c>
      <c r="C338" s="9" t="s">
        <v>58</v>
      </c>
      <c r="D338" s="9" t="s">
        <v>59</v>
      </c>
      <c r="E338" s="9" t="s">
        <v>12384</v>
      </c>
      <c r="F338" s="9">
        <v>5.0</v>
      </c>
      <c r="G338" s="9" t="s">
        <v>455</v>
      </c>
      <c r="H338" s="9" t="s">
        <v>2716</v>
      </c>
      <c r="J338" s="9" t="s">
        <v>12708</v>
      </c>
      <c r="K338" s="9" t="s">
        <v>16134</v>
      </c>
      <c r="L338" s="9">
        <v>97442.0</v>
      </c>
      <c r="M338" s="9" t="s">
        <v>33</v>
      </c>
      <c r="N338" s="9" t="s">
        <v>16135</v>
      </c>
      <c r="O338" s="9" t="s">
        <v>16136</v>
      </c>
      <c r="P338" s="53" t="s">
        <v>16137</v>
      </c>
      <c r="Q338" s="49" t="s">
        <v>16138</v>
      </c>
      <c r="R338" s="50"/>
      <c r="S338" s="58" t="s">
        <v>16139</v>
      </c>
      <c r="T338" s="9" t="s">
        <v>16140</v>
      </c>
      <c r="U338" s="9" t="s">
        <v>16141</v>
      </c>
      <c r="V338" s="9" t="s">
        <v>16142</v>
      </c>
      <c r="W338" s="9" t="s">
        <v>16143</v>
      </c>
      <c r="X338" s="9" t="s">
        <v>16144</v>
      </c>
      <c r="Y338" s="9" t="s">
        <v>12478</v>
      </c>
      <c r="Z338" s="9" t="s">
        <v>592</v>
      </c>
      <c r="AC338" s="9">
        <v>8.5381844100026E13</v>
      </c>
      <c r="AD338" s="9">
        <v>8.53818441E8</v>
      </c>
      <c r="AE338" s="9" t="s">
        <v>401</v>
      </c>
      <c r="AF338" s="55">
        <v>45736.376921296294</v>
      </c>
      <c r="AG338" s="9" t="s">
        <v>16145</v>
      </c>
      <c r="AH338" s="9" t="s">
        <v>16146</v>
      </c>
      <c r="AJ338" s="9" t="s">
        <v>16147</v>
      </c>
      <c r="AK338" s="9" t="b">
        <v>0</v>
      </c>
      <c r="AL338" s="9" t="b">
        <v>1</v>
      </c>
      <c r="AM338" s="9" t="s">
        <v>16148</v>
      </c>
      <c r="AN338" s="9" t="s">
        <v>10498</v>
      </c>
      <c r="AP338" s="56">
        <v>44774.0</v>
      </c>
      <c r="AQ338" s="9" t="b">
        <v>0</v>
      </c>
      <c r="AR338" s="9" t="s">
        <v>16149</v>
      </c>
    </row>
    <row r="339" ht="15.75" customHeight="1">
      <c r="A339" s="9" t="s">
        <v>11668</v>
      </c>
      <c r="B339" s="9" t="s">
        <v>16150</v>
      </c>
      <c r="C339" s="9" t="s">
        <v>117</v>
      </c>
      <c r="D339" s="9" t="s">
        <v>1549</v>
      </c>
      <c r="E339" s="9" t="s">
        <v>16082</v>
      </c>
      <c r="F339" s="9"/>
      <c r="G339" s="9" t="s">
        <v>455</v>
      </c>
      <c r="J339" s="9" t="s">
        <v>16151</v>
      </c>
      <c r="K339" s="9" t="s">
        <v>16152</v>
      </c>
      <c r="L339" s="9">
        <v>97442.0</v>
      </c>
      <c r="M339" s="9" t="s">
        <v>33</v>
      </c>
      <c r="N339" s="9" t="s">
        <v>15096</v>
      </c>
      <c r="O339" s="9" t="s">
        <v>16153</v>
      </c>
      <c r="P339" s="53" t="s">
        <v>15098</v>
      </c>
      <c r="Q339" s="49" t="s">
        <v>15099</v>
      </c>
      <c r="R339" s="50"/>
      <c r="S339" s="59"/>
      <c r="T339" s="9" t="s">
        <v>16154</v>
      </c>
      <c r="U339" s="9" t="s">
        <v>16155</v>
      </c>
      <c r="V339" s="9" t="s">
        <v>16156</v>
      </c>
      <c r="W339" s="9" t="s">
        <v>16157</v>
      </c>
      <c r="X339" s="9" t="s">
        <v>14022</v>
      </c>
      <c r="Y339" s="9" t="s">
        <v>9455</v>
      </c>
      <c r="Z339" s="9" t="s">
        <v>378</v>
      </c>
      <c r="AC339" s="9">
        <v>4.5396810900034E13</v>
      </c>
      <c r="AD339" s="9">
        <v>4.53968109E8</v>
      </c>
      <c r="AE339" s="9" t="s">
        <v>401</v>
      </c>
      <c r="AF339" s="55">
        <v>45590.500393518516</v>
      </c>
      <c r="AG339" s="9" t="s">
        <v>15104</v>
      </c>
      <c r="AH339" s="9" t="s">
        <v>16158</v>
      </c>
      <c r="AJ339" s="9" t="s">
        <v>16159</v>
      </c>
      <c r="AK339" s="9" t="b">
        <v>1</v>
      </c>
      <c r="AL339" s="9" t="b">
        <v>0</v>
      </c>
      <c r="AM339" s="9"/>
      <c r="AN339" s="9" t="s">
        <v>11668</v>
      </c>
      <c r="AP339" s="56">
        <v>45051.0</v>
      </c>
      <c r="AQ339" s="9" t="b">
        <v>0</v>
      </c>
      <c r="AR339" s="9"/>
    </row>
    <row r="340" ht="15.75" customHeight="1">
      <c r="A340" s="9" t="s">
        <v>11805</v>
      </c>
      <c r="B340" s="9" t="s">
        <v>16160</v>
      </c>
      <c r="C340" s="9" t="s">
        <v>58</v>
      </c>
      <c r="D340" s="9" t="s">
        <v>59</v>
      </c>
      <c r="E340" s="9" t="s">
        <v>346</v>
      </c>
      <c r="F340" s="9">
        <v>4.0</v>
      </c>
      <c r="H340" s="9" t="s">
        <v>355</v>
      </c>
      <c r="J340" s="52" t="s">
        <v>16161</v>
      </c>
      <c r="K340" s="9" t="s">
        <v>16162</v>
      </c>
      <c r="L340" s="9">
        <v>97480.0</v>
      </c>
      <c r="M340" s="9" t="s">
        <v>123</v>
      </c>
      <c r="N340" s="9"/>
      <c r="O340" s="9" t="s">
        <v>16163</v>
      </c>
      <c r="P340" s="53" t="s">
        <v>16164</v>
      </c>
      <c r="Q340" s="49" t="s">
        <v>16165</v>
      </c>
      <c r="R340" s="50"/>
      <c r="S340" s="54"/>
      <c r="T340" s="9" t="s">
        <v>16166</v>
      </c>
      <c r="U340" s="9" t="s">
        <v>16167</v>
      </c>
      <c r="V340" s="9" t="s">
        <v>16168</v>
      </c>
      <c r="W340" s="9" t="s">
        <v>16169</v>
      </c>
      <c r="X340" s="9" t="s">
        <v>16170</v>
      </c>
      <c r="Y340" s="9" t="s">
        <v>2938</v>
      </c>
      <c r="Z340" s="9" t="s">
        <v>378</v>
      </c>
      <c r="AC340" s="9">
        <v>5.2802017500048E13</v>
      </c>
      <c r="AD340" s="9">
        <v>5.28020175E8</v>
      </c>
      <c r="AE340" s="9" t="s">
        <v>401</v>
      </c>
      <c r="AF340" s="55">
        <v>45114.481261574074</v>
      </c>
      <c r="AG340" s="9" t="s">
        <v>16171</v>
      </c>
      <c r="AH340" s="9" t="s">
        <v>16172</v>
      </c>
      <c r="AJ340" s="9" t="s">
        <v>16173</v>
      </c>
      <c r="AK340" s="9" t="b">
        <v>0</v>
      </c>
      <c r="AL340" s="9" t="b">
        <v>1</v>
      </c>
      <c r="AM340" s="9" t="s">
        <v>16174</v>
      </c>
      <c r="AN340" s="9" t="s">
        <v>11805</v>
      </c>
      <c r="AP340" s="56">
        <v>44587.0</v>
      </c>
      <c r="AQ340" s="9" t="b">
        <v>1</v>
      </c>
      <c r="AR340" s="9"/>
      <c r="AS340" s="9" t="s">
        <v>12303</v>
      </c>
    </row>
    <row r="341" ht="15.75" customHeight="1">
      <c r="A341" s="9" t="s">
        <v>11618</v>
      </c>
      <c r="B341" s="9" t="s">
        <v>16175</v>
      </c>
      <c r="C341" s="9" t="s">
        <v>117</v>
      </c>
      <c r="D341" s="9" t="s">
        <v>197</v>
      </c>
      <c r="E341" s="9" t="s">
        <v>14250</v>
      </c>
      <c r="F341" s="9"/>
      <c r="G341" s="9" t="s">
        <v>422</v>
      </c>
      <c r="I341" s="9"/>
      <c r="J341" s="52" t="s">
        <v>16176</v>
      </c>
      <c r="K341" s="9" t="s">
        <v>16084</v>
      </c>
      <c r="L341" s="9">
        <v>97414.0</v>
      </c>
      <c r="M341" s="9" t="s">
        <v>40</v>
      </c>
      <c r="N341" s="9" t="s">
        <v>40</v>
      </c>
      <c r="O341" s="9" t="s">
        <v>16177</v>
      </c>
      <c r="P341" s="53" t="s">
        <v>16178</v>
      </c>
      <c r="Q341" s="49" t="s">
        <v>16179</v>
      </c>
      <c r="R341" s="50"/>
      <c r="S341" s="59"/>
      <c r="T341" s="9" t="s">
        <v>16180</v>
      </c>
      <c r="U341" s="9" t="s">
        <v>16181</v>
      </c>
      <c r="V341" s="9" t="s">
        <v>16182</v>
      </c>
      <c r="W341" s="9" t="s">
        <v>14260</v>
      </c>
      <c r="X341" s="9" t="s">
        <v>1038</v>
      </c>
      <c r="Y341" s="9" t="s">
        <v>8231</v>
      </c>
      <c r="Z341" s="9" t="s">
        <v>592</v>
      </c>
      <c r="AC341" s="9">
        <v>9.0984332800016E13</v>
      </c>
      <c r="AD341" s="9">
        <v>9.09843328E8</v>
      </c>
      <c r="AE341" s="9" t="s">
        <v>401</v>
      </c>
      <c r="AF341" s="55">
        <v>45504.52508101852</v>
      </c>
      <c r="AG341" s="9" t="s">
        <v>16183</v>
      </c>
      <c r="AH341" s="9" t="s">
        <v>16184</v>
      </c>
      <c r="AJ341" s="9" t="s">
        <v>16185</v>
      </c>
      <c r="AK341" s="9" t="b">
        <v>0</v>
      </c>
      <c r="AL341" s="9" t="b">
        <v>0</v>
      </c>
      <c r="AM341" s="9"/>
      <c r="AN341" s="9" t="s">
        <v>11618</v>
      </c>
      <c r="AP341" s="56">
        <v>45106.0</v>
      </c>
      <c r="AQ341" s="9" t="b">
        <v>0</v>
      </c>
      <c r="AR341" s="9" t="s">
        <v>16186</v>
      </c>
    </row>
    <row r="342" ht="15.75" customHeight="1">
      <c r="A342" s="9" t="s">
        <v>10500</v>
      </c>
      <c r="B342" s="9" t="s">
        <v>16187</v>
      </c>
      <c r="C342" s="9" t="s">
        <v>822</v>
      </c>
      <c r="D342" s="9" t="s">
        <v>1405</v>
      </c>
      <c r="E342" s="9" t="s">
        <v>1406</v>
      </c>
      <c r="F342" s="9"/>
      <c r="G342" s="9" t="s">
        <v>455</v>
      </c>
      <c r="I342" s="9"/>
      <c r="J342" s="52" t="s">
        <v>16188</v>
      </c>
      <c r="K342" s="9" t="s">
        <v>16189</v>
      </c>
      <c r="L342" s="9">
        <v>97480.0</v>
      </c>
      <c r="M342" s="9" t="s">
        <v>123</v>
      </c>
      <c r="N342" s="9" t="s">
        <v>12446</v>
      </c>
      <c r="O342" s="9" t="s">
        <v>16190</v>
      </c>
      <c r="P342" s="53" t="s">
        <v>16191</v>
      </c>
      <c r="Q342" s="49" t="s">
        <v>16192</v>
      </c>
      <c r="R342" s="50"/>
      <c r="S342" s="59"/>
      <c r="T342" s="9" t="s">
        <v>16193</v>
      </c>
      <c r="U342" s="9" t="s">
        <v>16194</v>
      </c>
      <c r="V342" s="9"/>
      <c r="W342" s="9" t="s">
        <v>14260</v>
      </c>
      <c r="X342" s="9"/>
      <c r="Y342" s="9" t="s">
        <v>1863</v>
      </c>
      <c r="Z342" s="9" t="s">
        <v>353</v>
      </c>
      <c r="AC342" s="9">
        <v>8.1196084800018E13</v>
      </c>
      <c r="AD342" s="9">
        <v>8.11960848E8</v>
      </c>
      <c r="AE342" s="9" t="s">
        <v>401</v>
      </c>
      <c r="AF342" s="55">
        <v>45114.39604166667</v>
      </c>
      <c r="AG342" s="9" t="s">
        <v>16195</v>
      </c>
      <c r="AH342" s="9" t="s">
        <v>16196</v>
      </c>
      <c r="AJ342" s="9" t="s">
        <v>16197</v>
      </c>
      <c r="AK342" s="9" t="b">
        <v>0</v>
      </c>
      <c r="AL342" s="9" t="b">
        <v>0</v>
      </c>
      <c r="AM342" s="9"/>
      <c r="AN342" s="9" t="s">
        <v>10500</v>
      </c>
      <c r="AP342" s="56">
        <v>45082.0</v>
      </c>
      <c r="AQ342" s="9" t="b">
        <v>0</v>
      </c>
      <c r="AR342" s="9" t="s">
        <v>16198</v>
      </c>
    </row>
    <row r="343" ht="15.75" customHeight="1">
      <c r="A343" s="9" t="s">
        <v>10502</v>
      </c>
      <c r="B343" s="9" t="s">
        <v>16199</v>
      </c>
      <c r="C343" s="9" t="s">
        <v>58</v>
      </c>
      <c r="D343" s="9" t="s">
        <v>59</v>
      </c>
      <c r="E343" s="9" t="s">
        <v>346</v>
      </c>
      <c r="F343" s="9">
        <v>7.0</v>
      </c>
      <c r="G343" s="9"/>
      <c r="I343" s="9"/>
      <c r="J343" s="9" t="s">
        <v>16200</v>
      </c>
      <c r="K343" s="9" t="s">
        <v>16201</v>
      </c>
      <c r="L343" s="9">
        <v>97480.0</v>
      </c>
      <c r="M343" s="9" t="s">
        <v>123</v>
      </c>
      <c r="N343" s="9"/>
      <c r="O343" s="9" t="s">
        <v>16202</v>
      </c>
      <c r="P343" s="53" t="s">
        <v>16203</v>
      </c>
      <c r="Q343" s="49" t="s">
        <v>16204</v>
      </c>
      <c r="R343" s="50"/>
      <c r="S343" s="59"/>
      <c r="T343" s="9" t="s">
        <v>16205</v>
      </c>
      <c r="U343" s="9" t="s">
        <v>16206</v>
      </c>
      <c r="V343" s="9"/>
      <c r="W343" s="9" t="s">
        <v>16207</v>
      </c>
      <c r="X343" s="9" t="s">
        <v>16208</v>
      </c>
      <c r="Y343" s="9" t="s">
        <v>499</v>
      </c>
      <c r="Z343" s="9" t="s">
        <v>353</v>
      </c>
      <c r="AC343" s="9">
        <v>9.5225458900015E13</v>
      </c>
      <c r="AD343" s="9">
        <v>9.52254589E8</v>
      </c>
      <c r="AE343" s="9" t="s">
        <v>401</v>
      </c>
      <c r="AF343" s="55">
        <v>45748.49563657407</v>
      </c>
      <c r="AG343" s="9" t="s">
        <v>16209</v>
      </c>
      <c r="AH343" s="9" t="s">
        <v>16210</v>
      </c>
      <c r="AJ343" s="9" t="s">
        <v>16211</v>
      </c>
      <c r="AK343" s="9" t="b">
        <v>0</v>
      </c>
      <c r="AL343" s="9" t="b">
        <v>0</v>
      </c>
      <c r="AM343" s="9" t="s">
        <v>16212</v>
      </c>
      <c r="AN343" s="9" t="s">
        <v>10502</v>
      </c>
      <c r="AP343" s="56">
        <v>45091.0</v>
      </c>
      <c r="AQ343" s="9" t="b">
        <v>0</v>
      </c>
      <c r="AR343" s="9"/>
    </row>
    <row r="344" ht="15.75" customHeight="1">
      <c r="A344" s="9" t="s">
        <v>11724</v>
      </c>
      <c r="B344" s="9" t="s">
        <v>16213</v>
      </c>
      <c r="C344" s="9" t="s">
        <v>58</v>
      </c>
      <c r="D344" s="9" t="s">
        <v>59</v>
      </c>
      <c r="E344" s="9" t="s">
        <v>346</v>
      </c>
      <c r="F344" s="9">
        <v>4.0</v>
      </c>
      <c r="H344" s="9" t="s">
        <v>2716</v>
      </c>
      <c r="J344" s="52" t="s">
        <v>14338</v>
      </c>
      <c r="K344" s="9" t="s">
        <v>16214</v>
      </c>
      <c r="L344" s="9">
        <v>97414.0</v>
      </c>
      <c r="M344" s="9" t="s">
        <v>40</v>
      </c>
      <c r="N344" s="9" t="s">
        <v>1860</v>
      </c>
      <c r="O344" s="9" t="s">
        <v>16215</v>
      </c>
      <c r="P344" s="53" t="s">
        <v>16216</v>
      </c>
      <c r="Q344" s="49" t="s">
        <v>16217</v>
      </c>
      <c r="R344" s="50"/>
      <c r="S344" s="58" t="s">
        <v>16218</v>
      </c>
      <c r="T344" s="9" t="s">
        <v>16219</v>
      </c>
      <c r="U344" s="9" t="s">
        <v>16220</v>
      </c>
      <c r="W344" s="9" t="s">
        <v>16221</v>
      </c>
      <c r="X344" s="9" t="s">
        <v>16222</v>
      </c>
      <c r="Y344" s="9" t="s">
        <v>8930</v>
      </c>
      <c r="Z344" s="9" t="s">
        <v>424</v>
      </c>
      <c r="AC344" s="9">
        <v>9.2147980400012E13</v>
      </c>
      <c r="AD344" s="9">
        <v>9.21479804E8</v>
      </c>
      <c r="AE344" s="9" t="s">
        <v>401</v>
      </c>
      <c r="AF344" s="55">
        <v>45112.61483796296</v>
      </c>
      <c r="AG344" s="9" t="s">
        <v>16223</v>
      </c>
      <c r="AH344" s="9" t="s">
        <v>16224</v>
      </c>
      <c r="AJ344" s="9" t="s">
        <v>16225</v>
      </c>
      <c r="AK344" s="9" t="b">
        <v>0</v>
      </c>
      <c r="AL344" s="9" t="b">
        <v>0</v>
      </c>
      <c r="AM344" s="9" t="s">
        <v>16226</v>
      </c>
      <c r="AN344" s="9" t="s">
        <v>11724</v>
      </c>
      <c r="AP344" s="56">
        <v>45028.0</v>
      </c>
      <c r="AQ344" s="9" t="b">
        <v>0</v>
      </c>
      <c r="AR344" s="9" t="s">
        <v>16227</v>
      </c>
    </row>
    <row r="345" ht="15.75" customHeight="1">
      <c r="A345" s="7" t="s">
        <v>3527</v>
      </c>
      <c r="B345" s="7" t="s">
        <v>3528</v>
      </c>
      <c r="C345" s="7" t="s">
        <v>34</v>
      </c>
      <c r="D345" s="7" t="s">
        <v>622</v>
      </c>
      <c r="E345" s="6" t="s">
        <v>16228</v>
      </c>
      <c r="F345" s="7"/>
      <c r="G345" s="7"/>
      <c r="H345" s="7"/>
      <c r="I345" s="7"/>
      <c r="J345" s="7">
        <v>2.0</v>
      </c>
      <c r="K345" s="7" t="s">
        <v>13523</v>
      </c>
      <c r="L345" s="7">
        <v>97414.0</v>
      </c>
      <c r="M345" s="7" t="s">
        <v>40</v>
      </c>
      <c r="N345" s="7"/>
      <c r="O345" s="6" t="s">
        <v>16229</v>
      </c>
      <c r="P345" s="42" t="s">
        <v>3531</v>
      </c>
      <c r="Q345" s="49" t="s">
        <v>16230</v>
      </c>
      <c r="R345" s="43" t="s">
        <v>16231</v>
      </c>
      <c r="S345" s="51"/>
      <c r="T345" s="6" t="s">
        <v>16232</v>
      </c>
      <c r="U345" s="6" t="s">
        <v>16233</v>
      </c>
      <c r="V345" s="7"/>
      <c r="W345" s="6" t="s">
        <v>16234</v>
      </c>
      <c r="X345" s="6" t="s">
        <v>16235</v>
      </c>
      <c r="Y345" s="6" t="s">
        <v>13253</v>
      </c>
      <c r="Z345" s="6" t="s">
        <v>1698</v>
      </c>
      <c r="AA345" s="7"/>
      <c r="AB345" s="7"/>
      <c r="AC345" s="7">
        <v>8.3009737400011E13</v>
      </c>
      <c r="AD345" s="7">
        <v>8.30097374E8</v>
      </c>
      <c r="AE345" s="6" t="s">
        <v>401</v>
      </c>
      <c r="AF345" s="45">
        <v>45435.40645833333</v>
      </c>
      <c r="AG345" s="7" t="s">
        <v>16236</v>
      </c>
      <c r="AH345" s="46" t="s">
        <v>16237</v>
      </c>
      <c r="AI345" s="7"/>
      <c r="AJ345" s="6" t="s">
        <v>16238</v>
      </c>
      <c r="AK345" s="6" t="b">
        <v>1</v>
      </c>
      <c r="AL345" s="7" t="b">
        <v>0</v>
      </c>
      <c r="AM345" s="7"/>
      <c r="AN345" s="6" t="s">
        <v>3527</v>
      </c>
      <c r="AO345" s="6">
        <v>4748.0</v>
      </c>
      <c r="AP345" s="6"/>
      <c r="AQ345" s="6" t="b">
        <v>1</v>
      </c>
      <c r="AR345" s="6"/>
      <c r="AS345" s="48" t="s">
        <v>12303</v>
      </c>
    </row>
    <row r="346" ht="15.75" customHeight="1">
      <c r="A346" s="9" t="s">
        <v>12165</v>
      </c>
      <c r="B346" s="9" t="s">
        <v>16239</v>
      </c>
      <c r="C346" s="9" t="s">
        <v>58</v>
      </c>
      <c r="D346" s="9" t="s">
        <v>59</v>
      </c>
      <c r="E346" s="9" t="s">
        <v>374</v>
      </c>
      <c r="F346" s="9">
        <v>3.0</v>
      </c>
      <c r="G346" s="9"/>
      <c r="I346" s="9"/>
      <c r="J346" s="9" t="s">
        <v>16240</v>
      </c>
      <c r="K346" s="9" t="s">
        <v>16241</v>
      </c>
      <c r="L346" s="9">
        <v>97414.0</v>
      </c>
      <c r="M346" s="9" t="s">
        <v>40</v>
      </c>
      <c r="N346" s="9"/>
      <c r="O346" s="9" t="s">
        <v>16242</v>
      </c>
      <c r="P346" s="53" t="s">
        <v>16243</v>
      </c>
      <c r="Q346" s="49" t="s">
        <v>16244</v>
      </c>
      <c r="R346" s="50"/>
      <c r="S346" s="59"/>
      <c r="T346" s="9" t="s">
        <v>16245</v>
      </c>
      <c r="U346" s="9" t="s">
        <v>16246</v>
      </c>
      <c r="V346" s="9"/>
      <c r="W346" s="9" t="s">
        <v>16247</v>
      </c>
      <c r="X346" s="9"/>
      <c r="Y346" s="9"/>
      <c r="Z346" s="9" t="s">
        <v>592</v>
      </c>
      <c r="AC346" s="9">
        <v>9.109669100001E13</v>
      </c>
      <c r="AD346" s="9">
        <v>9.1096691E8</v>
      </c>
      <c r="AE346" s="9" t="s">
        <v>401</v>
      </c>
      <c r="AF346" s="55">
        <v>45111.46388888889</v>
      </c>
      <c r="AG346" s="9" t="s">
        <v>16248</v>
      </c>
      <c r="AH346" s="9" t="s">
        <v>16249</v>
      </c>
      <c r="AJ346" s="9" t="s">
        <v>16250</v>
      </c>
      <c r="AK346" s="9" t="b">
        <v>0</v>
      </c>
      <c r="AL346" s="9" t="b">
        <v>0</v>
      </c>
      <c r="AM346" s="9" t="s">
        <v>16251</v>
      </c>
      <c r="AN346" s="9" t="s">
        <v>12165</v>
      </c>
      <c r="AP346" s="56">
        <v>45096.0</v>
      </c>
      <c r="AQ346" s="9" t="b">
        <v>0</v>
      </c>
      <c r="AR346" s="9" t="s">
        <v>16252</v>
      </c>
    </row>
    <row r="347" ht="15.75" customHeight="1">
      <c r="A347" s="9" t="s">
        <v>10711</v>
      </c>
      <c r="B347" s="9" t="s">
        <v>16253</v>
      </c>
      <c r="C347" s="9" t="s">
        <v>58</v>
      </c>
      <c r="D347" s="9" t="s">
        <v>59</v>
      </c>
      <c r="E347" s="9" t="s">
        <v>346</v>
      </c>
      <c r="F347" s="9">
        <v>12.0</v>
      </c>
      <c r="J347" s="9" t="s">
        <v>16254</v>
      </c>
      <c r="K347" s="9" t="s">
        <v>16189</v>
      </c>
      <c r="L347" s="9">
        <v>97480.0</v>
      </c>
      <c r="M347" s="9" t="s">
        <v>123</v>
      </c>
      <c r="N347" s="9" t="s">
        <v>16255</v>
      </c>
      <c r="O347" s="9" t="s">
        <v>16256</v>
      </c>
      <c r="P347" s="53" t="s">
        <v>16257</v>
      </c>
      <c r="Q347" s="49" t="s">
        <v>16258</v>
      </c>
      <c r="R347" s="50"/>
      <c r="S347" s="54" t="s">
        <v>12350</v>
      </c>
      <c r="T347" s="9" t="s">
        <v>16259</v>
      </c>
      <c r="U347" s="9" t="s">
        <v>16260</v>
      </c>
      <c r="V347" s="9" t="s">
        <v>16261</v>
      </c>
      <c r="W347" s="9" t="s">
        <v>16262</v>
      </c>
      <c r="X347" s="9" t="s">
        <v>16263</v>
      </c>
      <c r="Y347" s="9" t="s">
        <v>499</v>
      </c>
      <c r="Z347" s="9" t="s">
        <v>353</v>
      </c>
      <c r="AC347" s="9">
        <v>4.0068586300096E13</v>
      </c>
      <c r="AD347" s="9">
        <v>4.00685863E8</v>
      </c>
      <c r="AE347" s="9" t="s">
        <v>12355</v>
      </c>
      <c r="AF347" s="55">
        <v>45110.43876157407</v>
      </c>
      <c r="AG347" s="9" t="s">
        <v>16264</v>
      </c>
      <c r="AH347" s="9" t="s">
        <v>16265</v>
      </c>
      <c r="AJ347" s="9" t="s">
        <v>16266</v>
      </c>
      <c r="AK347" s="9" t="b">
        <v>1</v>
      </c>
      <c r="AL347" s="9" t="b">
        <v>0</v>
      </c>
      <c r="AM347" s="9" t="s">
        <v>16267</v>
      </c>
      <c r="AN347" s="9" t="s">
        <v>10711</v>
      </c>
      <c r="AP347" s="56">
        <v>44412.0</v>
      </c>
      <c r="AQ347" s="6" t="b">
        <v>1</v>
      </c>
      <c r="AR347" s="6"/>
      <c r="AS347" s="6" t="s">
        <v>12303</v>
      </c>
    </row>
    <row r="348" ht="15.75" customHeight="1">
      <c r="A348" s="7" t="s">
        <v>3221</v>
      </c>
      <c r="B348" s="7" t="s">
        <v>3222</v>
      </c>
      <c r="C348" s="7" t="s">
        <v>58</v>
      </c>
      <c r="D348" s="7" t="s">
        <v>59</v>
      </c>
      <c r="E348" s="7" t="s">
        <v>346</v>
      </c>
      <c r="F348" s="7">
        <v>3.0</v>
      </c>
      <c r="G348" s="7" t="s">
        <v>422</v>
      </c>
      <c r="H348" s="6" t="s">
        <v>395</v>
      </c>
      <c r="I348" s="7"/>
      <c r="J348" s="7">
        <v>16.0</v>
      </c>
      <c r="K348" s="7" t="s">
        <v>13294</v>
      </c>
      <c r="L348" s="7">
        <v>97480.0</v>
      </c>
      <c r="M348" s="7" t="s">
        <v>123</v>
      </c>
      <c r="N348" s="7"/>
      <c r="O348" s="6" t="s">
        <v>16268</v>
      </c>
      <c r="P348" s="42" t="s">
        <v>519</v>
      </c>
      <c r="Q348" s="43" t="s">
        <v>13296</v>
      </c>
      <c r="R348" s="43" t="s">
        <v>13297</v>
      </c>
      <c r="S348" s="47" t="s">
        <v>3206</v>
      </c>
      <c r="T348" s="7" t="s">
        <v>3225</v>
      </c>
      <c r="U348" s="7" t="s">
        <v>3224</v>
      </c>
      <c r="V348" s="7" t="s">
        <v>532</v>
      </c>
      <c r="W348" s="6" t="s">
        <v>13298</v>
      </c>
      <c r="X348" s="7"/>
      <c r="Y348" s="7" t="s">
        <v>1567</v>
      </c>
      <c r="Z348" s="7" t="s">
        <v>3208</v>
      </c>
      <c r="AA348" s="7" t="s">
        <v>3216</v>
      </c>
      <c r="AB348" s="7" t="s">
        <v>3217</v>
      </c>
      <c r="AC348" s="7">
        <v>8.2843905900027E13</v>
      </c>
      <c r="AD348" s="7">
        <v>8.28439059E8</v>
      </c>
      <c r="AE348" s="6" t="s">
        <v>401</v>
      </c>
      <c r="AF348" s="45">
        <v>45110.41978009259</v>
      </c>
      <c r="AG348" s="7" t="s">
        <v>13299</v>
      </c>
      <c r="AH348" s="46" t="s">
        <v>16269</v>
      </c>
      <c r="AI348" s="7"/>
      <c r="AJ348" s="7"/>
      <c r="AK348" s="7" t="b">
        <v>0</v>
      </c>
      <c r="AL348" s="7" t="b">
        <v>0</v>
      </c>
      <c r="AM348" s="6" t="s">
        <v>3218</v>
      </c>
      <c r="AN348" s="6" t="s">
        <v>3221</v>
      </c>
      <c r="AO348" s="6">
        <v>5111.0</v>
      </c>
      <c r="AP348" s="6"/>
      <c r="AQ348" s="6" t="b">
        <v>1</v>
      </c>
      <c r="AR348" s="6"/>
      <c r="AS348" s="6"/>
    </row>
    <row r="349" ht="15.75" customHeight="1">
      <c r="A349" s="7" t="s">
        <v>9639</v>
      </c>
      <c r="B349" s="7" t="s">
        <v>16270</v>
      </c>
      <c r="C349" s="7" t="s">
        <v>58</v>
      </c>
      <c r="D349" s="7" t="s">
        <v>59</v>
      </c>
      <c r="E349" s="6" t="s">
        <v>346</v>
      </c>
      <c r="F349" s="7">
        <v>15.0</v>
      </c>
      <c r="G349" s="6" t="s">
        <v>455</v>
      </c>
      <c r="H349" s="6" t="s">
        <v>2716</v>
      </c>
      <c r="I349" s="7"/>
      <c r="J349" s="7">
        <v>15.0</v>
      </c>
      <c r="K349" s="7" t="s">
        <v>12901</v>
      </c>
      <c r="L349" s="7">
        <v>97418.0</v>
      </c>
      <c r="M349" s="7" t="s">
        <v>71</v>
      </c>
      <c r="N349" s="7" t="s">
        <v>216</v>
      </c>
      <c r="O349" s="6" t="s">
        <v>16271</v>
      </c>
      <c r="P349" s="42" t="s">
        <v>9642</v>
      </c>
      <c r="Q349" s="43" t="s">
        <v>16272</v>
      </c>
      <c r="R349" s="50"/>
      <c r="S349" s="51"/>
      <c r="T349" s="6" t="s">
        <v>16273</v>
      </c>
      <c r="U349" s="6" t="s">
        <v>16274</v>
      </c>
      <c r="V349" s="6" t="s">
        <v>16275</v>
      </c>
      <c r="W349" s="6" t="s">
        <v>16276</v>
      </c>
      <c r="X349" s="6" t="s">
        <v>16277</v>
      </c>
      <c r="Y349" s="6" t="s">
        <v>499</v>
      </c>
      <c r="Z349" s="6" t="s">
        <v>13051</v>
      </c>
      <c r="AA349" s="7"/>
      <c r="AB349" s="7"/>
      <c r="AC349" s="7">
        <v>8.4789922600017E13</v>
      </c>
      <c r="AD349" s="7">
        <v>8.47899226E8</v>
      </c>
      <c r="AE349" s="6" t="s">
        <v>401</v>
      </c>
      <c r="AF349" s="45">
        <v>45659.48949074074</v>
      </c>
      <c r="AG349" s="7" t="s">
        <v>16278</v>
      </c>
      <c r="AH349" s="46" t="s">
        <v>16279</v>
      </c>
      <c r="AI349" s="7"/>
      <c r="AJ349" s="6" t="s">
        <v>16280</v>
      </c>
      <c r="AK349" s="6" t="b">
        <v>1</v>
      </c>
      <c r="AL349" s="6" t="b">
        <v>1</v>
      </c>
      <c r="AM349" s="6" t="s">
        <v>9646</v>
      </c>
      <c r="AN349" s="6" t="s">
        <v>9639</v>
      </c>
      <c r="AO349" s="7"/>
      <c r="AP349" s="7"/>
      <c r="AQ349" s="6" t="b">
        <v>1</v>
      </c>
      <c r="AR349" s="6" t="s">
        <v>16281</v>
      </c>
      <c r="AS349" s="48" t="s">
        <v>12303</v>
      </c>
    </row>
    <row r="350" ht="15.75" customHeight="1">
      <c r="A350" s="9" t="s">
        <v>11914</v>
      </c>
      <c r="B350" s="9" t="s">
        <v>16282</v>
      </c>
      <c r="C350" s="9" t="s">
        <v>58</v>
      </c>
      <c r="D350" s="9" t="s">
        <v>59</v>
      </c>
      <c r="E350" s="9" t="s">
        <v>346</v>
      </c>
      <c r="F350" s="9">
        <v>5.0</v>
      </c>
      <c r="G350" s="9" t="s">
        <v>455</v>
      </c>
      <c r="J350" s="9" t="s">
        <v>16283</v>
      </c>
      <c r="K350" s="9" t="s">
        <v>16284</v>
      </c>
      <c r="L350" s="9">
        <v>97430.0</v>
      </c>
      <c r="M350" s="9" t="s">
        <v>71</v>
      </c>
      <c r="N350" s="9" t="s">
        <v>12373</v>
      </c>
      <c r="O350" s="9" t="s">
        <v>16285</v>
      </c>
      <c r="P350" s="53" t="s">
        <v>16286</v>
      </c>
      <c r="Q350" s="49" t="s">
        <v>16287</v>
      </c>
      <c r="R350" s="50"/>
      <c r="S350" s="54" t="s">
        <v>12350</v>
      </c>
      <c r="T350" s="9" t="s">
        <v>16288</v>
      </c>
      <c r="U350" s="9" t="s">
        <v>16289</v>
      </c>
      <c r="V350" s="9" t="s">
        <v>16290</v>
      </c>
      <c r="W350" s="9" t="s">
        <v>16291</v>
      </c>
      <c r="X350" s="9" t="s">
        <v>16292</v>
      </c>
      <c r="Y350" s="9" t="s">
        <v>499</v>
      </c>
      <c r="Z350" s="9" t="s">
        <v>378</v>
      </c>
      <c r="AC350" s="9">
        <v>9.0483644200015E13</v>
      </c>
      <c r="AD350" s="9">
        <v>9.04836442E8</v>
      </c>
      <c r="AE350" s="9" t="s">
        <v>401</v>
      </c>
      <c r="AF350" s="55">
        <v>45623.377962962964</v>
      </c>
      <c r="AG350" s="9" t="s">
        <v>16293</v>
      </c>
      <c r="AH350" s="9" t="s">
        <v>16294</v>
      </c>
      <c r="AJ350" s="9" t="s">
        <v>16295</v>
      </c>
      <c r="AK350" s="9" t="b">
        <v>1</v>
      </c>
      <c r="AL350" s="9" t="b">
        <v>0</v>
      </c>
      <c r="AM350" s="9" t="s">
        <v>16296</v>
      </c>
      <c r="AN350" s="9" t="s">
        <v>11914</v>
      </c>
      <c r="AP350" s="56">
        <v>44474.0</v>
      </c>
      <c r="AQ350" s="9" t="b">
        <v>1</v>
      </c>
      <c r="AR350" s="9" t="s">
        <v>16297</v>
      </c>
      <c r="AS350" s="9" t="s">
        <v>12303</v>
      </c>
    </row>
    <row r="351" ht="15.75" customHeight="1">
      <c r="A351" s="9" t="s">
        <v>11870</v>
      </c>
      <c r="B351" s="9" t="s">
        <v>16298</v>
      </c>
      <c r="C351" s="9" t="s">
        <v>58</v>
      </c>
      <c r="D351" s="9" t="s">
        <v>59</v>
      </c>
      <c r="E351" s="9" t="s">
        <v>374</v>
      </c>
      <c r="F351" s="9">
        <v>4.0</v>
      </c>
      <c r="G351" s="9" t="s">
        <v>375</v>
      </c>
      <c r="H351" s="9" t="s">
        <v>2716</v>
      </c>
      <c r="J351" s="52" t="s">
        <v>14790</v>
      </c>
      <c r="K351" s="9" t="s">
        <v>16299</v>
      </c>
      <c r="L351" s="9">
        <v>97442.0</v>
      </c>
      <c r="M351" s="9" t="s">
        <v>33</v>
      </c>
      <c r="N351" s="9" t="s">
        <v>15582</v>
      </c>
      <c r="O351" s="9" t="s">
        <v>16300</v>
      </c>
      <c r="P351" s="53" t="s">
        <v>15584</v>
      </c>
      <c r="Q351" s="49" t="s">
        <v>15585</v>
      </c>
      <c r="R351" s="50"/>
      <c r="S351" s="58" t="s">
        <v>15586</v>
      </c>
      <c r="T351" s="9" t="s">
        <v>16301</v>
      </c>
      <c r="U351" s="9" t="s">
        <v>16302</v>
      </c>
      <c r="V351" s="9" t="s">
        <v>15589</v>
      </c>
      <c r="W351" s="9" t="s">
        <v>16303</v>
      </c>
      <c r="X351" s="9" t="s">
        <v>16304</v>
      </c>
      <c r="Y351" s="9" t="s">
        <v>15592</v>
      </c>
      <c r="Z351" s="9" t="s">
        <v>353</v>
      </c>
      <c r="AC351" s="9">
        <v>9.1925083700011E13</v>
      </c>
      <c r="AD351" s="9">
        <v>9.19250837E8</v>
      </c>
      <c r="AE351" s="9" t="s">
        <v>401</v>
      </c>
      <c r="AF351" s="55">
        <v>45589.45956018518</v>
      </c>
      <c r="AG351" s="9" t="s">
        <v>15593</v>
      </c>
      <c r="AH351" s="9" t="s">
        <v>16305</v>
      </c>
      <c r="AJ351" s="9" t="s">
        <v>16306</v>
      </c>
      <c r="AK351" s="9" t="b">
        <v>0</v>
      </c>
      <c r="AL351" s="9" t="b">
        <v>0</v>
      </c>
      <c r="AM351" s="9" t="s">
        <v>16307</v>
      </c>
      <c r="AN351" s="9" t="s">
        <v>11870</v>
      </c>
      <c r="AP351" s="56">
        <v>44840.0</v>
      </c>
      <c r="AQ351" s="9" t="b">
        <v>0</v>
      </c>
      <c r="AR351" s="9" t="s">
        <v>16308</v>
      </c>
    </row>
    <row r="352" ht="15.75" customHeight="1">
      <c r="A352" s="7" t="s">
        <v>8341</v>
      </c>
      <c r="B352" s="7" t="s">
        <v>8342</v>
      </c>
      <c r="C352" s="7" t="s">
        <v>58</v>
      </c>
      <c r="D352" s="7" t="s">
        <v>453</v>
      </c>
      <c r="E352" s="7" t="s">
        <v>454</v>
      </c>
      <c r="F352" s="7">
        <v>4.0</v>
      </c>
      <c r="G352" s="7"/>
      <c r="H352" s="7"/>
      <c r="I352" s="7"/>
      <c r="J352" s="6" t="s">
        <v>14770</v>
      </c>
      <c r="K352" s="6" t="s">
        <v>16309</v>
      </c>
      <c r="L352" s="7">
        <v>97414.0</v>
      </c>
      <c r="M352" s="7" t="s">
        <v>40</v>
      </c>
      <c r="N352" s="7"/>
      <c r="O352" s="6" t="s">
        <v>16310</v>
      </c>
      <c r="P352" s="42" t="s">
        <v>8346</v>
      </c>
      <c r="Q352" s="43" t="s">
        <v>16311</v>
      </c>
      <c r="R352" s="43" t="s">
        <v>16312</v>
      </c>
      <c r="S352" s="51"/>
      <c r="T352" s="6" t="s">
        <v>16313</v>
      </c>
      <c r="U352" s="7"/>
      <c r="V352" s="7"/>
      <c r="W352" s="6" t="s">
        <v>16314</v>
      </c>
      <c r="X352" s="7"/>
      <c r="Y352" s="6" t="s">
        <v>377</v>
      </c>
      <c r="Z352" s="6" t="s">
        <v>378</v>
      </c>
      <c r="AA352" s="7"/>
      <c r="AB352" s="7"/>
      <c r="AC352" s="7">
        <v>8.2942845700016E13</v>
      </c>
      <c r="AD352" s="7">
        <v>8.29428457E8</v>
      </c>
      <c r="AE352" s="6" t="s">
        <v>401</v>
      </c>
      <c r="AF352" s="45">
        <v>45107.39184027778</v>
      </c>
      <c r="AG352" s="7" t="s">
        <v>16315</v>
      </c>
      <c r="AH352" s="46" t="s">
        <v>16316</v>
      </c>
      <c r="AI352" s="7"/>
      <c r="AJ352" s="6" t="s">
        <v>16317</v>
      </c>
      <c r="AK352" s="7" t="b">
        <v>0</v>
      </c>
      <c r="AL352" s="7" t="b">
        <v>0</v>
      </c>
      <c r="AM352" s="6" t="s">
        <v>16318</v>
      </c>
      <c r="AN352" s="6" t="s">
        <v>8341</v>
      </c>
      <c r="AO352" s="7"/>
      <c r="AP352" s="7"/>
      <c r="AQ352" s="6" t="b">
        <v>0</v>
      </c>
      <c r="AR352" s="6" t="s">
        <v>16319</v>
      </c>
      <c r="AS352" s="48" t="s">
        <v>12303</v>
      </c>
    </row>
    <row r="353" ht="15.75" customHeight="1">
      <c r="A353" s="7" t="s">
        <v>2050</v>
      </c>
      <c r="B353" s="7" t="s">
        <v>2051</v>
      </c>
      <c r="C353" s="7" t="s">
        <v>58</v>
      </c>
      <c r="D353" s="7" t="s">
        <v>59</v>
      </c>
      <c r="E353" s="7" t="s">
        <v>346</v>
      </c>
      <c r="F353" s="7">
        <v>15.0</v>
      </c>
      <c r="G353" s="7"/>
      <c r="H353" s="7"/>
      <c r="I353" s="7"/>
      <c r="J353" s="7">
        <v>6.0</v>
      </c>
      <c r="K353" s="7" t="s">
        <v>16320</v>
      </c>
      <c r="L353" s="7">
        <v>97418.0</v>
      </c>
      <c r="M353" s="7" t="s">
        <v>71</v>
      </c>
      <c r="N353" s="7" t="s">
        <v>216</v>
      </c>
      <c r="O353" s="6" t="s">
        <v>16321</v>
      </c>
      <c r="P353" s="42" t="s">
        <v>2054</v>
      </c>
      <c r="Q353" s="43" t="s">
        <v>16322</v>
      </c>
      <c r="R353" s="50"/>
      <c r="S353" s="51"/>
      <c r="T353" s="7" t="s">
        <v>2056</v>
      </c>
      <c r="U353" s="7" t="s">
        <v>2055</v>
      </c>
      <c r="V353" s="7"/>
      <c r="W353" s="7" t="s">
        <v>646</v>
      </c>
      <c r="X353" s="7" t="s">
        <v>2053</v>
      </c>
      <c r="Y353" s="7"/>
      <c r="Z353" s="7" t="s">
        <v>378</v>
      </c>
      <c r="AA353" s="7"/>
      <c r="AB353" s="7"/>
      <c r="AC353" s="7"/>
      <c r="AD353" s="7"/>
      <c r="AE353" s="6" t="s">
        <v>12355</v>
      </c>
      <c r="AF353" s="63">
        <v>45434.68865740741</v>
      </c>
      <c r="AG353" s="7" t="s">
        <v>16323</v>
      </c>
      <c r="AH353" s="46" t="s">
        <v>16324</v>
      </c>
      <c r="AI353" s="7"/>
      <c r="AJ353" s="7"/>
      <c r="AK353" s="7" t="b">
        <v>0</v>
      </c>
      <c r="AL353" s="7" t="b">
        <v>0</v>
      </c>
      <c r="AM353" s="6" t="s">
        <v>2061</v>
      </c>
      <c r="AN353" s="6" t="s">
        <v>2050</v>
      </c>
      <c r="AO353" s="6">
        <v>3882.0</v>
      </c>
      <c r="AP353" s="6"/>
      <c r="AQ353" s="6" t="b">
        <v>1</v>
      </c>
      <c r="AR353" s="6" t="s">
        <v>16325</v>
      </c>
      <c r="AS353" s="48" t="s">
        <v>12303</v>
      </c>
    </row>
    <row r="354" ht="15.75" customHeight="1">
      <c r="A354" s="7" t="s">
        <v>3497</v>
      </c>
      <c r="B354" s="6" t="s">
        <v>16326</v>
      </c>
      <c r="C354" s="7" t="s">
        <v>58</v>
      </c>
      <c r="D354" s="7" t="s">
        <v>59</v>
      </c>
      <c r="E354" s="7" t="s">
        <v>346</v>
      </c>
      <c r="F354" s="7">
        <v>4.0</v>
      </c>
      <c r="G354" s="7" t="s">
        <v>455</v>
      </c>
      <c r="H354" s="6" t="s">
        <v>2716</v>
      </c>
      <c r="I354" s="7"/>
      <c r="J354" s="7">
        <v>75.0</v>
      </c>
      <c r="K354" s="7" t="s">
        <v>16327</v>
      </c>
      <c r="L354" s="7">
        <v>97430.0</v>
      </c>
      <c r="M354" s="7" t="s">
        <v>71</v>
      </c>
      <c r="N354" s="6" t="s">
        <v>3501</v>
      </c>
      <c r="O354" s="6" t="s">
        <v>16328</v>
      </c>
      <c r="P354" s="53" t="s">
        <v>16329</v>
      </c>
      <c r="Q354" s="49" t="s">
        <v>16330</v>
      </c>
      <c r="R354" s="50"/>
      <c r="S354" s="47" t="s">
        <v>3500</v>
      </c>
      <c r="T354" s="6" t="s">
        <v>16331</v>
      </c>
      <c r="U354" s="7" t="s">
        <v>3506</v>
      </c>
      <c r="V354" s="6" t="s">
        <v>16332</v>
      </c>
      <c r="W354" s="6" t="s">
        <v>16333</v>
      </c>
      <c r="X354" s="7" t="s">
        <v>3503</v>
      </c>
      <c r="Y354" s="7" t="s">
        <v>3504</v>
      </c>
      <c r="Z354" s="7" t="s">
        <v>353</v>
      </c>
      <c r="AA354" s="7"/>
      <c r="AB354" s="7"/>
      <c r="AC354" s="7">
        <v>8.4111528000015E13</v>
      </c>
      <c r="AD354" s="7">
        <v>8.4111528E8</v>
      </c>
      <c r="AE354" s="7" t="s">
        <v>401</v>
      </c>
      <c r="AF354" s="45">
        <v>45462.464004629626</v>
      </c>
      <c r="AG354" s="7" t="s">
        <v>16334</v>
      </c>
      <c r="AH354" s="46" t="s">
        <v>16335</v>
      </c>
      <c r="AI354" s="7"/>
      <c r="AJ354" s="6" t="s">
        <v>16336</v>
      </c>
      <c r="AK354" s="7" t="b">
        <v>0</v>
      </c>
      <c r="AL354" s="7" t="b">
        <v>0</v>
      </c>
      <c r="AM354" s="6" t="s">
        <v>3512</v>
      </c>
      <c r="AN354" s="6" t="s">
        <v>3497</v>
      </c>
      <c r="AO354" s="7"/>
      <c r="AP354" s="7"/>
      <c r="AQ354" s="6" t="b">
        <v>1</v>
      </c>
      <c r="AR354" s="6"/>
      <c r="AS354" s="6"/>
    </row>
    <row r="355" ht="15.75" customHeight="1">
      <c r="A355" s="9" t="s">
        <v>10506</v>
      </c>
      <c r="B355" s="9" t="s">
        <v>16337</v>
      </c>
      <c r="C355" s="9" t="s">
        <v>58</v>
      </c>
      <c r="D355" s="9" t="s">
        <v>453</v>
      </c>
      <c r="E355" s="9" t="s">
        <v>454</v>
      </c>
      <c r="F355" s="9">
        <v>10.0</v>
      </c>
      <c r="G355" s="9" t="s">
        <v>455</v>
      </c>
      <c r="J355" s="9" t="s">
        <v>13199</v>
      </c>
      <c r="K355" s="9" t="s">
        <v>16338</v>
      </c>
      <c r="L355" s="9">
        <v>97418.0</v>
      </c>
      <c r="M355" s="9" t="s">
        <v>71</v>
      </c>
      <c r="N355" s="9" t="s">
        <v>172</v>
      </c>
      <c r="O355" s="9" t="s">
        <v>16339</v>
      </c>
      <c r="P355" s="53" t="s">
        <v>16340</v>
      </c>
      <c r="Q355" s="49" t="s">
        <v>16341</v>
      </c>
      <c r="R355" s="50"/>
      <c r="S355" s="58" t="s">
        <v>16342</v>
      </c>
      <c r="T355" s="9" t="s">
        <v>16343</v>
      </c>
      <c r="U355" s="9" t="s">
        <v>16344</v>
      </c>
      <c r="V355" s="9" t="s">
        <v>16345</v>
      </c>
      <c r="W355" s="9" t="s">
        <v>16346</v>
      </c>
      <c r="X355" s="9" t="s">
        <v>16347</v>
      </c>
      <c r="Y355" s="9" t="s">
        <v>1863</v>
      </c>
      <c r="Z355" s="9" t="s">
        <v>353</v>
      </c>
      <c r="AC355" s="9">
        <v>9.075866300001E13</v>
      </c>
      <c r="AD355" s="9">
        <v>9.0758663E8</v>
      </c>
      <c r="AE355" s="9" t="s">
        <v>401</v>
      </c>
      <c r="AF355" s="55">
        <v>45106.625601851854</v>
      </c>
      <c r="AG355" s="9" t="s">
        <v>16348</v>
      </c>
      <c r="AH355" s="9" t="s">
        <v>16349</v>
      </c>
      <c r="AJ355" s="9" t="s">
        <v>16350</v>
      </c>
      <c r="AK355" s="9" t="b">
        <v>0</v>
      </c>
      <c r="AL355" s="9" t="b">
        <v>0</v>
      </c>
      <c r="AM355" s="9" t="s">
        <v>16351</v>
      </c>
      <c r="AN355" s="9" t="s">
        <v>10506</v>
      </c>
      <c r="AP355" s="56">
        <v>44986.0</v>
      </c>
      <c r="AQ355" s="9" t="b">
        <v>1</v>
      </c>
      <c r="AR355" s="9" t="s">
        <v>16352</v>
      </c>
    </row>
    <row r="356" ht="15.75" customHeight="1">
      <c r="A356" s="52" t="s">
        <v>16353</v>
      </c>
      <c r="B356" s="9" t="s">
        <v>16354</v>
      </c>
      <c r="C356" s="9" t="s">
        <v>58</v>
      </c>
      <c r="D356" s="9" t="s">
        <v>59</v>
      </c>
      <c r="E356" s="9" t="s">
        <v>9804</v>
      </c>
      <c r="F356" s="9">
        <v>3.0</v>
      </c>
      <c r="G356" s="9" t="s">
        <v>422</v>
      </c>
      <c r="H356" s="9" t="s">
        <v>5667</v>
      </c>
      <c r="J356" s="52" t="s">
        <v>16355</v>
      </c>
      <c r="K356" s="9" t="s">
        <v>16356</v>
      </c>
      <c r="L356" s="9">
        <v>97414.0</v>
      </c>
      <c r="M356" s="9" t="s">
        <v>40</v>
      </c>
      <c r="N356" s="9" t="s">
        <v>12447</v>
      </c>
      <c r="O356" s="9" t="s">
        <v>16357</v>
      </c>
      <c r="P356" s="53" t="s">
        <v>16358</v>
      </c>
      <c r="Q356" s="49" t="s">
        <v>16359</v>
      </c>
      <c r="R356" s="50"/>
      <c r="S356" s="54"/>
      <c r="T356" s="9" t="s">
        <v>16360</v>
      </c>
      <c r="U356" s="9" t="s">
        <v>16361</v>
      </c>
      <c r="V356" s="9" t="s">
        <v>16362</v>
      </c>
      <c r="W356" s="9" t="s">
        <v>16363</v>
      </c>
      <c r="X356" s="9" t="s">
        <v>16364</v>
      </c>
      <c r="Y356" s="9" t="s">
        <v>12935</v>
      </c>
      <c r="Z356" s="9" t="s">
        <v>592</v>
      </c>
      <c r="AC356" s="9">
        <v>9.4993580300013E13</v>
      </c>
      <c r="AD356" s="9">
        <v>9.49935803E8</v>
      </c>
      <c r="AE356" s="9" t="s">
        <v>401</v>
      </c>
      <c r="AF356" s="55">
        <v>45105.363657407404</v>
      </c>
      <c r="AG356" s="9" t="s">
        <v>16365</v>
      </c>
      <c r="AH356" s="9" t="s">
        <v>16366</v>
      </c>
      <c r="AJ356" s="9" t="s">
        <v>16367</v>
      </c>
      <c r="AK356" s="9" t="b">
        <v>0</v>
      </c>
      <c r="AL356" s="9" t="b">
        <v>0</v>
      </c>
      <c r="AM356" s="9" t="s">
        <v>16368</v>
      </c>
      <c r="AN356" s="52" t="s">
        <v>16353</v>
      </c>
      <c r="AP356" s="56">
        <v>45012.0</v>
      </c>
      <c r="AQ356" s="9" t="b">
        <v>1</v>
      </c>
    </row>
    <row r="357" ht="15.75" customHeight="1">
      <c r="A357" s="7" t="s">
        <v>244</v>
      </c>
      <c r="B357" s="7" t="s">
        <v>9632</v>
      </c>
      <c r="C357" s="7" t="s">
        <v>58</v>
      </c>
      <c r="D357" s="7" t="s">
        <v>59</v>
      </c>
      <c r="E357" s="6" t="s">
        <v>346</v>
      </c>
      <c r="F357" s="6">
        <v>4.0</v>
      </c>
      <c r="G357" s="6" t="s">
        <v>455</v>
      </c>
      <c r="H357" s="7" t="s">
        <v>355</v>
      </c>
      <c r="I357" s="7"/>
      <c r="J357" s="7">
        <v>38.0</v>
      </c>
      <c r="K357" s="7" t="s">
        <v>16369</v>
      </c>
      <c r="L357" s="7">
        <v>97430.0</v>
      </c>
      <c r="M357" s="7" t="s">
        <v>71</v>
      </c>
      <c r="N357" s="6" t="s">
        <v>3501</v>
      </c>
      <c r="O357" s="6" t="s">
        <v>16370</v>
      </c>
      <c r="P357" s="42" t="s">
        <v>9634</v>
      </c>
      <c r="Q357" s="49" t="s">
        <v>16371</v>
      </c>
      <c r="R357" s="43" t="s">
        <v>16372</v>
      </c>
      <c r="S357" s="51"/>
      <c r="T357" s="6" t="s">
        <v>16373</v>
      </c>
      <c r="U357" s="6" t="s">
        <v>16374</v>
      </c>
      <c r="V357" s="6" t="s">
        <v>16375</v>
      </c>
      <c r="W357" s="6" t="s">
        <v>16376</v>
      </c>
      <c r="X357" s="6" t="s">
        <v>16377</v>
      </c>
      <c r="Y357" s="6" t="s">
        <v>12715</v>
      </c>
      <c r="Z357" s="6" t="s">
        <v>851</v>
      </c>
      <c r="AA357" s="7"/>
      <c r="AB357" s="7"/>
      <c r="AC357" s="7">
        <v>8.4879639700018E13</v>
      </c>
      <c r="AD357" s="7">
        <v>8.48796397E8</v>
      </c>
      <c r="AE357" s="6" t="s">
        <v>12355</v>
      </c>
      <c r="AF357" s="45">
        <v>46101.56148148148</v>
      </c>
      <c r="AG357" s="7" t="s">
        <v>16378</v>
      </c>
      <c r="AH357" s="67" t="s">
        <v>16379</v>
      </c>
      <c r="AI357" s="7"/>
      <c r="AJ357" s="68" t="s">
        <v>16380</v>
      </c>
      <c r="AK357" s="6" t="b">
        <v>1</v>
      </c>
      <c r="AL357" s="7" t="b">
        <v>0</v>
      </c>
      <c r="AM357" s="6" t="s">
        <v>9637</v>
      </c>
      <c r="AN357" s="6" t="s">
        <v>244</v>
      </c>
      <c r="AO357" s="7"/>
      <c r="AP357" s="7"/>
      <c r="AQ357" s="6" t="b">
        <v>1</v>
      </c>
      <c r="AR357" s="6" t="s">
        <v>16381</v>
      </c>
      <c r="AS357" s="6"/>
    </row>
    <row r="358" ht="15.75" customHeight="1">
      <c r="A358" s="7" t="s">
        <v>9746</v>
      </c>
      <c r="B358" s="7" t="s">
        <v>9747</v>
      </c>
      <c r="C358" s="7" t="s">
        <v>58</v>
      </c>
      <c r="D358" s="7" t="s">
        <v>59</v>
      </c>
      <c r="E358" s="6" t="s">
        <v>12384</v>
      </c>
      <c r="F358" s="7">
        <v>4.0</v>
      </c>
      <c r="G358" s="6" t="s">
        <v>455</v>
      </c>
      <c r="H358" s="7" t="s">
        <v>355</v>
      </c>
      <c r="I358" s="7"/>
      <c r="J358" s="7">
        <v>38.0</v>
      </c>
      <c r="K358" s="7" t="s">
        <v>16369</v>
      </c>
      <c r="L358" s="7">
        <v>97430.0</v>
      </c>
      <c r="M358" s="7" t="s">
        <v>71</v>
      </c>
      <c r="N358" s="6" t="s">
        <v>3501</v>
      </c>
      <c r="O358" s="6" t="s">
        <v>16382</v>
      </c>
      <c r="P358" s="42" t="s">
        <v>9634</v>
      </c>
      <c r="Q358" s="49" t="s">
        <v>16371</v>
      </c>
      <c r="R358" s="43" t="s">
        <v>16372</v>
      </c>
      <c r="S358" s="51"/>
      <c r="T358" s="7"/>
      <c r="U358" s="7"/>
      <c r="V358" s="7"/>
      <c r="W358" s="7"/>
      <c r="X358" s="7"/>
      <c r="Y358" s="7"/>
      <c r="Z358" s="7"/>
      <c r="AA358" s="7"/>
      <c r="AB358" s="7"/>
      <c r="AC358" s="6">
        <v>8.4879639700018E13</v>
      </c>
      <c r="AD358" s="6">
        <v>8.48796397E8</v>
      </c>
      <c r="AE358" s="6" t="s">
        <v>401</v>
      </c>
      <c r="AF358" s="45">
        <v>45707.483449074076</v>
      </c>
      <c r="AG358" s="7" t="s">
        <v>16378</v>
      </c>
      <c r="AH358" s="46" t="s">
        <v>16383</v>
      </c>
      <c r="AI358" s="7"/>
      <c r="AJ358" s="6" t="s">
        <v>16384</v>
      </c>
      <c r="AK358" s="7" t="b">
        <v>0</v>
      </c>
      <c r="AL358" s="7" t="b">
        <v>0</v>
      </c>
      <c r="AM358" s="6" t="s">
        <v>9748</v>
      </c>
      <c r="AN358" s="6" t="s">
        <v>9746</v>
      </c>
      <c r="AO358" s="7"/>
      <c r="AP358" s="7"/>
      <c r="AQ358" s="6" t="b">
        <v>0</v>
      </c>
      <c r="AR358" s="6" t="s">
        <v>16385</v>
      </c>
      <c r="AS358" s="6"/>
    </row>
    <row r="359" ht="15.75" customHeight="1">
      <c r="A359" s="7" t="s">
        <v>9544</v>
      </c>
      <c r="B359" s="6" t="s">
        <v>16386</v>
      </c>
      <c r="C359" s="7" t="s">
        <v>58</v>
      </c>
      <c r="D359" s="7" t="s">
        <v>59</v>
      </c>
      <c r="E359" s="7"/>
      <c r="F359" s="7">
        <v>4.0</v>
      </c>
      <c r="G359" s="7"/>
      <c r="H359" s="7"/>
      <c r="I359" s="7"/>
      <c r="J359" s="6" t="s">
        <v>16387</v>
      </c>
      <c r="K359" s="6" t="s">
        <v>16388</v>
      </c>
      <c r="L359" s="7">
        <v>97418.0</v>
      </c>
      <c r="M359" s="7" t="s">
        <v>71</v>
      </c>
      <c r="N359" s="7" t="s">
        <v>216</v>
      </c>
      <c r="O359" s="6" t="s">
        <v>16389</v>
      </c>
      <c r="P359" s="42" t="s">
        <v>9547</v>
      </c>
      <c r="Q359" s="43" t="s">
        <v>16390</v>
      </c>
      <c r="R359" s="50"/>
      <c r="S359" s="51"/>
      <c r="T359" s="6" t="s">
        <v>16391</v>
      </c>
      <c r="U359" s="6" t="s">
        <v>16392</v>
      </c>
      <c r="V359" s="7"/>
      <c r="W359" s="6" t="s">
        <v>16393</v>
      </c>
      <c r="X359" s="6" t="s">
        <v>16394</v>
      </c>
      <c r="Y359" s="7" t="s">
        <v>377</v>
      </c>
      <c r="Z359" s="6" t="s">
        <v>353</v>
      </c>
      <c r="AA359" s="7"/>
      <c r="AB359" s="7"/>
      <c r="AC359" s="7"/>
      <c r="AD359" s="7"/>
      <c r="AE359" s="6" t="s">
        <v>401</v>
      </c>
      <c r="AF359" s="45">
        <v>45681.297534722224</v>
      </c>
      <c r="AG359" s="7" t="s">
        <v>16395</v>
      </c>
      <c r="AH359" s="46" t="s">
        <v>16396</v>
      </c>
      <c r="AI359" s="7"/>
      <c r="AJ359" s="6" t="s">
        <v>16397</v>
      </c>
      <c r="AK359" s="7" t="b">
        <v>0</v>
      </c>
      <c r="AL359" s="7" t="b">
        <v>0</v>
      </c>
      <c r="AM359" s="6" t="s">
        <v>9550</v>
      </c>
      <c r="AN359" s="6" t="s">
        <v>9544</v>
      </c>
      <c r="AO359" s="7"/>
      <c r="AP359" s="7"/>
      <c r="AQ359" s="6" t="b">
        <v>0</v>
      </c>
      <c r="AR359" s="6"/>
      <c r="AS359" s="48" t="s">
        <v>12303</v>
      </c>
    </row>
    <row r="360" ht="15.75" customHeight="1">
      <c r="A360" s="9" t="s">
        <v>12061</v>
      </c>
      <c r="B360" s="9" t="s">
        <v>16398</v>
      </c>
      <c r="C360" s="9" t="s">
        <v>58</v>
      </c>
      <c r="D360" s="9" t="s">
        <v>59</v>
      </c>
      <c r="E360" s="9" t="s">
        <v>346</v>
      </c>
      <c r="F360" s="9">
        <v>13.0</v>
      </c>
      <c r="J360" s="52" t="s">
        <v>16399</v>
      </c>
      <c r="K360" s="9" t="s">
        <v>16400</v>
      </c>
      <c r="L360" s="9">
        <v>97430.0</v>
      </c>
      <c r="M360" s="9" t="s">
        <v>71</v>
      </c>
      <c r="N360" s="9" t="s">
        <v>8411</v>
      </c>
      <c r="O360" s="9" t="s">
        <v>16401</v>
      </c>
      <c r="P360" s="53" t="s">
        <v>16402</v>
      </c>
      <c r="Q360" s="49" t="s">
        <v>16403</v>
      </c>
      <c r="R360" s="50"/>
      <c r="S360" s="58" t="s">
        <v>16404</v>
      </c>
      <c r="T360" s="9" t="s">
        <v>16405</v>
      </c>
      <c r="U360" s="9" t="s">
        <v>16406</v>
      </c>
      <c r="W360" s="9" t="s">
        <v>16407</v>
      </c>
      <c r="Z360" s="9" t="s">
        <v>592</v>
      </c>
      <c r="AE360" s="9" t="s">
        <v>401</v>
      </c>
      <c r="AF360" s="60">
        <v>45100.408854166664</v>
      </c>
      <c r="AG360" s="9" t="s">
        <v>16408</v>
      </c>
      <c r="AH360" s="9" t="s">
        <v>16409</v>
      </c>
      <c r="AJ360" s="9" t="s">
        <v>16410</v>
      </c>
      <c r="AK360" s="9" t="b">
        <v>0</v>
      </c>
      <c r="AL360" s="9" t="b">
        <v>0</v>
      </c>
      <c r="AM360" s="9" t="s">
        <v>16411</v>
      </c>
      <c r="AN360" s="9" t="s">
        <v>12061</v>
      </c>
      <c r="AP360" s="61">
        <v>44847.0</v>
      </c>
      <c r="AQ360" s="9" t="b">
        <v>0</v>
      </c>
      <c r="AR360" s="9" t="s">
        <v>16412</v>
      </c>
    </row>
    <row r="361" ht="15.75" customHeight="1">
      <c r="A361" s="7" t="s">
        <v>3233</v>
      </c>
      <c r="B361" s="7" t="s">
        <v>3234</v>
      </c>
      <c r="C361" s="6" t="s">
        <v>117</v>
      </c>
      <c r="D361" s="7" t="s">
        <v>197</v>
      </c>
      <c r="E361" s="6" t="s">
        <v>16413</v>
      </c>
      <c r="F361" s="7"/>
      <c r="G361" s="7"/>
      <c r="H361" s="7"/>
      <c r="I361" s="7"/>
      <c r="J361" s="7">
        <v>522.0</v>
      </c>
      <c r="K361" s="7" t="s">
        <v>12779</v>
      </c>
      <c r="L361" s="7">
        <v>97430.0</v>
      </c>
      <c r="M361" s="7" t="s">
        <v>71</v>
      </c>
      <c r="N361" s="7"/>
      <c r="O361" s="6" t="s">
        <v>16414</v>
      </c>
      <c r="P361" s="42" t="s">
        <v>3236</v>
      </c>
      <c r="Q361" s="49" t="s">
        <v>16415</v>
      </c>
      <c r="R361" s="43" t="s">
        <v>16416</v>
      </c>
      <c r="S361" s="51"/>
      <c r="T361" s="7" t="s">
        <v>3238</v>
      </c>
      <c r="U361" s="7" t="s">
        <v>3237</v>
      </c>
      <c r="V361" s="7"/>
      <c r="W361" s="7"/>
      <c r="X361" s="7"/>
      <c r="Y361" s="7" t="s">
        <v>974</v>
      </c>
      <c r="Z361" s="7" t="s">
        <v>353</v>
      </c>
      <c r="AA361" s="7"/>
      <c r="AB361" s="7"/>
      <c r="AC361" s="7">
        <v>4.4911104600024E13</v>
      </c>
      <c r="AD361" s="7">
        <v>4.49111046E8</v>
      </c>
      <c r="AE361" s="6" t="s">
        <v>401</v>
      </c>
      <c r="AF361" s="45">
        <v>45831.38699074074</v>
      </c>
      <c r="AG361" s="7" t="s">
        <v>16417</v>
      </c>
      <c r="AH361" s="46" t="s">
        <v>16418</v>
      </c>
      <c r="AI361" s="7"/>
      <c r="AJ361" s="6" t="s">
        <v>16419</v>
      </c>
      <c r="AK361" s="7" t="b">
        <v>0</v>
      </c>
      <c r="AL361" s="7" t="b">
        <v>0</v>
      </c>
      <c r="AM361" s="7"/>
      <c r="AN361" s="6" t="s">
        <v>3233</v>
      </c>
      <c r="AO361" s="6">
        <v>3913.0</v>
      </c>
      <c r="AP361" s="6"/>
      <c r="AQ361" s="6" t="b">
        <v>1</v>
      </c>
      <c r="AR361" s="6"/>
      <c r="AS361" s="6"/>
    </row>
    <row r="362" ht="15.75" customHeight="1">
      <c r="A362" s="7" t="s">
        <v>6908</v>
      </c>
      <c r="B362" s="7" t="s">
        <v>6909</v>
      </c>
      <c r="C362" s="7" t="s">
        <v>34</v>
      </c>
      <c r="D362" s="7" t="s">
        <v>622</v>
      </c>
      <c r="E362" s="7" t="s">
        <v>622</v>
      </c>
      <c r="F362" s="7">
        <v>80.0</v>
      </c>
      <c r="G362" s="7" t="s">
        <v>1001</v>
      </c>
      <c r="H362" s="7"/>
      <c r="I362" s="7"/>
      <c r="J362" s="7">
        <v>22.0</v>
      </c>
      <c r="K362" s="7" t="s">
        <v>15033</v>
      </c>
      <c r="L362" s="7">
        <v>97442.0</v>
      </c>
      <c r="M362" s="7" t="s">
        <v>33</v>
      </c>
      <c r="N362" s="7"/>
      <c r="O362" s="6" t="s">
        <v>16420</v>
      </c>
      <c r="P362" s="42" t="s">
        <v>16421</v>
      </c>
      <c r="Q362" s="49" t="s">
        <v>16422</v>
      </c>
      <c r="R362" s="43" t="s">
        <v>16423</v>
      </c>
      <c r="S362" s="51"/>
      <c r="T362" s="6" t="s">
        <v>16424</v>
      </c>
      <c r="U362" s="7" t="s">
        <v>6911</v>
      </c>
      <c r="V362" s="7" t="s">
        <v>6913</v>
      </c>
      <c r="W362" s="6" t="s">
        <v>15564</v>
      </c>
      <c r="X362" s="6" t="s">
        <v>16425</v>
      </c>
      <c r="Y362" s="7" t="s">
        <v>352</v>
      </c>
      <c r="Z362" s="7" t="s">
        <v>592</v>
      </c>
      <c r="AA362" s="7"/>
      <c r="AB362" s="7"/>
      <c r="AC362" s="6">
        <v>3.8267498400044E13</v>
      </c>
      <c r="AD362" s="6">
        <v>3.82674984E8</v>
      </c>
      <c r="AE362" s="6" t="s">
        <v>401</v>
      </c>
      <c r="AF362" s="45">
        <v>45435.37810185185</v>
      </c>
      <c r="AG362" s="7" t="s">
        <v>16426</v>
      </c>
      <c r="AH362" s="46" t="s">
        <v>16427</v>
      </c>
      <c r="AI362" s="7"/>
      <c r="AJ362" s="6" t="s">
        <v>16428</v>
      </c>
      <c r="AK362" s="6" t="b">
        <v>1</v>
      </c>
      <c r="AL362" s="7" t="b">
        <v>0</v>
      </c>
      <c r="AM362" s="7"/>
      <c r="AN362" s="6" t="s">
        <v>6908</v>
      </c>
      <c r="AO362" s="6">
        <v>2981.0</v>
      </c>
      <c r="AP362" s="6"/>
      <c r="AQ362" s="6" t="b">
        <v>1</v>
      </c>
      <c r="AR362" s="6"/>
      <c r="AS362" s="48" t="s">
        <v>12303</v>
      </c>
    </row>
    <row r="363" ht="15.75" customHeight="1">
      <c r="A363" s="9" t="s">
        <v>10262</v>
      </c>
      <c r="B363" s="9" t="s">
        <v>16429</v>
      </c>
      <c r="C363" s="9" t="s">
        <v>117</v>
      </c>
      <c r="D363" s="9" t="s">
        <v>1549</v>
      </c>
      <c r="E363" s="9" t="s">
        <v>1550</v>
      </c>
      <c r="F363" s="9">
        <v>1.0</v>
      </c>
      <c r="G363" s="9" t="s">
        <v>455</v>
      </c>
      <c r="I363" s="9"/>
      <c r="J363" s="52" t="s">
        <v>16355</v>
      </c>
      <c r="K363" s="9" t="s">
        <v>16430</v>
      </c>
      <c r="L363" s="9">
        <v>97480.0</v>
      </c>
      <c r="M363" s="9" t="s">
        <v>123</v>
      </c>
      <c r="N363" s="9" t="s">
        <v>4456</v>
      </c>
      <c r="O363" s="9" t="s">
        <v>16431</v>
      </c>
      <c r="P363" s="53" t="s">
        <v>16432</v>
      </c>
      <c r="Q363" s="49" t="s">
        <v>16433</v>
      </c>
      <c r="R363" s="50"/>
      <c r="S363" s="58" t="s">
        <v>16434</v>
      </c>
      <c r="T363" s="9" t="s">
        <v>16435</v>
      </c>
      <c r="U363" s="9" t="s">
        <v>16436</v>
      </c>
      <c r="V363" s="9" t="s">
        <v>16437</v>
      </c>
      <c r="W363" s="9" t="s">
        <v>16438</v>
      </c>
      <c r="X363" s="9" t="s">
        <v>16439</v>
      </c>
      <c r="Y363" s="9" t="s">
        <v>4368</v>
      </c>
      <c r="Z363" s="9" t="s">
        <v>353</v>
      </c>
      <c r="AC363" s="9">
        <v>7.9457485500035E13</v>
      </c>
      <c r="AD363" s="9">
        <v>7.94574855E8</v>
      </c>
      <c r="AE363" s="9" t="s">
        <v>401</v>
      </c>
      <c r="AF363" s="55">
        <v>45713.51100694444</v>
      </c>
      <c r="AG363" s="9" t="s">
        <v>16440</v>
      </c>
      <c r="AH363" s="9" t="s">
        <v>16441</v>
      </c>
      <c r="AJ363" s="9" t="s">
        <v>16442</v>
      </c>
      <c r="AK363" s="9" t="b">
        <v>0</v>
      </c>
      <c r="AL363" s="9" t="b">
        <v>0</v>
      </c>
      <c r="AM363" s="9"/>
      <c r="AN363" s="9" t="s">
        <v>10262</v>
      </c>
      <c r="AP363" s="56">
        <v>45098.0</v>
      </c>
      <c r="AQ363" s="9" t="b">
        <v>1</v>
      </c>
      <c r="AR363" s="9" t="s">
        <v>16443</v>
      </c>
    </row>
    <row r="364" ht="15.75" customHeight="1">
      <c r="A364" s="7" t="s">
        <v>7483</v>
      </c>
      <c r="B364" s="7" t="s">
        <v>16444</v>
      </c>
      <c r="C364" s="7" t="s">
        <v>34</v>
      </c>
      <c r="D364" s="7" t="s">
        <v>622</v>
      </c>
      <c r="E364" s="7" t="s">
        <v>622</v>
      </c>
      <c r="F364" s="6">
        <v>35.0</v>
      </c>
      <c r="G364" s="7" t="s">
        <v>664</v>
      </c>
      <c r="H364" s="7"/>
      <c r="I364" s="7"/>
      <c r="J364" s="7">
        <v>15.0</v>
      </c>
      <c r="K364" s="6" t="s">
        <v>16445</v>
      </c>
      <c r="L364" s="7">
        <v>97480.0</v>
      </c>
      <c r="M364" s="7" t="s">
        <v>123</v>
      </c>
      <c r="N364" s="7"/>
      <c r="O364" s="6" t="s">
        <v>16446</v>
      </c>
      <c r="P364" s="42" t="s">
        <v>7486</v>
      </c>
      <c r="Q364" s="49" t="s">
        <v>16447</v>
      </c>
      <c r="R364" s="43" t="s">
        <v>16448</v>
      </c>
      <c r="S364" s="51"/>
      <c r="T364" s="6" t="s">
        <v>16449</v>
      </c>
      <c r="U364" s="6" t="s">
        <v>16450</v>
      </c>
      <c r="V364" s="7" t="s">
        <v>7489</v>
      </c>
      <c r="W364" s="7" t="s">
        <v>3059</v>
      </c>
      <c r="X364" s="7"/>
      <c r="Y364" s="7" t="s">
        <v>974</v>
      </c>
      <c r="Z364" s="7" t="s">
        <v>424</v>
      </c>
      <c r="AA364" s="7"/>
      <c r="AB364" s="7"/>
      <c r="AC364" s="7">
        <v>8.2169937800021E13</v>
      </c>
      <c r="AD364" s="7">
        <v>8.21699378E8</v>
      </c>
      <c r="AE364" s="6" t="s">
        <v>401</v>
      </c>
      <c r="AF364" s="45">
        <v>45414.66307870371</v>
      </c>
      <c r="AG364" s="7" t="s">
        <v>16451</v>
      </c>
      <c r="AH364" s="46" t="s">
        <v>16452</v>
      </c>
      <c r="AI364" s="7"/>
      <c r="AJ364" s="6" t="s">
        <v>16453</v>
      </c>
      <c r="AK364" s="6" t="b">
        <v>1</v>
      </c>
      <c r="AL364" s="6" t="b">
        <v>1</v>
      </c>
      <c r="AM364" s="7"/>
      <c r="AN364" s="6" t="s">
        <v>7483</v>
      </c>
      <c r="AO364" s="6">
        <v>5125.0</v>
      </c>
      <c r="AP364" s="6"/>
      <c r="AQ364" s="6" t="b">
        <v>1</v>
      </c>
      <c r="AR364" s="6" t="s">
        <v>16454</v>
      </c>
      <c r="AS364" s="6"/>
    </row>
    <row r="365" ht="15.75" customHeight="1">
      <c r="A365" s="7" t="s">
        <v>9429</v>
      </c>
      <c r="B365" s="6" t="s">
        <v>16455</v>
      </c>
      <c r="C365" s="7" t="s">
        <v>58</v>
      </c>
      <c r="D365" s="7" t="s">
        <v>59</v>
      </c>
      <c r="E365" s="6" t="s">
        <v>12384</v>
      </c>
      <c r="F365" s="6">
        <v>6.0</v>
      </c>
      <c r="G365" s="7"/>
      <c r="H365" s="7"/>
      <c r="I365" s="7"/>
      <c r="J365" s="6" t="s">
        <v>16456</v>
      </c>
      <c r="K365" s="7" t="s">
        <v>16457</v>
      </c>
      <c r="L365" s="7">
        <v>97418.0</v>
      </c>
      <c r="M365" s="7" t="s">
        <v>71</v>
      </c>
      <c r="N365" s="7" t="s">
        <v>216</v>
      </c>
      <c r="O365" s="6" t="s">
        <v>16458</v>
      </c>
      <c r="P365" s="42" t="s">
        <v>9432</v>
      </c>
      <c r="Q365" s="43" t="s">
        <v>16459</v>
      </c>
      <c r="R365" s="50"/>
      <c r="S365" s="51"/>
      <c r="T365" s="6" t="s">
        <v>16460</v>
      </c>
      <c r="U365" s="6" t="s">
        <v>16461</v>
      </c>
      <c r="V365" s="7"/>
      <c r="W365" s="6" t="s">
        <v>16462</v>
      </c>
      <c r="X365" s="7"/>
      <c r="Y365" s="6" t="s">
        <v>1863</v>
      </c>
      <c r="Z365" s="7"/>
      <c r="AA365" s="7"/>
      <c r="AB365" s="7"/>
      <c r="AC365" s="6">
        <v>8.4215562400013E13</v>
      </c>
      <c r="AD365" s="6">
        <v>8.42155624E8</v>
      </c>
      <c r="AE365" s="6" t="s">
        <v>401</v>
      </c>
      <c r="AF365" s="45">
        <v>45474.40605324074</v>
      </c>
      <c r="AG365" s="7" t="s">
        <v>16463</v>
      </c>
      <c r="AH365" s="46" t="s">
        <v>16464</v>
      </c>
      <c r="AI365" s="7"/>
      <c r="AJ365" s="6" t="s">
        <v>16465</v>
      </c>
      <c r="AK365" s="7" t="b">
        <v>0</v>
      </c>
      <c r="AL365" s="7" t="b">
        <v>0</v>
      </c>
      <c r="AM365" s="6" t="s">
        <v>9436</v>
      </c>
      <c r="AN365" s="6" t="s">
        <v>9429</v>
      </c>
      <c r="AO365" s="7"/>
      <c r="AP365" s="7"/>
      <c r="AQ365" s="6" t="b">
        <v>1</v>
      </c>
      <c r="AR365" s="6"/>
      <c r="AS365" s="48" t="s">
        <v>12303</v>
      </c>
    </row>
    <row r="366" ht="15.75" customHeight="1">
      <c r="A366" s="9" t="s">
        <v>10518</v>
      </c>
      <c r="B366" s="9" t="s">
        <v>16466</v>
      </c>
      <c r="C366" s="9" t="s">
        <v>58</v>
      </c>
      <c r="D366" s="9" t="s">
        <v>59</v>
      </c>
      <c r="E366" s="9" t="s">
        <v>16467</v>
      </c>
      <c r="F366" s="9">
        <v>5.0</v>
      </c>
      <c r="I366" s="9"/>
      <c r="J366" s="52" t="s">
        <v>16468</v>
      </c>
      <c r="K366" s="9" t="s">
        <v>16469</v>
      </c>
      <c r="L366" s="9">
        <v>97480.0</v>
      </c>
      <c r="M366" s="9" t="s">
        <v>123</v>
      </c>
      <c r="N366" s="9" t="s">
        <v>9209</v>
      </c>
      <c r="O366" s="9" t="s">
        <v>16470</v>
      </c>
      <c r="P366" s="53" t="s">
        <v>16471</v>
      </c>
      <c r="Q366" s="49" t="s">
        <v>16472</v>
      </c>
      <c r="R366" s="50"/>
      <c r="S366" s="59"/>
      <c r="T366" s="9" t="s">
        <v>16473</v>
      </c>
      <c r="U366" s="9" t="s">
        <v>16474</v>
      </c>
      <c r="V366" s="9"/>
      <c r="W366" s="9" t="s">
        <v>16475</v>
      </c>
      <c r="X366" s="9" t="s">
        <v>16476</v>
      </c>
      <c r="Y366" s="9" t="s">
        <v>12669</v>
      </c>
      <c r="Z366" s="9" t="s">
        <v>353</v>
      </c>
      <c r="AC366" s="9">
        <v>9.5247660400014E13</v>
      </c>
      <c r="AD366" s="9">
        <v>9.52476604E8</v>
      </c>
      <c r="AE366" s="9" t="s">
        <v>401</v>
      </c>
      <c r="AF366" s="55">
        <v>45096.51892361111</v>
      </c>
      <c r="AG366" s="9" t="s">
        <v>16477</v>
      </c>
      <c r="AH366" s="9" t="s">
        <v>16478</v>
      </c>
      <c r="AJ366" s="9" t="s">
        <v>16479</v>
      </c>
      <c r="AK366" s="9" t="b">
        <v>0</v>
      </c>
      <c r="AL366" s="9" t="b">
        <v>0</v>
      </c>
      <c r="AM366" s="9" t="s">
        <v>16480</v>
      </c>
      <c r="AN366" s="9" t="s">
        <v>10518</v>
      </c>
      <c r="AP366" s="56">
        <v>45065.0</v>
      </c>
      <c r="AQ366" s="9" t="b">
        <v>0</v>
      </c>
      <c r="AR366" s="9"/>
    </row>
    <row r="367" ht="15.75" customHeight="1">
      <c r="A367" s="7" t="s">
        <v>6620</v>
      </c>
      <c r="B367" s="7" t="s">
        <v>16481</v>
      </c>
      <c r="C367" s="7" t="s">
        <v>34</v>
      </c>
      <c r="D367" s="7" t="s">
        <v>622</v>
      </c>
      <c r="E367" s="7" t="s">
        <v>622</v>
      </c>
      <c r="F367" s="7">
        <v>170.0</v>
      </c>
      <c r="G367" s="7" t="s">
        <v>407</v>
      </c>
      <c r="H367" s="7"/>
      <c r="I367" s="7"/>
      <c r="J367" s="7">
        <v>60.0</v>
      </c>
      <c r="K367" s="7" t="s">
        <v>16482</v>
      </c>
      <c r="L367" s="7">
        <v>97418.0</v>
      </c>
      <c r="M367" s="7" t="s">
        <v>71</v>
      </c>
      <c r="N367" s="7" t="s">
        <v>216</v>
      </c>
      <c r="O367" s="6" t="s">
        <v>16483</v>
      </c>
      <c r="P367" s="42" t="s">
        <v>6624</v>
      </c>
      <c r="Q367" s="43" t="s">
        <v>16484</v>
      </c>
      <c r="R367" s="50"/>
      <c r="S367" s="47" t="s">
        <v>6623</v>
      </c>
      <c r="T367" s="6" t="s">
        <v>16485</v>
      </c>
      <c r="U367" s="7" t="s">
        <v>6625</v>
      </c>
      <c r="V367" s="7" t="s">
        <v>6627</v>
      </c>
      <c r="W367" s="6" t="s">
        <v>16486</v>
      </c>
      <c r="X367" s="6" t="s">
        <v>16487</v>
      </c>
      <c r="Y367" s="7" t="s">
        <v>963</v>
      </c>
      <c r="Z367" s="7" t="s">
        <v>424</v>
      </c>
      <c r="AA367" s="7"/>
      <c r="AB367" s="7"/>
      <c r="AC367" s="6">
        <v>5.207037290005E13</v>
      </c>
      <c r="AD367" s="6">
        <v>5.20703729E8</v>
      </c>
      <c r="AE367" s="6" t="s">
        <v>401</v>
      </c>
      <c r="AF367" s="45">
        <v>45985.503333333334</v>
      </c>
      <c r="AG367" s="7" t="s">
        <v>16488</v>
      </c>
      <c r="AH367" s="46" t="s">
        <v>16489</v>
      </c>
      <c r="AI367" s="7"/>
      <c r="AJ367" s="6" t="s">
        <v>16490</v>
      </c>
      <c r="AK367" s="6" t="b">
        <v>1</v>
      </c>
      <c r="AL367" s="7" t="b">
        <v>0</v>
      </c>
      <c r="AM367" s="7"/>
      <c r="AN367" s="6" t="s">
        <v>6620</v>
      </c>
      <c r="AO367" s="6">
        <v>2688.0</v>
      </c>
      <c r="AP367" s="6"/>
      <c r="AQ367" s="6" t="b">
        <v>1</v>
      </c>
      <c r="AR367" s="6" t="s">
        <v>16491</v>
      </c>
      <c r="AS367" s="48" t="s">
        <v>12303</v>
      </c>
    </row>
    <row r="368" ht="15.75" customHeight="1">
      <c r="A368" s="7" t="s">
        <v>759</v>
      </c>
      <c r="B368" s="7" t="s">
        <v>760</v>
      </c>
      <c r="C368" s="7" t="s">
        <v>58</v>
      </c>
      <c r="D368" s="7" t="s">
        <v>59</v>
      </c>
      <c r="E368" s="6" t="s">
        <v>9804</v>
      </c>
      <c r="F368" s="6">
        <v>2.0</v>
      </c>
      <c r="G368" s="6" t="s">
        <v>455</v>
      </c>
      <c r="H368" s="7"/>
      <c r="I368" s="7"/>
      <c r="J368" s="7">
        <v>124.0</v>
      </c>
      <c r="K368" s="7" t="s">
        <v>16492</v>
      </c>
      <c r="L368" s="7">
        <v>97430.0</v>
      </c>
      <c r="M368" s="7" t="s">
        <v>71</v>
      </c>
      <c r="N368" s="6" t="s">
        <v>3501</v>
      </c>
      <c r="O368" s="6" t="s">
        <v>16493</v>
      </c>
      <c r="P368" s="42" t="s">
        <v>764</v>
      </c>
      <c r="Q368" s="43" t="s">
        <v>16494</v>
      </c>
      <c r="R368" s="43" t="s">
        <v>16495</v>
      </c>
      <c r="S368" s="51"/>
      <c r="T368" s="6" t="s">
        <v>16496</v>
      </c>
      <c r="U368" s="6" t="s">
        <v>16497</v>
      </c>
      <c r="V368" s="6" t="s">
        <v>16498</v>
      </c>
      <c r="W368" s="6" t="s">
        <v>16499</v>
      </c>
      <c r="X368" s="6" t="s">
        <v>16500</v>
      </c>
      <c r="Y368" s="7" t="s">
        <v>499</v>
      </c>
      <c r="Z368" s="7"/>
      <c r="AA368" s="7"/>
      <c r="AB368" s="7"/>
      <c r="AC368" s="7"/>
      <c r="AD368" s="7"/>
      <c r="AE368" s="6" t="s">
        <v>12355</v>
      </c>
      <c r="AF368" s="45">
        <v>45681.44841435185</v>
      </c>
      <c r="AG368" s="7" t="s">
        <v>16501</v>
      </c>
      <c r="AH368" s="46" t="s">
        <v>16502</v>
      </c>
      <c r="AI368" s="7"/>
      <c r="AJ368" s="6" t="s">
        <v>16503</v>
      </c>
      <c r="AK368" s="7" t="b">
        <v>0</v>
      </c>
      <c r="AL368" s="6" t="b">
        <v>1</v>
      </c>
      <c r="AM368" s="6" t="s">
        <v>771</v>
      </c>
      <c r="AN368" s="6" t="s">
        <v>759</v>
      </c>
      <c r="AO368" s="6">
        <v>3879.0</v>
      </c>
      <c r="AP368" s="6"/>
      <c r="AQ368" s="6" t="b">
        <v>0</v>
      </c>
      <c r="AR368" s="6"/>
      <c r="AS368" s="6"/>
    </row>
    <row r="369" ht="15.75" customHeight="1">
      <c r="A369" s="7" t="s">
        <v>261</v>
      </c>
      <c r="B369" s="7" t="s">
        <v>10191</v>
      </c>
      <c r="C369" s="6" t="s">
        <v>117</v>
      </c>
      <c r="D369" s="7" t="s">
        <v>197</v>
      </c>
      <c r="E369" s="7"/>
      <c r="F369" s="7"/>
      <c r="G369" s="7" t="s">
        <v>664</v>
      </c>
      <c r="H369" s="7"/>
      <c r="I369" s="7"/>
      <c r="J369" s="41" t="s">
        <v>16504</v>
      </c>
      <c r="K369" s="6" t="s">
        <v>16505</v>
      </c>
      <c r="L369" s="7">
        <v>97430.0</v>
      </c>
      <c r="M369" s="7" t="s">
        <v>71</v>
      </c>
      <c r="N369" s="7"/>
      <c r="O369" s="6" t="s">
        <v>16506</v>
      </c>
      <c r="P369" s="42" t="s">
        <v>16507</v>
      </c>
      <c r="Q369" s="43" t="s">
        <v>16508</v>
      </c>
      <c r="R369" s="50" t="s">
        <v>12350</v>
      </c>
      <c r="S369" s="51"/>
      <c r="T369" s="6" t="s">
        <v>16509</v>
      </c>
      <c r="U369" s="6" t="s">
        <v>16510</v>
      </c>
      <c r="V369" s="7"/>
      <c r="W369" s="7"/>
      <c r="X369" s="7"/>
      <c r="Y369" s="6" t="s">
        <v>2938</v>
      </c>
      <c r="Z369" s="6" t="s">
        <v>353</v>
      </c>
      <c r="AA369" s="7"/>
      <c r="AB369" s="7"/>
      <c r="AC369" s="6">
        <v>8.1196084800018E13</v>
      </c>
      <c r="AD369" s="6">
        <v>8.11960848E8</v>
      </c>
      <c r="AE369" s="6" t="s">
        <v>401</v>
      </c>
      <c r="AF369" s="45">
        <v>45093.64571759259</v>
      </c>
      <c r="AG369" s="7" t="s">
        <v>16511</v>
      </c>
      <c r="AH369" s="46" t="s">
        <v>16512</v>
      </c>
      <c r="AI369" s="7"/>
      <c r="AJ369" s="6" t="s">
        <v>16513</v>
      </c>
      <c r="AK369" s="7" t="b">
        <v>0</v>
      </c>
      <c r="AL369" s="7" t="b">
        <v>0</v>
      </c>
      <c r="AM369" s="7"/>
      <c r="AN369" s="6" t="s">
        <v>261</v>
      </c>
      <c r="AO369" s="7"/>
      <c r="AP369" s="7"/>
      <c r="AQ369" s="6" t="b">
        <v>1</v>
      </c>
      <c r="AR369" s="6"/>
      <c r="AS369" s="6"/>
    </row>
    <row r="370" ht="15.75" customHeight="1">
      <c r="A370" s="9" t="s">
        <v>12016</v>
      </c>
      <c r="B370" s="9" t="s">
        <v>16514</v>
      </c>
      <c r="C370" s="9" t="s">
        <v>117</v>
      </c>
      <c r="D370" s="9" t="s">
        <v>197</v>
      </c>
      <c r="E370" s="9" t="s">
        <v>559</v>
      </c>
      <c r="F370" s="9">
        <v>6.0</v>
      </c>
      <c r="G370" s="9"/>
      <c r="I370" s="9"/>
      <c r="J370" s="52" t="s">
        <v>16515</v>
      </c>
      <c r="K370" s="9" t="s">
        <v>16516</v>
      </c>
      <c r="L370" s="9">
        <v>97418.0</v>
      </c>
      <c r="M370" s="9" t="s">
        <v>71</v>
      </c>
      <c r="N370" s="9" t="s">
        <v>216</v>
      </c>
      <c r="O370" s="9" t="s">
        <v>16517</v>
      </c>
      <c r="P370" s="53" t="s">
        <v>16518</v>
      </c>
      <c r="Q370" s="49" t="s">
        <v>16519</v>
      </c>
      <c r="R370" s="50"/>
      <c r="S370" s="59"/>
      <c r="T370" s="9" t="s">
        <v>16520</v>
      </c>
      <c r="U370" s="9" t="s">
        <v>16521</v>
      </c>
      <c r="V370" s="9"/>
      <c r="W370" s="9" t="s">
        <v>12961</v>
      </c>
      <c r="X370" s="9" t="s">
        <v>2053</v>
      </c>
      <c r="Y370" s="9" t="s">
        <v>1863</v>
      </c>
      <c r="Z370" s="9" t="s">
        <v>353</v>
      </c>
      <c r="AC370" s="9">
        <v>7.988207420002E13</v>
      </c>
      <c r="AD370" s="9">
        <v>7.98820742E8</v>
      </c>
      <c r="AE370" s="9" t="s">
        <v>401</v>
      </c>
      <c r="AF370" s="55">
        <v>45093.60388888889</v>
      </c>
      <c r="AG370" s="9" t="s">
        <v>16522</v>
      </c>
      <c r="AH370" s="9" t="s">
        <v>16523</v>
      </c>
      <c r="AJ370" s="9" t="s">
        <v>16524</v>
      </c>
      <c r="AK370" s="9" t="b">
        <v>1</v>
      </c>
      <c r="AL370" s="9" t="b">
        <v>0</v>
      </c>
      <c r="AM370" s="9"/>
      <c r="AN370" s="9" t="s">
        <v>12016</v>
      </c>
      <c r="AP370" s="56">
        <v>45093.0</v>
      </c>
      <c r="AQ370" s="9" t="b">
        <v>0</v>
      </c>
      <c r="AR370" s="9"/>
    </row>
    <row r="371" ht="15.75" customHeight="1">
      <c r="A371" s="9" t="s">
        <v>11719</v>
      </c>
      <c r="B371" s="9" t="s">
        <v>16525</v>
      </c>
      <c r="C371" s="9" t="s">
        <v>58</v>
      </c>
      <c r="D371" s="9" t="s">
        <v>59</v>
      </c>
      <c r="E371" s="9" t="s">
        <v>346</v>
      </c>
      <c r="F371" s="9">
        <v>6.0</v>
      </c>
      <c r="G371" s="9"/>
      <c r="I371" s="9"/>
      <c r="J371" s="9" t="s">
        <v>16526</v>
      </c>
      <c r="K371" s="9" t="s">
        <v>16527</v>
      </c>
      <c r="L371" s="9">
        <v>97414.0</v>
      </c>
      <c r="M371" s="9" t="s">
        <v>40</v>
      </c>
      <c r="N371" s="9"/>
      <c r="O371" s="9" t="s">
        <v>16528</v>
      </c>
      <c r="P371" s="53" t="s">
        <v>16529</v>
      </c>
      <c r="Q371" s="49" t="s">
        <v>16530</v>
      </c>
      <c r="R371" s="50"/>
      <c r="S371" s="58" t="s">
        <v>16531</v>
      </c>
      <c r="T371" s="9" t="s">
        <v>16532</v>
      </c>
      <c r="U371" s="9" t="s">
        <v>16533</v>
      </c>
      <c r="V371" s="9"/>
      <c r="W371" s="9" t="s">
        <v>16534</v>
      </c>
      <c r="X371" s="9" t="s">
        <v>4474</v>
      </c>
      <c r="Y371" s="9" t="s">
        <v>16535</v>
      </c>
      <c r="Z371" s="9" t="s">
        <v>592</v>
      </c>
      <c r="AC371" s="9">
        <v>4.3102760600026E13</v>
      </c>
      <c r="AD371" s="9">
        <v>4.31027606E8</v>
      </c>
      <c r="AE371" s="9" t="s">
        <v>401</v>
      </c>
      <c r="AF371" s="55">
        <v>45093.59886574074</v>
      </c>
      <c r="AG371" s="9" t="s">
        <v>16536</v>
      </c>
      <c r="AH371" s="9" t="s">
        <v>16537</v>
      </c>
      <c r="AJ371" s="9" t="s">
        <v>16538</v>
      </c>
      <c r="AK371" s="9" t="b">
        <v>0</v>
      </c>
      <c r="AL371" s="9" t="b">
        <v>0</v>
      </c>
      <c r="AM371" s="9" t="s">
        <v>16539</v>
      </c>
      <c r="AN371" s="9" t="s">
        <v>11719</v>
      </c>
      <c r="AP371" s="56">
        <v>45091.0</v>
      </c>
      <c r="AQ371" s="9" t="b">
        <v>0</v>
      </c>
      <c r="AR371" s="9" t="s">
        <v>16540</v>
      </c>
    </row>
    <row r="372" ht="15.75" customHeight="1">
      <c r="A372" s="9" t="s">
        <v>11834</v>
      </c>
      <c r="B372" s="9" t="s">
        <v>16541</v>
      </c>
      <c r="C372" s="9" t="s">
        <v>58</v>
      </c>
      <c r="D372" s="9" t="s">
        <v>59</v>
      </c>
      <c r="E372" s="9" t="s">
        <v>346</v>
      </c>
      <c r="F372" s="9">
        <v>12.0</v>
      </c>
      <c r="G372" s="9"/>
      <c r="I372" s="9"/>
      <c r="J372" s="52" t="s">
        <v>12925</v>
      </c>
      <c r="K372" s="9" t="s">
        <v>16542</v>
      </c>
      <c r="L372" s="9">
        <v>97418.0</v>
      </c>
      <c r="M372" s="9" t="s">
        <v>71</v>
      </c>
      <c r="N372" s="9" t="s">
        <v>216</v>
      </c>
      <c r="O372" s="9" t="s">
        <v>16543</v>
      </c>
      <c r="P372" s="53" t="s">
        <v>16544</v>
      </c>
      <c r="Q372" s="49" t="s">
        <v>16545</v>
      </c>
      <c r="R372" s="50"/>
      <c r="S372" s="59"/>
      <c r="T372" s="9" t="s">
        <v>16546</v>
      </c>
      <c r="U372" s="9" t="s">
        <v>16547</v>
      </c>
      <c r="V372" s="9"/>
      <c r="W372" s="9" t="s">
        <v>16548</v>
      </c>
      <c r="X372" s="9" t="s">
        <v>16549</v>
      </c>
      <c r="Y372" s="9" t="s">
        <v>499</v>
      </c>
      <c r="Z372" s="9" t="s">
        <v>353</v>
      </c>
      <c r="AC372" s="9">
        <v>9.1147891500018E13</v>
      </c>
      <c r="AD372" s="9">
        <v>9.11478915E8</v>
      </c>
      <c r="AE372" s="9" t="s">
        <v>12355</v>
      </c>
      <c r="AF372" s="55">
        <v>45916.402974537035</v>
      </c>
      <c r="AG372" s="9" t="s">
        <v>16550</v>
      </c>
      <c r="AH372" s="9" t="s">
        <v>16551</v>
      </c>
      <c r="AJ372" s="9" t="s">
        <v>16552</v>
      </c>
      <c r="AK372" s="9" t="b">
        <v>0</v>
      </c>
      <c r="AL372" s="9" t="b">
        <v>0</v>
      </c>
      <c r="AM372" s="9" t="s">
        <v>16553</v>
      </c>
      <c r="AN372" s="9" t="s">
        <v>11834</v>
      </c>
      <c r="AP372" s="56">
        <v>45091.0</v>
      </c>
      <c r="AQ372" s="9" t="b">
        <v>0</v>
      </c>
      <c r="AR372" s="9" t="s">
        <v>16554</v>
      </c>
    </row>
    <row r="373" ht="15.75" customHeight="1">
      <c r="A373" s="9" t="s">
        <v>11545</v>
      </c>
      <c r="B373" s="9" t="s">
        <v>15206</v>
      </c>
      <c r="C373" s="9" t="s">
        <v>58</v>
      </c>
      <c r="D373" s="9" t="s">
        <v>59</v>
      </c>
      <c r="E373" s="9" t="s">
        <v>545</v>
      </c>
      <c r="F373" s="9">
        <v>7.0</v>
      </c>
      <c r="G373" s="9" t="s">
        <v>455</v>
      </c>
      <c r="H373" s="9"/>
      <c r="J373" s="9" t="s">
        <v>15207</v>
      </c>
      <c r="K373" s="9" t="s">
        <v>15208</v>
      </c>
      <c r="L373" s="9">
        <v>97418.0</v>
      </c>
      <c r="M373" s="9" t="s">
        <v>71</v>
      </c>
      <c r="N373" s="9" t="s">
        <v>216</v>
      </c>
      <c r="O373" s="9" t="s">
        <v>16555</v>
      </c>
      <c r="P373" s="53" t="s">
        <v>15210</v>
      </c>
      <c r="Q373" s="49" t="s">
        <v>15211</v>
      </c>
      <c r="R373" s="50"/>
      <c r="S373" s="58" t="s">
        <v>16556</v>
      </c>
      <c r="T373" s="9" t="s">
        <v>16557</v>
      </c>
      <c r="U373" s="9" t="s">
        <v>16558</v>
      </c>
      <c r="V373" s="9" t="s">
        <v>16559</v>
      </c>
      <c r="W373" s="9" t="s">
        <v>16560</v>
      </c>
      <c r="X373" s="9" t="s">
        <v>16561</v>
      </c>
      <c r="Y373" s="9" t="s">
        <v>16562</v>
      </c>
      <c r="Z373" s="9" t="s">
        <v>592</v>
      </c>
      <c r="AC373" s="9">
        <v>9.1107263500012E13</v>
      </c>
      <c r="AD373" s="9">
        <v>9.11072635E8</v>
      </c>
      <c r="AE373" s="9" t="s">
        <v>401</v>
      </c>
      <c r="AF373" s="55">
        <v>45086.477638888886</v>
      </c>
      <c r="AG373" s="9" t="s">
        <v>15217</v>
      </c>
      <c r="AH373" s="9" t="s">
        <v>16563</v>
      </c>
      <c r="AJ373" s="9" t="s">
        <v>16564</v>
      </c>
      <c r="AK373" s="9" t="b">
        <v>0</v>
      </c>
      <c r="AL373" s="9" t="b">
        <v>1</v>
      </c>
      <c r="AM373" s="9" t="s">
        <v>16565</v>
      </c>
      <c r="AN373" s="9" t="s">
        <v>11545</v>
      </c>
      <c r="AP373" s="56">
        <v>45005.0</v>
      </c>
      <c r="AQ373" s="9" t="b">
        <v>1</v>
      </c>
      <c r="AR373" s="9" t="s">
        <v>15655</v>
      </c>
    </row>
    <row r="374" ht="15.75" customHeight="1">
      <c r="A374" s="7" t="s">
        <v>3185</v>
      </c>
      <c r="B374" s="7" t="s">
        <v>3186</v>
      </c>
      <c r="C374" s="7" t="s">
        <v>822</v>
      </c>
      <c r="D374" s="7" t="s">
        <v>1805</v>
      </c>
      <c r="E374" s="7" t="s">
        <v>1806</v>
      </c>
      <c r="F374" s="7"/>
      <c r="G374" s="7" t="s">
        <v>455</v>
      </c>
      <c r="H374" s="7"/>
      <c r="I374" s="7"/>
      <c r="J374" s="6" t="s">
        <v>16566</v>
      </c>
      <c r="K374" s="6" t="s">
        <v>16567</v>
      </c>
      <c r="L374" s="7">
        <v>97430.0</v>
      </c>
      <c r="M374" s="7" t="s">
        <v>71</v>
      </c>
      <c r="N374" s="7"/>
      <c r="O374" s="7" t="s">
        <v>3194</v>
      </c>
      <c r="P374" s="42" t="s">
        <v>3188</v>
      </c>
      <c r="Q374" s="43" t="s">
        <v>16568</v>
      </c>
      <c r="R374" s="43" t="s">
        <v>16569</v>
      </c>
      <c r="S374" s="51"/>
      <c r="T374" s="7" t="s">
        <v>3190</v>
      </c>
      <c r="U374" s="7" t="s">
        <v>3189</v>
      </c>
      <c r="V374" s="7"/>
      <c r="W374" s="7"/>
      <c r="X374" s="7"/>
      <c r="Y374" s="7"/>
      <c r="Z374" s="7"/>
      <c r="AA374" s="7"/>
      <c r="AB374" s="7"/>
      <c r="AC374" s="7">
        <v>2.2974001400019E13</v>
      </c>
      <c r="AD374" s="7">
        <v>2.29740014E8</v>
      </c>
      <c r="AE374" s="6" t="s">
        <v>401</v>
      </c>
      <c r="AF374" s="45">
        <v>45086.40451388889</v>
      </c>
      <c r="AG374" s="7" t="s">
        <v>16570</v>
      </c>
      <c r="AH374" s="46" t="s">
        <v>16571</v>
      </c>
      <c r="AI374" s="7"/>
      <c r="AJ374" s="7"/>
      <c r="AK374" s="7" t="b">
        <v>0</v>
      </c>
      <c r="AL374" s="7" t="b">
        <v>0</v>
      </c>
      <c r="AM374" s="7"/>
      <c r="AN374" s="6" t="s">
        <v>3185</v>
      </c>
      <c r="AO374" s="6">
        <v>3907.0</v>
      </c>
      <c r="AP374" s="6"/>
      <c r="AQ374" s="6" t="b">
        <v>0</v>
      </c>
      <c r="AR374" s="6"/>
      <c r="AS374" s="6" t="s">
        <v>12303</v>
      </c>
    </row>
    <row r="375" ht="15.75" customHeight="1">
      <c r="A375" s="9" t="s">
        <v>10522</v>
      </c>
      <c r="B375" s="9" t="s">
        <v>16572</v>
      </c>
      <c r="C375" s="9" t="s">
        <v>58</v>
      </c>
      <c r="D375" s="9" t="s">
        <v>59</v>
      </c>
      <c r="E375" s="9" t="s">
        <v>12384</v>
      </c>
      <c r="F375" s="9">
        <v>6.0</v>
      </c>
      <c r="G375" s="9" t="s">
        <v>422</v>
      </c>
      <c r="H375" s="9" t="s">
        <v>395</v>
      </c>
      <c r="J375" s="52" t="s">
        <v>16573</v>
      </c>
      <c r="K375" s="9" t="s">
        <v>12977</v>
      </c>
      <c r="L375" s="9">
        <v>97414.0</v>
      </c>
      <c r="M375" s="9" t="s">
        <v>40</v>
      </c>
      <c r="N375" s="9" t="s">
        <v>14196</v>
      </c>
      <c r="O375" s="9" t="s">
        <v>16574</v>
      </c>
      <c r="P375" s="53" t="s">
        <v>16575</v>
      </c>
      <c r="Q375" s="49" t="s">
        <v>16576</v>
      </c>
      <c r="R375" s="50"/>
      <c r="S375" s="58" t="s">
        <v>16577</v>
      </c>
      <c r="T375" s="9" t="s">
        <v>16578</v>
      </c>
      <c r="U375" s="9" t="s">
        <v>16579</v>
      </c>
      <c r="V375" s="9" t="s">
        <v>16580</v>
      </c>
      <c r="W375" s="9" t="s">
        <v>16581</v>
      </c>
      <c r="X375" s="9" t="s">
        <v>16582</v>
      </c>
      <c r="Y375" s="9" t="s">
        <v>16583</v>
      </c>
      <c r="Z375" s="9" t="s">
        <v>592</v>
      </c>
      <c r="AC375" s="9">
        <v>9.5153950100019E13</v>
      </c>
      <c r="AD375" s="9">
        <v>9.51539501E8</v>
      </c>
      <c r="AE375" s="9" t="s">
        <v>401</v>
      </c>
      <c r="AF375" s="55">
        <v>45085.383263888885</v>
      </c>
      <c r="AG375" s="9" t="s">
        <v>16584</v>
      </c>
      <c r="AH375" s="9" t="s">
        <v>16585</v>
      </c>
      <c r="AJ375" s="9" t="s">
        <v>16586</v>
      </c>
      <c r="AK375" s="9" t="b">
        <v>0</v>
      </c>
      <c r="AL375" s="9" t="b">
        <v>0</v>
      </c>
      <c r="AM375" s="9" t="s">
        <v>16587</v>
      </c>
      <c r="AN375" s="9" t="s">
        <v>10522</v>
      </c>
      <c r="AP375" s="56">
        <v>45041.0</v>
      </c>
      <c r="AQ375" s="9" t="b">
        <v>1</v>
      </c>
      <c r="AR375" s="9" t="s">
        <v>16588</v>
      </c>
    </row>
    <row r="376" ht="15.75" customHeight="1">
      <c r="A376" s="7" t="s">
        <v>8568</v>
      </c>
      <c r="B376" s="7" t="s">
        <v>8569</v>
      </c>
      <c r="C376" s="7" t="s">
        <v>58</v>
      </c>
      <c r="D376" s="7" t="s">
        <v>59</v>
      </c>
      <c r="E376" s="7" t="s">
        <v>545</v>
      </c>
      <c r="F376" s="7">
        <v>2.0</v>
      </c>
      <c r="G376" s="7"/>
      <c r="H376" s="6" t="s">
        <v>5667</v>
      </c>
      <c r="I376" s="7"/>
      <c r="J376" s="6" t="s">
        <v>16589</v>
      </c>
      <c r="K376" s="7" t="s">
        <v>16590</v>
      </c>
      <c r="L376" s="7">
        <v>97414.0</v>
      </c>
      <c r="M376" s="7" t="s">
        <v>40</v>
      </c>
      <c r="N376" s="7"/>
      <c r="O376" s="6" t="s">
        <v>16591</v>
      </c>
      <c r="P376" s="42" t="s">
        <v>8571</v>
      </c>
      <c r="Q376" s="43" t="s">
        <v>16592</v>
      </c>
      <c r="R376" s="50"/>
      <c r="S376" s="51"/>
      <c r="T376" s="6" t="s">
        <v>16593</v>
      </c>
      <c r="U376" s="6" t="s">
        <v>8572</v>
      </c>
      <c r="V376" s="6" t="s">
        <v>16594</v>
      </c>
      <c r="W376" s="7" t="s">
        <v>8015</v>
      </c>
      <c r="X376" s="7"/>
      <c r="Y376" s="7"/>
      <c r="Z376" s="7" t="s">
        <v>424</v>
      </c>
      <c r="AA376" s="7" t="s">
        <v>7024</v>
      </c>
      <c r="AB376" s="7" t="s">
        <v>1590</v>
      </c>
      <c r="AC376" s="7">
        <v>8.4267086100025E13</v>
      </c>
      <c r="AD376" s="7">
        <v>8.42670861E8</v>
      </c>
      <c r="AE376" s="6" t="s">
        <v>12355</v>
      </c>
      <c r="AF376" s="45">
        <v>45085.37503472222</v>
      </c>
      <c r="AG376" s="7" t="s">
        <v>16595</v>
      </c>
      <c r="AH376" s="46" t="s">
        <v>16596</v>
      </c>
      <c r="AI376" s="7"/>
      <c r="AJ376" s="6" t="s">
        <v>16597</v>
      </c>
      <c r="AK376" s="7" t="b">
        <v>0</v>
      </c>
      <c r="AL376" s="7" t="b">
        <v>0</v>
      </c>
      <c r="AM376" s="6" t="s">
        <v>16598</v>
      </c>
      <c r="AN376" s="6" t="s">
        <v>8568</v>
      </c>
      <c r="AO376" s="7"/>
      <c r="AP376" s="7"/>
      <c r="AQ376" s="6" t="b">
        <v>1</v>
      </c>
      <c r="AR376" s="6" t="s">
        <v>16599</v>
      </c>
      <c r="AS376" s="48" t="s">
        <v>12303</v>
      </c>
    </row>
    <row r="377" ht="15.75" customHeight="1">
      <c r="A377" s="9" t="s">
        <v>10715</v>
      </c>
      <c r="B377" s="9" t="s">
        <v>16600</v>
      </c>
      <c r="C377" s="9" t="s">
        <v>58</v>
      </c>
      <c r="D377" s="9" t="s">
        <v>59</v>
      </c>
      <c r="E377" s="9" t="s">
        <v>545</v>
      </c>
      <c r="F377" s="9">
        <v>8.0</v>
      </c>
      <c r="G377" s="9" t="s">
        <v>455</v>
      </c>
      <c r="J377" s="9" t="s">
        <v>16601</v>
      </c>
      <c r="K377" s="9" t="s">
        <v>16602</v>
      </c>
      <c r="L377" s="9">
        <v>97430.0</v>
      </c>
      <c r="M377" s="9" t="s">
        <v>71</v>
      </c>
      <c r="N377" s="9" t="s">
        <v>9288</v>
      </c>
      <c r="O377" s="9" t="s">
        <v>16603</v>
      </c>
      <c r="P377" s="53" t="s">
        <v>16604</v>
      </c>
      <c r="Q377" s="49" t="s">
        <v>16605</v>
      </c>
      <c r="R377" s="50"/>
      <c r="S377" s="54"/>
      <c r="W377" s="9" t="s">
        <v>16606</v>
      </c>
      <c r="X377" s="9" t="s">
        <v>16607</v>
      </c>
      <c r="Y377" s="9" t="s">
        <v>499</v>
      </c>
      <c r="Z377" s="9" t="s">
        <v>353</v>
      </c>
      <c r="AC377" s="9">
        <v>5.1148916300028E13</v>
      </c>
      <c r="AD377" s="9">
        <v>5.11489163E8</v>
      </c>
      <c r="AE377" s="9" t="s">
        <v>12355</v>
      </c>
      <c r="AF377" s="60">
        <v>45084.36381944444</v>
      </c>
      <c r="AG377" s="9" t="s">
        <v>16608</v>
      </c>
      <c r="AH377" s="9" t="s">
        <v>16609</v>
      </c>
      <c r="AJ377" s="9" t="s">
        <v>16610</v>
      </c>
      <c r="AK377" s="9" t="b">
        <v>0</v>
      </c>
      <c r="AL377" s="9" t="b">
        <v>0</v>
      </c>
      <c r="AM377" s="9" t="s">
        <v>16611</v>
      </c>
      <c r="AN377" s="9" t="s">
        <v>10715</v>
      </c>
      <c r="AP377" s="61">
        <v>44879.0</v>
      </c>
      <c r="AQ377" s="9" t="b">
        <v>0</v>
      </c>
      <c r="AR377" s="9" t="s">
        <v>16612</v>
      </c>
    </row>
    <row r="378" ht="15.75" customHeight="1">
      <c r="A378" s="7" t="s">
        <v>4364</v>
      </c>
      <c r="B378" s="7" t="s">
        <v>4365</v>
      </c>
      <c r="C378" s="7" t="s">
        <v>58</v>
      </c>
      <c r="D378" s="7" t="s">
        <v>59</v>
      </c>
      <c r="E378" s="7" t="s">
        <v>2013</v>
      </c>
      <c r="F378" s="7">
        <v>4.0</v>
      </c>
      <c r="G378" s="7" t="s">
        <v>1092</v>
      </c>
      <c r="H378" s="7" t="s">
        <v>574</v>
      </c>
      <c r="I378" s="7" t="s">
        <v>578</v>
      </c>
      <c r="J378" s="7"/>
      <c r="K378" s="7" t="s">
        <v>16613</v>
      </c>
      <c r="L378" s="7">
        <v>97418.0</v>
      </c>
      <c r="M378" s="7" t="s">
        <v>71</v>
      </c>
      <c r="N378" s="7" t="s">
        <v>216</v>
      </c>
      <c r="O378" s="7" t="s">
        <v>4376</v>
      </c>
      <c r="P378" s="42" t="s">
        <v>3401</v>
      </c>
      <c r="Q378" s="43" t="s">
        <v>16614</v>
      </c>
      <c r="R378" s="50"/>
      <c r="S378" s="51"/>
      <c r="T378" s="7" t="s">
        <v>4371</v>
      </c>
      <c r="U378" s="7" t="s">
        <v>4370</v>
      </c>
      <c r="V378" s="7" t="s">
        <v>4372</v>
      </c>
      <c r="W378" s="6" t="s">
        <v>16615</v>
      </c>
      <c r="X378" s="7"/>
      <c r="Y378" s="7" t="s">
        <v>4368</v>
      </c>
      <c r="Z378" s="7" t="s">
        <v>4369</v>
      </c>
      <c r="AA378" s="7"/>
      <c r="AB378" s="7"/>
      <c r="AC378" s="7">
        <v>4.3971767900021E13</v>
      </c>
      <c r="AD378" s="7">
        <v>4.39717679E8</v>
      </c>
      <c r="AE378" s="6" t="s">
        <v>12355</v>
      </c>
      <c r="AF378" s="45">
        <v>45079.55980324074</v>
      </c>
      <c r="AG378" s="7" t="s">
        <v>16616</v>
      </c>
      <c r="AH378" s="46" t="s">
        <v>16617</v>
      </c>
      <c r="AI378" s="7"/>
      <c r="AJ378" s="7"/>
      <c r="AK378" s="7" t="b">
        <v>0</v>
      </c>
      <c r="AL378" s="7" t="b">
        <v>0</v>
      </c>
      <c r="AM378" s="6" t="s">
        <v>3408</v>
      </c>
      <c r="AN378" s="6" t="s">
        <v>4364</v>
      </c>
      <c r="AO378" s="6">
        <v>3893.0</v>
      </c>
      <c r="AP378" s="6"/>
      <c r="AQ378" s="6" t="b">
        <v>1</v>
      </c>
      <c r="AR378" s="6" t="s">
        <v>16618</v>
      </c>
      <c r="AS378" s="48" t="s">
        <v>12303</v>
      </c>
    </row>
    <row r="379" ht="15.75" customHeight="1">
      <c r="A379" s="52" t="s">
        <v>16619</v>
      </c>
      <c r="B379" s="9" t="s">
        <v>16620</v>
      </c>
      <c r="C379" s="9" t="s">
        <v>117</v>
      </c>
      <c r="D379" s="9" t="s">
        <v>197</v>
      </c>
      <c r="E379" s="9" t="s">
        <v>14250</v>
      </c>
      <c r="F379" s="9"/>
      <c r="G379" s="9" t="s">
        <v>455</v>
      </c>
      <c r="I379" s="9"/>
      <c r="J379" s="9" t="s">
        <v>16621</v>
      </c>
      <c r="K379" s="9" t="s">
        <v>16622</v>
      </c>
      <c r="L379" s="9">
        <v>97430.0</v>
      </c>
      <c r="M379" s="9" t="s">
        <v>71</v>
      </c>
      <c r="N379" s="9" t="s">
        <v>8411</v>
      </c>
      <c r="O379" s="9" t="s">
        <v>16623</v>
      </c>
      <c r="P379" s="53" t="s">
        <v>16624</v>
      </c>
      <c r="Q379" s="49" t="s">
        <v>16625</v>
      </c>
      <c r="R379" s="50"/>
      <c r="S379" s="59"/>
      <c r="T379" s="9" t="s">
        <v>16626</v>
      </c>
      <c r="U379" s="9" t="s">
        <v>16627</v>
      </c>
      <c r="V379" s="9"/>
      <c r="W379" s="9"/>
      <c r="X379" s="9"/>
      <c r="Y379" s="9" t="s">
        <v>8231</v>
      </c>
      <c r="Z379" s="9" t="s">
        <v>353</v>
      </c>
      <c r="AC379" s="9">
        <v>9.5118320100015E13</v>
      </c>
      <c r="AD379" s="9">
        <v>9.51183201E8</v>
      </c>
      <c r="AE379" s="9" t="s">
        <v>401</v>
      </c>
      <c r="AF379" s="55">
        <v>45436.40657407408</v>
      </c>
      <c r="AG379" s="9" t="s">
        <v>16628</v>
      </c>
      <c r="AH379" s="9" t="s">
        <v>16629</v>
      </c>
      <c r="AJ379" s="9" t="s">
        <v>16630</v>
      </c>
      <c r="AK379" s="9" t="b">
        <v>0</v>
      </c>
      <c r="AL379" s="9" t="b">
        <v>0</v>
      </c>
      <c r="AM379" s="9"/>
      <c r="AN379" s="52" t="s">
        <v>16619</v>
      </c>
      <c r="AP379" s="56">
        <v>45072.0</v>
      </c>
      <c r="AQ379" s="9" t="b">
        <v>0</v>
      </c>
      <c r="AR379" s="9" t="s">
        <v>16631</v>
      </c>
    </row>
    <row r="380" ht="15.75" customHeight="1">
      <c r="A380" s="7" t="s">
        <v>10090</v>
      </c>
      <c r="B380" s="6" t="s">
        <v>16632</v>
      </c>
      <c r="C380" s="7" t="s">
        <v>58</v>
      </c>
      <c r="D380" s="7" t="s">
        <v>59</v>
      </c>
      <c r="E380" s="7" t="s">
        <v>346</v>
      </c>
      <c r="F380" s="7">
        <v>7.0</v>
      </c>
      <c r="G380" s="7" t="s">
        <v>422</v>
      </c>
      <c r="H380" s="7"/>
      <c r="I380" s="7"/>
      <c r="J380" s="7">
        <v>9.0</v>
      </c>
      <c r="K380" s="7" t="s">
        <v>16633</v>
      </c>
      <c r="L380" s="7">
        <v>97480.0</v>
      </c>
      <c r="M380" s="7" t="s">
        <v>123</v>
      </c>
      <c r="N380" s="7"/>
      <c r="O380" s="7" t="s">
        <v>10101</v>
      </c>
      <c r="P380" s="42" t="s">
        <v>10096</v>
      </c>
      <c r="Q380" s="43" t="s">
        <v>16634</v>
      </c>
      <c r="R380" s="50" t="s">
        <v>12350</v>
      </c>
      <c r="S380" s="51"/>
      <c r="T380" s="7" t="s">
        <v>10097</v>
      </c>
      <c r="U380" s="7"/>
      <c r="V380" s="7"/>
      <c r="W380" s="6" t="s">
        <v>16635</v>
      </c>
      <c r="X380" s="7" t="s">
        <v>10094</v>
      </c>
      <c r="Y380" s="7" t="s">
        <v>10095</v>
      </c>
      <c r="Z380" s="7" t="s">
        <v>353</v>
      </c>
      <c r="AA380" s="7" t="s">
        <v>5758</v>
      </c>
      <c r="AB380" s="7" t="s">
        <v>1962</v>
      </c>
      <c r="AC380" s="6">
        <v>8.89139606E8</v>
      </c>
      <c r="AD380" s="6">
        <v>8.89139606E8</v>
      </c>
      <c r="AE380" s="6" t="s">
        <v>12355</v>
      </c>
      <c r="AF380" s="45">
        <v>45078.39497685185</v>
      </c>
      <c r="AG380" s="7" t="s">
        <v>16636</v>
      </c>
      <c r="AH380" s="46" t="s">
        <v>16637</v>
      </c>
      <c r="AI380" s="7"/>
      <c r="AJ380" s="7"/>
      <c r="AK380" s="7" t="b">
        <v>0</v>
      </c>
      <c r="AL380" s="7" t="b">
        <v>0</v>
      </c>
      <c r="AM380" s="6" t="s">
        <v>10102</v>
      </c>
      <c r="AN380" s="6" t="s">
        <v>10090</v>
      </c>
      <c r="AO380" s="7"/>
      <c r="AP380" s="7"/>
      <c r="AQ380" s="6" t="b">
        <v>1</v>
      </c>
      <c r="AR380" s="6"/>
      <c r="AS380" s="6"/>
    </row>
    <row r="381" ht="15.75" customHeight="1">
      <c r="A381" s="52" t="s">
        <v>16638</v>
      </c>
      <c r="B381" s="9" t="s">
        <v>16639</v>
      </c>
      <c r="C381" s="9" t="s">
        <v>58</v>
      </c>
      <c r="D381" s="9" t="s">
        <v>59</v>
      </c>
      <c r="E381" s="9" t="s">
        <v>346</v>
      </c>
      <c r="F381" s="9">
        <v>8.0</v>
      </c>
      <c r="G381" s="9" t="s">
        <v>455</v>
      </c>
      <c r="H381" s="9" t="s">
        <v>2716</v>
      </c>
      <c r="J381" s="9" t="s">
        <v>16640</v>
      </c>
      <c r="K381" s="9" t="s">
        <v>16641</v>
      </c>
      <c r="L381" s="9">
        <v>97480.0</v>
      </c>
      <c r="M381" s="9" t="s">
        <v>123</v>
      </c>
      <c r="N381" s="9" t="s">
        <v>206</v>
      </c>
      <c r="O381" s="9" t="s">
        <v>16642</v>
      </c>
      <c r="P381" s="53" t="s">
        <v>4342</v>
      </c>
      <c r="Q381" s="49" t="s">
        <v>16643</v>
      </c>
      <c r="R381" s="50"/>
      <c r="S381" s="58" t="s">
        <v>16644</v>
      </c>
      <c r="T381" s="9" t="s">
        <v>16645</v>
      </c>
      <c r="U381" s="9" t="s">
        <v>16646</v>
      </c>
      <c r="V381" s="9" t="s">
        <v>16647</v>
      </c>
      <c r="W381" s="9" t="s">
        <v>16648</v>
      </c>
      <c r="X381" s="9" t="s">
        <v>16649</v>
      </c>
      <c r="Y381" s="9" t="s">
        <v>352</v>
      </c>
      <c r="Z381" s="9" t="s">
        <v>592</v>
      </c>
      <c r="AC381" s="9">
        <v>9.1262600900019E13</v>
      </c>
      <c r="AD381" s="9">
        <v>9.12626009E8</v>
      </c>
      <c r="AE381" s="9" t="s">
        <v>401</v>
      </c>
      <c r="AF381" s="55">
        <v>45078.33666666667</v>
      </c>
      <c r="AG381" s="9" t="s">
        <v>16650</v>
      </c>
      <c r="AH381" s="9" t="s">
        <v>16651</v>
      </c>
      <c r="AJ381" s="9"/>
      <c r="AK381" s="9" t="b">
        <v>0</v>
      </c>
      <c r="AL381" s="9" t="b">
        <v>0</v>
      </c>
      <c r="AM381" s="9" t="s">
        <v>16652</v>
      </c>
      <c r="AN381" s="52" t="s">
        <v>16638</v>
      </c>
      <c r="AP381" s="56">
        <v>44932.0</v>
      </c>
      <c r="AQ381" s="9" t="b">
        <v>1</v>
      </c>
    </row>
    <row r="382" ht="15.75" customHeight="1">
      <c r="A382" s="7" t="s">
        <v>688</v>
      </c>
      <c r="B382" s="7" t="s">
        <v>689</v>
      </c>
      <c r="C382" s="6" t="s">
        <v>117</v>
      </c>
      <c r="D382" s="6" t="s">
        <v>14895</v>
      </c>
      <c r="E382" s="6" t="s">
        <v>16653</v>
      </c>
      <c r="F382" s="7">
        <v>16.0</v>
      </c>
      <c r="G382" s="7"/>
      <c r="H382" s="7"/>
      <c r="I382" s="7"/>
      <c r="J382" s="41" t="s">
        <v>13933</v>
      </c>
      <c r="K382" s="7" t="s">
        <v>16654</v>
      </c>
      <c r="L382" s="7">
        <v>97480.0</v>
      </c>
      <c r="M382" s="7" t="s">
        <v>123</v>
      </c>
      <c r="N382" s="6" t="s">
        <v>3556</v>
      </c>
      <c r="O382" s="7" t="s">
        <v>702</v>
      </c>
      <c r="P382" s="42" t="s">
        <v>695</v>
      </c>
      <c r="Q382" s="43" t="s">
        <v>16655</v>
      </c>
      <c r="R382" s="50"/>
      <c r="S382" s="47" t="s">
        <v>691</v>
      </c>
      <c r="T382" s="6" t="s">
        <v>16656</v>
      </c>
      <c r="U382" s="6" t="s">
        <v>16657</v>
      </c>
      <c r="V382" s="7" t="s">
        <v>698</v>
      </c>
      <c r="W382" s="6" t="s">
        <v>14977</v>
      </c>
      <c r="X382" s="6" t="s">
        <v>16658</v>
      </c>
      <c r="Y382" s="7" t="s">
        <v>694</v>
      </c>
      <c r="Z382" s="6" t="s">
        <v>592</v>
      </c>
      <c r="AA382" s="7"/>
      <c r="AB382" s="7"/>
      <c r="AC382" s="7">
        <v>5.2432001700022E13</v>
      </c>
      <c r="AD382" s="7">
        <v>5.24320017E8</v>
      </c>
      <c r="AE382" s="6" t="s">
        <v>401</v>
      </c>
      <c r="AF382" s="45">
        <v>45072.476539351854</v>
      </c>
      <c r="AG382" s="7" t="s">
        <v>16659</v>
      </c>
      <c r="AH382" s="46" t="s">
        <v>16660</v>
      </c>
      <c r="AI382" s="7"/>
      <c r="AJ382" s="6" t="s">
        <v>16661</v>
      </c>
      <c r="AK382" s="7" t="b">
        <v>0</v>
      </c>
      <c r="AL382" s="6" t="b">
        <v>0</v>
      </c>
      <c r="AM382" s="7"/>
      <c r="AN382" s="6" t="s">
        <v>688</v>
      </c>
      <c r="AO382" s="6">
        <v>2998.0</v>
      </c>
      <c r="AP382" s="6"/>
      <c r="AQ382" s="6" t="b">
        <v>1</v>
      </c>
      <c r="AR382" s="6"/>
      <c r="AS382" s="6" t="s">
        <v>12303</v>
      </c>
    </row>
    <row r="383" ht="15.75" customHeight="1">
      <c r="A383" s="7" t="s">
        <v>9048</v>
      </c>
      <c r="B383" s="7" t="s">
        <v>3865</v>
      </c>
      <c r="C383" s="7" t="s">
        <v>58</v>
      </c>
      <c r="D383" s="7" t="s">
        <v>59</v>
      </c>
      <c r="E383" s="7" t="s">
        <v>346</v>
      </c>
      <c r="F383" s="7">
        <v>4.0</v>
      </c>
      <c r="G383" s="7" t="s">
        <v>455</v>
      </c>
      <c r="H383" s="7"/>
      <c r="I383" s="6" t="s">
        <v>12371</v>
      </c>
      <c r="J383" s="7">
        <v>90.0</v>
      </c>
      <c r="K383" s="7" t="s">
        <v>16662</v>
      </c>
      <c r="L383" s="7">
        <v>97430.0</v>
      </c>
      <c r="M383" s="7" t="s">
        <v>71</v>
      </c>
      <c r="N383" s="6" t="s">
        <v>9050</v>
      </c>
      <c r="O383" s="6" t="s">
        <v>16663</v>
      </c>
      <c r="P383" s="53" t="s">
        <v>12375</v>
      </c>
      <c r="Q383" s="49" t="s">
        <v>12376</v>
      </c>
      <c r="R383" s="50"/>
      <c r="S383" s="47" t="s">
        <v>3867</v>
      </c>
      <c r="T383" s="6" t="s">
        <v>16664</v>
      </c>
      <c r="U383" s="6" t="s">
        <v>16665</v>
      </c>
      <c r="V383" s="6" t="s">
        <v>16666</v>
      </c>
      <c r="W383" s="6" t="s">
        <v>15989</v>
      </c>
      <c r="X383" s="6" t="s">
        <v>16667</v>
      </c>
      <c r="Y383" s="7" t="s">
        <v>377</v>
      </c>
      <c r="Z383" s="6" t="s">
        <v>592</v>
      </c>
      <c r="AA383" s="7" t="s">
        <v>3849</v>
      </c>
      <c r="AB383" s="7" t="s">
        <v>1590</v>
      </c>
      <c r="AC383" s="6">
        <v>8.1195195300017E13</v>
      </c>
      <c r="AD383" s="6">
        <v>8.11951953E8</v>
      </c>
      <c r="AE383" s="6" t="s">
        <v>401</v>
      </c>
      <c r="AF383" s="45">
        <v>45908.349340277775</v>
      </c>
      <c r="AG383" s="7" t="s">
        <v>12379</v>
      </c>
      <c r="AH383" s="46" t="s">
        <v>16668</v>
      </c>
      <c r="AI383" s="7"/>
      <c r="AJ383" s="6" t="s">
        <v>16669</v>
      </c>
      <c r="AK383" s="7" t="b">
        <v>0</v>
      </c>
      <c r="AL383" s="7" t="b">
        <v>0</v>
      </c>
      <c r="AM383" s="6" t="s">
        <v>9053</v>
      </c>
      <c r="AN383" s="6" t="s">
        <v>9048</v>
      </c>
      <c r="AO383" s="7"/>
      <c r="AP383" s="7"/>
      <c r="AQ383" s="6" t="b">
        <v>0</v>
      </c>
      <c r="AR383" s="6" t="s">
        <v>12382</v>
      </c>
      <c r="AS383" s="6" t="s">
        <v>12303</v>
      </c>
    </row>
    <row r="384" ht="15.75" customHeight="1">
      <c r="A384" s="7" t="s">
        <v>1013</v>
      </c>
      <c r="B384" s="7" t="s">
        <v>998</v>
      </c>
      <c r="C384" s="7" t="s">
        <v>58</v>
      </c>
      <c r="D384" s="7" t="s">
        <v>453</v>
      </c>
      <c r="E384" s="7" t="s">
        <v>454</v>
      </c>
      <c r="F384" s="7">
        <v>4.0</v>
      </c>
      <c r="G384" s="7" t="s">
        <v>1001</v>
      </c>
      <c r="H384" s="7" t="s">
        <v>574</v>
      </c>
      <c r="I384" s="7" t="s">
        <v>578</v>
      </c>
      <c r="J384" s="41" t="s">
        <v>14181</v>
      </c>
      <c r="K384" s="6" t="s">
        <v>16670</v>
      </c>
      <c r="L384" s="7">
        <v>97442.0</v>
      </c>
      <c r="M384" s="7" t="s">
        <v>33</v>
      </c>
      <c r="N384" s="7"/>
      <c r="O384" s="6" t="s">
        <v>16671</v>
      </c>
      <c r="P384" s="42" t="s">
        <v>1004</v>
      </c>
      <c r="Q384" s="43" t="s">
        <v>16672</v>
      </c>
      <c r="R384" s="43" t="s">
        <v>16673</v>
      </c>
      <c r="S384" s="51" t="s">
        <v>16674</v>
      </c>
      <c r="T384" s="7" t="s">
        <v>1018</v>
      </c>
      <c r="U384" s="7" t="s">
        <v>1017</v>
      </c>
      <c r="V384" s="7" t="s">
        <v>1019</v>
      </c>
      <c r="W384" s="6" t="s">
        <v>16675</v>
      </c>
      <c r="X384" s="7" t="s">
        <v>1016</v>
      </c>
      <c r="Y384" s="7" t="s">
        <v>377</v>
      </c>
      <c r="Z384" s="7" t="s">
        <v>592</v>
      </c>
      <c r="AA384" s="7"/>
      <c r="AB384" s="7"/>
      <c r="AC384" s="7">
        <v>4.2291869800016E13</v>
      </c>
      <c r="AD384" s="7">
        <v>4.22918698E8</v>
      </c>
      <c r="AE384" s="6" t="s">
        <v>401</v>
      </c>
      <c r="AF384" s="45">
        <v>45071.64387731482</v>
      </c>
      <c r="AG384" s="7" t="s">
        <v>16676</v>
      </c>
      <c r="AH384" s="46" t="s">
        <v>16677</v>
      </c>
      <c r="AI384" s="7"/>
      <c r="AJ384" s="6" t="s">
        <v>16678</v>
      </c>
      <c r="AK384" s="6" t="b">
        <v>1</v>
      </c>
      <c r="AL384" s="7" t="b">
        <v>0</v>
      </c>
      <c r="AM384" s="6" t="s">
        <v>1021</v>
      </c>
      <c r="AN384" s="6" t="s">
        <v>1013</v>
      </c>
      <c r="AO384" s="6">
        <v>309.0</v>
      </c>
      <c r="AP384" s="6"/>
      <c r="AQ384" s="6" t="b">
        <v>1</v>
      </c>
      <c r="AR384" s="6" t="s">
        <v>16679</v>
      </c>
      <c r="AS384" s="48" t="s">
        <v>12303</v>
      </c>
    </row>
    <row r="385" ht="15.75" customHeight="1">
      <c r="A385" s="7" t="s">
        <v>997</v>
      </c>
      <c r="B385" s="7" t="s">
        <v>998</v>
      </c>
      <c r="C385" s="7" t="s">
        <v>34</v>
      </c>
      <c r="D385" s="7" t="s">
        <v>485</v>
      </c>
      <c r="E385" s="7" t="s">
        <v>486</v>
      </c>
      <c r="F385" s="7">
        <v>25.0</v>
      </c>
      <c r="G385" s="7" t="s">
        <v>1001</v>
      </c>
      <c r="H385" s="7"/>
      <c r="I385" s="7" t="s">
        <v>578</v>
      </c>
      <c r="J385" s="41" t="s">
        <v>14181</v>
      </c>
      <c r="K385" s="6" t="s">
        <v>16680</v>
      </c>
      <c r="L385" s="7">
        <v>97442.0</v>
      </c>
      <c r="M385" s="7" t="s">
        <v>33</v>
      </c>
      <c r="N385" s="7"/>
      <c r="O385" s="7" t="s">
        <v>1010</v>
      </c>
      <c r="P385" s="42" t="s">
        <v>1004</v>
      </c>
      <c r="Q385" s="49" t="s">
        <v>16681</v>
      </c>
      <c r="R385" s="43" t="s">
        <v>16673</v>
      </c>
      <c r="S385" s="51"/>
      <c r="T385" s="6" t="s">
        <v>16682</v>
      </c>
      <c r="U385" s="6" t="s">
        <v>16683</v>
      </c>
      <c r="V385" s="7" t="s">
        <v>1006</v>
      </c>
      <c r="W385" s="6" t="s">
        <v>16684</v>
      </c>
      <c r="X385" s="7" t="s">
        <v>1003</v>
      </c>
      <c r="Y385" s="7" t="s">
        <v>377</v>
      </c>
      <c r="Z385" s="6" t="s">
        <v>592</v>
      </c>
      <c r="AA385" s="7"/>
      <c r="AB385" s="7"/>
      <c r="AC385" s="7">
        <v>4.2291869800016E13</v>
      </c>
      <c r="AD385" s="7">
        <v>4.22918698E8</v>
      </c>
      <c r="AE385" s="6" t="s">
        <v>401</v>
      </c>
      <c r="AF385" s="45">
        <v>45414.60427083333</v>
      </c>
      <c r="AG385" s="7" t="s">
        <v>16676</v>
      </c>
      <c r="AH385" s="46" t="s">
        <v>16685</v>
      </c>
      <c r="AI385" s="7"/>
      <c r="AJ385" s="6" t="s">
        <v>16686</v>
      </c>
      <c r="AK385" s="6" t="b">
        <v>1</v>
      </c>
      <c r="AL385" s="7" t="b">
        <v>0</v>
      </c>
      <c r="AM385" s="7"/>
      <c r="AN385" s="6" t="s">
        <v>997</v>
      </c>
      <c r="AO385" s="6">
        <v>310.0</v>
      </c>
      <c r="AP385" s="6"/>
      <c r="AQ385" s="6" t="b">
        <v>1</v>
      </c>
      <c r="AR385" s="6" t="s">
        <v>16679</v>
      </c>
      <c r="AS385" s="48" t="s">
        <v>12303</v>
      </c>
    </row>
    <row r="386" ht="15.75" customHeight="1">
      <c r="A386" s="7" t="s">
        <v>7298</v>
      </c>
      <c r="B386" s="7" t="s">
        <v>7299</v>
      </c>
      <c r="C386" s="7" t="s">
        <v>58</v>
      </c>
      <c r="D386" s="7" t="s">
        <v>59</v>
      </c>
      <c r="E386" s="7" t="s">
        <v>545</v>
      </c>
      <c r="F386" s="7">
        <v>12.0</v>
      </c>
      <c r="G386" s="7" t="s">
        <v>455</v>
      </c>
      <c r="H386" s="6" t="s">
        <v>16687</v>
      </c>
      <c r="I386" s="7"/>
      <c r="J386" s="6" t="s">
        <v>16688</v>
      </c>
      <c r="K386" s="7" t="s">
        <v>16689</v>
      </c>
      <c r="L386" s="7">
        <v>97480.0</v>
      </c>
      <c r="M386" s="7" t="s">
        <v>123</v>
      </c>
      <c r="N386" s="7" t="s">
        <v>8325</v>
      </c>
      <c r="O386" s="6" t="s">
        <v>16690</v>
      </c>
      <c r="P386" s="42" t="s">
        <v>7305</v>
      </c>
      <c r="Q386" s="43" t="s">
        <v>16691</v>
      </c>
      <c r="R386" s="43" t="s">
        <v>16692</v>
      </c>
      <c r="S386" s="57" t="s">
        <v>16693</v>
      </c>
      <c r="T386" s="6" t="s">
        <v>16694</v>
      </c>
      <c r="U386" s="6" t="s">
        <v>16695</v>
      </c>
      <c r="V386" s="7" t="s">
        <v>7307</v>
      </c>
      <c r="W386" s="6" t="s">
        <v>16696</v>
      </c>
      <c r="X386" s="7" t="s">
        <v>7304</v>
      </c>
      <c r="Y386" s="7" t="s">
        <v>2377</v>
      </c>
      <c r="Z386" s="7" t="s">
        <v>353</v>
      </c>
      <c r="AA386" s="7"/>
      <c r="AB386" s="7"/>
      <c r="AC386" s="6">
        <v>3.17007747700048E14</v>
      </c>
      <c r="AD386" s="6">
        <v>3.17007747E8</v>
      </c>
      <c r="AE386" s="6" t="s">
        <v>401</v>
      </c>
      <c r="AF386" s="63">
        <v>45070.648726851854</v>
      </c>
      <c r="AG386" s="7" t="s">
        <v>16697</v>
      </c>
      <c r="AH386" s="46" t="s">
        <v>16698</v>
      </c>
      <c r="AI386" s="7"/>
      <c r="AJ386" s="6" t="s">
        <v>16699</v>
      </c>
      <c r="AK386" s="7" t="b">
        <v>0</v>
      </c>
      <c r="AL386" s="7" t="b">
        <v>0</v>
      </c>
      <c r="AM386" s="6" t="s">
        <v>13660</v>
      </c>
      <c r="AN386" s="6" t="s">
        <v>7298</v>
      </c>
      <c r="AO386" s="6">
        <v>456.0</v>
      </c>
      <c r="AP386" s="6"/>
      <c r="AQ386" s="6" t="b">
        <v>1</v>
      </c>
      <c r="AR386" s="6" t="s">
        <v>16700</v>
      </c>
      <c r="AS386" s="6"/>
    </row>
    <row r="387" ht="15.75" customHeight="1">
      <c r="A387" s="9" t="s">
        <v>11951</v>
      </c>
      <c r="B387" s="9" t="s">
        <v>16701</v>
      </c>
      <c r="C387" s="9" t="s">
        <v>117</v>
      </c>
      <c r="D387" s="9" t="s">
        <v>197</v>
      </c>
      <c r="E387" s="9" t="s">
        <v>559</v>
      </c>
      <c r="F387" s="9"/>
      <c r="J387" s="52" t="s">
        <v>13331</v>
      </c>
      <c r="K387" s="9" t="s">
        <v>16702</v>
      </c>
      <c r="L387" s="9">
        <v>97414.0</v>
      </c>
      <c r="M387" s="9" t="s">
        <v>40</v>
      </c>
      <c r="N387" s="9"/>
      <c r="O387" s="9" t="s">
        <v>16703</v>
      </c>
      <c r="P387" s="53" t="s">
        <v>16704</v>
      </c>
      <c r="Q387" s="49" t="s">
        <v>16705</v>
      </c>
      <c r="R387" s="50"/>
      <c r="S387" s="58" t="s">
        <v>16706</v>
      </c>
      <c r="T387" s="9"/>
      <c r="U387" s="9" t="s">
        <v>16707</v>
      </c>
      <c r="W387" s="9"/>
      <c r="X387" s="9"/>
      <c r="Y387" s="9" t="s">
        <v>499</v>
      </c>
      <c r="Z387" s="9" t="s">
        <v>393</v>
      </c>
      <c r="AC387" s="9">
        <v>4.0817845700029E13</v>
      </c>
      <c r="AD387" s="9">
        <v>4.08178457E8</v>
      </c>
      <c r="AE387" s="9" t="s">
        <v>401</v>
      </c>
      <c r="AF387" s="55">
        <v>45070.38761574074</v>
      </c>
      <c r="AG387" s="9" t="s">
        <v>16708</v>
      </c>
      <c r="AH387" s="9" t="s">
        <v>16709</v>
      </c>
      <c r="AJ387" s="9" t="s">
        <v>16710</v>
      </c>
      <c r="AK387" s="9" t="b">
        <v>0</v>
      </c>
      <c r="AL387" s="9" t="b">
        <v>0</v>
      </c>
      <c r="AM387" s="9"/>
      <c r="AN387" s="9" t="s">
        <v>11951</v>
      </c>
      <c r="AP387" s="56">
        <v>45057.0</v>
      </c>
      <c r="AQ387" s="9" t="b">
        <v>0</v>
      </c>
      <c r="AR387" s="9"/>
    </row>
    <row r="388" ht="15.75" customHeight="1">
      <c r="A388" s="7" t="s">
        <v>9218</v>
      </c>
      <c r="B388" s="7" t="s">
        <v>16711</v>
      </c>
      <c r="C388" s="7" t="s">
        <v>822</v>
      </c>
      <c r="D388" s="7" t="s">
        <v>1805</v>
      </c>
      <c r="E388" s="7" t="s">
        <v>1806</v>
      </c>
      <c r="F388" s="7"/>
      <c r="G388" s="7"/>
      <c r="H388" s="7"/>
      <c r="I388" s="7"/>
      <c r="J388" s="7">
        <v>14.0</v>
      </c>
      <c r="K388" s="7" t="s">
        <v>16712</v>
      </c>
      <c r="L388" s="7">
        <v>97414.0</v>
      </c>
      <c r="M388" s="7" t="s">
        <v>40</v>
      </c>
      <c r="N388" s="7"/>
      <c r="O388" s="6" t="s">
        <v>16713</v>
      </c>
      <c r="P388" s="42" t="s">
        <v>9221</v>
      </c>
      <c r="Q388" s="43" t="s">
        <v>16714</v>
      </c>
      <c r="R388" s="50"/>
      <c r="S388" s="51"/>
      <c r="T388" s="7" t="s">
        <v>9223</v>
      </c>
      <c r="U388" s="7" t="s">
        <v>9222</v>
      </c>
      <c r="V388" s="7"/>
      <c r="W388" s="7"/>
      <c r="X388" s="7"/>
      <c r="Y388" s="7"/>
      <c r="Z388" s="7" t="s">
        <v>353</v>
      </c>
      <c r="AA388" s="7"/>
      <c r="AB388" s="7"/>
      <c r="AC388" s="7"/>
      <c r="AD388" s="7"/>
      <c r="AE388" s="6" t="s">
        <v>401</v>
      </c>
      <c r="AF388" s="63">
        <v>45947.65278935185</v>
      </c>
      <c r="AG388" s="7" t="s">
        <v>16715</v>
      </c>
      <c r="AH388" s="46" t="s">
        <v>16716</v>
      </c>
      <c r="AI388" s="7"/>
      <c r="AJ388" s="6" t="s">
        <v>16717</v>
      </c>
      <c r="AK388" s="6" t="b">
        <v>1</v>
      </c>
      <c r="AL388" s="7" t="b">
        <v>0</v>
      </c>
      <c r="AM388" s="7"/>
      <c r="AN388" s="6" t="s">
        <v>9218</v>
      </c>
      <c r="AO388" s="7"/>
      <c r="AP388" s="7"/>
      <c r="AQ388" s="6" t="b">
        <v>1</v>
      </c>
      <c r="AR388" s="6"/>
      <c r="AS388" s="48" t="s">
        <v>12303</v>
      </c>
    </row>
    <row r="389" ht="15.75" customHeight="1">
      <c r="A389" s="7" t="s">
        <v>8114</v>
      </c>
      <c r="B389" s="6" t="s">
        <v>16718</v>
      </c>
      <c r="C389" s="7" t="s">
        <v>58</v>
      </c>
      <c r="D389" s="6" t="s">
        <v>59</v>
      </c>
      <c r="E389" s="6" t="s">
        <v>346</v>
      </c>
      <c r="F389" s="6">
        <v>18.0</v>
      </c>
      <c r="G389" s="6" t="s">
        <v>422</v>
      </c>
      <c r="H389" s="6" t="s">
        <v>2716</v>
      </c>
      <c r="I389" s="7"/>
      <c r="J389" s="41" t="s">
        <v>14465</v>
      </c>
      <c r="K389" s="7" t="s">
        <v>16719</v>
      </c>
      <c r="L389" s="7">
        <v>97414.0</v>
      </c>
      <c r="M389" s="7" t="s">
        <v>40</v>
      </c>
      <c r="N389" s="6" t="s">
        <v>16720</v>
      </c>
      <c r="O389" s="6" t="s">
        <v>16721</v>
      </c>
      <c r="P389" s="53" t="s">
        <v>10107</v>
      </c>
      <c r="Q389" s="49" t="s">
        <v>16722</v>
      </c>
      <c r="R389" s="50"/>
      <c r="S389" s="51"/>
      <c r="T389" s="6" t="s">
        <v>16723</v>
      </c>
      <c r="U389" s="6" t="s">
        <v>16724</v>
      </c>
      <c r="V389" s="6" t="s">
        <v>16725</v>
      </c>
      <c r="W389" s="7"/>
      <c r="X389" s="7"/>
      <c r="Y389" s="6" t="s">
        <v>1567</v>
      </c>
      <c r="Z389" s="6" t="s">
        <v>378</v>
      </c>
      <c r="AA389" s="7"/>
      <c r="AB389" s="7"/>
      <c r="AC389" s="6">
        <v>4.1359520800047E13</v>
      </c>
      <c r="AD389" s="6">
        <v>4.13595208E8</v>
      </c>
      <c r="AE389" s="6" t="s">
        <v>401</v>
      </c>
      <c r="AF389" s="45">
        <v>46015.46053240741</v>
      </c>
      <c r="AG389" s="6" t="s">
        <v>16726</v>
      </c>
      <c r="AH389" s="46" t="s">
        <v>16727</v>
      </c>
      <c r="AI389" s="7"/>
      <c r="AJ389" s="6" t="s">
        <v>16728</v>
      </c>
      <c r="AK389" s="7" t="b">
        <v>0</v>
      </c>
      <c r="AL389" s="7" t="b">
        <v>0</v>
      </c>
      <c r="AM389" s="6" t="s">
        <v>16729</v>
      </c>
      <c r="AN389" s="6" t="s">
        <v>8114</v>
      </c>
      <c r="AO389" s="7"/>
      <c r="AP389" s="7"/>
      <c r="AQ389" s="6" t="b">
        <v>0</v>
      </c>
      <c r="AR389" s="6" t="s">
        <v>16730</v>
      </c>
      <c r="AS389" s="48" t="s">
        <v>12303</v>
      </c>
    </row>
    <row r="390" ht="15.75" customHeight="1">
      <c r="A390" s="7" t="s">
        <v>1034</v>
      </c>
      <c r="B390" s="7" t="s">
        <v>1035</v>
      </c>
      <c r="C390" s="7" t="s">
        <v>58</v>
      </c>
      <c r="D390" s="7" t="s">
        <v>59</v>
      </c>
      <c r="E390" s="7" t="s">
        <v>346</v>
      </c>
      <c r="F390" s="7">
        <v>6.0</v>
      </c>
      <c r="G390" s="7" t="s">
        <v>455</v>
      </c>
      <c r="H390" s="7"/>
      <c r="I390" s="7"/>
      <c r="J390" s="7">
        <v>19.0</v>
      </c>
      <c r="K390" s="7" t="s">
        <v>12649</v>
      </c>
      <c r="L390" s="7">
        <v>97480.0</v>
      </c>
      <c r="M390" s="7" t="s">
        <v>123</v>
      </c>
      <c r="N390" s="7"/>
      <c r="O390" s="6" t="s">
        <v>16731</v>
      </c>
      <c r="P390" s="42" t="s">
        <v>1039</v>
      </c>
      <c r="Q390" s="43" t="s">
        <v>16732</v>
      </c>
      <c r="R390" s="50"/>
      <c r="S390" s="51"/>
      <c r="T390" s="7" t="s">
        <v>1040</v>
      </c>
      <c r="U390" s="7"/>
      <c r="V390" s="7" t="s">
        <v>1041</v>
      </c>
      <c r="W390" s="6" t="s">
        <v>16733</v>
      </c>
      <c r="X390" s="7" t="s">
        <v>1038</v>
      </c>
      <c r="Y390" s="7" t="s">
        <v>377</v>
      </c>
      <c r="Z390" s="7" t="s">
        <v>353</v>
      </c>
      <c r="AA390" s="7"/>
      <c r="AB390" s="7"/>
      <c r="AC390" s="7">
        <v>8.5091678400018E13</v>
      </c>
      <c r="AD390" s="7">
        <v>8.50916784E8</v>
      </c>
      <c r="AE390" s="6" t="s">
        <v>401</v>
      </c>
      <c r="AF390" s="45">
        <v>45063.387094907404</v>
      </c>
      <c r="AG390" s="7" t="s">
        <v>16734</v>
      </c>
      <c r="AH390" s="46" t="s">
        <v>16735</v>
      </c>
      <c r="AI390" s="7"/>
      <c r="AJ390" s="6" t="s">
        <v>16736</v>
      </c>
      <c r="AK390" s="7" t="b">
        <v>0</v>
      </c>
      <c r="AL390" s="7" t="b">
        <v>0</v>
      </c>
      <c r="AM390" s="6" t="s">
        <v>1046</v>
      </c>
      <c r="AN390" s="6" t="s">
        <v>1034</v>
      </c>
      <c r="AO390" s="6">
        <v>5059.0</v>
      </c>
      <c r="AP390" s="6"/>
      <c r="AQ390" s="6" t="b">
        <v>1</v>
      </c>
      <c r="AR390" s="6" t="s">
        <v>16737</v>
      </c>
      <c r="AS390" s="6" t="s">
        <v>12303</v>
      </c>
    </row>
    <row r="391" ht="15.75" customHeight="1">
      <c r="A391" s="9" t="s">
        <v>12013</v>
      </c>
      <c r="B391" s="9" t="s">
        <v>16738</v>
      </c>
      <c r="C391" s="9" t="s">
        <v>117</v>
      </c>
      <c r="D391" s="9" t="s">
        <v>15300</v>
      </c>
      <c r="E391" s="9" t="s">
        <v>16739</v>
      </c>
      <c r="F391" s="9">
        <v>8.0</v>
      </c>
      <c r="I391" s="9" t="s">
        <v>1419</v>
      </c>
      <c r="J391" s="52" t="s">
        <v>16740</v>
      </c>
      <c r="K391" s="9" t="s">
        <v>16741</v>
      </c>
      <c r="L391" s="9">
        <v>97480.0</v>
      </c>
      <c r="M391" s="9" t="s">
        <v>123</v>
      </c>
      <c r="N391" s="9" t="s">
        <v>4456</v>
      </c>
      <c r="O391" s="9" t="s">
        <v>16742</v>
      </c>
      <c r="P391" s="53" t="s">
        <v>16743</v>
      </c>
      <c r="Q391" s="49" t="s">
        <v>16744</v>
      </c>
      <c r="R391" s="50"/>
      <c r="S391" s="59"/>
      <c r="T391" s="9" t="s">
        <v>16745</v>
      </c>
      <c r="U391" s="9" t="s">
        <v>16746</v>
      </c>
      <c r="V391" s="9" t="s">
        <v>16747</v>
      </c>
      <c r="W391" s="9" t="s">
        <v>14892</v>
      </c>
      <c r="X391" s="9" t="s">
        <v>351</v>
      </c>
      <c r="Y391" s="9" t="s">
        <v>2938</v>
      </c>
      <c r="Z391" s="9" t="s">
        <v>592</v>
      </c>
      <c r="AC391" s="9">
        <v>3.5075950200064E13</v>
      </c>
      <c r="AD391" s="9">
        <v>3.50759502E8</v>
      </c>
      <c r="AE391" s="9" t="s">
        <v>401</v>
      </c>
      <c r="AF391" s="55">
        <v>45985.392962962964</v>
      </c>
      <c r="AG391" s="9" t="s">
        <v>16748</v>
      </c>
      <c r="AH391" s="9" t="s">
        <v>16749</v>
      </c>
      <c r="AJ391" s="9" t="s">
        <v>16750</v>
      </c>
      <c r="AK391" s="9" t="b">
        <v>0</v>
      </c>
      <c r="AL391" s="9" t="b">
        <v>1</v>
      </c>
      <c r="AM391" s="9"/>
      <c r="AN391" s="9" t="s">
        <v>12013</v>
      </c>
      <c r="AP391" s="56">
        <v>45062.0</v>
      </c>
      <c r="AQ391" s="9" t="b">
        <v>0</v>
      </c>
      <c r="AR391" s="9"/>
    </row>
    <row r="392" ht="15.75" customHeight="1">
      <c r="A392" s="7" t="s">
        <v>9072</v>
      </c>
      <c r="B392" s="7" t="s">
        <v>16751</v>
      </c>
      <c r="C392" s="7" t="s">
        <v>34</v>
      </c>
      <c r="D392" s="7" t="s">
        <v>622</v>
      </c>
      <c r="E392" s="7" t="s">
        <v>5053</v>
      </c>
      <c r="F392" s="7">
        <v>15.0</v>
      </c>
      <c r="G392" s="7" t="s">
        <v>422</v>
      </c>
      <c r="H392" s="7"/>
      <c r="I392" s="7"/>
      <c r="J392" s="7">
        <v>288.0</v>
      </c>
      <c r="K392" s="7" t="s">
        <v>13523</v>
      </c>
      <c r="L392" s="7">
        <v>97414.0</v>
      </c>
      <c r="M392" s="7" t="s">
        <v>40</v>
      </c>
      <c r="N392" s="7"/>
      <c r="O392" s="7" t="s">
        <v>9078</v>
      </c>
      <c r="P392" s="42" t="s">
        <v>16752</v>
      </c>
      <c r="Q392" s="43" t="s">
        <v>16753</v>
      </c>
      <c r="R392" s="43" t="s">
        <v>16754</v>
      </c>
      <c r="S392" s="51"/>
      <c r="T392" s="7" t="s">
        <v>9074</v>
      </c>
      <c r="U392" s="7"/>
      <c r="V392" s="7"/>
      <c r="W392" s="7"/>
      <c r="X392" s="7"/>
      <c r="Y392" s="7" t="s">
        <v>974</v>
      </c>
      <c r="Z392" s="7" t="s">
        <v>592</v>
      </c>
      <c r="AA392" s="7"/>
      <c r="AB392" s="7"/>
      <c r="AC392" s="7"/>
      <c r="AD392" s="7"/>
      <c r="AE392" s="6" t="s">
        <v>12355</v>
      </c>
      <c r="AF392" s="45">
        <v>45062.603796296295</v>
      </c>
      <c r="AG392" s="7" t="s">
        <v>16755</v>
      </c>
      <c r="AH392" s="46" t="s">
        <v>16756</v>
      </c>
      <c r="AI392" s="7"/>
      <c r="AJ392" s="7"/>
      <c r="AK392" s="7" t="b">
        <v>0</v>
      </c>
      <c r="AL392" s="7" t="b">
        <v>0</v>
      </c>
      <c r="AM392" s="7"/>
      <c r="AN392" s="6" t="s">
        <v>9072</v>
      </c>
      <c r="AO392" s="7"/>
      <c r="AP392" s="7"/>
      <c r="AQ392" s="6" t="b">
        <v>0</v>
      </c>
      <c r="AR392" s="6" t="s">
        <v>16757</v>
      </c>
      <c r="AS392" s="48" t="s">
        <v>12303</v>
      </c>
    </row>
    <row r="393" ht="15.75" customHeight="1">
      <c r="A393" s="7" t="s">
        <v>3420</v>
      </c>
      <c r="B393" s="7" t="s">
        <v>3421</v>
      </c>
      <c r="C393" s="7" t="s">
        <v>822</v>
      </c>
      <c r="D393" s="7" t="s">
        <v>1805</v>
      </c>
      <c r="E393" s="7" t="s">
        <v>1806</v>
      </c>
      <c r="F393" s="7">
        <v>20.0</v>
      </c>
      <c r="G393" s="7" t="s">
        <v>422</v>
      </c>
      <c r="H393" s="7"/>
      <c r="I393" s="6" t="s">
        <v>4954</v>
      </c>
      <c r="J393" s="7">
        <v>9.0</v>
      </c>
      <c r="K393" s="7" t="s">
        <v>16758</v>
      </c>
      <c r="L393" s="7">
        <v>97414.0</v>
      </c>
      <c r="M393" s="7" t="s">
        <v>40</v>
      </c>
      <c r="N393" s="7"/>
      <c r="O393" s="6" t="s">
        <v>16759</v>
      </c>
      <c r="P393" s="42" t="s">
        <v>1864</v>
      </c>
      <c r="Q393" s="43" t="s">
        <v>16760</v>
      </c>
      <c r="R393" s="50"/>
      <c r="S393" s="51" t="s">
        <v>16761</v>
      </c>
      <c r="T393" s="7" t="s">
        <v>3424</v>
      </c>
      <c r="U393" s="7" t="s">
        <v>3423</v>
      </c>
      <c r="V393" s="7" t="s">
        <v>3425</v>
      </c>
      <c r="W393" s="7"/>
      <c r="X393" s="7" t="s">
        <v>1237</v>
      </c>
      <c r="Y393" s="7" t="s">
        <v>377</v>
      </c>
      <c r="Z393" s="7" t="s">
        <v>592</v>
      </c>
      <c r="AA393" s="7"/>
      <c r="AB393" s="7"/>
      <c r="AC393" s="7">
        <v>4.3826612400017E13</v>
      </c>
      <c r="AD393" s="7">
        <v>4.38266124E8</v>
      </c>
      <c r="AE393" s="6" t="s">
        <v>401</v>
      </c>
      <c r="AF393" s="45">
        <v>45062.57623842593</v>
      </c>
      <c r="AG393" s="7" t="s">
        <v>16762</v>
      </c>
      <c r="AH393" s="46" t="s">
        <v>16763</v>
      </c>
      <c r="AI393" s="7"/>
      <c r="AJ393" s="6" t="s">
        <v>16764</v>
      </c>
      <c r="AK393" s="7" t="b">
        <v>0</v>
      </c>
      <c r="AL393" s="7" t="b">
        <v>0</v>
      </c>
      <c r="AM393" s="7"/>
      <c r="AN393" s="6" t="s">
        <v>3420</v>
      </c>
      <c r="AO393" s="6">
        <v>2720.0</v>
      </c>
      <c r="AP393" s="6"/>
      <c r="AQ393" s="6" t="b">
        <v>1</v>
      </c>
      <c r="AR393" s="6"/>
      <c r="AS393" s="48" t="s">
        <v>12303</v>
      </c>
    </row>
    <row r="394" ht="15.75" customHeight="1">
      <c r="A394" s="7" t="s">
        <v>6605</v>
      </c>
      <c r="B394" s="6" t="s">
        <v>16765</v>
      </c>
      <c r="C394" s="7" t="s">
        <v>58</v>
      </c>
      <c r="D394" s="7" t="s">
        <v>453</v>
      </c>
      <c r="E394" s="7" t="s">
        <v>454</v>
      </c>
      <c r="F394" s="7">
        <v>10.0</v>
      </c>
      <c r="G394" s="7" t="s">
        <v>455</v>
      </c>
      <c r="H394" s="7"/>
      <c r="I394" s="6"/>
      <c r="J394" s="6" t="s">
        <v>14481</v>
      </c>
      <c r="K394" s="6" t="s">
        <v>16766</v>
      </c>
      <c r="L394" s="7">
        <v>97442.0</v>
      </c>
      <c r="M394" s="7" t="s">
        <v>33</v>
      </c>
      <c r="N394" s="6" t="s">
        <v>15096</v>
      </c>
      <c r="O394" s="6" t="s">
        <v>16767</v>
      </c>
      <c r="P394" s="42" t="s">
        <v>6609</v>
      </c>
      <c r="Q394" s="43" t="s">
        <v>16768</v>
      </c>
      <c r="R394" s="43" t="s">
        <v>16769</v>
      </c>
      <c r="S394" s="51"/>
      <c r="T394" s="7" t="s">
        <v>6611</v>
      </c>
      <c r="U394" s="6" t="s">
        <v>16770</v>
      </c>
      <c r="V394" s="7" t="s">
        <v>6612</v>
      </c>
      <c r="W394" s="6" t="s">
        <v>16771</v>
      </c>
      <c r="X394" s="6" t="s">
        <v>16772</v>
      </c>
      <c r="Y394" s="6" t="s">
        <v>16773</v>
      </c>
      <c r="Z394" s="7" t="s">
        <v>353</v>
      </c>
      <c r="AA394" s="7"/>
      <c r="AB394" s="7"/>
      <c r="AC394" s="7">
        <v>4.4804168100017E13</v>
      </c>
      <c r="AD394" s="7">
        <v>4.48041681E8</v>
      </c>
      <c r="AE394" s="6" t="s">
        <v>401</v>
      </c>
      <c r="AF394" s="45">
        <v>45887.49402777778</v>
      </c>
      <c r="AG394" s="7" t="s">
        <v>16774</v>
      </c>
      <c r="AH394" s="46" t="s">
        <v>16775</v>
      </c>
      <c r="AI394" s="7"/>
      <c r="AJ394" s="6" t="s">
        <v>16776</v>
      </c>
      <c r="AK394" s="7" t="b">
        <v>0</v>
      </c>
      <c r="AL394" s="7" t="b">
        <v>0</v>
      </c>
      <c r="AM394" s="6" t="s">
        <v>6618</v>
      </c>
      <c r="AN394" s="6" t="s">
        <v>6605</v>
      </c>
      <c r="AO394" s="6">
        <v>2767.0</v>
      </c>
      <c r="AP394" s="6"/>
      <c r="AQ394" s="6" t="b">
        <v>1</v>
      </c>
      <c r="AR394" s="6"/>
      <c r="AS394" s="48" t="s">
        <v>12303</v>
      </c>
    </row>
    <row r="395" ht="15.75" customHeight="1">
      <c r="A395" s="7" t="s">
        <v>3274</v>
      </c>
      <c r="B395" s="7" t="s">
        <v>16777</v>
      </c>
      <c r="C395" s="7" t="s">
        <v>58</v>
      </c>
      <c r="D395" s="7" t="s">
        <v>453</v>
      </c>
      <c r="E395" s="7" t="s">
        <v>454</v>
      </c>
      <c r="F395" s="7">
        <v>9.0</v>
      </c>
      <c r="G395" s="7" t="s">
        <v>455</v>
      </c>
      <c r="H395" s="7" t="s">
        <v>574</v>
      </c>
      <c r="I395" s="7"/>
      <c r="J395" s="7">
        <v>13.0</v>
      </c>
      <c r="K395" s="7" t="s">
        <v>16778</v>
      </c>
      <c r="L395" s="7">
        <v>97414.0</v>
      </c>
      <c r="M395" s="7" t="s">
        <v>40</v>
      </c>
      <c r="N395" s="7"/>
      <c r="O395" s="6" t="s">
        <v>16779</v>
      </c>
      <c r="P395" s="42" t="s">
        <v>3279</v>
      </c>
      <c r="Q395" s="43" t="s">
        <v>16780</v>
      </c>
      <c r="R395" s="43" t="s">
        <v>16781</v>
      </c>
      <c r="S395" s="47" t="s">
        <v>3277</v>
      </c>
      <c r="T395" s="7"/>
      <c r="U395" s="6" t="s">
        <v>16782</v>
      </c>
      <c r="V395" s="7" t="s">
        <v>3282</v>
      </c>
      <c r="W395" s="6" t="s">
        <v>16783</v>
      </c>
      <c r="X395" s="7"/>
      <c r="Y395" s="7" t="s">
        <v>377</v>
      </c>
      <c r="Z395" s="7" t="s">
        <v>786</v>
      </c>
      <c r="AA395" s="7"/>
      <c r="AB395" s="7"/>
      <c r="AC395" s="7">
        <v>4.5020883000015E13</v>
      </c>
      <c r="AD395" s="7">
        <v>4.5020883E8</v>
      </c>
      <c r="AE395" s="6" t="s">
        <v>401</v>
      </c>
      <c r="AF395" s="45">
        <v>45062.57119212963</v>
      </c>
      <c r="AG395" s="7" t="s">
        <v>16784</v>
      </c>
      <c r="AH395" s="46" t="s">
        <v>16785</v>
      </c>
      <c r="AI395" s="7"/>
      <c r="AJ395" s="6" t="s">
        <v>16786</v>
      </c>
      <c r="AK395" s="7" t="b">
        <v>0</v>
      </c>
      <c r="AL395" s="7" t="b">
        <v>0</v>
      </c>
      <c r="AM395" s="6" t="s">
        <v>3288</v>
      </c>
      <c r="AN395" s="6" t="s">
        <v>3274</v>
      </c>
      <c r="AO395" s="6">
        <v>2686.0</v>
      </c>
      <c r="AP395" s="6"/>
      <c r="AQ395" s="6" t="b">
        <v>1</v>
      </c>
      <c r="AR395" s="6" t="s">
        <v>16787</v>
      </c>
      <c r="AS395" s="48" t="s">
        <v>12303</v>
      </c>
    </row>
    <row r="396" ht="15.75" customHeight="1">
      <c r="A396" s="9" t="s">
        <v>11840</v>
      </c>
      <c r="B396" s="9" t="s">
        <v>16788</v>
      </c>
      <c r="C396" s="9" t="s">
        <v>1198</v>
      </c>
      <c r="D396" s="9" t="s">
        <v>1644</v>
      </c>
      <c r="E396" s="9" t="s">
        <v>1645</v>
      </c>
      <c r="F396" s="9">
        <v>9.0</v>
      </c>
      <c r="G396" s="9" t="s">
        <v>455</v>
      </c>
      <c r="J396" s="52" t="s">
        <v>12331</v>
      </c>
      <c r="K396" s="9" t="s">
        <v>16789</v>
      </c>
      <c r="L396" s="9">
        <v>97480.0</v>
      </c>
      <c r="M396" s="9" t="s">
        <v>123</v>
      </c>
      <c r="N396" s="9" t="s">
        <v>8395</v>
      </c>
      <c r="O396" s="9" t="s">
        <v>16790</v>
      </c>
      <c r="P396" s="53" t="s">
        <v>16791</v>
      </c>
      <c r="Q396" s="49" t="s">
        <v>16792</v>
      </c>
      <c r="R396" s="50"/>
      <c r="S396" s="54"/>
      <c r="T396" s="9" t="s">
        <v>16793</v>
      </c>
      <c r="U396" s="9" t="s">
        <v>16794</v>
      </c>
      <c r="W396" s="9" t="s">
        <v>16795</v>
      </c>
      <c r="Z396" s="9" t="s">
        <v>378</v>
      </c>
      <c r="AE396" s="9" t="s">
        <v>401</v>
      </c>
      <c r="AF396" s="55">
        <v>45510.617210648146</v>
      </c>
      <c r="AG396" s="9" t="s">
        <v>16796</v>
      </c>
      <c r="AH396" s="9" t="s">
        <v>16797</v>
      </c>
      <c r="AJ396" s="9" t="s">
        <v>16798</v>
      </c>
      <c r="AN396" s="9" t="s">
        <v>11840</v>
      </c>
      <c r="AP396" s="56">
        <v>45012.0</v>
      </c>
      <c r="AQ396" s="9" t="b">
        <v>1</v>
      </c>
    </row>
    <row r="397" ht="15.75" customHeight="1">
      <c r="A397" s="7" t="s">
        <v>1722</v>
      </c>
      <c r="B397" s="7" t="s">
        <v>1723</v>
      </c>
      <c r="C397" s="7" t="s">
        <v>58</v>
      </c>
      <c r="D397" s="7" t="s">
        <v>137</v>
      </c>
      <c r="E397" s="7" t="s">
        <v>1091</v>
      </c>
      <c r="F397" s="7">
        <v>16.0</v>
      </c>
      <c r="G397" s="7" t="s">
        <v>1092</v>
      </c>
      <c r="H397" s="7"/>
      <c r="I397" s="7"/>
      <c r="J397" s="6" t="s">
        <v>16799</v>
      </c>
      <c r="K397" s="7" t="s">
        <v>16799</v>
      </c>
      <c r="L397" s="7">
        <v>97418.0</v>
      </c>
      <c r="M397" s="7" t="s">
        <v>71</v>
      </c>
      <c r="N397" s="6" t="s">
        <v>12685</v>
      </c>
      <c r="O397" s="7" t="s">
        <v>1731</v>
      </c>
      <c r="P397" s="42" t="s">
        <v>1726</v>
      </c>
      <c r="Q397" s="49" t="s">
        <v>16800</v>
      </c>
      <c r="R397" s="50"/>
      <c r="S397" s="44" t="s">
        <v>16801</v>
      </c>
      <c r="T397" s="7" t="s">
        <v>1728</v>
      </c>
      <c r="U397" s="7" t="s">
        <v>1727</v>
      </c>
      <c r="V397" s="6" t="s">
        <v>12685</v>
      </c>
      <c r="W397" s="6" t="s">
        <v>16802</v>
      </c>
      <c r="X397" s="7" t="s">
        <v>1725</v>
      </c>
      <c r="Y397" s="7" t="s">
        <v>377</v>
      </c>
      <c r="Z397" s="6" t="s">
        <v>353</v>
      </c>
      <c r="AA397" s="7"/>
      <c r="AB397" s="7"/>
      <c r="AC397" s="6">
        <v>8.0379344700019E13</v>
      </c>
      <c r="AD397" s="6">
        <v>8.03793447E8</v>
      </c>
      <c r="AE397" s="6" t="s">
        <v>401</v>
      </c>
      <c r="AF397" s="45">
        <v>45995.35449074074</v>
      </c>
      <c r="AG397" s="7" t="s">
        <v>16803</v>
      </c>
      <c r="AH397" s="46" t="s">
        <v>16804</v>
      </c>
      <c r="AI397" s="7"/>
      <c r="AJ397" s="6" t="s">
        <v>16805</v>
      </c>
      <c r="AK397" s="7" t="b">
        <v>0</v>
      </c>
      <c r="AL397" s="7" t="b">
        <v>0</v>
      </c>
      <c r="AM397" s="6" t="s">
        <v>1732</v>
      </c>
      <c r="AN397" s="6" t="s">
        <v>1722</v>
      </c>
      <c r="AO397" s="6">
        <v>3877.0</v>
      </c>
      <c r="AP397" s="6"/>
      <c r="AQ397" s="6" t="b">
        <v>0</v>
      </c>
      <c r="AR397" s="6"/>
      <c r="AS397" s="48" t="s">
        <v>12303</v>
      </c>
    </row>
    <row r="398" ht="15.75" customHeight="1">
      <c r="A398" s="9" t="s">
        <v>10529</v>
      </c>
      <c r="B398" s="9" t="s">
        <v>16806</v>
      </c>
      <c r="C398" s="9" t="s">
        <v>58</v>
      </c>
      <c r="D398" s="9" t="s">
        <v>59</v>
      </c>
      <c r="E398" s="9" t="s">
        <v>346</v>
      </c>
      <c r="F398" s="9">
        <v>5.0</v>
      </c>
      <c r="G398" s="9" t="s">
        <v>455</v>
      </c>
      <c r="J398" s="9" t="s">
        <v>16807</v>
      </c>
      <c r="K398" s="9" t="s">
        <v>15109</v>
      </c>
      <c r="L398" s="9">
        <v>97418.0</v>
      </c>
      <c r="M398" s="9" t="s">
        <v>71</v>
      </c>
      <c r="N398" s="9" t="s">
        <v>216</v>
      </c>
      <c r="O398" s="9" t="s">
        <v>16808</v>
      </c>
      <c r="P398" s="53" t="s">
        <v>16809</v>
      </c>
      <c r="Q398" s="49" t="s">
        <v>16810</v>
      </c>
      <c r="R398" s="50"/>
      <c r="S398" s="54"/>
      <c r="T398" s="9" t="s">
        <v>16811</v>
      </c>
      <c r="U398" s="9" t="s">
        <v>16812</v>
      </c>
      <c r="W398" s="9" t="s">
        <v>16813</v>
      </c>
      <c r="X398" s="9" t="s">
        <v>16814</v>
      </c>
      <c r="Y398" s="9" t="s">
        <v>16815</v>
      </c>
      <c r="Z398" s="9" t="s">
        <v>353</v>
      </c>
      <c r="AC398" s="9">
        <v>9.2282911400011E13</v>
      </c>
      <c r="AD398" s="9">
        <v>9.22829114E8</v>
      </c>
      <c r="AE398" s="9" t="s">
        <v>401</v>
      </c>
      <c r="AF398" s="55">
        <v>45055.62935185185</v>
      </c>
      <c r="AG398" s="9" t="s">
        <v>16816</v>
      </c>
      <c r="AH398" s="9" t="s">
        <v>16817</v>
      </c>
      <c r="AJ398" s="9" t="s">
        <v>16818</v>
      </c>
      <c r="AK398" s="9" t="b">
        <v>0</v>
      </c>
      <c r="AL398" s="9" t="b">
        <v>0</v>
      </c>
      <c r="AM398" s="9" t="s">
        <v>16819</v>
      </c>
      <c r="AN398" s="9" t="s">
        <v>10529</v>
      </c>
      <c r="AP398" s="56">
        <v>44987.0</v>
      </c>
      <c r="AQ398" s="9" t="b">
        <v>0</v>
      </c>
    </row>
    <row r="399" ht="15.75" customHeight="1">
      <c r="A399" s="9" t="s">
        <v>11987</v>
      </c>
      <c r="B399" s="9" t="s">
        <v>16820</v>
      </c>
      <c r="C399" s="9" t="s">
        <v>58</v>
      </c>
      <c r="D399" s="9" t="s">
        <v>59</v>
      </c>
      <c r="E399" s="9" t="s">
        <v>545</v>
      </c>
      <c r="F399" s="9">
        <v>2.0</v>
      </c>
      <c r="G399" s="9" t="s">
        <v>455</v>
      </c>
      <c r="J399" s="52" t="s">
        <v>16018</v>
      </c>
      <c r="K399" s="9" t="s">
        <v>16821</v>
      </c>
      <c r="L399" s="9">
        <v>97480.0</v>
      </c>
      <c r="M399" s="9" t="s">
        <v>123</v>
      </c>
      <c r="N399" s="9" t="s">
        <v>9209</v>
      </c>
      <c r="O399" s="9" t="s">
        <v>16822</v>
      </c>
      <c r="P399" s="53" t="s">
        <v>16823</v>
      </c>
      <c r="Q399" s="49" t="s">
        <v>16824</v>
      </c>
      <c r="R399" s="50"/>
      <c r="S399" s="58" t="s">
        <v>16825</v>
      </c>
      <c r="T399" s="9" t="s">
        <v>16826</v>
      </c>
      <c r="U399" s="9" t="s">
        <v>16827</v>
      </c>
      <c r="V399" s="9" t="s">
        <v>16828</v>
      </c>
      <c r="W399" s="9" t="s">
        <v>16829</v>
      </c>
      <c r="X399" s="9" t="s">
        <v>16830</v>
      </c>
      <c r="Y399" s="9" t="s">
        <v>16831</v>
      </c>
      <c r="Z399" s="9" t="s">
        <v>592</v>
      </c>
      <c r="AC399" s="9">
        <v>9.1419569800016E13</v>
      </c>
      <c r="AD399" s="9">
        <v>9.14195698E8</v>
      </c>
      <c r="AE399" s="9" t="s">
        <v>401</v>
      </c>
      <c r="AF399" s="60">
        <v>45055.627534722225</v>
      </c>
      <c r="AG399" s="9" t="s">
        <v>16832</v>
      </c>
      <c r="AH399" s="9" t="s">
        <v>16833</v>
      </c>
      <c r="AJ399" s="9" t="s">
        <v>16834</v>
      </c>
      <c r="AK399" s="9" t="b">
        <v>0</v>
      </c>
      <c r="AL399" s="9" t="b">
        <v>0</v>
      </c>
      <c r="AM399" s="9" t="s">
        <v>16835</v>
      </c>
      <c r="AN399" s="9" t="s">
        <v>11987</v>
      </c>
      <c r="AP399" s="61">
        <v>44907.0</v>
      </c>
      <c r="AQ399" s="9" t="b">
        <v>0</v>
      </c>
      <c r="AR399" s="9" t="s">
        <v>15655</v>
      </c>
    </row>
    <row r="400" ht="15.75" customHeight="1">
      <c r="A400" s="9" t="s">
        <v>10531</v>
      </c>
      <c r="B400" s="9" t="s">
        <v>16836</v>
      </c>
      <c r="C400" s="9" t="s">
        <v>58</v>
      </c>
      <c r="D400" s="9" t="s">
        <v>453</v>
      </c>
      <c r="E400" s="9" t="s">
        <v>454</v>
      </c>
      <c r="F400" s="9">
        <v>10.0</v>
      </c>
      <c r="G400" s="9" t="s">
        <v>455</v>
      </c>
      <c r="J400" s="52" t="s">
        <v>13859</v>
      </c>
      <c r="K400" s="9" t="s">
        <v>16837</v>
      </c>
      <c r="L400" s="9">
        <v>97418.0</v>
      </c>
      <c r="M400" s="9" t="s">
        <v>71</v>
      </c>
      <c r="N400" s="9" t="s">
        <v>216</v>
      </c>
      <c r="O400" s="9" t="s">
        <v>16838</v>
      </c>
      <c r="P400" s="53" t="s">
        <v>16839</v>
      </c>
      <c r="Q400" s="49" t="s">
        <v>16840</v>
      </c>
      <c r="R400" s="50"/>
      <c r="S400" s="54"/>
      <c r="T400" s="9" t="s">
        <v>16841</v>
      </c>
      <c r="U400" s="9" t="s">
        <v>16842</v>
      </c>
      <c r="V400" s="9" t="s">
        <v>16843</v>
      </c>
      <c r="W400" s="9" t="s">
        <v>16844</v>
      </c>
      <c r="X400" s="9" t="s">
        <v>16845</v>
      </c>
      <c r="Y400" s="9" t="s">
        <v>16846</v>
      </c>
      <c r="Z400" s="9" t="s">
        <v>424</v>
      </c>
      <c r="AC400" s="9">
        <v>8.2890039900027E13</v>
      </c>
      <c r="AD400" s="9">
        <v>8.28900399E8</v>
      </c>
      <c r="AE400" s="9" t="s">
        <v>401</v>
      </c>
      <c r="AF400" s="55">
        <v>45600.57707175926</v>
      </c>
      <c r="AG400" s="9" t="s">
        <v>16847</v>
      </c>
      <c r="AH400" s="9" t="s">
        <v>16848</v>
      </c>
      <c r="AJ400" s="9" t="s">
        <v>16849</v>
      </c>
      <c r="AK400" s="9" t="b">
        <v>0</v>
      </c>
      <c r="AL400" s="9" t="b">
        <v>1</v>
      </c>
      <c r="AM400" s="9" t="s">
        <v>16850</v>
      </c>
      <c r="AN400" s="9" t="s">
        <v>10531</v>
      </c>
      <c r="AP400" s="56">
        <v>44873.0</v>
      </c>
      <c r="AQ400" s="9" t="b">
        <v>0</v>
      </c>
      <c r="AR400" s="9" t="s">
        <v>16851</v>
      </c>
    </row>
    <row r="401" ht="15.75" customHeight="1">
      <c r="A401" s="7" t="s">
        <v>5823</v>
      </c>
      <c r="B401" s="7" t="s">
        <v>16852</v>
      </c>
      <c r="C401" s="7" t="s">
        <v>58</v>
      </c>
      <c r="D401" s="7" t="s">
        <v>453</v>
      </c>
      <c r="E401" s="7" t="s">
        <v>454</v>
      </c>
      <c r="F401" s="7">
        <v>4.0</v>
      </c>
      <c r="G401" s="7" t="s">
        <v>5828</v>
      </c>
      <c r="H401" s="7"/>
      <c r="I401" s="7"/>
      <c r="J401" s="41" t="s">
        <v>14338</v>
      </c>
      <c r="K401" s="7" t="s">
        <v>16853</v>
      </c>
      <c r="L401" s="7">
        <v>97418.0</v>
      </c>
      <c r="M401" s="7" t="s">
        <v>71</v>
      </c>
      <c r="N401" s="6" t="s">
        <v>12685</v>
      </c>
      <c r="O401" s="7" t="s">
        <v>5837</v>
      </c>
      <c r="P401" s="42" t="s">
        <v>5831</v>
      </c>
      <c r="Q401" s="49" t="s">
        <v>16854</v>
      </c>
      <c r="R401" s="50"/>
      <c r="S401" s="47" t="s">
        <v>5827</v>
      </c>
      <c r="T401" s="7" t="s">
        <v>5833</v>
      </c>
      <c r="U401" s="6" t="s">
        <v>16855</v>
      </c>
      <c r="V401" s="7" t="s">
        <v>5834</v>
      </c>
      <c r="W401" s="6" t="s">
        <v>16856</v>
      </c>
      <c r="X401" s="7" t="s">
        <v>5830</v>
      </c>
      <c r="Y401" s="7" t="s">
        <v>1076</v>
      </c>
      <c r="Z401" s="7" t="s">
        <v>378</v>
      </c>
      <c r="AA401" s="7"/>
      <c r="AB401" s="7"/>
      <c r="AC401" s="7">
        <v>5.1293470400028E13</v>
      </c>
      <c r="AD401" s="7">
        <v>5.12934704E8</v>
      </c>
      <c r="AE401" s="6" t="s">
        <v>401</v>
      </c>
      <c r="AF401" s="45">
        <v>45392.31961805555</v>
      </c>
      <c r="AG401" s="7" t="s">
        <v>16857</v>
      </c>
      <c r="AH401" s="46" t="s">
        <v>16858</v>
      </c>
      <c r="AI401" s="7"/>
      <c r="AJ401" s="6" t="s">
        <v>16859</v>
      </c>
      <c r="AK401" s="7" t="b">
        <v>0</v>
      </c>
      <c r="AL401" s="7" t="b">
        <v>0</v>
      </c>
      <c r="AM401" s="6" t="s">
        <v>5838</v>
      </c>
      <c r="AN401" s="6" t="s">
        <v>5823</v>
      </c>
      <c r="AO401" s="6">
        <v>3236.0</v>
      </c>
      <c r="AP401" s="6"/>
      <c r="AQ401" s="6" t="b">
        <v>1</v>
      </c>
      <c r="AR401" s="6" t="s">
        <v>16860</v>
      </c>
      <c r="AS401" s="48" t="s">
        <v>12303</v>
      </c>
    </row>
    <row r="402" ht="15.75" customHeight="1">
      <c r="A402" s="9" t="s">
        <v>12080</v>
      </c>
      <c r="B402" s="9" t="s">
        <v>16861</v>
      </c>
      <c r="C402" s="9" t="s">
        <v>1198</v>
      </c>
      <c r="D402" s="9" t="s">
        <v>1644</v>
      </c>
      <c r="E402" s="9" t="s">
        <v>9717</v>
      </c>
      <c r="F402" s="9">
        <v>4.0</v>
      </c>
      <c r="J402" s="9" t="s">
        <v>16862</v>
      </c>
      <c r="K402" s="9" t="s">
        <v>16863</v>
      </c>
      <c r="L402" s="9">
        <v>97480.0</v>
      </c>
      <c r="M402" s="9" t="s">
        <v>123</v>
      </c>
      <c r="O402" s="9" t="s">
        <v>16864</v>
      </c>
      <c r="P402" s="53" t="s">
        <v>16865</v>
      </c>
      <c r="Q402" s="49" t="s">
        <v>16866</v>
      </c>
      <c r="R402" s="50"/>
      <c r="S402" s="54"/>
      <c r="T402" s="9" t="s">
        <v>16867</v>
      </c>
      <c r="U402" s="9" t="s">
        <v>16868</v>
      </c>
      <c r="W402" s="9" t="s">
        <v>1999</v>
      </c>
      <c r="Y402" s="9" t="s">
        <v>8231</v>
      </c>
      <c r="Z402" s="9" t="s">
        <v>353</v>
      </c>
      <c r="AC402" s="9">
        <v>9.1999733800018E13</v>
      </c>
      <c r="AD402" s="9">
        <v>9.19997338E8</v>
      </c>
      <c r="AE402" s="9" t="s">
        <v>401</v>
      </c>
      <c r="AF402" s="60">
        <v>46059.48349537037</v>
      </c>
      <c r="AG402" s="9" t="s">
        <v>16869</v>
      </c>
      <c r="AH402" s="9" t="s">
        <v>16870</v>
      </c>
      <c r="AJ402" s="9" t="s">
        <v>16871</v>
      </c>
      <c r="AK402" s="9" t="b">
        <v>0</v>
      </c>
      <c r="AL402" s="9" t="b">
        <v>1</v>
      </c>
      <c r="AN402" s="9" t="s">
        <v>12080</v>
      </c>
      <c r="AP402" s="61">
        <v>44917.0</v>
      </c>
      <c r="AQ402" s="9" t="b">
        <v>1</v>
      </c>
      <c r="AR402" s="9" t="s">
        <v>16872</v>
      </c>
    </row>
    <row r="403" ht="15.75" customHeight="1">
      <c r="A403" s="9" t="s">
        <v>10533</v>
      </c>
      <c r="B403" s="9" t="s">
        <v>16873</v>
      </c>
      <c r="C403" s="9" t="s">
        <v>58</v>
      </c>
      <c r="D403" s="9" t="s">
        <v>453</v>
      </c>
      <c r="E403" s="9" t="s">
        <v>454</v>
      </c>
      <c r="F403" s="9">
        <v>8.0</v>
      </c>
      <c r="G403" s="9" t="s">
        <v>455</v>
      </c>
      <c r="J403" s="52" t="s">
        <v>12385</v>
      </c>
      <c r="K403" s="9" t="s">
        <v>13995</v>
      </c>
      <c r="L403" s="9">
        <v>97430.0</v>
      </c>
      <c r="M403" s="9" t="s">
        <v>71</v>
      </c>
      <c r="N403" s="9" t="s">
        <v>3501</v>
      </c>
      <c r="O403" s="9" t="s">
        <v>16874</v>
      </c>
      <c r="P403" s="53" t="s">
        <v>16875</v>
      </c>
      <c r="Q403" s="49" t="s">
        <v>16876</v>
      </c>
      <c r="R403" s="50"/>
      <c r="S403" s="58" t="s">
        <v>16877</v>
      </c>
      <c r="T403" s="9" t="s">
        <v>16878</v>
      </c>
      <c r="U403" s="9" t="s">
        <v>16879</v>
      </c>
      <c r="W403" s="9" t="s">
        <v>16880</v>
      </c>
      <c r="X403" s="9" t="s">
        <v>16881</v>
      </c>
      <c r="Y403" s="9" t="s">
        <v>16882</v>
      </c>
      <c r="Z403" s="9" t="s">
        <v>592</v>
      </c>
      <c r="AC403" s="9">
        <v>9.0389230500025E13</v>
      </c>
      <c r="AD403" s="9">
        <v>9.03892305E8</v>
      </c>
      <c r="AE403" s="9" t="s">
        <v>401</v>
      </c>
      <c r="AF403" s="60">
        <v>45055.55972222222</v>
      </c>
      <c r="AG403" s="52" t="s">
        <v>16883</v>
      </c>
      <c r="AH403" s="9" t="s">
        <v>16884</v>
      </c>
      <c r="AJ403" s="9" t="s">
        <v>16885</v>
      </c>
      <c r="AK403" s="9" t="b">
        <v>0</v>
      </c>
      <c r="AL403" s="9" t="b">
        <v>0</v>
      </c>
      <c r="AM403" s="9" t="s">
        <v>16886</v>
      </c>
      <c r="AN403" s="9" t="s">
        <v>10533</v>
      </c>
      <c r="AP403" s="61">
        <v>44862.0</v>
      </c>
      <c r="AQ403" s="9" t="b">
        <v>0</v>
      </c>
    </row>
    <row r="404" ht="15.75" customHeight="1">
      <c r="A404" s="9" t="s">
        <v>10535</v>
      </c>
      <c r="B404" s="9" t="s">
        <v>16887</v>
      </c>
      <c r="C404" s="9" t="s">
        <v>58</v>
      </c>
      <c r="D404" s="9" t="s">
        <v>59</v>
      </c>
      <c r="E404" s="9" t="s">
        <v>346</v>
      </c>
      <c r="F404" s="9">
        <v>8.0</v>
      </c>
      <c r="G404" s="9" t="s">
        <v>375</v>
      </c>
      <c r="J404" s="9" t="s">
        <v>16888</v>
      </c>
      <c r="K404" s="9" t="s">
        <v>15318</v>
      </c>
      <c r="L404" s="9">
        <v>97480.0</v>
      </c>
      <c r="M404" s="9" t="s">
        <v>123</v>
      </c>
      <c r="N404" s="9" t="s">
        <v>206</v>
      </c>
      <c r="O404" s="9" t="s">
        <v>16889</v>
      </c>
      <c r="P404" s="53" t="s">
        <v>15320</v>
      </c>
      <c r="Q404" s="49" t="s">
        <v>16890</v>
      </c>
      <c r="R404" s="50"/>
      <c r="S404" s="58" t="s">
        <v>15322</v>
      </c>
      <c r="T404" s="9" t="s">
        <v>16891</v>
      </c>
      <c r="U404" s="9" t="s">
        <v>16892</v>
      </c>
      <c r="W404" s="9" t="s">
        <v>16893</v>
      </c>
      <c r="X404" s="9" t="s">
        <v>16894</v>
      </c>
      <c r="Y404" s="9" t="s">
        <v>14800</v>
      </c>
      <c r="Z404" s="9" t="s">
        <v>1508</v>
      </c>
      <c r="AC404" s="9">
        <v>5.3768336900038E13</v>
      </c>
      <c r="AD404" s="9">
        <v>5.37683369E8</v>
      </c>
      <c r="AE404" s="9" t="s">
        <v>401</v>
      </c>
      <c r="AF404" s="55">
        <v>45434.47503472222</v>
      </c>
      <c r="AG404" s="9" t="s">
        <v>15327</v>
      </c>
      <c r="AH404" s="9" t="s">
        <v>16895</v>
      </c>
      <c r="AJ404" s="9" t="s">
        <v>16896</v>
      </c>
      <c r="AK404" s="9" t="b">
        <v>0</v>
      </c>
      <c r="AL404" s="9" t="b">
        <v>0</v>
      </c>
      <c r="AM404" s="9" t="s">
        <v>16897</v>
      </c>
      <c r="AN404" s="9" t="s">
        <v>10535</v>
      </c>
      <c r="AP404" s="56">
        <v>44785.0</v>
      </c>
      <c r="AQ404" s="9" t="b">
        <v>0</v>
      </c>
    </row>
    <row r="405" ht="15.75" customHeight="1">
      <c r="A405" s="9" t="s">
        <v>10719</v>
      </c>
      <c r="B405" s="9" t="s">
        <v>16898</v>
      </c>
      <c r="C405" s="9" t="s">
        <v>58</v>
      </c>
      <c r="D405" s="9" t="s">
        <v>59</v>
      </c>
      <c r="E405" s="9" t="s">
        <v>346</v>
      </c>
      <c r="F405" s="9">
        <v>4.0</v>
      </c>
      <c r="J405" s="9" t="s">
        <v>16899</v>
      </c>
      <c r="K405" s="9" t="s">
        <v>16900</v>
      </c>
      <c r="L405" s="9">
        <v>97414.0</v>
      </c>
      <c r="M405" s="9" t="s">
        <v>40</v>
      </c>
      <c r="O405" s="9" t="s">
        <v>16901</v>
      </c>
      <c r="P405" s="53" t="s">
        <v>16902</v>
      </c>
      <c r="Q405" s="49" t="s">
        <v>16903</v>
      </c>
      <c r="R405" s="50"/>
      <c r="S405" s="54"/>
      <c r="T405" s="9" t="s">
        <v>16904</v>
      </c>
      <c r="U405" s="9" t="s">
        <v>16905</v>
      </c>
      <c r="V405" s="9" t="s">
        <v>16906</v>
      </c>
      <c r="W405" s="9" t="s">
        <v>16907</v>
      </c>
      <c r="X405" s="9" t="s">
        <v>16908</v>
      </c>
      <c r="Y405" s="9" t="s">
        <v>377</v>
      </c>
      <c r="Z405" s="9" t="s">
        <v>592</v>
      </c>
      <c r="AC405" s="9">
        <v>9.1365628600014E13</v>
      </c>
      <c r="AD405" s="9">
        <v>9.13656286E8</v>
      </c>
      <c r="AE405" s="9" t="s">
        <v>12355</v>
      </c>
      <c r="AF405" s="55">
        <v>45750.49793981481</v>
      </c>
      <c r="AG405" s="9" t="s">
        <v>16909</v>
      </c>
      <c r="AH405" s="9" t="s">
        <v>16910</v>
      </c>
      <c r="AJ405" s="9" t="s">
        <v>16911</v>
      </c>
      <c r="AK405" s="9" t="b">
        <v>0</v>
      </c>
      <c r="AL405" s="9" t="b">
        <v>0</v>
      </c>
      <c r="AM405" s="9" t="s">
        <v>16912</v>
      </c>
      <c r="AN405" s="9" t="s">
        <v>10719</v>
      </c>
      <c r="AP405" s="56">
        <v>44711.0</v>
      </c>
      <c r="AQ405" s="9" t="b">
        <v>0</v>
      </c>
    </row>
    <row r="406" ht="15.75" customHeight="1">
      <c r="A406" s="7" t="s">
        <v>251</v>
      </c>
      <c r="B406" s="7" t="s">
        <v>3473</v>
      </c>
      <c r="C406" s="7" t="s">
        <v>822</v>
      </c>
      <c r="D406" s="7" t="s">
        <v>1805</v>
      </c>
      <c r="E406" s="7" t="s">
        <v>1806</v>
      </c>
      <c r="F406" s="7">
        <v>40.0</v>
      </c>
      <c r="G406" s="7" t="s">
        <v>407</v>
      </c>
      <c r="H406" s="7"/>
      <c r="I406" s="7"/>
      <c r="J406" s="41" t="s">
        <v>13933</v>
      </c>
      <c r="K406" s="6" t="s">
        <v>16913</v>
      </c>
      <c r="L406" s="7">
        <v>97414.0</v>
      </c>
      <c r="M406" s="7" t="s">
        <v>40</v>
      </c>
      <c r="N406" s="6" t="s">
        <v>40</v>
      </c>
      <c r="O406" s="6" t="s">
        <v>16914</v>
      </c>
      <c r="P406" s="42" t="s">
        <v>3475</v>
      </c>
      <c r="Q406" s="43" t="s">
        <v>16915</v>
      </c>
      <c r="R406" s="43" t="s">
        <v>16916</v>
      </c>
      <c r="S406" s="51"/>
      <c r="T406" s="6" t="s">
        <v>16917</v>
      </c>
      <c r="U406" s="6" t="s">
        <v>16918</v>
      </c>
      <c r="V406" s="7"/>
      <c r="W406" s="7"/>
      <c r="X406" s="7"/>
      <c r="Y406" s="6" t="s">
        <v>499</v>
      </c>
      <c r="Z406" s="7" t="s">
        <v>353</v>
      </c>
      <c r="AA406" s="7"/>
      <c r="AB406" s="7"/>
      <c r="AC406" s="7">
        <v>4.1154900900032E13</v>
      </c>
      <c r="AD406" s="7">
        <v>4.11549009E8</v>
      </c>
      <c r="AE406" s="6" t="s">
        <v>401</v>
      </c>
      <c r="AF406" s="45">
        <v>45505.58028935185</v>
      </c>
      <c r="AG406" s="7" t="s">
        <v>16919</v>
      </c>
      <c r="AH406" s="46" t="s">
        <v>16920</v>
      </c>
      <c r="AI406" s="7"/>
      <c r="AJ406" s="6" t="s">
        <v>16921</v>
      </c>
      <c r="AK406" s="7" t="b">
        <v>0</v>
      </c>
      <c r="AL406" s="7" t="b">
        <v>0</v>
      </c>
      <c r="AM406" s="7"/>
      <c r="AN406" s="6" t="s">
        <v>251</v>
      </c>
      <c r="AO406" s="6">
        <v>2514.0</v>
      </c>
      <c r="AP406" s="6"/>
      <c r="AQ406" s="6" t="b">
        <v>1</v>
      </c>
      <c r="AR406" s="6" t="s">
        <v>16922</v>
      </c>
      <c r="AS406" s="48" t="s">
        <v>12303</v>
      </c>
    </row>
    <row r="407" ht="15.75" customHeight="1">
      <c r="A407" s="7" t="s">
        <v>5461</v>
      </c>
      <c r="B407" s="7" t="s">
        <v>5462</v>
      </c>
      <c r="C407" s="7" t="s">
        <v>822</v>
      </c>
      <c r="D407" s="7" t="s">
        <v>1805</v>
      </c>
      <c r="E407" s="7" t="s">
        <v>1806</v>
      </c>
      <c r="F407" s="7"/>
      <c r="G407" s="7" t="s">
        <v>455</v>
      </c>
      <c r="H407" s="7"/>
      <c r="I407" s="7"/>
      <c r="J407" s="7">
        <v>14.0</v>
      </c>
      <c r="K407" s="7" t="s">
        <v>16923</v>
      </c>
      <c r="L407" s="7">
        <v>97480.0</v>
      </c>
      <c r="M407" s="7" t="s">
        <v>123</v>
      </c>
      <c r="N407" s="6" t="s">
        <v>8395</v>
      </c>
      <c r="O407" s="6" t="s">
        <v>16924</v>
      </c>
      <c r="P407" s="42" t="s">
        <v>5464</v>
      </c>
      <c r="Q407" s="49" t="s">
        <v>16925</v>
      </c>
      <c r="R407" s="43" t="s">
        <v>16926</v>
      </c>
      <c r="S407" s="44" t="s">
        <v>16927</v>
      </c>
      <c r="T407" s="6" t="s">
        <v>16928</v>
      </c>
      <c r="U407" s="6" t="s">
        <v>16929</v>
      </c>
      <c r="V407" s="6" t="s">
        <v>16930</v>
      </c>
      <c r="W407" s="6" t="s">
        <v>16931</v>
      </c>
      <c r="X407" s="7" t="s">
        <v>1052</v>
      </c>
      <c r="Y407" s="7" t="s">
        <v>377</v>
      </c>
      <c r="Z407" s="7" t="s">
        <v>353</v>
      </c>
      <c r="AA407" s="7"/>
      <c r="AB407" s="7"/>
      <c r="AC407" s="6">
        <v>8.9159957300013E13</v>
      </c>
      <c r="AD407" s="6">
        <v>8.91599573E8</v>
      </c>
      <c r="AE407" s="6" t="s">
        <v>401</v>
      </c>
      <c r="AF407" s="45">
        <v>45635.373611111114</v>
      </c>
      <c r="AG407" s="7" t="s">
        <v>16932</v>
      </c>
      <c r="AH407" s="46" t="s">
        <v>16933</v>
      </c>
      <c r="AI407" s="7"/>
      <c r="AJ407" s="6" t="s">
        <v>16934</v>
      </c>
      <c r="AK407" s="7" t="b">
        <v>0</v>
      </c>
      <c r="AL407" s="7" t="b">
        <v>0</v>
      </c>
      <c r="AM407" s="7"/>
      <c r="AN407" s="6" t="s">
        <v>5461</v>
      </c>
      <c r="AO407" s="6">
        <v>1721.0</v>
      </c>
      <c r="AP407" s="6"/>
      <c r="AQ407" s="6" t="b">
        <v>1</v>
      </c>
      <c r="AR407" s="6"/>
      <c r="AS407" s="6" t="s">
        <v>12303</v>
      </c>
    </row>
    <row r="408" ht="20.25" customHeight="1">
      <c r="A408" s="7" t="s">
        <v>10058</v>
      </c>
      <c r="B408" s="7" t="s">
        <v>10059</v>
      </c>
      <c r="C408" s="7" t="s">
        <v>58</v>
      </c>
      <c r="D408" s="7" t="s">
        <v>59</v>
      </c>
      <c r="E408" s="7" t="s">
        <v>346</v>
      </c>
      <c r="F408" s="7">
        <v>4.0</v>
      </c>
      <c r="G408" s="7"/>
      <c r="H408" s="7"/>
      <c r="I408" s="7"/>
      <c r="J408" s="7">
        <v>35.0</v>
      </c>
      <c r="K408" s="7" t="s">
        <v>14125</v>
      </c>
      <c r="L408" s="7">
        <v>97430.0</v>
      </c>
      <c r="M408" s="7" t="s">
        <v>71</v>
      </c>
      <c r="N408" s="7"/>
      <c r="O408" s="7" t="s">
        <v>10065</v>
      </c>
      <c r="P408" s="42" t="s">
        <v>10061</v>
      </c>
      <c r="Q408" s="43" t="s">
        <v>16935</v>
      </c>
      <c r="R408" s="50" t="s">
        <v>12350</v>
      </c>
      <c r="S408" s="51"/>
      <c r="T408" s="7"/>
      <c r="U408" s="7"/>
      <c r="V408" s="7"/>
      <c r="W408" s="7"/>
      <c r="X408" s="7"/>
      <c r="Y408" s="7"/>
      <c r="Z408" s="7" t="s">
        <v>378</v>
      </c>
      <c r="AA408" s="7"/>
      <c r="AB408" s="7"/>
      <c r="AC408" s="7"/>
      <c r="AD408" s="7"/>
      <c r="AE408" s="6" t="s">
        <v>12355</v>
      </c>
      <c r="AF408" s="45">
        <v>45051.397731481484</v>
      </c>
      <c r="AG408" s="7" t="s">
        <v>16936</v>
      </c>
      <c r="AH408" s="46" t="s">
        <v>16937</v>
      </c>
      <c r="AI408" s="7"/>
      <c r="AJ408" s="7"/>
      <c r="AK408" s="7" t="b">
        <v>0</v>
      </c>
      <c r="AL408" s="7" t="b">
        <v>0</v>
      </c>
      <c r="AM408" s="6" t="s">
        <v>10066</v>
      </c>
      <c r="AN408" s="6" t="s">
        <v>10058</v>
      </c>
      <c r="AO408" s="7"/>
      <c r="AP408" s="7"/>
      <c r="AQ408" s="6" t="b">
        <v>0</v>
      </c>
      <c r="AR408" s="6"/>
      <c r="AS408" s="6"/>
    </row>
    <row r="409" ht="15.75" customHeight="1">
      <c r="A409" s="9" t="s">
        <v>268</v>
      </c>
      <c r="B409" s="9" t="s">
        <v>15931</v>
      </c>
      <c r="C409" s="9" t="s">
        <v>58</v>
      </c>
      <c r="D409" s="9" t="s">
        <v>59</v>
      </c>
      <c r="E409" s="9" t="s">
        <v>346</v>
      </c>
      <c r="F409" s="9">
        <v>12.0</v>
      </c>
      <c r="G409" s="9" t="s">
        <v>9780</v>
      </c>
      <c r="J409" s="52" t="s">
        <v>13933</v>
      </c>
      <c r="K409" s="9" t="s">
        <v>15932</v>
      </c>
      <c r="L409" s="9">
        <v>97414.0</v>
      </c>
      <c r="M409" s="9" t="s">
        <v>40</v>
      </c>
      <c r="N409" s="9" t="s">
        <v>8701</v>
      </c>
      <c r="O409" s="9" t="s">
        <v>16938</v>
      </c>
      <c r="P409" s="53" t="s">
        <v>15934</v>
      </c>
      <c r="Q409" s="49" t="s">
        <v>16939</v>
      </c>
      <c r="R409" s="50"/>
      <c r="S409" s="54"/>
      <c r="T409" s="9" t="s">
        <v>16940</v>
      </c>
      <c r="U409" s="9" t="s">
        <v>16941</v>
      </c>
      <c r="W409" s="9" t="s">
        <v>16942</v>
      </c>
      <c r="X409" s="9" t="s">
        <v>16943</v>
      </c>
      <c r="Y409" s="9" t="s">
        <v>377</v>
      </c>
      <c r="Z409" s="9" t="s">
        <v>353</v>
      </c>
      <c r="AC409" s="9"/>
      <c r="AD409" s="9"/>
      <c r="AE409" s="9" t="s">
        <v>401</v>
      </c>
      <c r="AF409" s="55">
        <v>45049.38752314815</v>
      </c>
      <c r="AG409" s="9" t="s">
        <v>15940</v>
      </c>
      <c r="AH409" s="9" t="s">
        <v>16944</v>
      </c>
      <c r="AJ409" s="9" t="s">
        <v>16945</v>
      </c>
      <c r="AM409" s="9" t="s">
        <v>16946</v>
      </c>
      <c r="AN409" s="9" t="s">
        <v>268</v>
      </c>
      <c r="AP409" s="56">
        <v>44806.0</v>
      </c>
      <c r="AQ409" s="9" t="b">
        <v>0</v>
      </c>
      <c r="AR409" s="9" t="s">
        <v>16947</v>
      </c>
    </row>
    <row r="410" ht="15.75" customHeight="1">
      <c r="A410" s="9" t="s">
        <v>11971</v>
      </c>
      <c r="B410" s="9" t="s">
        <v>16948</v>
      </c>
      <c r="C410" s="9" t="s">
        <v>117</v>
      </c>
      <c r="D410" s="9" t="s">
        <v>1549</v>
      </c>
      <c r="E410" s="9" t="s">
        <v>1550</v>
      </c>
      <c r="G410" s="9" t="s">
        <v>455</v>
      </c>
      <c r="J410" s="9" t="s">
        <v>16949</v>
      </c>
      <c r="K410" s="9" t="s">
        <v>16950</v>
      </c>
      <c r="L410" s="9">
        <v>97418.0</v>
      </c>
      <c r="M410" s="9" t="s">
        <v>71</v>
      </c>
      <c r="N410" s="9" t="s">
        <v>8422</v>
      </c>
      <c r="O410" s="9" t="s">
        <v>16951</v>
      </c>
      <c r="P410" s="53" t="s">
        <v>16952</v>
      </c>
      <c r="Q410" s="49" t="s">
        <v>16953</v>
      </c>
      <c r="R410" s="50"/>
      <c r="S410" s="54"/>
      <c r="T410" s="9" t="s">
        <v>16954</v>
      </c>
      <c r="U410" s="9" t="s">
        <v>16955</v>
      </c>
      <c r="W410" s="9" t="s">
        <v>16956</v>
      </c>
      <c r="X410" s="9" t="s">
        <v>16957</v>
      </c>
      <c r="Y410" s="9" t="s">
        <v>377</v>
      </c>
      <c r="Z410" s="9" t="s">
        <v>851</v>
      </c>
      <c r="AC410" s="9">
        <v>8.5084057000012E13</v>
      </c>
      <c r="AD410" s="9">
        <v>8.5084057E8</v>
      </c>
      <c r="AE410" s="9" t="s">
        <v>401</v>
      </c>
      <c r="AF410" s="55">
        <v>45048.35357638889</v>
      </c>
      <c r="AG410" s="9" t="s">
        <v>16958</v>
      </c>
      <c r="AH410" s="9" t="s">
        <v>16959</v>
      </c>
      <c r="AJ410" s="9" t="s">
        <v>16960</v>
      </c>
      <c r="AK410" s="9" t="b">
        <v>0</v>
      </c>
      <c r="AL410" s="9" t="b">
        <v>0</v>
      </c>
      <c r="AN410" s="9" t="s">
        <v>11971</v>
      </c>
      <c r="AP410" s="56">
        <v>44952.0</v>
      </c>
      <c r="AQ410" s="9" t="b">
        <v>1</v>
      </c>
      <c r="AR410" s="9" t="s">
        <v>16961</v>
      </c>
    </row>
    <row r="411" ht="15.75" customHeight="1">
      <c r="A411" s="9" t="s">
        <v>10721</v>
      </c>
      <c r="B411" s="9" t="s">
        <v>16962</v>
      </c>
      <c r="C411" s="9" t="s">
        <v>58</v>
      </c>
      <c r="D411" s="9" t="s">
        <v>59</v>
      </c>
      <c r="E411" s="9" t="s">
        <v>12384</v>
      </c>
      <c r="F411" s="9">
        <v>6.0</v>
      </c>
      <c r="J411" s="9" t="s">
        <v>16963</v>
      </c>
      <c r="K411" s="9" t="s">
        <v>16964</v>
      </c>
      <c r="L411" s="9">
        <v>97480.0</v>
      </c>
      <c r="M411" s="9" t="s">
        <v>123</v>
      </c>
      <c r="N411" s="9" t="s">
        <v>8325</v>
      </c>
      <c r="O411" s="9" t="s">
        <v>16965</v>
      </c>
      <c r="P411" s="53" t="s">
        <v>16966</v>
      </c>
      <c r="Q411" s="49" t="s">
        <v>16967</v>
      </c>
      <c r="R411" s="50"/>
      <c r="S411" s="58" t="s">
        <v>16968</v>
      </c>
      <c r="T411" s="9" t="s">
        <v>16969</v>
      </c>
      <c r="U411" s="9" t="s">
        <v>16970</v>
      </c>
      <c r="V411" s="9" t="s">
        <v>16971</v>
      </c>
      <c r="W411" s="9" t="s">
        <v>16972</v>
      </c>
      <c r="X411" s="9" t="s">
        <v>16973</v>
      </c>
      <c r="Y411" s="9" t="s">
        <v>13342</v>
      </c>
      <c r="Z411" s="9" t="s">
        <v>592</v>
      </c>
      <c r="AC411" s="9">
        <v>8.1086051000017E13</v>
      </c>
      <c r="AD411" s="9">
        <v>8.1086051E8</v>
      </c>
      <c r="AE411" s="9" t="s">
        <v>12355</v>
      </c>
      <c r="AF411" s="55">
        <v>45712.64648148148</v>
      </c>
      <c r="AG411" s="9" t="s">
        <v>16974</v>
      </c>
      <c r="AH411" s="9" t="s">
        <v>16975</v>
      </c>
      <c r="AJ411" s="9" t="s">
        <v>16976</v>
      </c>
      <c r="AK411" s="9" t="b">
        <v>0</v>
      </c>
      <c r="AL411" s="9" t="b">
        <v>0</v>
      </c>
      <c r="AM411" s="9" t="s">
        <v>16977</v>
      </c>
      <c r="AN411" s="9" t="s">
        <v>10721</v>
      </c>
      <c r="AP411" s="56">
        <v>44727.0</v>
      </c>
      <c r="AQ411" s="9" t="b">
        <v>0</v>
      </c>
      <c r="AR411" s="9" t="s">
        <v>16978</v>
      </c>
    </row>
    <row r="412" ht="15.75" customHeight="1">
      <c r="A412" s="7" t="s">
        <v>3346</v>
      </c>
      <c r="B412" s="6" t="s">
        <v>16979</v>
      </c>
      <c r="C412" s="6" t="s">
        <v>117</v>
      </c>
      <c r="D412" s="7" t="s">
        <v>470</v>
      </c>
      <c r="E412" s="7" t="s">
        <v>608</v>
      </c>
      <c r="F412" s="6">
        <v>60.0</v>
      </c>
      <c r="G412" s="7" t="s">
        <v>407</v>
      </c>
      <c r="H412" s="7"/>
      <c r="I412" s="7" t="s">
        <v>3339</v>
      </c>
      <c r="J412" s="7">
        <v>28.0</v>
      </c>
      <c r="K412" s="7" t="s">
        <v>16980</v>
      </c>
      <c r="L412" s="7">
        <v>97418.0</v>
      </c>
      <c r="M412" s="7" t="s">
        <v>71</v>
      </c>
      <c r="N412" s="7" t="s">
        <v>216</v>
      </c>
      <c r="O412" s="6" t="s">
        <v>16981</v>
      </c>
      <c r="P412" s="42" t="s">
        <v>3350</v>
      </c>
      <c r="Q412" s="43" t="s">
        <v>16982</v>
      </c>
      <c r="R412" s="50"/>
      <c r="S412" s="57" t="s">
        <v>16983</v>
      </c>
      <c r="T412" s="6" t="s">
        <v>16984</v>
      </c>
      <c r="U412" s="7" t="s">
        <v>3351</v>
      </c>
      <c r="V412" s="7" t="s">
        <v>3353</v>
      </c>
      <c r="W412" s="7" t="s">
        <v>801</v>
      </c>
      <c r="X412" s="7" t="s">
        <v>1179</v>
      </c>
      <c r="Y412" s="6" t="s">
        <v>16985</v>
      </c>
      <c r="Z412" s="6" t="s">
        <v>16986</v>
      </c>
      <c r="AA412" s="7"/>
      <c r="AB412" s="7"/>
      <c r="AC412" s="6">
        <v>3.4081504200056E13</v>
      </c>
      <c r="AD412" s="6">
        <v>3.40815042E8</v>
      </c>
      <c r="AE412" s="6" t="s">
        <v>401</v>
      </c>
      <c r="AF412" s="45">
        <v>45044.583657407406</v>
      </c>
      <c r="AG412" s="7" t="s">
        <v>16987</v>
      </c>
      <c r="AH412" s="46" t="s">
        <v>16988</v>
      </c>
      <c r="AI412" s="7"/>
      <c r="AJ412" s="6" t="s">
        <v>16989</v>
      </c>
      <c r="AK412" s="6" t="b">
        <v>1</v>
      </c>
      <c r="AL412" s="7" t="b">
        <v>0</v>
      </c>
      <c r="AM412" s="7"/>
      <c r="AN412" s="6" t="s">
        <v>3346</v>
      </c>
      <c r="AO412" s="6">
        <v>10.0</v>
      </c>
      <c r="AP412" s="6"/>
      <c r="AQ412" s="6" t="b">
        <v>1</v>
      </c>
      <c r="AR412" s="6"/>
      <c r="AS412" s="48" t="s">
        <v>12303</v>
      </c>
    </row>
    <row r="413" ht="15.75" customHeight="1">
      <c r="A413" s="9" t="s">
        <v>256</v>
      </c>
      <c r="B413" s="9" t="s">
        <v>16990</v>
      </c>
      <c r="C413" s="9" t="s">
        <v>58</v>
      </c>
      <c r="D413" s="9" t="s">
        <v>59</v>
      </c>
      <c r="E413" s="9"/>
      <c r="F413" s="9">
        <v>6.0</v>
      </c>
      <c r="H413" s="9" t="s">
        <v>395</v>
      </c>
      <c r="J413" s="52" t="s">
        <v>16991</v>
      </c>
      <c r="K413" s="9" t="s">
        <v>16992</v>
      </c>
      <c r="L413" s="9">
        <v>97430.0</v>
      </c>
      <c r="M413" s="9" t="s">
        <v>71</v>
      </c>
      <c r="O413" s="9" t="s">
        <v>16993</v>
      </c>
      <c r="P413" s="53" t="s">
        <v>16994</v>
      </c>
      <c r="Q413" s="49" t="s">
        <v>16995</v>
      </c>
      <c r="R413" s="50"/>
      <c r="S413" s="54"/>
      <c r="T413" s="9" t="s">
        <v>16996</v>
      </c>
      <c r="U413" s="9" t="s">
        <v>16997</v>
      </c>
      <c r="V413" s="9" t="s">
        <v>16998</v>
      </c>
      <c r="W413" s="9" t="s">
        <v>16999</v>
      </c>
      <c r="X413" s="9" t="s">
        <v>17000</v>
      </c>
      <c r="Y413" s="9" t="s">
        <v>8930</v>
      </c>
      <c r="Z413" s="9" t="s">
        <v>1508</v>
      </c>
      <c r="AC413" s="9">
        <v>5.0033910600022E13</v>
      </c>
      <c r="AD413" s="9">
        <v>5.00339106E8</v>
      </c>
      <c r="AE413" s="9" t="s">
        <v>401</v>
      </c>
      <c r="AF413" s="55">
        <v>45891.473761574074</v>
      </c>
      <c r="AG413" s="9" t="s">
        <v>17001</v>
      </c>
      <c r="AH413" s="9" t="s">
        <v>17002</v>
      </c>
      <c r="AJ413" s="9" t="s">
        <v>17003</v>
      </c>
      <c r="AK413" s="9" t="b">
        <v>0</v>
      </c>
      <c r="AL413" s="9" t="b">
        <v>0</v>
      </c>
      <c r="AM413" s="9" t="s">
        <v>17004</v>
      </c>
      <c r="AN413" s="9" t="s">
        <v>256</v>
      </c>
      <c r="AP413" s="56">
        <v>44942.0</v>
      </c>
      <c r="AQ413" s="9" t="b">
        <v>1</v>
      </c>
      <c r="AR413" s="9" t="s">
        <v>17005</v>
      </c>
    </row>
    <row r="414" ht="15.75" customHeight="1">
      <c r="A414" s="7" t="s">
        <v>9285</v>
      </c>
      <c r="B414" s="7" t="s">
        <v>9286</v>
      </c>
      <c r="C414" s="7" t="s">
        <v>58</v>
      </c>
      <c r="D414" s="7" t="s">
        <v>59</v>
      </c>
      <c r="E414" s="6" t="s">
        <v>12384</v>
      </c>
      <c r="F414" s="7">
        <v>6.0</v>
      </c>
      <c r="G414" s="6" t="s">
        <v>455</v>
      </c>
      <c r="H414" s="7"/>
      <c r="I414" s="7"/>
      <c r="J414" s="7">
        <v>8.0</v>
      </c>
      <c r="K414" s="7" t="s">
        <v>17006</v>
      </c>
      <c r="L414" s="7">
        <v>97430.0</v>
      </c>
      <c r="M414" s="7" t="s">
        <v>71</v>
      </c>
      <c r="N414" s="7" t="s">
        <v>9288</v>
      </c>
      <c r="O414" s="6" t="s">
        <v>17007</v>
      </c>
      <c r="P414" s="53" t="s">
        <v>17008</v>
      </c>
      <c r="Q414" s="43" t="s">
        <v>17009</v>
      </c>
      <c r="R414" s="50"/>
      <c r="S414" s="51"/>
      <c r="T414" s="6" t="s">
        <v>17010</v>
      </c>
      <c r="U414" s="7"/>
      <c r="V414" s="7"/>
      <c r="W414" s="6" t="s">
        <v>17011</v>
      </c>
      <c r="X414" s="7" t="s">
        <v>9290</v>
      </c>
      <c r="Y414" s="7"/>
      <c r="Z414" s="7" t="s">
        <v>592</v>
      </c>
      <c r="AA414" s="7" t="s">
        <v>9295</v>
      </c>
      <c r="AB414" s="7" t="s">
        <v>1590</v>
      </c>
      <c r="AC414" s="7">
        <v>4.3102563400019E13</v>
      </c>
      <c r="AD414" s="7">
        <v>4.31025634E8</v>
      </c>
      <c r="AE414" s="6" t="s">
        <v>401</v>
      </c>
      <c r="AF414" s="45">
        <v>45623.36273148148</v>
      </c>
      <c r="AG414" s="7" t="s">
        <v>17012</v>
      </c>
      <c r="AH414" s="46" t="s">
        <v>17013</v>
      </c>
      <c r="AI414" s="7"/>
      <c r="AJ414" s="6" t="s">
        <v>17014</v>
      </c>
      <c r="AK414" s="7" t="b">
        <v>0</v>
      </c>
      <c r="AL414" s="6" t="b">
        <v>1</v>
      </c>
      <c r="AM414" s="6" t="s">
        <v>9296</v>
      </c>
      <c r="AN414" s="6" t="s">
        <v>9285</v>
      </c>
      <c r="AO414" s="7"/>
      <c r="AP414" s="7"/>
      <c r="AQ414" s="6" t="b">
        <v>0</v>
      </c>
      <c r="AR414" s="6" t="s">
        <v>17015</v>
      </c>
      <c r="AS414" s="6" t="s">
        <v>12303</v>
      </c>
    </row>
    <row r="415" ht="15.75" customHeight="1">
      <c r="A415" s="7" t="s">
        <v>246</v>
      </c>
      <c r="B415" s="7" t="s">
        <v>3964</v>
      </c>
      <c r="C415" s="7" t="s">
        <v>58</v>
      </c>
      <c r="D415" s="7" t="s">
        <v>453</v>
      </c>
      <c r="E415" s="7" t="s">
        <v>454</v>
      </c>
      <c r="F415" s="7">
        <v>10.0</v>
      </c>
      <c r="G415" s="7" t="s">
        <v>407</v>
      </c>
      <c r="H415" s="7" t="s">
        <v>1865</v>
      </c>
      <c r="I415" s="7" t="s">
        <v>1869</v>
      </c>
      <c r="J415" s="7" t="s">
        <v>17016</v>
      </c>
      <c r="K415" s="7" t="s">
        <v>17017</v>
      </c>
      <c r="L415" s="7">
        <v>97430.0</v>
      </c>
      <c r="M415" s="7" t="s">
        <v>71</v>
      </c>
      <c r="N415" s="6" t="s">
        <v>8411</v>
      </c>
      <c r="O415" s="6" t="s">
        <v>17018</v>
      </c>
      <c r="P415" s="42" t="s">
        <v>3969</v>
      </c>
      <c r="Q415" s="43" t="s">
        <v>17019</v>
      </c>
      <c r="R415" s="43" t="s">
        <v>17020</v>
      </c>
      <c r="S415" s="47"/>
      <c r="T415" s="6" t="s">
        <v>17021</v>
      </c>
      <c r="U415" s="7" t="s">
        <v>3980</v>
      </c>
      <c r="V415" s="7" t="s">
        <v>3982</v>
      </c>
      <c r="W415" s="6" t="s">
        <v>17022</v>
      </c>
      <c r="X415" s="7" t="s">
        <v>488</v>
      </c>
      <c r="Y415" s="6" t="s">
        <v>12715</v>
      </c>
      <c r="Z415" s="7" t="s">
        <v>353</v>
      </c>
      <c r="AA415" s="7" t="s">
        <v>3451</v>
      </c>
      <c r="AB415" s="7" t="s">
        <v>1590</v>
      </c>
      <c r="AC415" s="7">
        <v>4.5034929500011E13</v>
      </c>
      <c r="AD415" s="7">
        <v>4.50349295E8</v>
      </c>
      <c r="AE415" s="6" t="s">
        <v>401</v>
      </c>
      <c r="AF415" s="45">
        <v>45699.367418981485</v>
      </c>
      <c r="AG415" s="7" t="s">
        <v>17023</v>
      </c>
      <c r="AH415" s="46" t="s">
        <v>17024</v>
      </c>
      <c r="AI415" s="7"/>
      <c r="AJ415" s="6" t="s">
        <v>17025</v>
      </c>
      <c r="AK415" s="7" t="b">
        <v>0</v>
      </c>
      <c r="AL415" s="7" t="b">
        <v>0</v>
      </c>
      <c r="AM415" s="6" t="s">
        <v>3984</v>
      </c>
      <c r="AN415" s="6" t="s">
        <v>246</v>
      </c>
      <c r="AO415" s="6">
        <v>819.0</v>
      </c>
      <c r="AP415" s="6"/>
      <c r="AQ415" s="6" t="b">
        <v>1</v>
      </c>
      <c r="AR415" s="6" t="s">
        <v>17026</v>
      </c>
      <c r="AS415" s="6" t="s">
        <v>12303</v>
      </c>
    </row>
    <row r="416" ht="15.75" customHeight="1">
      <c r="A416" s="9" t="s">
        <v>10547</v>
      </c>
      <c r="B416" s="9" t="s">
        <v>17027</v>
      </c>
      <c r="C416" s="9" t="s">
        <v>1198</v>
      </c>
      <c r="D416" s="9" t="s">
        <v>6960</v>
      </c>
      <c r="J416" s="52" t="s">
        <v>14338</v>
      </c>
      <c r="K416" s="9" t="s">
        <v>17028</v>
      </c>
      <c r="L416" s="9">
        <v>97430.0</v>
      </c>
      <c r="M416" s="9" t="s">
        <v>71</v>
      </c>
      <c r="N416" s="9" t="s">
        <v>12698</v>
      </c>
      <c r="O416" s="9" t="s">
        <v>17029</v>
      </c>
      <c r="P416" s="53" t="s">
        <v>17030</v>
      </c>
      <c r="Q416" s="49" t="s">
        <v>17031</v>
      </c>
      <c r="R416" s="50"/>
      <c r="S416" s="54"/>
      <c r="U416" s="9" t="s">
        <v>17032</v>
      </c>
      <c r="Y416" s="9" t="s">
        <v>8231</v>
      </c>
      <c r="Z416" s="9" t="s">
        <v>592</v>
      </c>
      <c r="AC416" s="9">
        <v>9.185706230001E13</v>
      </c>
      <c r="AD416" s="9">
        <v>9.18570623E8</v>
      </c>
      <c r="AE416" s="9" t="s">
        <v>401</v>
      </c>
      <c r="AF416" s="55">
        <v>45043.49113425926</v>
      </c>
      <c r="AG416" s="9" t="s">
        <v>17033</v>
      </c>
      <c r="AH416" s="9" t="s">
        <v>17034</v>
      </c>
      <c r="AJ416" s="9" t="s">
        <v>17035</v>
      </c>
      <c r="AK416" s="9" t="b">
        <v>0</v>
      </c>
      <c r="AL416" s="9" t="b">
        <v>0</v>
      </c>
      <c r="AN416" s="9" t="s">
        <v>10547</v>
      </c>
      <c r="AP416" s="56">
        <v>45013.0</v>
      </c>
      <c r="AQ416" s="9" t="b">
        <v>0</v>
      </c>
      <c r="AR416" s="9" t="s">
        <v>17036</v>
      </c>
    </row>
    <row r="417" ht="15.75" customHeight="1">
      <c r="A417" s="9" t="s">
        <v>11733</v>
      </c>
      <c r="B417" s="9" t="s">
        <v>17037</v>
      </c>
      <c r="C417" s="9" t="s">
        <v>822</v>
      </c>
      <c r="D417" s="9" t="s">
        <v>823</v>
      </c>
      <c r="E417" s="9" t="s">
        <v>559</v>
      </c>
      <c r="J417" s="52" t="s">
        <v>13933</v>
      </c>
      <c r="K417" s="9" t="s">
        <v>17038</v>
      </c>
      <c r="L417" s="9">
        <v>97414.0</v>
      </c>
      <c r="M417" s="9" t="s">
        <v>40</v>
      </c>
      <c r="N417" s="9" t="s">
        <v>12822</v>
      </c>
      <c r="O417" s="9" t="s">
        <v>17039</v>
      </c>
      <c r="P417" s="53" t="s">
        <v>17040</v>
      </c>
      <c r="Q417" s="49" t="s">
        <v>17041</v>
      </c>
      <c r="R417" s="50"/>
      <c r="S417" s="54" t="s">
        <v>17042</v>
      </c>
      <c r="T417" s="9"/>
      <c r="U417" s="9" t="s">
        <v>17043</v>
      </c>
      <c r="V417" s="9"/>
      <c r="Y417" s="9" t="s">
        <v>8216</v>
      </c>
      <c r="Z417" s="9" t="s">
        <v>378</v>
      </c>
      <c r="AC417" s="9">
        <v>7.5259763300052E13</v>
      </c>
      <c r="AD417" s="9">
        <v>7.52597633E8</v>
      </c>
      <c r="AE417" s="9" t="s">
        <v>12355</v>
      </c>
      <c r="AF417" s="55">
        <v>45868.4149537037</v>
      </c>
      <c r="AG417" s="9" t="s">
        <v>17044</v>
      </c>
      <c r="AH417" s="9" t="s">
        <v>17045</v>
      </c>
      <c r="AJ417" s="9" t="s">
        <v>17046</v>
      </c>
      <c r="AK417" s="9" t="b">
        <v>0</v>
      </c>
      <c r="AL417" s="9" t="b">
        <v>0</v>
      </c>
      <c r="AN417" s="9" t="s">
        <v>11733</v>
      </c>
      <c r="AP417" s="56">
        <v>44600.0</v>
      </c>
      <c r="AQ417" s="9" t="b">
        <v>0</v>
      </c>
      <c r="AR417" s="9" t="s">
        <v>17047</v>
      </c>
      <c r="AS417" s="48" t="s">
        <v>12303</v>
      </c>
    </row>
    <row r="418" ht="15.75" customHeight="1">
      <c r="A418" s="7" t="s">
        <v>8948</v>
      </c>
      <c r="B418" s="7" t="s">
        <v>8949</v>
      </c>
      <c r="C418" s="6" t="s">
        <v>117</v>
      </c>
      <c r="D418" s="7" t="s">
        <v>1805</v>
      </c>
      <c r="E418" s="7"/>
      <c r="F418" s="7">
        <v>20.0</v>
      </c>
      <c r="G418" s="7" t="s">
        <v>422</v>
      </c>
      <c r="H418" s="7"/>
      <c r="I418" s="7"/>
      <c r="J418" s="6" t="s">
        <v>17048</v>
      </c>
      <c r="K418" s="7" t="s">
        <v>17049</v>
      </c>
      <c r="L418" s="7">
        <v>97414.0</v>
      </c>
      <c r="M418" s="7" t="s">
        <v>40</v>
      </c>
      <c r="N418" s="7"/>
      <c r="O418" s="6" t="s">
        <v>17050</v>
      </c>
      <c r="P418" s="42" t="s">
        <v>3475</v>
      </c>
      <c r="Q418" s="43" t="s">
        <v>16916</v>
      </c>
      <c r="R418" s="50"/>
      <c r="S418" s="51"/>
      <c r="T418" s="7"/>
      <c r="U418" s="7"/>
      <c r="V418" s="6" t="s">
        <v>17051</v>
      </c>
      <c r="W418" s="6" t="s">
        <v>17052</v>
      </c>
      <c r="X418" s="6" t="s">
        <v>17053</v>
      </c>
      <c r="Y418" s="7" t="s">
        <v>377</v>
      </c>
      <c r="Z418" s="7" t="s">
        <v>8505</v>
      </c>
      <c r="AA418" s="7"/>
      <c r="AB418" s="7"/>
      <c r="AC418" s="6">
        <v>4.1154900900032E13</v>
      </c>
      <c r="AD418" s="6">
        <v>4.11549009E8</v>
      </c>
      <c r="AE418" s="6" t="s">
        <v>12355</v>
      </c>
      <c r="AF418" s="45">
        <v>45042.6000462963</v>
      </c>
      <c r="AG418" s="7" t="s">
        <v>16919</v>
      </c>
      <c r="AH418" s="46" t="s">
        <v>17054</v>
      </c>
      <c r="AI418" s="7"/>
      <c r="AJ418" s="6" t="s">
        <v>17055</v>
      </c>
      <c r="AK418" s="7" t="b">
        <v>0</v>
      </c>
      <c r="AL418" s="7" t="b">
        <v>0</v>
      </c>
      <c r="AM418" s="7"/>
      <c r="AN418" s="6" t="s">
        <v>8948</v>
      </c>
      <c r="AO418" s="7"/>
      <c r="AP418" s="7"/>
      <c r="AQ418" s="6" t="b">
        <v>0</v>
      </c>
      <c r="AR418" s="6"/>
      <c r="AS418" s="48" t="s">
        <v>12303</v>
      </c>
    </row>
    <row r="419" ht="15.75" customHeight="1">
      <c r="A419" s="9" t="s">
        <v>11772</v>
      </c>
      <c r="B419" s="9" t="s">
        <v>17056</v>
      </c>
      <c r="C419" s="9" t="s">
        <v>58</v>
      </c>
      <c r="D419" s="9" t="s">
        <v>59</v>
      </c>
      <c r="E419" s="9" t="s">
        <v>545</v>
      </c>
      <c r="F419" s="9">
        <v>4.0</v>
      </c>
      <c r="G419" s="9" t="s">
        <v>455</v>
      </c>
      <c r="J419" s="52" t="s">
        <v>12331</v>
      </c>
      <c r="K419" s="9" t="s">
        <v>17057</v>
      </c>
      <c r="L419" s="9">
        <v>97418.0</v>
      </c>
      <c r="M419" s="9" t="s">
        <v>71</v>
      </c>
      <c r="N419" s="9" t="s">
        <v>216</v>
      </c>
      <c r="O419" s="9" t="s">
        <v>17058</v>
      </c>
      <c r="P419" s="53" t="s">
        <v>17059</v>
      </c>
      <c r="Q419" s="49" t="s">
        <v>17060</v>
      </c>
      <c r="R419" s="50"/>
      <c r="S419" s="54"/>
      <c r="T419" s="9" t="s">
        <v>17061</v>
      </c>
      <c r="U419" s="9" t="s">
        <v>17062</v>
      </c>
      <c r="V419" s="9" t="s">
        <v>17063</v>
      </c>
      <c r="W419" s="9" t="s">
        <v>17064</v>
      </c>
      <c r="X419" s="9" t="s">
        <v>15939</v>
      </c>
      <c r="Y419" s="9" t="s">
        <v>13978</v>
      </c>
      <c r="Z419" s="9" t="s">
        <v>592</v>
      </c>
      <c r="AC419" s="9">
        <v>9.4916437000015E13</v>
      </c>
      <c r="AD419" s="9">
        <v>9.4916437E8</v>
      </c>
      <c r="AE419" s="9" t="s">
        <v>401</v>
      </c>
      <c r="AF419" s="55">
        <v>45042.589050925926</v>
      </c>
      <c r="AG419" s="9" t="s">
        <v>17065</v>
      </c>
      <c r="AH419" s="9" t="s">
        <v>17066</v>
      </c>
      <c r="AJ419" s="9" t="s">
        <v>17067</v>
      </c>
      <c r="AK419" s="9" t="b">
        <v>0</v>
      </c>
      <c r="AL419" s="9" t="b">
        <v>0</v>
      </c>
      <c r="AM419" s="9" t="s">
        <v>17068</v>
      </c>
      <c r="AN419" s="9" t="s">
        <v>11772</v>
      </c>
      <c r="AP419" s="56">
        <v>45016.0</v>
      </c>
      <c r="AQ419" s="9" t="b">
        <v>0</v>
      </c>
    </row>
    <row r="420" ht="15.75" customHeight="1">
      <c r="A420" s="9" t="s">
        <v>12067</v>
      </c>
      <c r="B420" s="9" t="s">
        <v>17069</v>
      </c>
      <c r="C420" s="9" t="s">
        <v>58</v>
      </c>
      <c r="D420" s="9" t="s">
        <v>59</v>
      </c>
      <c r="E420" s="9" t="s">
        <v>545</v>
      </c>
      <c r="F420" s="9">
        <v>4.0</v>
      </c>
      <c r="G420" s="9" t="s">
        <v>455</v>
      </c>
      <c r="J420" s="9" t="s">
        <v>17070</v>
      </c>
      <c r="K420" s="9" t="s">
        <v>17057</v>
      </c>
      <c r="L420" s="9">
        <v>97418.0</v>
      </c>
      <c r="M420" s="9" t="s">
        <v>71</v>
      </c>
      <c r="N420" s="9" t="s">
        <v>216</v>
      </c>
      <c r="O420" s="9" t="s">
        <v>17071</v>
      </c>
      <c r="P420" s="53" t="s">
        <v>17059</v>
      </c>
      <c r="Q420" s="49" t="s">
        <v>17060</v>
      </c>
      <c r="R420" s="50"/>
      <c r="S420" s="54"/>
      <c r="T420" s="9" t="s">
        <v>17072</v>
      </c>
      <c r="U420" s="9" t="s">
        <v>17073</v>
      </c>
      <c r="V420" s="9" t="s">
        <v>17063</v>
      </c>
      <c r="W420" s="9" t="s">
        <v>17074</v>
      </c>
      <c r="X420" s="9" t="s">
        <v>15939</v>
      </c>
      <c r="Y420" s="9" t="s">
        <v>17075</v>
      </c>
      <c r="Z420" s="9" t="s">
        <v>378</v>
      </c>
      <c r="AC420" s="9">
        <v>9.4916437000015E13</v>
      </c>
      <c r="AD420" s="9">
        <v>9.4916437E8</v>
      </c>
      <c r="AE420" s="9" t="s">
        <v>401</v>
      </c>
      <c r="AF420" s="55">
        <v>45042.588784722226</v>
      </c>
      <c r="AG420" s="9" t="s">
        <v>17065</v>
      </c>
      <c r="AH420" s="9" t="s">
        <v>17076</v>
      </c>
      <c r="AJ420" s="9" t="s">
        <v>17077</v>
      </c>
      <c r="AK420" s="9" t="b">
        <v>0</v>
      </c>
      <c r="AL420" s="9" t="b">
        <v>0</v>
      </c>
      <c r="AM420" s="9" t="s">
        <v>17078</v>
      </c>
      <c r="AN420" s="9" t="s">
        <v>12067</v>
      </c>
      <c r="AP420" s="56">
        <v>45016.0</v>
      </c>
      <c r="AQ420" s="9" t="b">
        <v>0</v>
      </c>
    </row>
    <row r="421" ht="15.75" customHeight="1">
      <c r="A421" s="7" t="s">
        <v>9394</v>
      </c>
      <c r="B421" s="7" t="s">
        <v>17079</v>
      </c>
      <c r="C421" s="7" t="s">
        <v>58</v>
      </c>
      <c r="D421" s="7" t="s">
        <v>59</v>
      </c>
      <c r="E421" s="7" t="s">
        <v>346</v>
      </c>
      <c r="F421" s="7">
        <v>8.0</v>
      </c>
      <c r="G421" s="7" t="s">
        <v>9243</v>
      </c>
      <c r="H421" s="7"/>
      <c r="I421" s="7"/>
      <c r="J421" s="7">
        <v>13.0</v>
      </c>
      <c r="K421" s="7" t="s">
        <v>17080</v>
      </c>
      <c r="L421" s="7">
        <v>97418.0</v>
      </c>
      <c r="M421" s="7" t="s">
        <v>71</v>
      </c>
      <c r="N421" s="7" t="s">
        <v>216</v>
      </c>
      <c r="O421" s="6" t="s">
        <v>17081</v>
      </c>
      <c r="P421" s="53" t="s">
        <v>9402</v>
      </c>
      <c r="Q421" s="49" t="s">
        <v>17082</v>
      </c>
      <c r="R421" s="50"/>
      <c r="S421" s="47" t="s">
        <v>9398</v>
      </c>
      <c r="T421" s="6" t="s">
        <v>17083</v>
      </c>
      <c r="U421" s="6" t="s">
        <v>17084</v>
      </c>
      <c r="V421" s="7" t="s">
        <v>9404</v>
      </c>
      <c r="W421" s="6" t="s">
        <v>17085</v>
      </c>
      <c r="X421" s="7" t="s">
        <v>9400</v>
      </c>
      <c r="Y421" s="7" t="s">
        <v>4368</v>
      </c>
      <c r="Z421" s="7" t="s">
        <v>9401</v>
      </c>
      <c r="AA421" s="7" t="s">
        <v>9408</v>
      </c>
      <c r="AB421" s="7" t="s">
        <v>1829</v>
      </c>
      <c r="AC421" s="7">
        <v>4.4464736600012E13</v>
      </c>
      <c r="AD421" s="7">
        <v>4.44647366E8</v>
      </c>
      <c r="AE421" s="6" t="s">
        <v>401</v>
      </c>
      <c r="AF421" s="45">
        <v>45042.50009259259</v>
      </c>
      <c r="AG421" s="7" t="s">
        <v>17086</v>
      </c>
      <c r="AH421" s="46" t="s">
        <v>17087</v>
      </c>
      <c r="AI421" s="7"/>
      <c r="AJ421" s="6" t="s">
        <v>17088</v>
      </c>
      <c r="AK421" s="7" t="b">
        <v>0</v>
      </c>
      <c r="AL421" s="7" t="b">
        <v>0</v>
      </c>
      <c r="AM421" s="6" t="s">
        <v>9409</v>
      </c>
      <c r="AN421" s="6" t="s">
        <v>9394</v>
      </c>
      <c r="AO421" s="6">
        <v>1540.0</v>
      </c>
      <c r="AP421" s="6"/>
      <c r="AQ421" s="6" t="b">
        <v>0</v>
      </c>
      <c r="AR421" s="6"/>
      <c r="AS421" s="48" t="s">
        <v>12303</v>
      </c>
    </row>
    <row r="422" ht="15.75" customHeight="1">
      <c r="A422" s="7" t="s">
        <v>9361</v>
      </c>
      <c r="B422" s="6" t="s">
        <v>17089</v>
      </c>
      <c r="C422" s="7" t="s">
        <v>58</v>
      </c>
      <c r="D422" s="7" t="s">
        <v>59</v>
      </c>
      <c r="E422" s="7" t="s">
        <v>346</v>
      </c>
      <c r="F422" s="7">
        <v>6.0</v>
      </c>
      <c r="G422" s="7" t="s">
        <v>455</v>
      </c>
      <c r="H422" s="7"/>
      <c r="I422" s="7"/>
      <c r="J422" s="41" t="s">
        <v>12385</v>
      </c>
      <c r="K422" s="6" t="s">
        <v>17090</v>
      </c>
      <c r="L422" s="7">
        <v>97430.0</v>
      </c>
      <c r="M422" s="7" t="s">
        <v>71</v>
      </c>
      <c r="N422" s="6" t="s">
        <v>15303</v>
      </c>
      <c r="O422" s="6" t="s">
        <v>17091</v>
      </c>
      <c r="P422" s="53" t="s">
        <v>9369</v>
      </c>
      <c r="Q422" s="49" t="s">
        <v>17092</v>
      </c>
      <c r="R422" s="50"/>
      <c r="S422" s="51"/>
      <c r="T422" s="6" t="s">
        <v>17093</v>
      </c>
      <c r="U422" s="6" t="s">
        <v>17094</v>
      </c>
      <c r="V422" s="6" t="s">
        <v>17095</v>
      </c>
      <c r="W422" s="6" t="s">
        <v>17096</v>
      </c>
      <c r="X422" s="7" t="s">
        <v>9367</v>
      </c>
      <c r="Y422" s="6" t="s">
        <v>17097</v>
      </c>
      <c r="Z422" s="7" t="s">
        <v>592</v>
      </c>
      <c r="AA422" s="7" t="s">
        <v>8708</v>
      </c>
      <c r="AB422" s="7" t="s">
        <v>1590</v>
      </c>
      <c r="AC422" s="7">
        <v>8.8503901600013E13</v>
      </c>
      <c r="AD422" s="7">
        <v>8.85039016E8</v>
      </c>
      <c r="AE422" s="7" t="s">
        <v>401</v>
      </c>
      <c r="AF422" s="45">
        <v>45042.474178240744</v>
      </c>
      <c r="AG422" s="7" t="s">
        <v>17098</v>
      </c>
      <c r="AH422" s="46" t="s">
        <v>17099</v>
      </c>
      <c r="AI422" s="7"/>
      <c r="AJ422" s="7"/>
      <c r="AK422" s="7" t="b">
        <v>0</v>
      </c>
      <c r="AL422" s="7" t="b">
        <v>0</v>
      </c>
      <c r="AM422" s="6" t="s">
        <v>17100</v>
      </c>
      <c r="AN422" s="6" t="s">
        <v>9361</v>
      </c>
      <c r="AO422" s="7"/>
      <c r="AP422" s="7"/>
      <c r="AQ422" s="6" t="b">
        <v>1</v>
      </c>
      <c r="AR422" s="6"/>
      <c r="AS422" s="6" t="s">
        <v>12303</v>
      </c>
    </row>
    <row r="423" ht="15.75" customHeight="1">
      <c r="A423" s="7" t="s">
        <v>8833</v>
      </c>
      <c r="B423" s="6" t="s">
        <v>17101</v>
      </c>
      <c r="C423" s="7" t="s">
        <v>58</v>
      </c>
      <c r="D423" s="7" t="s">
        <v>59</v>
      </c>
      <c r="E423" s="6" t="s">
        <v>12384</v>
      </c>
      <c r="F423" s="7">
        <v>10.0</v>
      </c>
      <c r="G423" s="6" t="s">
        <v>455</v>
      </c>
      <c r="H423" s="7"/>
      <c r="I423" s="7"/>
      <c r="J423" s="7">
        <v>286.0</v>
      </c>
      <c r="K423" s="7" t="s">
        <v>12304</v>
      </c>
      <c r="L423" s="7">
        <v>97430.0</v>
      </c>
      <c r="M423" s="7" t="s">
        <v>71</v>
      </c>
      <c r="N423" s="6" t="s">
        <v>17102</v>
      </c>
      <c r="O423" s="6" t="s">
        <v>17103</v>
      </c>
      <c r="P423" s="42" t="s">
        <v>8836</v>
      </c>
      <c r="Q423" s="43" t="s">
        <v>17104</v>
      </c>
      <c r="R423" s="43" t="s">
        <v>17105</v>
      </c>
      <c r="S423" s="51"/>
      <c r="T423" s="6" t="s">
        <v>17106</v>
      </c>
      <c r="U423" s="6" t="s">
        <v>17107</v>
      </c>
      <c r="V423" s="7"/>
      <c r="W423" s="6" t="s">
        <v>17108</v>
      </c>
      <c r="X423" s="6" t="s">
        <v>17109</v>
      </c>
      <c r="Y423" s="6" t="s">
        <v>1863</v>
      </c>
      <c r="Z423" s="6" t="s">
        <v>353</v>
      </c>
      <c r="AA423" s="7"/>
      <c r="AB423" s="7"/>
      <c r="AC423" s="7"/>
      <c r="AD423" s="7"/>
      <c r="AE423" s="6" t="s">
        <v>401</v>
      </c>
      <c r="AF423" s="45">
        <v>45042.46978009259</v>
      </c>
      <c r="AG423" s="7" t="s">
        <v>17110</v>
      </c>
      <c r="AH423" s="46" t="s">
        <v>17111</v>
      </c>
      <c r="AI423" s="7"/>
      <c r="AJ423" s="7"/>
      <c r="AK423" s="7" t="b">
        <v>0</v>
      </c>
      <c r="AL423" s="7" t="b">
        <v>0</v>
      </c>
      <c r="AM423" s="6" t="s">
        <v>8840</v>
      </c>
      <c r="AN423" s="6" t="s">
        <v>8833</v>
      </c>
      <c r="AO423" s="7"/>
      <c r="AP423" s="7"/>
      <c r="AQ423" s="6" t="b">
        <v>0</v>
      </c>
      <c r="AR423" s="6"/>
      <c r="AS423" s="6" t="s">
        <v>12303</v>
      </c>
    </row>
    <row r="424" ht="15.75" customHeight="1">
      <c r="A424" s="9" t="s">
        <v>11621</v>
      </c>
      <c r="B424" s="9" t="s">
        <v>17112</v>
      </c>
      <c r="C424" s="9" t="s">
        <v>58</v>
      </c>
      <c r="D424" s="9" t="s">
        <v>59</v>
      </c>
      <c r="E424" s="9" t="s">
        <v>346</v>
      </c>
      <c r="F424" s="9">
        <v>20.0</v>
      </c>
      <c r="G424" s="9" t="s">
        <v>455</v>
      </c>
      <c r="J424" s="52" t="s">
        <v>12331</v>
      </c>
      <c r="K424" s="9" t="s">
        <v>17113</v>
      </c>
      <c r="L424" s="9">
        <v>97418.0</v>
      </c>
      <c r="M424" s="9" t="s">
        <v>71</v>
      </c>
      <c r="N424" s="9" t="s">
        <v>17114</v>
      </c>
      <c r="O424" s="9" t="s">
        <v>17115</v>
      </c>
      <c r="P424" s="53" t="s">
        <v>17116</v>
      </c>
      <c r="Q424" s="49" t="s">
        <v>17117</v>
      </c>
      <c r="R424" s="50"/>
      <c r="S424" s="54"/>
      <c r="T424" s="9" t="s">
        <v>17118</v>
      </c>
      <c r="U424" s="9" t="s">
        <v>17119</v>
      </c>
      <c r="V424" s="9" t="s">
        <v>17120</v>
      </c>
      <c r="W424" s="9" t="s">
        <v>17121</v>
      </c>
      <c r="X424" s="9" t="s">
        <v>17122</v>
      </c>
      <c r="Y424" s="9" t="s">
        <v>1863</v>
      </c>
      <c r="Z424" s="9" t="s">
        <v>592</v>
      </c>
      <c r="AC424" s="9">
        <v>8.2108083500019E13</v>
      </c>
      <c r="AD424" s="9">
        <v>8.21080835E8</v>
      </c>
      <c r="AE424" s="9" t="s">
        <v>401</v>
      </c>
      <c r="AF424" s="55">
        <v>45947.559849537036</v>
      </c>
      <c r="AG424" s="9" t="s">
        <v>17123</v>
      </c>
      <c r="AH424" s="9" t="s">
        <v>17124</v>
      </c>
      <c r="AJ424" s="9" t="s">
        <v>17125</v>
      </c>
      <c r="AK424" s="9" t="b">
        <v>1</v>
      </c>
      <c r="AL424" s="9" t="b">
        <v>0</v>
      </c>
      <c r="AM424" s="9" t="s">
        <v>17126</v>
      </c>
      <c r="AN424" s="9" t="s">
        <v>11621</v>
      </c>
      <c r="AP424" s="56">
        <v>45040.0</v>
      </c>
      <c r="AQ424" s="9" t="b">
        <v>0</v>
      </c>
      <c r="AR424" s="9" t="s">
        <v>17127</v>
      </c>
    </row>
    <row r="425" ht="15.75" customHeight="1">
      <c r="A425" s="9" t="s">
        <v>12118</v>
      </c>
      <c r="B425" s="9" t="s">
        <v>17128</v>
      </c>
      <c r="C425" s="9" t="s">
        <v>34</v>
      </c>
      <c r="D425" s="9" t="s">
        <v>485</v>
      </c>
      <c r="E425" s="9" t="s">
        <v>17129</v>
      </c>
      <c r="F425" s="9">
        <v>30.0</v>
      </c>
      <c r="G425" s="9" t="s">
        <v>455</v>
      </c>
      <c r="I425" s="9" t="s">
        <v>17130</v>
      </c>
      <c r="J425" s="52" t="s">
        <v>13509</v>
      </c>
      <c r="K425" s="9" t="s">
        <v>17131</v>
      </c>
      <c r="L425" s="9">
        <v>97430.0</v>
      </c>
      <c r="M425" s="9" t="s">
        <v>71</v>
      </c>
      <c r="N425" s="9" t="s">
        <v>17102</v>
      </c>
      <c r="O425" s="9" t="s">
        <v>17132</v>
      </c>
      <c r="P425" s="53" t="s">
        <v>17133</v>
      </c>
      <c r="Q425" s="49" t="s">
        <v>17134</v>
      </c>
      <c r="R425" s="50"/>
      <c r="S425" s="54"/>
      <c r="T425" s="9" t="s">
        <v>17135</v>
      </c>
      <c r="U425" s="9" t="s">
        <v>17136</v>
      </c>
      <c r="V425" s="9" t="s">
        <v>17137</v>
      </c>
      <c r="W425" s="9" t="s">
        <v>17138</v>
      </c>
      <c r="X425" s="9" t="s">
        <v>15939</v>
      </c>
      <c r="Y425" s="9" t="s">
        <v>12478</v>
      </c>
      <c r="Z425" s="9" t="s">
        <v>5551</v>
      </c>
      <c r="AC425" s="9">
        <v>8.2501770000022E13</v>
      </c>
      <c r="AD425" s="9">
        <v>8.250177E8</v>
      </c>
      <c r="AE425" s="9" t="s">
        <v>401</v>
      </c>
      <c r="AF425" s="60">
        <v>45414.56800925926</v>
      </c>
      <c r="AG425" s="9" t="s">
        <v>17139</v>
      </c>
      <c r="AH425" s="9" t="s">
        <v>17140</v>
      </c>
      <c r="AJ425" s="9" t="s">
        <v>17141</v>
      </c>
      <c r="AK425" s="9" t="b">
        <v>1</v>
      </c>
      <c r="AL425" s="9" t="b">
        <v>0</v>
      </c>
      <c r="AN425" s="9" t="s">
        <v>12118</v>
      </c>
      <c r="AP425" s="61">
        <v>44529.0</v>
      </c>
      <c r="AQ425" s="9" t="b">
        <v>0</v>
      </c>
      <c r="AS425" s="9" t="s">
        <v>12303</v>
      </c>
    </row>
    <row r="426" ht="15.75" customHeight="1">
      <c r="A426" s="9" t="s">
        <v>10552</v>
      </c>
      <c r="B426" s="9" t="s">
        <v>17142</v>
      </c>
      <c r="C426" s="9" t="s">
        <v>117</v>
      </c>
      <c r="D426" s="9" t="s">
        <v>1405</v>
      </c>
      <c r="E426" s="9" t="s">
        <v>17143</v>
      </c>
      <c r="F426" s="9">
        <v>30.0</v>
      </c>
      <c r="G426" s="9" t="s">
        <v>455</v>
      </c>
      <c r="I426" s="9" t="s">
        <v>17144</v>
      </c>
      <c r="J426" s="52" t="s">
        <v>13509</v>
      </c>
      <c r="K426" s="9" t="s">
        <v>17145</v>
      </c>
      <c r="L426" s="9">
        <v>97430.0</v>
      </c>
      <c r="M426" s="9" t="s">
        <v>71</v>
      </c>
      <c r="N426" s="9" t="s">
        <v>17102</v>
      </c>
      <c r="O426" s="9" t="s">
        <v>17146</v>
      </c>
      <c r="P426" s="53" t="s">
        <v>17133</v>
      </c>
      <c r="Q426" s="49" t="s">
        <v>17134</v>
      </c>
      <c r="R426" s="50"/>
      <c r="S426" s="54"/>
      <c r="T426" s="9" t="s">
        <v>17147</v>
      </c>
      <c r="U426" s="9" t="s">
        <v>17148</v>
      </c>
      <c r="V426" s="9" t="s">
        <v>17149</v>
      </c>
      <c r="W426" s="9" t="s">
        <v>17150</v>
      </c>
      <c r="X426" s="9" t="s">
        <v>17151</v>
      </c>
      <c r="Y426" s="9" t="s">
        <v>8231</v>
      </c>
      <c r="Z426" s="9" t="s">
        <v>5551</v>
      </c>
      <c r="AC426" s="9">
        <v>8.250177000022E12</v>
      </c>
      <c r="AD426" s="9">
        <v>8.250177E8</v>
      </c>
      <c r="AE426" s="9" t="s">
        <v>401</v>
      </c>
      <c r="AF426" s="60">
        <v>45042.37703703704</v>
      </c>
      <c r="AG426" s="9" t="s">
        <v>17139</v>
      </c>
      <c r="AH426" s="9" t="s">
        <v>17152</v>
      </c>
      <c r="AJ426" s="9" t="s">
        <v>17153</v>
      </c>
      <c r="AK426" s="9" t="b">
        <v>1</v>
      </c>
      <c r="AL426" s="9" t="b">
        <v>0</v>
      </c>
      <c r="AN426" s="9" t="s">
        <v>10552</v>
      </c>
      <c r="AP426" s="61">
        <v>44523.0</v>
      </c>
      <c r="AQ426" s="9" t="b">
        <v>0</v>
      </c>
      <c r="AR426" s="9" t="s">
        <v>17154</v>
      </c>
      <c r="AS426" s="9" t="s">
        <v>12303</v>
      </c>
    </row>
    <row r="427" ht="15.75" customHeight="1">
      <c r="A427" s="7" t="s">
        <v>7390</v>
      </c>
      <c r="B427" s="7" t="s">
        <v>7391</v>
      </c>
      <c r="C427" s="6" t="s">
        <v>117</v>
      </c>
      <c r="D427" s="7" t="s">
        <v>197</v>
      </c>
      <c r="E427" s="7" t="s">
        <v>559</v>
      </c>
      <c r="F427" s="7"/>
      <c r="G427" s="7" t="s">
        <v>422</v>
      </c>
      <c r="H427" s="7"/>
      <c r="I427" s="7"/>
      <c r="J427" s="7">
        <v>27.0</v>
      </c>
      <c r="K427" s="7" t="s">
        <v>14628</v>
      </c>
      <c r="L427" s="7">
        <v>97414.0</v>
      </c>
      <c r="M427" s="7" t="s">
        <v>40</v>
      </c>
      <c r="N427" s="7"/>
      <c r="O427" s="6" t="s">
        <v>17155</v>
      </c>
      <c r="P427" s="42" t="s">
        <v>17156</v>
      </c>
      <c r="Q427" s="43" t="s">
        <v>17157</v>
      </c>
      <c r="R427" s="50"/>
      <c r="S427" s="51"/>
      <c r="T427" s="7" t="s">
        <v>7393</v>
      </c>
      <c r="U427" s="7"/>
      <c r="V427" s="6" t="s">
        <v>17158</v>
      </c>
      <c r="W427" s="7"/>
      <c r="X427" s="7" t="s">
        <v>2842</v>
      </c>
      <c r="Y427" s="7" t="s">
        <v>377</v>
      </c>
      <c r="Z427" s="7" t="s">
        <v>378</v>
      </c>
      <c r="AA427" s="7"/>
      <c r="AB427" s="7"/>
      <c r="AC427" s="6">
        <v>4.4425518600017E13</v>
      </c>
      <c r="AD427" s="6">
        <v>4.44255186E8</v>
      </c>
      <c r="AE427" s="6" t="s">
        <v>401</v>
      </c>
      <c r="AF427" s="45">
        <v>45040.47130787037</v>
      </c>
      <c r="AG427" s="7" t="s">
        <v>17159</v>
      </c>
      <c r="AH427" s="46" t="s">
        <v>17160</v>
      </c>
      <c r="AI427" s="7"/>
      <c r="AJ427" s="6" t="s">
        <v>17161</v>
      </c>
      <c r="AK427" s="7" t="b">
        <v>0</v>
      </c>
      <c r="AL427" s="7" t="b">
        <v>0</v>
      </c>
      <c r="AM427" s="7"/>
      <c r="AN427" s="6" t="s">
        <v>7390</v>
      </c>
      <c r="AO427" s="6">
        <v>2057.0</v>
      </c>
      <c r="AP427" s="6"/>
      <c r="AQ427" s="6" t="b">
        <v>1</v>
      </c>
      <c r="AR427" s="6"/>
      <c r="AS427" s="48" t="s">
        <v>12303</v>
      </c>
    </row>
    <row r="428" ht="15.75" customHeight="1">
      <c r="A428" s="7" t="s">
        <v>8439</v>
      </c>
      <c r="B428" s="7" t="s">
        <v>17162</v>
      </c>
      <c r="C428" s="7" t="s">
        <v>58</v>
      </c>
      <c r="D428" s="7" t="s">
        <v>59</v>
      </c>
      <c r="E428" s="6" t="s">
        <v>9804</v>
      </c>
      <c r="F428" s="6">
        <v>2.0</v>
      </c>
      <c r="G428" s="6" t="s">
        <v>1456</v>
      </c>
      <c r="H428" s="7"/>
      <c r="I428" s="7"/>
      <c r="J428" s="41" t="s">
        <v>12331</v>
      </c>
      <c r="K428" s="7" t="s">
        <v>17163</v>
      </c>
      <c r="L428" s="7">
        <v>97430.0</v>
      </c>
      <c r="M428" s="7" t="s">
        <v>71</v>
      </c>
      <c r="N428" s="6" t="s">
        <v>13851</v>
      </c>
      <c r="O428" s="6" t="s">
        <v>17164</v>
      </c>
      <c r="P428" s="42" t="s">
        <v>764</v>
      </c>
      <c r="Q428" s="43" t="s">
        <v>16494</v>
      </c>
      <c r="R428" s="43" t="s">
        <v>16495</v>
      </c>
      <c r="S428" s="51"/>
      <c r="T428" s="6" t="s">
        <v>17165</v>
      </c>
      <c r="U428" s="6" t="s">
        <v>17166</v>
      </c>
      <c r="V428" s="6" t="s">
        <v>17167</v>
      </c>
      <c r="W428" s="6" t="s">
        <v>17168</v>
      </c>
      <c r="X428" s="6" t="s">
        <v>17169</v>
      </c>
      <c r="Y428" s="6" t="s">
        <v>499</v>
      </c>
      <c r="Z428" s="6" t="s">
        <v>592</v>
      </c>
      <c r="AA428" s="7"/>
      <c r="AB428" s="7"/>
      <c r="AC428" s="7"/>
      <c r="AD428" s="7"/>
      <c r="AE428" s="6" t="s">
        <v>401</v>
      </c>
      <c r="AF428" s="45">
        <v>45037.43341435185</v>
      </c>
      <c r="AG428" s="7" t="s">
        <v>16501</v>
      </c>
      <c r="AH428" s="46" t="s">
        <v>17170</v>
      </c>
      <c r="AI428" s="7"/>
      <c r="AJ428" s="6" t="s">
        <v>17171</v>
      </c>
      <c r="AK428" s="7" t="b">
        <v>0</v>
      </c>
      <c r="AL428" s="7" t="b">
        <v>0</v>
      </c>
      <c r="AM428" s="6" t="s">
        <v>8446</v>
      </c>
      <c r="AN428" s="6" t="s">
        <v>8439</v>
      </c>
      <c r="AO428" s="7"/>
      <c r="AP428" s="7"/>
      <c r="AQ428" s="6" t="b">
        <v>0</v>
      </c>
      <c r="AR428" s="6" t="s">
        <v>15655</v>
      </c>
      <c r="AS428" s="6"/>
    </row>
    <row r="429" ht="15.75" customHeight="1">
      <c r="A429" s="9" t="s">
        <v>12185</v>
      </c>
      <c r="B429" s="9" t="s">
        <v>17172</v>
      </c>
      <c r="C429" s="9" t="s">
        <v>58</v>
      </c>
      <c r="D429" s="9" t="s">
        <v>59</v>
      </c>
      <c r="E429" s="9" t="s">
        <v>346</v>
      </c>
      <c r="F429" s="9">
        <v>10.0</v>
      </c>
      <c r="H429" s="9" t="s">
        <v>395</v>
      </c>
      <c r="J429" s="52" t="s">
        <v>12820</v>
      </c>
      <c r="K429" s="9" t="s">
        <v>17173</v>
      </c>
      <c r="L429" s="9">
        <v>97480.0</v>
      </c>
      <c r="M429" s="9" t="s">
        <v>123</v>
      </c>
      <c r="N429" s="9" t="s">
        <v>3556</v>
      </c>
      <c r="O429" s="9" t="s">
        <v>17174</v>
      </c>
      <c r="P429" s="53" t="s">
        <v>17175</v>
      </c>
      <c r="Q429" s="49" t="s">
        <v>17176</v>
      </c>
      <c r="R429" s="50"/>
      <c r="S429" s="54" t="s">
        <v>12350</v>
      </c>
      <c r="T429" s="9"/>
      <c r="V429" s="9"/>
      <c r="W429" s="9" t="s">
        <v>17177</v>
      </c>
      <c r="X429" s="9" t="s">
        <v>17178</v>
      </c>
      <c r="Z429" s="9" t="s">
        <v>353</v>
      </c>
      <c r="AC429" s="9">
        <v>3.4788046000022E13</v>
      </c>
      <c r="AD429" s="9">
        <v>3.4788046E8</v>
      </c>
      <c r="AE429" s="9" t="s">
        <v>401</v>
      </c>
      <c r="AF429" s="55">
        <v>45036.58707175926</v>
      </c>
      <c r="AG429" s="9" t="s">
        <v>17179</v>
      </c>
      <c r="AH429" s="9" t="s">
        <v>17180</v>
      </c>
      <c r="AJ429" s="9" t="s">
        <v>17181</v>
      </c>
      <c r="AM429" s="9" t="s">
        <v>17182</v>
      </c>
      <c r="AN429" s="9" t="s">
        <v>12185</v>
      </c>
      <c r="AP429" s="56">
        <v>44410.0</v>
      </c>
      <c r="AQ429" s="6" t="b">
        <v>1</v>
      </c>
      <c r="AR429" s="6"/>
      <c r="AS429" s="6" t="s">
        <v>12303</v>
      </c>
    </row>
    <row r="430" ht="15.75" customHeight="1">
      <c r="A430" s="7" t="s">
        <v>4423</v>
      </c>
      <c r="B430" s="7" t="s">
        <v>4424</v>
      </c>
      <c r="C430" s="7" t="s">
        <v>58</v>
      </c>
      <c r="D430" s="7" t="s">
        <v>137</v>
      </c>
      <c r="E430" s="7" t="s">
        <v>1091</v>
      </c>
      <c r="F430" s="7">
        <v>24.0</v>
      </c>
      <c r="G430" s="7" t="s">
        <v>4427</v>
      </c>
      <c r="H430" s="7"/>
      <c r="I430" s="7"/>
      <c r="J430" s="7">
        <v>80.0</v>
      </c>
      <c r="K430" s="7" t="s">
        <v>17183</v>
      </c>
      <c r="L430" s="7">
        <v>97442.0</v>
      </c>
      <c r="M430" s="7" t="s">
        <v>33</v>
      </c>
      <c r="N430" s="6" t="s">
        <v>15096</v>
      </c>
      <c r="O430" s="7" t="s">
        <v>4437</v>
      </c>
      <c r="P430" s="42" t="s">
        <v>4430</v>
      </c>
      <c r="Q430" s="43" t="s">
        <v>17184</v>
      </c>
      <c r="R430" s="50"/>
      <c r="S430" s="51"/>
      <c r="T430" s="6" t="s">
        <v>17185</v>
      </c>
      <c r="U430" s="7" t="s">
        <v>4431</v>
      </c>
      <c r="V430" s="7" t="s">
        <v>4433</v>
      </c>
      <c r="W430" s="6" t="s">
        <v>17186</v>
      </c>
      <c r="X430" s="7" t="s">
        <v>4429</v>
      </c>
      <c r="Y430" s="6" t="s">
        <v>12715</v>
      </c>
      <c r="Z430" s="7" t="s">
        <v>353</v>
      </c>
      <c r="AA430" s="7"/>
      <c r="AB430" s="7"/>
      <c r="AC430" s="7">
        <v>3.5018510400048E13</v>
      </c>
      <c r="AD430" s="7">
        <v>3.50185104E8</v>
      </c>
      <c r="AE430" s="6" t="s">
        <v>401</v>
      </c>
      <c r="AF430" s="45">
        <v>45033.602106481485</v>
      </c>
      <c r="AG430" s="7" t="s">
        <v>17187</v>
      </c>
      <c r="AH430" s="46" t="s">
        <v>17188</v>
      </c>
      <c r="AI430" s="7"/>
      <c r="AJ430" s="7"/>
      <c r="AK430" s="6" t="b">
        <v>1</v>
      </c>
      <c r="AL430" s="7" t="b">
        <v>0</v>
      </c>
      <c r="AM430" s="6" t="s">
        <v>4439</v>
      </c>
      <c r="AN430" s="6" t="s">
        <v>4423</v>
      </c>
      <c r="AO430" s="6">
        <v>3516.0</v>
      </c>
      <c r="AP430" s="6"/>
      <c r="AQ430" s="6" t="b">
        <v>1</v>
      </c>
      <c r="AR430" s="6" t="s">
        <v>17189</v>
      </c>
      <c r="AS430" s="48" t="s">
        <v>12303</v>
      </c>
    </row>
    <row r="431" ht="15.75" customHeight="1">
      <c r="A431" s="7" t="s">
        <v>9972</v>
      </c>
      <c r="B431" s="7" t="s">
        <v>8902</v>
      </c>
      <c r="C431" s="6" t="s">
        <v>117</v>
      </c>
      <c r="D431" s="7" t="s">
        <v>197</v>
      </c>
      <c r="E431" s="6" t="s">
        <v>17190</v>
      </c>
      <c r="F431" s="6">
        <v>247.0</v>
      </c>
      <c r="G431" s="7" t="s">
        <v>422</v>
      </c>
      <c r="H431" s="7"/>
      <c r="I431" s="7"/>
      <c r="J431" s="6">
        <v>4.0</v>
      </c>
      <c r="K431" s="7" t="s">
        <v>12779</v>
      </c>
      <c r="L431" s="7">
        <v>97414.0</v>
      </c>
      <c r="M431" s="7" t="s">
        <v>40</v>
      </c>
      <c r="N431" s="7"/>
      <c r="O431" s="6" t="s">
        <v>17191</v>
      </c>
      <c r="P431" s="53" t="s">
        <v>17192</v>
      </c>
      <c r="Q431" s="49" t="s">
        <v>17193</v>
      </c>
      <c r="R431" s="50" t="s">
        <v>12350</v>
      </c>
      <c r="S431" s="47"/>
      <c r="T431" s="7" t="s">
        <v>9977</v>
      </c>
      <c r="U431" s="6" t="s">
        <v>17194</v>
      </c>
      <c r="V431" s="6" t="s">
        <v>17195</v>
      </c>
      <c r="W431" s="6" t="s">
        <v>17196</v>
      </c>
      <c r="X431" s="6" t="s">
        <v>17197</v>
      </c>
      <c r="Y431" s="6" t="s">
        <v>2938</v>
      </c>
      <c r="Z431" s="6" t="s">
        <v>1508</v>
      </c>
      <c r="AA431" s="7"/>
      <c r="AB431" s="7"/>
      <c r="AC431" s="7">
        <v>8.1823138300014E13</v>
      </c>
      <c r="AD431" s="7">
        <v>8.18231383E8</v>
      </c>
      <c r="AE431" s="6" t="s">
        <v>401</v>
      </c>
      <c r="AF431" s="45">
        <v>45033.59347222222</v>
      </c>
      <c r="AG431" s="7" t="s">
        <v>17198</v>
      </c>
      <c r="AH431" s="46" t="s">
        <v>17199</v>
      </c>
      <c r="AI431" s="7"/>
      <c r="AJ431" s="6" t="s">
        <v>17200</v>
      </c>
      <c r="AK431" s="6" t="b">
        <v>1</v>
      </c>
      <c r="AL431" s="7" t="b">
        <v>0</v>
      </c>
      <c r="AM431" s="7"/>
      <c r="AN431" s="6" t="s">
        <v>9972</v>
      </c>
      <c r="AO431" s="7"/>
      <c r="AP431" s="7"/>
      <c r="AQ431" s="6" t="b">
        <v>1</v>
      </c>
      <c r="AR431" s="6" t="s">
        <v>17201</v>
      </c>
      <c r="AS431" s="48" t="s">
        <v>12303</v>
      </c>
    </row>
    <row r="432" ht="15.75" customHeight="1">
      <c r="A432" s="9" t="s">
        <v>11627</v>
      </c>
      <c r="B432" s="9" t="s">
        <v>17202</v>
      </c>
      <c r="C432" s="9" t="s">
        <v>34</v>
      </c>
      <c r="D432" s="9" t="s">
        <v>678</v>
      </c>
      <c r="E432" s="9" t="s">
        <v>17203</v>
      </c>
      <c r="F432" s="9">
        <v>15.0</v>
      </c>
      <c r="J432" s="52" t="s">
        <v>17204</v>
      </c>
      <c r="K432" s="9" t="s">
        <v>17205</v>
      </c>
      <c r="L432" s="9">
        <v>97442.0</v>
      </c>
      <c r="M432" s="9" t="s">
        <v>33</v>
      </c>
      <c r="N432" s="9" t="s">
        <v>14526</v>
      </c>
      <c r="O432" s="9" t="s">
        <v>17206</v>
      </c>
      <c r="P432" s="53" t="s">
        <v>17207</v>
      </c>
      <c r="Q432" s="49" t="s">
        <v>17208</v>
      </c>
      <c r="R432" s="50"/>
      <c r="S432" s="54" t="s">
        <v>12350</v>
      </c>
      <c r="T432" s="9" t="s">
        <v>17209</v>
      </c>
      <c r="U432" s="9" t="s">
        <v>17210</v>
      </c>
      <c r="V432" s="9" t="s">
        <v>17211</v>
      </c>
      <c r="W432" s="9" t="s">
        <v>17212</v>
      </c>
      <c r="X432" s="9" t="s">
        <v>17213</v>
      </c>
      <c r="Y432" s="9" t="s">
        <v>8231</v>
      </c>
      <c r="Z432" s="9" t="s">
        <v>592</v>
      </c>
      <c r="AC432" s="9">
        <v>7.5184533000024E13</v>
      </c>
      <c r="AD432" s="9">
        <v>7.5184533E8</v>
      </c>
      <c r="AE432" s="9" t="s">
        <v>401</v>
      </c>
      <c r="AF432" s="55">
        <v>45414.55762731482</v>
      </c>
      <c r="AG432" s="9" t="s">
        <v>17214</v>
      </c>
      <c r="AH432" s="9" t="s">
        <v>17215</v>
      </c>
      <c r="AJ432" s="9" t="s">
        <v>17216</v>
      </c>
      <c r="AK432" s="9" t="b">
        <v>1</v>
      </c>
      <c r="AL432" s="9" t="b">
        <v>1</v>
      </c>
      <c r="AN432" s="9" t="s">
        <v>11627</v>
      </c>
      <c r="AP432" s="56">
        <v>44467.0</v>
      </c>
      <c r="AQ432" s="9" t="b">
        <v>0</v>
      </c>
      <c r="AR432" s="9" t="s">
        <v>17217</v>
      </c>
      <c r="AS432" s="48" t="s">
        <v>12303</v>
      </c>
    </row>
    <row r="433" ht="15.75" customHeight="1">
      <c r="A433" s="7" t="s">
        <v>7773</v>
      </c>
      <c r="B433" s="6" t="s">
        <v>17218</v>
      </c>
      <c r="C433" s="7" t="s">
        <v>822</v>
      </c>
      <c r="D433" s="7" t="s">
        <v>4789</v>
      </c>
      <c r="E433" s="7" t="s">
        <v>4790</v>
      </c>
      <c r="F433" s="6">
        <v>12.0</v>
      </c>
      <c r="G433" s="7" t="s">
        <v>375</v>
      </c>
      <c r="H433" s="7"/>
      <c r="I433" s="6" t="s">
        <v>17219</v>
      </c>
      <c r="J433" s="7">
        <v>48.0</v>
      </c>
      <c r="K433" s="7" t="s">
        <v>13798</v>
      </c>
      <c r="L433" s="7">
        <v>97442.0</v>
      </c>
      <c r="M433" s="7" t="s">
        <v>33</v>
      </c>
      <c r="N433" s="6" t="s">
        <v>14526</v>
      </c>
      <c r="O433" s="6" t="s">
        <v>17220</v>
      </c>
      <c r="P433" s="42" t="s">
        <v>7776</v>
      </c>
      <c r="Q433" s="49" t="s">
        <v>17221</v>
      </c>
      <c r="R433" s="43" t="s">
        <v>17222</v>
      </c>
      <c r="S433" s="51" t="s">
        <v>17223</v>
      </c>
      <c r="T433" s="6" t="s">
        <v>17224</v>
      </c>
      <c r="U433" s="6" t="s">
        <v>17225</v>
      </c>
      <c r="V433" s="6" t="s">
        <v>17226</v>
      </c>
      <c r="W433" s="6" t="s">
        <v>17227</v>
      </c>
      <c r="X433" s="6" t="s">
        <v>17228</v>
      </c>
      <c r="Y433" s="6" t="s">
        <v>17229</v>
      </c>
      <c r="Z433" s="7" t="s">
        <v>592</v>
      </c>
      <c r="AA433" s="7"/>
      <c r="AB433" s="7"/>
      <c r="AC433" s="7">
        <v>4.3102619400016E13</v>
      </c>
      <c r="AD433" s="7">
        <v>4.31026194E8</v>
      </c>
      <c r="AE433" s="6" t="s">
        <v>401</v>
      </c>
      <c r="AF433" s="45">
        <v>45831.29163194444</v>
      </c>
      <c r="AG433" s="7" t="s">
        <v>17230</v>
      </c>
      <c r="AH433" s="46" t="s">
        <v>17231</v>
      </c>
      <c r="AI433" s="7"/>
      <c r="AJ433" s="6" t="s">
        <v>17232</v>
      </c>
      <c r="AK433" s="6" t="b">
        <v>1</v>
      </c>
      <c r="AL433" s="6" t="b">
        <v>1</v>
      </c>
      <c r="AM433" s="7"/>
      <c r="AN433" s="6" t="s">
        <v>7773</v>
      </c>
      <c r="AO433" s="6">
        <v>2847.0</v>
      </c>
      <c r="AP433" s="6"/>
      <c r="AQ433" s="6" t="b">
        <v>1</v>
      </c>
      <c r="AR433" s="6" t="s">
        <v>17233</v>
      </c>
      <c r="AS433" s="48" t="s">
        <v>12303</v>
      </c>
    </row>
    <row r="434" ht="15.75" customHeight="1">
      <c r="A434" s="7" t="s">
        <v>4045</v>
      </c>
      <c r="B434" s="7" t="s">
        <v>17234</v>
      </c>
      <c r="C434" s="7" t="s">
        <v>58</v>
      </c>
      <c r="D434" s="7" t="s">
        <v>453</v>
      </c>
      <c r="E434" s="7" t="s">
        <v>454</v>
      </c>
      <c r="F434" s="7">
        <v>10.0</v>
      </c>
      <c r="G434" s="6" t="s">
        <v>375</v>
      </c>
      <c r="H434" s="7" t="s">
        <v>574</v>
      </c>
      <c r="I434" s="7" t="s">
        <v>578</v>
      </c>
      <c r="J434" s="7" t="s">
        <v>17235</v>
      </c>
      <c r="K434" s="7" t="s">
        <v>17236</v>
      </c>
      <c r="L434" s="7">
        <v>97442.0</v>
      </c>
      <c r="M434" s="7" t="s">
        <v>33</v>
      </c>
      <c r="N434" s="6" t="s">
        <v>15582</v>
      </c>
      <c r="O434" s="7" t="s">
        <v>4043</v>
      </c>
      <c r="P434" s="42" t="s">
        <v>4037</v>
      </c>
      <c r="Q434" s="49" t="s">
        <v>17237</v>
      </c>
      <c r="R434" s="50"/>
      <c r="S434" s="51"/>
      <c r="T434" s="7" t="s">
        <v>4049</v>
      </c>
      <c r="U434" s="7" t="s">
        <v>4048</v>
      </c>
      <c r="V434" s="6" t="s">
        <v>17238</v>
      </c>
      <c r="W434" s="6" t="s">
        <v>17239</v>
      </c>
      <c r="X434" s="7" t="s">
        <v>4047</v>
      </c>
      <c r="Y434" s="7" t="s">
        <v>377</v>
      </c>
      <c r="Z434" s="7" t="s">
        <v>378</v>
      </c>
      <c r="AA434" s="7"/>
      <c r="AB434" s="7"/>
      <c r="AC434" s="7">
        <v>3.8808507800029E13</v>
      </c>
      <c r="AD434" s="7">
        <v>3.88085078E8</v>
      </c>
      <c r="AE434" s="6" t="s">
        <v>401</v>
      </c>
      <c r="AF434" s="45">
        <v>45889.58849537037</v>
      </c>
      <c r="AG434" s="7" t="s">
        <v>17240</v>
      </c>
      <c r="AH434" s="46" t="s">
        <v>17241</v>
      </c>
      <c r="AI434" s="7"/>
      <c r="AJ434" s="6" t="s">
        <v>17242</v>
      </c>
      <c r="AK434" s="7" t="b">
        <v>0</v>
      </c>
      <c r="AL434" s="7" t="b">
        <v>0</v>
      </c>
      <c r="AM434" s="6" t="s">
        <v>4051</v>
      </c>
      <c r="AN434" s="6" t="s">
        <v>4045</v>
      </c>
      <c r="AO434" s="6">
        <v>3816.0</v>
      </c>
      <c r="AP434" s="6"/>
      <c r="AQ434" s="6" t="b">
        <v>1</v>
      </c>
      <c r="AR434" s="6"/>
      <c r="AS434" s="48" t="s">
        <v>12303</v>
      </c>
    </row>
    <row r="435" ht="15.75" customHeight="1">
      <c r="A435" s="7" t="s">
        <v>9039</v>
      </c>
      <c r="B435" s="7" t="s">
        <v>9040</v>
      </c>
      <c r="C435" s="7" t="s">
        <v>58</v>
      </c>
      <c r="D435" s="7" t="s">
        <v>453</v>
      </c>
      <c r="E435" s="7" t="s">
        <v>454</v>
      </c>
      <c r="F435" s="7">
        <v>10.0</v>
      </c>
      <c r="G435" s="6" t="s">
        <v>455</v>
      </c>
      <c r="H435" s="7"/>
      <c r="I435" s="6" t="s">
        <v>1419</v>
      </c>
      <c r="J435" s="41" t="s">
        <v>16176</v>
      </c>
      <c r="K435" s="6" t="s">
        <v>17243</v>
      </c>
      <c r="L435" s="7">
        <v>97442.0</v>
      </c>
      <c r="M435" s="7" t="s">
        <v>33</v>
      </c>
      <c r="N435" s="6" t="s">
        <v>17244</v>
      </c>
      <c r="O435" s="6" t="s">
        <v>17245</v>
      </c>
      <c r="P435" s="42" t="s">
        <v>9042</v>
      </c>
      <c r="Q435" s="43" t="s">
        <v>17246</v>
      </c>
      <c r="R435" s="50"/>
      <c r="S435" s="51"/>
      <c r="T435" s="6" t="s">
        <v>17247</v>
      </c>
      <c r="U435" s="6" t="s">
        <v>17248</v>
      </c>
      <c r="V435" s="6" t="s">
        <v>17249</v>
      </c>
      <c r="W435" s="6" t="s">
        <v>17250</v>
      </c>
      <c r="X435" s="6" t="s">
        <v>17251</v>
      </c>
      <c r="Y435" s="7" t="s">
        <v>377</v>
      </c>
      <c r="Z435" s="7" t="s">
        <v>353</v>
      </c>
      <c r="AA435" s="7" t="s">
        <v>3849</v>
      </c>
      <c r="AB435" s="7" t="s">
        <v>1590</v>
      </c>
      <c r="AC435" s="7">
        <v>5.2325970300016E13</v>
      </c>
      <c r="AD435" s="7">
        <v>5.23259703E8</v>
      </c>
      <c r="AE435" s="6" t="s">
        <v>401</v>
      </c>
      <c r="AF435" s="45">
        <v>45863.57020833333</v>
      </c>
      <c r="AG435" s="7" t="s">
        <v>17252</v>
      </c>
      <c r="AH435" s="46" t="s">
        <v>17253</v>
      </c>
      <c r="AI435" s="7"/>
      <c r="AJ435" s="6" t="s">
        <v>17254</v>
      </c>
      <c r="AK435" s="7" t="b">
        <v>0</v>
      </c>
      <c r="AL435" s="7" t="b">
        <v>0</v>
      </c>
      <c r="AM435" s="6" t="s">
        <v>9047</v>
      </c>
      <c r="AN435" s="6" t="s">
        <v>9039</v>
      </c>
      <c r="AO435" s="7"/>
      <c r="AP435" s="7"/>
      <c r="AQ435" s="6" t="b">
        <v>1</v>
      </c>
      <c r="AR435" s="6" t="s">
        <v>17255</v>
      </c>
      <c r="AS435" s="48" t="s">
        <v>12303</v>
      </c>
    </row>
    <row r="436" ht="15.75" customHeight="1">
      <c r="A436" s="9" t="s">
        <v>11945</v>
      </c>
      <c r="B436" s="9" t="s">
        <v>17256</v>
      </c>
      <c r="C436" s="9" t="s">
        <v>58</v>
      </c>
      <c r="D436" s="9" t="s">
        <v>59</v>
      </c>
      <c r="E436" s="9" t="s">
        <v>346</v>
      </c>
      <c r="F436" s="9">
        <v>4.0</v>
      </c>
      <c r="H436" s="9" t="s">
        <v>395</v>
      </c>
      <c r="J436" s="9" t="s">
        <v>17257</v>
      </c>
      <c r="K436" s="9" t="s">
        <v>17258</v>
      </c>
      <c r="L436" s="9">
        <v>97418.0</v>
      </c>
      <c r="M436" s="9" t="s">
        <v>71</v>
      </c>
      <c r="N436" s="9" t="s">
        <v>216</v>
      </c>
      <c r="O436" s="9" t="s">
        <v>17259</v>
      </c>
      <c r="P436" s="53" t="s">
        <v>13221</v>
      </c>
      <c r="Q436" s="49" t="s">
        <v>13222</v>
      </c>
      <c r="R436" s="50"/>
      <c r="S436" s="59"/>
      <c r="T436" s="9" t="s">
        <v>17260</v>
      </c>
      <c r="U436" s="9" t="s">
        <v>17261</v>
      </c>
      <c r="V436" s="9" t="s">
        <v>13225</v>
      </c>
      <c r="W436" s="9" t="s">
        <v>17262</v>
      </c>
      <c r="X436" s="9" t="s">
        <v>17263</v>
      </c>
      <c r="Y436" s="9" t="s">
        <v>1863</v>
      </c>
      <c r="Z436" s="9" t="s">
        <v>424</v>
      </c>
      <c r="AC436" s="9">
        <v>9.1521800200011E13</v>
      </c>
      <c r="AD436" s="9">
        <v>9.15218002E8</v>
      </c>
      <c r="AE436" s="9" t="s">
        <v>401</v>
      </c>
      <c r="AF436" s="55">
        <v>45782.63217592592</v>
      </c>
      <c r="AG436" s="9" t="s">
        <v>13229</v>
      </c>
      <c r="AH436" s="9" t="s">
        <v>17264</v>
      </c>
      <c r="AJ436" s="9" t="s">
        <v>17265</v>
      </c>
      <c r="AK436" s="9" t="b">
        <v>0</v>
      </c>
      <c r="AL436" s="9" t="b">
        <v>0</v>
      </c>
      <c r="AM436" s="9" t="s">
        <v>17266</v>
      </c>
      <c r="AN436" s="9" t="s">
        <v>11945</v>
      </c>
      <c r="AP436" s="56">
        <v>44733.0</v>
      </c>
      <c r="AQ436" s="9" t="b">
        <v>1</v>
      </c>
      <c r="AR436" s="9" t="s">
        <v>17267</v>
      </c>
    </row>
    <row r="437" ht="15.75" customHeight="1">
      <c r="A437" s="7" t="s">
        <v>6692</v>
      </c>
      <c r="B437" s="7" t="s">
        <v>17268</v>
      </c>
      <c r="C437" s="7" t="s">
        <v>58</v>
      </c>
      <c r="D437" s="7" t="s">
        <v>137</v>
      </c>
      <c r="E437" s="7" t="s">
        <v>1091</v>
      </c>
      <c r="F437" s="7">
        <v>21.0</v>
      </c>
      <c r="G437" s="7" t="s">
        <v>1092</v>
      </c>
      <c r="H437" s="7"/>
      <c r="I437" s="7"/>
      <c r="J437" s="41" t="s">
        <v>13151</v>
      </c>
      <c r="K437" s="7" t="s">
        <v>12685</v>
      </c>
      <c r="L437" s="7">
        <v>97418.0</v>
      </c>
      <c r="M437" s="7" t="s">
        <v>71</v>
      </c>
      <c r="N437" s="6" t="s">
        <v>12685</v>
      </c>
      <c r="O437" s="7" t="s">
        <v>6702</v>
      </c>
      <c r="P437" s="42" t="s">
        <v>6696</v>
      </c>
      <c r="Q437" s="49" t="s">
        <v>17269</v>
      </c>
      <c r="R437" s="43" t="s">
        <v>17270</v>
      </c>
      <c r="S437" s="57" t="s">
        <v>17271</v>
      </c>
      <c r="T437" s="7" t="s">
        <v>6698</v>
      </c>
      <c r="U437" s="7" t="s">
        <v>6697</v>
      </c>
      <c r="V437" s="6" t="s">
        <v>12685</v>
      </c>
      <c r="W437" s="6" t="s">
        <v>17272</v>
      </c>
      <c r="X437" s="7" t="s">
        <v>1094</v>
      </c>
      <c r="Y437" s="7" t="s">
        <v>377</v>
      </c>
      <c r="Z437" s="7" t="s">
        <v>353</v>
      </c>
      <c r="AA437" s="7"/>
      <c r="AB437" s="7"/>
      <c r="AC437" s="7">
        <v>4.9829011300022E13</v>
      </c>
      <c r="AD437" s="7">
        <v>4.98290113E8</v>
      </c>
      <c r="AE437" s="6" t="s">
        <v>401</v>
      </c>
      <c r="AF437" s="45">
        <v>45376.477685185186</v>
      </c>
      <c r="AG437" s="7" t="s">
        <v>17273</v>
      </c>
      <c r="AH437" s="46" t="s">
        <v>17274</v>
      </c>
      <c r="AI437" s="7"/>
      <c r="AJ437" s="7"/>
      <c r="AK437" s="7" t="b">
        <v>0</v>
      </c>
      <c r="AL437" s="7" t="b">
        <v>0</v>
      </c>
      <c r="AM437" s="6" t="s">
        <v>6703</v>
      </c>
      <c r="AN437" s="6" t="s">
        <v>6692</v>
      </c>
      <c r="AO437" s="6">
        <v>1727.0</v>
      </c>
      <c r="AP437" s="6"/>
      <c r="AQ437" s="6" t="b">
        <v>1</v>
      </c>
      <c r="AR437" s="6"/>
      <c r="AS437" s="48" t="s">
        <v>12303</v>
      </c>
    </row>
    <row r="438" ht="15.75" customHeight="1">
      <c r="A438" s="7" t="s">
        <v>3963</v>
      </c>
      <c r="B438" s="7" t="s">
        <v>3964</v>
      </c>
      <c r="C438" s="7" t="s">
        <v>34</v>
      </c>
      <c r="D438" s="7" t="s">
        <v>1414</v>
      </c>
      <c r="E438" s="7" t="s">
        <v>3967</v>
      </c>
      <c r="F438" s="6">
        <v>80.0</v>
      </c>
      <c r="G438" s="7" t="s">
        <v>407</v>
      </c>
      <c r="H438" s="7"/>
      <c r="I438" s="7" t="s">
        <v>578</v>
      </c>
      <c r="J438" s="7" t="s">
        <v>17016</v>
      </c>
      <c r="K438" s="6" t="s">
        <v>17275</v>
      </c>
      <c r="L438" s="7">
        <v>97430.0</v>
      </c>
      <c r="M438" s="7" t="s">
        <v>71</v>
      </c>
      <c r="N438" s="6" t="s">
        <v>8411</v>
      </c>
      <c r="O438" s="6" t="s">
        <v>17276</v>
      </c>
      <c r="P438" s="42" t="s">
        <v>3969</v>
      </c>
      <c r="Q438" s="49" t="s">
        <v>17277</v>
      </c>
      <c r="R438" s="43" t="s">
        <v>17020</v>
      </c>
      <c r="S438" s="51"/>
      <c r="T438" s="6" t="s">
        <v>17278</v>
      </c>
      <c r="U438" s="6" t="s">
        <v>17279</v>
      </c>
      <c r="V438" s="7" t="s">
        <v>3971</v>
      </c>
      <c r="W438" s="6" t="s">
        <v>17280</v>
      </c>
      <c r="X438" s="7" t="s">
        <v>488</v>
      </c>
      <c r="Y438" s="6" t="s">
        <v>12715</v>
      </c>
      <c r="Z438" s="7" t="s">
        <v>353</v>
      </c>
      <c r="AA438" s="7"/>
      <c r="AB438" s="7"/>
      <c r="AC438" s="7">
        <v>4.5034929500011E13</v>
      </c>
      <c r="AD438" s="7">
        <v>4.50349295E8</v>
      </c>
      <c r="AE438" s="6" t="s">
        <v>401</v>
      </c>
      <c r="AF438" s="45">
        <v>45414.47893518519</v>
      </c>
      <c r="AG438" s="7" t="s">
        <v>17023</v>
      </c>
      <c r="AH438" s="46" t="s">
        <v>17281</v>
      </c>
      <c r="AI438" s="7"/>
      <c r="AJ438" s="6" t="s">
        <v>17282</v>
      </c>
      <c r="AK438" s="6" t="b">
        <v>1</v>
      </c>
      <c r="AL438" s="7" t="b">
        <v>0</v>
      </c>
      <c r="AM438" s="7"/>
      <c r="AN438" s="6" t="s">
        <v>3963</v>
      </c>
      <c r="AO438" s="6">
        <v>820.0</v>
      </c>
      <c r="AP438" s="6"/>
      <c r="AQ438" s="6" t="b">
        <v>1</v>
      </c>
      <c r="AR438" s="6"/>
      <c r="AS438" s="6" t="s">
        <v>12303</v>
      </c>
    </row>
    <row r="439" ht="15.75" customHeight="1">
      <c r="A439" s="9" t="s">
        <v>11999</v>
      </c>
      <c r="B439" s="9" t="s">
        <v>12707</v>
      </c>
      <c r="C439" s="9" t="s">
        <v>58</v>
      </c>
      <c r="D439" s="9" t="s">
        <v>453</v>
      </c>
      <c r="E439" s="9" t="s">
        <v>454</v>
      </c>
      <c r="F439" s="9">
        <v>12.0</v>
      </c>
      <c r="G439" s="9" t="s">
        <v>455</v>
      </c>
      <c r="J439" s="9" t="s">
        <v>12708</v>
      </c>
      <c r="K439" s="9" t="s">
        <v>12709</v>
      </c>
      <c r="L439" s="9">
        <v>97480.0</v>
      </c>
      <c r="M439" s="9" t="s">
        <v>123</v>
      </c>
      <c r="N439" s="9" t="s">
        <v>8325</v>
      </c>
      <c r="O439" s="9" t="s">
        <v>17283</v>
      </c>
      <c r="P439" s="53" t="s">
        <v>12711</v>
      </c>
      <c r="Q439" s="49" t="s">
        <v>17284</v>
      </c>
      <c r="R439" s="50"/>
      <c r="S439" s="54"/>
      <c r="T439" s="9" t="s">
        <v>17285</v>
      </c>
      <c r="U439" s="9" t="s">
        <v>17286</v>
      </c>
      <c r="V439" s="9" t="s">
        <v>17287</v>
      </c>
      <c r="W439" s="9" t="s">
        <v>17288</v>
      </c>
      <c r="X439" s="9" t="s">
        <v>17289</v>
      </c>
      <c r="Y439" s="9" t="s">
        <v>12715</v>
      </c>
      <c r="Z439" s="9" t="s">
        <v>592</v>
      </c>
      <c r="AC439" s="9">
        <v>9.0511975600013E13</v>
      </c>
      <c r="AD439" s="9">
        <v>9.05119756E8</v>
      </c>
      <c r="AE439" s="9" t="s">
        <v>401</v>
      </c>
      <c r="AF439" s="60">
        <v>45014.6559375</v>
      </c>
      <c r="AG439" s="9" t="s">
        <v>12716</v>
      </c>
      <c r="AH439" s="9" t="s">
        <v>17290</v>
      </c>
      <c r="AJ439" s="9" t="s">
        <v>17291</v>
      </c>
      <c r="AK439" s="9" t="b">
        <v>0</v>
      </c>
      <c r="AL439" s="9" t="b">
        <v>0</v>
      </c>
      <c r="AM439" s="9" t="s">
        <v>17292</v>
      </c>
      <c r="AN439" s="9" t="s">
        <v>11999</v>
      </c>
      <c r="AP439" s="61">
        <v>44530.0</v>
      </c>
      <c r="AQ439" s="9" t="b">
        <v>0</v>
      </c>
    </row>
    <row r="440" ht="33.75" customHeight="1">
      <c r="A440" s="9" t="s">
        <v>12191</v>
      </c>
      <c r="B440" s="9" t="s">
        <v>17293</v>
      </c>
      <c r="C440" s="9" t="s">
        <v>58</v>
      </c>
      <c r="D440" s="9" t="s">
        <v>59</v>
      </c>
      <c r="E440" s="9" t="s">
        <v>346</v>
      </c>
      <c r="F440" s="9">
        <v>6.0</v>
      </c>
      <c r="G440" s="9" t="s">
        <v>455</v>
      </c>
      <c r="J440" s="9" t="s">
        <v>17294</v>
      </c>
      <c r="K440" s="9" t="s">
        <v>15853</v>
      </c>
      <c r="L440" s="9">
        <v>97442.0</v>
      </c>
      <c r="M440" s="9" t="s">
        <v>33</v>
      </c>
      <c r="N440" s="9" t="s">
        <v>224</v>
      </c>
      <c r="O440" s="9" t="s">
        <v>17295</v>
      </c>
      <c r="P440" s="53" t="s">
        <v>17296</v>
      </c>
      <c r="Q440" s="49" t="s">
        <v>17297</v>
      </c>
      <c r="R440" s="50"/>
      <c r="S440" s="54" t="s">
        <v>12350</v>
      </c>
      <c r="T440" s="9" t="s">
        <v>17298</v>
      </c>
      <c r="U440" s="9" t="s">
        <v>17299</v>
      </c>
      <c r="V440" s="9" t="s">
        <v>17300</v>
      </c>
      <c r="W440" s="9" t="s">
        <v>17301</v>
      </c>
      <c r="X440" s="9" t="s">
        <v>17302</v>
      </c>
      <c r="Y440" s="9" t="s">
        <v>2390</v>
      </c>
      <c r="Z440" s="9" t="s">
        <v>378</v>
      </c>
      <c r="AC440" s="9">
        <v>4.2479044200018E13</v>
      </c>
      <c r="AD440" s="9">
        <v>4.24790442E8</v>
      </c>
      <c r="AE440" s="9" t="s">
        <v>401</v>
      </c>
      <c r="AF440" s="55">
        <v>45014.628587962965</v>
      </c>
      <c r="AG440" s="9" t="s">
        <v>17303</v>
      </c>
      <c r="AH440" s="9" t="s">
        <v>17304</v>
      </c>
      <c r="AJ440" s="9" t="s">
        <v>17305</v>
      </c>
      <c r="AK440" s="9" t="b">
        <v>0</v>
      </c>
      <c r="AM440" s="9" t="s">
        <v>17306</v>
      </c>
      <c r="AN440" s="9" t="s">
        <v>12191</v>
      </c>
      <c r="AP440" s="56">
        <v>44417.0</v>
      </c>
      <c r="AQ440" s="6" t="b">
        <v>0</v>
      </c>
      <c r="AR440" s="6"/>
      <c r="AS440" s="48" t="s">
        <v>12303</v>
      </c>
    </row>
    <row r="441" ht="15.75" customHeight="1">
      <c r="A441" s="7" t="s">
        <v>8939</v>
      </c>
      <c r="B441" s="7" t="s">
        <v>8940</v>
      </c>
      <c r="C441" s="7" t="s">
        <v>58</v>
      </c>
      <c r="D441" s="7" t="s">
        <v>59</v>
      </c>
      <c r="E441" s="7"/>
      <c r="F441" s="7">
        <v>12.0</v>
      </c>
      <c r="G441" s="6" t="s">
        <v>455</v>
      </c>
      <c r="H441" s="7"/>
      <c r="I441" s="7"/>
      <c r="J441" s="41" t="s">
        <v>17307</v>
      </c>
      <c r="K441" s="6" t="s">
        <v>17308</v>
      </c>
      <c r="L441" s="7">
        <v>97480.0</v>
      </c>
      <c r="M441" s="7" t="s">
        <v>123</v>
      </c>
      <c r="N441" s="6" t="s">
        <v>13878</v>
      </c>
      <c r="O441" s="6" t="s">
        <v>17309</v>
      </c>
      <c r="P441" s="42" t="s">
        <v>3754</v>
      </c>
      <c r="Q441" s="43" t="s">
        <v>17310</v>
      </c>
      <c r="R441" s="50"/>
      <c r="S441" s="51"/>
      <c r="T441" s="7" t="s">
        <v>8943</v>
      </c>
      <c r="U441" s="7"/>
      <c r="V441" s="7"/>
      <c r="W441" s="7"/>
      <c r="X441" s="7"/>
      <c r="Y441" s="7"/>
      <c r="Z441" s="7"/>
      <c r="AA441" s="7" t="s">
        <v>8947</v>
      </c>
      <c r="AB441" s="7" t="s">
        <v>1829</v>
      </c>
      <c r="AC441" s="7"/>
      <c r="AD441" s="7"/>
      <c r="AE441" s="6" t="s">
        <v>12355</v>
      </c>
      <c r="AF441" s="45">
        <v>45434.537199074075</v>
      </c>
      <c r="AG441" s="7" t="s">
        <v>17311</v>
      </c>
      <c r="AH441" s="46" t="s">
        <v>17312</v>
      </c>
      <c r="AI441" s="7"/>
      <c r="AJ441" s="7"/>
      <c r="AK441" s="7" t="b">
        <v>0</v>
      </c>
      <c r="AL441" s="7" t="b">
        <v>0</v>
      </c>
      <c r="AM441" s="6" t="s">
        <v>4660</v>
      </c>
      <c r="AN441" s="6" t="s">
        <v>8939</v>
      </c>
      <c r="AO441" s="7"/>
      <c r="AP441" s="7"/>
      <c r="AQ441" s="6" t="b">
        <v>0</v>
      </c>
      <c r="AR441" s="6"/>
      <c r="AS441" s="6" t="s">
        <v>12303</v>
      </c>
    </row>
    <row r="442" ht="15.75" customHeight="1">
      <c r="A442" s="7" t="s">
        <v>9933</v>
      </c>
      <c r="B442" s="7" t="s">
        <v>9934</v>
      </c>
      <c r="C442" s="7" t="s">
        <v>58</v>
      </c>
      <c r="D442" s="7" t="s">
        <v>59</v>
      </c>
      <c r="E442" s="6" t="s">
        <v>12384</v>
      </c>
      <c r="F442" s="7">
        <v>6.0</v>
      </c>
      <c r="G442" s="6" t="s">
        <v>455</v>
      </c>
      <c r="H442" s="7"/>
      <c r="I442" s="7"/>
      <c r="J442" s="7">
        <v>11.0</v>
      </c>
      <c r="K442" s="7" t="s">
        <v>16320</v>
      </c>
      <c r="L442" s="7">
        <v>97418.0</v>
      </c>
      <c r="M442" s="7" t="s">
        <v>71</v>
      </c>
      <c r="N442" s="7" t="s">
        <v>216</v>
      </c>
      <c r="O442" s="6" t="s">
        <v>17313</v>
      </c>
      <c r="P442" s="42" t="s">
        <v>17314</v>
      </c>
      <c r="Q442" s="43" t="s">
        <v>17315</v>
      </c>
      <c r="R442" s="50"/>
      <c r="S442" s="51"/>
      <c r="T442" s="6" t="s">
        <v>17316</v>
      </c>
      <c r="U442" s="6" t="s">
        <v>17317</v>
      </c>
      <c r="V442" s="7"/>
      <c r="W442" s="6" t="s">
        <v>17318</v>
      </c>
      <c r="X442" s="6" t="s">
        <v>17319</v>
      </c>
      <c r="Y442" s="6" t="s">
        <v>17320</v>
      </c>
      <c r="Z442" s="7" t="s">
        <v>353</v>
      </c>
      <c r="AA442" s="7"/>
      <c r="AB442" s="7"/>
      <c r="AC442" s="7"/>
      <c r="AD442" s="7"/>
      <c r="AE442" s="6" t="s">
        <v>401</v>
      </c>
      <c r="AF442" s="45">
        <v>45014.60288194445</v>
      </c>
      <c r="AG442" s="7" t="s">
        <v>17321</v>
      </c>
      <c r="AH442" s="46" t="s">
        <v>17322</v>
      </c>
      <c r="AI442" s="7"/>
      <c r="AJ442" s="7"/>
      <c r="AK442" s="7" t="b">
        <v>0</v>
      </c>
      <c r="AL442" s="7" t="b">
        <v>0</v>
      </c>
      <c r="AM442" s="6" t="s">
        <v>9939</v>
      </c>
      <c r="AN442" s="6" t="s">
        <v>9933</v>
      </c>
      <c r="AO442" s="7"/>
      <c r="AP442" s="7"/>
      <c r="AQ442" s="6" t="b">
        <v>0</v>
      </c>
      <c r="AR442" s="6"/>
      <c r="AS442" s="48" t="s">
        <v>12303</v>
      </c>
    </row>
    <row r="443" ht="15.75" customHeight="1">
      <c r="A443" s="7" t="s">
        <v>6145</v>
      </c>
      <c r="B443" s="7" t="s">
        <v>17323</v>
      </c>
      <c r="C443" s="7" t="s">
        <v>58</v>
      </c>
      <c r="D443" s="7" t="s">
        <v>137</v>
      </c>
      <c r="E443" s="7" t="s">
        <v>1091</v>
      </c>
      <c r="F443" s="7">
        <v>29.0</v>
      </c>
      <c r="G443" s="7" t="s">
        <v>6148</v>
      </c>
      <c r="H443" s="7"/>
      <c r="I443" s="7"/>
      <c r="J443" s="41" t="s">
        <v>13151</v>
      </c>
      <c r="K443" s="6" t="s">
        <v>17324</v>
      </c>
      <c r="L443" s="7">
        <v>97418.0</v>
      </c>
      <c r="M443" s="7" t="s">
        <v>71</v>
      </c>
      <c r="N443" s="6" t="s">
        <v>12685</v>
      </c>
      <c r="O443" s="7" t="s">
        <v>6157</v>
      </c>
      <c r="P443" s="53" t="s">
        <v>17314</v>
      </c>
      <c r="Q443" s="49" t="s">
        <v>17325</v>
      </c>
      <c r="R443" s="50"/>
      <c r="S443" s="51"/>
      <c r="T443" s="7" t="s">
        <v>6152</v>
      </c>
      <c r="U443" s="7" t="s">
        <v>6151</v>
      </c>
      <c r="V443" s="7" t="s">
        <v>6153</v>
      </c>
      <c r="W443" s="6" t="s">
        <v>17326</v>
      </c>
      <c r="X443" s="7" t="s">
        <v>6150</v>
      </c>
      <c r="Y443" s="7" t="s">
        <v>377</v>
      </c>
      <c r="Z443" s="7" t="s">
        <v>353</v>
      </c>
      <c r="AA443" s="7"/>
      <c r="AB443" s="7"/>
      <c r="AC443" s="7">
        <v>4.4464363900016E13</v>
      </c>
      <c r="AD443" s="7">
        <v>4.44643639E8</v>
      </c>
      <c r="AE443" s="7" t="s">
        <v>401</v>
      </c>
      <c r="AF443" s="45">
        <v>45376.49872685185</v>
      </c>
      <c r="AG443" s="7" t="s">
        <v>17321</v>
      </c>
      <c r="AH443" s="46" t="s">
        <v>17327</v>
      </c>
      <c r="AI443" s="7"/>
      <c r="AJ443" s="6" t="s">
        <v>17328</v>
      </c>
      <c r="AK443" s="7" t="b">
        <v>0</v>
      </c>
      <c r="AL443" s="7" t="b">
        <v>0</v>
      </c>
      <c r="AM443" s="6" t="s">
        <v>6158</v>
      </c>
      <c r="AN443" s="6" t="s">
        <v>6145</v>
      </c>
      <c r="AO443" s="7"/>
      <c r="AP443" s="7"/>
      <c r="AQ443" s="6" t="b">
        <v>1</v>
      </c>
      <c r="AR443" s="6"/>
      <c r="AS443" s="48" t="s">
        <v>12303</v>
      </c>
    </row>
    <row r="444" ht="15.75" customHeight="1">
      <c r="A444" s="7" t="s">
        <v>5426</v>
      </c>
      <c r="B444" s="6" t="s">
        <v>17329</v>
      </c>
      <c r="C444" s="7" t="s">
        <v>58</v>
      </c>
      <c r="D444" s="7" t="s">
        <v>59</v>
      </c>
      <c r="E444" s="7" t="s">
        <v>346</v>
      </c>
      <c r="F444" s="6">
        <v>10.0</v>
      </c>
      <c r="G444" s="6" t="s">
        <v>455</v>
      </c>
      <c r="H444" s="7"/>
      <c r="I444" s="7"/>
      <c r="J444" s="41" t="s">
        <v>17330</v>
      </c>
      <c r="K444" s="7" t="s">
        <v>17331</v>
      </c>
      <c r="L444" s="7">
        <v>97430.0</v>
      </c>
      <c r="M444" s="7" t="s">
        <v>71</v>
      </c>
      <c r="N444" s="6" t="s">
        <v>13058</v>
      </c>
      <c r="O444" s="6" t="s">
        <v>17332</v>
      </c>
      <c r="P444" s="53" t="s">
        <v>5429</v>
      </c>
      <c r="Q444" s="49" t="s">
        <v>17333</v>
      </c>
      <c r="R444" s="50"/>
      <c r="S444" s="51"/>
      <c r="T444" s="6" t="s">
        <v>17334</v>
      </c>
      <c r="U444" s="6" t="s">
        <v>17335</v>
      </c>
      <c r="V444" s="7"/>
      <c r="W444" s="6" t="s">
        <v>17336</v>
      </c>
      <c r="X444" s="6" t="s">
        <v>17337</v>
      </c>
      <c r="Y444" s="6" t="s">
        <v>17338</v>
      </c>
      <c r="Z444" s="6" t="s">
        <v>378</v>
      </c>
      <c r="AA444" s="7"/>
      <c r="AB444" s="7"/>
      <c r="AC444" s="6">
        <v>4.8948887400012E13</v>
      </c>
      <c r="AD444" s="6">
        <v>4.89488874E8</v>
      </c>
      <c r="AE444" s="6" t="s">
        <v>401</v>
      </c>
      <c r="AF444" s="45">
        <v>45981.60621527778</v>
      </c>
      <c r="AG444" s="7" t="s">
        <v>17339</v>
      </c>
      <c r="AH444" s="46" t="s">
        <v>17340</v>
      </c>
      <c r="AI444" s="7"/>
      <c r="AJ444" s="6" t="s">
        <v>17341</v>
      </c>
      <c r="AK444" s="7" t="b">
        <v>0</v>
      </c>
      <c r="AL444" s="7" t="b">
        <v>0</v>
      </c>
      <c r="AM444" s="6" t="s">
        <v>17342</v>
      </c>
      <c r="AN444" s="6" t="s">
        <v>5426</v>
      </c>
      <c r="AO444" s="7"/>
      <c r="AP444" s="7"/>
      <c r="AQ444" s="6" t="b">
        <v>0</v>
      </c>
      <c r="AR444" s="6"/>
      <c r="AS444" s="6"/>
    </row>
    <row r="445" ht="15.75" customHeight="1">
      <c r="A445" s="7" t="s">
        <v>4545</v>
      </c>
      <c r="B445" s="7" t="s">
        <v>17343</v>
      </c>
      <c r="C445" s="7" t="s">
        <v>58</v>
      </c>
      <c r="D445" s="7" t="s">
        <v>453</v>
      </c>
      <c r="E445" s="7" t="s">
        <v>454</v>
      </c>
      <c r="F445" s="6">
        <v>8.0</v>
      </c>
      <c r="G445" s="7" t="s">
        <v>455</v>
      </c>
      <c r="H445" s="7" t="s">
        <v>574</v>
      </c>
      <c r="I445" s="7" t="s">
        <v>578</v>
      </c>
      <c r="J445" s="7" t="s">
        <v>17344</v>
      </c>
      <c r="K445" s="7" t="s">
        <v>17345</v>
      </c>
      <c r="L445" s="7">
        <v>97418.0</v>
      </c>
      <c r="M445" s="7" t="s">
        <v>71</v>
      </c>
      <c r="N445" s="7" t="s">
        <v>216</v>
      </c>
      <c r="O445" s="7" t="s">
        <v>3582</v>
      </c>
      <c r="P445" s="42" t="s">
        <v>3576</v>
      </c>
      <c r="Q445" s="43" t="s">
        <v>17346</v>
      </c>
      <c r="R445" s="43" t="s">
        <v>17347</v>
      </c>
      <c r="S445" s="47" t="s">
        <v>3574</v>
      </c>
      <c r="T445" s="7" t="s">
        <v>4551</v>
      </c>
      <c r="U445" s="7" t="s">
        <v>4550</v>
      </c>
      <c r="V445" s="7" t="s">
        <v>4552</v>
      </c>
      <c r="W445" s="6" t="s">
        <v>17348</v>
      </c>
      <c r="X445" s="6" t="s">
        <v>17349</v>
      </c>
      <c r="Y445" s="7" t="s">
        <v>352</v>
      </c>
      <c r="Z445" s="7" t="s">
        <v>353</v>
      </c>
      <c r="AA445" s="7" t="s">
        <v>4555</v>
      </c>
      <c r="AB445" s="7" t="s">
        <v>1829</v>
      </c>
      <c r="AC445" s="7">
        <v>4.3909838500016E13</v>
      </c>
      <c r="AD445" s="7">
        <v>4.39098385E8</v>
      </c>
      <c r="AE445" s="6" t="s">
        <v>401</v>
      </c>
      <c r="AF445" s="45">
        <v>45377.659375</v>
      </c>
      <c r="AG445" s="7" t="s">
        <v>17350</v>
      </c>
      <c r="AH445" s="46" t="s">
        <v>17351</v>
      </c>
      <c r="AI445" s="7"/>
      <c r="AJ445" s="6" t="s">
        <v>17352</v>
      </c>
      <c r="AK445" s="7" t="b">
        <v>0</v>
      </c>
      <c r="AL445" s="7" t="b">
        <v>0</v>
      </c>
      <c r="AM445" s="6" t="s">
        <v>4556</v>
      </c>
      <c r="AN445" s="6" t="s">
        <v>4545</v>
      </c>
      <c r="AO445" s="6">
        <v>15.0</v>
      </c>
      <c r="AP445" s="6"/>
      <c r="AQ445" s="6" t="b">
        <v>1</v>
      </c>
      <c r="AR445" s="6"/>
      <c r="AS445" s="48" t="s">
        <v>12303</v>
      </c>
    </row>
    <row r="446" ht="15.75" customHeight="1">
      <c r="A446" s="9" t="s">
        <v>10556</v>
      </c>
      <c r="B446" s="9" t="s">
        <v>17353</v>
      </c>
      <c r="C446" s="9" t="s">
        <v>58</v>
      </c>
      <c r="D446" s="9" t="s">
        <v>59</v>
      </c>
      <c r="E446" s="9" t="s">
        <v>12384</v>
      </c>
      <c r="F446" s="9">
        <v>4.0</v>
      </c>
      <c r="J446" s="9" t="s">
        <v>17354</v>
      </c>
      <c r="K446" s="9" t="s">
        <v>17355</v>
      </c>
      <c r="L446" s="9">
        <v>97418.0</v>
      </c>
      <c r="M446" s="9" t="s">
        <v>71</v>
      </c>
      <c r="N446" s="9" t="s">
        <v>216</v>
      </c>
      <c r="O446" s="9" t="s">
        <v>17356</v>
      </c>
      <c r="P446" s="53" t="s">
        <v>17357</v>
      </c>
      <c r="Q446" s="49" t="s">
        <v>17358</v>
      </c>
      <c r="R446" s="50"/>
      <c r="S446" s="54"/>
      <c r="T446" s="9" t="s">
        <v>17359</v>
      </c>
      <c r="U446" s="9" t="s">
        <v>17360</v>
      </c>
      <c r="V446" s="9" t="s">
        <v>17361</v>
      </c>
      <c r="W446" s="9" t="s">
        <v>17362</v>
      </c>
      <c r="X446" s="9" t="s">
        <v>17363</v>
      </c>
      <c r="Z446" s="9" t="s">
        <v>353</v>
      </c>
      <c r="AC446" s="9">
        <v>8.447029850002E13</v>
      </c>
      <c r="AD446" s="9">
        <v>8.44702985E8</v>
      </c>
      <c r="AE446" s="9" t="s">
        <v>401</v>
      </c>
      <c r="AF446" s="55">
        <v>45014.419907407406</v>
      </c>
      <c r="AG446" s="9" t="s">
        <v>17364</v>
      </c>
      <c r="AH446" s="9" t="s">
        <v>17365</v>
      </c>
      <c r="AJ446" s="9" t="s">
        <v>17366</v>
      </c>
      <c r="AK446" s="9" t="b">
        <v>0</v>
      </c>
      <c r="AL446" s="9" t="b">
        <v>0</v>
      </c>
      <c r="AM446" s="9" t="s">
        <v>17367</v>
      </c>
      <c r="AN446" s="9" t="s">
        <v>10556</v>
      </c>
      <c r="AP446" s="56">
        <v>44960.0</v>
      </c>
      <c r="AQ446" s="9" t="b">
        <v>0</v>
      </c>
    </row>
    <row r="447" ht="15.75" customHeight="1">
      <c r="A447" s="7" t="s">
        <v>8558</v>
      </c>
      <c r="B447" s="7" t="s">
        <v>8559</v>
      </c>
      <c r="C447" s="7" t="s">
        <v>58</v>
      </c>
      <c r="D447" s="7" t="s">
        <v>59</v>
      </c>
      <c r="E447" s="6" t="s">
        <v>545</v>
      </c>
      <c r="F447" s="7">
        <v>2.0</v>
      </c>
      <c r="G447" s="6" t="s">
        <v>455</v>
      </c>
      <c r="H447" s="7"/>
      <c r="I447" s="7"/>
      <c r="J447" s="41" t="s">
        <v>17368</v>
      </c>
      <c r="K447" s="6" t="s">
        <v>17369</v>
      </c>
      <c r="L447" s="7">
        <v>97418.0</v>
      </c>
      <c r="M447" s="7" t="s">
        <v>71</v>
      </c>
      <c r="N447" s="7" t="s">
        <v>216</v>
      </c>
      <c r="O447" s="6" t="s">
        <v>17370</v>
      </c>
      <c r="P447" s="42" t="s">
        <v>8561</v>
      </c>
      <c r="Q447" s="43" t="s">
        <v>17371</v>
      </c>
      <c r="R447" s="50"/>
      <c r="S447" s="51"/>
      <c r="T447" s="6" t="s">
        <v>17372</v>
      </c>
      <c r="U447" s="6" t="s">
        <v>17373</v>
      </c>
      <c r="V447" s="7"/>
      <c r="W447" s="6" t="s">
        <v>17374</v>
      </c>
      <c r="X447" s="6" t="s">
        <v>17375</v>
      </c>
      <c r="Y447" s="6" t="s">
        <v>8231</v>
      </c>
      <c r="Z447" s="6" t="s">
        <v>353</v>
      </c>
      <c r="AA447" s="7"/>
      <c r="AB447" s="7"/>
      <c r="AC447" s="6">
        <v>8.9447833800011E13</v>
      </c>
      <c r="AD447" s="6">
        <v>8.94478338E8</v>
      </c>
      <c r="AE447" s="6" t="s">
        <v>401</v>
      </c>
      <c r="AF447" s="45">
        <v>45014.34490740741</v>
      </c>
      <c r="AG447" s="7" t="s">
        <v>17376</v>
      </c>
      <c r="AH447" s="46" t="s">
        <v>17377</v>
      </c>
      <c r="AI447" s="7"/>
      <c r="AJ447" s="6" t="s">
        <v>17378</v>
      </c>
      <c r="AK447" s="7" t="b">
        <v>0</v>
      </c>
      <c r="AL447" s="7" t="b">
        <v>0</v>
      </c>
      <c r="AM447" s="6" t="s">
        <v>8566</v>
      </c>
      <c r="AN447" s="6" t="s">
        <v>8558</v>
      </c>
      <c r="AO447" s="7"/>
      <c r="AP447" s="7"/>
      <c r="AQ447" s="6" t="b">
        <v>0</v>
      </c>
      <c r="AR447" s="6"/>
      <c r="AS447" s="48" t="s">
        <v>12303</v>
      </c>
    </row>
    <row r="448" ht="15.75" customHeight="1">
      <c r="A448" s="9" t="s">
        <v>12144</v>
      </c>
      <c r="B448" s="9" t="s">
        <v>17379</v>
      </c>
      <c r="C448" s="9" t="s">
        <v>58</v>
      </c>
      <c r="D448" s="9" t="s">
        <v>59</v>
      </c>
      <c r="E448" s="9" t="s">
        <v>374</v>
      </c>
      <c r="F448" s="9">
        <v>12.0</v>
      </c>
      <c r="J448" s="52" t="s">
        <v>13151</v>
      </c>
      <c r="K448" s="9" t="s">
        <v>17380</v>
      </c>
      <c r="L448" s="9">
        <v>97480.0</v>
      </c>
      <c r="M448" s="9" t="s">
        <v>123</v>
      </c>
      <c r="N448" s="9" t="s">
        <v>8383</v>
      </c>
      <c r="O448" s="9" t="s">
        <v>17381</v>
      </c>
      <c r="P448" s="53" t="s">
        <v>17382</v>
      </c>
      <c r="Q448" s="49" t="s">
        <v>17383</v>
      </c>
      <c r="R448" s="50"/>
      <c r="S448" s="54"/>
      <c r="T448" s="9" t="s">
        <v>17384</v>
      </c>
      <c r="U448" s="9" t="s">
        <v>17385</v>
      </c>
      <c r="V448" s="9" t="s">
        <v>17386</v>
      </c>
      <c r="W448" s="9" t="s">
        <v>17387</v>
      </c>
      <c r="X448" s="9" t="s">
        <v>17388</v>
      </c>
      <c r="Y448" s="9" t="s">
        <v>377</v>
      </c>
      <c r="Z448" s="9" t="s">
        <v>353</v>
      </c>
      <c r="AC448" s="9">
        <v>9.2254459800019E13</v>
      </c>
      <c r="AD448" s="9">
        <v>9.22544598E8</v>
      </c>
      <c r="AE448" s="9" t="s">
        <v>401</v>
      </c>
      <c r="AF448" s="55">
        <v>45475.43136574074</v>
      </c>
      <c r="AG448" s="9" t="s">
        <v>17389</v>
      </c>
      <c r="AH448" s="9" t="s">
        <v>17390</v>
      </c>
      <c r="AJ448" s="9" t="s">
        <v>17391</v>
      </c>
      <c r="AK448" s="9" t="b">
        <v>0</v>
      </c>
      <c r="AL448" s="9" t="b">
        <v>0</v>
      </c>
      <c r="AM448" s="9" t="s">
        <v>17392</v>
      </c>
      <c r="AN448" s="9" t="s">
        <v>12144</v>
      </c>
      <c r="AP448" s="56">
        <v>44594.0</v>
      </c>
      <c r="AQ448" s="9" t="b">
        <v>0</v>
      </c>
      <c r="AR448" s="9" t="s">
        <v>17393</v>
      </c>
      <c r="AS448" s="9" t="s">
        <v>12303</v>
      </c>
    </row>
    <row r="449" ht="15.75" customHeight="1">
      <c r="A449" s="7" t="s">
        <v>9522</v>
      </c>
      <c r="B449" s="7" t="s">
        <v>17394</v>
      </c>
      <c r="C449" s="7" t="s">
        <v>58</v>
      </c>
      <c r="D449" s="6" t="s">
        <v>59</v>
      </c>
      <c r="E449" s="6" t="s">
        <v>545</v>
      </c>
      <c r="F449" s="7">
        <v>11.0</v>
      </c>
      <c r="G449" s="6" t="s">
        <v>455</v>
      </c>
      <c r="H449" s="7"/>
      <c r="I449" s="7"/>
      <c r="J449" s="41" t="s">
        <v>15756</v>
      </c>
      <c r="K449" s="6" t="s">
        <v>17395</v>
      </c>
      <c r="L449" s="7">
        <v>97418.0</v>
      </c>
      <c r="M449" s="7" t="s">
        <v>71</v>
      </c>
      <c r="N449" s="7" t="s">
        <v>216</v>
      </c>
      <c r="O449" s="6" t="s">
        <v>17396</v>
      </c>
      <c r="P449" s="53" t="s">
        <v>17397</v>
      </c>
      <c r="Q449" s="43" t="s">
        <v>17398</v>
      </c>
      <c r="R449" s="50"/>
      <c r="S449" s="51"/>
      <c r="T449" s="6" t="s">
        <v>17399</v>
      </c>
      <c r="U449" s="6" t="s">
        <v>17400</v>
      </c>
      <c r="V449" s="7"/>
      <c r="W449" s="6" t="s">
        <v>17401</v>
      </c>
      <c r="X449" s="6" t="s">
        <v>17402</v>
      </c>
      <c r="Y449" s="6" t="s">
        <v>2390</v>
      </c>
      <c r="Z449" s="6" t="s">
        <v>592</v>
      </c>
      <c r="AA449" s="7"/>
      <c r="AB449" s="7"/>
      <c r="AC449" s="6">
        <v>9.147866940001E13</v>
      </c>
      <c r="AD449" s="6">
        <v>9.14786694E8</v>
      </c>
      <c r="AE449" s="6" t="s">
        <v>12355</v>
      </c>
      <c r="AF449" s="45">
        <v>45796.537997685184</v>
      </c>
      <c r="AG449" s="7" t="s">
        <v>17403</v>
      </c>
      <c r="AH449" s="46" t="s">
        <v>17404</v>
      </c>
      <c r="AI449" s="7"/>
      <c r="AJ449" s="6" t="s">
        <v>17405</v>
      </c>
      <c r="AK449" s="7" t="b">
        <v>0</v>
      </c>
      <c r="AL449" s="7" t="b">
        <v>0</v>
      </c>
      <c r="AM449" s="6" t="s">
        <v>9529</v>
      </c>
      <c r="AN449" s="6" t="s">
        <v>9522</v>
      </c>
      <c r="AO449" s="7"/>
      <c r="AP449" s="7"/>
      <c r="AQ449" s="6" t="b">
        <v>0</v>
      </c>
      <c r="AR449" s="6"/>
      <c r="AS449" s="48" t="s">
        <v>12303</v>
      </c>
    </row>
    <row r="450" ht="15.75" customHeight="1">
      <c r="A450" s="9" t="s">
        <v>10562</v>
      </c>
      <c r="B450" s="9" t="s">
        <v>17406</v>
      </c>
      <c r="C450" s="9" t="s">
        <v>34</v>
      </c>
      <c r="D450" s="9" t="s">
        <v>485</v>
      </c>
      <c r="E450" s="9" t="s">
        <v>17407</v>
      </c>
      <c r="F450" s="9">
        <v>2.0</v>
      </c>
      <c r="J450" s="52" t="s">
        <v>13331</v>
      </c>
      <c r="K450" s="9" t="s">
        <v>17408</v>
      </c>
      <c r="L450" s="9">
        <v>97414.0</v>
      </c>
      <c r="M450" s="9" t="s">
        <v>40</v>
      </c>
      <c r="O450" s="9" t="s">
        <v>17409</v>
      </c>
      <c r="P450" s="53" t="s">
        <v>17410</v>
      </c>
      <c r="Q450" s="49" t="s">
        <v>17411</v>
      </c>
      <c r="R450" s="50"/>
      <c r="S450" s="58" t="s">
        <v>17412</v>
      </c>
      <c r="T450" s="9" t="s">
        <v>17413</v>
      </c>
      <c r="U450" s="9" t="s">
        <v>17414</v>
      </c>
      <c r="V450" s="9" t="s">
        <v>17415</v>
      </c>
      <c r="W450" s="9" t="s">
        <v>17416</v>
      </c>
      <c r="X450" s="9" t="s">
        <v>17417</v>
      </c>
      <c r="Y450" s="9" t="s">
        <v>1863</v>
      </c>
      <c r="Z450" s="9" t="s">
        <v>851</v>
      </c>
      <c r="AC450" s="9">
        <v>8.0540395300054E13</v>
      </c>
      <c r="AD450" s="9">
        <v>8.05403953E8</v>
      </c>
      <c r="AE450" s="9" t="s">
        <v>401</v>
      </c>
      <c r="AF450" s="55">
        <v>45414.46912037037</v>
      </c>
      <c r="AG450" s="9" t="s">
        <v>17418</v>
      </c>
      <c r="AH450" s="9" t="s">
        <v>17419</v>
      </c>
      <c r="AJ450" s="9" t="s">
        <v>17420</v>
      </c>
      <c r="AK450" s="9" t="b">
        <v>0</v>
      </c>
      <c r="AL450" s="9" t="b">
        <v>0</v>
      </c>
      <c r="AM450" s="9" t="s">
        <v>17421</v>
      </c>
      <c r="AN450" s="9" t="s">
        <v>10562</v>
      </c>
      <c r="AP450" s="56">
        <v>44574.0</v>
      </c>
      <c r="AQ450" s="9" t="b">
        <v>1</v>
      </c>
      <c r="AR450" s="9" t="s">
        <v>17422</v>
      </c>
      <c r="AS450" s="48" t="s">
        <v>12303</v>
      </c>
    </row>
    <row r="451" ht="15.75" customHeight="1">
      <c r="A451" s="7" t="s">
        <v>6433</v>
      </c>
      <c r="B451" s="7" t="s">
        <v>17423</v>
      </c>
      <c r="C451" s="7" t="s">
        <v>34</v>
      </c>
      <c r="D451" s="7" t="s">
        <v>622</v>
      </c>
      <c r="E451" s="7" t="s">
        <v>622</v>
      </c>
      <c r="F451" s="7">
        <v>100.0</v>
      </c>
      <c r="G451" s="7" t="s">
        <v>407</v>
      </c>
      <c r="H451" s="7"/>
      <c r="I451" s="7"/>
      <c r="J451" s="41" t="s">
        <v>14338</v>
      </c>
      <c r="K451" s="7" t="s">
        <v>17424</v>
      </c>
      <c r="L451" s="7">
        <v>97480.0</v>
      </c>
      <c r="M451" s="7" t="s">
        <v>123</v>
      </c>
      <c r="N451" s="7" t="s">
        <v>206</v>
      </c>
      <c r="O451" s="6" t="s">
        <v>17425</v>
      </c>
      <c r="P451" s="53" t="s">
        <v>17426</v>
      </c>
      <c r="Q451" s="49" t="s">
        <v>17427</v>
      </c>
      <c r="R451" s="43" t="s">
        <v>17428</v>
      </c>
      <c r="S451" s="51"/>
      <c r="T451" s="6" t="s">
        <v>17429</v>
      </c>
      <c r="U451" s="6" t="s">
        <v>17430</v>
      </c>
      <c r="V451" s="7" t="s">
        <v>6438</v>
      </c>
      <c r="W451" s="6" t="s">
        <v>17431</v>
      </c>
      <c r="X451" s="7" t="s">
        <v>1482</v>
      </c>
      <c r="Y451" s="6" t="s">
        <v>13253</v>
      </c>
      <c r="Z451" s="7" t="s">
        <v>592</v>
      </c>
      <c r="AA451" s="7"/>
      <c r="AB451" s="7"/>
      <c r="AC451" s="7">
        <v>4.5034534300047E13</v>
      </c>
      <c r="AD451" s="7">
        <v>4.50345343E8</v>
      </c>
      <c r="AE451" s="6" t="s">
        <v>401</v>
      </c>
      <c r="AF451" s="45">
        <v>46070.475856481484</v>
      </c>
      <c r="AG451" s="7" t="s">
        <v>17432</v>
      </c>
      <c r="AH451" s="46" t="s">
        <v>17433</v>
      </c>
      <c r="AI451" s="7"/>
      <c r="AJ451" s="6" t="s">
        <v>17434</v>
      </c>
      <c r="AK451" s="6" t="b">
        <v>1</v>
      </c>
      <c r="AL451" s="7" t="b">
        <v>0</v>
      </c>
      <c r="AM451" s="7"/>
      <c r="AN451" s="6" t="s">
        <v>6433</v>
      </c>
      <c r="AO451" s="6">
        <v>1002.0</v>
      </c>
      <c r="AP451" s="6"/>
      <c r="AQ451" s="6" t="b">
        <v>1</v>
      </c>
      <c r="AR451" s="6"/>
      <c r="AS451" s="6"/>
    </row>
    <row r="452" ht="15.75" customHeight="1">
      <c r="A452" s="9" t="s">
        <v>11975</v>
      </c>
      <c r="B452" s="9" t="s">
        <v>17435</v>
      </c>
      <c r="C452" s="9" t="s">
        <v>58</v>
      </c>
      <c r="D452" s="9" t="s">
        <v>453</v>
      </c>
      <c r="E452" s="9" t="s">
        <v>12384</v>
      </c>
      <c r="F452" s="9">
        <v>4.0</v>
      </c>
      <c r="G452" s="9" t="s">
        <v>9057</v>
      </c>
      <c r="J452" s="52" t="s">
        <v>17436</v>
      </c>
      <c r="K452" s="9" t="s">
        <v>17437</v>
      </c>
      <c r="L452" s="9">
        <v>97418.0</v>
      </c>
      <c r="M452" s="9" t="s">
        <v>71</v>
      </c>
      <c r="N452" s="9" t="s">
        <v>216</v>
      </c>
      <c r="O452" s="9" t="s">
        <v>17438</v>
      </c>
      <c r="P452" s="53" t="s">
        <v>17439</v>
      </c>
      <c r="Q452" s="49" t="s">
        <v>17440</v>
      </c>
      <c r="R452" s="50"/>
      <c r="S452" s="54"/>
      <c r="T452" s="9" t="s">
        <v>17441</v>
      </c>
      <c r="U452" s="9" t="s">
        <v>17442</v>
      </c>
      <c r="W452" s="9" t="s">
        <v>17443</v>
      </c>
      <c r="X452" s="9" t="s">
        <v>17444</v>
      </c>
      <c r="Y452" s="9" t="s">
        <v>2390</v>
      </c>
      <c r="Z452" s="9" t="s">
        <v>353</v>
      </c>
      <c r="AE452" s="9" t="s">
        <v>401</v>
      </c>
      <c r="AF452" s="60">
        <v>45007.43505787037</v>
      </c>
      <c r="AG452" s="52" t="s">
        <v>17445</v>
      </c>
      <c r="AH452" s="9" t="s">
        <v>17446</v>
      </c>
      <c r="AJ452" s="9" t="s">
        <v>17447</v>
      </c>
      <c r="AL452" s="9" t="b">
        <v>0</v>
      </c>
      <c r="AM452" s="9" t="s">
        <v>17448</v>
      </c>
      <c r="AN452" s="9" t="s">
        <v>11975</v>
      </c>
      <c r="AP452" s="61">
        <v>44519.0</v>
      </c>
      <c r="AQ452" s="9" t="b">
        <v>0</v>
      </c>
      <c r="AR452" s="9" t="s">
        <v>17449</v>
      </c>
      <c r="AS452" s="48" t="s">
        <v>12303</v>
      </c>
    </row>
    <row r="453" ht="15.75" customHeight="1">
      <c r="A453" s="7" t="s">
        <v>2009</v>
      </c>
      <c r="B453" s="7" t="s">
        <v>2010</v>
      </c>
      <c r="C453" s="7" t="s">
        <v>58</v>
      </c>
      <c r="D453" s="7" t="s">
        <v>59</v>
      </c>
      <c r="E453" s="7" t="s">
        <v>2013</v>
      </c>
      <c r="F453" s="7">
        <v>6.0</v>
      </c>
      <c r="G453" s="7" t="s">
        <v>422</v>
      </c>
      <c r="H453" s="7" t="s">
        <v>2017</v>
      </c>
      <c r="I453" s="7" t="s">
        <v>578</v>
      </c>
      <c r="J453" s="7">
        <v>140.0</v>
      </c>
      <c r="K453" s="7" t="s">
        <v>17450</v>
      </c>
      <c r="L453" s="7">
        <v>97480.0</v>
      </c>
      <c r="M453" s="7" t="s">
        <v>123</v>
      </c>
      <c r="N453" s="6" t="s">
        <v>14439</v>
      </c>
      <c r="O453" s="6" t="s">
        <v>17451</v>
      </c>
      <c r="P453" s="42" t="s">
        <v>2016</v>
      </c>
      <c r="Q453" s="43" t="s">
        <v>17452</v>
      </c>
      <c r="R453" s="50"/>
      <c r="S453" s="51"/>
      <c r="T453" s="7" t="s">
        <v>2019</v>
      </c>
      <c r="U453" s="7" t="s">
        <v>2018</v>
      </c>
      <c r="V453" s="7" t="s">
        <v>2020</v>
      </c>
      <c r="W453" s="6" t="s">
        <v>17453</v>
      </c>
      <c r="X453" s="7" t="s">
        <v>2015</v>
      </c>
      <c r="Y453" s="7" t="s">
        <v>1335</v>
      </c>
      <c r="Z453" s="7" t="s">
        <v>378</v>
      </c>
      <c r="AA453" s="7" t="s">
        <v>2026</v>
      </c>
      <c r="AB453" s="7" t="s">
        <v>1962</v>
      </c>
      <c r="AC453" s="7"/>
      <c r="AD453" s="7"/>
      <c r="AE453" s="6" t="s">
        <v>401</v>
      </c>
      <c r="AF453" s="45">
        <v>45006.507002314815</v>
      </c>
      <c r="AG453" s="7" t="s">
        <v>17454</v>
      </c>
      <c r="AH453" s="46" t="s">
        <v>17455</v>
      </c>
      <c r="AI453" s="7"/>
      <c r="AJ453" s="7"/>
      <c r="AK453" s="7" t="b">
        <v>0</v>
      </c>
      <c r="AL453" s="7" t="b">
        <v>0</v>
      </c>
      <c r="AM453" s="6" t="s">
        <v>2027</v>
      </c>
      <c r="AN453" s="6" t="s">
        <v>2009</v>
      </c>
      <c r="AO453" s="6">
        <v>335.0</v>
      </c>
      <c r="AP453" s="6"/>
      <c r="AQ453" s="6" t="b">
        <v>1</v>
      </c>
      <c r="AR453" s="6" t="s">
        <v>17456</v>
      </c>
      <c r="AS453" s="6" t="s">
        <v>12303</v>
      </c>
    </row>
    <row r="454" ht="15.75" customHeight="1">
      <c r="A454" s="7" t="s">
        <v>10069</v>
      </c>
      <c r="B454" s="7" t="s">
        <v>10070</v>
      </c>
      <c r="C454" s="7" t="s">
        <v>58</v>
      </c>
      <c r="D454" s="7" t="s">
        <v>59</v>
      </c>
      <c r="E454" s="7" t="s">
        <v>346</v>
      </c>
      <c r="F454" s="7">
        <v>12.0</v>
      </c>
      <c r="G454" s="6" t="s">
        <v>455</v>
      </c>
      <c r="H454" s="7"/>
      <c r="I454" s="7"/>
      <c r="J454" s="7">
        <v>52.0</v>
      </c>
      <c r="K454" s="7" t="s">
        <v>17457</v>
      </c>
      <c r="L454" s="7">
        <v>97480.0</v>
      </c>
      <c r="M454" s="7" t="s">
        <v>123</v>
      </c>
      <c r="N454" s="6" t="s">
        <v>8383</v>
      </c>
      <c r="O454" s="6" t="s">
        <v>17458</v>
      </c>
      <c r="P454" s="42" t="s">
        <v>10074</v>
      </c>
      <c r="Q454" s="43" t="s">
        <v>17459</v>
      </c>
      <c r="R454" s="50" t="s">
        <v>12350</v>
      </c>
      <c r="S454" s="51"/>
      <c r="T454" s="6" t="s">
        <v>17460</v>
      </c>
      <c r="U454" s="6" t="s">
        <v>17461</v>
      </c>
      <c r="V454" s="7"/>
      <c r="W454" s="6" t="s">
        <v>17462</v>
      </c>
      <c r="X454" s="7"/>
      <c r="Y454" s="7" t="s">
        <v>3504</v>
      </c>
      <c r="Z454" s="7" t="s">
        <v>10073</v>
      </c>
      <c r="AA454" s="7"/>
      <c r="AB454" s="7"/>
      <c r="AC454" s="7"/>
      <c r="AD454" s="7"/>
      <c r="AE454" s="6" t="s">
        <v>401</v>
      </c>
      <c r="AF454" s="45">
        <v>45006.414375</v>
      </c>
      <c r="AG454" s="7" t="s">
        <v>17463</v>
      </c>
      <c r="AH454" s="46" t="s">
        <v>17464</v>
      </c>
      <c r="AI454" s="7"/>
      <c r="AJ454" s="7"/>
      <c r="AK454" s="7" t="b">
        <v>0</v>
      </c>
      <c r="AL454" s="7" t="b">
        <v>0</v>
      </c>
      <c r="AM454" s="6" t="s">
        <v>10077</v>
      </c>
      <c r="AN454" s="6" t="s">
        <v>10069</v>
      </c>
      <c r="AO454" s="7"/>
      <c r="AP454" s="7"/>
      <c r="AQ454" s="6" t="b">
        <v>0</v>
      </c>
      <c r="AR454" s="6"/>
      <c r="AS454" s="6" t="s">
        <v>12303</v>
      </c>
    </row>
    <row r="455" ht="15.75" customHeight="1">
      <c r="A455" s="9" t="s">
        <v>12102</v>
      </c>
      <c r="B455" s="9" t="s">
        <v>17465</v>
      </c>
      <c r="C455" s="9" t="s">
        <v>58</v>
      </c>
      <c r="D455" s="9" t="s">
        <v>453</v>
      </c>
      <c r="E455" s="9" t="s">
        <v>17466</v>
      </c>
      <c r="F455" s="9">
        <v>15.0</v>
      </c>
      <c r="G455" s="9" t="s">
        <v>455</v>
      </c>
      <c r="I455" s="9" t="s">
        <v>578</v>
      </c>
      <c r="J455" s="52" t="s">
        <v>12865</v>
      </c>
      <c r="K455" s="9" t="s">
        <v>17467</v>
      </c>
      <c r="L455" s="9">
        <v>97418.0</v>
      </c>
      <c r="M455" s="9" t="s">
        <v>71</v>
      </c>
      <c r="N455" s="9" t="s">
        <v>216</v>
      </c>
      <c r="O455" s="9" t="s">
        <v>17468</v>
      </c>
      <c r="P455" s="53" t="s">
        <v>17469</v>
      </c>
      <c r="Q455" s="49" t="s">
        <v>17470</v>
      </c>
      <c r="R455" s="50"/>
      <c r="S455" s="54"/>
      <c r="T455" s="9" t="s">
        <v>17471</v>
      </c>
      <c r="V455" s="9" t="s">
        <v>17472</v>
      </c>
      <c r="W455" s="9" t="s">
        <v>17473</v>
      </c>
      <c r="X455" s="9" t="s">
        <v>17474</v>
      </c>
      <c r="Y455" s="9" t="s">
        <v>1863</v>
      </c>
      <c r="Z455" s="9" t="s">
        <v>353</v>
      </c>
      <c r="AC455" s="9">
        <v>3.4308740900037E13</v>
      </c>
      <c r="AD455" s="9">
        <v>3.43087409E8</v>
      </c>
      <c r="AE455" s="9" t="s">
        <v>401</v>
      </c>
      <c r="AF455" s="55">
        <v>45981.5596875</v>
      </c>
      <c r="AG455" s="9" t="s">
        <v>17475</v>
      </c>
      <c r="AH455" s="9" t="s">
        <v>17476</v>
      </c>
      <c r="AJ455" s="9" t="s">
        <v>17477</v>
      </c>
      <c r="AK455" s="9" t="b">
        <v>0</v>
      </c>
      <c r="AL455" s="9" t="b">
        <v>0</v>
      </c>
      <c r="AM455" s="9" t="s">
        <v>17478</v>
      </c>
      <c r="AN455" s="9" t="s">
        <v>12102</v>
      </c>
      <c r="AP455" s="56">
        <v>44571.0</v>
      </c>
      <c r="AQ455" s="9" t="b">
        <v>1</v>
      </c>
      <c r="AS455" s="9" t="s">
        <v>12303</v>
      </c>
    </row>
    <row r="456" ht="15.75" customHeight="1">
      <c r="A456" s="7" t="s">
        <v>8871</v>
      </c>
      <c r="B456" s="7" t="s">
        <v>8872</v>
      </c>
      <c r="C456" s="6" t="s">
        <v>117</v>
      </c>
      <c r="D456" s="7" t="s">
        <v>197</v>
      </c>
      <c r="E456" s="7" t="s">
        <v>559</v>
      </c>
      <c r="F456" s="7"/>
      <c r="G456" s="6" t="s">
        <v>422</v>
      </c>
      <c r="H456" s="7"/>
      <c r="I456" s="7"/>
      <c r="J456" s="41" t="s">
        <v>12528</v>
      </c>
      <c r="K456" s="7" t="s">
        <v>16712</v>
      </c>
      <c r="L456" s="7">
        <v>97414.0</v>
      </c>
      <c r="M456" s="7" t="s">
        <v>40</v>
      </c>
      <c r="N456" s="6" t="s">
        <v>8279</v>
      </c>
      <c r="O456" s="6" t="s">
        <v>17479</v>
      </c>
      <c r="P456" s="42" t="s">
        <v>17480</v>
      </c>
      <c r="Q456" s="49" t="s">
        <v>17481</v>
      </c>
      <c r="R456" s="50"/>
      <c r="S456" s="51"/>
      <c r="T456" s="6" t="s">
        <v>17482</v>
      </c>
      <c r="U456" s="6" t="s">
        <v>17483</v>
      </c>
      <c r="V456" s="6" t="s">
        <v>17484</v>
      </c>
      <c r="W456" s="6" t="s">
        <v>17485</v>
      </c>
      <c r="X456" s="6" t="s">
        <v>17486</v>
      </c>
      <c r="Y456" s="6" t="s">
        <v>377</v>
      </c>
      <c r="Z456" s="6" t="s">
        <v>851</v>
      </c>
      <c r="AA456" s="7"/>
      <c r="AB456" s="7"/>
      <c r="AC456" s="7">
        <v>8.5133031600015E13</v>
      </c>
      <c r="AD456" s="7">
        <v>8.51330316E8</v>
      </c>
      <c r="AE456" s="6" t="s">
        <v>401</v>
      </c>
      <c r="AF456" s="63">
        <v>45894.50686342592</v>
      </c>
      <c r="AG456" s="7" t="s">
        <v>17487</v>
      </c>
      <c r="AH456" s="46" t="s">
        <v>17488</v>
      </c>
      <c r="AI456" s="7"/>
      <c r="AJ456" s="6" t="s">
        <v>17489</v>
      </c>
      <c r="AK456" s="7" t="b">
        <v>0</v>
      </c>
      <c r="AL456" s="7" t="b">
        <v>0</v>
      </c>
      <c r="AM456" s="7"/>
      <c r="AN456" s="6" t="s">
        <v>8871</v>
      </c>
      <c r="AO456" s="7"/>
      <c r="AP456" s="7"/>
      <c r="AQ456" s="6" t="b">
        <v>0</v>
      </c>
      <c r="AR456" s="6" t="s">
        <v>17490</v>
      </c>
      <c r="AS456" s="48" t="s">
        <v>12303</v>
      </c>
    </row>
    <row r="457" ht="15.75" customHeight="1">
      <c r="A457" s="7" t="s">
        <v>8900</v>
      </c>
      <c r="B457" s="7" t="s">
        <v>17491</v>
      </c>
      <c r="C457" s="7" t="s">
        <v>34</v>
      </c>
      <c r="D457" s="7" t="s">
        <v>622</v>
      </c>
      <c r="E457" s="7" t="s">
        <v>622</v>
      </c>
      <c r="F457" s="7">
        <v>50.0</v>
      </c>
      <c r="G457" s="7" t="s">
        <v>422</v>
      </c>
      <c r="H457" s="7"/>
      <c r="I457" s="7"/>
      <c r="J457" s="6" t="s">
        <v>17492</v>
      </c>
      <c r="K457" s="7" t="s">
        <v>12779</v>
      </c>
      <c r="L457" s="7">
        <v>97414.0</v>
      </c>
      <c r="M457" s="7" t="s">
        <v>40</v>
      </c>
      <c r="N457" s="7"/>
      <c r="O457" s="6" t="s">
        <v>17493</v>
      </c>
      <c r="P457" s="42" t="s">
        <v>8905</v>
      </c>
      <c r="Q457" s="49" t="s">
        <v>17494</v>
      </c>
      <c r="R457" s="50"/>
      <c r="S457" s="47" t="s">
        <v>8904</v>
      </c>
      <c r="T457" s="7" t="s">
        <v>8906</v>
      </c>
      <c r="U457" s="6" t="s">
        <v>17495</v>
      </c>
      <c r="V457" s="7"/>
      <c r="W457" s="7"/>
      <c r="X457" s="7"/>
      <c r="Y457" s="6" t="s">
        <v>17496</v>
      </c>
      <c r="Z457" s="7" t="s">
        <v>3296</v>
      </c>
      <c r="AA457" s="7"/>
      <c r="AB457" s="7"/>
      <c r="AC457" s="7">
        <v>8.1823138300014E13</v>
      </c>
      <c r="AD457" s="7">
        <v>8.18231383E8</v>
      </c>
      <c r="AE457" s="6" t="s">
        <v>401</v>
      </c>
      <c r="AF457" s="45">
        <v>45407.666134259256</v>
      </c>
      <c r="AG457" s="7" t="s">
        <v>17198</v>
      </c>
      <c r="AH457" s="46" t="s">
        <v>17497</v>
      </c>
      <c r="AI457" s="7"/>
      <c r="AJ457" s="7"/>
      <c r="AK457" s="6" t="b">
        <v>1</v>
      </c>
      <c r="AL457" s="7" t="b">
        <v>0</v>
      </c>
      <c r="AM457" s="7"/>
      <c r="AN457" s="6" t="s">
        <v>8900</v>
      </c>
      <c r="AO457" s="7"/>
      <c r="AP457" s="7"/>
      <c r="AQ457" s="6" t="b">
        <v>0</v>
      </c>
      <c r="AR457" s="6" t="s">
        <v>17498</v>
      </c>
      <c r="AS457" s="48" t="s">
        <v>12303</v>
      </c>
    </row>
    <row r="458" ht="15.75" customHeight="1">
      <c r="A458" s="9" t="s">
        <v>12108</v>
      </c>
      <c r="B458" s="9" t="s">
        <v>17499</v>
      </c>
      <c r="C458" s="9" t="s">
        <v>34</v>
      </c>
      <c r="D458" s="9" t="s">
        <v>622</v>
      </c>
      <c r="E458" s="9" t="s">
        <v>622</v>
      </c>
      <c r="F458" s="9">
        <v>38.0</v>
      </c>
      <c r="G458" s="9" t="s">
        <v>375</v>
      </c>
      <c r="J458" s="52" t="s">
        <v>17500</v>
      </c>
      <c r="K458" s="9" t="s">
        <v>17501</v>
      </c>
      <c r="L458" s="9">
        <v>97480.0</v>
      </c>
      <c r="M458" s="9" t="s">
        <v>123</v>
      </c>
      <c r="N458" s="9" t="s">
        <v>206</v>
      </c>
      <c r="O458" s="9" t="s">
        <v>17502</v>
      </c>
      <c r="P458" s="53" t="s">
        <v>17503</v>
      </c>
      <c r="Q458" s="49" t="s">
        <v>17504</v>
      </c>
      <c r="R458" s="50"/>
      <c r="S458" s="54"/>
      <c r="T458" s="9" t="s">
        <v>17505</v>
      </c>
      <c r="U458" s="9" t="s">
        <v>17506</v>
      </c>
      <c r="V458" s="9" t="s">
        <v>17507</v>
      </c>
      <c r="W458" s="9" t="s">
        <v>17508</v>
      </c>
      <c r="X458" s="9" t="s">
        <v>17509</v>
      </c>
      <c r="Y458" s="9" t="s">
        <v>8231</v>
      </c>
      <c r="Z458" s="9" t="s">
        <v>17510</v>
      </c>
      <c r="AC458" s="9">
        <v>9.2249362200018E13</v>
      </c>
      <c r="AD458" s="9">
        <v>9.22493622E8</v>
      </c>
      <c r="AE458" s="9" t="s">
        <v>401</v>
      </c>
      <c r="AF458" s="55">
        <v>45407.63574074074</v>
      </c>
      <c r="AG458" s="9" t="s">
        <v>17511</v>
      </c>
      <c r="AH458" s="9" t="s">
        <v>17512</v>
      </c>
      <c r="AJ458" s="9" t="s">
        <v>17513</v>
      </c>
      <c r="AK458" s="9" t="b">
        <v>1</v>
      </c>
      <c r="AL458" s="9" t="b">
        <v>1</v>
      </c>
      <c r="AN458" s="9" t="s">
        <v>12108</v>
      </c>
      <c r="AP458" s="56">
        <v>45001.0</v>
      </c>
      <c r="AQ458" s="9" t="b">
        <v>0</v>
      </c>
    </row>
    <row r="459" ht="15.75" customHeight="1">
      <c r="A459" s="9" t="s">
        <v>11911</v>
      </c>
      <c r="B459" s="9" t="s">
        <v>17514</v>
      </c>
      <c r="C459" s="9" t="s">
        <v>34</v>
      </c>
      <c r="D459" s="9" t="s">
        <v>622</v>
      </c>
      <c r="E459" s="9" t="s">
        <v>622</v>
      </c>
      <c r="F459" s="9">
        <v>80.0</v>
      </c>
      <c r="G459" s="9" t="s">
        <v>455</v>
      </c>
      <c r="J459" s="52" t="s">
        <v>17436</v>
      </c>
      <c r="K459" s="9" t="s">
        <v>17515</v>
      </c>
      <c r="L459" s="9">
        <v>97480.0</v>
      </c>
      <c r="M459" s="9" t="s">
        <v>123</v>
      </c>
      <c r="N459" s="9" t="s">
        <v>206</v>
      </c>
      <c r="O459" s="9" t="s">
        <v>17516</v>
      </c>
      <c r="P459" s="53" t="s">
        <v>17517</v>
      </c>
      <c r="Q459" s="49" t="s">
        <v>17518</v>
      </c>
      <c r="R459" s="50"/>
      <c r="S459" s="54"/>
      <c r="T459" s="9" t="s">
        <v>17519</v>
      </c>
      <c r="U459" s="9" t="s">
        <v>17520</v>
      </c>
      <c r="V459" s="9" t="s">
        <v>17521</v>
      </c>
      <c r="W459" s="9" t="s">
        <v>17522</v>
      </c>
      <c r="X459" s="9" t="s">
        <v>17523</v>
      </c>
      <c r="Y459" s="9" t="s">
        <v>13253</v>
      </c>
      <c r="Z459" s="9" t="s">
        <v>786</v>
      </c>
      <c r="AC459" s="9">
        <v>8.888704740001E13</v>
      </c>
      <c r="AD459" s="9">
        <v>8.88870474E8</v>
      </c>
      <c r="AE459" s="9" t="s">
        <v>401</v>
      </c>
      <c r="AF459" s="55">
        <v>45407.61875</v>
      </c>
      <c r="AG459" s="9" t="s">
        <v>17524</v>
      </c>
      <c r="AH459" s="9" t="s">
        <v>17525</v>
      </c>
      <c r="AJ459" s="9" t="s">
        <v>17526</v>
      </c>
      <c r="AK459" s="9" t="b">
        <v>1</v>
      </c>
      <c r="AL459" s="9" t="b">
        <v>0</v>
      </c>
      <c r="AN459" s="9" t="s">
        <v>11911</v>
      </c>
      <c r="AP459" s="56">
        <v>45001.0</v>
      </c>
      <c r="AQ459" s="9" t="b">
        <v>0</v>
      </c>
      <c r="AR459" s="9" t="s">
        <v>17527</v>
      </c>
    </row>
    <row r="460" ht="15.75" customHeight="1">
      <c r="A460" s="7" t="s">
        <v>5586</v>
      </c>
      <c r="B460" s="7" t="s">
        <v>5587</v>
      </c>
      <c r="C460" s="7" t="s">
        <v>58</v>
      </c>
      <c r="D460" s="6" t="s">
        <v>453</v>
      </c>
      <c r="E460" s="7" t="s">
        <v>454</v>
      </c>
      <c r="F460" s="6">
        <v>5.0</v>
      </c>
      <c r="G460" s="7" t="s">
        <v>375</v>
      </c>
      <c r="H460" s="7"/>
      <c r="I460" s="7"/>
      <c r="J460" s="7">
        <v>10.0</v>
      </c>
      <c r="K460" s="7" t="s">
        <v>17528</v>
      </c>
      <c r="L460" s="7">
        <v>97480.0</v>
      </c>
      <c r="M460" s="7" t="s">
        <v>123</v>
      </c>
      <c r="N460" s="7" t="s">
        <v>206</v>
      </c>
      <c r="O460" s="6" t="s">
        <v>17529</v>
      </c>
      <c r="P460" s="42" t="s">
        <v>5592</v>
      </c>
      <c r="Q460" s="43" t="s">
        <v>17530</v>
      </c>
      <c r="R460" s="43" t="s">
        <v>17531</v>
      </c>
      <c r="S460" s="47" t="s">
        <v>5589</v>
      </c>
      <c r="T460" s="6" t="s">
        <v>17532</v>
      </c>
      <c r="U460" s="7" t="s">
        <v>5593</v>
      </c>
      <c r="V460" s="6" t="s">
        <v>17533</v>
      </c>
      <c r="W460" s="6" t="s">
        <v>17534</v>
      </c>
      <c r="X460" s="7" t="s">
        <v>5591</v>
      </c>
      <c r="Y460" s="6" t="s">
        <v>16773</v>
      </c>
      <c r="Z460" s="6" t="s">
        <v>353</v>
      </c>
      <c r="AA460" s="7" t="s">
        <v>2399</v>
      </c>
      <c r="AB460" s="7" t="s">
        <v>1829</v>
      </c>
      <c r="AC460" s="7">
        <v>8.4367388000012E13</v>
      </c>
      <c r="AD460" s="7">
        <v>8.4367388E8</v>
      </c>
      <c r="AE460" s="6" t="s">
        <v>401</v>
      </c>
      <c r="AF460" s="45">
        <v>45002.44703703704</v>
      </c>
      <c r="AG460" s="7" t="s">
        <v>17535</v>
      </c>
      <c r="AH460" s="46" t="s">
        <v>17536</v>
      </c>
      <c r="AI460" s="7"/>
      <c r="AJ460" s="6" t="s">
        <v>17537</v>
      </c>
      <c r="AK460" s="7" t="b">
        <v>0</v>
      </c>
      <c r="AL460" s="7" t="b">
        <v>0</v>
      </c>
      <c r="AM460" s="6" t="s">
        <v>17538</v>
      </c>
      <c r="AN460" s="6" t="s">
        <v>5586</v>
      </c>
      <c r="AO460" s="6">
        <v>2597.0</v>
      </c>
      <c r="AP460" s="6"/>
      <c r="AQ460" s="6" t="b">
        <v>1</v>
      </c>
      <c r="AR460" s="6" t="s">
        <v>17539</v>
      </c>
      <c r="AS460" s="6"/>
    </row>
    <row r="461" ht="15.75" customHeight="1">
      <c r="A461" s="7" t="s">
        <v>8211</v>
      </c>
      <c r="B461" s="7" t="s">
        <v>8212</v>
      </c>
      <c r="C461" s="6" t="s">
        <v>822</v>
      </c>
      <c r="D461" s="7" t="s">
        <v>4826</v>
      </c>
      <c r="E461" s="7" t="s">
        <v>591</v>
      </c>
      <c r="F461" s="7">
        <v>8.0</v>
      </c>
      <c r="G461" s="6" t="s">
        <v>455</v>
      </c>
      <c r="H461" s="7"/>
      <c r="I461" s="6" t="s">
        <v>597</v>
      </c>
      <c r="J461" s="6" t="s">
        <v>17540</v>
      </c>
      <c r="K461" s="6" t="s">
        <v>17541</v>
      </c>
      <c r="L461" s="6">
        <v>97430.0</v>
      </c>
      <c r="M461" s="6" t="s">
        <v>71</v>
      </c>
      <c r="N461" s="6" t="s">
        <v>12447</v>
      </c>
      <c r="O461" s="6" t="s">
        <v>17542</v>
      </c>
      <c r="P461" s="42" t="s">
        <v>17543</v>
      </c>
      <c r="Q461" s="49" t="s">
        <v>17544</v>
      </c>
      <c r="R461" s="50"/>
      <c r="S461" s="44" t="s">
        <v>17545</v>
      </c>
      <c r="T461" s="6" t="s">
        <v>17546</v>
      </c>
      <c r="U461" s="6" t="s">
        <v>17547</v>
      </c>
      <c r="V461" s="6" t="s">
        <v>17548</v>
      </c>
      <c r="W461" s="6" t="s">
        <v>14892</v>
      </c>
      <c r="X461" s="6" t="s">
        <v>17549</v>
      </c>
      <c r="Y461" s="6" t="s">
        <v>17550</v>
      </c>
      <c r="Z461" s="7" t="s">
        <v>8217</v>
      </c>
      <c r="AA461" s="7"/>
      <c r="AB461" s="7"/>
      <c r="AC461" s="7">
        <v>4.8850083600025E13</v>
      </c>
      <c r="AD461" s="7">
        <v>4.88500836E8</v>
      </c>
      <c r="AE461" s="6" t="s">
        <v>401</v>
      </c>
      <c r="AF461" s="45">
        <v>45594.58880787037</v>
      </c>
      <c r="AG461" s="7" t="s">
        <v>17551</v>
      </c>
      <c r="AH461" s="46" t="s">
        <v>17552</v>
      </c>
      <c r="AI461" s="7"/>
      <c r="AJ461" s="6" t="s">
        <v>17553</v>
      </c>
      <c r="AK461" s="7" t="b">
        <v>0</v>
      </c>
      <c r="AL461" s="7" t="b">
        <v>0</v>
      </c>
      <c r="AM461" s="7"/>
      <c r="AN461" s="6" t="s">
        <v>8211</v>
      </c>
      <c r="AO461" s="7"/>
      <c r="AP461" s="7"/>
      <c r="AQ461" s="6" t="b">
        <v>1</v>
      </c>
      <c r="AR461" s="6"/>
      <c r="AS461" s="48" t="s">
        <v>12303</v>
      </c>
    </row>
    <row r="462" ht="15.75" customHeight="1">
      <c r="A462" s="9" t="s">
        <v>11903</v>
      </c>
      <c r="B462" s="9" t="s">
        <v>17554</v>
      </c>
      <c r="C462" s="9" t="s">
        <v>117</v>
      </c>
      <c r="D462" s="9" t="s">
        <v>1549</v>
      </c>
      <c r="E462" s="9" t="s">
        <v>17555</v>
      </c>
      <c r="F462" s="9">
        <v>15.0</v>
      </c>
      <c r="J462" s="9" t="s">
        <v>17556</v>
      </c>
      <c r="K462" s="9" t="s">
        <v>17557</v>
      </c>
      <c r="L462" s="9">
        <v>97442.0</v>
      </c>
      <c r="M462" s="9" t="s">
        <v>33</v>
      </c>
      <c r="O462" s="9" t="s">
        <v>17558</v>
      </c>
      <c r="P462" s="53" t="s">
        <v>17559</v>
      </c>
      <c r="Q462" s="49" t="s">
        <v>17560</v>
      </c>
      <c r="R462" s="50"/>
      <c r="S462" s="54"/>
      <c r="T462" s="9" t="s">
        <v>17561</v>
      </c>
      <c r="U462" s="9" t="s">
        <v>17562</v>
      </c>
      <c r="Y462" s="9" t="s">
        <v>499</v>
      </c>
      <c r="Z462" s="9" t="s">
        <v>592</v>
      </c>
      <c r="AC462" s="9">
        <v>9.1358912300011E13</v>
      </c>
      <c r="AD462" s="9">
        <v>9.13589123E8</v>
      </c>
      <c r="AE462" s="9" t="s">
        <v>12355</v>
      </c>
      <c r="AF462" s="60">
        <v>45593.40782407407</v>
      </c>
      <c r="AG462" s="9" t="s">
        <v>17563</v>
      </c>
      <c r="AH462" s="9" t="s">
        <v>17564</v>
      </c>
      <c r="AJ462" s="9" t="s">
        <v>17565</v>
      </c>
      <c r="AK462" s="9" t="b">
        <v>0</v>
      </c>
      <c r="AL462" s="9" t="b">
        <v>0</v>
      </c>
      <c r="AN462" s="9" t="s">
        <v>11903</v>
      </c>
      <c r="AP462" s="61">
        <v>44923.0</v>
      </c>
      <c r="AQ462" s="9" t="b">
        <v>0</v>
      </c>
    </row>
    <row r="463" ht="15.75" customHeight="1">
      <c r="A463" s="9" t="s">
        <v>10725</v>
      </c>
      <c r="B463" s="9" t="s">
        <v>17566</v>
      </c>
      <c r="C463" s="9" t="s">
        <v>58</v>
      </c>
      <c r="D463" s="9" t="s">
        <v>59</v>
      </c>
      <c r="E463" s="9" t="s">
        <v>346</v>
      </c>
      <c r="F463" s="9">
        <v>5.0</v>
      </c>
      <c r="G463" s="9" t="s">
        <v>2525</v>
      </c>
      <c r="J463" s="52" t="s">
        <v>14580</v>
      </c>
      <c r="K463" s="9" t="s">
        <v>17567</v>
      </c>
      <c r="L463" s="9">
        <v>97418.0</v>
      </c>
      <c r="M463" s="9" t="s">
        <v>71</v>
      </c>
      <c r="N463" s="9" t="s">
        <v>216</v>
      </c>
      <c r="O463" s="9" t="s">
        <v>17568</v>
      </c>
      <c r="P463" s="53" t="s">
        <v>15632</v>
      </c>
      <c r="Q463" s="49" t="s">
        <v>15633</v>
      </c>
      <c r="R463" s="50"/>
      <c r="S463" s="58" t="s">
        <v>17569</v>
      </c>
      <c r="T463" s="9" t="s">
        <v>17570</v>
      </c>
      <c r="W463" s="9" t="s">
        <v>17571</v>
      </c>
      <c r="X463" s="9" t="s">
        <v>17572</v>
      </c>
      <c r="Z463" s="9" t="s">
        <v>378</v>
      </c>
      <c r="AE463" s="9" t="s">
        <v>12355</v>
      </c>
      <c r="AF463" s="60">
        <v>44998.44991898148</v>
      </c>
      <c r="AG463" s="19" t="s">
        <v>17573</v>
      </c>
      <c r="AH463" s="9" t="s">
        <v>17574</v>
      </c>
      <c r="AJ463" s="9" t="s">
        <v>17575</v>
      </c>
      <c r="AK463" s="9" t="b">
        <v>0</v>
      </c>
      <c r="AL463" s="9" t="b">
        <v>0</v>
      </c>
      <c r="AM463" s="9" t="s">
        <v>17576</v>
      </c>
      <c r="AN463" s="9" t="s">
        <v>10725</v>
      </c>
      <c r="AP463" s="61">
        <v>44545.0</v>
      </c>
      <c r="AQ463" s="9" t="b">
        <v>0</v>
      </c>
      <c r="AR463" s="9" t="s">
        <v>17577</v>
      </c>
      <c r="AS463" s="48" t="s">
        <v>12303</v>
      </c>
    </row>
    <row r="464" ht="15.75" customHeight="1">
      <c r="A464" s="7" t="s">
        <v>780</v>
      </c>
      <c r="B464" s="7" t="s">
        <v>17578</v>
      </c>
      <c r="C464" s="7" t="s">
        <v>58</v>
      </c>
      <c r="D464" s="7" t="s">
        <v>453</v>
      </c>
      <c r="E464" s="7" t="s">
        <v>454</v>
      </c>
      <c r="F464" s="7">
        <v>5.0</v>
      </c>
      <c r="G464" s="7" t="s">
        <v>455</v>
      </c>
      <c r="H464" s="7" t="s">
        <v>788</v>
      </c>
      <c r="I464" s="7" t="s">
        <v>578</v>
      </c>
      <c r="J464" s="41" t="s">
        <v>15500</v>
      </c>
      <c r="K464" s="6" t="s">
        <v>17579</v>
      </c>
      <c r="L464" s="7">
        <v>97480.0</v>
      </c>
      <c r="M464" s="7" t="s">
        <v>123</v>
      </c>
      <c r="N464" s="7"/>
      <c r="O464" s="7" t="s">
        <v>795</v>
      </c>
      <c r="P464" s="42" t="s">
        <v>787</v>
      </c>
      <c r="Q464" s="43" t="s">
        <v>17580</v>
      </c>
      <c r="R464" s="43" t="s">
        <v>17581</v>
      </c>
      <c r="S464" s="47" t="s">
        <v>783</v>
      </c>
      <c r="T464" s="7" t="s">
        <v>790</v>
      </c>
      <c r="U464" s="7" t="s">
        <v>789</v>
      </c>
      <c r="V464" s="7" t="s">
        <v>791</v>
      </c>
      <c r="W464" s="6" t="s">
        <v>17582</v>
      </c>
      <c r="X464" s="7" t="s">
        <v>785</v>
      </c>
      <c r="Y464" s="7" t="s">
        <v>499</v>
      </c>
      <c r="Z464" s="7" t="s">
        <v>786</v>
      </c>
      <c r="AA464" s="7"/>
      <c r="AB464" s="7"/>
      <c r="AC464" s="7"/>
      <c r="AD464" s="7"/>
      <c r="AE464" s="6" t="s">
        <v>12355</v>
      </c>
      <c r="AF464" s="45">
        <v>44995.60476851852</v>
      </c>
      <c r="AG464" s="7" t="s">
        <v>17583</v>
      </c>
      <c r="AH464" s="46" t="s">
        <v>17584</v>
      </c>
      <c r="AI464" s="7"/>
      <c r="AJ464" s="7"/>
      <c r="AK464" s="7" t="b">
        <v>0</v>
      </c>
      <c r="AL464" s="7" t="b">
        <v>0</v>
      </c>
      <c r="AM464" s="6" t="s">
        <v>797</v>
      </c>
      <c r="AN464" s="6" t="s">
        <v>780</v>
      </c>
      <c r="AO464" s="6">
        <v>813.0</v>
      </c>
      <c r="AP464" s="6"/>
      <c r="AQ464" s="6" t="b">
        <v>1</v>
      </c>
      <c r="AR464" s="6"/>
      <c r="AS464" s="6"/>
    </row>
    <row r="465" ht="15.75" customHeight="1">
      <c r="A465" s="9" t="s">
        <v>10564</v>
      </c>
      <c r="B465" s="9" t="s">
        <v>17585</v>
      </c>
      <c r="C465" s="9" t="s">
        <v>117</v>
      </c>
      <c r="D465" s="9" t="s">
        <v>197</v>
      </c>
      <c r="E465" s="9" t="s">
        <v>559</v>
      </c>
      <c r="F465" s="9">
        <v>6.0</v>
      </c>
      <c r="G465" s="9" t="s">
        <v>9780</v>
      </c>
      <c r="J465" s="9" t="s">
        <v>17586</v>
      </c>
      <c r="K465" s="9" t="s">
        <v>17587</v>
      </c>
      <c r="L465" s="9">
        <v>97414.0</v>
      </c>
      <c r="M465" s="9" t="s">
        <v>40</v>
      </c>
      <c r="O465" s="9" t="s">
        <v>17588</v>
      </c>
      <c r="P465" s="53" t="s">
        <v>17589</v>
      </c>
      <c r="Q465" s="49" t="s">
        <v>17590</v>
      </c>
      <c r="R465" s="50"/>
      <c r="S465" s="54"/>
      <c r="T465" s="9" t="s">
        <v>17591</v>
      </c>
      <c r="U465" s="9" t="s">
        <v>17592</v>
      </c>
      <c r="V465" s="9" t="s">
        <v>17593</v>
      </c>
      <c r="W465" s="9" t="s">
        <v>17594</v>
      </c>
      <c r="X465" s="9" t="s">
        <v>17595</v>
      </c>
      <c r="Y465" s="9" t="s">
        <v>8231</v>
      </c>
      <c r="Z465" s="9" t="s">
        <v>851</v>
      </c>
      <c r="AC465" s="9">
        <v>5.2844707100044E13</v>
      </c>
      <c r="AD465" s="9">
        <v>5.28447071E8</v>
      </c>
      <c r="AE465" s="9" t="s">
        <v>12355</v>
      </c>
      <c r="AF465" s="55">
        <v>44992.574282407404</v>
      </c>
      <c r="AG465" s="9" t="s">
        <v>17596</v>
      </c>
      <c r="AH465" s="9" t="s">
        <v>17597</v>
      </c>
      <c r="AJ465" s="9" t="s">
        <v>17598</v>
      </c>
      <c r="AK465" s="9" t="b">
        <v>1</v>
      </c>
      <c r="AL465" s="9" t="b">
        <v>1</v>
      </c>
      <c r="AN465" s="9" t="s">
        <v>10564</v>
      </c>
      <c r="AP465" s="56">
        <v>44727.0</v>
      </c>
      <c r="AQ465" s="9" t="b">
        <v>0</v>
      </c>
      <c r="AR465" s="9" t="s">
        <v>17599</v>
      </c>
    </row>
    <row r="466" ht="15.75" customHeight="1">
      <c r="A466" s="7" t="s">
        <v>5249</v>
      </c>
      <c r="B466" s="6" t="s">
        <v>17600</v>
      </c>
      <c r="C466" s="7" t="s">
        <v>34</v>
      </c>
      <c r="D466" s="7" t="s">
        <v>622</v>
      </c>
      <c r="E466" s="6" t="s">
        <v>13330</v>
      </c>
      <c r="F466" s="7">
        <v>50.0</v>
      </c>
      <c r="G466" s="7" t="s">
        <v>1001</v>
      </c>
      <c r="H466" s="7"/>
      <c r="I466" s="7"/>
      <c r="J466" s="7">
        <v>57.0</v>
      </c>
      <c r="K466" s="7" t="s">
        <v>13798</v>
      </c>
      <c r="L466" s="7">
        <v>97442.0</v>
      </c>
      <c r="M466" s="7" t="s">
        <v>33</v>
      </c>
      <c r="N466" s="6" t="s">
        <v>14526</v>
      </c>
      <c r="O466" s="6" t="s">
        <v>17601</v>
      </c>
      <c r="P466" s="42" t="s">
        <v>17602</v>
      </c>
      <c r="Q466" s="49" t="s">
        <v>17603</v>
      </c>
      <c r="R466" s="43" t="s">
        <v>17604</v>
      </c>
      <c r="S466" s="51"/>
      <c r="T466" s="6" t="s">
        <v>17605</v>
      </c>
      <c r="U466" s="6" t="s">
        <v>17606</v>
      </c>
      <c r="V466" s="6" t="s">
        <v>17607</v>
      </c>
      <c r="W466" s="6" t="s">
        <v>17608</v>
      </c>
      <c r="X466" s="6" t="s">
        <v>17609</v>
      </c>
      <c r="Y466" s="7" t="s">
        <v>974</v>
      </c>
      <c r="Z466" s="7" t="s">
        <v>592</v>
      </c>
      <c r="AA466" s="7"/>
      <c r="AB466" s="7"/>
      <c r="AC466" s="6">
        <v>4.4171130600015E13</v>
      </c>
      <c r="AD466" s="6">
        <v>4.41711306E8</v>
      </c>
      <c r="AE466" s="6" t="s">
        <v>401</v>
      </c>
      <c r="AF466" s="45">
        <v>45407.58243055556</v>
      </c>
      <c r="AG466" s="7" t="s">
        <v>17610</v>
      </c>
      <c r="AH466" s="46" t="s">
        <v>17611</v>
      </c>
      <c r="AI466" s="7"/>
      <c r="AJ466" s="6" t="s">
        <v>17612</v>
      </c>
      <c r="AK466" s="6" t="b">
        <v>1</v>
      </c>
      <c r="AL466" s="7" t="b">
        <v>0</v>
      </c>
      <c r="AM466" s="7"/>
      <c r="AN466" s="6" t="s">
        <v>5249</v>
      </c>
      <c r="AO466" s="6">
        <v>2984.0</v>
      </c>
      <c r="AP466" s="6"/>
      <c r="AQ466" s="6" t="b">
        <v>1</v>
      </c>
      <c r="AR466" s="6" t="s">
        <v>17613</v>
      </c>
      <c r="AS466" s="48" t="s">
        <v>12303</v>
      </c>
    </row>
    <row r="467" ht="15.75" customHeight="1">
      <c r="A467" s="7" t="s">
        <v>2193</v>
      </c>
      <c r="B467" s="7" t="s">
        <v>2194</v>
      </c>
      <c r="C467" s="7" t="s">
        <v>58</v>
      </c>
      <c r="D467" s="7" t="s">
        <v>59</v>
      </c>
      <c r="E467" s="7" t="s">
        <v>346</v>
      </c>
      <c r="F467" s="7">
        <v>10.0</v>
      </c>
      <c r="G467" s="7" t="s">
        <v>422</v>
      </c>
      <c r="H467" s="7"/>
      <c r="I467" s="7"/>
      <c r="J467" s="7">
        <v>36.0</v>
      </c>
      <c r="K467" s="7" t="s">
        <v>17614</v>
      </c>
      <c r="L467" s="7">
        <v>97414.0</v>
      </c>
      <c r="M467" s="7" t="s">
        <v>40</v>
      </c>
      <c r="N467" s="7"/>
      <c r="O467" s="7" t="s">
        <v>2205</v>
      </c>
      <c r="P467" s="42" t="s">
        <v>2199</v>
      </c>
      <c r="Q467" s="43" t="s">
        <v>17615</v>
      </c>
      <c r="R467" s="43" t="s">
        <v>17616</v>
      </c>
      <c r="S467" s="47" t="s">
        <v>2196</v>
      </c>
      <c r="T467" s="7" t="s">
        <v>2201</v>
      </c>
      <c r="U467" s="7" t="s">
        <v>2200</v>
      </c>
      <c r="V467" s="7"/>
      <c r="W467" s="6" t="s">
        <v>17617</v>
      </c>
      <c r="X467" s="7" t="s">
        <v>2198</v>
      </c>
      <c r="Y467" s="7" t="s">
        <v>377</v>
      </c>
      <c r="Z467" s="7" t="s">
        <v>378</v>
      </c>
      <c r="AA467" s="7" t="s">
        <v>2206</v>
      </c>
      <c r="AB467" s="7" t="s">
        <v>1962</v>
      </c>
      <c r="AC467" s="7"/>
      <c r="AD467" s="7"/>
      <c r="AE467" s="6" t="s">
        <v>12355</v>
      </c>
      <c r="AF467" s="45">
        <v>44991.41048611111</v>
      </c>
      <c r="AG467" s="7" t="s">
        <v>17618</v>
      </c>
      <c r="AH467" s="46" t="s">
        <v>17619</v>
      </c>
      <c r="AI467" s="7"/>
      <c r="AJ467" s="6" t="s">
        <v>17620</v>
      </c>
      <c r="AK467" s="7" t="b">
        <v>0</v>
      </c>
      <c r="AL467" s="7" t="b">
        <v>0</v>
      </c>
      <c r="AM467" s="6" t="s">
        <v>2207</v>
      </c>
      <c r="AN467" s="6" t="s">
        <v>2193</v>
      </c>
      <c r="AO467" s="6">
        <v>2330.0</v>
      </c>
      <c r="AP467" s="6"/>
      <c r="AQ467" s="6" t="b">
        <v>1</v>
      </c>
      <c r="AR467" s="6" t="s">
        <v>17621</v>
      </c>
      <c r="AS467" s="48" t="s">
        <v>12303</v>
      </c>
    </row>
    <row r="468" ht="15.75" customHeight="1">
      <c r="A468" s="9" t="s">
        <v>10567</v>
      </c>
      <c r="B468" s="9" t="s">
        <v>17622</v>
      </c>
      <c r="C468" s="9" t="s">
        <v>117</v>
      </c>
      <c r="D468" s="9" t="s">
        <v>197</v>
      </c>
      <c r="E468" s="9" t="s">
        <v>559</v>
      </c>
      <c r="G468" s="9" t="s">
        <v>455</v>
      </c>
      <c r="J468" s="52" t="s">
        <v>16044</v>
      </c>
      <c r="K468" s="9" t="s">
        <v>17623</v>
      </c>
      <c r="L468" s="9">
        <v>97430.0</v>
      </c>
      <c r="M468" s="9" t="s">
        <v>71</v>
      </c>
      <c r="N468" s="9" t="s">
        <v>12698</v>
      </c>
      <c r="O468" s="9" t="s">
        <v>17624</v>
      </c>
      <c r="P468" s="53" t="s">
        <v>17625</v>
      </c>
      <c r="Q468" s="49" t="s">
        <v>17626</v>
      </c>
      <c r="R468" s="50"/>
      <c r="S468" s="54"/>
      <c r="T468" s="9" t="s">
        <v>17627</v>
      </c>
      <c r="U468" s="9" t="s">
        <v>17628</v>
      </c>
      <c r="V468" s="9" t="s">
        <v>17629</v>
      </c>
      <c r="W468" s="9" t="s">
        <v>17630</v>
      </c>
      <c r="X468" s="9" t="s">
        <v>17631</v>
      </c>
      <c r="Y468" s="9" t="s">
        <v>2938</v>
      </c>
      <c r="Z468" s="9" t="s">
        <v>353</v>
      </c>
      <c r="AC468" s="9">
        <v>8.11960848E8</v>
      </c>
      <c r="AD468" s="9">
        <v>8.11960848E8</v>
      </c>
      <c r="AE468" s="9" t="s">
        <v>401</v>
      </c>
      <c r="AF468" s="55">
        <v>45523.40940972222</v>
      </c>
      <c r="AG468" s="9" t="s">
        <v>17632</v>
      </c>
      <c r="AH468" s="9" t="s">
        <v>17633</v>
      </c>
      <c r="AJ468" s="9" t="s">
        <v>17634</v>
      </c>
      <c r="AK468" s="9" t="b">
        <v>0</v>
      </c>
      <c r="AL468" s="9" t="b">
        <v>0</v>
      </c>
      <c r="AN468" s="9" t="s">
        <v>10567</v>
      </c>
      <c r="AP468" s="56">
        <v>44970.0</v>
      </c>
      <c r="AQ468" s="9" t="b">
        <v>0</v>
      </c>
      <c r="AR468" s="9" t="s">
        <v>17635</v>
      </c>
    </row>
    <row r="469" ht="15.75" customHeight="1">
      <c r="A469" s="9" t="s">
        <v>10730</v>
      </c>
      <c r="B469" s="9" t="s">
        <v>17636</v>
      </c>
      <c r="C469" s="9" t="s">
        <v>58</v>
      </c>
      <c r="D469" s="9" t="s">
        <v>59</v>
      </c>
      <c r="E469" s="9" t="s">
        <v>12384</v>
      </c>
      <c r="F469" s="9">
        <v>8.0</v>
      </c>
      <c r="J469" s="9" t="s">
        <v>17637</v>
      </c>
      <c r="K469" s="9" t="s">
        <v>17638</v>
      </c>
      <c r="L469" s="9">
        <v>97430.0</v>
      </c>
      <c r="M469" s="9" t="s">
        <v>71</v>
      </c>
      <c r="N469" s="9" t="s">
        <v>12373</v>
      </c>
      <c r="O469" s="9" t="s">
        <v>17639</v>
      </c>
      <c r="P469" s="53" t="s">
        <v>17640</v>
      </c>
      <c r="Q469" s="49" t="s">
        <v>17641</v>
      </c>
      <c r="R469" s="50"/>
      <c r="S469" s="54"/>
      <c r="T469" s="9" t="s">
        <v>17642</v>
      </c>
      <c r="U469" s="9" t="s">
        <v>17643</v>
      </c>
      <c r="V469" s="9" t="s">
        <v>17644</v>
      </c>
      <c r="W469" s="9" t="s">
        <v>17645</v>
      </c>
      <c r="X469" s="9" t="s">
        <v>17646</v>
      </c>
      <c r="Y469" s="9" t="s">
        <v>8231</v>
      </c>
      <c r="Z469" s="9" t="s">
        <v>592</v>
      </c>
      <c r="AE469" s="9" t="s">
        <v>12355</v>
      </c>
      <c r="AF469" s="55">
        <v>44986.65898148148</v>
      </c>
      <c r="AG469" s="9" t="s">
        <v>17647</v>
      </c>
      <c r="AH469" s="9" t="s">
        <v>17648</v>
      </c>
      <c r="AJ469" s="9" t="s">
        <v>17649</v>
      </c>
      <c r="AK469" s="9" t="b">
        <v>0</v>
      </c>
      <c r="AL469" s="9" t="b">
        <v>1</v>
      </c>
      <c r="AM469" s="9" t="s">
        <v>17650</v>
      </c>
      <c r="AN469" s="9" t="s">
        <v>10730</v>
      </c>
      <c r="AP469" s="56">
        <v>44664.0</v>
      </c>
      <c r="AQ469" s="9" t="b">
        <v>0</v>
      </c>
      <c r="AR469" s="9" t="s">
        <v>17651</v>
      </c>
      <c r="AS469" s="9" t="s">
        <v>12303</v>
      </c>
    </row>
    <row r="470" ht="15.75" customHeight="1">
      <c r="A470" s="7" t="s">
        <v>4034</v>
      </c>
      <c r="B470" s="7" t="s">
        <v>17234</v>
      </c>
      <c r="C470" s="7" t="s">
        <v>34</v>
      </c>
      <c r="D470" s="7" t="s">
        <v>485</v>
      </c>
      <c r="E470" s="7" t="s">
        <v>486</v>
      </c>
      <c r="F470" s="7">
        <v>25.0</v>
      </c>
      <c r="G470" s="7" t="s">
        <v>375</v>
      </c>
      <c r="H470" s="7"/>
      <c r="I470" s="7" t="s">
        <v>578</v>
      </c>
      <c r="J470" s="7" t="s">
        <v>17235</v>
      </c>
      <c r="K470" s="7" t="s">
        <v>17236</v>
      </c>
      <c r="L470" s="7">
        <v>97442.0</v>
      </c>
      <c r="M470" s="7" t="s">
        <v>33</v>
      </c>
      <c r="N470" s="7"/>
      <c r="O470" s="7" t="s">
        <v>4043</v>
      </c>
      <c r="P470" s="42" t="s">
        <v>4037</v>
      </c>
      <c r="Q470" s="49" t="s">
        <v>17237</v>
      </c>
      <c r="R470" s="50"/>
      <c r="S470" s="51"/>
      <c r="T470" s="6" t="s">
        <v>17652</v>
      </c>
      <c r="U470" s="6" t="s">
        <v>17653</v>
      </c>
      <c r="V470" s="6" t="s">
        <v>17654</v>
      </c>
      <c r="W470" s="6" t="s">
        <v>17655</v>
      </c>
      <c r="X470" s="6" t="s">
        <v>17656</v>
      </c>
      <c r="Y470" s="6" t="s">
        <v>499</v>
      </c>
      <c r="Z470" s="6" t="s">
        <v>353</v>
      </c>
      <c r="AA470" s="7"/>
      <c r="AB470" s="7"/>
      <c r="AC470" s="7">
        <v>3.8808507800029E13</v>
      </c>
      <c r="AD470" s="7">
        <v>3.88085078E8</v>
      </c>
      <c r="AE470" s="6" t="s">
        <v>401</v>
      </c>
      <c r="AF470" s="45">
        <v>45407.46365740741</v>
      </c>
      <c r="AG470" s="7" t="s">
        <v>17240</v>
      </c>
      <c r="AH470" s="46" t="s">
        <v>17657</v>
      </c>
      <c r="AI470" s="7"/>
      <c r="AJ470" s="6" t="s">
        <v>17658</v>
      </c>
      <c r="AK470" s="6" t="b">
        <v>1</v>
      </c>
      <c r="AL470" s="7" t="b">
        <v>0</v>
      </c>
      <c r="AM470" s="7"/>
      <c r="AN470" s="6" t="s">
        <v>4034</v>
      </c>
      <c r="AO470" s="6">
        <v>3817.0</v>
      </c>
      <c r="AP470" s="6"/>
      <c r="AQ470" s="6" t="b">
        <v>1</v>
      </c>
      <c r="AR470" s="6" t="s">
        <v>17659</v>
      </c>
      <c r="AS470" s="48" t="s">
        <v>12303</v>
      </c>
    </row>
    <row r="471" ht="15.75" customHeight="1">
      <c r="A471" s="7" t="s">
        <v>6224</v>
      </c>
      <c r="B471" s="7" t="s">
        <v>17660</v>
      </c>
      <c r="C471" s="6" t="s">
        <v>34</v>
      </c>
      <c r="D471" s="6" t="s">
        <v>485</v>
      </c>
      <c r="E471" s="6" t="s">
        <v>17407</v>
      </c>
      <c r="F471" s="6">
        <v>8.0</v>
      </c>
      <c r="G471" s="7" t="s">
        <v>375</v>
      </c>
      <c r="H471" s="7"/>
      <c r="I471" s="7"/>
      <c r="J471" s="7">
        <v>8.0</v>
      </c>
      <c r="K471" s="7" t="s">
        <v>14932</v>
      </c>
      <c r="L471" s="7">
        <v>97442.0</v>
      </c>
      <c r="M471" s="7" t="s">
        <v>33</v>
      </c>
      <c r="N471" s="7"/>
      <c r="O471" s="6" t="s">
        <v>17661</v>
      </c>
      <c r="P471" s="53" t="s">
        <v>17662</v>
      </c>
      <c r="Q471" s="49" t="s">
        <v>17663</v>
      </c>
      <c r="R471" s="43" t="s">
        <v>17664</v>
      </c>
      <c r="S471" s="51"/>
      <c r="T471" s="6" t="s">
        <v>17665</v>
      </c>
      <c r="U471" s="7" t="s">
        <v>6230</v>
      </c>
      <c r="V471" s="7" t="s">
        <v>6232</v>
      </c>
      <c r="W471" s="6" t="s">
        <v>17666</v>
      </c>
      <c r="X471" s="6" t="s">
        <v>17667</v>
      </c>
      <c r="Y471" s="6" t="s">
        <v>2938</v>
      </c>
      <c r="Z471" s="6" t="s">
        <v>592</v>
      </c>
      <c r="AA471" s="7"/>
      <c r="AB471" s="7"/>
      <c r="AC471" s="7"/>
      <c r="AD471" s="7"/>
      <c r="AE471" s="6" t="s">
        <v>401</v>
      </c>
      <c r="AF471" s="45">
        <v>45933.496724537035</v>
      </c>
      <c r="AG471" s="6" t="s">
        <v>17668</v>
      </c>
      <c r="AH471" s="46" t="s">
        <v>17669</v>
      </c>
      <c r="AI471" s="7"/>
      <c r="AJ471" s="6" t="s">
        <v>17670</v>
      </c>
      <c r="AK471" s="6" t="b">
        <v>1</v>
      </c>
      <c r="AL471" s="7" t="b">
        <v>0</v>
      </c>
      <c r="AM471" s="6" t="s">
        <v>6237</v>
      </c>
      <c r="AN471" s="6" t="s">
        <v>6224</v>
      </c>
      <c r="AO471" s="6">
        <v>2596.0</v>
      </c>
      <c r="AP471" s="6"/>
      <c r="AQ471" s="6" t="b">
        <v>1</v>
      </c>
      <c r="AR471" s="6"/>
      <c r="AS471" s="48" t="s">
        <v>12303</v>
      </c>
    </row>
    <row r="472" ht="15.75" customHeight="1">
      <c r="A472" s="7" t="s">
        <v>3663</v>
      </c>
      <c r="B472" s="6" t="s">
        <v>17671</v>
      </c>
      <c r="C472" s="7" t="s">
        <v>34</v>
      </c>
      <c r="D472" s="7" t="s">
        <v>622</v>
      </c>
      <c r="E472" s="7" t="s">
        <v>622</v>
      </c>
      <c r="F472" s="6">
        <v>300.0</v>
      </c>
      <c r="G472" s="7" t="s">
        <v>1001</v>
      </c>
      <c r="H472" s="7"/>
      <c r="I472" s="7"/>
      <c r="J472" s="41" t="s">
        <v>17436</v>
      </c>
      <c r="K472" s="6" t="s">
        <v>17672</v>
      </c>
      <c r="L472" s="7">
        <v>97442.0</v>
      </c>
      <c r="M472" s="7" t="s">
        <v>33</v>
      </c>
      <c r="N472" s="6" t="s">
        <v>15096</v>
      </c>
      <c r="O472" s="6" t="s">
        <v>17673</v>
      </c>
      <c r="P472" s="42" t="s">
        <v>17674</v>
      </c>
      <c r="Q472" s="49" t="s">
        <v>17675</v>
      </c>
      <c r="R472" s="50"/>
      <c r="S472" s="51"/>
      <c r="T472" s="6" t="s">
        <v>17676</v>
      </c>
      <c r="U472" s="6" t="s">
        <v>17677</v>
      </c>
      <c r="V472" s="7" t="s">
        <v>3670</v>
      </c>
      <c r="W472" s="6" t="s">
        <v>17678</v>
      </c>
      <c r="X472" s="7" t="s">
        <v>3668</v>
      </c>
      <c r="Y472" s="6" t="s">
        <v>2938</v>
      </c>
      <c r="Z472" s="7" t="s">
        <v>592</v>
      </c>
      <c r="AA472" s="7"/>
      <c r="AB472" s="7"/>
      <c r="AC472" s="6">
        <v>7.5010640300017E13</v>
      </c>
      <c r="AD472" s="6">
        <v>7.50106403E8</v>
      </c>
      <c r="AE472" s="6" t="s">
        <v>401</v>
      </c>
      <c r="AF472" s="45">
        <v>45407.41971064815</v>
      </c>
      <c r="AG472" s="7" t="s">
        <v>17679</v>
      </c>
      <c r="AH472" s="46" t="s">
        <v>17680</v>
      </c>
      <c r="AI472" s="7"/>
      <c r="AJ472" s="6" t="s">
        <v>17681</v>
      </c>
      <c r="AK472" s="6" t="b">
        <v>1</v>
      </c>
      <c r="AL472" s="6" t="b">
        <v>1</v>
      </c>
      <c r="AM472" s="7"/>
      <c r="AN472" s="6" t="s">
        <v>3663</v>
      </c>
      <c r="AO472" s="6">
        <v>980.0</v>
      </c>
      <c r="AP472" s="6"/>
      <c r="AQ472" s="6" t="b">
        <v>1</v>
      </c>
      <c r="AR472" s="6" t="s">
        <v>17682</v>
      </c>
      <c r="AS472" s="48" t="s">
        <v>12303</v>
      </c>
    </row>
    <row r="473" ht="15.75" customHeight="1">
      <c r="A473" s="6" t="s">
        <v>11655</v>
      </c>
      <c r="B473" s="7" t="s">
        <v>17660</v>
      </c>
      <c r="C473" s="6" t="s">
        <v>58</v>
      </c>
      <c r="D473" s="6" t="s">
        <v>453</v>
      </c>
      <c r="E473" s="6" t="s">
        <v>17407</v>
      </c>
      <c r="F473" s="6">
        <v>8.0</v>
      </c>
      <c r="G473" s="7" t="s">
        <v>375</v>
      </c>
      <c r="H473" s="7"/>
      <c r="I473" s="7"/>
      <c r="J473" s="7">
        <v>8.0</v>
      </c>
      <c r="K473" s="7" t="s">
        <v>14932</v>
      </c>
      <c r="L473" s="7">
        <v>97442.0</v>
      </c>
      <c r="M473" s="7" t="s">
        <v>33</v>
      </c>
      <c r="N473" s="7"/>
      <c r="O473" s="6" t="s">
        <v>17683</v>
      </c>
      <c r="P473" s="53" t="s">
        <v>17662</v>
      </c>
      <c r="Q473" s="49" t="s">
        <v>17684</v>
      </c>
      <c r="R473" s="43" t="s">
        <v>17664</v>
      </c>
      <c r="S473" s="51"/>
      <c r="T473" s="6" t="s">
        <v>17685</v>
      </c>
      <c r="U473" s="7" t="s">
        <v>6230</v>
      </c>
      <c r="V473" s="7" t="s">
        <v>6232</v>
      </c>
      <c r="W473" s="6" t="s">
        <v>17666</v>
      </c>
      <c r="X473" s="6" t="s">
        <v>17667</v>
      </c>
      <c r="Y473" s="6" t="s">
        <v>2938</v>
      </c>
      <c r="Z473" s="6" t="s">
        <v>592</v>
      </c>
      <c r="AA473" s="7"/>
      <c r="AB473" s="7"/>
      <c r="AC473" s="7"/>
      <c r="AD473" s="7"/>
      <c r="AE473" s="6" t="s">
        <v>401</v>
      </c>
      <c r="AF473" s="45">
        <v>45863.505590277775</v>
      </c>
      <c r="AG473" s="6" t="s">
        <v>17668</v>
      </c>
      <c r="AH473" s="46" t="s">
        <v>17686</v>
      </c>
      <c r="AI473" s="7"/>
      <c r="AJ473" s="6" t="s">
        <v>17687</v>
      </c>
      <c r="AK473" s="7" t="b">
        <v>0</v>
      </c>
      <c r="AL473" s="7" t="b">
        <v>0</v>
      </c>
      <c r="AM473" s="6" t="s">
        <v>6237</v>
      </c>
      <c r="AN473" s="6" t="s">
        <v>11655</v>
      </c>
      <c r="AO473" s="6">
        <v>2596.0</v>
      </c>
      <c r="AP473" s="6"/>
      <c r="AQ473" s="6" t="b">
        <v>1</v>
      </c>
      <c r="AR473" s="6"/>
      <c r="AS473" s="48" t="s">
        <v>12303</v>
      </c>
    </row>
    <row r="474" ht="15.75" customHeight="1">
      <c r="A474" s="7" t="s">
        <v>1814</v>
      </c>
      <c r="B474" s="7" t="s">
        <v>17688</v>
      </c>
      <c r="C474" s="6" t="s">
        <v>58</v>
      </c>
      <c r="D474" s="6" t="s">
        <v>453</v>
      </c>
      <c r="E474" s="6" t="s">
        <v>17466</v>
      </c>
      <c r="F474" s="7">
        <v>7.0</v>
      </c>
      <c r="G474" s="7" t="s">
        <v>455</v>
      </c>
      <c r="H474" s="7"/>
      <c r="I474" s="7"/>
      <c r="J474" s="7">
        <v>9.0</v>
      </c>
      <c r="K474" s="6" t="s">
        <v>15721</v>
      </c>
      <c r="L474" s="7">
        <v>97430.0</v>
      </c>
      <c r="M474" s="7" t="s">
        <v>71</v>
      </c>
      <c r="N474" s="7"/>
      <c r="O474" s="6" t="s">
        <v>17689</v>
      </c>
      <c r="P474" s="42" t="s">
        <v>1819</v>
      </c>
      <c r="Q474" s="43" t="s">
        <v>15723</v>
      </c>
      <c r="R474" s="43" t="s">
        <v>15724</v>
      </c>
      <c r="S474" s="47" t="s">
        <v>1817</v>
      </c>
      <c r="T474" s="6" t="s">
        <v>17690</v>
      </c>
      <c r="U474" s="6" t="s">
        <v>17691</v>
      </c>
      <c r="V474" s="6" t="s">
        <v>17692</v>
      </c>
      <c r="W474" s="6" t="s">
        <v>17693</v>
      </c>
      <c r="X474" s="7"/>
      <c r="Y474" s="6" t="s">
        <v>15727</v>
      </c>
      <c r="Z474" s="6" t="s">
        <v>15728</v>
      </c>
      <c r="AA474" s="7" t="s">
        <v>1828</v>
      </c>
      <c r="AB474" s="7" t="s">
        <v>1829</v>
      </c>
      <c r="AC474" s="7">
        <v>8.3788306500018E13</v>
      </c>
      <c r="AD474" s="7">
        <v>8.37883065E8</v>
      </c>
      <c r="AE474" s="6" t="s">
        <v>401</v>
      </c>
      <c r="AF474" s="45">
        <v>44984.650821759256</v>
      </c>
      <c r="AG474" s="7" t="s">
        <v>15729</v>
      </c>
      <c r="AH474" s="46" t="s">
        <v>17694</v>
      </c>
      <c r="AI474" s="7"/>
      <c r="AJ474" s="7"/>
      <c r="AK474" s="7" t="b">
        <v>0</v>
      </c>
      <c r="AL474" s="7" t="b">
        <v>0</v>
      </c>
      <c r="AM474" s="6" t="s">
        <v>1830</v>
      </c>
      <c r="AN474" s="6" t="s">
        <v>1814</v>
      </c>
      <c r="AO474" s="6">
        <v>4528.0</v>
      </c>
      <c r="AP474" s="6"/>
      <c r="AQ474" s="6" t="b">
        <v>1</v>
      </c>
      <c r="AR474" s="6" t="s">
        <v>17695</v>
      </c>
      <c r="AS474" s="6"/>
    </row>
    <row r="475" ht="15.75" customHeight="1">
      <c r="A475" s="9" t="s">
        <v>12159</v>
      </c>
      <c r="B475" s="9" t="s">
        <v>17465</v>
      </c>
      <c r="C475" s="9" t="s">
        <v>34</v>
      </c>
      <c r="D475" s="9" t="s">
        <v>1414</v>
      </c>
      <c r="E475" s="9" t="s">
        <v>17466</v>
      </c>
      <c r="F475" s="9">
        <v>15.0</v>
      </c>
      <c r="G475" s="9" t="s">
        <v>455</v>
      </c>
      <c r="I475" s="9" t="s">
        <v>578</v>
      </c>
      <c r="J475" s="52" t="s">
        <v>12865</v>
      </c>
      <c r="K475" s="9" t="s">
        <v>17467</v>
      </c>
      <c r="L475" s="9">
        <v>97418.0</v>
      </c>
      <c r="M475" s="9" t="s">
        <v>71</v>
      </c>
      <c r="N475" s="9" t="s">
        <v>216</v>
      </c>
      <c r="O475" s="9" t="s">
        <v>17696</v>
      </c>
      <c r="P475" s="53" t="s">
        <v>17469</v>
      </c>
      <c r="Q475" s="49" t="s">
        <v>17470</v>
      </c>
      <c r="R475" s="50"/>
      <c r="S475" s="54"/>
      <c r="T475" s="9" t="s">
        <v>17471</v>
      </c>
      <c r="U475" s="9" t="s">
        <v>17697</v>
      </c>
      <c r="V475" s="9" t="s">
        <v>17472</v>
      </c>
      <c r="W475" s="9" t="s">
        <v>17473</v>
      </c>
      <c r="X475" s="9" t="s">
        <v>17474</v>
      </c>
      <c r="Y475" s="9" t="s">
        <v>1863</v>
      </c>
      <c r="Z475" s="9" t="s">
        <v>353</v>
      </c>
      <c r="AC475" s="9">
        <v>3.4308740900037E13</v>
      </c>
      <c r="AD475" s="9">
        <v>3.43087409E8</v>
      </c>
      <c r="AE475" s="9" t="s">
        <v>401</v>
      </c>
      <c r="AF475" s="55">
        <v>45981.56134259259</v>
      </c>
      <c r="AG475" s="9" t="s">
        <v>17475</v>
      </c>
      <c r="AH475" s="9" t="s">
        <v>17698</v>
      </c>
      <c r="AJ475" s="9" t="s">
        <v>17699</v>
      </c>
      <c r="AK475" s="9" t="b">
        <v>0</v>
      </c>
      <c r="AL475" s="9" t="b">
        <v>0</v>
      </c>
      <c r="AM475" s="9" t="s">
        <v>17478</v>
      </c>
      <c r="AN475" s="9" t="s">
        <v>12159</v>
      </c>
      <c r="AP475" s="56">
        <v>44571.0</v>
      </c>
      <c r="AQ475" s="9" t="b">
        <v>0</v>
      </c>
      <c r="AS475" s="9" t="s">
        <v>12303</v>
      </c>
    </row>
    <row r="476" ht="15.75" customHeight="1">
      <c r="A476" s="6" t="s">
        <v>11821</v>
      </c>
      <c r="B476" s="7" t="s">
        <v>17688</v>
      </c>
      <c r="C476" s="6" t="s">
        <v>34</v>
      </c>
      <c r="D476" s="6" t="s">
        <v>485</v>
      </c>
      <c r="E476" s="6" t="s">
        <v>17466</v>
      </c>
      <c r="F476" s="7">
        <v>7.0</v>
      </c>
      <c r="G476" s="7" t="s">
        <v>455</v>
      </c>
      <c r="H476" s="7"/>
      <c r="I476" s="7"/>
      <c r="J476" s="7">
        <v>9.0</v>
      </c>
      <c r="K476" s="6" t="s">
        <v>15721</v>
      </c>
      <c r="L476" s="7">
        <v>97430.0</v>
      </c>
      <c r="M476" s="7" t="s">
        <v>71</v>
      </c>
      <c r="N476" s="7"/>
      <c r="O476" s="6" t="s">
        <v>17700</v>
      </c>
      <c r="P476" s="42" t="s">
        <v>1819</v>
      </c>
      <c r="Q476" s="49" t="s">
        <v>17701</v>
      </c>
      <c r="R476" s="43" t="s">
        <v>15724</v>
      </c>
      <c r="S476" s="47" t="s">
        <v>1817</v>
      </c>
      <c r="T476" s="6" t="s">
        <v>17690</v>
      </c>
      <c r="U476" s="6" t="s">
        <v>17691</v>
      </c>
      <c r="V476" s="6" t="s">
        <v>17692</v>
      </c>
      <c r="W476" s="6" t="s">
        <v>17693</v>
      </c>
      <c r="X476" s="7"/>
      <c r="Y476" s="6" t="s">
        <v>15727</v>
      </c>
      <c r="Z476" s="6" t="s">
        <v>15728</v>
      </c>
      <c r="AA476" s="7" t="s">
        <v>1828</v>
      </c>
      <c r="AB476" s="7" t="s">
        <v>1829</v>
      </c>
      <c r="AC476" s="7">
        <v>8.3788306500018E13</v>
      </c>
      <c r="AD476" s="7">
        <v>8.37883065E8</v>
      </c>
      <c r="AE476" s="6" t="s">
        <v>401</v>
      </c>
      <c r="AF476" s="45">
        <v>45401.597766203704</v>
      </c>
      <c r="AG476" s="7" t="s">
        <v>15729</v>
      </c>
      <c r="AH476" s="46" t="s">
        <v>17702</v>
      </c>
      <c r="AI476" s="7"/>
      <c r="AJ476" s="6" t="s">
        <v>17703</v>
      </c>
      <c r="AK476" s="7" t="b">
        <v>0</v>
      </c>
      <c r="AL476" s="7" t="b">
        <v>0</v>
      </c>
      <c r="AM476" s="6" t="s">
        <v>1830</v>
      </c>
      <c r="AN476" s="6" t="s">
        <v>11821</v>
      </c>
      <c r="AO476" s="6">
        <v>4528.0</v>
      </c>
      <c r="AP476" s="6"/>
      <c r="AQ476" s="6" t="b">
        <v>1</v>
      </c>
      <c r="AR476" s="6" t="s">
        <v>17704</v>
      </c>
      <c r="AS476" s="6"/>
    </row>
    <row r="477" ht="15.75" customHeight="1">
      <c r="A477" s="9" t="s">
        <v>12207</v>
      </c>
      <c r="B477" s="9" t="s">
        <v>17705</v>
      </c>
      <c r="C477" s="9" t="s">
        <v>58</v>
      </c>
      <c r="D477" s="9" t="s">
        <v>59</v>
      </c>
      <c r="E477" s="9" t="s">
        <v>545</v>
      </c>
      <c r="F477" s="9">
        <v>4.0</v>
      </c>
      <c r="G477" s="9" t="s">
        <v>455</v>
      </c>
      <c r="J477" s="52" t="s">
        <v>15823</v>
      </c>
      <c r="K477" s="9" t="s">
        <v>17706</v>
      </c>
      <c r="L477" s="9">
        <v>97418.0</v>
      </c>
      <c r="M477" s="9" t="s">
        <v>71</v>
      </c>
      <c r="N477" s="9" t="s">
        <v>216</v>
      </c>
      <c r="O477" s="9" t="s">
        <v>17707</v>
      </c>
      <c r="P477" s="53" t="s">
        <v>17708</v>
      </c>
      <c r="Q477" s="49" t="s">
        <v>17709</v>
      </c>
      <c r="R477" s="50"/>
      <c r="S477" s="54"/>
      <c r="T477" s="9" t="s">
        <v>17710</v>
      </c>
      <c r="U477" s="9" t="s">
        <v>17711</v>
      </c>
      <c r="V477" s="9" t="s">
        <v>17712</v>
      </c>
      <c r="W477" s="9" t="s">
        <v>17713</v>
      </c>
      <c r="X477" s="9" t="s">
        <v>17714</v>
      </c>
      <c r="Y477" s="9" t="s">
        <v>369</v>
      </c>
      <c r="Z477" s="9" t="s">
        <v>592</v>
      </c>
      <c r="AC477" s="9">
        <v>9.1390412400017E13</v>
      </c>
      <c r="AD477" s="9">
        <v>9.13904124E8</v>
      </c>
      <c r="AE477" s="9" t="s">
        <v>401</v>
      </c>
      <c r="AF477" s="55">
        <v>44984.610289351855</v>
      </c>
      <c r="AG477" s="9" t="s">
        <v>17715</v>
      </c>
      <c r="AH477" s="9" t="s">
        <v>17716</v>
      </c>
      <c r="AJ477" s="9" t="s">
        <v>17717</v>
      </c>
      <c r="AK477" s="9" t="b">
        <v>0</v>
      </c>
      <c r="AL477" s="9" t="b">
        <v>0</v>
      </c>
      <c r="AM477" s="9" t="s">
        <v>17718</v>
      </c>
      <c r="AN477" s="9" t="s">
        <v>12207</v>
      </c>
      <c r="AP477" s="56">
        <v>44729.0</v>
      </c>
      <c r="AQ477" s="9" t="b">
        <v>0</v>
      </c>
    </row>
    <row r="478" ht="15.75" customHeight="1">
      <c r="A478" s="7" t="s">
        <v>5728</v>
      </c>
      <c r="B478" s="7" t="s">
        <v>17719</v>
      </c>
      <c r="C478" s="7" t="s">
        <v>34</v>
      </c>
      <c r="D478" s="7" t="s">
        <v>622</v>
      </c>
      <c r="E478" s="7" t="s">
        <v>1347</v>
      </c>
      <c r="F478" s="7">
        <v>30.0</v>
      </c>
      <c r="G478" s="7" t="s">
        <v>375</v>
      </c>
      <c r="H478" s="7"/>
      <c r="I478" s="7"/>
      <c r="J478" s="41" t="s">
        <v>17720</v>
      </c>
      <c r="K478" s="7" t="s">
        <v>17721</v>
      </c>
      <c r="L478" s="7">
        <v>97442.0</v>
      </c>
      <c r="M478" s="7" t="s">
        <v>33</v>
      </c>
      <c r="N478" s="7"/>
      <c r="O478" s="6" t="s">
        <v>17722</v>
      </c>
      <c r="P478" s="53" t="s">
        <v>17723</v>
      </c>
      <c r="Q478" s="49" t="s">
        <v>17724</v>
      </c>
      <c r="R478" s="43" t="s">
        <v>17725</v>
      </c>
      <c r="S478" s="51"/>
      <c r="T478" s="6" t="s">
        <v>17726</v>
      </c>
      <c r="U478" s="6" t="s">
        <v>17727</v>
      </c>
      <c r="V478" s="7" t="s">
        <v>5732</v>
      </c>
      <c r="W478" s="6" t="s">
        <v>17728</v>
      </c>
      <c r="X478" s="6" t="s">
        <v>2714</v>
      </c>
      <c r="Y478" s="7" t="s">
        <v>377</v>
      </c>
      <c r="Z478" s="7" t="s">
        <v>592</v>
      </c>
      <c r="AA478" s="7"/>
      <c r="AB478" s="7"/>
      <c r="AC478" s="6">
        <v>3.7977321100022E13</v>
      </c>
      <c r="AD478" s="6">
        <v>3.79773211E8</v>
      </c>
      <c r="AE478" s="6" t="s">
        <v>401</v>
      </c>
      <c r="AF478" s="45">
        <v>45400.65175925926</v>
      </c>
      <c r="AG478" s="7" t="s">
        <v>17729</v>
      </c>
      <c r="AH478" s="46" t="s">
        <v>17730</v>
      </c>
      <c r="AI478" s="7"/>
      <c r="AJ478" s="6" t="s">
        <v>17731</v>
      </c>
      <c r="AK478" s="6" t="b">
        <v>1</v>
      </c>
      <c r="AL478" s="6" t="b">
        <v>1</v>
      </c>
      <c r="AM478" s="7"/>
      <c r="AN478" s="6" t="s">
        <v>5728</v>
      </c>
      <c r="AO478" s="6">
        <v>1476.0</v>
      </c>
      <c r="AP478" s="6"/>
      <c r="AQ478" s="6" t="b">
        <v>1</v>
      </c>
      <c r="AR478" s="6"/>
      <c r="AS478" s="48" t="s">
        <v>12303</v>
      </c>
    </row>
    <row r="479" ht="15.75" customHeight="1">
      <c r="A479" s="7" t="s">
        <v>2568</v>
      </c>
      <c r="B479" s="7" t="s">
        <v>2569</v>
      </c>
      <c r="C479" s="7" t="s">
        <v>34</v>
      </c>
      <c r="D479" s="7" t="s">
        <v>622</v>
      </c>
      <c r="E479" s="7" t="s">
        <v>622</v>
      </c>
      <c r="F479" s="6">
        <v>50.0</v>
      </c>
      <c r="G479" s="7" t="s">
        <v>1001</v>
      </c>
      <c r="H479" s="7"/>
      <c r="I479" s="6" t="s">
        <v>17732</v>
      </c>
      <c r="J479" s="7">
        <v>9.0</v>
      </c>
      <c r="K479" s="7" t="s">
        <v>15033</v>
      </c>
      <c r="L479" s="7">
        <v>97442.0</v>
      </c>
      <c r="M479" s="7" t="s">
        <v>33</v>
      </c>
      <c r="N479" s="6" t="s">
        <v>15034</v>
      </c>
      <c r="O479" s="6" t="s">
        <v>17733</v>
      </c>
      <c r="P479" s="53" t="s">
        <v>17734</v>
      </c>
      <c r="Q479" s="49" t="s">
        <v>17735</v>
      </c>
      <c r="R479" s="50"/>
      <c r="S479" s="51"/>
      <c r="T479" s="6" t="s">
        <v>17736</v>
      </c>
      <c r="U479" s="7" t="s">
        <v>2572</v>
      </c>
      <c r="V479" s="7" t="s">
        <v>2574</v>
      </c>
      <c r="W479" s="6" t="s">
        <v>17737</v>
      </c>
      <c r="X479" s="6" t="s">
        <v>17738</v>
      </c>
      <c r="Y479" s="6" t="s">
        <v>8231</v>
      </c>
      <c r="Z479" s="6" t="s">
        <v>592</v>
      </c>
      <c r="AA479" s="7"/>
      <c r="AB479" s="7"/>
      <c r="AC479" s="6">
        <v>4.5296706000016E13</v>
      </c>
      <c r="AD479" s="6">
        <v>4.5296706E8</v>
      </c>
      <c r="AE479" s="6" t="s">
        <v>401</v>
      </c>
      <c r="AF479" s="45">
        <v>46063.51820601852</v>
      </c>
      <c r="AG479" s="7" t="s">
        <v>17739</v>
      </c>
      <c r="AH479" s="46" t="s">
        <v>17740</v>
      </c>
      <c r="AI479" s="7"/>
      <c r="AJ479" s="6" t="s">
        <v>17741</v>
      </c>
      <c r="AK479" s="6" t="b">
        <v>1</v>
      </c>
      <c r="AL479" s="7" t="b">
        <v>0</v>
      </c>
      <c r="AM479" s="7"/>
      <c r="AN479" s="6" t="s">
        <v>2568</v>
      </c>
      <c r="AO479" s="6">
        <v>2983.0</v>
      </c>
      <c r="AP479" s="6"/>
      <c r="AQ479" s="6" t="b">
        <v>1</v>
      </c>
      <c r="AR479" s="6" t="s">
        <v>17742</v>
      </c>
      <c r="AS479" s="48" t="s">
        <v>12303</v>
      </c>
    </row>
    <row r="480" ht="15.75" customHeight="1">
      <c r="A480" s="9" t="s">
        <v>10571</v>
      </c>
      <c r="B480" s="9" t="s">
        <v>17743</v>
      </c>
      <c r="C480" s="9" t="s">
        <v>58</v>
      </c>
      <c r="D480" s="9" t="s">
        <v>59</v>
      </c>
      <c r="E480" s="9" t="s">
        <v>346</v>
      </c>
      <c r="F480" s="9">
        <v>15.0</v>
      </c>
      <c r="G480" s="9" t="s">
        <v>455</v>
      </c>
      <c r="H480" s="9" t="s">
        <v>17744</v>
      </c>
      <c r="J480" s="52" t="s">
        <v>14287</v>
      </c>
      <c r="K480" s="9" t="s">
        <v>17745</v>
      </c>
      <c r="L480" s="9">
        <v>97480.0</v>
      </c>
      <c r="M480" s="9" t="s">
        <v>123</v>
      </c>
      <c r="N480" s="9" t="s">
        <v>8259</v>
      </c>
      <c r="O480" s="9" t="s">
        <v>17746</v>
      </c>
      <c r="P480" s="53" t="s">
        <v>519</v>
      </c>
      <c r="Q480" s="49" t="s">
        <v>13297</v>
      </c>
      <c r="R480" s="50"/>
      <c r="S480" s="58" t="s">
        <v>17747</v>
      </c>
      <c r="T480" s="9" t="s">
        <v>17748</v>
      </c>
      <c r="U480" s="9" t="s">
        <v>17749</v>
      </c>
      <c r="V480" s="8" t="s">
        <v>17750</v>
      </c>
      <c r="W480" s="9" t="s">
        <v>17751</v>
      </c>
      <c r="X480" s="9" t="s">
        <v>17752</v>
      </c>
      <c r="Y480" s="9" t="s">
        <v>1863</v>
      </c>
      <c r="Z480" s="9" t="s">
        <v>592</v>
      </c>
      <c r="AC480" s="9">
        <v>8.2843905900035E13</v>
      </c>
      <c r="AD480" s="9">
        <v>8.28439059E8</v>
      </c>
      <c r="AE480" s="9" t="s">
        <v>401</v>
      </c>
      <c r="AF480" s="55">
        <v>44984.37446759259</v>
      </c>
      <c r="AG480" s="9" t="s">
        <v>13299</v>
      </c>
      <c r="AH480" s="9" t="s">
        <v>17753</v>
      </c>
      <c r="AJ480" s="9" t="s">
        <v>17754</v>
      </c>
      <c r="AK480" s="9" t="b">
        <v>0</v>
      </c>
      <c r="AL480" s="9" t="b">
        <v>0</v>
      </c>
      <c r="AM480" s="9" t="s">
        <v>17755</v>
      </c>
      <c r="AN480" s="9" t="s">
        <v>10571</v>
      </c>
      <c r="AP480" s="56">
        <v>44721.0</v>
      </c>
      <c r="AQ480" s="9" t="b">
        <v>0</v>
      </c>
    </row>
    <row r="481" ht="15.75" customHeight="1">
      <c r="A481" s="7" t="s">
        <v>6209</v>
      </c>
      <c r="B481" s="7" t="s">
        <v>6210</v>
      </c>
      <c r="C481" s="7" t="s">
        <v>34</v>
      </c>
      <c r="D481" s="7" t="s">
        <v>1414</v>
      </c>
      <c r="E481" s="7" t="s">
        <v>1414</v>
      </c>
      <c r="F481" s="6">
        <v>80.0</v>
      </c>
      <c r="G481" s="7" t="s">
        <v>455</v>
      </c>
      <c r="H481" s="7"/>
      <c r="I481" s="6" t="s">
        <v>12371</v>
      </c>
      <c r="J481" s="7">
        <v>21.0</v>
      </c>
      <c r="K481" s="7" t="s">
        <v>17756</v>
      </c>
      <c r="L481" s="7">
        <v>97442.0</v>
      </c>
      <c r="M481" s="7" t="s">
        <v>33</v>
      </c>
      <c r="N481" s="7"/>
      <c r="O481" s="6" t="s">
        <v>17757</v>
      </c>
      <c r="P481" s="42" t="s">
        <v>6214</v>
      </c>
      <c r="Q481" s="49" t="s">
        <v>17758</v>
      </c>
      <c r="R481" s="50"/>
      <c r="S481" s="51"/>
      <c r="T481" s="6" t="s">
        <v>17759</v>
      </c>
      <c r="U481" s="7" t="s">
        <v>6215</v>
      </c>
      <c r="V481" s="7" t="s">
        <v>6217</v>
      </c>
      <c r="W481" s="6" t="s">
        <v>17760</v>
      </c>
      <c r="X481" s="7" t="s">
        <v>6213</v>
      </c>
      <c r="Y481" s="7" t="s">
        <v>377</v>
      </c>
      <c r="Z481" s="6" t="s">
        <v>592</v>
      </c>
      <c r="AA481" s="7"/>
      <c r="AB481" s="7"/>
      <c r="AC481" s="7"/>
      <c r="AD481" s="7"/>
      <c r="AE481" s="6" t="s">
        <v>5287</v>
      </c>
      <c r="AF481" s="45">
        <v>45814.47877314815</v>
      </c>
      <c r="AG481" s="7" t="s">
        <v>17761</v>
      </c>
      <c r="AH481" s="46" t="s">
        <v>17762</v>
      </c>
      <c r="AI481" s="7"/>
      <c r="AJ481" s="6" t="s">
        <v>17763</v>
      </c>
      <c r="AK481" s="6" t="b">
        <v>1</v>
      </c>
      <c r="AL481" s="7" t="b">
        <v>0</v>
      </c>
      <c r="AM481" s="7"/>
      <c r="AN481" s="6" t="s">
        <v>6209</v>
      </c>
      <c r="AO481" s="6">
        <v>2780.0</v>
      </c>
      <c r="AP481" s="6"/>
      <c r="AQ481" s="6" t="b">
        <v>1</v>
      </c>
      <c r="AR481" s="6" t="s">
        <v>17764</v>
      </c>
      <c r="AS481" s="48" t="s">
        <v>12303</v>
      </c>
    </row>
    <row r="482" ht="15.75" customHeight="1">
      <c r="A482" s="7" t="s">
        <v>5676</v>
      </c>
      <c r="B482" s="7" t="s">
        <v>17765</v>
      </c>
      <c r="C482" s="7" t="s">
        <v>34</v>
      </c>
      <c r="D482" s="7" t="s">
        <v>622</v>
      </c>
      <c r="E482" s="7" t="s">
        <v>622</v>
      </c>
      <c r="F482" s="7">
        <v>110.0</v>
      </c>
      <c r="G482" s="7" t="s">
        <v>1001</v>
      </c>
      <c r="H482" s="7"/>
      <c r="I482" s="7"/>
      <c r="J482" s="41" t="s">
        <v>14838</v>
      </c>
      <c r="K482" s="6" t="s">
        <v>17766</v>
      </c>
      <c r="L482" s="7">
        <v>97442.0</v>
      </c>
      <c r="M482" s="7" t="s">
        <v>33</v>
      </c>
      <c r="N482" s="6" t="s">
        <v>15582</v>
      </c>
      <c r="O482" s="6" t="s">
        <v>17767</v>
      </c>
      <c r="P482" s="42" t="s">
        <v>17768</v>
      </c>
      <c r="Q482" s="49" t="s">
        <v>17769</v>
      </c>
      <c r="R482" s="50"/>
      <c r="S482" s="51"/>
      <c r="T482" s="7" t="s">
        <v>5679</v>
      </c>
      <c r="U482" s="6" t="s">
        <v>17770</v>
      </c>
      <c r="V482" s="7" t="s">
        <v>5680</v>
      </c>
      <c r="W482" s="6" t="s">
        <v>17771</v>
      </c>
      <c r="X482" s="6" t="s">
        <v>17772</v>
      </c>
      <c r="Y482" s="7" t="s">
        <v>377</v>
      </c>
      <c r="Z482" s="7" t="s">
        <v>353</v>
      </c>
      <c r="AA482" s="7"/>
      <c r="AB482" s="7"/>
      <c r="AC482" s="7">
        <v>4.0355445400021E13</v>
      </c>
      <c r="AD482" s="7">
        <v>4.03554454E8</v>
      </c>
      <c r="AE482" s="6" t="s">
        <v>401</v>
      </c>
      <c r="AF482" s="45">
        <v>45400.618425925924</v>
      </c>
      <c r="AG482" s="7" t="s">
        <v>17773</v>
      </c>
      <c r="AH482" s="46" t="s">
        <v>17774</v>
      </c>
      <c r="AI482" s="7"/>
      <c r="AJ482" s="6" t="s">
        <v>17775</v>
      </c>
      <c r="AK482" s="6" t="b">
        <v>1</v>
      </c>
      <c r="AL482" s="7" t="b">
        <v>0</v>
      </c>
      <c r="AM482" s="7"/>
      <c r="AN482" s="6" t="s">
        <v>5676</v>
      </c>
      <c r="AO482" s="6">
        <v>2980.0</v>
      </c>
      <c r="AP482" s="6"/>
      <c r="AQ482" s="6" t="b">
        <v>1</v>
      </c>
      <c r="AR482" s="6"/>
      <c r="AS482" s="48" t="s">
        <v>12303</v>
      </c>
    </row>
    <row r="483" ht="15.75" customHeight="1">
      <c r="A483" s="7" t="s">
        <v>1919</v>
      </c>
      <c r="B483" s="7" t="s">
        <v>17776</v>
      </c>
      <c r="C483" s="7" t="s">
        <v>34</v>
      </c>
      <c r="D483" s="7" t="s">
        <v>622</v>
      </c>
      <c r="E483" s="7" t="s">
        <v>622</v>
      </c>
      <c r="F483" s="7">
        <v>350.0</v>
      </c>
      <c r="G483" s="7" t="s">
        <v>1001</v>
      </c>
      <c r="H483" s="7"/>
      <c r="I483" s="7"/>
      <c r="J483" s="41" t="s">
        <v>13645</v>
      </c>
      <c r="K483" s="6" t="s">
        <v>17777</v>
      </c>
      <c r="L483" s="7">
        <v>97442.0</v>
      </c>
      <c r="M483" s="7" t="s">
        <v>33</v>
      </c>
      <c r="N483" s="6" t="s">
        <v>15096</v>
      </c>
      <c r="O483" s="6" t="s">
        <v>17778</v>
      </c>
      <c r="P483" s="42" t="s">
        <v>1923</v>
      </c>
      <c r="Q483" s="49" t="s">
        <v>17779</v>
      </c>
      <c r="R483" s="43" t="s">
        <v>17780</v>
      </c>
      <c r="S483" s="44" t="s">
        <v>17781</v>
      </c>
      <c r="T483" s="7" t="s">
        <v>1925</v>
      </c>
      <c r="U483" s="6" t="s">
        <v>17782</v>
      </c>
      <c r="V483" s="7" t="s">
        <v>1926</v>
      </c>
      <c r="W483" s="6" t="s">
        <v>17783</v>
      </c>
      <c r="X483" s="7" t="s">
        <v>1922</v>
      </c>
      <c r="Y483" s="7" t="s">
        <v>963</v>
      </c>
      <c r="Z483" s="6" t="s">
        <v>592</v>
      </c>
      <c r="AA483" s="7"/>
      <c r="AB483" s="7"/>
      <c r="AC483" s="7">
        <v>4.9161241200016E13</v>
      </c>
      <c r="AD483" s="7">
        <v>4.91612412E8</v>
      </c>
      <c r="AE483" s="6" t="s">
        <v>401</v>
      </c>
      <c r="AF483" s="45">
        <v>45400.61010416667</v>
      </c>
      <c r="AG483" s="7" t="s">
        <v>17784</v>
      </c>
      <c r="AH483" s="46" t="s">
        <v>17785</v>
      </c>
      <c r="AI483" s="7"/>
      <c r="AJ483" s="6" t="s">
        <v>17786</v>
      </c>
      <c r="AK483" s="6" t="b">
        <v>1</v>
      </c>
      <c r="AL483" s="7" t="b">
        <v>0</v>
      </c>
      <c r="AM483" s="7"/>
      <c r="AN483" s="6" t="s">
        <v>1919</v>
      </c>
      <c r="AO483" s="6">
        <v>912.0</v>
      </c>
      <c r="AP483" s="6"/>
      <c r="AQ483" s="6" t="b">
        <v>1</v>
      </c>
      <c r="AR483" s="6"/>
      <c r="AS483" s="48" t="s">
        <v>12303</v>
      </c>
    </row>
    <row r="484" ht="15.75" customHeight="1">
      <c r="A484" s="9" t="s">
        <v>11979</v>
      </c>
      <c r="B484" s="9" t="s">
        <v>17787</v>
      </c>
      <c r="C484" s="9" t="s">
        <v>34</v>
      </c>
      <c r="D484" s="9" t="s">
        <v>622</v>
      </c>
      <c r="E484" s="9" t="s">
        <v>622</v>
      </c>
      <c r="F484" s="9">
        <v>20.0</v>
      </c>
      <c r="G484" s="9" t="s">
        <v>375</v>
      </c>
      <c r="J484" s="9" t="s">
        <v>17788</v>
      </c>
      <c r="K484" s="9" t="s">
        <v>17236</v>
      </c>
      <c r="L484" s="9">
        <v>97442.0</v>
      </c>
      <c r="M484" s="9" t="s">
        <v>33</v>
      </c>
      <c r="N484" s="9" t="s">
        <v>14526</v>
      </c>
      <c r="O484" s="9" t="s">
        <v>17789</v>
      </c>
      <c r="P484" s="53" t="s">
        <v>17790</v>
      </c>
      <c r="Q484" s="49" t="s">
        <v>17791</v>
      </c>
      <c r="R484" s="50"/>
      <c r="S484" s="54"/>
      <c r="T484" s="9" t="s">
        <v>17792</v>
      </c>
      <c r="U484" s="9" t="s">
        <v>17793</v>
      </c>
      <c r="V484" s="9" t="s">
        <v>17794</v>
      </c>
      <c r="W484" s="9" t="s">
        <v>17795</v>
      </c>
      <c r="X484" s="9" t="s">
        <v>17796</v>
      </c>
      <c r="Y484" s="9" t="s">
        <v>8231</v>
      </c>
      <c r="Z484" s="9" t="s">
        <v>592</v>
      </c>
      <c r="AC484" s="9">
        <v>8.0359828300015E13</v>
      </c>
      <c r="AD484" s="9">
        <v>8.03598283E8</v>
      </c>
      <c r="AE484" s="9" t="s">
        <v>401</v>
      </c>
      <c r="AF484" s="55">
        <v>45400.58131944444</v>
      </c>
      <c r="AG484" s="9" t="s">
        <v>17797</v>
      </c>
      <c r="AH484" s="52" t="s">
        <v>17798</v>
      </c>
      <c r="AJ484" s="9" t="s">
        <v>17799</v>
      </c>
      <c r="AK484" s="9" t="b">
        <v>1</v>
      </c>
      <c r="AL484" s="9" t="b">
        <v>0</v>
      </c>
      <c r="AN484" s="9" t="s">
        <v>11979</v>
      </c>
      <c r="AP484" s="56">
        <v>44825.0</v>
      </c>
      <c r="AQ484" s="9" t="b">
        <v>0</v>
      </c>
      <c r="AR484" s="9" t="s">
        <v>17800</v>
      </c>
    </row>
    <row r="485" ht="15.75" customHeight="1">
      <c r="A485" s="7" t="s">
        <v>2483</v>
      </c>
      <c r="B485" s="7" t="s">
        <v>2484</v>
      </c>
      <c r="C485" s="7" t="s">
        <v>34</v>
      </c>
      <c r="D485" s="7" t="s">
        <v>485</v>
      </c>
      <c r="E485" s="7" t="s">
        <v>486</v>
      </c>
      <c r="F485" s="7">
        <v>30.0</v>
      </c>
      <c r="G485" s="7" t="s">
        <v>455</v>
      </c>
      <c r="H485" s="7"/>
      <c r="I485" s="7"/>
      <c r="J485" s="7">
        <v>4.0</v>
      </c>
      <c r="K485" s="7" t="s">
        <v>17801</v>
      </c>
      <c r="L485" s="7">
        <v>97442.0</v>
      </c>
      <c r="M485" s="7" t="s">
        <v>33</v>
      </c>
      <c r="N485" s="6" t="s">
        <v>17244</v>
      </c>
      <c r="O485" s="6" t="s">
        <v>17802</v>
      </c>
      <c r="P485" s="42" t="s">
        <v>2486</v>
      </c>
      <c r="Q485" s="49" t="s">
        <v>17803</v>
      </c>
      <c r="R485" s="50"/>
      <c r="S485" s="44" t="s">
        <v>17804</v>
      </c>
      <c r="T485" s="7" t="s">
        <v>2488</v>
      </c>
      <c r="U485" s="6" t="s">
        <v>17805</v>
      </c>
      <c r="V485" s="7" t="s">
        <v>2489</v>
      </c>
      <c r="W485" s="6" t="s">
        <v>17806</v>
      </c>
      <c r="X485" s="6" t="s">
        <v>17807</v>
      </c>
      <c r="Y485" s="7" t="s">
        <v>377</v>
      </c>
      <c r="Z485" s="6" t="s">
        <v>592</v>
      </c>
      <c r="AA485" s="7"/>
      <c r="AB485" s="7"/>
      <c r="AC485" s="6">
        <v>8.0027974700011E13</v>
      </c>
      <c r="AD485" s="6">
        <v>8.00279747E8</v>
      </c>
      <c r="AE485" s="6" t="s">
        <v>401</v>
      </c>
      <c r="AF485" s="45">
        <v>45414.49866898148</v>
      </c>
      <c r="AG485" s="7" t="s">
        <v>17808</v>
      </c>
      <c r="AH485" s="62" t="s">
        <v>17809</v>
      </c>
      <c r="AI485" s="7"/>
      <c r="AJ485" s="6" t="s">
        <v>17810</v>
      </c>
      <c r="AK485" s="6" t="b">
        <v>1</v>
      </c>
      <c r="AL485" s="7" t="b">
        <v>0</v>
      </c>
      <c r="AM485" s="7"/>
      <c r="AN485" s="6" t="s">
        <v>2483</v>
      </c>
      <c r="AO485" s="6">
        <v>2987.0</v>
      </c>
      <c r="AP485" s="6"/>
      <c r="AQ485" s="6" t="b">
        <v>1</v>
      </c>
      <c r="AR485" s="6"/>
      <c r="AS485" s="48" t="s">
        <v>12303</v>
      </c>
    </row>
    <row r="486" ht="15.75" customHeight="1">
      <c r="A486" s="7" t="s">
        <v>8370</v>
      </c>
      <c r="B486" s="7" t="s">
        <v>8371</v>
      </c>
      <c r="C486" s="7" t="s">
        <v>58</v>
      </c>
      <c r="D486" s="7" t="s">
        <v>453</v>
      </c>
      <c r="E486" s="7" t="s">
        <v>454</v>
      </c>
      <c r="F486" s="7">
        <v>18.0</v>
      </c>
      <c r="G486" s="7"/>
      <c r="H486" s="7"/>
      <c r="I486" s="7"/>
      <c r="J486" s="7">
        <v>44.0</v>
      </c>
      <c r="K486" s="7" t="s">
        <v>17811</v>
      </c>
      <c r="L486" s="7">
        <v>97480.0</v>
      </c>
      <c r="M486" s="7" t="s">
        <v>123</v>
      </c>
      <c r="N486" s="7" t="s">
        <v>8373</v>
      </c>
      <c r="O486" s="7" t="s">
        <v>8378</v>
      </c>
      <c r="P486" s="42" t="s">
        <v>3771</v>
      </c>
      <c r="Q486" s="43" t="s">
        <v>12550</v>
      </c>
      <c r="R486" s="50"/>
      <c r="S486" s="51"/>
      <c r="T486" s="7" t="s">
        <v>8374</v>
      </c>
      <c r="U486" s="7"/>
      <c r="V486" s="7" t="s">
        <v>8375</v>
      </c>
      <c r="W486" s="7"/>
      <c r="X486" s="7"/>
      <c r="Y486" s="7"/>
      <c r="Z486" s="7"/>
      <c r="AA486" s="7"/>
      <c r="AB486" s="7"/>
      <c r="AC486" s="7">
        <v>4.2181946700018E13</v>
      </c>
      <c r="AD486" s="7">
        <v>4.21819467E8</v>
      </c>
      <c r="AE486" s="6" t="s">
        <v>401</v>
      </c>
      <c r="AF486" s="45">
        <v>44980.44913194444</v>
      </c>
      <c r="AG486" s="7" t="s">
        <v>12553</v>
      </c>
      <c r="AH486" s="46" t="s">
        <v>17812</v>
      </c>
      <c r="AI486" s="7"/>
      <c r="AJ486" s="6" t="s">
        <v>17813</v>
      </c>
      <c r="AK486" s="7" t="b">
        <v>0</v>
      </c>
      <c r="AL486" s="7" t="b">
        <v>0</v>
      </c>
      <c r="AM486" s="6" t="s">
        <v>8379</v>
      </c>
      <c r="AN486" s="6" t="s">
        <v>8370</v>
      </c>
      <c r="AO486" s="7"/>
      <c r="AP486" s="7"/>
      <c r="AQ486" s="6" t="b">
        <v>0</v>
      </c>
      <c r="AR486" s="6" t="s">
        <v>17814</v>
      </c>
      <c r="AS486" s="6" t="s">
        <v>12303</v>
      </c>
    </row>
    <row r="487" ht="15.75" customHeight="1">
      <c r="A487" s="7" t="s">
        <v>2181</v>
      </c>
      <c r="B487" s="7" t="s">
        <v>17815</v>
      </c>
      <c r="C487" s="7" t="s">
        <v>34</v>
      </c>
      <c r="D487" s="7" t="s">
        <v>622</v>
      </c>
      <c r="E487" s="7" t="s">
        <v>622</v>
      </c>
      <c r="F487" s="6">
        <v>100.0</v>
      </c>
      <c r="G487" s="7"/>
      <c r="H487" s="7"/>
      <c r="I487" s="7"/>
      <c r="J487" s="6" t="s">
        <v>17816</v>
      </c>
      <c r="K487" s="7" t="s">
        <v>15033</v>
      </c>
      <c r="L487" s="7">
        <v>97442.0</v>
      </c>
      <c r="M487" s="7" t="s">
        <v>33</v>
      </c>
      <c r="N487" s="6" t="s">
        <v>15034</v>
      </c>
      <c r="O487" s="6" t="s">
        <v>17817</v>
      </c>
      <c r="P487" s="53" t="s">
        <v>17818</v>
      </c>
      <c r="Q487" s="49" t="s">
        <v>17819</v>
      </c>
      <c r="R487" s="43" t="s">
        <v>17820</v>
      </c>
      <c r="S487" s="51"/>
      <c r="T487" s="6" t="s">
        <v>17821</v>
      </c>
      <c r="U487" s="7" t="s">
        <v>2184</v>
      </c>
      <c r="V487" s="7" t="s">
        <v>2186</v>
      </c>
      <c r="W487" s="6" t="s">
        <v>15564</v>
      </c>
      <c r="X487" s="6" t="s">
        <v>17822</v>
      </c>
      <c r="Y487" s="6" t="s">
        <v>5317</v>
      </c>
      <c r="Z487" s="6" t="s">
        <v>592</v>
      </c>
      <c r="AA487" s="7"/>
      <c r="AB487" s="7"/>
      <c r="AC487" s="6">
        <v>4.1123397600033E13</v>
      </c>
      <c r="AD487" s="6">
        <v>4.11233976E8</v>
      </c>
      <c r="AE487" s="6" t="s">
        <v>401</v>
      </c>
      <c r="AF487" s="45">
        <v>45400.46619212963</v>
      </c>
      <c r="AG487" s="7" t="s">
        <v>17823</v>
      </c>
      <c r="AH487" s="46" t="s">
        <v>17824</v>
      </c>
      <c r="AI487" s="7"/>
      <c r="AJ487" s="6" t="s">
        <v>17825</v>
      </c>
      <c r="AK487" s="6" t="b">
        <v>1</v>
      </c>
      <c r="AL487" s="7" t="b">
        <v>0</v>
      </c>
      <c r="AM487" s="7"/>
      <c r="AN487" s="6" t="s">
        <v>2181</v>
      </c>
      <c r="AO487" s="6">
        <v>2985.0</v>
      </c>
      <c r="AP487" s="6"/>
      <c r="AQ487" s="6" t="b">
        <v>1</v>
      </c>
      <c r="AR487" s="6"/>
      <c r="AS487" s="48" t="s">
        <v>12303</v>
      </c>
    </row>
    <row r="488" ht="15.75" customHeight="1">
      <c r="A488" s="7" t="s">
        <v>9329</v>
      </c>
      <c r="B488" s="7" t="s">
        <v>17826</v>
      </c>
      <c r="C488" s="6" t="s">
        <v>34</v>
      </c>
      <c r="D488" s="7" t="s">
        <v>678</v>
      </c>
      <c r="E488" s="7" t="s">
        <v>679</v>
      </c>
      <c r="F488" s="6">
        <v>8.0</v>
      </c>
      <c r="G488" s="7"/>
      <c r="H488" s="7"/>
      <c r="I488" s="7"/>
      <c r="J488" s="7">
        <v>57.0</v>
      </c>
      <c r="K488" s="7" t="s">
        <v>13798</v>
      </c>
      <c r="L488" s="7">
        <v>97442.0</v>
      </c>
      <c r="M488" s="7" t="s">
        <v>33</v>
      </c>
      <c r="N488" s="7"/>
      <c r="O488" s="7" t="s">
        <v>5257</v>
      </c>
      <c r="P488" s="42" t="s">
        <v>9334</v>
      </c>
      <c r="Q488" s="43" t="s">
        <v>17827</v>
      </c>
      <c r="R488" s="50"/>
      <c r="S488" s="51"/>
      <c r="T488" s="6" t="s">
        <v>17828</v>
      </c>
      <c r="U488" s="6" t="s">
        <v>17829</v>
      </c>
      <c r="V488" s="6" t="s">
        <v>17830</v>
      </c>
      <c r="W488" s="6" t="s">
        <v>17831</v>
      </c>
      <c r="X488" s="6" t="s">
        <v>4429</v>
      </c>
      <c r="Y488" s="6" t="s">
        <v>2938</v>
      </c>
      <c r="Z488" s="7" t="s">
        <v>9333</v>
      </c>
      <c r="AA488" s="7"/>
      <c r="AB488" s="7"/>
      <c r="AC488" s="7">
        <v>8.8113714500028E13</v>
      </c>
      <c r="AD488" s="7">
        <v>8.81137145E8</v>
      </c>
      <c r="AE488" s="6" t="s">
        <v>12355</v>
      </c>
      <c r="AF488" s="45">
        <v>44979.53430555556</v>
      </c>
      <c r="AG488" s="7" t="s">
        <v>17832</v>
      </c>
      <c r="AH488" s="46" t="s">
        <v>17833</v>
      </c>
      <c r="AI488" s="7"/>
      <c r="AJ488" s="6" t="s">
        <v>17834</v>
      </c>
      <c r="AK488" s="6" t="b">
        <v>1</v>
      </c>
      <c r="AL488" s="7" t="b">
        <v>0</v>
      </c>
      <c r="AM488" s="7"/>
      <c r="AN488" s="6" t="s">
        <v>9329</v>
      </c>
      <c r="AO488" s="7"/>
      <c r="AP488" s="7"/>
      <c r="AQ488" s="6" t="b">
        <v>0</v>
      </c>
      <c r="AR488" s="6" t="s">
        <v>17835</v>
      </c>
      <c r="AS488" s="48" t="s">
        <v>12303</v>
      </c>
    </row>
    <row r="489" ht="15.75" customHeight="1">
      <c r="A489" s="7" t="s">
        <v>6989</v>
      </c>
      <c r="B489" s="7" t="s">
        <v>17836</v>
      </c>
      <c r="C489" s="7" t="s">
        <v>34</v>
      </c>
      <c r="D489" s="7" t="s">
        <v>1414</v>
      </c>
      <c r="E489" s="7" t="s">
        <v>1415</v>
      </c>
      <c r="F489" s="7">
        <v>80.0</v>
      </c>
      <c r="G489" s="7" t="s">
        <v>1001</v>
      </c>
      <c r="H489" s="7"/>
      <c r="I489" s="7" t="s">
        <v>1419</v>
      </c>
      <c r="J489" s="7">
        <v>80.0</v>
      </c>
      <c r="K489" s="7" t="s">
        <v>17183</v>
      </c>
      <c r="L489" s="7">
        <v>97442.0</v>
      </c>
      <c r="M489" s="7" t="s">
        <v>33</v>
      </c>
      <c r="N489" s="6" t="s">
        <v>15096</v>
      </c>
      <c r="O489" s="7" t="s">
        <v>6999</v>
      </c>
      <c r="P489" s="42" t="s">
        <v>6993</v>
      </c>
      <c r="Q489" s="49" t="s">
        <v>17837</v>
      </c>
      <c r="R489" s="43" t="s">
        <v>17838</v>
      </c>
      <c r="S489" s="51"/>
      <c r="T489" s="7" t="s">
        <v>6994</v>
      </c>
      <c r="U489" s="6" t="s">
        <v>17839</v>
      </c>
      <c r="V489" s="7" t="s">
        <v>6995</v>
      </c>
      <c r="W489" s="6" t="s">
        <v>12532</v>
      </c>
      <c r="X489" s="7" t="s">
        <v>1922</v>
      </c>
      <c r="Y489" s="7" t="s">
        <v>377</v>
      </c>
      <c r="Z489" s="7" t="s">
        <v>353</v>
      </c>
      <c r="AA489" s="7"/>
      <c r="AB489" s="7"/>
      <c r="AC489" s="7">
        <v>3.936451550001E13</v>
      </c>
      <c r="AD489" s="7">
        <v>3.93645155E8</v>
      </c>
      <c r="AE489" s="6" t="s">
        <v>5287</v>
      </c>
      <c r="AF489" s="45">
        <v>45471.37559027778</v>
      </c>
      <c r="AG489" s="7" t="s">
        <v>17840</v>
      </c>
      <c r="AH489" s="46" t="s">
        <v>17841</v>
      </c>
      <c r="AI489" s="7"/>
      <c r="AJ489" s="6" t="s">
        <v>17842</v>
      </c>
      <c r="AK489" s="6" t="b">
        <v>1</v>
      </c>
      <c r="AL489" s="6" t="b">
        <v>1</v>
      </c>
      <c r="AM489" s="7"/>
      <c r="AN489" s="6" t="s">
        <v>6989</v>
      </c>
      <c r="AO489" s="6">
        <v>344.0</v>
      </c>
      <c r="AP489" s="6"/>
      <c r="AQ489" s="6" t="b">
        <v>1</v>
      </c>
      <c r="AR489" s="6"/>
      <c r="AS489" s="48" t="s">
        <v>12303</v>
      </c>
    </row>
    <row r="490" ht="15.75" customHeight="1">
      <c r="A490" s="7" t="s">
        <v>5361</v>
      </c>
      <c r="B490" s="6" t="s">
        <v>17843</v>
      </c>
      <c r="C490" s="7" t="s">
        <v>34</v>
      </c>
      <c r="D490" s="7" t="s">
        <v>622</v>
      </c>
      <c r="E490" s="7" t="s">
        <v>622</v>
      </c>
      <c r="F490" s="7">
        <v>60.0</v>
      </c>
      <c r="G490" s="7" t="s">
        <v>422</v>
      </c>
      <c r="H490" s="7"/>
      <c r="I490" s="7"/>
      <c r="J490" s="41" t="s">
        <v>17844</v>
      </c>
      <c r="K490" s="6" t="s">
        <v>17845</v>
      </c>
      <c r="L490" s="7">
        <v>97442.0</v>
      </c>
      <c r="M490" s="7" t="s">
        <v>33</v>
      </c>
      <c r="N490" s="6" t="s">
        <v>16135</v>
      </c>
      <c r="O490" s="6" t="s">
        <v>17846</v>
      </c>
      <c r="P490" s="42" t="s">
        <v>5364</v>
      </c>
      <c r="Q490" s="49" t="s">
        <v>17847</v>
      </c>
      <c r="R490" s="50"/>
      <c r="S490" s="44" t="s">
        <v>17848</v>
      </c>
      <c r="T490" s="6" t="s">
        <v>17849</v>
      </c>
      <c r="U490" s="6" t="s">
        <v>17850</v>
      </c>
      <c r="V490" s="7" t="s">
        <v>5366</v>
      </c>
      <c r="W490" s="6" t="s">
        <v>17783</v>
      </c>
      <c r="X490" s="6" t="s">
        <v>17851</v>
      </c>
      <c r="Y490" s="7" t="s">
        <v>963</v>
      </c>
      <c r="Z490" s="7" t="s">
        <v>592</v>
      </c>
      <c r="AA490" s="7"/>
      <c r="AB490" s="7"/>
      <c r="AC490" s="6">
        <v>5.2261130000016E13</v>
      </c>
      <c r="AD490" s="6">
        <v>5.226113E8</v>
      </c>
      <c r="AE490" s="6" t="s">
        <v>401</v>
      </c>
      <c r="AF490" s="45">
        <v>45393.64130787037</v>
      </c>
      <c r="AG490" s="7" t="s">
        <v>17852</v>
      </c>
      <c r="AH490" s="46" t="s">
        <v>17853</v>
      </c>
      <c r="AI490" s="7"/>
      <c r="AJ490" s="6" t="s">
        <v>17854</v>
      </c>
      <c r="AK490" s="6" t="b">
        <v>1</v>
      </c>
      <c r="AL490" s="7" t="b">
        <v>0</v>
      </c>
      <c r="AM490" s="7"/>
      <c r="AN490" s="6" t="s">
        <v>5361</v>
      </c>
      <c r="AO490" s="6">
        <v>2474.0</v>
      </c>
      <c r="AP490" s="6"/>
      <c r="AQ490" s="6" t="b">
        <v>1</v>
      </c>
      <c r="AR490" s="6"/>
      <c r="AS490" s="48" t="s">
        <v>12303</v>
      </c>
    </row>
    <row r="491" ht="15.75" customHeight="1">
      <c r="A491" s="7" t="s">
        <v>5633</v>
      </c>
      <c r="B491" s="7" t="s">
        <v>17855</v>
      </c>
      <c r="C491" s="7" t="s">
        <v>34</v>
      </c>
      <c r="D491" s="6" t="s">
        <v>13467</v>
      </c>
      <c r="E491" s="6" t="s">
        <v>17856</v>
      </c>
      <c r="F491" s="7">
        <v>150.0</v>
      </c>
      <c r="G491" s="7" t="s">
        <v>1001</v>
      </c>
      <c r="H491" s="7"/>
      <c r="I491" s="6" t="s">
        <v>17857</v>
      </c>
      <c r="J491" s="6" t="s">
        <v>17858</v>
      </c>
      <c r="K491" s="7" t="s">
        <v>17859</v>
      </c>
      <c r="L491" s="7">
        <v>97442.0</v>
      </c>
      <c r="M491" s="7" t="s">
        <v>33</v>
      </c>
      <c r="N491" s="6" t="s">
        <v>16135</v>
      </c>
      <c r="O491" s="6" t="s">
        <v>17860</v>
      </c>
      <c r="P491" s="42" t="s">
        <v>5640</v>
      </c>
      <c r="Q491" s="49" t="s">
        <v>17861</v>
      </c>
      <c r="R491" s="43" t="s">
        <v>17862</v>
      </c>
      <c r="S491" s="51"/>
      <c r="T491" s="7" t="s">
        <v>5642</v>
      </c>
      <c r="U491" s="7" t="s">
        <v>5641</v>
      </c>
      <c r="V491" s="7" t="s">
        <v>5643</v>
      </c>
      <c r="W491" s="6" t="s">
        <v>17863</v>
      </c>
      <c r="X491" s="7" t="s">
        <v>5638</v>
      </c>
      <c r="Y491" s="7" t="s">
        <v>5639</v>
      </c>
      <c r="Z491" s="7" t="s">
        <v>592</v>
      </c>
      <c r="AA491" s="7"/>
      <c r="AB491" s="7"/>
      <c r="AC491" s="7">
        <v>4.1004179200012E13</v>
      </c>
      <c r="AD491" s="7">
        <v>4.10041792E8</v>
      </c>
      <c r="AE491" s="6" t="s">
        <v>401</v>
      </c>
      <c r="AF491" s="45">
        <v>45393.62944444444</v>
      </c>
      <c r="AG491" s="7" t="s">
        <v>17864</v>
      </c>
      <c r="AH491" s="46" t="s">
        <v>17865</v>
      </c>
      <c r="AI491" s="7"/>
      <c r="AJ491" s="6" t="s">
        <v>17866</v>
      </c>
      <c r="AK491" s="6" t="b">
        <v>1</v>
      </c>
      <c r="AL491" s="7" t="b">
        <v>0</v>
      </c>
      <c r="AM491" s="7"/>
      <c r="AN491" s="6" t="s">
        <v>5633</v>
      </c>
      <c r="AO491" s="6">
        <v>320.0</v>
      </c>
      <c r="AP491" s="6"/>
      <c r="AQ491" s="6" t="b">
        <v>1</v>
      </c>
      <c r="AR491" s="6" t="s">
        <v>17867</v>
      </c>
      <c r="AS491" s="48" t="s">
        <v>12303</v>
      </c>
    </row>
    <row r="492" ht="15.75" customHeight="1">
      <c r="A492" s="7" t="s">
        <v>6928</v>
      </c>
      <c r="B492" s="6" t="s">
        <v>17868</v>
      </c>
      <c r="C492" s="7" t="s">
        <v>34</v>
      </c>
      <c r="D492" s="7" t="s">
        <v>622</v>
      </c>
      <c r="E492" s="7" t="s">
        <v>1127</v>
      </c>
      <c r="F492" s="7">
        <v>200.0</v>
      </c>
      <c r="G492" s="7" t="s">
        <v>375</v>
      </c>
      <c r="H492" s="7"/>
      <c r="I492" s="7"/>
      <c r="J492" s="7">
        <v>62.0</v>
      </c>
      <c r="K492" s="7" t="s">
        <v>13798</v>
      </c>
      <c r="L492" s="7">
        <v>97442.0</v>
      </c>
      <c r="M492" s="7" t="s">
        <v>33</v>
      </c>
      <c r="N492" s="6" t="s">
        <v>14526</v>
      </c>
      <c r="O492" s="6" t="s">
        <v>17869</v>
      </c>
      <c r="P492" s="53" t="s">
        <v>17870</v>
      </c>
      <c r="Q492" s="49" t="s">
        <v>17871</v>
      </c>
      <c r="R492" s="43" t="s">
        <v>17872</v>
      </c>
      <c r="S492" s="51"/>
      <c r="T492" s="6" t="s">
        <v>17873</v>
      </c>
      <c r="U492" s="6" t="s">
        <v>17874</v>
      </c>
      <c r="V492" s="7" t="s">
        <v>4681</v>
      </c>
      <c r="W492" s="6" t="s">
        <v>17875</v>
      </c>
      <c r="X492" s="6" t="s">
        <v>17876</v>
      </c>
      <c r="Y492" s="6" t="s">
        <v>13253</v>
      </c>
      <c r="Z492" s="6" t="s">
        <v>592</v>
      </c>
      <c r="AA492" s="7"/>
      <c r="AB492" s="7"/>
      <c r="AC492" s="6">
        <v>8.8849038000027E13</v>
      </c>
      <c r="AD492" s="6">
        <v>8.8849038E8</v>
      </c>
      <c r="AE492" s="6" t="s">
        <v>401</v>
      </c>
      <c r="AF492" s="45">
        <v>45393.599710648145</v>
      </c>
      <c r="AG492" s="7" t="s">
        <v>17877</v>
      </c>
      <c r="AH492" s="46" t="s">
        <v>17878</v>
      </c>
      <c r="AI492" s="7"/>
      <c r="AJ492" s="6" t="s">
        <v>17879</v>
      </c>
      <c r="AK492" s="6" t="b">
        <v>1</v>
      </c>
      <c r="AL492" s="7" t="b">
        <v>0</v>
      </c>
      <c r="AM492" s="7"/>
      <c r="AN492" s="6" t="s">
        <v>6928</v>
      </c>
      <c r="AO492" s="6">
        <v>4542.0</v>
      </c>
      <c r="AP492" s="6"/>
      <c r="AQ492" s="6" t="b">
        <v>1</v>
      </c>
      <c r="AR492" s="6" t="s">
        <v>17880</v>
      </c>
      <c r="AS492" s="48" t="s">
        <v>12303</v>
      </c>
    </row>
    <row r="493" ht="15.75" customHeight="1">
      <c r="A493" s="9" t="s">
        <v>10733</v>
      </c>
      <c r="B493" s="9" t="s">
        <v>17881</v>
      </c>
      <c r="C493" s="9" t="s">
        <v>58</v>
      </c>
      <c r="D493" s="9" t="s">
        <v>59</v>
      </c>
      <c r="E493" s="9" t="s">
        <v>346</v>
      </c>
      <c r="F493" s="9">
        <v>8.0</v>
      </c>
      <c r="J493" s="52" t="s">
        <v>12820</v>
      </c>
      <c r="K493" s="9" t="s">
        <v>17882</v>
      </c>
      <c r="L493" s="9">
        <v>97480.0</v>
      </c>
      <c r="M493" s="9" t="s">
        <v>123</v>
      </c>
      <c r="N493" s="9" t="s">
        <v>206</v>
      </c>
      <c r="O493" s="9" t="s">
        <v>17883</v>
      </c>
      <c r="P493" s="53" t="s">
        <v>17884</v>
      </c>
      <c r="Q493" s="49" t="s">
        <v>17885</v>
      </c>
      <c r="R493" s="50"/>
      <c r="S493" s="54" t="s">
        <v>12350</v>
      </c>
      <c r="T493" s="9" t="s">
        <v>17886</v>
      </c>
      <c r="Z493" s="9" t="s">
        <v>424</v>
      </c>
      <c r="AE493" s="9" t="s">
        <v>12355</v>
      </c>
      <c r="AF493" s="55">
        <v>44979.40167824074</v>
      </c>
      <c r="AG493" s="9" t="s">
        <v>17887</v>
      </c>
      <c r="AH493" s="9" t="s">
        <v>17888</v>
      </c>
      <c r="AM493" s="9" t="s">
        <v>17889</v>
      </c>
      <c r="AN493" s="9" t="s">
        <v>10733</v>
      </c>
      <c r="AP493" s="56">
        <v>44412.0</v>
      </c>
      <c r="AQ493" s="6" t="b">
        <v>0</v>
      </c>
      <c r="AR493" s="6"/>
      <c r="AS493" s="6"/>
    </row>
    <row r="494" ht="15.75" customHeight="1">
      <c r="A494" s="9" t="s">
        <v>11875</v>
      </c>
      <c r="B494" s="9" t="s">
        <v>17890</v>
      </c>
      <c r="C494" s="9" t="s">
        <v>58</v>
      </c>
      <c r="D494" s="9" t="s">
        <v>59</v>
      </c>
      <c r="E494" s="9" t="s">
        <v>346</v>
      </c>
      <c r="F494" s="9">
        <v>6.0</v>
      </c>
      <c r="H494" s="9" t="s">
        <v>355</v>
      </c>
      <c r="J494" s="52" t="s">
        <v>16740</v>
      </c>
      <c r="K494" s="9" t="s">
        <v>17891</v>
      </c>
      <c r="L494" s="9">
        <v>97418.0</v>
      </c>
      <c r="M494" s="9" t="s">
        <v>71</v>
      </c>
      <c r="N494" s="9" t="s">
        <v>216</v>
      </c>
      <c r="O494" s="9" t="s">
        <v>17892</v>
      </c>
      <c r="P494" s="53" t="s">
        <v>17893</v>
      </c>
      <c r="Q494" s="49" t="s">
        <v>17894</v>
      </c>
      <c r="R494" s="50"/>
      <c r="S494" s="54"/>
      <c r="T494" s="9" t="s">
        <v>17895</v>
      </c>
      <c r="U494" s="9" t="s">
        <v>17896</v>
      </c>
      <c r="V494" s="9" t="s">
        <v>17897</v>
      </c>
      <c r="W494" s="9" t="s">
        <v>17898</v>
      </c>
      <c r="X494" s="9" t="s">
        <v>17899</v>
      </c>
      <c r="Y494" s="9" t="s">
        <v>499</v>
      </c>
      <c r="Z494" s="9" t="s">
        <v>424</v>
      </c>
      <c r="AC494" s="9">
        <v>9.1764733100011E13</v>
      </c>
      <c r="AD494" s="9">
        <v>9.17647331E8</v>
      </c>
      <c r="AE494" s="9" t="s">
        <v>401</v>
      </c>
      <c r="AF494" s="55">
        <v>44978.65020833333</v>
      </c>
      <c r="AG494" s="9" t="s">
        <v>17900</v>
      </c>
      <c r="AH494" s="9" t="s">
        <v>17901</v>
      </c>
      <c r="AJ494" s="9" t="s">
        <v>17902</v>
      </c>
      <c r="AK494" s="9" t="b">
        <v>0</v>
      </c>
      <c r="AL494" s="9" t="b">
        <v>0</v>
      </c>
      <c r="AM494" s="9" t="s">
        <v>17903</v>
      </c>
      <c r="AN494" s="9" t="s">
        <v>11875</v>
      </c>
      <c r="AP494" s="56">
        <v>44581.0</v>
      </c>
      <c r="AQ494" s="9" t="b">
        <v>1</v>
      </c>
      <c r="AR494" s="9" t="s">
        <v>17904</v>
      </c>
      <c r="AS494" s="48" t="s">
        <v>12303</v>
      </c>
    </row>
    <row r="495" ht="15.75" customHeight="1">
      <c r="A495" s="7" t="s">
        <v>8246</v>
      </c>
      <c r="B495" s="7" t="s">
        <v>8247</v>
      </c>
      <c r="C495" s="7" t="s">
        <v>58</v>
      </c>
      <c r="D495" s="7" t="s">
        <v>59</v>
      </c>
      <c r="E495" s="7" t="s">
        <v>374</v>
      </c>
      <c r="F495" s="7">
        <v>4.0</v>
      </c>
      <c r="G495" s="7"/>
      <c r="H495" s="7"/>
      <c r="I495" s="7"/>
      <c r="J495" s="7">
        <v>9.0</v>
      </c>
      <c r="K495" s="7" t="s">
        <v>17905</v>
      </c>
      <c r="L495" s="7">
        <v>97430.0</v>
      </c>
      <c r="M495" s="7" t="s">
        <v>71</v>
      </c>
      <c r="N495" s="7" t="s">
        <v>3501</v>
      </c>
      <c r="O495" s="7" t="s">
        <v>8253</v>
      </c>
      <c r="P495" s="42" t="s">
        <v>8249</v>
      </c>
      <c r="Q495" s="43" t="s">
        <v>17906</v>
      </c>
      <c r="R495" s="50"/>
      <c r="S495" s="51"/>
      <c r="T495" s="7"/>
      <c r="U495" s="7"/>
      <c r="V495" s="7"/>
      <c r="W495" s="7"/>
      <c r="X495" s="7"/>
      <c r="Y495" s="7"/>
      <c r="Z495" s="7"/>
      <c r="AA495" s="7"/>
      <c r="AB495" s="7"/>
      <c r="AC495" s="7"/>
      <c r="AD495" s="7"/>
      <c r="AE495" s="6" t="s">
        <v>401</v>
      </c>
      <c r="AF495" s="45">
        <v>44978.631631944445</v>
      </c>
      <c r="AG495" s="7" t="s">
        <v>17907</v>
      </c>
      <c r="AH495" s="46" t="s">
        <v>17908</v>
      </c>
      <c r="AI495" s="7"/>
      <c r="AJ495" s="7"/>
      <c r="AK495" s="7" t="b">
        <v>0</v>
      </c>
      <c r="AL495" s="7" t="b">
        <v>0</v>
      </c>
      <c r="AM495" s="6" t="s">
        <v>8254</v>
      </c>
      <c r="AN495" s="6" t="s">
        <v>8246</v>
      </c>
      <c r="AO495" s="7"/>
      <c r="AP495" s="7"/>
      <c r="AQ495" s="6" t="b">
        <v>0</v>
      </c>
      <c r="AR495" s="6" t="s">
        <v>17909</v>
      </c>
      <c r="AS495" s="6"/>
    </row>
    <row r="496" ht="15.75" customHeight="1">
      <c r="A496" s="7" t="s">
        <v>8266</v>
      </c>
      <c r="B496" s="7" t="s">
        <v>8267</v>
      </c>
      <c r="C496" s="6" t="s">
        <v>117</v>
      </c>
      <c r="D496" s="7" t="s">
        <v>197</v>
      </c>
      <c r="E496" s="7"/>
      <c r="F496" s="7"/>
      <c r="G496" s="7"/>
      <c r="H496" s="7"/>
      <c r="I496" s="7"/>
      <c r="J496" s="7">
        <v>40.0</v>
      </c>
      <c r="K496" s="7" t="s">
        <v>17910</v>
      </c>
      <c r="L496" s="7">
        <v>97480.0</v>
      </c>
      <c r="M496" s="7" t="s">
        <v>123</v>
      </c>
      <c r="N496" s="7"/>
      <c r="O496" s="7" t="s">
        <v>8273</v>
      </c>
      <c r="P496" s="42" t="s">
        <v>8270</v>
      </c>
      <c r="Q496" s="43" t="s">
        <v>17911</v>
      </c>
      <c r="R496" s="50"/>
      <c r="S496" s="47" t="s">
        <v>8269</v>
      </c>
      <c r="T496" s="7"/>
      <c r="U496" s="7"/>
      <c r="V496" s="7"/>
      <c r="W496" s="7"/>
      <c r="X496" s="7"/>
      <c r="Y496" s="7"/>
      <c r="Z496" s="7"/>
      <c r="AA496" s="7"/>
      <c r="AB496" s="7"/>
      <c r="AC496" s="7">
        <v>4.8954625900032E13</v>
      </c>
      <c r="AD496" s="7">
        <v>4.89546259E8</v>
      </c>
      <c r="AE496" s="6" t="s">
        <v>12355</v>
      </c>
      <c r="AF496" s="45">
        <v>44978.63054398148</v>
      </c>
      <c r="AG496" s="7" t="s">
        <v>17912</v>
      </c>
      <c r="AH496" s="46" t="s">
        <v>17913</v>
      </c>
      <c r="AI496" s="7"/>
      <c r="AJ496" s="7"/>
      <c r="AK496" s="7" t="b">
        <v>0</v>
      </c>
      <c r="AL496" s="7" t="b">
        <v>0</v>
      </c>
      <c r="AM496" s="7"/>
      <c r="AN496" s="6" t="s">
        <v>8266</v>
      </c>
      <c r="AO496" s="7"/>
      <c r="AP496" s="7"/>
      <c r="AQ496" s="6" t="b">
        <v>0</v>
      </c>
      <c r="AR496" s="6" t="s">
        <v>17914</v>
      </c>
      <c r="AS496" s="6"/>
    </row>
    <row r="497" ht="15.75" customHeight="1">
      <c r="A497" s="7" t="s">
        <v>275</v>
      </c>
      <c r="B497" s="7" t="s">
        <v>8193</v>
      </c>
      <c r="C497" s="6" t="s">
        <v>117</v>
      </c>
      <c r="D497" s="6" t="s">
        <v>847</v>
      </c>
      <c r="E497" s="6" t="s">
        <v>848</v>
      </c>
      <c r="F497" s="6">
        <v>2.0</v>
      </c>
      <c r="G497" s="7"/>
      <c r="H497" s="7"/>
      <c r="I497" s="7"/>
      <c r="J497" s="7">
        <v>176.0</v>
      </c>
      <c r="K497" s="7" t="s">
        <v>17915</v>
      </c>
      <c r="L497" s="7">
        <v>97480.0</v>
      </c>
      <c r="M497" s="7" t="s">
        <v>123</v>
      </c>
      <c r="N497" s="7"/>
      <c r="O497" s="6" t="s">
        <v>17916</v>
      </c>
      <c r="P497" s="42" t="s">
        <v>8196</v>
      </c>
      <c r="Q497" s="43" t="s">
        <v>17917</v>
      </c>
      <c r="R497" s="50"/>
      <c r="S497" s="47" t="s">
        <v>8195</v>
      </c>
      <c r="T497" s="6" t="s">
        <v>17918</v>
      </c>
      <c r="U497" s="6" t="s">
        <v>17919</v>
      </c>
      <c r="V497" s="6" t="s">
        <v>17920</v>
      </c>
      <c r="W497" s="6" t="s">
        <v>14892</v>
      </c>
      <c r="X497" s="6" t="s">
        <v>17921</v>
      </c>
      <c r="Y497" s="7"/>
      <c r="Z497" s="6" t="s">
        <v>592</v>
      </c>
      <c r="AA497" s="7"/>
      <c r="AB497" s="7"/>
      <c r="AC497" s="6">
        <v>9.2282381E8</v>
      </c>
      <c r="AD497" s="6">
        <v>9.2282381E8</v>
      </c>
      <c r="AE497" s="6" t="s">
        <v>401</v>
      </c>
      <c r="AF497" s="45">
        <v>44978.61341435185</v>
      </c>
      <c r="AG497" s="7" t="s">
        <v>17922</v>
      </c>
      <c r="AH497" s="46" t="s">
        <v>17923</v>
      </c>
      <c r="AI497" s="7"/>
      <c r="AJ497" s="7"/>
      <c r="AK497" s="7" t="b">
        <v>0</v>
      </c>
      <c r="AL497" s="7" t="b">
        <v>0</v>
      </c>
      <c r="AM497" s="7"/>
      <c r="AN497" s="6" t="s">
        <v>275</v>
      </c>
      <c r="AO497" s="7"/>
      <c r="AP497" s="7"/>
      <c r="AQ497" s="6" t="b">
        <v>0</v>
      </c>
      <c r="AR497" s="6"/>
      <c r="AS497" s="6"/>
    </row>
    <row r="498" ht="15.75" customHeight="1">
      <c r="A498" s="9" t="s">
        <v>10735</v>
      </c>
      <c r="B498" s="9" t="s">
        <v>17924</v>
      </c>
      <c r="C498" s="9" t="s">
        <v>58</v>
      </c>
      <c r="D498" s="9" t="s">
        <v>59</v>
      </c>
      <c r="E498" s="9" t="s">
        <v>374</v>
      </c>
      <c r="F498" s="9">
        <v>4.0</v>
      </c>
      <c r="J498" s="52" t="s">
        <v>12528</v>
      </c>
      <c r="K498" s="9" t="s">
        <v>17925</v>
      </c>
      <c r="L498" s="9">
        <v>97430.0</v>
      </c>
      <c r="M498" s="9" t="s">
        <v>71</v>
      </c>
      <c r="O498" s="9" t="s">
        <v>17926</v>
      </c>
      <c r="P498" s="53" t="s">
        <v>17927</v>
      </c>
      <c r="Q498" s="49" t="s">
        <v>17928</v>
      </c>
      <c r="R498" s="50"/>
      <c r="S498" s="54"/>
      <c r="T498" s="9" t="s">
        <v>17929</v>
      </c>
      <c r="U498" s="9" t="s">
        <v>17930</v>
      </c>
      <c r="V498" s="9" t="s">
        <v>17931</v>
      </c>
      <c r="W498" s="9" t="s">
        <v>17932</v>
      </c>
      <c r="X498" s="9" t="s">
        <v>17933</v>
      </c>
      <c r="Y498" s="9" t="s">
        <v>13011</v>
      </c>
      <c r="Z498" s="9" t="s">
        <v>592</v>
      </c>
      <c r="AC498" s="9">
        <v>9.1399573400013E13</v>
      </c>
      <c r="AD498" s="9">
        <v>9.13995734E8</v>
      </c>
      <c r="AE498" s="9" t="s">
        <v>12355</v>
      </c>
      <c r="AF498" s="55">
        <v>44977.479537037034</v>
      </c>
      <c r="AG498" s="9" t="s">
        <v>17934</v>
      </c>
      <c r="AH498" s="9" t="s">
        <v>17935</v>
      </c>
      <c r="AJ498" s="9" t="s">
        <v>17936</v>
      </c>
      <c r="AK498" s="9" t="b">
        <v>0</v>
      </c>
      <c r="AL498" s="9" t="b">
        <v>0</v>
      </c>
      <c r="AM498" s="9" t="s">
        <v>17937</v>
      </c>
      <c r="AN498" s="9" t="s">
        <v>10735</v>
      </c>
      <c r="AP498" s="56">
        <v>44719.0</v>
      </c>
      <c r="AQ498" s="9" t="b">
        <v>0</v>
      </c>
      <c r="AR498" s="9" t="s">
        <v>17938</v>
      </c>
    </row>
    <row r="499" ht="15.75" customHeight="1">
      <c r="A499" s="7" t="s">
        <v>9835</v>
      </c>
      <c r="B499" s="7" t="s">
        <v>9836</v>
      </c>
      <c r="C499" s="7" t="s">
        <v>34</v>
      </c>
      <c r="D499" s="7" t="s">
        <v>485</v>
      </c>
      <c r="E499" s="7" t="s">
        <v>486</v>
      </c>
      <c r="F499" s="7">
        <v>12.0</v>
      </c>
      <c r="G499" s="7" t="s">
        <v>455</v>
      </c>
      <c r="H499" s="7"/>
      <c r="I499" s="7"/>
      <c r="J499" s="7">
        <v>44.0</v>
      </c>
      <c r="K499" s="7" t="s">
        <v>17939</v>
      </c>
      <c r="L499" s="7">
        <v>97418.0</v>
      </c>
      <c r="M499" s="7" t="s">
        <v>71</v>
      </c>
      <c r="N499" s="7" t="s">
        <v>216</v>
      </c>
      <c r="O499" s="6" t="s">
        <v>17940</v>
      </c>
      <c r="P499" s="42" t="s">
        <v>2391</v>
      </c>
      <c r="Q499" s="49" t="s">
        <v>17941</v>
      </c>
      <c r="R499" s="50"/>
      <c r="S499" s="51"/>
      <c r="T499" s="7" t="s">
        <v>9839</v>
      </c>
      <c r="U499" s="6" t="s">
        <v>17942</v>
      </c>
      <c r="V499" s="7" t="s">
        <v>2394</v>
      </c>
      <c r="W499" s="6" t="s">
        <v>17943</v>
      </c>
      <c r="X499" s="6" t="s">
        <v>17944</v>
      </c>
      <c r="Y499" s="6" t="s">
        <v>1863</v>
      </c>
      <c r="Z499" s="7" t="s">
        <v>424</v>
      </c>
      <c r="AA499" s="7"/>
      <c r="AB499" s="7"/>
      <c r="AC499" s="7">
        <v>4.430099800003E13</v>
      </c>
      <c r="AD499" s="7">
        <v>4.4300998E8</v>
      </c>
      <c r="AE499" s="6" t="s">
        <v>401</v>
      </c>
      <c r="AF499" s="45">
        <v>45393.57747685185</v>
      </c>
      <c r="AG499" s="7" t="s">
        <v>17945</v>
      </c>
      <c r="AH499" s="46" t="s">
        <v>17946</v>
      </c>
      <c r="AI499" s="7"/>
      <c r="AJ499" s="6" t="s">
        <v>17947</v>
      </c>
      <c r="AK499" s="7" t="b">
        <v>0</v>
      </c>
      <c r="AL499" s="7" t="b">
        <v>0</v>
      </c>
      <c r="AM499" s="7"/>
      <c r="AN499" s="6" t="s">
        <v>9835</v>
      </c>
      <c r="AO499" s="7"/>
      <c r="AP499" s="7"/>
      <c r="AQ499" s="6" t="b">
        <v>1</v>
      </c>
      <c r="AR499" s="6"/>
      <c r="AS499" s="48" t="s">
        <v>12303</v>
      </c>
    </row>
    <row r="500" ht="15.75" customHeight="1">
      <c r="A500" s="7" t="s">
        <v>10023</v>
      </c>
      <c r="B500" s="7" t="s">
        <v>10024</v>
      </c>
      <c r="C500" s="7" t="s">
        <v>58</v>
      </c>
      <c r="D500" s="7" t="s">
        <v>59</v>
      </c>
      <c r="E500" s="7" t="s">
        <v>346</v>
      </c>
      <c r="F500" s="7">
        <v>10.0</v>
      </c>
      <c r="G500" s="7" t="s">
        <v>422</v>
      </c>
      <c r="H500" s="7"/>
      <c r="I500" s="7"/>
      <c r="J500" s="7">
        <v>15.0</v>
      </c>
      <c r="K500" s="7" t="s">
        <v>14724</v>
      </c>
      <c r="L500" s="7">
        <v>97480.0</v>
      </c>
      <c r="M500" s="7" t="s">
        <v>123</v>
      </c>
      <c r="N500" s="7"/>
      <c r="O500" s="6" t="s">
        <v>17948</v>
      </c>
      <c r="P500" s="42" t="s">
        <v>10026</v>
      </c>
      <c r="Q500" s="43" t="s">
        <v>13045</v>
      </c>
      <c r="R500" s="50" t="s">
        <v>12350</v>
      </c>
      <c r="S500" s="51"/>
      <c r="T500" s="6" t="s">
        <v>17949</v>
      </c>
      <c r="U500" s="6" t="s">
        <v>17950</v>
      </c>
      <c r="V500" s="6" t="s">
        <v>17951</v>
      </c>
      <c r="W500" s="6" t="s">
        <v>17952</v>
      </c>
      <c r="X500" s="6" t="s">
        <v>17953</v>
      </c>
      <c r="Y500" s="7" t="s">
        <v>1863</v>
      </c>
      <c r="Z500" s="6" t="s">
        <v>13051</v>
      </c>
      <c r="AA500" s="7" t="s">
        <v>2045</v>
      </c>
      <c r="AB500" s="7" t="s">
        <v>1590</v>
      </c>
      <c r="AC500" s="7"/>
      <c r="AD500" s="7"/>
      <c r="AE500" s="6" t="s">
        <v>12355</v>
      </c>
      <c r="AF500" s="45">
        <v>44977.424305555556</v>
      </c>
      <c r="AG500" s="7" t="s">
        <v>13052</v>
      </c>
      <c r="AH500" s="46" t="s">
        <v>17954</v>
      </c>
      <c r="AI500" s="7"/>
      <c r="AJ500" s="6"/>
      <c r="AK500" s="6" t="b">
        <v>1</v>
      </c>
      <c r="AL500" s="7" t="b">
        <v>0</v>
      </c>
      <c r="AM500" s="6" t="s">
        <v>10032</v>
      </c>
      <c r="AN500" s="6" t="s">
        <v>10023</v>
      </c>
      <c r="AO500" s="7"/>
      <c r="AP500" s="7"/>
      <c r="AQ500" s="6" t="b">
        <v>0</v>
      </c>
      <c r="AR500" s="6" t="s">
        <v>17955</v>
      </c>
      <c r="AS500" s="6"/>
    </row>
    <row r="501" ht="15.75" customHeight="1">
      <c r="A501" s="7" t="s">
        <v>5651</v>
      </c>
      <c r="B501" s="7" t="s">
        <v>5652</v>
      </c>
      <c r="C501" s="7" t="s">
        <v>58</v>
      </c>
      <c r="D501" s="7" t="s">
        <v>137</v>
      </c>
      <c r="E501" s="7" t="s">
        <v>1091</v>
      </c>
      <c r="F501" s="7">
        <v>8.0</v>
      </c>
      <c r="G501" s="7" t="s">
        <v>569</v>
      </c>
      <c r="H501" s="7"/>
      <c r="I501" s="7"/>
      <c r="J501" s="41" t="s">
        <v>17956</v>
      </c>
      <c r="K501" s="7" t="s">
        <v>15208</v>
      </c>
      <c r="L501" s="7">
        <v>97418.0</v>
      </c>
      <c r="M501" s="7" t="s">
        <v>71</v>
      </c>
      <c r="N501" s="7" t="s">
        <v>216</v>
      </c>
      <c r="O501" s="6" t="s">
        <v>17957</v>
      </c>
      <c r="P501" s="42" t="s">
        <v>17958</v>
      </c>
      <c r="Q501" s="43" t="s">
        <v>17959</v>
      </c>
      <c r="R501" s="50"/>
      <c r="S501" s="51"/>
      <c r="T501" s="7" t="s">
        <v>5656</v>
      </c>
      <c r="U501" s="7" t="s">
        <v>5655</v>
      </c>
      <c r="V501" s="7" t="s">
        <v>5657</v>
      </c>
      <c r="W501" s="6" t="s">
        <v>17960</v>
      </c>
      <c r="X501" s="7" t="s">
        <v>506</v>
      </c>
      <c r="Y501" s="7" t="s">
        <v>377</v>
      </c>
      <c r="Z501" s="7" t="s">
        <v>592</v>
      </c>
      <c r="AA501" s="7" t="s">
        <v>4318</v>
      </c>
      <c r="AB501" s="7" t="s">
        <v>1876</v>
      </c>
      <c r="AC501" s="6">
        <v>3.8339548000031E13</v>
      </c>
      <c r="AD501" s="6">
        <v>3.8339548E8</v>
      </c>
      <c r="AE501" s="6" t="s">
        <v>401</v>
      </c>
      <c r="AF501" s="45">
        <v>45985.50515046297</v>
      </c>
      <c r="AG501" s="7" t="s">
        <v>17961</v>
      </c>
      <c r="AH501" s="46" t="s">
        <v>17962</v>
      </c>
      <c r="AI501" s="7"/>
      <c r="AJ501" s="6" t="s">
        <v>17963</v>
      </c>
      <c r="AK501" s="7" t="b">
        <v>0</v>
      </c>
      <c r="AL501" s="7" t="b">
        <v>0</v>
      </c>
      <c r="AM501" s="6" t="s">
        <v>5662</v>
      </c>
      <c r="AN501" s="6" t="s">
        <v>5651</v>
      </c>
      <c r="AO501" s="6">
        <v>262.0</v>
      </c>
      <c r="AP501" s="6"/>
      <c r="AQ501" s="6" t="b">
        <v>1</v>
      </c>
      <c r="AR501" s="6" t="s">
        <v>17964</v>
      </c>
      <c r="AS501" s="48" t="s">
        <v>12303</v>
      </c>
    </row>
    <row r="502" ht="15.75" customHeight="1">
      <c r="A502" s="7" t="s">
        <v>6473</v>
      </c>
      <c r="B502" s="7" t="s">
        <v>17965</v>
      </c>
      <c r="C502" s="7" t="s">
        <v>58</v>
      </c>
      <c r="D502" s="7" t="s">
        <v>453</v>
      </c>
      <c r="E502" s="7" t="s">
        <v>454</v>
      </c>
      <c r="F502" s="7">
        <v>12.0</v>
      </c>
      <c r="G502" s="7" t="s">
        <v>1001</v>
      </c>
      <c r="H502" s="7" t="s">
        <v>574</v>
      </c>
      <c r="I502" s="6" t="s">
        <v>4954</v>
      </c>
      <c r="J502" s="7" t="s">
        <v>17966</v>
      </c>
      <c r="K502" s="7" t="s">
        <v>17967</v>
      </c>
      <c r="L502" s="7">
        <v>97442.0</v>
      </c>
      <c r="M502" s="7" t="s">
        <v>33</v>
      </c>
      <c r="N502" s="7" t="s">
        <v>16067</v>
      </c>
      <c r="O502" s="6" t="s">
        <v>17968</v>
      </c>
      <c r="P502" s="42" t="s">
        <v>6464</v>
      </c>
      <c r="Q502" s="43" t="s">
        <v>17969</v>
      </c>
      <c r="R502" s="43" t="s">
        <v>17970</v>
      </c>
      <c r="S502" s="57" t="s">
        <v>17971</v>
      </c>
      <c r="T502" s="6" t="s">
        <v>17972</v>
      </c>
      <c r="U502" s="7" t="s">
        <v>6474</v>
      </c>
      <c r="V502" s="7" t="s">
        <v>6467</v>
      </c>
      <c r="W502" s="6" t="s">
        <v>17973</v>
      </c>
      <c r="X502" s="7" t="s">
        <v>6463</v>
      </c>
      <c r="Y502" s="7" t="s">
        <v>974</v>
      </c>
      <c r="Z502" s="7" t="s">
        <v>440</v>
      </c>
      <c r="AA502" s="7"/>
      <c r="AB502" s="7"/>
      <c r="AC502" s="7">
        <v>4.4155755000015E13</v>
      </c>
      <c r="AD502" s="7">
        <v>4.4155755E8</v>
      </c>
      <c r="AE502" s="6" t="s">
        <v>401</v>
      </c>
      <c r="AF502" s="45">
        <v>45863.61798611111</v>
      </c>
      <c r="AG502" s="7" t="s">
        <v>17974</v>
      </c>
      <c r="AH502" s="46" t="s">
        <v>17975</v>
      </c>
      <c r="AI502" s="7"/>
      <c r="AJ502" s="6" t="s">
        <v>17976</v>
      </c>
      <c r="AK502" s="7" t="b">
        <v>0</v>
      </c>
      <c r="AL502" s="7" t="b">
        <v>0</v>
      </c>
      <c r="AM502" s="6" t="s">
        <v>6478</v>
      </c>
      <c r="AN502" s="6" t="s">
        <v>6473</v>
      </c>
      <c r="AO502" s="6">
        <v>322.0</v>
      </c>
      <c r="AP502" s="6"/>
      <c r="AQ502" s="6" t="b">
        <v>1</v>
      </c>
      <c r="AR502" s="6" t="s">
        <v>17977</v>
      </c>
      <c r="AS502" s="48" t="s">
        <v>12303</v>
      </c>
    </row>
    <row r="503" ht="15.75" customHeight="1">
      <c r="A503" s="7" t="s">
        <v>6458</v>
      </c>
      <c r="B503" s="7" t="s">
        <v>17965</v>
      </c>
      <c r="C503" s="7" t="s">
        <v>34</v>
      </c>
      <c r="D503" s="7" t="s">
        <v>485</v>
      </c>
      <c r="E503" s="7" t="s">
        <v>486</v>
      </c>
      <c r="F503" s="7">
        <v>25.0</v>
      </c>
      <c r="G503" s="7" t="s">
        <v>1001</v>
      </c>
      <c r="H503" s="7"/>
      <c r="I503" s="6" t="s">
        <v>4954</v>
      </c>
      <c r="J503" s="7" t="s">
        <v>17966</v>
      </c>
      <c r="K503" s="7" t="s">
        <v>17978</v>
      </c>
      <c r="L503" s="7">
        <v>97442.0</v>
      </c>
      <c r="M503" s="7" t="s">
        <v>33</v>
      </c>
      <c r="N503" s="7" t="s">
        <v>16067</v>
      </c>
      <c r="O503" s="7" t="s">
        <v>6471</v>
      </c>
      <c r="P503" s="42" t="s">
        <v>6464</v>
      </c>
      <c r="Q503" s="43" t="s">
        <v>17969</v>
      </c>
      <c r="R503" s="43" t="s">
        <v>17970</v>
      </c>
      <c r="S503" s="57" t="s">
        <v>17971</v>
      </c>
      <c r="T503" s="7" t="s">
        <v>6466</v>
      </c>
      <c r="U503" s="7" t="s">
        <v>6465</v>
      </c>
      <c r="V503" s="7" t="s">
        <v>6467</v>
      </c>
      <c r="W503" s="6" t="s">
        <v>12532</v>
      </c>
      <c r="X503" s="7" t="s">
        <v>6463</v>
      </c>
      <c r="Y503" s="7" t="s">
        <v>974</v>
      </c>
      <c r="Z503" s="7" t="s">
        <v>440</v>
      </c>
      <c r="AA503" s="7"/>
      <c r="AB503" s="7"/>
      <c r="AC503" s="7">
        <v>4.4155755000015E13</v>
      </c>
      <c r="AD503" s="7">
        <v>4.4155755E8</v>
      </c>
      <c r="AE503" s="6" t="s">
        <v>12355</v>
      </c>
      <c r="AF503" s="45">
        <v>44972.58251157407</v>
      </c>
      <c r="AG503" s="7" t="s">
        <v>17974</v>
      </c>
      <c r="AH503" s="46" t="s">
        <v>17979</v>
      </c>
      <c r="AI503" s="7"/>
      <c r="AJ503" s="6" t="s">
        <v>17980</v>
      </c>
      <c r="AK503" s="7" t="b">
        <v>0</v>
      </c>
      <c r="AL503" s="7" t="b">
        <v>0</v>
      </c>
      <c r="AM503" s="7"/>
      <c r="AN503" s="6" t="s">
        <v>6458</v>
      </c>
      <c r="AO503" s="6">
        <v>796.0</v>
      </c>
      <c r="AP503" s="6"/>
      <c r="AQ503" s="6" t="b">
        <v>1</v>
      </c>
      <c r="AR503" s="6" t="s">
        <v>17981</v>
      </c>
      <c r="AS503" s="48" t="s">
        <v>12303</v>
      </c>
    </row>
    <row r="504" ht="15.75" customHeight="1">
      <c r="A504" s="9" t="s">
        <v>10738</v>
      </c>
      <c r="B504" s="9" t="s">
        <v>17406</v>
      </c>
      <c r="C504" s="9" t="s">
        <v>58</v>
      </c>
      <c r="D504" s="9" t="s">
        <v>453</v>
      </c>
      <c r="E504" s="9"/>
      <c r="F504" s="9">
        <v>2.0</v>
      </c>
      <c r="J504" s="52" t="s">
        <v>13331</v>
      </c>
      <c r="K504" s="9" t="s">
        <v>17408</v>
      </c>
      <c r="L504" s="9">
        <v>97414.0</v>
      </c>
      <c r="M504" s="9" t="s">
        <v>40</v>
      </c>
      <c r="O504" s="9" t="s">
        <v>17982</v>
      </c>
      <c r="P504" s="53" t="s">
        <v>17410</v>
      </c>
      <c r="Q504" s="49" t="s">
        <v>17983</v>
      </c>
      <c r="R504" s="50"/>
      <c r="S504" s="54"/>
      <c r="T504" s="9" t="s">
        <v>17413</v>
      </c>
      <c r="V504" s="9" t="s">
        <v>17415</v>
      </c>
      <c r="W504" s="9" t="s">
        <v>17416</v>
      </c>
      <c r="X504" s="9" t="s">
        <v>17417</v>
      </c>
      <c r="Y504" s="9" t="s">
        <v>1863</v>
      </c>
      <c r="Z504" s="9" t="s">
        <v>851</v>
      </c>
      <c r="AC504" s="9">
        <v>8.05403953E8</v>
      </c>
      <c r="AD504" s="9">
        <v>8.05403953E8</v>
      </c>
      <c r="AE504" s="9" t="s">
        <v>5287</v>
      </c>
      <c r="AF504" s="55">
        <v>45671.39491898148</v>
      </c>
      <c r="AG504" s="9" t="s">
        <v>17418</v>
      </c>
      <c r="AH504" s="9" t="s">
        <v>17984</v>
      </c>
      <c r="AJ504" s="9" t="s">
        <v>17985</v>
      </c>
      <c r="AK504" s="9" t="b">
        <v>0</v>
      </c>
      <c r="AL504" s="9" t="b">
        <v>0</v>
      </c>
      <c r="AM504" s="9" t="s">
        <v>17421</v>
      </c>
      <c r="AN504" s="9" t="s">
        <v>10738</v>
      </c>
      <c r="AP504" s="56">
        <v>44574.0</v>
      </c>
      <c r="AQ504" s="9" t="b">
        <v>1</v>
      </c>
      <c r="AR504" s="9" t="s">
        <v>17986</v>
      </c>
      <c r="AS504" s="48" t="s">
        <v>12303</v>
      </c>
    </row>
    <row r="505" ht="15.75" customHeight="1">
      <c r="A505" s="7" t="s">
        <v>4821</v>
      </c>
      <c r="B505" s="7" t="s">
        <v>17987</v>
      </c>
      <c r="C505" s="7" t="s">
        <v>822</v>
      </c>
      <c r="D505" s="7" t="s">
        <v>4826</v>
      </c>
      <c r="E505" s="7" t="s">
        <v>4827</v>
      </c>
      <c r="F505" s="7"/>
      <c r="G505" s="7" t="s">
        <v>375</v>
      </c>
      <c r="H505" s="7"/>
      <c r="I505" s="7" t="s">
        <v>597</v>
      </c>
      <c r="J505" s="41" t="s">
        <v>12345</v>
      </c>
      <c r="K505" s="6" t="s">
        <v>17988</v>
      </c>
      <c r="L505" s="7">
        <v>97442.0</v>
      </c>
      <c r="M505" s="7" t="s">
        <v>33</v>
      </c>
      <c r="N505" s="7"/>
      <c r="O505" s="6" t="s">
        <v>17989</v>
      </c>
      <c r="P505" s="42" t="s">
        <v>4829</v>
      </c>
      <c r="Q505" s="43" t="s">
        <v>17990</v>
      </c>
      <c r="R505" s="43" t="s">
        <v>17991</v>
      </c>
      <c r="S505" s="57" t="s">
        <v>17992</v>
      </c>
      <c r="T505" s="7" t="s">
        <v>4831</v>
      </c>
      <c r="U505" s="7" t="s">
        <v>4830</v>
      </c>
      <c r="V505" s="7" t="s">
        <v>4832</v>
      </c>
      <c r="W505" s="6" t="s">
        <v>17993</v>
      </c>
      <c r="X505" s="7" t="s">
        <v>2842</v>
      </c>
      <c r="Y505" s="7" t="s">
        <v>3832</v>
      </c>
      <c r="Z505" s="7" t="s">
        <v>592</v>
      </c>
      <c r="AA505" s="7"/>
      <c r="AB505" s="7"/>
      <c r="AC505" s="6">
        <v>4.3456863000025E13</v>
      </c>
      <c r="AD505" s="6">
        <v>4.3456863E8</v>
      </c>
      <c r="AE505" s="6" t="s">
        <v>401</v>
      </c>
      <c r="AF505" s="45">
        <v>45723.46769675926</v>
      </c>
      <c r="AG505" s="7" t="s">
        <v>17994</v>
      </c>
      <c r="AH505" s="46" t="s">
        <v>17995</v>
      </c>
      <c r="AI505" s="7"/>
      <c r="AJ505" s="6" t="s">
        <v>17996</v>
      </c>
      <c r="AK505" s="7" t="b">
        <v>0</v>
      </c>
      <c r="AL505" s="7" t="b">
        <v>0</v>
      </c>
      <c r="AM505" s="7"/>
      <c r="AN505" s="6" t="s">
        <v>4821</v>
      </c>
      <c r="AO505" s="6">
        <v>1789.0</v>
      </c>
      <c r="AP505" s="6"/>
      <c r="AQ505" s="6" t="b">
        <v>1</v>
      </c>
      <c r="AR505" s="6" t="s">
        <v>17997</v>
      </c>
      <c r="AS505" s="48" t="s">
        <v>12303</v>
      </c>
    </row>
    <row r="506" ht="15.75" customHeight="1">
      <c r="A506" s="9" t="s">
        <v>10740</v>
      </c>
      <c r="B506" s="9" t="s">
        <v>17998</v>
      </c>
      <c r="C506" s="9" t="s">
        <v>34</v>
      </c>
      <c r="E506" s="9" t="s">
        <v>17999</v>
      </c>
      <c r="F506" s="9">
        <v>30.0</v>
      </c>
      <c r="J506" s="52" t="s">
        <v>13933</v>
      </c>
      <c r="K506" s="9" t="s">
        <v>18000</v>
      </c>
      <c r="L506" s="9">
        <v>97418.0</v>
      </c>
      <c r="M506" s="9" t="s">
        <v>71</v>
      </c>
      <c r="N506" s="9" t="s">
        <v>18001</v>
      </c>
      <c r="O506" s="9" t="s">
        <v>18002</v>
      </c>
      <c r="P506" s="53" t="s">
        <v>18003</v>
      </c>
      <c r="Q506" s="49" t="s">
        <v>18004</v>
      </c>
      <c r="R506" s="50"/>
      <c r="S506" s="54" t="s">
        <v>18005</v>
      </c>
      <c r="T506" s="9" t="s">
        <v>18006</v>
      </c>
      <c r="U506" s="9" t="s">
        <v>18007</v>
      </c>
      <c r="V506" s="9" t="s">
        <v>18008</v>
      </c>
      <c r="W506" s="9" t="s">
        <v>18009</v>
      </c>
      <c r="X506" s="9" t="s">
        <v>18010</v>
      </c>
      <c r="Y506" s="9" t="s">
        <v>377</v>
      </c>
      <c r="Z506" s="9" t="s">
        <v>18011</v>
      </c>
      <c r="AC506" s="9">
        <v>3.5081593200024E13</v>
      </c>
      <c r="AD506" s="9">
        <v>3.50815932E8</v>
      </c>
      <c r="AE506" s="9" t="s">
        <v>12355</v>
      </c>
      <c r="AF506" s="55">
        <v>44965.639444444445</v>
      </c>
      <c r="AG506" s="9" t="s">
        <v>18012</v>
      </c>
      <c r="AH506" s="9" t="s">
        <v>18013</v>
      </c>
      <c r="AJ506" s="9" t="s">
        <v>18014</v>
      </c>
      <c r="AK506" s="9" t="b">
        <v>0</v>
      </c>
      <c r="AL506" s="9" t="b">
        <v>1</v>
      </c>
      <c r="AN506" s="9" t="s">
        <v>10740</v>
      </c>
      <c r="AP506" s="56">
        <v>44602.0</v>
      </c>
      <c r="AQ506" s="9" t="b">
        <v>0</v>
      </c>
      <c r="AS506" s="48" t="s">
        <v>12303</v>
      </c>
    </row>
    <row r="507" ht="15.75" customHeight="1">
      <c r="A507" s="9" t="s">
        <v>10591</v>
      </c>
      <c r="B507" s="9" t="s">
        <v>17998</v>
      </c>
      <c r="C507" s="9" t="s">
        <v>822</v>
      </c>
      <c r="D507" s="9" t="s">
        <v>4826</v>
      </c>
      <c r="E507" s="9" t="s">
        <v>17999</v>
      </c>
      <c r="F507" s="9">
        <v>30.0</v>
      </c>
      <c r="J507" s="52" t="s">
        <v>13933</v>
      </c>
      <c r="K507" s="9" t="s">
        <v>18000</v>
      </c>
      <c r="L507" s="9">
        <v>97418.0</v>
      </c>
      <c r="M507" s="9" t="s">
        <v>71</v>
      </c>
      <c r="N507" s="9" t="s">
        <v>18001</v>
      </c>
      <c r="O507" s="9" t="s">
        <v>18002</v>
      </c>
      <c r="P507" s="53" t="s">
        <v>18003</v>
      </c>
      <c r="Q507" s="49" t="s">
        <v>18004</v>
      </c>
      <c r="R507" s="50"/>
      <c r="S507" s="54" t="s">
        <v>18005</v>
      </c>
      <c r="T507" s="9" t="s">
        <v>18006</v>
      </c>
      <c r="U507" s="9" t="s">
        <v>18007</v>
      </c>
      <c r="V507" s="9" t="s">
        <v>18008</v>
      </c>
      <c r="W507" s="9" t="s">
        <v>18009</v>
      </c>
      <c r="X507" s="9" t="s">
        <v>18010</v>
      </c>
      <c r="Y507" s="9" t="s">
        <v>377</v>
      </c>
      <c r="Z507" s="9" t="s">
        <v>18011</v>
      </c>
      <c r="AC507" s="9">
        <v>3.5081593200024E13</v>
      </c>
      <c r="AD507" s="9">
        <v>3.50815932E8</v>
      </c>
      <c r="AE507" s="9" t="s">
        <v>12355</v>
      </c>
      <c r="AF507" s="55">
        <v>44965.639236111114</v>
      </c>
      <c r="AG507" s="9" t="s">
        <v>18012</v>
      </c>
      <c r="AH507" s="9" t="s">
        <v>18015</v>
      </c>
      <c r="AJ507" s="9" t="s">
        <v>18016</v>
      </c>
      <c r="AK507" s="9" t="b">
        <v>0</v>
      </c>
      <c r="AL507" s="9" t="b">
        <v>1</v>
      </c>
      <c r="AN507" s="9" t="s">
        <v>10591</v>
      </c>
      <c r="AP507" s="56">
        <v>44602.0</v>
      </c>
      <c r="AQ507" s="9" t="b">
        <v>0</v>
      </c>
      <c r="AR507" s="9" t="s">
        <v>18017</v>
      </c>
      <c r="AS507" s="48" t="s">
        <v>12303</v>
      </c>
    </row>
    <row r="508" ht="15.75" customHeight="1">
      <c r="A508" s="7" t="s">
        <v>6444</v>
      </c>
      <c r="B508" s="7" t="s">
        <v>18018</v>
      </c>
      <c r="C508" s="7" t="s">
        <v>34</v>
      </c>
      <c r="D508" s="7" t="s">
        <v>622</v>
      </c>
      <c r="E508" s="7" t="s">
        <v>622</v>
      </c>
      <c r="F508" s="7">
        <v>300.0</v>
      </c>
      <c r="G508" s="7" t="s">
        <v>1001</v>
      </c>
      <c r="H508" s="7"/>
      <c r="I508" s="7"/>
      <c r="J508" s="41" t="s">
        <v>12925</v>
      </c>
      <c r="K508" s="6" t="s">
        <v>18019</v>
      </c>
      <c r="L508" s="7">
        <v>97442.0</v>
      </c>
      <c r="M508" s="7" t="s">
        <v>33</v>
      </c>
      <c r="N508" s="6" t="s">
        <v>15096</v>
      </c>
      <c r="O508" s="7" t="s">
        <v>6456</v>
      </c>
      <c r="P508" s="53" t="s">
        <v>18020</v>
      </c>
      <c r="Q508" s="49" t="s">
        <v>18021</v>
      </c>
      <c r="R508" s="50"/>
      <c r="S508" s="51"/>
      <c r="T508" s="6" t="s">
        <v>18022</v>
      </c>
      <c r="U508" s="6" t="s">
        <v>18023</v>
      </c>
      <c r="V508" s="6" t="s">
        <v>18024</v>
      </c>
      <c r="W508" s="6" t="s">
        <v>18025</v>
      </c>
      <c r="X508" s="6" t="s">
        <v>18026</v>
      </c>
      <c r="Y508" s="6" t="s">
        <v>18027</v>
      </c>
      <c r="Z508" s="6" t="s">
        <v>353</v>
      </c>
      <c r="AA508" s="7"/>
      <c r="AB508" s="7"/>
      <c r="AC508" s="7">
        <v>3.8885169300019E13</v>
      </c>
      <c r="AD508" s="7">
        <v>3.88851693E8</v>
      </c>
      <c r="AE508" s="7" t="s">
        <v>401</v>
      </c>
      <c r="AF508" s="45">
        <v>45393.56658564815</v>
      </c>
      <c r="AG508" s="7" t="s">
        <v>18028</v>
      </c>
      <c r="AH508" s="46" t="s">
        <v>18029</v>
      </c>
      <c r="AI508" s="7"/>
      <c r="AJ508" s="6" t="s">
        <v>18030</v>
      </c>
      <c r="AK508" s="6" t="b">
        <v>1</v>
      </c>
      <c r="AL508" s="7" t="b">
        <v>0</v>
      </c>
      <c r="AM508" s="7"/>
      <c r="AN508" s="6" t="s">
        <v>6444</v>
      </c>
      <c r="AO508" s="7"/>
      <c r="AP508" s="7"/>
      <c r="AQ508" s="6" t="b">
        <v>1</v>
      </c>
      <c r="AR508" s="6" t="s">
        <v>18031</v>
      </c>
      <c r="AS508" s="48" t="s">
        <v>12303</v>
      </c>
    </row>
    <row r="509" ht="15.75" customHeight="1">
      <c r="A509" s="9" t="s">
        <v>12018</v>
      </c>
      <c r="B509" s="9" t="s">
        <v>18032</v>
      </c>
      <c r="C509" s="9" t="s">
        <v>58</v>
      </c>
      <c r="D509" s="9" t="s">
        <v>59</v>
      </c>
      <c r="E509" s="9" t="s">
        <v>346</v>
      </c>
      <c r="F509" s="9">
        <v>6.0</v>
      </c>
      <c r="G509" s="9" t="s">
        <v>455</v>
      </c>
      <c r="J509" s="52" t="s">
        <v>14338</v>
      </c>
      <c r="K509" s="9" t="s">
        <v>18033</v>
      </c>
      <c r="L509" s="9">
        <v>97480.0</v>
      </c>
      <c r="M509" s="9" t="s">
        <v>123</v>
      </c>
      <c r="N509" s="9" t="s">
        <v>3556</v>
      </c>
      <c r="O509" s="9" t="s">
        <v>18034</v>
      </c>
      <c r="P509" s="53" t="s">
        <v>18035</v>
      </c>
      <c r="Q509" s="49" t="s">
        <v>18036</v>
      </c>
      <c r="R509" s="50"/>
      <c r="S509" s="54"/>
      <c r="T509" s="9" t="s">
        <v>18037</v>
      </c>
      <c r="U509" s="9" t="s">
        <v>18038</v>
      </c>
      <c r="V509" s="9" t="s">
        <v>18039</v>
      </c>
      <c r="W509" s="9" t="s">
        <v>18040</v>
      </c>
      <c r="X509" s="9" t="s">
        <v>18041</v>
      </c>
      <c r="Y509" s="9" t="s">
        <v>18042</v>
      </c>
      <c r="Z509" s="9" t="s">
        <v>378</v>
      </c>
      <c r="AC509" s="9">
        <v>9.1493036700018E13</v>
      </c>
      <c r="AD509" s="9">
        <v>9.14930367E8</v>
      </c>
      <c r="AE509" s="9" t="s">
        <v>401</v>
      </c>
      <c r="AF509" s="55">
        <v>45397.64886574074</v>
      </c>
      <c r="AG509" s="9" t="s">
        <v>18043</v>
      </c>
      <c r="AH509" s="9" t="s">
        <v>18044</v>
      </c>
      <c r="AJ509" s="9" t="s">
        <v>18045</v>
      </c>
      <c r="AK509" s="9" t="b">
        <v>1</v>
      </c>
      <c r="AL509" s="9" t="b">
        <v>0</v>
      </c>
      <c r="AM509" s="9" t="s">
        <v>18046</v>
      </c>
      <c r="AN509" s="9" t="s">
        <v>12018</v>
      </c>
      <c r="AP509" s="56">
        <v>44630.0</v>
      </c>
      <c r="AQ509" s="9" t="b">
        <v>1</v>
      </c>
    </row>
    <row r="510" ht="15.75" customHeight="1">
      <c r="A510" s="7" t="s">
        <v>8993</v>
      </c>
      <c r="B510" s="6" t="s">
        <v>18047</v>
      </c>
      <c r="C510" s="6" t="s">
        <v>117</v>
      </c>
      <c r="D510" s="7" t="s">
        <v>197</v>
      </c>
      <c r="E510" s="6" t="s">
        <v>559</v>
      </c>
      <c r="F510" s="6">
        <v>8.0</v>
      </c>
      <c r="G510" s="6" t="s">
        <v>422</v>
      </c>
      <c r="H510" s="7"/>
      <c r="I510" s="7"/>
      <c r="J510" s="41" t="s">
        <v>13933</v>
      </c>
      <c r="K510" s="6" t="s">
        <v>18048</v>
      </c>
      <c r="L510" s="7">
        <v>97414.0</v>
      </c>
      <c r="M510" s="7" t="s">
        <v>40</v>
      </c>
      <c r="N510" s="6" t="s">
        <v>14196</v>
      </c>
      <c r="O510" s="6" t="s">
        <v>18049</v>
      </c>
      <c r="P510" s="42" t="s">
        <v>8996</v>
      </c>
      <c r="Q510" s="43" t="s">
        <v>18050</v>
      </c>
      <c r="R510" s="50"/>
      <c r="S510" s="44" t="s">
        <v>18051</v>
      </c>
      <c r="T510" s="6" t="s">
        <v>18052</v>
      </c>
      <c r="U510" s="6" t="s">
        <v>18053</v>
      </c>
      <c r="V510" s="6" t="s">
        <v>18054</v>
      </c>
      <c r="W510" s="6" t="s">
        <v>18055</v>
      </c>
      <c r="X510" s="6" t="s">
        <v>18056</v>
      </c>
      <c r="Y510" s="6" t="s">
        <v>2938</v>
      </c>
      <c r="Z510" s="6" t="s">
        <v>18057</v>
      </c>
      <c r="AA510" s="7"/>
      <c r="AB510" s="7"/>
      <c r="AC510" s="6">
        <v>5.043734990002E13</v>
      </c>
      <c r="AD510" s="6">
        <v>5.04373499E8</v>
      </c>
      <c r="AE510" s="6" t="s">
        <v>401</v>
      </c>
      <c r="AF510" s="45">
        <v>44964.403657407405</v>
      </c>
      <c r="AG510" s="7" t="s">
        <v>18058</v>
      </c>
      <c r="AH510" s="46" t="s">
        <v>18059</v>
      </c>
      <c r="AI510" s="7"/>
      <c r="AJ510" s="6" t="s">
        <v>18060</v>
      </c>
      <c r="AK510" s="7" t="b">
        <v>0</v>
      </c>
      <c r="AL510" s="6" t="b">
        <v>1</v>
      </c>
      <c r="AM510" s="7"/>
      <c r="AN510" s="6" t="s">
        <v>8993</v>
      </c>
      <c r="AO510" s="7"/>
      <c r="AP510" s="7"/>
      <c r="AQ510" s="6" t="b">
        <v>0</v>
      </c>
      <c r="AR510" s="6"/>
      <c r="AS510" s="48" t="s">
        <v>12303</v>
      </c>
    </row>
    <row r="511" ht="15.75" customHeight="1">
      <c r="A511" s="7" t="s">
        <v>7336</v>
      </c>
      <c r="B511" s="7" t="s">
        <v>7337</v>
      </c>
      <c r="C511" s="6" t="s">
        <v>117</v>
      </c>
      <c r="D511" s="7" t="s">
        <v>1549</v>
      </c>
      <c r="E511" s="7" t="s">
        <v>1550</v>
      </c>
      <c r="F511" s="7"/>
      <c r="G511" s="7" t="s">
        <v>422</v>
      </c>
      <c r="H511" s="7"/>
      <c r="I511" s="7"/>
      <c r="J511" s="7">
        <v>61.0</v>
      </c>
      <c r="K511" s="7" t="s">
        <v>18061</v>
      </c>
      <c r="L511" s="7">
        <v>97414.0</v>
      </c>
      <c r="M511" s="7" t="s">
        <v>40</v>
      </c>
      <c r="N511" s="7"/>
      <c r="O511" s="7" t="s">
        <v>7346</v>
      </c>
      <c r="P511" s="42" t="s">
        <v>7339</v>
      </c>
      <c r="Q511" s="43" t="s">
        <v>18062</v>
      </c>
      <c r="R511" s="50"/>
      <c r="S511" s="51"/>
      <c r="T511" s="7" t="s">
        <v>7341</v>
      </c>
      <c r="U511" s="7" t="s">
        <v>7340</v>
      </c>
      <c r="V511" s="7" t="s">
        <v>7342</v>
      </c>
      <c r="W511" s="7"/>
      <c r="X511" s="7"/>
      <c r="Y511" s="7" t="s">
        <v>377</v>
      </c>
      <c r="Z511" s="7" t="s">
        <v>353</v>
      </c>
      <c r="AA511" s="7"/>
      <c r="AB511" s="7"/>
      <c r="AC511" s="7">
        <v>4.9303338500029E13</v>
      </c>
      <c r="AD511" s="7">
        <v>4.93033385E8</v>
      </c>
      <c r="AE511" s="6" t="s">
        <v>12355</v>
      </c>
      <c r="AF511" s="45">
        <v>44964.391064814816</v>
      </c>
      <c r="AG511" s="7" t="s">
        <v>18063</v>
      </c>
      <c r="AH511" s="46" t="s">
        <v>18064</v>
      </c>
      <c r="AI511" s="7"/>
      <c r="AJ511" s="7"/>
      <c r="AK511" s="7" t="b">
        <v>0</v>
      </c>
      <c r="AL511" s="7" t="b">
        <v>0</v>
      </c>
      <c r="AM511" s="7"/>
      <c r="AN511" s="6" t="s">
        <v>7336</v>
      </c>
      <c r="AO511" s="6">
        <v>4854.0</v>
      </c>
      <c r="AP511" s="6"/>
      <c r="AQ511" s="6" t="b">
        <v>1</v>
      </c>
      <c r="AR511" s="6"/>
      <c r="AS511" s="48" t="s">
        <v>12303</v>
      </c>
    </row>
    <row r="512" ht="15.75" customHeight="1">
      <c r="A512" s="7" t="s">
        <v>5620</v>
      </c>
      <c r="B512" s="7" t="s">
        <v>18065</v>
      </c>
      <c r="C512" s="7" t="s">
        <v>58</v>
      </c>
      <c r="D512" s="7" t="s">
        <v>59</v>
      </c>
      <c r="E512" s="7" t="s">
        <v>346</v>
      </c>
      <c r="F512" s="7">
        <v>5.0</v>
      </c>
      <c r="G512" s="7" t="s">
        <v>455</v>
      </c>
      <c r="H512" s="7"/>
      <c r="I512" s="7"/>
      <c r="J512" s="7">
        <v>92.0</v>
      </c>
      <c r="K512" s="7" t="s">
        <v>18066</v>
      </c>
      <c r="L512" s="7">
        <v>97430.0</v>
      </c>
      <c r="M512" s="7" t="s">
        <v>71</v>
      </c>
      <c r="N512" s="7"/>
      <c r="O512" s="7" t="s">
        <v>5629</v>
      </c>
      <c r="P512" s="42" t="s">
        <v>5623</v>
      </c>
      <c r="Q512" s="43" t="s">
        <v>18067</v>
      </c>
      <c r="R512" s="43" t="s">
        <v>18068</v>
      </c>
      <c r="S512" s="51"/>
      <c r="T512" s="7" t="s">
        <v>5625</v>
      </c>
      <c r="U512" s="7" t="s">
        <v>5624</v>
      </c>
      <c r="V512" s="7"/>
      <c r="W512" s="7"/>
      <c r="X512" s="7"/>
      <c r="Y512" s="7"/>
      <c r="Z512" s="7"/>
      <c r="AA512" s="7"/>
      <c r="AB512" s="7"/>
      <c r="AC512" s="7">
        <v>5.0974952900012E13</v>
      </c>
      <c r="AD512" s="7">
        <v>5.09749529E8</v>
      </c>
      <c r="AE512" s="6" t="s">
        <v>5287</v>
      </c>
      <c r="AF512" s="45">
        <v>44963.56319444445</v>
      </c>
      <c r="AG512" s="7" t="s">
        <v>18069</v>
      </c>
      <c r="AH512" s="46" t="s">
        <v>18070</v>
      </c>
      <c r="AI512" s="7"/>
      <c r="AJ512" s="7"/>
      <c r="AK512" s="7" t="b">
        <v>0</v>
      </c>
      <c r="AL512" s="7" t="b">
        <v>0</v>
      </c>
      <c r="AM512" s="6" t="s">
        <v>5630</v>
      </c>
      <c r="AN512" s="6" t="s">
        <v>5620</v>
      </c>
      <c r="AO512" s="6">
        <v>3896.0</v>
      </c>
      <c r="AP512" s="6"/>
      <c r="AQ512" s="6" t="b">
        <v>0</v>
      </c>
      <c r="AR512" s="6" t="s">
        <v>18071</v>
      </c>
      <c r="AS512" s="6"/>
    </row>
    <row r="513" ht="15.75" customHeight="1">
      <c r="A513" s="7" t="s">
        <v>7889</v>
      </c>
      <c r="B513" s="7" t="s">
        <v>18072</v>
      </c>
      <c r="C513" s="7" t="s">
        <v>34</v>
      </c>
      <c r="D513" s="7" t="s">
        <v>622</v>
      </c>
      <c r="E513" s="7" t="s">
        <v>622</v>
      </c>
      <c r="F513" s="7">
        <v>35.0</v>
      </c>
      <c r="G513" s="7" t="s">
        <v>1001</v>
      </c>
      <c r="H513" s="7"/>
      <c r="I513" s="7"/>
      <c r="J513" s="7">
        <v>112.0</v>
      </c>
      <c r="K513" s="7" t="s">
        <v>15033</v>
      </c>
      <c r="L513" s="7">
        <v>97442.0</v>
      </c>
      <c r="M513" s="7" t="s">
        <v>33</v>
      </c>
      <c r="N513" s="6" t="s">
        <v>15034</v>
      </c>
      <c r="O513" s="7" t="s">
        <v>7900</v>
      </c>
      <c r="P513" s="42" t="s">
        <v>7893</v>
      </c>
      <c r="Q513" s="43" t="s">
        <v>18073</v>
      </c>
      <c r="R513" s="43" t="s">
        <v>18074</v>
      </c>
      <c r="S513" s="51"/>
      <c r="T513" s="7" t="s">
        <v>7895</v>
      </c>
      <c r="U513" s="7" t="s">
        <v>7894</v>
      </c>
      <c r="V513" s="7" t="s">
        <v>7896</v>
      </c>
      <c r="W513" s="6" t="s">
        <v>12487</v>
      </c>
      <c r="X513" s="7" t="s">
        <v>1108</v>
      </c>
      <c r="Y513" s="7" t="s">
        <v>7892</v>
      </c>
      <c r="Z513" s="7" t="s">
        <v>592</v>
      </c>
      <c r="AA513" s="7"/>
      <c r="AB513" s="7"/>
      <c r="AC513" s="7">
        <v>4.5379639300016E13</v>
      </c>
      <c r="AD513" s="7">
        <v>4.53796393E8</v>
      </c>
      <c r="AE513" s="6" t="s">
        <v>12355</v>
      </c>
      <c r="AF513" s="45">
        <v>44960.50591435185</v>
      </c>
      <c r="AG513" s="7" t="s">
        <v>17797</v>
      </c>
      <c r="AH513" s="46" t="s">
        <v>18075</v>
      </c>
      <c r="AI513" s="7"/>
      <c r="AJ513" s="6" t="s">
        <v>18076</v>
      </c>
      <c r="AK513" s="7" t="b">
        <v>0</v>
      </c>
      <c r="AL513" s="7" t="b">
        <v>0</v>
      </c>
      <c r="AM513" s="7"/>
      <c r="AN513" s="6" t="s">
        <v>7889</v>
      </c>
      <c r="AO513" s="6">
        <v>1019.0</v>
      </c>
      <c r="AP513" s="6"/>
      <c r="AQ513" s="6" t="b">
        <v>1</v>
      </c>
      <c r="AR513" s="6" t="s">
        <v>18077</v>
      </c>
      <c r="AS513" s="48" t="s">
        <v>12303</v>
      </c>
    </row>
    <row r="514" ht="15.75" customHeight="1">
      <c r="A514" s="7" t="s">
        <v>2508</v>
      </c>
      <c r="B514" s="7" t="s">
        <v>2509</v>
      </c>
      <c r="C514" s="7" t="s">
        <v>34</v>
      </c>
      <c r="D514" s="7" t="s">
        <v>622</v>
      </c>
      <c r="E514" s="7" t="s">
        <v>622</v>
      </c>
      <c r="F514" s="7">
        <v>30.0</v>
      </c>
      <c r="G514" s="7" t="s">
        <v>1674</v>
      </c>
      <c r="H514" s="7"/>
      <c r="I514" s="6" t="s">
        <v>13376</v>
      </c>
      <c r="J514" s="7">
        <v>101.0</v>
      </c>
      <c r="K514" s="7" t="s">
        <v>12940</v>
      </c>
      <c r="L514" s="7">
        <v>97480.0</v>
      </c>
      <c r="M514" s="7" t="s">
        <v>123</v>
      </c>
      <c r="N514" s="7" t="s">
        <v>206</v>
      </c>
      <c r="O514" s="7" t="s">
        <v>2519</v>
      </c>
      <c r="P514" s="53" t="s">
        <v>18078</v>
      </c>
      <c r="Q514" s="49" t="s">
        <v>18079</v>
      </c>
      <c r="R514" s="50"/>
      <c r="S514" s="51"/>
      <c r="T514" s="7" t="s">
        <v>2515</v>
      </c>
      <c r="U514" s="6" t="s">
        <v>18080</v>
      </c>
      <c r="V514" s="7"/>
      <c r="W514" s="6" t="s">
        <v>18081</v>
      </c>
      <c r="X514" s="7" t="s">
        <v>2512</v>
      </c>
      <c r="Y514" s="7" t="s">
        <v>1612</v>
      </c>
      <c r="Z514" s="7" t="s">
        <v>353</v>
      </c>
      <c r="AA514" s="7"/>
      <c r="AB514" s="7"/>
      <c r="AC514" s="7">
        <v>4.2890986500019E13</v>
      </c>
      <c r="AD514" s="7">
        <v>4.28909865E8</v>
      </c>
      <c r="AE514" s="6" t="s">
        <v>401</v>
      </c>
      <c r="AF514" s="45">
        <v>45393.55451388889</v>
      </c>
      <c r="AG514" s="6" t="s">
        <v>18082</v>
      </c>
      <c r="AH514" s="46" t="s">
        <v>18083</v>
      </c>
      <c r="AI514" s="7"/>
      <c r="AJ514" s="6" t="s">
        <v>18084</v>
      </c>
      <c r="AK514" s="6" t="b">
        <v>1</v>
      </c>
      <c r="AL514" s="7" t="b">
        <v>0</v>
      </c>
      <c r="AM514" s="7"/>
      <c r="AN514" s="6" t="s">
        <v>2508</v>
      </c>
      <c r="AO514" s="6">
        <v>972.0</v>
      </c>
      <c r="AP514" s="6"/>
      <c r="AQ514" s="6" t="b">
        <v>1</v>
      </c>
      <c r="AR514" s="6"/>
      <c r="AS514" s="6"/>
    </row>
    <row r="515" ht="15.75" customHeight="1">
      <c r="A515" s="7" t="s">
        <v>4521</v>
      </c>
      <c r="B515" s="7" t="s">
        <v>18085</v>
      </c>
      <c r="C515" s="7" t="s">
        <v>34</v>
      </c>
      <c r="D515" s="7" t="s">
        <v>622</v>
      </c>
      <c r="E515" s="7" t="s">
        <v>622</v>
      </c>
      <c r="F515" s="7"/>
      <c r="G515" s="7" t="s">
        <v>422</v>
      </c>
      <c r="H515" s="7"/>
      <c r="I515" s="7"/>
      <c r="J515" s="7">
        <v>193.0</v>
      </c>
      <c r="K515" s="7" t="s">
        <v>12649</v>
      </c>
      <c r="L515" s="7">
        <v>97480.0</v>
      </c>
      <c r="M515" s="7" t="s">
        <v>123</v>
      </c>
      <c r="N515" s="6" t="s">
        <v>8395</v>
      </c>
      <c r="O515" s="6" t="s">
        <v>18086</v>
      </c>
      <c r="P515" s="42" t="s">
        <v>4525</v>
      </c>
      <c r="Q515" s="49" t="s">
        <v>18087</v>
      </c>
      <c r="R515" s="50"/>
      <c r="S515" s="51"/>
      <c r="T515" s="7" t="s">
        <v>4527</v>
      </c>
      <c r="U515" s="7" t="s">
        <v>4526</v>
      </c>
      <c r="V515" s="7"/>
      <c r="W515" s="7"/>
      <c r="X515" s="7" t="s">
        <v>4524</v>
      </c>
      <c r="Y515" s="7" t="s">
        <v>377</v>
      </c>
      <c r="Z515" s="7" t="s">
        <v>353</v>
      </c>
      <c r="AA515" s="7"/>
      <c r="AB515" s="7"/>
      <c r="AC515" s="7">
        <v>3.4778160100021E13</v>
      </c>
      <c r="AD515" s="7">
        <v>3.47781601E8</v>
      </c>
      <c r="AE515" s="6" t="s">
        <v>401</v>
      </c>
      <c r="AF515" s="45">
        <v>45510.608402777776</v>
      </c>
      <c r="AG515" s="7" t="s">
        <v>18088</v>
      </c>
      <c r="AH515" s="46" t="s">
        <v>18089</v>
      </c>
      <c r="AI515" s="7"/>
      <c r="AJ515" s="6" t="s">
        <v>18090</v>
      </c>
      <c r="AK515" s="6" t="b">
        <v>1</v>
      </c>
      <c r="AL515" s="7" t="b">
        <v>0</v>
      </c>
      <c r="AM515" s="7"/>
      <c r="AN515" s="6" t="s">
        <v>4521</v>
      </c>
      <c r="AO515" s="6">
        <v>3084.0</v>
      </c>
      <c r="AP515" s="6"/>
      <c r="AQ515" s="6" t="b">
        <v>1</v>
      </c>
      <c r="AR515" s="6"/>
      <c r="AS515" s="6" t="s">
        <v>12303</v>
      </c>
    </row>
    <row r="516" ht="15.75" customHeight="1">
      <c r="A516" s="9" t="s">
        <v>12091</v>
      </c>
      <c r="B516" s="9" t="s">
        <v>18091</v>
      </c>
      <c r="C516" s="9" t="s">
        <v>117</v>
      </c>
      <c r="D516" s="9" t="s">
        <v>1405</v>
      </c>
      <c r="E516" s="9" t="s">
        <v>1406</v>
      </c>
      <c r="J516" s="52" t="s">
        <v>18092</v>
      </c>
      <c r="K516" s="9" t="s">
        <v>18093</v>
      </c>
      <c r="L516" s="9">
        <v>97480.0</v>
      </c>
      <c r="M516" s="9" t="s">
        <v>123</v>
      </c>
      <c r="N516" s="9" t="s">
        <v>13878</v>
      </c>
      <c r="O516" s="9" t="s">
        <v>18094</v>
      </c>
      <c r="P516" s="53" t="s">
        <v>18095</v>
      </c>
      <c r="Q516" s="49" t="s">
        <v>18096</v>
      </c>
      <c r="R516" s="50"/>
      <c r="S516" s="54"/>
      <c r="U516" s="9" t="s">
        <v>18097</v>
      </c>
      <c r="Z516" s="9" t="s">
        <v>353</v>
      </c>
      <c r="AC516" s="9">
        <v>8.2197494600021E13</v>
      </c>
      <c r="AD516" s="9">
        <v>8.21974946E8</v>
      </c>
      <c r="AE516" s="9" t="s">
        <v>401</v>
      </c>
      <c r="AF516" s="55">
        <v>44959.634108796294</v>
      </c>
      <c r="AG516" s="9" t="s">
        <v>18098</v>
      </c>
      <c r="AH516" s="9" t="s">
        <v>18099</v>
      </c>
      <c r="AJ516" s="9" t="s">
        <v>18100</v>
      </c>
      <c r="AN516" s="9" t="s">
        <v>12091</v>
      </c>
      <c r="AP516" s="56">
        <v>44664.0</v>
      </c>
      <c r="AQ516" s="9" t="b">
        <v>1</v>
      </c>
      <c r="AR516" s="9"/>
      <c r="AS516" s="9" t="s">
        <v>12303</v>
      </c>
    </row>
    <row r="517" ht="15.75" customHeight="1">
      <c r="A517" s="7" t="s">
        <v>675</v>
      </c>
      <c r="B517" s="7" t="s">
        <v>676</v>
      </c>
      <c r="C517" s="7" t="s">
        <v>34</v>
      </c>
      <c r="D517" s="7" t="s">
        <v>678</v>
      </c>
      <c r="E517" s="7" t="s">
        <v>679</v>
      </c>
      <c r="F517" s="7">
        <v>30.0</v>
      </c>
      <c r="G517" s="7" t="s">
        <v>455</v>
      </c>
      <c r="H517" s="7"/>
      <c r="I517" s="7"/>
      <c r="J517" s="7">
        <v>37.0</v>
      </c>
      <c r="K517" s="7" t="s">
        <v>18101</v>
      </c>
      <c r="L517" s="7">
        <v>97480.0</v>
      </c>
      <c r="M517" s="7" t="s">
        <v>123</v>
      </c>
      <c r="N517" s="7"/>
      <c r="O517" s="7" t="s">
        <v>686</v>
      </c>
      <c r="P517" s="42" t="s">
        <v>680</v>
      </c>
      <c r="Q517" s="43" t="s">
        <v>18102</v>
      </c>
      <c r="R517" s="50"/>
      <c r="S517" s="51"/>
      <c r="T517" s="7" t="s">
        <v>682</v>
      </c>
      <c r="U517" s="7" t="s">
        <v>681</v>
      </c>
      <c r="V517" s="7"/>
      <c r="W517" s="7"/>
      <c r="X517" s="7"/>
      <c r="Y517" s="7" t="s">
        <v>377</v>
      </c>
      <c r="Z517" s="7" t="s">
        <v>353</v>
      </c>
      <c r="AA517" s="7"/>
      <c r="AB517" s="7"/>
      <c r="AC517" s="7">
        <v>4.9792145200023E13</v>
      </c>
      <c r="AD517" s="7">
        <v>4.97921452E8</v>
      </c>
      <c r="AE517" s="6" t="s">
        <v>12355</v>
      </c>
      <c r="AF517" s="45">
        <v>44958.412453703706</v>
      </c>
      <c r="AG517" s="7" t="s">
        <v>18103</v>
      </c>
      <c r="AH517" s="46" t="s">
        <v>18104</v>
      </c>
      <c r="AI517" s="7"/>
      <c r="AJ517" s="7"/>
      <c r="AK517" s="7" t="b">
        <v>0</v>
      </c>
      <c r="AL517" s="7" t="b">
        <v>1</v>
      </c>
      <c r="AM517" s="7"/>
      <c r="AN517" s="6" t="s">
        <v>675</v>
      </c>
      <c r="AO517" s="6">
        <v>4394.0</v>
      </c>
      <c r="AP517" s="6"/>
      <c r="AQ517" s="6" t="b">
        <v>1</v>
      </c>
      <c r="AR517" s="6"/>
      <c r="AS517" s="6"/>
    </row>
    <row r="518" ht="15.75" customHeight="1">
      <c r="A518" s="9" t="s">
        <v>10594</v>
      </c>
      <c r="B518" s="9" t="s">
        <v>18105</v>
      </c>
      <c r="C518" s="9" t="s">
        <v>58</v>
      </c>
      <c r="D518" s="9" t="s">
        <v>59</v>
      </c>
      <c r="E518" s="9" t="s">
        <v>346</v>
      </c>
      <c r="F518" s="9">
        <v>7.0</v>
      </c>
      <c r="G518" s="9" t="s">
        <v>455</v>
      </c>
      <c r="H518" s="9" t="s">
        <v>395</v>
      </c>
      <c r="J518" s="52" t="s">
        <v>15823</v>
      </c>
      <c r="K518" s="9" t="s">
        <v>18106</v>
      </c>
      <c r="L518" s="9">
        <v>97480.0</v>
      </c>
      <c r="M518" s="9" t="s">
        <v>123</v>
      </c>
      <c r="N518" s="9" t="s">
        <v>8325</v>
      </c>
      <c r="O518" s="9" t="s">
        <v>18107</v>
      </c>
      <c r="P518" s="53" t="s">
        <v>18108</v>
      </c>
      <c r="Q518" s="49" t="s">
        <v>17664</v>
      </c>
      <c r="R518" s="50"/>
      <c r="S518" s="54"/>
      <c r="T518" s="9" t="s">
        <v>18109</v>
      </c>
      <c r="U518" s="9" t="s">
        <v>18110</v>
      </c>
      <c r="V518" s="9" t="s">
        <v>18111</v>
      </c>
      <c r="W518" s="9" t="s">
        <v>18112</v>
      </c>
      <c r="X518" s="9" t="s">
        <v>18113</v>
      </c>
      <c r="Y518" s="9" t="s">
        <v>14298</v>
      </c>
      <c r="Z518" s="9" t="s">
        <v>5551</v>
      </c>
      <c r="AC518" s="9">
        <v>9.2292319800019E13</v>
      </c>
      <c r="AD518" s="9">
        <v>9.22923198E8</v>
      </c>
      <c r="AE518" s="9" t="s">
        <v>401</v>
      </c>
      <c r="AF518" s="60">
        <v>44958.38549768519</v>
      </c>
      <c r="AG518" s="9" t="s">
        <v>18114</v>
      </c>
      <c r="AH518" s="9" t="s">
        <v>18115</v>
      </c>
      <c r="AJ518" s="9" t="s">
        <v>18116</v>
      </c>
      <c r="AK518" s="9" t="b">
        <v>0</v>
      </c>
      <c r="AL518" s="9" t="b">
        <v>0</v>
      </c>
      <c r="AM518" s="9" t="s">
        <v>18117</v>
      </c>
      <c r="AN518" s="9" t="s">
        <v>10594</v>
      </c>
      <c r="AP518" s="61">
        <v>44889.0</v>
      </c>
      <c r="AQ518" s="9" t="b">
        <v>0</v>
      </c>
      <c r="AR518" s="9" t="s">
        <v>18118</v>
      </c>
    </row>
    <row r="519" ht="15.75" customHeight="1">
      <c r="A519" s="7" t="s">
        <v>1640</v>
      </c>
      <c r="B519" s="7" t="s">
        <v>1641</v>
      </c>
      <c r="C519" s="7" t="s">
        <v>1198</v>
      </c>
      <c r="D519" s="7" t="s">
        <v>1644</v>
      </c>
      <c r="E519" s="7" t="s">
        <v>1645</v>
      </c>
      <c r="F519" s="7">
        <v>4.0</v>
      </c>
      <c r="G519" s="7" t="s">
        <v>455</v>
      </c>
      <c r="H519" s="7"/>
      <c r="I519" s="7" t="s">
        <v>597</v>
      </c>
      <c r="J519" s="7">
        <v>42.0</v>
      </c>
      <c r="K519" s="7" t="s">
        <v>18119</v>
      </c>
      <c r="L519" s="7">
        <v>97430.0</v>
      </c>
      <c r="M519" s="7" t="s">
        <v>71</v>
      </c>
      <c r="N519" s="7" t="s">
        <v>12373</v>
      </c>
      <c r="O519" s="7" t="s">
        <v>1653</v>
      </c>
      <c r="P519" s="42" t="s">
        <v>1647</v>
      </c>
      <c r="Q519" s="43" t="s">
        <v>18120</v>
      </c>
      <c r="R519" s="50"/>
      <c r="S519" s="47" t="s">
        <v>1643</v>
      </c>
      <c r="T519" s="7" t="s">
        <v>1649</v>
      </c>
      <c r="U519" s="7" t="s">
        <v>1648</v>
      </c>
      <c r="V519" s="7" t="s">
        <v>1650</v>
      </c>
      <c r="W519" s="7"/>
      <c r="X519" s="7"/>
      <c r="Y519" s="7" t="s">
        <v>1646</v>
      </c>
      <c r="Z519" s="7" t="s">
        <v>851</v>
      </c>
      <c r="AA519" s="7"/>
      <c r="AB519" s="7"/>
      <c r="AC519" s="7">
        <v>8.0036846600028E13</v>
      </c>
      <c r="AD519" s="7">
        <v>8.00368466E8</v>
      </c>
      <c r="AE519" s="6" t="s">
        <v>12355</v>
      </c>
      <c r="AF519" s="45">
        <v>44957.38746527778</v>
      </c>
      <c r="AG519" s="7" t="s">
        <v>18121</v>
      </c>
      <c r="AH519" s="46" t="s">
        <v>18122</v>
      </c>
      <c r="AI519" s="7"/>
      <c r="AJ519" s="7"/>
      <c r="AK519" s="7" t="b">
        <v>0</v>
      </c>
      <c r="AL519" s="7" t="b">
        <v>0</v>
      </c>
      <c r="AM519" s="7"/>
      <c r="AN519" s="6" t="s">
        <v>1640</v>
      </c>
      <c r="AO519" s="6">
        <v>4602.0</v>
      </c>
      <c r="AP519" s="6"/>
      <c r="AQ519" s="6" t="b">
        <v>1</v>
      </c>
      <c r="AR519" s="6"/>
      <c r="AS519" s="6"/>
    </row>
    <row r="520" ht="15.75" customHeight="1">
      <c r="A520" s="9" t="s">
        <v>10600</v>
      </c>
      <c r="B520" s="9" t="s">
        <v>18123</v>
      </c>
      <c r="C520" s="9" t="s">
        <v>58</v>
      </c>
      <c r="D520" s="9" t="s">
        <v>59</v>
      </c>
      <c r="E520" s="9" t="s">
        <v>346</v>
      </c>
      <c r="F520" s="9">
        <v>4.0</v>
      </c>
      <c r="H520" s="9" t="s">
        <v>5667</v>
      </c>
      <c r="J520" s="52" t="s">
        <v>12402</v>
      </c>
      <c r="K520" s="9" t="s">
        <v>18124</v>
      </c>
      <c r="L520" s="9">
        <v>97442.0</v>
      </c>
      <c r="M520" s="9" t="s">
        <v>33</v>
      </c>
      <c r="N520" s="9" t="s">
        <v>18125</v>
      </c>
      <c r="O520" s="9" t="s">
        <v>18126</v>
      </c>
      <c r="P520" s="53" t="s">
        <v>18127</v>
      </c>
      <c r="Q520" s="49" t="s">
        <v>18128</v>
      </c>
      <c r="R520" s="50"/>
      <c r="S520" s="58" t="s">
        <v>18129</v>
      </c>
      <c r="T520" s="9" t="s">
        <v>18130</v>
      </c>
      <c r="U520" s="9" t="s">
        <v>18131</v>
      </c>
      <c r="V520" s="9" t="s">
        <v>18132</v>
      </c>
      <c r="W520" s="9" t="s">
        <v>18133</v>
      </c>
      <c r="X520" s="9" t="s">
        <v>18134</v>
      </c>
      <c r="Y520" s="9" t="s">
        <v>499</v>
      </c>
      <c r="Z520" s="9" t="s">
        <v>592</v>
      </c>
      <c r="AC520" s="9">
        <v>8.5360065800027E13</v>
      </c>
      <c r="AD520" s="9">
        <v>8.53600658E8</v>
      </c>
      <c r="AE520" s="9" t="s">
        <v>401</v>
      </c>
      <c r="AF520" s="55">
        <v>44957.322905092595</v>
      </c>
      <c r="AG520" s="9" t="s">
        <v>18135</v>
      </c>
      <c r="AH520" s="9" t="s">
        <v>18136</v>
      </c>
      <c r="AJ520" s="9" t="s">
        <v>18137</v>
      </c>
      <c r="AK520" s="9" t="b">
        <v>0</v>
      </c>
      <c r="AL520" s="9" t="b">
        <v>0</v>
      </c>
      <c r="AM520" s="9" t="s">
        <v>18138</v>
      </c>
      <c r="AN520" s="9" t="s">
        <v>10600</v>
      </c>
      <c r="AP520" s="56">
        <v>44834.0</v>
      </c>
      <c r="AQ520" s="9" t="b">
        <v>1</v>
      </c>
      <c r="AR520" s="9" t="s">
        <v>18139</v>
      </c>
      <c r="AS520" s="9" t="s">
        <v>18140</v>
      </c>
    </row>
    <row r="521" ht="15.75" customHeight="1">
      <c r="A521" s="9" t="s">
        <v>12082</v>
      </c>
      <c r="B521" s="9" t="s">
        <v>18141</v>
      </c>
      <c r="C521" s="9" t="s">
        <v>58</v>
      </c>
      <c r="D521" s="9" t="s">
        <v>59</v>
      </c>
      <c r="E521" s="9" t="s">
        <v>346</v>
      </c>
      <c r="F521" s="9">
        <v>8.0</v>
      </c>
      <c r="J521" s="9" t="s">
        <v>18142</v>
      </c>
      <c r="K521" s="9" t="s">
        <v>18143</v>
      </c>
      <c r="L521" s="9">
        <v>97430.0</v>
      </c>
      <c r="M521" s="9" t="s">
        <v>71</v>
      </c>
      <c r="N521" s="9" t="s">
        <v>3501</v>
      </c>
      <c r="O521" s="9" t="s">
        <v>18144</v>
      </c>
      <c r="P521" s="53" t="s">
        <v>18145</v>
      </c>
      <c r="Q521" s="49" t="s">
        <v>18146</v>
      </c>
      <c r="R521" s="50"/>
      <c r="S521" s="58" t="s">
        <v>18147</v>
      </c>
      <c r="T521" s="9" t="s">
        <v>18148</v>
      </c>
      <c r="U521" s="9" t="s">
        <v>18149</v>
      </c>
      <c r="W521" s="9" t="s">
        <v>18150</v>
      </c>
      <c r="Z521" s="9" t="s">
        <v>378</v>
      </c>
      <c r="AC521" s="9">
        <v>8.8216773700015E13</v>
      </c>
      <c r="AD521" s="9">
        <v>8.82167737E8</v>
      </c>
      <c r="AE521" s="9" t="s">
        <v>401</v>
      </c>
      <c r="AF521" s="55">
        <v>44953.474710648145</v>
      </c>
      <c r="AG521" s="9" t="s">
        <v>18151</v>
      </c>
      <c r="AH521" s="9" t="s">
        <v>18152</v>
      </c>
      <c r="AJ521" s="9" t="s">
        <v>18153</v>
      </c>
      <c r="AL521" s="9" t="b">
        <v>0</v>
      </c>
      <c r="AM521" s="9" t="s">
        <v>18154</v>
      </c>
      <c r="AN521" s="9" t="s">
        <v>12082</v>
      </c>
      <c r="AP521" s="56">
        <v>44953.0</v>
      </c>
      <c r="AQ521" s="9" t="b">
        <v>0</v>
      </c>
      <c r="AR521" s="9" t="s">
        <v>18155</v>
      </c>
    </row>
    <row r="522" ht="15.75" customHeight="1">
      <c r="A522" s="7" t="s">
        <v>9252</v>
      </c>
      <c r="B522" s="7" t="s">
        <v>9253</v>
      </c>
      <c r="C522" s="6" t="s">
        <v>117</v>
      </c>
      <c r="D522" s="6" t="s">
        <v>470</v>
      </c>
      <c r="E522" s="6" t="s">
        <v>18156</v>
      </c>
      <c r="F522" s="7"/>
      <c r="G522" s="6" t="s">
        <v>472</v>
      </c>
      <c r="H522" s="7"/>
      <c r="I522" s="7"/>
      <c r="J522" s="7">
        <v>32.0</v>
      </c>
      <c r="K522" s="7" t="s">
        <v>13468</v>
      </c>
      <c r="L522" s="7">
        <v>97480.0</v>
      </c>
      <c r="M522" s="7" t="s">
        <v>123</v>
      </c>
      <c r="N522" s="6" t="s">
        <v>3556</v>
      </c>
      <c r="O522" s="7" t="s">
        <v>9258</v>
      </c>
      <c r="P522" s="42" t="s">
        <v>18157</v>
      </c>
      <c r="Q522" s="43" t="s">
        <v>18158</v>
      </c>
      <c r="R522" s="50"/>
      <c r="S522" s="51"/>
      <c r="T522" s="7" t="s">
        <v>9256</v>
      </c>
      <c r="U522" s="7"/>
      <c r="V522" s="7"/>
      <c r="W522" s="6" t="s">
        <v>18159</v>
      </c>
      <c r="X522" s="6" t="s">
        <v>18160</v>
      </c>
      <c r="Y522" s="7" t="s">
        <v>377</v>
      </c>
      <c r="Z522" s="7" t="s">
        <v>4717</v>
      </c>
      <c r="AA522" s="7" t="s">
        <v>9259</v>
      </c>
      <c r="AB522" s="7" t="s">
        <v>1876</v>
      </c>
      <c r="AC522" s="7"/>
      <c r="AD522" s="7"/>
      <c r="AE522" s="6" t="s">
        <v>12355</v>
      </c>
      <c r="AF522" s="63">
        <v>44952.65886574074</v>
      </c>
      <c r="AG522" s="7" t="s">
        <v>18161</v>
      </c>
      <c r="AH522" s="46" t="s">
        <v>18162</v>
      </c>
      <c r="AI522" s="7"/>
      <c r="AJ522" s="7"/>
      <c r="AK522" s="7" t="b">
        <v>0</v>
      </c>
      <c r="AL522" s="7" t="b">
        <v>0</v>
      </c>
      <c r="AM522" s="7"/>
      <c r="AN522" s="6" t="s">
        <v>9252</v>
      </c>
      <c r="AO522" s="7"/>
      <c r="AP522" s="7"/>
      <c r="AQ522" s="6" t="b">
        <v>0</v>
      </c>
      <c r="AR522" s="6"/>
      <c r="AS522" s="6" t="s">
        <v>12303</v>
      </c>
    </row>
    <row r="523" ht="15.75" customHeight="1">
      <c r="A523" s="9" t="s">
        <v>12115</v>
      </c>
      <c r="B523" s="9" t="s">
        <v>18163</v>
      </c>
      <c r="C523" s="9" t="s">
        <v>58</v>
      </c>
      <c r="D523" s="9" t="s">
        <v>59</v>
      </c>
      <c r="E523" s="9" t="s">
        <v>374</v>
      </c>
      <c r="F523" s="9">
        <v>4.0</v>
      </c>
      <c r="G523" s="9" t="s">
        <v>455</v>
      </c>
      <c r="J523" s="9" t="s">
        <v>18164</v>
      </c>
      <c r="K523" s="9" t="s">
        <v>18165</v>
      </c>
      <c r="L523" s="9">
        <v>97430.0</v>
      </c>
      <c r="M523" s="9" t="s">
        <v>71</v>
      </c>
      <c r="N523" s="9" t="s">
        <v>12698</v>
      </c>
      <c r="O523" s="9" t="s">
        <v>18166</v>
      </c>
      <c r="P523" s="53" t="s">
        <v>18167</v>
      </c>
      <c r="Q523" s="49" t="s">
        <v>18168</v>
      </c>
      <c r="R523" s="50"/>
      <c r="S523" s="54"/>
      <c r="T523" s="9" t="s">
        <v>18169</v>
      </c>
      <c r="U523" s="9" t="s">
        <v>18170</v>
      </c>
      <c r="V523" s="9" t="s">
        <v>18171</v>
      </c>
      <c r="W523" s="9" t="s">
        <v>18172</v>
      </c>
      <c r="X523" s="9" t="s">
        <v>18173</v>
      </c>
      <c r="Y523" s="9" t="s">
        <v>14298</v>
      </c>
      <c r="Z523" s="9" t="s">
        <v>1508</v>
      </c>
      <c r="AC523" s="9">
        <v>9.2135743000013E13</v>
      </c>
      <c r="AD523" s="9">
        <v>9.2135743E8</v>
      </c>
      <c r="AE523" s="9" t="s">
        <v>401</v>
      </c>
      <c r="AF523" s="55">
        <v>45782.630949074075</v>
      </c>
      <c r="AG523" s="9" t="s">
        <v>18174</v>
      </c>
      <c r="AH523" s="9" t="s">
        <v>18175</v>
      </c>
      <c r="AJ523" s="9" t="s">
        <v>18176</v>
      </c>
      <c r="AK523" s="9" t="b">
        <v>0</v>
      </c>
      <c r="AL523" s="9" t="b">
        <v>0</v>
      </c>
      <c r="AM523" s="9" t="s">
        <v>18177</v>
      </c>
      <c r="AN523" s="9" t="s">
        <v>12115</v>
      </c>
      <c r="AP523" s="56">
        <v>44931.0</v>
      </c>
      <c r="AQ523" s="9" t="b">
        <v>0</v>
      </c>
    </row>
    <row r="524" ht="15.75" customHeight="1">
      <c r="A524" s="9" t="s">
        <v>11700</v>
      </c>
      <c r="B524" s="9" t="s">
        <v>18178</v>
      </c>
      <c r="C524" s="9" t="s">
        <v>117</v>
      </c>
      <c r="D524" s="9" t="s">
        <v>470</v>
      </c>
      <c r="E524" s="9" t="s">
        <v>591</v>
      </c>
      <c r="J524" s="52" t="s">
        <v>18179</v>
      </c>
      <c r="K524" s="9" t="s">
        <v>18180</v>
      </c>
      <c r="L524" s="9">
        <v>97414.0</v>
      </c>
      <c r="M524" s="9" t="s">
        <v>40</v>
      </c>
      <c r="N524" s="9" t="s">
        <v>16720</v>
      </c>
      <c r="O524" s="9" t="s">
        <v>18181</v>
      </c>
      <c r="P524" s="53" t="s">
        <v>18182</v>
      </c>
      <c r="Q524" s="49" t="s">
        <v>18183</v>
      </c>
      <c r="R524" s="50"/>
      <c r="S524" s="54"/>
      <c r="T524" s="9" t="s">
        <v>18184</v>
      </c>
      <c r="U524" s="9" t="s">
        <v>18185</v>
      </c>
      <c r="V524" s="9" t="s">
        <v>18186</v>
      </c>
      <c r="W524" s="9" t="s">
        <v>18187</v>
      </c>
      <c r="X524" s="9" t="s">
        <v>18188</v>
      </c>
      <c r="Y524" s="9" t="s">
        <v>499</v>
      </c>
      <c r="Z524" s="9" t="s">
        <v>424</v>
      </c>
      <c r="AC524" s="9">
        <v>9.0136654200024E13</v>
      </c>
      <c r="AD524" s="9">
        <v>9.01366542E8</v>
      </c>
      <c r="AE524" s="9" t="s">
        <v>401</v>
      </c>
      <c r="AF524" s="55">
        <v>44949.59658564815</v>
      </c>
      <c r="AG524" s="9" t="s">
        <v>18189</v>
      </c>
      <c r="AH524" s="9" t="s">
        <v>18190</v>
      </c>
      <c r="AJ524" s="9" t="s">
        <v>18191</v>
      </c>
      <c r="AK524" s="9" t="b">
        <v>0</v>
      </c>
      <c r="AL524" s="9" t="b">
        <v>0</v>
      </c>
      <c r="AN524" s="9" t="s">
        <v>11700</v>
      </c>
      <c r="AP524" s="56">
        <v>44719.0</v>
      </c>
      <c r="AQ524" s="9" t="b">
        <v>1</v>
      </c>
      <c r="AS524" s="9" t="s">
        <v>12303</v>
      </c>
    </row>
    <row r="525" ht="15.75" customHeight="1">
      <c r="A525" s="7" t="s">
        <v>2814</v>
      </c>
      <c r="B525" s="7" t="s">
        <v>18192</v>
      </c>
      <c r="C525" s="7" t="s">
        <v>58</v>
      </c>
      <c r="D525" s="7" t="s">
        <v>453</v>
      </c>
      <c r="E525" s="7" t="s">
        <v>454</v>
      </c>
      <c r="F525" s="7">
        <v>8.0</v>
      </c>
      <c r="G525" s="7" t="s">
        <v>455</v>
      </c>
      <c r="H525" s="7"/>
      <c r="I525" s="7"/>
      <c r="J525" s="7">
        <v>79.0</v>
      </c>
      <c r="K525" s="6" t="s">
        <v>17891</v>
      </c>
      <c r="L525" s="7">
        <v>97418.0</v>
      </c>
      <c r="M525" s="7" t="s">
        <v>71</v>
      </c>
      <c r="N525" s="7" t="s">
        <v>216</v>
      </c>
      <c r="O525" s="6" t="s">
        <v>18193</v>
      </c>
      <c r="P525" s="42" t="s">
        <v>2819</v>
      </c>
      <c r="Q525" s="43" t="s">
        <v>18194</v>
      </c>
      <c r="R525" s="43" t="s">
        <v>18195</v>
      </c>
      <c r="S525" s="47"/>
      <c r="T525" s="6" t="s">
        <v>18196</v>
      </c>
      <c r="U525" s="7" t="s">
        <v>2820</v>
      </c>
      <c r="V525" s="6" t="s">
        <v>18197</v>
      </c>
      <c r="W525" s="6" t="s">
        <v>18198</v>
      </c>
      <c r="X525" s="6" t="s">
        <v>18199</v>
      </c>
      <c r="Y525" s="6" t="s">
        <v>18200</v>
      </c>
      <c r="Z525" s="6" t="s">
        <v>353</v>
      </c>
      <c r="AA525" s="7"/>
      <c r="AB525" s="7"/>
      <c r="AC525" s="7"/>
      <c r="AD525" s="7"/>
      <c r="AE525" s="6" t="s">
        <v>401</v>
      </c>
      <c r="AF525" s="45">
        <v>44946.471817129626</v>
      </c>
      <c r="AG525" s="7" t="s">
        <v>18201</v>
      </c>
      <c r="AH525" s="46" t="s">
        <v>18202</v>
      </c>
      <c r="AI525" s="7"/>
      <c r="AJ525" s="6" t="s">
        <v>18203</v>
      </c>
      <c r="AK525" s="7" t="b">
        <v>0</v>
      </c>
      <c r="AL525" s="7" t="b">
        <v>0</v>
      </c>
      <c r="AM525" s="6" t="s">
        <v>2827</v>
      </c>
      <c r="AN525" s="6" t="s">
        <v>2814</v>
      </c>
      <c r="AO525" s="6">
        <v>2652.0</v>
      </c>
      <c r="AP525" s="6"/>
      <c r="AQ525" s="6" t="b">
        <v>1</v>
      </c>
      <c r="AR525" s="6"/>
      <c r="AS525" s="48" t="s">
        <v>12303</v>
      </c>
    </row>
    <row r="526" ht="15.75" customHeight="1">
      <c r="A526" s="9" t="s">
        <v>12048</v>
      </c>
      <c r="B526" s="9" t="s">
        <v>18204</v>
      </c>
      <c r="C526" s="9" t="s">
        <v>117</v>
      </c>
      <c r="D526" s="9" t="s">
        <v>197</v>
      </c>
      <c r="E526" s="9" t="s">
        <v>559</v>
      </c>
      <c r="J526" s="52" t="s">
        <v>18205</v>
      </c>
      <c r="K526" s="9" t="s">
        <v>18206</v>
      </c>
      <c r="L526" s="9">
        <v>97480.0</v>
      </c>
      <c r="M526" s="9" t="s">
        <v>123</v>
      </c>
      <c r="N526" s="9" t="s">
        <v>8259</v>
      </c>
      <c r="O526" s="9" t="s">
        <v>18207</v>
      </c>
      <c r="P526" s="53" t="s">
        <v>18208</v>
      </c>
      <c r="Q526" s="49" t="s">
        <v>18209</v>
      </c>
      <c r="R526" s="50"/>
      <c r="S526" s="54"/>
      <c r="T526" s="9" t="s">
        <v>18210</v>
      </c>
      <c r="U526" s="9" t="s">
        <v>18211</v>
      </c>
      <c r="V526" s="9" t="s">
        <v>18212</v>
      </c>
      <c r="W526" s="9" t="s">
        <v>14892</v>
      </c>
      <c r="X526" s="9" t="s">
        <v>10094</v>
      </c>
      <c r="Y526" s="9" t="s">
        <v>8231</v>
      </c>
      <c r="Z526" s="9" t="s">
        <v>592</v>
      </c>
      <c r="AC526" s="9">
        <v>9.1425073300013E13</v>
      </c>
      <c r="AD526" s="9">
        <v>9.14250733E8</v>
      </c>
      <c r="AE526" s="9" t="s">
        <v>401</v>
      </c>
      <c r="AF526" s="55">
        <v>45831.32326388889</v>
      </c>
      <c r="AG526" s="9" t="s">
        <v>18213</v>
      </c>
      <c r="AH526" s="9" t="s">
        <v>18214</v>
      </c>
      <c r="AJ526" s="9" t="s">
        <v>18215</v>
      </c>
      <c r="AK526" s="9" t="b">
        <v>0</v>
      </c>
      <c r="AL526" s="9" t="b">
        <v>0</v>
      </c>
      <c r="AN526" s="9" t="s">
        <v>12048</v>
      </c>
      <c r="AP526" s="56">
        <v>44727.0</v>
      </c>
      <c r="AQ526" s="9" t="b">
        <v>0</v>
      </c>
      <c r="AS526" s="9" t="s">
        <v>12303</v>
      </c>
    </row>
    <row r="527" ht="15.75" customHeight="1">
      <c r="A527" s="7" t="s">
        <v>3410</v>
      </c>
      <c r="B527" s="7" t="s">
        <v>3411</v>
      </c>
      <c r="C527" s="7" t="s">
        <v>822</v>
      </c>
      <c r="D527" s="7" t="s">
        <v>1805</v>
      </c>
      <c r="E527" s="7" t="s">
        <v>1806</v>
      </c>
      <c r="F527" s="7"/>
      <c r="G527" s="7" t="s">
        <v>664</v>
      </c>
      <c r="H527" s="7"/>
      <c r="I527" s="7" t="s">
        <v>597</v>
      </c>
      <c r="J527" s="7">
        <v>2.0</v>
      </c>
      <c r="K527" s="7" t="s">
        <v>18216</v>
      </c>
      <c r="L527" s="7">
        <v>97430.0</v>
      </c>
      <c r="M527" s="7" t="s">
        <v>71</v>
      </c>
      <c r="N527" s="6" t="s">
        <v>18217</v>
      </c>
      <c r="O527" s="6" t="s">
        <v>18218</v>
      </c>
      <c r="P527" s="42" t="s">
        <v>3413</v>
      </c>
      <c r="Q527" s="49" t="s">
        <v>18219</v>
      </c>
      <c r="R527" s="50"/>
      <c r="S527" s="51"/>
      <c r="T527" s="7" t="s">
        <v>3415</v>
      </c>
      <c r="U527" s="7" t="s">
        <v>3414</v>
      </c>
      <c r="V527" s="7"/>
      <c r="W527" s="7"/>
      <c r="X527" s="7"/>
      <c r="Y527" s="7" t="s">
        <v>377</v>
      </c>
      <c r="Z527" s="7" t="s">
        <v>851</v>
      </c>
      <c r="AA527" s="7"/>
      <c r="AB527" s="7"/>
      <c r="AC527" s="6">
        <v>3.1255574100072E13</v>
      </c>
      <c r="AD527" s="6">
        <v>3.12555741E8</v>
      </c>
      <c r="AE527" s="6" t="s">
        <v>401</v>
      </c>
      <c r="AF527" s="45">
        <v>45981.61400462963</v>
      </c>
      <c r="AG527" s="7" t="s">
        <v>18220</v>
      </c>
      <c r="AH527" s="46" t="s">
        <v>18221</v>
      </c>
      <c r="AI527" s="7"/>
      <c r="AJ527" s="6" t="s">
        <v>18222</v>
      </c>
      <c r="AK527" s="7" t="b">
        <v>0</v>
      </c>
      <c r="AL527" s="7" t="b">
        <v>0</v>
      </c>
      <c r="AM527" s="7"/>
      <c r="AN527" s="6" t="s">
        <v>3410</v>
      </c>
      <c r="AO527" s="6">
        <v>2024.0</v>
      </c>
      <c r="AP527" s="6"/>
      <c r="AQ527" s="6" t="b">
        <v>0</v>
      </c>
      <c r="AR527" s="6"/>
      <c r="AS527" s="6"/>
    </row>
    <row r="528" ht="15.75" customHeight="1">
      <c r="A528" s="9" t="s">
        <v>10603</v>
      </c>
      <c r="B528" s="9" t="s">
        <v>18223</v>
      </c>
      <c r="C528" s="9" t="s">
        <v>58</v>
      </c>
      <c r="D528" s="9" t="s">
        <v>59</v>
      </c>
      <c r="E528" s="9" t="s">
        <v>346</v>
      </c>
      <c r="F528" s="9">
        <v>4.0</v>
      </c>
      <c r="J528" s="52" t="s">
        <v>14516</v>
      </c>
      <c r="K528" s="9" t="s">
        <v>18224</v>
      </c>
      <c r="L528" s="9">
        <v>97414.0</v>
      </c>
      <c r="M528" s="9" t="s">
        <v>40</v>
      </c>
      <c r="N528" s="9" t="s">
        <v>14196</v>
      </c>
      <c r="O528" s="9" t="s">
        <v>18225</v>
      </c>
      <c r="P528" s="53" t="s">
        <v>18226</v>
      </c>
      <c r="Q528" s="49" t="s">
        <v>18227</v>
      </c>
      <c r="R528" s="50"/>
      <c r="S528" s="54"/>
      <c r="T528" s="9" t="s">
        <v>18228</v>
      </c>
      <c r="X528" s="9" t="s">
        <v>18229</v>
      </c>
      <c r="Y528" s="9" t="s">
        <v>499</v>
      </c>
      <c r="Z528" s="9" t="s">
        <v>592</v>
      </c>
      <c r="AE528" s="9" t="s">
        <v>12355</v>
      </c>
      <c r="AF528" s="55">
        <v>44944.35983796296</v>
      </c>
      <c r="AG528" s="9" t="s">
        <v>18230</v>
      </c>
      <c r="AH528" s="9" t="s">
        <v>18231</v>
      </c>
      <c r="AJ528" s="9" t="s">
        <v>18232</v>
      </c>
      <c r="AK528" s="9" t="b">
        <v>0</v>
      </c>
      <c r="AL528" s="9" t="b">
        <v>0</v>
      </c>
      <c r="AM528" s="9" t="s">
        <v>18233</v>
      </c>
      <c r="AN528" s="9" t="s">
        <v>10603</v>
      </c>
      <c r="AP528" s="56">
        <v>44572.0</v>
      </c>
      <c r="AQ528" s="9" t="b">
        <v>0</v>
      </c>
      <c r="AS528" s="48" t="s">
        <v>12303</v>
      </c>
    </row>
    <row r="529" ht="15.75" customHeight="1">
      <c r="A529" s="7" t="s">
        <v>741</v>
      </c>
      <c r="B529" s="7" t="s">
        <v>18234</v>
      </c>
      <c r="C529" s="7" t="s">
        <v>58</v>
      </c>
      <c r="D529" s="7" t="s">
        <v>59</v>
      </c>
      <c r="E529" s="7" t="s">
        <v>346</v>
      </c>
      <c r="F529" s="6">
        <v>8.0</v>
      </c>
      <c r="G529" s="7" t="s">
        <v>422</v>
      </c>
      <c r="H529" s="6" t="s">
        <v>395</v>
      </c>
      <c r="I529" s="7"/>
      <c r="J529" s="7">
        <v>99.0</v>
      </c>
      <c r="K529" s="7" t="s">
        <v>18235</v>
      </c>
      <c r="L529" s="7">
        <v>97414.0</v>
      </c>
      <c r="M529" s="7" t="s">
        <v>40</v>
      </c>
      <c r="N529" s="6" t="s">
        <v>40</v>
      </c>
      <c r="O529" s="6" t="s">
        <v>18236</v>
      </c>
      <c r="P529" s="42" t="s">
        <v>746</v>
      </c>
      <c r="Q529" s="49" t="s">
        <v>18237</v>
      </c>
      <c r="R529" s="43" t="s">
        <v>18238</v>
      </c>
      <c r="S529" s="47" t="s">
        <v>744</v>
      </c>
      <c r="T529" s="7" t="s">
        <v>749</v>
      </c>
      <c r="U529" s="7" t="s">
        <v>748</v>
      </c>
      <c r="V529" s="7" t="s">
        <v>750</v>
      </c>
      <c r="W529" s="6" t="s">
        <v>18239</v>
      </c>
      <c r="X529" s="6" t="s">
        <v>18240</v>
      </c>
      <c r="Y529" s="6" t="s">
        <v>9368</v>
      </c>
      <c r="Z529" s="7" t="s">
        <v>378</v>
      </c>
      <c r="AA529" s="7"/>
      <c r="AB529" s="7"/>
      <c r="AC529" s="7">
        <v>7.5303796900015E13</v>
      </c>
      <c r="AD529" s="7">
        <v>7.53037969E8</v>
      </c>
      <c r="AE529" s="6" t="s">
        <v>401</v>
      </c>
      <c r="AF529" s="45">
        <v>45679.51863425926</v>
      </c>
      <c r="AG529" s="7" t="s">
        <v>18241</v>
      </c>
      <c r="AH529" s="46" t="s">
        <v>18242</v>
      </c>
      <c r="AI529" s="7"/>
      <c r="AJ529" s="6" t="s">
        <v>18243</v>
      </c>
      <c r="AK529" s="7" t="b">
        <v>0</v>
      </c>
      <c r="AL529" s="7" t="b">
        <v>0</v>
      </c>
      <c r="AM529" s="6" t="s">
        <v>756</v>
      </c>
      <c r="AN529" s="6" t="s">
        <v>741</v>
      </c>
      <c r="AO529" s="6">
        <v>2721.0</v>
      </c>
      <c r="AP529" s="6"/>
      <c r="AQ529" s="6" t="b">
        <v>1</v>
      </c>
      <c r="AR529" s="6"/>
      <c r="AS529" s="48" t="s">
        <v>12303</v>
      </c>
    </row>
    <row r="530" ht="15.75" customHeight="1">
      <c r="A530" s="9" t="s">
        <v>12050</v>
      </c>
      <c r="B530" s="9" t="s">
        <v>18244</v>
      </c>
      <c r="C530" s="9" t="s">
        <v>117</v>
      </c>
      <c r="D530" s="9" t="s">
        <v>197</v>
      </c>
      <c r="E530" s="9" t="s">
        <v>559</v>
      </c>
      <c r="F530" s="9">
        <v>5.0</v>
      </c>
      <c r="J530" s="9" t="s">
        <v>18245</v>
      </c>
      <c r="K530" s="9" t="s">
        <v>13995</v>
      </c>
      <c r="L530" s="9">
        <v>97430.0</v>
      </c>
      <c r="M530" s="9" t="s">
        <v>71</v>
      </c>
      <c r="O530" s="9" t="s">
        <v>18246</v>
      </c>
      <c r="P530" s="53" t="s">
        <v>18247</v>
      </c>
      <c r="Q530" s="49" t="s">
        <v>18248</v>
      </c>
      <c r="R530" s="50"/>
      <c r="S530" s="54"/>
      <c r="T530" s="9" t="s">
        <v>18249</v>
      </c>
      <c r="U530" s="9" t="s">
        <v>18250</v>
      </c>
      <c r="V530" s="9" t="s">
        <v>14107</v>
      </c>
      <c r="W530" s="9" t="s">
        <v>18251</v>
      </c>
      <c r="X530" s="9" t="s">
        <v>12447</v>
      </c>
      <c r="Y530" s="9" t="s">
        <v>499</v>
      </c>
      <c r="Z530" s="9" t="s">
        <v>424</v>
      </c>
      <c r="AC530" s="9">
        <v>8.1196084800018E13</v>
      </c>
      <c r="AD530" s="9">
        <v>8.11960848E8</v>
      </c>
      <c r="AE530" s="9" t="s">
        <v>401</v>
      </c>
      <c r="AF530" s="55">
        <v>44943.36859953704</v>
      </c>
      <c r="AG530" s="9" t="s">
        <v>18252</v>
      </c>
      <c r="AH530" s="9" t="s">
        <v>18253</v>
      </c>
      <c r="AJ530" s="9" t="s">
        <v>18254</v>
      </c>
      <c r="AK530" s="9" t="b">
        <v>0</v>
      </c>
      <c r="AL530" s="9" t="b">
        <v>0</v>
      </c>
      <c r="AN530" s="9" t="s">
        <v>12050</v>
      </c>
      <c r="AP530" s="56">
        <v>44936.0</v>
      </c>
      <c r="AQ530" s="9" t="b">
        <v>0</v>
      </c>
      <c r="AR530" s="9" t="s">
        <v>18255</v>
      </c>
    </row>
    <row r="531" ht="15.75" customHeight="1">
      <c r="A531" s="7" t="s">
        <v>3793</v>
      </c>
      <c r="B531" s="7" t="s">
        <v>18256</v>
      </c>
      <c r="C531" s="7" t="s">
        <v>58</v>
      </c>
      <c r="D531" s="7" t="s">
        <v>59</v>
      </c>
      <c r="E531" s="7" t="s">
        <v>346</v>
      </c>
      <c r="F531" s="7">
        <v>6.0</v>
      </c>
      <c r="G531" s="7" t="s">
        <v>455</v>
      </c>
      <c r="H531" s="7"/>
      <c r="I531" s="6" t="s">
        <v>12371</v>
      </c>
      <c r="J531" s="7">
        <v>212.0</v>
      </c>
      <c r="K531" s="7" t="s">
        <v>18257</v>
      </c>
      <c r="L531" s="7">
        <v>97430.0</v>
      </c>
      <c r="M531" s="7" t="s">
        <v>71</v>
      </c>
      <c r="N531" s="7"/>
      <c r="O531" s="6" t="s">
        <v>18258</v>
      </c>
      <c r="P531" s="53" t="s">
        <v>18259</v>
      </c>
      <c r="Q531" s="43" t="s">
        <v>18260</v>
      </c>
      <c r="R531" s="50"/>
      <c r="S531" s="51"/>
      <c r="T531" s="7" t="s">
        <v>3801</v>
      </c>
      <c r="U531" s="7" t="s">
        <v>3800</v>
      </c>
      <c r="V531" s="7"/>
      <c r="W531" s="6" t="s">
        <v>18261</v>
      </c>
      <c r="X531" s="7" t="s">
        <v>3798</v>
      </c>
      <c r="Y531" s="7" t="s">
        <v>377</v>
      </c>
      <c r="Z531" s="7" t="s">
        <v>424</v>
      </c>
      <c r="AA531" s="7" t="s">
        <v>3806</v>
      </c>
      <c r="AB531" s="7" t="s">
        <v>1590</v>
      </c>
      <c r="AC531" s="7">
        <v>4.2794040800037E13</v>
      </c>
      <c r="AD531" s="7">
        <v>4.27940408E8</v>
      </c>
      <c r="AE531" s="6" t="s">
        <v>401</v>
      </c>
      <c r="AF531" s="45">
        <v>44938.567465277774</v>
      </c>
      <c r="AG531" s="7" t="s">
        <v>18262</v>
      </c>
      <c r="AH531" s="46" t="s">
        <v>18263</v>
      </c>
      <c r="AI531" s="7"/>
      <c r="AJ531" s="6" t="s">
        <v>18264</v>
      </c>
      <c r="AK531" s="7" t="b">
        <v>0</v>
      </c>
      <c r="AL531" s="7" t="b">
        <v>0</v>
      </c>
      <c r="AM531" s="6" t="s">
        <v>3807</v>
      </c>
      <c r="AN531" s="6" t="s">
        <v>3793</v>
      </c>
      <c r="AO531" s="6">
        <v>2781.0</v>
      </c>
      <c r="AP531" s="6"/>
      <c r="AQ531" s="6" t="b">
        <v>1</v>
      </c>
      <c r="AR531" s="6"/>
      <c r="AS531" s="6" t="s">
        <v>12303</v>
      </c>
    </row>
    <row r="532" ht="15.75" customHeight="1">
      <c r="A532" s="7" t="s">
        <v>388</v>
      </c>
      <c r="B532" s="6" t="s">
        <v>18265</v>
      </c>
      <c r="C532" s="7" t="s">
        <v>58</v>
      </c>
      <c r="D532" s="7" t="s">
        <v>59</v>
      </c>
      <c r="E532" s="7" t="s">
        <v>346</v>
      </c>
      <c r="F532" s="7">
        <v>6.0</v>
      </c>
      <c r="G532" s="7"/>
      <c r="H532" s="6" t="s">
        <v>395</v>
      </c>
      <c r="I532" s="7"/>
      <c r="J532" s="41" t="s">
        <v>12589</v>
      </c>
      <c r="K532" s="6" t="s">
        <v>18266</v>
      </c>
      <c r="L532" s="7">
        <v>97480.0</v>
      </c>
      <c r="M532" s="7" t="s">
        <v>123</v>
      </c>
      <c r="N532" s="7"/>
      <c r="O532" s="6" t="s">
        <v>18267</v>
      </c>
      <c r="P532" s="42" t="s">
        <v>394</v>
      </c>
      <c r="Q532" s="43" t="s">
        <v>18268</v>
      </c>
      <c r="R532" s="50"/>
      <c r="S532" s="51"/>
      <c r="T532" s="7" t="s">
        <v>396</v>
      </c>
      <c r="U532" s="7" t="s">
        <v>356</v>
      </c>
      <c r="V532" s="7"/>
      <c r="W532" s="6" t="s">
        <v>18269</v>
      </c>
      <c r="X532" s="7"/>
      <c r="Y532" s="7" t="s">
        <v>392</v>
      </c>
      <c r="Z532" s="7" t="s">
        <v>393</v>
      </c>
      <c r="AA532" s="7"/>
      <c r="AB532" s="7"/>
      <c r="AC532" s="69">
        <v>8.3747994800015E13</v>
      </c>
      <c r="AD532" s="7">
        <v>8.37479948E8</v>
      </c>
      <c r="AE532" s="6" t="s">
        <v>401</v>
      </c>
      <c r="AF532" s="45">
        <v>44935.43971064815</v>
      </c>
      <c r="AG532" s="6" t="s">
        <v>18270</v>
      </c>
      <c r="AH532" s="46" t="s">
        <v>18271</v>
      </c>
      <c r="AI532" s="7"/>
      <c r="AJ532" s="6" t="s">
        <v>18272</v>
      </c>
      <c r="AK532" s="7" t="b">
        <v>1</v>
      </c>
      <c r="AL532" s="6" t="b">
        <v>0</v>
      </c>
      <c r="AM532" s="6" t="s">
        <v>365</v>
      </c>
      <c r="AN532" s="6" t="s">
        <v>388</v>
      </c>
      <c r="AO532" s="6">
        <v>5152.0</v>
      </c>
      <c r="AP532" s="6"/>
      <c r="AQ532" s="6" t="b">
        <v>1</v>
      </c>
      <c r="AR532" s="6" t="s">
        <v>18273</v>
      </c>
      <c r="AS532" s="6"/>
    </row>
    <row r="533" ht="15.75" customHeight="1">
      <c r="A533" s="9" t="s">
        <v>10745</v>
      </c>
      <c r="B533" s="9" t="s">
        <v>18274</v>
      </c>
      <c r="C533" s="9" t="s">
        <v>58</v>
      </c>
      <c r="D533" s="9" t="s">
        <v>59</v>
      </c>
      <c r="E533" s="9" t="s">
        <v>346</v>
      </c>
      <c r="F533" s="9">
        <v>8.0</v>
      </c>
      <c r="H533" s="9" t="s">
        <v>17744</v>
      </c>
      <c r="J533" s="9" t="s">
        <v>18275</v>
      </c>
      <c r="K533" s="9" t="s">
        <v>18276</v>
      </c>
      <c r="L533" s="9">
        <v>97418.0</v>
      </c>
      <c r="M533" s="9" t="s">
        <v>71</v>
      </c>
      <c r="O533" s="9" t="s">
        <v>18277</v>
      </c>
      <c r="P533" s="53" t="s">
        <v>18278</v>
      </c>
      <c r="Q533" s="49" t="s">
        <v>18279</v>
      </c>
      <c r="R533" s="50"/>
      <c r="S533" s="54"/>
      <c r="T533" s="9" t="s">
        <v>18280</v>
      </c>
      <c r="U533" s="9" t="s">
        <v>18281</v>
      </c>
      <c r="V533" s="9" t="s">
        <v>18282</v>
      </c>
      <c r="W533" s="9" t="s">
        <v>18283</v>
      </c>
      <c r="X533" s="9" t="s">
        <v>18284</v>
      </c>
      <c r="Y533" s="9" t="s">
        <v>12715</v>
      </c>
      <c r="Z533" s="9" t="s">
        <v>5551</v>
      </c>
      <c r="AC533" s="9">
        <v>4.3879415800024E13</v>
      </c>
      <c r="AD533" s="9">
        <v>4.38794158E8</v>
      </c>
      <c r="AE533" s="9" t="s">
        <v>12355</v>
      </c>
      <c r="AF533" s="60">
        <v>45418.63615740741</v>
      </c>
      <c r="AG533" s="9" t="s">
        <v>18285</v>
      </c>
      <c r="AH533" s="9" t="s">
        <v>18286</v>
      </c>
      <c r="AJ533" s="9" t="s">
        <v>18287</v>
      </c>
      <c r="AK533" s="9" t="b">
        <v>0</v>
      </c>
      <c r="AL533" s="9" t="b">
        <v>0</v>
      </c>
      <c r="AM533" s="9" t="s">
        <v>18288</v>
      </c>
      <c r="AN533" s="9" t="s">
        <v>10745</v>
      </c>
      <c r="AP533" s="61">
        <v>44860.0</v>
      </c>
      <c r="AQ533" s="9" t="b">
        <v>0</v>
      </c>
    </row>
    <row r="534" ht="15.75" customHeight="1">
      <c r="A534" s="7" t="s">
        <v>8430</v>
      </c>
      <c r="B534" s="7" t="s">
        <v>18289</v>
      </c>
      <c r="C534" s="7" t="s">
        <v>34</v>
      </c>
      <c r="D534" s="7" t="s">
        <v>622</v>
      </c>
      <c r="E534" s="7" t="s">
        <v>622</v>
      </c>
      <c r="F534" s="7">
        <v>40.0</v>
      </c>
      <c r="G534" s="7" t="s">
        <v>422</v>
      </c>
      <c r="H534" s="7"/>
      <c r="I534" s="7"/>
      <c r="J534" s="7">
        <v>3.0</v>
      </c>
      <c r="K534" s="7" t="s">
        <v>16712</v>
      </c>
      <c r="L534" s="7">
        <v>97414.0</v>
      </c>
      <c r="M534" s="7" t="s">
        <v>40</v>
      </c>
      <c r="N534" s="7"/>
      <c r="O534" s="6" t="s">
        <v>18290</v>
      </c>
      <c r="P534" s="42" t="s">
        <v>18291</v>
      </c>
      <c r="Q534" s="49" t="s">
        <v>18292</v>
      </c>
      <c r="R534" s="50"/>
      <c r="S534" s="51"/>
      <c r="T534" s="7" t="s">
        <v>8433</v>
      </c>
      <c r="U534" s="7"/>
      <c r="V534" s="7"/>
      <c r="W534" s="7"/>
      <c r="X534" s="7"/>
      <c r="Y534" s="7" t="s">
        <v>974</v>
      </c>
      <c r="Z534" s="7" t="s">
        <v>592</v>
      </c>
      <c r="AA534" s="7"/>
      <c r="AB534" s="7"/>
      <c r="AC534" s="7">
        <v>8.5056571400019E13</v>
      </c>
      <c r="AD534" s="7">
        <v>8.50565714E8</v>
      </c>
      <c r="AE534" s="6" t="s">
        <v>401</v>
      </c>
      <c r="AF534" s="45">
        <v>45393.439733796295</v>
      </c>
      <c r="AG534" s="7" t="s">
        <v>18293</v>
      </c>
      <c r="AH534" s="46" t="s">
        <v>18294</v>
      </c>
      <c r="AI534" s="7"/>
      <c r="AJ534" s="6" t="s">
        <v>18295</v>
      </c>
      <c r="AK534" s="7" t="b">
        <v>0</v>
      </c>
      <c r="AL534" s="7" t="b">
        <v>0</v>
      </c>
      <c r="AM534" s="7"/>
      <c r="AN534" s="6" t="s">
        <v>8430</v>
      </c>
      <c r="AO534" s="7"/>
      <c r="AP534" s="7"/>
      <c r="AQ534" s="6" t="b">
        <v>0</v>
      </c>
      <c r="AR534" s="6" t="s">
        <v>18296</v>
      </c>
      <c r="AS534" s="48" t="s">
        <v>12303</v>
      </c>
    </row>
    <row r="535" ht="15.75" customHeight="1">
      <c r="A535" s="7" t="s">
        <v>9958</v>
      </c>
      <c r="B535" s="6" t="s">
        <v>7797</v>
      </c>
      <c r="C535" s="7" t="s">
        <v>58</v>
      </c>
      <c r="D535" s="7" t="s">
        <v>59</v>
      </c>
      <c r="E535" s="7" t="s">
        <v>545</v>
      </c>
      <c r="F535" s="7">
        <v>30.0</v>
      </c>
      <c r="G535" s="7" t="s">
        <v>375</v>
      </c>
      <c r="H535" s="6" t="s">
        <v>355</v>
      </c>
      <c r="I535" s="7"/>
      <c r="J535" s="41" t="s">
        <v>3725</v>
      </c>
      <c r="K535" s="7" t="s">
        <v>18297</v>
      </c>
      <c r="L535" s="7">
        <v>97480.0</v>
      </c>
      <c r="M535" s="7" t="s">
        <v>123</v>
      </c>
      <c r="N535" s="7"/>
      <c r="O535" s="6" t="s">
        <v>18298</v>
      </c>
      <c r="P535" s="53" t="s">
        <v>9963</v>
      </c>
      <c r="Q535" s="49" t="s">
        <v>18299</v>
      </c>
      <c r="R535" s="50" t="s">
        <v>12350</v>
      </c>
      <c r="S535" s="47" t="s">
        <v>9961</v>
      </c>
      <c r="T535" s="6" t="s">
        <v>18300</v>
      </c>
      <c r="U535" s="6" t="s">
        <v>18301</v>
      </c>
      <c r="V535" s="7"/>
      <c r="W535" s="6" t="s">
        <v>18302</v>
      </c>
      <c r="X535" s="6" t="s">
        <v>2141</v>
      </c>
      <c r="Y535" s="7" t="s">
        <v>377</v>
      </c>
      <c r="Z535" s="7" t="s">
        <v>378</v>
      </c>
      <c r="AA535" s="7"/>
      <c r="AB535" s="7"/>
      <c r="AC535" s="7">
        <v>7.9395265600023E13</v>
      </c>
      <c r="AD535" s="7">
        <v>7.93952656E8</v>
      </c>
      <c r="AE535" s="7" t="s">
        <v>401</v>
      </c>
      <c r="AF535" s="45">
        <v>44932.396469907406</v>
      </c>
      <c r="AG535" s="7" t="s">
        <v>18303</v>
      </c>
      <c r="AH535" s="62" t="s">
        <v>18304</v>
      </c>
      <c r="AI535" s="7"/>
      <c r="AJ535" s="7"/>
      <c r="AK535" s="7" t="b">
        <v>0</v>
      </c>
      <c r="AL535" s="7" t="b">
        <v>0</v>
      </c>
      <c r="AM535" s="6" t="s">
        <v>9968</v>
      </c>
      <c r="AN535" s="6" t="s">
        <v>9958</v>
      </c>
      <c r="AO535" s="7"/>
      <c r="AP535" s="7"/>
      <c r="AQ535" s="6" t="b">
        <v>0</v>
      </c>
      <c r="AR535" s="6"/>
      <c r="AS535" s="6"/>
    </row>
    <row r="536" ht="15.75" customHeight="1">
      <c r="A536" s="7" t="s">
        <v>4336</v>
      </c>
      <c r="B536" s="7" t="s">
        <v>4337</v>
      </c>
      <c r="C536" s="7" t="s">
        <v>58</v>
      </c>
      <c r="D536" s="7" t="s">
        <v>59</v>
      </c>
      <c r="E536" s="7" t="s">
        <v>374</v>
      </c>
      <c r="F536" s="7">
        <v>8.0</v>
      </c>
      <c r="G536" s="7" t="s">
        <v>3431</v>
      </c>
      <c r="H536" s="7"/>
      <c r="I536" s="7"/>
      <c r="J536" s="7" t="s">
        <v>16640</v>
      </c>
      <c r="K536" s="7" t="s">
        <v>16641</v>
      </c>
      <c r="L536" s="7">
        <v>97480.0</v>
      </c>
      <c r="M536" s="7" t="s">
        <v>123</v>
      </c>
      <c r="N536" s="7" t="s">
        <v>206</v>
      </c>
      <c r="O536" s="7" t="s">
        <v>4348</v>
      </c>
      <c r="P536" s="42" t="s">
        <v>4342</v>
      </c>
      <c r="Q536" s="43" t="s">
        <v>16643</v>
      </c>
      <c r="R536" s="50"/>
      <c r="S536" s="47" t="s">
        <v>4339</v>
      </c>
      <c r="T536" s="6" t="s">
        <v>18305</v>
      </c>
      <c r="U536" s="7"/>
      <c r="V536" s="7" t="s">
        <v>4344</v>
      </c>
      <c r="W536" s="6" t="s">
        <v>18306</v>
      </c>
      <c r="X536" s="7" t="s">
        <v>4341</v>
      </c>
      <c r="Y536" s="7" t="s">
        <v>377</v>
      </c>
      <c r="Z536" s="7" t="s">
        <v>424</v>
      </c>
      <c r="AA536" s="7"/>
      <c r="AB536" s="7"/>
      <c r="AC536" s="7"/>
      <c r="AD536" s="7"/>
      <c r="AE536" s="6" t="s">
        <v>12355</v>
      </c>
      <c r="AF536" s="45">
        <v>44932.38998842592</v>
      </c>
      <c r="AG536" s="6" t="s">
        <v>18307</v>
      </c>
      <c r="AH536" s="46" t="s">
        <v>18308</v>
      </c>
      <c r="AI536" s="7"/>
      <c r="AJ536" s="7"/>
      <c r="AK536" s="7" t="b">
        <v>0</v>
      </c>
      <c r="AL536" s="7" t="b">
        <v>0</v>
      </c>
      <c r="AM536" s="6" t="s">
        <v>4349</v>
      </c>
      <c r="AN536" s="6" t="s">
        <v>4336</v>
      </c>
      <c r="AO536" s="6">
        <v>1874.0</v>
      </c>
      <c r="AP536" s="6"/>
      <c r="AQ536" s="6" t="b">
        <v>1</v>
      </c>
      <c r="AR536" s="6"/>
      <c r="AS536" s="6"/>
    </row>
    <row r="537" ht="15.75" customHeight="1">
      <c r="A537" s="7" t="s">
        <v>7328</v>
      </c>
      <c r="B537" s="7" t="s">
        <v>7316</v>
      </c>
      <c r="C537" s="7" t="s">
        <v>58</v>
      </c>
      <c r="D537" s="7" t="s">
        <v>1141</v>
      </c>
      <c r="E537" s="7" t="s">
        <v>1141</v>
      </c>
      <c r="F537" s="7">
        <v>78.0</v>
      </c>
      <c r="G537" s="7" t="s">
        <v>664</v>
      </c>
      <c r="H537" s="7" t="s">
        <v>355</v>
      </c>
      <c r="I537" s="7"/>
      <c r="J537" s="7">
        <v>106.0</v>
      </c>
      <c r="K537" s="7" t="s">
        <v>13102</v>
      </c>
      <c r="L537" s="7">
        <v>97430.0</v>
      </c>
      <c r="M537" s="7" t="s">
        <v>71</v>
      </c>
      <c r="N537" s="6" t="s">
        <v>12698</v>
      </c>
      <c r="O537" s="6" t="s">
        <v>18309</v>
      </c>
      <c r="P537" s="42" t="s">
        <v>7331</v>
      </c>
      <c r="Q537" s="43" t="s">
        <v>13563</v>
      </c>
      <c r="R537" s="50"/>
      <c r="S537" s="47" t="s">
        <v>7318</v>
      </c>
      <c r="T537" s="7" t="s">
        <v>7333</v>
      </c>
      <c r="U537" s="7" t="s">
        <v>7332</v>
      </c>
      <c r="V537" s="7" t="s">
        <v>7322</v>
      </c>
      <c r="W537" s="6" t="s">
        <v>18310</v>
      </c>
      <c r="X537" s="7" t="s">
        <v>7330</v>
      </c>
      <c r="Y537" s="7" t="s">
        <v>1988</v>
      </c>
      <c r="Z537" s="7" t="s">
        <v>353</v>
      </c>
      <c r="AA537" s="7"/>
      <c r="AB537" s="7"/>
      <c r="AC537" s="7">
        <v>4.1221483500016E13</v>
      </c>
      <c r="AD537" s="7">
        <v>4.12214835E8</v>
      </c>
      <c r="AE537" s="6" t="s">
        <v>401</v>
      </c>
      <c r="AF537" s="45">
        <v>45729.64509259259</v>
      </c>
      <c r="AG537" s="7" t="s">
        <v>13568</v>
      </c>
      <c r="AH537" s="46" t="s">
        <v>18311</v>
      </c>
      <c r="AI537" s="7"/>
      <c r="AJ537" s="6" t="s">
        <v>18312</v>
      </c>
      <c r="AK537" s="7" t="b">
        <v>0</v>
      </c>
      <c r="AL537" s="7" t="b">
        <v>0</v>
      </c>
      <c r="AM537" s="6" t="s">
        <v>7335</v>
      </c>
      <c r="AN537" s="6" t="s">
        <v>7328</v>
      </c>
      <c r="AO537" s="6">
        <v>1553.0</v>
      </c>
      <c r="AP537" s="6"/>
      <c r="AQ537" s="6" t="b">
        <v>1</v>
      </c>
      <c r="AR537" s="6" t="s">
        <v>18313</v>
      </c>
      <c r="AS537" s="6"/>
    </row>
    <row r="538" ht="15.75" customHeight="1">
      <c r="A538" s="7" t="s">
        <v>2736</v>
      </c>
      <c r="B538" s="6" t="s">
        <v>18314</v>
      </c>
      <c r="C538" s="7" t="s">
        <v>58</v>
      </c>
      <c r="D538" s="7" t="s">
        <v>453</v>
      </c>
      <c r="E538" s="7" t="s">
        <v>454</v>
      </c>
      <c r="F538" s="6">
        <v>12.0</v>
      </c>
      <c r="G538" s="7" t="s">
        <v>455</v>
      </c>
      <c r="H538" s="7"/>
      <c r="I538" s="7"/>
      <c r="J538" s="7">
        <v>68.0</v>
      </c>
      <c r="K538" s="6" t="s">
        <v>18315</v>
      </c>
      <c r="L538" s="7">
        <v>97442.0</v>
      </c>
      <c r="M538" s="7" t="s">
        <v>33</v>
      </c>
      <c r="N538" s="6" t="s">
        <v>18125</v>
      </c>
      <c r="O538" s="6" t="s">
        <v>2748</v>
      </c>
      <c r="P538" s="42" t="s">
        <v>2741</v>
      </c>
      <c r="Q538" s="43" t="s">
        <v>18316</v>
      </c>
      <c r="R538" s="43" t="s">
        <v>18317</v>
      </c>
      <c r="S538" s="57" t="s">
        <v>18318</v>
      </c>
      <c r="T538" s="6" t="s">
        <v>18319</v>
      </c>
      <c r="U538" s="6" t="s">
        <v>18320</v>
      </c>
      <c r="V538" s="6" t="s">
        <v>18321</v>
      </c>
      <c r="W538" s="6" t="s">
        <v>18322</v>
      </c>
      <c r="X538" s="6" t="s">
        <v>18323</v>
      </c>
      <c r="Y538" s="7" t="s">
        <v>377</v>
      </c>
      <c r="Z538" s="6" t="s">
        <v>5551</v>
      </c>
      <c r="AA538" s="7" t="s">
        <v>2749</v>
      </c>
      <c r="AB538" s="7" t="s">
        <v>1590</v>
      </c>
      <c r="AC538" s="6">
        <v>3.8015797400045E13</v>
      </c>
      <c r="AD538" s="6">
        <v>3.80157974E8</v>
      </c>
      <c r="AE538" s="6" t="s">
        <v>401</v>
      </c>
      <c r="AF538" s="45">
        <v>45898.61078703704</v>
      </c>
      <c r="AG538" s="7" t="s">
        <v>18324</v>
      </c>
      <c r="AH538" s="46" t="s">
        <v>18325</v>
      </c>
      <c r="AI538" s="7"/>
      <c r="AJ538" s="6" t="s">
        <v>18326</v>
      </c>
      <c r="AK538" s="7" t="b">
        <v>0</v>
      </c>
      <c r="AL538" s="7" t="b">
        <v>0</v>
      </c>
      <c r="AM538" s="6" t="s">
        <v>2750</v>
      </c>
      <c r="AN538" s="6" t="s">
        <v>2736</v>
      </c>
      <c r="AO538" s="6">
        <v>2935.0</v>
      </c>
      <c r="AP538" s="6"/>
      <c r="AQ538" s="6" t="b">
        <v>1</v>
      </c>
      <c r="AR538" s="6" t="s">
        <v>18327</v>
      </c>
      <c r="AS538" s="48" t="s">
        <v>12303</v>
      </c>
    </row>
    <row r="539" ht="15.75" customHeight="1">
      <c r="A539" s="9" t="s">
        <v>11645</v>
      </c>
      <c r="B539" s="9" t="s">
        <v>18328</v>
      </c>
      <c r="C539" s="9" t="s">
        <v>58</v>
      </c>
      <c r="D539" s="9" t="s">
        <v>59</v>
      </c>
      <c r="E539" s="9" t="s">
        <v>346</v>
      </c>
      <c r="F539" s="9">
        <v>2.0</v>
      </c>
      <c r="G539" s="9" t="s">
        <v>1456</v>
      </c>
      <c r="H539" s="9" t="s">
        <v>2716</v>
      </c>
      <c r="J539" s="9" t="s">
        <v>18329</v>
      </c>
      <c r="K539" s="9" t="s">
        <v>18330</v>
      </c>
      <c r="L539" s="9">
        <v>97430.0</v>
      </c>
      <c r="M539" s="9" t="s">
        <v>71</v>
      </c>
      <c r="N539" s="9" t="s">
        <v>14126</v>
      </c>
      <c r="O539" s="9" t="s">
        <v>18331</v>
      </c>
      <c r="P539" s="53" t="s">
        <v>18332</v>
      </c>
      <c r="Q539" s="49" t="s">
        <v>18333</v>
      </c>
      <c r="R539" s="50"/>
      <c r="S539" s="58" t="s">
        <v>18334</v>
      </c>
      <c r="T539" s="9" t="s">
        <v>18335</v>
      </c>
      <c r="U539" s="9" t="s">
        <v>18336</v>
      </c>
      <c r="V539" s="9" t="s">
        <v>18337</v>
      </c>
      <c r="W539" s="9" t="s">
        <v>18338</v>
      </c>
      <c r="X539" s="9" t="s">
        <v>18339</v>
      </c>
      <c r="Y539" s="9" t="s">
        <v>18340</v>
      </c>
      <c r="Z539" s="9" t="s">
        <v>424</v>
      </c>
      <c r="AC539" s="9">
        <v>9.129399720001E13</v>
      </c>
      <c r="AD539" s="9">
        <v>9.12939972E8</v>
      </c>
      <c r="AE539" s="9" t="s">
        <v>401</v>
      </c>
      <c r="AF539" s="55">
        <v>44923.45574074074</v>
      </c>
      <c r="AG539" s="9" t="s">
        <v>18341</v>
      </c>
      <c r="AH539" s="9" t="s">
        <v>18342</v>
      </c>
      <c r="AJ539" s="9" t="s">
        <v>18343</v>
      </c>
      <c r="AK539" s="9" t="b">
        <v>0</v>
      </c>
      <c r="AL539" s="9" t="b">
        <v>1</v>
      </c>
      <c r="AM539" s="9" t="s">
        <v>18344</v>
      </c>
      <c r="AN539" s="9" t="s">
        <v>11645</v>
      </c>
      <c r="AP539" s="56">
        <v>44830.0</v>
      </c>
      <c r="AQ539" s="9" t="b">
        <v>1</v>
      </c>
      <c r="AR539" s="9" t="s">
        <v>18345</v>
      </c>
    </row>
    <row r="540" ht="15.75" customHeight="1">
      <c r="A540" s="9" t="s">
        <v>11660</v>
      </c>
      <c r="B540" s="9" t="s">
        <v>18346</v>
      </c>
      <c r="C540" s="9" t="s">
        <v>58</v>
      </c>
      <c r="D540" s="9" t="s">
        <v>59</v>
      </c>
      <c r="E540" s="9" t="s">
        <v>346</v>
      </c>
      <c r="F540" s="9">
        <v>2.0</v>
      </c>
      <c r="G540" s="9" t="s">
        <v>1456</v>
      </c>
      <c r="H540" s="9" t="s">
        <v>2716</v>
      </c>
      <c r="J540" s="9" t="s">
        <v>18329</v>
      </c>
      <c r="K540" s="9" t="s">
        <v>18330</v>
      </c>
      <c r="L540" s="9">
        <v>97430.0</v>
      </c>
      <c r="M540" s="9" t="s">
        <v>71</v>
      </c>
      <c r="N540" s="9" t="s">
        <v>14126</v>
      </c>
      <c r="O540" s="9" t="s">
        <v>18347</v>
      </c>
      <c r="P540" s="53" t="s">
        <v>18332</v>
      </c>
      <c r="Q540" s="49" t="s">
        <v>18333</v>
      </c>
      <c r="R540" s="50"/>
      <c r="S540" s="58" t="s">
        <v>18334</v>
      </c>
      <c r="T540" s="9" t="s">
        <v>18348</v>
      </c>
      <c r="U540" s="9" t="s">
        <v>18336</v>
      </c>
      <c r="V540" s="9" t="s">
        <v>18337</v>
      </c>
      <c r="W540" s="9" t="s">
        <v>18349</v>
      </c>
      <c r="X540" s="9" t="s">
        <v>18350</v>
      </c>
      <c r="Y540" s="9" t="s">
        <v>18351</v>
      </c>
      <c r="Z540" s="9" t="s">
        <v>424</v>
      </c>
      <c r="AC540" s="9">
        <v>9.129399720001E13</v>
      </c>
      <c r="AD540" s="9">
        <v>9.12939972E8</v>
      </c>
      <c r="AE540" s="9" t="s">
        <v>401</v>
      </c>
      <c r="AF540" s="55">
        <v>44921.4953125</v>
      </c>
      <c r="AG540" s="9" t="s">
        <v>18341</v>
      </c>
      <c r="AH540" s="9" t="s">
        <v>18352</v>
      </c>
      <c r="AJ540" s="9" t="s">
        <v>18353</v>
      </c>
      <c r="AK540" s="9" t="b">
        <v>0</v>
      </c>
      <c r="AL540" s="9" t="b">
        <v>1</v>
      </c>
      <c r="AM540" s="9" t="s">
        <v>18344</v>
      </c>
      <c r="AN540" s="9" t="s">
        <v>11660</v>
      </c>
      <c r="AP540" s="56">
        <v>44826.0</v>
      </c>
      <c r="AQ540" s="9" t="b">
        <v>1</v>
      </c>
      <c r="AR540" s="9" t="s">
        <v>18345</v>
      </c>
    </row>
    <row r="541" ht="15.75" customHeight="1">
      <c r="A541" s="7" t="s">
        <v>8644</v>
      </c>
      <c r="B541" s="7" t="s">
        <v>18354</v>
      </c>
      <c r="C541" s="7" t="s">
        <v>58</v>
      </c>
      <c r="D541" s="7" t="s">
        <v>59</v>
      </c>
      <c r="E541" s="7" t="s">
        <v>346</v>
      </c>
      <c r="F541" s="7">
        <v>7.0</v>
      </c>
      <c r="G541" s="7" t="s">
        <v>407</v>
      </c>
      <c r="H541" s="7"/>
      <c r="I541" s="7"/>
      <c r="J541" s="7">
        <v>170.0</v>
      </c>
      <c r="K541" s="7" t="s">
        <v>18355</v>
      </c>
      <c r="L541" s="7">
        <v>97418.0</v>
      </c>
      <c r="M541" s="7" t="s">
        <v>71</v>
      </c>
      <c r="N541" s="7" t="s">
        <v>216</v>
      </c>
      <c r="O541" s="6" t="s">
        <v>18356</v>
      </c>
      <c r="P541" s="42" t="s">
        <v>8649</v>
      </c>
      <c r="Q541" s="49" t="s">
        <v>18357</v>
      </c>
      <c r="R541" s="50"/>
      <c r="S541" s="44" t="s">
        <v>18358</v>
      </c>
      <c r="T541" s="7" t="s">
        <v>8650</v>
      </c>
      <c r="U541" s="6" t="s">
        <v>18359</v>
      </c>
      <c r="V541" s="7"/>
      <c r="W541" s="6" t="s">
        <v>18360</v>
      </c>
      <c r="X541" s="7" t="s">
        <v>8648</v>
      </c>
      <c r="Y541" s="7" t="s">
        <v>8184</v>
      </c>
      <c r="Z541" s="7" t="s">
        <v>4369</v>
      </c>
      <c r="AA541" s="7" t="s">
        <v>3270</v>
      </c>
      <c r="AB541" s="7" t="s">
        <v>1590</v>
      </c>
      <c r="AC541" s="7">
        <v>8.8321209400014E13</v>
      </c>
      <c r="AD541" s="7">
        <v>8.83212094E8</v>
      </c>
      <c r="AE541" s="6" t="s">
        <v>401</v>
      </c>
      <c r="AF541" s="45">
        <v>45782.630474537036</v>
      </c>
      <c r="AG541" s="7" t="s">
        <v>18361</v>
      </c>
      <c r="AH541" s="46" t="s">
        <v>18362</v>
      </c>
      <c r="AI541" s="7"/>
      <c r="AJ541" s="6" t="s">
        <v>18363</v>
      </c>
      <c r="AK541" s="7" t="b">
        <v>0</v>
      </c>
      <c r="AL541" s="7" t="b">
        <v>0</v>
      </c>
      <c r="AM541" s="6" t="s">
        <v>8655</v>
      </c>
      <c r="AN541" s="6" t="s">
        <v>8644</v>
      </c>
      <c r="AO541" s="7"/>
      <c r="AP541" s="7"/>
      <c r="AQ541" s="6" t="b">
        <v>1</v>
      </c>
      <c r="AR541" s="6" t="s">
        <v>18364</v>
      </c>
      <c r="AS541" s="48" t="s">
        <v>12303</v>
      </c>
    </row>
    <row r="542" ht="15.75" customHeight="1">
      <c r="A542" s="9" t="s">
        <v>11680</v>
      </c>
      <c r="B542" s="9" t="s">
        <v>18365</v>
      </c>
      <c r="C542" s="9" t="s">
        <v>58</v>
      </c>
      <c r="D542" s="9" t="s">
        <v>453</v>
      </c>
      <c r="E542" s="9" t="s">
        <v>454</v>
      </c>
      <c r="F542" s="9">
        <v>10.0</v>
      </c>
      <c r="G542" s="9" t="s">
        <v>455</v>
      </c>
      <c r="J542" s="9" t="s">
        <v>18366</v>
      </c>
      <c r="K542" s="9" t="s">
        <v>13028</v>
      </c>
      <c r="L542" s="9">
        <v>97418.0</v>
      </c>
      <c r="M542" s="9" t="s">
        <v>71</v>
      </c>
      <c r="N542" s="9" t="s">
        <v>13029</v>
      </c>
      <c r="O542" s="9" t="s">
        <v>18367</v>
      </c>
      <c r="P542" s="53" t="s">
        <v>18368</v>
      </c>
      <c r="Q542" s="49" t="s">
        <v>18369</v>
      </c>
      <c r="R542" s="50"/>
      <c r="S542" s="54"/>
      <c r="T542" s="9" t="s">
        <v>18370</v>
      </c>
      <c r="U542" s="9" t="s">
        <v>18371</v>
      </c>
      <c r="V542" s="9" t="s">
        <v>18372</v>
      </c>
      <c r="W542" s="9" t="s">
        <v>18373</v>
      </c>
      <c r="X542" s="9" t="s">
        <v>18374</v>
      </c>
      <c r="Y542" s="9" t="s">
        <v>18375</v>
      </c>
      <c r="Z542" s="9" t="s">
        <v>592</v>
      </c>
      <c r="AC542" s="9">
        <v>9.2077939400013E13</v>
      </c>
      <c r="AD542" s="9">
        <v>9.20779394E8</v>
      </c>
      <c r="AE542" s="9" t="s">
        <v>401</v>
      </c>
      <c r="AF542" s="60">
        <v>45489.430393518516</v>
      </c>
      <c r="AG542" s="9" t="s">
        <v>18376</v>
      </c>
      <c r="AH542" s="9" t="s">
        <v>18377</v>
      </c>
      <c r="AJ542" s="9" t="s">
        <v>18378</v>
      </c>
      <c r="AK542" s="9" t="b">
        <v>0</v>
      </c>
      <c r="AL542" s="9" t="b">
        <v>1</v>
      </c>
      <c r="AM542" s="9" t="s">
        <v>18379</v>
      </c>
      <c r="AN542" s="9" t="s">
        <v>11680</v>
      </c>
      <c r="AP542" s="61">
        <v>44880.0</v>
      </c>
      <c r="AQ542" s="9" t="b">
        <v>0</v>
      </c>
    </row>
    <row r="543" ht="15.75" customHeight="1">
      <c r="A543" s="9" t="s">
        <v>11992</v>
      </c>
      <c r="B543" s="9" t="s">
        <v>18380</v>
      </c>
      <c r="C543" s="9" t="s">
        <v>58</v>
      </c>
      <c r="D543" s="9" t="s">
        <v>59</v>
      </c>
      <c r="E543" s="9" t="s">
        <v>346</v>
      </c>
      <c r="F543" s="9">
        <v>4.0</v>
      </c>
      <c r="G543" s="9" t="s">
        <v>455</v>
      </c>
      <c r="H543" s="9" t="s">
        <v>355</v>
      </c>
      <c r="J543" s="52" t="s">
        <v>15756</v>
      </c>
      <c r="K543" s="9" t="s">
        <v>18381</v>
      </c>
      <c r="L543" s="9">
        <v>97418.0</v>
      </c>
      <c r="M543" s="9" t="s">
        <v>71</v>
      </c>
      <c r="N543" s="9" t="s">
        <v>216</v>
      </c>
      <c r="O543" s="9" t="s">
        <v>18382</v>
      </c>
      <c r="P543" s="53" t="s">
        <v>9058</v>
      </c>
      <c r="Q543" s="49" t="s">
        <v>18383</v>
      </c>
      <c r="R543" s="50"/>
      <c r="S543" s="54"/>
      <c r="T543" s="9" t="s">
        <v>18384</v>
      </c>
      <c r="U543" s="9" t="s">
        <v>18385</v>
      </c>
      <c r="V543" s="9" t="s">
        <v>18386</v>
      </c>
      <c r="W543" s="9" t="s">
        <v>18387</v>
      </c>
      <c r="X543" s="9" t="s">
        <v>18388</v>
      </c>
      <c r="Y543" s="9" t="s">
        <v>18389</v>
      </c>
      <c r="Z543" s="9" t="s">
        <v>592</v>
      </c>
      <c r="AC543" s="9">
        <v>4.346787930001E13</v>
      </c>
      <c r="AD543" s="9">
        <v>4.34678793E8</v>
      </c>
      <c r="AE543" s="9" t="s">
        <v>401</v>
      </c>
      <c r="AF543" s="55">
        <v>45782.62829861111</v>
      </c>
      <c r="AG543" s="9" t="s">
        <v>18390</v>
      </c>
      <c r="AH543" s="9" t="s">
        <v>18391</v>
      </c>
      <c r="AJ543" s="9" t="s">
        <v>18392</v>
      </c>
      <c r="AK543" s="9" t="b">
        <v>0</v>
      </c>
      <c r="AL543" s="9" t="b">
        <v>0</v>
      </c>
      <c r="AM543" s="9" t="s">
        <v>18393</v>
      </c>
      <c r="AN543" s="9" t="s">
        <v>11992</v>
      </c>
      <c r="AP543" s="56">
        <v>44832.0</v>
      </c>
      <c r="AQ543" s="9" t="b">
        <v>0</v>
      </c>
    </row>
    <row r="544" ht="15.75" customHeight="1">
      <c r="A544" s="9" t="s">
        <v>12030</v>
      </c>
      <c r="B544" s="9" t="s">
        <v>18394</v>
      </c>
      <c r="C544" s="9" t="s">
        <v>58</v>
      </c>
      <c r="D544" s="9" t="s">
        <v>59</v>
      </c>
      <c r="E544" s="9" t="s">
        <v>346</v>
      </c>
      <c r="F544" s="9">
        <v>4.0</v>
      </c>
      <c r="H544" s="9" t="s">
        <v>2716</v>
      </c>
      <c r="J544" s="9" t="s">
        <v>18395</v>
      </c>
      <c r="K544" s="9" t="s">
        <v>18396</v>
      </c>
      <c r="L544" s="9">
        <v>97430.0</v>
      </c>
      <c r="M544" s="9" t="s">
        <v>71</v>
      </c>
      <c r="O544" s="9" t="s">
        <v>18397</v>
      </c>
      <c r="P544" s="53" t="s">
        <v>18398</v>
      </c>
      <c r="Q544" s="49" t="s">
        <v>18399</v>
      </c>
      <c r="R544" s="50"/>
      <c r="S544" s="54"/>
      <c r="T544" s="9" t="s">
        <v>18400</v>
      </c>
      <c r="U544" s="9" t="s">
        <v>18401</v>
      </c>
      <c r="V544" s="9" t="s">
        <v>18402</v>
      </c>
      <c r="W544" s="9" t="s">
        <v>18403</v>
      </c>
      <c r="X544" s="9" t="s">
        <v>18404</v>
      </c>
      <c r="Y544" s="9" t="s">
        <v>499</v>
      </c>
      <c r="Z544" s="9" t="s">
        <v>13051</v>
      </c>
      <c r="AC544" s="9">
        <v>9.1177843900024E13</v>
      </c>
      <c r="AD544" s="9">
        <v>9.11778439E8</v>
      </c>
      <c r="AE544" s="9" t="s">
        <v>12355</v>
      </c>
      <c r="AF544" s="60">
        <v>45964.41525462963</v>
      </c>
      <c r="AG544" s="9" t="s">
        <v>18405</v>
      </c>
      <c r="AH544" s="9" t="s">
        <v>18406</v>
      </c>
      <c r="AJ544" s="9" t="s">
        <v>18407</v>
      </c>
      <c r="AK544" s="9" t="b">
        <v>0</v>
      </c>
      <c r="AL544" s="9" t="b">
        <v>0</v>
      </c>
      <c r="AM544" s="9" t="s">
        <v>18408</v>
      </c>
      <c r="AN544" s="9" t="s">
        <v>12030</v>
      </c>
      <c r="AP544" s="61">
        <v>44554.0</v>
      </c>
      <c r="AQ544" s="9" t="b">
        <v>1</v>
      </c>
      <c r="AR544" s="9" t="s">
        <v>18409</v>
      </c>
    </row>
    <row r="545" ht="15.75" customHeight="1">
      <c r="A545" s="9" t="s">
        <v>10608</v>
      </c>
      <c r="B545" s="9" t="s">
        <v>18410</v>
      </c>
      <c r="C545" s="9" t="s">
        <v>58</v>
      </c>
      <c r="D545" s="9" t="s">
        <v>59</v>
      </c>
      <c r="F545" s="9">
        <v>4.0</v>
      </c>
      <c r="H545" s="9" t="s">
        <v>2716</v>
      </c>
      <c r="J545" s="9" t="s">
        <v>18411</v>
      </c>
      <c r="K545" s="9" t="s">
        <v>18396</v>
      </c>
      <c r="L545" s="9">
        <v>97430.0</v>
      </c>
      <c r="M545" s="9" t="s">
        <v>71</v>
      </c>
      <c r="O545" s="9" t="s">
        <v>18412</v>
      </c>
      <c r="P545" s="53" t="s">
        <v>18398</v>
      </c>
      <c r="Q545" s="49" t="s">
        <v>18399</v>
      </c>
      <c r="R545" s="50"/>
      <c r="S545" s="54"/>
      <c r="T545" s="9" t="s">
        <v>18413</v>
      </c>
      <c r="U545" s="9" t="s">
        <v>18414</v>
      </c>
      <c r="V545" s="9" t="s">
        <v>18402</v>
      </c>
      <c r="W545" s="9" t="s">
        <v>18415</v>
      </c>
      <c r="X545" s="9" t="s">
        <v>18416</v>
      </c>
      <c r="Y545" s="9" t="s">
        <v>499</v>
      </c>
      <c r="Z545" s="9" t="s">
        <v>13051</v>
      </c>
      <c r="AC545" s="9">
        <v>9.1177843900016E13</v>
      </c>
      <c r="AD545" s="9">
        <v>9.11778439E8</v>
      </c>
      <c r="AE545" s="9" t="s">
        <v>12355</v>
      </c>
      <c r="AF545" s="60">
        <v>45964.4158912037</v>
      </c>
      <c r="AG545" s="9" t="s">
        <v>18405</v>
      </c>
      <c r="AH545" s="9" t="s">
        <v>18417</v>
      </c>
      <c r="AJ545" s="9" t="s">
        <v>18418</v>
      </c>
      <c r="AK545" s="9" t="b">
        <v>0</v>
      </c>
      <c r="AL545" s="9" t="b">
        <v>0</v>
      </c>
      <c r="AM545" s="9" t="s">
        <v>18419</v>
      </c>
      <c r="AN545" s="9" t="s">
        <v>10608</v>
      </c>
      <c r="AP545" s="61">
        <v>44554.0</v>
      </c>
      <c r="AQ545" s="9" t="b">
        <v>1</v>
      </c>
      <c r="AR545" s="9" t="s">
        <v>18409</v>
      </c>
    </row>
    <row r="546" ht="15.75" customHeight="1">
      <c r="A546" s="9" t="s">
        <v>12024</v>
      </c>
      <c r="B546" s="9" t="s">
        <v>18420</v>
      </c>
      <c r="C546" s="9" t="s">
        <v>58</v>
      </c>
      <c r="D546" s="9" t="s">
        <v>59</v>
      </c>
      <c r="E546" s="9" t="s">
        <v>346</v>
      </c>
      <c r="F546" s="9">
        <v>6.0</v>
      </c>
      <c r="G546" s="9" t="s">
        <v>455</v>
      </c>
      <c r="J546" s="52" t="s">
        <v>13645</v>
      </c>
      <c r="K546" s="9" t="s">
        <v>18421</v>
      </c>
      <c r="L546" s="9">
        <v>97430.0</v>
      </c>
      <c r="M546" s="9" t="s">
        <v>71</v>
      </c>
      <c r="N546" s="9" t="s">
        <v>9288</v>
      </c>
      <c r="O546" s="9" t="s">
        <v>18422</v>
      </c>
      <c r="P546" s="53" t="s">
        <v>18423</v>
      </c>
      <c r="Q546" s="49" t="s">
        <v>18424</v>
      </c>
      <c r="R546" s="50"/>
      <c r="S546" s="54"/>
      <c r="T546" s="9" t="s">
        <v>18425</v>
      </c>
      <c r="U546" s="9" t="s">
        <v>18426</v>
      </c>
      <c r="W546" s="9" t="s">
        <v>18427</v>
      </c>
      <c r="X546" s="9" t="s">
        <v>18428</v>
      </c>
      <c r="Y546" s="9" t="s">
        <v>18429</v>
      </c>
      <c r="Z546" s="9" t="s">
        <v>592</v>
      </c>
      <c r="AE546" s="9" t="s">
        <v>12355</v>
      </c>
      <c r="AF546" s="60">
        <v>45673.60340277778</v>
      </c>
      <c r="AG546" s="52" t="s">
        <v>18430</v>
      </c>
      <c r="AH546" s="9" t="s">
        <v>18431</v>
      </c>
      <c r="AJ546" s="9" t="s">
        <v>18432</v>
      </c>
      <c r="AK546" s="9" t="b">
        <v>0</v>
      </c>
      <c r="AL546" s="9" t="b">
        <v>1</v>
      </c>
      <c r="AM546" s="9" t="s">
        <v>18433</v>
      </c>
      <c r="AN546" s="9" t="s">
        <v>12024</v>
      </c>
      <c r="AP546" s="61">
        <v>44914.0</v>
      </c>
      <c r="AQ546" s="9" t="b">
        <v>0</v>
      </c>
    </row>
    <row r="547" ht="15.75" customHeight="1">
      <c r="A547" s="9" t="s">
        <v>11684</v>
      </c>
      <c r="B547" s="9" t="s">
        <v>18434</v>
      </c>
      <c r="C547" s="9" t="s">
        <v>117</v>
      </c>
      <c r="D547" s="9" t="s">
        <v>470</v>
      </c>
      <c r="E547" s="9" t="s">
        <v>18435</v>
      </c>
      <c r="G547" s="9" t="s">
        <v>455</v>
      </c>
      <c r="J547" s="9" t="s">
        <v>18436</v>
      </c>
      <c r="K547" s="9" t="s">
        <v>18437</v>
      </c>
      <c r="L547" s="9">
        <v>97418.0</v>
      </c>
      <c r="M547" s="9" t="s">
        <v>71</v>
      </c>
      <c r="N547" s="9" t="s">
        <v>216</v>
      </c>
      <c r="O547" s="9" t="s">
        <v>18438</v>
      </c>
      <c r="P547" s="53" t="s">
        <v>18439</v>
      </c>
      <c r="Q547" s="49" t="s">
        <v>18440</v>
      </c>
      <c r="R547" s="50"/>
      <c r="S547" s="54"/>
      <c r="T547" s="9" t="s">
        <v>18441</v>
      </c>
      <c r="U547" s="9" t="s">
        <v>18442</v>
      </c>
      <c r="W547" s="9" t="s">
        <v>18443</v>
      </c>
      <c r="Z547" s="9" t="s">
        <v>353</v>
      </c>
      <c r="AC547" s="9">
        <v>4.081162750002E13</v>
      </c>
      <c r="AD547" s="9">
        <v>4.08116275E8</v>
      </c>
      <c r="AE547" s="9" t="s">
        <v>401</v>
      </c>
      <c r="AF547" s="55">
        <v>45441.651875</v>
      </c>
      <c r="AG547" s="9" t="s">
        <v>18444</v>
      </c>
      <c r="AH547" s="9" t="s">
        <v>18445</v>
      </c>
      <c r="AJ547" s="9" t="s">
        <v>18446</v>
      </c>
      <c r="AK547" s="9" t="b">
        <v>0</v>
      </c>
      <c r="AL547" s="9" t="b">
        <v>0</v>
      </c>
      <c r="AN547" s="9" t="s">
        <v>11684</v>
      </c>
      <c r="AP547" s="56">
        <v>44902.0</v>
      </c>
      <c r="AQ547" s="9" t="b">
        <v>0</v>
      </c>
      <c r="AR547" s="9" t="s">
        <v>18447</v>
      </c>
    </row>
    <row r="548" ht="15.75" customHeight="1">
      <c r="A548" s="7" t="s">
        <v>4935</v>
      </c>
      <c r="B548" s="6" t="s">
        <v>18448</v>
      </c>
      <c r="C548" s="7" t="s">
        <v>58</v>
      </c>
      <c r="D548" s="7" t="s">
        <v>59</v>
      </c>
      <c r="E548" s="7" t="s">
        <v>346</v>
      </c>
      <c r="F548" s="7">
        <v>2.0</v>
      </c>
      <c r="G548" s="7" t="s">
        <v>407</v>
      </c>
      <c r="H548" s="6" t="s">
        <v>2716</v>
      </c>
      <c r="I548" s="6" t="s">
        <v>597</v>
      </c>
      <c r="J548" s="7">
        <v>119.0</v>
      </c>
      <c r="K548" s="7" t="s">
        <v>18449</v>
      </c>
      <c r="L548" s="7">
        <v>97430.0</v>
      </c>
      <c r="M548" s="7" t="s">
        <v>71</v>
      </c>
      <c r="N548" s="6" t="s">
        <v>14126</v>
      </c>
      <c r="O548" s="6" t="s">
        <v>18450</v>
      </c>
      <c r="P548" s="53" t="s">
        <v>4940</v>
      </c>
      <c r="Q548" s="49" t="s">
        <v>18451</v>
      </c>
      <c r="R548" s="50"/>
      <c r="S548" s="47" t="s">
        <v>18452</v>
      </c>
      <c r="T548" s="7" t="s">
        <v>4942</v>
      </c>
      <c r="U548" s="7" t="s">
        <v>4941</v>
      </c>
      <c r="V548" s="7" t="s">
        <v>4943</v>
      </c>
      <c r="W548" s="6" t="s">
        <v>18453</v>
      </c>
      <c r="X548" s="7" t="s">
        <v>1712</v>
      </c>
      <c r="Y548" s="7" t="s">
        <v>377</v>
      </c>
      <c r="Z548" s="7" t="s">
        <v>353</v>
      </c>
      <c r="AA548" s="7"/>
      <c r="AB548" s="7"/>
      <c r="AC548" s="7"/>
      <c r="AD548" s="7"/>
      <c r="AE548" s="6" t="s">
        <v>401</v>
      </c>
      <c r="AF548" s="45">
        <v>44909.45505787037</v>
      </c>
      <c r="AG548" s="7" t="s">
        <v>18454</v>
      </c>
      <c r="AH548" s="46" t="s">
        <v>18455</v>
      </c>
      <c r="AI548" s="7"/>
      <c r="AJ548" s="6" t="s">
        <v>18456</v>
      </c>
      <c r="AK548" s="7" t="b">
        <v>0</v>
      </c>
      <c r="AL548" s="7" t="b">
        <v>0</v>
      </c>
      <c r="AM548" s="6" t="s">
        <v>4949</v>
      </c>
      <c r="AN548" s="6" t="s">
        <v>4935</v>
      </c>
      <c r="AO548" s="7"/>
      <c r="AP548" s="7"/>
      <c r="AQ548" s="6" t="b">
        <v>1</v>
      </c>
      <c r="AR548" s="6" t="s">
        <v>18457</v>
      </c>
      <c r="AS548" s="6"/>
    </row>
    <row r="549" ht="15.75" customHeight="1">
      <c r="A549" s="7" t="s">
        <v>9141</v>
      </c>
      <c r="B549" s="7" t="s">
        <v>18458</v>
      </c>
      <c r="C549" s="7" t="s">
        <v>58</v>
      </c>
      <c r="D549" s="7" t="s">
        <v>59</v>
      </c>
      <c r="E549" s="7"/>
      <c r="F549" s="7">
        <v>20.0</v>
      </c>
      <c r="G549" s="7"/>
      <c r="H549" s="7"/>
      <c r="I549" s="7"/>
      <c r="J549" s="41" t="s">
        <v>12331</v>
      </c>
      <c r="K549" s="6" t="s">
        <v>18459</v>
      </c>
      <c r="L549" s="7">
        <v>97418.0</v>
      </c>
      <c r="M549" s="7" t="s">
        <v>71</v>
      </c>
      <c r="N549" s="7" t="s">
        <v>216</v>
      </c>
      <c r="O549" s="7" t="s">
        <v>9146</v>
      </c>
      <c r="P549" s="42"/>
      <c r="Q549" s="43" t="s">
        <v>18460</v>
      </c>
      <c r="R549" s="50"/>
      <c r="S549" s="51"/>
      <c r="T549" s="7"/>
      <c r="U549" s="7"/>
      <c r="V549" s="7"/>
      <c r="W549" s="7"/>
      <c r="X549" s="7"/>
      <c r="Y549" s="7"/>
      <c r="Z549" s="7"/>
      <c r="AA549" s="7"/>
      <c r="AB549" s="7"/>
      <c r="AC549" s="7"/>
      <c r="AD549" s="7"/>
      <c r="AE549" s="6" t="s">
        <v>12355</v>
      </c>
      <c r="AF549" s="63">
        <v>44907.73538194445</v>
      </c>
      <c r="AG549" s="7" t="s">
        <v>18461</v>
      </c>
      <c r="AH549" s="46" t="s">
        <v>18462</v>
      </c>
      <c r="AI549" s="7"/>
      <c r="AJ549" s="7"/>
      <c r="AK549" s="7" t="b">
        <v>0</v>
      </c>
      <c r="AL549" s="7" t="b">
        <v>0</v>
      </c>
      <c r="AM549" s="6" t="s">
        <v>4583</v>
      </c>
      <c r="AN549" s="6" t="s">
        <v>9141</v>
      </c>
      <c r="AO549" s="6"/>
      <c r="AP549" s="6"/>
      <c r="AQ549" s="6" t="b">
        <v>0</v>
      </c>
      <c r="AR549" s="6"/>
      <c r="AS549" s="48" t="s">
        <v>12303</v>
      </c>
    </row>
    <row r="550" ht="15.75" customHeight="1">
      <c r="A550" s="7" t="s">
        <v>4568</v>
      </c>
      <c r="B550" s="7" t="s">
        <v>18458</v>
      </c>
      <c r="C550" s="7" t="s">
        <v>34</v>
      </c>
      <c r="D550" s="7" t="s">
        <v>622</v>
      </c>
      <c r="E550" s="7" t="s">
        <v>622</v>
      </c>
      <c r="F550" s="7">
        <v>220.0</v>
      </c>
      <c r="G550" s="7" t="s">
        <v>347</v>
      </c>
      <c r="H550" s="7"/>
      <c r="I550" s="7"/>
      <c r="J550" s="41" t="s">
        <v>12331</v>
      </c>
      <c r="K550" s="6" t="s">
        <v>18463</v>
      </c>
      <c r="L550" s="7">
        <v>97418.0</v>
      </c>
      <c r="M550" s="7" t="s">
        <v>71</v>
      </c>
      <c r="N550" s="7" t="s">
        <v>216</v>
      </c>
      <c r="O550" s="7" t="s">
        <v>4582</v>
      </c>
      <c r="P550" s="53"/>
      <c r="Q550" s="49" t="s">
        <v>18460</v>
      </c>
      <c r="R550" s="50"/>
      <c r="S550" s="57" t="s">
        <v>18464</v>
      </c>
      <c r="T550" s="7" t="s">
        <v>4577</v>
      </c>
      <c r="U550" s="7" t="s">
        <v>4576</v>
      </c>
      <c r="V550" s="7" t="s">
        <v>4578</v>
      </c>
      <c r="W550" s="6" t="s">
        <v>18465</v>
      </c>
      <c r="X550" s="7" t="s">
        <v>4562</v>
      </c>
      <c r="Y550" s="7" t="s">
        <v>4574</v>
      </c>
      <c r="Z550" s="7" t="s">
        <v>592</v>
      </c>
      <c r="AA550" s="7"/>
      <c r="AB550" s="7"/>
      <c r="AC550" s="7"/>
      <c r="AD550" s="7"/>
      <c r="AE550" s="6" t="s">
        <v>12355</v>
      </c>
      <c r="AF550" s="45">
        <v>44907.73364583333</v>
      </c>
      <c r="AG550" s="7" t="s">
        <v>18461</v>
      </c>
      <c r="AH550" s="46" t="s">
        <v>18466</v>
      </c>
      <c r="AI550" s="7"/>
      <c r="AJ550" s="6" t="s">
        <v>18467</v>
      </c>
      <c r="AK550" s="7" t="b">
        <v>0</v>
      </c>
      <c r="AL550" s="7" t="b">
        <v>0</v>
      </c>
      <c r="AM550" s="7"/>
      <c r="AN550" s="6" t="s">
        <v>4568</v>
      </c>
      <c r="AO550" s="7"/>
      <c r="AP550" s="7"/>
      <c r="AQ550" s="6" t="b">
        <v>1</v>
      </c>
      <c r="AR550" s="6"/>
      <c r="AS550" s="48" t="s">
        <v>12303</v>
      </c>
    </row>
    <row r="551" ht="15.75" customHeight="1">
      <c r="A551" s="7" t="s">
        <v>8522</v>
      </c>
      <c r="B551" s="7" t="s">
        <v>8523</v>
      </c>
      <c r="C551" s="6" t="s">
        <v>117</v>
      </c>
      <c r="D551" s="6" t="s">
        <v>15300</v>
      </c>
      <c r="E551" s="7"/>
      <c r="F551" s="7"/>
      <c r="G551" s="7"/>
      <c r="H551" s="7"/>
      <c r="I551" s="7"/>
      <c r="J551" s="7">
        <v>13.0</v>
      </c>
      <c r="K551" s="7" t="s">
        <v>16778</v>
      </c>
      <c r="L551" s="7">
        <v>97414.0</v>
      </c>
      <c r="M551" s="7" t="s">
        <v>40</v>
      </c>
      <c r="N551" s="7"/>
      <c r="O551" s="7" t="s">
        <v>8531</v>
      </c>
      <c r="P551" s="42" t="s">
        <v>8527</v>
      </c>
      <c r="Q551" s="49" t="s">
        <v>18468</v>
      </c>
      <c r="R551" s="50"/>
      <c r="S551" s="47" t="s">
        <v>8525</v>
      </c>
      <c r="T551" s="6" t="s">
        <v>18469</v>
      </c>
      <c r="U551" s="6" t="s">
        <v>18470</v>
      </c>
      <c r="V551" s="7"/>
      <c r="W551" s="6" t="s">
        <v>18471</v>
      </c>
      <c r="X551" s="7"/>
      <c r="Y551" s="7"/>
      <c r="Z551" s="6" t="s">
        <v>353</v>
      </c>
      <c r="AA551" s="7"/>
      <c r="AB551" s="7"/>
      <c r="AC551" s="7"/>
      <c r="AD551" s="7"/>
      <c r="AE551" s="6" t="s">
        <v>401</v>
      </c>
      <c r="AF551" s="45">
        <v>44907.59512731482</v>
      </c>
      <c r="AG551" s="7" t="s">
        <v>18472</v>
      </c>
      <c r="AH551" s="46" t="s">
        <v>18473</v>
      </c>
      <c r="AI551" s="7"/>
      <c r="AJ551" s="6" t="s">
        <v>18474</v>
      </c>
      <c r="AK551" s="7" t="b">
        <v>0</v>
      </c>
      <c r="AL551" s="7" t="b">
        <v>0</v>
      </c>
      <c r="AM551" s="7"/>
      <c r="AN551" s="6" t="s">
        <v>8522</v>
      </c>
      <c r="AO551" s="7"/>
      <c r="AP551" s="7"/>
      <c r="AQ551" s="6" t="b">
        <v>0</v>
      </c>
      <c r="AR551" s="6" t="s">
        <v>18475</v>
      </c>
      <c r="AS551" s="48" t="s">
        <v>12303</v>
      </c>
    </row>
    <row r="552" ht="15.75" customHeight="1">
      <c r="A552" s="7" t="s">
        <v>6343</v>
      </c>
      <c r="B552" s="7" t="s">
        <v>6344</v>
      </c>
      <c r="C552" s="7" t="s">
        <v>822</v>
      </c>
      <c r="D552" s="6" t="s">
        <v>18476</v>
      </c>
      <c r="E552" s="6" t="s">
        <v>18477</v>
      </c>
      <c r="F552" s="7"/>
      <c r="G552" s="7" t="s">
        <v>455</v>
      </c>
      <c r="H552" s="7"/>
      <c r="I552" s="7"/>
      <c r="J552" s="7">
        <v>57.0</v>
      </c>
      <c r="K552" s="7" t="s">
        <v>17457</v>
      </c>
      <c r="L552" s="7">
        <v>97480.0</v>
      </c>
      <c r="M552" s="7" t="s">
        <v>123</v>
      </c>
      <c r="N552" s="7"/>
      <c r="O552" s="7" t="s">
        <v>6354</v>
      </c>
      <c r="P552" s="42" t="s">
        <v>6348</v>
      </c>
      <c r="Q552" s="43" t="s">
        <v>18478</v>
      </c>
      <c r="R552" s="43" t="s">
        <v>18479</v>
      </c>
      <c r="S552" s="51"/>
      <c r="T552" s="7" t="s">
        <v>6349</v>
      </c>
      <c r="U552" s="7"/>
      <c r="V552" s="7"/>
      <c r="W552" s="7"/>
      <c r="X552" s="7"/>
      <c r="Y552" s="7" t="s">
        <v>377</v>
      </c>
      <c r="Z552" s="7" t="s">
        <v>378</v>
      </c>
      <c r="AA552" s="7"/>
      <c r="AB552" s="7"/>
      <c r="AC552" s="7">
        <v>4.842533150001E13</v>
      </c>
      <c r="AD552" s="7">
        <v>4.84253315E8</v>
      </c>
      <c r="AE552" s="6" t="s">
        <v>12355</v>
      </c>
      <c r="AF552" s="63">
        <v>44907.591157407405</v>
      </c>
      <c r="AG552" s="7" t="s">
        <v>18480</v>
      </c>
      <c r="AH552" s="46" t="s">
        <v>18481</v>
      </c>
      <c r="AI552" s="7"/>
      <c r="AJ552" s="7"/>
      <c r="AK552" s="7" t="b">
        <v>0</v>
      </c>
      <c r="AL552" s="7" t="b">
        <v>0</v>
      </c>
      <c r="AM552" s="7"/>
      <c r="AN552" s="6" t="s">
        <v>6343</v>
      </c>
      <c r="AO552" s="6">
        <v>2080.0</v>
      </c>
      <c r="AP552" s="6"/>
      <c r="AQ552" s="6" t="b">
        <v>1</v>
      </c>
      <c r="AR552" s="6"/>
      <c r="AS552" s="6" t="s">
        <v>12303</v>
      </c>
    </row>
    <row r="553" ht="15.75" customHeight="1">
      <c r="A553" s="9" t="s">
        <v>11637</v>
      </c>
      <c r="B553" s="9" t="s">
        <v>18482</v>
      </c>
      <c r="C553" s="9" t="s">
        <v>117</v>
      </c>
      <c r="D553" s="9" t="s">
        <v>470</v>
      </c>
      <c r="E553" s="9" t="s">
        <v>14968</v>
      </c>
      <c r="G553" s="9" t="s">
        <v>422</v>
      </c>
      <c r="J553" s="52" t="s">
        <v>16044</v>
      </c>
      <c r="K553" s="9" t="s">
        <v>18483</v>
      </c>
      <c r="L553" s="9">
        <v>97414.0</v>
      </c>
      <c r="M553" s="9" t="s">
        <v>40</v>
      </c>
      <c r="O553" s="9" t="s">
        <v>18484</v>
      </c>
      <c r="P553" s="53" t="s">
        <v>18485</v>
      </c>
      <c r="Q553" s="49" t="s">
        <v>18486</v>
      </c>
      <c r="R553" s="50"/>
      <c r="S553" s="54"/>
      <c r="T553" s="9" t="s">
        <v>18487</v>
      </c>
      <c r="U553" s="9" t="s">
        <v>18488</v>
      </c>
      <c r="W553" s="9" t="s">
        <v>18489</v>
      </c>
      <c r="Z553" s="9" t="s">
        <v>378</v>
      </c>
      <c r="AE553" s="9" t="s">
        <v>401</v>
      </c>
      <c r="AF553" s="55">
        <v>44907.452152777776</v>
      </c>
      <c r="AG553" s="9" t="s">
        <v>18490</v>
      </c>
      <c r="AH553" s="9" t="s">
        <v>18491</v>
      </c>
      <c r="AK553" s="9" t="b">
        <v>0</v>
      </c>
      <c r="AL553" s="9" t="b">
        <v>0</v>
      </c>
      <c r="AN553" s="9" t="s">
        <v>11637</v>
      </c>
      <c r="AP553" s="56">
        <v>44627.0</v>
      </c>
      <c r="AQ553" s="9" t="b">
        <v>0</v>
      </c>
      <c r="AS553" s="48" t="s">
        <v>12303</v>
      </c>
    </row>
    <row r="554" ht="15.75" customHeight="1">
      <c r="A554" s="7" t="s">
        <v>4785</v>
      </c>
      <c r="B554" s="7" t="s">
        <v>4786</v>
      </c>
      <c r="C554" s="7" t="s">
        <v>822</v>
      </c>
      <c r="D554" s="7" t="s">
        <v>4789</v>
      </c>
      <c r="E554" s="7" t="s">
        <v>4790</v>
      </c>
      <c r="F554" s="7">
        <v>20.0</v>
      </c>
      <c r="G554" s="7" t="s">
        <v>407</v>
      </c>
      <c r="H554" s="7"/>
      <c r="I554" s="7"/>
      <c r="J554" s="41" t="s">
        <v>13331</v>
      </c>
      <c r="K554" s="6" t="s">
        <v>18492</v>
      </c>
      <c r="L554" s="7">
        <v>97480.0</v>
      </c>
      <c r="M554" s="7" t="s">
        <v>123</v>
      </c>
      <c r="N554" s="7"/>
      <c r="O554" s="6" t="s">
        <v>18493</v>
      </c>
      <c r="P554" s="42" t="s">
        <v>4791</v>
      </c>
      <c r="Q554" s="43" t="s">
        <v>18494</v>
      </c>
      <c r="R554" s="50"/>
      <c r="S554" s="47" t="s">
        <v>4788</v>
      </c>
      <c r="T554" s="7" t="s">
        <v>4793</v>
      </c>
      <c r="U554" s="7" t="s">
        <v>4792</v>
      </c>
      <c r="V554" s="7" t="s">
        <v>4794</v>
      </c>
      <c r="W554" s="7"/>
      <c r="X554" s="7" t="s">
        <v>1296</v>
      </c>
      <c r="Y554" s="7" t="s">
        <v>377</v>
      </c>
      <c r="Z554" s="7" t="s">
        <v>592</v>
      </c>
      <c r="AA554" s="7"/>
      <c r="AB554" s="7"/>
      <c r="AC554" s="7">
        <v>7.5044380600013E13</v>
      </c>
      <c r="AD554" s="7">
        <v>7.50443806E8</v>
      </c>
      <c r="AE554" s="6" t="s">
        <v>401</v>
      </c>
      <c r="AF554" s="63">
        <v>44907.41447916667</v>
      </c>
      <c r="AG554" s="7" t="s">
        <v>18495</v>
      </c>
      <c r="AH554" s="46" t="s">
        <v>18496</v>
      </c>
      <c r="AI554" s="7"/>
      <c r="AJ554" s="6" t="s">
        <v>18497</v>
      </c>
      <c r="AK554" s="7" t="b">
        <v>0</v>
      </c>
      <c r="AL554" s="7" t="b">
        <v>0</v>
      </c>
      <c r="AM554" s="7"/>
      <c r="AN554" s="6" t="s">
        <v>4785</v>
      </c>
      <c r="AO554" s="6">
        <v>3566.0</v>
      </c>
      <c r="AP554" s="6"/>
      <c r="AQ554" s="6" t="b">
        <v>1</v>
      </c>
      <c r="AR554" s="6" t="s">
        <v>18498</v>
      </c>
      <c r="AS554" s="6"/>
    </row>
    <row r="555" ht="15.75" customHeight="1">
      <c r="A555" s="9" t="s">
        <v>11623</v>
      </c>
      <c r="B555" s="9" t="s">
        <v>18499</v>
      </c>
      <c r="C555" s="9" t="s">
        <v>117</v>
      </c>
      <c r="D555" s="9" t="s">
        <v>197</v>
      </c>
      <c r="E555" s="9" t="s">
        <v>559</v>
      </c>
      <c r="G555" s="9" t="s">
        <v>455</v>
      </c>
      <c r="J555" s="52" t="s">
        <v>17956</v>
      </c>
      <c r="K555" s="9" t="s">
        <v>18500</v>
      </c>
      <c r="L555" s="9">
        <v>97430.0</v>
      </c>
      <c r="M555" s="9" t="s">
        <v>71</v>
      </c>
      <c r="N555" s="9" t="s">
        <v>9050</v>
      </c>
      <c r="O555" s="9" t="s">
        <v>18501</v>
      </c>
      <c r="P555" s="53" t="s">
        <v>18502</v>
      </c>
      <c r="Q555" s="49" t="s">
        <v>18503</v>
      </c>
      <c r="R555" s="50"/>
      <c r="S555" s="58" t="s">
        <v>18504</v>
      </c>
      <c r="T555" s="9" t="s">
        <v>18505</v>
      </c>
      <c r="U555" s="9" t="s">
        <v>18506</v>
      </c>
      <c r="V555" s="9" t="s">
        <v>18507</v>
      </c>
      <c r="Z555" s="9" t="s">
        <v>18508</v>
      </c>
      <c r="AC555" s="9">
        <v>8.2283246500014E13</v>
      </c>
      <c r="AD555" s="9">
        <v>8.22832465E8</v>
      </c>
      <c r="AE555" s="9" t="s">
        <v>401</v>
      </c>
      <c r="AF555" s="55">
        <v>45400.643645833334</v>
      </c>
      <c r="AG555" s="9" t="s">
        <v>18509</v>
      </c>
      <c r="AH555" s="9" t="s">
        <v>18510</v>
      </c>
      <c r="AJ555" s="9" t="s">
        <v>18511</v>
      </c>
      <c r="AK555" s="9" t="b">
        <v>0</v>
      </c>
      <c r="AL555" s="9" t="b">
        <v>0</v>
      </c>
      <c r="AN555" s="9" t="s">
        <v>11623</v>
      </c>
      <c r="AP555" s="56">
        <v>44776.0</v>
      </c>
      <c r="AQ555" s="9" t="b">
        <v>0</v>
      </c>
      <c r="AR555" s="9" t="s">
        <v>18512</v>
      </c>
    </row>
    <row r="556" ht="15.75" customHeight="1">
      <c r="A556" s="7" t="s">
        <v>4852</v>
      </c>
      <c r="B556" s="7" t="s">
        <v>18513</v>
      </c>
      <c r="C556" s="7" t="s">
        <v>58</v>
      </c>
      <c r="D556" s="7" t="s">
        <v>59</v>
      </c>
      <c r="E556" s="7" t="s">
        <v>346</v>
      </c>
      <c r="F556" s="7">
        <v>10.0</v>
      </c>
      <c r="G556" s="7"/>
      <c r="H556" s="7"/>
      <c r="I556" s="7"/>
      <c r="J556" s="7">
        <v>21.0</v>
      </c>
      <c r="K556" s="7" t="s">
        <v>18514</v>
      </c>
      <c r="L556" s="7">
        <v>97430.0</v>
      </c>
      <c r="M556" s="7" t="s">
        <v>71</v>
      </c>
      <c r="N556" s="7"/>
      <c r="O556" s="6" t="s">
        <v>18515</v>
      </c>
      <c r="P556" s="42" t="s">
        <v>4855</v>
      </c>
      <c r="Q556" s="43" t="s">
        <v>18516</v>
      </c>
      <c r="R556" s="43" t="s">
        <v>18517</v>
      </c>
      <c r="S556" s="51"/>
      <c r="T556" s="7" t="s">
        <v>4857</v>
      </c>
      <c r="U556" s="7" t="s">
        <v>4856</v>
      </c>
      <c r="V556" s="7"/>
      <c r="W556" s="7"/>
      <c r="X556" s="7"/>
      <c r="Y556" s="7"/>
      <c r="Z556" s="7"/>
      <c r="AA556" s="7"/>
      <c r="AB556" s="7"/>
      <c r="AC556" s="6">
        <v>3.9100103900026E13</v>
      </c>
      <c r="AD556" s="6">
        <v>3.91001039E8</v>
      </c>
      <c r="AE556" s="6" t="s">
        <v>401</v>
      </c>
      <c r="AF556" s="45">
        <v>44903.477476851855</v>
      </c>
      <c r="AG556" s="6" t="s">
        <v>18518</v>
      </c>
      <c r="AH556" s="46" t="s">
        <v>18519</v>
      </c>
      <c r="AI556" s="7"/>
      <c r="AJ556" s="7"/>
      <c r="AK556" s="7" t="b">
        <v>0</v>
      </c>
      <c r="AL556" s="7" t="b">
        <v>0</v>
      </c>
      <c r="AM556" s="6" t="s">
        <v>4862</v>
      </c>
      <c r="AN556" s="6" t="s">
        <v>4852</v>
      </c>
      <c r="AO556" s="6">
        <v>3898.0</v>
      </c>
      <c r="AP556" s="6"/>
      <c r="AQ556" s="6" t="b">
        <v>0</v>
      </c>
      <c r="AR556" s="6"/>
      <c r="AS556" s="6"/>
    </row>
    <row r="557" ht="15.75" customHeight="1">
      <c r="A557" s="9" t="s">
        <v>12020</v>
      </c>
      <c r="B557" s="9" t="s">
        <v>18520</v>
      </c>
      <c r="C557" s="9" t="s">
        <v>58</v>
      </c>
      <c r="D557" s="9" t="s">
        <v>59</v>
      </c>
      <c r="E557" s="9" t="s">
        <v>374</v>
      </c>
      <c r="F557" s="9">
        <v>4.0</v>
      </c>
      <c r="J557" s="9" t="s">
        <v>18521</v>
      </c>
      <c r="K557" s="9" t="s">
        <v>14739</v>
      </c>
      <c r="L557" s="9">
        <v>97430.0</v>
      </c>
      <c r="M557" s="9" t="s">
        <v>71</v>
      </c>
      <c r="O557" s="9" t="s">
        <v>18522</v>
      </c>
      <c r="P557" s="53" t="s">
        <v>14741</v>
      </c>
      <c r="Q557" s="49" t="s">
        <v>14742</v>
      </c>
      <c r="R557" s="50"/>
      <c r="S557" s="54"/>
      <c r="T557" s="9" t="s">
        <v>14743</v>
      </c>
      <c r="U557" s="9" t="s">
        <v>14744</v>
      </c>
      <c r="W557" s="9" t="s">
        <v>18523</v>
      </c>
      <c r="X557" s="9" t="s">
        <v>18524</v>
      </c>
      <c r="Y557" s="9" t="s">
        <v>14359</v>
      </c>
      <c r="Z557" s="9" t="s">
        <v>378</v>
      </c>
      <c r="AC557" s="9">
        <v>9.1390411600013E13</v>
      </c>
      <c r="AD557" s="9">
        <v>9.13904116E8</v>
      </c>
      <c r="AE557" s="9" t="s">
        <v>401</v>
      </c>
      <c r="AF557" s="55">
        <v>44900.37184027778</v>
      </c>
      <c r="AG557" s="9" t="s">
        <v>14747</v>
      </c>
      <c r="AH557" s="9" t="s">
        <v>18525</v>
      </c>
      <c r="AK557" s="9" t="b">
        <v>0</v>
      </c>
      <c r="AL557" s="9" t="b">
        <v>0</v>
      </c>
      <c r="AM557" s="9" t="s">
        <v>18526</v>
      </c>
      <c r="AN557" s="9" t="s">
        <v>12020</v>
      </c>
      <c r="AP557" s="56">
        <v>44897.0</v>
      </c>
      <c r="AQ557" s="9" t="b">
        <v>0</v>
      </c>
      <c r="AR557" s="9" t="s">
        <v>18527</v>
      </c>
    </row>
    <row r="558" ht="15.75" customHeight="1">
      <c r="A558" s="9" t="s">
        <v>12170</v>
      </c>
      <c r="B558" s="9" t="s">
        <v>18528</v>
      </c>
      <c r="C558" s="9" t="s">
        <v>58</v>
      </c>
      <c r="D558" s="9" t="s">
        <v>59</v>
      </c>
      <c r="E558" s="9" t="s">
        <v>374</v>
      </c>
      <c r="F558" s="9">
        <v>4.0</v>
      </c>
      <c r="J558" s="9" t="s">
        <v>18529</v>
      </c>
      <c r="K558" s="9" t="s">
        <v>18530</v>
      </c>
      <c r="L558" s="9">
        <v>97430.0</v>
      </c>
      <c r="M558" s="9" t="s">
        <v>71</v>
      </c>
      <c r="O558" s="9" t="s">
        <v>18531</v>
      </c>
      <c r="P558" s="53" t="s">
        <v>14741</v>
      </c>
      <c r="Q558" s="49" t="s">
        <v>14742</v>
      </c>
      <c r="R558" s="50"/>
      <c r="S558" s="54"/>
      <c r="T558" s="9" t="s">
        <v>14743</v>
      </c>
      <c r="U558" s="9" t="s">
        <v>14744</v>
      </c>
      <c r="W558" s="9" t="s">
        <v>18532</v>
      </c>
      <c r="X558" s="9" t="s">
        <v>18524</v>
      </c>
      <c r="Y558" s="9" t="s">
        <v>14359</v>
      </c>
      <c r="Z558" s="9" t="s">
        <v>378</v>
      </c>
      <c r="AC558" s="9">
        <v>9.1390411600013E13</v>
      </c>
      <c r="AD558" s="9">
        <v>9.13904116E8</v>
      </c>
      <c r="AE558" s="9" t="s">
        <v>401</v>
      </c>
      <c r="AF558" s="55">
        <v>44900.369421296295</v>
      </c>
      <c r="AG558" s="9" t="s">
        <v>14747</v>
      </c>
      <c r="AH558" s="9" t="s">
        <v>18533</v>
      </c>
      <c r="AK558" s="9" t="b">
        <v>0</v>
      </c>
      <c r="AL558" s="9" t="b">
        <v>0</v>
      </c>
      <c r="AM558" s="9" t="s">
        <v>18534</v>
      </c>
      <c r="AN558" s="9" t="s">
        <v>12170</v>
      </c>
      <c r="AP558" s="56">
        <v>44897.0</v>
      </c>
      <c r="AQ558" s="9" t="b">
        <v>0</v>
      </c>
      <c r="AR558" s="9" t="s">
        <v>18527</v>
      </c>
    </row>
    <row r="559" ht="15.75" customHeight="1">
      <c r="A559" s="7" t="s">
        <v>7511</v>
      </c>
      <c r="B559" s="7" t="s">
        <v>7512</v>
      </c>
      <c r="C559" s="7" t="s">
        <v>58</v>
      </c>
      <c r="D559" s="7" t="s">
        <v>59</v>
      </c>
      <c r="E559" s="7" t="s">
        <v>346</v>
      </c>
      <c r="F559" s="7">
        <v>5.0</v>
      </c>
      <c r="G559" s="7" t="s">
        <v>407</v>
      </c>
      <c r="H559" s="7" t="s">
        <v>395</v>
      </c>
      <c r="I559" s="7"/>
      <c r="J559" s="7">
        <v>106.0</v>
      </c>
      <c r="K559" s="7" t="s">
        <v>13725</v>
      </c>
      <c r="L559" s="7">
        <v>97480.0</v>
      </c>
      <c r="M559" s="7" t="s">
        <v>123</v>
      </c>
      <c r="N559" s="7" t="s">
        <v>3556</v>
      </c>
      <c r="O559" s="6" t="s">
        <v>18535</v>
      </c>
      <c r="P559" s="42" t="s">
        <v>7516</v>
      </c>
      <c r="Q559" s="43" t="s">
        <v>18536</v>
      </c>
      <c r="R559" s="50"/>
      <c r="S559" s="51"/>
      <c r="T559" s="7" t="s">
        <v>7518</v>
      </c>
      <c r="U559" s="7" t="s">
        <v>7517</v>
      </c>
      <c r="V559" s="7" t="s">
        <v>7519</v>
      </c>
      <c r="W559" s="6" t="s">
        <v>18537</v>
      </c>
      <c r="X559" s="7" t="s">
        <v>7515</v>
      </c>
      <c r="Y559" s="7" t="s">
        <v>1863</v>
      </c>
      <c r="Z559" s="7" t="s">
        <v>424</v>
      </c>
      <c r="AA559" s="7"/>
      <c r="AB559" s="7"/>
      <c r="AC559" s="7">
        <v>8.390090240001E13</v>
      </c>
      <c r="AD559" s="7">
        <v>8.39009024E8</v>
      </c>
      <c r="AE559" s="6" t="s">
        <v>401</v>
      </c>
      <c r="AF559" s="63">
        <v>44896.640497685185</v>
      </c>
      <c r="AG559" s="7" t="s">
        <v>18538</v>
      </c>
      <c r="AH559" s="46" t="s">
        <v>18539</v>
      </c>
      <c r="AI559" s="7"/>
      <c r="AJ559" s="6" t="s">
        <v>18540</v>
      </c>
      <c r="AK559" s="7" t="b">
        <v>0</v>
      </c>
      <c r="AL559" s="7" t="b">
        <v>0</v>
      </c>
      <c r="AM559" s="6" t="s">
        <v>7524</v>
      </c>
      <c r="AN559" s="6" t="s">
        <v>7511</v>
      </c>
      <c r="AO559" s="6">
        <v>4539.0</v>
      </c>
      <c r="AP559" s="6"/>
      <c r="AQ559" s="6" t="b">
        <v>1</v>
      </c>
      <c r="AR559" s="6" t="s">
        <v>18541</v>
      </c>
      <c r="AS559" s="6" t="s">
        <v>12303</v>
      </c>
    </row>
    <row r="560" ht="15.75" customHeight="1">
      <c r="A560" s="7" t="s">
        <v>9557</v>
      </c>
      <c r="B560" s="7" t="s">
        <v>9558</v>
      </c>
      <c r="C560" s="7" t="s">
        <v>58</v>
      </c>
      <c r="D560" s="7" t="s">
        <v>59</v>
      </c>
      <c r="E560" s="7"/>
      <c r="F560" s="7">
        <v>8.0</v>
      </c>
      <c r="G560" s="7"/>
      <c r="H560" s="7"/>
      <c r="I560" s="7"/>
      <c r="J560" s="7">
        <v>22.0</v>
      </c>
      <c r="K560" s="7" t="s">
        <v>18542</v>
      </c>
      <c r="L560" s="7">
        <v>97430.0</v>
      </c>
      <c r="M560" s="7" t="s">
        <v>71</v>
      </c>
      <c r="N560" s="7" t="s">
        <v>3501</v>
      </c>
      <c r="O560" s="7" t="s">
        <v>9561</v>
      </c>
      <c r="P560" s="42" t="s">
        <v>9423</v>
      </c>
      <c r="Q560" s="43" t="s">
        <v>15885</v>
      </c>
      <c r="R560" s="50"/>
      <c r="S560" s="51"/>
      <c r="T560" s="7"/>
      <c r="U560" s="7"/>
      <c r="V560" s="7"/>
      <c r="W560" s="7"/>
      <c r="X560" s="7"/>
      <c r="Y560" s="7"/>
      <c r="Z560" s="7"/>
      <c r="AA560" s="7"/>
      <c r="AB560" s="7"/>
      <c r="AC560" s="7"/>
      <c r="AD560" s="7"/>
      <c r="AE560" s="6" t="s">
        <v>12355</v>
      </c>
      <c r="AF560" s="63">
        <v>44894.46600694444</v>
      </c>
      <c r="AG560" s="7" t="s">
        <v>15886</v>
      </c>
      <c r="AH560" s="46" t="s">
        <v>18543</v>
      </c>
      <c r="AI560" s="7"/>
      <c r="AJ560" s="7"/>
      <c r="AK560" s="7" t="b">
        <v>0</v>
      </c>
      <c r="AL560" s="7" t="b">
        <v>0</v>
      </c>
      <c r="AM560" s="6" t="s">
        <v>9562</v>
      </c>
      <c r="AN560" s="6" t="s">
        <v>9557</v>
      </c>
      <c r="AO560" s="7"/>
      <c r="AP560" s="7"/>
      <c r="AQ560" s="6" t="b">
        <v>0</v>
      </c>
      <c r="AR560" s="6"/>
      <c r="AS560" s="6"/>
    </row>
    <row r="561" ht="15.75" customHeight="1">
      <c r="A561" s="9" t="s">
        <v>10613</v>
      </c>
      <c r="B561" s="9" t="s">
        <v>18544</v>
      </c>
      <c r="C561" s="9" t="s">
        <v>58</v>
      </c>
      <c r="D561" s="9" t="s">
        <v>59</v>
      </c>
      <c r="E561" s="9" t="s">
        <v>346</v>
      </c>
      <c r="F561" s="9">
        <v>10.0</v>
      </c>
      <c r="G561" s="9" t="s">
        <v>455</v>
      </c>
      <c r="J561" s="52" t="s">
        <v>18545</v>
      </c>
      <c r="K561" s="9" t="s">
        <v>16821</v>
      </c>
      <c r="L561" s="9">
        <v>97480.0</v>
      </c>
      <c r="M561" s="9" t="s">
        <v>123</v>
      </c>
      <c r="O561" s="9" t="s">
        <v>18546</v>
      </c>
      <c r="P561" s="53" t="s">
        <v>18547</v>
      </c>
      <c r="Q561" s="49" t="s">
        <v>18548</v>
      </c>
      <c r="R561" s="50"/>
      <c r="S561" s="54" t="s">
        <v>12350</v>
      </c>
      <c r="T561" s="9" t="s">
        <v>18549</v>
      </c>
      <c r="U561" s="9" t="s">
        <v>18550</v>
      </c>
      <c r="W561" s="9" t="s">
        <v>18551</v>
      </c>
      <c r="X561" s="9" t="s">
        <v>18552</v>
      </c>
      <c r="Z561" s="9" t="s">
        <v>378</v>
      </c>
      <c r="AE561" s="9" t="s">
        <v>401</v>
      </c>
      <c r="AF561" s="55">
        <v>44893.61309027778</v>
      </c>
      <c r="AG561" s="9" t="s">
        <v>18553</v>
      </c>
      <c r="AH561" s="9" t="s">
        <v>18554</v>
      </c>
      <c r="AJ561" s="9" t="s">
        <v>18555</v>
      </c>
      <c r="AM561" s="9" t="s">
        <v>18556</v>
      </c>
      <c r="AN561" s="9" t="s">
        <v>10613</v>
      </c>
      <c r="AP561" s="56">
        <v>44414.0</v>
      </c>
      <c r="AQ561" s="6" t="b">
        <v>0</v>
      </c>
      <c r="AR561" s="6"/>
      <c r="AS561" s="6"/>
    </row>
    <row r="562" ht="15.75" customHeight="1">
      <c r="A562" s="9" t="s">
        <v>10616</v>
      </c>
      <c r="B562" s="9" t="s">
        <v>18557</v>
      </c>
      <c r="C562" s="9" t="s">
        <v>34</v>
      </c>
      <c r="D562" s="9" t="s">
        <v>622</v>
      </c>
      <c r="E562" s="9" t="s">
        <v>622</v>
      </c>
      <c r="F562" s="9">
        <v>45.0</v>
      </c>
      <c r="G562" s="9" t="s">
        <v>18558</v>
      </c>
      <c r="J562" s="9" t="s">
        <v>18559</v>
      </c>
      <c r="K562" s="9" t="s">
        <v>18560</v>
      </c>
      <c r="L562" s="9">
        <v>97418.0</v>
      </c>
      <c r="M562" s="9" t="s">
        <v>71</v>
      </c>
      <c r="N562" s="9" t="s">
        <v>9525</v>
      </c>
      <c r="O562" s="9" t="s">
        <v>18561</v>
      </c>
      <c r="P562" s="53" t="s">
        <v>18562</v>
      </c>
      <c r="Q562" s="49" t="s">
        <v>18563</v>
      </c>
      <c r="R562" s="50"/>
      <c r="S562" s="58" t="s">
        <v>18564</v>
      </c>
      <c r="T562" s="9" t="s">
        <v>18565</v>
      </c>
      <c r="U562" s="9" t="s">
        <v>18566</v>
      </c>
      <c r="V562" s="9" t="s">
        <v>18567</v>
      </c>
      <c r="W562" s="9" t="s">
        <v>18568</v>
      </c>
      <c r="X562" s="9" t="s">
        <v>18569</v>
      </c>
      <c r="Y562" s="9" t="s">
        <v>2938</v>
      </c>
      <c r="Z562" s="9" t="s">
        <v>9443</v>
      </c>
      <c r="AC562" s="9">
        <v>9.0892351900015E13</v>
      </c>
      <c r="AD562" s="9">
        <v>9.08923519E8</v>
      </c>
      <c r="AE562" s="9" t="s">
        <v>12355</v>
      </c>
      <c r="AF562" s="60">
        <v>45910.6240625</v>
      </c>
      <c r="AG562" s="9" t="s">
        <v>18570</v>
      </c>
      <c r="AH562" s="9" t="s">
        <v>18571</v>
      </c>
      <c r="AJ562" s="9" t="s">
        <v>18572</v>
      </c>
      <c r="AK562" s="9" t="b">
        <v>0</v>
      </c>
      <c r="AL562" s="9" t="b">
        <v>0</v>
      </c>
      <c r="AN562" s="9" t="s">
        <v>10616</v>
      </c>
      <c r="AP562" s="61">
        <v>44886.0</v>
      </c>
      <c r="AQ562" s="9" t="b">
        <v>0</v>
      </c>
      <c r="AR562" s="9" t="s">
        <v>18573</v>
      </c>
    </row>
    <row r="563" ht="15.75" customHeight="1">
      <c r="A563" s="9" t="s">
        <v>10622</v>
      </c>
      <c r="B563" s="9" t="s">
        <v>18574</v>
      </c>
      <c r="C563" s="9" t="s">
        <v>58</v>
      </c>
      <c r="D563" s="9" t="s">
        <v>453</v>
      </c>
      <c r="E563" s="9" t="s">
        <v>454</v>
      </c>
      <c r="F563" s="9">
        <v>15.0</v>
      </c>
      <c r="J563" s="9" t="s">
        <v>18559</v>
      </c>
      <c r="K563" s="9" t="s">
        <v>18575</v>
      </c>
      <c r="L563" s="9">
        <v>97418.0</v>
      </c>
      <c r="M563" s="9" t="s">
        <v>71</v>
      </c>
      <c r="N563" s="9" t="s">
        <v>14582</v>
      </c>
      <c r="O563" s="9" t="s">
        <v>18576</v>
      </c>
      <c r="P563" s="53" t="s">
        <v>18577</v>
      </c>
      <c r="Q563" s="49" t="s">
        <v>18578</v>
      </c>
      <c r="R563" s="50"/>
      <c r="S563" s="58" t="s">
        <v>18564</v>
      </c>
      <c r="T563" s="9" t="s">
        <v>18579</v>
      </c>
      <c r="U563" s="9" t="s">
        <v>18580</v>
      </c>
      <c r="V563" s="9" t="s">
        <v>18567</v>
      </c>
      <c r="W563" s="9" t="s">
        <v>18581</v>
      </c>
      <c r="X563" s="9" t="s">
        <v>18582</v>
      </c>
      <c r="Y563" s="9" t="s">
        <v>18583</v>
      </c>
      <c r="Z563" s="9" t="s">
        <v>9443</v>
      </c>
      <c r="AC563" s="9">
        <v>9.0892351900015E13</v>
      </c>
      <c r="AD563" s="9">
        <v>9.08923519E8</v>
      </c>
      <c r="AE563" s="9" t="s">
        <v>12355</v>
      </c>
      <c r="AF563" s="55">
        <v>45910.584814814814</v>
      </c>
      <c r="AG563" s="9" t="s">
        <v>18570</v>
      </c>
      <c r="AH563" s="9" t="s">
        <v>18584</v>
      </c>
      <c r="AJ563" s="9" t="s">
        <v>18585</v>
      </c>
      <c r="AK563" s="9" t="b">
        <v>0</v>
      </c>
      <c r="AL563" s="9" t="b">
        <v>1</v>
      </c>
      <c r="AM563" s="9" t="s">
        <v>18586</v>
      </c>
      <c r="AN563" s="9" t="s">
        <v>10622</v>
      </c>
      <c r="AP563" s="56">
        <v>44726.0</v>
      </c>
      <c r="AQ563" s="9" t="b">
        <v>0</v>
      </c>
      <c r="AR563" s="9" t="s">
        <v>18587</v>
      </c>
      <c r="AS563" s="9" t="s">
        <v>12303</v>
      </c>
    </row>
    <row r="564" ht="15.75" customHeight="1">
      <c r="A564" s="7" t="s">
        <v>10161</v>
      </c>
      <c r="B564" s="7" t="s">
        <v>10162</v>
      </c>
      <c r="C564" s="6" t="s">
        <v>117</v>
      </c>
      <c r="D564" s="6" t="s">
        <v>1908</v>
      </c>
      <c r="E564" s="6" t="s">
        <v>18588</v>
      </c>
      <c r="F564" s="6">
        <v>8.0</v>
      </c>
      <c r="G564" s="6" t="s">
        <v>455</v>
      </c>
      <c r="H564" s="7"/>
      <c r="I564" s="7"/>
      <c r="J564" s="7">
        <v>208.0</v>
      </c>
      <c r="K564" s="7" t="s">
        <v>13725</v>
      </c>
      <c r="L564" s="7">
        <v>97480.0</v>
      </c>
      <c r="M564" s="7" t="s">
        <v>123</v>
      </c>
      <c r="N564" s="6" t="s">
        <v>3556</v>
      </c>
      <c r="O564" s="6" t="s">
        <v>18589</v>
      </c>
      <c r="P564" s="42" t="s">
        <v>10165</v>
      </c>
      <c r="Q564" s="43" t="s">
        <v>18590</v>
      </c>
      <c r="R564" s="50" t="s">
        <v>12350</v>
      </c>
      <c r="S564" s="47" t="s">
        <v>10164</v>
      </c>
      <c r="T564" s="7" t="s">
        <v>10166</v>
      </c>
      <c r="U564" s="6" t="s">
        <v>18591</v>
      </c>
      <c r="V564" s="6" t="s">
        <v>18592</v>
      </c>
      <c r="W564" s="6" t="s">
        <v>14892</v>
      </c>
      <c r="X564" s="6" t="s">
        <v>18593</v>
      </c>
      <c r="Y564" s="6" t="s">
        <v>377</v>
      </c>
      <c r="Z564" s="6" t="s">
        <v>592</v>
      </c>
      <c r="AA564" s="7"/>
      <c r="AB564" s="7"/>
      <c r="AC564" s="7"/>
      <c r="AD564" s="7"/>
      <c r="AE564" s="6" t="s">
        <v>401</v>
      </c>
      <c r="AF564" s="63">
        <v>44891.74313657408</v>
      </c>
      <c r="AG564" s="7" t="s">
        <v>18594</v>
      </c>
      <c r="AH564" s="46" t="s">
        <v>18595</v>
      </c>
      <c r="AI564" s="7"/>
      <c r="AJ564" s="6" t="s">
        <v>18596</v>
      </c>
      <c r="AK564" s="6" t="b">
        <v>1</v>
      </c>
      <c r="AL564" s="7" t="b">
        <v>0</v>
      </c>
      <c r="AM564" s="7"/>
      <c r="AN564" s="6" t="s">
        <v>10161</v>
      </c>
      <c r="AO564" s="7"/>
      <c r="AP564" s="7"/>
      <c r="AQ564" s="6" t="b">
        <v>0</v>
      </c>
      <c r="AR564" s="6" t="s">
        <v>18597</v>
      </c>
      <c r="AS564" s="6" t="s">
        <v>12303</v>
      </c>
    </row>
    <row r="565" ht="15.75" customHeight="1">
      <c r="A565" s="9" t="s">
        <v>12038</v>
      </c>
      <c r="B565" s="9" t="s">
        <v>3177</v>
      </c>
      <c r="C565" s="9" t="s">
        <v>34</v>
      </c>
      <c r="D565" s="9" t="s">
        <v>622</v>
      </c>
      <c r="E565" s="9" t="s">
        <v>622</v>
      </c>
      <c r="G565" s="9" t="s">
        <v>455</v>
      </c>
      <c r="J565" s="52" t="s">
        <v>16740</v>
      </c>
      <c r="K565" s="9" t="s">
        <v>16821</v>
      </c>
      <c r="L565" s="9">
        <v>97480.0</v>
      </c>
      <c r="M565" s="9" t="s">
        <v>123</v>
      </c>
      <c r="N565" s="9" t="s">
        <v>8747</v>
      </c>
      <c r="O565" s="9" t="s">
        <v>18598</v>
      </c>
      <c r="P565" s="53" t="s">
        <v>18599</v>
      </c>
      <c r="Q565" s="49" t="s">
        <v>18600</v>
      </c>
      <c r="R565" s="50"/>
      <c r="S565" s="54"/>
      <c r="T565" s="9" t="s">
        <v>18601</v>
      </c>
      <c r="U565" s="9" t="s">
        <v>18602</v>
      </c>
      <c r="V565" s="9" t="s">
        <v>18603</v>
      </c>
      <c r="W565" s="9" t="s">
        <v>18604</v>
      </c>
      <c r="X565" s="9" t="s">
        <v>18605</v>
      </c>
      <c r="Y565" s="9" t="s">
        <v>8231</v>
      </c>
      <c r="Z565" s="9" t="s">
        <v>353</v>
      </c>
      <c r="AC565" s="9">
        <v>9.2504017200015E13</v>
      </c>
      <c r="AD565" s="9">
        <v>9.25040172E8</v>
      </c>
      <c r="AE565" s="9" t="s">
        <v>401</v>
      </c>
      <c r="AF565" s="60">
        <v>45394.3853125</v>
      </c>
      <c r="AG565" s="9" t="s">
        <v>18606</v>
      </c>
      <c r="AH565" s="52" t="s">
        <v>18607</v>
      </c>
      <c r="AJ565" s="9" t="s">
        <v>18608</v>
      </c>
      <c r="AK565" s="9" t="b">
        <v>1</v>
      </c>
      <c r="AL565" s="9" t="b">
        <v>0</v>
      </c>
      <c r="AN565" s="9" t="s">
        <v>12038</v>
      </c>
      <c r="AP565" s="61">
        <v>44890.0</v>
      </c>
      <c r="AQ565" s="9" t="b">
        <v>0</v>
      </c>
    </row>
    <row r="566" ht="15.75" customHeight="1">
      <c r="A566" s="7" t="s">
        <v>4000</v>
      </c>
      <c r="B566" s="7" t="s">
        <v>18609</v>
      </c>
      <c r="C566" s="6" t="s">
        <v>117</v>
      </c>
      <c r="D566" s="7" t="s">
        <v>197</v>
      </c>
      <c r="E566" s="7" t="s">
        <v>559</v>
      </c>
      <c r="F566" s="6">
        <v>4.0</v>
      </c>
      <c r="G566" s="7" t="s">
        <v>422</v>
      </c>
      <c r="H566" s="7"/>
      <c r="I566" s="7"/>
      <c r="J566" s="7">
        <v>8.0</v>
      </c>
      <c r="K566" s="7" t="s">
        <v>13725</v>
      </c>
      <c r="L566" s="7">
        <v>97480.0</v>
      </c>
      <c r="M566" s="7" t="s">
        <v>123</v>
      </c>
      <c r="N566" s="7" t="s">
        <v>3556</v>
      </c>
      <c r="O566" s="7" t="s">
        <v>4008</v>
      </c>
      <c r="P566" s="42" t="s">
        <v>4003</v>
      </c>
      <c r="Q566" s="49" t="s">
        <v>18610</v>
      </c>
      <c r="R566" s="43" t="s">
        <v>18611</v>
      </c>
      <c r="S566" s="51"/>
      <c r="T566" s="7" t="s">
        <v>4004</v>
      </c>
      <c r="U566" s="6" t="s">
        <v>18612</v>
      </c>
      <c r="V566" s="6" t="s">
        <v>18613</v>
      </c>
      <c r="W566" s="6" t="s">
        <v>14892</v>
      </c>
      <c r="X566" s="6" t="s">
        <v>18614</v>
      </c>
      <c r="Y566" s="7" t="s">
        <v>377</v>
      </c>
      <c r="Z566" s="7" t="s">
        <v>353</v>
      </c>
      <c r="AA566" s="7"/>
      <c r="AB566" s="7"/>
      <c r="AC566" s="6">
        <v>4.12154833E8</v>
      </c>
      <c r="AD566" s="6">
        <v>4.12154833E8</v>
      </c>
      <c r="AE566" s="6" t="s">
        <v>401</v>
      </c>
      <c r="AF566" s="45">
        <v>45831.32104166667</v>
      </c>
      <c r="AG566" s="7" t="s">
        <v>18615</v>
      </c>
      <c r="AH566" s="46" t="s">
        <v>18616</v>
      </c>
      <c r="AI566" s="7"/>
      <c r="AJ566" s="6" t="s">
        <v>18617</v>
      </c>
      <c r="AK566" s="6" t="b">
        <v>1</v>
      </c>
      <c r="AL566" s="7" t="b">
        <v>0</v>
      </c>
      <c r="AM566" s="7"/>
      <c r="AN566" s="6" t="s">
        <v>4000</v>
      </c>
      <c r="AO566" s="6">
        <v>2078.0</v>
      </c>
      <c r="AP566" s="6"/>
      <c r="AQ566" s="6" t="b">
        <v>1</v>
      </c>
      <c r="AR566" s="6"/>
      <c r="AS566" s="6"/>
    </row>
    <row r="567" ht="15.75" customHeight="1">
      <c r="A567" s="9" t="s">
        <v>12197</v>
      </c>
      <c r="B567" s="9" t="s">
        <v>18618</v>
      </c>
      <c r="C567" s="9" t="s">
        <v>34</v>
      </c>
      <c r="D567" s="9" t="s">
        <v>13467</v>
      </c>
      <c r="E567" s="9" t="s">
        <v>18619</v>
      </c>
      <c r="F567" s="9">
        <v>25.0</v>
      </c>
      <c r="J567" s="52" t="s">
        <v>18620</v>
      </c>
      <c r="K567" s="9" t="s">
        <v>18621</v>
      </c>
      <c r="L567" s="9">
        <v>97480.0</v>
      </c>
      <c r="M567" s="9" t="s">
        <v>123</v>
      </c>
      <c r="N567" s="9" t="s">
        <v>3556</v>
      </c>
      <c r="O567" s="9" t="s">
        <v>18622</v>
      </c>
      <c r="P567" s="53" t="s">
        <v>18623</v>
      </c>
      <c r="Q567" s="49" t="s">
        <v>18624</v>
      </c>
      <c r="R567" s="50"/>
      <c r="S567" s="54"/>
      <c r="T567" s="9" t="s">
        <v>18625</v>
      </c>
      <c r="U567" s="9" t="s">
        <v>18626</v>
      </c>
      <c r="V567" s="9" t="s">
        <v>18627</v>
      </c>
      <c r="W567" s="9" t="s">
        <v>17831</v>
      </c>
      <c r="X567" s="9" t="s">
        <v>18628</v>
      </c>
      <c r="Y567" s="9" t="s">
        <v>2938</v>
      </c>
      <c r="Z567" s="9" t="s">
        <v>353</v>
      </c>
      <c r="AC567" s="9">
        <v>8.23788286E8</v>
      </c>
      <c r="AD567" s="9">
        <v>8.23788286E8</v>
      </c>
      <c r="AE567" s="9" t="s">
        <v>401</v>
      </c>
      <c r="AF567" s="60">
        <v>45386.60229166667</v>
      </c>
      <c r="AG567" s="9" t="s">
        <v>18629</v>
      </c>
      <c r="AH567" s="9" t="s">
        <v>18630</v>
      </c>
      <c r="AJ567" s="9" t="s">
        <v>18631</v>
      </c>
      <c r="AK567" s="9" t="b">
        <v>0</v>
      </c>
      <c r="AL567" s="9" t="b">
        <v>1</v>
      </c>
      <c r="AN567" s="9" t="s">
        <v>12197</v>
      </c>
      <c r="AP567" s="61">
        <v>44888.0</v>
      </c>
      <c r="AQ567" s="9" t="b">
        <v>0</v>
      </c>
      <c r="AR567" s="9" t="s">
        <v>18632</v>
      </c>
    </row>
    <row r="568" ht="15.75" customHeight="1">
      <c r="A568" s="7" t="s">
        <v>8590</v>
      </c>
      <c r="B568" s="7" t="s">
        <v>8591</v>
      </c>
      <c r="C568" s="7" t="s">
        <v>58</v>
      </c>
      <c r="D568" s="7" t="s">
        <v>59</v>
      </c>
      <c r="E568" s="7" t="s">
        <v>545</v>
      </c>
      <c r="F568" s="7">
        <v>2.0</v>
      </c>
      <c r="G568" s="7"/>
      <c r="H568" s="7"/>
      <c r="I568" s="7"/>
      <c r="J568" s="7"/>
      <c r="K568" s="7" t="s">
        <v>12446</v>
      </c>
      <c r="L568" s="7">
        <v>97480.0</v>
      </c>
      <c r="M568" s="7" t="s">
        <v>123</v>
      </c>
      <c r="N568" s="7"/>
      <c r="O568" s="7" t="s">
        <v>6048</v>
      </c>
      <c r="P568" s="42" t="s">
        <v>8594</v>
      </c>
      <c r="Q568" s="43" t="s">
        <v>18633</v>
      </c>
      <c r="R568" s="50"/>
      <c r="S568" s="47" t="s">
        <v>8593</v>
      </c>
      <c r="T568" s="7"/>
      <c r="U568" s="7"/>
      <c r="V568" s="7"/>
      <c r="W568" s="7"/>
      <c r="X568" s="7"/>
      <c r="Y568" s="7" t="s">
        <v>2938</v>
      </c>
      <c r="Z568" s="7" t="s">
        <v>424</v>
      </c>
      <c r="AA568" s="7" t="s">
        <v>7024</v>
      </c>
      <c r="AB568" s="7" t="s">
        <v>1590</v>
      </c>
      <c r="AC568" s="7"/>
      <c r="AD568" s="7"/>
      <c r="AE568" s="6" t="s">
        <v>12355</v>
      </c>
      <c r="AF568" s="63">
        <v>44889.480833333335</v>
      </c>
      <c r="AG568" s="7" t="s">
        <v>18634</v>
      </c>
      <c r="AH568" s="46" t="s">
        <v>18635</v>
      </c>
      <c r="AI568" s="7"/>
      <c r="AJ568" s="7"/>
      <c r="AK568" s="7" t="b">
        <v>0</v>
      </c>
      <c r="AL568" s="7" t="b">
        <v>0</v>
      </c>
      <c r="AM568" s="6" t="s">
        <v>8597</v>
      </c>
      <c r="AN568" s="6" t="s">
        <v>8590</v>
      </c>
      <c r="AO568" s="7"/>
      <c r="AP568" s="7"/>
      <c r="AQ568" s="6" t="b">
        <v>0</v>
      </c>
      <c r="AR568" s="6"/>
      <c r="AS568" s="6" t="s">
        <v>12303</v>
      </c>
    </row>
    <row r="569" ht="15.75" customHeight="1">
      <c r="A569" s="7" t="s">
        <v>7600</v>
      </c>
      <c r="B569" s="7" t="s">
        <v>7601</v>
      </c>
      <c r="C569" s="7" t="s">
        <v>58</v>
      </c>
      <c r="D569" s="7" t="s">
        <v>59</v>
      </c>
      <c r="E569" s="7" t="s">
        <v>374</v>
      </c>
      <c r="F569" s="7">
        <v>2.0</v>
      </c>
      <c r="G569" s="7" t="s">
        <v>455</v>
      </c>
      <c r="H569" s="7" t="s">
        <v>7605</v>
      </c>
      <c r="I569" s="6" t="s">
        <v>578</v>
      </c>
      <c r="J569" s="7">
        <v>31.0</v>
      </c>
      <c r="K569" s="7" t="s">
        <v>14482</v>
      </c>
      <c r="L569" s="7">
        <v>97480.0</v>
      </c>
      <c r="M569" s="7" t="s">
        <v>123</v>
      </c>
      <c r="N569" s="7" t="s">
        <v>3556</v>
      </c>
      <c r="O569" s="6" t="s">
        <v>18636</v>
      </c>
      <c r="P569" s="42" t="s">
        <v>3559</v>
      </c>
      <c r="Q569" s="43" t="s">
        <v>18637</v>
      </c>
      <c r="R569" s="43" t="s">
        <v>14486</v>
      </c>
      <c r="S569" s="47" t="s">
        <v>7603</v>
      </c>
      <c r="T569" s="6" t="s">
        <v>18638</v>
      </c>
      <c r="U569" s="7" t="s">
        <v>7606</v>
      </c>
      <c r="V569" s="7"/>
      <c r="W569" s="6" t="s">
        <v>18639</v>
      </c>
      <c r="X569" s="6" t="s">
        <v>18640</v>
      </c>
      <c r="Y569" s="7" t="s">
        <v>4227</v>
      </c>
      <c r="Z569" s="7" t="s">
        <v>353</v>
      </c>
      <c r="AA569" s="7"/>
      <c r="AB569" s="7"/>
      <c r="AC569" s="7">
        <v>3.24177310000038E14</v>
      </c>
      <c r="AD569" s="7">
        <v>3.2417731E8</v>
      </c>
      <c r="AE569" s="6" t="s">
        <v>401</v>
      </c>
      <c r="AF569" s="45">
        <v>44888.62945601852</v>
      </c>
      <c r="AG569" s="7" t="s">
        <v>18641</v>
      </c>
      <c r="AH569" s="46" t="s">
        <v>18642</v>
      </c>
      <c r="AI569" s="7"/>
      <c r="AJ569" s="7"/>
      <c r="AK569" s="7" t="b">
        <v>0</v>
      </c>
      <c r="AL569" s="7" t="b">
        <v>0</v>
      </c>
      <c r="AM569" s="6" t="s">
        <v>7610</v>
      </c>
      <c r="AN569" s="6" t="s">
        <v>7600</v>
      </c>
      <c r="AO569" s="6">
        <v>4445.0</v>
      </c>
      <c r="AP569" s="6"/>
      <c r="AQ569" s="6" t="b">
        <v>1</v>
      </c>
      <c r="AR569" s="6"/>
      <c r="AS569" s="6"/>
    </row>
    <row r="570" ht="15.75" customHeight="1">
      <c r="A570" s="9" t="s">
        <v>11703</v>
      </c>
      <c r="B570" s="9" t="s">
        <v>18643</v>
      </c>
      <c r="C570" s="9" t="s">
        <v>58</v>
      </c>
      <c r="D570" s="9" t="s">
        <v>59</v>
      </c>
      <c r="E570" s="9" t="s">
        <v>346</v>
      </c>
      <c r="F570" s="9">
        <v>16.0</v>
      </c>
      <c r="G570" s="9" t="s">
        <v>375</v>
      </c>
      <c r="J570" s="52" t="s">
        <v>18644</v>
      </c>
      <c r="K570" s="9" t="s">
        <v>18645</v>
      </c>
      <c r="L570" s="9">
        <v>97480.0</v>
      </c>
      <c r="M570" s="9" t="s">
        <v>123</v>
      </c>
      <c r="N570" s="9" t="s">
        <v>3556</v>
      </c>
      <c r="O570" s="9" t="s">
        <v>18646</v>
      </c>
      <c r="P570" s="53" t="s">
        <v>18547</v>
      </c>
      <c r="Q570" s="49" t="s">
        <v>18548</v>
      </c>
      <c r="R570" s="50"/>
      <c r="S570" s="54" t="s">
        <v>12350</v>
      </c>
      <c r="T570" s="9" t="s">
        <v>18647</v>
      </c>
      <c r="U570" s="9" t="s">
        <v>18648</v>
      </c>
      <c r="W570" s="9" t="s">
        <v>18649</v>
      </c>
      <c r="X570" s="9" t="s">
        <v>14404</v>
      </c>
      <c r="Z570" s="9" t="s">
        <v>353</v>
      </c>
      <c r="AE570" s="9" t="s">
        <v>401</v>
      </c>
      <c r="AF570" s="55">
        <v>44888.38520833333</v>
      </c>
      <c r="AG570" s="9" t="s">
        <v>18553</v>
      </c>
      <c r="AH570" s="9" t="s">
        <v>18650</v>
      </c>
      <c r="AM570" s="9" t="s">
        <v>18651</v>
      </c>
      <c r="AN570" s="9" t="s">
        <v>11703</v>
      </c>
      <c r="AP570" s="56">
        <v>44414.0</v>
      </c>
      <c r="AQ570" s="6" t="b">
        <v>0</v>
      </c>
      <c r="AR570" s="6"/>
      <c r="AS570" s="6"/>
    </row>
    <row r="571" ht="15.75" customHeight="1">
      <c r="A571" s="9" t="s">
        <v>11887</v>
      </c>
      <c r="B571" s="9" t="s">
        <v>18652</v>
      </c>
      <c r="C571" s="9" t="s">
        <v>58</v>
      </c>
      <c r="D571" s="9" t="s">
        <v>59</v>
      </c>
      <c r="E571" s="9" t="s">
        <v>374</v>
      </c>
      <c r="F571" s="9">
        <v>2.0</v>
      </c>
      <c r="G571" s="9" t="s">
        <v>375</v>
      </c>
      <c r="H571" s="9" t="s">
        <v>2716</v>
      </c>
      <c r="J571" s="52" t="s">
        <v>12720</v>
      </c>
      <c r="K571" s="9" t="s">
        <v>18653</v>
      </c>
      <c r="L571" s="9">
        <v>97480.0</v>
      </c>
      <c r="M571" s="9" t="s">
        <v>123</v>
      </c>
      <c r="N571" s="9" t="s">
        <v>3556</v>
      </c>
      <c r="O571" s="9" t="s">
        <v>18654</v>
      </c>
      <c r="P571" s="53" t="s">
        <v>18655</v>
      </c>
      <c r="Q571" s="49" t="s">
        <v>18656</v>
      </c>
      <c r="R571" s="50"/>
      <c r="S571" s="58" t="s">
        <v>18657</v>
      </c>
      <c r="T571" s="9" t="s">
        <v>18658</v>
      </c>
      <c r="U571" s="9" t="s">
        <v>18659</v>
      </c>
      <c r="W571" s="9" t="s">
        <v>18660</v>
      </c>
      <c r="X571" s="9" t="s">
        <v>13424</v>
      </c>
      <c r="Z571" s="9" t="s">
        <v>851</v>
      </c>
      <c r="AC571" s="9">
        <v>8.9975944300018E13</v>
      </c>
      <c r="AD571" s="9">
        <v>8.99759443E8</v>
      </c>
      <c r="AE571" s="9" t="s">
        <v>401</v>
      </c>
      <c r="AF571" s="55">
        <v>45985.39440972222</v>
      </c>
      <c r="AG571" s="9" t="s">
        <v>18661</v>
      </c>
      <c r="AH571" s="9" t="s">
        <v>18662</v>
      </c>
      <c r="AJ571" s="9" t="s">
        <v>18663</v>
      </c>
      <c r="AK571" s="9" t="b">
        <v>0</v>
      </c>
      <c r="AL571" s="9" t="b">
        <v>0</v>
      </c>
      <c r="AM571" s="9" t="s">
        <v>18664</v>
      </c>
      <c r="AN571" s="9" t="s">
        <v>11887</v>
      </c>
      <c r="AP571" s="56">
        <v>44407.0</v>
      </c>
      <c r="AQ571" s="6" t="b">
        <v>0</v>
      </c>
      <c r="AR571" s="6"/>
      <c r="AS571" s="6"/>
    </row>
    <row r="572" ht="15.75" customHeight="1">
      <c r="A572" s="7" t="s">
        <v>9571</v>
      </c>
      <c r="B572" s="6" t="s">
        <v>18665</v>
      </c>
      <c r="C572" s="7" t="s">
        <v>58</v>
      </c>
      <c r="D572" s="7" t="s">
        <v>59</v>
      </c>
      <c r="E572" s="6" t="s">
        <v>346</v>
      </c>
      <c r="F572" s="7">
        <v>4.0</v>
      </c>
      <c r="G572" s="7"/>
      <c r="H572" s="7"/>
      <c r="I572" s="7"/>
      <c r="J572" s="41" t="s">
        <v>14580</v>
      </c>
      <c r="K572" s="6" t="s">
        <v>18666</v>
      </c>
      <c r="L572" s="7">
        <v>97480.0</v>
      </c>
      <c r="M572" s="7" t="s">
        <v>123</v>
      </c>
      <c r="N572" s="6" t="s">
        <v>206</v>
      </c>
      <c r="O572" s="6" t="s">
        <v>18667</v>
      </c>
      <c r="P572" s="42" t="s">
        <v>9574</v>
      </c>
      <c r="Q572" s="43" t="s">
        <v>18668</v>
      </c>
      <c r="R572" s="50"/>
      <c r="S572" s="51"/>
      <c r="T572" s="6" t="s">
        <v>18669</v>
      </c>
      <c r="U572" s="6" t="s">
        <v>18669</v>
      </c>
      <c r="V572" s="6" t="s">
        <v>18670</v>
      </c>
      <c r="W572" s="6" t="s">
        <v>15989</v>
      </c>
      <c r="X572" s="6" t="s">
        <v>18671</v>
      </c>
      <c r="Y572" s="6" t="s">
        <v>12669</v>
      </c>
      <c r="Z572" s="6" t="s">
        <v>353</v>
      </c>
      <c r="AA572" s="7" t="s">
        <v>3568</v>
      </c>
      <c r="AB572" s="7" t="s">
        <v>1590</v>
      </c>
      <c r="AC572" s="7"/>
      <c r="AD572" s="7"/>
      <c r="AE572" s="6" t="s">
        <v>401</v>
      </c>
      <c r="AF572" s="63">
        <v>44887.42172453704</v>
      </c>
      <c r="AG572" s="7" t="s">
        <v>18672</v>
      </c>
      <c r="AH572" s="46" t="s">
        <v>18673</v>
      </c>
      <c r="AI572" s="7"/>
      <c r="AJ572" s="6" t="s">
        <v>18674</v>
      </c>
      <c r="AK572" s="6" t="b">
        <v>1</v>
      </c>
      <c r="AL572" s="7" t="b">
        <v>0</v>
      </c>
      <c r="AM572" s="6" t="s">
        <v>9576</v>
      </c>
      <c r="AN572" s="6" t="s">
        <v>9571</v>
      </c>
      <c r="AO572" s="7"/>
      <c r="AP572" s="7"/>
      <c r="AQ572" s="6" t="b">
        <v>0</v>
      </c>
      <c r="AR572" s="6"/>
      <c r="AS572" s="6" t="s">
        <v>12303</v>
      </c>
    </row>
    <row r="573" ht="15.75" customHeight="1">
      <c r="A573" s="7" t="s">
        <v>7001</v>
      </c>
      <c r="B573" s="7" t="s">
        <v>17836</v>
      </c>
      <c r="C573" s="7" t="s">
        <v>58</v>
      </c>
      <c r="D573" s="7" t="s">
        <v>453</v>
      </c>
      <c r="E573" s="7" t="s">
        <v>454</v>
      </c>
      <c r="F573" s="7">
        <v>8.0</v>
      </c>
      <c r="G573" s="7" t="s">
        <v>1001</v>
      </c>
      <c r="H573" s="7" t="s">
        <v>788</v>
      </c>
      <c r="I573" s="6" t="s">
        <v>18675</v>
      </c>
      <c r="J573" s="7">
        <v>80.0</v>
      </c>
      <c r="K573" s="7" t="s">
        <v>17183</v>
      </c>
      <c r="L573" s="7">
        <v>97442.0</v>
      </c>
      <c r="M573" s="7" t="s">
        <v>33</v>
      </c>
      <c r="N573" s="7"/>
      <c r="O573" s="7" t="s">
        <v>6999</v>
      </c>
      <c r="P573" s="42" t="s">
        <v>6993</v>
      </c>
      <c r="Q573" s="43" t="s">
        <v>17838</v>
      </c>
      <c r="R573" s="43" t="s">
        <v>18676</v>
      </c>
      <c r="S573" s="51"/>
      <c r="T573" s="7" t="s">
        <v>7004</v>
      </c>
      <c r="U573" s="7" t="s">
        <v>7003</v>
      </c>
      <c r="V573" s="7" t="s">
        <v>7005</v>
      </c>
      <c r="W573" s="6" t="s">
        <v>18677</v>
      </c>
      <c r="X573" s="7" t="s">
        <v>1108</v>
      </c>
      <c r="Y573" s="7" t="s">
        <v>377</v>
      </c>
      <c r="Z573" s="7" t="s">
        <v>353</v>
      </c>
      <c r="AA573" s="7"/>
      <c r="AB573" s="7"/>
      <c r="AC573" s="7">
        <v>3.936451550001E13</v>
      </c>
      <c r="AD573" s="7">
        <v>3.93645155E8</v>
      </c>
      <c r="AE573" s="6" t="s">
        <v>5287</v>
      </c>
      <c r="AF573" s="45">
        <v>45471.370833333334</v>
      </c>
      <c r="AG573" s="7" t="s">
        <v>17840</v>
      </c>
      <c r="AH573" s="46" t="s">
        <v>18678</v>
      </c>
      <c r="AI573" s="7"/>
      <c r="AJ573" s="6" t="s">
        <v>18679</v>
      </c>
      <c r="AK573" s="7" t="b">
        <v>0</v>
      </c>
      <c r="AL573" s="7" t="b">
        <v>0</v>
      </c>
      <c r="AM573" s="6" t="s">
        <v>7007</v>
      </c>
      <c r="AN573" s="6" t="s">
        <v>7001</v>
      </c>
      <c r="AO573" s="6">
        <v>343.0</v>
      </c>
      <c r="AP573" s="6"/>
      <c r="AQ573" s="6" t="b">
        <v>1</v>
      </c>
      <c r="AR573" s="6" t="s">
        <v>18680</v>
      </c>
      <c r="AS573" s="48" t="s">
        <v>12303</v>
      </c>
    </row>
    <row r="574" ht="15.75" customHeight="1">
      <c r="A574" s="9" t="s">
        <v>11763</v>
      </c>
      <c r="B574" s="9" t="s">
        <v>18681</v>
      </c>
      <c r="C574" s="9" t="s">
        <v>58</v>
      </c>
      <c r="D574" s="9" t="s">
        <v>59</v>
      </c>
      <c r="E574" s="9" t="s">
        <v>374</v>
      </c>
      <c r="F574" s="9">
        <v>6.0</v>
      </c>
      <c r="J574" s="52" t="s">
        <v>18682</v>
      </c>
      <c r="K574" s="9" t="s">
        <v>18683</v>
      </c>
      <c r="L574" s="9">
        <v>97414.0</v>
      </c>
      <c r="M574" s="9" t="s">
        <v>40</v>
      </c>
      <c r="N574" s="9" t="s">
        <v>1860</v>
      </c>
      <c r="O574" s="9" t="s">
        <v>18684</v>
      </c>
      <c r="P574" s="53" t="s">
        <v>18685</v>
      </c>
      <c r="Q574" s="49" t="s">
        <v>18686</v>
      </c>
      <c r="R574" s="50"/>
      <c r="S574" s="54"/>
      <c r="W574" s="9" t="s">
        <v>18687</v>
      </c>
      <c r="X574" s="9" t="s">
        <v>18688</v>
      </c>
      <c r="Y574" s="9" t="s">
        <v>4368</v>
      </c>
      <c r="Z574" s="9" t="s">
        <v>378</v>
      </c>
      <c r="AE574" s="9" t="s">
        <v>12355</v>
      </c>
      <c r="AF574" s="60">
        <v>45950.47386574074</v>
      </c>
      <c r="AG574" s="9" t="s">
        <v>18689</v>
      </c>
      <c r="AH574" s="9" t="s">
        <v>18690</v>
      </c>
      <c r="AJ574" s="9" t="s">
        <v>18691</v>
      </c>
      <c r="AK574" s="9" t="b">
        <v>0</v>
      </c>
      <c r="AL574" s="9" t="b">
        <v>0</v>
      </c>
      <c r="AM574" s="9" t="s">
        <v>18692</v>
      </c>
      <c r="AN574" s="9" t="s">
        <v>11763</v>
      </c>
      <c r="AP574" s="61">
        <v>44510.0</v>
      </c>
      <c r="AQ574" s="9" t="b">
        <v>0</v>
      </c>
      <c r="AR574" s="9" t="s">
        <v>18693</v>
      </c>
      <c r="AS574" s="48" t="s">
        <v>12303</v>
      </c>
    </row>
    <row r="575" ht="15.75" customHeight="1">
      <c r="A575" s="9" t="s">
        <v>11657</v>
      </c>
      <c r="B575" s="9" t="s">
        <v>18694</v>
      </c>
      <c r="C575" s="9" t="s">
        <v>117</v>
      </c>
      <c r="D575" s="9" t="s">
        <v>1644</v>
      </c>
      <c r="E575" s="9" t="s">
        <v>12864</v>
      </c>
      <c r="F575" s="9">
        <v>1.0</v>
      </c>
      <c r="G575" s="9" t="s">
        <v>375</v>
      </c>
      <c r="J575" s="52" t="s">
        <v>18695</v>
      </c>
      <c r="K575" s="9" t="s">
        <v>17501</v>
      </c>
      <c r="L575" s="9">
        <v>97480.0</v>
      </c>
      <c r="M575" s="9" t="s">
        <v>123</v>
      </c>
      <c r="N575" s="9" t="s">
        <v>206</v>
      </c>
      <c r="O575" s="9" t="s">
        <v>18696</v>
      </c>
      <c r="P575" s="53" t="s">
        <v>18697</v>
      </c>
      <c r="Q575" s="49" t="s">
        <v>18698</v>
      </c>
      <c r="R575" s="50"/>
      <c r="S575" s="54" t="s">
        <v>18699</v>
      </c>
      <c r="T575" s="9" t="s">
        <v>18700</v>
      </c>
      <c r="U575" s="9" t="s">
        <v>18701</v>
      </c>
      <c r="V575" s="9" t="s">
        <v>18702</v>
      </c>
      <c r="W575" s="9" t="s">
        <v>18703</v>
      </c>
      <c r="X575" s="9" t="s">
        <v>18704</v>
      </c>
      <c r="Y575" s="9" t="s">
        <v>18705</v>
      </c>
      <c r="Z575" s="9" t="s">
        <v>592</v>
      </c>
      <c r="AC575" s="9">
        <v>4.5396810900034E13</v>
      </c>
      <c r="AD575" s="9">
        <v>4.53968109E8</v>
      </c>
      <c r="AE575" s="9" t="s">
        <v>401</v>
      </c>
      <c r="AF575" s="60">
        <v>45464.339953703704</v>
      </c>
      <c r="AG575" s="9" t="s">
        <v>18706</v>
      </c>
      <c r="AH575" s="9" t="s">
        <v>18707</v>
      </c>
      <c r="AJ575" s="9" t="s">
        <v>18708</v>
      </c>
      <c r="AK575" s="9" t="b">
        <v>1</v>
      </c>
      <c r="AL575" s="9" t="b">
        <v>0</v>
      </c>
      <c r="AN575" s="9" t="s">
        <v>11657</v>
      </c>
      <c r="AP575" s="61">
        <v>44546.0</v>
      </c>
      <c r="AQ575" s="9" t="b">
        <v>1</v>
      </c>
      <c r="AR575" s="9" t="s">
        <v>18709</v>
      </c>
      <c r="AS575" s="9"/>
    </row>
    <row r="576" ht="15.75" customHeight="1">
      <c r="A576" s="7" t="s">
        <v>4879</v>
      </c>
      <c r="B576" s="7" t="s">
        <v>4880</v>
      </c>
      <c r="C576" s="7" t="s">
        <v>822</v>
      </c>
      <c r="D576" s="7" t="s">
        <v>4826</v>
      </c>
      <c r="E576" s="7" t="s">
        <v>4827</v>
      </c>
      <c r="F576" s="7"/>
      <c r="G576" s="7" t="s">
        <v>347</v>
      </c>
      <c r="H576" s="7"/>
      <c r="I576" s="7"/>
      <c r="J576" s="7">
        <v>24.0</v>
      </c>
      <c r="K576" s="7" t="s">
        <v>18710</v>
      </c>
      <c r="L576" s="7">
        <v>97480.0</v>
      </c>
      <c r="M576" s="7" t="s">
        <v>123</v>
      </c>
      <c r="N576" s="7"/>
      <c r="O576" s="7" t="s">
        <v>3703</v>
      </c>
      <c r="P576" s="42"/>
      <c r="Q576" s="43" t="s">
        <v>18711</v>
      </c>
      <c r="R576" s="50"/>
      <c r="S576" s="51"/>
      <c r="T576" s="7" t="s">
        <v>4883</v>
      </c>
      <c r="U576" s="7" t="s">
        <v>4882</v>
      </c>
      <c r="V576" s="7" t="s">
        <v>4884</v>
      </c>
      <c r="W576" s="6" t="s">
        <v>18712</v>
      </c>
      <c r="X576" s="6" t="s">
        <v>18713</v>
      </c>
      <c r="Y576" s="7" t="s">
        <v>377</v>
      </c>
      <c r="Z576" s="7" t="s">
        <v>786</v>
      </c>
      <c r="AA576" s="7"/>
      <c r="AB576" s="7"/>
      <c r="AC576" s="7"/>
      <c r="AD576" s="7"/>
      <c r="AE576" s="6" t="s">
        <v>12355</v>
      </c>
      <c r="AF576" s="45">
        <v>44881.45675925926</v>
      </c>
      <c r="AG576" s="7" t="s">
        <v>18714</v>
      </c>
      <c r="AH576" s="46" t="s">
        <v>18715</v>
      </c>
      <c r="AI576" s="7"/>
      <c r="AJ576" s="7"/>
      <c r="AK576" s="7" t="b">
        <v>0</v>
      </c>
      <c r="AL576" s="7" t="b">
        <v>0</v>
      </c>
      <c r="AM576" s="7"/>
      <c r="AN576" s="6" t="s">
        <v>4879</v>
      </c>
      <c r="AO576" s="6">
        <v>2508.0</v>
      </c>
      <c r="AP576" s="6"/>
      <c r="AQ576" s="6" t="b">
        <v>1</v>
      </c>
      <c r="AR576" s="6"/>
      <c r="AS576" s="6" t="s">
        <v>12303</v>
      </c>
    </row>
    <row r="577" ht="15.75" customHeight="1">
      <c r="A577" s="9" t="s">
        <v>12146</v>
      </c>
      <c r="B577" s="9" t="s">
        <v>18716</v>
      </c>
      <c r="C577" s="9" t="s">
        <v>58</v>
      </c>
      <c r="D577" s="9" t="s">
        <v>59</v>
      </c>
      <c r="E577" s="9" t="s">
        <v>346</v>
      </c>
      <c r="F577" s="9">
        <v>10.0</v>
      </c>
      <c r="G577" s="9" t="s">
        <v>455</v>
      </c>
      <c r="J577" s="52" t="s">
        <v>18717</v>
      </c>
      <c r="K577" s="9" t="s">
        <v>18718</v>
      </c>
      <c r="L577" s="9">
        <v>97430.0</v>
      </c>
      <c r="M577" s="9" t="s">
        <v>71</v>
      </c>
      <c r="N577" s="9" t="s">
        <v>14289</v>
      </c>
      <c r="O577" s="9" t="s">
        <v>18719</v>
      </c>
      <c r="P577" s="53" t="s">
        <v>18720</v>
      </c>
      <c r="Q577" s="49" t="s">
        <v>18721</v>
      </c>
      <c r="R577" s="50"/>
      <c r="S577" s="54"/>
      <c r="W577" s="9" t="s">
        <v>18722</v>
      </c>
      <c r="X577" s="9" t="s">
        <v>18723</v>
      </c>
      <c r="Y577" s="9" t="s">
        <v>18724</v>
      </c>
      <c r="Z577" s="9" t="s">
        <v>353</v>
      </c>
      <c r="AC577" s="9">
        <v>4.9235894000046E13</v>
      </c>
      <c r="AD577" s="9">
        <v>4.9235894E8</v>
      </c>
      <c r="AE577" s="9" t="s">
        <v>401</v>
      </c>
      <c r="AF577" s="60">
        <v>44881.436435185184</v>
      </c>
      <c r="AG577" s="9" t="s">
        <v>18725</v>
      </c>
      <c r="AH577" s="9" t="s">
        <v>18726</v>
      </c>
      <c r="AK577" s="9" t="b">
        <v>1</v>
      </c>
      <c r="AL577" s="9" t="b">
        <v>0</v>
      </c>
      <c r="AM577" s="9" t="s">
        <v>18727</v>
      </c>
      <c r="AN577" s="9" t="s">
        <v>12146</v>
      </c>
      <c r="AP577" s="61">
        <v>44880.0</v>
      </c>
      <c r="AQ577" s="9" t="b">
        <v>0</v>
      </c>
      <c r="AR577" s="9" t="s">
        <v>18728</v>
      </c>
    </row>
    <row r="578" ht="15.75" customHeight="1">
      <c r="A578" s="7" t="s">
        <v>1247</v>
      </c>
      <c r="B578" s="7" t="s">
        <v>1248</v>
      </c>
      <c r="C578" s="7" t="s">
        <v>34</v>
      </c>
      <c r="D578" s="7" t="s">
        <v>622</v>
      </c>
      <c r="E578" s="7" t="s">
        <v>622</v>
      </c>
      <c r="F578" s="6">
        <v>19.0</v>
      </c>
      <c r="G578" s="6" t="s">
        <v>664</v>
      </c>
      <c r="H578" s="7"/>
      <c r="I578" s="7"/>
      <c r="J578" s="7">
        <v>87.0</v>
      </c>
      <c r="K578" s="6" t="s">
        <v>18729</v>
      </c>
      <c r="L578" s="7">
        <v>97430.0</v>
      </c>
      <c r="M578" s="7" t="s">
        <v>71</v>
      </c>
      <c r="N578" s="7"/>
      <c r="O578" s="6" t="s">
        <v>18730</v>
      </c>
      <c r="P578" s="42" t="s">
        <v>1252</v>
      </c>
      <c r="Q578" s="49" t="s">
        <v>18731</v>
      </c>
      <c r="R578" s="43" t="s">
        <v>18732</v>
      </c>
      <c r="S578" s="51"/>
      <c r="T578" s="6" t="s">
        <v>18733</v>
      </c>
      <c r="U578" s="6" t="s">
        <v>18734</v>
      </c>
      <c r="V578" s="6" t="s">
        <v>18735</v>
      </c>
      <c r="W578" s="6" t="s">
        <v>18736</v>
      </c>
      <c r="X578" s="6" t="s">
        <v>18737</v>
      </c>
      <c r="Y578" s="6" t="s">
        <v>18738</v>
      </c>
      <c r="Z578" s="6" t="s">
        <v>592</v>
      </c>
      <c r="AA578" s="7"/>
      <c r="AB578" s="7"/>
      <c r="AC578" s="7">
        <v>4.2062224300012E13</v>
      </c>
      <c r="AD578" s="7">
        <v>4.20622243E8</v>
      </c>
      <c r="AE578" s="6" t="s">
        <v>401</v>
      </c>
      <c r="AF578" s="45">
        <v>45435.57105324074</v>
      </c>
      <c r="AG578" s="6" t="s">
        <v>18739</v>
      </c>
      <c r="AH578" s="46" t="s">
        <v>18740</v>
      </c>
      <c r="AI578" s="7"/>
      <c r="AJ578" s="6" t="s">
        <v>18741</v>
      </c>
      <c r="AK578" s="6" t="b">
        <v>1</v>
      </c>
      <c r="AL578" s="7" t="b">
        <v>0</v>
      </c>
      <c r="AM578" s="7"/>
      <c r="AN578" s="6" t="s">
        <v>1247</v>
      </c>
      <c r="AO578" s="6">
        <v>2139.0</v>
      </c>
      <c r="AP578" s="6"/>
      <c r="AQ578" s="6" t="b">
        <v>1</v>
      </c>
      <c r="AR578" s="6" t="s">
        <v>18742</v>
      </c>
      <c r="AS578" s="6"/>
    </row>
    <row r="579" ht="15.75" customHeight="1">
      <c r="A579" s="7" t="s">
        <v>4089</v>
      </c>
      <c r="B579" s="7" t="s">
        <v>18743</v>
      </c>
      <c r="C579" s="7" t="s">
        <v>58</v>
      </c>
      <c r="D579" s="7" t="s">
        <v>453</v>
      </c>
      <c r="E579" s="7" t="s">
        <v>454</v>
      </c>
      <c r="F579" s="7">
        <v>4.0</v>
      </c>
      <c r="G579" s="7" t="s">
        <v>422</v>
      </c>
      <c r="H579" s="7" t="s">
        <v>3460</v>
      </c>
      <c r="I579" s="7" t="s">
        <v>751</v>
      </c>
      <c r="J579" s="7" t="s">
        <v>18744</v>
      </c>
      <c r="K579" s="7" t="s">
        <v>12977</v>
      </c>
      <c r="L579" s="7">
        <v>97414.0</v>
      </c>
      <c r="M579" s="7" t="s">
        <v>40</v>
      </c>
      <c r="N579" s="7"/>
      <c r="O579" s="6" t="s">
        <v>18745</v>
      </c>
      <c r="P579" s="42" t="s">
        <v>4096</v>
      </c>
      <c r="Q579" s="43" t="s">
        <v>18746</v>
      </c>
      <c r="R579" s="43" t="s">
        <v>18747</v>
      </c>
      <c r="S579" s="47" t="s">
        <v>4092</v>
      </c>
      <c r="T579" s="7" t="s">
        <v>4098</v>
      </c>
      <c r="U579" s="7" t="s">
        <v>4097</v>
      </c>
      <c r="V579" s="7" t="s">
        <v>4099</v>
      </c>
      <c r="W579" s="6" t="s">
        <v>18748</v>
      </c>
      <c r="X579" s="7" t="s">
        <v>4094</v>
      </c>
      <c r="Y579" s="7" t="s">
        <v>2938</v>
      </c>
      <c r="Z579" s="7" t="s">
        <v>4095</v>
      </c>
      <c r="AA579" s="7"/>
      <c r="AB579" s="7"/>
      <c r="AC579" s="7">
        <v>5.1415231300011E13</v>
      </c>
      <c r="AD579" s="7">
        <v>5.14152313E8</v>
      </c>
      <c r="AE579" s="6" t="s">
        <v>12355</v>
      </c>
      <c r="AF579" s="45">
        <v>44875.64167824074</v>
      </c>
      <c r="AG579" s="7" t="s">
        <v>18749</v>
      </c>
      <c r="AH579" s="46" t="s">
        <v>18750</v>
      </c>
      <c r="AI579" s="7"/>
      <c r="AJ579" s="6" t="s">
        <v>18751</v>
      </c>
      <c r="AK579" s="7" t="b">
        <v>0</v>
      </c>
      <c r="AL579" s="7" t="b">
        <v>0</v>
      </c>
      <c r="AM579" s="6" t="s">
        <v>4104</v>
      </c>
      <c r="AN579" s="6" t="s">
        <v>4089</v>
      </c>
      <c r="AO579" s="6">
        <v>3795.0</v>
      </c>
      <c r="AP579" s="6"/>
      <c r="AQ579" s="6" t="b">
        <v>1</v>
      </c>
      <c r="AR579" s="6" t="s">
        <v>18752</v>
      </c>
      <c r="AS579" s="48" t="s">
        <v>12303</v>
      </c>
    </row>
    <row r="580" ht="15.75" customHeight="1">
      <c r="A580" s="7" t="s">
        <v>8028</v>
      </c>
      <c r="B580" s="7" t="s">
        <v>8029</v>
      </c>
      <c r="C580" s="7" t="s">
        <v>58</v>
      </c>
      <c r="D580" s="7" t="s">
        <v>59</v>
      </c>
      <c r="E580" s="7" t="s">
        <v>346</v>
      </c>
      <c r="F580" s="7">
        <v>13.0</v>
      </c>
      <c r="G580" s="7" t="s">
        <v>455</v>
      </c>
      <c r="H580" s="7"/>
      <c r="I580" s="7"/>
      <c r="J580" s="7">
        <v>93.0</v>
      </c>
      <c r="K580" s="7" t="s">
        <v>18753</v>
      </c>
      <c r="L580" s="7">
        <v>97430.0</v>
      </c>
      <c r="M580" s="7" t="s">
        <v>71</v>
      </c>
      <c r="N580" s="7" t="s">
        <v>3501</v>
      </c>
      <c r="O580" s="6" t="s">
        <v>18754</v>
      </c>
      <c r="P580" s="42" t="s">
        <v>8033</v>
      </c>
      <c r="Q580" s="49" t="s">
        <v>18755</v>
      </c>
      <c r="R580" s="43" t="s">
        <v>18755</v>
      </c>
      <c r="S580" s="47" t="s">
        <v>8031</v>
      </c>
      <c r="T580" s="7" t="s">
        <v>8035</v>
      </c>
      <c r="U580" s="7" t="s">
        <v>8034</v>
      </c>
      <c r="V580" s="7" t="s">
        <v>8036</v>
      </c>
      <c r="W580" s="6" t="s">
        <v>18756</v>
      </c>
      <c r="X580" s="7" t="s">
        <v>1222</v>
      </c>
      <c r="Y580" s="7" t="s">
        <v>439</v>
      </c>
      <c r="Z580" s="7" t="s">
        <v>378</v>
      </c>
      <c r="AA580" s="7"/>
      <c r="AB580" s="7"/>
      <c r="AC580" s="6">
        <v>8.2924221300025E13</v>
      </c>
      <c r="AD580" s="6">
        <v>8.29242213E8</v>
      </c>
      <c r="AE580" s="6" t="s">
        <v>401</v>
      </c>
      <c r="AF580" s="63">
        <v>44875.52481481482</v>
      </c>
      <c r="AG580" s="7" t="s">
        <v>18757</v>
      </c>
      <c r="AH580" s="46" t="s">
        <v>18758</v>
      </c>
      <c r="AI580" s="7"/>
      <c r="AJ580" s="7"/>
      <c r="AK580" s="7" t="b">
        <v>0</v>
      </c>
      <c r="AL580" s="7" t="b">
        <v>0</v>
      </c>
      <c r="AM580" s="6" t="s">
        <v>8041</v>
      </c>
      <c r="AN580" s="6" t="s">
        <v>8028</v>
      </c>
      <c r="AO580" s="6">
        <v>1657.0</v>
      </c>
      <c r="AP580" s="6"/>
      <c r="AQ580" s="6" t="b">
        <v>1</v>
      </c>
      <c r="AR580" s="6" t="s">
        <v>18759</v>
      </c>
      <c r="AS580" s="6"/>
    </row>
    <row r="581" ht="15.75" customHeight="1">
      <c r="A581" s="7" t="s">
        <v>9847</v>
      </c>
      <c r="B581" s="7" t="s">
        <v>9848</v>
      </c>
      <c r="C581" s="7" t="s">
        <v>58</v>
      </c>
      <c r="D581" s="7" t="s">
        <v>59</v>
      </c>
      <c r="E581" s="7" t="s">
        <v>374</v>
      </c>
      <c r="F581" s="7">
        <v>12.0</v>
      </c>
      <c r="G581" s="7"/>
      <c r="H581" s="7"/>
      <c r="I581" s="7"/>
      <c r="J581" s="7"/>
      <c r="K581" s="7" t="s">
        <v>18760</v>
      </c>
      <c r="L581" s="7">
        <v>97442.0</v>
      </c>
      <c r="M581" s="7" t="s">
        <v>33</v>
      </c>
      <c r="N581" s="7"/>
      <c r="O581" s="7" t="s">
        <v>9855</v>
      </c>
      <c r="P581" s="42" t="s">
        <v>9851</v>
      </c>
      <c r="Q581" s="43" t="s">
        <v>18761</v>
      </c>
      <c r="R581" s="50"/>
      <c r="S581" s="51"/>
      <c r="T581" s="7"/>
      <c r="U581" s="7"/>
      <c r="V581" s="7"/>
      <c r="W581" s="7"/>
      <c r="X581" s="7"/>
      <c r="Y581" s="7"/>
      <c r="Z581" s="7" t="s">
        <v>378</v>
      </c>
      <c r="AA581" s="7"/>
      <c r="AB581" s="7"/>
      <c r="AC581" s="7"/>
      <c r="AD581" s="7"/>
      <c r="AE581" s="6" t="s">
        <v>12355</v>
      </c>
      <c r="AF581" s="63">
        <v>45434.37527777778</v>
      </c>
      <c r="AG581" s="7" t="s">
        <v>18762</v>
      </c>
      <c r="AH581" s="46" t="s">
        <v>18763</v>
      </c>
      <c r="AI581" s="7"/>
      <c r="AJ581" s="7"/>
      <c r="AK581" s="7" t="b">
        <v>0</v>
      </c>
      <c r="AL581" s="7" t="b">
        <v>0</v>
      </c>
      <c r="AM581" s="6" t="s">
        <v>18764</v>
      </c>
      <c r="AN581" s="6" t="s">
        <v>9847</v>
      </c>
      <c r="AO581" s="7"/>
      <c r="AP581" s="7"/>
      <c r="AQ581" s="6" t="b">
        <v>0</v>
      </c>
      <c r="AR581" s="6" t="s">
        <v>18765</v>
      </c>
      <c r="AS581" s="48" t="s">
        <v>12303</v>
      </c>
    </row>
    <row r="582" ht="15.75" customHeight="1">
      <c r="A582" s="7" t="s">
        <v>3945</v>
      </c>
      <c r="B582" s="7" t="s">
        <v>3946</v>
      </c>
      <c r="C582" s="7" t="s">
        <v>58</v>
      </c>
      <c r="D582" s="7" t="s">
        <v>59</v>
      </c>
      <c r="E582" s="7" t="s">
        <v>2013</v>
      </c>
      <c r="F582" s="7">
        <v>11.0</v>
      </c>
      <c r="G582" s="7" t="s">
        <v>455</v>
      </c>
      <c r="H582" s="7" t="s">
        <v>1865</v>
      </c>
      <c r="I582" s="7" t="s">
        <v>578</v>
      </c>
      <c r="J582" s="41" t="s">
        <v>18766</v>
      </c>
      <c r="K582" s="7" t="s">
        <v>16457</v>
      </c>
      <c r="L582" s="7">
        <v>97418.0</v>
      </c>
      <c r="M582" s="7" t="s">
        <v>71</v>
      </c>
      <c r="N582" s="7" t="s">
        <v>216</v>
      </c>
      <c r="O582" s="6" t="s">
        <v>18767</v>
      </c>
      <c r="P582" s="42" t="s">
        <v>3951</v>
      </c>
      <c r="Q582" s="43" t="s">
        <v>18768</v>
      </c>
      <c r="R582" s="50"/>
      <c r="S582" s="51"/>
      <c r="T582" s="7" t="s">
        <v>3953</v>
      </c>
      <c r="U582" s="7" t="s">
        <v>3952</v>
      </c>
      <c r="V582" s="7" t="s">
        <v>3954</v>
      </c>
      <c r="W582" s="6" t="s">
        <v>18769</v>
      </c>
      <c r="X582" s="7" t="s">
        <v>3949</v>
      </c>
      <c r="Y582" s="7" t="s">
        <v>3950</v>
      </c>
      <c r="Z582" s="7" t="s">
        <v>592</v>
      </c>
      <c r="AA582" s="7"/>
      <c r="AB582" s="7"/>
      <c r="AC582" s="7">
        <v>5.2532989200026E13</v>
      </c>
      <c r="AD582" s="7">
        <v>5.25329892E8</v>
      </c>
      <c r="AE582" s="6" t="s">
        <v>12355</v>
      </c>
      <c r="AF582" s="45">
        <v>46043.5765625</v>
      </c>
      <c r="AG582" s="7" t="s">
        <v>18770</v>
      </c>
      <c r="AH582" s="46" t="s">
        <v>18771</v>
      </c>
      <c r="AI582" s="7"/>
      <c r="AJ582" s="6" t="s">
        <v>18772</v>
      </c>
      <c r="AK582" s="7" t="b">
        <v>0</v>
      </c>
      <c r="AL582" s="7" t="b">
        <v>0</v>
      </c>
      <c r="AM582" s="6" t="s">
        <v>3960</v>
      </c>
      <c r="AN582" s="6" t="s">
        <v>3945</v>
      </c>
      <c r="AO582" s="6">
        <v>4527.0</v>
      </c>
      <c r="AP582" s="6"/>
      <c r="AQ582" s="6" t="b">
        <v>1</v>
      </c>
      <c r="AR582" s="6" t="s">
        <v>18773</v>
      </c>
      <c r="AS582" s="48" t="s">
        <v>12303</v>
      </c>
    </row>
    <row r="583" ht="15.75" customHeight="1">
      <c r="A583" s="7" t="s">
        <v>5484</v>
      </c>
      <c r="B583" s="7" t="s">
        <v>5485</v>
      </c>
      <c r="C583" s="7" t="s">
        <v>2832</v>
      </c>
      <c r="D583" s="7" t="s">
        <v>2833</v>
      </c>
      <c r="E583" s="7" t="s">
        <v>5488</v>
      </c>
      <c r="F583" s="7"/>
      <c r="G583" s="7" t="s">
        <v>375</v>
      </c>
      <c r="H583" s="7"/>
      <c r="I583" s="7"/>
      <c r="J583" s="7">
        <v>15.0</v>
      </c>
      <c r="K583" s="7" t="s">
        <v>18774</v>
      </c>
      <c r="L583" s="7">
        <v>97480.0</v>
      </c>
      <c r="M583" s="7" t="s">
        <v>123</v>
      </c>
      <c r="N583" s="7" t="s">
        <v>206</v>
      </c>
      <c r="O583" s="7" t="s">
        <v>5495</v>
      </c>
      <c r="P583" s="42" t="s">
        <v>5489</v>
      </c>
      <c r="Q583" s="43" t="s">
        <v>18775</v>
      </c>
      <c r="R583" s="50"/>
      <c r="S583" s="47" t="s">
        <v>5487</v>
      </c>
      <c r="T583" s="7" t="s">
        <v>5491</v>
      </c>
      <c r="U583" s="7" t="s">
        <v>5490</v>
      </c>
      <c r="V583" s="7"/>
      <c r="W583" s="7" t="s">
        <v>3059</v>
      </c>
      <c r="X583" s="7" t="s">
        <v>1108</v>
      </c>
      <c r="Y583" s="7"/>
      <c r="Z583" s="7" t="s">
        <v>592</v>
      </c>
      <c r="AA583" s="7"/>
      <c r="AB583" s="7"/>
      <c r="AC583" s="7"/>
      <c r="AD583" s="7"/>
      <c r="AE583" s="6" t="s">
        <v>12355</v>
      </c>
      <c r="AF583" s="45">
        <v>44872.45898148148</v>
      </c>
      <c r="AG583" s="7" t="s">
        <v>18776</v>
      </c>
      <c r="AH583" s="46" t="s">
        <v>18777</v>
      </c>
      <c r="AI583" s="7"/>
      <c r="AJ583" s="7"/>
      <c r="AK583" s="7" t="b">
        <v>0</v>
      </c>
      <c r="AL583" s="7" t="b">
        <v>0</v>
      </c>
      <c r="AM583" s="7"/>
      <c r="AN583" s="6" t="s">
        <v>5484</v>
      </c>
      <c r="AO583" s="6">
        <v>1722.0</v>
      </c>
      <c r="AP583" s="6"/>
      <c r="AQ583" s="6" t="b">
        <v>1</v>
      </c>
      <c r="AR583" s="6"/>
      <c r="AS583" s="6"/>
    </row>
    <row r="584" ht="15.75" customHeight="1">
      <c r="A584" s="9" t="s">
        <v>10427</v>
      </c>
      <c r="B584" s="9" t="s">
        <v>18778</v>
      </c>
      <c r="C584" s="9" t="s">
        <v>117</v>
      </c>
      <c r="D584" s="9" t="s">
        <v>1405</v>
      </c>
      <c r="E584" s="9" t="s">
        <v>1406</v>
      </c>
      <c r="I584" s="9" t="s">
        <v>18779</v>
      </c>
      <c r="J584" s="52" t="s">
        <v>14878</v>
      </c>
      <c r="K584" s="9" t="s">
        <v>18315</v>
      </c>
      <c r="L584" s="9">
        <v>97442.0</v>
      </c>
      <c r="M584" s="9" t="s">
        <v>33</v>
      </c>
      <c r="N584" s="9" t="s">
        <v>15096</v>
      </c>
      <c r="O584" s="9" t="s">
        <v>18780</v>
      </c>
      <c r="P584" s="53" t="s">
        <v>18781</v>
      </c>
      <c r="Q584" s="49" t="s">
        <v>18782</v>
      </c>
      <c r="R584" s="50"/>
      <c r="S584" s="54" t="s">
        <v>18783</v>
      </c>
      <c r="T584" s="9" t="s">
        <v>18784</v>
      </c>
      <c r="U584" s="9" t="s">
        <v>18785</v>
      </c>
      <c r="V584" s="9" t="s">
        <v>18786</v>
      </c>
      <c r="W584" s="9" t="s">
        <v>14892</v>
      </c>
      <c r="X584" s="9" t="s">
        <v>18787</v>
      </c>
      <c r="Z584" s="9" t="s">
        <v>353</v>
      </c>
      <c r="AC584" s="9">
        <v>3.946923960001E13</v>
      </c>
      <c r="AD584" s="9">
        <v>3.94692396E8</v>
      </c>
      <c r="AE584" s="9" t="s">
        <v>401</v>
      </c>
      <c r="AF584" s="55">
        <v>45831.289131944446</v>
      </c>
      <c r="AG584" s="9" t="s">
        <v>18788</v>
      </c>
      <c r="AH584" s="9" t="s">
        <v>18789</v>
      </c>
      <c r="AJ584" s="9" t="s">
        <v>18790</v>
      </c>
      <c r="AK584" s="9" t="b">
        <v>0</v>
      </c>
      <c r="AL584" s="9" t="b">
        <v>0</v>
      </c>
      <c r="AN584" s="9" t="s">
        <v>10427</v>
      </c>
      <c r="AP584" s="56">
        <v>44452.0</v>
      </c>
      <c r="AQ584" s="6" t="b">
        <v>0</v>
      </c>
      <c r="AR584" s="6" t="s">
        <v>18791</v>
      </c>
      <c r="AS584" s="48" t="s">
        <v>12303</v>
      </c>
    </row>
    <row r="585" ht="15.75" customHeight="1">
      <c r="A585" s="7" t="s">
        <v>2029</v>
      </c>
      <c r="B585" s="7" t="s">
        <v>18792</v>
      </c>
      <c r="C585" s="7" t="s">
        <v>58</v>
      </c>
      <c r="D585" s="7" t="s">
        <v>59</v>
      </c>
      <c r="E585" s="7" t="s">
        <v>2013</v>
      </c>
      <c r="F585" s="7">
        <v>6.0</v>
      </c>
      <c r="G585" s="7" t="s">
        <v>422</v>
      </c>
      <c r="H585" s="7" t="s">
        <v>2036</v>
      </c>
      <c r="I585" s="6" t="s">
        <v>18793</v>
      </c>
      <c r="J585" s="7" t="s">
        <v>18794</v>
      </c>
      <c r="K585" s="7" t="s">
        <v>18795</v>
      </c>
      <c r="L585" s="7">
        <v>97418.0</v>
      </c>
      <c r="M585" s="7" t="s">
        <v>71</v>
      </c>
      <c r="N585" s="7" t="s">
        <v>216</v>
      </c>
      <c r="O585" s="6" t="s">
        <v>18796</v>
      </c>
      <c r="P585" s="42" t="s">
        <v>2035</v>
      </c>
      <c r="Q585" s="43" t="s">
        <v>18797</v>
      </c>
      <c r="R585" s="50"/>
      <c r="S585" s="47"/>
      <c r="T585" s="7" t="s">
        <v>2038</v>
      </c>
      <c r="U585" s="7" t="s">
        <v>2037</v>
      </c>
      <c r="V585" s="7" t="s">
        <v>2039</v>
      </c>
      <c r="W585" s="6" t="s">
        <v>18798</v>
      </c>
      <c r="X585" s="7" t="s">
        <v>2034</v>
      </c>
      <c r="Y585" s="6" t="s">
        <v>499</v>
      </c>
      <c r="Z585" s="7" t="s">
        <v>592</v>
      </c>
      <c r="AA585" s="7" t="s">
        <v>2045</v>
      </c>
      <c r="AB585" s="7" t="s">
        <v>2046</v>
      </c>
      <c r="AC585" s="7">
        <v>8.1526977400015E13</v>
      </c>
      <c r="AD585" s="7">
        <v>8.15269774E8</v>
      </c>
      <c r="AE585" s="6" t="s">
        <v>12355</v>
      </c>
      <c r="AF585" s="63">
        <v>44861.410578703704</v>
      </c>
      <c r="AG585" s="7" t="s">
        <v>18799</v>
      </c>
      <c r="AH585" s="46" t="s">
        <v>18800</v>
      </c>
      <c r="AI585" s="7"/>
      <c r="AJ585" s="6" t="s">
        <v>18801</v>
      </c>
      <c r="AK585" s="7" t="b">
        <v>0</v>
      </c>
      <c r="AL585" s="6" t="b">
        <v>1</v>
      </c>
      <c r="AM585" s="6" t="s">
        <v>2047</v>
      </c>
      <c r="AN585" s="6" t="s">
        <v>2029</v>
      </c>
      <c r="AO585" s="6">
        <v>4031.0</v>
      </c>
      <c r="AP585" s="6"/>
      <c r="AQ585" s="6" t="b">
        <v>1</v>
      </c>
      <c r="AR585" s="6" t="s">
        <v>18802</v>
      </c>
      <c r="AS585" s="48" t="s">
        <v>12303</v>
      </c>
    </row>
    <row r="586" ht="15.75" customHeight="1">
      <c r="A586" s="9" t="s">
        <v>11947</v>
      </c>
      <c r="B586" s="9" t="s">
        <v>18803</v>
      </c>
      <c r="C586" s="9" t="s">
        <v>58</v>
      </c>
      <c r="D586" s="9" t="s">
        <v>453</v>
      </c>
      <c r="E586" s="9" t="s">
        <v>454</v>
      </c>
      <c r="F586" s="9">
        <v>15.0</v>
      </c>
      <c r="G586" s="9" t="s">
        <v>422</v>
      </c>
      <c r="H586" s="9" t="s">
        <v>747</v>
      </c>
      <c r="I586" s="9" t="s">
        <v>751</v>
      </c>
      <c r="J586" s="52" t="s">
        <v>15221</v>
      </c>
      <c r="K586" s="9" t="s">
        <v>18804</v>
      </c>
      <c r="L586" s="9">
        <v>97480.0</v>
      </c>
      <c r="M586" s="9" t="s">
        <v>123</v>
      </c>
      <c r="N586" s="9" t="s">
        <v>16255</v>
      </c>
      <c r="O586" s="9" t="s">
        <v>18805</v>
      </c>
      <c r="P586" s="53" t="s">
        <v>18806</v>
      </c>
      <c r="Q586" s="49" t="s">
        <v>18807</v>
      </c>
      <c r="R586" s="50"/>
      <c r="S586" s="58" t="s">
        <v>18808</v>
      </c>
      <c r="T586" s="9" t="s">
        <v>18809</v>
      </c>
      <c r="U586" s="9" t="s">
        <v>18810</v>
      </c>
      <c r="V586" s="9" t="s">
        <v>18811</v>
      </c>
      <c r="W586" s="9" t="s">
        <v>18812</v>
      </c>
      <c r="X586" s="9" t="s">
        <v>18813</v>
      </c>
      <c r="Y586" s="9" t="s">
        <v>12478</v>
      </c>
      <c r="Z586" s="9" t="s">
        <v>424</v>
      </c>
      <c r="AC586" s="9">
        <v>9.17650046E8</v>
      </c>
      <c r="AD586" s="9">
        <v>9.17650046E8</v>
      </c>
      <c r="AE586" s="9" t="s">
        <v>12355</v>
      </c>
      <c r="AF586" s="55">
        <v>45842.61001157408</v>
      </c>
      <c r="AG586" s="9" t="s">
        <v>18814</v>
      </c>
      <c r="AH586" s="9" t="s">
        <v>18815</v>
      </c>
      <c r="AJ586" s="9" t="s">
        <v>18816</v>
      </c>
      <c r="AK586" s="9" t="b">
        <v>0</v>
      </c>
      <c r="AL586" s="9" t="b">
        <v>0</v>
      </c>
      <c r="AM586" s="9" t="s">
        <v>18817</v>
      </c>
      <c r="AN586" s="9" t="s">
        <v>11947</v>
      </c>
      <c r="AP586" s="56">
        <v>44804.0</v>
      </c>
      <c r="AQ586" s="9" t="b">
        <v>1</v>
      </c>
    </row>
    <row r="587" ht="15.75" customHeight="1">
      <c r="A587" s="7" t="s">
        <v>9667</v>
      </c>
      <c r="B587" s="7" t="s">
        <v>18818</v>
      </c>
      <c r="C587" s="7" t="s">
        <v>58</v>
      </c>
      <c r="D587" s="7" t="s">
        <v>453</v>
      </c>
      <c r="E587" s="7" t="s">
        <v>454</v>
      </c>
      <c r="F587" s="7">
        <v>10.0</v>
      </c>
      <c r="G587" s="7" t="s">
        <v>455</v>
      </c>
      <c r="H587" s="7"/>
      <c r="I587" s="7"/>
      <c r="J587" s="7">
        <v>84.0</v>
      </c>
      <c r="K587" s="7" t="s">
        <v>14279</v>
      </c>
      <c r="L587" s="7">
        <v>97430.0</v>
      </c>
      <c r="M587" s="7" t="s">
        <v>71</v>
      </c>
      <c r="N587" s="6" t="s">
        <v>15303</v>
      </c>
      <c r="O587" s="6" t="s">
        <v>18819</v>
      </c>
      <c r="P587" s="42" t="s">
        <v>9672</v>
      </c>
      <c r="Q587" s="43" t="s">
        <v>18820</v>
      </c>
      <c r="R587" s="50"/>
      <c r="S587" s="51"/>
      <c r="T587" s="6" t="s">
        <v>18821</v>
      </c>
      <c r="U587" s="7"/>
      <c r="V587" s="7"/>
      <c r="W587" s="6" t="s">
        <v>18822</v>
      </c>
      <c r="X587" s="6" t="s">
        <v>18823</v>
      </c>
      <c r="Y587" s="7" t="s">
        <v>8184</v>
      </c>
      <c r="Z587" s="7" t="s">
        <v>353</v>
      </c>
      <c r="AA587" s="7" t="s">
        <v>4318</v>
      </c>
      <c r="AB587" s="7" t="s">
        <v>1876</v>
      </c>
      <c r="AC587" s="7"/>
      <c r="AD587" s="7"/>
      <c r="AE587" s="6" t="s">
        <v>12355</v>
      </c>
      <c r="AF587" s="45">
        <v>44858.61414351852</v>
      </c>
      <c r="AG587" s="7" t="s">
        <v>15312</v>
      </c>
      <c r="AH587" s="46" t="s">
        <v>18824</v>
      </c>
      <c r="AI587" s="7"/>
      <c r="AJ587" s="7"/>
      <c r="AK587" s="6" t="b">
        <v>1</v>
      </c>
      <c r="AL587" s="7" t="b">
        <v>0</v>
      </c>
      <c r="AM587" s="6" t="s">
        <v>9678</v>
      </c>
      <c r="AN587" s="6" t="s">
        <v>9667</v>
      </c>
      <c r="AO587" s="7"/>
      <c r="AP587" s="7"/>
      <c r="AQ587" s="6" t="b">
        <v>0</v>
      </c>
      <c r="AR587" s="6"/>
      <c r="AS587" s="6" t="s">
        <v>12303</v>
      </c>
    </row>
    <row r="588" ht="15.75" customHeight="1">
      <c r="A588" s="7" t="s">
        <v>9680</v>
      </c>
      <c r="B588" s="7" t="s">
        <v>18818</v>
      </c>
      <c r="C588" s="7" t="s">
        <v>34</v>
      </c>
      <c r="D588" s="7" t="s">
        <v>485</v>
      </c>
      <c r="E588" s="7" t="s">
        <v>486</v>
      </c>
      <c r="F588" s="7">
        <v>15.0</v>
      </c>
      <c r="G588" s="7" t="s">
        <v>455</v>
      </c>
      <c r="H588" s="7"/>
      <c r="I588" s="7"/>
      <c r="J588" s="7">
        <v>84.0</v>
      </c>
      <c r="K588" s="7" t="s">
        <v>14279</v>
      </c>
      <c r="L588" s="7">
        <v>97430.0</v>
      </c>
      <c r="M588" s="7" t="s">
        <v>71</v>
      </c>
      <c r="N588" s="7"/>
      <c r="O588" s="7" t="s">
        <v>9677</v>
      </c>
      <c r="P588" s="42" t="s">
        <v>9672</v>
      </c>
      <c r="Q588" s="43" t="s">
        <v>18820</v>
      </c>
      <c r="R588" s="50"/>
      <c r="S588" s="51"/>
      <c r="T588" s="7" t="s">
        <v>9682</v>
      </c>
      <c r="U588" s="7"/>
      <c r="V588" s="7"/>
      <c r="W588" s="6" t="s">
        <v>18825</v>
      </c>
      <c r="X588" s="7"/>
      <c r="Y588" s="7" t="s">
        <v>8184</v>
      </c>
      <c r="Z588" s="7" t="s">
        <v>353</v>
      </c>
      <c r="AA588" s="7"/>
      <c r="AB588" s="7"/>
      <c r="AC588" s="7"/>
      <c r="AD588" s="7"/>
      <c r="AE588" s="6" t="s">
        <v>12355</v>
      </c>
      <c r="AF588" s="45">
        <v>44858.613912037035</v>
      </c>
      <c r="AG588" s="7" t="s">
        <v>15312</v>
      </c>
      <c r="AH588" s="46" t="s">
        <v>18826</v>
      </c>
      <c r="AI588" s="7"/>
      <c r="AJ588" s="7"/>
      <c r="AK588" s="7" t="b">
        <v>0</v>
      </c>
      <c r="AL588" s="7" t="b">
        <v>0</v>
      </c>
      <c r="AM588" s="7"/>
      <c r="AN588" s="6" t="s">
        <v>9680</v>
      </c>
      <c r="AO588" s="7"/>
      <c r="AP588" s="7"/>
      <c r="AQ588" s="6" t="b">
        <v>0</v>
      </c>
      <c r="AR588" s="6" t="s">
        <v>18827</v>
      </c>
      <c r="AS588" s="6" t="s">
        <v>12303</v>
      </c>
    </row>
    <row r="589" ht="15.75" customHeight="1">
      <c r="A589" s="7" t="s">
        <v>8397</v>
      </c>
      <c r="B589" s="7" t="s">
        <v>8398</v>
      </c>
      <c r="C589" s="7" t="s">
        <v>58</v>
      </c>
      <c r="D589" s="7" t="s">
        <v>59</v>
      </c>
      <c r="E589" s="7" t="s">
        <v>346</v>
      </c>
      <c r="F589" s="6">
        <v>6.0</v>
      </c>
      <c r="G589" s="7"/>
      <c r="H589" s="7"/>
      <c r="I589" s="7"/>
      <c r="J589" s="6" t="s">
        <v>18828</v>
      </c>
      <c r="K589" s="7" t="s">
        <v>18829</v>
      </c>
      <c r="L589" s="7">
        <v>97430.0</v>
      </c>
      <c r="M589" s="7" t="s">
        <v>71</v>
      </c>
      <c r="N589" s="7"/>
      <c r="O589" s="6" t="s">
        <v>18830</v>
      </c>
      <c r="P589" s="53" t="s">
        <v>8401</v>
      </c>
      <c r="Q589" s="43" t="s">
        <v>18831</v>
      </c>
      <c r="R589" s="43" t="s">
        <v>18832</v>
      </c>
      <c r="S589" s="51"/>
      <c r="T589" s="6" t="s">
        <v>18833</v>
      </c>
      <c r="U589" s="7"/>
      <c r="V589" s="7"/>
      <c r="W589" s="6" t="s">
        <v>18834</v>
      </c>
      <c r="X589" s="7"/>
      <c r="Y589" s="7" t="s">
        <v>377</v>
      </c>
      <c r="Z589" s="7" t="s">
        <v>424</v>
      </c>
      <c r="AA589" s="7"/>
      <c r="AB589" s="7"/>
      <c r="AC589" s="7"/>
      <c r="AD589" s="7"/>
      <c r="AE589" s="6" t="s">
        <v>401</v>
      </c>
      <c r="AF589" s="63">
        <v>44848.58018518519</v>
      </c>
      <c r="AG589" s="7" t="s">
        <v>18835</v>
      </c>
      <c r="AH589" s="46" t="s">
        <v>18836</v>
      </c>
      <c r="AI589" s="7"/>
      <c r="AJ589" s="7"/>
      <c r="AK589" s="7" t="b">
        <v>0</v>
      </c>
      <c r="AL589" s="7" t="b">
        <v>0</v>
      </c>
      <c r="AM589" s="6" t="s">
        <v>8406</v>
      </c>
      <c r="AN589" s="6" t="s">
        <v>8397</v>
      </c>
      <c r="AO589" s="6">
        <v>3899.0</v>
      </c>
      <c r="AP589" s="6"/>
      <c r="AQ589" s="6" t="b">
        <v>0</v>
      </c>
      <c r="AR589" s="6"/>
      <c r="AS589" s="6"/>
    </row>
    <row r="590" ht="15.75" customHeight="1">
      <c r="A590" s="7" t="s">
        <v>5372</v>
      </c>
      <c r="B590" s="6" t="s">
        <v>18837</v>
      </c>
      <c r="C590" s="7" t="s">
        <v>58</v>
      </c>
      <c r="D590" s="7" t="s">
        <v>59</v>
      </c>
      <c r="E590" s="7" t="s">
        <v>346</v>
      </c>
      <c r="F590" s="6">
        <v>6.0</v>
      </c>
      <c r="G590" s="7"/>
      <c r="H590" s="7" t="s">
        <v>2716</v>
      </c>
      <c r="I590" s="7"/>
      <c r="J590" s="6" t="s">
        <v>18838</v>
      </c>
      <c r="K590" s="7" t="s">
        <v>18839</v>
      </c>
      <c r="L590" s="7">
        <v>97430.0</v>
      </c>
      <c r="M590" s="7" t="s">
        <v>71</v>
      </c>
      <c r="N590" s="7"/>
      <c r="O590" s="6" t="s">
        <v>18840</v>
      </c>
      <c r="P590" s="42" t="s">
        <v>5378</v>
      </c>
      <c r="Q590" s="43" t="s">
        <v>18841</v>
      </c>
      <c r="R590" s="50"/>
      <c r="S590" s="47"/>
      <c r="T590" s="6" t="s">
        <v>18842</v>
      </c>
      <c r="U590" s="6" t="s">
        <v>18843</v>
      </c>
      <c r="V590" s="7"/>
      <c r="W590" s="6" t="s">
        <v>18844</v>
      </c>
      <c r="X590" s="7" t="s">
        <v>5377</v>
      </c>
      <c r="Y590" s="6" t="s">
        <v>1863</v>
      </c>
      <c r="Z590" s="7" t="s">
        <v>592</v>
      </c>
      <c r="AA590" s="7" t="s">
        <v>1828</v>
      </c>
      <c r="AB590" s="7" t="s">
        <v>1590</v>
      </c>
      <c r="AC590" s="6">
        <v>8.8472013700014E13</v>
      </c>
      <c r="AD590" s="6">
        <v>8.84720137E8</v>
      </c>
      <c r="AE590" s="6" t="s">
        <v>401</v>
      </c>
      <c r="AF590" s="45">
        <v>45463.404328703706</v>
      </c>
      <c r="AG590" s="7" t="s">
        <v>18845</v>
      </c>
      <c r="AH590" s="46" t="s">
        <v>18846</v>
      </c>
      <c r="AI590" s="7"/>
      <c r="AJ590" s="6" t="s">
        <v>18847</v>
      </c>
      <c r="AK590" s="7" t="b">
        <v>0</v>
      </c>
      <c r="AL590" s="6" t="b">
        <v>1</v>
      </c>
      <c r="AM590" s="6" t="s">
        <v>5385</v>
      </c>
      <c r="AN590" s="6" t="s">
        <v>5372</v>
      </c>
      <c r="AO590" s="7"/>
      <c r="AP590" s="7"/>
      <c r="AQ590" s="6" t="b">
        <v>1</v>
      </c>
      <c r="AR590" s="6"/>
      <c r="AS590" s="6"/>
    </row>
    <row r="591" ht="15.75" customHeight="1">
      <c r="A591" s="7" t="s">
        <v>9698</v>
      </c>
      <c r="B591" s="7" t="s">
        <v>9699</v>
      </c>
      <c r="C591" s="6" t="s">
        <v>117</v>
      </c>
      <c r="D591" s="7"/>
      <c r="E591" s="7"/>
      <c r="F591" s="7"/>
      <c r="G591" s="7"/>
      <c r="H591" s="7"/>
      <c r="I591" s="7"/>
      <c r="J591" s="7"/>
      <c r="K591" s="7"/>
      <c r="L591" s="7">
        <v>97480.0</v>
      </c>
      <c r="M591" s="7" t="s">
        <v>123</v>
      </c>
      <c r="N591" s="7"/>
      <c r="O591" s="6" t="s">
        <v>18848</v>
      </c>
      <c r="P591" s="42" t="s">
        <v>3073</v>
      </c>
      <c r="Q591" s="43" t="s">
        <v>18849</v>
      </c>
      <c r="R591" s="50"/>
      <c r="S591" s="47" t="s">
        <v>9700</v>
      </c>
      <c r="T591" s="7" t="s">
        <v>9701</v>
      </c>
      <c r="U591" s="7"/>
      <c r="V591" s="7"/>
      <c r="W591" s="7"/>
      <c r="X591" s="7"/>
      <c r="Y591" s="7"/>
      <c r="Z591" s="7"/>
      <c r="AA591" s="7"/>
      <c r="AB591" s="7"/>
      <c r="AC591" s="7">
        <v>4.8486574600024E13</v>
      </c>
      <c r="AD591" s="7">
        <v>4.84865746E8</v>
      </c>
      <c r="AE591" s="6" t="s">
        <v>12355</v>
      </c>
      <c r="AF591" s="45">
        <v>44848.40288194444</v>
      </c>
      <c r="AG591" s="7" t="s">
        <v>18850</v>
      </c>
      <c r="AH591" s="46" t="s">
        <v>18851</v>
      </c>
      <c r="AI591" s="7"/>
      <c r="AJ591" s="7"/>
      <c r="AK591" s="7" t="b">
        <v>0</v>
      </c>
      <c r="AL591" s="7" t="b">
        <v>0</v>
      </c>
      <c r="AM591" s="7"/>
      <c r="AN591" s="6" t="s">
        <v>9698</v>
      </c>
      <c r="AO591" s="7"/>
      <c r="AP591" s="7"/>
      <c r="AQ591" s="6" t="b">
        <v>0</v>
      </c>
      <c r="AR591" s="6"/>
      <c r="AS591" s="6"/>
    </row>
    <row r="592" ht="15.75" customHeight="1">
      <c r="A592" s="7" t="s">
        <v>8284</v>
      </c>
      <c r="B592" s="7" t="s">
        <v>8285</v>
      </c>
      <c r="C592" s="6" t="s">
        <v>117</v>
      </c>
      <c r="D592" s="7" t="s">
        <v>197</v>
      </c>
      <c r="E592" s="6" t="s">
        <v>559</v>
      </c>
      <c r="F592" s="7"/>
      <c r="G592" s="6" t="s">
        <v>455</v>
      </c>
      <c r="H592" s="7"/>
      <c r="I592" s="7"/>
      <c r="J592" s="7">
        <v>31.0</v>
      </c>
      <c r="K592" s="7" t="s">
        <v>14482</v>
      </c>
      <c r="L592" s="7">
        <v>97480.0</v>
      </c>
      <c r="M592" s="7" t="s">
        <v>123</v>
      </c>
      <c r="N592" s="7" t="s">
        <v>3556</v>
      </c>
      <c r="O592" s="6" t="s">
        <v>18852</v>
      </c>
      <c r="P592" s="42"/>
      <c r="Q592" s="43" t="s">
        <v>18853</v>
      </c>
      <c r="R592" s="50"/>
      <c r="S592" s="51"/>
      <c r="T592" s="6" t="s">
        <v>18854</v>
      </c>
      <c r="U592" s="6" t="s">
        <v>18855</v>
      </c>
      <c r="V592" s="7"/>
      <c r="W592" s="6" t="s">
        <v>18856</v>
      </c>
      <c r="X592" s="7"/>
      <c r="Y592" s="7"/>
      <c r="Z592" s="6" t="s">
        <v>353</v>
      </c>
      <c r="AA592" s="7"/>
      <c r="AB592" s="7"/>
      <c r="AC592" s="7">
        <v>8.4398865000019E13</v>
      </c>
      <c r="AD592" s="7">
        <v>8.4398865E8</v>
      </c>
      <c r="AE592" s="6" t="s">
        <v>12355</v>
      </c>
      <c r="AF592" s="63">
        <v>45379.47790509259</v>
      </c>
      <c r="AG592" s="7" t="s">
        <v>18857</v>
      </c>
      <c r="AH592" s="46" t="s">
        <v>18858</v>
      </c>
      <c r="AI592" s="7"/>
      <c r="AJ592" s="6" t="s">
        <v>18859</v>
      </c>
      <c r="AK592" s="7" t="b">
        <v>0</v>
      </c>
      <c r="AL592" s="7" t="b">
        <v>0</v>
      </c>
      <c r="AM592" s="7"/>
      <c r="AN592" s="6" t="s">
        <v>8284</v>
      </c>
      <c r="AO592" s="7"/>
      <c r="AP592" s="7"/>
      <c r="AQ592" s="6" t="b">
        <v>0</v>
      </c>
      <c r="AR592" s="6"/>
      <c r="AS592" s="6"/>
    </row>
    <row r="593" ht="15.75" customHeight="1">
      <c r="A593" s="7" t="s">
        <v>8972</v>
      </c>
      <c r="B593" s="7" t="s">
        <v>8973</v>
      </c>
      <c r="C593" s="6" t="s">
        <v>117</v>
      </c>
      <c r="D593" s="6" t="s">
        <v>1405</v>
      </c>
      <c r="E593" s="6" t="s">
        <v>4790</v>
      </c>
      <c r="F593" s="7"/>
      <c r="G593" s="6" t="s">
        <v>455</v>
      </c>
      <c r="H593" s="7"/>
      <c r="I593" s="7"/>
      <c r="J593" s="6" t="s">
        <v>18860</v>
      </c>
      <c r="K593" s="7" t="s">
        <v>14889</v>
      </c>
      <c r="L593" s="7">
        <v>97480.0</v>
      </c>
      <c r="M593" s="7" t="s">
        <v>123</v>
      </c>
      <c r="N593" s="6" t="s">
        <v>4456</v>
      </c>
      <c r="O593" s="7" t="s">
        <v>8976</v>
      </c>
      <c r="P593" s="42" t="s">
        <v>18861</v>
      </c>
      <c r="Q593" s="43" t="s">
        <v>18862</v>
      </c>
      <c r="R593" s="50"/>
      <c r="S593" s="51"/>
      <c r="T593" s="7" t="s">
        <v>8975</v>
      </c>
      <c r="U593" s="6" t="s">
        <v>18863</v>
      </c>
      <c r="V593" s="7"/>
      <c r="W593" s="6" t="s">
        <v>18864</v>
      </c>
      <c r="X593" s="6" t="s">
        <v>15342</v>
      </c>
      <c r="Y593" s="7"/>
      <c r="Z593" s="7"/>
      <c r="AA593" s="7"/>
      <c r="AB593" s="7"/>
      <c r="AC593" s="6">
        <v>4.9394820200012E13</v>
      </c>
      <c r="AD593" s="6">
        <v>4.93948202E8</v>
      </c>
      <c r="AE593" s="6" t="s">
        <v>401</v>
      </c>
      <c r="AF593" s="63">
        <v>44847.4896875</v>
      </c>
      <c r="AG593" s="7" t="s">
        <v>18865</v>
      </c>
      <c r="AH593" s="46" t="s">
        <v>18866</v>
      </c>
      <c r="AI593" s="7"/>
      <c r="AJ593" s="7"/>
      <c r="AK593" s="7" t="b">
        <v>0</v>
      </c>
      <c r="AL593" s="7" t="b">
        <v>0</v>
      </c>
      <c r="AM593" s="7"/>
      <c r="AN593" s="6" t="s">
        <v>8972</v>
      </c>
      <c r="AO593" s="7"/>
      <c r="AP593" s="7"/>
      <c r="AQ593" s="6" t="b">
        <v>0</v>
      </c>
      <c r="AR593" s="6"/>
      <c r="AS593" s="6" t="s">
        <v>12303</v>
      </c>
    </row>
    <row r="594" ht="15.75" customHeight="1">
      <c r="A594" s="7" t="s">
        <v>4106</v>
      </c>
      <c r="B594" s="7" t="s">
        <v>18743</v>
      </c>
      <c r="C594" s="6" t="s">
        <v>117</v>
      </c>
      <c r="D594" s="7" t="s">
        <v>1549</v>
      </c>
      <c r="E594" s="7" t="s">
        <v>1550</v>
      </c>
      <c r="F594" s="7"/>
      <c r="G594" s="7" t="s">
        <v>422</v>
      </c>
      <c r="H594" s="7"/>
      <c r="I594" s="7"/>
      <c r="J594" s="7" t="s">
        <v>18744</v>
      </c>
      <c r="K594" s="7" t="s">
        <v>12977</v>
      </c>
      <c r="L594" s="7">
        <v>97414.0</v>
      </c>
      <c r="M594" s="7" t="s">
        <v>40</v>
      </c>
      <c r="N594" s="7"/>
      <c r="O594" s="6" t="s">
        <v>18745</v>
      </c>
      <c r="P594" s="42" t="s">
        <v>4096</v>
      </c>
      <c r="Q594" s="43" t="s">
        <v>18746</v>
      </c>
      <c r="R594" s="43" t="s">
        <v>18747</v>
      </c>
      <c r="S594" s="47" t="s">
        <v>4092</v>
      </c>
      <c r="T594" s="7" t="s">
        <v>4111</v>
      </c>
      <c r="U594" s="7" t="s">
        <v>4110</v>
      </c>
      <c r="V594" s="7" t="s">
        <v>4099</v>
      </c>
      <c r="W594" s="6" t="s">
        <v>18867</v>
      </c>
      <c r="X594" s="7" t="s">
        <v>4109</v>
      </c>
      <c r="Y594" s="7" t="s">
        <v>2938</v>
      </c>
      <c r="Z594" s="7" t="s">
        <v>4095</v>
      </c>
      <c r="AA594" s="7"/>
      <c r="AB594" s="7"/>
      <c r="AC594" s="7">
        <v>5.1415231300011E13</v>
      </c>
      <c r="AD594" s="7">
        <v>5.14152313E8</v>
      </c>
      <c r="AE594" s="6" t="s">
        <v>12355</v>
      </c>
      <c r="AF594" s="45">
        <v>44847.34936342593</v>
      </c>
      <c r="AG594" s="7" t="s">
        <v>18749</v>
      </c>
      <c r="AH594" s="46" t="s">
        <v>18868</v>
      </c>
      <c r="AI594" s="7"/>
      <c r="AJ594" s="6" t="s">
        <v>18869</v>
      </c>
      <c r="AK594" s="7" t="b">
        <v>0</v>
      </c>
      <c r="AL594" s="7" t="b">
        <v>0</v>
      </c>
      <c r="AM594" s="7"/>
      <c r="AN594" s="6" t="s">
        <v>4106</v>
      </c>
      <c r="AO594" s="6">
        <v>2374.0</v>
      </c>
      <c r="AP594" s="6"/>
      <c r="AQ594" s="6" t="b">
        <v>1</v>
      </c>
      <c r="AR594" s="6"/>
      <c r="AS594" s="48" t="s">
        <v>12303</v>
      </c>
    </row>
    <row r="595" ht="15.75" customHeight="1">
      <c r="A595" s="9" t="s">
        <v>11917</v>
      </c>
      <c r="B595" s="9" t="s">
        <v>18870</v>
      </c>
      <c r="C595" s="9" t="s">
        <v>58</v>
      </c>
      <c r="D595" s="9" t="s">
        <v>59</v>
      </c>
      <c r="E595" s="9" t="s">
        <v>545</v>
      </c>
      <c r="F595" s="9">
        <v>6.0</v>
      </c>
      <c r="G595" s="9" t="s">
        <v>455</v>
      </c>
      <c r="H595" s="9" t="s">
        <v>5667</v>
      </c>
      <c r="J595" s="52" t="s">
        <v>12345</v>
      </c>
      <c r="K595" s="9" t="s">
        <v>18871</v>
      </c>
      <c r="L595" s="9">
        <v>97480.0</v>
      </c>
      <c r="M595" s="9" t="s">
        <v>123</v>
      </c>
      <c r="N595" s="9" t="s">
        <v>3556</v>
      </c>
      <c r="O595" s="9" t="s">
        <v>18872</v>
      </c>
      <c r="P595" s="53" t="s">
        <v>8782</v>
      </c>
      <c r="Q595" s="49" t="s">
        <v>18873</v>
      </c>
      <c r="R595" s="50"/>
      <c r="S595" s="54"/>
      <c r="T595" s="9" t="s">
        <v>18874</v>
      </c>
      <c r="U595" s="9" t="s">
        <v>18875</v>
      </c>
      <c r="V595" s="9" t="s">
        <v>18876</v>
      </c>
      <c r="W595" s="9" t="s">
        <v>18877</v>
      </c>
      <c r="X595" s="9" t="s">
        <v>18878</v>
      </c>
      <c r="Y595" s="9" t="s">
        <v>12715</v>
      </c>
      <c r="Z595" s="9" t="s">
        <v>592</v>
      </c>
      <c r="AC595" s="9">
        <v>9.9235298900014E13</v>
      </c>
      <c r="AD595" s="9">
        <v>9.92352989E8</v>
      </c>
      <c r="AE595" s="9" t="s">
        <v>401</v>
      </c>
      <c r="AF595" s="55">
        <v>45981.56657407407</v>
      </c>
      <c r="AG595" s="9" t="s">
        <v>18879</v>
      </c>
      <c r="AH595" s="9" t="s">
        <v>18880</v>
      </c>
      <c r="AJ595" s="9" t="s">
        <v>18881</v>
      </c>
      <c r="AK595" s="9" t="b">
        <v>0</v>
      </c>
      <c r="AL595" s="9" t="b">
        <v>0</v>
      </c>
      <c r="AM595" s="9" t="s">
        <v>18882</v>
      </c>
      <c r="AN595" s="9" t="s">
        <v>11917</v>
      </c>
      <c r="AP595" s="56">
        <v>44564.0</v>
      </c>
      <c r="AQ595" s="9" t="b">
        <v>1</v>
      </c>
      <c r="AS595" s="9" t="s">
        <v>12303</v>
      </c>
    </row>
    <row r="596" ht="15.75" customHeight="1">
      <c r="A596" s="7" t="s">
        <v>8779</v>
      </c>
      <c r="B596" s="6" t="s">
        <v>18883</v>
      </c>
      <c r="C596" s="7" t="s">
        <v>58</v>
      </c>
      <c r="D596" s="7" t="s">
        <v>59</v>
      </c>
      <c r="E596" s="6" t="s">
        <v>346</v>
      </c>
      <c r="F596" s="7">
        <v>14.0</v>
      </c>
      <c r="G596" s="6" t="s">
        <v>455</v>
      </c>
      <c r="H596" s="6" t="s">
        <v>355</v>
      </c>
      <c r="I596" s="7"/>
      <c r="J596" s="7">
        <v>3.0</v>
      </c>
      <c r="K596" s="7" t="s">
        <v>18884</v>
      </c>
      <c r="L596" s="7">
        <v>97418.0</v>
      </c>
      <c r="M596" s="7" t="s">
        <v>71</v>
      </c>
      <c r="N596" s="7" t="s">
        <v>216</v>
      </c>
      <c r="O596" s="6" t="s">
        <v>18885</v>
      </c>
      <c r="P596" s="42" t="s">
        <v>8782</v>
      </c>
      <c r="Q596" s="49" t="s">
        <v>18873</v>
      </c>
      <c r="R596" s="50"/>
      <c r="S596" s="51"/>
      <c r="T596" s="6" t="s">
        <v>18886</v>
      </c>
      <c r="U596" s="6" t="s">
        <v>18887</v>
      </c>
      <c r="V596" s="6" t="s">
        <v>18888</v>
      </c>
      <c r="W596" s="6" t="s">
        <v>18889</v>
      </c>
      <c r="X596" s="6" t="s">
        <v>18890</v>
      </c>
      <c r="Y596" s="6" t="s">
        <v>15702</v>
      </c>
      <c r="Z596" s="6" t="s">
        <v>353</v>
      </c>
      <c r="AA596" s="7"/>
      <c r="AB596" s="7"/>
      <c r="AC596" s="6">
        <v>9.9235298900014E13</v>
      </c>
      <c r="AD596" s="6">
        <v>9.92352989E8</v>
      </c>
      <c r="AE596" s="6" t="s">
        <v>401</v>
      </c>
      <c r="AF596" s="63">
        <v>46014.434525462966</v>
      </c>
      <c r="AG596" s="7" t="s">
        <v>18879</v>
      </c>
      <c r="AH596" s="46" t="s">
        <v>18891</v>
      </c>
      <c r="AI596" s="7"/>
      <c r="AJ596" s="6" t="s">
        <v>18892</v>
      </c>
      <c r="AK596" s="7" t="b">
        <v>0</v>
      </c>
      <c r="AL596" s="7" t="b">
        <v>0</v>
      </c>
      <c r="AM596" s="6" t="s">
        <v>8786</v>
      </c>
      <c r="AN596" s="6" t="s">
        <v>8779</v>
      </c>
      <c r="AO596" s="7"/>
      <c r="AP596" s="7"/>
      <c r="AQ596" s="6" t="b">
        <v>0</v>
      </c>
      <c r="AR596" s="6"/>
      <c r="AS596" s="48" t="s">
        <v>12303</v>
      </c>
    </row>
    <row r="597" ht="15.75" customHeight="1">
      <c r="A597" s="9" t="s">
        <v>11884</v>
      </c>
      <c r="B597" s="9" t="s">
        <v>18893</v>
      </c>
      <c r="C597" s="9" t="s">
        <v>117</v>
      </c>
      <c r="D597" s="9" t="s">
        <v>1405</v>
      </c>
      <c r="E597" s="9" t="s">
        <v>18894</v>
      </c>
      <c r="F597" s="9"/>
      <c r="G597" s="9" t="s">
        <v>455</v>
      </c>
      <c r="I597" s="9" t="s">
        <v>17130</v>
      </c>
      <c r="J597" s="52" t="s">
        <v>14838</v>
      </c>
      <c r="K597" s="9" t="s">
        <v>18895</v>
      </c>
      <c r="L597" s="9">
        <v>97418.0</v>
      </c>
      <c r="M597" s="9" t="s">
        <v>71</v>
      </c>
      <c r="N597" s="9" t="s">
        <v>216</v>
      </c>
      <c r="O597" s="9" t="s">
        <v>18896</v>
      </c>
      <c r="P597" s="53" t="s">
        <v>9058</v>
      </c>
      <c r="Q597" s="49" t="s">
        <v>18383</v>
      </c>
      <c r="R597" s="50"/>
      <c r="S597" s="54"/>
      <c r="T597" s="9" t="s">
        <v>18897</v>
      </c>
      <c r="U597" s="9" t="s">
        <v>18898</v>
      </c>
      <c r="V597" s="9" t="s">
        <v>18899</v>
      </c>
      <c r="W597" s="9" t="s">
        <v>14260</v>
      </c>
      <c r="X597" s="9" t="s">
        <v>1534</v>
      </c>
      <c r="Y597" s="9" t="s">
        <v>2390</v>
      </c>
      <c r="Z597" s="9" t="s">
        <v>592</v>
      </c>
      <c r="AC597" s="9">
        <v>4.346787930001E13</v>
      </c>
      <c r="AD597" s="9">
        <v>4.34678793E8</v>
      </c>
      <c r="AE597" s="9" t="s">
        <v>401</v>
      </c>
      <c r="AF597" s="55">
        <v>46013.51788194444</v>
      </c>
      <c r="AG597" s="9" t="s">
        <v>18390</v>
      </c>
      <c r="AH597" s="9" t="s">
        <v>18900</v>
      </c>
      <c r="AJ597" s="9" t="s">
        <v>18901</v>
      </c>
      <c r="AK597" s="9" t="b">
        <v>0</v>
      </c>
      <c r="AL597" s="9" t="b">
        <v>0</v>
      </c>
      <c r="AN597" s="9" t="s">
        <v>11884</v>
      </c>
      <c r="AP597" s="56">
        <v>44825.0</v>
      </c>
      <c r="AQ597" s="9" t="b">
        <v>0</v>
      </c>
      <c r="AR597" s="9" t="s">
        <v>18902</v>
      </c>
    </row>
    <row r="598" ht="15.75" customHeight="1">
      <c r="A598" s="9" t="s">
        <v>11491</v>
      </c>
      <c r="B598" s="9" t="s">
        <v>18903</v>
      </c>
      <c r="C598" s="9" t="s">
        <v>58</v>
      </c>
      <c r="D598" s="9" t="s">
        <v>59</v>
      </c>
      <c r="E598" s="9" t="s">
        <v>346</v>
      </c>
      <c r="F598" s="9">
        <v>6.0</v>
      </c>
      <c r="J598" s="9" t="s">
        <v>17070</v>
      </c>
      <c r="K598" s="9" t="s">
        <v>18904</v>
      </c>
      <c r="L598" s="9">
        <v>97442.0</v>
      </c>
      <c r="M598" s="9" t="s">
        <v>33</v>
      </c>
      <c r="O598" s="9" t="s">
        <v>18905</v>
      </c>
      <c r="P598" s="53" t="s">
        <v>18906</v>
      </c>
      <c r="Q598" s="49" t="s">
        <v>18907</v>
      </c>
      <c r="R598" s="50"/>
      <c r="S598" s="54"/>
      <c r="T598" s="9"/>
      <c r="U598" s="9" t="s">
        <v>18908</v>
      </c>
      <c r="V598" s="9" t="s">
        <v>18909</v>
      </c>
      <c r="W598" s="9" t="s">
        <v>18910</v>
      </c>
      <c r="X598" s="9" t="s">
        <v>18911</v>
      </c>
      <c r="Y598" s="9" t="s">
        <v>499</v>
      </c>
      <c r="Z598" s="9" t="s">
        <v>13051</v>
      </c>
      <c r="AC598" s="9">
        <v>9.0945277300015E13</v>
      </c>
      <c r="AD598" s="9">
        <v>9.09452773E8</v>
      </c>
      <c r="AE598" s="9" t="s">
        <v>401</v>
      </c>
      <c r="AF598" s="60">
        <v>45889.62265046296</v>
      </c>
      <c r="AG598" s="9" t="s">
        <v>18912</v>
      </c>
      <c r="AH598" s="9" t="s">
        <v>18913</v>
      </c>
      <c r="AJ598" s="9" t="s">
        <v>18914</v>
      </c>
      <c r="AK598" s="9" t="b">
        <v>0</v>
      </c>
      <c r="AL598" s="9" t="b">
        <v>0</v>
      </c>
      <c r="AM598" s="9" t="s">
        <v>18915</v>
      </c>
      <c r="AN598" s="9" t="s">
        <v>11491</v>
      </c>
      <c r="AP598" s="61">
        <v>44543.0</v>
      </c>
      <c r="AQ598" s="9" t="b">
        <v>0</v>
      </c>
      <c r="AS598" s="48" t="s">
        <v>12303</v>
      </c>
    </row>
    <row r="599" ht="15.75" customHeight="1">
      <c r="A599" s="9" t="s">
        <v>10638</v>
      </c>
      <c r="B599" s="9" t="s">
        <v>18916</v>
      </c>
      <c r="C599" s="9" t="s">
        <v>58</v>
      </c>
      <c r="D599" s="9" t="s">
        <v>59</v>
      </c>
      <c r="E599" s="9" t="s">
        <v>346</v>
      </c>
      <c r="F599" s="9">
        <v>8.0</v>
      </c>
      <c r="J599" s="52" t="s">
        <v>16355</v>
      </c>
      <c r="K599" s="9" t="s">
        <v>18917</v>
      </c>
      <c r="L599" s="9">
        <v>97480.0</v>
      </c>
      <c r="M599" s="9" t="s">
        <v>123</v>
      </c>
      <c r="O599" s="9" t="s">
        <v>18918</v>
      </c>
      <c r="P599" s="53" t="s">
        <v>18919</v>
      </c>
      <c r="Q599" s="49" t="s">
        <v>18920</v>
      </c>
      <c r="R599" s="50"/>
      <c r="S599" s="54"/>
      <c r="T599" s="9" t="s">
        <v>18921</v>
      </c>
      <c r="U599" s="9" t="s">
        <v>18922</v>
      </c>
      <c r="W599" s="9" t="s">
        <v>18923</v>
      </c>
      <c r="Z599" s="9" t="s">
        <v>353</v>
      </c>
      <c r="AE599" s="9" t="s">
        <v>12355</v>
      </c>
      <c r="AF599" s="55">
        <v>44831.497511574074</v>
      </c>
      <c r="AG599" s="9" t="s">
        <v>18924</v>
      </c>
      <c r="AH599" s="9" t="s">
        <v>18925</v>
      </c>
      <c r="AK599" s="9" t="b">
        <v>0</v>
      </c>
      <c r="AL599" s="9" t="b">
        <v>0</v>
      </c>
      <c r="AM599" s="9" t="s">
        <v>18926</v>
      </c>
      <c r="AN599" s="9" t="s">
        <v>10638</v>
      </c>
      <c r="AP599" s="56">
        <v>44603.0</v>
      </c>
      <c r="AQ599" s="9" t="b">
        <v>0</v>
      </c>
    </row>
    <row r="600" ht="15.75" customHeight="1">
      <c r="A600" s="7" t="s">
        <v>3810</v>
      </c>
      <c r="B600" s="7" t="s">
        <v>18927</v>
      </c>
      <c r="C600" s="6" t="s">
        <v>58</v>
      </c>
      <c r="D600" s="6" t="s">
        <v>453</v>
      </c>
      <c r="E600" s="6" t="s">
        <v>17466</v>
      </c>
      <c r="F600" s="6">
        <v>6.0</v>
      </c>
      <c r="G600" s="7" t="s">
        <v>1092</v>
      </c>
      <c r="H600" s="7"/>
      <c r="I600" s="7"/>
      <c r="J600" s="7">
        <v>10.0</v>
      </c>
      <c r="K600" s="6" t="s">
        <v>18928</v>
      </c>
      <c r="L600" s="7">
        <v>97418.0</v>
      </c>
      <c r="M600" s="7" t="s">
        <v>71</v>
      </c>
      <c r="N600" s="7" t="s">
        <v>216</v>
      </c>
      <c r="O600" s="6" t="s">
        <v>18929</v>
      </c>
      <c r="P600" s="42" t="s">
        <v>3817</v>
      </c>
      <c r="Q600" s="43" t="s">
        <v>18930</v>
      </c>
      <c r="R600" s="43" t="s">
        <v>18931</v>
      </c>
      <c r="S600" s="47" t="s">
        <v>3813</v>
      </c>
      <c r="T600" s="6" t="s">
        <v>18932</v>
      </c>
      <c r="U600" s="6" t="s">
        <v>18933</v>
      </c>
      <c r="V600" s="6" t="s">
        <v>18934</v>
      </c>
      <c r="W600" s="6" t="s">
        <v>18935</v>
      </c>
      <c r="X600" s="6" t="s">
        <v>18936</v>
      </c>
      <c r="Y600" s="7" t="s">
        <v>3816</v>
      </c>
      <c r="Z600" s="7" t="s">
        <v>592</v>
      </c>
      <c r="AA600" s="7" t="s">
        <v>3568</v>
      </c>
      <c r="AB600" s="7" t="s">
        <v>1590</v>
      </c>
      <c r="AC600" s="6">
        <v>8.110329520002E13</v>
      </c>
      <c r="AD600" s="7">
        <v>8.11032952E8</v>
      </c>
      <c r="AE600" s="6" t="s">
        <v>401</v>
      </c>
      <c r="AF600" s="45">
        <v>44827.4684837963</v>
      </c>
      <c r="AG600" s="7" t="s">
        <v>18937</v>
      </c>
      <c r="AH600" s="46" t="s">
        <v>18938</v>
      </c>
      <c r="AI600" s="7"/>
      <c r="AJ600" s="6" t="s">
        <v>18939</v>
      </c>
      <c r="AK600" s="7" t="b">
        <v>0</v>
      </c>
      <c r="AL600" s="7" t="b">
        <v>0</v>
      </c>
      <c r="AM600" s="6" t="s">
        <v>3825</v>
      </c>
      <c r="AN600" s="6" t="s">
        <v>3810</v>
      </c>
      <c r="AO600" s="6">
        <v>4274.0</v>
      </c>
      <c r="AP600" s="6"/>
      <c r="AQ600" s="6" t="b">
        <v>1</v>
      </c>
      <c r="AR600" s="6" t="s">
        <v>18940</v>
      </c>
      <c r="AS600" s="48" t="s">
        <v>12303</v>
      </c>
    </row>
    <row r="601" ht="15.75" customHeight="1">
      <c r="A601" s="7" t="s">
        <v>8689</v>
      </c>
      <c r="B601" s="7" t="s">
        <v>18941</v>
      </c>
      <c r="C601" s="6" t="s">
        <v>117</v>
      </c>
      <c r="D601" s="7" t="s">
        <v>470</v>
      </c>
      <c r="E601" s="7" t="s">
        <v>591</v>
      </c>
      <c r="F601" s="7"/>
      <c r="G601" s="6" t="s">
        <v>455</v>
      </c>
      <c r="H601" s="7"/>
      <c r="I601" s="7"/>
      <c r="J601" s="7">
        <v>107.0</v>
      </c>
      <c r="K601" s="7" t="s">
        <v>13621</v>
      </c>
      <c r="L601" s="7">
        <v>97430.0</v>
      </c>
      <c r="M601" s="7" t="s">
        <v>71</v>
      </c>
      <c r="N601" s="6" t="s">
        <v>12698</v>
      </c>
      <c r="O601" s="6" t="s">
        <v>18942</v>
      </c>
      <c r="P601" s="42" t="s">
        <v>8694</v>
      </c>
      <c r="Q601" s="43" t="s">
        <v>18943</v>
      </c>
      <c r="R601" s="50"/>
      <c r="S601" s="47" t="s">
        <v>8693</v>
      </c>
      <c r="T601" s="7" t="s">
        <v>8695</v>
      </c>
      <c r="U601" s="6" t="s">
        <v>18944</v>
      </c>
      <c r="V601" s="7"/>
      <c r="W601" s="6" t="s">
        <v>18945</v>
      </c>
      <c r="X601" s="7"/>
      <c r="Y601" s="7"/>
      <c r="Z601" s="7" t="s">
        <v>378</v>
      </c>
      <c r="AA601" s="7"/>
      <c r="AB601" s="7"/>
      <c r="AC601" s="7"/>
      <c r="AD601" s="7"/>
      <c r="AE601" s="6" t="s">
        <v>401</v>
      </c>
      <c r="AF601" s="45">
        <v>44827.444699074076</v>
      </c>
      <c r="AG601" s="7" t="s">
        <v>18946</v>
      </c>
      <c r="AH601" s="46" t="s">
        <v>18947</v>
      </c>
      <c r="AI601" s="7"/>
      <c r="AJ601" s="7"/>
      <c r="AK601" s="7" t="b">
        <v>0</v>
      </c>
      <c r="AL601" s="7" t="b">
        <v>0</v>
      </c>
      <c r="AM601" s="7"/>
      <c r="AN601" s="6" t="s">
        <v>8689</v>
      </c>
      <c r="AO601" s="7"/>
      <c r="AP601" s="7"/>
      <c r="AQ601" s="6" t="b">
        <v>0</v>
      </c>
      <c r="AR601" s="6"/>
      <c r="AS601" s="6" t="s">
        <v>12303</v>
      </c>
    </row>
    <row r="602" ht="15.75" customHeight="1">
      <c r="A602" s="6" t="s">
        <v>11983</v>
      </c>
      <c r="B602" s="7" t="s">
        <v>18927</v>
      </c>
      <c r="C602" s="6" t="s">
        <v>34</v>
      </c>
      <c r="D602" s="6" t="s">
        <v>485</v>
      </c>
      <c r="E602" s="6" t="s">
        <v>17466</v>
      </c>
      <c r="F602" s="6">
        <v>6.0</v>
      </c>
      <c r="G602" s="7" t="s">
        <v>1092</v>
      </c>
      <c r="H602" s="7"/>
      <c r="I602" s="7"/>
      <c r="J602" s="7">
        <v>10.0</v>
      </c>
      <c r="K602" s="6" t="s">
        <v>18928</v>
      </c>
      <c r="L602" s="7">
        <v>97418.0</v>
      </c>
      <c r="M602" s="7" t="s">
        <v>71</v>
      </c>
      <c r="N602" s="7" t="s">
        <v>216</v>
      </c>
      <c r="O602" s="6" t="s">
        <v>18948</v>
      </c>
      <c r="P602" s="42" t="s">
        <v>3817</v>
      </c>
      <c r="Q602" s="49" t="s">
        <v>18949</v>
      </c>
      <c r="R602" s="43" t="s">
        <v>18931</v>
      </c>
      <c r="S602" s="47" t="s">
        <v>3813</v>
      </c>
      <c r="T602" s="6" t="s">
        <v>18950</v>
      </c>
      <c r="U602" s="6" t="s">
        <v>18951</v>
      </c>
      <c r="V602" s="7" t="s">
        <v>3820</v>
      </c>
      <c r="W602" s="6" t="s">
        <v>18952</v>
      </c>
      <c r="X602" s="7" t="s">
        <v>3815</v>
      </c>
      <c r="Y602" s="7" t="s">
        <v>3816</v>
      </c>
      <c r="Z602" s="7" t="s">
        <v>592</v>
      </c>
      <c r="AA602" s="7" t="s">
        <v>3568</v>
      </c>
      <c r="AB602" s="7" t="s">
        <v>1590</v>
      </c>
      <c r="AC602" s="6">
        <v>8.110329520002E13</v>
      </c>
      <c r="AD602" s="7">
        <v>8.11032952E8</v>
      </c>
      <c r="AE602" s="6" t="s">
        <v>401</v>
      </c>
      <c r="AF602" s="45">
        <v>45386.644537037035</v>
      </c>
      <c r="AG602" s="7" t="s">
        <v>18937</v>
      </c>
      <c r="AH602" s="46" t="s">
        <v>18953</v>
      </c>
      <c r="AI602" s="7"/>
      <c r="AJ602" s="6" t="s">
        <v>18954</v>
      </c>
      <c r="AK602" s="7" t="b">
        <v>0</v>
      </c>
      <c r="AL602" s="7" t="b">
        <v>0</v>
      </c>
      <c r="AM602" s="6" t="s">
        <v>3825</v>
      </c>
      <c r="AN602" s="6" t="s">
        <v>11983</v>
      </c>
      <c r="AO602" s="6">
        <v>4274.0</v>
      </c>
      <c r="AP602" s="6"/>
      <c r="AQ602" s="6" t="b">
        <v>1</v>
      </c>
      <c r="AR602" s="6" t="s">
        <v>18955</v>
      </c>
      <c r="AS602" s="48" t="s">
        <v>12303</v>
      </c>
    </row>
    <row r="603" ht="15.75" customHeight="1">
      <c r="A603" s="9" t="s">
        <v>11836</v>
      </c>
      <c r="B603" s="9" t="s">
        <v>18956</v>
      </c>
      <c r="C603" s="9" t="s">
        <v>822</v>
      </c>
      <c r="D603" s="9" t="s">
        <v>823</v>
      </c>
      <c r="E603" s="9" t="s">
        <v>559</v>
      </c>
      <c r="G603" s="9" t="s">
        <v>455</v>
      </c>
      <c r="J603" s="52" t="s">
        <v>12925</v>
      </c>
      <c r="K603" s="9" t="s">
        <v>18957</v>
      </c>
      <c r="L603" s="9">
        <v>97480.0</v>
      </c>
      <c r="M603" s="9" t="s">
        <v>123</v>
      </c>
      <c r="N603" s="9" t="s">
        <v>4456</v>
      </c>
      <c r="O603" s="9" t="s">
        <v>18958</v>
      </c>
      <c r="P603" s="53" t="s">
        <v>18959</v>
      </c>
      <c r="Q603" s="49" t="s">
        <v>18960</v>
      </c>
      <c r="R603" s="50"/>
      <c r="S603" s="54"/>
      <c r="T603" s="9" t="s">
        <v>18961</v>
      </c>
      <c r="U603" s="9" t="s">
        <v>18962</v>
      </c>
      <c r="W603" s="9" t="s">
        <v>18963</v>
      </c>
      <c r="X603" s="9" t="s">
        <v>907</v>
      </c>
      <c r="Z603" s="9" t="s">
        <v>876</v>
      </c>
      <c r="AC603" s="9">
        <v>4.5060007700017E13</v>
      </c>
      <c r="AD603" s="9">
        <v>4.50600077E8</v>
      </c>
      <c r="AE603" s="9" t="s">
        <v>401</v>
      </c>
      <c r="AF603" s="55">
        <v>45831.31961805555</v>
      </c>
      <c r="AG603" s="9" t="s">
        <v>18964</v>
      </c>
      <c r="AH603" s="9" t="s">
        <v>18965</v>
      </c>
      <c r="AJ603" s="9" t="s">
        <v>18966</v>
      </c>
      <c r="AL603" s="9" t="b">
        <v>0</v>
      </c>
      <c r="AN603" s="9" t="s">
        <v>11836</v>
      </c>
      <c r="AP603" s="56">
        <v>44792.0</v>
      </c>
      <c r="AQ603" s="9" t="b">
        <v>0</v>
      </c>
    </row>
    <row r="604" ht="15.75" customHeight="1">
      <c r="A604" s="9" t="s">
        <v>10756</v>
      </c>
      <c r="B604" s="9" t="s">
        <v>18967</v>
      </c>
      <c r="C604" s="9" t="s">
        <v>58</v>
      </c>
      <c r="D604" s="9" t="s">
        <v>59</v>
      </c>
      <c r="E604" s="9" t="s">
        <v>346</v>
      </c>
      <c r="F604" s="9">
        <v>14.0</v>
      </c>
      <c r="J604" s="9" t="s">
        <v>18968</v>
      </c>
      <c r="K604" s="9" t="s">
        <v>16284</v>
      </c>
      <c r="L604" s="9">
        <v>97430.0</v>
      </c>
      <c r="M604" s="9" t="s">
        <v>71</v>
      </c>
      <c r="N604" s="9" t="s">
        <v>9050</v>
      </c>
      <c r="O604" s="9" t="s">
        <v>18969</v>
      </c>
      <c r="P604" s="53" t="s">
        <v>15632</v>
      </c>
      <c r="Q604" s="49" t="s">
        <v>15633</v>
      </c>
      <c r="R604" s="50"/>
      <c r="S604" s="58" t="s">
        <v>18970</v>
      </c>
      <c r="T604" s="9" t="s">
        <v>18971</v>
      </c>
      <c r="U604" s="9" t="s">
        <v>18972</v>
      </c>
      <c r="W604" s="9" t="s">
        <v>18973</v>
      </c>
      <c r="Z604" s="9" t="s">
        <v>378</v>
      </c>
      <c r="AE604" s="9" t="s">
        <v>12355</v>
      </c>
      <c r="AF604" s="55">
        <v>44826.558217592596</v>
      </c>
      <c r="AG604" s="19" t="s">
        <v>18974</v>
      </c>
      <c r="AH604" s="9" t="s">
        <v>18975</v>
      </c>
      <c r="AJ604" s="9" t="s">
        <v>18976</v>
      </c>
      <c r="AK604" s="9" t="b">
        <v>0</v>
      </c>
      <c r="AL604" s="9" t="b">
        <v>0</v>
      </c>
      <c r="AM604" s="9" t="s">
        <v>18977</v>
      </c>
      <c r="AN604" s="9" t="s">
        <v>10756</v>
      </c>
      <c r="AP604" s="56">
        <v>44720.0</v>
      </c>
      <c r="AQ604" s="9" t="b">
        <v>0</v>
      </c>
      <c r="AR604" s="9" t="s">
        <v>17577</v>
      </c>
    </row>
    <row r="605" ht="15.75" customHeight="1">
      <c r="A605" s="7" t="s">
        <v>9261</v>
      </c>
      <c r="B605" s="7" t="s">
        <v>9262</v>
      </c>
      <c r="C605" s="6" t="s">
        <v>117</v>
      </c>
      <c r="D605" s="7" t="s">
        <v>1405</v>
      </c>
      <c r="E605" s="7" t="s">
        <v>1406</v>
      </c>
      <c r="F605" s="7"/>
      <c r="G605" s="7"/>
      <c r="H605" s="7"/>
      <c r="I605" s="7"/>
      <c r="J605" s="41" t="s">
        <v>18092</v>
      </c>
      <c r="K605" s="6" t="s">
        <v>18978</v>
      </c>
      <c r="L605" s="7">
        <v>97414.0</v>
      </c>
      <c r="M605" s="7" t="s">
        <v>40</v>
      </c>
      <c r="N605" s="7"/>
      <c r="O605" s="6" t="s">
        <v>18979</v>
      </c>
      <c r="P605" s="42" t="s">
        <v>9265</v>
      </c>
      <c r="Q605" s="43" t="s">
        <v>18980</v>
      </c>
      <c r="R605" s="50"/>
      <c r="S605" s="51"/>
      <c r="T605" s="7" t="s">
        <v>9266</v>
      </c>
      <c r="U605" s="7"/>
      <c r="V605" s="7"/>
      <c r="W605" s="7"/>
      <c r="X605" s="7"/>
      <c r="Y605" s="7"/>
      <c r="Z605" s="7" t="s">
        <v>353</v>
      </c>
      <c r="AA605" s="7"/>
      <c r="AB605" s="7"/>
      <c r="AC605" s="7">
        <v>7.5009996200011E13</v>
      </c>
      <c r="AD605" s="7">
        <v>7.50099962E8</v>
      </c>
      <c r="AE605" s="6" t="s">
        <v>12355</v>
      </c>
      <c r="AF605" s="45">
        <v>45910.61782407408</v>
      </c>
      <c r="AG605" s="7" t="s">
        <v>18981</v>
      </c>
      <c r="AH605" s="46" t="s">
        <v>18982</v>
      </c>
      <c r="AI605" s="7"/>
      <c r="AJ605" s="6" t="s">
        <v>18983</v>
      </c>
      <c r="AK605" s="7" t="b">
        <v>0</v>
      </c>
      <c r="AL605" s="7" t="b">
        <v>0</v>
      </c>
      <c r="AM605" s="7"/>
      <c r="AN605" s="6" t="s">
        <v>9261</v>
      </c>
      <c r="AO605" s="7"/>
      <c r="AP605" s="7"/>
      <c r="AQ605" s="6" t="b">
        <v>0</v>
      </c>
      <c r="AR605" s="6"/>
      <c r="AS605" s="48" t="s">
        <v>12303</v>
      </c>
    </row>
    <row r="606" ht="15.75" customHeight="1">
      <c r="A606" s="7" t="s">
        <v>5067</v>
      </c>
      <c r="B606" s="7" t="s">
        <v>5068</v>
      </c>
      <c r="C606" s="6" t="s">
        <v>117</v>
      </c>
      <c r="D606" s="7" t="s">
        <v>470</v>
      </c>
      <c r="E606" s="6" t="s">
        <v>15013</v>
      </c>
      <c r="F606" s="7">
        <v>8.0</v>
      </c>
      <c r="G606" s="7" t="s">
        <v>407</v>
      </c>
      <c r="H606" s="7"/>
      <c r="I606" s="7" t="s">
        <v>597</v>
      </c>
      <c r="J606" s="41" t="s">
        <v>16468</v>
      </c>
      <c r="K606" s="6" t="s">
        <v>18984</v>
      </c>
      <c r="L606" s="7">
        <v>97430.0</v>
      </c>
      <c r="M606" s="7" t="s">
        <v>71</v>
      </c>
      <c r="N606" s="6" t="s">
        <v>3501</v>
      </c>
      <c r="O606" s="6" t="s">
        <v>18985</v>
      </c>
      <c r="P606" s="42" t="s">
        <v>5071</v>
      </c>
      <c r="Q606" s="49" t="s">
        <v>18986</v>
      </c>
      <c r="R606" s="43" t="s">
        <v>18987</v>
      </c>
      <c r="S606" s="47" t="s">
        <v>5070</v>
      </c>
      <c r="T606" s="7" t="s">
        <v>5073</v>
      </c>
      <c r="U606" s="7" t="s">
        <v>5072</v>
      </c>
      <c r="V606" s="7" t="s">
        <v>5074</v>
      </c>
      <c r="W606" s="6" t="s">
        <v>18988</v>
      </c>
      <c r="X606" s="7" t="s">
        <v>1094</v>
      </c>
      <c r="Y606" s="7" t="s">
        <v>377</v>
      </c>
      <c r="Z606" s="7" t="s">
        <v>424</v>
      </c>
      <c r="AA606" s="7"/>
      <c r="AB606" s="7"/>
      <c r="AC606" s="7">
        <v>5.1005464600011E13</v>
      </c>
      <c r="AD606" s="7">
        <v>5.10054646E8</v>
      </c>
      <c r="AE606" s="6" t="s">
        <v>401</v>
      </c>
      <c r="AF606" s="45">
        <v>45895.45783564815</v>
      </c>
      <c r="AG606" s="7" t="s">
        <v>18989</v>
      </c>
      <c r="AH606" s="46" t="s">
        <v>18990</v>
      </c>
      <c r="AI606" s="7"/>
      <c r="AJ606" s="6" t="s">
        <v>18991</v>
      </c>
      <c r="AK606" s="7" t="b">
        <v>0</v>
      </c>
      <c r="AL606" s="7" t="b">
        <v>0</v>
      </c>
      <c r="AM606" s="7"/>
      <c r="AN606" s="6" t="s">
        <v>5067</v>
      </c>
      <c r="AO606" s="6">
        <v>1920.0</v>
      </c>
      <c r="AP606" s="6"/>
      <c r="AQ606" s="6" t="b">
        <v>1</v>
      </c>
      <c r="AR606" s="6"/>
      <c r="AS606" s="6"/>
    </row>
    <row r="607" ht="15.75" customHeight="1">
      <c r="A607" s="7" t="s">
        <v>9237</v>
      </c>
      <c r="B607" s="7" t="s">
        <v>18992</v>
      </c>
      <c r="C607" s="7" t="s">
        <v>58</v>
      </c>
      <c r="D607" s="7" t="s">
        <v>59</v>
      </c>
      <c r="E607" s="7" t="s">
        <v>374</v>
      </c>
      <c r="F607" s="7">
        <v>5.0</v>
      </c>
      <c r="G607" s="6" t="s">
        <v>455</v>
      </c>
      <c r="H607" s="6" t="s">
        <v>355</v>
      </c>
      <c r="I607" s="7"/>
      <c r="J607" s="7">
        <v>82.0</v>
      </c>
      <c r="K607" s="7" t="s">
        <v>18993</v>
      </c>
      <c r="L607" s="7">
        <v>97418.0</v>
      </c>
      <c r="M607" s="7" t="s">
        <v>71</v>
      </c>
      <c r="N607" s="7" t="s">
        <v>216</v>
      </c>
      <c r="O607" s="6" t="s">
        <v>18994</v>
      </c>
      <c r="P607" s="42" t="s">
        <v>9058</v>
      </c>
      <c r="Q607" s="49" t="s">
        <v>18383</v>
      </c>
      <c r="R607" s="50"/>
      <c r="S607" s="51"/>
      <c r="T607" s="6" t="s">
        <v>18995</v>
      </c>
      <c r="U607" s="6" t="s">
        <v>18996</v>
      </c>
      <c r="V607" s="6" t="s">
        <v>18997</v>
      </c>
      <c r="W607" s="6" t="s">
        <v>18998</v>
      </c>
      <c r="X607" s="6" t="s">
        <v>18999</v>
      </c>
      <c r="Y607" s="6" t="s">
        <v>14298</v>
      </c>
      <c r="Z607" s="6" t="s">
        <v>5551</v>
      </c>
      <c r="AA607" s="7"/>
      <c r="AB607" s="7"/>
      <c r="AC607" s="7">
        <v>4.346787930001E13</v>
      </c>
      <c r="AD607" s="7">
        <v>4.34678793E8</v>
      </c>
      <c r="AE607" s="6" t="s">
        <v>401</v>
      </c>
      <c r="AF607" s="45">
        <v>45782.629224537035</v>
      </c>
      <c r="AG607" s="7" t="s">
        <v>18390</v>
      </c>
      <c r="AH607" s="46" t="s">
        <v>19000</v>
      </c>
      <c r="AI607" s="7"/>
      <c r="AJ607" s="6" t="s">
        <v>19001</v>
      </c>
      <c r="AK607" s="7" t="b">
        <v>0</v>
      </c>
      <c r="AL607" s="7" t="b">
        <v>0</v>
      </c>
      <c r="AM607" s="6" t="s">
        <v>9239</v>
      </c>
      <c r="AN607" s="6" t="s">
        <v>9237</v>
      </c>
      <c r="AO607" s="7"/>
      <c r="AP607" s="7"/>
      <c r="AQ607" s="6" t="b">
        <v>0</v>
      </c>
      <c r="AR607" s="6" t="s">
        <v>19002</v>
      </c>
      <c r="AS607" s="48" t="s">
        <v>12303</v>
      </c>
    </row>
    <row r="608" ht="15.75" customHeight="1">
      <c r="A608" s="7" t="s">
        <v>9054</v>
      </c>
      <c r="B608" s="7" t="s">
        <v>19003</v>
      </c>
      <c r="C608" s="7" t="s">
        <v>58</v>
      </c>
      <c r="D608" s="7" t="s">
        <v>59</v>
      </c>
      <c r="E608" s="7" t="s">
        <v>545</v>
      </c>
      <c r="F608" s="6">
        <v>2.0</v>
      </c>
      <c r="G608" s="6" t="s">
        <v>455</v>
      </c>
      <c r="H608" s="6" t="s">
        <v>355</v>
      </c>
      <c r="I608" s="7"/>
      <c r="J608" s="7">
        <v>82.0</v>
      </c>
      <c r="K608" s="7" t="s">
        <v>18993</v>
      </c>
      <c r="L608" s="7">
        <v>97418.0</v>
      </c>
      <c r="M608" s="7" t="s">
        <v>71</v>
      </c>
      <c r="N608" s="7" t="s">
        <v>216</v>
      </c>
      <c r="O608" s="6" t="s">
        <v>19004</v>
      </c>
      <c r="P608" s="42" t="s">
        <v>9058</v>
      </c>
      <c r="Q608" s="49" t="s">
        <v>18383</v>
      </c>
      <c r="R608" s="50"/>
      <c r="S608" s="51"/>
      <c r="T608" s="6" t="s">
        <v>19005</v>
      </c>
      <c r="U608" s="6" t="s">
        <v>19006</v>
      </c>
      <c r="V608" s="6" t="s">
        <v>18997</v>
      </c>
      <c r="W608" s="6" t="s">
        <v>19007</v>
      </c>
      <c r="X608" s="6" t="s">
        <v>19008</v>
      </c>
      <c r="Y608" s="6" t="s">
        <v>14298</v>
      </c>
      <c r="Z608" s="6" t="s">
        <v>592</v>
      </c>
      <c r="AA608" s="7" t="s">
        <v>3806</v>
      </c>
      <c r="AB608" s="7" t="s">
        <v>1590</v>
      </c>
      <c r="AC608" s="6">
        <v>4.346787930001E13</v>
      </c>
      <c r="AD608" s="6">
        <v>4.34678793E8</v>
      </c>
      <c r="AE608" s="6" t="s">
        <v>401</v>
      </c>
      <c r="AF608" s="45">
        <v>45782.6296875</v>
      </c>
      <c r="AG608" s="7" t="s">
        <v>18390</v>
      </c>
      <c r="AH608" s="46" t="s">
        <v>19009</v>
      </c>
      <c r="AI608" s="7"/>
      <c r="AJ608" s="6" t="s">
        <v>19010</v>
      </c>
      <c r="AK608" s="7" t="b">
        <v>0</v>
      </c>
      <c r="AL608" s="7" t="b">
        <v>0</v>
      </c>
      <c r="AM608" s="6" t="s">
        <v>9061</v>
      </c>
      <c r="AN608" s="6" t="s">
        <v>9054</v>
      </c>
      <c r="AO608" s="7"/>
      <c r="AP608" s="7"/>
      <c r="AQ608" s="6" t="b">
        <v>0</v>
      </c>
      <c r="AR608" s="6" t="s">
        <v>19011</v>
      </c>
      <c r="AS608" s="48" t="s">
        <v>12303</v>
      </c>
    </row>
    <row r="609" ht="15.75" customHeight="1">
      <c r="A609" s="7" t="s">
        <v>2848</v>
      </c>
      <c r="B609" s="7" t="s">
        <v>2849</v>
      </c>
      <c r="C609" s="7" t="s">
        <v>822</v>
      </c>
      <c r="D609" s="6" t="s">
        <v>14010</v>
      </c>
      <c r="E609" s="6" t="s">
        <v>19012</v>
      </c>
      <c r="F609" s="7"/>
      <c r="G609" s="6" t="s">
        <v>19013</v>
      </c>
      <c r="H609" s="7"/>
      <c r="I609" s="7"/>
      <c r="J609" s="41" t="s">
        <v>14124</v>
      </c>
      <c r="K609" s="6" t="s">
        <v>19014</v>
      </c>
      <c r="L609" s="7">
        <v>97430.0</v>
      </c>
      <c r="M609" s="7" t="s">
        <v>71</v>
      </c>
      <c r="N609" s="6" t="s">
        <v>12698</v>
      </c>
      <c r="O609" s="6" t="s">
        <v>19015</v>
      </c>
      <c r="P609" s="53" t="s">
        <v>19016</v>
      </c>
      <c r="Q609" s="43" t="s">
        <v>19017</v>
      </c>
      <c r="R609" s="50"/>
      <c r="S609" s="47" t="s">
        <v>2851</v>
      </c>
      <c r="T609" s="7" t="s">
        <v>2855</v>
      </c>
      <c r="U609" s="7" t="s">
        <v>2854</v>
      </c>
      <c r="V609" s="7"/>
      <c r="W609" s="6" t="s">
        <v>19018</v>
      </c>
      <c r="X609" s="6" t="s">
        <v>19019</v>
      </c>
      <c r="Y609" s="6" t="s">
        <v>8231</v>
      </c>
      <c r="Z609" s="6" t="s">
        <v>353</v>
      </c>
      <c r="AA609" s="7"/>
      <c r="AB609" s="7"/>
      <c r="AC609" s="6">
        <v>4.4965519000014E13</v>
      </c>
      <c r="AD609" s="6">
        <v>4.4965519E8</v>
      </c>
      <c r="AE609" s="6" t="s">
        <v>401</v>
      </c>
      <c r="AF609" s="45">
        <v>44824.63145833334</v>
      </c>
      <c r="AG609" s="7" t="s">
        <v>19020</v>
      </c>
      <c r="AH609" s="46" t="s">
        <v>19021</v>
      </c>
      <c r="AI609" s="7"/>
      <c r="AJ609" s="7"/>
      <c r="AK609" s="7" t="b">
        <v>0</v>
      </c>
      <c r="AL609" s="7" t="b">
        <v>0</v>
      </c>
      <c r="AM609" s="7"/>
      <c r="AN609" s="6" t="s">
        <v>2848</v>
      </c>
      <c r="AO609" s="6">
        <v>1600.0</v>
      </c>
      <c r="AP609" s="6"/>
      <c r="AQ609" s="6" t="b">
        <v>1</v>
      </c>
      <c r="AR609" s="6" t="s">
        <v>19022</v>
      </c>
      <c r="AS609" s="6"/>
    </row>
    <row r="610" ht="15.75" customHeight="1">
      <c r="A610" s="7" t="s">
        <v>2933</v>
      </c>
      <c r="B610" s="7" t="s">
        <v>2934</v>
      </c>
      <c r="C610" s="6" t="s">
        <v>117</v>
      </c>
      <c r="D610" s="7" t="s">
        <v>197</v>
      </c>
      <c r="E610" s="7" t="s">
        <v>559</v>
      </c>
      <c r="F610" s="7"/>
      <c r="G610" s="6" t="s">
        <v>455</v>
      </c>
      <c r="H610" s="7"/>
      <c r="I610" s="7"/>
      <c r="J610" s="7">
        <v>72.0</v>
      </c>
      <c r="K610" s="7" t="s">
        <v>19023</v>
      </c>
      <c r="L610" s="7">
        <v>97430.0</v>
      </c>
      <c r="M610" s="7" t="s">
        <v>71</v>
      </c>
      <c r="N610" s="7" t="s">
        <v>3501</v>
      </c>
      <c r="O610" s="6" t="s">
        <v>19024</v>
      </c>
      <c r="P610" s="42" t="s">
        <v>2939</v>
      </c>
      <c r="Q610" s="43" t="s">
        <v>12920</v>
      </c>
      <c r="R610" s="50"/>
      <c r="S610" s="57" t="s">
        <v>19025</v>
      </c>
      <c r="T610" s="7" t="s">
        <v>2940</v>
      </c>
      <c r="U610" s="6" t="s">
        <v>19026</v>
      </c>
      <c r="V610" s="7"/>
      <c r="W610" s="6" t="s">
        <v>19027</v>
      </c>
      <c r="X610" s="6" t="s">
        <v>1566</v>
      </c>
      <c r="Y610" s="7" t="s">
        <v>2938</v>
      </c>
      <c r="Z610" s="7" t="s">
        <v>1508</v>
      </c>
      <c r="AA610" s="7"/>
      <c r="AB610" s="7"/>
      <c r="AC610" s="7">
        <v>4.4298844000024E13</v>
      </c>
      <c r="AD610" s="7">
        <v>4.4298844E8</v>
      </c>
      <c r="AE610" s="6" t="s">
        <v>401</v>
      </c>
      <c r="AF610" s="45">
        <v>44824.61651620371</v>
      </c>
      <c r="AG610" s="7" t="s">
        <v>12922</v>
      </c>
      <c r="AH610" s="46" t="s">
        <v>19028</v>
      </c>
      <c r="AI610" s="7"/>
      <c r="AJ610" s="7"/>
      <c r="AK610" s="7" t="b">
        <v>0</v>
      </c>
      <c r="AL610" s="7" t="b">
        <v>0</v>
      </c>
      <c r="AM610" s="7"/>
      <c r="AN610" s="6" t="s">
        <v>2933</v>
      </c>
      <c r="AO610" s="6">
        <v>2680.0</v>
      </c>
      <c r="AP610" s="6"/>
      <c r="AQ610" s="6" t="b">
        <v>1</v>
      </c>
      <c r="AR610" s="6"/>
      <c r="AS610" s="6"/>
    </row>
    <row r="611" ht="15.75" customHeight="1">
      <c r="A611" s="7" t="s">
        <v>8490</v>
      </c>
      <c r="B611" s="7" t="s">
        <v>8491</v>
      </c>
      <c r="C611" s="7" t="s">
        <v>58</v>
      </c>
      <c r="D611" s="7" t="s">
        <v>59</v>
      </c>
      <c r="E611" s="7" t="s">
        <v>346</v>
      </c>
      <c r="F611" s="7">
        <v>8.0</v>
      </c>
      <c r="G611" s="6" t="s">
        <v>1001</v>
      </c>
      <c r="H611" s="7"/>
      <c r="I611" s="7"/>
      <c r="J611" s="7">
        <v>114.0</v>
      </c>
      <c r="K611" s="7" t="s">
        <v>19029</v>
      </c>
      <c r="L611" s="7">
        <v>97480.0</v>
      </c>
      <c r="M611" s="7" t="s">
        <v>123</v>
      </c>
      <c r="N611" s="7" t="s">
        <v>3556</v>
      </c>
      <c r="O611" s="6" t="s">
        <v>19030</v>
      </c>
      <c r="P611" s="42" t="s">
        <v>8494</v>
      </c>
      <c r="Q611" s="43" t="s">
        <v>19031</v>
      </c>
      <c r="R611" s="50"/>
      <c r="S611" s="51" t="s">
        <v>19032</v>
      </c>
      <c r="T611" s="6" t="s">
        <v>19033</v>
      </c>
      <c r="U611" s="6" t="s">
        <v>19034</v>
      </c>
      <c r="V611" s="7"/>
      <c r="W611" s="6" t="s">
        <v>19035</v>
      </c>
      <c r="X611" s="6" t="s">
        <v>19036</v>
      </c>
      <c r="Y611" s="7"/>
      <c r="Z611" s="6" t="s">
        <v>378</v>
      </c>
      <c r="AA611" s="7"/>
      <c r="AB611" s="7"/>
      <c r="AC611" s="7"/>
      <c r="AD611" s="7"/>
      <c r="AE611" s="6" t="s">
        <v>401</v>
      </c>
      <c r="AF611" s="45">
        <v>44824.573599537034</v>
      </c>
      <c r="AG611" s="7" t="s">
        <v>19037</v>
      </c>
      <c r="AH611" s="46" t="s">
        <v>19038</v>
      </c>
      <c r="AI611" s="7"/>
      <c r="AJ611" s="6" t="s">
        <v>19039</v>
      </c>
      <c r="AK611" s="7" t="b">
        <v>0</v>
      </c>
      <c r="AL611" s="7" t="b">
        <v>0</v>
      </c>
      <c r="AM611" s="6" t="s">
        <v>8500</v>
      </c>
      <c r="AN611" s="6" t="s">
        <v>8490</v>
      </c>
      <c r="AO611" s="7"/>
      <c r="AP611" s="7"/>
      <c r="AQ611" s="6" t="b">
        <v>0</v>
      </c>
      <c r="AR611" s="6"/>
      <c r="AS611" s="6"/>
    </row>
    <row r="612" ht="15.75" customHeight="1">
      <c r="A612" s="9" t="s">
        <v>10646</v>
      </c>
      <c r="B612" s="9" t="s">
        <v>19040</v>
      </c>
      <c r="C612" s="9" t="s">
        <v>58</v>
      </c>
      <c r="D612" s="9" t="s">
        <v>59</v>
      </c>
      <c r="E612" s="9" t="s">
        <v>346</v>
      </c>
      <c r="F612" s="9">
        <v>10.0</v>
      </c>
      <c r="J612" s="52" t="s">
        <v>19041</v>
      </c>
      <c r="K612" s="9" t="s">
        <v>19042</v>
      </c>
      <c r="L612" s="9">
        <v>97430.0</v>
      </c>
      <c r="M612" s="9" t="s">
        <v>71</v>
      </c>
      <c r="O612" s="9" t="s">
        <v>19043</v>
      </c>
      <c r="P612" s="53" t="s">
        <v>15632</v>
      </c>
      <c r="Q612" s="49" t="s">
        <v>15633</v>
      </c>
      <c r="R612" s="50"/>
      <c r="S612" s="58" t="s">
        <v>19044</v>
      </c>
      <c r="T612" s="9" t="s">
        <v>19045</v>
      </c>
      <c r="Z612" s="9" t="s">
        <v>378</v>
      </c>
      <c r="AE612" s="9" t="s">
        <v>12355</v>
      </c>
      <c r="AF612" s="55">
        <v>44824.40206018519</v>
      </c>
      <c r="AG612" s="9" t="s">
        <v>18974</v>
      </c>
      <c r="AH612" s="9" t="s">
        <v>19046</v>
      </c>
      <c r="AJ612" s="9" t="s">
        <v>19047</v>
      </c>
      <c r="AK612" s="9" t="b">
        <v>0</v>
      </c>
      <c r="AL612" s="9" t="b">
        <v>0</v>
      </c>
      <c r="AM612" s="9" t="s">
        <v>19048</v>
      </c>
      <c r="AN612" s="9" t="s">
        <v>10646</v>
      </c>
      <c r="AP612" s="56">
        <v>44722.0</v>
      </c>
      <c r="AQ612" s="9" t="b">
        <v>0</v>
      </c>
      <c r="AR612" s="9" t="s">
        <v>17577</v>
      </c>
    </row>
    <row r="613" ht="15.75" customHeight="1">
      <c r="A613" s="7" t="s">
        <v>8926</v>
      </c>
      <c r="B613" s="7" t="s">
        <v>8927</v>
      </c>
      <c r="C613" s="6" t="s">
        <v>117</v>
      </c>
      <c r="D613" s="7" t="s">
        <v>1644</v>
      </c>
      <c r="E613" s="7" t="s">
        <v>921</v>
      </c>
      <c r="F613" s="7"/>
      <c r="G613" s="7" t="s">
        <v>664</v>
      </c>
      <c r="H613" s="7"/>
      <c r="I613" s="7"/>
      <c r="J613" s="7">
        <v>54.0</v>
      </c>
      <c r="K613" s="7" t="s">
        <v>12321</v>
      </c>
      <c r="L613" s="7">
        <v>97480.0</v>
      </c>
      <c r="M613" s="7" t="s">
        <v>123</v>
      </c>
      <c r="N613" s="7"/>
      <c r="O613" s="7" t="s">
        <v>8937</v>
      </c>
      <c r="P613" s="42" t="s">
        <v>8931</v>
      </c>
      <c r="Q613" s="49" t="s">
        <v>19049</v>
      </c>
      <c r="R613" s="50"/>
      <c r="S613" s="51"/>
      <c r="T613" s="6" t="s">
        <v>19050</v>
      </c>
      <c r="U613" s="6" t="s">
        <v>19051</v>
      </c>
      <c r="V613" s="6" t="s">
        <v>19052</v>
      </c>
      <c r="W613" s="7" t="s">
        <v>8929</v>
      </c>
      <c r="X613" s="6" t="s">
        <v>19053</v>
      </c>
      <c r="Y613" s="7" t="s">
        <v>8930</v>
      </c>
      <c r="Z613" s="6" t="s">
        <v>378</v>
      </c>
      <c r="AA613" s="7"/>
      <c r="AB613" s="7"/>
      <c r="AC613" s="7">
        <v>8.5328454500029E13</v>
      </c>
      <c r="AD613" s="7">
        <v>8.53284545E8</v>
      </c>
      <c r="AE613" s="6" t="s">
        <v>401</v>
      </c>
      <c r="AF613" s="45">
        <v>44823.6258912037</v>
      </c>
      <c r="AG613" s="7" t="s">
        <v>19054</v>
      </c>
      <c r="AH613" s="46" t="s">
        <v>19055</v>
      </c>
      <c r="AI613" s="7"/>
      <c r="AJ613" s="6" t="s">
        <v>19056</v>
      </c>
      <c r="AK613" s="7" t="b">
        <v>0</v>
      </c>
      <c r="AL613" s="7" t="b">
        <v>0</v>
      </c>
      <c r="AM613" s="7"/>
      <c r="AN613" s="6" t="s">
        <v>8926</v>
      </c>
      <c r="AO613" s="7"/>
      <c r="AP613" s="7"/>
      <c r="AQ613" s="6" t="b">
        <v>0</v>
      </c>
      <c r="AR613" s="6"/>
      <c r="AS613" s="6"/>
    </row>
    <row r="614" ht="15.75" customHeight="1">
      <c r="A614" s="9" t="s">
        <v>12027</v>
      </c>
      <c r="B614" s="9" t="s">
        <v>19057</v>
      </c>
      <c r="C614" s="9" t="s">
        <v>58</v>
      </c>
      <c r="D614" s="9" t="s">
        <v>59</v>
      </c>
      <c r="E614" s="9" t="s">
        <v>545</v>
      </c>
      <c r="F614" s="9">
        <v>9.0</v>
      </c>
      <c r="G614" s="9" t="s">
        <v>9780</v>
      </c>
      <c r="J614" s="52" t="s">
        <v>19058</v>
      </c>
      <c r="K614" s="9" t="s">
        <v>19059</v>
      </c>
      <c r="L614" s="9">
        <v>97418.0</v>
      </c>
      <c r="M614" s="9" t="s">
        <v>71</v>
      </c>
      <c r="N614" s="9" t="s">
        <v>13029</v>
      </c>
      <c r="O614" s="9" t="s">
        <v>19060</v>
      </c>
      <c r="P614" s="53" t="s">
        <v>19061</v>
      </c>
      <c r="Q614" s="49" t="s">
        <v>19062</v>
      </c>
      <c r="R614" s="50"/>
      <c r="S614" s="58" t="s">
        <v>19063</v>
      </c>
      <c r="T614" s="9" t="s">
        <v>19064</v>
      </c>
      <c r="U614" s="9" t="s">
        <v>19065</v>
      </c>
      <c r="V614" s="9" t="s">
        <v>19066</v>
      </c>
      <c r="W614" s="9" t="s">
        <v>19067</v>
      </c>
      <c r="X614" s="9" t="s">
        <v>19068</v>
      </c>
      <c r="Y614" s="9" t="s">
        <v>12478</v>
      </c>
      <c r="Z614" s="9" t="s">
        <v>5551</v>
      </c>
      <c r="AC614" s="9">
        <v>8.3150611800015E13</v>
      </c>
      <c r="AD614" s="9">
        <v>8.31506118E8</v>
      </c>
      <c r="AE614" s="9" t="s">
        <v>401</v>
      </c>
      <c r="AF614" s="55">
        <v>44823.46314814815</v>
      </c>
      <c r="AG614" s="9" t="s">
        <v>19069</v>
      </c>
      <c r="AH614" s="9" t="s">
        <v>19070</v>
      </c>
      <c r="AJ614" s="9" t="s">
        <v>19071</v>
      </c>
      <c r="AK614" s="9" t="b">
        <v>1</v>
      </c>
      <c r="AL614" s="9" t="b">
        <v>0</v>
      </c>
      <c r="AM614" s="9" t="s">
        <v>19072</v>
      </c>
      <c r="AN614" s="9" t="s">
        <v>12027</v>
      </c>
      <c r="AP614" s="56">
        <v>44823.0</v>
      </c>
      <c r="AQ614" s="9" t="b">
        <v>1</v>
      </c>
    </row>
    <row r="615" ht="15.75" customHeight="1">
      <c r="A615" s="7" t="s">
        <v>9819</v>
      </c>
      <c r="B615" s="7" t="s">
        <v>9820</v>
      </c>
      <c r="C615" s="7" t="s">
        <v>58</v>
      </c>
      <c r="D615" s="7" t="s">
        <v>59</v>
      </c>
      <c r="E615" s="7" t="s">
        <v>9804</v>
      </c>
      <c r="F615" s="7">
        <v>2.0</v>
      </c>
      <c r="G615" s="7"/>
      <c r="H615" s="7"/>
      <c r="I615" s="7"/>
      <c r="J615" s="7">
        <v>62.0</v>
      </c>
      <c r="K615" s="7" t="s">
        <v>13798</v>
      </c>
      <c r="L615" s="7">
        <v>97442.0</v>
      </c>
      <c r="M615" s="7" t="s">
        <v>33</v>
      </c>
      <c r="N615" s="7"/>
      <c r="O615" s="7" t="s">
        <v>9825</v>
      </c>
      <c r="P615" s="42" t="s">
        <v>9823</v>
      </c>
      <c r="Q615" s="43" t="s">
        <v>19073</v>
      </c>
      <c r="R615" s="50"/>
      <c r="S615" s="51"/>
      <c r="T615" s="7"/>
      <c r="U615" s="7"/>
      <c r="V615" s="7"/>
      <c r="W615" s="6" t="s">
        <v>19074</v>
      </c>
      <c r="X615" s="7"/>
      <c r="Y615" s="7"/>
      <c r="Z615" s="7" t="s">
        <v>378</v>
      </c>
      <c r="AA615" s="7"/>
      <c r="AB615" s="7"/>
      <c r="AC615" s="7"/>
      <c r="AD615" s="7"/>
      <c r="AE615" s="6" t="s">
        <v>12355</v>
      </c>
      <c r="AF615" s="45">
        <v>44823.3758912037</v>
      </c>
      <c r="AG615" s="7" t="s">
        <v>19075</v>
      </c>
      <c r="AH615" s="46" t="s">
        <v>19076</v>
      </c>
      <c r="AI615" s="7"/>
      <c r="AJ615" s="7"/>
      <c r="AK615" s="7" t="b">
        <v>0</v>
      </c>
      <c r="AL615" s="7" t="b">
        <v>0</v>
      </c>
      <c r="AM615" s="6" t="s">
        <v>9826</v>
      </c>
      <c r="AN615" s="6" t="s">
        <v>9819</v>
      </c>
      <c r="AO615" s="7"/>
      <c r="AP615" s="7"/>
      <c r="AQ615" s="6" t="b">
        <v>0</v>
      </c>
      <c r="AR615" s="6"/>
      <c r="AS615" s="48" t="s">
        <v>12303</v>
      </c>
    </row>
    <row r="616" ht="15.75" customHeight="1">
      <c r="A616" s="7" t="s">
        <v>9087</v>
      </c>
      <c r="B616" s="7" t="s">
        <v>9088</v>
      </c>
      <c r="C616" s="7" t="s">
        <v>58</v>
      </c>
      <c r="D616" s="7" t="s">
        <v>137</v>
      </c>
      <c r="E616" s="7" t="s">
        <v>2280</v>
      </c>
      <c r="F616" s="7">
        <v>15.0</v>
      </c>
      <c r="G616" s="7" t="s">
        <v>422</v>
      </c>
      <c r="H616" s="7"/>
      <c r="I616" s="7"/>
      <c r="J616" s="7">
        <v>18.0</v>
      </c>
      <c r="K616" s="7" t="s">
        <v>19077</v>
      </c>
      <c r="L616" s="7">
        <v>97480.0</v>
      </c>
      <c r="M616" s="7" t="s">
        <v>123</v>
      </c>
      <c r="N616" s="6" t="s">
        <v>19078</v>
      </c>
      <c r="O616" s="6" t="s">
        <v>19079</v>
      </c>
      <c r="P616" s="42" t="s">
        <v>9091</v>
      </c>
      <c r="Q616" s="43" t="s">
        <v>19080</v>
      </c>
      <c r="R616" s="50"/>
      <c r="S616" s="51"/>
      <c r="T616" s="6" t="s">
        <v>19081</v>
      </c>
      <c r="U616" s="6" t="s">
        <v>19082</v>
      </c>
      <c r="V616" s="6" t="s">
        <v>19083</v>
      </c>
      <c r="W616" s="6" t="s">
        <v>19084</v>
      </c>
      <c r="X616" s="6" t="s">
        <v>19085</v>
      </c>
      <c r="Y616" s="6" t="s">
        <v>2390</v>
      </c>
      <c r="Z616" s="7" t="s">
        <v>353</v>
      </c>
      <c r="AA616" s="7"/>
      <c r="AB616" s="7"/>
      <c r="AC616" s="7">
        <v>8.352223730001E13</v>
      </c>
      <c r="AD616" s="7">
        <v>8.35222373E8</v>
      </c>
      <c r="AE616" s="6" t="s">
        <v>401</v>
      </c>
      <c r="AF616" s="45">
        <v>44823.36561342593</v>
      </c>
      <c r="AG616" s="7" t="s">
        <v>19086</v>
      </c>
      <c r="AH616" s="46" t="s">
        <v>19087</v>
      </c>
      <c r="AI616" s="7"/>
      <c r="AJ616" s="6" t="s">
        <v>19088</v>
      </c>
      <c r="AK616" s="7" t="b">
        <v>0</v>
      </c>
      <c r="AL616" s="7" t="b">
        <v>0</v>
      </c>
      <c r="AM616" s="6" t="s">
        <v>9097</v>
      </c>
      <c r="AN616" s="6" t="s">
        <v>9087</v>
      </c>
      <c r="AO616" s="7"/>
      <c r="AP616" s="7"/>
      <c r="AQ616" s="6" t="b">
        <v>0</v>
      </c>
      <c r="AR616" s="6" t="s">
        <v>19089</v>
      </c>
      <c r="AS616" s="6" t="s">
        <v>12303</v>
      </c>
    </row>
    <row r="617" ht="15.75" customHeight="1">
      <c r="A617" s="7" t="s">
        <v>3515</v>
      </c>
      <c r="B617" s="7" t="s">
        <v>3516</v>
      </c>
      <c r="C617" s="7" t="s">
        <v>34</v>
      </c>
      <c r="D617" s="7" t="s">
        <v>622</v>
      </c>
      <c r="E617" s="7" t="s">
        <v>1127</v>
      </c>
      <c r="F617" s="7">
        <v>50.0</v>
      </c>
      <c r="G617" s="7" t="s">
        <v>422</v>
      </c>
      <c r="H617" s="7"/>
      <c r="I617" s="6" t="s">
        <v>19090</v>
      </c>
      <c r="J617" s="7">
        <v>30.0</v>
      </c>
      <c r="K617" s="7" t="s">
        <v>19091</v>
      </c>
      <c r="L617" s="7">
        <v>97414.0</v>
      </c>
      <c r="M617" s="7" t="s">
        <v>40</v>
      </c>
      <c r="N617" s="7"/>
      <c r="O617" s="6" t="s">
        <v>19092</v>
      </c>
      <c r="P617" s="53" t="s">
        <v>19093</v>
      </c>
      <c r="Q617" s="49" t="s">
        <v>19094</v>
      </c>
      <c r="R617" s="50"/>
      <c r="S617" s="47" t="s">
        <v>3162</v>
      </c>
      <c r="T617" s="7" t="s">
        <v>3522</v>
      </c>
      <c r="U617" s="7" t="s">
        <v>3521</v>
      </c>
      <c r="V617" s="7" t="s">
        <v>3523</v>
      </c>
      <c r="W617" s="6" t="s">
        <v>19095</v>
      </c>
      <c r="X617" s="7" t="s">
        <v>3520</v>
      </c>
      <c r="Y617" s="7" t="s">
        <v>1119</v>
      </c>
      <c r="Z617" s="7" t="s">
        <v>786</v>
      </c>
      <c r="AA617" s="7"/>
      <c r="AB617" s="7"/>
      <c r="AC617" s="7">
        <v>4.7973624100015E13</v>
      </c>
      <c r="AD617" s="7">
        <v>4.79736241E8</v>
      </c>
      <c r="AE617" s="6" t="s">
        <v>12355</v>
      </c>
      <c r="AF617" s="45">
        <v>45471.49040509259</v>
      </c>
      <c r="AG617" s="7" t="s">
        <v>19096</v>
      </c>
      <c r="AH617" s="46" t="s">
        <v>19097</v>
      </c>
      <c r="AI617" s="7"/>
      <c r="AJ617" s="6" t="s">
        <v>19098</v>
      </c>
      <c r="AK617" s="6" t="b">
        <v>1</v>
      </c>
      <c r="AL617" s="7" t="b">
        <v>0</v>
      </c>
      <c r="AM617" s="7"/>
      <c r="AN617" s="6" t="s">
        <v>3515</v>
      </c>
      <c r="AO617" s="6">
        <v>308.0</v>
      </c>
      <c r="AP617" s="6"/>
      <c r="AQ617" s="6" t="b">
        <v>1</v>
      </c>
      <c r="AR617" s="6" t="s">
        <v>19099</v>
      </c>
      <c r="AS617" s="48" t="s">
        <v>12303</v>
      </c>
    </row>
    <row r="618" ht="15.75" customHeight="1">
      <c r="A618" s="7" t="s">
        <v>3158</v>
      </c>
      <c r="B618" s="7" t="s">
        <v>3159</v>
      </c>
      <c r="C618" s="7" t="s">
        <v>58</v>
      </c>
      <c r="D618" s="7" t="s">
        <v>1141</v>
      </c>
      <c r="E618" s="7" t="s">
        <v>1141</v>
      </c>
      <c r="F618" s="6">
        <v>87.0</v>
      </c>
      <c r="G618" s="6" t="s">
        <v>422</v>
      </c>
      <c r="H618" s="7" t="s">
        <v>395</v>
      </c>
      <c r="I618" s="6" t="s">
        <v>19100</v>
      </c>
      <c r="J618" s="7">
        <v>30.0</v>
      </c>
      <c r="K618" s="7" t="s">
        <v>19091</v>
      </c>
      <c r="L618" s="7">
        <v>97414.0</v>
      </c>
      <c r="M618" s="7" t="s">
        <v>40</v>
      </c>
      <c r="N618" s="6" t="s">
        <v>1860</v>
      </c>
      <c r="O618" s="6" t="s">
        <v>19101</v>
      </c>
      <c r="P618" s="53" t="s">
        <v>19102</v>
      </c>
      <c r="Q618" s="49" t="s">
        <v>19094</v>
      </c>
      <c r="R618" s="50"/>
      <c r="S618" s="57" t="s">
        <v>19103</v>
      </c>
      <c r="T618" s="6" t="s">
        <v>19104</v>
      </c>
      <c r="U618" s="6" t="s">
        <v>19105</v>
      </c>
      <c r="V618" s="7" t="s">
        <v>3167</v>
      </c>
      <c r="W618" s="6" t="s">
        <v>19106</v>
      </c>
      <c r="X618" s="6" t="s">
        <v>19107</v>
      </c>
      <c r="Y618" s="7" t="s">
        <v>974</v>
      </c>
      <c r="Z618" s="7" t="s">
        <v>440</v>
      </c>
      <c r="AA618" s="7"/>
      <c r="AB618" s="7"/>
      <c r="AC618" s="6">
        <v>8.4051265100026E13</v>
      </c>
      <c r="AD618" s="6">
        <v>8.40512651E8</v>
      </c>
      <c r="AE618" s="6" t="s">
        <v>401</v>
      </c>
      <c r="AF618" s="45">
        <v>46001.39226851852</v>
      </c>
      <c r="AG618" s="7" t="s">
        <v>19096</v>
      </c>
      <c r="AH618" s="46" t="s">
        <v>19108</v>
      </c>
      <c r="AI618" s="7"/>
      <c r="AJ618" s="6" t="s">
        <v>19109</v>
      </c>
      <c r="AK618" s="6" t="b">
        <v>1</v>
      </c>
      <c r="AL618" s="7" t="b">
        <v>0</v>
      </c>
      <c r="AM618" s="6" t="s">
        <v>3174</v>
      </c>
      <c r="AN618" s="6" t="s">
        <v>3158</v>
      </c>
      <c r="AO618" s="6">
        <v>307.0</v>
      </c>
      <c r="AP618" s="6"/>
      <c r="AQ618" s="6" t="b">
        <v>1</v>
      </c>
      <c r="AR618" s="6" t="s">
        <v>19110</v>
      </c>
      <c r="AS618" s="48" t="s">
        <v>12303</v>
      </c>
    </row>
    <row r="619" ht="15.75" customHeight="1">
      <c r="A619" s="7" t="s">
        <v>5206</v>
      </c>
      <c r="B619" s="7" t="s">
        <v>5207</v>
      </c>
      <c r="C619" s="7" t="s">
        <v>1198</v>
      </c>
      <c r="D619" s="7" t="s">
        <v>1199</v>
      </c>
      <c r="E619" s="7" t="s">
        <v>1200</v>
      </c>
      <c r="F619" s="7"/>
      <c r="G619" s="7" t="s">
        <v>455</v>
      </c>
      <c r="H619" s="7"/>
      <c r="I619" s="7"/>
      <c r="J619" s="7">
        <v>18.0</v>
      </c>
      <c r="K619" s="7" t="s">
        <v>19111</v>
      </c>
      <c r="L619" s="7">
        <v>97430.0</v>
      </c>
      <c r="M619" s="7" t="s">
        <v>71</v>
      </c>
      <c r="N619" s="7" t="s">
        <v>12373</v>
      </c>
      <c r="O619" s="7" t="s">
        <v>5216</v>
      </c>
      <c r="P619" s="42" t="s">
        <v>5210</v>
      </c>
      <c r="Q619" s="43" t="s">
        <v>19112</v>
      </c>
      <c r="R619" s="43" t="s">
        <v>19113</v>
      </c>
      <c r="S619" s="47" t="s">
        <v>5209</v>
      </c>
      <c r="T619" s="7" t="s">
        <v>5212</v>
      </c>
      <c r="U619" s="7" t="s">
        <v>5211</v>
      </c>
      <c r="V619" s="7"/>
      <c r="W619" s="7" t="s">
        <v>3059</v>
      </c>
      <c r="X619" s="7"/>
      <c r="Y619" s="7" t="s">
        <v>1201</v>
      </c>
      <c r="Z619" s="7" t="s">
        <v>592</v>
      </c>
      <c r="AA619" s="7"/>
      <c r="AB619" s="7"/>
      <c r="AC619" s="7">
        <v>8.5298373300019E13</v>
      </c>
      <c r="AD619" s="7">
        <v>8.52983733E8</v>
      </c>
      <c r="AE619" s="6" t="s">
        <v>12355</v>
      </c>
      <c r="AF619" s="45">
        <v>44820.567349537036</v>
      </c>
      <c r="AG619" s="7" t="s">
        <v>19114</v>
      </c>
      <c r="AH619" s="46" t="s">
        <v>19115</v>
      </c>
      <c r="AI619" s="7"/>
      <c r="AJ619" s="7"/>
      <c r="AK619" s="7" t="b">
        <v>0</v>
      </c>
      <c r="AL619" s="7" t="b">
        <v>0</v>
      </c>
      <c r="AM619" s="7"/>
      <c r="AN619" s="6" t="s">
        <v>5206</v>
      </c>
      <c r="AO619" s="6">
        <v>5074.0</v>
      </c>
      <c r="AP619" s="6"/>
      <c r="AQ619" s="6" t="b">
        <v>1</v>
      </c>
      <c r="AR619" s="6"/>
      <c r="AS619" s="6" t="s">
        <v>12303</v>
      </c>
    </row>
    <row r="620" ht="15.75" customHeight="1">
      <c r="A620" s="7" t="s">
        <v>605</v>
      </c>
      <c r="B620" s="7" t="s">
        <v>606</v>
      </c>
      <c r="C620" s="6" t="s">
        <v>117</v>
      </c>
      <c r="D620" s="7" t="s">
        <v>470</v>
      </c>
      <c r="E620" s="7" t="s">
        <v>608</v>
      </c>
      <c r="F620" s="7"/>
      <c r="G620" s="7" t="s">
        <v>347</v>
      </c>
      <c r="H620" s="7"/>
      <c r="I620" s="7"/>
      <c r="J620" s="7">
        <v>120.0</v>
      </c>
      <c r="K620" s="6" t="s">
        <v>19116</v>
      </c>
      <c r="L620" s="7">
        <v>97418.0</v>
      </c>
      <c r="M620" s="7" t="s">
        <v>71</v>
      </c>
      <c r="N620" s="7" t="s">
        <v>216</v>
      </c>
      <c r="O620" s="6" t="s">
        <v>19117</v>
      </c>
      <c r="P620" s="53" t="s">
        <v>19118</v>
      </c>
      <c r="Q620" s="49" t="s">
        <v>19119</v>
      </c>
      <c r="R620" s="50"/>
      <c r="S620" s="44" t="s">
        <v>19120</v>
      </c>
      <c r="T620" s="6" t="s">
        <v>19121</v>
      </c>
      <c r="U620" s="6" t="s">
        <v>19122</v>
      </c>
      <c r="V620" s="7" t="s">
        <v>612</v>
      </c>
      <c r="W620" s="6" t="s">
        <v>19123</v>
      </c>
      <c r="X620" s="6" t="s">
        <v>19124</v>
      </c>
      <c r="Y620" s="7" t="s">
        <v>377</v>
      </c>
      <c r="Z620" s="6" t="s">
        <v>19125</v>
      </c>
      <c r="AA620" s="7"/>
      <c r="AB620" s="7"/>
      <c r="AC620" s="6">
        <v>4.434687230002E13</v>
      </c>
      <c r="AD620" s="6">
        <v>4.43468723E8</v>
      </c>
      <c r="AE620" s="6" t="s">
        <v>401</v>
      </c>
      <c r="AF620" s="45">
        <v>45686.38652777778</v>
      </c>
      <c r="AG620" s="7" t="s">
        <v>19126</v>
      </c>
      <c r="AH620" s="46" t="s">
        <v>19127</v>
      </c>
      <c r="AI620" s="7"/>
      <c r="AJ620" s="6" t="s">
        <v>19128</v>
      </c>
      <c r="AK620" s="6" t="b">
        <v>1</v>
      </c>
      <c r="AL620" s="7" t="b">
        <v>1</v>
      </c>
      <c r="AM620" s="7"/>
      <c r="AN620" s="6" t="s">
        <v>605</v>
      </c>
      <c r="AO620" s="6">
        <v>1516.0</v>
      </c>
      <c r="AP620" s="6"/>
      <c r="AQ620" s="6" t="b">
        <v>1</v>
      </c>
      <c r="AR620" s="6" t="s">
        <v>19129</v>
      </c>
      <c r="AS620" s="48" t="s">
        <v>12303</v>
      </c>
    </row>
    <row r="621" ht="15.75" customHeight="1">
      <c r="A621" s="7" t="s">
        <v>586</v>
      </c>
      <c r="B621" s="7" t="s">
        <v>587</v>
      </c>
      <c r="C621" s="6" t="s">
        <v>117</v>
      </c>
      <c r="D621" s="7" t="s">
        <v>470</v>
      </c>
      <c r="E621" s="7" t="s">
        <v>591</v>
      </c>
      <c r="F621" s="7"/>
      <c r="G621" s="7"/>
      <c r="H621" s="7"/>
      <c r="I621" s="7" t="s">
        <v>597</v>
      </c>
      <c r="J621" s="41" t="s">
        <v>12720</v>
      </c>
      <c r="K621" s="7" t="s">
        <v>19130</v>
      </c>
      <c r="L621" s="7">
        <v>97430.0</v>
      </c>
      <c r="M621" s="7" t="s">
        <v>71</v>
      </c>
      <c r="N621" s="7"/>
      <c r="O621" s="6" t="s">
        <v>19131</v>
      </c>
      <c r="P621" s="42" t="s">
        <v>593</v>
      </c>
      <c r="Q621" s="43" t="s">
        <v>19132</v>
      </c>
      <c r="R621" s="50"/>
      <c r="S621" s="47" t="s">
        <v>590</v>
      </c>
      <c r="T621" s="7" t="s">
        <v>595</v>
      </c>
      <c r="U621" s="7" t="s">
        <v>594</v>
      </c>
      <c r="V621" s="7" t="s">
        <v>596</v>
      </c>
      <c r="W621" s="6" t="s">
        <v>19133</v>
      </c>
      <c r="X621" s="6" t="s">
        <v>15939</v>
      </c>
      <c r="Y621" s="7" t="s">
        <v>377</v>
      </c>
      <c r="Z621" s="7" t="s">
        <v>592</v>
      </c>
      <c r="AA621" s="7"/>
      <c r="AB621" s="7"/>
      <c r="AC621" s="7">
        <v>4.4363784800013E13</v>
      </c>
      <c r="AD621" s="7">
        <v>4.43637848E8</v>
      </c>
      <c r="AE621" s="6" t="s">
        <v>401</v>
      </c>
      <c r="AF621" s="45">
        <v>44818.578206018516</v>
      </c>
      <c r="AG621" s="6" t="s">
        <v>19134</v>
      </c>
      <c r="AH621" s="46" t="s">
        <v>19135</v>
      </c>
      <c r="AI621" s="7"/>
      <c r="AJ621" s="7"/>
      <c r="AK621" s="7" t="b">
        <v>0</v>
      </c>
      <c r="AL621" s="7" t="b">
        <v>1</v>
      </c>
      <c r="AM621" s="7"/>
      <c r="AN621" s="7" t="s">
        <v>586</v>
      </c>
      <c r="AO621" s="6">
        <v>1662.0</v>
      </c>
      <c r="AP621" s="6"/>
      <c r="AQ621" s="6" t="b">
        <v>1</v>
      </c>
      <c r="AR621" s="6"/>
      <c r="AS621" s="6"/>
    </row>
    <row r="622" ht="15.75" customHeight="1">
      <c r="A622" s="7" t="s">
        <v>8153</v>
      </c>
      <c r="B622" s="7" t="s">
        <v>8154</v>
      </c>
      <c r="C622" s="6" t="s">
        <v>117</v>
      </c>
      <c r="D622" s="7" t="s">
        <v>1405</v>
      </c>
      <c r="E622" s="7" t="s">
        <v>1406</v>
      </c>
      <c r="F622" s="7"/>
      <c r="G622" s="7" t="s">
        <v>375</v>
      </c>
      <c r="H622" s="7"/>
      <c r="I622" s="7"/>
      <c r="J622" s="7">
        <v>110.0</v>
      </c>
      <c r="K622" s="7" t="s">
        <v>19136</v>
      </c>
      <c r="L622" s="7">
        <v>97430.0</v>
      </c>
      <c r="M622" s="7" t="s">
        <v>71</v>
      </c>
      <c r="N622" s="7" t="s">
        <v>9050</v>
      </c>
      <c r="O622" s="6" t="s">
        <v>19137</v>
      </c>
      <c r="P622" s="42" t="s">
        <v>8157</v>
      </c>
      <c r="Q622" s="43" t="s">
        <v>19138</v>
      </c>
      <c r="R622" s="43" t="s">
        <v>19139</v>
      </c>
      <c r="S622" s="47" t="s">
        <v>8156</v>
      </c>
      <c r="T622" s="7" t="s">
        <v>8159</v>
      </c>
      <c r="U622" s="7" t="s">
        <v>8158</v>
      </c>
      <c r="V622" s="7"/>
      <c r="W622" s="6" t="s">
        <v>19140</v>
      </c>
      <c r="X622" s="7"/>
      <c r="Y622" s="7" t="s">
        <v>377</v>
      </c>
      <c r="Z622" s="7" t="s">
        <v>424</v>
      </c>
      <c r="AA622" s="7"/>
      <c r="AB622" s="7"/>
      <c r="AC622" s="7">
        <v>7.8881337600019E13</v>
      </c>
      <c r="AD622" s="7">
        <v>7.88813376E8</v>
      </c>
      <c r="AE622" s="6" t="s">
        <v>401</v>
      </c>
      <c r="AF622" s="45">
        <v>46079.470868055556</v>
      </c>
      <c r="AG622" s="7" t="s">
        <v>19141</v>
      </c>
      <c r="AH622" s="46" t="s">
        <v>19142</v>
      </c>
      <c r="AI622" s="7"/>
      <c r="AJ622" s="6" t="s">
        <v>19143</v>
      </c>
      <c r="AK622" s="7" t="b">
        <v>0</v>
      </c>
      <c r="AL622" s="7" t="b">
        <v>0</v>
      </c>
      <c r="AM622" s="7"/>
      <c r="AN622" s="6" t="s">
        <v>8153</v>
      </c>
      <c r="AO622" s="6">
        <v>3915.0</v>
      </c>
      <c r="AP622" s="6"/>
      <c r="AQ622" s="6" t="b">
        <v>1</v>
      </c>
      <c r="AR622" s="6"/>
      <c r="AS622" s="6" t="s">
        <v>12303</v>
      </c>
    </row>
    <row r="623" ht="15.75" customHeight="1">
      <c r="A623" s="9" t="s">
        <v>11691</v>
      </c>
      <c r="B623" s="9" t="s">
        <v>19144</v>
      </c>
      <c r="C623" s="9" t="s">
        <v>58</v>
      </c>
      <c r="D623" s="9" t="s">
        <v>59</v>
      </c>
      <c r="E623" s="9" t="s">
        <v>374</v>
      </c>
      <c r="F623" s="9">
        <v>4.0</v>
      </c>
      <c r="J623" s="52" t="s">
        <v>12468</v>
      </c>
      <c r="K623" s="9" t="s">
        <v>19145</v>
      </c>
      <c r="L623" s="9">
        <v>97442.0</v>
      </c>
      <c r="M623" s="9" t="s">
        <v>33</v>
      </c>
      <c r="N623" s="9" t="s">
        <v>15034</v>
      </c>
      <c r="O623" s="9" t="s">
        <v>19146</v>
      </c>
      <c r="P623" s="53" t="s">
        <v>19147</v>
      </c>
      <c r="Q623" s="49" t="s">
        <v>19148</v>
      </c>
      <c r="R623" s="50"/>
      <c r="S623" s="54" t="s">
        <v>12350</v>
      </c>
      <c r="T623" s="9" t="s">
        <v>19149</v>
      </c>
      <c r="U623" s="9" t="s">
        <v>19150</v>
      </c>
      <c r="W623" s="9" t="s">
        <v>19151</v>
      </c>
      <c r="X623" s="9" t="s">
        <v>19152</v>
      </c>
      <c r="Z623" s="9" t="s">
        <v>378</v>
      </c>
      <c r="AE623" s="9" t="s">
        <v>401</v>
      </c>
      <c r="AF623" s="55">
        <v>44817.67465277778</v>
      </c>
      <c r="AG623" s="9" t="s">
        <v>19153</v>
      </c>
      <c r="AH623" s="9" t="s">
        <v>19154</v>
      </c>
      <c r="AJ623" s="9" t="s">
        <v>19155</v>
      </c>
      <c r="AL623" s="9" t="b">
        <v>0</v>
      </c>
      <c r="AM623" s="9" t="s">
        <v>19156</v>
      </c>
      <c r="AN623" s="9" t="s">
        <v>11691</v>
      </c>
      <c r="AP623" s="56">
        <v>44412.0</v>
      </c>
      <c r="AQ623" s="6" t="b">
        <v>0</v>
      </c>
      <c r="AR623" s="6" t="s">
        <v>19157</v>
      </c>
      <c r="AS623" s="48" t="s">
        <v>12303</v>
      </c>
    </row>
    <row r="624" ht="15.75" customHeight="1">
      <c r="A624" s="7" t="s">
        <v>722</v>
      </c>
      <c r="B624" s="7" t="s">
        <v>19158</v>
      </c>
      <c r="C624" s="7" t="s">
        <v>58</v>
      </c>
      <c r="D624" s="7" t="s">
        <v>453</v>
      </c>
      <c r="E624" s="7" t="s">
        <v>454</v>
      </c>
      <c r="F624" s="7">
        <v>10.0</v>
      </c>
      <c r="G624" s="7" t="s">
        <v>407</v>
      </c>
      <c r="H624" s="7"/>
      <c r="I624" s="7"/>
      <c r="J624" s="7">
        <v>1.0</v>
      </c>
      <c r="K624" s="7" t="s">
        <v>19159</v>
      </c>
      <c r="L624" s="7">
        <v>97480.0</v>
      </c>
      <c r="M624" s="7" t="s">
        <v>123</v>
      </c>
      <c r="N624" s="7" t="s">
        <v>8325</v>
      </c>
      <c r="O624" s="6" t="s">
        <v>19160</v>
      </c>
      <c r="P624" s="42" t="s">
        <v>729</v>
      </c>
      <c r="Q624" s="43" t="s">
        <v>19161</v>
      </c>
      <c r="R624" s="43" t="s">
        <v>19162</v>
      </c>
      <c r="S624" s="47" t="s">
        <v>725</v>
      </c>
      <c r="T624" s="7" t="s">
        <v>731</v>
      </c>
      <c r="U624" s="7" t="s">
        <v>730</v>
      </c>
      <c r="V624" s="7" t="s">
        <v>732</v>
      </c>
      <c r="W624" s="6" t="s">
        <v>19163</v>
      </c>
      <c r="X624" s="7"/>
      <c r="Y624" s="7" t="s">
        <v>377</v>
      </c>
      <c r="Z624" s="7" t="s">
        <v>728</v>
      </c>
      <c r="AA624" s="7"/>
      <c r="AB624" s="7"/>
      <c r="AC624" s="7">
        <v>8.2344884000012E13</v>
      </c>
      <c r="AD624" s="7">
        <v>8.2344884E8</v>
      </c>
      <c r="AE624" s="6" t="s">
        <v>401</v>
      </c>
      <c r="AF624" s="45">
        <v>44817.672060185185</v>
      </c>
      <c r="AG624" s="7" t="s">
        <v>19164</v>
      </c>
      <c r="AH624" s="46" t="s">
        <v>19165</v>
      </c>
      <c r="AI624" s="7"/>
      <c r="AJ624" s="7"/>
      <c r="AK624" s="7" t="b">
        <v>0</v>
      </c>
      <c r="AL624" s="7" t="b">
        <v>0</v>
      </c>
      <c r="AM624" s="6" t="s">
        <v>738</v>
      </c>
      <c r="AN624" s="6" t="s">
        <v>722</v>
      </c>
      <c r="AO624" s="6">
        <v>4232.0</v>
      </c>
      <c r="AP624" s="6"/>
      <c r="AQ624" s="6" t="b">
        <v>1</v>
      </c>
      <c r="AR624" s="6" t="s">
        <v>19166</v>
      </c>
      <c r="AS624" s="6"/>
    </row>
    <row r="625" ht="15.75" customHeight="1">
      <c r="A625" s="7" t="s">
        <v>266</v>
      </c>
      <c r="B625" s="7" t="s">
        <v>19167</v>
      </c>
      <c r="C625" s="7" t="s">
        <v>58</v>
      </c>
      <c r="D625" s="7" t="s">
        <v>453</v>
      </c>
      <c r="E625" s="7" t="s">
        <v>454</v>
      </c>
      <c r="F625" s="7">
        <v>14.0</v>
      </c>
      <c r="G625" s="7"/>
      <c r="H625" s="7"/>
      <c r="I625" s="7"/>
      <c r="J625" s="7">
        <v>5.0</v>
      </c>
      <c r="K625" s="7" t="s">
        <v>13584</v>
      </c>
      <c r="L625" s="7">
        <v>97480.0</v>
      </c>
      <c r="M625" s="7" t="s">
        <v>123</v>
      </c>
      <c r="N625" s="7" t="s">
        <v>206</v>
      </c>
      <c r="O625" s="6" t="s">
        <v>19168</v>
      </c>
      <c r="P625" s="42" t="s">
        <v>8722</v>
      </c>
      <c r="Q625" s="43" t="s">
        <v>12607</v>
      </c>
      <c r="R625" s="50"/>
      <c r="S625" s="51" t="s">
        <v>19169</v>
      </c>
      <c r="T625" s="6" t="s">
        <v>19170</v>
      </c>
      <c r="U625" s="6" t="s">
        <v>19171</v>
      </c>
      <c r="V625" s="6" t="s">
        <v>19172</v>
      </c>
      <c r="W625" s="6" t="s">
        <v>19173</v>
      </c>
      <c r="X625" s="6" t="s">
        <v>19174</v>
      </c>
      <c r="Y625" s="6" t="s">
        <v>377</v>
      </c>
      <c r="Z625" s="6" t="s">
        <v>592</v>
      </c>
      <c r="AA625" s="7"/>
      <c r="AB625" s="7"/>
      <c r="AC625" s="7"/>
      <c r="AD625" s="7"/>
      <c r="AE625" s="6" t="s">
        <v>12355</v>
      </c>
      <c r="AF625" s="45">
        <v>45894.627291666664</v>
      </c>
      <c r="AG625" s="7" t="s">
        <v>12609</v>
      </c>
      <c r="AH625" s="46" t="s">
        <v>19175</v>
      </c>
      <c r="AI625" s="7"/>
      <c r="AJ625" s="6" t="s">
        <v>19176</v>
      </c>
      <c r="AK625" s="7" t="b">
        <v>0</v>
      </c>
      <c r="AL625" s="7" t="b">
        <v>0</v>
      </c>
      <c r="AM625" s="6" t="s">
        <v>8725</v>
      </c>
      <c r="AN625" s="6" t="s">
        <v>266</v>
      </c>
      <c r="AO625" s="7"/>
      <c r="AP625" s="7"/>
      <c r="AQ625" s="6" t="b">
        <v>0</v>
      </c>
      <c r="AR625" s="6" t="s">
        <v>19177</v>
      </c>
      <c r="AS625" s="6"/>
    </row>
    <row r="626" ht="15.75" customHeight="1">
      <c r="A626" s="7" t="s">
        <v>8549</v>
      </c>
      <c r="B626" s="6" t="s">
        <v>19178</v>
      </c>
      <c r="C626" s="6" t="s">
        <v>117</v>
      </c>
      <c r="D626" s="7" t="s">
        <v>470</v>
      </c>
      <c r="E626" s="6" t="s">
        <v>5109</v>
      </c>
      <c r="F626" s="6">
        <v>6.0</v>
      </c>
      <c r="G626" s="7" t="s">
        <v>1092</v>
      </c>
      <c r="H626" s="7"/>
      <c r="I626" s="7"/>
      <c r="J626" s="7">
        <v>166.0</v>
      </c>
      <c r="K626" s="7" t="s">
        <v>19179</v>
      </c>
      <c r="L626" s="7">
        <v>97418.0</v>
      </c>
      <c r="M626" s="7" t="s">
        <v>71</v>
      </c>
      <c r="N626" s="7" t="s">
        <v>216</v>
      </c>
      <c r="O626" s="6" t="s">
        <v>19180</v>
      </c>
      <c r="P626" s="42" t="s">
        <v>8552</v>
      </c>
      <c r="Q626" s="49" t="s">
        <v>19181</v>
      </c>
      <c r="R626" s="50"/>
      <c r="S626" s="44" t="s">
        <v>19182</v>
      </c>
      <c r="T626" s="6" t="s">
        <v>19183</v>
      </c>
      <c r="U626" s="6" t="s">
        <v>19184</v>
      </c>
      <c r="V626" s="6" t="s">
        <v>19185</v>
      </c>
      <c r="W626" s="6" t="s">
        <v>19186</v>
      </c>
      <c r="X626" s="6" t="s">
        <v>19187</v>
      </c>
      <c r="Y626" s="7" t="s">
        <v>2390</v>
      </c>
      <c r="Z626" s="6" t="s">
        <v>353</v>
      </c>
      <c r="AA626" s="7"/>
      <c r="AB626" s="7"/>
      <c r="AC626" s="7">
        <v>8.1035901800027E13</v>
      </c>
      <c r="AD626" s="7">
        <v>8.10359018E8</v>
      </c>
      <c r="AE626" s="6" t="s">
        <v>401</v>
      </c>
      <c r="AF626" s="45">
        <v>45917.52756944444</v>
      </c>
      <c r="AG626" s="7" t="s">
        <v>19188</v>
      </c>
      <c r="AH626" s="46" t="s">
        <v>19189</v>
      </c>
      <c r="AI626" s="7"/>
      <c r="AJ626" s="6" t="s">
        <v>19190</v>
      </c>
      <c r="AK626" s="7" t="b">
        <v>0</v>
      </c>
      <c r="AL626" s="7" t="b">
        <v>0</v>
      </c>
      <c r="AM626" s="7"/>
      <c r="AN626" s="6" t="s">
        <v>8549</v>
      </c>
      <c r="AO626" s="7"/>
      <c r="AP626" s="7"/>
      <c r="AQ626" s="6" t="b">
        <v>0</v>
      </c>
      <c r="AR626" s="6" t="s">
        <v>19191</v>
      </c>
      <c r="AS626" s="48" t="s">
        <v>12303</v>
      </c>
    </row>
    <row r="627" ht="15.75" customHeight="1">
      <c r="A627" s="7" t="s">
        <v>9577</v>
      </c>
      <c r="B627" s="6" t="s">
        <v>19192</v>
      </c>
      <c r="C627" s="6" t="s">
        <v>117</v>
      </c>
      <c r="D627" s="6" t="s">
        <v>1792</v>
      </c>
      <c r="E627" s="6" t="s">
        <v>6177</v>
      </c>
      <c r="F627" s="6">
        <v>20.0</v>
      </c>
      <c r="G627" s="6" t="s">
        <v>9780</v>
      </c>
      <c r="H627" s="7"/>
      <c r="I627" s="7"/>
      <c r="J627" s="7"/>
      <c r="K627" s="6" t="s">
        <v>19193</v>
      </c>
      <c r="L627" s="7">
        <v>97480.0</v>
      </c>
      <c r="M627" s="7" t="s">
        <v>123</v>
      </c>
      <c r="N627" s="6" t="s">
        <v>8383</v>
      </c>
      <c r="O627" s="6" t="s">
        <v>19194</v>
      </c>
      <c r="P627" s="42" t="s">
        <v>9580</v>
      </c>
      <c r="Q627" s="43" t="s">
        <v>19195</v>
      </c>
      <c r="R627" s="50"/>
      <c r="S627" s="44" t="s">
        <v>19196</v>
      </c>
      <c r="T627" s="6" t="s">
        <v>19197</v>
      </c>
      <c r="U627" s="6" t="s">
        <v>19198</v>
      </c>
      <c r="V627" s="6" t="s">
        <v>19199</v>
      </c>
      <c r="W627" s="6" t="s">
        <v>19200</v>
      </c>
      <c r="X627" s="6" t="s">
        <v>351</v>
      </c>
      <c r="Y627" s="7"/>
      <c r="Z627" s="6" t="s">
        <v>353</v>
      </c>
      <c r="AA627" s="7"/>
      <c r="AB627" s="7"/>
      <c r="AC627" s="7">
        <v>8.3441182900015E13</v>
      </c>
      <c r="AD627" s="7">
        <v>8.34411829E8</v>
      </c>
      <c r="AE627" s="6" t="s">
        <v>401</v>
      </c>
      <c r="AF627" s="45">
        <v>44817.424409722225</v>
      </c>
      <c r="AG627" s="7" t="s">
        <v>19201</v>
      </c>
      <c r="AH627" s="46" t="s">
        <v>19202</v>
      </c>
      <c r="AI627" s="7"/>
      <c r="AJ627" s="6" t="s">
        <v>19203</v>
      </c>
      <c r="AK627" s="7" t="b">
        <v>0</v>
      </c>
      <c r="AL627" s="7" t="b">
        <v>0</v>
      </c>
      <c r="AM627" s="7"/>
      <c r="AN627" s="6" t="s">
        <v>9577</v>
      </c>
      <c r="AO627" s="7"/>
      <c r="AP627" s="7"/>
      <c r="AQ627" s="6" t="b">
        <v>0</v>
      </c>
      <c r="AR627" s="6"/>
      <c r="AS627" s="6" t="s">
        <v>12303</v>
      </c>
    </row>
    <row r="628" ht="15.75" customHeight="1">
      <c r="A628" s="7" t="s">
        <v>4674</v>
      </c>
      <c r="B628" s="7" t="s">
        <v>4675</v>
      </c>
      <c r="C628" s="7" t="s">
        <v>58</v>
      </c>
      <c r="D628" s="7" t="s">
        <v>1141</v>
      </c>
      <c r="E628" s="7" t="s">
        <v>1141</v>
      </c>
      <c r="F628" s="6">
        <v>33.0</v>
      </c>
      <c r="G628" s="7" t="s">
        <v>375</v>
      </c>
      <c r="H628" s="7"/>
      <c r="I628" s="7"/>
      <c r="J628" s="41" t="s">
        <v>19204</v>
      </c>
      <c r="K628" s="6" t="s">
        <v>17236</v>
      </c>
      <c r="L628" s="7">
        <v>97442.0</v>
      </c>
      <c r="M628" s="7" t="s">
        <v>33</v>
      </c>
      <c r="N628" s="6" t="s">
        <v>14526</v>
      </c>
      <c r="O628" s="7" t="s">
        <v>1386</v>
      </c>
      <c r="P628" s="42" t="s">
        <v>4678</v>
      </c>
      <c r="Q628" s="43" t="s">
        <v>19205</v>
      </c>
      <c r="R628" s="43" t="s">
        <v>17872</v>
      </c>
      <c r="S628" s="44" t="s">
        <v>19206</v>
      </c>
      <c r="T628" s="6" t="s">
        <v>19207</v>
      </c>
      <c r="U628" s="6" t="s">
        <v>19208</v>
      </c>
      <c r="V628" s="7" t="s">
        <v>4681</v>
      </c>
      <c r="W628" s="6" t="s">
        <v>19209</v>
      </c>
      <c r="X628" s="6" t="s">
        <v>19210</v>
      </c>
      <c r="Y628" s="6" t="s">
        <v>19211</v>
      </c>
      <c r="Z628" s="7" t="s">
        <v>424</v>
      </c>
      <c r="AA628" s="7"/>
      <c r="AB628" s="7"/>
      <c r="AC628" s="6">
        <v>9.281203850001E13</v>
      </c>
      <c r="AD628" s="6">
        <v>9.28120385E8</v>
      </c>
      <c r="AE628" s="6" t="s">
        <v>401</v>
      </c>
      <c r="AF628" s="45">
        <v>45474.477013888885</v>
      </c>
      <c r="AG628" s="7" t="s">
        <v>17877</v>
      </c>
      <c r="AH628" s="46" t="s">
        <v>19212</v>
      </c>
      <c r="AI628" s="7"/>
      <c r="AJ628" s="6" t="s">
        <v>19213</v>
      </c>
      <c r="AK628" s="6" t="b">
        <v>1</v>
      </c>
      <c r="AL628" s="7" t="b">
        <v>0</v>
      </c>
      <c r="AM628" s="6" t="s">
        <v>4687</v>
      </c>
      <c r="AN628" s="6" t="s">
        <v>4674</v>
      </c>
      <c r="AO628" s="6">
        <v>4541.0</v>
      </c>
      <c r="AP628" s="6"/>
      <c r="AQ628" s="6" t="b">
        <v>1</v>
      </c>
      <c r="AR628" s="6"/>
      <c r="AS628" s="48" t="s">
        <v>12303</v>
      </c>
    </row>
    <row r="629" ht="15.75" customHeight="1">
      <c r="A629" s="7" t="s">
        <v>6880</v>
      </c>
      <c r="B629" s="7" t="s">
        <v>6881</v>
      </c>
      <c r="C629" s="7" t="s">
        <v>58</v>
      </c>
      <c r="D629" s="7" t="s">
        <v>59</v>
      </c>
      <c r="E629" s="7" t="s">
        <v>346</v>
      </c>
      <c r="F629" s="7">
        <v>20.0</v>
      </c>
      <c r="G629" s="7" t="s">
        <v>422</v>
      </c>
      <c r="H629" s="7"/>
      <c r="I629" s="7"/>
      <c r="J629" s="7">
        <v>26.0</v>
      </c>
      <c r="K629" s="7" t="s">
        <v>17457</v>
      </c>
      <c r="L629" s="7">
        <v>97480.0</v>
      </c>
      <c r="M629" s="7" t="s">
        <v>123</v>
      </c>
      <c r="N629" s="6" t="s">
        <v>8383</v>
      </c>
      <c r="O629" s="6" t="s">
        <v>19214</v>
      </c>
      <c r="P629" s="42" t="s">
        <v>19215</v>
      </c>
      <c r="Q629" s="43" t="s">
        <v>19216</v>
      </c>
      <c r="R629" s="50"/>
      <c r="S629" s="51"/>
      <c r="T629" s="7" t="s">
        <v>6886</v>
      </c>
      <c r="U629" s="7" t="s">
        <v>6885</v>
      </c>
      <c r="V629" s="7"/>
      <c r="W629" s="6" t="s">
        <v>19217</v>
      </c>
      <c r="X629" s="7" t="s">
        <v>6884</v>
      </c>
      <c r="Y629" s="7" t="s">
        <v>377</v>
      </c>
      <c r="Z629" s="7" t="s">
        <v>378</v>
      </c>
      <c r="AA629" s="7"/>
      <c r="AB629" s="7"/>
      <c r="AC629" s="7"/>
      <c r="AD629" s="7"/>
      <c r="AE629" s="6" t="s">
        <v>401</v>
      </c>
      <c r="AF629" s="45">
        <v>44813.36581018518</v>
      </c>
      <c r="AG629" s="7" t="s">
        <v>19218</v>
      </c>
      <c r="AH629" s="46" t="s">
        <v>19219</v>
      </c>
      <c r="AI629" s="7"/>
      <c r="AJ629" s="7"/>
      <c r="AK629" s="7" t="b">
        <v>0</v>
      </c>
      <c r="AL629" s="7" t="b">
        <v>0</v>
      </c>
      <c r="AM629" s="7"/>
      <c r="AN629" s="6" t="s">
        <v>6880</v>
      </c>
      <c r="AO629" s="6">
        <v>2844.0</v>
      </c>
      <c r="AP629" s="6"/>
      <c r="AQ629" s="6" t="b">
        <v>1</v>
      </c>
      <c r="AR629" s="6"/>
      <c r="AS629" s="6" t="s">
        <v>12303</v>
      </c>
    </row>
    <row r="630" ht="15.75" customHeight="1">
      <c r="A630" s="9" t="s">
        <v>11788</v>
      </c>
      <c r="B630" s="9" t="s">
        <v>19220</v>
      </c>
      <c r="C630" s="9" t="s">
        <v>117</v>
      </c>
      <c r="D630" s="9" t="s">
        <v>197</v>
      </c>
      <c r="E630" s="9" t="s">
        <v>559</v>
      </c>
      <c r="I630" s="9" t="s">
        <v>12888</v>
      </c>
      <c r="J630" s="52" t="s">
        <v>12865</v>
      </c>
      <c r="K630" s="9" t="s">
        <v>15095</v>
      </c>
      <c r="L630" s="9">
        <v>97442.0</v>
      </c>
      <c r="M630" s="9" t="s">
        <v>33</v>
      </c>
      <c r="N630" s="9" t="s">
        <v>15096</v>
      </c>
      <c r="O630" s="9" t="s">
        <v>19221</v>
      </c>
      <c r="P630" s="53" t="s">
        <v>19222</v>
      </c>
      <c r="Q630" s="49" t="s">
        <v>19223</v>
      </c>
      <c r="R630" s="50"/>
      <c r="S630" s="54" t="s">
        <v>19224</v>
      </c>
      <c r="T630" s="9" t="s">
        <v>19225</v>
      </c>
      <c r="U630" s="9" t="s">
        <v>19226</v>
      </c>
      <c r="V630" s="9" t="s">
        <v>19227</v>
      </c>
      <c r="W630" s="9" t="s">
        <v>19228</v>
      </c>
      <c r="X630" s="9" t="s">
        <v>19229</v>
      </c>
      <c r="Y630" s="9" t="s">
        <v>8231</v>
      </c>
      <c r="Z630" s="9" t="s">
        <v>353</v>
      </c>
      <c r="AC630" s="9">
        <v>8.8390011000015E13</v>
      </c>
      <c r="AD630" s="9">
        <v>8.8390011E8</v>
      </c>
      <c r="AE630" s="9" t="s">
        <v>401</v>
      </c>
      <c r="AF630" s="55">
        <v>46063.52070601852</v>
      </c>
      <c r="AG630" s="9" t="s">
        <v>19230</v>
      </c>
      <c r="AH630" s="9" t="s">
        <v>19231</v>
      </c>
      <c r="AJ630" s="9" t="s">
        <v>19232</v>
      </c>
      <c r="AK630" s="9" t="b">
        <v>0</v>
      </c>
      <c r="AL630" s="9" t="b">
        <v>0</v>
      </c>
      <c r="AN630" s="9" t="s">
        <v>11788</v>
      </c>
      <c r="AP630" s="56">
        <v>44694.0</v>
      </c>
      <c r="AQ630" s="9" t="b">
        <v>1</v>
      </c>
      <c r="AR630" s="9" t="s">
        <v>19233</v>
      </c>
      <c r="AS630" s="9" t="s">
        <v>12303</v>
      </c>
    </row>
    <row r="631" ht="15.75" customHeight="1">
      <c r="A631" s="7" t="s">
        <v>6513</v>
      </c>
      <c r="B631" s="7" t="s">
        <v>6514</v>
      </c>
      <c r="C631" s="7" t="s">
        <v>34</v>
      </c>
      <c r="D631" s="7" t="s">
        <v>622</v>
      </c>
      <c r="E631" s="7" t="s">
        <v>622</v>
      </c>
      <c r="F631" s="7">
        <v>100.0</v>
      </c>
      <c r="G631" s="7" t="s">
        <v>664</v>
      </c>
      <c r="H631" s="7"/>
      <c r="I631" s="7"/>
      <c r="J631" s="41" t="s">
        <v>19234</v>
      </c>
      <c r="K631" s="7" t="s">
        <v>12321</v>
      </c>
      <c r="L631" s="7">
        <v>97480.0</v>
      </c>
      <c r="M631" s="7" t="s">
        <v>123</v>
      </c>
      <c r="N631" s="7"/>
      <c r="O631" s="7" t="s">
        <v>6524</v>
      </c>
      <c r="P631" s="42" t="s">
        <v>19235</v>
      </c>
      <c r="Q631" s="49" t="s">
        <v>19236</v>
      </c>
      <c r="R631" s="43" t="s">
        <v>19237</v>
      </c>
      <c r="S631" s="51"/>
      <c r="T631" s="6" t="s">
        <v>19238</v>
      </c>
      <c r="U631" s="6" t="s">
        <v>19239</v>
      </c>
      <c r="V631" s="7" t="s">
        <v>6520</v>
      </c>
      <c r="W631" s="6" t="s">
        <v>19240</v>
      </c>
      <c r="X631" s="7" t="s">
        <v>6518</v>
      </c>
      <c r="Y631" s="7" t="s">
        <v>1612</v>
      </c>
      <c r="Z631" s="7" t="s">
        <v>592</v>
      </c>
      <c r="AA631" s="7"/>
      <c r="AB631" s="7"/>
      <c r="AC631" s="7">
        <v>3.9814642300015E13</v>
      </c>
      <c r="AD631" s="7">
        <v>3.98146423E8</v>
      </c>
      <c r="AE631" s="6" t="s">
        <v>401</v>
      </c>
      <c r="AF631" s="45">
        <v>45414.4405787037</v>
      </c>
      <c r="AG631" s="7" t="s">
        <v>19241</v>
      </c>
      <c r="AH631" s="46" t="s">
        <v>19242</v>
      </c>
      <c r="AI631" s="7"/>
      <c r="AJ631" s="7"/>
      <c r="AK631" s="6" t="b">
        <v>1</v>
      </c>
      <c r="AL631" s="7" t="b">
        <v>0</v>
      </c>
      <c r="AM631" s="7"/>
      <c r="AN631" s="6" t="s">
        <v>6513</v>
      </c>
      <c r="AO631" s="6">
        <v>1003.0</v>
      </c>
      <c r="AP631" s="6"/>
      <c r="AQ631" s="6" t="b">
        <v>1</v>
      </c>
      <c r="AR631" s="6" t="s">
        <v>19243</v>
      </c>
      <c r="AS631" s="6"/>
    </row>
    <row r="632" ht="15.75" customHeight="1">
      <c r="A632" s="7" t="s">
        <v>2242</v>
      </c>
      <c r="B632" s="6" t="s">
        <v>19244</v>
      </c>
      <c r="C632" s="7" t="s">
        <v>34</v>
      </c>
      <c r="D632" s="7" t="s">
        <v>622</v>
      </c>
      <c r="E632" s="7" t="s">
        <v>622</v>
      </c>
      <c r="F632" s="7"/>
      <c r="G632" s="7"/>
      <c r="H632" s="7"/>
      <c r="I632" s="7"/>
      <c r="J632" s="70" t="s">
        <v>19245</v>
      </c>
      <c r="K632" s="7" t="s">
        <v>19246</v>
      </c>
      <c r="L632" s="7">
        <v>97480.0</v>
      </c>
      <c r="M632" s="7" t="s">
        <v>123</v>
      </c>
      <c r="N632" s="7"/>
      <c r="O632" s="6" t="s">
        <v>19247</v>
      </c>
      <c r="P632" s="71" t="s">
        <v>19248</v>
      </c>
      <c r="Q632" s="49" t="s">
        <v>19249</v>
      </c>
      <c r="R632" s="50"/>
      <c r="S632" s="51"/>
      <c r="T632" s="6" t="s">
        <v>19250</v>
      </c>
      <c r="U632" s="7" t="s">
        <v>2245</v>
      </c>
      <c r="V632" s="7"/>
      <c r="W632" s="6" t="s">
        <v>19251</v>
      </c>
      <c r="X632" s="7"/>
      <c r="Y632" s="6" t="s">
        <v>2938</v>
      </c>
      <c r="Z632" s="7" t="s">
        <v>378</v>
      </c>
      <c r="AA632" s="7"/>
      <c r="AB632" s="7"/>
      <c r="AC632" s="6">
        <v>8.1301441200015E13</v>
      </c>
      <c r="AD632" s="6">
        <v>8.13014412E8</v>
      </c>
      <c r="AE632" s="7" t="s">
        <v>401</v>
      </c>
      <c r="AF632" s="45">
        <v>45386.5875</v>
      </c>
      <c r="AG632" s="6" t="s">
        <v>19252</v>
      </c>
      <c r="AH632" s="46" t="s">
        <v>19253</v>
      </c>
      <c r="AI632" s="7"/>
      <c r="AJ632" s="6" t="s">
        <v>19254</v>
      </c>
      <c r="AK632" s="6" t="b">
        <v>1</v>
      </c>
      <c r="AL632" s="7" t="b">
        <v>0</v>
      </c>
      <c r="AM632" s="7"/>
      <c r="AN632" s="6" t="s">
        <v>2242</v>
      </c>
      <c r="AO632" s="6">
        <v>4715.0</v>
      </c>
      <c r="AP632" s="6"/>
      <c r="AQ632" s="6" t="b">
        <v>0</v>
      </c>
      <c r="AR632" s="6"/>
      <c r="AS632" s="6"/>
    </row>
    <row r="633" ht="15.75" customHeight="1">
      <c r="A633" s="7" t="s">
        <v>9383</v>
      </c>
      <c r="B633" s="7" t="s">
        <v>9384</v>
      </c>
      <c r="C633" s="7" t="s">
        <v>58</v>
      </c>
      <c r="D633" s="7" t="s">
        <v>59</v>
      </c>
      <c r="E633" s="7" t="s">
        <v>346</v>
      </c>
      <c r="F633" s="7">
        <v>14.0</v>
      </c>
      <c r="G633" s="7"/>
      <c r="H633" s="7"/>
      <c r="I633" s="7"/>
      <c r="J633" s="7">
        <v>5.0</v>
      </c>
      <c r="K633" s="7" t="s">
        <v>19255</v>
      </c>
      <c r="L633" s="7">
        <v>97418.0</v>
      </c>
      <c r="M633" s="7" t="s">
        <v>71</v>
      </c>
      <c r="N633" s="7" t="s">
        <v>216</v>
      </c>
      <c r="O633" s="7" t="s">
        <v>9392</v>
      </c>
      <c r="P633" s="42" t="s">
        <v>9388</v>
      </c>
      <c r="Q633" s="43" t="s">
        <v>19256</v>
      </c>
      <c r="R633" s="50"/>
      <c r="S633" s="51"/>
      <c r="T633" s="7" t="s">
        <v>9389</v>
      </c>
      <c r="U633" s="7"/>
      <c r="V633" s="7"/>
      <c r="W633" s="7"/>
      <c r="X633" s="7" t="s">
        <v>9387</v>
      </c>
      <c r="Y633" s="7" t="s">
        <v>2390</v>
      </c>
      <c r="Z633" s="7" t="s">
        <v>9333</v>
      </c>
      <c r="AA633" s="7"/>
      <c r="AB633" s="7"/>
      <c r="AC633" s="7"/>
      <c r="AD633" s="7"/>
      <c r="AE633" s="6" t="s">
        <v>12355</v>
      </c>
      <c r="AF633" s="45">
        <v>44803.43800925926</v>
      </c>
      <c r="AG633" s="7" t="s">
        <v>19257</v>
      </c>
      <c r="AH633" s="46" t="s">
        <v>19258</v>
      </c>
      <c r="AI633" s="7"/>
      <c r="AJ633" s="7"/>
      <c r="AK633" s="7" t="b">
        <v>0</v>
      </c>
      <c r="AL633" s="7" t="b">
        <v>0</v>
      </c>
      <c r="AM633" s="6" t="s">
        <v>19259</v>
      </c>
      <c r="AN633" s="6" t="s">
        <v>9383</v>
      </c>
      <c r="AO633" s="7"/>
      <c r="AP633" s="7"/>
      <c r="AQ633" s="6" t="b">
        <v>0</v>
      </c>
      <c r="AR633" s="6"/>
      <c r="AS633" s="48" t="s">
        <v>12303</v>
      </c>
    </row>
    <row r="634" ht="15.75" customHeight="1">
      <c r="A634" s="9" t="s">
        <v>11652</v>
      </c>
      <c r="B634" s="9" t="s">
        <v>19260</v>
      </c>
      <c r="C634" s="9" t="s">
        <v>58</v>
      </c>
      <c r="D634" s="9" t="s">
        <v>59</v>
      </c>
      <c r="E634" s="9" t="s">
        <v>346</v>
      </c>
      <c r="F634" s="9">
        <v>6.0</v>
      </c>
      <c r="H634" s="9" t="s">
        <v>2716</v>
      </c>
      <c r="J634" s="52" t="s">
        <v>19261</v>
      </c>
      <c r="K634" s="9" t="s">
        <v>19262</v>
      </c>
      <c r="L634" s="9">
        <v>97414.0</v>
      </c>
      <c r="M634" s="9" t="s">
        <v>40</v>
      </c>
      <c r="O634" s="9" t="s">
        <v>19263</v>
      </c>
      <c r="P634" s="53" t="s">
        <v>19264</v>
      </c>
      <c r="Q634" s="49" t="s">
        <v>19265</v>
      </c>
      <c r="R634" s="50"/>
      <c r="S634" s="54"/>
      <c r="T634" s="9" t="s">
        <v>19266</v>
      </c>
      <c r="U634" s="9" t="s">
        <v>19267</v>
      </c>
      <c r="V634" s="9" t="s">
        <v>19268</v>
      </c>
      <c r="W634" s="9" t="s">
        <v>19269</v>
      </c>
      <c r="X634" s="9" t="s">
        <v>9183</v>
      </c>
      <c r="Y634" s="9" t="s">
        <v>9455</v>
      </c>
      <c r="Z634" s="9" t="s">
        <v>378</v>
      </c>
      <c r="AE634" s="9" t="s">
        <v>401</v>
      </c>
      <c r="AF634" s="60">
        <v>45454.48650462963</v>
      </c>
      <c r="AG634" s="9" t="s">
        <v>19270</v>
      </c>
      <c r="AH634" s="9" t="s">
        <v>19271</v>
      </c>
      <c r="AJ634" s="9" t="s">
        <v>19272</v>
      </c>
      <c r="AL634" s="9" t="b">
        <v>0</v>
      </c>
      <c r="AM634" s="9" t="s">
        <v>19273</v>
      </c>
      <c r="AN634" s="9" t="s">
        <v>11652</v>
      </c>
      <c r="AP634" s="61">
        <v>44529.0</v>
      </c>
      <c r="AQ634" s="9" t="b">
        <v>0</v>
      </c>
      <c r="AR634" s="9"/>
      <c r="AS634" s="48" t="s">
        <v>12303</v>
      </c>
    </row>
    <row r="635" ht="15.75" customHeight="1">
      <c r="A635" s="7" t="s">
        <v>9310</v>
      </c>
      <c r="B635" s="7" t="s">
        <v>9311</v>
      </c>
      <c r="C635" s="7" t="s">
        <v>58</v>
      </c>
      <c r="D635" s="7" t="s">
        <v>59</v>
      </c>
      <c r="E635" s="7"/>
      <c r="F635" s="7">
        <v>8.0</v>
      </c>
      <c r="G635" s="7"/>
      <c r="H635" s="7"/>
      <c r="I635" s="7"/>
      <c r="J635" s="7">
        <v>4.0</v>
      </c>
      <c r="K635" s="7" t="s">
        <v>17457</v>
      </c>
      <c r="L635" s="7">
        <v>97480.0</v>
      </c>
      <c r="M635" s="7" t="s">
        <v>123</v>
      </c>
      <c r="N635" s="6" t="s">
        <v>8383</v>
      </c>
      <c r="O635" s="6" t="s">
        <v>19274</v>
      </c>
      <c r="P635" s="42" t="s">
        <v>9316</v>
      </c>
      <c r="Q635" s="43" t="s">
        <v>19275</v>
      </c>
      <c r="R635" s="43" t="s">
        <v>19276</v>
      </c>
      <c r="S635" s="51"/>
      <c r="T635" s="7"/>
      <c r="U635" s="7"/>
      <c r="V635" s="7"/>
      <c r="W635" s="6" t="s">
        <v>19277</v>
      </c>
      <c r="X635" s="7" t="s">
        <v>9314</v>
      </c>
      <c r="Y635" s="7" t="s">
        <v>377</v>
      </c>
      <c r="Z635" s="7" t="s">
        <v>9315</v>
      </c>
      <c r="AA635" s="7" t="s">
        <v>9320</v>
      </c>
      <c r="AB635" s="7" t="s">
        <v>1590</v>
      </c>
      <c r="AC635" s="7"/>
      <c r="AD635" s="7"/>
      <c r="AE635" s="6" t="s">
        <v>401</v>
      </c>
      <c r="AF635" s="45">
        <v>44796.60923611111</v>
      </c>
      <c r="AG635" s="7" t="s">
        <v>19278</v>
      </c>
      <c r="AH635" s="46" t="s">
        <v>19279</v>
      </c>
      <c r="AI635" s="7"/>
      <c r="AJ635" s="7"/>
      <c r="AK635" s="7" t="b">
        <v>0</v>
      </c>
      <c r="AL635" s="7" t="b">
        <v>0</v>
      </c>
      <c r="AM635" s="6" t="s">
        <v>9321</v>
      </c>
      <c r="AN635" s="6" t="s">
        <v>9310</v>
      </c>
      <c r="AO635" s="7"/>
      <c r="AP635" s="7"/>
      <c r="AQ635" s="6" t="b">
        <v>0</v>
      </c>
      <c r="AR635" s="6"/>
      <c r="AS635" s="6" t="s">
        <v>12303</v>
      </c>
    </row>
    <row r="636" ht="15.75" customHeight="1">
      <c r="A636" s="7" t="s">
        <v>2994</v>
      </c>
      <c r="B636" s="12" t="s">
        <v>19280</v>
      </c>
      <c r="C636" s="7" t="s">
        <v>58</v>
      </c>
      <c r="D636" s="7" t="s">
        <v>59</v>
      </c>
      <c r="E636" s="7" t="s">
        <v>2013</v>
      </c>
      <c r="F636" s="6">
        <v>4.0</v>
      </c>
      <c r="G636" s="7" t="s">
        <v>455</v>
      </c>
      <c r="H636" s="7" t="s">
        <v>2036</v>
      </c>
      <c r="I636" s="7" t="s">
        <v>578</v>
      </c>
      <c r="J636" s="7">
        <v>48.0</v>
      </c>
      <c r="K636" s="7" t="s">
        <v>19281</v>
      </c>
      <c r="L636" s="7">
        <v>97418.0</v>
      </c>
      <c r="M636" s="7" t="s">
        <v>71</v>
      </c>
      <c r="N636" s="7" t="s">
        <v>216</v>
      </c>
      <c r="O636" s="7" t="s">
        <v>3006</v>
      </c>
      <c r="P636" s="42" t="s">
        <v>3000</v>
      </c>
      <c r="Q636" s="43" t="s">
        <v>19282</v>
      </c>
      <c r="R636" s="43" t="s">
        <v>19283</v>
      </c>
      <c r="S636" s="47" t="s">
        <v>2997</v>
      </c>
      <c r="T636" s="7" t="s">
        <v>3001</v>
      </c>
      <c r="U636" s="7"/>
      <c r="V636" s="7" t="s">
        <v>3002</v>
      </c>
      <c r="W636" s="6" t="s">
        <v>19284</v>
      </c>
      <c r="X636" s="7" t="s">
        <v>1222</v>
      </c>
      <c r="Y636" s="7" t="s">
        <v>2999</v>
      </c>
      <c r="Z636" s="7" t="s">
        <v>592</v>
      </c>
      <c r="AA636" s="7"/>
      <c r="AB636" s="7"/>
      <c r="AC636" s="7"/>
      <c r="AD636" s="7"/>
      <c r="AE636" s="6" t="s">
        <v>401</v>
      </c>
      <c r="AF636" s="45">
        <v>44796.42060185185</v>
      </c>
      <c r="AG636" s="7" t="s">
        <v>19285</v>
      </c>
      <c r="AH636" s="46" t="s">
        <v>19286</v>
      </c>
      <c r="AI636" s="7"/>
      <c r="AJ636" s="7"/>
      <c r="AK636" s="7" t="b">
        <v>0</v>
      </c>
      <c r="AL636" s="7" t="b">
        <v>0</v>
      </c>
      <c r="AM636" s="6" t="s">
        <v>3007</v>
      </c>
      <c r="AN636" s="6" t="s">
        <v>2994</v>
      </c>
      <c r="AO636" s="6">
        <v>1745.0</v>
      </c>
      <c r="AP636" s="6"/>
      <c r="AQ636" s="6" t="b">
        <v>1</v>
      </c>
      <c r="AR636" s="6"/>
      <c r="AS636" s="48" t="s">
        <v>12303</v>
      </c>
    </row>
    <row r="637" ht="15.75" customHeight="1">
      <c r="A637" s="7" t="s">
        <v>982</v>
      </c>
      <c r="B637" s="7" t="s">
        <v>983</v>
      </c>
      <c r="C637" s="7" t="s">
        <v>58</v>
      </c>
      <c r="D637" s="7" t="s">
        <v>59</v>
      </c>
      <c r="E637" s="7" t="s">
        <v>374</v>
      </c>
      <c r="F637" s="7">
        <v>4.0</v>
      </c>
      <c r="G637" s="7" t="s">
        <v>455</v>
      </c>
      <c r="H637" s="7"/>
      <c r="I637" s="7"/>
      <c r="J637" s="7">
        <v>114.0</v>
      </c>
      <c r="K637" s="7" t="s">
        <v>19287</v>
      </c>
      <c r="L637" s="7">
        <v>97430.0</v>
      </c>
      <c r="M637" s="7" t="s">
        <v>71</v>
      </c>
      <c r="N637" s="7"/>
      <c r="O637" s="7" t="s">
        <v>993</v>
      </c>
      <c r="P637" s="42" t="s">
        <v>989</v>
      </c>
      <c r="Q637" s="43" t="s">
        <v>19288</v>
      </c>
      <c r="R637" s="43" t="s">
        <v>19289</v>
      </c>
      <c r="S637" s="47" t="s">
        <v>986</v>
      </c>
      <c r="T637" s="7" t="s">
        <v>990</v>
      </c>
      <c r="U637" s="7"/>
      <c r="V637" s="7"/>
      <c r="W637" s="6" t="s">
        <v>19290</v>
      </c>
      <c r="X637" s="7" t="s">
        <v>988</v>
      </c>
      <c r="Y637" s="7" t="s">
        <v>377</v>
      </c>
      <c r="Z637" s="7" t="s">
        <v>353</v>
      </c>
      <c r="AA637" s="7"/>
      <c r="AB637" s="7"/>
      <c r="AC637" s="7">
        <v>5.0524671000014E13</v>
      </c>
      <c r="AD637" s="7">
        <v>5.0524671E8</v>
      </c>
      <c r="AE637" s="6" t="s">
        <v>12355</v>
      </c>
      <c r="AF637" s="45">
        <v>44784.380474537036</v>
      </c>
      <c r="AG637" s="7" t="s">
        <v>19291</v>
      </c>
      <c r="AH637" s="46" t="s">
        <v>19292</v>
      </c>
      <c r="AI637" s="7"/>
      <c r="AJ637" s="7"/>
      <c r="AK637" s="7" t="b">
        <v>0</v>
      </c>
      <c r="AL637" s="7" t="b">
        <v>0</v>
      </c>
      <c r="AM637" s="6" t="s">
        <v>994</v>
      </c>
      <c r="AN637" s="6" t="s">
        <v>982</v>
      </c>
      <c r="AO637" s="6">
        <v>3040.0</v>
      </c>
      <c r="AP637" s="6"/>
      <c r="AQ637" s="6" t="b">
        <v>1</v>
      </c>
      <c r="AR637" s="6"/>
      <c r="AS637" s="6"/>
    </row>
    <row r="638" ht="15.75" customHeight="1">
      <c r="A638" s="7" t="s">
        <v>7867</v>
      </c>
      <c r="B638" s="7" t="s">
        <v>19293</v>
      </c>
      <c r="C638" s="7" t="s">
        <v>58</v>
      </c>
      <c r="D638" s="7" t="s">
        <v>137</v>
      </c>
      <c r="E638" s="7" t="s">
        <v>1091</v>
      </c>
      <c r="F638" s="7">
        <v>43.0</v>
      </c>
      <c r="G638" s="7" t="s">
        <v>7871</v>
      </c>
      <c r="H638" s="7"/>
      <c r="I638" s="7"/>
      <c r="J638" s="41" t="s">
        <v>12445</v>
      </c>
      <c r="K638" s="7" t="s">
        <v>12685</v>
      </c>
      <c r="L638" s="7">
        <v>97418.0</v>
      </c>
      <c r="M638" s="7" t="s">
        <v>71</v>
      </c>
      <c r="N638" s="6" t="s">
        <v>12685</v>
      </c>
      <c r="O638" s="7" t="s">
        <v>6157</v>
      </c>
      <c r="P638" s="42" t="s">
        <v>19294</v>
      </c>
      <c r="Q638" s="49" t="s">
        <v>19295</v>
      </c>
      <c r="R638" s="50"/>
      <c r="S638" s="44" t="s">
        <v>19296</v>
      </c>
      <c r="T638" s="7" t="s">
        <v>7873</v>
      </c>
      <c r="U638" s="7" t="s">
        <v>7872</v>
      </c>
      <c r="V638" s="7" t="s">
        <v>7874</v>
      </c>
      <c r="W638" s="6" t="s">
        <v>17326</v>
      </c>
      <c r="X638" s="7" t="s">
        <v>6150</v>
      </c>
      <c r="Y638" s="7" t="s">
        <v>377</v>
      </c>
      <c r="Z638" s="7" t="s">
        <v>353</v>
      </c>
      <c r="AA638" s="7"/>
      <c r="AB638" s="7"/>
      <c r="AC638" s="6">
        <v>8.2807295900012E13</v>
      </c>
      <c r="AD638" s="6">
        <v>8.28072959E8</v>
      </c>
      <c r="AE638" s="6" t="s">
        <v>401</v>
      </c>
      <c r="AF638" s="45">
        <v>45376.385983796295</v>
      </c>
      <c r="AG638" s="7" t="s">
        <v>19297</v>
      </c>
      <c r="AH638" s="46" t="s">
        <v>19298</v>
      </c>
      <c r="AI638" s="7"/>
      <c r="AJ638" s="6" t="s">
        <v>19299</v>
      </c>
      <c r="AK638" s="7" t="b">
        <v>0</v>
      </c>
      <c r="AL638" s="7" t="b">
        <v>0</v>
      </c>
      <c r="AM638" s="6" t="s">
        <v>7878</v>
      </c>
      <c r="AN638" s="6" t="s">
        <v>7867</v>
      </c>
      <c r="AO638" s="6">
        <v>1711.0</v>
      </c>
      <c r="AP638" s="6"/>
      <c r="AQ638" s="6" t="b">
        <v>1</v>
      </c>
      <c r="AR638" s="6"/>
      <c r="AS638" s="48" t="s">
        <v>12303</v>
      </c>
    </row>
    <row r="639" ht="15.75" customHeight="1">
      <c r="A639" s="7" t="s">
        <v>3844</v>
      </c>
      <c r="B639" s="7" t="s">
        <v>12292</v>
      </c>
      <c r="C639" s="7" t="s">
        <v>58</v>
      </c>
      <c r="D639" s="7" t="s">
        <v>453</v>
      </c>
      <c r="E639" s="7" t="s">
        <v>454</v>
      </c>
      <c r="F639" s="7">
        <v>10.0</v>
      </c>
      <c r="G639" s="7" t="s">
        <v>407</v>
      </c>
      <c r="H639" s="7" t="s">
        <v>788</v>
      </c>
      <c r="I639" s="7" t="s">
        <v>578</v>
      </c>
      <c r="J639" s="7"/>
      <c r="K639" s="7" t="s">
        <v>13539</v>
      </c>
      <c r="L639" s="7">
        <v>97418.0</v>
      </c>
      <c r="M639" s="7" t="s">
        <v>71</v>
      </c>
      <c r="N639" s="7" t="s">
        <v>216</v>
      </c>
      <c r="O639" s="6" t="s">
        <v>19300</v>
      </c>
      <c r="P639" s="42" t="s">
        <v>3833</v>
      </c>
      <c r="Q639" s="43" t="s">
        <v>12296</v>
      </c>
      <c r="R639" s="43" t="s">
        <v>12297</v>
      </c>
      <c r="S639" s="47"/>
      <c r="T639" s="7" t="s">
        <v>3847</v>
      </c>
      <c r="U639" s="7"/>
      <c r="V639" s="7" t="s">
        <v>3848</v>
      </c>
      <c r="W639" s="6" t="s">
        <v>19301</v>
      </c>
      <c r="X639" s="7" t="s">
        <v>647</v>
      </c>
      <c r="Y639" s="7" t="s">
        <v>3832</v>
      </c>
      <c r="Z639" s="7" t="s">
        <v>1508</v>
      </c>
      <c r="AA639" s="7" t="s">
        <v>3849</v>
      </c>
      <c r="AB639" s="7" t="s">
        <v>1590</v>
      </c>
      <c r="AC639" s="7">
        <v>4.8826191800012E13</v>
      </c>
      <c r="AD639" s="7">
        <v>4.88261918E8</v>
      </c>
      <c r="AE639" s="6" t="s">
        <v>401</v>
      </c>
      <c r="AF639" s="45">
        <v>44781.54571759259</v>
      </c>
      <c r="AG639" s="7" t="s">
        <v>12300</v>
      </c>
      <c r="AH639" s="46" t="s">
        <v>19302</v>
      </c>
      <c r="AI639" s="7"/>
      <c r="AJ639" s="7"/>
      <c r="AK639" s="7" t="b">
        <v>0</v>
      </c>
      <c r="AL639" s="7" t="b">
        <v>0</v>
      </c>
      <c r="AM639" s="6" t="s">
        <v>3850</v>
      </c>
      <c r="AN639" s="6" t="s">
        <v>3844</v>
      </c>
      <c r="AO639" s="6">
        <v>1529.0</v>
      </c>
      <c r="AP639" s="6"/>
      <c r="AQ639" s="6" t="b">
        <v>1</v>
      </c>
      <c r="AR639" s="6"/>
      <c r="AS639" s="48" t="s">
        <v>12303</v>
      </c>
    </row>
    <row r="640" ht="15.75" customHeight="1">
      <c r="A640" s="7" t="s">
        <v>3384</v>
      </c>
      <c r="B640" s="6" t="s">
        <v>19303</v>
      </c>
      <c r="C640" s="6" t="s">
        <v>34</v>
      </c>
      <c r="D640" s="6" t="s">
        <v>622</v>
      </c>
      <c r="E640" s="6" t="s">
        <v>19304</v>
      </c>
      <c r="F640" s="7">
        <v>70.0</v>
      </c>
      <c r="G640" s="6" t="s">
        <v>664</v>
      </c>
      <c r="H640" s="7"/>
      <c r="I640" s="7"/>
      <c r="J640" s="7">
        <v>337.0</v>
      </c>
      <c r="K640" s="7" t="s">
        <v>12779</v>
      </c>
      <c r="L640" s="7">
        <v>97430.0</v>
      </c>
      <c r="M640" s="7" t="s">
        <v>71</v>
      </c>
      <c r="N640" s="7"/>
      <c r="O640" s="6" t="s">
        <v>19305</v>
      </c>
      <c r="P640" s="53" t="s">
        <v>19306</v>
      </c>
      <c r="Q640" s="49" t="s">
        <v>19307</v>
      </c>
      <c r="R640" s="43" t="s">
        <v>19308</v>
      </c>
      <c r="S640" s="57" t="s">
        <v>19309</v>
      </c>
      <c r="T640" s="6" t="s">
        <v>19310</v>
      </c>
      <c r="U640" s="6" t="s">
        <v>19311</v>
      </c>
      <c r="V640" s="6" t="s">
        <v>19312</v>
      </c>
      <c r="W640" s="7"/>
      <c r="X640" s="6" t="s">
        <v>19313</v>
      </c>
      <c r="Y640" s="7" t="s">
        <v>1155</v>
      </c>
      <c r="Z640" s="7" t="s">
        <v>378</v>
      </c>
      <c r="AA640" s="7"/>
      <c r="AB640" s="7"/>
      <c r="AC640" s="7">
        <v>5.1486215000018E13</v>
      </c>
      <c r="AD640" s="7">
        <v>5.1486215E8</v>
      </c>
      <c r="AE640" s="6" t="s">
        <v>401</v>
      </c>
      <c r="AF640" s="45">
        <v>45386.49475694444</v>
      </c>
      <c r="AG640" s="7" t="s">
        <v>19314</v>
      </c>
      <c r="AH640" s="46" t="s">
        <v>19315</v>
      </c>
      <c r="AI640" s="7"/>
      <c r="AJ640" s="6" t="s">
        <v>19316</v>
      </c>
      <c r="AK640" s="7" t="b">
        <v>0</v>
      </c>
      <c r="AL640" s="7" t="b">
        <v>0</v>
      </c>
      <c r="AM640" s="7"/>
      <c r="AN640" s="6" t="s">
        <v>3384</v>
      </c>
      <c r="AO640" s="6">
        <v>1692.0</v>
      </c>
      <c r="AP640" s="6"/>
      <c r="AQ640" s="6" t="b">
        <v>1</v>
      </c>
      <c r="AR640" s="6"/>
      <c r="AS640" s="6"/>
    </row>
    <row r="641" ht="15.75" customHeight="1">
      <c r="A641" s="7" t="s">
        <v>3129</v>
      </c>
      <c r="B641" s="7" t="s">
        <v>3118</v>
      </c>
      <c r="C641" s="7" t="s">
        <v>58</v>
      </c>
      <c r="D641" s="7" t="s">
        <v>453</v>
      </c>
      <c r="E641" s="7" t="s">
        <v>454</v>
      </c>
      <c r="F641" s="7">
        <v>6.0</v>
      </c>
      <c r="G641" s="7" t="s">
        <v>407</v>
      </c>
      <c r="H641" s="7"/>
      <c r="I641" s="7"/>
      <c r="J641" s="7">
        <v>8.0</v>
      </c>
      <c r="K641" s="6" t="s">
        <v>19317</v>
      </c>
      <c r="L641" s="7">
        <v>97418.0</v>
      </c>
      <c r="M641" s="7" t="s">
        <v>71</v>
      </c>
      <c r="N641" s="7" t="s">
        <v>216</v>
      </c>
      <c r="O641" s="6" t="s">
        <v>19318</v>
      </c>
      <c r="P641" s="42" t="s">
        <v>3120</v>
      </c>
      <c r="Q641" s="49" t="s">
        <v>19319</v>
      </c>
      <c r="R641" s="50"/>
      <c r="S641" s="44" t="s">
        <v>19320</v>
      </c>
      <c r="T641" s="6" t="s">
        <v>19321</v>
      </c>
      <c r="U641" s="7" t="s">
        <v>3132</v>
      </c>
      <c r="V641" s="7" t="s">
        <v>3123</v>
      </c>
      <c r="W641" s="6" t="s">
        <v>19322</v>
      </c>
      <c r="X641" s="7" t="s">
        <v>2891</v>
      </c>
      <c r="Y641" s="6" t="s">
        <v>2390</v>
      </c>
      <c r="Z641" s="7" t="s">
        <v>353</v>
      </c>
      <c r="AA641" s="7" t="s">
        <v>3134</v>
      </c>
      <c r="AB641" s="7" t="s">
        <v>1829</v>
      </c>
      <c r="AC641" s="7">
        <v>7.5074198500014E13</v>
      </c>
      <c r="AD641" s="7">
        <v>7.50741985E8</v>
      </c>
      <c r="AE641" s="6" t="s">
        <v>401</v>
      </c>
      <c r="AF641" s="45">
        <v>45925.37763888889</v>
      </c>
      <c r="AG641" s="7" t="s">
        <v>19323</v>
      </c>
      <c r="AH641" s="46" t="s">
        <v>19324</v>
      </c>
      <c r="AI641" s="7"/>
      <c r="AJ641" s="6" t="s">
        <v>19325</v>
      </c>
      <c r="AK641" s="6" t="b">
        <v>1</v>
      </c>
      <c r="AL641" s="7" t="b">
        <v>0</v>
      </c>
      <c r="AM641" s="6" t="s">
        <v>3135</v>
      </c>
      <c r="AN641" s="6" t="s">
        <v>3129</v>
      </c>
      <c r="AO641" s="6">
        <v>3405.0</v>
      </c>
      <c r="AP641" s="6"/>
      <c r="AQ641" s="6" t="b">
        <v>1</v>
      </c>
      <c r="AR641" s="6" t="s">
        <v>19326</v>
      </c>
      <c r="AS641" s="48" t="s">
        <v>12303</v>
      </c>
    </row>
    <row r="642" ht="15.75" customHeight="1">
      <c r="A642" s="7" t="s">
        <v>9594</v>
      </c>
      <c r="B642" s="7" t="s">
        <v>19327</v>
      </c>
      <c r="C642" s="7" t="s">
        <v>58</v>
      </c>
      <c r="D642" s="7" t="s">
        <v>453</v>
      </c>
      <c r="E642" s="7" t="s">
        <v>454</v>
      </c>
      <c r="F642" s="6">
        <v>7.0</v>
      </c>
      <c r="G642" s="7"/>
      <c r="H642" s="7"/>
      <c r="I642" s="7"/>
      <c r="J642" s="7">
        <v>68.0</v>
      </c>
      <c r="K642" s="7" t="s">
        <v>19328</v>
      </c>
      <c r="L642" s="7">
        <v>97430.0</v>
      </c>
      <c r="M642" s="7" t="s">
        <v>71</v>
      </c>
      <c r="N642" s="7"/>
      <c r="O642" s="6" t="s">
        <v>19329</v>
      </c>
      <c r="P642" s="42" t="s">
        <v>9597</v>
      </c>
      <c r="Q642" s="43" t="s">
        <v>19330</v>
      </c>
      <c r="R642" s="43" t="s">
        <v>19331</v>
      </c>
      <c r="S642" s="51"/>
      <c r="T642" s="6" t="s">
        <v>19332</v>
      </c>
      <c r="U642" s="7"/>
      <c r="V642" s="6" t="s">
        <v>19333</v>
      </c>
      <c r="W642" s="7"/>
      <c r="X642" s="7"/>
      <c r="Y642" s="6" t="s">
        <v>499</v>
      </c>
      <c r="Z642" s="6" t="s">
        <v>353</v>
      </c>
      <c r="AA642" s="7"/>
      <c r="AB642" s="7"/>
      <c r="AC642" s="7">
        <v>3.9216510600064E13</v>
      </c>
      <c r="AD642" s="7">
        <v>3.92165106E8</v>
      </c>
      <c r="AE642" s="6" t="s">
        <v>401</v>
      </c>
      <c r="AF642" s="45">
        <v>44778.621932870374</v>
      </c>
      <c r="AG642" s="7" t="s">
        <v>19334</v>
      </c>
      <c r="AH642" s="46" t="s">
        <v>19335</v>
      </c>
      <c r="AI642" s="7"/>
      <c r="AJ642" s="6" t="s">
        <v>19336</v>
      </c>
      <c r="AK642" s="7" t="b">
        <v>0</v>
      </c>
      <c r="AL642" s="7" t="b">
        <v>0</v>
      </c>
      <c r="AM642" s="6" t="s">
        <v>9601</v>
      </c>
      <c r="AN642" s="6" t="s">
        <v>9594</v>
      </c>
      <c r="AO642" s="7"/>
      <c r="AP642" s="7"/>
      <c r="AQ642" s="6" t="b">
        <v>1</v>
      </c>
      <c r="AR642" s="6"/>
      <c r="AS642" s="6"/>
    </row>
    <row r="643" ht="15.75" customHeight="1">
      <c r="A643" s="7" t="s">
        <v>6197</v>
      </c>
      <c r="B643" s="7" t="s">
        <v>19337</v>
      </c>
      <c r="C643" s="7" t="s">
        <v>34</v>
      </c>
      <c r="D643" s="7" t="s">
        <v>622</v>
      </c>
      <c r="E643" s="7" t="s">
        <v>622</v>
      </c>
      <c r="F643" s="7">
        <v>50.0</v>
      </c>
      <c r="G643" s="6" t="s">
        <v>664</v>
      </c>
      <c r="H643" s="7"/>
      <c r="I643" s="7"/>
      <c r="J643" s="7">
        <v>68.0</v>
      </c>
      <c r="K643" s="7" t="s">
        <v>12779</v>
      </c>
      <c r="L643" s="7">
        <v>97430.0</v>
      </c>
      <c r="M643" s="7" t="s">
        <v>71</v>
      </c>
      <c r="N643" s="7"/>
      <c r="O643" s="6" t="s">
        <v>19338</v>
      </c>
      <c r="P643" s="42"/>
      <c r="Q643" s="43" t="s">
        <v>19339</v>
      </c>
      <c r="R643" s="50"/>
      <c r="S643" s="51"/>
      <c r="T643" s="7" t="s">
        <v>6201</v>
      </c>
      <c r="U643" s="7"/>
      <c r="V643" s="7" t="s">
        <v>6202</v>
      </c>
      <c r="W643" s="7"/>
      <c r="X643" s="7"/>
      <c r="Y643" s="7" t="s">
        <v>377</v>
      </c>
      <c r="Z643" s="7" t="s">
        <v>378</v>
      </c>
      <c r="AA643" s="7"/>
      <c r="AB643" s="7"/>
      <c r="AC643" s="7">
        <v>5.1974641600022E13</v>
      </c>
      <c r="AD643" s="7">
        <v>5.19746416E8</v>
      </c>
      <c r="AE643" s="6" t="s">
        <v>12355</v>
      </c>
      <c r="AF643" s="45">
        <v>45377.541967592595</v>
      </c>
      <c r="AG643" s="7" t="s">
        <v>19340</v>
      </c>
      <c r="AH643" s="46" t="s">
        <v>19341</v>
      </c>
      <c r="AI643" s="7"/>
      <c r="AJ643" s="7"/>
      <c r="AK643" s="7" t="b">
        <v>0</v>
      </c>
      <c r="AL643" s="7" t="b">
        <v>0</v>
      </c>
      <c r="AM643" s="7"/>
      <c r="AN643" s="6" t="s">
        <v>6197</v>
      </c>
      <c r="AO643" s="6">
        <v>1695.0</v>
      </c>
      <c r="AP643" s="6"/>
      <c r="AQ643" s="6" t="b">
        <v>1</v>
      </c>
      <c r="AR643" s="6"/>
      <c r="AS643" s="6"/>
    </row>
    <row r="644" ht="15.75" customHeight="1">
      <c r="A644" s="9" t="s">
        <v>10658</v>
      </c>
      <c r="B644" s="9" t="s">
        <v>19342</v>
      </c>
      <c r="C644" s="9" t="s">
        <v>58</v>
      </c>
      <c r="D644" s="9" t="s">
        <v>59</v>
      </c>
      <c r="E644" s="9" t="s">
        <v>346</v>
      </c>
      <c r="F644" s="9">
        <v>6.0</v>
      </c>
      <c r="J644" s="9" t="s">
        <v>16807</v>
      </c>
      <c r="K644" s="9" t="s">
        <v>19343</v>
      </c>
      <c r="L644" s="9">
        <v>97418.0</v>
      </c>
      <c r="M644" s="9" t="s">
        <v>71</v>
      </c>
      <c r="N644" s="9" t="s">
        <v>216</v>
      </c>
      <c r="O644" s="9" t="s">
        <v>19344</v>
      </c>
      <c r="P644" s="53" t="s">
        <v>19345</v>
      </c>
      <c r="Q644" s="49" t="s">
        <v>19346</v>
      </c>
      <c r="R644" s="50"/>
      <c r="S644" s="54"/>
      <c r="T644" s="9" t="s">
        <v>19347</v>
      </c>
      <c r="X644" s="9" t="s">
        <v>19348</v>
      </c>
      <c r="Y644" s="9" t="s">
        <v>1863</v>
      </c>
      <c r="Z644" s="9" t="s">
        <v>353</v>
      </c>
      <c r="AC644" s="9">
        <v>8.9766885100016E13</v>
      </c>
      <c r="AD644" s="9">
        <v>8.97668851E8</v>
      </c>
      <c r="AE644" s="9" t="s">
        <v>401</v>
      </c>
      <c r="AF644" s="60">
        <v>44776.64628472222</v>
      </c>
      <c r="AG644" s="9" t="s">
        <v>19349</v>
      </c>
      <c r="AH644" s="9" t="s">
        <v>19350</v>
      </c>
      <c r="AJ644" s="9" t="s">
        <v>19351</v>
      </c>
      <c r="AK644" s="9" t="b">
        <v>0</v>
      </c>
      <c r="AL644" s="9" t="b">
        <v>0</v>
      </c>
      <c r="AM644" s="9" t="s">
        <v>19352</v>
      </c>
      <c r="AN644" s="9" t="s">
        <v>10658</v>
      </c>
      <c r="AP644" s="61">
        <v>44546.0</v>
      </c>
      <c r="AQ644" s="9" t="b">
        <v>1</v>
      </c>
      <c r="AR644" s="9" t="s">
        <v>19353</v>
      </c>
      <c r="AS644" s="48" t="s">
        <v>12303</v>
      </c>
    </row>
    <row r="645" ht="15.75" customHeight="1">
      <c r="A645" s="7" t="s">
        <v>4121</v>
      </c>
      <c r="B645" s="7" t="s">
        <v>16751</v>
      </c>
      <c r="C645" s="7" t="s">
        <v>58</v>
      </c>
      <c r="D645" s="7" t="s">
        <v>59</v>
      </c>
      <c r="E645" s="7" t="s">
        <v>346</v>
      </c>
      <c r="F645" s="7">
        <v>5.0</v>
      </c>
      <c r="G645" s="7" t="s">
        <v>422</v>
      </c>
      <c r="H645" s="7" t="s">
        <v>2716</v>
      </c>
      <c r="I645" s="7"/>
      <c r="J645" s="7">
        <v>5.0</v>
      </c>
      <c r="K645" s="7" t="s">
        <v>14397</v>
      </c>
      <c r="L645" s="7">
        <v>97480.0</v>
      </c>
      <c r="M645" s="7" t="s">
        <v>123</v>
      </c>
      <c r="N645" s="7" t="s">
        <v>3556</v>
      </c>
      <c r="O645" s="6" t="s">
        <v>19354</v>
      </c>
      <c r="P645" s="42" t="s">
        <v>4127</v>
      </c>
      <c r="Q645" s="43" t="s">
        <v>19355</v>
      </c>
      <c r="R645" s="50"/>
      <c r="S645" s="51"/>
      <c r="T645" s="7" t="s">
        <v>4129</v>
      </c>
      <c r="U645" s="7" t="s">
        <v>4128</v>
      </c>
      <c r="V645" s="7"/>
      <c r="W645" s="6" t="s">
        <v>19356</v>
      </c>
      <c r="X645" s="7" t="s">
        <v>4126</v>
      </c>
      <c r="Y645" s="6" t="s">
        <v>499</v>
      </c>
      <c r="Z645" s="6" t="s">
        <v>786</v>
      </c>
      <c r="AA645" s="7" t="s">
        <v>4134</v>
      </c>
      <c r="AB645" s="7" t="s">
        <v>1590</v>
      </c>
      <c r="AC645" s="7"/>
      <c r="AD645" s="7"/>
      <c r="AE645" s="6" t="s">
        <v>401</v>
      </c>
      <c r="AF645" s="45">
        <v>44776.60606481481</v>
      </c>
      <c r="AG645" s="7" t="s">
        <v>19357</v>
      </c>
      <c r="AH645" s="46" t="s">
        <v>19358</v>
      </c>
      <c r="AI645" s="7"/>
      <c r="AJ645" s="6" t="s">
        <v>19359</v>
      </c>
      <c r="AK645" s="6" t="b">
        <v>1</v>
      </c>
      <c r="AL645" s="7" t="b">
        <v>0</v>
      </c>
      <c r="AM645" s="6" t="s">
        <v>4135</v>
      </c>
      <c r="AN645" s="6" t="s">
        <v>4121</v>
      </c>
      <c r="AO645" s="6">
        <v>5237.0</v>
      </c>
      <c r="AP645" s="6"/>
      <c r="AQ645" s="6" t="b">
        <v>0</v>
      </c>
      <c r="AR645" s="6" t="s">
        <v>19360</v>
      </c>
      <c r="AS645" s="6"/>
    </row>
    <row r="646" ht="15.75" customHeight="1">
      <c r="A646" s="7" t="s">
        <v>8668</v>
      </c>
      <c r="B646" s="7" t="s">
        <v>8669</v>
      </c>
      <c r="C646" s="7" t="s">
        <v>58</v>
      </c>
      <c r="D646" s="7" t="s">
        <v>59</v>
      </c>
      <c r="E646" s="7" t="s">
        <v>346</v>
      </c>
      <c r="F646" s="7">
        <v>4.0</v>
      </c>
      <c r="G646" s="7"/>
      <c r="H646" s="7"/>
      <c r="I646" s="7"/>
      <c r="J646" s="7">
        <v>28.0</v>
      </c>
      <c r="K646" s="7" t="s">
        <v>19361</v>
      </c>
      <c r="L646" s="7">
        <v>97480.0</v>
      </c>
      <c r="M646" s="7" t="s">
        <v>123</v>
      </c>
      <c r="N646" s="7"/>
      <c r="O646" s="7" t="s">
        <v>8674</v>
      </c>
      <c r="P646" s="42" t="s">
        <v>8671</v>
      </c>
      <c r="Q646" s="43" t="s">
        <v>19362</v>
      </c>
      <c r="R646" s="50"/>
      <c r="S646" s="51"/>
      <c r="T646" s="7"/>
      <c r="U646" s="7"/>
      <c r="V646" s="7"/>
      <c r="W646" s="7"/>
      <c r="X646" s="7"/>
      <c r="Y646" s="7"/>
      <c r="Z646" s="7"/>
      <c r="AA646" s="7" t="s">
        <v>3270</v>
      </c>
      <c r="AB646" s="7" t="s">
        <v>1590</v>
      </c>
      <c r="AC646" s="7"/>
      <c r="AD646" s="7"/>
      <c r="AE646" s="6" t="s">
        <v>12355</v>
      </c>
      <c r="AF646" s="45">
        <v>44774.59519675926</v>
      </c>
      <c r="AG646" s="7" t="s">
        <v>19363</v>
      </c>
      <c r="AH646" s="46" t="s">
        <v>19364</v>
      </c>
      <c r="AI646" s="7"/>
      <c r="AJ646" s="7"/>
      <c r="AK646" s="7" t="b">
        <v>0</v>
      </c>
      <c r="AL646" s="7" t="b">
        <v>0</v>
      </c>
      <c r="AM646" s="6" t="s">
        <v>8675</v>
      </c>
      <c r="AN646" s="6" t="s">
        <v>8668</v>
      </c>
      <c r="AO646" s="7"/>
      <c r="AP646" s="7"/>
      <c r="AQ646" s="6" t="b">
        <v>0</v>
      </c>
      <c r="AR646" s="6"/>
      <c r="AS646" s="6"/>
    </row>
    <row r="647" ht="15.75" customHeight="1">
      <c r="A647" s="7" t="s">
        <v>9298</v>
      </c>
      <c r="B647" s="7" t="s">
        <v>9299</v>
      </c>
      <c r="C647" s="7" t="s">
        <v>58</v>
      </c>
      <c r="D647" s="7" t="s">
        <v>59</v>
      </c>
      <c r="E647" s="7" t="s">
        <v>374</v>
      </c>
      <c r="F647" s="7">
        <v>4.0</v>
      </c>
      <c r="G647" s="7"/>
      <c r="H647" s="7" t="s">
        <v>2716</v>
      </c>
      <c r="I647" s="7"/>
      <c r="J647" s="7">
        <v>63.0</v>
      </c>
      <c r="K647" s="7" t="s">
        <v>19365</v>
      </c>
      <c r="L647" s="7">
        <v>97430.0</v>
      </c>
      <c r="M647" s="7" t="s">
        <v>71</v>
      </c>
      <c r="N647" s="7"/>
      <c r="O647" s="6" t="s">
        <v>19366</v>
      </c>
      <c r="P647" s="42" t="s">
        <v>19367</v>
      </c>
      <c r="Q647" s="43" t="s">
        <v>19368</v>
      </c>
      <c r="R647" s="50"/>
      <c r="S647" s="47" t="s">
        <v>9301</v>
      </c>
      <c r="T647" s="7"/>
      <c r="U647" s="6" t="s">
        <v>19369</v>
      </c>
      <c r="V647" s="7"/>
      <c r="W647" s="6" t="s">
        <v>19370</v>
      </c>
      <c r="X647" s="7" t="s">
        <v>9303</v>
      </c>
      <c r="Y647" s="7" t="s">
        <v>1863</v>
      </c>
      <c r="Z647" s="7" t="s">
        <v>1508</v>
      </c>
      <c r="AA647" s="7" t="s">
        <v>3806</v>
      </c>
      <c r="AB647" s="7" t="s">
        <v>1829</v>
      </c>
      <c r="AC647" s="7"/>
      <c r="AD647" s="7"/>
      <c r="AE647" s="6" t="s">
        <v>12355</v>
      </c>
      <c r="AF647" s="45">
        <v>45614.57135416667</v>
      </c>
      <c r="AG647" s="7" t="s">
        <v>19371</v>
      </c>
      <c r="AH647" s="46" t="s">
        <v>19372</v>
      </c>
      <c r="AI647" s="7"/>
      <c r="AJ647" s="6" t="s">
        <v>19373</v>
      </c>
      <c r="AK647" s="7" t="b">
        <v>0</v>
      </c>
      <c r="AL647" s="7" t="b">
        <v>0</v>
      </c>
      <c r="AM647" s="6" t="s">
        <v>19374</v>
      </c>
      <c r="AN647" s="6" t="s">
        <v>9298</v>
      </c>
      <c r="AO647" s="7"/>
      <c r="AP647" s="7"/>
      <c r="AQ647" s="6" t="b">
        <v>0</v>
      </c>
      <c r="AR647" s="6" t="s">
        <v>19375</v>
      </c>
      <c r="AS647" s="6"/>
    </row>
    <row r="648" ht="15.75" customHeight="1">
      <c r="A648" s="9" t="s">
        <v>11767</v>
      </c>
      <c r="B648" s="9" t="s">
        <v>19376</v>
      </c>
      <c r="C648" s="9" t="s">
        <v>58</v>
      </c>
      <c r="D648" s="9" t="s">
        <v>59</v>
      </c>
      <c r="E648" s="9" t="s">
        <v>346</v>
      </c>
      <c r="F648" s="9">
        <v>6.0</v>
      </c>
      <c r="J648" s="52" t="s">
        <v>13859</v>
      </c>
      <c r="K648" s="9" t="s">
        <v>19377</v>
      </c>
      <c r="L648" s="9">
        <v>97480.0</v>
      </c>
      <c r="M648" s="9" t="s">
        <v>123</v>
      </c>
      <c r="N648" s="9" t="s">
        <v>4456</v>
      </c>
      <c r="O648" s="9" t="s">
        <v>19378</v>
      </c>
      <c r="P648" s="53" t="s">
        <v>19379</v>
      </c>
      <c r="Q648" s="49" t="s">
        <v>19380</v>
      </c>
      <c r="R648" s="50"/>
      <c r="S648" s="54"/>
      <c r="T648" s="9" t="s">
        <v>19381</v>
      </c>
      <c r="W648" s="9" t="s">
        <v>19382</v>
      </c>
      <c r="X648" s="9" t="s">
        <v>19383</v>
      </c>
      <c r="Y648" s="9" t="s">
        <v>19384</v>
      </c>
      <c r="Z648" s="9" t="s">
        <v>353</v>
      </c>
      <c r="AC648" s="9">
        <v>9.1493002900014E13</v>
      </c>
      <c r="AD648" s="9">
        <v>9.14930029E8</v>
      </c>
      <c r="AE648" s="9" t="s">
        <v>401</v>
      </c>
      <c r="AF648" s="55">
        <v>44768.435590277775</v>
      </c>
      <c r="AG648" s="9" t="s">
        <v>19385</v>
      </c>
      <c r="AH648" s="9" t="s">
        <v>19386</v>
      </c>
      <c r="AJ648" s="9" t="s">
        <v>19387</v>
      </c>
      <c r="AK648" s="9" t="b">
        <v>0</v>
      </c>
      <c r="AL648" s="9" t="b">
        <v>0</v>
      </c>
      <c r="AM648" s="9" t="s">
        <v>19388</v>
      </c>
      <c r="AN648" s="9" t="s">
        <v>11767</v>
      </c>
      <c r="AP648" s="56">
        <v>44767.0</v>
      </c>
      <c r="AQ648" s="9" t="b">
        <v>0</v>
      </c>
    </row>
    <row r="649" ht="15.75" customHeight="1">
      <c r="A649" s="9" t="s">
        <v>11774</v>
      </c>
      <c r="B649" s="9" t="s">
        <v>19389</v>
      </c>
      <c r="C649" s="9" t="s">
        <v>58</v>
      </c>
      <c r="D649" s="9" t="s">
        <v>59</v>
      </c>
      <c r="E649" s="9" t="s">
        <v>374</v>
      </c>
      <c r="F649" s="9">
        <v>2.0</v>
      </c>
      <c r="J649" s="52" t="s">
        <v>18179</v>
      </c>
      <c r="K649" s="9" t="s">
        <v>19390</v>
      </c>
      <c r="L649" s="9">
        <v>97430.0</v>
      </c>
      <c r="M649" s="9" t="s">
        <v>71</v>
      </c>
      <c r="O649" s="9" t="s">
        <v>19391</v>
      </c>
      <c r="P649" s="53" t="s">
        <v>19392</v>
      </c>
      <c r="Q649" s="49" t="s">
        <v>19393</v>
      </c>
      <c r="R649" s="50"/>
      <c r="S649" s="54"/>
      <c r="T649" s="9" t="s">
        <v>19394</v>
      </c>
      <c r="U649" s="9" t="s">
        <v>19395</v>
      </c>
      <c r="Z649" s="9" t="s">
        <v>353</v>
      </c>
      <c r="AC649" s="9">
        <v>9.1392688700013E13</v>
      </c>
      <c r="AD649" s="9">
        <v>9.13926887E8</v>
      </c>
      <c r="AE649" s="9" t="s">
        <v>12355</v>
      </c>
      <c r="AF649" s="55">
        <v>46101.485810185186</v>
      </c>
      <c r="AG649" s="9" t="s">
        <v>19396</v>
      </c>
      <c r="AH649" s="9" t="s">
        <v>19397</v>
      </c>
      <c r="AJ649" s="8" t="s">
        <v>19398</v>
      </c>
      <c r="AM649" s="9" t="s">
        <v>19399</v>
      </c>
      <c r="AN649" s="9" t="s">
        <v>11774</v>
      </c>
      <c r="AP649" s="56">
        <v>44742.0</v>
      </c>
      <c r="AQ649" s="9" t="b">
        <v>0</v>
      </c>
    </row>
    <row r="650" ht="15.75" customHeight="1">
      <c r="A650" s="7" t="s">
        <v>4688</v>
      </c>
      <c r="B650" s="7" t="s">
        <v>4689</v>
      </c>
      <c r="C650" s="7" t="s">
        <v>58</v>
      </c>
      <c r="D650" s="7" t="s">
        <v>1141</v>
      </c>
      <c r="E650" s="7" t="s">
        <v>1141</v>
      </c>
      <c r="F650" s="7">
        <v>40.0</v>
      </c>
      <c r="G650" s="7" t="s">
        <v>664</v>
      </c>
      <c r="H650" s="7"/>
      <c r="I650" s="7"/>
      <c r="J650" s="7">
        <v>106.0</v>
      </c>
      <c r="K650" s="7" t="s">
        <v>13102</v>
      </c>
      <c r="L650" s="7">
        <v>97430.0</v>
      </c>
      <c r="M650" s="7" t="s">
        <v>71</v>
      </c>
      <c r="N650" s="7"/>
      <c r="O650" s="7" t="s">
        <v>4699</v>
      </c>
      <c r="P650" s="42" t="s">
        <v>4692</v>
      </c>
      <c r="Q650" s="43" t="s">
        <v>19400</v>
      </c>
      <c r="R650" s="43" t="s">
        <v>19401</v>
      </c>
      <c r="S650" s="51"/>
      <c r="T650" s="7" t="s">
        <v>4694</v>
      </c>
      <c r="U650" s="7" t="s">
        <v>4693</v>
      </c>
      <c r="V650" s="7" t="s">
        <v>4695</v>
      </c>
      <c r="W650" s="6" t="s">
        <v>19402</v>
      </c>
      <c r="X650" s="7" t="s">
        <v>2436</v>
      </c>
      <c r="Y650" s="7" t="s">
        <v>1076</v>
      </c>
      <c r="Z650" s="7" t="s">
        <v>592</v>
      </c>
      <c r="AA650" s="7" t="s">
        <v>3806</v>
      </c>
      <c r="AB650" s="7" t="s">
        <v>1829</v>
      </c>
      <c r="AC650" s="7">
        <v>3.8345527600014E13</v>
      </c>
      <c r="AD650" s="7">
        <v>3.83455276E8</v>
      </c>
      <c r="AE650" s="6" t="s">
        <v>12355</v>
      </c>
      <c r="AF650" s="45">
        <v>44764.49927083333</v>
      </c>
      <c r="AG650" s="7" t="s">
        <v>19403</v>
      </c>
      <c r="AH650" s="46" t="s">
        <v>19404</v>
      </c>
      <c r="AI650" s="7"/>
      <c r="AJ650" s="7"/>
      <c r="AK650" s="7" t="b">
        <v>0</v>
      </c>
      <c r="AL650" s="7" t="b">
        <v>0</v>
      </c>
      <c r="AM650" s="6" t="s">
        <v>4700</v>
      </c>
      <c r="AN650" s="6" t="s">
        <v>4688</v>
      </c>
      <c r="AO650" s="6">
        <v>1551.0</v>
      </c>
      <c r="AP650" s="6"/>
      <c r="AQ650" s="6" t="b">
        <v>1</v>
      </c>
      <c r="AR650" s="6"/>
      <c r="AS650" s="6"/>
    </row>
    <row r="651" ht="15.75" customHeight="1">
      <c r="A651" s="6" t="s">
        <v>11750</v>
      </c>
      <c r="B651" s="6" t="s">
        <v>19405</v>
      </c>
      <c r="C651" s="6" t="s">
        <v>34</v>
      </c>
      <c r="D651" s="6" t="s">
        <v>678</v>
      </c>
      <c r="E651" s="6" t="s">
        <v>5094</v>
      </c>
      <c r="F651" s="6">
        <v>6.0</v>
      </c>
      <c r="G651" s="6" t="s">
        <v>19406</v>
      </c>
      <c r="H651" s="7"/>
      <c r="I651" s="7"/>
      <c r="J651" s="41" t="s">
        <v>13933</v>
      </c>
      <c r="K651" s="6" t="s">
        <v>19407</v>
      </c>
      <c r="L651" s="6">
        <v>97414.0</v>
      </c>
      <c r="M651" s="6" t="s">
        <v>40</v>
      </c>
      <c r="N651" s="7"/>
      <c r="O651" s="6" t="s">
        <v>19408</v>
      </c>
      <c r="P651" s="53" t="s">
        <v>10134</v>
      </c>
      <c r="Q651" s="49" t="s">
        <v>19409</v>
      </c>
      <c r="R651" s="50"/>
      <c r="S651" s="51"/>
      <c r="T651" s="6" t="s">
        <v>19410</v>
      </c>
      <c r="U651" s="6" t="s">
        <v>19411</v>
      </c>
      <c r="V651" s="6" t="s">
        <v>19412</v>
      </c>
      <c r="W651" s="6" t="s">
        <v>19413</v>
      </c>
      <c r="X651" s="6" t="s">
        <v>19414</v>
      </c>
      <c r="Y651" s="6" t="s">
        <v>19415</v>
      </c>
      <c r="Z651" s="6" t="s">
        <v>592</v>
      </c>
      <c r="AA651" s="7"/>
      <c r="AB651" s="7"/>
      <c r="AC651" s="6">
        <v>4.50613286E8</v>
      </c>
      <c r="AD651" s="6">
        <v>4.50613286E8</v>
      </c>
      <c r="AE651" s="6" t="s">
        <v>401</v>
      </c>
      <c r="AF651" s="45">
        <v>44764.47081018519</v>
      </c>
      <c r="AG651" s="6" t="s">
        <v>19416</v>
      </c>
      <c r="AH651" s="46" t="s">
        <v>19417</v>
      </c>
      <c r="AI651" s="7"/>
      <c r="AJ651" s="6" t="s">
        <v>19418</v>
      </c>
      <c r="AK651" s="6" t="b">
        <v>0</v>
      </c>
      <c r="AL651" s="6" t="b">
        <v>0</v>
      </c>
      <c r="AM651" s="6"/>
      <c r="AN651" s="6" t="s">
        <v>11750</v>
      </c>
      <c r="AO651" s="7"/>
      <c r="AP651" s="65">
        <v>30811.0</v>
      </c>
      <c r="AQ651" s="6" t="b">
        <v>0</v>
      </c>
      <c r="AR651" s="6" t="s">
        <v>19419</v>
      </c>
      <c r="AS651" s="48" t="s">
        <v>12303</v>
      </c>
    </row>
    <row r="652" ht="15.75" customHeight="1">
      <c r="A652" s="9" t="s">
        <v>10667</v>
      </c>
      <c r="B652" s="9" t="s">
        <v>19420</v>
      </c>
      <c r="C652" s="9" t="s">
        <v>58</v>
      </c>
      <c r="D652" s="9" t="s">
        <v>59</v>
      </c>
      <c r="E652" s="9" t="s">
        <v>346</v>
      </c>
      <c r="F652" s="9">
        <v>15.0</v>
      </c>
      <c r="J652" s="52" t="s">
        <v>19234</v>
      </c>
      <c r="K652" s="9" t="s">
        <v>19421</v>
      </c>
      <c r="L652" s="9">
        <v>97480.0</v>
      </c>
      <c r="M652" s="9" t="s">
        <v>123</v>
      </c>
      <c r="N652" s="9" t="s">
        <v>19422</v>
      </c>
      <c r="O652" s="9" t="s">
        <v>19423</v>
      </c>
      <c r="P652" s="53" t="s">
        <v>19424</v>
      </c>
      <c r="Q652" s="49" t="s">
        <v>19425</v>
      </c>
      <c r="R652" s="50"/>
      <c r="S652" s="54"/>
      <c r="Z652" s="9" t="s">
        <v>353</v>
      </c>
      <c r="AE652" s="9" t="s">
        <v>12355</v>
      </c>
      <c r="AF652" s="60">
        <v>44747.389710648145</v>
      </c>
      <c r="AG652" s="9" t="s">
        <v>19426</v>
      </c>
      <c r="AH652" s="9" t="s">
        <v>19427</v>
      </c>
      <c r="AN652" s="9" t="s">
        <v>10667</v>
      </c>
      <c r="AP652" s="61">
        <v>44518.0</v>
      </c>
      <c r="AQ652" s="9" t="b">
        <v>0</v>
      </c>
    </row>
    <row r="653" ht="15.75" customHeight="1">
      <c r="A653" s="7" t="s">
        <v>7556</v>
      </c>
      <c r="B653" s="7" t="s">
        <v>19428</v>
      </c>
      <c r="C653" s="7" t="s">
        <v>34</v>
      </c>
      <c r="D653" s="7" t="s">
        <v>622</v>
      </c>
      <c r="E653" s="7" t="s">
        <v>1347</v>
      </c>
      <c r="F653" s="7">
        <v>30.0</v>
      </c>
      <c r="G653" s="7" t="s">
        <v>375</v>
      </c>
      <c r="H653" s="7"/>
      <c r="I653" s="7"/>
      <c r="J653" s="41" t="s">
        <v>13933</v>
      </c>
      <c r="K653" s="6" t="s">
        <v>19429</v>
      </c>
      <c r="L653" s="7">
        <v>97442.0</v>
      </c>
      <c r="M653" s="7" t="s">
        <v>33</v>
      </c>
      <c r="N653" s="6" t="s">
        <v>14526</v>
      </c>
      <c r="O653" s="7" t="s">
        <v>7563</v>
      </c>
      <c r="P653" s="42" t="s">
        <v>17602</v>
      </c>
      <c r="Q653" s="43" t="s">
        <v>17604</v>
      </c>
      <c r="R653" s="50"/>
      <c r="S653" s="51"/>
      <c r="T653" s="7" t="s">
        <v>7560</v>
      </c>
      <c r="U653" s="7" t="s">
        <v>7559</v>
      </c>
      <c r="V653" s="6" t="s">
        <v>19430</v>
      </c>
      <c r="W653" s="7"/>
      <c r="X653" s="6" t="s">
        <v>19431</v>
      </c>
      <c r="Y653" s="7" t="s">
        <v>2390</v>
      </c>
      <c r="Z653" s="7" t="s">
        <v>378</v>
      </c>
      <c r="AA653" s="7"/>
      <c r="AB653" s="7"/>
      <c r="AC653" s="7">
        <v>8.1243332400017E13</v>
      </c>
      <c r="AD653" s="7">
        <v>8.12433324E8</v>
      </c>
      <c r="AE653" s="6" t="s">
        <v>12355</v>
      </c>
      <c r="AF653" s="45">
        <v>44740.830509259256</v>
      </c>
      <c r="AG653" s="7" t="s">
        <v>19432</v>
      </c>
      <c r="AH653" s="46" t="s">
        <v>19433</v>
      </c>
      <c r="AI653" s="7"/>
      <c r="AJ653" s="6"/>
      <c r="AK653" s="7" t="b">
        <v>0</v>
      </c>
      <c r="AL653" s="7" t="b">
        <v>0</v>
      </c>
      <c r="AM653" s="7"/>
      <c r="AN653" s="6" t="s">
        <v>7556</v>
      </c>
      <c r="AO653" s="6">
        <v>4721.0</v>
      </c>
      <c r="AP653" s="6"/>
      <c r="AQ653" s="6" t="b">
        <v>1</v>
      </c>
      <c r="AR653" s="6"/>
      <c r="AS653" s="48" t="s">
        <v>12303</v>
      </c>
    </row>
    <row r="654" ht="15.75" customHeight="1">
      <c r="A654" s="9" t="s">
        <v>11686</v>
      </c>
      <c r="B654" s="9" t="s">
        <v>19434</v>
      </c>
      <c r="C654" s="9" t="s">
        <v>58</v>
      </c>
      <c r="D654" s="9" t="s">
        <v>59</v>
      </c>
      <c r="E654" s="9" t="s">
        <v>374</v>
      </c>
      <c r="F654" s="9">
        <v>2.0</v>
      </c>
      <c r="J654" s="52" t="s">
        <v>14181</v>
      </c>
      <c r="K654" s="9" t="s">
        <v>19435</v>
      </c>
      <c r="L654" s="9">
        <v>97430.0</v>
      </c>
      <c r="M654" s="9" t="s">
        <v>71</v>
      </c>
      <c r="O654" s="9" t="s">
        <v>19436</v>
      </c>
      <c r="P654" s="53" t="s">
        <v>19437</v>
      </c>
      <c r="Q654" s="49" t="s">
        <v>19438</v>
      </c>
      <c r="R654" s="50"/>
      <c r="S654" s="58" t="s">
        <v>19439</v>
      </c>
      <c r="T654" s="9" t="s">
        <v>19440</v>
      </c>
      <c r="U654" s="9" t="s">
        <v>19441</v>
      </c>
      <c r="W654" s="9" t="s">
        <v>19442</v>
      </c>
      <c r="X654" s="9" t="s">
        <v>19443</v>
      </c>
      <c r="Y654" s="9" t="s">
        <v>1863</v>
      </c>
      <c r="Z654" s="9" t="s">
        <v>378</v>
      </c>
      <c r="AE654" s="9" t="s">
        <v>401</v>
      </c>
      <c r="AF654" s="55">
        <v>44736.46980324074</v>
      </c>
      <c r="AG654" s="9" t="s">
        <v>19444</v>
      </c>
      <c r="AH654" s="9" t="s">
        <v>19445</v>
      </c>
      <c r="AJ654" s="9" t="s">
        <v>19446</v>
      </c>
      <c r="AK654" s="9" t="b">
        <v>0</v>
      </c>
      <c r="AL654" s="9" t="b">
        <v>0</v>
      </c>
      <c r="AM654" s="9" t="s">
        <v>19447</v>
      </c>
      <c r="AN654" s="9" t="s">
        <v>11686</v>
      </c>
      <c r="AP654" s="56">
        <v>44725.0</v>
      </c>
      <c r="AQ654" s="9" t="b">
        <v>0</v>
      </c>
      <c r="AR654" s="9" t="s">
        <v>13818</v>
      </c>
    </row>
    <row r="655" ht="15.75" customHeight="1">
      <c r="A655" s="7" t="s">
        <v>5240</v>
      </c>
      <c r="B655" s="7" t="s">
        <v>19448</v>
      </c>
      <c r="C655" s="6" t="s">
        <v>117</v>
      </c>
      <c r="D655" s="7" t="s">
        <v>197</v>
      </c>
      <c r="E655" s="7" t="s">
        <v>559</v>
      </c>
      <c r="F655" s="7"/>
      <c r="G655" s="7" t="s">
        <v>455</v>
      </c>
      <c r="H655" s="7"/>
      <c r="I655" s="7"/>
      <c r="J655" s="7"/>
      <c r="K655" s="7" t="s">
        <v>9494</v>
      </c>
      <c r="L655" s="7">
        <v>97418.0</v>
      </c>
      <c r="M655" s="7" t="s">
        <v>71</v>
      </c>
      <c r="N655" s="7" t="s">
        <v>216</v>
      </c>
      <c r="O655" s="7" t="s">
        <v>2218</v>
      </c>
      <c r="P655" s="42"/>
      <c r="Q655" s="50"/>
      <c r="R655" s="50"/>
      <c r="S655" s="51"/>
      <c r="T655" s="7" t="s">
        <v>5245</v>
      </c>
      <c r="U655" s="7" t="s">
        <v>5244</v>
      </c>
      <c r="V655" s="7"/>
      <c r="W655" s="7"/>
      <c r="X655" s="7"/>
      <c r="Y655" s="7"/>
      <c r="Z655" s="7"/>
      <c r="AA655" s="7"/>
      <c r="AB655" s="7"/>
      <c r="AC655" s="7"/>
      <c r="AD655" s="7"/>
      <c r="AE655" s="6" t="s">
        <v>12355</v>
      </c>
      <c r="AF655" s="45">
        <v>44735.6025</v>
      </c>
      <c r="AG655" s="7" t="s">
        <v>19449</v>
      </c>
      <c r="AH655" s="46" t="s">
        <v>19450</v>
      </c>
      <c r="AI655" s="7"/>
      <c r="AJ655" s="7"/>
      <c r="AK655" s="7" t="b">
        <v>0</v>
      </c>
      <c r="AL655" s="7" t="b">
        <v>0</v>
      </c>
      <c r="AM655" s="7"/>
      <c r="AN655" s="6" t="s">
        <v>5240</v>
      </c>
      <c r="AO655" s="7"/>
      <c r="AP655" s="7"/>
      <c r="AQ655" s="6" t="b">
        <v>0</v>
      </c>
      <c r="AR655" s="6"/>
      <c r="AS655" s="48" t="s">
        <v>12303</v>
      </c>
    </row>
    <row r="656" ht="15.75" customHeight="1">
      <c r="A656" s="9" t="s">
        <v>11861</v>
      </c>
      <c r="B656" s="9" t="s">
        <v>19451</v>
      </c>
      <c r="C656" s="9" t="s">
        <v>58</v>
      </c>
      <c r="D656" s="9" t="s">
        <v>59</v>
      </c>
      <c r="E656" s="9" t="s">
        <v>346</v>
      </c>
      <c r="F656" s="9">
        <v>6.0</v>
      </c>
      <c r="J656" s="52" t="s">
        <v>14287</v>
      </c>
      <c r="K656" s="9" t="s">
        <v>19452</v>
      </c>
      <c r="L656" s="9">
        <v>97414.0</v>
      </c>
      <c r="M656" s="9" t="s">
        <v>40</v>
      </c>
      <c r="O656" s="9" t="s">
        <v>19453</v>
      </c>
      <c r="P656" s="53" t="s">
        <v>15473</v>
      </c>
      <c r="Q656" s="49" t="s">
        <v>15474</v>
      </c>
      <c r="R656" s="50"/>
      <c r="S656" s="58" t="s">
        <v>19454</v>
      </c>
      <c r="T656" s="9" t="s">
        <v>19455</v>
      </c>
      <c r="W656" s="9" t="s">
        <v>19456</v>
      </c>
      <c r="Y656" s="9" t="s">
        <v>15479</v>
      </c>
      <c r="Z656" s="9" t="s">
        <v>424</v>
      </c>
      <c r="AE656" s="9" t="s">
        <v>401</v>
      </c>
      <c r="AF656" s="55">
        <v>44733.63980324074</v>
      </c>
      <c r="AG656" s="9" t="s">
        <v>19457</v>
      </c>
      <c r="AH656" s="9" t="s">
        <v>19458</v>
      </c>
      <c r="AK656" s="9" t="b">
        <v>0</v>
      </c>
      <c r="AL656" s="9" t="b">
        <v>0</v>
      </c>
      <c r="AM656" s="9" t="s">
        <v>19459</v>
      </c>
      <c r="AN656" s="9" t="s">
        <v>11861</v>
      </c>
      <c r="AP656" s="56">
        <v>44733.0</v>
      </c>
      <c r="AQ656" s="9" t="b">
        <v>0</v>
      </c>
    </row>
    <row r="657" ht="15.75" customHeight="1">
      <c r="A657" s="7" t="s">
        <v>565</v>
      </c>
      <c r="B657" s="7" t="s">
        <v>566</v>
      </c>
      <c r="C657" s="7" t="s">
        <v>58</v>
      </c>
      <c r="D657" s="7" t="s">
        <v>453</v>
      </c>
      <c r="E657" s="7" t="s">
        <v>454</v>
      </c>
      <c r="F657" s="7">
        <v>12.0</v>
      </c>
      <c r="G657" s="7" t="s">
        <v>569</v>
      </c>
      <c r="H657" s="7" t="s">
        <v>574</v>
      </c>
      <c r="I657" s="7" t="s">
        <v>578</v>
      </c>
      <c r="J657" s="7">
        <v>154.0</v>
      </c>
      <c r="K657" s="7" t="s">
        <v>19460</v>
      </c>
      <c r="L657" s="7">
        <v>97418.0</v>
      </c>
      <c r="M657" s="7" t="s">
        <v>71</v>
      </c>
      <c r="N657" s="7" t="s">
        <v>216</v>
      </c>
      <c r="O657" s="6" t="s">
        <v>19461</v>
      </c>
      <c r="P657" s="42" t="s">
        <v>573</v>
      </c>
      <c r="Q657" s="43" t="s">
        <v>19462</v>
      </c>
      <c r="R657" s="43" t="s">
        <v>19463</v>
      </c>
      <c r="S657" s="51"/>
      <c r="T657" s="6" t="s">
        <v>19464</v>
      </c>
      <c r="U657" s="7" t="s">
        <v>575</v>
      </c>
      <c r="V657" s="7" t="s">
        <v>577</v>
      </c>
      <c r="W657" s="6" t="s">
        <v>19465</v>
      </c>
      <c r="X657" s="7" t="s">
        <v>572</v>
      </c>
      <c r="Y657" s="6" t="s">
        <v>19466</v>
      </c>
      <c r="Z657" s="7" t="s">
        <v>353</v>
      </c>
      <c r="AA657" s="7"/>
      <c r="AB657" s="7"/>
      <c r="AC657" s="7">
        <v>4.2333480400014E13</v>
      </c>
      <c r="AD657" s="7">
        <v>4.23334804E8</v>
      </c>
      <c r="AE657" s="6" t="s">
        <v>401</v>
      </c>
      <c r="AF657" s="45">
        <v>44728.41079861111</v>
      </c>
      <c r="AG657" s="7" t="s">
        <v>19467</v>
      </c>
      <c r="AH657" s="46" t="s">
        <v>19468</v>
      </c>
      <c r="AI657" s="7"/>
      <c r="AJ657" s="6" t="s">
        <v>19469</v>
      </c>
      <c r="AK657" s="6" t="b">
        <v>1</v>
      </c>
      <c r="AL657" s="6" t="b">
        <v>0</v>
      </c>
      <c r="AM657" s="6" t="s">
        <v>583</v>
      </c>
      <c r="AN657" s="6" t="s">
        <v>565</v>
      </c>
      <c r="AO657" s="6">
        <v>6.0</v>
      </c>
      <c r="AP657" s="6"/>
      <c r="AQ657" s="6" t="b">
        <v>1</v>
      </c>
      <c r="AR657" s="6"/>
      <c r="AS657" s="48" t="s">
        <v>12303</v>
      </c>
    </row>
    <row r="658" ht="15.75" customHeight="1">
      <c r="A658" s="9" t="s">
        <v>11847</v>
      </c>
      <c r="B658" s="9" t="s">
        <v>19470</v>
      </c>
      <c r="C658" s="9" t="s">
        <v>58</v>
      </c>
      <c r="D658" s="9" t="s">
        <v>59</v>
      </c>
      <c r="E658" s="9" t="s">
        <v>346</v>
      </c>
      <c r="F658" s="9">
        <v>6.0</v>
      </c>
      <c r="H658" s="9" t="s">
        <v>2716</v>
      </c>
      <c r="J658" s="52" t="s">
        <v>16044</v>
      </c>
      <c r="K658" s="9" t="s">
        <v>19471</v>
      </c>
      <c r="L658" s="9">
        <v>97480.0</v>
      </c>
      <c r="M658" s="9" t="s">
        <v>123</v>
      </c>
      <c r="N658" s="9" t="s">
        <v>206</v>
      </c>
      <c r="O658" s="9" t="s">
        <v>19472</v>
      </c>
      <c r="P658" s="53" t="s">
        <v>19473</v>
      </c>
      <c r="Q658" s="49" t="s">
        <v>19474</v>
      </c>
      <c r="R658" s="50"/>
      <c r="S658" s="54"/>
      <c r="T658" s="9" t="s">
        <v>19475</v>
      </c>
      <c r="U658" s="9" t="s">
        <v>19476</v>
      </c>
      <c r="X658" s="9" t="s">
        <v>19477</v>
      </c>
      <c r="Z658" s="9" t="s">
        <v>851</v>
      </c>
      <c r="AE658" s="9" t="s">
        <v>401</v>
      </c>
      <c r="AF658" s="55">
        <v>44728.34868055556</v>
      </c>
      <c r="AG658" s="9" t="s">
        <v>19478</v>
      </c>
      <c r="AH658" s="9" t="s">
        <v>19479</v>
      </c>
      <c r="AJ658" s="9" t="s">
        <v>19480</v>
      </c>
      <c r="AK658" s="9" t="b">
        <v>0</v>
      </c>
      <c r="AL658" s="9" t="b">
        <v>1</v>
      </c>
      <c r="AM658" s="9" t="s">
        <v>19481</v>
      </c>
      <c r="AN658" s="9" t="s">
        <v>11847</v>
      </c>
      <c r="AP658" s="56">
        <v>44593.0</v>
      </c>
      <c r="AQ658" s="9" t="b">
        <v>0</v>
      </c>
      <c r="AR658" s="9" t="s">
        <v>19482</v>
      </c>
      <c r="AS658" s="9"/>
    </row>
    <row r="659" ht="15.75" customHeight="1">
      <c r="A659" s="7" t="s">
        <v>8736</v>
      </c>
      <c r="B659" s="7" t="s">
        <v>8737</v>
      </c>
      <c r="C659" s="7" t="s">
        <v>58</v>
      </c>
      <c r="D659" s="7" t="s">
        <v>453</v>
      </c>
      <c r="E659" s="7" t="s">
        <v>454</v>
      </c>
      <c r="F659" s="7">
        <v>2.0</v>
      </c>
      <c r="G659" s="7"/>
      <c r="H659" s="7"/>
      <c r="I659" s="7"/>
      <c r="J659" s="41" t="s">
        <v>19483</v>
      </c>
      <c r="K659" s="7" t="s">
        <v>19484</v>
      </c>
      <c r="L659" s="7">
        <v>97430.0</v>
      </c>
      <c r="M659" s="7" t="s">
        <v>71</v>
      </c>
      <c r="N659" s="7"/>
      <c r="O659" s="7" t="s">
        <v>8741</v>
      </c>
      <c r="P659" s="42" t="s">
        <v>8739</v>
      </c>
      <c r="Q659" s="43" t="s">
        <v>19485</v>
      </c>
      <c r="R659" s="50"/>
      <c r="S659" s="51"/>
      <c r="T659" s="7"/>
      <c r="U659" s="7"/>
      <c r="V659" s="7"/>
      <c r="W659" s="7"/>
      <c r="X659" s="7"/>
      <c r="Y659" s="7"/>
      <c r="Z659" s="7" t="s">
        <v>378</v>
      </c>
      <c r="AA659" s="7"/>
      <c r="AB659" s="7"/>
      <c r="AC659" s="7"/>
      <c r="AD659" s="7"/>
      <c r="AE659" s="6" t="s">
        <v>12355</v>
      </c>
      <c r="AF659" s="45">
        <v>44727.60686342593</v>
      </c>
      <c r="AG659" s="7" t="s">
        <v>19486</v>
      </c>
      <c r="AH659" s="46" t="s">
        <v>19487</v>
      </c>
      <c r="AI659" s="7"/>
      <c r="AJ659" s="7"/>
      <c r="AK659" s="7" t="b">
        <v>0</v>
      </c>
      <c r="AL659" s="7" t="b">
        <v>0</v>
      </c>
      <c r="AM659" s="6" t="s">
        <v>8742</v>
      </c>
      <c r="AN659" s="6" t="s">
        <v>8736</v>
      </c>
      <c r="AO659" s="7"/>
      <c r="AP659" s="7"/>
      <c r="AQ659" s="6" t="b">
        <v>0</v>
      </c>
      <c r="AR659" s="6"/>
      <c r="AS659" s="6"/>
    </row>
    <row r="660" ht="15.75" customHeight="1">
      <c r="A660" s="9" t="s">
        <v>10211</v>
      </c>
      <c r="B660" s="9" t="s">
        <v>19488</v>
      </c>
      <c r="C660" s="9" t="s">
        <v>58</v>
      </c>
      <c r="D660" s="9" t="s">
        <v>59</v>
      </c>
      <c r="E660" s="9" t="s">
        <v>346</v>
      </c>
      <c r="F660" s="9">
        <v>6.0</v>
      </c>
      <c r="J660" s="9" t="s">
        <v>19489</v>
      </c>
      <c r="K660" s="9" t="s">
        <v>19490</v>
      </c>
      <c r="L660" s="9">
        <v>97480.0</v>
      </c>
      <c r="M660" s="9" t="s">
        <v>123</v>
      </c>
      <c r="O660" s="9" t="s">
        <v>19491</v>
      </c>
      <c r="P660" s="53" t="s">
        <v>19492</v>
      </c>
      <c r="Q660" s="49" t="s">
        <v>19493</v>
      </c>
      <c r="R660" s="50"/>
      <c r="S660" s="54"/>
      <c r="T660" s="9" t="s">
        <v>19494</v>
      </c>
      <c r="W660" s="9" t="s">
        <v>19495</v>
      </c>
      <c r="X660" s="9" t="s">
        <v>19496</v>
      </c>
      <c r="Y660" s="9" t="s">
        <v>19497</v>
      </c>
      <c r="Z660" s="9" t="s">
        <v>592</v>
      </c>
      <c r="AE660" s="9" t="s">
        <v>401</v>
      </c>
      <c r="AF660" s="55">
        <v>45505.44395833334</v>
      </c>
      <c r="AG660" s="9" t="s">
        <v>19498</v>
      </c>
      <c r="AH660" s="9" t="s">
        <v>19499</v>
      </c>
      <c r="AJ660" s="9" t="s">
        <v>19500</v>
      </c>
      <c r="AK660" s="9" t="b">
        <v>0</v>
      </c>
      <c r="AL660" s="9" t="b">
        <v>0</v>
      </c>
      <c r="AM660" s="9" t="s">
        <v>19501</v>
      </c>
      <c r="AN660" s="9" t="s">
        <v>10211</v>
      </c>
      <c r="AP660" s="56">
        <v>44725.0</v>
      </c>
      <c r="AQ660" s="9" t="b">
        <v>0</v>
      </c>
      <c r="AR660" s="9" t="s">
        <v>19502</v>
      </c>
    </row>
    <row r="661" ht="15.75" customHeight="1">
      <c r="A661" s="7" t="s">
        <v>5277</v>
      </c>
      <c r="B661" s="7" t="s">
        <v>19503</v>
      </c>
      <c r="C661" s="7" t="s">
        <v>58</v>
      </c>
      <c r="D661" s="7" t="s">
        <v>59</v>
      </c>
      <c r="E661" s="7" t="s">
        <v>346</v>
      </c>
      <c r="F661" s="7">
        <v>4.0</v>
      </c>
      <c r="G661" s="7" t="s">
        <v>455</v>
      </c>
      <c r="H661" s="7"/>
      <c r="I661" s="7"/>
      <c r="J661" s="7"/>
      <c r="K661" s="7" t="s">
        <v>9494</v>
      </c>
      <c r="L661" s="7">
        <v>97418.0</v>
      </c>
      <c r="M661" s="7" t="s">
        <v>71</v>
      </c>
      <c r="N661" s="7" t="s">
        <v>216</v>
      </c>
      <c r="O661" s="7" t="s">
        <v>2218</v>
      </c>
      <c r="P661" s="42" t="s">
        <v>5280</v>
      </c>
      <c r="Q661" s="43" t="s">
        <v>15422</v>
      </c>
      <c r="R661" s="43" t="s">
        <v>15423</v>
      </c>
      <c r="S661" s="51"/>
      <c r="T661" s="7" t="s">
        <v>5282</v>
      </c>
      <c r="U661" s="7" t="s">
        <v>5281</v>
      </c>
      <c r="V661" s="7"/>
      <c r="W661" s="7"/>
      <c r="X661" s="7"/>
      <c r="Y661" s="7"/>
      <c r="Z661" s="7"/>
      <c r="AA661" s="7"/>
      <c r="AB661" s="7"/>
      <c r="AC661" s="7"/>
      <c r="AD661" s="7"/>
      <c r="AE661" s="6" t="s">
        <v>12355</v>
      </c>
      <c r="AF661" s="45">
        <v>44725.37556712963</v>
      </c>
      <c r="AG661" s="7" t="s">
        <v>15425</v>
      </c>
      <c r="AH661" s="46" t="s">
        <v>19504</v>
      </c>
      <c r="AI661" s="7"/>
      <c r="AJ661" s="7"/>
      <c r="AK661" s="7" t="b">
        <v>0</v>
      </c>
      <c r="AL661" s="7" t="b">
        <v>0</v>
      </c>
      <c r="AM661" s="6" t="s">
        <v>5286</v>
      </c>
      <c r="AN661" s="6" t="s">
        <v>5277</v>
      </c>
      <c r="AO661" s="6">
        <v>3895.0</v>
      </c>
      <c r="AP661" s="6"/>
      <c r="AQ661" s="6" t="b">
        <v>1</v>
      </c>
      <c r="AR661" s="6"/>
      <c r="AS661" s="48" t="s">
        <v>12303</v>
      </c>
    </row>
    <row r="662" ht="15.75" customHeight="1">
      <c r="A662" s="7" t="s">
        <v>3606</v>
      </c>
      <c r="B662" s="7" t="s">
        <v>3607</v>
      </c>
      <c r="C662" s="7" t="s">
        <v>822</v>
      </c>
      <c r="D662" s="7" t="s">
        <v>1805</v>
      </c>
      <c r="E662" s="7" t="s">
        <v>1806</v>
      </c>
      <c r="F662" s="7">
        <v>30.0</v>
      </c>
      <c r="G662" s="7" t="s">
        <v>375</v>
      </c>
      <c r="H662" s="7"/>
      <c r="I662" s="7"/>
      <c r="J662" s="41" t="s">
        <v>12345</v>
      </c>
      <c r="K662" s="7" t="s">
        <v>15839</v>
      </c>
      <c r="L662" s="7">
        <v>97442.0</v>
      </c>
      <c r="M662" s="7" t="s">
        <v>33</v>
      </c>
      <c r="N662" s="6" t="s">
        <v>19505</v>
      </c>
      <c r="O662" s="6" t="s">
        <v>19506</v>
      </c>
      <c r="P662" s="42" t="s">
        <v>3612</v>
      </c>
      <c r="Q662" s="49" t="s">
        <v>19507</v>
      </c>
      <c r="R662" s="50"/>
      <c r="S662" s="47" t="s">
        <v>3610</v>
      </c>
      <c r="T662" s="6" t="s">
        <v>19508</v>
      </c>
      <c r="U662" s="7" t="s">
        <v>3613</v>
      </c>
      <c r="V662" s="7" t="s">
        <v>3615</v>
      </c>
      <c r="W662" s="7" t="s">
        <v>3611</v>
      </c>
      <c r="X662" s="7" t="s">
        <v>889</v>
      </c>
      <c r="Y662" s="7" t="s">
        <v>974</v>
      </c>
      <c r="Z662" s="7" t="s">
        <v>592</v>
      </c>
      <c r="AA662" s="7"/>
      <c r="AB662" s="7"/>
      <c r="AC662" s="7">
        <v>5.2971667200017E13</v>
      </c>
      <c r="AD662" s="7">
        <v>5.29716672E8</v>
      </c>
      <c r="AE662" s="6" t="s">
        <v>401</v>
      </c>
      <c r="AF662" s="45">
        <v>45943.430555555555</v>
      </c>
      <c r="AG662" s="7" t="s">
        <v>19509</v>
      </c>
      <c r="AH662" s="46" t="s">
        <v>19510</v>
      </c>
      <c r="AI662" s="7"/>
      <c r="AJ662" s="6" t="s">
        <v>19511</v>
      </c>
      <c r="AK662" s="7" t="b">
        <v>0</v>
      </c>
      <c r="AL662" s="7" t="b">
        <v>0</v>
      </c>
      <c r="AM662" s="7"/>
      <c r="AN662" s="6" t="s">
        <v>3606</v>
      </c>
      <c r="AO662" s="6">
        <v>2053.0</v>
      </c>
      <c r="AP662" s="6"/>
      <c r="AQ662" s="6" t="b">
        <v>1</v>
      </c>
      <c r="AR662" s="6"/>
      <c r="AS662" s="48" t="s">
        <v>12303</v>
      </c>
    </row>
    <row r="663" ht="15.75" customHeight="1">
      <c r="A663" s="7" t="s">
        <v>8306</v>
      </c>
      <c r="B663" s="7" t="s">
        <v>917</v>
      </c>
      <c r="C663" s="6" t="s">
        <v>117</v>
      </c>
      <c r="D663" s="7" t="s">
        <v>470</v>
      </c>
      <c r="E663" s="7" t="s">
        <v>921</v>
      </c>
      <c r="F663" s="7">
        <v>10.0</v>
      </c>
      <c r="G663" s="7"/>
      <c r="H663" s="7"/>
      <c r="I663" s="7" t="s">
        <v>597</v>
      </c>
      <c r="J663" s="6" t="s">
        <v>19512</v>
      </c>
      <c r="K663" s="6" t="s">
        <v>16766</v>
      </c>
      <c r="L663" s="7">
        <v>97442.0</v>
      </c>
      <c r="M663" s="7" t="s">
        <v>33</v>
      </c>
      <c r="N663" s="6" t="s">
        <v>15096</v>
      </c>
      <c r="O663" s="6" t="s">
        <v>19513</v>
      </c>
      <c r="P663" s="42" t="s">
        <v>922</v>
      </c>
      <c r="Q663" s="49" t="s">
        <v>19514</v>
      </c>
      <c r="R663" s="50"/>
      <c r="S663" s="47" t="s">
        <v>920</v>
      </c>
      <c r="T663" s="6" t="s">
        <v>19515</v>
      </c>
      <c r="U663" s="6" t="s">
        <v>19516</v>
      </c>
      <c r="V663" s="6" t="s">
        <v>19517</v>
      </c>
      <c r="W663" s="6" t="s">
        <v>14892</v>
      </c>
      <c r="X663" s="6" t="s">
        <v>19518</v>
      </c>
      <c r="Y663" s="6" t="s">
        <v>19519</v>
      </c>
      <c r="Z663" s="7" t="s">
        <v>424</v>
      </c>
      <c r="AA663" s="7"/>
      <c r="AB663" s="7"/>
      <c r="AC663" s="6">
        <v>4.1197493400019E13</v>
      </c>
      <c r="AD663" s="6">
        <v>4.11974934E8</v>
      </c>
      <c r="AE663" s="6" t="s">
        <v>12355</v>
      </c>
      <c r="AF663" s="45">
        <v>45810.38010416667</v>
      </c>
      <c r="AG663" s="7" t="s">
        <v>19520</v>
      </c>
      <c r="AH663" s="46" t="s">
        <v>19521</v>
      </c>
      <c r="AI663" s="7"/>
      <c r="AJ663" s="6" t="s">
        <v>19522</v>
      </c>
      <c r="AK663" s="6" t="b">
        <v>1</v>
      </c>
      <c r="AL663" s="7" t="b">
        <v>0</v>
      </c>
      <c r="AM663" s="7"/>
      <c r="AN663" s="6" t="s">
        <v>8306</v>
      </c>
      <c r="AO663" s="6">
        <v>2838.0</v>
      </c>
      <c r="AP663" s="7"/>
      <c r="AQ663" s="6" t="b">
        <v>0</v>
      </c>
      <c r="AR663" s="6"/>
      <c r="AS663" s="48" t="s">
        <v>12303</v>
      </c>
    </row>
    <row r="664" ht="15.75" customHeight="1">
      <c r="A664" s="9" t="s">
        <v>254</v>
      </c>
      <c r="B664" s="9" t="s">
        <v>19523</v>
      </c>
      <c r="C664" s="9" t="s">
        <v>117</v>
      </c>
      <c r="D664" s="9" t="s">
        <v>197</v>
      </c>
      <c r="E664" s="9" t="s">
        <v>559</v>
      </c>
      <c r="J664" s="52" t="s">
        <v>12331</v>
      </c>
      <c r="K664" s="9" t="s">
        <v>19524</v>
      </c>
      <c r="L664" s="9">
        <v>97442.0</v>
      </c>
      <c r="M664" s="9" t="s">
        <v>33</v>
      </c>
      <c r="N664" s="9" t="s">
        <v>14526</v>
      </c>
      <c r="O664" s="9" t="s">
        <v>19525</v>
      </c>
      <c r="P664" s="53" t="s">
        <v>19526</v>
      </c>
      <c r="Q664" s="49" t="s">
        <v>19527</v>
      </c>
      <c r="R664" s="50"/>
      <c r="S664" s="54" t="s">
        <v>12350</v>
      </c>
      <c r="T664" s="9" t="s">
        <v>19528</v>
      </c>
      <c r="U664" s="9" t="s">
        <v>19529</v>
      </c>
      <c r="V664" s="9" t="s">
        <v>19530</v>
      </c>
      <c r="X664" s="9" t="s">
        <v>19531</v>
      </c>
      <c r="Y664" s="9" t="s">
        <v>2390</v>
      </c>
      <c r="Z664" s="9" t="s">
        <v>353</v>
      </c>
      <c r="AC664" s="9">
        <v>7.9304918000011E13</v>
      </c>
      <c r="AD664" s="9">
        <v>7.9304918E8</v>
      </c>
      <c r="AE664" s="9" t="s">
        <v>401</v>
      </c>
      <c r="AF664" s="60">
        <v>44720.65723379629</v>
      </c>
      <c r="AG664" s="9" t="s">
        <v>19532</v>
      </c>
      <c r="AH664" s="9" t="s">
        <v>19533</v>
      </c>
      <c r="AK664" s="9" t="b">
        <v>1</v>
      </c>
      <c r="AL664" s="9" t="b">
        <v>0</v>
      </c>
      <c r="AN664" s="9" t="s">
        <v>254</v>
      </c>
      <c r="AP664" s="61">
        <v>44484.0</v>
      </c>
      <c r="AQ664" s="9" t="b">
        <v>0</v>
      </c>
      <c r="AR664" s="9"/>
      <c r="AS664" s="48" t="s">
        <v>12303</v>
      </c>
    </row>
    <row r="665" ht="15.75" customHeight="1">
      <c r="A665" s="7" t="s">
        <v>5899</v>
      </c>
      <c r="B665" s="7" t="s">
        <v>5900</v>
      </c>
      <c r="C665" s="6" t="s">
        <v>117</v>
      </c>
      <c r="D665" s="7" t="s">
        <v>197</v>
      </c>
      <c r="E665" s="6" t="s">
        <v>16413</v>
      </c>
      <c r="F665" s="7"/>
      <c r="G665" s="7" t="s">
        <v>664</v>
      </c>
      <c r="H665" s="7"/>
      <c r="I665" s="7"/>
      <c r="J665" s="7" t="s">
        <v>19534</v>
      </c>
      <c r="K665" s="7" t="s">
        <v>19535</v>
      </c>
      <c r="L665" s="7">
        <v>97442.0</v>
      </c>
      <c r="M665" s="7" t="s">
        <v>33</v>
      </c>
      <c r="N665" s="7"/>
      <c r="O665" s="6" t="s">
        <v>19536</v>
      </c>
      <c r="P665" s="42" t="s">
        <v>5903</v>
      </c>
      <c r="Q665" s="43" t="s">
        <v>19537</v>
      </c>
      <c r="R665" s="43" t="s">
        <v>19538</v>
      </c>
      <c r="S665" s="51"/>
      <c r="T665" s="7" t="s">
        <v>5905</v>
      </c>
      <c r="U665" s="7" t="s">
        <v>5904</v>
      </c>
      <c r="V665" s="7" t="s">
        <v>5906</v>
      </c>
      <c r="W665" s="7"/>
      <c r="X665" s="7"/>
      <c r="Y665" s="7" t="s">
        <v>974</v>
      </c>
      <c r="Z665" s="7" t="s">
        <v>5902</v>
      </c>
      <c r="AA665" s="7"/>
      <c r="AB665" s="7"/>
      <c r="AC665" s="7">
        <v>3.4788055100028E13</v>
      </c>
      <c r="AD665" s="7">
        <v>3.47880551E8</v>
      </c>
      <c r="AE665" s="6" t="s">
        <v>401</v>
      </c>
      <c r="AF665" s="45">
        <v>44720.64989583333</v>
      </c>
      <c r="AG665" s="7" t="s">
        <v>19539</v>
      </c>
      <c r="AH665" s="46" t="s">
        <v>19540</v>
      </c>
      <c r="AI665" s="7"/>
      <c r="AJ665" s="7"/>
      <c r="AK665" s="7" t="b">
        <v>0</v>
      </c>
      <c r="AL665" s="7" t="b">
        <v>0</v>
      </c>
      <c r="AM665" s="7"/>
      <c r="AN665" s="6" t="s">
        <v>5899</v>
      </c>
      <c r="AO665" s="6">
        <v>5160.0</v>
      </c>
      <c r="AP665" s="6"/>
      <c r="AQ665" s="6" t="b">
        <v>1</v>
      </c>
      <c r="AR665" s="6"/>
      <c r="AS665" s="48" t="s">
        <v>12303</v>
      </c>
    </row>
    <row r="666" ht="15.75" customHeight="1">
      <c r="A666" s="9" t="s">
        <v>12172</v>
      </c>
      <c r="B666" s="9" t="s">
        <v>19541</v>
      </c>
      <c r="C666" s="9" t="s">
        <v>117</v>
      </c>
      <c r="D666" s="9" t="s">
        <v>197</v>
      </c>
      <c r="E666" s="9" t="s">
        <v>559</v>
      </c>
      <c r="J666" s="52" t="s">
        <v>12402</v>
      </c>
      <c r="K666" s="9" t="s">
        <v>19542</v>
      </c>
      <c r="L666" s="9">
        <v>97414.0</v>
      </c>
      <c r="M666" s="9" t="s">
        <v>40</v>
      </c>
      <c r="O666" s="9" t="s">
        <v>19543</v>
      </c>
      <c r="P666" s="53" t="s">
        <v>19544</v>
      </c>
      <c r="Q666" s="49" t="s">
        <v>19545</v>
      </c>
      <c r="R666" s="50"/>
      <c r="S666" s="54"/>
      <c r="T666" s="9" t="s">
        <v>19546</v>
      </c>
      <c r="U666" s="9" t="s">
        <v>19547</v>
      </c>
      <c r="Y666" s="9" t="s">
        <v>19548</v>
      </c>
      <c r="AC666" s="9">
        <v>9.02224963E8</v>
      </c>
      <c r="AD666" s="9">
        <v>9.02224963E8</v>
      </c>
      <c r="AE666" s="9" t="s">
        <v>401</v>
      </c>
      <c r="AF666" s="55">
        <v>46059.37447916667</v>
      </c>
      <c r="AG666" s="9" t="s">
        <v>19549</v>
      </c>
      <c r="AH666" s="9" t="s">
        <v>19550</v>
      </c>
      <c r="AJ666" s="9" t="s">
        <v>19551</v>
      </c>
      <c r="AN666" s="9" t="s">
        <v>12172</v>
      </c>
      <c r="AP666" s="56">
        <v>44719.0</v>
      </c>
      <c r="AQ666" s="9" t="b">
        <v>0</v>
      </c>
    </row>
    <row r="667" ht="15.75" customHeight="1">
      <c r="A667" s="7" t="s">
        <v>1393</v>
      </c>
      <c r="B667" s="7" t="s">
        <v>19552</v>
      </c>
      <c r="C667" s="6" t="s">
        <v>117</v>
      </c>
      <c r="D667" s="7" t="s">
        <v>197</v>
      </c>
      <c r="E667" s="7" t="s">
        <v>559</v>
      </c>
      <c r="F667" s="7"/>
      <c r="G667" s="7" t="s">
        <v>375</v>
      </c>
      <c r="H667" s="7"/>
      <c r="I667" s="7"/>
      <c r="J667" s="7" t="s">
        <v>19553</v>
      </c>
      <c r="K667" s="7" t="s">
        <v>15733</v>
      </c>
      <c r="L667" s="7">
        <v>97442.0</v>
      </c>
      <c r="M667" s="7" t="s">
        <v>33</v>
      </c>
      <c r="N667" s="7"/>
      <c r="O667" s="7" t="s">
        <v>1403</v>
      </c>
      <c r="P667" s="42" t="s">
        <v>1397</v>
      </c>
      <c r="Q667" s="43" t="s">
        <v>19554</v>
      </c>
      <c r="R667" s="50"/>
      <c r="S667" s="44" t="s">
        <v>19555</v>
      </c>
      <c r="T667" s="7" t="s">
        <v>1399</v>
      </c>
      <c r="U667" s="7" t="s">
        <v>1398</v>
      </c>
      <c r="V667" s="7"/>
      <c r="W667" s="7" t="s">
        <v>801</v>
      </c>
      <c r="X667" s="7"/>
      <c r="Y667" s="7" t="s">
        <v>1076</v>
      </c>
      <c r="Z667" s="7"/>
      <c r="AA667" s="7"/>
      <c r="AB667" s="7"/>
      <c r="AC667" s="7">
        <v>8.3124025400019E13</v>
      </c>
      <c r="AD667" s="7">
        <v>8.31240254E8</v>
      </c>
      <c r="AE667" s="6" t="s">
        <v>401</v>
      </c>
      <c r="AF667" s="45">
        <v>44720.59638888889</v>
      </c>
      <c r="AG667" s="7" t="s">
        <v>19556</v>
      </c>
      <c r="AH667" s="46" t="s">
        <v>19557</v>
      </c>
      <c r="AI667" s="7"/>
      <c r="AJ667" s="7"/>
      <c r="AK667" s="7" t="b">
        <v>0</v>
      </c>
      <c r="AL667" s="7" t="b">
        <v>0</v>
      </c>
      <c r="AM667" s="7"/>
      <c r="AN667" s="6" t="s">
        <v>1393</v>
      </c>
      <c r="AO667" s="6">
        <v>4743.0</v>
      </c>
      <c r="AP667" s="6"/>
      <c r="AQ667" s="6" t="b">
        <v>1</v>
      </c>
      <c r="AR667" s="6"/>
      <c r="AS667" s="48" t="s">
        <v>12303</v>
      </c>
    </row>
    <row r="668" ht="15.75" customHeight="1">
      <c r="A668" s="7" t="s">
        <v>7545</v>
      </c>
      <c r="B668" s="7" t="s">
        <v>7546</v>
      </c>
      <c r="C668" s="6" t="s">
        <v>117</v>
      </c>
      <c r="D668" s="7" t="s">
        <v>1405</v>
      </c>
      <c r="E668" s="7" t="s">
        <v>1406</v>
      </c>
      <c r="F668" s="7"/>
      <c r="G668" s="7" t="s">
        <v>455</v>
      </c>
      <c r="H668" s="7"/>
      <c r="I668" s="7"/>
      <c r="J668" s="7">
        <v>3.0</v>
      </c>
      <c r="K668" s="6" t="s">
        <v>15839</v>
      </c>
      <c r="L668" s="7">
        <v>97442.0</v>
      </c>
      <c r="M668" s="7" t="s">
        <v>33</v>
      </c>
      <c r="N668" s="7"/>
      <c r="O668" s="6" t="s">
        <v>19558</v>
      </c>
      <c r="P668" s="42" t="s">
        <v>7548</v>
      </c>
      <c r="Q668" s="43" t="s">
        <v>19559</v>
      </c>
      <c r="R668" s="50"/>
      <c r="S668" s="51"/>
      <c r="T668" s="7" t="s">
        <v>7549</v>
      </c>
      <c r="U668" s="6" t="s">
        <v>19560</v>
      </c>
      <c r="V668" s="7" t="s">
        <v>7550</v>
      </c>
      <c r="W668" s="7"/>
      <c r="X668" s="7"/>
      <c r="Y668" s="7" t="s">
        <v>4227</v>
      </c>
      <c r="Z668" s="7" t="s">
        <v>353</v>
      </c>
      <c r="AA668" s="7"/>
      <c r="AB668" s="7"/>
      <c r="AC668" s="7">
        <v>4.9111312200031E13</v>
      </c>
      <c r="AD668" s="7">
        <v>4.91113122E8</v>
      </c>
      <c r="AE668" s="6" t="s">
        <v>401</v>
      </c>
      <c r="AF668" s="45">
        <v>44720.588854166665</v>
      </c>
      <c r="AG668" s="7" t="s">
        <v>19561</v>
      </c>
      <c r="AH668" s="46" t="s">
        <v>19562</v>
      </c>
      <c r="AI668" s="7"/>
      <c r="AJ668" s="7"/>
      <c r="AK668" s="7" t="b">
        <v>0</v>
      </c>
      <c r="AL668" s="7" t="b">
        <v>0</v>
      </c>
      <c r="AM668" s="7"/>
      <c r="AN668" s="6" t="s">
        <v>7545</v>
      </c>
      <c r="AO668" s="6">
        <v>2848.0</v>
      </c>
      <c r="AP668" s="6"/>
      <c r="AQ668" s="6" t="b">
        <v>1</v>
      </c>
      <c r="AR668" s="6"/>
      <c r="AS668" s="48" t="s">
        <v>12303</v>
      </c>
    </row>
    <row r="669" ht="15.75" customHeight="1">
      <c r="A669" s="9" t="s">
        <v>11758</v>
      </c>
      <c r="B669" s="9" t="s">
        <v>19563</v>
      </c>
      <c r="C669" s="9" t="s">
        <v>58</v>
      </c>
      <c r="D669" s="9" t="s">
        <v>59</v>
      </c>
      <c r="E669" s="9" t="s">
        <v>346</v>
      </c>
      <c r="F669" s="9">
        <v>8.0</v>
      </c>
      <c r="J669" s="9" t="s">
        <v>19564</v>
      </c>
      <c r="K669" s="9" t="s">
        <v>19565</v>
      </c>
      <c r="L669" s="9">
        <v>97418.0</v>
      </c>
      <c r="M669" s="9" t="s">
        <v>71</v>
      </c>
      <c r="N669" s="9" t="s">
        <v>216</v>
      </c>
      <c r="O669" s="9" t="s">
        <v>19566</v>
      </c>
      <c r="P669" s="53" t="s">
        <v>19567</v>
      </c>
      <c r="Q669" s="49" t="s">
        <v>19568</v>
      </c>
      <c r="R669" s="50"/>
      <c r="S669" s="54"/>
      <c r="T669" s="9" t="s">
        <v>19569</v>
      </c>
      <c r="U669" s="9" t="s">
        <v>19570</v>
      </c>
      <c r="V669" s="9" t="s">
        <v>19571</v>
      </c>
      <c r="W669" s="9" t="s">
        <v>19572</v>
      </c>
      <c r="X669" s="9" t="s">
        <v>19573</v>
      </c>
      <c r="Y669" s="9" t="s">
        <v>499</v>
      </c>
      <c r="Z669" s="9" t="s">
        <v>353</v>
      </c>
      <c r="AC669" s="9">
        <v>8.4032579900012E13</v>
      </c>
      <c r="AD669" s="9">
        <v>8.40325799E8</v>
      </c>
      <c r="AE669" s="9" t="s">
        <v>12355</v>
      </c>
      <c r="AF669" s="55">
        <v>46055.42068287037</v>
      </c>
      <c r="AG669" s="9" t="s">
        <v>19574</v>
      </c>
      <c r="AH669" s="9" t="s">
        <v>19575</v>
      </c>
      <c r="AJ669" s="9" t="s">
        <v>19576</v>
      </c>
      <c r="AK669" s="9" t="b">
        <v>0</v>
      </c>
      <c r="AL669" s="9" t="b">
        <v>0</v>
      </c>
      <c r="AM669" s="9" t="s">
        <v>19577</v>
      </c>
      <c r="AN669" s="9" t="s">
        <v>11758</v>
      </c>
      <c r="AP669" s="56">
        <v>44686.0</v>
      </c>
      <c r="AQ669" s="9" t="b">
        <v>1</v>
      </c>
      <c r="AR669" s="9" t="s">
        <v>19578</v>
      </c>
      <c r="AS669" s="9" t="s">
        <v>12303</v>
      </c>
    </row>
    <row r="670" ht="15.75" customHeight="1">
      <c r="A670" s="7" t="s">
        <v>2944</v>
      </c>
      <c r="B670" s="7" t="s">
        <v>19579</v>
      </c>
      <c r="C670" s="7" t="s">
        <v>58</v>
      </c>
      <c r="D670" s="7" t="s">
        <v>453</v>
      </c>
      <c r="E670" s="7" t="s">
        <v>454</v>
      </c>
      <c r="F670" s="7">
        <v>9.0</v>
      </c>
      <c r="G670" s="7" t="s">
        <v>375</v>
      </c>
      <c r="H670" s="6" t="s">
        <v>574</v>
      </c>
      <c r="I670" s="6" t="s">
        <v>19580</v>
      </c>
      <c r="J670" s="7">
        <v>1.0</v>
      </c>
      <c r="K670" s="7" t="s">
        <v>15033</v>
      </c>
      <c r="L670" s="7">
        <v>97442.0</v>
      </c>
      <c r="M670" s="7" t="s">
        <v>33</v>
      </c>
      <c r="N670" s="7"/>
      <c r="O670" s="6" t="s">
        <v>19581</v>
      </c>
      <c r="P670" s="42" t="s">
        <v>2950</v>
      </c>
      <c r="Q670" s="43" t="s">
        <v>15035</v>
      </c>
      <c r="R670" s="43" t="s">
        <v>15036</v>
      </c>
      <c r="S670" s="51"/>
      <c r="T670" s="6" t="s">
        <v>19582</v>
      </c>
      <c r="U670" s="7" t="s">
        <v>2951</v>
      </c>
      <c r="V670" s="6" t="s">
        <v>19583</v>
      </c>
      <c r="W670" s="6" t="s">
        <v>19584</v>
      </c>
      <c r="X670" s="7" t="s">
        <v>2949</v>
      </c>
      <c r="Y670" s="7" t="s">
        <v>377</v>
      </c>
      <c r="Z670" s="7" t="s">
        <v>353</v>
      </c>
      <c r="AA670" s="7"/>
      <c r="AB670" s="7"/>
      <c r="AC670" s="6">
        <v>5.2055176300011E13</v>
      </c>
      <c r="AD670" s="6">
        <v>5.20551763E8</v>
      </c>
      <c r="AE670" s="6" t="s">
        <v>401</v>
      </c>
      <c r="AF670" s="45">
        <v>45863.37322916667</v>
      </c>
      <c r="AG670" s="7" t="s">
        <v>15039</v>
      </c>
      <c r="AH670" s="46" t="s">
        <v>19585</v>
      </c>
      <c r="AI670" s="7"/>
      <c r="AJ670" s="6" t="s">
        <v>19586</v>
      </c>
      <c r="AK670" s="6" t="b">
        <v>1</v>
      </c>
      <c r="AL670" s="7" t="b">
        <v>0</v>
      </c>
      <c r="AM670" s="6" t="s">
        <v>2957</v>
      </c>
      <c r="AN670" s="6" t="s">
        <v>2944</v>
      </c>
      <c r="AO670" s="6">
        <v>2991.0</v>
      </c>
      <c r="AP670" s="6"/>
      <c r="AQ670" s="6" t="b">
        <v>1</v>
      </c>
      <c r="AR670" s="6"/>
      <c r="AS670" s="48" t="s">
        <v>12303</v>
      </c>
    </row>
    <row r="671" ht="15.75" customHeight="1">
      <c r="A671" s="9" t="s">
        <v>237</v>
      </c>
      <c r="B671" s="9" t="s">
        <v>19587</v>
      </c>
      <c r="C671" s="9" t="s">
        <v>58</v>
      </c>
      <c r="D671" s="9" t="s">
        <v>59</v>
      </c>
      <c r="E671" s="9" t="s">
        <v>346</v>
      </c>
      <c r="F671" s="9">
        <v>32.0</v>
      </c>
      <c r="G671" s="9" t="s">
        <v>422</v>
      </c>
      <c r="J671" s="9" t="s">
        <v>18860</v>
      </c>
      <c r="K671" s="9" t="s">
        <v>19588</v>
      </c>
      <c r="L671" s="9">
        <v>97418.0</v>
      </c>
      <c r="M671" s="9" t="s">
        <v>71</v>
      </c>
      <c r="N671" s="9" t="s">
        <v>13029</v>
      </c>
      <c r="O671" s="9" t="s">
        <v>19589</v>
      </c>
      <c r="P671" s="53" t="s">
        <v>19590</v>
      </c>
      <c r="Q671" s="49" t="s">
        <v>19591</v>
      </c>
      <c r="R671" s="50"/>
      <c r="S671" s="54"/>
      <c r="T671" s="9" t="s">
        <v>19592</v>
      </c>
      <c r="U671" s="9" t="s">
        <v>19593</v>
      </c>
      <c r="V671" s="9" t="s">
        <v>19594</v>
      </c>
      <c r="W671" s="9" t="s">
        <v>19595</v>
      </c>
      <c r="X671" s="9" t="s">
        <v>19596</v>
      </c>
      <c r="Y671" s="9" t="s">
        <v>14548</v>
      </c>
      <c r="Z671" s="9" t="s">
        <v>378</v>
      </c>
      <c r="AC671" s="9">
        <v>1.8009006002092E13</v>
      </c>
      <c r="AD671" s="9">
        <v>1.8009006E8</v>
      </c>
      <c r="AE671" s="9" t="s">
        <v>401</v>
      </c>
      <c r="AF671" s="55">
        <v>45684.424375</v>
      </c>
      <c r="AG671" s="9" t="s">
        <v>19597</v>
      </c>
      <c r="AH671" s="9" t="s">
        <v>19598</v>
      </c>
      <c r="AJ671" s="9" t="s">
        <v>19599</v>
      </c>
      <c r="AK671" s="9" t="b">
        <v>1</v>
      </c>
      <c r="AL671" s="9" t="b">
        <v>0</v>
      </c>
      <c r="AM671" s="9" t="s">
        <v>19600</v>
      </c>
      <c r="AN671" s="9" t="s">
        <v>237</v>
      </c>
      <c r="AP671" s="56">
        <v>44719.0</v>
      </c>
      <c r="AQ671" s="9" t="b">
        <v>0</v>
      </c>
      <c r="AR671" s="9" t="s">
        <v>19601</v>
      </c>
    </row>
    <row r="672" ht="15.75" customHeight="1">
      <c r="A672" s="7" t="s">
        <v>9868</v>
      </c>
      <c r="B672" s="7" t="s">
        <v>9869</v>
      </c>
      <c r="C672" s="7" t="s">
        <v>58</v>
      </c>
      <c r="D672" s="7" t="s">
        <v>453</v>
      </c>
      <c r="E672" s="7" t="s">
        <v>454</v>
      </c>
      <c r="F672" s="7">
        <v>4.0</v>
      </c>
      <c r="G672" s="7"/>
      <c r="H672" s="7"/>
      <c r="I672" s="7"/>
      <c r="J672" s="7">
        <v>11.0</v>
      </c>
      <c r="K672" s="7" t="s">
        <v>19602</v>
      </c>
      <c r="L672" s="7">
        <v>97430.0</v>
      </c>
      <c r="M672" s="7" t="s">
        <v>71</v>
      </c>
      <c r="N672" s="7" t="s">
        <v>9050</v>
      </c>
      <c r="O672" s="6" t="s">
        <v>19603</v>
      </c>
      <c r="P672" s="42" t="s">
        <v>9872</v>
      </c>
      <c r="Q672" s="43" t="s">
        <v>19604</v>
      </c>
      <c r="R672" s="50"/>
      <c r="S672" s="51"/>
      <c r="T672" s="7"/>
      <c r="U672" s="6" t="s">
        <v>19605</v>
      </c>
      <c r="V672" s="6" t="s">
        <v>19606</v>
      </c>
      <c r="W672" s="6" t="s">
        <v>19607</v>
      </c>
      <c r="X672" s="6" t="s">
        <v>19608</v>
      </c>
      <c r="Y672" s="6" t="s">
        <v>377</v>
      </c>
      <c r="Z672" s="6" t="s">
        <v>19609</v>
      </c>
      <c r="AA672" s="7"/>
      <c r="AB672" s="7"/>
      <c r="AC672" s="7"/>
      <c r="AD672" s="7"/>
      <c r="AE672" s="6" t="s">
        <v>401</v>
      </c>
      <c r="AF672" s="45">
        <v>44712.41128472222</v>
      </c>
      <c r="AG672" s="7" t="s">
        <v>19610</v>
      </c>
      <c r="AH672" s="46" t="s">
        <v>19611</v>
      </c>
      <c r="AI672" s="7"/>
      <c r="AJ672" s="7"/>
      <c r="AK672" s="6" t="b">
        <v>1</v>
      </c>
      <c r="AL672" s="7" t="b">
        <v>0</v>
      </c>
      <c r="AM672" s="6" t="s">
        <v>19612</v>
      </c>
      <c r="AN672" s="6" t="s">
        <v>9868</v>
      </c>
      <c r="AO672" s="7"/>
      <c r="AP672" s="7"/>
      <c r="AQ672" s="6" t="b">
        <v>0</v>
      </c>
      <c r="AR672" s="6" t="s">
        <v>19613</v>
      </c>
      <c r="AS672" s="6" t="s">
        <v>12303</v>
      </c>
    </row>
    <row r="673" ht="15.75" customHeight="1">
      <c r="A673" s="7" t="s">
        <v>4302</v>
      </c>
      <c r="B673" s="7" t="s">
        <v>4303</v>
      </c>
      <c r="C673" s="7" t="s">
        <v>58</v>
      </c>
      <c r="D673" s="7" t="s">
        <v>137</v>
      </c>
      <c r="E673" s="7" t="s">
        <v>1091</v>
      </c>
      <c r="F673" s="7">
        <v>31.0</v>
      </c>
      <c r="G673" s="7" t="s">
        <v>4306</v>
      </c>
      <c r="H673" s="7"/>
      <c r="I673" s="7"/>
      <c r="J673" s="7"/>
      <c r="K673" s="7" t="s">
        <v>19614</v>
      </c>
      <c r="L673" s="7">
        <v>97480.0</v>
      </c>
      <c r="M673" s="7" t="s">
        <v>123</v>
      </c>
      <c r="N673" s="7"/>
      <c r="O673" s="7" t="s">
        <v>4316</v>
      </c>
      <c r="P673" s="42" t="s">
        <v>4309</v>
      </c>
      <c r="Q673" s="43" t="s">
        <v>19615</v>
      </c>
      <c r="R673" s="43" t="s">
        <v>19616</v>
      </c>
      <c r="S673" s="51"/>
      <c r="T673" s="7" t="s">
        <v>4311</v>
      </c>
      <c r="U673" s="7" t="s">
        <v>4310</v>
      </c>
      <c r="V673" s="7" t="s">
        <v>4312</v>
      </c>
      <c r="W673" s="6" t="s">
        <v>13940</v>
      </c>
      <c r="X673" s="7" t="s">
        <v>4308</v>
      </c>
      <c r="Y673" s="7" t="s">
        <v>499</v>
      </c>
      <c r="Z673" s="7" t="s">
        <v>353</v>
      </c>
      <c r="AA673" s="7" t="s">
        <v>4318</v>
      </c>
      <c r="AB673" s="7" t="s">
        <v>4319</v>
      </c>
      <c r="AC673" s="7">
        <v>4.3909520900029E13</v>
      </c>
      <c r="AD673" s="7">
        <v>4.39095209E8</v>
      </c>
      <c r="AE673" s="6" t="s">
        <v>401</v>
      </c>
      <c r="AF673" s="45">
        <v>44711.43533564815</v>
      </c>
      <c r="AG673" s="7" t="s">
        <v>19617</v>
      </c>
      <c r="AH673" s="46" t="s">
        <v>19618</v>
      </c>
      <c r="AI673" s="7"/>
      <c r="AJ673" s="6"/>
      <c r="AK673" s="7" t="b">
        <v>0</v>
      </c>
      <c r="AL673" s="7" t="b">
        <v>0</v>
      </c>
      <c r="AM673" s="6" t="s">
        <v>4320</v>
      </c>
      <c r="AN673" s="6" t="s">
        <v>4302</v>
      </c>
      <c r="AO673" s="6">
        <v>768.0</v>
      </c>
      <c r="AP673" s="6"/>
      <c r="AQ673" s="6" t="b">
        <v>1</v>
      </c>
      <c r="AR673" s="6" t="s">
        <v>19619</v>
      </c>
      <c r="AS673" s="6" t="s">
        <v>12303</v>
      </c>
    </row>
    <row r="674" ht="15.75" customHeight="1">
      <c r="A674" s="7" t="s">
        <v>262</v>
      </c>
      <c r="B674" s="7" t="s">
        <v>19620</v>
      </c>
      <c r="C674" s="7" t="s">
        <v>58</v>
      </c>
      <c r="D674" s="7" t="s">
        <v>1141</v>
      </c>
      <c r="E674" s="7" t="s">
        <v>1141</v>
      </c>
      <c r="F674" s="7">
        <v>48.0</v>
      </c>
      <c r="G674" s="7" t="s">
        <v>407</v>
      </c>
      <c r="H674" s="7"/>
      <c r="I674" s="7"/>
      <c r="J674" s="7"/>
      <c r="K674" s="7" t="s">
        <v>15208</v>
      </c>
      <c r="L674" s="7">
        <v>97418.0</v>
      </c>
      <c r="M674" s="7" t="s">
        <v>71</v>
      </c>
      <c r="N674" s="7" t="s">
        <v>216</v>
      </c>
      <c r="O674" s="6" t="s">
        <v>19621</v>
      </c>
      <c r="P674" s="53" t="s">
        <v>1130</v>
      </c>
      <c r="Q674" s="43" t="s">
        <v>19622</v>
      </c>
      <c r="R674" s="43" t="s">
        <v>19623</v>
      </c>
      <c r="S674" s="51"/>
      <c r="T674" s="6" t="s">
        <v>19624</v>
      </c>
      <c r="U674" s="7" t="s">
        <v>1146</v>
      </c>
      <c r="V674" s="7"/>
      <c r="W674" s="6" t="s">
        <v>19625</v>
      </c>
      <c r="X674" s="7" t="s">
        <v>1143</v>
      </c>
      <c r="Y674" s="7" t="s">
        <v>1144</v>
      </c>
      <c r="Z674" s="7" t="s">
        <v>592</v>
      </c>
      <c r="AA674" s="7"/>
      <c r="AB674" s="7"/>
      <c r="AC674" s="7">
        <v>8.3258395900016E13</v>
      </c>
      <c r="AD674" s="6">
        <v>8.32583959E8</v>
      </c>
      <c r="AE674" s="6" t="s">
        <v>401</v>
      </c>
      <c r="AF674" s="45">
        <v>44711.377222222225</v>
      </c>
      <c r="AG674" s="7" t="s">
        <v>19626</v>
      </c>
      <c r="AH674" s="46" t="s">
        <v>19627</v>
      </c>
      <c r="AI674" s="7"/>
      <c r="AJ674" s="7"/>
      <c r="AK674" s="7" t="b">
        <v>0</v>
      </c>
      <c r="AL674" s="7" t="b">
        <v>0</v>
      </c>
      <c r="AM674" s="6" t="s">
        <v>1149</v>
      </c>
      <c r="AN674" s="6" t="s">
        <v>262</v>
      </c>
      <c r="AO674" s="6">
        <v>256.0</v>
      </c>
      <c r="AP674" s="6"/>
      <c r="AQ674" s="6" t="b">
        <v>1</v>
      </c>
      <c r="AR674" s="6"/>
      <c r="AS674" s="48" t="s">
        <v>12303</v>
      </c>
    </row>
    <row r="675" ht="15.75" customHeight="1">
      <c r="A675" s="7" t="s">
        <v>5091</v>
      </c>
      <c r="B675" s="7" t="s">
        <v>19628</v>
      </c>
      <c r="C675" s="7" t="s">
        <v>34</v>
      </c>
      <c r="D675" s="7" t="s">
        <v>678</v>
      </c>
      <c r="E675" s="7" t="s">
        <v>5094</v>
      </c>
      <c r="F675" s="7">
        <v>50.0</v>
      </c>
      <c r="G675" s="7" t="s">
        <v>664</v>
      </c>
      <c r="H675" s="7"/>
      <c r="I675" s="7"/>
      <c r="J675" s="7">
        <v>166.0</v>
      </c>
      <c r="K675" s="7" t="s">
        <v>14042</v>
      </c>
      <c r="L675" s="7">
        <v>97430.0</v>
      </c>
      <c r="M675" s="7" t="s">
        <v>71</v>
      </c>
      <c r="N675" s="7"/>
      <c r="O675" s="7" t="s">
        <v>5104</v>
      </c>
      <c r="P675" s="42" t="s">
        <v>5097</v>
      </c>
      <c r="Q675" s="43" t="s">
        <v>19629</v>
      </c>
      <c r="R675" s="50"/>
      <c r="S675" s="51"/>
      <c r="T675" s="7" t="s">
        <v>5099</v>
      </c>
      <c r="U675" s="7" t="s">
        <v>5098</v>
      </c>
      <c r="V675" s="7" t="s">
        <v>5100</v>
      </c>
      <c r="W675" s="7" t="s">
        <v>4150</v>
      </c>
      <c r="X675" s="7" t="s">
        <v>5095</v>
      </c>
      <c r="Y675" s="7" t="s">
        <v>5096</v>
      </c>
      <c r="Z675" s="7" t="s">
        <v>424</v>
      </c>
      <c r="AA675" s="7"/>
      <c r="AB675" s="7"/>
      <c r="AC675" s="7">
        <v>8.3788800700023E13</v>
      </c>
      <c r="AD675" s="7">
        <v>8.37888007E8</v>
      </c>
      <c r="AE675" s="6" t="s">
        <v>12355</v>
      </c>
      <c r="AF675" s="45">
        <v>44710.757060185184</v>
      </c>
      <c r="AG675" s="7" t="s">
        <v>19630</v>
      </c>
      <c r="AH675" s="46" t="s">
        <v>19631</v>
      </c>
      <c r="AI675" s="7"/>
      <c r="AJ675" s="7"/>
      <c r="AK675" s="7" t="b">
        <v>0</v>
      </c>
      <c r="AL675" s="7" t="b">
        <v>0</v>
      </c>
      <c r="AM675" s="7"/>
      <c r="AN675" s="6" t="s">
        <v>5091</v>
      </c>
      <c r="AO675" s="6">
        <v>4926.0</v>
      </c>
      <c r="AP675" s="6"/>
      <c r="AQ675" s="6" t="b">
        <v>1</v>
      </c>
      <c r="AR675" s="6"/>
      <c r="AS675" s="6"/>
    </row>
    <row r="676" ht="15.75" customHeight="1">
      <c r="A676" s="7" t="s">
        <v>3721</v>
      </c>
      <c r="B676" s="7" t="s">
        <v>3722</v>
      </c>
      <c r="C676" s="7" t="s">
        <v>34</v>
      </c>
      <c r="D676" s="7" t="s">
        <v>622</v>
      </c>
      <c r="E676" s="7" t="s">
        <v>622</v>
      </c>
      <c r="F676" s="7"/>
      <c r="G676" s="7" t="s">
        <v>422</v>
      </c>
      <c r="H676" s="7"/>
      <c r="I676" s="7"/>
      <c r="J676" s="7">
        <v>185.0</v>
      </c>
      <c r="K676" s="6" t="s">
        <v>19632</v>
      </c>
      <c r="L676" s="7">
        <v>97418.0</v>
      </c>
      <c r="M676" s="7" t="s">
        <v>71</v>
      </c>
      <c r="N676" s="7" t="s">
        <v>216</v>
      </c>
      <c r="O676" s="6" t="s">
        <v>19633</v>
      </c>
      <c r="P676" s="53" t="s">
        <v>19634</v>
      </c>
      <c r="Q676" s="49" t="s">
        <v>19635</v>
      </c>
      <c r="R676" s="50"/>
      <c r="S676" s="51"/>
      <c r="T676" s="7"/>
      <c r="U676" s="6" t="s">
        <v>19636</v>
      </c>
      <c r="V676" s="6" t="s">
        <v>19637</v>
      </c>
      <c r="W676" s="7"/>
      <c r="X676" s="7" t="s">
        <v>3724</v>
      </c>
      <c r="Y676" s="7" t="s">
        <v>377</v>
      </c>
      <c r="Z676" s="7" t="s">
        <v>378</v>
      </c>
      <c r="AA676" s="7"/>
      <c r="AB676" s="7"/>
      <c r="AC676" s="7"/>
      <c r="AD676" s="7"/>
      <c r="AE676" s="7" t="s">
        <v>401</v>
      </c>
      <c r="AF676" s="45">
        <v>45377.54278935185</v>
      </c>
      <c r="AG676" s="7" t="s">
        <v>19638</v>
      </c>
      <c r="AH676" s="46" t="s">
        <v>19639</v>
      </c>
      <c r="AI676" s="7"/>
      <c r="AJ676" s="6" t="s">
        <v>19640</v>
      </c>
      <c r="AK676" s="7" t="b">
        <v>0</v>
      </c>
      <c r="AL676" s="7" t="b">
        <v>0</v>
      </c>
      <c r="AM676" s="7"/>
      <c r="AN676" s="6" t="s">
        <v>3721</v>
      </c>
      <c r="AO676" s="7"/>
      <c r="AP676" s="7"/>
      <c r="AQ676" s="6" t="b">
        <v>1</v>
      </c>
      <c r="AR676" s="6"/>
      <c r="AS676" s="48" t="s">
        <v>12303</v>
      </c>
    </row>
    <row r="677" ht="15.75" customHeight="1">
      <c r="A677" s="7" t="s">
        <v>1344</v>
      </c>
      <c r="B677" s="7" t="s">
        <v>1345</v>
      </c>
      <c r="C677" s="7" t="s">
        <v>34</v>
      </c>
      <c r="D677" s="7" t="s">
        <v>622</v>
      </c>
      <c r="E677" s="6" t="s">
        <v>18619</v>
      </c>
      <c r="F677" s="7">
        <v>30.0</v>
      </c>
      <c r="G677" s="7" t="s">
        <v>664</v>
      </c>
      <c r="H677" s="7"/>
      <c r="I677" s="7"/>
      <c r="J677" s="7">
        <v>212.0</v>
      </c>
      <c r="K677" s="7" t="s">
        <v>19641</v>
      </c>
      <c r="L677" s="7">
        <v>97430.0</v>
      </c>
      <c r="M677" s="7" t="s">
        <v>71</v>
      </c>
      <c r="N677" s="7"/>
      <c r="O677" s="6" t="s">
        <v>19642</v>
      </c>
      <c r="P677" s="42" t="s">
        <v>19643</v>
      </c>
      <c r="Q677" s="49" t="s">
        <v>19644</v>
      </c>
      <c r="R677" s="43" t="s">
        <v>19645</v>
      </c>
      <c r="S677" s="51"/>
      <c r="T677" s="6" t="s">
        <v>19646</v>
      </c>
      <c r="U677" s="6" t="s">
        <v>19647</v>
      </c>
      <c r="V677" s="7" t="s">
        <v>1350</v>
      </c>
      <c r="W677" s="7"/>
      <c r="X677" s="6" t="s">
        <v>19648</v>
      </c>
      <c r="Y677" s="7" t="s">
        <v>377</v>
      </c>
      <c r="Z677" s="7" t="s">
        <v>353</v>
      </c>
      <c r="AA677" s="7"/>
      <c r="AB677" s="7"/>
      <c r="AC677" s="7"/>
      <c r="AD677" s="7"/>
      <c r="AE677" s="6" t="s">
        <v>401</v>
      </c>
      <c r="AF677" s="45">
        <v>45379.65886574074</v>
      </c>
      <c r="AG677" s="7" t="s">
        <v>19649</v>
      </c>
      <c r="AH677" s="46" t="s">
        <v>19650</v>
      </c>
      <c r="AI677" s="7"/>
      <c r="AJ677" s="6" t="s">
        <v>19651</v>
      </c>
      <c r="AK677" s="6" t="b">
        <v>1</v>
      </c>
      <c r="AL677" s="7" t="b">
        <v>0</v>
      </c>
      <c r="AM677" s="7"/>
      <c r="AN677" s="6" t="s">
        <v>1344</v>
      </c>
      <c r="AO677" s="6">
        <v>1983.0</v>
      </c>
      <c r="AP677" s="6"/>
      <c r="AQ677" s="6" t="b">
        <v>1</v>
      </c>
      <c r="AR677" s="6"/>
      <c r="AS677" s="6"/>
    </row>
    <row r="678" ht="15.75" customHeight="1">
      <c r="A678" s="7" t="s">
        <v>1150</v>
      </c>
      <c r="B678" s="7" t="s">
        <v>19652</v>
      </c>
      <c r="C678" s="7" t="s">
        <v>34</v>
      </c>
      <c r="D678" s="7" t="s">
        <v>622</v>
      </c>
      <c r="E678" s="7" t="s">
        <v>1127</v>
      </c>
      <c r="F678" s="6">
        <v>150.0</v>
      </c>
      <c r="G678" s="7" t="s">
        <v>569</v>
      </c>
      <c r="H678" s="7"/>
      <c r="I678" s="7"/>
      <c r="J678" s="41" t="s">
        <v>19653</v>
      </c>
      <c r="K678" s="7" t="s">
        <v>19654</v>
      </c>
      <c r="L678" s="7">
        <v>97418.0</v>
      </c>
      <c r="M678" s="7" t="s">
        <v>71</v>
      </c>
      <c r="N678" s="7" t="s">
        <v>216</v>
      </c>
      <c r="O678" s="7" t="s">
        <v>1163</v>
      </c>
      <c r="P678" s="42" t="s">
        <v>1156</v>
      </c>
      <c r="Q678" s="49" t="s">
        <v>19655</v>
      </c>
      <c r="R678" s="50"/>
      <c r="S678" s="44" t="s">
        <v>19656</v>
      </c>
      <c r="T678" s="7" t="s">
        <v>1158</v>
      </c>
      <c r="U678" s="6" t="s">
        <v>19657</v>
      </c>
      <c r="V678" s="7" t="s">
        <v>1159</v>
      </c>
      <c r="W678" s="6" t="s">
        <v>13446</v>
      </c>
      <c r="X678" s="6" t="s">
        <v>19658</v>
      </c>
      <c r="Y678" s="7" t="s">
        <v>1155</v>
      </c>
      <c r="Z678" s="7" t="s">
        <v>592</v>
      </c>
      <c r="AA678" s="7"/>
      <c r="AB678" s="7"/>
      <c r="AC678" s="6">
        <v>3.8774311500017E13</v>
      </c>
      <c r="AD678" s="6">
        <v>3.87743115E8</v>
      </c>
      <c r="AE678" s="6" t="s">
        <v>401</v>
      </c>
      <c r="AF678" s="45">
        <v>45414.48724537037</v>
      </c>
      <c r="AG678" s="7" t="s">
        <v>19659</v>
      </c>
      <c r="AH678" s="46" t="s">
        <v>19660</v>
      </c>
      <c r="AI678" s="7"/>
      <c r="AJ678" s="6" t="s">
        <v>19661</v>
      </c>
      <c r="AK678" s="6" t="b">
        <v>1</v>
      </c>
      <c r="AL678" s="7" t="b">
        <v>0</v>
      </c>
      <c r="AM678" s="7"/>
      <c r="AN678" s="6" t="s">
        <v>1150</v>
      </c>
      <c r="AO678" s="6">
        <v>3839.0</v>
      </c>
      <c r="AP678" s="6"/>
      <c r="AQ678" s="6" t="b">
        <v>1</v>
      </c>
      <c r="AR678" s="6"/>
      <c r="AS678" s="48" t="s">
        <v>12303</v>
      </c>
    </row>
    <row r="679" ht="15.75" customHeight="1">
      <c r="A679" s="9" t="s">
        <v>11849</v>
      </c>
      <c r="B679" s="9" t="s">
        <v>19662</v>
      </c>
      <c r="C679" s="9" t="s">
        <v>34</v>
      </c>
      <c r="D679" s="9" t="s">
        <v>13467</v>
      </c>
      <c r="E679" s="9" t="s">
        <v>19663</v>
      </c>
      <c r="F679" s="9">
        <v>50.0</v>
      </c>
      <c r="I679" s="9" t="s">
        <v>597</v>
      </c>
      <c r="J679" s="52" t="s">
        <v>19664</v>
      </c>
      <c r="K679" s="9" t="s">
        <v>12631</v>
      </c>
      <c r="L679" s="9">
        <v>97430.0</v>
      </c>
      <c r="M679" s="9" t="s">
        <v>71</v>
      </c>
      <c r="O679" s="9" t="s">
        <v>19665</v>
      </c>
      <c r="P679" s="53" t="s">
        <v>19666</v>
      </c>
      <c r="Q679" s="49" t="s">
        <v>19667</v>
      </c>
      <c r="R679" s="50"/>
      <c r="S679" s="54"/>
      <c r="T679" s="9" t="s">
        <v>19668</v>
      </c>
      <c r="U679" s="9" t="s">
        <v>19669</v>
      </c>
      <c r="V679" s="9" t="s">
        <v>19670</v>
      </c>
      <c r="W679" s="9" t="s">
        <v>19671</v>
      </c>
      <c r="X679" s="9" t="s">
        <v>19672</v>
      </c>
      <c r="Y679" s="9" t="s">
        <v>2938</v>
      </c>
      <c r="Z679" s="9" t="s">
        <v>18011</v>
      </c>
      <c r="AC679" s="9">
        <v>8.8791965200024E13</v>
      </c>
      <c r="AD679" s="9">
        <v>8.87919652E8</v>
      </c>
      <c r="AE679" s="9" t="s">
        <v>401</v>
      </c>
      <c r="AF679" s="60">
        <v>45379.56884259259</v>
      </c>
      <c r="AG679" s="9" t="s">
        <v>19673</v>
      </c>
      <c r="AH679" s="9" t="s">
        <v>19674</v>
      </c>
      <c r="AJ679" s="9" t="s">
        <v>19675</v>
      </c>
      <c r="AK679" s="9" t="b">
        <v>1</v>
      </c>
      <c r="AL679" s="9" t="b">
        <v>0</v>
      </c>
      <c r="AN679" s="9" t="s">
        <v>11849</v>
      </c>
      <c r="AP679" s="61">
        <v>44547.0</v>
      </c>
      <c r="AQ679" s="9" t="b">
        <v>1</v>
      </c>
      <c r="AR679" s="9" t="s">
        <v>19676</v>
      </c>
      <c r="AS679" s="9"/>
    </row>
    <row r="680" ht="15.75" customHeight="1">
      <c r="A680" s="9" t="s">
        <v>10217</v>
      </c>
      <c r="B680" s="9" t="s">
        <v>19677</v>
      </c>
      <c r="C680" s="9" t="s">
        <v>34</v>
      </c>
      <c r="D680" s="9" t="s">
        <v>678</v>
      </c>
      <c r="E680" s="9" t="s">
        <v>5053</v>
      </c>
      <c r="J680" s="52" t="s">
        <v>15167</v>
      </c>
      <c r="K680" s="9" t="s">
        <v>17258</v>
      </c>
      <c r="L680" s="9">
        <v>97418.0</v>
      </c>
      <c r="M680" s="9" t="s">
        <v>71</v>
      </c>
      <c r="N680" s="9" t="s">
        <v>13219</v>
      </c>
      <c r="O680" s="9" t="s">
        <v>19678</v>
      </c>
      <c r="P680" s="53" t="s">
        <v>19679</v>
      </c>
      <c r="Q680" s="49" t="s">
        <v>15661</v>
      </c>
      <c r="R680" s="50"/>
      <c r="S680" s="54" t="s">
        <v>19680</v>
      </c>
      <c r="T680" s="9" t="s">
        <v>19681</v>
      </c>
      <c r="W680" s="9" t="s">
        <v>19682</v>
      </c>
      <c r="Z680" s="9" t="s">
        <v>5902</v>
      </c>
      <c r="AE680" s="9" t="s">
        <v>12355</v>
      </c>
      <c r="AF680" s="55">
        <v>44708.570393518516</v>
      </c>
      <c r="AG680" s="9" t="s">
        <v>15666</v>
      </c>
      <c r="AH680" s="9" t="s">
        <v>19683</v>
      </c>
      <c r="AN680" s="9" t="s">
        <v>10217</v>
      </c>
      <c r="AP680" s="56">
        <v>44407.0</v>
      </c>
      <c r="AQ680" s="6" t="b">
        <v>0</v>
      </c>
      <c r="AR680" s="6"/>
      <c r="AS680" s="48" t="s">
        <v>12303</v>
      </c>
    </row>
    <row r="681" ht="15.75" customHeight="1">
      <c r="A681" s="7" t="s">
        <v>4758</v>
      </c>
      <c r="B681" s="7" t="s">
        <v>19684</v>
      </c>
      <c r="C681" s="7" t="s">
        <v>34</v>
      </c>
      <c r="D681" s="6" t="s">
        <v>13467</v>
      </c>
      <c r="E681" s="6" t="s">
        <v>13522</v>
      </c>
      <c r="F681" s="7">
        <v>30.0</v>
      </c>
      <c r="G681" s="7" t="s">
        <v>664</v>
      </c>
      <c r="H681" s="7"/>
      <c r="I681" s="7"/>
      <c r="J681" s="7">
        <v>120.0</v>
      </c>
      <c r="K681" s="7" t="s">
        <v>14042</v>
      </c>
      <c r="L681" s="7">
        <v>97430.0</v>
      </c>
      <c r="M681" s="7" t="s">
        <v>71</v>
      </c>
      <c r="N681" s="7"/>
      <c r="O681" s="6" t="s">
        <v>19685</v>
      </c>
      <c r="P681" s="53" t="s">
        <v>19686</v>
      </c>
      <c r="Q681" s="43" t="s">
        <v>19687</v>
      </c>
      <c r="R681" s="43" t="s">
        <v>19688</v>
      </c>
      <c r="S681" s="47" t="s">
        <v>4762</v>
      </c>
      <c r="T681" s="7" t="s">
        <v>4768</v>
      </c>
      <c r="U681" s="7" t="s">
        <v>4767</v>
      </c>
      <c r="V681" s="7" t="s">
        <v>4769</v>
      </c>
      <c r="W681" s="7"/>
      <c r="X681" s="6" t="s">
        <v>19689</v>
      </c>
      <c r="Y681" s="7" t="s">
        <v>1612</v>
      </c>
      <c r="Z681" s="7" t="s">
        <v>1508</v>
      </c>
      <c r="AA681" s="7"/>
      <c r="AB681" s="7"/>
      <c r="AC681" s="7">
        <v>4.5122636100018E13</v>
      </c>
      <c r="AD681" s="7">
        <v>4.51226361E8</v>
      </c>
      <c r="AE681" s="6" t="s">
        <v>401</v>
      </c>
      <c r="AF681" s="45">
        <v>45379.54993055556</v>
      </c>
      <c r="AG681" s="7" t="s">
        <v>19690</v>
      </c>
      <c r="AH681" s="46" t="s">
        <v>19691</v>
      </c>
      <c r="AI681" s="7"/>
      <c r="AJ681" s="6" t="s">
        <v>19692</v>
      </c>
      <c r="AK681" s="6" t="b">
        <v>1</v>
      </c>
      <c r="AL681" s="7" t="b">
        <v>0</v>
      </c>
      <c r="AM681" s="7"/>
      <c r="AN681" s="6" t="s">
        <v>4758</v>
      </c>
      <c r="AO681" s="6">
        <v>990.0</v>
      </c>
      <c r="AP681" s="6"/>
      <c r="AQ681" s="6" t="b">
        <v>1</v>
      </c>
      <c r="AR681" s="6"/>
      <c r="AS681" s="6"/>
    </row>
    <row r="682" ht="15.75" customHeight="1">
      <c r="A682" s="7" t="s">
        <v>2471</v>
      </c>
      <c r="B682" s="7" t="s">
        <v>2472</v>
      </c>
      <c r="C682" s="7" t="s">
        <v>34</v>
      </c>
      <c r="D682" s="7" t="s">
        <v>622</v>
      </c>
      <c r="E682" s="7" t="s">
        <v>622</v>
      </c>
      <c r="F682" s="7">
        <v>50.0</v>
      </c>
      <c r="G682" s="7" t="s">
        <v>2474</v>
      </c>
      <c r="H682" s="7"/>
      <c r="I682" s="7"/>
      <c r="J682" s="7">
        <v>182.0</v>
      </c>
      <c r="K682" s="7" t="s">
        <v>18355</v>
      </c>
      <c r="L682" s="7">
        <v>97418.0</v>
      </c>
      <c r="M682" s="7" t="s">
        <v>71</v>
      </c>
      <c r="N682" s="7" t="s">
        <v>216</v>
      </c>
      <c r="O682" s="6" t="s">
        <v>19693</v>
      </c>
      <c r="P682" s="42" t="s">
        <v>2475</v>
      </c>
      <c r="Q682" s="49" t="s">
        <v>19694</v>
      </c>
      <c r="R682" s="43" t="s">
        <v>19695</v>
      </c>
      <c r="S682" s="51"/>
      <c r="T682" s="7" t="s">
        <v>2477</v>
      </c>
      <c r="U682" s="7" t="s">
        <v>2476</v>
      </c>
      <c r="V682" s="6" t="s">
        <v>19696</v>
      </c>
      <c r="W682" s="7"/>
      <c r="X682" s="6" t="s">
        <v>19697</v>
      </c>
      <c r="Y682" s="7" t="s">
        <v>974</v>
      </c>
      <c r="Z682" s="7" t="s">
        <v>353</v>
      </c>
      <c r="AA682" s="7"/>
      <c r="AB682" s="7"/>
      <c r="AC682" s="7">
        <v>8.132416430001E13</v>
      </c>
      <c r="AD682" s="7">
        <v>8.13241643E8</v>
      </c>
      <c r="AE682" s="6" t="s">
        <v>401</v>
      </c>
      <c r="AF682" s="45">
        <v>45379.48914351852</v>
      </c>
      <c r="AG682" s="7" t="s">
        <v>19698</v>
      </c>
      <c r="AH682" s="46" t="s">
        <v>19699</v>
      </c>
      <c r="AI682" s="7"/>
      <c r="AJ682" s="6" t="s">
        <v>19700</v>
      </c>
      <c r="AK682" s="6" t="b">
        <v>1</v>
      </c>
      <c r="AL682" s="7" t="b">
        <v>0</v>
      </c>
      <c r="AM682" s="7"/>
      <c r="AN682" s="6" t="s">
        <v>2471</v>
      </c>
      <c r="AO682" s="6">
        <v>4158.0</v>
      </c>
      <c r="AP682" s="6"/>
      <c r="AQ682" s="6" t="b">
        <v>1</v>
      </c>
      <c r="AR682" s="6"/>
      <c r="AS682" s="48" t="s">
        <v>12303</v>
      </c>
    </row>
    <row r="683" ht="15.75" customHeight="1">
      <c r="A683" s="7" t="s">
        <v>931</v>
      </c>
      <c r="B683" s="7" t="s">
        <v>932</v>
      </c>
      <c r="C683" s="7" t="s">
        <v>34</v>
      </c>
      <c r="D683" s="7" t="s">
        <v>622</v>
      </c>
      <c r="E683" s="7" t="s">
        <v>622</v>
      </c>
      <c r="F683" s="6">
        <v>20.0</v>
      </c>
      <c r="G683" s="6" t="s">
        <v>455</v>
      </c>
      <c r="H683" s="7"/>
      <c r="I683" s="7"/>
      <c r="J683" s="7">
        <v>20.0</v>
      </c>
      <c r="K683" s="7" t="s">
        <v>12779</v>
      </c>
      <c r="L683" s="7">
        <v>97430.0</v>
      </c>
      <c r="M683" s="7" t="s">
        <v>71</v>
      </c>
      <c r="N683" s="6" t="s">
        <v>12698</v>
      </c>
      <c r="O683" s="6" t="s">
        <v>19701</v>
      </c>
      <c r="P683" s="42" t="s">
        <v>19702</v>
      </c>
      <c r="Q683" s="49" t="s">
        <v>19703</v>
      </c>
      <c r="R683" s="50"/>
      <c r="S683" s="72"/>
      <c r="T683" s="7" t="s">
        <v>935</v>
      </c>
      <c r="U683" s="6" t="s">
        <v>19704</v>
      </c>
      <c r="V683" s="6" t="s">
        <v>19705</v>
      </c>
      <c r="W683" s="6" t="s">
        <v>13515</v>
      </c>
      <c r="X683" s="6" t="s">
        <v>19706</v>
      </c>
      <c r="Y683" s="6" t="s">
        <v>19707</v>
      </c>
      <c r="Z683" s="6" t="s">
        <v>353</v>
      </c>
      <c r="AA683" s="7"/>
      <c r="AB683" s="7"/>
      <c r="AC683" s="7">
        <v>8.2211957400017E13</v>
      </c>
      <c r="AD683" s="7">
        <v>8.22119574E8</v>
      </c>
      <c r="AE683" s="6" t="s">
        <v>401</v>
      </c>
      <c r="AF683" s="45">
        <v>45485.59707175926</v>
      </c>
      <c r="AG683" s="7" t="s">
        <v>19708</v>
      </c>
      <c r="AH683" s="46" t="s">
        <v>19709</v>
      </c>
      <c r="AI683" s="7"/>
      <c r="AJ683" s="6" t="s">
        <v>19710</v>
      </c>
      <c r="AK683" s="6" t="b">
        <v>1</v>
      </c>
      <c r="AL683" s="7" t="b">
        <v>0</v>
      </c>
      <c r="AM683" s="7"/>
      <c r="AN683" s="6" t="s">
        <v>931</v>
      </c>
      <c r="AO683" s="6">
        <v>4688.0</v>
      </c>
      <c r="AP683" s="6"/>
      <c r="AQ683" s="6" t="b">
        <v>1</v>
      </c>
      <c r="AR683" s="6"/>
      <c r="AS683" s="6"/>
    </row>
    <row r="684" ht="15.75" customHeight="1">
      <c r="A684" s="7" t="s">
        <v>9147</v>
      </c>
      <c r="B684" s="7" t="s">
        <v>9148</v>
      </c>
      <c r="C684" s="7" t="s">
        <v>34</v>
      </c>
      <c r="D684" s="6" t="s">
        <v>622</v>
      </c>
      <c r="E684" s="7"/>
      <c r="F684" s="7"/>
      <c r="G684" s="7"/>
      <c r="H684" s="7"/>
      <c r="I684" s="7"/>
      <c r="J684" s="7">
        <v>120.0</v>
      </c>
      <c r="K684" s="7" t="s">
        <v>14042</v>
      </c>
      <c r="L684" s="7">
        <v>97430.0</v>
      </c>
      <c r="M684" s="7" t="s">
        <v>71</v>
      </c>
      <c r="N684" s="7"/>
      <c r="O684" s="6" t="s">
        <v>19711</v>
      </c>
      <c r="P684" s="42" t="s">
        <v>19712</v>
      </c>
      <c r="Q684" s="43" t="s">
        <v>19713</v>
      </c>
      <c r="R684" s="43" t="s">
        <v>19714</v>
      </c>
      <c r="S684" s="51"/>
      <c r="T684" s="7"/>
      <c r="U684" s="6" t="s">
        <v>19715</v>
      </c>
      <c r="V684" s="6" t="s">
        <v>19716</v>
      </c>
      <c r="W684" s="7"/>
      <c r="X684" s="6" t="s">
        <v>19717</v>
      </c>
      <c r="Y684" s="7"/>
      <c r="Z684" s="7"/>
      <c r="AA684" s="7"/>
      <c r="AB684" s="7"/>
      <c r="AC684" s="6">
        <v>8.2266174000016E13</v>
      </c>
      <c r="AD684" s="6">
        <v>8.2266174E8</v>
      </c>
      <c r="AE684" s="6" t="s">
        <v>401</v>
      </c>
      <c r="AF684" s="45">
        <v>45377.65106481482</v>
      </c>
      <c r="AG684" s="7" t="s">
        <v>19718</v>
      </c>
      <c r="AH684" s="46" t="s">
        <v>19719</v>
      </c>
      <c r="AI684" s="7"/>
      <c r="AJ684" s="6" t="s">
        <v>19720</v>
      </c>
      <c r="AK684" s="7" t="b">
        <v>0</v>
      </c>
      <c r="AL684" s="7" t="b">
        <v>0</v>
      </c>
      <c r="AM684" s="7"/>
      <c r="AN684" s="6" t="s">
        <v>9147</v>
      </c>
      <c r="AO684" s="6">
        <v>987.0</v>
      </c>
      <c r="AP684" s="6"/>
      <c r="AQ684" s="6" t="b">
        <v>1</v>
      </c>
      <c r="AR684" s="6"/>
      <c r="AS684" s="6"/>
    </row>
    <row r="685" ht="15.75" customHeight="1">
      <c r="A685" s="7" t="s">
        <v>1307</v>
      </c>
      <c r="B685" s="6" t="s">
        <v>19721</v>
      </c>
      <c r="C685" s="6" t="s">
        <v>117</v>
      </c>
      <c r="D685" s="7" t="s">
        <v>197</v>
      </c>
      <c r="E685" s="7" t="s">
        <v>559</v>
      </c>
      <c r="F685" s="6">
        <v>15.0</v>
      </c>
      <c r="G685" s="7" t="s">
        <v>407</v>
      </c>
      <c r="H685" s="7"/>
      <c r="I685" s="7"/>
      <c r="J685" s="7">
        <v>61.0</v>
      </c>
      <c r="K685" s="7" t="s">
        <v>19091</v>
      </c>
      <c r="L685" s="7">
        <v>97414.0</v>
      </c>
      <c r="M685" s="7" t="s">
        <v>40</v>
      </c>
      <c r="N685" s="7"/>
      <c r="O685" s="6" t="s">
        <v>19722</v>
      </c>
      <c r="P685" s="42" t="s">
        <v>1311</v>
      </c>
      <c r="Q685" s="43" t="s">
        <v>19723</v>
      </c>
      <c r="R685" s="50"/>
      <c r="S685" s="51"/>
      <c r="T685" s="7" t="s">
        <v>1313</v>
      </c>
      <c r="U685" s="7" t="s">
        <v>1312</v>
      </c>
      <c r="V685" s="7" t="s">
        <v>1314</v>
      </c>
      <c r="W685" s="6" t="s">
        <v>19724</v>
      </c>
      <c r="X685" s="7"/>
      <c r="Y685" s="7" t="s">
        <v>377</v>
      </c>
      <c r="Z685" s="7" t="s">
        <v>378</v>
      </c>
      <c r="AA685" s="7"/>
      <c r="AB685" s="7"/>
      <c r="AC685" s="6">
        <v>4.4096188600056E13</v>
      </c>
      <c r="AD685" s="6">
        <v>4.40961886E8</v>
      </c>
      <c r="AE685" s="6" t="s">
        <v>401</v>
      </c>
      <c r="AF685" s="45">
        <v>45985.438680555555</v>
      </c>
      <c r="AG685" s="7" t="s">
        <v>19725</v>
      </c>
      <c r="AH685" s="46" t="s">
        <v>19726</v>
      </c>
      <c r="AI685" s="7"/>
      <c r="AJ685" s="6" t="s">
        <v>19727</v>
      </c>
      <c r="AK685" s="6" t="b">
        <v>1</v>
      </c>
      <c r="AL685" s="6" t="b">
        <v>1</v>
      </c>
      <c r="AM685" s="7"/>
      <c r="AN685" s="6" t="s">
        <v>1307</v>
      </c>
      <c r="AO685" s="6">
        <v>1925.0</v>
      </c>
      <c r="AP685" s="6"/>
      <c r="AQ685" s="6" t="b">
        <v>1</v>
      </c>
      <c r="AR685" s="6"/>
      <c r="AS685" s="48" t="s">
        <v>12303</v>
      </c>
    </row>
    <row r="686" ht="15.75" customHeight="1">
      <c r="A686" s="6" t="s">
        <v>10223</v>
      </c>
      <c r="B686" s="6" t="s">
        <v>19728</v>
      </c>
      <c r="C686" s="7"/>
      <c r="D686" s="7"/>
      <c r="E686" s="7"/>
      <c r="F686" s="7"/>
      <c r="G686" s="7"/>
      <c r="H686" s="7"/>
      <c r="I686" s="7"/>
      <c r="J686" s="7"/>
      <c r="K686" s="7"/>
      <c r="L686" s="7"/>
      <c r="M686" s="6" t="s">
        <v>19729</v>
      </c>
      <c r="N686" s="7"/>
      <c r="O686" s="6"/>
      <c r="P686" s="42"/>
      <c r="Q686" s="43"/>
      <c r="R686" s="50"/>
      <c r="S686" s="51"/>
      <c r="T686" s="7"/>
      <c r="U686" s="7"/>
      <c r="V686" s="7"/>
      <c r="W686" s="7"/>
      <c r="X686" s="7"/>
      <c r="Y686" s="7"/>
      <c r="Z686" s="7"/>
      <c r="AA686" s="7"/>
      <c r="AB686" s="7"/>
      <c r="AC686" s="7"/>
      <c r="AD686" s="7"/>
      <c r="AE686" s="6" t="s">
        <v>12355</v>
      </c>
      <c r="AF686" s="45">
        <v>44698.52001157407</v>
      </c>
      <c r="AG686" s="7"/>
      <c r="AH686" s="73" t="s">
        <v>19730</v>
      </c>
      <c r="AI686" s="7"/>
      <c r="AJ686" s="7"/>
      <c r="AK686" s="7"/>
      <c r="AL686" s="7"/>
      <c r="AM686" s="6"/>
      <c r="AN686" s="6" t="s">
        <v>10223</v>
      </c>
      <c r="AO686" s="7"/>
      <c r="AP686" s="65">
        <v>30811.0</v>
      </c>
      <c r="AQ686" s="6"/>
      <c r="AR686" s="6" t="s">
        <v>19731</v>
      </c>
      <c r="AS686" s="6"/>
    </row>
    <row r="687" ht="15.75" customHeight="1">
      <c r="A687" s="7" t="s">
        <v>8965</v>
      </c>
      <c r="B687" s="7" t="s">
        <v>8966</v>
      </c>
      <c r="C687" s="6" t="s">
        <v>117</v>
      </c>
      <c r="D687" s="7" t="s">
        <v>197</v>
      </c>
      <c r="E687" s="7" t="s">
        <v>559</v>
      </c>
      <c r="F687" s="7"/>
      <c r="G687" s="7" t="s">
        <v>422</v>
      </c>
      <c r="H687" s="7"/>
      <c r="I687" s="7"/>
      <c r="J687" s="41" t="s">
        <v>19732</v>
      </c>
      <c r="K687" s="6" t="s">
        <v>19733</v>
      </c>
      <c r="L687" s="7">
        <v>97414.0</v>
      </c>
      <c r="M687" s="7" t="s">
        <v>40</v>
      </c>
      <c r="N687" s="7"/>
      <c r="O687" s="6" t="s">
        <v>19734</v>
      </c>
      <c r="P687" s="42" t="s">
        <v>8968</v>
      </c>
      <c r="Q687" s="43" t="s">
        <v>19735</v>
      </c>
      <c r="R687" s="50"/>
      <c r="S687" s="51"/>
      <c r="T687" s="7" t="s">
        <v>8969</v>
      </c>
      <c r="U687" s="7"/>
      <c r="V687" s="7"/>
      <c r="W687" s="7"/>
      <c r="X687" s="7"/>
      <c r="Y687" s="7" t="s">
        <v>377</v>
      </c>
      <c r="Z687" s="7"/>
      <c r="AA687" s="7"/>
      <c r="AB687" s="7"/>
      <c r="AC687" s="6">
        <v>3.8032326100012E13</v>
      </c>
      <c r="AD687" s="6">
        <v>3.80323261E8</v>
      </c>
      <c r="AE687" s="6" t="s">
        <v>401</v>
      </c>
      <c r="AF687" s="45">
        <v>45985.440034722225</v>
      </c>
      <c r="AG687" s="7" t="s">
        <v>19736</v>
      </c>
      <c r="AH687" s="46" t="s">
        <v>19737</v>
      </c>
      <c r="AI687" s="7"/>
      <c r="AJ687" s="6" t="s">
        <v>19738</v>
      </c>
      <c r="AK687" s="7" t="b">
        <v>0</v>
      </c>
      <c r="AL687" s="7" t="b">
        <v>0</v>
      </c>
      <c r="AM687" s="7"/>
      <c r="AN687" s="6" t="s">
        <v>8965</v>
      </c>
      <c r="AO687" s="7"/>
      <c r="AP687" s="7"/>
      <c r="AQ687" s="6" t="b">
        <v>1</v>
      </c>
      <c r="AR687" s="6"/>
      <c r="AS687" s="48" t="s">
        <v>12303</v>
      </c>
    </row>
    <row r="688" ht="15.75" customHeight="1">
      <c r="A688" s="7" t="s">
        <v>1166</v>
      </c>
      <c r="B688" s="7" t="s">
        <v>19652</v>
      </c>
      <c r="C688" s="7" t="s">
        <v>58</v>
      </c>
      <c r="D688" s="7" t="s">
        <v>1141</v>
      </c>
      <c r="E688" s="7" t="s">
        <v>1141</v>
      </c>
      <c r="F688" s="7">
        <v>23.0</v>
      </c>
      <c r="G688" s="7" t="s">
        <v>569</v>
      </c>
      <c r="H688" s="7"/>
      <c r="I688" s="7"/>
      <c r="J688" s="7">
        <v>213.0</v>
      </c>
      <c r="K688" s="7" t="s">
        <v>19654</v>
      </c>
      <c r="L688" s="7">
        <v>97418.0</v>
      </c>
      <c r="M688" s="7" t="s">
        <v>71</v>
      </c>
      <c r="N688" s="7" t="s">
        <v>216</v>
      </c>
      <c r="O688" s="7" t="s">
        <v>1163</v>
      </c>
      <c r="P688" s="42" t="s">
        <v>1156</v>
      </c>
      <c r="Q688" s="49" t="s">
        <v>19655</v>
      </c>
      <c r="R688" s="50"/>
      <c r="S688" s="51"/>
      <c r="T688" s="6" t="s">
        <v>19739</v>
      </c>
      <c r="U688" s="7" t="s">
        <v>1170</v>
      </c>
      <c r="V688" s="7" t="s">
        <v>1172</v>
      </c>
      <c r="W688" s="6" t="s">
        <v>19740</v>
      </c>
      <c r="X688" s="7" t="s">
        <v>1094</v>
      </c>
      <c r="Y688" s="7" t="s">
        <v>1155</v>
      </c>
      <c r="Z688" s="7" t="s">
        <v>592</v>
      </c>
      <c r="AA688" s="7"/>
      <c r="AB688" s="7"/>
      <c r="AC688" s="6">
        <v>3.8774311500017E13</v>
      </c>
      <c r="AD688" s="6">
        <v>3.87743115E8</v>
      </c>
      <c r="AE688" s="6" t="s">
        <v>401</v>
      </c>
      <c r="AF688" s="45">
        <v>45425.61548611111</v>
      </c>
      <c r="AG688" s="7" t="s">
        <v>19659</v>
      </c>
      <c r="AH688" s="46" t="s">
        <v>19741</v>
      </c>
      <c r="AI688" s="7"/>
      <c r="AJ688" s="7"/>
      <c r="AK688" s="7" t="b">
        <v>0</v>
      </c>
      <c r="AL688" s="7" t="b">
        <v>0</v>
      </c>
      <c r="AM688" s="6" t="s">
        <v>1174</v>
      </c>
      <c r="AN688" s="6" t="s">
        <v>1166</v>
      </c>
      <c r="AO688" s="6">
        <v>1518.0</v>
      </c>
      <c r="AP688" s="6"/>
      <c r="AQ688" s="6" t="b">
        <v>1</v>
      </c>
      <c r="AR688" s="6" t="s">
        <v>19742</v>
      </c>
      <c r="AS688" s="48" t="s">
        <v>12303</v>
      </c>
    </row>
    <row r="689" ht="15.75" customHeight="1">
      <c r="A689" s="7" t="s">
        <v>9583</v>
      </c>
      <c r="B689" s="6" t="s">
        <v>19743</v>
      </c>
      <c r="C689" s="6" t="s">
        <v>117</v>
      </c>
      <c r="D689" s="6" t="s">
        <v>470</v>
      </c>
      <c r="E689" s="6" t="s">
        <v>6177</v>
      </c>
      <c r="F689" s="6">
        <v>35.0</v>
      </c>
      <c r="G689" s="7"/>
      <c r="H689" s="7"/>
      <c r="I689" s="7"/>
      <c r="J689" s="41" t="s">
        <v>13538</v>
      </c>
      <c r="K689" s="6" t="s">
        <v>19744</v>
      </c>
      <c r="L689" s="7">
        <v>97480.0</v>
      </c>
      <c r="M689" s="7" t="s">
        <v>123</v>
      </c>
      <c r="N689" s="6" t="s">
        <v>9209</v>
      </c>
      <c r="O689" s="6" t="s">
        <v>19745</v>
      </c>
      <c r="P689" s="42" t="s">
        <v>9586</v>
      </c>
      <c r="Q689" s="43" t="s">
        <v>19746</v>
      </c>
      <c r="R689" s="50"/>
      <c r="S689" s="51" t="s">
        <v>19747</v>
      </c>
      <c r="T689" s="6" t="s">
        <v>19748</v>
      </c>
      <c r="U689" s="6" t="s">
        <v>19749</v>
      </c>
      <c r="V689" s="6" t="s">
        <v>19750</v>
      </c>
      <c r="W689" s="6" t="s">
        <v>19751</v>
      </c>
      <c r="X689" s="6" t="s">
        <v>19752</v>
      </c>
      <c r="Y689" s="6" t="s">
        <v>499</v>
      </c>
      <c r="Z689" s="6" t="s">
        <v>18011</v>
      </c>
      <c r="AA689" s="7"/>
      <c r="AB689" s="7"/>
      <c r="AC689" s="6">
        <v>8.1403920200019E13</v>
      </c>
      <c r="AD689" s="6">
        <v>8.14039202E8</v>
      </c>
      <c r="AE689" s="6" t="s">
        <v>401</v>
      </c>
      <c r="AF689" s="45">
        <v>44691.46969907408</v>
      </c>
      <c r="AG689" s="7" t="s">
        <v>19753</v>
      </c>
      <c r="AH689" s="46" t="s">
        <v>19754</v>
      </c>
      <c r="AI689" s="7"/>
      <c r="AJ689" s="6" t="s">
        <v>19755</v>
      </c>
      <c r="AK689" s="7" t="b">
        <v>0</v>
      </c>
      <c r="AL689" s="7" t="b">
        <v>0</v>
      </c>
      <c r="AM689" s="7"/>
      <c r="AN689" s="6" t="s">
        <v>9583</v>
      </c>
      <c r="AO689" s="7"/>
      <c r="AP689" s="7"/>
      <c r="AQ689" s="6" t="b">
        <v>0</v>
      </c>
      <c r="AR689" s="6" t="s">
        <v>19756</v>
      </c>
      <c r="AS689" s="6"/>
    </row>
    <row r="690" ht="15.75" customHeight="1">
      <c r="A690" s="7" t="s">
        <v>5718</v>
      </c>
      <c r="B690" s="7" t="s">
        <v>5719</v>
      </c>
      <c r="C690" s="6" t="s">
        <v>117</v>
      </c>
      <c r="D690" s="7" t="s">
        <v>197</v>
      </c>
      <c r="E690" s="7" t="s">
        <v>559</v>
      </c>
      <c r="F690" s="7">
        <v>15.0</v>
      </c>
      <c r="G690" s="7" t="s">
        <v>407</v>
      </c>
      <c r="H690" s="7"/>
      <c r="I690" s="7"/>
      <c r="J690" s="7"/>
      <c r="K690" s="7" t="s">
        <v>40</v>
      </c>
      <c r="L690" s="7">
        <v>97414.0</v>
      </c>
      <c r="M690" s="7" t="s">
        <v>40</v>
      </c>
      <c r="N690" s="7"/>
      <c r="O690" s="6" t="s">
        <v>19757</v>
      </c>
      <c r="P690" s="53" t="s">
        <v>19758</v>
      </c>
      <c r="Q690" s="43" t="s">
        <v>19759</v>
      </c>
      <c r="R690" s="50"/>
      <c r="S690" s="51"/>
      <c r="T690" s="7" t="s">
        <v>5722</v>
      </c>
      <c r="U690" s="7"/>
      <c r="V690" s="7" t="s">
        <v>5723</v>
      </c>
      <c r="W690" s="7"/>
      <c r="X690" s="7"/>
      <c r="Y690" s="7" t="s">
        <v>377</v>
      </c>
      <c r="Z690" s="7" t="s">
        <v>424</v>
      </c>
      <c r="AA690" s="7"/>
      <c r="AB690" s="7"/>
      <c r="AC690" s="7">
        <v>5.0180726700015E13</v>
      </c>
      <c r="AD690" s="7">
        <v>5.01807267E8</v>
      </c>
      <c r="AE690" s="6" t="s">
        <v>401</v>
      </c>
      <c r="AF690" s="45">
        <v>44691.46604166667</v>
      </c>
      <c r="AG690" s="7" t="s">
        <v>19760</v>
      </c>
      <c r="AH690" s="46" t="s">
        <v>19761</v>
      </c>
      <c r="AI690" s="7"/>
      <c r="AJ690" s="6" t="s">
        <v>19762</v>
      </c>
      <c r="AK690" s="7" t="b">
        <v>0</v>
      </c>
      <c r="AL690" s="7" t="b">
        <v>0</v>
      </c>
      <c r="AM690" s="7"/>
      <c r="AN690" s="6" t="s">
        <v>5718</v>
      </c>
      <c r="AO690" s="6">
        <v>2588.0</v>
      </c>
      <c r="AP690" s="6"/>
      <c r="AQ690" s="6" t="b">
        <v>1</v>
      </c>
      <c r="AR690" s="6"/>
      <c r="AS690" s="48" t="s">
        <v>12303</v>
      </c>
    </row>
    <row r="691" ht="15.75" customHeight="1">
      <c r="A691" s="9" t="s">
        <v>11851</v>
      </c>
      <c r="B691" s="9" t="s">
        <v>19763</v>
      </c>
      <c r="C691" s="9" t="s">
        <v>58</v>
      </c>
      <c r="D691" s="9" t="s">
        <v>59</v>
      </c>
      <c r="E691" s="9" t="s">
        <v>346</v>
      </c>
      <c r="F691" s="9">
        <v>8.0</v>
      </c>
      <c r="J691" s="52" t="s">
        <v>19764</v>
      </c>
      <c r="K691" s="9" t="s">
        <v>19765</v>
      </c>
      <c r="L691" s="9">
        <v>97480.0</v>
      </c>
      <c r="M691" s="9" t="s">
        <v>123</v>
      </c>
      <c r="O691" s="9" t="s">
        <v>19766</v>
      </c>
      <c r="P691" s="53" t="s">
        <v>19767</v>
      </c>
      <c r="Q691" s="49" t="s">
        <v>19768</v>
      </c>
      <c r="R691" s="50"/>
      <c r="S691" s="54"/>
      <c r="T691" s="9" t="s">
        <v>19769</v>
      </c>
      <c r="U691" s="9" t="s">
        <v>19770</v>
      </c>
      <c r="V691" s="9" t="s">
        <v>19771</v>
      </c>
      <c r="Y691" s="9" t="s">
        <v>499</v>
      </c>
      <c r="Z691" s="9" t="s">
        <v>424</v>
      </c>
      <c r="AC691" s="9">
        <v>9.9185184100015E13</v>
      </c>
      <c r="AD691" s="9">
        <v>9.91851841E8</v>
      </c>
      <c r="AE691" s="9" t="s">
        <v>401</v>
      </c>
      <c r="AF691" s="55">
        <v>45995.4065625</v>
      </c>
      <c r="AG691" s="9" t="s">
        <v>19772</v>
      </c>
      <c r="AH691" s="9" t="s">
        <v>19773</v>
      </c>
      <c r="AJ691" s="9" t="s">
        <v>19774</v>
      </c>
      <c r="AK691" s="9" t="b">
        <v>0</v>
      </c>
      <c r="AL691" s="9" t="b">
        <v>0</v>
      </c>
      <c r="AM691" s="9" t="s">
        <v>19775</v>
      </c>
      <c r="AN691" s="9" t="s">
        <v>11851</v>
      </c>
      <c r="AP691" s="56">
        <v>44601.0</v>
      </c>
      <c r="AQ691" s="9" t="b">
        <v>0</v>
      </c>
      <c r="AR691" s="9" t="s">
        <v>19776</v>
      </c>
      <c r="AS691" s="9"/>
    </row>
    <row r="692" ht="15.75" customHeight="1">
      <c r="A692" s="7" t="s">
        <v>8711</v>
      </c>
      <c r="B692" s="7" t="s">
        <v>19777</v>
      </c>
      <c r="C692" s="7" t="s">
        <v>58</v>
      </c>
      <c r="D692" s="7" t="s">
        <v>59</v>
      </c>
      <c r="E692" s="7"/>
      <c r="F692" s="7">
        <v>4.0</v>
      </c>
      <c r="G692" s="7"/>
      <c r="H692" s="7"/>
      <c r="I692" s="7"/>
      <c r="J692" s="7">
        <v>10.0</v>
      </c>
      <c r="K692" s="7" t="s">
        <v>19778</v>
      </c>
      <c r="L692" s="7">
        <v>97480.0</v>
      </c>
      <c r="M692" s="7" t="s">
        <v>123</v>
      </c>
      <c r="N692" s="7"/>
      <c r="O692" s="6" t="s">
        <v>19779</v>
      </c>
      <c r="P692" s="42" t="s">
        <v>8714</v>
      </c>
      <c r="Q692" s="43" t="s">
        <v>19780</v>
      </c>
      <c r="R692" s="50"/>
      <c r="S692" s="51"/>
      <c r="T692" s="6" t="s">
        <v>19781</v>
      </c>
      <c r="U692" s="7"/>
      <c r="V692" s="7"/>
      <c r="W692" s="6" t="s">
        <v>19782</v>
      </c>
      <c r="X692" s="7"/>
      <c r="Y692" s="7"/>
      <c r="Z692" s="7"/>
      <c r="AA692" s="7"/>
      <c r="AB692" s="7"/>
      <c r="AC692" s="7"/>
      <c r="AD692" s="7"/>
      <c r="AE692" s="6" t="s">
        <v>401</v>
      </c>
      <c r="AF692" s="45">
        <v>44687.55390046296</v>
      </c>
      <c r="AG692" s="7" t="s">
        <v>19783</v>
      </c>
      <c r="AH692" s="46" t="s">
        <v>19784</v>
      </c>
      <c r="AI692" s="7"/>
      <c r="AJ692" s="6" t="s">
        <v>19785</v>
      </c>
      <c r="AK692" s="7" t="b">
        <v>0</v>
      </c>
      <c r="AL692" s="7" t="b">
        <v>0</v>
      </c>
      <c r="AM692" s="6" t="s">
        <v>8718</v>
      </c>
      <c r="AN692" s="6" t="s">
        <v>8711</v>
      </c>
      <c r="AO692" s="7"/>
      <c r="AP692" s="7"/>
      <c r="AQ692" s="6" t="b">
        <v>0</v>
      </c>
      <c r="AR692" s="6"/>
      <c r="AS692" s="6"/>
    </row>
    <row r="693" ht="15.75" customHeight="1">
      <c r="A693" s="7" t="s">
        <v>5119</v>
      </c>
      <c r="B693" s="7" t="s">
        <v>5120</v>
      </c>
      <c r="C693" s="6" t="s">
        <v>117</v>
      </c>
      <c r="D693" s="7" t="s">
        <v>197</v>
      </c>
      <c r="E693" s="6" t="s">
        <v>16413</v>
      </c>
      <c r="F693" s="7"/>
      <c r="G693" s="7"/>
      <c r="H693" s="7"/>
      <c r="I693" s="7"/>
      <c r="J693" s="7">
        <v>56.0</v>
      </c>
      <c r="K693" s="7" t="s">
        <v>13798</v>
      </c>
      <c r="L693" s="7">
        <v>97442.0</v>
      </c>
      <c r="M693" s="7" t="s">
        <v>33</v>
      </c>
      <c r="N693" s="7"/>
      <c r="O693" s="6" t="s">
        <v>19786</v>
      </c>
      <c r="P693" s="42" t="s">
        <v>19787</v>
      </c>
      <c r="Q693" s="43" t="s">
        <v>19788</v>
      </c>
      <c r="R693" s="50"/>
      <c r="S693" s="51"/>
      <c r="T693" s="7" t="s">
        <v>5122</v>
      </c>
      <c r="U693" s="7"/>
      <c r="V693" s="7" t="s">
        <v>5123</v>
      </c>
      <c r="W693" s="7"/>
      <c r="X693" s="7"/>
      <c r="Y693" s="7" t="s">
        <v>377</v>
      </c>
      <c r="Z693" s="7" t="s">
        <v>353</v>
      </c>
      <c r="AA693" s="7"/>
      <c r="AB693" s="7"/>
      <c r="AC693" s="7"/>
      <c r="AD693" s="7"/>
      <c r="AE693" s="6" t="s">
        <v>401</v>
      </c>
      <c r="AF693" s="45">
        <v>44687.41726851852</v>
      </c>
      <c r="AG693" s="7" t="s">
        <v>19789</v>
      </c>
      <c r="AH693" s="46" t="s">
        <v>19790</v>
      </c>
      <c r="AI693" s="7"/>
      <c r="AJ693" s="6" t="s">
        <v>19791</v>
      </c>
      <c r="AK693" s="7" t="b">
        <v>0</v>
      </c>
      <c r="AL693" s="7" t="b">
        <v>0</v>
      </c>
      <c r="AM693" s="7"/>
      <c r="AN693" s="6" t="s">
        <v>5119</v>
      </c>
      <c r="AO693" s="6">
        <v>2988.0</v>
      </c>
      <c r="AP693" s="6"/>
      <c r="AQ693" s="6" t="b">
        <v>1</v>
      </c>
      <c r="AR693" s="6"/>
      <c r="AS693" s="48" t="s">
        <v>12303</v>
      </c>
    </row>
    <row r="694" ht="15.75" customHeight="1">
      <c r="A694" s="9" t="s">
        <v>10672</v>
      </c>
      <c r="B694" s="9" t="s">
        <v>19792</v>
      </c>
      <c r="C694" s="9" t="s">
        <v>58</v>
      </c>
      <c r="D694" s="9" t="s">
        <v>59</v>
      </c>
      <c r="E694" s="9" t="s">
        <v>346</v>
      </c>
      <c r="F694" s="9">
        <v>12.0</v>
      </c>
      <c r="J694" s="9" t="s">
        <v>19793</v>
      </c>
      <c r="K694" s="9" t="s">
        <v>19794</v>
      </c>
      <c r="L694" s="9">
        <v>97480.0</v>
      </c>
      <c r="M694" s="9" t="s">
        <v>123</v>
      </c>
      <c r="N694" s="9" t="s">
        <v>3556</v>
      </c>
      <c r="O694" s="9" t="s">
        <v>19795</v>
      </c>
      <c r="P694" s="53" t="s">
        <v>19796</v>
      </c>
      <c r="Q694" s="49" t="s">
        <v>19797</v>
      </c>
      <c r="R694" s="50"/>
      <c r="S694" s="54"/>
      <c r="T694" s="9" t="s">
        <v>19798</v>
      </c>
      <c r="U694" s="9" t="s">
        <v>19799</v>
      </c>
      <c r="V694" s="9" t="s">
        <v>19800</v>
      </c>
      <c r="W694" s="9" t="s">
        <v>19801</v>
      </c>
      <c r="X694" s="9" t="s">
        <v>19802</v>
      </c>
      <c r="Y694" s="9" t="s">
        <v>499</v>
      </c>
      <c r="Z694" s="9" t="s">
        <v>353</v>
      </c>
      <c r="AE694" s="9" t="s">
        <v>401</v>
      </c>
      <c r="AF694" s="60">
        <v>44686.62819444444</v>
      </c>
      <c r="AG694" s="9" t="s">
        <v>19803</v>
      </c>
      <c r="AH694" s="9" t="s">
        <v>19804</v>
      </c>
      <c r="AJ694" s="9"/>
      <c r="AK694" s="9" t="b">
        <v>0</v>
      </c>
      <c r="AL694" s="9" t="b">
        <v>0</v>
      </c>
      <c r="AM694" s="9" t="s">
        <v>19805</v>
      </c>
      <c r="AN694" s="9" t="s">
        <v>10672</v>
      </c>
      <c r="AP694" s="61">
        <v>44498.0</v>
      </c>
      <c r="AQ694" s="9" t="b">
        <v>0</v>
      </c>
    </row>
    <row r="695" ht="15.75" customHeight="1">
      <c r="A695" s="7" t="s">
        <v>9030</v>
      </c>
      <c r="B695" s="6" t="s">
        <v>19806</v>
      </c>
      <c r="C695" s="6" t="s">
        <v>117</v>
      </c>
      <c r="D695" s="6" t="s">
        <v>4826</v>
      </c>
      <c r="E695" s="6" t="s">
        <v>17143</v>
      </c>
      <c r="F695" s="6">
        <v>10.0</v>
      </c>
      <c r="G695" s="6" t="s">
        <v>422</v>
      </c>
      <c r="H695" s="7"/>
      <c r="I695" s="7"/>
      <c r="J695" s="41" t="s">
        <v>14181</v>
      </c>
      <c r="K695" s="6" t="s">
        <v>19807</v>
      </c>
      <c r="L695" s="6">
        <v>97414.0</v>
      </c>
      <c r="M695" s="6" t="s">
        <v>40</v>
      </c>
      <c r="N695" s="6" t="s">
        <v>40</v>
      </c>
      <c r="O695" s="6" t="s">
        <v>19808</v>
      </c>
      <c r="P695" s="53" t="s">
        <v>19809</v>
      </c>
      <c r="Q695" s="49" t="s">
        <v>19810</v>
      </c>
      <c r="R695" s="50"/>
      <c r="S695" s="51" t="s">
        <v>19811</v>
      </c>
      <c r="T695" s="6" t="s">
        <v>19812</v>
      </c>
      <c r="U695" s="6" t="s">
        <v>19813</v>
      </c>
      <c r="V695" s="6" t="s">
        <v>19814</v>
      </c>
      <c r="W695" s="6" t="s">
        <v>19815</v>
      </c>
      <c r="X695" s="6" t="s">
        <v>19816</v>
      </c>
      <c r="Y695" s="6" t="s">
        <v>377</v>
      </c>
      <c r="Z695" s="6" t="s">
        <v>353</v>
      </c>
      <c r="AA695" s="7"/>
      <c r="AB695" s="7"/>
      <c r="AC695" s="6">
        <v>5.0518634600043E13</v>
      </c>
      <c r="AD695" s="6">
        <v>5.05186346E8</v>
      </c>
      <c r="AE695" s="6" t="s">
        <v>401</v>
      </c>
      <c r="AF695" s="45">
        <v>45449.4062962963</v>
      </c>
      <c r="AG695" s="7" t="s">
        <v>19817</v>
      </c>
      <c r="AH695" s="46" t="s">
        <v>19818</v>
      </c>
      <c r="AI695" s="7"/>
      <c r="AJ695" s="6" t="s">
        <v>19819</v>
      </c>
      <c r="AK695" s="7" t="b">
        <v>0</v>
      </c>
      <c r="AL695" s="6" t="b">
        <v>1</v>
      </c>
      <c r="AM695" s="7"/>
      <c r="AN695" s="6" t="s">
        <v>9030</v>
      </c>
      <c r="AO695" s="7"/>
      <c r="AP695" s="7"/>
      <c r="AQ695" s="6" t="b">
        <v>0</v>
      </c>
      <c r="AR695" s="6"/>
      <c r="AS695" s="48" t="s">
        <v>12303</v>
      </c>
    </row>
    <row r="696" ht="15.75" customHeight="1">
      <c r="A696" s="7" t="s">
        <v>267</v>
      </c>
      <c r="B696" s="7" t="s">
        <v>3750</v>
      </c>
      <c r="C696" s="7" t="s">
        <v>822</v>
      </c>
      <c r="D696" s="6" t="s">
        <v>14010</v>
      </c>
      <c r="E696" s="6" t="s">
        <v>19012</v>
      </c>
      <c r="F696" s="7">
        <v>25.0</v>
      </c>
      <c r="G696" s="7" t="s">
        <v>407</v>
      </c>
      <c r="H696" s="7"/>
      <c r="I696" s="7"/>
      <c r="J696" s="41" t="s">
        <v>17307</v>
      </c>
      <c r="K696" s="6" t="s">
        <v>19820</v>
      </c>
      <c r="L696" s="7">
        <v>97480.0</v>
      </c>
      <c r="M696" s="7" t="s">
        <v>123</v>
      </c>
      <c r="N696" s="7"/>
      <c r="O696" s="6" t="s">
        <v>19821</v>
      </c>
      <c r="P696" s="42" t="s">
        <v>3754</v>
      </c>
      <c r="Q696" s="43" t="s">
        <v>17310</v>
      </c>
      <c r="R696" s="50"/>
      <c r="S696" s="51"/>
      <c r="T696" s="6" t="s">
        <v>19822</v>
      </c>
      <c r="U696" s="7" t="s">
        <v>3755</v>
      </c>
      <c r="V696" s="7" t="s">
        <v>3757</v>
      </c>
      <c r="W696" s="6" t="s">
        <v>19823</v>
      </c>
      <c r="X696" s="7" t="s">
        <v>3753</v>
      </c>
      <c r="Y696" s="7" t="s">
        <v>377</v>
      </c>
      <c r="Z696" s="7" t="s">
        <v>353</v>
      </c>
      <c r="AA696" s="7"/>
      <c r="AB696" s="7"/>
      <c r="AC696" s="7">
        <v>4.0284164700017E13</v>
      </c>
      <c r="AD696" s="7">
        <v>4.02841647E8</v>
      </c>
      <c r="AE696" s="6" t="s">
        <v>401</v>
      </c>
      <c r="AF696" s="45">
        <v>45740.48116898148</v>
      </c>
      <c r="AG696" s="7" t="s">
        <v>17311</v>
      </c>
      <c r="AH696" s="46" t="s">
        <v>19824</v>
      </c>
      <c r="AI696" s="7"/>
      <c r="AJ696" s="6" t="s">
        <v>19825</v>
      </c>
      <c r="AK696" s="7" t="b">
        <v>0</v>
      </c>
      <c r="AL696" s="7" t="b">
        <v>0</v>
      </c>
      <c r="AM696" s="7"/>
      <c r="AN696" s="6" t="s">
        <v>267</v>
      </c>
      <c r="AO696" s="6">
        <v>315.0</v>
      </c>
      <c r="AP696" s="6"/>
      <c r="AQ696" s="6" t="b">
        <v>1</v>
      </c>
      <c r="AR696" s="6" t="s">
        <v>19826</v>
      </c>
      <c r="AS696" s="6" t="s">
        <v>12303</v>
      </c>
    </row>
    <row r="697" ht="15.75" customHeight="1">
      <c r="A697" s="7" t="s">
        <v>8361</v>
      </c>
      <c r="B697" s="7" t="s">
        <v>8362</v>
      </c>
      <c r="C697" s="7" t="s">
        <v>1198</v>
      </c>
      <c r="D697" s="7"/>
      <c r="E697" s="7"/>
      <c r="F697" s="7">
        <v>8.0</v>
      </c>
      <c r="G697" s="7"/>
      <c r="H697" s="7"/>
      <c r="I697" s="7"/>
      <c r="J697" s="41" t="s">
        <v>19827</v>
      </c>
      <c r="K697" s="6" t="s">
        <v>12676</v>
      </c>
      <c r="L697" s="7">
        <v>97480.0</v>
      </c>
      <c r="M697" s="7" t="s">
        <v>123</v>
      </c>
      <c r="N697" s="6" t="s">
        <v>206</v>
      </c>
      <c r="O697" s="6" t="s">
        <v>19828</v>
      </c>
      <c r="P697" s="42" t="s">
        <v>8365</v>
      </c>
      <c r="Q697" s="43" t="s">
        <v>19829</v>
      </c>
      <c r="R697" s="50"/>
      <c r="S697" s="51"/>
      <c r="T697" s="7" t="s">
        <v>8366</v>
      </c>
      <c r="U697" s="7"/>
      <c r="V697" s="7"/>
      <c r="W697" s="7"/>
      <c r="X697" s="7"/>
      <c r="Y697" s="7"/>
      <c r="Z697" s="7"/>
      <c r="AA697" s="7"/>
      <c r="AB697" s="7"/>
      <c r="AC697" s="7">
        <v>8.1142979400019E13</v>
      </c>
      <c r="AD697" s="7">
        <v>8.11429794E8</v>
      </c>
      <c r="AE697" s="6" t="s">
        <v>401</v>
      </c>
      <c r="AF697" s="45">
        <v>44684.45326388889</v>
      </c>
      <c r="AG697" s="7" t="s">
        <v>19830</v>
      </c>
      <c r="AH697" s="46" t="s">
        <v>19831</v>
      </c>
      <c r="AI697" s="7"/>
      <c r="AJ697" s="6" t="s">
        <v>19832</v>
      </c>
      <c r="AK697" s="7" t="b">
        <v>0</v>
      </c>
      <c r="AL697" s="7" t="b">
        <v>0</v>
      </c>
      <c r="AM697" s="7"/>
      <c r="AN697" s="6" t="s">
        <v>8361</v>
      </c>
      <c r="AO697" s="7"/>
      <c r="AP697" s="7"/>
      <c r="AQ697" s="6" t="b">
        <v>0</v>
      </c>
      <c r="AR697" s="6"/>
      <c r="AS697" s="6"/>
    </row>
    <row r="698" ht="15.75" customHeight="1">
      <c r="A698" s="7" t="s">
        <v>8331</v>
      </c>
      <c r="B698" s="7" t="s">
        <v>8332</v>
      </c>
      <c r="C698" s="7" t="s">
        <v>58</v>
      </c>
      <c r="D698" s="7" t="s">
        <v>59</v>
      </c>
      <c r="E698" s="7" t="s">
        <v>346</v>
      </c>
      <c r="F698" s="7">
        <v>5.0</v>
      </c>
      <c r="G698" s="7"/>
      <c r="H698" s="7"/>
      <c r="I698" s="7"/>
      <c r="J698" s="7">
        <v>25.0</v>
      </c>
      <c r="K698" s="7" t="s">
        <v>19833</v>
      </c>
      <c r="L698" s="7">
        <v>97480.0</v>
      </c>
      <c r="M698" s="7" t="s">
        <v>123</v>
      </c>
      <c r="N698" s="7"/>
      <c r="O698" s="6" t="s">
        <v>19834</v>
      </c>
      <c r="P698" s="42" t="s">
        <v>8334</v>
      </c>
      <c r="Q698" s="43" t="s">
        <v>19835</v>
      </c>
      <c r="R698" s="50"/>
      <c r="S698" s="51"/>
      <c r="T698" s="7" t="s">
        <v>8335</v>
      </c>
      <c r="U698" s="7"/>
      <c r="V698" s="7"/>
      <c r="W698" s="6" t="s">
        <v>19836</v>
      </c>
      <c r="X698" s="7"/>
      <c r="Y698" s="7" t="s">
        <v>377</v>
      </c>
      <c r="Z698" s="7" t="s">
        <v>424</v>
      </c>
      <c r="AA698" s="7"/>
      <c r="AB698" s="7"/>
      <c r="AC698" s="7">
        <v>8.8033915500017E13</v>
      </c>
      <c r="AD698" s="7">
        <v>8.80339155E8</v>
      </c>
      <c r="AE698" s="6" t="s">
        <v>401</v>
      </c>
      <c r="AF698" s="45">
        <v>44684.44913194444</v>
      </c>
      <c r="AG698" s="7" t="s">
        <v>19837</v>
      </c>
      <c r="AH698" s="46" t="s">
        <v>19838</v>
      </c>
      <c r="AI698" s="7"/>
      <c r="AJ698" s="6" t="s">
        <v>19839</v>
      </c>
      <c r="AK698" s="7" t="b">
        <v>0</v>
      </c>
      <c r="AL698" s="7" t="b">
        <v>0</v>
      </c>
      <c r="AM698" s="6" t="s">
        <v>8339</v>
      </c>
      <c r="AN698" s="6" t="s">
        <v>8331</v>
      </c>
      <c r="AO698" s="7"/>
      <c r="AP698" s="7"/>
      <c r="AQ698" s="6" t="b">
        <v>0</v>
      </c>
      <c r="AR698" s="6"/>
      <c r="AS698" s="6" t="s">
        <v>12303</v>
      </c>
    </row>
    <row r="699" ht="15.75" customHeight="1">
      <c r="A699" s="7" t="s">
        <v>9099</v>
      </c>
      <c r="B699" s="6" t="s">
        <v>4303</v>
      </c>
      <c r="C699" s="7" t="s">
        <v>34</v>
      </c>
      <c r="D699" s="7" t="s">
        <v>485</v>
      </c>
      <c r="E699" s="7" t="s">
        <v>486</v>
      </c>
      <c r="F699" s="7"/>
      <c r="G699" s="7" t="s">
        <v>4306</v>
      </c>
      <c r="H699" s="7"/>
      <c r="I699" s="7"/>
      <c r="J699" s="6" t="s">
        <v>19840</v>
      </c>
      <c r="K699" s="6" t="s">
        <v>13934</v>
      </c>
      <c r="L699" s="7">
        <v>97480.0</v>
      </c>
      <c r="M699" s="7" t="s">
        <v>123</v>
      </c>
      <c r="N699" s="7"/>
      <c r="O699" s="7" t="s">
        <v>9105</v>
      </c>
      <c r="P699" s="42"/>
      <c r="Q699" s="49" t="s">
        <v>19841</v>
      </c>
      <c r="R699" s="50"/>
      <c r="S699" s="51"/>
      <c r="T699" s="6" t="s">
        <v>19842</v>
      </c>
      <c r="U699" s="6" t="s">
        <v>4310</v>
      </c>
      <c r="V699" s="7"/>
      <c r="W699" s="7"/>
      <c r="X699" s="7"/>
      <c r="Y699" s="6" t="s">
        <v>4368</v>
      </c>
      <c r="Z699" s="7" t="s">
        <v>353</v>
      </c>
      <c r="AA699" s="7"/>
      <c r="AB699" s="7"/>
      <c r="AC699" s="7"/>
      <c r="AD699" s="7"/>
      <c r="AE699" s="7" t="s">
        <v>401</v>
      </c>
      <c r="AF699" s="45">
        <v>45386.424375</v>
      </c>
      <c r="AG699" s="7" t="s">
        <v>19617</v>
      </c>
      <c r="AH699" s="46" t="s">
        <v>19843</v>
      </c>
      <c r="AI699" s="7"/>
      <c r="AJ699" s="6" t="s">
        <v>19844</v>
      </c>
      <c r="AK699" s="7" t="b">
        <v>0</v>
      </c>
      <c r="AL699" s="7" t="b">
        <v>0</v>
      </c>
      <c r="AM699" s="7"/>
      <c r="AN699" s="6" t="s">
        <v>9099</v>
      </c>
      <c r="AO699" s="7"/>
      <c r="AP699" s="7"/>
      <c r="AQ699" s="6" t="b">
        <v>0</v>
      </c>
      <c r="AR699" s="6"/>
      <c r="AS699" s="6" t="s">
        <v>12303</v>
      </c>
    </row>
    <row r="700" ht="15.75" customHeight="1">
      <c r="A700" s="9" t="s">
        <v>12148</v>
      </c>
      <c r="B700" s="9" t="s">
        <v>19845</v>
      </c>
      <c r="C700" s="9" t="s">
        <v>58</v>
      </c>
      <c r="D700" s="9" t="s">
        <v>59</v>
      </c>
      <c r="E700" s="9" t="s">
        <v>545</v>
      </c>
      <c r="F700" s="9">
        <v>6.0</v>
      </c>
      <c r="G700" s="9" t="s">
        <v>455</v>
      </c>
      <c r="J700" s="52" t="s">
        <v>15221</v>
      </c>
      <c r="K700" s="9" t="s">
        <v>19846</v>
      </c>
      <c r="L700" s="9">
        <v>97418.0</v>
      </c>
      <c r="M700" s="9" t="s">
        <v>71</v>
      </c>
      <c r="N700" s="9" t="s">
        <v>172</v>
      </c>
      <c r="O700" s="9" t="s">
        <v>19847</v>
      </c>
      <c r="P700" s="53" t="s">
        <v>19848</v>
      </c>
      <c r="Q700" s="49" t="s">
        <v>19849</v>
      </c>
      <c r="R700" s="50"/>
      <c r="S700" s="54"/>
      <c r="T700" s="9" t="s">
        <v>19850</v>
      </c>
      <c r="U700" s="9" t="s">
        <v>19851</v>
      </c>
      <c r="V700" s="9" t="s">
        <v>19852</v>
      </c>
      <c r="W700" s="9" t="s">
        <v>15989</v>
      </c>
      <c r="X700" s="9" t="s">
        <v>19853</v>
      </c>
      <c r="Y700" s="9" t="s">
        <v>4368</v>
      </c>
      <c r="Z700" s="9" t="s">
        <v>592</v>
      </c>
      <c r="AC700" s="9">
        <v>7.9252144500025E13</v>
      </c>
      <c r="AD700" s="9">
        <v>7.92521445E8</v>
      </c>
      <c r="AE700" s="9" t="s">
        <v>401</v>
      </c>
      <c r="AF700" s="55">
        <v>45993.466574074075</v>
      </c>
      <c r="AG700" s="9" t="s">
        <v>19854</v>
      </c>
      <c r="AH700" s="9" t="s">
        <v>19855</v>
      </c>
      <c r="AJ700" s="9" t="s">
        <v>19856</v>
      </c>
      <c r="AK700" s="9" t="b">
        <v>0</v>
      </c>
      <c r="AL700" s="9" t="b">
        <v>0</v>
      </c>
      <c r="AM700" s="9" t="s">
        <v>19857</v>
      </c>
      <c r="AN700" s="9" t="s">
        <v>12148</v>
      </c>
      <c r="AP700" s="56">
        <v>44638.0</v>
      </c>
      <c r="AQ700" s="9" t="b">
        <v>0</v>
      </c>
      <c r="AR700" s="9" t="s">
        <v>19858</v>
      </c>
      <c r="AS700" s="48" t="s">
        <v>12303</v>
      </c>
    </row>
    <row r="701" ht="15.75" customHeight="1">
      <c r="A701" s="9" t="s">
        <v>10763</v>
      </c>
      <c r="B701" s="9" t="s">
        <v>341</v>
      </c>
      <c r="C701" s="9" t="s">
        <v>117</v>
      </c>
      <c r="D701" s="9" t="s">
        <v>197</v>
      </c>
      <c r="E701" s="9" t="s">
        <v>19859</v>
      </c>
      <c r="F701" s="9">
        <v>3.0</v>
      </c>
      <c r="J701" s="52" t="s">
        <v>12820</v>
      </c>
      <c r="K701" s="9" t="s">
        <v>19860</v>
      </c>
      <c r="L701" s="9">
        <v>97430.0</v>
      </c>
      <c r="M701" s="9" t="s">
        <v>71</v>
      </c>
      <c r="O701" s="9" t="s">
        <v>19861</v>
      </c>
      <c r="P701" s="53"/>
      <c r="Q701" s="43"/>
      <c r="R701" s="50"/>
      <c r="S701" s="54"/>
      <c r="T701" s="9" t="s">
        <v>19862</v>
      </c>
      <c r="U701" s="9" t="s">
        <v>19863</v>
      </c>
      <c r="V701" s="9" t="s">
        <v>19864</v>
      </c>
      <c r="W701" s="9" t="s">
        <v>19865</v>
      </c>
      <c r="X701" s="9" t="s">
        <v>19866</v>
      </c>
      <c r="Y701" s="9" t="s">
        <v>377</v>
      </c>
      <c r="Z701" s="9" t="s">
        <v>592</v>
      </c>
      <c r="AC701" s="9">
        <v>5.522200222022E13</v>
      </c>
      <c r="AD701" s="9">
        <v>5.52220022E8</v>
      </c>
      <c r="AE701" s="9" t="s">
        <v>12355</v>
      </c>
      <c r="AF701" s="55">
        <v>44602.36420138889</v>
      </c>
      <c r="AG701" s="9" t="s">
        <v>19867</v>
      </c>
      <c r="AH701" s="9" t="s">
        <v>19868</v>
      </c>
      <c r="AK701" s="9" t="b">
        <v>0</v>
      </c>
      <c r="AL701" s="9" t="b">
        <v>0</v>
      </c>
      <c r="AN701" s="9" t="s">
        <v>10763</v>
      </c>
      <c r="AP701" s="56">
        <v>44602.0</v>
      </c>
      <c r="AQ701" s="9" t="b">
        <v>0</v>
      </c>
    </row>
    <row r="702" ht="15.75" customHeight="1">
      <c r="A702" s="9" t="s">
        <v>12174</v>
      </c>
      <c r="B702" s="9" t="s">
        <v>19869</v>
      </c>
      <c r="C702" s="9" t="s">
        <v>822</v>
      </c>
      <c r="D702" s="9" t="s">
        <v>823</v>
      </c>
      <c r="E702" s="9" t="s">
        <v>559</v>
      </c>
      <c r="J702" s="52" t="s">
        <v>12345</v>
      </c>
      <c r="K702" s="9" t="s">
        <v>19870</v>
      </c>
      <c r="L702" s="9">
        <v>97430.0</v>
      </c>
      <c r="M702" s="9" t="s">
        <v>71</v>
      </c>
      <c r="O702" s="9" t="s">
        <v>19871</v>
      </c>
      <c r="P702" s="53" t="s">
        <v>19872</v>
      </c>
      <c r="Q702" s="49" t="s">
        <v>19873</v>
      </c>
      <c r="R702" s="50"/>
      <c r="S702" s="54"/>
      <c r="T702" s="9" t="s">
        <v>19874</v>
      </c>
      <c r="Z702" s="9" t="s">
        <v>378</v>
      </c>
      <c r="AC702" s="9">
        <v>8.1949003300017E13</v>
      </c>
      <c r="AD702" s="9">
        <v>8.19490033E8</v>
      </c>
      <c r="AE702" s="9" t="s">
        <v>401</v>
      </c>
      <c r="AF702" s="55">
        <v>45831.36875</v>
      </c>
      <c r="AG702" s="9" t="s">
        <v>19875</v>
      </c>
      <c r="AH702" s="9" t="s">
        <v>19876</v>
      </c>
      <c r="AJ702" s="9" t="s">
        <v>19877</v>
      </c>
      <c r="AN702" s="9" t="s">
        <v>12174</v>
      </c>
      <c r="AP702" s="56">
        <v>44601.0</v>
      </c>
      <c r="AQ702" s="9" t="b">
        <v>0</v>
      </c>
    </row>
    <row r="703" ht="15.75" customHeight="1">
      <c r="A703" s="9" t="s">
        <v>11676</v>
      </c>
      <c r="B703" s="9" t="s">
        <v>19878</v>
      </c>
      <c r="C703" s="9" t="s">
        <v>117</v>
      </c>
      <c r="D703" s="9" t="s">
        <v>197</v>
      </c>
      <c r="E703" s="9" t="s">
        <v>559</v>
      </c>
      <c r="J703" s="52" t="s">
        <v>19879</v>
      </c>
      <c r="K703" s="9" t="s">
        <v>19880</v>
      </c>
      <c r="L703" s="9">
        <v>97430.0</v>
      </c>
      <c r="M703" s="9" t="s">
        <v>71</v>
      </c>
      <c r="O703" s="9" t="s">
        <v>19881</v>
      </c>
      <c r="P703" s="53" t="s">
        <v>19882</v>
      </c>
      <c r="Q703" s="49" t="s">
        <v>19883</v>
      </c>
      <c r="R703" s="50"/>
      <c r="S703" s="54"/>
      <c r="T703" s="9" t="s">
        <v>19884</v>
      </c>
      <c r="Z703" s="9" t="s">
        <v>378</v>
      </c>
      <c r="AC703" s="9">
        <v>4.9366408000014E13</v>
      </c>
      <c r="AD703" s="9">
        <v>4.9366408E8</v>
      </c>
      <c r="AE703" s="9" t="s">
        <v>401</v>
      </c>
      <c r="AF703" s="55">
        <v>44601.658368055556</v>
      </c>
      <c r="AG703" s="9" t="s">
        <v>19885</v>
      </c>
      <c r="AH703" s="9" t="s">
        <v>19886</v>
      </c>
      <c r="AN703" s="9" t="s">
        <v>11676</v>
      </c>
      <c r="AP703" s="56">
        <v>44601.0</v>
      </c>
      <c r="AQ703" s="9" t="b">
        <v>0</v>
      </c>
    </row>
    <row r="704" ht="15.75" customHeight="1">
      <c r="A704" s="9" t="s">
        <v>11592</v>
      </c>
      <c r="B704" s="9" t="s">
        <v>19887</v>
      </c>
      <c r="C704" s="9" t="s">
        <v>822</v>
      </c>
      <c r="D704" s="9" t="s">
        <v>14010</v>
      </c>
      <c r="E704" s="9" t="s">
        <v>19888</v>
      </c>
      <c r="J704" s="9" t="s">
        <v>19889</v>
      </c>
      <c r="K704" s="9" t="s">
        <v>17845</v>
      </c>
      <c r="L704" s="9">
        <v>97442.0</v>
      </c>
      <c r="M704" s="9" t="s">
        <v>33</v>
      </c>
      <c r="O704" s="9" t="s">
        <v>19890</v>
      </c>
      <c r="P704" s="53" t="s">
        <v>7788</v>
      </c>
      <c r="Q704" s="49" t="s">
        <v>19891</v>
      </c>
      <c r="R704" s="50"/>
      <c r="S704" s="54"/>
      <c r="T704" s="9" t="s">
        <v>19892</v>
      </c>
      <c r="Z704" s="9" t="s">
        <v>353</v>
      </c>
      <c r="AC704" s="9">
        <v>8.32149686E8</v>
      </c>
      <c r="AD704" s="9">
        <v>8.32149686E8</v>
      </c>
      <c r="AE704" s="9" t="s">
        <v>401</v>
      </c>
      <c r="AF704" s="55">
        <v>44601.548113425924</v>
      </c>
      <c r="AG704" s="9" t="s">
        <v>19893</v>
      </c>
      <c r="AH704" s="9" t="s">
        <v>19894</v>
      </c>
      <c r="AN704" s="9" t="s">
        <v>11592</v>
      </c>
      <c r="AP704" s="56">
        <v>44601.0</v>
      </c>
      <c r="AQ704" s="9" t="b">
        <v>0</v>
      </c>
      <c r="AS704" s="48" t="s">
        <v>12303</v>
      </c>
    </row>
    <row r="705" ht="15.75" customHeight="1">
      <c r="A705" s="52" t="s">
        <v>19895</v>
      </c>
      <c r="B705" s="9" t="s">
        <v>19896</v>
      </c>
      <c r="C705" s="9" t="s">
        <v>117</v>
      </c>
      <c r="D705" s="9" t="s">
        <v>197</v>
      </c>
      <c r="E705" s="9" t="s">
        <v>559</v>
      </c>
      <c r="G705" s="9" t="s">
        <v>422</v>
      </c>
      <c r="J705" s="52" t="s">
        <v>19897</v>
      </c>
      <c r="K705" s="9" t="s">
        <v>19898</v>
      </c>
      <c r="L705" s="9">
        <v>97414.0</v>
      </c>
      <c r="M705" s="9" t="s">
        <v>40</v>
      </c>
      <c r="N705" s="9" t="s">
        <v>40</v>
      </c>
      <c r="O705" s="9" t="s">
        <v>19899</v>
      </c>
      <c r="P705" s="53" t="s">
        <v>19900</v>
      </c>
      <c r="Q705" s="49" t="s">
        <v>19901</v>
      </c>
      <c r="R705" s="50"/>
      <c r="S705" s="54" t="s">
        <v>19902</v>
      </c>
      <c r="T705" s="9" t="s">
        <v>19903</v>
      </c>
      <c r="U705" s="9" t="s">
        <v>19904</v>
      </c>
      <c r="V705" s="9" t="s">
        <v>19905</v>
      </c>
      <c r="Y705" s="9" t="s">
        <v>377</v>
      </c>
      <c r="Z705" s="9" t="s">
        <v>353</v>
      </c>
      <c r="AC705" s="9">
        <v>8.4209865900019E13</v>
      </c>
      <c r="AD705" s="9">
        <v>8.42098659E8</v>
      </c>
      <c r="AE705" s="9" t="s">
        <v>401</v>
      </c>
      <c r="AF705" s="55">
        <v>45440.60130787037</v>
      </c>
      <c r="AG705" s="9" t="s">
        <v>19906</v>
      </c>
      <c r="AH705" s="9" t="s">
        <v>19907</v>
      </c>
      <c r="AJ705" s="9" t="s">
        <v>19908</v>
      </c>
      <c r="AK705" s="9" t="b">
        <v>0</v>
      </c>
      <c r="AL705" s="9" t="b">
        <v>0</v>
      </c>
      <c r="AN705" s="52" t="s">
        <v>19895</v>
      </c>
      <c r="AP705" s="56">
        <v>44600.0</v>
      </c>
      <c r="AQ705" s="9" t="b">
        <v>0</v>
      </c>
      <c r="AS705" s="48" t="s">
        <v>12303</v>
      </c>
    </row>
    <row r="706" ht="15.75" customHeight="1">
      <c r="A706" s="9" t="s">
        <v>11780</v>
      </c>
      <c r="B706" s="9" t="s">
        <v>19909</v>
      </c>
      <c r="C706" s="9" t="s">
        <v>58</v>
      </c>
      <c r="D706" s="9" t="s">
        <v>59</v>
      </c>
      <c r="E706" s="9" t="s">
        <v>545</v>
      </c>
      <c r="F706" s="9">
        <v>4.0</v>
      </c>
      <c r="J706" s="9" t="s">
        <v>19910</v>
      </c>
      <c r="K706" s="9" t="s">
        <v>19911</v>
      </c>
      <c r="L706" s="9">
        <v>97430.0</v>
      </c>
      <c r="M706" s="9" t="s">
        <v>71</v>
      </c>
      <c r="N706" s="9" t="s">
        <v>14126</v>
      </c>
      <c r="O706" s="9" t="s">
        <v>19912</v>
      </c>
      <c r="P706" s="53" t="s">
        <v>19913</v>
      </c>
      <c r="Q706" s="49" t="s">
        <v>19914</v>
      </c>
      <c r="R706" s="50"/>
      <c r="S706" s="54"/>
      <c r="T706" s="9" t="s">
        <v>19915</v>
      </c>
      <c r="W706" s="9" t="s">
        <v>19916</v>
      </c>
      <c r="Y706" s="9" t="s">
        <v>499</v>
      </c>
      <c r="Z706" s="9" t="s">
        <v>592</v>
      </c>
      <c r="AE706" s="9" t="s">
        <v>401</v>
      </c>
      <c r="AF706" s="55">
        <v>44578.411886574075</v>
      </c>
      <c r="AG706" s="9" t="s">
        <v>19917</v>
      </c>
      <c r="AH706" s="9" t="s">
        <v>19918</v>
      </c>
      <c r="AK706" s="9" t="b">
        <v>0</v>
      </c>
      <c r="AL706" s="9" t="b">
        <v>0</v>
      </c>
      <c r="AM706" s="9" t="s">
        <v>19919</v>
      </c>
      <c r="AN706" s="9" t="s">
        <v>11780</v>
      </c>
      <c r="AP706" s="56">
        <v>44578.0</v>
      </c>
      <c r="AQ706" s="9" t="b">
        <v>0</v>
      </c>
    </row>
    <row r="707" ht="15.75" customHeight="1">
      <c r="A707" s="9" t="s">
        <v>11671</v>
      </c>
      <c r="B707" s="9" t="s">
        <v>19920</v>
      </c>
      <c r="C707" s="9" t="s">
        <v>58</v>
      </c>
      <c r="D707" s="9" t="s">
        <v>59</v>
      </c>
      <c r="E707" s="9" t="s">
        <v>545</v>
      </c>
      <c r="F707" s="9">
        <v>8.0</v>
      </c>
      <c r="G707" s="9" t="s">
        <v>422</v>
      </c>
      <c r="H707" s="9" t="s">
        <v>2716</v>
      </c>
      <c r="J707" s="9" t="s">
        <v>19921</v>
      </c>
      <c r="K707" s="9" t="s">
        <v>16309</v>
      </c>
      <c r="L707" s="9">
        <v>97414.0</v>
      </c>
      <c r="M707" s="9" t="s">
        <v>40</v>
      </c>
      <c r="N707" s="9" t="s">
        <v>16720</v>
      </c>
      <c r="O707" s="9" t="s">
        <v>19922</v>
      </c>
      <c r="P707" s="53" t="s">
        <v>19923</v>
      </c>
      <c r="Q707" s="49" t="s">
        <v>19924</v>
      </c>
      <c r="R707" s="50"/>
      <c r="S707" s="54"/>
      <c r="T707" s="9" t="s">
        <v>19925</v>
      </c>
      <c r="U707" s="9" t="s">
        <v>19926</v>
      </c>
      <c r="W707" s="9" t="s">
        <v>19927</v>
      </c>
      <c r="X707" s="9" t="s">
        <v>19928</v>
      </c>
      <c r="Y707" s="9" t="s">
        <v>19929</v>
      </c>
      <c r="Z707" s="9" t="s">
        <v>353</v>
      </c>
      <c r="AE707" s="9" t="s">
        <v>401</v>
      </c>
      <c r="AF707" s="55">
        <v>46027.59831018518</v>
      </c>
      <c r="AG707" s="9" t="s">
        <v>19930</v>
      </c>
      <c r="AH707" s="9" t="s">
        <v>19931</v>
      </c>
      <c r="AJ707" s="9" t="s">
        <v>19932</v>
      </c>
      <c r="AK707" s="9" t="b">
        <v>0</v>
      </c>
      <c r="AL707" s="9" t="b">
        <v>0</v>
      </c>
      <c r="AM707" s="9" t="s">
        <v>19933</v>
      </c>
      <c r="AN707" s="9" t="s">
        <v>11671</v>
      </c>
      <c r="AP707" s="56">
        <v>44564.0</v>
      </c>
      <c r="AQ707" s="9" t="b">
        <v>0</v>
      </c>
      <c r="AR707" s="9" t="s">
        <v>19934</v>
      </c>
      <c r="AS707" s="48" t="s">
        <v>12303</v>
      </c>
    </row>
    <row r="708" ht="15.75" customHeight="1">
      <c r="A708" s="9" t="s">
        <v>10243</v>
      </c>
      <c r="B708" s="9" t="s">
        <v>19935</v>
      </c>
      <c r="C708" s="9" t="s">
        <v>58</v>
      </c>
      <c r="D708" s="9" t="s">
        <v>59</v>
      </c>
      <c r="E708" s="9" t="s">
        <v>346</v>
      </c>
      <c r="F708" s="9">
        <v>4.0</v>
      </c>
      <c r="J708" s="9" t="s">
        <v>19936</v>
      </c>
      <c r="K708" s="9" t="s">
        <v>19937</v>
      </c>
      <c r="L708" s="9">
        <v>97418.0</v>
      </c>
      <c r="M708" s="9" t="s">
        <v>71</v>
      </c>
      <c r="N708" s="9" t="s">
        <v>216</v>
      </c>
      <c r="P708" s="53" t="s">
        <v>19938</v>
      </c>
      <c r="Q708" s="49" t="s">
        <v>19939</v>
      </c>
      <c r="R708" s="50"/>
      <c r="S708" s="54"/>
      <c r="Y708" s="9" t="s">
        <v>12669</v>
      </c>
      <c r="Z708" s="9" t="s">
        <v>353</v>
      </c>
      <c r="AE708" s="9" t="s">
        <v>12355</v>
      </c>
      <c r="AF708" s="60">
        <v>44557.41952546296</v>
      </c>
      <c r="AG708" s="9" t="s">
        <v>19940</v>
      </c>
      <c r="AH708" s="9" t="s">
        <v>19941</v>
      </c>
      <c r="AK708" s="9" t="b">
        <v>0</v>
      </c>
      <c r="AL708" s="9" t="b">
        <v>1</v>
      </c>
      <c r="AN708" s="9" t="s">
        <v>10243</v>
      </c>
      <c r="AP708" s="61">
        <v>44557.0</v>
      </c>
      <c r="AQ708" s="9" t="b">
        <v>0</v>
      </c>
      <c r="AR708" s="9" t="s">
        <v>19942</v>
      </c>
      <c r="AS708" s="48" t="s">
        <v>12303</v>
      </c>
    </row>
    <row r="709" ht="15.75" customHeight="1">
      <c r="A709" s="9" t="s">
        <v>10245</v>
      </c>
      <c r="B709" s="9" t="s">
        <v>19943</v>
      </c>
      <c r="C709" s="9" t="s">
        <v>58</v>
      </c>
      <c r="D709" s="9" t="s">
        <v>59</v>
      </c>
      <c r="E709" s="9" t="s">
        <v>346</v>
      </c>
      <c r="F709" s="9">
        <v>7.0</v>
      </c>
      <c r="J709" s="9" t="s">
        <v>19944</v>
      </c>
      <c r="K709" s="9" t="s">
        <v>19945</v>
      </c>
      <c r="L709" s="9">
        <v>97480.0</v>
      </c>
      <c r="M709" s="9" t="s">
        <v>123</v>
      </c>
      <c r="N709" s="9" t="s">
        <v>13878</v>
      </c>
      <c r="O709" s="9" t="s">
        <v>19946</v>
      </c>
      <c r="P709" s="53" t="s">
        <v>19947</v>
      </c>
      <c r="Q709" s="49" t="s">
        <v>19948</v>
      </c>
      <c r="R709" s="50"/>
      <c r="S709" s="54"/>
      <c r="T709" s="9" t="s">
        <v>19949</v>
      </c>
      <c r="W709" s="9" t="s">
        <v>19950</v>
      </c>
      <c r="X709" s="9" t="s">
        <v>19951</v>
      </c>
      <c r="Z709" s="9" t="s">
        <v>378</v>
      </c>
      <c r="AE709" s="9" t="s">
        <v>12355</v>
      </c>
      <c r="AF709" s="60">
        <v>44547.48537037037</v>
      </c>
      <c r="AG709" s="9" t="s">
        <v>19952</v>
      </c>
      <c r="AH709" s="9" t="s">
        <v>19953</v>
      </c>
      <c r="AM709" s="9" t="s">
        <v>19954</v>
      </c>
      <c r="AN709" s="9" t="s">
        <v>10245</v>
      </c>
      <c r="AP709" s="61">
        <v>44547.0</v>
      </c>
      <c r="AQ709" s="9" t="b">
        <v>0</v>
      </c>
    </row>
    <row r="710" ht="15.75" customHeight="1">
      <c r="A710" s="9" t="s">
        <v>10238</v>
      </c>
      <c r="B710" s="9" t="s">
        <v>19955</v>
      </c>
      <c r="C710" s="9" t="s">
        <v>58</v>
      </c>
      <c r="D710" s="9" t="s">
        <v>59</v>
      </c>
      <c r="E710" s="9" t="s">
        <v>346</v>
      </c>
      <c r="F710" s="9">
        <v>20.0</v>
      </c>
      <c r="J710" s="52" t="s">
        <v>19956</v>
      </c>
      <c r="K710" s="9" t="s">
        <v>15318</v>
      </c>
      <c r="L710" s="9">
        <v>97480.0</v>
      </c>
      <c r="M710" s="9" t="s">
        <v>123</v>
      </c>
      <c r="N710" s="9" t="s">
        <v>206</v>
      </c>
      <c r="O710" s="9" t="s">
        <v>19957</v>
      </c>
      <c r="P710" s="53" t="s">
        <v>19958</v>
      </c>
      <c r="Q710" s="49" t="s">
        <v>19959</v>
      </c>
      <c r="R710" s="50"/>
      <c r="S710" s="54"/>
      <c r="T710" s="9" t="s">
        <v>19960</v>
      </c>
      <c r="U710" s="9" t="s">
        <v>19961</v>
      </c>
      <c r="W710" s="9" t="s">
        <v>19962</v>
      </c>
      <c r="X710" s="9" t="s">
        <v>19963</v>
      </c>
      <c r="Z710" s="9" t="s">
        <v>378</v>
      </c>
      <c r="AE710" s="9" t="s">
        <v>401</v>
      </c>
      <c r="AF710" s="60">
        <v>44547.462905092594</v>
      </c>
      <c r="AG710" s="9" t="s">
        <v>19964</v>
      </c>
      <c r="AH710" s="9" t="s">
        <v>19965</v>
      </c>
      <c r="AM710" s="9" t="s">
        <v>19966</v>
      </c>
      <c r="AN710" s="9" t="s">
        <v>10238</v>
      </c>
      <c r="AP710" s="61">
        <v>44547.0</v>
      </c>
      <c r="AQ710" s="9" t="b">
        <v>0</v>
      </c>
    </row>
    <row r="711" ht="15.75" customHeight="1">
      <c r="A711" s="9" t="s">
        <v>10247</v>
      </c>
      <c r="B711" s="9" t="s">
        <v>19967</v>
      </c>
      <c r="C711" s="9" t="s">
        <v>58</v>
      </c>
      <c r="D711" s="9" t="s">
        <v>59</v>
      </c>
      <c r="E711" s="9" t="s">
        <v>346</v>
      </c>
      <c r="F711" s="9">
        <v>8.0</v>
      </c>
      <c r="J711" s="52" t="s">
        <v>15167</v>
      </c>
      <c r="K711" s="9" t="s">
        <v>19968</v>
      </c>
      <c r="L711" s="9">
        <v>97480.0</v>
      </c>
      <c r="M711" s="9" t="s">
        <v>123</v>
      </c>
      <c r="P711" s="53" t="s">
        <v>19969</v>
      </c>
      <c r="Q711" s="49" t="s">
        <v>19970</v>
      </c>
      <c r="R711" s="50"/>
      <c r="S711" s="54" t="s">
        <v>19971</v>
      </c>
      <c r="W711" s="9" t="s">
        <v>8015</v>
      </c>
      <c r="Z711" s="9" t="s">
        <v>378</v>
      </c>
      <c r="AC711" s="9">
        <v>4.4290735800034E13</v>
      </c>
      <c r="AD711" s="9">
        <v>4.42907358E8</v>
      </c>
      <c r="AE711" s="9" t="s">
        <v>12355</v>
      </c>
      <c r="AF711" s="55">
        <v>44531.61859953704</v>
      </c>
      <c r="AG711" s="9" t="s">
        <v>19972</v>
      </c>
      <c r="AH711" s="9" t="s">
        <v>19973</v>
      </c>
      <c r="AN711" s="9" t="s">
        <v>10247</v>
      </c>
      <c r="AP711" s="56">
        <v>44531.0</v>
      </c>
      <c r="AQ711" s="9" t="b">
        <v>0</v>
      </c>
      <c r="AR711" s="9" t="s">
        <v>19974</v>
      </c>
      <c r="AS711" s="9"/>
    </row>
    <row r="712" ht="15.75" customHeight="1">
      <c r="A712" s="9" t="s">
        <v>10249</v>
      </c>
      <c r="B712" s="9" t="s">
        <v>5602</v>
      </c>
      <c r="C712" s="9" t="s">
        <v>58</v>
      </c>
      <c r="D712" s="9" t="s">
        <v>59</v>
      </c>
      <c r="E712" s="9" t="s">
        <v>346</v>
      </c>
      <c r="F712" s="9">
        <v>6.0</v>
      </c>
      <c r="H712" s="9" t="s">
        <v>2716</v>
      </c>
      <c r="J712" s="52" t="s">
        <v>14181</v>
      </c>
      <c r="K712" s="9" t="s">
        <v>19975</v>
      </c>
      <c r="L712" s="9">
        <v>97480.0</v>
      </c>
      <c r="M712" s="9" t="s">
        <v>123</v>
      </c>
      <c r="N712" s="9" t="s">
        <v>206</v>
      </c>
      <c r="P712" s="53" t="s">
        <v>5592</v>
      </c>
      <c r="Q712" s="49" t="s">
        <v>17531</v>
      </c>
      <c r="R712" s="50"/>
      <c r="S712" s="54" t="s">
        <v>19976</v>
      </c>
      <c r="Y712" s="9" t="s">
        <v>2390</v>
      </c>
      <c r="Z712" s="9" t="s">
        <v>353</v>
      </c>
      <c r="AE712" s="9" t="s">
        <v>12355</v>
      </c>
      <c r="AF712" s="60">
        <v>44484.47248842593</v>
      </c>
      <c r="AG712" s="9" t="s">
        <v>17535</v>
      </c>
      <c r="AH712" s="9" t="s">
        <v>19977</v>
      </c>
      <c r="AK712" s="9" t="b">
        <v>0</v>
      </c>
      <c r="AL712" s="9" t="b">
        <v>0</v>
      </c>
      <c r="AM712" s="9" t="s">
        <v>5599</v>
      </c>
      <c r="AN712" s="9" t="s">
        <v>10249</v>
      </c>
      <c r="AP712" s="61">
        <v>44484.0</v>
      </c>
      <c r="AQ712" s="9" t="b">
        <v>0</v>
      </c>
      <c r="AR712" s="9"/>
      <c r="AS712" s="9"/>
    </row>
    <row r="713" ht="15.75" customHeight="1">
      <c r="A713" s="9" t="s">
        <v>10251</v>
      </c>
      <c r="B713" s="9" t="s">
        <v>19978</v>
      </c>
      <c r="C713" s="9" t="s">
        <v>58</v>
      </c>
      <c r="D713" s="9" t="s">
        <v>59</v>
      </c>
      <c r="E713" s="9" t="s">
        <v>346</v>
      </c>
      <c r="F713" s="9">
        <v>13.0</v>
      </c>
      <c r="J713" s="52" t="s">
        <v>19979</v>
      </c>
      <c r="K713" s="9" t="s">
        <v>15888</v>
      </c>
      <c r="L713" s="9">
        <v>97480.0</v>
      </c>
      <c r="M713" s="9" t="s">
        <v>123</v>
      </c>
      <c r="N713" s="9" t="s">
        <v>8383</v>
      </c>
      <c r="O713" s="9" t="s">
        <v>19980</v>
      </c>
      <c r="P713" s="53" t="s">
        <v>12334</v>
      </c>
      <c r="Q713" s="49" t="s">
        <v>19981</v>
      </c>
      <c r="R713" s="50"/>
      <c r="S713" s="54" t="s">
        <v>12350</v>
      </c>
      <c r="Z713" s="9" t="s">
        <v>353</v>
      </c>
      <c r="AE713" s="9" t="s">
        <v>12355</v>
      </c>
      <c r="AF713" s="55">
        <v>44442.60974537037</v>
      </c>
      <c r="AG713" s="9" t="s">
        <v>12340</v>
      </c>
      <c r="AH713" s="9" t="s">
        <v>19982</v>
      </c>
      <c r="AM713" s="9" t="s">
        <v>19983</v>
      </c>
      <c r="AN713" s="9" t="s">
        <v>10251</v>
      </c>
      <c r="AP713" s="56">
        <v>44442.0</v>
      </c>
      <c r="AQ713" s="6" t="b">
        <v>0</v>
      </c>
      <c r="AR713" s="6" t="s">
        <v>19984</v>
      </c>
      <c r="AS713" s="6"/>
    </row>
    <row r="714" ht="15.75" customHeight="1">
      <c r="A714" s="9" t="s">
        <v>10240</v>
      </c>
      <c r="B714" s="9" t="s">
        <v>19985</v>
      </c>
      <c r="C714" s="9" t="s">
        <v>58</v>
      </c>
      <c r="D714" s="9" t="s">
        <v>59</v>
      </c>
      <c r="E714" s="9" t="s">
        <v>346</v>
      </c>
      <c r="F714" s="9">
        <v>6.0</v>
      </c>
      <c r="J714" s="52" t="s">
        <v>12820</v>
      </c>
      <c r="K714" s="9" t="s">
        <v>19986</v>
      </c>
      <c r="L714" s="9">
        <v>97480.0</v>
      </c>
      <c r="M714" s="9" t="s">
        <v>123</v>
      </c>
      <c r="N714" s="9" t="s">
        <v>4456</v>
      </c>
      <c r="O714" s="9" t="s">
        <v>19987</v>
      </c>
      <c r="P714" s="53" t="s">
        <v>19988</v>
      </c>
      <c r="Q714" s="49" t="s">
        <v>19989</v>
      </c>
      <c r="R714" s="50"/>
      <c r="S714" s="54" t="s">
        <v>12350</v>
      </c>
      <c r="Z714" s="9" t="s">
        <v>378</v>
      </c>
      <c r="AE714" s="9" t="s">
        <v>401</v>
      </c>
      <c r="AF714" s="55">
        <v>44414.63497685185</v>
      </c>
      <c r="AG714" s="9" t="s">
        <v>19990</v>
      </c>
      <c r="AH714" s="9" t="s">
        <v>19991</v>
      </c>
      <c r="AM714" s="9" t="s">
        <v>19992</v>
      </c>
      <c r="AN714" s="9" t="s">
        <v>10240</v>
      </c>
      <c r="AP714" s="56">
        <v>44414.0</v>
      </c>
      <c r="AQ714" s="6" t="b">
        <v>0</v>
      </c>
      <c r="AR714" s="6"/>
      <c r="AS714" s="6" t="s">
        <v>12303</v>
      </c>
    </row>
    <row r="715" ht="15.75" customHeight="1">
      <c r="A715" s="9" t="s">
        <v>12162</v>
      </c>
      <c r="B715" s="9" t="s">
        <v>19993</v>
      </c>
      <c r="C715" s="9" t="s">
        <v>58</v>
      </c>
      <c r="D715" s="9" t="s">
        <v>59</v>
      </c>
      <c r="E715" s="9" t="s">
        <v>346</v>
      </c>
      <c r="F715" s="9">
        <v>10.0</v>
      </c>
      <c r="J715" s="52" t="s">
        <v>13331</v>
      </c>
      <c r="K715" s="9" t="s">
        <v>19994</v>
      </c>
      <c r="L715" s="9">
        <v>97480.0</v>
      </c>
      <c r="M715" s="9" t="s">
        <v>123</v>
      </c>
      <c r="N715" s="9" t="s">
        <v>8325</v>
      </c>
      <c r="O715" s="9" t="s">
        <v>19995</v>
      </c>
      <c r="P715" s="53" t="s">
        <v>19996</v>
      </c>
      <c r="Q715" s="49" t="s">
        <v>19997</v>
      </c>
      <c r="R715" s="50"/>
      <c r="S715" s="54" t="s">
        <v>12350</v>
      </c>
      <c r="Z715" s="9" t="s">
        <v>378</v>
      </c>
      <c r="AE715" s="9" t="s">
        <v>401</v>
      </c>
      <c r="AF715" s="55">
        <v>44414.58241898148</v>
      </c>
      <c r="AG715" s="9" t="s">
        <v>19998</v>
      </c>
      <c r="AH715" s="9" t="s">
        <v>19999</v>
      </c>
      <c r="AM715" s="9" t="s">
        <v>20000</v>
      </c>
      <c r="AN715" s="9" t="s">
        <v>12162</v>
      </c>
      <c r="AP715" s="56">
        <v>44414.0</v>
      </c>
      <c r="AQ715" s="6" t="b">
        <v>0</v>
      </c>
      <c r="AR715" s="6"/>
      <c r="AS715" s="6"/>
    </row>
    <row r="716" ht="15.75" customHeight="1">
      <c r="A716" s="9" t="s">
        <v>11633</v>
      </c>
      <c r="B716" s="9" t="s">
        <v>20001</v>
      </c>
      <c r="C716" s="9" t="s">
        <v>58</v>
      </c>
      <c r="D716" s="9" t="s">
        <v>59</v>
      </c>
      <c r="E716" s="9" t="s">
        <v>545</v>
      </c>
      <c r="F716" s="9">
        <v>6.0</v>
      </c>
      <c r="J716" s="52" t="s">
        <v>14580</v>
      </c>
      <c r="K716" s="9" t="s">
        <v>16821</v>
      </c>
      <c r="L716" s="9">
        <v>97480.0</v>
      </c>
      <c r="M716" s="9" t="s">
        <v>123</v>
      </c>
      <c r="O716" s="9" t="s">
        <v>20002</v>
      </c>
      <c r="P716" s="53" t="s">
        <v>20003</v>
      </c>
      <c r="Q716" s="49" t="s">
        <v>20004</v>
      </c>
      <c r="R716" s="50"/>
      <c r="S716" s="54" t="s">
        <v>12350</v>
      </c>
      <c r="T716" s="9" t="s">
        <v>20005</v>
      </c>
      <c r="U716" s="9" t="s">
        <v>20006</v>
      </c>
      <c r="W716" s="9" t="s">
        <v>20007</v>
      </c>
      <c r="X716" s="9" t="s">
        <v>20008</v>
      </c>
      <c r="Z716" s="9" t="s">
        <v>424</v>
      </c>
      <c r="AE716" s="9" t="s">
        <v>401</v>
      </c>
      <c r="AF716" s="55">
        <v>44412.657013888886</v>
      </c>
      <c r="AG716" s="9" t="s">
        <v>20009</v>
      </c>
      <c r="AH716" s="9" t="s">
        <v>20010</v>
      </c>
      <c r="AM716" s="9" t="s">
        <v>20011</v>
      </c>
      <c r="AN716" s="9" t="s">
        <v>11633</v>
      </c>
      <c r="AP716" s="56">
        <v>44412.0</v>
      </c>
      <c r="AQ716" s="6" t="b">
        <v>0</v>
      </c>
      <c r="AR716" s="6"/>
      <c r="AS716" s="6"/>
    </row>
    <row r="717" ht="15.75" customHeight="1">
      <c r="A717" s="9" t="s">
        <v>12120</v>
      </c>
      <c r="B717" s="9" t="s">
        <v>20012</v>
      </c>
      <c r="C717" s="9" t="s">
        <v>58</v>
      </c>
      <c r="D717" s="9" t="s">
        <v>59</v>
      </c>
      <c r="E717" s="9" t="s">
        <v>346</v>
      </c>
      <c r="F717" s="9">
        <v>6.0</v>
      </c>
      <c r="J717" s="52" t="s">
        <v>12925</v>
      </c>
      <c r="K717" s="9" t="s">
        <v>20013</v>
      </c>
      <c r="L717" s="9">
        <v>97480.0</v>
      </c>
      <c r="M717" s="9" t="s">
        <v>123</v>
      </c>
      <c r="N717" s="9" t="s">
        <v>206</v>
      </c>
      <c r="O717" s="9" t="s">
        <v>20014</v>
      </c>
      <c r="P717" s="53" t="s">
        <v>20015</v>
      </c>
      <c r="Q717" s="49" t="s">
        <v>20016</v>
      </c>
      <c r="R717" s="50"/>
      <c r="S717" s="54" t="s">
        <v>12350</v>
      </c>
      <c r="T717" s="9" t="s">
        <v>20017</v>
      </c>
      <c r="W717" s="9" t="s">
        <v>20018</v>
      </c>
      <c r="Y717" s="9" t="s">
        <v>2390</v>
      </c>
      <c r="Z717" s="9" t="s">
        <v>353</v>
      </c>
      <c r="AE717" s="9" t="s">
        <v>401</v>
      </c>
      <c r="AF717" s="55">
        <v>45915.52326388889</v>
      </c>
      <c r="AG717" s="9" t="s">
        <v>20019</v>
      </c>
      <c r="AH717" s="9" t="s">
        <v>20020</v>
      </c>
      <c r="AJ717" s="9" t="s">
        <v>20021</v>
      </c>
      <c r="AK717" s="9" t="b">
        <v>0</v>
      </c>
      <c r="AL717" s="9" t="b">
        <v>0</v>
      </c>
      <c r="AM717" s="9" t="s">
        <v>20022</v>
      </c>
      <c r="AN717" s="9" t="s">
        <v>12120</v>
      </c>
      <c r="AP717" s="56">
        <v>44410.0</v>
      </c>
      <c r="AQ717" s="6" t="b">
        <v>0</v>
      </c>
      <c r="AR717" s="6"/>
      <c r="AS717" s="6"/>
    </row>
    <row r="718" ht="15.75" customHeight="1">
      <c r="A718" s="9" t="s">
        <v>11919</v>
      </c>
      <c r="B718" s="9" t="s">
        <v>20023</v>
      </c>
      <c r="C718" s="9" t="s">
        <v>58</v>
      </c>
      <c r="D718" s="9" t="s">
        <v>59</v>
      </c>
      <c r="E718" s="9" t="s">
        <v>545</v>
      </c>
      <c r="F718" s="9">
        <v>6.0</v>
      </c>
      <c r="G718" s="9" t="s">
        <v>455</v>
      </c>
      <c r="H718" s="9" t="s">
        <v>2716</v>
      </c>
      <c r="J718" s="52" t="s">
        <v>14878</v>
      </c>
      <c r="K718" s="9" t="s">
        <v>20024</v>
      </c>
      <c r="L718" s="9">
        <v>97430.0</v>
      </c>
      <c r="M718" s="9" t="s">
        <v>71</v>
      </c>
      <c r="N718" s="9" t="s">
        <v>20025</v>
      </c>
      <c r="O718" s="9" t="s">
        <v>20026</v>
      </c>
      <c r="P718" s="53" t="s">
        <v>20027</v>
      </c>
      <c r="Q718" s="49" t="s">
        <v>20028</v>
      </c>
      <c r="R718" s="50"/>
      <c r="S718" s="54" t="s">
        <v>12350</v>
      </c>
      <c r="T718" s="9" t="s">
        <v>20029</v>
      </c>
      <c r="U718" s="9" t="s">
        <v>20030</v>
      </c>
      <c r="V718" s="9" t="s">
        <v>20025</v>
      </c>
      <c r="W718" s="9" t="s">
        <v>20031</v>
      </c>
      <c r="X718" s="9" t="s">
        <v>20032</v>
      </c>
      <c r="Y718" s="9" t="s">
        <v>13978</v>
      </c>
      <c r="Z718" s="9" t="s">
        <v>424</v>
      </c>
      <c r="AC718" s="9">
        <v>9.0909897200013E13</v>
      </c>
      <c r="AD718" s="9">
        <v>9.09098972E8</v>
      </c>
      <c r="AE718" s="9" t="s">
        <v>401</v>
      </c>
      <c r="AF718" s="55">
        <v>46014.46188657408</v>
      </c>
      <c r="AG718" s="9" t="s">
        <v>20033</v>
      </c>
      <c r="AH718" s="9" t="s">
        <v>20034</v>
      </c>
      <c r="AJ718" s="9" t="s">
        <v>20035</v>
      </c>
      <c r="AK718" s="9" t="b">
        <v>0</v>
      </c>
      <c r="AL718" s="9" t="b">
        <v>0</v>
      </c>
      <c r="AM718" s="9" t="s">
        <v>20036</v>
      </c>
      <c r="AN718" s="9" t="s">
        <v>11919</v>
      </c>
      <c r="AP718" s="56">
        <v>44410.0</v>
      </c>
      <c r="AQ718" s="6" t="b">
        <v>0</v>
      </c>
      <c r="AR718" s="6"/>
      <c r="AS718" s="6" t="s">
        <v>12303</v>
      </c>
    </row>
    <row r="719" ht="15.75" customHeight="1">
      <c r="A719" s="52" t="s">
        <v>20037</v>
      </c>
      <c r="B719" s="9" t="s">
        <v>20038</v>
      </c>
      <c r="C719" s="9" t="s">
        <v>58</v>
      </c>
      <c r="D719" s="9" t="s">
        <v>59</v>
      </c>
      <c r="E719" s="9" t="s">
        <v>346</v>
      </c>
      <c r="F719" s="9">
        <v>8.0</v>
      </c>
      <c r="J719" s="52" t="s">
        <v>14790</v>
      </c>
      <c r="K719" s="9" t="s">
        <v>20039</v>
      </c>
      <c r="L719" s="9">
        <v>97480.0</v>
      </c>
      <c r="M719" s="9" t="s">
        <v>123</v>
      </c>
      <c r="N719" s="9" t="s">
        <v>206</v>
      </c>
      <c r="O719" s="9" t="s">
        <v>20040</v>
      </c>
      <c r="P719" s="53" t="s">
        <v>20041</v>
      </c>
      <c r="Q719" s="49" t="s">
        <v>20042</v>
      </c>
      <c r="R719" s="50"/>
      <c r="S719" s="54" t="s">
        <v>12350</v>
      </c>
      <c r="T719" s="9" t="s">
        <v>20043</v>
      </c>
      <c r="W719" s="9" t="s">
        <v>20044</v>
      </c>
      <c r="X719" s="9" t="s">
        <v>20045</v>
      </c>
      <c r="Z719" s="9" t="s">
        <v>378</v>
      </c>
      <c r="AC719" s="9">
        <v>5.384542160001E13</v>
      </c>
      <c r="AD719" s="9">
        <v>5.38454216E8</v>
      </c>
      <c r="AE719" s="9" t="s">
        <v>401</v>
      </c>
      <c r="AF719" s="55">
        <v>45995.438101851854</v>
      </c>
      <c r="AG719" s="9" t="s">
        <v>20046</v>
      </c>
      <c r="AH719" s="9" t="s">
        <v>20047</v>
      </c>
      <c r="AJ719" s="9" t="s">
        <v>20048</v>
      </c>
      <c r="AM719" s="9" t="s">
        <v>20049</v>
      </c>
      <c r="AN719" s="52" t="s">
        <v>20037</v>
      </c>
      <c r="AP719" s="56">
        <v>44407.0</v>
      </c>
      <c r="AQ719" s="6" t="b">
        <v>0</v>
      </c>
      <c r="AR719" s="6"/>
      <c r="AS719" s="6"/>
    </row>
    <row r="720" ht="15.75" customHeight="1">
      <c r="A720" s="6" t="s">
        <v>11942</v>
      </c>
      <c r="B720" s="6" t="s">
        <v>20050</v>
      </c>
      <c r="C720" s="6" t="s">
        <v>58</v>
      </c>
      <c r="D720" s="6" t="s">
        <v>59</v>
      </c>
      <c r="E720" s="6" t="s">
        <v>346</v>
      </c>
      <c r="F720" s="6">
        <v>8.0</v>
      </c>
      <c r="G720" s="7"/>
      <c r="H720" s="7"/>
      <c r="I720" s="7"/>
      <c r="J720" s="41" t="s">
        <v>12331</v>
      </c>
      <c r="K720" s="6" t="s">
        <v>20051</v>
      </c>
      <c r="L720" s="6">
        <v>97414.0</v>
      </c>
      <c r="M720" s="6" t="s">
        <v>40</v>
      </c>
      <c r="N720" s="6" t="s">
        <v>1860</v>
      </c>
      <c r="O720" s="6" t="s">
        <v>20052</v>
      </c>
      <c r="P720" s="53" t="s">
        <v>20053</v>
      </c>
      <c r="Q720" s="49" t="s">
        <v>20054</v>
      </c>
      <c r="R720" s="50"/>
      <c r="S720" s="51" t="s">
        <v>12350</v>
      </c>
      <c r="T720" s="6" t="s">
        <v>20055</v>
      </c>
      <c r="U720" s="6" t="s">
        <v>20056</v>
      </c>
      <c r="V720" s="7"/>
      <c r="W720" s="6" t="s">
        <v>20057</v>
      </c>
      <c r="X720" s="6" t="s">
        <v>20058</v>
      </c>
      <c r="Y720" s="6" t="s">
        <v>9455</v>
      </c>
      <c r="Z720" s="6" t="s">
        <v>378</v>
      </c>
      <c r="AA720" s="7"/>
      <c r="AB720" s="7"/>
      <c r="AC720" s="7"/>
      <c r="AD720" s="7"/>
      <c r="AE720" s="6" t="s">
        <v>401</v>
      </c>
      <c r="AF720" s="45">
        <v>45449.523460648146</v>
      </c>
      <c r="AG720" s="6" t="s">
        <v>20059</v>
      </c>
      <c r="AH720" s="6" t="s">
        <v>20060</v>
      </c>
      <c r="AI720" s="7"/>
      <c r="AJ720" s="6" t="s">
        <v>20061</v>
      </c>
      <c r="AK720" s="6" t="b">
        <v>0</v>
      </c>
      <c r="AL720" s="7"/>
      <c r="AM720" s="6" t="s">
        <v>20062</v>
      </c>
      <c r="AN720" s="6" t="s">
        <v>11942</v>
      </c>
      <c r="AO720" s="7"/>
      <c r="AP720" s="65">
        <v>44396.0</v>
      </c>
      <c r="AQ720" s="6" t="b">
        <v>0</v>
      </c>
      <c r="AR720" s="6"/>
      <c r="AS720" s="48" t="s">
        <v>12303</v>
      </c>
    </row>
    <row r="721" ht="15.75" customHeight="1">
      <c r="A721" s="7" t="s">
        <v>271</v>
      </c>
      <c r="B721" s="7" t="s">
        <v>20063</v>
      </c>
      <c r="C721" s="7" t="s">
        <v>58</v>
      </c>
      <c r="D721" s="7" t="s">
        <v>453</v>
      </c>
      <c r="E721" s="7" t="s">
        <v>454</v>
      </c>
      <c r="F721" s="7">
        <v>8.0</v>
      </c>
      <c r="G721" s="7" t="s">
        <v>455</v>
      </c>
      <c r="H721" s="7"/>
      <c r="I721" s="7"/>
      <c r="J721" s="7">
        <v>124.0</v>
      </c>
      <c r="K721" s="7" t="s">
        <v>20064</v>
      </c>
      <c r="L721" s="7">
        <v>97480.0</v>
      </c>
      <c r="M721" s="7" t="s">
        <v>123</v>
      </c>
      <c r="N721" s="7"/>
      <c r="O721" s="6" t="s">
        <v>20065</v>
      </c>
      <c r="P721" s="42" t="s">
        <v>6542</v>
      </c>
      <c r="Q721" s="43" t="s">
        <v>20066</v>
      </c>
      <c r="R721" s="43" t="s">
        <v>20067</v>
      </c>
      <c r="S721" s="47" t="s">
        <v>6540</v>
      </c>
      <c r="T721" s="7" t="s">
        <v>6544</v>
      </c>
      <c r="U721" s="7" t="s">
        <v>6543</v>
      </c>
      <c r="V721" s="7" t="s">
        <v>6545</v>
      </c>
      <c r="W721" s="6" t="s">
        <v>20068</v>
      </c>
      <c r="X721" s="7" t="s">
        <v>1987</v>
      </c>
      <c r="Y721" s="7" t="s">
        <v>499</v>
      </c>
      <c r="Z721" s="7" t="s">
        <v>424</v>
      </c>
      <c r="AA721" s="7"/>
      <c r="AB721" s="7"/>
      <c r="AC721" s="7">
        <v>5.3359369500018E13</v>
      </c>
      <c r="AD721" s="7">
        <v>5.33593695E8</v>
      </c>
      <c r="AE721" s="6" t="s">
        <v>401</v>
      </c>
      <c r="AF721" s="45">
        <v>45819.56444444445</v>
      </c>
      <c r="AG721" s="7" t="s">
        <v>20069</v>
      </c>
      <c r="AH721" s="46" t="s">
        <v>20070</v>
      </c>
      <c r="AI721" s="7"/>
      <c r="AJ721" s="6" t="s">
        <v>20071</v>
      </c>
      <c r="AK721" s="7" t="b">
        <v>0</v>
      </c>
      <c r="AL721" s="7" t="b">
        <v>1</v>
      </c>
      <c r="AM721" s="6" t="s">
        <v>6550</v>
      </c>
      <c r="AN721" s="6" t="s">
        <v>271</v>
      </c>
      <c r="AO721" s="6">
        <v>946.0</v>
      </c>
      <c r="AP721" s="6"/>
      <c r="AQ721" s="6" t="b">
        <v>1</v>
      </c>
      <c r="AR721" s="6"/>
      <c r="AS721" s="6"/>
    </row>
    <row r="722" ht="15.75" customHeight="1">
      <c r="A722" s="7" t="s">
        <v>433</v>
      </c>
      <c r="B722" s="7" t="s">
        <v>434</v>
      </c>
      <c r="C722" s="7" t="s">
        <v>58</v>
      </c>
      <c r="D722" s="7" t="s">
        <v>59</v>
      </c>
      <c r="E722" s="7" t="s">
        <v>374</v>
      </c>
      <c r="F722" s="7">
        <v>4.0</v>
      </c>
      <c r="G722" s="7" t="s">
        <v>407</v>
      </c>
      <c r="H722" s="7"/>
      <c r="I722" s="7"/>
      <c r="J722" s="7">
        <v>9.0</v>
      </c>
      <c r="K722" s="7" t="s">
        <v>20072</v>
      </c>
      <c r="L722" s="7">
        <v>97414.0</v>
      </c>
      <c r="M722" s="7" t="s">
        <v>40</v>
      </c>
      <c r="N722" s="7"/>
      <c r="O722" s="7" t="s">
        <v>447</v>
      </c>
      <c r="P722" s="42" t="s">
        <v>441</v>
      </c>
      <c r="Q722" s="43" t="s">
        <v>20073</v>
      </c>
      <c r="R722" s="50"/>
      <c r="S722" s="51"/>
      <c r="T722" s="7" t="s">
        <v>442</v>
      </c>
      <c r="U722" s="7"/>
      <c r="V722" s="7" t="s">
        <v>443</v>
      </c>
      <c r="W722" s="6" t="s">
        <v>20074</v>
      </c>
      <c r="X722" s="7" t="s">
        <v>438</v>
      </c>
      <c r="Y722" s="7" t="s">
        <v>439</v>
      </c>
      <c r="Z722" s="7" t="s">
        <v>440</v>
      </c>
      <c r="AA722" s="7"/>
      <c r="AB722" s="7"/>
      <c r="AC722" s="7"/>
      <c r="AD722" s="7"/>
      <c r="AE722" s="6" t="s">
        <v>12355</v>
      </c>
      <c r="AF722" s="74">
        <v>44290.756944444445</v>
      </c>
      <c r="AG722" s="7" t="s">
        <v>20075</v>
      </c>
      <c r="AH722" s="75" t="s">
        <v>20076</v>
      </c>
      <c r="AI722" s="7"/>
      <c r="AJ722" s="7"/>
      <c r="AK722" s="7" t="b">
        <v>0</v>
      </c>
      <c r="AL722" s="7" t="b">
        <v>0</v>
      </c>
      <c r="AM722" s="6" t="s">
        <v>448</v>
      </c>
      <c r="AN722" s="7"/>
      <c r="AO722" s="6">
        <v>924.0</v>
      </c>
      <c r="AP722" s="6"/>
      <c r="AQ722" s="6" t="b">
        <v>1</v>
      </c>
      <c r="AR722" s="6"/>
      <c r="AS722" s="48" t="s">
        <v>12303</v>
      </c>
    </row>
    <row r="723" ht="15.75" customHeight="1">
      <c r="A723" s="7" t="s">
        <v>6527</v>
      </c>
      <c r="B723" s="7" t="s">
        <v>20077</v>
      </c>
      <c r="C723" s="7" t="s">
        <v>34</v>
      </c>
      <c r="D723" s="7" t="s">
        <v>622</v>
      </c>
      <c r="E723" s="7" t="s">
        <v>622</v>
      </c>
      <c r="F723" s="7"/>
      <c r="G723" s="7"/>
      <c r="H723" s="7"/>
      <c r="I723" s="7"/>
      <c r="J723" s="7">
        <v>29.0</v>
      </c>
      <c r="K723" s="7" t="s">
        <v>19029</v>
      </c>
      <c r="L723" s="7">
        <v>97430.0</v>
      </c>
      <c r="M723" s="7" t="s">
        <v>71</v>
      </c>
      <c r="N723" s="7"/>
      <c r="O723" s="7" t="s">
        <v>6535</v>
      </c>
      <c r="P723" s="42" t="s">
        <v>20078</v>
      </c>
      <c r="Q723" s="43" t="s">
        <v>20079</v>
      </c>
      <c r="R723" s="43" t="s">
        <v>20080</v>
      </c>
      <c r="S723" s="51"/>
      <c r="T723" s="7" t="s">
        <v>6531</v>
      </c>
      <c r="U723" s="7" t="s">
        <v>6530</v>
      </c>
      <c r="V723" s="7"/>
      <c r="W723" s="7"/>
      <c r="X723" s="7"/>
      <c r="Y723" s="7" t="s">
        <v>377</v>
      </c>
      <c r="Z723" s="7" t="s">
        <v>378</v>
      </c>
      <c r="AA723" s="7"/>
      <c r="AB723" s="7"/>
      <c r="AC723" s="7">
        <v>5.3167288900015E13</v>
      </c>
      <c r="AD723" s="7">
        <v>5.31672889E8</v>
      </c>
      <c r="AE723" s="6" t="s">
        <v>12355</v>
      </c>
      <c r="AF723" s="74">
        <v>44244.0</v>
      </c>
      <c r="AG723" s="7" t="s">
        <v>20081</v>
      </c>
      <c r="AH723" s="75" t="s">
        <v>20082</v>
      </c>
      <c r="AI723" s="7"/>
      <c r="AJ723" s="7"/>
      <c r="AK723" s="7" t="b">
        <v>0</v>
      </c>
      <c r="AL723" s="7" t="b">
        <v>0</v>
      </c>
      <c r="AM723" s="7"/>
      <c r="AN723" s="7"/>
      <c r="AO723" s="6">
        <v>3999.0</v>
      </c>
      <c r="AP723" s="6"/>
      <c r="AQ723" s="6" t="b">
        <v>1</v>
      </c>
      <c r="AR723" s="6"/>
      <c r="AS723" s="6"/>
    </row>
    <row r="724" ht="15.75" customHeight="1">
      <c r="A724" s="7" t="s">
        <v>6807</v>
      </c>
      <c r="B724" s="7" t="s">
        <v>6808</v>
      </c>
      <c r="C724" s="7" t="s">
        <v>58</v>
      </c>
      <c r="D724" s="7" t="s">
        <v>59</v>
      </c>
      <c r="E724" s="7" t="s">
        <v>374</v>
      </c>
      <c r="F724" s="7">
        <v>6.0</v>
      </c>
      <c r="G724" s="7" t="s">
        <v>455</v>
      </c>
      <c r="H724" s="7"/>
      <c r="I724" s="7"/>
      <c r="J724" s="7">
        <v>9.0</v>
      </c>
      <c r="K724" s="7" t="s">
        <v>20083</v>
      </c>
      <c r="L724" s="7">
        <v>97430.0</v>
      </c>
      <c r="M724" s="7" t="s">
        <v>71</v>
      </c>
      <c r="N724" s="6" t="s">
        <v>3501</v>
      </c>
      <c r="O724" s="7" t="s">
        <v>6817</v>
      </c>
      <c r="P724" s="42" t="s">
        <v>6811</v>
      </c>
      <c r="Q724" s="43" t="s">
        <v>20084</v>
      </c>
      <c r="R724" s="43" t="s">
        <v>20085</v>
      </c>
      <c r="S724" s="51"/>
      <c r="T724" s="7" t="s">
        <v>6812</v>
      </c>
      <c r="U724" s="7"/>
      <c r="V724" s="7" t="s">
        <v>6813</v>
      </c>
      <c r="W724" s="6" t="s">
        <v>20086</v>
      </c>
      <c r="X724" s="7" t="s">
        <v>2605</v>
      </c>
      <c r="Y724" s="7" t="s">
        <v>6449</v>
      </c>
      <c r="Z724" s="7" t="s">
        <v>353</v>
      </c>
      <c r="AA724" s="7"/>
      <c r="AB724" s="7"/>
      <c r="AC724" s="7">
        <v>4.3019202100011E13</v>
      </c>
      <c r="AD724" s="7">
        <v>4.30192021E8</v>
      </c>
      <c r="AE724" s="6" t="s">
        <v>401</v>
      </c>
      <c r="AF724" s="45">
        <v>45680.62616898148</v>
      </c>
      <c r="AG724" s="7" t="s">
        <v>20087</v>
      </c>
      <c r="AH724" s="46" t="s">
        <v>20088</v>
      </c>
      <c r="AI724" s="7"/>
      <c r="AJ724" s="6" t="s">
        <v>20089</v>
      </c>
      <c r="AK724" s="7" t="b">
        <v>0</v>
      </c>
      <c r="AL724" s="7" t="b">
        <v>0</v>
      </c>
      <c r="AM724" s="6" t="s">
        <v>6818</v>
      </c>
      <c r="AN724" s="6" t="s">
        <v>6807</v>
      </c>
      <c r="AO724" s="6">
        <v>1556.0</v>
      </c>
      <c r="AP724" s="6"/>
      <c r="AQ724" s="6" t="b">
        <v>1</v>
      </c>
      <c r="AR724" s="6"/>
      <c r="AS724" s="6"/>
    </row>
    <row r="725" ht="15.75" customHeight="1">
      <c r="A725" s="7" t="s">
        <v>6854</v>
      </c>
      <c r="B725" s="7" t="s">
        <v>6855</v>
      </c>
      <c r="C725" s="7" t="s">
        <v>58</v>
      </c>
      <c r="D725" s="7" t="s">
        <v>59</v>
      </c>
      <c r="E725" s="7" t="s">
        <v>374</v>
      </c>
      <c r="F725" s="7">
        <v>20.0</v>
      </c>
      <c r="G725" s="7" t="s">
        <v>455</v>
      </c>
      <c r="H725" s="7"/>
      <c r="I725" s="7"/>
      <c r="J725" s="7">
        <v>123.0</v>
      </c>
      <c r="K725" s="7" t="s">
        <v>20090</v>
      </c>
      <c r="L725" s="7">
        <v>97430.0</v>
      </c>
      <c r="M725" s="7" t="s">
        <v>71</v>
      </c>
      <c r="N725" s="7" t="s">
        <v>3501</v>
      </c>
      <c r="O725" s="6" t="s">
        <v>20091</v>
      </c>
      <c r="P725" s="42" t="s">
        <v>6859</v>
      </c>
      <c r="Q725" s="49" t="s">
        <v>20092</v>
      </c>
      <c r="R725" s="43" t="s">
        <v>20093</v>
      </c>
      <c r="S725" s="51"/>
      <c r="T725" s="7" t="s">
        <v>6860</v>
      </c>
      <c r="U725" s="7"/>
      <c r="V725" s="7"/>
      <c r="W725" s="6" t="s">
        <v>20094</v>
      </c>
      <c r="X725" s="7" t="s">
        <v>6858</v>
      </c>
      <c r="Y725" s="7" t="s">
        <v>377</v>
      </c>
      <c r="Z725" s="7" t="s">
        <v>378</v>
      </c>
      <c r="AA725" s="7"/>
      <c r="AB725" s="7"/>
      <c r="AC725" s="7"/>
      <c r="AD725" s="7"/>
      <c r="AE725" s="6" t="s">
        <v>401</v>
      </c>
      <c r="AF725" s="63">
        <v>46001.36408564815</v>
      </c>
      <c r="AG725" s="7" t="s">
        <v>20095</v>
      </c>
      <c r="AH725" s="46" t="s">
        <v>20096</v>
      </c>
      <c r="AI725" s="7"/>
      <c r="AJ725" s="6" t="s">
        <v>20097</v>
      </c>
      <c r="AK725" s="7" t="b">
        <v>0</v>
      </c>
      <c r="AL725" s="7" t="b">
        <v>0</v>
      </c>
      <c r="AM725" s="6" t="s">
        <v>6865</v>
      </c>
      <c r="AN725" s="6" t="s">
        <v>6854</v>
      </c>
      <c r="AO725" s="6">
        <v>3039.0</v>
      </c>
      <c r="AP725" s="6"/>
      <c r="AQ725" s="6" t="b">
        <v>1</v>
      </c>
      <c r="AR725" s="6"/>
      <c r="AS725" s="6"/>
    </row>
    <row r="726" ht="15.75" customHeight="1">
      <c r="A726" s="7" t="s">
        <v>5788</v>
      </c>
      <c r="B726" s="7" t="s">
        <v>20098</v>
      </c>
      <c r="C726" s="7" t="s">
        <v>34</v>
      </c>
      <c r="D726" s="6" t="s">
        <v>13467</v>
      </c>
      <c r="E726" s="6" t="s">
        <v>17856</v>
      </c>
      <c r="F726" s="7"/>
      <c r="G726" s="7" t="s">
        <v>664</v>
      </c>
      <c r="H726" s="7"/>
      <c r="I726" s="7"/>
      <c r="J726" s="7" t="s">
        <v>20099</v>
      </c>
      <c r="K726" s="7" t="s">
        <v>20100</v>
      </c>
      <c r="L726" s="7">
        <v>97480.0</v>
      </c>
      <c r="M726" s="7" t="s">
        <v>123</v>
      </c>
      <c r="N726" s="7"/>
      <c r="O726" s="7" t="s">
        <v>5796</v>
      </c>
      <c r="P726" s="42" t="s">
        <v>20101</v>
      </c>
      <c r="Q726" s="43" t="s">
        <v>20102</v>
      </c>
      <c r="R726" s="43" t="s">
        <v>20103</v>
      </c>
      <c r="S726" s="51"/>
      <c r="T726" s="7" t="s">
        <v>5792</v>
      </c>
      <c r="U726" s="7" t="s">
        <v>5791</v>
      </c>
      <c r="V726" s="7"/>
      <c r="W726" s="7"/>
      <c r="X726" s="7"/>
      <c r="Y726" s="7" t="s">
        <v>377</v>
      </c>
      <c r="Z726" s="7" t="s">
        <v>353</v>
      </c>
      <c r="AA726" s="7"/>
      <c r="AB726" s="7"/>
      <c r="AC726" s="7">
        <v>4.8765844500027E13</v>
      </c>
      <c r="AD726" s="7">
        <v>4.87658445E8</v>
      </c>
      <c r="AE726" s="6" t="s">
        <v>12355</v>
      </c>
      <c r="AF726" s="74">
        <v>44241.37013888889</v>
      </c>
      <c r="AG726" s="7" t="s">
        <v>20104</v>
      </c>
      <c r="AH726" s="75" t="s">
        <v>20105</v>
      </c>
      <c r="AI726" s="7"/>
      <c r="AJ726" s="7"/>
      <c r="AK726" s="7" t="b">
        <v>0</v>
      </c>
      <c r="AL726" s="7" t="b">
        <v>0</v>
      </c>
      <c r="AM726" s="7"/>
      <c r="AN726" s="7"/>
      <c r="AO726" s="6">
        <v>3083.0</v>
      </c>
      <c r="AP726" s="6"/>
      <c r="AQ726" s="6" t="b">
        <v>1</v>
      </c>
      <c r="AR726" s="6"/>
      <c r="AS726" s="6"/>
    </row>
    <row r="727" ht="15.75" customHeight="1">
      <c r="A727" s="7" t="s">
        <v>2920</v>
      </c>
      <c r="B727" s="7" t="s">
        <v>2921</v>
      </c>
      <c r="C727" s="7" t="s">
        <v>1198</v>
      </c>
      <c r="D727" s="7" t="s">
        <v>1199</v>
      </c>
      <c r="E727" s="7" t="s">
        <v>1200</v>
      </c>
      <c r="F727" s="7">
        <v>8.0</v>
      </c>
      <c r="G727" s="7" t="s">
        <v>455</v>
      </c>
      <c r="H727" s="7"/>
      <c r="I727" s="7"/>
      <c r="J727" s="7">
        <v>41.0</v>
      </c>
      <c r="K727" s="7" t="s">
        <v>14605</v>
      </c>
      <c r="L727" s="7">
        <v>97430.0</v>
      </c>
      <c r="M727" s="7" t="s">
        <v>71</v>
      </c>
      <c r="N727" s="7" t="s">
        <v>3501</v>
      </c>
      <c r="O727" s="7" t="s">
        <v>2931</v>
      </c>
      <c r="P727" s="42" t="s">
        <v>2924</v>
      </c>
      <c r="Q727" s="43" t="s">
        <v>20106</v>
      </c>
      <c r="R727" s="43" t="s">
        <v>20107</v>
      </c>
      <c r="S727" s="51"/>
      <c r="T727" s="7" t="s">
        <v>2926</v>
      </c>
      <c r="U727" s="7" t="s">
        <v>2925</v>
      </c>
      <c r="V727" s="7" t="s">
        <v>2927</v>
      </c>
      <c r="W727" s="7"/>
      <c r="X727" s="7"/>
      <c r="Y727" s="7" t="s">
        <v>648</v>
      </c>
      <c r="Z727" s="7" t="s">
        <v>2923</v>
      </c>
      <c r="AA727" s="7"/>
      <c r="AB727" s="7"/>
      <c r="AC727" s="7">
        <v>4.4298060300017E13</v>
      </c>
      <c r="AD727" s="7">
        <v>4.42980603E8</v>
      </c>
      <c r="AE727" s="6" t="s">
        <v>401</v>
      </c>
      <c r="AF727" s="45">
        <v>46059.48295138889</v>
      </c>
      <c r="AG727" s="7" t="s">
        <v>20108</v>
      </c>
      <c r="AH727" s="46" t="s">
        <v>20109</v>
      </c>
      <c r="AI727" s="7"/>
      <c r="AJ727" s="6" t="s">
        <v>20110</v>
      </c>
      <c r="AK727" s="7" t="b">
        <v>0</v>
      </c>
      <c r="AL727" s="7" t="b">
        <v>0</v>
      </c>
      <c r="AM727" s="7"/>
      <c r="AN727" s="6" t="s">
        <v>2920</v>
      </c>
      <c r="AO727" s="6">
        <v>4075.0</v>
      </c>
      <c r="AP727" s="6"/>
      <c r="AQ727" s="6" t="b">
        <v>1</v>
      </c>
      <c r="AR727" s="6"/>
      <c r="AS727" s="6"/>
    </row>
    <row r="728" ht="15.75" customHeight="1">
      <c r="A728" s="7" t="s">
        <v>7785</v>
      </c>
      <c r="B728" s="7" t="s">
        <v>7786</v>
      </c>
      <c r="C728" s="7" t="s">
        <v>34</v>
      </c>
      <c r="D728" s="7" t="s">
        <v>622</v>
      </c>
      <c r="E728" s="7" t="s">
        <v>622</v>
      </c>
      <c r="F728" s="7">
        <v>80.0</v>
      </c>
      <c r="G728" s="7"/>
      <c r="H728" s="7"/>
      <c r="I728" s="7"/>
      <c r="J728" s="7" t="s">
        <v>20111</v>
      </c>
      <c r="K728" s="7" t="s">
        <v>20112</v>
      </c>
      <c r="L728" s="7">
        <v>97442.0</v>
      </c>
      <c r="M728" s="7" t="s">
        <v>33</v>
      </c>
      <c r="N728" s="7"/>
      <c r="O728" s="7" t="s">
        <v>7794</v>
      </c>
      <c r="P728" s="42" t="s">
        <v>7788</v>
      </c>
      <c r="Q728" s="43" t="s">
        <v>19891</v>
      </c>
      <c r="R728" s="50"/>
      <c r="S728" s="51"/>
      <c r="T728" s="7" t="s">
        <v>7789</v>
      </c>
      <c r="U728" s="7"/>
      <c r="V728" s="7" t="s">
        <v>7790</v>
      </c>
      <c r="W728" s="7"/>
      <c r="X728" s="7"/>
      <c r="Y728" s="7" t="s">
        <v>974</v>
      </c>
      <c r="Z728" s="7" t="s">
        <v>424</v>
      </c>
      <c r="AA728" s="7"/>
      <c r="AB728" s="7"/>
      <c r="AC728" s="7">
        <v>4.8172632100013E13</v>
      </c>
      <c r="AD728" s="7">
        <v>4.81726321E8</v>
      </c>
      <c r="AE728" s="6" t="s">
        <v>12355</v>
      </c>
      <c r="AF728" s="74">
        <v>44238.06319444445</v>
      </c>
      <c r="AG728" s="7" t="s">
        <v>19893</v>
      </c>
      <c r="AH728" s="75" t="s">
        <v>20113</v>
      </c>
      <c r="AI728" s="7"/>
      <c r="AJ728" s="7"/>
      <c r="AK728" s="7" t="b">
        <v>0</v>
      </c>
      <c r="AL728" s="7" t="b">
        <v>0</v>
      </c>
      <c r="AM728" s="7"/>
      <c r="AN728" s="7"/>
      <c r="AO728" s="6">
        <v>2978.0</v>
      </c>
      <c r="AP728" s="6"/>
      <c r="AQ728" s="6" t="b">
        <v>1</v>
      </c>
      <c r="AR728" s="6"/>
      <c r="AS728" s="48" t="s">
        <v>12303</v>
      </c>
    </row>
    <row r="729" ht="15.75" customHeight="1">
      <c r="A729" s="7" t="s">
        <v>4639</v>
      </c>
      <c r="B729" s="7" t="s">
        <v>4640</v>
      </c>
      <c r="C729" s="6" t="s">
        <v>117</v>
      </c>
      <c r="D729" s="7" t="s">
        <v>1405</v>
      </c>
      <c r="E729" s="7" t="s">
        <v>1406</v>
      </c>
      <c r="F729" s="7">
        <v>40.0</v>
      </c>
      <c r="G729" s="7" t="s">
        <v>455</v>
      </c>
      <c r="H729" s="7"/>
      <c r="I729" s="7"/>
      <c r="J729" s="41" t="s">
        <v>20114</v>
      </c>
      <c r="K729" s="7" t="s">
        <v>14889</v>
      </c>
      <c r="L729" s="7">
        <v>97480.0</v>
      </c>
      <c r="M729" s="7" t="s">
        <v>123</v>
      </c>
      <c r="N729" s="6" t="s">
        <v>8395</v>
      </c>
      <c r="O729" s="6" t="s">
        <v>20115</v>
      </c>
      <c r="P729" s="42" t="s">
        <v>4642</v>
      </c>
      <c r="Q729" s="49" t="s">
        <v>20116</v>
      </c>
      <c r="R729" s="50"/>
      <c r="S729" s="51"/>
      <c r="T729" s="7" t="s">
        <v>4644</v>
      </c>
      <c r="U729" s="7" t="s">
        <v>4643</v>
      </c>
      <c r="V729" s="7" t="s">
        <v>4645</v>
      </c>
      <c r="W729" s="7"/>
      <c r="X729" s="7"/>
      <c r="Y729" s="7" t="s">
        <v>377</v>
      </c>
      <c r="Z729" s="7" t="s">
        <v>378</v>
      </c>
      <c r="AA729" s="7"/>
      <c r="AB729" s="7"/>
      <c r="AC729" s="7">
        <v>4.3919702100017E13</v>
      </c>
      <c r="AD729" s="7">
        <v>4.39197021E8</v>
      </c>
      <c r="AE729" s="6" t="s">
        <v>401</v>
      </c>
      <c r="AF729" s="45">
        <v>45831.36173611111</v>
      </c>
      <c r="AG729" s="7" t="s">
        <v>20117</v>
      </c>
      <c r="AH729" s="46" t="s">
        <v>20118</v>
      </c>
      <c r="AI729" s="7"/>
      <c r="AJ729" s="6" t="s">
        <v>20119</v>
      </c>
      <c r="AK729" s="7" t="b">
        <v>0</v>
      </c>
      <c r="AL729" s="7" t="b">
        <v>0</v>
      </c>
      <c r="AM729" s="7"/>
      <c r="AN729" s="6" t="s">
        <v>4639</v>
      </c>
      <c r="AO729" s="6">
        <v>4010.0</v>
      </c>
      <c r="AP729" s="6"/>
      <c r="AQ729" s="6" t="b">
        <v>1</v>
      </c>
      <c r="AR729" s="6"/>
      <c r="AS729" s="6" t="s">
        <v>12303</v>
      </c>
    </row>
    <row r="730" ht="15.75" customHeight="1">
      <c r="A730" s="7" t="s">
        <v>5692</v>
      </c>
      <c r="B730" s="7" t="s">
        <v>5693</v>
      </c>
      <c r="C730" s="6" t="s">
        <v>117</v>
      </c>
      <c r="D730" s="7" t="s">
        <v>1792</v>
      </c>
      <c r="E730" s="6" t="s">
        <v>16413</v>
      </c>
      <c r="F730" s="6">
        <v>100.0</v>
      </c>
      <c r="G730" s="6" t="s">
        <v>664</v>
      </c>
      <c r="H730" s="7"/>
      <c r="I730" s="7"/>
      <c r="J730" s="7">
        <v>16.0</v>
      </c>
      <c r="K730" s="7" t="s">
        <v>20120</v>
      </c>
      <c r="L730" s="7">
        <v>97430.0</v>
      </c>
      <c r="M730" s="7" t="s">
        <v>71</v>
      </c>
      <c r="N730" s="7"/>
      <c r="O730" s="6" t="s">
        <v>20121</v>
      </c>
      <c r="P730" s="71" t="s">
        <v>5696</v>
      </c>
      <c r="Q730" s="43" t="s">
        <v>20122</v>
      </c>
      <c r="R730" s="50"/>
      <c r="S730" s="47" t="s">
        <v>5695</v>
      </c>
      <c r="T730" s="7" t="s">
        <v>5698</v>
      </c>
      <c r="U730" s="7" t="s">
        <v>5697</v>
      </c>
      <c r="V730" s="6" t="s">
        <v>20123</v>
      </c>
      <c r="W730" s="7"/>
      <c r="X730" s="7"/>
      <c r="Y730" s="7"/>
      <c r="Z730" s="7" t="s">
        <v>378</v>
      </c>
      <c r="AA730" s="7"/>
      <c r="AB730" s="7"/>
      <c r="AC730" s="6">
        <v>2.19740222001E13</v>
      </c>
      <c r="AD730" s="6">
        <v>2.19740222E8</v>
      </c>
      <c r="AE730" s="6" t="s">
        <v>401</v>
      </c>
      <c r="AF730" s="74">
        <v>44235.0</v>
      </c>
      <c r="AG730" s="7" t="s">
        <v>20124</v>
      </c>
      <c r="AH730" s="46" t="s">
        <v>20125</v>
      </c>
      <c r="AI730" s="7"/>
      <c r="AJ730" s="7"/>
      <c r="AK730" s="7" t="b">
        <v>0</v>
      </c>
      <c r="AL730" s="7" t="b">
        <v>0</v>
      </c>
      <c r="AM730" s="7"/>
      <c r="AN730" s="6" t="s">
        <v>5692</v>
      </c>
      <c r="AO730" s="6">
        <v>3908.0</v>
      </c>
      <c r="AP730" s="6"/>
      <c r="AQ730" s="6" t="b">
        <v>1</v>
      </c>
      <c r="AR730" s="6"/>
      <c r="AS730" s="6"/>
    </row>
    <row r="731" ht="15.75" customHeight="1">
      <c r="A731" s="7" t="s">
        <v>5739</v>
      </c>
      <c r="B731" s="7" t="s">
        <v>5740</v>
      </c>
      <c r="C731" s="6" t="s">
        <v>117</v>
      </c>
      <c r="D731" s="7" t="s">
        <v>197</v>
      </c>
      <c r="E731" s="7" t="s">
        <v>559</v>
      </c>
      <c r="F731" s="7"/>
      <c r="G731" s="7" t="s">
        <v>455</v>
      </c>
      <c r="H731" s="7"/>
      <c r="I731" s="7"/>
      <c r="J731" s="41" t="s">
        <v>12445</v>
      </c>
      <c r="K731" s="7" t="s">
        <v>20126</v>
      </c>
      <c r="L731" s="7">
        <v>97418.0</v>
      </c>
      <c r="M731" s="7" t="s">
        <v>71</v>
      </c>
      <c r="N731" s="7" t="s">
        <v>216</v>
      </c>
      <c r="O731" s="7" t="s">
        <v>5746</v>
      </c>
      <c r="P731" s="53" t="s">
        <v>20127</v>
      </c>
      <c r="Q731" s="43" t="s">
        <v>20128</v>
      </c>
      <c r="R731" s="50"/>
      <c r="S731" s="51"/>
      <c r="T731" s="7" t="s">
        <v>5742</v>
      </c>
      <c r="U731" s="7"/>
      <c r="V731" s="7"/>
      <c r="W731" s="7"/>
      <c r="X731" s="7"/>
      <c r="Y731" s="7" t="s">
        <v>377</v>
      </c>
      <c r="Z731" s="7" t="s">
        <v>378</v>
      </c>
      <c r="AA731" s="7"/>
      <c r="AB731" s="7"/>
      <c r="AC731" s="7"/>
      <c r="AD731" s="7"/>
      <c r="AE731" s="6" t="s">
        <v>12355</v>
      </c>
      <c r="AF731" s="45">
        <v>45677.37268518518</v>
      </c>
      <c r="AG731" s="7" t="s">
        <v>20129</v>
      </c>
      <c r="AH731" s="46" t="s">
        <v>20130</v>
      </c>
      <c r="AI731" s="7"/>
      <c r="AJ731" s="7"/>
      <c r="AK731" s="7" t="b">
        <v>0</v>
      </c>
      <c r="AL731" s="7" t="b">
        <v>0</v>
      </c>
      <c r="AM731" s="7"/>
      <c r="AN731" s="6" t="s">
        <v>5739</v>
      </c>
      <c r="AO731" s="6">
        <v>3013.0</v>
      </c>
      <c r="AP731" s="6"/>
      <c r="AQ731" s="6" t="b">
        <v>0</v>
      </c>
      <c r="AR731" s="6"/>
      <c r="AS731" s="48" t="s">
        <v>12303</v>
      </c>
    </row>
    <row r="732" ht="15.75" customHeight="1">
      <c r="A732" s="7" t="s">
        <v>5808</v>
      </c>
      <c r="B732" s="7" t="s">
        <v>20131</v>
      </c>
      <c r="C732" s="7" t="s">
        <v>58</v>
      </c>
      <c r="D732" s="7" t="s">
        <v>453</v>
      </c>
      <c r="E732" s="7" t="s">
        <v>454</v>
      </c>
      <c r="F732" s="7">
        <v>5.0</v>
      </c>
      <c r="G732" s="7" t="s">
        <v>407</v>
      </c>
      <c r="H732" s="7" t="s">
        <v>574</v>
      </c>
      <c r="I732" s="7" t="s">
        <v>578</v>
      </c>
      <c r="J732" s="7">
        <v>8.0</v>
      </c>
      <c r="K732" s="7" t="s">
        <v>20132</v>
      </c>
      <c r="L732" s="7">
        <v>97418.0</v>
      </c>
      <c r="M732" s="7" t="s">
        <v>71</v>
      </c>
      <c r="N732" s="7" t="s">
        <v>216</v>
      </c>
      <c r="O732" s="7" t="s">
        <v>5819</v>
      </c>
      <c r="P732" s="42" t="s">
        <v>5812</v>
      </c>
      <c r="Q732" s="43" t="s">
        <v>20133</v>
      </c>
      <c r="R732" s="50"/>
      <c r="S732" s="47" t="s">
        <v>5811</v>
      </c>
      <c r="T732" s="7" t="s">
        <v>5814</v>
      </c>
      <c r="U732" s="7" t="s">
        <v>5813</v>
      </c>
      <c r="V732" s="7" t="s">
        <v>5815</v>
      </c>
      <c r="W732" s="6" t="s">
        <v>15424</v>
      </c>
      <c r="X732" s="7" t="s">
        <v>506</v>
      </c>
      <c r="Y732" s="7" t="s">
        <v>377</v>
      </c>
      <c r="Z732" s="7" t="s">
        <v>592</v>
      </c>
      <c r="AA732" s="7"/>
      <c r="AB732" s="7"/>
      <c r="AC732" s="7">
        <v>4.5360186600016E13</v>
      </c>
      <c r="AD732" s="7">
        <v>4.53601866E8</v>
      </c>
      <c r="AE732" s="6" t="s">
        <v>401</v>
      </c>
      <c r="AF732" s="74">
        <v>44233.0</v>
      </c>
      <c r="AG732" s="7" t="s">
        <v>20134</v>
      </c>
      <c r="AH732" s="75" t="s">
        <v>20135</v>
      </c>
      <c r="AI732" s="7"/>
      <c r="AJ732" s="7"/>
      <c r="AK732" s="7" t="b">
        <v>0</v>
      </c>
      <c r="AL732" s="7" t="b">
        <v>0</v>
      </c>
      <c r="AM732" s="6" t="s">
        <v>5821</v>
      </c>
      <c r="AN732" s="7"/>
      <c r="AO732" s="6">
        <v>54.0</v>
      </c>
      <c r="AP732" s="6"/>
      <c r="AQ732" s="6" t="b">
        <v>1</v>
      </c>
      <c r="AR732" s="6"/>
      <c r="AS732" s="48" t="s">
        <v>12303</v>
      </c>
    </row>
    <row r="733" ht="15.75" customHeight="1">
      <c r="A733" s="7" t="s">
        <v>6501</v>
      </c>
      <c r="B733" s="7" t="s">
        <v>6502</v>
      </c>
      <c r="C733" s="7" t="s">
        <v>34</v>
      </c>
      <c r="D733" s="7" t="s">
        <v>678</v>
      </c>
      <c r="E733" s="7" t="s">
        <v>5053</v>
      </c>
      <c r="F733" s="7"/>
      <c r="G733" s="7" t="s">
        <v>6504</v>
      </c>
      <c r="H733" s="7"/>
      <c r="I733" s="7"/>
      <c r="J733" s="7"/>
      <c r="K733" s="7" t="s">
        <v>20136</v>
      </c>
      <c r="L733" s="7">
        <v>97480.0</v>
      </c>
      <c r="M733" s="7" t="s">
        <v>123</v>
      </c>
      <c r="N733" s="7"/>
      <c r="O733" s="6" t="s">
        <v>20137</v>
      </c>
      <c r="P733" s="42"/>
      <c r="Q733" s="43" t="s">
        <v>20138</v>
      </c>
      <c r="R733" s="50"/>
      <c r="S733" s="51"/>
      <c r="T733" s="7" t="s">
        <v>6506</v>
      </c>
      <c r="U733" s="7" t="s">
        <v>6505</v>
      </c>
      <c r="V733" s="7"/>
      <c r="W733" s="7"/>
      <c r="X733" s="7"/>
      <c r="Y733" s="7"/>
      <c r="Z733" s="7" t="s">
        <v>378</v>
      </c>
      <c r="AA733" s="7"/>
      <c r="AB733" s="7"/>
      <c r="AC733" s="7"/>
      <c r="AD733" s="7"/>
      <c r="AE733" s="6" t="s">
        <v>401</v>
      </c>
      <c r="AF733" s="74">
        <v>44232.07361111111</v>
      </c>
      <c r="AG733" s="7" t="s">
        <v>20139</v>
      </c>
      <c r="AH733" s="75" t="s">
        <v>20140</v>
      </c>
      <c r="AI733" s="7"/>
      <c r="AJ733" s="7"/>
      <c r="AK733" s="7" t="b">
        <v>0</v>
      </c>
      <c r="AL733" s="7" t="b">
        <v>0</v>
      </c>
      <c r="AM733" s="7"/>
      <c r="AN733" s="7"/>
      <c r="AO733" s="6">
        <v>4648.0</v>
      </c>
      <c r="AP733" s="6"/>
      <c r="AQ733" s="6" t="b">
        <v>1</v>
      </c>
      <c r="AR733" s="6"/>
      <c r="AS733" s="6"/>
    </row>
    <row r="734" ht="15.75" customHeight="1">
      <c r="A734" s="7" t="s">
        <v>6081</v>
      </c>
      <c r="B734" s="7" t="s">
        <v>20141</v>
      </c>
      <c r="C734" s="7" t="s">
        <v>58</v>
      </c>
      <c r="D734" s="7" t="s">
        <v>137</v>
      </c>
      <c r="E734" s="7" t="s">
        <v>1091</v>
      </c>
      <c r="F734" s="7">
        <v>18.0</v>
      </c>
      <c r="G734" s="7" t="s">
        <v>472</v>
      </c>
      <c r="H734" s="7"/>
      <c r="I734" s="7"/>
      <c r="J734" s="41" t="s">
        <v>12445</v>
      </c>
      <c r="K734" s="7" t="s">
        <v>12685</v>
      </c>
      <c r="L734" s="7">
        <v>97418.0</v>
      </c>
      <c r="M734" s="7" t="s">
        <v>71</v>
      </c>
      <c r="N734" s="6" t="s">
        <v>12685</v>
      </c>
      <c r="O734" s="6" t="s">
        <v>20142</v>
      </c>
      <c r="P734" s="42" t="s">
        <v>6085</v>
      </c>
      <c r="Q734" s="49" t="s">
        <v>20143</v>
      </c>
      <c r="R734" s="43" t="s">
        <v>20144</v>
      </c>
      <c r="S734" s="51"/>
      <c r="T734" s="7" t="s">
        <v>6087</v>
      </c>
      <c r="U734" s="7" t="s">
        <v>6086</v>
      </c>
      <c r="V734" s="7" t="s">
        <v>6088</v>
      </c>
      <c r="W734" s="6" t="s">
        <v>20145</v>
      </c>
      <c r="X734" s="6" t="s">
        <v>20146</v>
      </c>
      <c r="Y734" s="7" t="s">
        <v>377</v>
      </c>
      <c r="Z734" s="7" t="s">
        <v>353</v>
      </c>
      <c r="AA734" s="7"/>
      <c r="AB734" s="7"/>
      <c r="AC734" s="7"/>
      <c r="AD734" s="7"/>
      <c r="AE734" s="6" t="s">
        <v>401</v>
      </c>
      <c r="AF734" s="45">
        <v>45376.46434027778</v>
      </c>
      <c r="AG734" s="7" t="s">
        <v>20147</v>
      </c>
      <c r="AH734" s="46" t="s">
        <v>20148</v>
      </c>
      <c r="AI734" s="7"/>
      <c r="AJ734" s="6" t="s">
        <v>20149</v>
      </c>
      <c r="AK734" s="7" t="b">
        <v>0</v>
      </c>
      <c r="AL734" s="7" t="b">
        <v>0</v>
      </c>
      <c r="AM734" s="6" t="s">
        <v>6092</v>
      </c>
      <c r="AN734" s="6" t="s">
        <v>6081</v>
      </c>
      <c r="AO734" s="6">
        <v>2654.0</v>
      </c>
      <c r="AP734" s="6"/>
      <c r="AQ734" s="6" t="b">
        <v>1</v>
      </c>
      <c r="AR734" s="6"/>
      <c r="AS734" s="48" t="s">
        <v>12303</v>
      </c>
    </row>
    <row r="735" ht="15.75" customHeight="1">
      <c r="A735" s="7" t="s">
        <v>6934</v>
      </c>
      <c r="B735" s="7" t="s">
        <v>6935</v>
      </c>
      <c r="C735" s="7" t="s">
        <v>34</v>
      </c>
      <c r="D735" s="7" t="s">
        <v>678</v>
      </c>
      <c r="E735" s="7" t="s">
        <v>5053</v>
      </c>
      <c r="F735" s="7"/>
      <c r="G735" s="7" t="s">
        <v>455</v>
      </c>
      <c r="H735" s="7"/>
      <c r="I735" s="7"/>
      <c r="J735" s="7">
        <v>95.0</v>
      </c>
      <c r="K735" s="7" t="s">
        <v>16059</v>
      </c>
      <c r="L735" s="7">
        <v>97480.0</v>
      </c>
      <c r="M735" s="7" t="s">
        <v>123</v>
      </c>
      <c r="N735" s="7" t="s">
        <v>8325</v>
      </c>
      <c r="O735" s="6" t="s">
        <v>20150</v>
      </c>
      <c r="P735" s="42" t="s">
        <v>6939</v>
      </c>
      <c r="Q735" s="43" t="s">
        <v>16061</v>
      </c>
      <c r="R735" s="50"/>
      <c r="S735" s="47" t="s">
        <v>6937</v>
      </c>
      <c r="T735" s="7" t="s">
        <v>6941</v>
      </c>
      <c r="U735" s="7" t="s">
        <v>6940</v>
      </c>
      <c r="V735" s="7"/>
      <c r="W735" s="7"/>
      <c r="X735" s="7"/>
      <c r="Y735" s="7" t="s">
        <v>6938</v>
      </c>
      <c r="Z735" s="7" t="s">
        <v>353</v>
      </c>
      <c r="AA735" s="7"/>
      <c r="AB735" s="7"/>
      <c r="AC735" s="7">
        <v>7.9096592500023E13</v>
      </c>
      <c r="AD735" s="7">
        <v>7.90965925E8</v>
      </c>
      <c r="AE735" s="6" t="s">
        <v>401</v>
      </c>
      <c r="AF735" s="74">
        <v>44232.0</v>
      </c>
      <c r="AG735" s="7" t="s">
        <v>16063</v>
      </c>
      <c r="AH735" s="75" t="s">
        <v>20151</v>
      </c>
      <c r="AI735" s="7"/>
      <c r="AJ735" s="7"/>
      <c r="AK735" s="7" t="b">
        <v>0</v>
      </c>
      <c r="AL735" s="7" t="b">
        <v>0</v>
      </c>
      <c r="AM735" s="7"/>
      <c r="AN735" s="7"/>
      <c r="AO735" s="6">
        <v>3692.0</v>
      </c>
      <c r="AP735" s="6"/>
      <c r="AQ735" s="6" t="b">
        <v>1</v>
      </c>
      <c r="AR735" s="6"/>
      <c r="AS735" s="6"/>
    </row>
    <row r="736" ht="15.75" customHeight="1">
      <c r="A736" s="7" t="s">
        <v>6490</v>
      </c>
      <c r="B736" s="7" t="s">
        <v>6491</v>
      </c>
      <c r="C736" s="7" t="s">
        <v>34</v>
      </c>
      <c r="D736" s="7" t="s">
        <v>678</v>
      </c>
      <c r="E736" s="7" t="s">
        <v>5053</v>
      </c>
      <c r="F736" s="7">
        <v>30.0</v>
      </c>
      <c r="G736" s="7" t="s">
        <v>422</v>
      </c>
      <c r="H736" s="7"/>
      <c r="I736" s="7"/>
      <c r="J736" s="7" t="s">
        <v>20152</v>
      </c>
      <c r="K736" s="7" t="s">
        <v>16059</v>
      </c>
      <c r="L736" s="7">
        <v>97480.0</v>
      </c>
      <c r="M736" s="7" t="s">
        <v>123</v>
      </c>
      <c r="N736" s="7" t="s">
        <v>8325</v>
      </c>
      <c r="O736" s="7" t="s">
        <v>6499</v>
      </c>
      <c r="P736" s="42" t="s">
        <v>20101</v>
      </c>
      <c r="Q736" s="43" t="s">
        <v>20153</v>
      </c>
      <c r="R736" s="50"/>
      <c r="S736" s="51"/>
      <c r="T736" s="7" t="s">
        <v>6494</v>
      </c>
      <c r="U736" s="7"/>
      <c r="V736" s="7" t="s">
        <v>6495</v>
      </c>
      <c r="W736" s="6" t="s">
        <v>12532</v>
      </c>
      <c r="X736" s="7" t="s">
        <v>6493</v>
      </c>
      <c r="Y736" s="7" t="s">
        <v>1612</v>
      </c>
      <c r="Z736" s="7" t="s">
        <v>353</v>
      </c>
      <c r="AA736" s="7"/>
      <c r="AB736" s="7"/>
      <c r="AC736" s="7">
        <v>3.3507156900032E13</v>
      </c>
      <c r="AD736" s="7">
        <v>3.35071569E8</v>
      </c>
      <c r="AE736" s="6" t="s">
        <v>12355</v>
      </c>
      <c r="AF736" s="74">
        <v>44231.416666666664</v>
      </c>
      <c r="AG736" s="7" t="s">
        <v>20154</v>
      </c>
      <c r="AH736" s="75" t="s">
        <v>20155</v>
      </c>
      <c r="AI736" s="7"/>
      <c r="AJ736" s="7"/>
      <c r="AK736" s="7" t="b">
        <v>0</v>
      </c>
      <c r="AL736" s="7" t="b">
        <v>0</v>
      </c>
      <c r="AM736" s="7"/>
      <c r="AN736" s="7"/>
      <c r="AO736" s="6">
        <v>508.0</v>
      </c>
      <c r="AP736" s="6"/>
      <c r="AQ736" s="6" t="b">
        <v>1</v>
      </c>
      <c r="AR736" s="6"/>
      <c r="AS736" s="6"/>
    </row>
    <row r="737" ht="15.75" customHeight="1">
      <c r="A737" s="7" t="s">
        <v>6379</v>
      </c>
      <c r="B737" s="7" t="s">
        <v>6380</v>
      </c>
      <c r="C737" s="7" t="s">
        <v>34</v>
      </c>
      <c r="D737" s="7" t="s">
        <v>622</v>
      </c>
      <c r="E737" s="7" t="s">
        <v>622</v>
      </c>
      <c r="F737" s="7">
        <v>80.0</v>
      </c>
      <c r="G737" s="7"/>
      <c r="H737" s="7"/>
      <c r="I737" s="7"/>
      <c r="J737" s="7" t="s">
        <v>20156</v>
      </c>
      <c r="K737" s="6" t="s">
        <v>14854</v>
      </c>
      <c r="L737" s="7">
        <v>97430.0</v>
      </c>
      <c r="M737" s="7" t="s">
        <v>71</v>
      </c>
      <c r="N737" s="7" t="s">
        <v>3501</v>
      </c>
      <c r="O737" s="7" t="s">
        <v>6387</v>
      </c>
      <c r="P737" s="42" t="s">
        <v>20101</v>
      </c>
      <c r="Q737" s="43" t="s">
        <v>20157</v>
      </c>
      <c r="R737" s="50"/>
      <c r="S737" s="51"/>
      <c r="T737" s="7" t="s">
        <v>6382</v>
      </c>
      <c r="U737" s="7"/>
      <c r="V737" s="7" t="s">
        <v>6383</v>
      </c>
      <c r="W737" s="7"/>
      <c r="X737" s="7"/>
      <c r="Y737" s="7" t="s">
        <v>963</v>
      </c>
      <c r="Z737" s="7" t="s">
        <v>424</v>
      </c>
      <c r="AA737" s="7"/>
      <c r="AB737" s="7"/>
      <c r="AC737" s="7"/>
      <c r="AD737" s="7"/>
      <c r="AE737" s="6" t="s">
        <v>12355</v>
      </c>
      <c r="AF737" s="74">
        <v>44229.0</v>
      </c>
      <c r="AG737" s="7" t="s">
        <v>20158</v>
      </c>
      <c r="AH737" s="75" t="s">
        <v>20159</v>
      </c>
      <c r="AI737" s="7"/>
      <c r="AJ737" s="7"/>
      <c r="AK737" s="7" t="b">
        <v>0</v>
      </c>
      <c r="AL737" s="7" t="b">
        <v>0</v>
      </c>
      <c r="AM737" s="7"/>
      <c r="AN737" s="7"/>
      <c r="AO737" s="6">
        <v>3007.0</v>
      </c>
      <c r="AP737" s="6"/>
      <c r="AQ737" s="6" t="b">
        <v>1</v>
      </c>
      <c r="AR737" s="6"/>
      <c r="AS737" s="6"/>
    </row>
    <row r="738" ht="15.75" customHeight="1">
      <c r="A738" s="7" t="s">
        <v>4952</v>
      </c>
      <c r="B738" s="6" t="s">
        <v>20160</v>
      </c>
      <c r="C738" s="7" t="s">
        <v>58</v>
      </c>
      <c r="D738" s="7" t="s">
        <v>59</v>
      </c>
      <c r="E738" s="7" t="s">
        <v>2013</v>
      </c>
      <c r="F738" s="7">
        <v>4.0</v>
      </c>
      <c r="G738" s="7" t="s">
        <v>407</v>
      </c>
      <c r="H738" s="6" t="s">
        <v>2716</v>
      </c>
      <c r="I738" s="7" t="s">
        <v>4954</v>
      </c>
      <c r="J738" s="7">
        <v>119.0</v>
      </c>
      <c r="K738" s="7" t="s">
        <v>18449</v>
      </c>
      <c r="L738" s="7">
        <v>97430.0</v>
      </c>
      <c r="M738" s="7" t="s">
        <v>71</v>
      </c>
      <c r="N738" s="6" t="s">
        <v>14126</v>
      </c>
      <c r="O738" s="6" t="s">
        <v>20161</v>
      </c>
      <c r="P738" s="42" t="s">
        <v>4940</v>
      </c>
      <c r="Q738" s="49" t="s">
        <v>18451</v>
      </c>
      <c r="R738" s="43" t="s">
        <v>18451</v>
      </c>
      <c r="S738" s="47" t="s">
        <v>18452</v>
      </c>
      <c r="T738" s="6" t="s">
        <v>20162</v>
      </c>
      <c r="U738" s="7" t="s">
        <v>4941</v>
      </c>
      <c r="V738" s="7" t="s">
        <v>4943</v>
      </c>
      <c r="W738" s="6" t="s">
        <v>20163</v>
      </c>
      <c r="X738" s="7" t="s">
        <v>1712</v>
      </c>
      <c r="Y738" s="6" t="s">
        <v>499</v>
      </c>
      <c r="Z738" s="7" t="s">
        <v>353</v>
      </c>
      <c r="AA738" s="7"/>
      <c r="AB738" s="7"/>
      <c r="AC738" s="7"/>
      <c r="AD738" s="7"/>
      <c r="AE738" s="6" t="s">
        <v>12355</v>
      </c>
      <c r="AF738" s="45">
        <v>45516.448958333334</v>
      </c>
      <c r="AG738" s="7" t="s">
        <v>18454</v>
      </c>
      <c r="AH738" s="46" t="s">
        <v>20164</v>
      </c>
      <c r="AI738" s="7"/>
      <c r="AJ738" s="6" t="s">
        <v>20165</v>
      </c>
      <c r="AK738" s="7" t="b">
        <v>0</v>
      </c>
      <c r="AL738" s="7" t="b">
        <v>0</v>
      </c>
      <c r="AM738" s="6" t="s">
        <v>4956</v>
      </c>
      <c r="AN738" s="6" t="s">
        <v>4952</v>
      </c>
      <c r="AO738" s="6">
        <v>1542.0</v>
      </c>
      <c r="AP738" s="6"/>
      <c r="AQ738" s="6" t="b">
        <v>1</v>
      </c>
      <c r="AR738" s="6"/>
      <c r="AS738" s="6"/>
    </row>
    <row r="739" ht="15.75" customHeight="1">
      <c r="A739" s="7" t="s">
        <v>5981</v>
      </c>
      <c r="B739" s="7" t="s">
        <v>20166</v>
      </c>
      <c r="C739" s="7" t="s">
        <v>58</v>
      </c>
      <c r="D739" s="7" t="s">
        <v>137</v>
      </c>
      <c r="E739" s="7" t="s">
        <v>2280</v>
      </c>
      <c r="F739" s="7">
        <v>30.0</v>
      </c>
      <c r="G739" s="7" t="s">
        <v>1092</v>
      </c>
      <c r="H739" s="7"/>
      <c r="I739" s="7"/>
      <c r="J739" s="41" t="s">
        <v>12445</v>
      </c>
      <c r="K739" s="7" t="s">
        <v>12685</v>
      </c>
      <c r="L739" s="7">
        <v>97418.0</v>
      </c>
      <c r="M739" s="7" t="s">
        <v>71</v>
      </c>
      <c r="N739" s="6" t="s">
        <v>12685</v>
      </c>
      <c r="O739" s="7" t="s">
        <v>5989</v>
      </c>
      <c r="P739" s="42" t="s">
        <v>20167</v>
      </c>
      <c r="Q739" s="49" t="s">
        <v>20168</v>
      </c>
      <c r="R739" s="43" t="s">
        <v>20169</v>
      </c>
      <c r="S739" s="51"/>
      <c r="T739" s="6" t="s">
        <v>20170</v>
      </c>
      <c r="U739" s="6" t="s">
        <v>20171</v>
      </c>
      <c r="V739" s="6" t="s">
        <v>12685</v>
      </c>
      <c r="W739" s="6" t="s">
        <v>20172</v>
      </c>
      <c r="X739" s="7" t="s">
        <v>5984</v>
      </c>
      <c r="Y739" s="7" t="s">
        <v>377</v>
      </c>
      <c r="Z739" s="7" t="s">
        <v>353</v>
      </c>
      <c r="AA739" s="7"/>
      <c r="AB739" s="7"/>
      <c r="AC739" s="7">
        <v>8.3347785400016E13</v>
      </c>
      <c r="AD739" s="7">
        <v>8.33477854E8</v>
      </c>
      <c r="AE739" s="6" t="s">
        <v>401</v>
      </c>
      <c r="AF739" s="45">
        <v>45520.47820601852</v>
      </c>
      <c r="AG739" s="7" t="s">
        <v>20173</v>
      </c>
      <c r="AH739" s="46" t="s">
        <v>20174</v>
      </c>
      <c r="AI739" s="7"/>
      <c r="AJ739" s="6" t="s">
        <v>20175</v>
      </c>
      <c r="AK739" s="7" t="b">
        <v>0</v>
      </c>
      <c r="AL739" s="7" t="b">
        <v>0</v>
      </c>
      <c r="AM739" s="6" t="s">
        <v>5990</v>
      </c>
      <c r="AN739" s="6" t="s">
        <v>5981</v>
      </c>
      <c r="AO739" s="6">
        <v>1708.0</v>
      </c>
      <c r="AP739" s="6"/>
      <c r="AQ739" s="6" t="b">
        <v>1</v>
      </c>
      <c r="AR739" s="6"/>
      <c r="AS739" s="48" t="s">
        <v>12303</v>
      </c>
    </row>
    <row r="740" ht="15.75" customHeight="1">
      <c r="A740" s="7" t="s">
        <v>5434</v>
      </c>
      <c r="B740" s="6" t="s">
        <v>20176</v>
      </c>
      <c r="C740" s="6" t="s">
        <v>117</v>
      </c>
      <c r="D740" s="7" t="s">
        <v>1405</v>
      </c>
      <c r="E740" s="7" t="s">
        <v>1406</v>
      </c>
      <c r="F740" s="7"/>
      <c r="G740" s="7" t="s">
        <v>455</v>
      </c>
      <c r="H740" s="7"/>
      <c r="I740" s="7"/>
      <c r="J740" s="7">
        <v>7.0</v>
      </c>
      <c r="K740" s="7" t="s">
        <v>20177</v>
      </c>
      <c r="L740" s="7">
        <v>97418.0</v>
      </c>
      <c r="M740" s="7" t="s">
        <v>71</v>
      </c>
      <c r="N740" s="7" t="s">
        <v>216</v>
      </c>
      <c r="O740" s="7" t="s">
        <v>5444</v>
      </c>
      <c r="P740" s="53" t="s">
        <v>20178</v>
      </c>
      <c r="Q740" s="49" t="s">
        <v>20179</v>
      </c>
      <c r="R740" s="43" t="s">
        <v>20180</v>
      </c>
      <c r="S740" s="47" t="s">
        <v>5437</v>
      </c>
      <c r="T740" s="7" t="s">
        <v>5439</v>
      </c>
      <c r="U740" s="7"/>
      <c r="V740" s="7" t="s">
        <v>5440</v>
      </c>
      <c r="W740" s="7"/>
      <c r="X740" s="7"/>
      <c r="Y740" s="7" t="s">
        <v>377</v>
      </c>
      <c r="Z740" s="7" t="s">
        <v>378</v>
      </c>
      <c r="AA740" s="7"/>
      <c r="AB740" s="7"/>
      <c r="AC740" s="7">
        <v>7.9472501000019E13</v>
      </c>
      <c r="AD740" s="7">
        <v>7.9472501E8</v>
      </c>
      <c r="AE740" s="6" t="s">
        <v>401</v>
      </c>
      <c r="AF740" s="45">
        <v>45832.26939814815</v>
      </c>
      <c r="AG740" s="7" t="s">
        <v>20181</v>
      </c>
      <c r="AH740" s="46" t="s">
        <v>20182</v>
      </c>
      <c r="AI740" s="7"/>
      <c r="AJ740" s="6" t="s">
        <v>20183</v>
      </c>
      <c r="AK740" s="7" t="b">
        <v>0</v>
      </c>
      <c r="AL740" s="7" t="b">
        <v>0</v>
      </c>
      <c r="AM740" s="7"/>
      <c r="AN740" s="6" t="s">
        <v>5434</v>
      </c>
      <c r="AO740" s="6">
        <v>3020.0</v>
      </c>
      <c r="AP740" s="6"/>
      <c r="AQ740" s="6" t="b">
        <v>1</v>
      </c>
      <c r="AR740" s="6" t="s">
        <v>20184</v>
      </c>
      <c r="AS740" s="48" t="s">
        <v>12303</v>
      </c>
    </row>
    <row r="741" ht="15.75" customHeight="1">
      <c r="A741" s="7" t="s">
        <v>4985</v>
      </c>
      <c r="B741" s="7" t="s">
        <v>20185</v>
      </c>
      <c r="C741" s="7" t="s">
        <v>58</v>
      </c>
      <c r="D741" s="7" t="s">
        <v>453</v>
      </c>
      <c r="E741" s="7" t="s">
        <v>454</v>
      </c>
      <c r="F741" s="7">
        <v>2.0</v>
      </c>
      <c r="G741" s="7" t="s">
        <v>422</v>
      </c>
      <c r="H741" s="7"/>
      <c r="I741" s="7"/>
      <c r="J741" s="7">
        <v>12.0</v>
      </c>
      <c r="K741" s="7" t="s">
        <v>20186</v>
      </c>
      <c r="L741" s="7">
        <v>97480.0</v>
      </c>
      <c r="M741" s="7" t="s">
        <v>123</v>
      </c>
      <c r="N741" s="6" t="s">
        <v>8395</v>
      </c>
      <c r="O741" s="6" t="s">
        <v>20187</v>
      </c>
      <c r="P741" s="42" t="s">
        <v>4991</v>
      </c>
      <c r="Q741" s="43" t="s">
        <v>20188</v>
      </c>
      <c r="R741" s="50"/>
      <c r="S741" s="47" t="s">
        <v>4989</v>
      </c>
      <c r="T741" s="7" t="s">
        <v>4993</v>
      </c>
      <c r="U741" s="7" t="s">
        <v>4992</v>
      </c>
      <c r="V741" s="7" t="s">
        <v>4994</v>
      </c>
      <c r="W741" s="6" t="s">
        <v>20189</v>
      </c>
      <c r="X741" s="7" t="s">
        <v>3815</v>
      </c>
      <c r="Y741" s="7" t="s">
        <v>377</v>
      </c>
      <c r="Z741" s="7" t="s">
        <v>378</v>
      </c>
      <c r="AA741" s="7" t="s">
        <v>4999</v>
      </c>
      <c r="AB741" s="7" t="s">
        <v>1590</v>
      </c>
      <c r="AC741" s="7">
        <v>3.8050314400038E13</v>
      </c>
      <c r="AD741" s="7">
        <v>3.80503144E8</v>
      </c>
      <c r="AE741" s="6" t="s">
        <v>401</v>
      </c>
      <c r="AF741" s="45">
        <v>45510.618101851855</v>
      </c>
      <c r="AG741" s="7" t="s">
        <v>20190</v>
      </c>
      <c r="AH741" s="46" t="s">
        <v>20191</v>
      </c>
      <c r="AI741" s="7"/>
      <c r="AJ741" s="6" t="s">
        <v>20192</v>
      </c>
      <c r="AK741" s="7" t="b">
        <v>0</v>
      </c>
      <c r="AL741" s="7" t="b">
        <v>0</v>
      </c>
      <c r="AM741" s="6" t="s">
        <v>5000</v>
      </c>
      <c r="AN741" s="6" t="s">
        <v>4985</v>
      </c>
      <c r="AO741" s="6">
        <v>3380.0</v>
      </c>
      <c r="AP741" s="6"/>
      <c r="AQ741" s="6" t="b">
        <v>1</v>
      </c>
      <c r="AR741" s="6"/>
      <c r="AS741" s="6" t="s">
        <v>12303</v>
      </c>
    </row>
    <row r="742" ht="15.75" customHeight="1">
      <c r="A742" s="7" t="s">
        <v>5936</v>
      </c>
      <c r="B742" s="7" t="s">
        <v>5937</v>
      </c>
      <c r="C742" s="6" t="s">
        <v>117</v>
      </c>
      <c r="D742" s="7" t="s">
        <v>197</v>
      </c>
      <c r="E742" s="7" t="s">
        <v>559</v>
      </c>
      <c r="F742" s="7"/>
      <c r="G742" s="7" t="s">
        <v>422</v>
      </c>
      <c r="H742" s="7"/>
      <c r="I742" s="7"/>
      <c r="J742" s="7">
        <v>53.0</v>
      </c>
      <c r="K742" s="7" t="s">
        <v>20193</v>
      </c>
      <c r="L742" s="7">
        <v>97480.0</v>
      </c>
      <c r="M742" s="7" t="s">
        <v>123</v>
      </c>
      <c r="N742" s="7"/>
      <c r="O742" s="6" t="s">
        <v>20194</v>
      </c>
      <c r="P742" s="53" t="s">
        <v>20195</v>
      </c>
      <c r="Q742" s="43" t="s">
        <v>20196</v>
      </c>
      <c r="R742" s="50"/>
      <c r="S742" s="51"/>
      <c r="T742" s="7" t="s">
        <v>5940</v>
      </c>
      <c r="U742" s="7"/>
      <c r="V742" s="7"/>
      <c r="W742" s="7"/>
      <c r="X742" s="7"/>
      <c r="Y742" s="7" t="s">
        <v>377</v>
      </c>
      <c r="Z742" s="7" t="s">
        <v>378</v>
      </c>
      <c r="AA742" s="7"/>
      <c r="AB742" s="7"/>
      <c r="AC742" s="7"/>
      <c r="AD742" s="7"/>
      <c r="AE742" s="6" t="s">
        <v>401</v>
      </c>
      <c r="AF742" s="45">
        <v>45854.49392361111</v>
      </c>
      <c r="AG742" s="7" t="s">
        <v>20197</v>
      </c>
      <c r="AH742" s="46" t="s">
        <v>20198</v>
      </c>
      <c r="AI742" s="7"/>
      <c r="AJ742" s="6" t="s">
        <v>20199</v>
      </c>
      <c r="AK742" s="7" t="b">
        <v>0</v>
      </c>
      <c r="AL742" s="7" t="b">
        <v>0</v>
      </c>
      <c r="AM742" s="7"/>
      <c r="AN742" s="6" t="s">
        <v>5936</v>
      </c>
      <c r="AO742" s="6">
        <v>2945.0</v>
      </c>
      <c r="AP742" s="6"/>
      <c r="AQ742" s="6" t="b">
        <v>1</v>
      </c>
      <c r="AR742" s="6"/>
      <c r="AS742" s="6" t="s">
        <v>12303</v>
      </c>
    </row>
    <row r="743" ht="15.75" customHeight="1">
      <c r="A743" s="7" t="s">
        <v>4161</v>
      </c>
      <c r="B743" s="7" t="s">
        <v>20200</v>
      </c>
      <c r="C743" s="7" t="s">
        <v>58</v>
      </c>
      <c r="D743" s="7" t="s">
        <v>59</v>
      </c>
      <c r="E743" s="7" t="s">
        <v>346</v>
      </c>
      <c r="F743" s="7">
        <v>6.0</v>
      </c>
      <c r="G743" s="7" t="s">
        <v>455</v>
      </c>
      <c r="H743" s="7" t="s">
        <v>1429</v>
      </c>
      <c r="I743" s="7" t="s">
        <v>751</v>
      </c>
      <c r="J743" s="7">
        <v>215.0</v>
      </c>
      <c r="K743" s="7" t="s">
        <v>20064</v>
      </c>
      <c r="L743" s="7">
        <v>97480.0</v>
      </c>
      <c r="M743" s="7" t="s">
        <v>123</v>
      </c>
      <c r="N743" s="7"/>
      <c r="O743" s="7" t="s">
        <v>4174</v>
      </c>
      <c r="P743" s="42" t="s">
        <v>4167</v>
      </c>
      <c r="Q743" s="43" t="s">
        <v>20201</v>
      </c>
      <c r="R743" s="43" t="s">
        <v>20202</v>
      </c>
      <c r="S743" s="47" t="s">
        <v>4165</v>
      </c>
      <c r="T743" s="7" t="s">
        <v>4169</v>
      </c>
      <c r="U743" s="7" t="s">
        <v>4168</v>
      </c>
      <c r="V743" s="7" t="s">
        <v>4170</v>
      </c>
      <c r="W743" s="6" t="s">
        <v>20203</v>
      </c>
      <c r="X743" s="7" t="s">
        <v>609</v>
      </c>
      <c r="Y743" s="7" t="s">
        <v>377</v>
      </c>
      <c r="Z743" s="7" t="s">
        <v>353</v>
      </c>
      <c r="AA743" s="7"/>
      <c r="AB743" s="7"/>
      <c r="AC743" s="7"/>
      <c r="AD743" s="7"/>
      <c r="AE743" s="6" t="s">
        <v>12355</v>
      </c>
      <c r="AF743" s="74">
        <v>44217.13611111111</v>
      </c>
      <c r="AG743" s="7" t="s">
        <v>20204</v>
      </c>
      <c r="AH743" s="75" t="s">
        <v>20205</v>
      </c>
      <c r="AI743" s="7"/>
      <c r="AJ743" s="7"/>
      <c r="AK743" s="7" t="b">
        <v>0</v>
      </c>
      <c r="AL743" s="7" t="b">
        <v>0</v>
      </c>
      <c r="AM743" s="7"/>
      <c r="AN743" s="7"/>
      <c r="AO743" s="6">
        <v>3128.0</v>
      </c>
      <c r="AP743" s="6"/>
      <c r="AQ743" s="6" t="b">
        <v>1</v>
      </c>
      <c r="AR743" s="6"/>
      <c r="AS743" s="6"/>
    </row>
    <row r="744" ht="15.75" customHeight="1">
      <c r="A744" s="7" t="s">
        <v>4505</v>
      </c>
      <c r="B744" s="7" t="s">
        <v>20206</v>
      </c>
      <c r="C744" s="7" t="s">
        <v>58</v>
      </c>
      <c r="D744" s="7" t="s">
        <v>59</v>
      </c>
      <c r="E744" s="7" t="s">
        <v>346</v>
      </c>
      <c r="F744" s="7">
        <v>14.0</v>
      </c>
      <c r="G744" s="7"/>
      <c r="H744" s="7"/>
      <c r="I744" s="7"/>
      <c r="J744" s="7">
        <v>2.0</v>
      </c>
      <c r="K744" s="7" t="s">
        <v>20207</v>
      </c>
      <c r="L744" s="7">
        <v>97480.0</v>
      </c>
      <c r="M744" s="7" t="s">
        <v>123</v>
      </c>
      <c r="N744" s="7" t="s">
        <v>8325</v>
      </c>
      <c r="O744" s="7" t="s">
        <v>4516</v>
      </c>
      <c r="P744" s="42" t="s">
        <v>4509</v>
      </c>
      <c r="Q744" s="43" t="s">
        <v>20208</v>
      </c>
      <c r="R744" s="50"/>
      <c r="S744" s="51"/>
      <c r="T744" s="7" t="s">
        <v>4511</v>
      </c>
      <c r="U744" s="7" t="s">
        <v>4510</v>
      </c>
      <c r="V744" s="7" t="s">
        <v>4512</v>
      </c>
      <c r="W744" s="6" t="s">
        <v>20209</v>
      </c>
      <c r="X744" s="7"/>
      <c r="Y744" s="7" t="s">
        <v>377</v>
      </c>
      <c r="Z744" s="7" t="s">
        <v>353</v>
      </c>
      <c r="AA744" s="7" t="s">
        <v>4517</v>
      </c>
      <c r="AB744" s="7" t="s">
        <v>1962</v>
      </c>
      <c r="AC744" s="7"/>
      <c r="AD744" s="7"/>
      <c r="AE744" s="6" t="s">
        <v>12355</v>
      </c>
      <c r="AF744" s="74">
        <v>44217.0</v>
      </c>
      <c r="AG744" s="6" t="s">
        <v>20210</v>
      </c>
      <c r="AH744" s="46" t="s">
        <v>20211</v>
      </c>
      <c r="AI744" s="7"/>
      <c r="AJ744" s="7"/>
      <c r="AK744" s="7" t="b">
        <v>0</v>
      </c>
      <c r="AL744" s="7" t="b">
        <v>0</v>
      </c>
      <c r="AM744" s="6" t="s">
        <v>17292</v>
      </c>
      <c r="AN744" s="6" t="s">
        <v>4505</v>
      </c>
      <c r="AO744" s="6">
        <v>2841.0</v>
      </c>
      <c r="AP744" s="6"/>
      <c r="AQ744" s="6" t="b">
        <v>1</v>
      </c>
      <c r="AR744" s="6"/>
      <c r="AS744" s="6"/>
    </row>
    <row r="745" ht="15.75" customHeight="1">
      <c r="A745" s="7" t="s">
        <v>1274</v>
      </c>
      <c r="B745" s="7" t="s">
        <v>1275</v>
      </c>
      <c r="C745" s="7" t="s">
        <v>58</v>
      </c>
      <c r="D745" s="7" t="s">
        <v>453</v>
      </c>
      <c r="E745" s="7" t="s">
        <v>454</v>
      </c>
      <c r="F745" s="7">
        <v>8.0</v>
      </c>
      <c r="G745" s="7" t="s">
        <v>455</v>
      </c>
      <c r="H745" s="7"/>
      <c r="I745" s="7"/>
      <c r="J745" s="7">
        <v>6.0</v>
      </c>
      <c r="K745" s="7" t="s">
        <v>20212</v>
      </c>
      <c r="L745" s="7">
        <v>97480.0</v>
      </c>
      <c r="M745" s="7" t="s">
        <v>123</v>
      </c>
      <c r="N745" s="7"/>
      <c r="O745" s="7" t="s">
        <v>1287</v>
      </c>
      <c r="P745" s="42" t="s">
        <v>1280</v>
      </c>
      <c r="Q745" s="43" t="s">
        <v>20213</v>
      </c>
      <c r="R745" s="43" t="s">
        <v>20214</v>
      </c>
      <c r="S745" s="47" t="s">
        <v>1277</v>
      </c>
      <c r="T745" s="7" t="s">
        <v>1282</v>
      </c>
      <c r="U745" s="7" t="s">
        <v>1281</v>
      </c>
      <c r="V745" s="7" t="s">
        <v>1283</v>
      </c>
      <c r="W745" s="6" t="s">
        <v>20215</v>
      </c>
      <c r="X745" s="7"/>
      <c r="Y745" s="7" t="s">
        <v>377</v>
      </c>
      <c r="Z745" s="7" t="s">
        <v>378</v>
      </c>
      <c r="AA745" s="7"/>
      <c r="AB745" s="7"/>
      <c r="AC745" s="7">
        <v>5.2929129600018E13</v>
      </c>
      <c r="AD745" s="7">
        <v>5.29291296E8</v>
      </c>
      <c r="AE745" s="6" t="s">
        <v>12355</v>
      </c>
      <c r="AF745" s="74">
        <v>44204.12430555555</v>
      </c>
      <c r="AG745" s="7" t="s">
        <v>20216</v>
      </c>
      <c r="AH745" s="75" t="s">
        <v>20217</v>
      </c>
      <c r="AI745" s="7"/>
      <c r="AJ745" s="7"/>
      <c r="AK745" s="7" t="b">
        <v>0</v>
      </c>
      <c r="AL745" s="7" t="b">
        <v>0</v>
      </c>
      <c r="AM745" s="6" t="s">
        <v>1288</v>
      </c>
      <c r="AN745" s="7"/>
      <c r="AO745" s="6">
        <v>2840.0</v>
      </c>
      <c r="AP745" s="6"/>
      <c r="AQ745" s="6" t="b">
        <v>1</v>
      </c>
      <c r="AR745" s="6"/>
      <c r="AS745" s="6"/>
    </row>
    <row r="746" ht="15.75" customHeight="1">
      <c r="A746" s="7" t="s">
        <v>4559</v>
      </c>
      <c r="B746" s="7" t="s">
        <v>20218</v>
      </c>
      <c r="C746" s="7" t="s">
        <v>34</v>
      </c>
      <c r="D746" s="7" t="s">
        <v>622</v>
      </c>
      <c r="E746" s="7" t="s">
        <v>622</v>
      </c>
      <c r="F746" s="7">
        <v>65.0</v>
      </c>
      <c r="G746" s="7" t="s">
        <v>455</v>
      </c>
      <c r="H746" s="7"/>
      <c r="I746" s="7"/>
      <c r="J746" s="7"/>
      <c r="K746" s="7" t="s">
        <v>20219</v>
      </c>
      <c r="L746" s="7">
        <v>97418.0</v>
      </c>
      <c r="M746" s="7" t="s">
        <v>71</v>
      </c>
      <c r="N746" s="7" t="s">
        <v>216</v>
      </c>
      <c r="O746" s="7" t="s">
        <v>4566</v>
      </c>
      <c r="P746" s="42"/>
      <c r="Q746" s="43" t="s">
        <v>20220</v>
      </c>
      <c r="R746" s="50"/>
      <c r="S746" s="51"/>
      <c r="T746" s="7" t="s">
        <v>4563</v>
      </c>
      <c r="U746" s="7"/>
      <c r="V746" s="7"/>
      <c r="W746" s="7" t="s">
        <v>801</v>
      </c>
      <c r="X746" s="7" t="s">
        <v>4562</v>
      </c>
      <c r="Y746" s="7" t="s">
        <v>377</v>
      </c>
      <c r="Z746" s="7" t="s">
        <v>378</v>
      </c>
      <c r="AA746" s="7"/>
      <c r="AB746" s="7"/>
      <c r="AC746" s="7"/>
      <c r="AD746" s="7"/>
      <c r="AE746" s="6" t="s">
        <v>12355</v>
      </c>
      <c r="AF746" s="74">
        <v>44201.39236111111</v>
      </c>
      <c r="AG746" s="7" t="s">
        <v>20221</v>
      </c>
      <c r="AH746" s="75" t="s">
        <v>20222</v>
      </c>
      <c r="AI746" s="7"/>
      <c r="AJ746" s="7"/>
      <c r="AK746" s="7" t="b">
        <v>0</v>
      </c>
      <c r="AL746" s="7" t="b">
        <v>0</v>
      </c>
      <c r="AM746" s="7"/>
      <c r="AN746" s="7"/>
      <c r="AO746" s="6">
        <v>1982.0</v>
      </c>
      <c r="AP746" s="6"/>
      <c r="AQ746" s="6" t="b">
        <v>1</v>
      </c>
      <c r="AR746" s="6"/>
      <c r="AS746" s="48" t="s">
        <v>12303</v>
      </c>
    </row>
    <row r="747" ht="15.75" customHeight="1">
      <c r="A747" s="7" t="s">
        <v>2615</v>
      </c>
      <c r="B747" s="7" t="s">
        <v>2616</v>
      </c>
      <c r="C747" s="7" t="s">
        <v>822</v>
      </c>
      <c r="D747" s="7" t="s">
        <v>823</v>
      </c>
      <c r="E747" s="7" t="s">
        <v>824</v>
      </c>
      <c r="F747" s="7">
        <v>12.0</v>
      </c>
      <c r="G747" s="7" t="s">
        <v>455</v>
      </c>
      <c r="H747" s="7"/>
      <c r="I747" s="7"/>
      <c r="J747" s="7"/>
      <c r="K747" s="7" t="s">
        <v>216</v>
      </c>
      <c r="L747" s="7">
        <v>97418.0</v>
      </c>
      <c r="M747" s="7" t="s">
        <v>71</v>
      </c>
      <c r="N747" s="7" t="s">
        <v>216</v>
      </c>
      <c r="O747" s="7" t="s">
        <v>2623</v>
      </c>
      <c r="P747" s="42"/>
      <c r="Q747" s="43" t="s">
        <v>20223</v>
      </c>
      <c r="R747" s="43" t="s">
        <v>20224</v>
      </c>
      <c r="S747" s="51"/>
      <c r="T747" s="7" t="s">
        <v>2620</v>
      </c>
      <c r="U747" s="7" t="s">
        <v>2619</v>
      </c>
      <c r="V747" s="7"/>
      <c r="W747" s="7"/>
      <c r="X747" s="7"/>
      <c r="Y747" s="7"/>
      <c r="Z747" s="7" t="s">
        <v>378</v>
      </c>
      <c r="AA747" s="7"/>
      <c r="AB747" s="7"/>
      <c r="AC747" s="7"/>
      <c r="AD747" s="7"/>
      <c r="AE747" s="6" t="s">
        <v>12355</v>
      </c>
      <c r="AF747" s="74">
        <v>44201.39166666667</v>
      </c>
      <c r="AG747" s="7" t="s">
        <v>20225</v>
      </c>
      <c r="AH747" s="75" t="s">
        <v>20226</v>
      </c>
      <c r="AI747" s="7"/>
      <c r="AJ747" s="7"/>
      <c r="AK747" s="7" t="b">
        <v>0</v>
      </c>
      <c r="AL747" s="7" t="b">
        <v>0</v>
      </c>
      <c r="AM747" s="7"/>
      <c r="AN747" s="7"/>
      <c r="AO747" s="6">
        <v>3909.0</v>
      </c>
      <c r="AP747" s="6"/>
      <c r="AQ747" s="6" t="b">
        <v>1</v>
      </c>
      <c r="AR747" s="6"/>
      <c r="AS747" s="48" t="s">
        <v>12303</v>
      </c>
    </row>
    <row r="748" ht="15.75" customHeight="1">
      <c r="A748" s="7" t="s">
        <v>2414</v>
      </c>
      <c r="B748" s="7" t="s">
        <v>2415</v>
      </c>
      <c r="C748" s="7" t="s">
        <v>58</v>
      </c>
      <c r="D748" s="7" t="s">
        <v>59</v>
      </c>
      <c r="E748" s="7" t="s">
        <v>346</v>
      </c>
      <c r="F748" s="7">
        <v>14.0</v>
      </c>
      <c r="G748" s="7" t="s">
        <v>455</v>
      </c>
      <c r="H748" s="7"/>
      <c r="I748" s="7"/>
      <c r="J748" s="6">
        <v>57.0</v>
      </c>
      <c r="K748" s="6" t="s">
        <v>18560</v>
      </c>
      <c r="L748" s="7">
        <v>97418.0</v>
      </c>
      <c r="M748" s="7" t="s">
        <v>71</v>
      </c>
      <c r="N748" s="7" t="s">
        <v>216</v>
      </c>
      <c r="O748" s="6" t="s">
        <v>20227</v>
      </c>
      <c r="P748" s="42" t="s">
        <v>2417</v>
      </c>
      <c r="Q748" s="43" t="s">
        <v>20228</v>
      </c>
      <c r="R748" s="50"/>
      <c r="S748" s="51"/>
      <c r="T748" s="7" t="s">
        <v>2419</v>
      </c>
      <c r="U748" s="7" t="s">
        <v>2418</v>
      </c>
      <c r="V748" s="7"/>
      <c r="W748" s="7"/>
      <c r="X748" s="7"/>
      <c r="Y748" s="7"/>
      <c r="Z748" s="7"/>
      <c r="AA748" s="7"/>
      <c r="AB748" s="7"/>
      <c r="AC748" s="6">
        <v>8.9054084200014E13</v>
      </c>
      <c r="AD748" s="6">
        <v>8.90540842E8</v>
      </c>
      <c r="AE748" s="6" t="s">
        <v>401</v>
      </c>
      <c r="AF748" s="74">
        <v>44200.44652777778</v>
      </c>
      <c r="AG748" s="7" t="s">
        <v>20229</v>
      </c>
      <c r="AH748" s="46" t="s">
        <v>20230</v>
      </c>
      <c r="AI748" s="7"/>
      <c r="AJ748" s="7"/>
      <c r="AK748" s="7" t="b">
        <v>0</v>
      </c>
      <c r="AL748" s="7" t="b">
        <v>0</v>
      </c>
      <c r="AM748" s="6" t="s">
        <v>2423</v>
      </c>
      <c r="AN748" s="6" t="s">
        <v>2414</v>
      </c>
      <c r="AO748" s="6">
        <v>3891.0</v>
      </c>
      <c r="AP748" s="6"/>
      <c r="AQ748" s="6" t="b">
        <v>1</v>
      </c>
      <c r="AR748" s="6"/>
      <c r="AS748" s="48" t="s">
        <v>12303</v>
      </c>
    </row>
    <row r="749" ht="15.75" customHeight="1">
      <c r="A749" s="7" t="s">
        <v>2122</v>
      </c>
      <c r="B749" s="7" t="s">
        <v>20231</v>
      </c>
      <c r="C749" s="7" t="s">
        <v>58</v>
      </c>
      <c r="D749" s="7" t="s">
        <v>453</v>
      </c>
      <c r="E749" s="7" t="s">
        <v>454</v>
      </c>
      <c r="F749" s="7">
        <v>2.0</v>
      </c>
      <c r="G749" s="7" t="s">
        <v>455</v>
      </c>
      <c r="H749" s="7"/>
      <c r="I749" s="7"/>
      <c r="J749" s="7">
        <v>56.0</v>
      </c>
      <c r="K749" s="7" t="s">
        <v>20232</v>
      </c>
      <c r="L749" s="7">
        <v>97480.0</v>
      </c>
      <c r="M749" s="7" t="s">
        <v>123</v>
      </c>
      <c r="N749" s="6" t="s">
        <v>12446</v>
      </c>
      <c r="O749" s="6" t="s">
        <v>20233</v>
      </c>
      <c r="P749" s="42" t="s">
        <v>2126</v>
      </c>
      <c r="Q749" s="49" t="s">
        <v>20234</v>
      </c>
      <c r="R749" s="43" t="s">
        <v>20235</v>
      </c>
      <c r="S749" s="51"/>
      <c r="T749" s="7" t="s">
        <v>2128</v>
      </c>
      <c r="U749" s="7" t="s">
        <v>2127</v>
      </c>
      <c r="V749" s="7"/>
      <c r="W749" s="6" t="s">
        <v>20236</v>
      </c>
      <c r="X749" s="7"/>
      <c r="Y749" s="7" t="s">
        <v>499</v>
      </c>
      <c r="Z749" s="7" t="s">
        <v>592</v>
      </c>
      <c r="AA749" s="7"/>
      <c r="AB749" s="7"/>
      <c r="AC749" s="6">
        <v>8.3900163300016E13</v>
      </c>
      <c r="AD749" s="6">
        <v>8.39001633E8</v>
      </c>
      <c r="AE749" s="6" t="s">
        <v>401</v>
      </c>
      <c r="AF749" s="45">
        <v>45925.6394212963</v>
      </c>
      <c r="AG749" s="7" t="s">
        <v>20237</v>
      </c>
      <c r="AH749" s="46" t="s">
        <v>20238</v>
      </c>
      <c r="AI749" s="7"/>
      <c r="AJ749" s="6" t="s">
        <v>20239</v>
      </c>
      <c r="AK749" s="7" t="b">
        <v>0</v>
      </c>
      <c r="AL749" s="7" t="b">
        <v>0</v>
      </c>
      <c r="AM749" s="6" t="s">
        <v>2133</v>
      </c>
      <c r="AN749" s="6" t="s">
        <v>2122</v>
      </c>
      <c r="AO749" s="6">
        <v>4777.0</v>
      </c>
      <c r="AP749" s="6"/>
      <c r="AQ749" s="6" t="b">
        <v>1</v>
      </c>
      <c r="AR749" s="6"/>
      <c r="AS749" s="6"/>
    </row>
    <row r="750" ht="15.75" customHeight="1">
      <c r="A750" s="7" t="s">
        <v>2797</v>
      </c>
      <c r="B750" s="7" t="s">
        <v>20240</v>
      </c>
      <c r="C750" s="7" t="s">
        <v>58</v>
      </c>
      <c r="D750" s="7" t="s">
        <v>453</v>
      </c>
      <c r="E750" s="7" t="s">
        <v>454</v>
      </c>
      <c r="F750" s="7">
        <v>4.0</v>
      </c>
      <c r="G750" s="7" t="s">
        <v>455</v>
      </c>
      <c r="H750" s="7" t="s">
        <v>574</v>
      </c>
      <c r="I750" s="7" t="s">
        <v>578</v>
      </c>
      <c r="J750" s="7">
        <v>168.0</v>
      </c>
      <c r="K750" s="7" t="s">
        <v>17915</v>
      </c>
      <c r="L750" s="7">
        <v>97480.0</v>
      </c>
      <c r="M750" s="7" t="s">
        <v>123</v>
      </c>
      <c r="N750" s="7"/>
      <c r="O750" s="6" t="s">
        <v>20241</v>
      </c>
      <c r="P750" s="42" t="s">
        <v>2804</v>
      </c>
      <c r="Q750" s="43" t="s">
        <v>20242</v>
      </c>
      <c r="R750" s="50"/>
      <c r="S750" s="47" t="s">
        <v>2801</v>
      </c>
      <c r="T750" s="7" t="s">
        <v>2806</v>
      </c>
      <c r="U750" s="7" t="s">
        <v>2805</v>
      </c>
      <c r="V750" s="7" t="s">
        <v>2807</v>
      </c>
      <c r="W750" s="6" t="s">
        <v>20243</v>
      </c>
      <c r="X750" s="7" t="s">
        <v>2803</v>
      </c>
      <c r="Y750" s="7" t="s">
        <v>377</v>
      </c>
      <c r="Z750" s="7" t="s">
        <v>353</v>
      </c>
      <c r="AA750" s="7" t="s">
        <v>1828</v>
      </c>
      <c r="AB750" s="7" t="s">
        <v>1590</v>
      </c>
      <c r="AC750" s="7">
        <v>5.2332183400013E13</v>
      </c>
      <c r="AD750" s="7">
        <v>5.23321834E8</v>
      </c>
      <c r="AE750" s="6" t="s">
        <v>401</v>
      </c>
      <c r="AF750" s="74">
        <v>44200.0</v>
      </c>
      <c r="AG750" s="7" t="s">
        <v>20244</v>
      </c>
      <c r="AH750" s="75" t="s">
        <v>20245</v>
      </c>
      <c r="AI750" s="7"/>
      <c r="AJ750" s="7"/>
      <c r="AK750" s="7" t="b">
        <v>0</v>
      </c>
      <c r="AL750" s="7" t="b">
        <v>0</v>
      </c>
      <c r="AM750" s="6" t="s">
        <v>2812</v>
      </c>
      <c r="AN750" s="7"/>
      <c r="AO750" s="6">
        <v>3521.0</v>
      </c>
      <c r="AP750" s="6"/>
      <c r="AQ750" s="6" t="b">
        <v>1</v>
      </c>
      <c r="AR750" s="6"/>
      <c r="AS750" s="6"/>
    </row>
    <row r="751" ht="15.75" customHeight="1">
      <c r="A751" s="7" t="s">
        <v>3056</v>
      </c>
      <c r="B751" s="7" t="s">
        <v>3057</v>
      </c>
      <c r="C751" s="6" t="s">
        <v>117</v>
      </c>
      <c r="D751" s="7" t="s">
        <v>197</v>
      </c>
      <c r="E751" s="7" t="s">
        <v>559</v>
      </c>
      <c r="F751" s="7">
        <v>10.0</v>
      </c>
      <c r="G751" s="7" t="s">
        <v>422</v>
      </c>
      <c r="H751" s="7"/>
      <c r="I751" s="7"/>
      <c r="J751" s="7">
        <v>53.0</v>
      </c>
      <c r="K751" s="7" t="s">
        <v>20246</v>
      </c>
      <c r="L751" s="7">
        <v>97430.0</v>
      </c>
      <c r="M751" s="7" t="s">
        <v>71</v>
      </c>
      <c r="N751" s="7" t="s">
        <v>12373</v>
      </c>
      <c r="O751" s="6" t="s">
        <v>20247</v>
      </c>
      <c r="P751" s="42" t="s">
        <v>3060</v>
      </c>
      <c r="Q751" s="49" t="s">
        <v>20248</v>
      </c>
      <c r="R751" s="50"/>
      <c r="S751" s="51"/>
      <c r="T751" s="7" t="s">
        <v>3062</v>
      </c>
      <c r="U751" s="7" t="s">
        <v>3061</v>
      </c>
      <c r="V751" s="7"/>
      <c r="W751" s="7" t="s">
        <v>3059</v>
      </c>
      <c r="X751" s="7"/>
      <c r="Y751" s="7" t="s">
        <v>1076</v>
      </c>
      <c r="Z751" s="7" t="s">
        <v>353</v>
      </c>
      <c r="AA751" s="7"/>
      <c r="AB751" s="7"/>
      <c r="AC751" s="7">
        <v>8.4515892200011E13</v>
      </c>
      <c r="AD751" s="7">
        <v>8.45158922E8</v>
      </c>
      <c r="AE751" s="6" t="s">
        <v>401</v>
      </c>
      <c r="AF751" s="45">
        <v>45811.5825</v>
      </c>
      <c r="AG751" s="7" t="s">
        <v>20249</v>
      </c>
      <c r="AH751" s="46" t="s">
        <v>20250</v>
      </c>
      <c r="AI751" s="7"/>
      <c r="AJ751" s="6" t="s">
        <v>20251</v>
      </c>
      <c r="AK751" s="7" t="b">
        <v>0</v>
      </c>
      <c r="AL751" s="7" t="b">
        <v>0</v>
      </c>
      <c r="AM751" s="7"/>
      <c r="AN751" s="6" t="s">
        <v>3056</v>
      </c>
      <c r="AO751" s="6">
        <v>4875.0</v>
      </c>
      <c r="AP751" s="6"/>
      <c r="AQ751" s="6" t="b">
        <v>1</v>
      </c>
      <c r="AR751" s="6"/>
      <c r="AS751" s="6"/>
    </row>
    <row r="752" ht="15.75" customHeight="1">
      <c r="A752" s="7" t="s">
        <v>6779</v>
      </c>
      <c r="B752" s="7" t="s">
        <v>20252</v>
      </c>
      <c r="C752" s="7" t="s">
        <v>58</v>
      </c>
      <c r="D752" s="7" t="s">
        <v>59</v>
      </c>
      <c r="E752" s="7" t="s">
        <v>346</v>
      </c>
      <c r="F752" s="7">
        <v>18.0</v>
      </c>
      <c r="G752" s="7"/>
      <c r="H752" s="7"/>
      <c r="I752" s="7"/>
      <c r="J752" s="7">
        <v>6.0</v>
      </c>
      <c r="K752" s="7" t="s">
        <v>20253</v>
      </c>
      <c r="L752" s="7">
        <v>97480.0</v>
      </c>
      <c r="M752" s="7" t="s">
        <v>123</v>
      </c>
      <c r="N752" s="7"/>
      <c r="O752" s="7" t="s">
        <v>6789</v>
      </c>
      <c r="P752" s="42" t="s">
        <v>6796</v>
      </c>
      <c r="Q752" s="43" t="s">
        <v>20254</v>
      </c>
      <c r="R752" s="43" t="s">
        <v>20255</v>
      </c>
      <c r="S752" s="51"/>
      <c r="T752" s="7" t="s">
        <v>6785</v>
      </c>
      <c r="U752" s="7" t="s">
        <v>6784</v>
      </c>
      <c r="V752" s="7"/>
      <c r="W752" s="6" t="s">
        <v>20256</v>
      </c>
      <c r="X752" s="7" t="s">
        <v>2907</v>
      </c>
      <c r="Y752" s="7" t="s">
        <v>1119</v>
      </c>
      <c r="Z752" s="7" t="s">
        <v>592</v>
      </c>
      <c r="AA752" s="7"/>
      <c r="AB752" s="7"/>
      <c r="AC752" s="7">
        <v>8.4824906600012E13</v>
      </c>
      <c r="AD752" s="7">
        <v>8.48249066E8</v>
      </c>
      <c r="AE752" s="6" t="s">
        <v>12355</v>
      </c>
      <c r="AF752" s="45">
        <v>45790.63114583334</v>
      </c>
      <c r="AG752" s="7" t="s">
        <v>20257</v>
      </c>
      <c r="AH752" s="46" t="s">
        <v>20258</v>
      </c>
      <c r="AI752" s="7"/>
      <c r="AJ752" s="7"/>
      <c r="AK752" s="7" t="b">
        <v>0</v>
      </c>
      <c r="AL752" s="7" t="b">
        <v>0</v>
      </c>
      <c r="AM752" s="6" t="s">
        <v>6790</v>
      </c>
      <c r="AN752" s="6" t="s">
        <v>6779</v>
      </c>
      <c r="AO752" s="6">
        <v>2206.0</v>
      </c>
      <c r="AP752" s="6"/>
      <c r="AQ752" s="6" t="b">
        <v>1</v>
      </c>
      <c r="AR752" s="6"/>
      <c r="AS752" s="6"/>
    </row>
    <row r="753" ht="15.75" customHeight="1">
      <c r="A753" s="7" t="s">
        <v>2210</v>
      </c>
      <c r="B753" s="7" t="s">
        <v>2211</v>
      </c>
      <c r="C753" s="6" t="s">
        <v>117</v>
      </c>
      <c r="D753" s="7" t="s">
        <v>197</v>
      </c>
      <c r="E753" s="6" t="s">
        <v>16413</v>
      </c>
      <c r="F753" s="7"/>
      <c r="G753" s="7" t="s">
        <v>455</v>
      </c>
      <c r="H753" s="7"/>
      <c r="I753" s="7"/>
      <c r="J753" s="41" t="s">
        <v>20259</v>
      </c>
      <c r="K753" s="6" t="s">
        <v>20260</v>
      </c>
      <c r="L753" s="7">
        <v>97418.0</v>
      </c>
      <c r="M753" s="7" t="s">
        <v>71</v>
      </c>
      <c r="N753" s="7" t="s">
        <v>216</v>
      </c>
      <c r="O753" s="6" t="s">
        <v>20261</v>
      </c>
      <c r="P753" s="42" t="s">
        <v>2213</v>
      </c>
      <c r="Q753" s="43" t="s">
        <v>20262</v>
      </c>
      <c r="R753" s="50"/>
      <c r="S753" s="51"/>
      <c r="T753" s="7" t="s">
        <v>2214</v>
      </c>
      <c r="U753" s="7"/>
      <c r="V753" s="7" t="s">
        <v>2215</v>
      </c>
      <c r="W753" s="7"/>
      <c r="X753" s="7"/>
      <c r="Y753" s="7" t="s">
        <v>974</v>
      </c>
      <c r="Z753" s="7" t="s">
        <v>378</v>
      </c>
      <c r="AA753" s="7"/>
      <c r="AB753" s="7"/>
      <c r="AC753" s="7"/>
      <c r="AD753" s="7"/>
      <c r="AE753" s="6" t="s">
        <v>401</v>
      </c>
      <c r="AF753" s="74">
        <v>44193.42013888889</v>
      </c>
      <c r="AG753" s="7" t="s">
        <v>20263</v>
      </c>
      <c r="AH753" s="75" t="s">
        <v>20264</v>
      </c>
      <c r="AI753" s="7"/>
      <c r="AJ753" s="7"/>
      <c r="AK753" s="7" t="b">
        <v>0</v>
      </c>
      <c r="AL753" s="7" t="b">
        <v>0</v>
      </c>
      <c r="AM753" s="7"/>
      <c r="AN753" s="7"/>
      <c r="AO753" s="6">
        <v>3017.0</v>
      </c>
      <c r="AP753" s="6"/>
      <c r="AQ753" s="6" t="b">
        <v>1</v>
      </c>
      <c r="AR753" s="6"/>
      <c r="AS753" s="48" t="s">
        <v>12303</v>
      </c>
    </row>
    <row r="754" ht="15.75" customHeight="1">
      <c r="A754" s="7" t="s">
        <v>8044</v>
      </c>
      <c r="B754" s="7" t="s">
        <v>8045</v>
      </c>
      <c r="C754" s="7" t="s">
        <v>58</v>
      </c>
      <c r="D754" s="7" t="s">
        <v>453</v>
      </c>
      <c r="E754" s="7" t="s">
        <v>454</v>
      </c>
      <c r="F754" s="7">
        <v>6.0</v>
      </c>
      <c r="G754" s="7" t="s">
        <v>455</v>
      </c>
      <c r="H754" s="7"/>
      <c r="I754" s="7"/>
      <c r="J754" s="7">
        <v>32.0</v>
      </c>
      <c r="K754" s="7" t="s">
        <v>20265</v>
      </c>
      <c r="L754" s="7">
        <v>97480.0</v>
      </c>
      <c r="M754" s="7" t="s">
        <v>123</v>
      </c>
      <c r="N754" s="7"/>
      <c r="O754" s="7" t="s">
        <v>8056</v>
      </c>
      <c r="P754" s="42" t="s">
        <v>8049</v>
      </c>
      <c r="Q754" s="43" t="s">
        <v>20266</v>
      </c>
      <c r="R754" s="50"/>
      <c r="S754" s="47" t="s">
        <v>8047</v>
      </c>
      <c r="T754" s="7" t="s">
        <v>8051</v>
      </c>
      <c r="U754" s="7" t="s">
        <v>8050</v>
      </c>
      <c r="V754" s="7" t="s">
        <v>8052</v>
      </c>
      <c r="W754" s="6" t="s">
        <v>20267</v>
      </c>
      <c r="X754" s="7" t="s">
        <v>2265</v>
      </c>
      <c r="Y754" s="7" t="s">
        <v>377</v>
      </c>
      <c r="Z754" s="7" t="s">
        <v>6983</v>
      </c>
      <c r="AA754" s="7"/>
      <c r="AB754" s="7"/>
      <c r="AC754" s="7">
        <v>7.5124274400017E13</v>
      </c>
      <c r="AD754" s="7">
        <v>7.51242744E8</v>
      </c>
      <c r="AE754" s="6" t="s">
        <v>12355</v>
      </c>
      <c r="AF754" s="74">
        <v>44193.131944444445</v>
      </c>
      <c r="AG754" s="7" t="s">
        <v>20268</v>
      </c>
      <c r="AH754" s="46" t="s">
        <v>20269</v>
      </c>
      <c r="AI754" s="7"/>
      <c r="AJ754" s="7"/>
      <c r="AK754" s="7" t="b">
        <v>0</v>
      </c>
      <c r="AL754" s="7" t="b">
        <v>0</v>
      </c>
      <c r="AM754" s="6" t="s">
        <v>8057</v>
      </c>
      <c r="AN754" s="6" t="s">
        <v>8044</v>
      </c>
      <c r="AO754" s="6">
        <v>3207.0</v>
      </c>
      <c r="AP754" s="6"/>
      <c r="AQ754" s="6" t="b">
        <v>1</v>
      </c>
      <c r="AR754" s="6"/>
      <c r="AS754" s="6"/>
    </row>
    <row r="755" ht="15.75" customHeight="1">
      <c r="A755" s="7" t="s">
        <v>1049</v>
      </c>
      <c r="B755" s="7" t="s">
        <v>1050</v>
      </c>
      <c r="C755" s="7" t="s">
        <v>34</v>
      </c>
      <c r="D755" s="7" t="s">
        <v>485</v>
      </c>
      <c r="E755" s="7" t="s">
        <v>486</v>
      </c>
      <c r="F755" s="7">
        <v>25.0</v>
      </c>
      <c r="G755" s="7" t="s">
        <v>407</v>
      </c>
      <c r="H755" s="7" t="s">
        <v>574</v>
      </c>
      <c r="I755" s="7" t="s">
        <v>578</v>
      </c>
      <c r="J755" s="7">
        <v>55.0</v>
      </c>
      <c r="K755" s="7" t="s">
        <v>20270</v>
      </c>
      <c r="L755" s="7">
        <v>97480.0</v>
      </c>
      <c r="M755" s="7" t="s">
        <v>123</v>
      </c>
      <c r="N755" s="7"/>
      <c r="O755" s="7" t="s">
        <v>1059</v>
      </c>
      <c r="P755" s="42" t="s">
        <v>1053</v>
      </c>
      <c r="Q755" s="43" t="s">
        <v>20271</v>
      </c>
      <c r="R755" s="43" t="s">
        <v>20272</v>
      </c>
      <c r="S755" s="51"/>
      <c r="T755" s="7" t="s">
        <v>1054</v>
      </c>
      <c r="U755" s="7"/>
      <c r="V755" s="7" t="s">
        <v>1055</v>
      </c>
      <c r="W755" s="6" t="s">
        <v>13097</v>
      </c>
      <c r="X755" s="7" t="s">
        <v>1052</v>
      </c>
      <c r="Y755" s="7" t="s">
        <v>377</v>
      </c>
      <c r="Z755" s="7" t="s">
        <v>592</v>
      </c>
      <c r="AA755" s="7"/>
      <c r="AB755" s="7"/>
      <c r="AC755" s="7">
        <v>3.8471131300039E13</v>
      </c>
      <c r="AD755" s="7">
        <v>3.84711313E8</v>
      </c>
      <c r="AE755" s="6" t="s">
        <v>12355</v>
      </c>
      <c r="AF755" s="74">
        <v>44186.12291666667</v>
      </c>
      <c r="AG755" s="7" t="s">
        <v>20273</v>
      </c>
      <c r="AH755" s="46" t="s">
        <v>20274</v>
      </c>
      <c r="AI755" s="7"/>
      <c r="AJ755" s="7"/>
      <c r="AK755" s="7" t="b">
        <v>0</v>
      </c>
      <c r="AL755" s="7" t="b">
        <v>0</v>
      </c>
      <c r="AM755" s="7"/>
      <c r="AN755" s="6" t="s">
        <v>1049</v>
      </c>
      <c r="AO755" s="6">
        <v>1550.0</v>
      </c>
      <c r="AP755" s="6"/>
      <c r="AQ755" s="6" t="b">
        <v>1</v>
      </c>
      <c r="AR755" s="6"/>
      <c r="AS755" s="6"/>
    </row>
    <row r="756" ht="15.75" customHeight="1">
      <c r="A756" s="7" t="s">
        <v>1062</v>
      </c>
      <c r="B756" s="7" t="s">
        <v>1050</v>
      </c>
      <c r="C756" s="7" t="s">
        <v>58</v>
      </c>
      <c r="D756" s="7" t="s">
        <v>453</v>
      </c>
      <c r="E756" s="7" t="s">
        <v>454</v>
      </c>
      <c r="F756" s="7">
        <v>6.0</v>
      </c>
      <c r="G756" s="7" t="s">
        <v>407</v>
      </c>
      <c r="H756" s="7" t="s">
        <v>574</v>
      </c>
      <c r="I756" s="7" t="s">
        <v>578</v>
      </c>
      <c r="J756" s="7">
        <v>55.0</v>
      </c>
      <c r="K756" s="7" t="s">
        <v>20270</v>
      </c>
      <c r="L756" s="7">
        <v>97480.0</v>
      </c>
      <c r="M756" s="7" t="s">
        <v>123</v>
      </c>
      <c r="N756" s="7"/>
      <c r="O756" s="7" t="s">
        <v>1068</v>
      </c>
      <c r="P756" s="42" t="s">
        <v>1065</v>
      </c>
      <c r="Q756" s="43" t="s">
        <v>20271</v>
      </c>
      <c r="R756" s="43" t="s">
        <v>20272</v>
      </c>
      <c r="S756" s="51"/>
      <c r="T756" s="7" t="s">
        <v>1067</v>
      </c>
      <c r="U756" s="7" t="s">
        <v>1066</v>
      </c>
      <c r="V756" s="7" t="s">
        <v>1055</v>
      </c>
      <c r="W756" s="6" t="s">
        <v>20275</v>
      </c>
      <c r="X756" s="7" t="s">
        <v>865</v>
      </c>
      <c r="Y756" s="7" t="s">
        <v>392</v>
      </c>
      <c r="Z756" s="7" t="s">
        <v>592</v>
      </c>
      <c r="AA756" s="7"/>
      <c r="AB756" s="7"/>
      <c r="AC756" s="7">
        <v>3.8471131300039E13</v>
      </c>
      <c r="AD756" s="7">
        <v>3.84711313E8</v>
      </c>
      <c r="AE756" s="6" t="s">
        <v>12355</v>
      </c>
      <c r="AF756" s="74">
        <v>44186.12291666667</v>
      </c>
      <c r="AG756" s="7" t="s">
        <v>20273</v>
      </c>
      <c r="AH756" s="46" t="s">
        <v>20276</v>
      </c>
      <c r="AI756" s="7"/>
      <c r="AJ756" s="7"/>
      <c r="AK756" s="7" t="b">
        <v>0</v>
      </c>
      <c r="AL756" s="7" t="b">
        <v>0</v>
      </c>
      <c r="AM756" s="6" t="s">
        <v>1070</v>
      </c>
      <c r="AN756" s="6" t="s">
        <v>1062</v>
      </c>
      <c r="AO756" s="6">
        <v>790.0</v>
      </c>
      <c r="AP756" s="6"/>
      <c r="AQ756" s="6" t="b">
        <v>1</v>
      </c>
      <c r="AR756" s="6"/>
      <c r="AS756" s="6"/>
    </row>
    <row r="757" ht="15.75" customHeight="1">
      <c r="A757" s="7" t="s">
        <v>1195</v>
      </c>
      <c r="B757" s="7" t="s">
        <v>1196</v>
      </c>
      <c r="C757" s="7" t="s">
        <v>1198</v>
      </c>
      <c r="D757" s="7" t="s">
        <v>1199</v>
      </c>
      <c r="E757" s="7" t="s">
        <v>1200</v>
      </c>
      <c r="F757" s="7">
        <v>8.0</v>
      </c>
      <c r="G757" s="7" t="s">
        <v>455</v>
      </c>
      <c r="H757" s="7"/>
      <c r="I757" s="7"/>
      <c r="J757" s="41" t="s">
        <v>16176</v>
      </c>
      <c r="K757" s="7" t="s">
        <v>20277</v>
      </c>
      <c r="L757" s="7">
        <v>97418.0</v>
      </c>
      <c r="M757" s="7" t="s">
        <v>71</v>
      </c>
      <c r="N757" s="7" t="s">
        <v>216</v>
      </c>
      <c r="O757" s="7" t="s">
        <v>1209</v>
      </c>
      <c r="P757" s="42" t="s">
        <v>1202</v>
      </c>
      <c r="Q757" s="49" t="s">
        <v>20278</v>
      </c>
      <c r="R757" s="50"/>
      <c r="S757" s="51"/>
      <c r="T757" s="7" t="s">
        <v>1204</v>
      </c>
      <c r="U757" s="7" t="s">
        <v>1203</v>
      </c>
      <c r="V757" s="7" t="s">
        <v>1205</v>
      </c>
      <c r="W757" s="6" t="s">
        <v>1999</v>
      </c>
      <c r="X757" s="7"/>
      <c r="Y757" s="6" t="s">
        <v>377</v>
      </c>
      <c r="Z757" s="7" t="s">
        <v>424</v>
      </c>
      <c r="AA757" s="7"/>
      <c r="AB757" s="7"/>
      <c r="AC757" s="7">
        <v>8.1490969300016E13</v>
      </c>
      <c r="AD757" s="7">
        <v>8.14909693E8</v>
      </c>
      <c r="AE757" s="6" t="s">
        <v>401</v>
      </c>
      <c r="AF757" s="45">
        <v>45425.356574074074</v>
      </c>
      <c r="AG757" s="7" t="s">
        <v>20279</v>
      </c>
      <c r="AH757" s="46" t="s">
        <v>20280</v>
      </c>
      <c r="AI757" s="7"/>
      <c r="AJ757" s="6" t="s">
        <v>20281</v>
      </c>
      <c r="AK757" s="7" t="b">
        <v>0</v>
      </c>
      <c r="AL757" s="7" t="b">
        <v>0</v>
      </c>
      <c r="AM757" s="7"/>
      <c r="AN757" s="6" t="s">
        <v>1195</v>
      </c>
      <c r="AO757" s="6">
        <v>4380.0</v>
      </c>
      <c r="AP757" s="6"/>
      <c r="AQ757" s="6" t="b">
        <v>1</v>
      </c>
      <c r="AR757" s="6"/>
      <c r="AS757" s="48" t="s">
        <v>12303</v>
      </c>
    </row>
    <row r="758" ht="15.75" customHeight="1">
      <c r="A758" s="7" t="s">
        <v>7089</v>
      </c>
      <c r="B758" s="7" t="s">
        <v>20282</v>
      </c>
      <c r="C758" s="7" t="s">
        <v>58</v>
      </c>
      <c r="D758" s="7" t="s">
        <v>453</v>
      </c>
      <c r="E758" s="7" t="s">
        <v>454</v>
      </c>
      <c r="F758" s="7">
        <v>18.0</v>
      </c>
      <c r="G758" s="7"/>
      <c r="H758" s="7"/>
      <c r="I758" s="7"/>
      <c r="J758" s="7">
        <v>12.0</v>
      </c>
      <c r="K758" s="7" t="s">
        <v>16059</v>
      </c>
      <c r="L758" s="7">
        <v>97480.0</v>
      </c>
      <c r="M758" s="7" t="s">
        <v>123</v>
      </c>
      <c r="N758" s="7" t="s">
        <v>8325</v>
      </c>
      <c r="O758" s="6" t="s">
        <v>20283</v>
      </c>
      <c r="P758" s="42" t="s">
        <v>7094</v>
      </c>
      <c r="Q758" s="43" t="s">
        <v>20284</v>
      </c>
      <c r="R758" s="43" t="s">
        <v>20285</v>
      </c>
      <c r="S758" s="47" t="s">
        <v>7092</v>
      </c>
      <c r="T758" s="7" t="s">
        <v>7095</v>
      </c>
      <c r="U758" s="7"/>
      <c r="V758" s="7"/>
      <c r="W758" s="6" t="s">
        <v>20286</v>
      </c>
      <c r="X758" s="7"/>
      <c r="Y758" s="7" t="s">
        <v>377</v>
      </c>
      <c r="Z758" s="7" t="s">
        <v>728</v>
      </c>
      <c r="AA758" s="7"/>
      <c r="AB758" s="7"/>
      <c r="AC758" s="7">
        <v>3.5152843500032E13</v>
      </c>
      <c r="AD758" s="7">
        <v>3.51528435E8</v>
      </c>
      <c r="AE758" s="6" t="s">
        <v>401</v>
      </c>
      <c r="AF758" s="74">
        <v>44172.368055555555</v>
      </c>
      <c r="AG758" s="7" t="s">
        <v>20287</v>
      </c>
      <c r="AH758" s="75" t="s">
        <v>20288</v>
      </c>
      <c r="AI758" s="7"/>
      <c r="AJ758" s="7"/>
      <c r="AK758" s="7" t="b">
        <v>0</v>
      </c>
      <c r="AL758" s="7" t="b">
        <v>0</v>
      </c>
      <c r="AM758" s="6" t="s">
        <v>7100</v>
      </c>
      <c r="AN758" s="7"/>
      <c r="AO758" s="6">
        <v>2595.0</v>
      </c>
      <c r="AP758" s="6"/>
      <c r="AQ758" s="6" t="b">
        <v>1</v>
      </c>
      <c r="AR758" s="6"/>
      <c r="AS758" s="6"/>
    </row>
    <row r="759" ht="15.75" customHeight="1">
      <c r="A759" s="7" t="s">
        <v>4351</v>
      </c>
      <c r="B759" s="7" t="s">
        <v>4352</v>
      </c>
      <c r="C759" s="7" t="s">
        <v>58</v>
      </c>
      <c r="D759" s="7" t="s">
        <v>59</v>
      </c>
      <c r="E759" s="7" t="s">
        <v>346</v>
      </c>
      <c r="F759" s="7">
        <v>32.0</v>
      </c>
      <c r="G759" s="7" t="s">
        <v>347</v>
      </c>
      <c r="H759" s="7"/>
      <c r="I759" s="7"/>
      <c r="J759" s="7"/>
      <c r="K759" s="7" t="s">
        <v>20289</v>
      </c>
      <c r="L759" s="7">
        <v>97480.0</v>
      </c>
      <c r="M759" s="7" t="s">
        <v>123</v>
      </c>
      <c r="N759" s="7"/>
      <c r="O759" s="6" t="s">
        <v>20290</v>
      </c>
      <c r="P759" s="42" t="s">
        <v>4355</v>
      </c>
      <c r="Q759" s="43" t="s">
        <v>12645</v>
      </c>
      <c r="R759" s="50"/>
      <c r="S759" s="51"/>
      <c r="T759" s="7" t="s">
        <v>4356</v>
      </c>
      <c r="U759" s="7"/>
      <c r="V759" s="7" t="s">
        <v>4357</v>
      </c>
      <c r="W759" s="6" t="s">
        <v>20291</v>
      </c>
      <c r="X759" s="7" t="s">
        <v>2106</v>
      </c>
      <c r="Y759" s="7" t="s">
        <v>377</v>
      </c>
      <c r="Z759" s="7" t="s">
        <v>592</v>
      </c>
      <c r="AA759" s="7" t="s">
        <v>3270</v>
      </c>
      <c r="AB759" s="7" t="s">
        <v>4319</v>
      </c>
      <c r="AC759" s="7">
        <v>7.9246334100026E13</v>
      </c>
      <c r="AD759" s="7">
        <v>2.14748364E8</v>
      </c>
      <c r="AE759" s="6" t="s">
        <v>401</v>
      </c>
      <c r="AF759" s="74">
        <v>44172.10277777778</v>
      </c>
      <c r="AG759" s="7" t="s">
        <v>12646</v>
      </c>
      <c r="AH759" s="75" t="s">
        <v>20292</v>
      </c>
      <c r="AI759" s="7"/>
      <c r="AJ759" s="7"/>
      <c r="AK759" s="7" t="b">
        <v>0</v>
      </c>
      <c r="AL759" s="7" t="b">
        <v>0</v>
      </c>
      <c r="AM759" s="6" t="s">
        <v>4362</v>
      </c>
      <c r="AN759" s="7"/>
      <c r="AO759" s="6">
        <v>957.0</v>
      </c>
      <c r="AP759" s="6"/>
      <c r="AQ759" s="6" t="b">
        <v>1</v>
      </c>
      <c r="AR759" s="6"/>
      <c r="AS759" s="6" t="s">
        <v>12303</v>
      </c>
    </row>
    <row r="760" ht="15.75" customHeight="1">
      <c r="A760" s="7" t="s">
        <v>7678</v>
      </c>
      <c r="B760" s="7" t="s">
        <v>7679</v>
      </c>
      <c r="C760" s="7" t="s">
        <v>1198</v>
      </c>
      <c r="D760" s="7" t="s">
        <v>1199</v>
      </c>
      <c r="E760" s="7" t="s">
        <v>1200</v>
      </c>
      <c r="F760" s="7">
        <v>5.0</v>
      </c>
      <c r="G760" s="7"/>
      <c r="H760" s="7"/>
      <c r="I760" s="7"/>
      <c r="J760" s="7"/>
      <c r="K760" s="7" t="s">
        <v>71</v>
      </c>
      <c r="L760" s="7">
        <v>97430.0</v>
      </c>
      <c r="M760" s="7" t="s">
        <v>71</v>
      </c>
      <c r="N760" s="7"/>
      <c r="O760" s="7" t="s">
        <v>7688</v>
      </c>
      <c r="P760" s="42" t="s">
        <v>7682</v>
      </c>
      <c r="Q760" s="43" t="s">
        <v>20293</v>
      </c>
      <c r="R760" s="50"/>
      <c r="S760" s="47" t="s">
        <v>7681</v>
      </c>
      <c r="T760" s="7" t="s">
        <v>7684</v>
      </c>
      <c r="U760" s="7" t="s">
        <v>7683</v>
      </c>
      <c r="V760" s="7"/>
      <c r="W760" s="7"/>
      <c r="X760" s="7"/>
      <c r="Y760" s="7" t="s">
        <v>974</v>
      </c>
      <c r="Z760" s="7" t="s">
        <v>424</v>
      </c>
      <c r="AA760" s="7"/>
      <c r="AB760" s="7"/>
      <c r="AC760" s="7">
        <v>8.2240206100011E13</v>
      </c>
      <c r="AD760" s="7">
        <v>8.22402061E8</v>
      </c>
      <c r="AE760" s="6" t="s">
        <v>401</v>
      </c>
      <c r="AF760" s="74">
        <v>44171.37013888889</v>
      </c>
      <c r="AG760" s="7" t="s">
        <v>20294</v>
      </c>
      <c r="AH760" s="75" t="s">
        <v>20295</v>
      </c>
      <c r="AI760" s="7"/>
      <c r="AJ760" s="7"/>
      <c r="AK760" s="7" t="b">
        <v>0</v>
      </c>
      <c r="AL760" s="7" t="b">
        <v>0</v>
      </c>
      <c r="AM760" s="7"/>
      <c r="AN760" s="7"/>
      <c r="AO760" s="6">
        <v>4259.0</v>
      </c>
      <c r="AP760" s="6"/>
      <c r="AQ760" s="6" t="b">
        <v>1</v>
      </c>
      <c r="AR760" s="6"/>
      <c r="AS760" s="6"/>
    </row>
    <row r="761" ht="15.75" customHeight="1">
      <c r="A761" s="7" t="s">
        <v>8076</v>
      </c>
      <c r="B761" s="7" t="s">
        <v>20296</v>
      </c>
      <c r="C761" s="7" t="s">
        <v>58</v>
      </c>
      <c r="D761" s="7" t="s">
        <v>59</v>
      </c>
      <c r="E761" s="7" t="s">
        <v>545</v>
      </c>
      <c r="F761" s="7">
        <v>22.0</v>
      </c>
      <c r="G761" s="7" t="s">
        <v>375</v>
      </c>
      <c r="H761" s="7"/>
      <c r="I761" s="7"/>
      <c r="J761" s="7">
        <v>28.0</v>
      </c>
      <c r="K761" s="7" t="s">
        <v>16059</v>
      </c>
      <c r="L761" s="7">
        <v>97480.0</v>
      </c>
      <c r="M761" s="7" t="s">
        <v>123</v>
      </c>
      <c r="N761" s="7" t="s">
        <v>8325</v>
      </c>
      <c r="O761" s="6" t="s">
        <v>20297</v>
      </c>
      <c r="P761" s="42" t="s">
        <v>8082</v>
      </c>
      <c r="Q761" s="43" t="s">
        <v>20298</v>
      </c>
      <c r="R761" s="43" t="s">
        <v>20299</v>
      </c>
      <c r="S761" s="47" t="s">
        <v>8080</v>
      </c>
      <c r="T761" s="7" t="s">
        <v>8084</v>
      </c>
      <c r="U761" s="7" t="s">
        <v>8083</v>
      </c>
      <c r="V761" s="7" t="s">
        <v>8085</v>
      </c>
      <c r="W761" s="6" t="s">
        <v>20300</v>
      </c>
      <c r="X761" s="7" t="s">
        <v>2787</v>
      </c>
      <c r="Y761" s="7" t="s">
        <v>377</v>
      </c>
      <c r="Z761" s="7" t="s">
        <v>378</v>
      </c>
      <c r="AA761" s="7"/>
      <c r="AB761" s="7"/>
      <c r="AC761" s="7">
        <v>5.3313406000011E13</v>
      </c>
      <c r="AD761" s="7">
        <v>5.3313406E8</v>
      </c>
      <c r="AE761" s="6" t="s">
        <v>401</v>
      </c>
      <c r="AF761" s="74">
        <v>44168.37222222222</v>
      </c>
      <c r="AG761" s="7" t="s">
        <v>20301</v>
      </c>
      <c r="AH761" s="75" t="s">
        <v>20302</v>
      </c>
      <c r="AI761" s="7"/>
      <c r="AJ761" s="7"/>
      <c r="AK761" s="7" t="b">
        <v>0</v>
      </c>
      <c r="AL761" s="7" t="b">
        <v>0</v>
      </c>
      <c r="AM761" s="6" t="s">
        <v>8090</v>
      </c>
      <c r="AN761" s="7"/>
      <c r="AO761" s="6">
        <v>3375.0</v>
      </c>
      <c r="AP761" s="6"/>
      <c r="AQ761" s="6" t="b">
        <v>1</v>
      </c>
      <c r="AR761" s="6"/>
      <c r="AS761" s="6"/>
    </row>
    <row r="762" ht="15.75" customHeight="1">
      <c r="A762" s="7" t="s">
        <v>5604</v>
      </c>
      <c r="B762" s="7" t="s">
        <v>5605</v>
      </c>
      <c r="C762" s="7" t="s">
        <v>58</v>
      </c>
      <c r="D762" s="7" t="s">
        <v>59</v>
      </c>
      <c r="E762" s="7" t="s">
        <v>374</v>
      </c>
      <c r="F762" s="7">
        <v>2.0</v>
      </c>
      <c r="G762" s="7" t="s">
        <v>375</v>
      </c>
      <c r="H762" s="7"/>
      <c r="I762" s="7"/>
      <c r="J762" s="7">
        <v>3.0</v>
      </c>
      <c r="K762" s="7" t="s">
        <v>20303</v>
      </c>
      <c r="L762" s="7">
        <v>97480.0</v>
      </c>
      <c r="M762" s="7" t="s">
        <v>123</v>
      </c>
      <c r="N762" s="7" t="s">
        <v>206</v>
      </c>
      <c r="O762" s="6" t="s">
        <v>20304</v>
      </c>
      <c r="P762" s="42" t="s">
        <v>5610</v>
      </c>
      <c r="Q762" s="49" t="s">
        <v>20305</v>
      </c>
      <c r="R762" s="43" t="s">
        <v>20305</v>
      </c>
      <c r="S762" s="47" t="s">
        <v>5607</v>
      </c>
      <c r="T762" s="6" t="s">
        <v>20306</v>
      </c>
      <c r="U762" s="6" t="s">
        <v>20307</v>
      </c>
      <c r="V762" s="7" t="s">
        <v>5613</v>
      </c>
      <c r="W762" s="6" t="s">
        <v>20308</v>
      </c>
      <c r="X762" s="6" t="s">
        <v>20309</v>
      </c>
      <c r="Y762" s="7" t="s">
        <v>2390</v>
      </c>
      <c r="Z762" s="7" t="s">
        <v>1698</v>
      </c>
      <c r="AA762" s="7" t="s">
        <v>3451</v>
      </c>
      <c r="AB762" s="7" t="s">
        <v>1590</v>
      </c>
      <c r="AC762" s="6">
        <v>9.04101813E8</v>
      </c>
      <c r="AD762" s="6">
        <v>9.04101813E8</v>
      </c>
      <c r="AE762" s="6" t="s">
        <v>401</v>
      </c>
      <c r="AF762" s="74">
        <v>44166.4125</v>
      </c>
      <c r="AG762" s="7" t="s">
        <v>20310</v>
      </c>
      <c r="AH762" s="46" t="s">
        <v>20311</v>
      </c>
      <c r="AI762" s="7"/>
      <c r="AJ762" s="6" t="s">
        <v>20312</v>
      </c>
      <c r="AK762" s="7" t="b">
        <v>0</v>
      </c>
      <c r="AL762" s="7" t="b">
        <v>0</v>
      </c>
      <c r="AM762" s="6" t="s">
        <v>20313</v>
      </c>
      <c r="AN762" s="6" t="s">
        <v>5604</v>
      </c>
      <c r="AO762" s="6">
        <v>5031.0</v>
      </c>
      <c r="AP762" s="6"/>
      <c r="AQ762" s="6" t="b">
        <v>1</v>
      </c>
      <c r="AR762" s="6" t="s">
        <v>20314</v>
      </c>
      <c r="AS762" s="6"/>
    </row>
    <row r="763" ht="15.75" customHeight="1">
      <c r="A763" s="7" t="s">
        <v>5345</v>
      </c>
      <c r="B763" s="7" t="s">
        <v>20315</v>
      </c>
      <c r="C763" s="7" t="s">
        <v>58</v>
      </c>
      <c r="D763" s="7" t="s">
        <v>59</v>
      </c>
      <c r="E763" s="7" t="s">
        <v>346</v>
      </c>
      <c r="F763" s="7">
        <v>26.0</v>
      </c>
      <c r="G763" s="7" t="s">
        <v>407</v>
      </c>
      <c r="H763" s="7"/>
      <c r="I763" s="7"/>
      <c r="J763" s="7">
        <v>11.0</v>
      </c>
      <c r="K763" s="7" t="s">
        <v>16320</v>
      </c>
      <c r="L763" s="7">
        <v>97418.0</v>
      </c>
      <c r="M763" s="7" t="s">
        <v>71</v>
      </c>
      <c r="N763" s="7" t="s">
        <v>216</v>
      </c>
      <c r="O763" s="7" t="s">
        <v>5356</v>
      </c>
      <c r="P763" s="42" t="s">
        <v>5349</v>
      </c>
      <c r="Q763" s="43" t="s">
        <v>20316</v>
      </c>
      <c r="R763" s="50"/>
      <c r="S763" s="51"/>
      <c r="T763" s="7" t="s">
        <v>5351</v>
      </c>
      <c r="U763" s="7" t="s">
        <v>5350</v>
      </c>
      <c r="V763" s="7" t="s">
        <v>5352</v>
      </c>
      <c r="W763" s="6" t="s">
        <v>20317</v>
      </c>
      <c r="X763" s="7"/>
      <c r="Y763" s="7"/>
      <c r="Z763" s="7" t="s">
        <v>592</v>
      </c>
      <c r="AA763" s="7" t="s">
        <v>5357</v>
      </c>
      <c r="AB763" s="7" t="s">
        <v>2046</v>
      </c>
      <c r="AC763" s="7">
        <v>3.7781169000025E13</v>
      </c>
      <c r="AD763" s="7">
        <v>3.7781169E8</v>
      </c>
      <c r="AE763" s="6" t="s">
        <v>20318</v>
      </c>
      <c r="AF763" s="74">
        <v>44166.0</v>
      </c>
      <c r="AG763" s="7" t="s">
        <v>20319</v>
      </c>
      <c r="AH763" s="75" t="s">
        <v>20320</v>
      </c>
      <c r="AI763" s="7"/>
      <c r="AJ763" s="7"/>
      <c r="AK763" s="7" t="b">
        <v>0</v>
      </c>
      <c r="AL763" s="7" t="b">
        <v>0</v>
      </c>
      <c r="AM763" s="6" t="s">
        <v>5358</v>
      </c>
      <c r="AN763" s="7"/>
      <c r="AO763" s="6">
        <v>1548.0</v>
      </c>
      <c r="AP763" s="6"/>
      <c r="AQ763" s="6" t="b">
        <v>1</v>
      </c>
      <c r="AR763" s="6"/>
      <c r="AS763" s="48" t="s">
        <v>12303</v>
      </c>
    </row>
    <row r="764" ht="15.75" customHeight="1">
      <c r="A764" s="7" t="s">
        <v>5519</v>
      </c>
      <c r="B764" s="7" t="s">
        <v>20321</v>
      </c>
      <c r="C764" s="7" t="s">
        <v>58</v>
      </c>
      <c r="D764" s="7" t="s">
        <v>59</v>
      </c>
      <c r="E764" s="7" t="s">
        <v>346</v>
      </c>
      <c r="F764" s="7">
        <v>15.0</v>
      </c>
      <c r="G764" s="7" t="s">
        <v>455</v>
      </c>
      <c r="H764" s="7"/>
      <c r="I764" s="7" t="s">
        <v>3787</v>
      </c>
      <c r="J764" s="7"/>
      <c r="K764" s="7" t="s">
        <v>20322</v>
      </c>
      <c r="L764" s="7">
        <v>97418.0</v>
      </c>
      <c r="M764" s="7" t="s">
        <v>71</v>
      </c>
      <c r="N764" s="7" t="s">
        <v>216</v>
      </c>
      <c r="O764" s="6" t="s">
        <v>20323</v>
      </c>
      <c r="P764" s="42" t="s">
        <v>5524</v>
      </c>
      <c r="Q764" s="43" t="s">
        <v>20324</v>
      </c>
      <c r="R764" s="50"/>
      <c r="S764" s="51"/>
      <c r="T764" s="7" t="s">
        <v>5526</v>
      </c>
      <c r="U764" s="7" t="s">
        <v>5525</v>
      </c>
      <c r="V764" s="7" t="s">
        <v>5527</v>
      </c>
      <c r="W764" s="6" t="s">
        <v>20325</v>
      </c>
      <c r="X764" s="7" t="s">
        <v>5523</v>
      </c>
      <c r="Y764" s="7" t="s">
        <v>694</v>
      </c>
      <c r="Z764" s="7" t="s">
        <v>353</v>
      </c>
      <c r="AA764" s="7" t="s">
        <v>5532</v>
      </c>
      <c r="AB764" s="7" t="s">
        <v>5533</v>
      </c>
      <c r="AC764" s="7">
        <v>3.9942255900019E13</v>
      </c>
      <c r="AD764" s="7">
        <v>3.99422559E8</v>
      </c>
      <c r="AE764" s="6" t="s">
        <v>401</v>
      </c>
      <c r="AF764" s="74">
        <v>44160.11111111111</v>
      </c>
      <c r="AG764" s="7" t="s">
        <v>20326</v>
      </c>
      <c r="AH764" s="75" t="s">
        <v>20327</v>
      </c>
      <c r="AI764" s="7"/>
      <c r="AJ764" s="7"/>
      <c r="AK764" s="7" t="b">
        <v>0</v>
      </c>
      <c r="AL764" s="7" t="b">
        <v>0</v>
      </c>
      <c r="AM764" s="6" t="s">
        <v>5534</v>
      </c>
      <c r="AN764" s="7"/>
      <c r="AO764" s="6">
        <v>2631.0</v>
      </c>
      <c r="AP764" s="6"/>
      <c r="AQ764" s="6" t="b">
        <v>1</v>
      </c>
      <c r="AR764" s="6"/>
      <c r="AS764" s="48" t="s">
        <v>12303</v>
      </c>
    </row>
    <row r="765" ht="15.75" customHeight="1">
      <c r="A765" s="7" t="s">
        <v>2385</v>
      </c>
      <c r="B765" s="7" t="s">
        <v>2386</v>
      </c>
      <c r="C765" s="7" t="s">
        <v>58</v>
      </c>
      <c r="D765" s="7" t="s">
        <v>453</v>
      </c>
      <c r="E765" s="7" t="s">
        <v>454</v>
      </c>
      <c r="F765" s="7">
        <v>8.0</v>
      </c>
      <c r="G765" s="7" t="s">
        <v>455</v>
      </c>
      <c r="H765" s="7"/>
      <c r="I765" s="7"/>
      <c r="J765" s="7">
        <v>44.0</v>
      </c>
      <c r="K765" s="7" t="s">
        <v>20328</v>
      </c>
      <c r="L765" s="7">
        <v>97418.0</v>
      </c>
      <c r="M765" s="7" t="s">
        <v>71</v>
      </c>
      <c r="N765" s="7" t="s">
        <v>216</v>
      </c>
      <c r="O765" s="6" t="s">
        <v>20329</v>
      </c>
      <c r="P765" s="42" t="s">
        <v>2391</v>
      </c>
      <c r="Q765" s="43" t="s">
        <v>20330</v>
      </c>
      <c r="R765" s="50"/>
      <c r="S765" s="51"/>
      <c r="T765" s="7" t="s">
        <v>2393</v>
      </c>
      <c r="U765" s="7" t="s">
        <v>2392</v>
      </c>
      <c r="V765" s="7" t="s">
        <v>2394</v>
      </c>
      <c r="W765" s="6" t="s">
        <v>20331</v>
      </c>
      <c r="X765" s="7" t="s">
        <v>2389</v>
      </c>
      <c r="Y765" s="6" t="s">
        <v>1863</v>
      </c>
      <c r="Z765" s="7" t="s">
        <v>424</v>
      </c>
      <c r="AA765" s="7" t="s">
        <v>2399</v>
      </c>
      <c r="AB765" s="7" t="s">
        <v>1590</v>
      </c>
      <c r="AC765" s="7">
        <v>4.430099800003E13</v>
      </c>
      <c r="AD765" s="7">
        <v>4.4300998E8</v>
      </c>
      <c r="AE765" s="6" t="s">
        <v>401</v>
      </c>
      <c r="AF765" s="74">
        <v>44160.09097222222</v>
      </c>
      <c r="AG765" s="7" t="s">
        <v>17945</v>
      </c>
      <c r="AH765" s="46" t="s">
        <v>20332</v>
      </c>
      <c r="AI765" s="7"/>
      <c r="AJ765" s="7"/>
      <c r="AK765" s="7" t="b">
        <v>0</v>
      </c>
      <c r="AL765" s="7" t="b">
        <v>0</v>
      </c>
      <c r="AM765" s="6" t="s">
        <v>2400</v>
      </c>
      <c r="AN765" s="6" t="s">
        <v>2385</v>
      </c>
      <c r="AO765" s="6">
        <v>5129.0</v>
      </c>
      <c r="AP765" s="6"/>
      <c r="AQ765" s="6" t="b">
        <v>1</v>
      </c>
      <c r="AR765" s="6"/>
      <c r="AS765" s="48" t="s">
        <v>12303</v>
      </c>
    </row>
    <row r="766" ht="15.75" customHeight="1">
      <c r="A766" s="7" t="s">
        <v>6269</v>
      </c>
      <c r="B766" s="6" t="s">
        <v>20333</v>
      </c>
      <c r="C766" s="7" t="s">
        <v>58</v>
      </c>
      <c r="D766" s="7" t="s">
        <v>59</v>
      </c>
      <c r="E766" s="7" t="s">
        <v>374</v>
      </c>
      <c r="F766" s="6">
        <v>2.0</v>
      </c>
      <c r="G766" s="7" t="s">
        <v>455</v>
      </c>
      <c r="H766" s="7"/>
      <c r="I766" s="7"/>
      <c r="J766" s="7">
        <v>26.0</v>
      </c>
      <c r="K766" s="7" t="s">
        <v>12940</v>
      </c>
      <c r="L766" s="7">
        <v>97480.0</v>
      </c>
      <c r="M766" s="7" t="s">
        <v>123</v>
      </c>
      <c r="N766" s="7" t="s">
        <v>206</v>
      </c>
      <c r="O766" s="7" t="s">
        <v>6281</v>
      </c>
      <c r="P766" s="42" t="s">
        <v>6275</v>
      </c>
      <c r="Q766" s="43" t="s">
        <v>20334</v>
      </c>
      <c r="R766" s="43" t="s">
        <v>20335</v>
      </c>
      <c r="S766" s="51"/>
      <c r="T766" s="6" t="s">
        <v>20336</v>
      </c>
      <c r="U766" s="6" t="s">
        <v>20337</v>
      </c>
      <c r="V766" s="7"/>
      <c r="W766" s="6" t="s">
        <v>20338</v>
      </c>
      <c r="X766" s="7" t="s">
        <v>6274</v>
      </c>
      <c r="Y766" s="7" t="s">
        <v>377</v>
      </c>
      <c r="Z766" s="7" t="s">
        <v>378</v>
      </c>
      <c r="AA766" s="7"/>
      <c r="AB766" s="7"/>
      <c r="AC766" s="7"/>
      <c r="AD766" s="7"/>
      <c r="AE766" s="6" t="s">
        <v>12355</v>
      </c>
      <c r="AF766" s="74">
        <v>44159.0</v>
      </c>
      <c r="AG766" s="7" t="s">
        <v>20339</v>
      </c>
      <c r="AH766" s="46" t="s">
        <v>20340</v>
      </c>
      <c r="AI766" s="7"/>
      <c r="AJ766" s="7"/>
      <c r="AK766" s="7" t="b">
        <v>0</v>
      </c>
      <c r="AL766" s="7" t="b">
        <v>0</v>
      </c>
      <c r="AM766" s="6" t="s">
        <v>20341</v>
      </c>
      <c r="AN766" s="6" t="s">
        <v>6269</v>
      </c>
      <c r="AO766" s="6">
        <v>2591.0</v>
      </c>
      <c r="AP766" s="6"/>
      <c r="AQ766" s="6" t="b">
        <v>1</v>
      </c>
      <c r="AR766" s="6"/>
      <c r="AS766" s="6"/>
    </row>
    <row r="767" ht="15.75" customHeight="1">
      <c r="A767" s="7" t="s">
        <v>7909</v>
      </c>
      <c r="B767" s="7" t="s">
        <v>7910</v>
      </c>
      <c r="C767" s="7" t="s">
        <v>58</v>
      </c>
      <c r="D767" s="7" t="s">
        <v>59</v>
      </c>
      <c r="E767" s="7" t="s">
        <v>346</v>
      </c>
      <c r="F767" s="7">
        <v>6.0</v>
      </c>
      <c r="G767" s="7" t="s">
        <v>455</v>
      </c>
      <c r="H767" s="7"/>
      <c r="I767" s="7"/>
      <c r="J767" s="7">
        <v>376.0</v>
      </c>
      <c r="K767" s="7" t="s">
        <v>15517</v>
      </c>
      <c r="L767" s="7">
        <v>97430.0</v>
      </c>
      <c r="M767" s="7" t="s">
        <v>71</v>
      </c>
      <c r="N767" s="7"/>
      <c r="O767" s="6" t="s">
        <v>20342</v>
      </c>
      <c r="P767" s="42" t="s">
        <v>7914</v>
      </c>
      <c r="Q767" s="43" t="s">
        <v>20343</v>
      </c>
      <c r="R767" s="50"/>
      <c r="S767" s="51"/>
      <c r="T767" s="7" t="s">
        <v>7916</v>
      </c>
      <c r="U767" s="7" t="s">
        <v>7915</v>
      </c>
      <c r="V767" s="7" t="s">
        <v>7917</v>
      </c>
      <c r="W767" s="6" t="s">
        <v>20344</v>
      </c>
      <c r="X767" s="7" t="s">
        <v>7913</v>
      </c>
      <c r="Y767" s="7" t="s">
        <v>377</v>
      </c>
      <c r="Z767" s="7" t="s">
        <v>378</v>
      </c>
      <c r="AA767" s="7"/>
      <c r="AB767" s="7"/>
      <c r="AC767" s="7"/>
      <c r="AD767" s="7"/>
      <c r="AE767" s="6" t="s">
        <v>401</v>
      </c>
      <c r="AF767" s="74">
        <v>44155.07708333333</v>
      </c>
      <c r="AG767" s="7" t="s">
        <v>20345</v>
      </c>
      <c r="AH767" s="75" t="s">
        <v>20346</v>
      </c>
      <c r="AI767" s="7"/>
      <c r="AJ767" s="7"/>
      <c r="AK767" s="7" t="b">
        <v>0</v>
      </c>
      <c r="AL767" s="7" t="b">
        <v>0</v>
      </c>
      <c r="AM767" s="6" t="s">
        <v>7922</v>
      </c>
      <c r="AN767" s="7"/>
      <c r="AO767" s="6">
        <v>3107.0</v>
      </c>
      <c r="AP767" s="6"/>
      <c r="AQ767" s="6" t="b">
        <v>1</v>
      </c>
      <c r="AR767" s="6"/>
      <c r="AS767" s="6" t="s">
        <v>12303</v>
      </c>
    </row>
    <row r="768" ht="15.75" customHeight="1">
      <c r="A768" s="7" t="s">
        <v>7437</v>
      </c>
      <c r="B768" s="7" t="s">
        <v>7438</v>
      </c>
      <c r="C768" s="6" t="s">
        <v>117</v>
      </c>
      <c r="D768" s="7" t="s">
        <v>1792</v>
      </c>
      <c r="E768" s="7" t="s">
        <v>1793</v>
      </c>
      <c r="F768" s="7"/>
      <c r="G768" s="7"/>
      <c r="H768" s="7"/>
      <c r="I768" s="7"/>
      <c r="J768" s="7">
        <v>87.0</v>
      </c>
      <c r="K768" s="7" t="s">
        <v>13113</v>
      </c>
      <c r="L768" s="7">
        <v>97430.0</v>
      </c>
      <c r="M768" s="7" t="s">
        <v>71</v>
      </c>
      <c r="N768" s="7"/>
      <c r="O768" s="6" t="s">
        <v>20347</v>
      </c>
      <c r="P768" s="42" t="s">
        <v>7440</v>
      </c>
      <c r="Q768" s="43" t="s">
        <v>20348</v>
      </c>
      <c r="R768" s="43" t="s">
        <v>20349</v>
      </c>
      <c r="S768" s="51"/>
      <c r="T768" s="7" t="s">
        <v>7441</v>
      </c>
      <c r="U768" s="7"/>
      <c r="V768" s="7"/>
      <c r="W768" s="7"/>
      <c r="X768" s="7"/>
      <c r="Y768" s="7" t="s">
        <v>377</v>
      </c>
      <c r="Z768" s="7" t="s">
        <v>378</v>
      </c>
      <c r="AA768" s="7"/>
      <c r="AB768" s="7"/>
      <c r="AC768" s="7"/>
      <c r="AD768" s="7"/>
      <c r="AE768" s="6" t="s">
        <v>401</v>
      </c>
      <c r="AF768" s="74">
        <v>44154.1</v>
      </c>
      <c r="AG768" s="7" t="s">
        <v>20350</v>
      </c>
      <c r="AH768" s="75" t="s">
        <v>20351</v>
      </c>
      <c r="AI768" s="7"/>
      <c r="AJ768" s="7"/>
      <c r="AK768" s="7" t="b">
        <v>0</v>
      </c>
      <c r="AL768" s="7" t="b">
        <v>0</v>
      </c>
      <c r="AM768" s="7"/>
      <c r="AN768" s="7"/>
      <c r="AO768" s="6">
        <v>1913.0</v>
      </c>
      <c r="AP768" s="6"/>
      <c r="AQ768" s="6" t="b">
        <v>1</v>
      </c>
      <c r="AR768" s="6"/>
      <c r="AS768" s="6"/>
    </row>
    <row r="769" ht="15.75" customHeight="1">
      <c r="A769" s="7" t="s">
        <v>2679</v>
      </c>
      <c r="B769" s="7" t="s">
        <v>20352</v>
      </c>
      <c r="C769" s="7" t="s">
        <v>822</v>
      </c>
      <c r="D769" s="7" t="s">
        <v>1805</v>
      </c>
      <c r="E769" s="7" t="s">
        <v>2684</v>
      </c>
      <c r="F769" s="7"/>
      <c r="G769" s="7" t="s">
        <v>2685</v>
      </c>
      <c r="H769" s="7"/>
      <c r="I769" s="7" t="s">
        <v>2691</v>
      </c>
      <c r="J769" s="7"/>
      <c r="K769" s="7" t="s">
        <v>13539</v>
      </c>
      <c r="L769" s="7">
        <v>97418.0</v>
      </c>
      <c r="M769" s="7" t="s">
        <v>71</v>
      </c>
      <c r="N769" s="7" t="s">
        <v>216</v>
      </c>
      <c r="O769" s="6" t="s">
        <v>20353</v>
      </c>
      <c r="P769" s="42" t="s">
        <v>20354</v>
      </c>
      <c r="Q769" s="43" t="s">
        <v>20355</v>
      </c>
      <c r="R769" s="50"/>
      <c r="S769" s="47" t="s">
        <v>2683</v>
      </c>
      <c r="T769" s="7" t="s">
        <v>2689</v>
      </c>
      <c r="U769" s="7" t="s">
        <v>2688</v>
      </c>
      <c r="V769" s="7"/>
      <c r="W769" s="7"/>
      <c r="X769" s="7"/>
      <c r="Y769" s="7"/>
      <c r="Z769" s="7" t="s">
        <v>2686</v>
      </c>
      <c r="AA769" s="7"/>
      <c r="AB769" s="7"/>
      <c r="AC769" s="7">
        <v>7.8897940900018E13</v>
      </c>
      <c r="AD769" s="7">
        <v>7.88979409E8</v>
      </c>
      <c r="AE769" s="6" t="s">
        <v>401</v>
      </c>
      <c r="AF769" s="74">
        <v>44148.13125</v>
      </c>
      <c r="AG769" s="7" t="s">
        <v>20356</v>
      </c>
      <c r="AH769" s="75" t="s">
        <v>20357</v>
      </c>
      <c r="AI769" s="7"/>
      <c r="AJ769" s="7"/>
      <c r="AK769" s="7" t="b">
        <v>0</v>
      </c>
      <c r="AL769" s="7" t="b">
        <v>0</v>
      </c>
      <c r="AM769" s="7"/>
      <c r="AN769" s="7"/>
      <c r="AO769" s="6">
        <v>1576.0</v>
      </c>
      <c r="AP769" s="6"/>
      <c r="AQ769" s="6" t="b">
        <v>1</v>
      </c>
      <c r="AR769" s="6"/>
      <c r="AS769" s="48" t="s">
        <v>12303</v>
      </c>
    </row>
    <row r="770" ht="15.75" customHeight="1">
      <c r="A770" s="7" t="s">
        <v>4269</v>
      </c>
      <c r="B770" s="7" t="s">
        <v>4270</v>
      </c>
      <c r="C770" s="7" t="s">
        <v>58</v>
      </c>
      <c r="D770" s="7" t="s">
        <v>137</v>
      </c>
      <c r="E770" s="7" t="s">
        <v>1091</v>
      </c>
      <c r="F770" s="7">
        <v>14.0</v>
      </c>
      <c r="G770" s="7" t="s">
        <v>1092</v>
      </c>
      <c r="H770" s="7"/>
      <c r="I770" s="7"/>
      <c r="J770" s="7">
        <v>202.0</v>
      </c>
      <c r="K770" s="7" t="s">
        <v>19654</v>
      </c>
      <c r="L770" s="7">
        <v>97418.0</v>
      </c>
      <c r="M770" s="7" t="s">
        <v>71</v>
      </c>
      <c r="N770" s="7" t="s">
        <v>216</v>
      </c>
      <c r="O770" s="6" t="s">
        <v>20358</v>
      </c>
      <c r="P770" s="42" t="s">
        <v>4275</v>
      </c>
      <c r="Q770" s="49" t="s">
        <v>20359</v>
      </c>
      <c r="R770" s="43" t="s">
        <v>20360</v>
      </c>
      <c r="S770" s="47" t="s">
        <v>4272</v>
      </c>
      <c r="T770" s="6" t="s">
        <v>20361</v>
      </c>
      <c r="U770" s="7" t="s">
        <v>4276</v>
      </c>
      <c r="V770" s="7" t="s">
        <v>4278</v>
      </c>
      <c r="W770" s="6" t="s">
        <v>20362</v>
      </c>
      <c r="X770" s="7" t="s">
        <v>4273</v>
      </c>
      <c r="Y770" s="6" t="s">
        <v>4368</v>
      </c>
      <c r="Z770" s="7" t="s">
        <v>4274</v>
      </c>
      <c r="AA770" s="7" t="s">
        <v>4283</v>
      </c>
      <c r="AB770" s="7" t="s">
        <v>1590</v>
      </c>
      <c r="AC770" s="7">
        <v>4.4941595900013E13</v>
      </c>
      <c r="AD770" s="7">
        <v>4.49415959E8</v>
      </c>
      <c r="AE770" s="6" t="s">
        <v>401</v>
      </c>
      <c r="AF770" s="45">
        <v>45610.47399305556</v>
      </c>
      <c r="AG770" s="7" t="s">
        <v>20363</v>
      </c>
      <c r="AH770" s="46" t="s">
        <v>20364</v>
      </c>
      <c r="AI770" s="7"/>
      <c r="AJ770" s="6" t="s">
        <v>20365</v>
      </c>
      <c r="AK770" s="7" t="b">
        <v>0</v>
      </c>
      <c r="AL770" s="7" t="b">
        <v>0</v>
      </c>
      <c r="AM770" s="6" t="s">
        <v>4284</v>
      </c>
      <c r="AN770" s="6" t="s">
        <v>4269</v>
      </c>
      <c r="AO770" s="6">
        <v>3874.0</v>
      </c>
      <c r="AP770" s="6"/>
      <c r="AQ770" s="6" t="b">
        <v>1</v>
      </c>
      <c r="AR770" s="6"/>
      <c r="AS770" s="48" t="s">
        <v>12303</v>
      </c>
    </row>
    <row r="771" ht="15.75" customHeight="1">
      <c r="A771" s="7" t="s">
        <v>7447</v>
      </c>
      <c r="B771" s="7" t="s">
        <v>7448</v>
      </c>
      <c r="C771" s="6" t="s">
        <v>117</v>
      </c>
      <c r="D771" s="7" t="s">
        <v>1792</v>
      </c>
      <c r="E771" s="7" t="s">
        <v>1793</v>
      </c>
      <c r="F771" s="7">
        <v>600.0</v>
      </c>
      <c r="G771" s="7" t="s">
        <v>375</v>
      </c>
      <c r="H771" s="7"/>
      <c r="I771" s="7"/>
      <c r="J771" s="7">
        <v>20.0</v>
      </c>
      <c r="K771" s="7" t="s">
        <v>20120</v>
      </c>
      <c r="L771" s="7">
        <v>97430.0</v>
      </c>
      <c r="M771" s="7" t="s">
        <v>71</v>
      </c>
      <c r="N771" s="7"/>
      <c r="O771" s="6" t="s">
        <v>20366</v>
      </c>
      <c r="P771" s="42" t="s">
        <v>7451</v>
      </c>
      <c r="Q771" s="43" t="s">
        <v>20367</v>
      </c>
      <c r="R771" s="50"/>
      <c r="S771" s="47" t="s">
        <v>7450</v>
      </c>
      <c r="T771" s="7" t="s">
        <v>7452</v>
      </c>
      <c r="U771" s="7"/>
      <c r="V771" s="7"/>
      <c r="W771" s="7"/>
      <c r="X771" s="7" t="s">
        <v>1154</v>
      </c>
      <c r="Y771" s="7" t="s">
        <v>377</v>
      </c>
      <c r="Z771" s="7" t="s">
        <v>378</v>
      </c>
      <c r="AA771" s="7"/>
      <c r="AB771" s="7"/>
      <c r="AC771" s="7"/>
      <c r="AD771" s="7"/>
      <c r="AE771" s="6" t="s">
        <v>401</v>
      </c>
      <c r="AF771" s="74">
        <v>44140.13402777778</v>
      </c>
      <c r="AG771" s="7" t="s">
        <v>20368</v>
      </c>
      <c r="AH771" s="46" t="s">
        <v>20369</v>
      </c>
      <c r="AI771" s="7"/>
      <c r="AJ771" s="7"/>
      <c r="AK771" s="7" t="b">
        <v>0</v>
      </c>
      <c r="AL771" s="7" t="b">
        <v>0</v>
      </c>
      <c r="AM771" s="7"/>
      <c r="AN771" s="6" t="s">
        <v>7447</v>
      </c>
      <c r="AO771" s="6">
        <v>1898.0</v>
      </c>
      <c r="AP771" s="6"/>
      <c r="AQ771" s="6" t="b">
        <v>1</v>
      </c>
      <c r="AR771" s="6"/>
      <c r="AS771" s="6"/>
    </row>
    <row r="772" ht="15.75" customHeight="1">
      <c r="A772" s="7" t="s">
        <v>4253</v>
      </c>
      <c r="B772" s="7" t="s">
        <v>4254</v>
      </c>
      <c r="C772" s="7" t="s">
        <v>58</v>
      </c>
      <c r="D772" s="7" t="s">
        <v>137</v>
      </c>
      <c r="E772" s="7" t="s">
        <v>2280</v>
      </c>
      <c r="F772" s="7">
        <v>20.0</v>
      </c>
      <c r="G772" s="7" t="s">
        <v>569</v>
      </c>
      <c r="H772" s="7"/>
      <c r="I772" s="6" t="s">
        <v>578</v>
      </c>
      <c r="J772" s="41" t="s">
        <v>18205</v>
      </c>
      <c r="K772" s="6" t="s">
        <v>20370</v>
      </c>
      <c r="L772" s="7">
        <v>97418.0</v>
      </c>
      <c r="M772" s="7" t="s">
        <v>71</v>
      </c>
      <c r="N772" s="7" t="s">
        <v>216</v>
      </c>
      <c r="O772" s="6" t="s">
        <v>20371</v>
      </c>
      <c r="P772" s="42" t="s">
        <v>4258</v>
      </c>
      <c r="Q772" s="43" t="s">
        <v>20372</v>
      </c>
      <c r="R772" s="43" t="s">
        <v>20373</v>
      </c>
      <c r="S772" s="47"/>
      <c r="T772" s="7" t="s">
        <v>4260</v>
      </c>
      <c r="U772" s="7" t="s">
        <v>4259</v>
      </c>
      <c r="V772" s="7" t="s">
        <v>4261</v>
      </c>
      <c r="W772" s="6" t="s">
        <v>20374</v>
      </c>
      <c r="X772" s="6" t="s">
        <v>20375</v>
      </c>
      <c r="Y772" s="7" t="s">
        <v>377</v>
      </c>
      <c r="Z772" s="7" t="s">
        <v>592</v>
      </c>
      <c r="AA772" s="7" t="s">
        <v>4266</v>
      </c>
      <c r="AB772" s="7" t="s">
        <v>1590</v>
      </c>
      <c r="AC772" s="7">
        <v>4.3916377500026E13</v>
      </c>
      <c r="AD772" s="7">
        <v>4.39163775E8</v>
      </c>
      <c r="AE772" s="6" t="s">
        <v>401</v>
      </c>
      <c r="AF772" s="74">
        <v>44140.0</v>
      </c>
      <c r="AG772" s="7" t="s">
        <v>20376</v>
      </c>
      <c r="AH772" s="46" t="s">
        <v>20377</v>
      </c>
      <c r="AI772" s="7"/>
      <c r="AJ772" s="6"/>
      <c r="AK772" s="7" t="b">
        <v>0</v>
      </c>
      <c r="AL772" s="7" t="b">
        <v>0</v>
      </c>
      <c r="AM772" s="6" t="s">
        <v>4267</v>
      </c>
      <c r="AN772" s="6" t="s">
        <v>4253</v>
      </c>
      <c r="AO772" s="6">
        <v>1538.0</v>
      </c>
      <c r="AP772" s="6"/>
      <c r="AQ772" s="6" t="b">
        <v>1</v>
      </c>
      <c r="AR772" s="6"/>
      <c r="AS772" s="48" t="s">
        <v>12303</v>
      </c>
    </row>
    <row r="773" ht="15.75" customHeight="1">
      <c r="A773" s="7" t="s">
        <v>2136</v>
      </c>
      <c r="B773" s="7" t="s">
        <v>20378</v>
      </c>
      <c r="C773" s="7" t="s">
        <v>58</v>
      </c>
      <c r="D773" s="7" t="s">
        <v>453</v>
      </c>
      <c r="E773" s="7" t="s">
        <v>454</v>
      </c>
      <c r="F773" s="7">
        <v>2.0</v>
      </c>
      <c r="G773" s="7" t="s">
        <v>664</v>
      </c>
      <c r="H773" s="7"/>
      <c r="I773" s="7"/>
      <c r="J773" s="7">
        <v>10.0</v>
      </c>
      <c r="K773" s="7" t="s">
        <v>20379</v>
      </c>
      <c r="L773" s="7">
        <v>97480.0</v>
      </c>
      <c r="M773" s="7" t="s">
        <v>123</v>
      </c>
      <c r="N773" s="7"/>
      <c r="O773" s="6" t="s">
        <v>20380</v>
      </c>
      <c r="P773" s="42" t="s">
        <v>2143</v>
      </c>
      <c r="Q773" s="43" t="s">
        <v>20381</v>
      </c>
      <c r="R773" s="50"/>
      <c r="S773" s="47" t="s">
        <v>2139</v>
      </c>
      <c r="T773" s="6" t="s">
        <v>20382</v>
      </c>
      <c r="U773" s="6" t="s">
        <v>20383</v>
      </c>
      <c r="V773" s="7" t="s">
        <v>2146</v>
      </c>
      <c r="W773" s="6" t="s">
        <v>20384</v>
      </c>
      <c r="X773" s="6" t="s">
        <v>20385</v>
      </c>
      <c r="Y773" s="6" t="s">
        <v>12715</v>
      </c>
      <c r="Z773" s="7" t="s">
        <v>424</v>
      </c>
      <c r="AA773" s="7" t="s">
        <v>1828</v>
      </c>
      <c r="AB773" s="7" t="s">
        <v>1590</v>
      </c>
      <c r="AC773" s="6">
        <v>8.8957836500013E13</v>
      </c>
      <c r="AD773" s="6">
        <v>8.89578365E8</v>
      </c>
      <c r="AE773" s="6" t="s">
        <v>401</v>
      </c>
      <c r="AF773" s="74">
        <v>44132.19027777778</v>
      </c>
      <c r="AG773" s="7" t="s">
        <v>20386</v>
      </c>
      <c r="AH773" s="46" t="s">
        <v>20387</v>
      </c>
      <c r="AI773" s="7"/>
      <c r="AJ773" s="6" t="s">
        <v>20388</v>
      </c>
      <c r="AK773" s="7" t="b">
        <v>0</v>
      </c>
      <c r="AL773" s="7" t="b">
        <v>0</v>
      </c>
      <c r="AM773" s="6" t="s">
        <v>2151</v>
      </c>
      <c r="AN773" s="6" t="s">
        <v>2136</v>
      </c>
      <c r="AO773" s="6">
        <v>5168.0</v>
      </c>
      <c r="AP773" s="6"/>
      <c r="AQ773" s="6" t="b">
        <v>1</v>
      </c>
      <c r="AR773" s="6" t="s">
        <v>20389</v>
      </c>
      <c r="AS773" s="6"/>
    </row>
    <row r="774" ht="15.75" customHeight="1">
      <c r="A774" s="7" t="s">
        <v>808</v>
      </c>
      <c r="B774" s="7" t="s">
        <v>809</v>
      </c>
      <c r="C774" s="6" t="s">
        <v>117</v>
      </c>
      <c r="D774" s="7" t="s">
        <v>197</v>
      </c>
      <c r="E774" s="7" t="s">
        <v>559</v>
      </c>
      <c r="F774" s="7">
        <v>15.0</v>
      </c>
      <c r="G774" s="7" t="s">
        <v>375</v>
      </c>
      <c r="H774" s="7"/>
      <c r="I774" s="7"/>
      <c r="J774" s="41" t="s">
        <v>20390</v>
      </c>
      <c r="K774" s="6" t="s">
        <v>20391</v>
      </c>
      <c r="L774" s="7">
        <v>97480.0</v>
      </c>
      <c r="M774" s="7" t="s">
        <v>123</v>
      </c>
      <c r="N774" s="7"/>
      <c r="O774" s="6" t="s">
        <v>20392</v>
      </c>
      <c r="P774" s="42" t="s">
        <v>812</v>
      </c>
      <c r="Q774" s="49" t="s">
        <v>20393</v>
      </c>
      <c r="R774" s="43" t="s">
        <v>20394</v>
      </c>
      <c r="S774" s="47" t="s">
        <v>811</v>
      </c>
      <c r="T774" s="6" t="s">
        <v>20395</v>
      </c>
      <c r="U774" s="6" t="s">
        <v>20396</v>
      </c>
      <c r="V774" s="6" t="s">
        <v>20397</v>
      </c>
      <c r="W774" s="6" t="s">
        <v>20398</v>
      </c>
      <c r="X774" s="6" t="s">
        <v>20399</v>
      </c>
      <c r="Y774" s="7" t="s">
        <v>377</v>
      </c>
      <c r="Z774" s="6" t="s">
        <v>592</v>
      </c>
      <c r="AA774" s="7"/>
      <c r="AB774" s="7"/>
      <c r="AC774" s="7">
        <v>4.0006478800021E13</v>
      </c>
      <c r="AD774" s="7">
        <v>4.00064788E8</v>
      </c>
      <c r="AE774" s="6" t="s">
        <v>401</v>
      </c>
      <c r="AF774" s="45">
        <v>45831.31799768518</v>
      </c>
      <c r="AG774" s="7" t="s">
        <v>20400</v>
      </c>
      <c r="AH774" s="46" t="s">
        <v>20401</v>
      </c>
      <c r="AI774" s="7"/>
      <c r="AJ774" s="6" t="s">
        <v>20402</v>
      </c>
      <c r="AK774" s="7" t="b">
        <v>0</v>
      </c>
      <c r="AL774" s="7" t="b">
        <v>0</v>
      </c>
      <c r="AM774" s="7"/>
      <c r="AN774" s="6" t="s">
        <v>808</v>
      </c>
      <c r="AO774" s="6">
        <v>2076.0</v>
      </c>
      <c r="AP774" s="6"/>
      <c r="AQ774" s="6" t="b">
        <v>1</v>
      </c>
      <c r="AR774" s="6" t="s">
        <v>20403</v>
      </c>
      <c r="AS774" s="6"/>
    </row>
    <row r="775" ht="15.75" customHeight="1">
      <c r="A775" s="7" t="s">
        <v>3314</v>
      </c>
      <c r="B775" s="7" t="s">
        <v>20404</v>
      </c>
      <c r="C775" s="7" t="s">
        <v>58</v>
      </c>
      <c r="D775" s="7" t="s">
        <v>1141</v>
      </c>
      <c r="E775" s="7" t="s">
        <v>1141</v>
      </c>
      <c r="F775" s="7">
        <v>51.0</v>
      </c>
      <c r="G775" s="7" t="s">
        <v>407</v>
      </c>
      <c r="H775" s="6" t="s">
        <v>355</v>
      </c>
      <c r="I775" s="7"/>
      <c r="J775" s="41" t="s">
        <v>12445</v>
      </c>
      <c r="K775" s="7" t="s">
        <v>20405</v>
      </c>
      <c r="L775" s="7">
        <v>97418.0</v>
      </c>
      <c r="M775" s="7" t="s">
        <v>71</v>
      </c>
      <c r="N775" s="7" t="s">
        <v>216</v>
      </c>
      <c r="O775" s="6" t="s">
        <v>20406</v>
      </c>
      <c r="P775" s="42" t="s">
        <v>3320</v>
      </c>
      <c r="Q775" s="43" t="s">
        <v>20407</v>
      </c>
      <c r="R775" s="43" t="s">
        <v>20408</v>
      </c>
      <c r="S775" s="47" t="s">
        <v>3317</v>
      </c>
      <c r="T775" s="6" t="s">
        <v>20409</v>
      </c>
      <c r="U775" s="6" t="s">
        <v>20410</v>
      </c>
      <c r="V775" s="7" t="s">
        <v>3323</v>
      </c>
      <c r="W775" s="6" t="s">
        <v>20411</v>
      </c>
      <c r="X775" s="6" t="s">
        <v>20412</v>
      </c>
      <c r="Y775" s="7" t="s">
        <v>3319</v>
      </c>
      <c r="Z775" s="7" t="s">
        <v>1508</v>
      </c>
      <c r="AA775" s="7"/>
      <c r="AB775" s="7"/>
      <c r="AC775" s="7">
        <v>4.0343479800019E13</v>
      </c>
      <c r="AD775" s="7">
        <v>4.03434798E8</v>
      </c>
      <c r="AE775" s="6" t="s">
        <v>401</v>
      </c>
      <c r="AF775" s="45">
        <v>45847.363599537035</v>
      </c>
      <c r="AG775" s="7" t="s">
        <v>20413</v>
      </c>
      <c r="AH775" s="46" t="s">
        <v>20414</v>
      </c>
      <c r="AI775" s="7"/>
      <c r="AJ775" s="6" t="s">
        <v>20415</v>
      </c>
      <c r="AK775" s="6" t="b">
        <v>1</v>
      </c>
      <c r="AL775" s="7" t="b">
        <v>0</v>
      </c>
      <c r="AM775" s="6" t="s">
        <v>3328</v>
      </c>
      <c r="AN775" s="6" t="s">
        <v>3314</v>
      </c>
      <c r="AO775" s="6">
        <v>1526.0</v>
      </c>
      <c r="AP775" s="6"/>
      <c r="AQ775" s="6" t="b">
        <v>1</v>
      </c>
      <c r="AR775" s="6"/>
      <c r="AS775" s="48" t="s">
        <v>12303</v>
      </c>
    </row>
    <row r="776" ht="15.75" customHeight="1">
      <c r="A776" s="7" t="s">
        <v>1470</v>
      </c>
      <c r="B776" s="7" t="s">
        <v>20416</v>
      </c>
      <c r="C776" s="7" t="s">
        <v>58</v>
      </c>
      <c r="D776" s="7" t="s">
        <v>59</v>
      </c>
      <c r="E776" s="7" t="s">
        <v>346</v>
      </c>
      <c r="F776" s="7">
        <v>8.0</v>
      </c>
      <c r="G776" s="7" t="s">
        <v>455</v>
      </c>
      <c r="H776" s="7"/>
      <c r="I776" s="7"/>
      <c r="J776" s="7">
        <v>17.0</v>
      </c>
      <c r="K776" s="7" t="s">
        <v>12321</v>
      </c>
      <c r="L776" s="7">
        <v>97480.0</v>
      </c>
      <c r="M776" s="7" t="s">
        <v>123</v>
      </c>
      <c r="N776" s="7"/>
      <c r="O776" s="6" t="s">
        <v>20417</v>
      </c>
      <c r="P776" s="42" t="s">
        <v>1460</v>
      </c>
      <c r="Q776" s="43" t="s">
        <v>20418</v>
      </c>
      <c r="R776" s="43" t="s">
        <v>20419</v>
      </c>
      <c r="S776" s="51"/>
      <c r="T776" s="7" t="s">
        <v>1475</v>
      </c>
      <c r="U776" s="7"/>
      <c r="V776" s="7" t="s">
        <v>1476</v>
      </c>
      <c r="W776" s="6" t="s">
        <v>20420</v>
      </c>
      <c r="X776" s="7" t="s">
        <v>1458</v>
      </c>
      <c r="Y776" s="6" t="s">
        <v>1459</v>
      </c>
      <c r="Z776" s="7" t="s">
        <v>353</v>
      </c>
      <c r="AA776" s="7"/>
      <c r="AB776" s="7"/>
      <c r="AC776" s="7"/>
      <c r="AD776" s="7"/>
      <c r="AE776" s="6" t="s">
        <v>401</v>
      </c>
      <c r="AF776" s="74">
        <v>44130.0</v>
      </c>
      <c r="AG776" s="7" t="s">
        <v>20421</v>
      </c>
      <c r="AH776" s="75" t="s">
        <v>20422</v>
      </c>
      <c r="AI776" s="7"/>
      <c r="AJ776" s="7"/>
      <c r="AK776" s="7" t="b">
        <v>0</v>
      </c>
      <c r="AL776" s="7" t="b">
        <v>0</v>
      </c>
      <c r="AM776" s="6" t="s">
        <v>1477</v>
      </c>
      <c r="AN776" s="7"/>
      <c r="AO776" s="6">
        <v>852.0</v>
      </c>
      <c r="AP776" s="6"/>
      <c r="AQ776" s="6" t="b">
        <v>1</v>
      </c>
      <c r="AR776" s="6"/>
      <c r="AS776" s="6"/>
    </row>
    <row r="777" ht="15.75" customHeight="1">
      <c r="A777" s="7" t="s">
        <v>1453</v>
      </c>
      <c r="B777" s="7" t="s">
        <v>20423</v>
      </c>
      <c r="C777" s="7" t="s">
        <v>58</v>
      </c>
      <c r="D777" s="7" t="s">
        <v>59</v>
      </c>
      <c r="E777" s="7" t="s">
        <v>374</v>
      </c>
      <c r="F777" s="7">
        <v>2.0</v>
      </c>
      <c r="G777" s="7" t="s">
        <v>1456</v>
      </c>
      <c r="H777" s="7"/>
      <c r="I777" s="7"/>
      <c r="J777" s="7">
        <v>17.0</v>
      </c>
      <c r="K777" s="7" t="s">
        <v>12321</v>
      </c>
      <c r="L777" s="7">
        <v>97480.0</v>
      </c>
      <c r="M777" s="7" t="s">
        <v>123</v>
      </c>
      <c r="N777" s="7"/>
      <c r="O777" s="6" t="s">
        <v>20424</v>
      </c>
      <c r="P777" s="42" t="s">
        <v>1460</v>
      </c>
      <c r="Q777" s="43" t="s">
        <v>20418</v>
      </c>
      <c r="R777" s="43" t="s">
        <v>20419</v>
      </c>
      <c r="S777" s="51"/>
      <c r="T777" s="7" t="s">
        <v>1461</v>
      </c>
      <c r="U777" s="7"/>
      <c r="V777" s="7" t="s">
        <v>1462</v>
      </c>
      <c r="W777" s="6" t="s">
        <v>20425</v>
      </c>
      <c r="X777" s="7" t="s">
        <v>1458</v>
      </c>
      <c r="Y777" s="6" t="s">
        <v>1459</v>
      </c>
      <c r="Z777" s="7" t="s">
        <v>353</v>
      </c>
      <c r="AA777" s="7"/>
      <c r="AB777" s="7"/>
      <c r="AC777" s="7"/>
      <c r="AD777" s="7"/>
      <c r="AE777" s="6" t="s">
        <v>401</v>
      </c>
      <c r="AF777" s="74">
        <v>44129.0</v>
      </c>
      <c r="AG777" s="7" t="s">
        <v>20421</v>
      </c>
      <c r="AH777" s="75" t="s">
        <v>20426</v>
      </c>
      <c r="AI777" s="7"/>
      <c r="AJ777" s="7"/>
      <c r="AK777" s="7" t="b">
        <v>0</v>
      </c>
      <c r="AL777" s="7" t="b">
        <v>0</v>
      </c>
      <c r="AM777" s="6" t="s">
        <v>1467</v>
      </c>
      <c r="AN777" s="7"/>
      <c r="AO777" s="6">
        <v>851.0</v>
      </c>
      <c r="AP777" s="6"/>
      <c r="AQ777" s="6" t="b">
        <v>1</v>
      </c>
      <c r="AR777" s="6"/>
      <c r="AS777" s="6"/>
    </row>
    <row r="778" ht="15.75" customHeight="1">
      <c r="A778" s="7" t="s">
        <v>2709</v>
      </c>
      <c r="B778" s="7" t="s">
        <v>2710</v>
      </c>
      <c r="C778" s="7" t="s">
        <v>58</v>
      </c>
      <c r="D778" s="7" t="s">
        <v>59</v>
      </c>
      <c r="E778" s="7" t="s">
        <v>374</v>
      </c>
      <c r="F778" s="7">
        <v>4.0</v>
      </c>
      <c r="G778" s="7" t="s">
        <v>455</v>
      </c>
      <c r="H778" s="7" t="s">
        <v>2716</v>
      </c>
      <c r="I778" s="7"/>
      <c r="J778" s="7"/>
      <c r="K778" s="7" t="s">
        <v>20427</v>
      </c>
      <c r="L778" s="7">
        <v>97430.0</v>
      </c>
      <c r="M778" s="7" t="s">
        <v>71</v>
      </c>
      <c r="N778" s="7"/>
      <c r="O778" s="7" t="s">
        <v>2723</v>
      </c>
      <c r="P778" s="42" t="s">
        <v>2715</v>
      </c>
      <c r="Q778" s="43" t="s">
        <v>20428</v>
      </c>
      <c r="R778" s="43" t="s">
        <v>20429</v>
      </c>
      <c r="S778" s="47" t="s">
        <v>2712</v>
      </c>
      <c r="T778" s="7" t="s">
        <v>2718</v>
      </c>
      <c r="U778" s="7" t="s">
        <v>2717</v>
      </c>
      <c r="V778" s="7" t="s">
        <v>2719</v>
      </c>
      <c r="W778" s="6" t="s">
        <v>20430</v>
      </c>
      <c r="X778" s="7" t="s">
        <v>2714</v>
      </c>
      <c r="Y778" s="7" t="s">
        <v>377</v>
      </c>
      <c r="Z778" s="7" t="s">
        <v>378</v>
      </c>
      <c r="AA778" s="7"/>
      <c r="AB778" s="7"/>
      <c r="AC778" s="7">
        <v>8.0942547300018E13</v>
      </c>
      <c r="AD778" s="7">
        <v>8.09425473E8</v>
      </c>
      <c r="AE778" s="6" t="s">
        <v>12355</v>
      </c>
      <c r="AF778" s="74">
        <v>44124.47708333333</v>
      </c>
      <c r="AG778" s="7" t="s">
        <v>20431</v>
      </c>
      <c r="AH778" s="75" t="s">
        <v>20432</v>
      </c>
      <c r="AI778" s="7"/>
      <c r="AJ778" s="7"/>
      <c r="AK778" s="7" t="b">
        <v>0</v>
      </c>
      <c r="AL778" s="7" t="b">
        <v>0</v>
      </c>
      <c r="AM778" s="6" t="s">
        <v>2725</v>
      </c>
      <c r="AN778" s="7"/>
      <c r="AO778" s="6">
        <v>3865.0</v>
      </c>
      <c r="AP778" s="6"/>
      <c r="AQ778" s="6" t="b">
        <v>1</v>
      </c>
      <c r="AR778" s="6"/>
      <c r="AS778" s="6"/>
    </row>
    <row r="779" ht="15.75" customHeight="1">
      <c r="A779" s="7" t="s">
        <v>1124</v>
      </c>
      <c r="B779" s="7" t="s">
        <v>19620</v>
      </c>
      <c r="C779" s="7" t="s">
        <v>34</v>
      </c>
      <c r="D779" s="7" t="s">
        <v>622</v>
      </c>
      <c r="E779" s="7" t="s">
        <v>1127</v>
      </c>
      <c r="F779" s="7"/>
      <c r="G779" s="7" t="s">
        <v>630</v>
      </c>
      <c r="H779" s="7"/>
      <c r="I779" s="7"/>
      <c r="J779" s="7"/>
      <c r="K779" s="7" t="s">
        <v>15208</v>
      </c>
      <c r="L779" s="7">
        <v>97418.0</v>
      </c>
      <c r="M779" s="7" t="s">
        <v>71</v>
      </c>
      <c r="N779" s="7" t="s">
        <v>216</v>
      </c>
      <c r="O779" s="7" t="s">
        <v>1136</v>
      </c>
      <c r="P779" s="42" t="s">
        <v>1130</v>
      </c>
      <c r="Q779" s="43" t="s">
        <v>19622</v>
      </c>
      <c r="R779" s="43" t="s">
        <v>20433</v>
      </c>
      <c r="S779" s="51"/>
      <c r="T779" s="7" t="s">
        <v>1132</v>
      </c>
      <c r="U779" s="7" t="s">
        <v>1131</v>
      </c>
      <c r="V779" s="7"/>
      <c r="W779" s="6" t="s">
        <v>20434</v>
      </c>
      <c r="X779" s="7" t="s">
        <v>572</v>
      </c>
      <c r="Y779" s="7" t="s">
        <v>1129</v>
      </c>
      <c r="Z779" s="7" t="s">
        <v>592</v>
      </c>
      <c r="AA779" s="7"/>
      <c r="AB779" s="7"/>
      <c r="AC779" s="7">
        <v>8.3258395900016E13</v>
      </c>
      <c r="AD779" s="6">
        <v>8.32583959E8</v>
      </c>
      <c r="AE779" s="6" t="s">
        <v>12355</v>
      </c>
      <c r="AF779" s="74">
        <v>44118.214583333334</v>
      </c>
      <c r="AG779" s="7" t="s">
        <v>19626</v>
      </c>
      <c r="AH779" s="46" t="s">
        <v>20435</v>
      </c>
      <c r="AI779" s="7"/>
      <c r="AJ779" s="7"/>
      <c r="AK779" s="7" t="b">
        <v>0</v>
      </c>
      <c r="AL779" s="7" t="b">
        <v>0</v>
      </c>
      <c r="AM779" s="7"/>
      <c r="AN779" s="6" t="s">
        <v>1124</v>
      </c>
      <c r="AO779" s="6">
        <v>3824.0</v>
      </c>
      <c r="AP779" s="6"/>
      <c r="AQ779" s="6" t="b">
        <v>1</v>
      </c>
      <c r="AR779" s="6"/>
      <c r="AS779" s="48" t="s">
        <v>12303</v>
      </c>
    </row>
    <row r="780" ht="15.75" customHeight="1">
      <c r="A780" s="7" t="s">
        <v>7121</v>
      </c>
      <c r="B780" s="7" t="s">
        <v>7122</v>
      </c>
      <c r="C780" s="7" t="s">
        <v>1198</v>
      </c>
      <c r="D780" s="7" t="s">
        <v>1644</v>
      </c>
      <c r="E780" s="7" t="s">
        <v>1645</v>
      </c>
      <c r="F780" s="7"/>
      <c r="G780" s="7" t="s">
        <v>664</v>
      </c>
      <c r="H780" s="7"/>
      <c r="I780" s="7"/>
      <c r="J780" s="7">
        <v>9.0</v>
      </c>
      <c r="K780" s="7" t="s">
        <v>18514</v>
      </c>
      <c r="L780" s="7">
        <v>97430.0</v>
      </c>
      <c r="M780" s="7" t="s">
        <v>71</v>
      </c>
      <c r="N780" s="7"/>
      <c r="O780" s="7" t="s">
        <v>7130</v>
      </c>
      <c r="P780" s="42" t="s">
        <v>7124</v>
      </c>
      <c r="Q780" s="43" t="s">
        <v>20436</v>
      </c>
      <c r="R780" s="50"/>
      <c r="S780" s="51"/>
      <c r="T780" s="7" t="s">
        <v>7126</v>
      </c>
      <c r="U780" s="7" t="s">
        <v>7125</v>
      </c>
      <c r="V780" s="7"/>
      <c r="W780" s="7" t="s">
        <v>3059</v>
      </c>
      <c r="X780" s="7"/>
      <c r="Y780" s="7" t="s">
        <v>974</v>
      </c>
      <c r="Z780" s="7" t="s">
        <v>353</v>
      </c>
      <c r="AA780" s="7"/>
      <c r="AB780" s="7"/>
      <c r="AC780" s="7">
        <v>8.3946506900012E13</v>
      </c>
      <c r="AD780" s="7">
        <v>8.39465069E8</v>
      </c>
      <c r="AE780" s="6" t="s">
        <v>401</v>
      </c>
      <c r="AF780" s="74">
        <v>44118.19861111111</v>
      </c>
      <c r="AG780" s="7" t="s">
        <v>20437</v>
      </c>
      <c r="AH780" s="75" t="s">
        <v>20438</v>
      </c>
      <c r="AI780" s="7"/>
      <c r="AJ780" s="7"/>
      <c r="AK780" s="7" t="b">
        <v>0</v>
      </c>
      <c r="AL780" s="7" t="b">
        <v>0</v>
      </c>
      <c r="AM780" s="7"/>
      <c r="AN780" s="7"/>
      <c r="AO780" s="6">
        <v>5033.0</v>
      </c>
      <c r="AP780" s="6"/>
      <c r="AQ780" s="6" t="b">
        <v>1</v>
      </c>
      <c r="AR780" s="6"/>
      <c r="AS780" s="6"/>
    </row>
    <row r="781" ht="15.75" customHeight="1">
      <c r="A781" s="7" t="s">
        <v>8060</v>
      </c>
      <c r="B781" s="7" t="s">
        <v>8061</v>
      </c>
      <c r="C781" s="7" t="s">
        <v>58</v>
      </c>
      <c r="D781" s="7" t="s">
        <v>59</v>
      </c>
      <c r="E781" s="7" t="s">
        <v>346</v>
      </c>
      <c r="F781" s="7">
        <v>8.0</v>
      </c>
      <c r="G781" s="7" t="s">
        <v>6921</v>
      </c>
      <c r="H781" s="7"/>
      <c r="I781" s="7"/>
      <c r="J781" s="7">
        <v>170.0</v>
      </c>
      <c r="K781" s="7" t="s">
        <v>13492</v>
      </c>
      <c r="L781" s="7">
        <v>97418.0</v>
      </c>
      <c r="M781" s="7" t="s">
        <v>71</v>
      </c>
      <c r="N781" s="7" t="s">
        <v>216</v>
      </c>
      <c r="O781" s="6" t="s">
        <v>20439</v>
      </c>
      <c r="P781" s="42" t="s">
        <v>8065</v>
      </c>
      <c r="Q781" s="49" t="s">
        <v>20440</v>
      </c>
      <c r="R781" s="50"/>
      <c r="S781" s="47" t="s">
        <v>8063</v>
      </c>
      <c r="T781" s="7" t="s">
        <v>8067</v>
      </c>
      <c r="U781" s="7" t="s">
        <v>8066</v>
      </c>
      <c r="V781" s="7" t="s">
        <v>8068</v>
      </c>
      <c r="W781" s="6" t="s">
        <v>20441</v>
      </c>
      <c r="X781" s="7" t="s">
        <v>2198</v>
      </c>
      <c r="Y781" s="6" t="s">
        <v>20442</v>
      </c>
      <c r="Z781" s="7" t="s">
        <v>378</v>
      </c>
      <c r="AA781" s="7"/>
      <c r="AB781" s="7"/>
      <c r="AC781" s="6">
        <v>4.2309345900042E13</v>
      </c>
      <c r="AD781" s="6">
        <v>4.23093459E8</v>
      </c>
      <c r="AE781" s="6" t="s">
        <v>401</v>
      </c>
      <c r="AF781" s="45">
        <v>45498.49857638889</v>
      </c>
      <c r="AG781" s="7" t="s">
        <v>20443</v>
      </c>
      <c r="AH781" s="46" t="s">
        <v>20444</v>
      </c>
      <c r="AI781" s="7"/>
      <c r="AJ781" s="6" t="s">
        <v>20445</v>
      </c>
      <c r="AK781" s="7" t="b">
        <v>0</v>
      </c>
      <c r="AL781" s="7" t="b">
        <v>0</v>
      </c>
      <c r="AM781" s="6" t="s">
        <v>8073</v>
      </c>
      <c r="AN781" s="6" t="s">
        <v>8060</v>
      </c>
      <c r="AO781" s="6">
        <v>3868.0</v>
      </c>
      <c r="AP781" s="6"/>
      <c r="AQ781" s="6" t="b">
        <v>1</v>
      </c>
      <c r="AR781" s="6"/>
      <c r="AS781" s="48" t="s">
        <v>12303</v>
      </c>
    </row>
    <row r="782" ht="15.75" customHeight="1">
      <c r="A782" s="7" t="s">
        <v>265</v>
      </c>
      <c r="B782" s="7" t="s">
        <v>7409</v>
      </c>
      <c r="C782" s="7" t="s">
        <v>58</v>
      </c>
      <c r="D782" s="7" t="s">
        <v>453</v>
      </c>
      <c r="E782" s="7" t="s">
        <v>454</v>
      </c>
      <c r="F782" s="7">
        <v>6.0</v>
      </c>
      <c r="G782" s="7" t="s">
        <v>455</v>
      </c>
      <c r="H782" s="7"/>
      <c r="I782" s="7"/>
      <c r="J782" s="7">
        <v>28.0</v>
      </c>
      <c r="K782" s="7" t="s">
        <v>16689</v>
      </c>
      <c r="L782" s="7">
        <v>97480.0</v>
      </c>
      <c r="M782" s="7" t="s">
        <v>123</v>
      </c>
      <c r="N782" s="7" t="s">
        <v>8325</v>
      </c>
      <c r="O782" s="6" t="s">
        <v>20446</v>
      </c>
      <c r="P782" s="42" t="s">
        <v>7414</v>
      </c>
      <c r="Q782" s="43" t="s">
        <v>18128</v>
      </c>
      <c r="R782" s="50"/>
      <c r="S782" s="47" t="s">
        <v>7411</v>
      </c>
      <c r="T782" s="7" t="s">
        <v>7416</v>
      </c>
      <c r="U782" s="7" t="s">
        <v>7415</v>
      </c>
      <c r="V782" s="7" t="s">
        <v>7417</v>
      </c>
      <c r="W782" s="6" t="s">
        <v>20447</v>
      </c>
      <c r="X782" s="7" t="s">
        <v>7413</v>
      </c>
      <c r="Y782" s="7" t="s">
        <v>974</v>
      </c>
      <c r="Z782" s="7" t="s">
        <v>592</v>
      </c>
      <c r="AA782" s="7"/>
      <c r="AB782" s="7"/>
      <c r="AC782" s="7">
        <v>8.5360065800019E13</v>
      </c>
      <c r="AD782" s="7">
        <v>8.53600658E8</v>
      </c>
      <c r="AE782" s="6" t="s">
        <v>401</v>
      </c>
      <c r="AF782" s="74">
        <v>44116.225694444445</v>
      </c>
      <c r="AG782" s="7" t="s">
        <v>18135</v>
      </c>
      <c r="AH782" s="75" t="s">
        <v>20448</v>
      </c>
      <c r="AI782" s="7"/>
      <c r="AJ782" s="7"/>
      <c r="AK782" s="7" t="b">
        <v>0</v>
      </c>
      <c r="AL782" s="7" t="b">
        <v>0</v>
      </c>
      <c r="AM782" s="6" t="s">
        <v>7423</v>
      </c>
      <c r="AN782" s="7"/>
      <c r="AO782" s="6">
        <v>5060.0</v>
      </c>
      <c r="AP782" s="6"/>
      <c r="AQ782" s="6" t="b">
        <v>1</v>
      </c>
      <c r="AR782" s="6"/>
      <c r="AS782" s="6"/>
    </row>
    <row r="783" ht="15.75" customHeight="1">
      <c r="A783" s="7" t="s">
        <v>7425</v>
      </c>
      <c r="B783" s="7" t="s">
        <v>7426</v>
      </c>
      <c r="C783" s="6" t="s">
        <v>117</v>
      </c>
      <c r="D783" s="7" t="s">
        <v>1405</v>
      </c>
      <c r="E783" s="7" t="s">
        <v>1406</v>
      </c>
      <c r="F783" s="7"/>
      <c r="G783" s="7" t="s">
        <v>455</v>
      </c>
      <c r="H783" s="7"/>
      <c r="I783" s="7"/>
      <c r="J783" s="41" t="s">
        <v>19732</v>
      </c>
      <c r="K783" s="6" t="s">
        <v>20449</v>
      </c>
      <c r="L783" s="7">
        <v>97480.0</v>
      </c>
      <c r="M783" s="7" t="s">
        <v>123</v>
      </c>
      <c r="N783" s="7"/>
      <c r="O783" s="7" t="s">
        <v>7436</v>
      </c>
      <c r="P783" s="42" t="s">
        <v>7429</v>
      </c>
      <c r="Q783" s="43" t="s">
        <v>20450</v>
      </c>
      <c r="R783" s="50"/>
      <c r="S783" s="51"/>
      <c r="T783" s="7" t="s">
        <v>7431</v>
      </c>
      <c r="U783" s="7" t="s">
        <v>7430</v>
      </c>
      <c r="V783" s="7" t="s">
        <v>7432</v>
      </c>
      <c r="W783" s="7"/>
      <c r="X783" s="7"/>
      <c r="Y783" s="7" t="s">
        <v>377</v>
      </c>
      <c r="Z783" s="7" t="s">
        <v>353</v>
      </c>
      <c r="AA783" s="7"/>
      <c r="AB783" s="7"/>
      <c r="AC783" s="7">
        <v>4.0811596200024E13</v>
      </c>
      <c r="AD783" s="7">
        <v>4.08115962E8</v>
      </c>
      <c r="AE783" s="6" t="s">
        <v>401</v>
      </c>
      <c r="AF783" s="74">
        <v>44112.205555555556</v>
      </c>
      <c r="AG783" s="7" t="s">
        <v>20451</v>
      </c>
      <c r="AH783" s="75" t="s">
        <v>20452</v>
      </c>
      <c r="AI783" s="7"/>
      <c r="AJ783" s="7"/>
      <c r="AK783" s="7" t="b">
        <v>0</v>
      </c>
      <c r="AL783" s="7" t="b">
        <v>0</v>
      </c>
      <c r="AM783" s="7"/>
      <c r="AN783" s="7"/>
      <c r="AO783" s="6">
        <v>3232.0</v>
      </c>
      <c r="AP783" s="6"/>
      <c r="AQ783" s="6" t="b">
        <v>1</v>
      </c>
      <c r="AR783" s="6"/>
      <c r="AS783" s="6"/>
    </row>
    <row r="784" ht="15.75" customHeight="1">
      <c r="A784" s="7" t="s">
        <v>1088</v>
      </c>
      <c r="B784" s="7" t="s">
        <v>1089</v>
      </c>
      <c r="C784" s="7" t="s">
        <v>58</v>
      </c>
      <c r="D784" s="7" t="s">
        <v>137</v>
      </c>
      <c r="E784" s="7" t="s">
        <v>1091</v>
      </c>
      <c r="F784" s="7">
        <v>44.0</v>
      </c>
      <c r="G784" s="7" t="s">
        <v>1092</v>
      </c>
      <c r="H784" s="7"/>
      <c r="I784" s="7"/>
      <c r="J784" s="41" t="s">
        <v>12445</v>
      </c>
      <c r="K784" s="7" t="s">
        <v>20453</v>
      </c>
      <c r="L784" s="7">
        <v>97418.0</v>
      </c>
      <c r="M784" s="7" t="s">
        <v>71</v>
      </c>
      <c r="N784" s="6" t="s">
        <v>12685</v>
      </c>
      <c r="O784" s="7" t="s">
        <v>1100</v>
      </c>
      <c r="P784" s="42" t="s">
        <v>1095</v>
      </c>
      <c r="Q784" s="49" t="s">
        <v>20454</v>
      </c>
      <c r="R784" s="43" t="s">
        <v>20455</v>
      </c>
      <c r="S784" s="51"/>
      <c r="T784" s="7" t="s">
        <v>1096</v>
      </c>
      <c r="U784" s="6" t="s">
        <v>20456</v>
      </c>
      <c r="V784" s="6" t="s">
        <v>12685</v>
      </c>
      <c r="W784" s="6" t="s">
        <v>20457</v>
      </c>
      <c r="X784" s="7" t="s">
        <v>1094</v>
      </c>
      <c r="Y784" s="7" t="s">
        <v>377</v>
      </c>
      <c r="Z784" s="7" t="s">
        <v>353</v>
      </c>
      <c r="AA784" s="7"/>
      <c r="AB784" s="7"/>
      <c r="AC784" s="7">
        <v>4.4464758000018E13</v>
      </c>
      <c r="AD784" s="7">
        <v>4.4464758E8</v>
      </c>
      <c r="AE784" s="6" t="s">
        <v>401</v>
      </c>
      <c r="AF784" s="45">
        <v>45510.6359375</v>
      </c>
      <c r="AG784" s="7" t="s">
        <v>20458</v>
      </c>
      <c r="AH784" s="46" t="s">
        <v>20459</v>
      </c>
      <c r="AI784" s="7"/>
      <c r="AJ784" s="6" t="s">
        <v>20460</v>
      </c>
      <c r="AK784" s="7" t="b">
        <v>0</v>
      </c>
      <c r="AL784" s="7" t="b">
        <v>0</v>
      </c>
      <c r="AM784" s="6" t="s">
        <v>1101</v>
      </c>
      <c r="AN784" s="6" t="s">
        <v>1088</v>
      </c>
      <c r="AO784" s="6">
        <v>1704.0</v>
      </c>
      <c r="AP784" s="6"/>
      <c r="AQ784" s="6" t="b">
        <v>1</v>
      </c>
      <c r="AR784" s="6"/>
      <c r="AS784" s="48" t="s">
        <v>12303</v>
      </c>
    </row>
    <row r="785" ht="15.75" customHeight="1">
      <c r="A785" s="7" t="s">
        <v>2354</v>
      </c>
      <c r="B785" s="7" t="s">
        <v>20461</v>
      </c>
      <c r="C785" s="7" t="s">
        <v>58</v>
      </c>
      <c r="D785" s="7" t="s">
        <v>59</v>
      </c>
      <c r="E785" s="7" t="s">
        <v>545</v>
      </c>
      <c r="F785" s="7">
        <v>4.0</v>
      </c>
      <c r="G785" s="7" t="s">
        <v>1092</v>
      </c>
      <c r="H785" s="7"/>
      <c r="I785" s="7"/>
      <c r="J785" s="7">
        <v>292.0</v>
      </c>
      <c r="K785" s="7" t="s">
        <v>20462</v>
      </c>
      <c r="L785" s="7">
        <v>97418.0</v>
      </c>
      <c r="M785" s="7" t="s">
        <v>71</v>
      </c>
      <c r="N785" s="7" t="s">
        <v>216</v>
      </c>
      <c r="O785" s="6" t="s">
        <v>20463</v>
      </c>
      <c r="P785" s="42" t="s">
        <v>2345</v>
      </c>
      <c r="Q785" s="43" t="s">
        <v>20464</v>
      </c>
      <c r="R785" s="50"/>
      <c r="S785" s="51"/>
      <c r="T785" s="7" t="s">
        <v>2357</v>
      </c>
      <c r="U785" s="7" t="s">
        <v>2356</v>
      </c>
      <c r="V785" s="7"/>
      <c r="W785" s="6" t="s">
        <v>20465</v>
      </c>
      <c r="X785" s="7" t="s">
        <v>2344</v>
      </c>
      <c r="Y785" s="7" t="s">
        <v>377</v>
      </c>
      <c r="Z785" s="7" t="s">
        <v>353</v>
      </c>
      <c r="AA785" s="7" t="s">
        <v>2358</v>
      </c>
      <c r="AB785" s="7" t="s">
        <v>1590</v>
      </c>
      <c r="AC785" s="7">
        <v>5.3192935400011E13</v>
      </c>
      <c r="AD785" s="7">
        <v>5.31929354E8</v>
      </c>
      <c r="AE785" s="6" t="s">
        <v>12355</v>
      </c>
      <c r="AF785" s="45">
        <v>45889.41484953704</v>
      </c>
      <c r="AG785" s="7" t="s">
        <v>20466</v>
      </c>
      <c r="AH785" s="46" t="s">
        <v>20467</v>
      </c>
      <c r="AI785" s="7"/>
      <c r="AJ785" s="6" t="s">
        <v>20468</v>
      </c>
      <c r="AK785" s="7" t="b">
        <v>0</v>
      </c>
      <c r="AL785" s="7" t="b">
        <v>0</v>
      </c>
      <c r="AM785" s="6" t="s">
        <v>2352</v>
      </c>
      <c r="AN785" s="6" t="s">
        <v>2354</v>
      </c>
      <c r="AO785" s="6">
        <v>3875.0</v>
      </c>
      <c r="AP785" s="6"/>
      <c r="AQ785" s="6" t="b">
        <v>1</v>
      </c>
      <c r="AR785" s="6"/>
      <c r="AS785" s="48" t="s">
        <v>12303</v>
      </c>
    </row>
    <row r="786" ht="15.75" customHeight="1">
      <c r="A786" s="7" t="s">
        <v>1188</v>
      </c>
      <c r="B786" s="7" t="s">
        <v>1176</v>
      </c>
      <c r="C786" s="7" t="s">
        <v>58</v>
      </c>
      <c r="D786" s="7" t="s">
        <v>1141</v>
      </c>
      <c r="E786" s="7" t="s">
        <v>1141</v>
      </c>
      <c r="F786" s="7">
        <v>23.0</v>
      </c>
      <c r="G786" s="7" t="s">
        <v>1092</v>
      </c>
      <c r="H786" s="7"/>
      <c r="I786" s="7"/>
      <c r="J786" s="7">
        <v>40.0</v>
      </c>
      <c r="K786" s="7" t="s">
        <v>20462</v>
      </c>
      <c r="L786" s="7">
        <v>97418.0</v>
      </c>
      <c r="M786" s="7" t="s">
        <v>71</v>
      </c>
      <c r="N786" s="7" t="s">
        <v>216</v>
      </c>
      <c r="O786" s="6" t="s">
        <v>20469</v>
      </c>
      <c r="P786" s="42" t="s">
        <v>1180</v>
      </c>
      <c r="Q786" s="43" t="s">
        <v>20470</v>
      </c>
      <c r="R786" s="43" t="s">
        <v>20471</v>
      </c>
      <c r="S786" s="51"/>
      <c r="T786" s="7" t="s">
        <v>1192</v>
      </c>
      <c r="U786" s="7" t="s">
        <v>1191</v>
      </c>
      <c r="V786" s="7"/>
      <c r="W786" s="6" t="s">
        <v>20472</v>
      </c>
      <c r="X786" s="7" t="s">
        <v>1143</v>
      </c>
      <c r="Y786" s="7" t="s">
        <v>1155</v>
      </c>
      <c r="Z786" s="7" t="s">
        <v>353</v>
      </c>
      <c r="AA786" s="7"/>
      <c r="AB786" s="7"/>
      <c r="AC786" s="7">
        <v>3.117295600002E13</v>
      </c>
      <c r="AD786" s="7">
        <v>3.1172956E8</v>
      </c>
      <c r="AE786" s="6" t="s">
        <v>12355</v>
      </c>
      <c r="AF786" s="63">
        <v>46009.461331018516</v>
      </c>
      <c r="AG786" s="7" t="s">
        <v>20473</v>
      </c>
      <c r="AH786" s="46" t="s">
        <v>20474</v>
      </c>
      <c r="AI786" s="7"/>
      <c r="AJ786" s="6" t="s">
        <v>20475</v>
      </c>
      <c r="AK786" s="7" t="b">
        <v>0</v>
      </c>
      <c r="AL786" s="7" t="b">
        <v>0</v>
      </c>
      <c r="AM786" s="6" t="s">
        <v>1193</v>
      </c>
      <c r="AN786" s="6" t="s">
        <v>1188</v>
      </c>
      <c r="AO786" s="6">
        <v>258.0</v>
      </c>
      <c r="AP786" s="6"/>
      <c r="AQ786" s="6" t="b">
        <v>1</v>
      </c>
      <c r="AR786" s="6" t="s">
        <v>20476</v>
      </c>
      <c r="AS786" s="48" t="s">
        <v>12303</v>
      </c>
    </row>
    <row r="787" ht="15.75" customHeight="1">
      <c r="A787" s="7" t="s">
        <v>7631</v>
      </c>
      <c r="B787" s="7" t="s">
        <v>7632</v>
      </c>
      <c r="C787" s="7" t="s">
        <v>58</v>
      </c>
      <c r="D787" s="7" t="s">
        <v>59</v>
      </c>
      <c r="E787" s="7" t="s">
        <v>545</v>
      </c>
      <c r="F787" s="7">
        <v>2.0</v>
      </c>
      <c r="G787" s="7" t="s">
        <v>455</v>
      </c>
      <c r="H787" s="7" t="s">
        <v>395</v>
      </c>
      <c r="I787" s="7"/>
      <c r="J787" s="6" t="s">
        <v>20477</v>
      </c>
      <c r="K787" s="7" t="s">
        <v>20478</v>
      </c>
      <c r="L787" s="7">
        <v>97418.0</v>
      </c>
      <c r="M787" s="7" t="s">
        <v>71</v>
      </c>
      <c r="N787" s="7" t="s">
        <v>216</v>
      </c>
      <c r="O787" s="6" t="s">
        <v>20479</v>
      </c>
      <c r="P787" s="42" t="s">
        <v>3000</v>
      </c>
      <c r="Q787" s="43" t="s">
        <v>19282</v>
      </c>
      <c r="R787" s="43" t="s">
        <v>19283</v>
      </c>
      <c r="S787" s="51"/>
      <c r="T787" s="7" t="s">
        <v>7635</v>
      </c>
      <c r="U787" s="7"/>
      <c r="V787" s="7" t="s">
        <v>7636</v>
      </c>
      <c r="W787" s="6" t="s">
        <v>20480</v>
      </c>
      <c r="X787" s="7" t="s">
        <v>518</v>
      </c>
      <c r="Y787" s="7" t="s">
        <v>377</v>
      </c>
      <c r="Z787" s="7" t="s">
        <v>378</v>
      </c>
      <c r="AA787" s="7"/>
      <c r="AB787" s="7"/>
      <c r="AC787" s="7"/>
      <c r="AD787" s="7"/>
      <c r="AE787" s="6" t="s">
        <v>401</v>
      </c>
      <c r="AF787" s="45">
        <v>45819.53476851852</v>
      </c>
      <c r="AG787" s="7" t="s">
        <v>19285</v>
      </c>
      <c r="AH787" s="46" t="s">
        <v>20481</v>
      </c>
      <c r="AI787" s="7"/>
      <c r="AJ787" s="6" t="s">
        <v>20482</v>
      </c>
      <c r="AK787" s="7" t="b">
        <v>0</v>
      </c>
      <c r="AL787" s="7" t="b">
        <v>0</v>
      </c>
      <c r="AM787" s="6" t="s">
        <v>7638</v>
      </c>
      <c r="AN787" s="6" t="s">
        <v>7631</v>
      </c>
      <c r="AO787" s="6">
        <v>2895.0</v>
      </c>
      <c r="AP787" s="6"/>
      <c r="AQ787" s="6" t="b">
        <v>1</v>
      </c>
      <c r="AR787" s="6"/>
      <c r="AS787" s="48" t="s">
        <v>12303</v>
      </c>
    </row>
    <row r="788" ht="15.75" customHeight="1">
      <c r="A788" s="7" t="s">
        <v>2301</v>
      </c>
      <c r="B788" s="7" t="s">
        <v>2302</v>
      </c>
      <c r="C788" s="7" t="s">
        <v>58</v>
      </c>
      <c r="D788" s="7" t="s">
        <v>59</v>
      </c>
      <c r="E788" s="7" t="s">
        <v>545</v>
      </c>
      <c r="F788" s="7">
        <v>8.0</v>
      </c>
      <c r="G788" s="7"/>
      <c r="H788" s="7"/>
      <c r="I788" s="7"/>
      <c r="J788" s="7">
        <v>154.0</v>
      </c>
      <c r="K788" s="7" t="s">
        <v>19460</v>
      </c>
      <c r="L788" s="7">
        <v>97418.0</v>
      </c>
      <c r="M788" s="7" t="s">
        <v>71</v>
      </c>
      <c r="N788" s="7" t="s">
        <v>216</v>
      </c>
      <c r="O788" s="6" t="s">
        <v>20483</v>
      </c>
      <c r="P788" s="42" t="s">
        <v>2307</v>
      </c>
      <c r="Q788" s="43" t="s">
        <v>20484</v>
      </c>
      <c r="R788" s="43" t="s">
        <v>20485</v>
      </c>
      <c r="S788" s="51"/>
      <c r="T788" s="7" t="s">
        <v>2309</v>
      </c>
      <c r="U788" s="7" t="s">
        <v>2308</v>
      </c>
      <c r="V788" s="7" t="s">
        <v>2310</v>
      </c>
      <c r="W788" s="6" t="s">
        <v>20486</v>
      </c>
      <c r="X788" s="7" t="s">
        <v>2306</v>
      </c>
      <c r="Y788" s="7" t="s">
        <v>1076</v>
      </c>
      <c r="Z788" s="7" t="s">
        <v>424</v>
      </c>
      <c r="AA788" s="7" t="s">
        <v>2206</v>
      </c>
      <c r="AB788" s="7" t="s">
        <v>2046</v>
      </c>
      <c r="AC788" s="7">
        <v>8.2431790300014E13</v>
      </c>
      <c r="AD788" s="7">
        <v>8.24317903E8</v>
      </c>
      <c r="AE788" s="6" t="s">
        <v>401</v>
      </c>
      <c r="AF788" s="45">
        <v>46059.45747685185</v>
      </c>
      <c r="AG788" s="7" t="s">
        <v>20487</v>
      </c>
      <c r="AH788" s="46" t="s">
        <v>20488</v>
      </c>
      <c r="AI788" s="7"/>
      <c r="AJ788" s="6" t="s">
        <v>20489</v>
      </c>
      <c r="AK788" s="7" t="b">
        <v>0</v>
      </c>
      <c r="AL788" s="7" t="b">
        <v>0</v>
      </c>
      <c r="AM788" s="6" t="s">
        <v>2316</v>
      </c>
      <c r="AN788" s="6" t="s">
        <v>2301</v>
      </c>
      <c r="AO788" s="6">
        <v>5107.0</v>
      </c>
      <c r="AP788" s="6"/>
      <c r="AQ788" s="6" t="b">
        <v>1</v>
      </c>
      <c r="AR788" s="6"/>
      <c r="AS788" s="48" t="s">
        <v>12303</v>
      </c>
    </row>
    <row r="789" ht="15.75" customHeight="1">
      <c r="A789" s="7" t="s">
        <v>2329</v>
      </c>
      <c r="B789" s="7" t="s">
        <v>2330</v>
      </c>
      <c r="C789" s="7" t="s">
        <v>58</v>
      </c>
      <c r="D789" s="7" t="s">
        <v>59</v>
      </c>
      <c r="E789" s="7" t="s">
        <v>545</v>
      </c>
      <c r="F789" s="7">
        <v>10.0</v>
      </c>
      <c r="G789" s="7" t="s">
        <v>407</v>
      </c>
      <c r="H789" s="7"/>
      <c r="I789" s="7"/>
      <c r="J789" s="7">
        <v>21.0</v>
      </c>
      <c r="K789" s="7" t="s">
        <v>15657</v>
      </c>
      <c r="L789" s="7">
        <v>97418.0</v>
      </c>
      <c r="M789" s="7" t="s">
        <v>71</v>
      </c>
      <c r="N789" s="7" t="s">
        <v>216</v>
      </c>
      <c r="O789" s="7" t="s">
        <v>2338</v>
      </c>
      <c r="P789" s="42"/>
      <c r="Q789" s="43" t="s">
        <v>20490</v>
      </c>
      <c r="R789" s="43" t="s">
        <v>15661</v>
      </c>
      <c r="S789" s="51"/>
      <c r="T789" s="7" t="s">
        <v>2334</v>
      </c>
      <c r="U789" s="7"/>
      <c r="V789" s="7"/>
      <c r="W789" s="6" t="s">
        <v>12702</v>
      </c>
      <c r="X789" s="7" t="s">
        <v>506</v>
      </c>
      <c r="Y789" s="7" t="s">
        <v>499</v>
      </c>
      <c r="Z789" s="7" t="s">
        <v>353</v>
      </c>
      <c r="AA789" s="7"/>
      <c r="AB789" s="7"/>
      <c r="AC789" s="7">
        <v>4.345450910001E13</v>
      </c>
      <c r="AD789" s="6">
        <v>4.34545091E8</v>
      </c>
      <c r="AE789" s="6" t="s">
        <v>12355</v>
      </c>
      <c r="AF789" s="74">
        <v>44105.191666666666</v>
      </c>
      <c r="AG789" s="7" t="s">
        <v>15666</v>
      </c>
      <c r="AH789" s="46" t="s">
        <v>20491</v>
      </c>
      <c r="AI789" s="7"/>
      <c r="AJ789" s="7"/>
      <c r="AK789" s="7" t="b">
        <v>0</v>
      </c>
      <c r="AL789" s="7" t="b">
        <v>0</v>
      </c>
      <c r="AM789" s="7"/>
      <c r="AN789" s="6" t="s">
        <v>2329</v>
      </c>
      <c r="AO789" s="6">
        <v>254.0</v>
      </c>
      <c r="AP789" s="6"/>
      <c r="AQ789" s="6" t="b">
        <v>1</v>
      </c>
      <c r="AR789" s="6"/>
      <c r="AS789" s="48" t="s">
        <v>12303</v>
      </c>
    </row>
    <row r="790" ht="15.75" customHeight="1">
      <c r="A790" s="7" t="s">
        <v>3009</v>
      </c>
      <c r="B790" s="76" t="s">
        <v>20492</v>
      </c>
      <c r="C790" s="7" t="s">
        <v>58</v>
      </c>
      <c r="D790" s="7" t="s">
        <v>59</v>
      </c>
      <c r="E790" s="7" t="s">
        <v>2013</v>
      </c>
      <c r="F790" s="7">
        <v>6.0</v>
      </c>
      <c r="G790" s="7" t="s">
        <v>455</v>
      </c>
      <c r="H790" s="7" t="s">
        <v>2036</v>
      </c>
      <c r="I790" s="7" t="s">
        <v>578</v>
      </c>
      <c r="J790" s="7">
        <v>48.0</v>
      </c>
      <c r="K790" s="7" t="s">
        <v>19281</v>
      </c>
      <c r="L790" s="7">
        <v>97418.0</v>
      </c>
      <c r="M790" s="7" t="s">
        <v>71</v>
      </c>
      <c r="N790" s="7" t="s">
        <v>216</v>
      </c>
      <c r="O790" s="6" t="s">
        <v>20493</v>
      </c>
      <c r="P790" s="42" t="s">
        <v>3000</v>
      </c>
      <c r="Q790" s="43" t="s">
        <v>19282</v>
      </c>
      <c r="R790" s="43" t="s">
        <v>19283</v>
      </c>
      <c r="S790" s="47" t="s">
        <v>2997</v>
      </c>
      <c r="T790" s="7" t="s">
        <v>3014</v>
      </c>
      <c r="U790" s="7"/>
      <c r="V790" s="7" t="s">
        <v>3015</v>
      </c>
      <c r="W790" s="6" t="s">
        <v>20494</v>
      </c>
      <c r="X790" s="7" t="s">
        <v>1222</v>
      </c>
      <c r="Y790" s="7" t="s">
        <v>3013</v>
      </c>
      <c r="Z790" s="7" t="s">
        <v>592</v>
      </c>
      <c r="AA790" s="7"/>
      <c r="AB790" s="7"/>
      <c r="AC790" s="7"/>
      <c r="AD790" s="7"/>
      <c r="AE790" s="6" t="s">
        <v>401</v>
      </c>
      <c r="AF790" s="74">
        <v>44104.07708333333</v>
      </c>
      <c r="AG790" s="7" t="s">
        <v>19285</v>
      </c>
      <c r="AH790" s="46" t="s">
        <v>20495</v>
      </c>
      <c r="AI790" s="7"/>
      <c r="AJ790" s="7"/>
      <c r="AK790" s="7" t="b">
        <v>0</v>
      </c>
      <c r="AL790" s="7" t="b">
        <v>0</v>
      </c>
      <c r="AM790" s="6" t="s">
        <v>3017</v>
      </c>
      <c r="AN790" s="6" t="s">
        <v>3009</v>
      </c>
      <c r="AO790" s="6">
        <v>1742.0</v>
      </c>
      <c r="AP790" s="6"/>
      <c r="AQ790" s="6" t="b">
        <v>1</v>
      </c>
      <c r="AR790" s="6"/>
      <c r="AS790" s="48" t="s">
        <v>12303</v>
      </c>
    </row>
    <row r="791" ht="15.75" customHeight="1">
      <c r="A791" s="7" t="s">
        <v>3018</v>
      </c>
      <c r="B791" s="76" t="s">
        <v>20496</v>
      </c>
      <c r="C791" s="7" t="s">
        <v>58</v>
      </c>
      <c r="D791" s="7" t="s">
        <v>59</v>
      </c>
      <c r="E791" s="7" t="s">
        <v>2013</v>
      </c>
      <c r="F791" s="7">
        <v>14.0</v>
      </c>
      <c r="G791" s="7" t="s">
        <v>455</v>
      </c>
      <c r="H791" s="7" t="s">
        <v>3022</v>
      </c>
      <c r="I791" s="7" t="s">
        <v>578</v>
      </c>
      <c r="J791" s="7">
        <v>48.0</v>
      </c>
      <c r="K791" s="7" t="s">
        <v>19281</v>
      </c>
      <c r="L791" s="7">
        <v>97418.0</v>
      </c>
      <c r="M791" s="7" t="s">
        <v>71</v>
      </c>
      <c r="N791" s="7" t="s">
        <v>216</v>
      </c>
      <c r="O791" s="7" t="s">
        <v>3025</v>
      </c>
      <c r="P791" s="42" t="s">
        <v>3000</v>
      </c>
      <c r="Q791" s="43" t="s">
        <v>19282</v>
      </c>
      <c r="R791" s="43" t="s">
        <v>19283</v>
      </c>
      <c r="S791" s="47" t="s">
        <v>2997</v>
      </c>
      <c r="T791" s="7" t="s">
        <v>3023</v>
      </c>
      <c r="U791" s="7"/>
      <c r="V791" s="7" t="s">
        <v>3024</v>
      </c>
      <c r="W791" s="6" t="s">
        <v>20497</v>
      </c>
      <c r="X791" s="7" t="s">
        <v>1222</v>
      </c>
      <c r="Y791" s="7" t="s">
        <v>3013</v>
      </c>
      <c r="Z791" s="7" t="s">
        <v>592</v>
      </c>
      <c r="AA791" s="7"/>
      <c r="AB791" s="7"/>
      <c r="AC791" s="7"/>
      <c r="AD791" s="7"/>
      <c r="AE791" s="6" t="s">
        <v>401</v>
      </c>
      <c r="AF791" s="74">
        <v>44104.07708333333</v>
      </c>
      <c r="AG791" s="7" t="s">
        <v>19285</v>
      </c>
      <c r="AH791" s="46" t="s">
        <v>20498</v>
      </c>
      <c r="AI791" s="7"/>
      <c r="AJ791" s="7"/>
      <c r="AK791" s="7" t="b">
        <v>0</v>
      </c>
      <c r="AL791" s="7" t="b">
        <v>0</v>
      </c>
      <c r="AM791" s="6" t="s">
        <v>3026</v>
      </c>
      <c r="AN791" s="6" t="s">
        <v>3018</v>
      </c>
      <c r="AO791" s="6">
        <v>1746.0</v>
      </c>
      <c r="AP791" s="6"/>
      <c r="AQ791" s="6" t="b">
        <v>1</v>
      </c>
      <c r="AR791" s="6"/>
      <c r="AS791" s="48" t="s">
        <v>12303</v>
      </c>
    </row>
    <row r="792" ht="15.75" customHeight="1">
      <c r="A792" s="7" t="s">
        <v>4453</v>
      </c>
      <c r="B792" s="7" t="s">
        <v>4454</v>
      </c>
      <c r="C792" s="7" t="s">
        <v>58</v>
      </c>
      <c r="D792" s="7" t="s">
        <v>59</v>
      </c>
      <c r="E792" s="7" t="s">
        <v>346</v>
      </c>
      <c r="F792" s="7">
        <v>7.0</v>
      </c>
      <c r="G792" s="7" t="s">
        <v>422</v>
      </c>
      <c r="H792" s="7"/>
      <c r="I792" s="7"/>
      <c r="J792" s="41" t="s">
        <v>15167</v>
      </c>
      <c r="K792" s="7" t="s">
        <v>20499</v>
      </c>
      <c r="L792" s="7">
        <v>97480.0</v>
      </c>
      <c r="M792" s="7" t="s">
        <v>123</v>
      </c>
      <c r="N792" s="7"/>
      <c r="O792" s="6" t="s">
        <v>20500</v>
      </c>
      <c r="P792" s="42" t="s">
        <v>4459</v>
      </c>
      <c r="Q792" s="43" t="s">
        <v>20501</v>
      </c>
      <c r="R792" s="43" t="s">
        <v>20502</v>
      </c>
      <c r="S792" s="51"/>
      <c r="T792" s="7" t="s">
        <v>4461</v>
      </c>
      <c r="U792" s="7" t="s">
        <v>4460</v>
      </c>
      <c r="V792" s="7" t="s">
        <v>4462</v>
      </c>
      <c r="W792" s="6" t="s">
        <v>20503</v>
      </c>
      <c r="X792" s="7" t="s">
        <v>4458</v>
      </c>
      <c r="Y792" s="7" t="s">
        <v>377</v>
      </c>
      <c r="Z792" s="7" t="s">
        <v>424</v>
      </c>
      <c r="AA792" s="7" t="s">
        <v>2358</v>
      </c>
      <c r="AB792" s="7" t="s">
        <v>1829</v>
      </c>
      <c r="AC792" s="7">
        <v>4.3102534500015E13</v>
      </c>
      <c r="AD792" s="7">
        <v>4.31025345E8</v>
      </c>
      <c r="AE792" s="6" t="s">
        <v>401</v>
      </c>
      <c r="AF792" s="74">
        <v>44101.0</v>
      </c>
      <c r="AG792" s="7" t="s">
        <v>20504</v>
      </c>
      <c r="AH792" s="75" t="s">
        <v>20505</v>
      </c>
      <c r="AI792" s="7"/>
      <c r="AJ792" s="7"/>
      <c r="AK792" s="7" t="b">
        <v>0</v>
      </c>
      <c r="AL792" s="7" t="b">
        <v>0</v>
      </c>
      <c r="AM792" s="6" t="s">
        <v>4467</v>
      </c>
      <c r="AN792" s="7"/>
      <c r="AO792" s="6">
        <v>4417.0</v>
      </c>
      <c r="AP792" s="6"/>
      <c r="AQ792" s="6" t="b">
        <v>1</v>
      </c>
      <c r="AR792" s="6"/>
      <c r="AS792" s="6" t="s">
        <v>12303</v>
      </c>
    </row>
    <row r="793" ht="15.75" customHeight="1">
      <c r="A793" s="7" t="s">
        <v>6185</v>
      </c>
      <c r="B793" s="7" t="s">
        <v>20506</v>
      </c>
      <c r="C793" s="6" t="s">
        <v>117</v>
      </c>
      <c r="D793" s="7" t="s">
        <v>1405</v>
      </c>
      <c r="E793" s="7" t="s">
        <v>1406</v>
      </c>
      <c r="F793" s="7">
        <v>8.0</v>
      </c>
      <c r="G793" s="7" t="s">
        <v>455</v>
      </c>
      <c r="H793" s="7"/>
      <c r="I793" s="7"/>
      <c r="J793" s="41" t="s">
        <v>20507</v>
      </c>
      <c r="K793" s="6" t="s">
        <v>20508</v>
      </c>
      <c r="L793" s="7">
        <v>97418.0</v>
      </c>
      <c r="M793" s="7" t="s">
        <v>71</v>
      </c>
      <c r="N793" s="6" t="s">
        <v>13029</v>
      </c>
      <c r="O793" s="7" t="s">
        <v>6194</v>
      </c>
      <c r="P793" s="42" t="s">
        <v>20509</v>
      </c>
      <c r="Q793" s="43" t="s">
        <v>20510</v>
      </c>
      <c r="R793" s="50"/>
      <c r="S793" s="51" t="s">
        <v>20511</v>
      </c>
      <c r="T793" s="7" t="s">
        <v>6188</v>
      </c>
      <c r="U793" s="7"/>
      <c r="V793" s="7" t="s">
        <v>6189</v>
      </c>
      <c r="W793" s="7"/>
      <c r="X793" s="7"/>
      <c r="Y793" s="7" t="s">
        <v>377</v>
      </c>
      <c r="Z793" s="7" t="s">
        <v>378</v>
      </c>
      <c r="AA793" s="7"/>
      <c r="AB793" s="7"/>
      <c r="AC793" s="6">
        <v>7.5098984000012E13</v>
      </c>
      <c r="AD793" s="6">
        <v>7.5098984E8</v>
      </c>
      <c r="AE793" s="6" t="s">
        <v>401</v>
      </c>
      <c r="AF793" s="63">
        <v>45995.36561342593</v>
      </c>
      <c r="AG793" s="7" t="s">
        <v>20512</v>
      </c>
      <c r="AH793" s="46" t="s">
        <v>20513</v>
      </c>
      <c r="AI793" s="7"/>
      <c r="AJ793" s="6" t="s">
        <v>20514</v>
      </c>
      <c r="AK793" s="7" t="b">
        <v>0</v>
      </c>
      <c r="AL793" s="7" t="b">
        <v>0</v>
      </c>
      <c r="AM793" s="7"/>
      <c r="AN793" s="6" t="s">
        <v>6185</v>
      </c>
      <c r="AO793" s="6">
        <v>3019.0</v>
      </c>
      <c r="AP793" s="6"/>
      <c r="AQ793" s="6" t="b">
        <v>1</v>
      </c>
      <c r="AR793" s="6" t="s">
        <v>20515</v>
      </c>
      <c r="AS793" s="48" t="s">
        <v>12303</v>
      </c>
    </row>
    <row r="794" ht="15.75" customHeight="1">
      <c r="A794" s="7" t="s">
        <v>7689</v>
      </c>
      <c r="B794" s="7" t="s">
        <v>20516</v>
      </c>
      <c r="C794" s="7" t="s">
        <v>58</v>
      </c>
      <c r="D794" s="7" t="s">
        <v>59</v>
      </c>
      <c r="E794" s="7" t="s">
        <v>346</v>
      </c>
      <c r="F794" s="7">
        <v>5.0</v>
      </c>
      <c r="G794" s="7" t="s">
        <v>455</v>
      </c>
      <c r="H794" s="7"/>
      <c r="I794" s="7"/>
      <c r="J794" s="7">
        <v>23.0</v>
      </c>
      <c r="K794" s="7" t="s">
        <v>19179</v>
      </c>
      <c r="L794" s="7">
        <v>97418.0</v>
      </c>
      <c r="M794" s="7" t="s">
        <v>71</v>
      </c>
      <c r="N794" s="7" t="s">
        <v>216</v>
      </c>
      <c r="O794" s="6" t="s">
        <v>20517</v>
      </c>
      <c r="P794" s="42" t="s">
        <v>5171</v>
      </c>
      <c r="Q794" s="43" t="s">
        <v>20518</v>
      </c>
      <c r="R794" s="43" t="s">
        <v>20519</v>
      </c>
      <c r="S794" s="51"/>
      <c r="T794" s="7" t="s">
        <v>7693</v>
      </c>
      <c r="U794" s="7" t="s">
        <v>7692</v>
      </c>
      <c r="V794" s="7"/>
      <c r="W794" s="7"/>
      <c r="X794" s="7"/>
      <c r="Y794" s="7"/>
      <c r="Z794" s="7"/>
      <c r="AA794" s="7"/>
      <c r="AB794" s="7"/>
      <c r="AC794" s="7"/>
      <c r="AD794" s="7"/>
      <c r="AE794" s="6" t="s">
        <v>401</v>
      </c>
      <c r="AF794" s="74">
        <v>44098.0</v>
      </c>
      <c r="AG794" s="7" t="s">
        <v>20520</v>
      </c>
      <c r="AH794" s="75" t="s">
        <v>20521</v>
      </c>
      <c r="AI794" s="7"/>
      <c r="AJ794" s="7"/>
      <c r="AK794" s="7" t="b">
        <v>0</v>
      </c>
      <c r="AL794" s="7" t="b">
        <v>0</v>
      </c>
      <c r="AM794" s="6" t="s">
        <v>7698</v>
      </c>
      <c r="AN794" s="7"/>
      <c r="AO794" s="6">
        <v>3910.0</v>
      </c>
      <c r="AP794" s="6"/>
      <c r="AQ794" s="6" t="b">
        <v>1</v>
      </c>
      <c r="AR794" s="6"/>
      <c r="AS794" s="48" t="s">
        <v>12303</v>
      </c>
    </row>
    <row r="795" ht="15.75" customHeight="1">
      <c r="A795" s="7" t="s">
        <v>5219</v>
      </c>
      <c r="B795" s="7" t="s">
        <v>20522</v>
      </c>
      <c r="C795" s="6" t="s">
        <v>117</v>
      </c>
      <c r="D795" s="7" t="s">
        <v>1405</v>
      </c>
      <c r="E795" s="7" t="s">
        <v>1406</v>
      </c>
      <c r="F795" s="7"/>
      <c r="G795" s="7" t="s">
        <v>455</v>
      </c>
      <c r="H795" s="7"/>
      <c r="I795" s="7"/>
      <c r="J795" s="41" t="s">
        <v>12345</v>
      </c>
      <c r="K795" s="6" t="s">
        <v>20523</v>
      </c>
      <c r="L795" s="7">
        <v>97414.0</v>
      </c>
      <c r="M795" s="7" t="s">
        <v>40</v>
      </c>
      <c r="N795" s="7"/>
      <c r="O795" s="6" t="s">
        <v>20524</v>
      </c>
      <c r="P795" s="53" t="s">
        <v>20525</v>
      </c>
      <c r="Q795" s="49" t="s">
        <v>20526</v>
      </c>
      <c r="R795" s="43" t="s">
        <v>20526</v>
      </c>
      <c r="S795" s="51"/>
      <c r="T795" s="6" t="s">
        <v>20527</v>
      </c>
      <c r="U795" s="6" t="s">
        <v>20528</v>
      </c>
      <c r="V795" s="6" t="s">
        <v>20529</v>
      </c>
      <c r="W795" s="6" t="s">
        <v>20530</v>
      </c>
      <c r="X795" s="6" t="s">
        <v>16222</v>
      </c>
      <c r="Y795" s="6" t="s">
        <v>377</v>
      </c>
      <c r="Z795" s="6" t="s">
        <v>353</v>
      </c>
      <c r="AA795" s="7"/>
      <c r="AB795" s="7"/>
      <c r="AC795" s="7">
        <v>4.2947860500018E13</v>
      </c>
      <c r="AD795" s="7">
        <v>4.29478605E8</v>
      </c>
      <c r="AE795" s="6" t="s">
        <v>401</v>
      </c>
      <c r="AF795" s="45">
        <v>45594.45652777778</v>
      </c>
      <c r="AG795" s="7" t="s">
        <v>20531</v>
      </c>
      <c r="AH795" s="46" t="s">
        <v>20532</v>
      </c>
      <c r="AI795" s="7"/>
      <c r="AJ795" s="6" t="s">
        <v>20533</v>
      </c>
      <c r="AK795" s="7" t="b">
        <v>0</v>
      </c>
      <c r="AL795" s="6" t="b">
        <v>1</v>
      </c>
      <c r="AM795" s="7"/>
      <c r="AN795" s="6" t="s">
        <v>5219</v>
      </c>
      <c r="AO795" s="6">
        <v>2070.0</v>
      </c>
      <c r="AP795" s="6"/>
      <c r="AQ795" s="6" t="b">
        <v>1</v>
      </c>
      <c r="AR795" s="6"/>
      <c r="AS795" s="48" t="s">
        <v>12303</v>
      </c>
    </row>
    <row r="796" ht="15.75" customHeight="1">
      <c r="A796" s="7" t="s">
        <v>1491</v>
      </c>
      <c r="B796" s="7" t="s">
        <v>20534</v>
      </c>
      <c r="C796" s="7" t="s">
        <v>58</v>
      </c>
      <c r="D796" s="7" t="s">
        <v>59</v>
      </c>
      <c r="E796" s="7" t="s">
        <v>346</v>
      </c>
      <c r="F796" s="7">
        <v>9.0</v>
      </c>
      <c r="G796" s="7"/>
      <c r="H796" s="7"/>
      <c r="I796" s="7"/>
      <c r="J796" s="7"/>
      <c r="K796" s="7" t="s">
        <v>216</v>
      </c>
      <c r="L796" s="7">
        <v>97418.0</v>
      </c>
      <c r="M796" s="7" t="s">
        <v>71</v>
      </c>
      <c r="N796" s="7" t="s">
        <v>216</v>
      </c>
      <c r="O796" s="7" t="s">
        <v>1501</v>
      </c>
      <c r="P796" s="42" t="s">
        <v>1495</v>
      </c>
      <c r="Q796" s="43" t="s">
        <v>20535</v>
      </c>
      <c r="R796" s="50"/>
      <c r="S796" s="47" t="s">
        <v>1494</v>
      </c>
      <c r="T796" s="7" t="s">
        <v>1497</v>
      </c>
      <c r="U796" s="7" t="s">
        <v>1496</v>
      </c>
      <c r="V796" s="7"/>
      <c r="W796" s="7"/>
      <c r="X796" s="7"/>
      <c r="Y796" s="7" t="s">
        <v>377</v>
      </c>
      <c r="Z796" s="7"/>
      <c r="AA796" s="7"/>
      <c r="AB796" s="7"/>
      <c r="AC796" s="6">
        <v>4.3304912900037E13</v>
      </c>
      <c r="AD796" s="6">
        <v>4.33049129E8</v>
      </c>
      <c r="AE796" s="6" t="s">
        <v>401</v>
      </c>
      <c r="AF796" s="74">
        <v>44095.0</v>
      </c>
      <c r="AG796" s="7" t="s">
        <v>20536</v>
      </c>
      <c r="AH796" s="75" t="s">
        <v>20537</v>
      </c>
      <c r="AI796" s="7"/>
      <c r="AJ796" s="7"/>
      <c r="AK796" s="7" t="b">
        <v>0</v>
      </c>
      <c r="AL796" s="7" t="b">
        <v>0</v>
      </c>
      <c r="AM796" s="6" t="s">
        <v>1502</v>
      </c>
      <c r="AN796" s="7"/>
      <c r="AO796" s="6">
        <v>3873.0</v>
      </c>
      <c r="AP796" s="6"/>
      <c r="AQ796" s="6" t="b">
        <v>1</v>
      </c>
      <c r="AR796" s="6"/>
      <c r="AS796" s="48" t="s">
        <v>12303</v>
      </c>
    </row>
    <row r="797" ht="15.75" customHeight="1">
      <c r="A797" s="7" t="s">
        <v>4470</v>
      </c>
      <c r="B797" s="7" t="s">
        <v>4471</v>
      </c>
      <c r="C797" s="7" t="s">
        <v>58</v>
      </c>
      <c r="D797" s="7" t="s">
        <v>59</v>
      </c>
      <c r="E797" s="7" t="s">
        <v>346</v>
      </c>
      <c r="F797" s="7">
        <v>8.0</v>
      </c>
      <c r="G797" s="7" t="s">
        <v>422</v>
      </c>
      <c r="H797" s="7"/>
      <c r="I797" s="7"/>
      <c r="J797" s="7">
        <v>14.0</v>
      </c>
      <c r="K797" s="7" t="s">
        <v>20538</v>
      </c>
      <c r="L797" s="7">
        <v>97414.0</v>
      </c>
      <c r="M797" s="7" t="s">
        <v>40</v>
      </c>
      <c r="N797" s="7"/>
      <c r="O797" s="7" t="s">
        <v>4481</v>
      </c>
      <c r="P797" s="42"/>
      <c r="Q797" s="43" t="s">
        <v>20539</v>
      </c>
      <c r="R797" s="50"/>
      <c r="S797" s="51"/>
      <c r="T797" s="7" t="s">
        <v>4476</v>
      </c>
      <c r="U797" s="7" t="s">
        <v>4475</v>
      </c>
      <c r="V797" s="7" t="s">
        <v>4477</v>
      </c>
      <c r="W797" s="6" t="s">
        <v>20540</v>
      </c>
      <c r="X797" s="7" t="s">
        <v>4474</v>
      </c>
      <c r="Y797" s="7" t="s">
        <v>499</v>
      </c>
      <c r="Z797" s="7" t="s">
        <v>592</v>
      </c>
      <c r="AA797" s="7"/>
      <c r="AB797" s="7"/>
      <c r="AC797" s="7">
        <v>8.7836951100026E13</v>
      </c>
      <c r="AD797" s="7">
        <v>8.78369511E8</v>
      </c>
      <c r="AE797" s="6" t="s">
        <v>12355</v>
      </c>
      <c r="AF797" s="74">
        <v>44094.470138888886</v>
      </c>
      <c r="AG797" s="7" t="s">
        <v>20541</v>
      </c>
      <c r="AH797" s="75" t="s">
        <v>20542</v>
      </c>
      <c r="AI797" s="7"/>
      <c r="AJ797" s="7"/>
      <c r="AK797" s="7" t="b">
        <v>0</v>
      </c>
      <c r="AL797" s="7" t="b">
        <v>0</v>
      </c>
      <c r="AM797" s="7"/>
      <c r="AN797" s="7"/>
      <c r="AO797" s="6">
        <v>5118.0</v>
      </c>
      <c r="AP797" s="6"/>
      <c r="AQ797" s="6" t="b">
        <v>1</v>
      </c>
      <c r="AR797" s="6"/>
      <c r="AS797" s="48" t="s">
        <v>12303</v>
      </c>
    </row>
    <row r="798" ht="15.75" customHeight="1">
      <c r="A798" s="7" t="s">
        <v>5748</v>
      </c>
      <c r="B798" s="7" t="s">
        <v>5749</v>
      </c>
      <c r="C798" s="7" t="s">
        <v>58</v>
      </c>
      <c r="D798" s="7" t="s">
        <v>59</v>
      </c>
      <c r="E798" s="7" t="s">
        <v>346</v>
      </c>
      <c r="F798" s="7">
        <v>8.0</v>
      </c>
      <c r="G798" s="7" t="s">
        <v>455</v>
      </c>
      <c r="H798" s="7"/>
      <c r="I798" s="7"/>
      <c r="J798" s="41" t="s">
        <v>13573</v>
      </c>
      <c r="K798" s="6" t="s">
        <v>20543</v>
      </c>
      <c r="L798" s="7">
        <v>97414.0</v>
      </c>
      <c r="M798" s="7" t="s">
        <v>40</v>
      </c>
      <c r="N798" s="7"/>
      <c r="O798" s="6" t="s">
        <v>20544</v>
      </c>
      <c r="P798" s="42" t="s">
        <v>5752</v>
      </c>
      <c r="Q798" s="43" t="s">
        <v>20545</v>
      </c>
      <c r="R798" s="50"/>
      <c r="S798" s="51"/>
      <c r="T798" s="7" t="s">
        <v>5753</v>
      </c>
      <c r="U798" s="6" t="s">
        <v>20546</v>
      </c>
      <c r="V798" s="6" t="s">
        <v>20547</v>
      </c>
      <c r="W798" s="6" t="s">
        <v>20548</v>
      </c>
      <c r="X798" s="7" t="s">
        <v>351</v>
      </c>
      <c r="Y798" s="7" t="s">
        <v>439</v>
      </c>
      <c r="Z798" s="7" t="s">
        <v>592</v>
      </c>
      <c r="AA798" s="7" t="s">
        <v>5758</v>
      </c>
      <c r="AB798" s="7" t="s">
        <v>1962</v>
      </c>
      <c r="AC798" s="7"/>
      <c r="AD798" s="7"/>
      <c r="AE798" s="6" t="s">
        <v>401</v>
      </c>
      <c r="AF798" s="45">
        <v>45454.374710648146</v>
      </c>
      <c r="AG798" s="7" t="s">
        <v>20549</v>
      </c>
      <c r="AH798" s="62" t="s">
        <v>20550</v>
      </c>
      <c r="AI798" s="7"/>
      <c r="AJ798" s="6" t="s">
        <v>20551</v>
      </c>
      <c r="AK798" s="7" t="b">
        <v>0</v>
      </c>
      <c r="AL798" s="7" t="b">
        <v>0</v>
      </c>
      <c r="AM798" s="7"/>
      <c r="AN798" s="6" t="s">
        <v>5748</v>
      </c>
      <c r="AO798" s="6">
        <v>1652.0</v>
      </c>
      <c r="AP798" s="6"/>
      <c r="AQ798" s="6" t="b">
        <v>1</v>
      </c>
      <c r="AR798" s="6"/>
      <c r="AS798" s="48" t="s">
        <v>12303</v>
      </c>
    </row>
    <row r="799" ht="15.75" customHeight="1">
      <c r="A799" s="7" t="s">
        <v>5331</v>
      </c>
      <c r="B799" s="7" t="s">
        <v>5332</v>
      </c>
      <c r="C799" s="7" t="s">
        <v>58</v>
      </c>
      <c r="D799" s="7" t="s">
        <v>59</v>
      </c>
      <c r="E799" s="7" t="s">
        <v>346</v>
      </c>
      <c r="F799" s="7">
        <v>15.0</v>
      </c>
      <c r="G799" s="7" t="s">
        <v>455</v>
      </c>
      <c r="H799" s="7"/>
      <c r="I799" s="7"/>
      <c r="J799" s="7">
        <v>2.0</v>
      </c>
      <c r="K799" s="7" t="s">
        <v>20552</v>
      </c>
      <c r="L799" s="7">
        <v>97418.0</v>
      </c>
      <c r="M799" s="7" t="s">
        <v>71</v>
      </c>
      <c r="N799" s="7" t="s">
        <v>216</v>
      </c>
      <c r="O799" s="7" t="s">
        <v>5341</v>
      </c>
      <c r="P799" s="42" t="s">
        <v>5335</v>
      </c>
      <c r="Q799" s="43" t="s">
        <v>20553</v>
      </c>
      <c r="R799" s="50"/>
      <c r="S799" s="51"/>
      <c r="T799" s="7" t="s">
        <v>5336</v>
      </c>
      <c r="U799" s="7"/>
      <c r="V799" s="7" t="s">
        <v>5337</v>
      </c>
      <c r="W799" s="7" t="s">
        <v>5334</v>
      </c>
      <c r="X799" s="7" t="s">
        <v>409</v>
      </c>
      <c r="Y799" s="7" t="s">
        <v>377</v>
      </c>
      <c r="Z799" s="7" t="s">
        <v>353</v>
      </c>
      <c r="AA799" s="7" t="s">
        <v>5342</v>
      </c>
      <c r="AB799" s="7" t="s">
        <v>2046</v>
      </c>
      <c r="AC799" s="7">
        <v>3.4374774700057E13</v>
      </c>
      <c r="AD799" s="7">
        <v>3.43747747E8</v>
      </c>
      <c r="AE799" s="6" t="s">
        <v>12355</v>
      </c>
      <c r="AF799" s="74">
        <v>44088.17361111111</v>
      </c>
      <c r="AG799" s="7" t="s">
        <v>20554</v>
      </c>
      <c r="AH799" s="46" t="s">
        <v>20555</v>
      </c>
      <c r="AI799" s="7"/>
      <c r="AJ799" s="7"/>
      <c r="AK799" s="7" t="b">
        <v>0</v>
      </c>
      <c r="AL799" s="7" t="b">
        <v>0</v>
      </c>
      <c r="AM799" s="7"/>
      <c r="AN799" s="6" t="s">
        <v>5331</v>
      </c>
      <c r="AO799" s="6">
        <v>2650.0</v>
      </c>
      <c r="AP799" s="6"/>
      <c r="AQ799" s="6" t="b">
        <v>1</v>
      </c>
      <c r="AR799" s="6"/>
      <c r="AS799" s="48" t="s">
        <v>12303</v>
      </c>
    </row>
    <row r="800" ht="15.75" customHeight="1">
      <c r="A800" s="7" t="s">
        <v>3713</v>
      </c>
      <c r="B800" s="7" t="s">
        <v>15294</v>
      </c>
      <c r="C800" s="7" t="s">
        <v>58</v>
      </c>
      <c r="D800" s="7" t="s">
        <v>453</v>
      </c>
      <c r="E800" s="7" t="s">
        <v>454</v>
      </c>
      <c r="F800" s="7">
        <v>6.0</v>
      </c>
      <c r="G800" s="7" t="s">
        <v>347</v>
      </c>
      <c r="H800" s="7" t="s">
        <v>574</v>
      </c>
      <c r="I800" s="7" t="s">
        <v>578</v>
      </c>
      <c r="J800" s="7">
        <v>15.0</v>
      </c>
      <c r="K800" s="7" t="s">
        <v>14032</v>
      </c>
      <c r="L800" s="7">
        <v>97480.0</v>
      </c>
      <c r="M800" s="7" t="s">
        <v>123</v>
      </c>
      <c r="N800" s="7"/>
      <c r="O800" s="7" t="s">
        <v>3703</v>
      </c>
      <c r="P800" s="42" t="s">
        <v>3696</v>
      </c>
      <c r="Q800" s="43" t="s">
        <v>14033</v>
      </c>
      <c r="R800" s="50"/>
      <c r="S800" s="47" t="s">
        <v>3715</v>
      </c>
      <c r="T800" s="7" t="s">
        <v>3718</v>
      </c>
      <c r="U800" s="7" t="s">
        <v>3717</v>
      </c>
      <c r="V800" s="7" t="s">
        <v>3699</v>
      </c>
      <c r="W800" s="6" t="s">
        <v>20556</v>
      </c>
      <c r="X800" s="7" t="s">
        <v>1108</v>
      </c>
      <c r="Y800" s="7" t="s">
        <v>377</v>
      </c>
      <c r="Z800" s="7" t="s">
        <v>353</v>
      </c>
      <c r="AA800" s="7"/>
      <c r="AB800" s="7"/>
      <c r="AC800" s="7">
        <v>4.9271294800016E13</v>
      </c>
      <c r="AD800" s="7">
        <v>4.92712948E8</v>
      </c>
      <c r="AE800" s="6" t="s">
        <v>12355</v>
      </c>
      <c r="AF800" s="74">
        <v>44088.0625</v>
      </c>
      <c r="AG800" s="7" t="s">
        <v>15296</v>
      </c>
      <c r="AH800" s="75" t="s">
        <v>20557</v>
      </c>
      <c r="AI800" s="7"/>
      <c r="AJ800" s="7"/>
      <c r="AK800" s="7" t="b">
        <v>0</v>
      </c>
      <c r="AL800" s="7" t="b">
        <v>0</v>
      </c>
      <c r="AM800" s="6"/>
      <c r="AN800" s="7"/>
      <c r="AO800" s="6">
        <v>789.0</v>
      </c>
      <c r="AP800" s="6"/>
      <c r="AQ800" s="6" t="b">
        <v>1</v>
      </c>
      <c r="AR800" s="6"/>
      <c r="AS800" s="6"/>
    </row>
    <row r="801" ht="15.75" customHeight="1">
      <c r="A801" s="7" t="s">
        <v>7163</v>
      </c>
      <c r="B801" s="7" t="s">
        <v>7164</v>
      </c>
      <c r="C801" s="7" t="s">
        <v>58</v>
      </c>
      <c r="D801" s="7" t="s">
        <v>59</v>
      </c>
      <c r="E801" s="7" t="s">
        <v>346</v>
      </c>
      <c r="F801" s="7"/>
      <c r="G801" s="7" t="s">
        <v>455</v>
      </c>
      <c r="H801" s="7"/>
      <c r="I801" s="7"/>
      <c r="J801" s="7">
        <v>217.0</v>
      </c>
      <c r="K801" s="7" t="s">
        <v>12418</v>
      </c>
      <c r="L801" s="7">
        <v>97418.0</v>
      </c>
      <c r="M801" s="7" t="s">
        <v>71</v>
      </c>
      <c r="N801" s="7" t="s">
        <v>9050</v>
      </c>
      <c r="O801" s="7" t="s">
        <v>7171</v>
      </c>
      <c r="P801" s="42" t="s">
        <v>7166</v>
      </c>
      <c r="Q801" s="43" t="s">
        <v>20558</v>
      </c>
      <c r="R801" s="43" t="s">
        <v>20559</v>
      </c>
      <c r="S801" s="51"/>
      <c r="T801" s="7" t="s">
        <v>7167</v>
      </c>
      <c r="U801" s="7"/>
      <c r="V801" s="7"/>
      <c r="W801" s="7"/>
      <c r="X801" s="7"/>
      <c r="Y801" s="7"/>
      <c r="Z801" s="7"/>
      <c r="AA801" s="7"/>
      <c r="AB801" s="7"/>
      <c r="AC801" s="7"/>
      <c r="AD801" s="7"/>
      <c r="AE801" s="6" t="s">
        <v>12355</v>
      </c>
      <c r="AF801" s="74">
        <v>44088.0</v>
      </c>
      <c r="AG801" s="7" t="s">
        <v>20560</v>
      </c>
      <c r="AH801" s="75" t="s">
        <v>20561</v>
      </c>
      <c r="AI801" s="7"/>
      <c r="AJ801" s="7"/>
      <c r="AK801" s="7" t="b">
        <v>0</v>
      </c>
      <c r="AL801" s="7" t="b">
        <v>0</v>
      </c>
      <c r="AM801" s="7"/>
      <c r="AN801" s="7"/>
      <c r="AO801" s="6">
        <v>3901.0</v>
      </c>
      <c r="AP801" s="6"/>
      <c r="AQ801" s="6" t="b">
        <v>1</v>
      </c>
      <c r="AR801" s="6"/>
      <c r="AS801" s="48" t="s">
        <v>12303</v>
      </c>
    </row>
    <row r="802" ht="15.75" customHeight="1">
      <c r="A802" s="7" t="s">
        <v>1854</v>
      </c>
      <c r="B802" s="7" t="s">
        <v>1855</v>
      </c>
      <c r="C802" s="7" t="s">
        <v>58</v>
      </c>
      <c r="D802" s="7" t="s">
        <v>1859</v>
      </c>
      <c r="E802" s="7" t="s">
        <v>1859</v>
      </c>
      <c r="F802" s="7">
        <v>20.0</v>
      </c>
      <c r="G802" s="7" t="s">
        <v>422</v>
      </c>
      <c r="H802" s="7" t="s">
        <v>1865</v>
      </c>
      <c r="I802" s="7" t="s">
        <v>1869</v>
      </c>
      <c r="J802" s="7">
        <v>9.0</v>
      </c>
      <c r="K802" s="7" t="s">
        <v>16758</v>
      </c>
      <c r="L802" s="7">
        <v>97414.0</v>
      </c>
      <c r="M802" s="7" t="s">
        <v>40</v>
      </c>
      <c r="N802" s="7"/>
      <c r="O802" s="6" t="s">
        <v>20562</v>
      </c>
      <c r="P802" s="42" t="s">
        <v>1864</v>
      </c>
      <c r="Q802" s="43" t="s">
        <v>16760</v>
      </c>
      <c r="R802" s="50"/>
      <c r="S802" s="47" t="s">
        <v>1858</v>
      </c>
      <c r="T802" s="7" t="s">
        <v>1867</v>
      </c>
      <c r="U802" s="7" t="s">
        <v>1866</v>
      </c>
      <c r="V802" s="7" t="s">
        <v>1868</v>
      </c>
      <c r="W802" s="6" t="s">
        <v>20563</v>
      </c>
      <c r="X802" s="7" t="s">
        <v>1862</v>
      </c>
      <c r="Y802" s="7" t="s">
        <v>1863</v>
      </c>
      <c r="Z802" s="7" t="s">
        <v>786</v>
      </c>
      <c r="AA802" s="7" t="s">
        <v>1875</v>
      </c>
      <c r="AB802" s="7" t="s">
        <v>1876</v>
      </c>
      <c r="AC802" s="7">
        <v>4.3826612400017E13</v>
      </c>
      <c r="AD802" s="7">
        <v>4.38266124E8</v>
      </c>
      <c r="AE802" s="6" t="s">
        <v>401</v>
      </c>
      <c r="AF802" s="45">
        <v>45826.554664351854</v>
      </c>
      <c r="AG802" s="7" t="s">
        <v>16762</v>
      </c>
      <c r="AH802" s="46" t="s">
        <v>20564</v>
      </c>
      <c r="AI802" s="7"/>
      <c r="AJ802" s="6" t="s">
        <v>20565</v>
      </c>
      <c r="AK802" s="7" t="b">
        <v>0</v>
      </c>
      <c r="AL802" s="7" t="b">
        <v>0</v>
      </c>
      <c r="AM802" s="6" t="s">
        <v>1877</v>
      </c>
      <c r="AN802" s="6" t="s">
        <v>1854</v>
      </c>
      <c r="AO802" s="6">
        <v>3287.0</v>
      </c>
      <c r="AP802" s="6"/>
      <c r="AQ802" s="6" t="b">
        <v>1</v>
      </c>
      <c r="AR802" s="6"/>
      <c r="AS802" s="48" t="s">
        <v>12303</v>
      </c>
    </row>
    <row r="803" ht="15.75" customHeight="1">
      <c r="A803" s="7" t="s">
        <v>3368</v>
      </c>
      <c r="B803" s="7" t="s">
        <v>3369</v>
      </c>
      <c r="C803" s="6" t="s">
        <v>117</v>
      </c>
      <c r="D803" s="7" t="s">
        <v>197</v>
      </c>
      <c r="E803" s="6" t="s">
        <v>20566</v>
      </c>
      <c r="F803" s="7"/>
      <c r="G803" s="7" t="s">
        <v>422</v>
      </c>
      <c r="H803" s="7"/>
      <c r="I803" s="7"/>
      <c r="J803" s="7">
        <v>16.0</v>
      </c>
      <c r="K803" s="7" t="s">
        <v>20567</v>
      </c>
      <c r="L803" s="7">
        <v>97414.0</v>
      </c>
      <c r="M803" s="7" t="s">
        <v>40</v>
      </c>
      <c r="N803" s="7"/>
      <c r="O803" s="6" t="s">
        <v>20568</v>
      </c>
      <c r="P803" s="42" t="s">
        <v>3375</v>
      </c>
      <c r="Q803" s="49" t="s">
        <v>20569</v>
      </c>
      <c r="R803" s="43" t="s">
        <v>20569</v>
      </c>
      <c r="S803" s="47" t="s">
        <v>3372</v>
      </c>
      <c r="T803" s="7" t="s">
        <v>3376</v>
      </c>
      <c r="U803" s="7"/>
      <c r="V803" s="7"/>
      <c r="W803" s="7"/>
      <c r="X803" s="7" t="s">
        <v>3374</v>
      </c>
      <c r="Y803" s="6" t="s">
        <v>2938</v>
      </c>
      <c r="Z803" s="6" t="s">
        <v>592</v>
      </c>
      <c r="AA803" s="7"/>
      <c r="AB803" s="7"/>
      <c r="AC803" s="7">
        <v>7.509370210002E13</v>
      </c>
      <c r="AD803" s="7">
        <v>7.50937021E8</v>
      </c>
      <c r="AE803" s="6" t="s">
        <v>12355</v>
      </c>
      <c r="AF803" s="45">
        <v>45742.396099537036</v>
      </c>
      <c r="AG803" s="7" t="s">
        <v>20570</v>
      </c>
      <c r="AH803" s="46" t="s">
        <v>20571</v>
      </c>
      <c r="AI803" s="7"/>
      <c r="AJ803" s="6" t="s">
        <v>20572</v>
      </c>
      <c r="AK803" s="7" t="b">
        <v>0</v>
      </c>
      <c r="AL803" s="6" t="b">
        <v>1</v>
      </c>
      <c r="AM803" s="7"/>
      <c r="AN803" s="6" t="s">
        <v>3368</v>
      </c>
      <c r="AO803" s="6">
        <v>2348.0</v>
      </c>
      <c r="AP803" s="6"/>
      <c r="AQ803" s="6" t="b">
        <v>1</v>
      </c>
      <c r="AR803" s="6"/>
      <c r="AS803" s="48" t="s">
        <v>12303</v>
      </c>
    </row>
    <row r="804" ht="15.75" customHeight="1">
      <c r="A804" s="7" t="s">
        <v>627</v>
      </c>
      <c r="B804" s="7" t="s">
        <v>628</v>
      </c>
      <c r="C804" s="7" t="s">
        <v>58</v>
      </c>
      <c r="D804" s="7" t="s">
        <v>59</v>
      </c>
      <c r="E804" s="7" t="s">
        <v>346</v>
      </c>
      <c r="F804" s="7">
        <v>10.0</v>
      </c>
      <c r="G804" s="7" t="s">
        <v>630</v>
      </c>
      <c r="H804" s="7" t="s">
        <v>574</v>
      </c>
      <c r="I804" s="7" t="s">
        <v>578</v>
      </c>
      <c r="J804" s="7">
        <v>37.0</v>
      </c>
      <c r="K804" s="7" t="s">
        <v>13193</v>
      </c>
      <c r="L804" s="7">
        <v>97418.0</v>
      </c>
      <c r="M804" s="7" t="s">
        <v>71</v>
      </c>
      <c r="N804" s="7" t="s">
        <v>216</v>
      </c>
      <c r="O804" s="6" t="s">
        <v>13194</v>
      </c>
      <c r="P804" s="42" t="s">
        <v>632</v>
      </c>
      <c r="Q804" s="43" t="s">
        <v>13186</v>
      </c>
      <c r="R804" s="43" t="s">
        <v>13187</v>
      </c>
      <c r="S804" s="51"/>
      <c r="T804" s="7" t="s">
        <v>634</v>
      </c>
      <c r="U804" s="7" t="s">
        <v>633</v>
      </c>
      <c r="V804" s="7" t="s">
        <v>635</v>
      </c>
      <c r="W804" s="6" t="s">
        <v>20573</v>
      </c>
      <c r="X804" s="7" t="s">
        <v>351</v>
      </c>
      <c r="Y804" s="7" t="s">
        <v>377</v>
      </c>
      <c r="Z804" s="7" t="s">
        <v>353</v>
      </c>
      <c r="AA804" s="7"/>
      <c r="AB804" s="7"/>
      <c r="AC804" s="7">
        <v>4.8138444400024E13</v>
      </c>
      <c r="AD804" s="7">
        <v>4.81384444E8</v>
      </c>
      <c r="AE804" s="6" t="s">
        <v>401</v>
      </c>
      <c r="AF804" s="74">
        <v>44081.058333333334</v>
      </c>
      <c r="AG804" s="7" t="s">
        <v>13190</v>
      </c>
      <c r="AH804" s="75" t="s">
        <v>20574</v>
      </c>
      <c r="AI804" s="7"/>
      <c r="AJ804" s="7"/>
      <c r="AK804" s="7" t="b">
        <v>0</v>
      </c>
      <c r="AL804" s="7" t="b">
        <v>1</v>
      </c>
      <c r="AM804" s="6" t="s">
        <v>640</v>
      </c>
      <c r="AN804" s="7"/>
      <c r="AO804" s="6">
        <v>2232.0</v>
      </c>
      <c r="AP804" s="6"/>
      <c r="AQ804" s="6" t="b">
        <v>1</v>
      </c>
      <c r="AR804" s="6"/>
      <c r="AS804" s="48" t="s">
        <v>12303</v>
      </c>
    </row>
    <row r="805" ht="15.75" customHeight="1">
      <c r="A805" s="7" t="s">
        <v>7838</v>
      </c>
      <c r="B805" s="7" t="s">
        <v>7839</v>
      </c>
      <c r="C805" s="6" t="s">
        <v>117</v>
      </c>
      <c r="D805" s="7" t="s">
        <v>197</v>
      </c>
      <c r="E805" s="7" t="s">
        <v>559</v>
      </c>
      <c r="F805" s="6">
        <v>5.0</v>
      </c>
      <c r="G805" s="7" t="s">
        <v>455</v>
      </c>
      <c r="H805" s="7"/>
      <c r="I805" s="7"/>
      <c r="J805" s="41" t="s">
        <v>20575</v>
      </c>
      <c r="K805" s="7" t="s">
        <v>18061</v>
      </c>
      <c r="L805" s="7">
        <v>97414.0</v>
      </c>
      <c r="M805" s="7" t="s">
        <v>40</v>
      </c>
      <c r="N805" s="6" t="s">
        <v>12822</v>
      </c>
      <c r="O805" s="6" t="s">
        <v>20576</v>
      </c>
      <c r="P805" s="42" t="s">
        <v>7841</v>
      </c>
      <c r="Q805" s="43" t="s">
        <v>20577</v>
      </c>
      <c r="R805" s="50"/>
      <c r="S805" s="51" t="s">
        <v>20578</v>
      </c>
      <c r="T805" s="7" t="s">
        <v>7842</v>
      </c>
      <c r="U805" s="7"/>
      <c r="V805" s="7"/>
      <c r="W805" s="6" t="s">
        <v>12961</v>
      </c>
      <c r="X805" s="6" t="s">
        <v>20579</v>
      </c>
      <c r="Y805" s="7" t="s">
        <v>377</v>
      </c>
      <c r="Z805" s="6" t="s">
        <v>592</v>
      </c>
      <c r="AA805" s="7"/>
      <c r="AB805" s="7"/>
      <c r="AC805" s="6">
        <v>3.3953889400033E13</v>
      </c>
      <c r="AD805" s="7">
        <v>3.39538894E8</v>
      </c>
      <c r="AE805" s="6" t="s">
        <v>401</v>
      </c>
      <c r="AF805" s="74">
        <v>44081.0</v>
      </c>
      <c r="AG805" s="7" t="s">
        <v>20580</v>
      </c>
      <c r="AH805" s="46" t="s">
        <v>20581</v>
      </c>
      <c r="AI805" s="7"/>
      <c r="AJ805" s="7"/>
      <c r="AK805" s="7" t="b">
        <v>0</v>
      </c>
      <c r="AL805" s="7" t="b">
        <v>0</v>
      </c>
      <c r="AM805" s="7"/>
      <c r="AN805" s="6" t="s">
        <v>7838</v>
      </c>
      <c r="AO805" s="6">
        <v>2209.0</v>
      </c>
      <c r="AP805" s="6"/>
      <c r="AQ805" s="6" t="b">
        <v>1</v>
      </c>
      <c r="AR805" s="6" t="s">
        <v>20582</v>
      </c>
      <c r="AS805" s="48" t="s">
        <v>12303</v>
      </c>
    </row>
    <row r="806" ht="15.75" customHeight="1">
      <c r="A806" s="7" t="s">
        <v>5955</v>
      </c>
      <c r="B806" s="7" t="s">
        <v>5956</v>
      </c>
      <c r="C806" s="7" t="s">
        <v>58</v>
      </c>
      <c r="D806" s="7" t="s">
        <v>59</v>
      </c>
      <c r="E806" s="7" t="s">
        <v>346</v>
      </c>
      <c r="F806" s="7">
        <v>4.0</v>
      </c>
      <c r="G806" s="7"/>
      <c r="H806" s="7"/>
      <c r="I806" s="7"/>
      <c r="J806" s="7">
        <v>158.0</v>
      </c>
      <c r="K806" s="7" t="s">
        <v>20064</v>
      </c>
      <c r="L806" s="7">
        <v>97480.0</v>
      </c>
      <c r="M806" s="7" t="s">
        <v>123</v>
      </c>
      <c r="N806" s="7"/>
      <c r="O806" s="7" t="s">
        <v>5967</v>
      </c>
      <c r="P806" s="42" t="s">
        <v>5960</v>
      </c>
      <c r="Q806" s="43" t="s">
        <v>20583</v>
      </c>
      <c r="R806" s="43" t="s">
        <v>20584</v>
      </c>
      <c r="S806" s="51"/>
      <c r="T806" s="7" t="s">
        <v>5962</v>
      </c>
      <c r="U806" s="7" t="s">
        <v>5961</v>
      </c>
      <c r="V806" s="7" t="s">
        <v>5963</v>
      </c>
      <c r="W806" s="6" t="s">
        <v>20585</v>
      </c>
      <c r="X806" s="7"/>
      <c r="Y806" s="7" t="s">
        <v>499</v>
      </c>
      <c r="Z806" s="7" t="s">
        <v>5959</v>
      </c>
      <c r="AA806" s="7" t="s">
        <v>5342</v>
      </c>
      <c r="AB806" s="7" t="s">
        <v>1962</v>
      </c>
      <c r="AC806" s="7">
        <v>8.285687900002E13</v>
      </c>
      <c r="AD806" s="7">
        <v>8.2856879E8</v>
      </c>
      <c r="AE806" s="6" t="s">
        <v>12355</v>
      </c>
      <c r="AF806" s="74">
        <v>44080.513194444444</v>
      </c>
      <c r="AG806" s="7" t="s">
        <v>20586</v>
      </c>
      <c r="AH806" s="46" t="s">
        <v>20587</v>
      </c>
      <c r="AI806" s="7"/>
      <c r="AJ806" s="7"/>
      <c r="AK806" s="7" t="b">
        <v>0</v>
      </c>
      <c r="AL806" s="7" t="b">
        <v>0</v>
      </c>
      <c r="AM806" s="6" t="s">
        <v>20588</v>
      </c>
      <c r="AN806" s="6" t="s">
        <v>5955</v>
      </c>
      <c r="AO806" s="6">
        <v>5185.0</v>
      </c>
      <c r="AP806" s="6"/>
      <c r="AQ806" s="6" t="b">
        <v>1</v>
      </c>
      <c r="AR806" s="6" t="s">
        <v>20589</v>
      </c>
      <c r="AS806" s="6"/>
    </row>
    <row r="807" ht="15.75" customHeight="1">
      <c r="A807" s="7" t="s">
        <v>7808</v>
      </c>
      <c r="B807" s="7" t="s">
        <v>20590</v>
      </c>
      <c r="C807" s="7" t="s">
        <v>58</v>
      </c>
      <c r="D807" s="7" t="s">
        <v>59</v>
      </c>
      <c r="E807" s="7" t="s">
        <v>346</v>
      </c>
      <c r="F807" s="7">
        <v>6.0</v>
      </c>
      <c r="G807" s="7" t="s">
        <v>407</v>
      </c>
      <c r="H807" s="7"/>
      <c r="I807" s="7"/>
      <c r="J807" s="7">
        <v>10.0</v>
      </c>
      <c r="K807" s="7" t="s">
        <v>20591</v>
      </c>
      <c r="L807" s="7">
        <v>97414.0</v>
      </c>
      <c r="M807" s="7" t="s">
        <v>40</v>
      </c>
      <c r="N807" s="7"/>
      <c r="O807" s="7" t="s">
        <v>7821</v>
      </c>
      <c r="P807" s="42" t="s">
        <v>7814</v>
      </c>
      <c r="Q807" s="43" t="s">
        <v>20592</v>
      </c>
      <c r="R807" s="43" t="s">
        <v>20593</v>
      </c>
      <c r="S807" s="51"/>
      <c r="T807" s="7" t="s">
        <v>7816</v>
      </c>
      <c r="U807" s="7" t="s">
        <v>7815</v>
      </c>
      <c r="V807" s="7" t="s">
        <v>7817</v>
      </c>
      <c r="W807" s="6" t="s">
        <v>20594</v>
      </c>
      <c r="X807" s="7" t="s">
        <v>7813</v>
      </c>
      <c r="Y807" s="7" t="s">
        <v>377</v>
      </c>
      <c r="Z807" s="7" t="s">
        <v>851</v>
      </c>
      <c r="AA807" s="7"/>
      <c r="AB807" s="7"/>
      <c r="AC807" s="7"/>
      <c r="AD807" s="7"/>
      <c r="AE807" s="6" t="s">
        <v>12355</v>
      </c>
      <c r="AF807" s="74">
        <v>44075.49791666667</v>
      </c>
      <c r="AG807" s="7" t="s">
        <v>20595</v>
      </c>
      <c r="AH807" s="46" t="s">
        <v>20596</v>
      </c>
      <c r="AI807" s="7"/>
      <c r="AJ807" s="7"/>
      <c r="AK807" s="7" t="b">
        <v>0</v>
      </c>
      <c r="AL807" s="7" t="b">
        <v>0</v>
      </c>
      <c r="AM807" s="6" t="s">
        <v>20597</v>
      </c>
      <c r="AN807" s="6" t="s">
        <v>7808</v>
      </c>
      <c r="AO807" s="6">
        <v>3259.0</v>
      </c>
      <c r="AP807" s="6"/>
      <c r="AQ807" s="6" t="b">
        <v>1</v>
      </c>
      <c r="AR807" s="6" t="s">
        <v>20598</v>
      </c>
      <c r="AS807" s="48" t="s">
        <v>12303</v>
      </c>
    </row>
    <row r="808" ht="15.75" customHeight="1">
      <c r="A808" s="7" t="s">
        <v>7157</v>
      </c>
      <c r="B808" s="7" t="s">
        <v>7146</v>
      </c>
      <c r="C808" s="7" t="s">
        <v>58</v>
      </c>
      <c r="D808" s="7" t="s">
        <v>453</v>
      </c>
      <c r="E808" s="7" t="s">
        <v>454</v>
      </c>
      <c r="F808" s="7">
        <v>10.0</v>
      </c>
      <c r="G808" s="7" t="s">
        <v>407</v>
      </c>
      <c r="H808" s="7"/>
      <c r="I808" s="7"/>
      <c r="J808" s="7">
        <v>34.0</v>
      </c>
      <c r="K808" s="7" t="s">
        <v>12304</v>
      </c>
      <c r="L808" s="7">
        <v>97430.0</v>
      </c>
      <c r="M808" s="7" t="s">
        <v>71</v>
      </c>
      <c r="N808" s="7"/>
      <c r="O808" s="6" t="s">
        <v>20599</v>
      </c>
      <c r="P808" s="42" t="s">
        <v>7159</v>
      </c>
      <c r="Q808" s="43" t="s">
        <v>20600</v>
      </c>
      <c r="R808" s="50"/>
      <c r="S808" s="51"/>
      <c r="T808" s="7" t="s">
        <v>7161</v>
      </c>
      <c r="U808" s="7" t="s">
        <v>7160</v>
      </c>
      <c r="V808" s="7" t="s">
        <v>7151</v>
      </c>
      <c r="W808" s="6" t="s">
        <v>20601</v>
      </c>
      <c r="X808" s="7" t="s">
        <v>1222</v>
      </c>
      <c r="Y808" s="7" t="s">
        <v>377</v>
      </c>
      <c r="Z808" s="7" t="s">
        <v>353</v>
      </c>
      <c r="AA808" s="7"/>
      <c r="AB808" s="7"/>
      <c r="AC808" s="7"/>
      <c r="AD808" s="7"/>
      <c r="AE808" s="6" t="s">
        <v>12355</v>
      </c>
      <c r="AF808" s="45">
        <v>46058.35099537037</v>
      </c>
      <c r="AG808" s="7" t="s">
        <v>12308</v>
      </c>
      <c r="AH808" s="46" t="s">
        <v>20602</v>
      </c>
      <c r="AI808" s="7"/>
      <c r="AJ808" s="6" t="s">
        <v>20603</v>
      </c>
      <c r="AK808" s="7" t="b">
        <v>0</v>
      </c>
      <c r="AL808" s="7" t="b">
        <v>0</v>
      </c>
      <c r="AM808" s="6" t="s">
        <v>7162</v>
      </c>
      <c r="AN808" s="6" t="s">
        <v>7157</v>
      </c>
      <c r="AO808" s="6">
        <v>2655.0</v>
      </c>
      <c r="AP808" s="6"/>
      <c r="AQ808" s="6" t="b">
        <v>1</v>
      </c>
      <c r="AR808" s="6"/>
      <c r="AS808" s="6" t="s">
        <v>12303</v>
      </c>
    </row>
    <row r="809" ht="15.75" customHeight="1">
      <c r="A809" s="7" t="s">
        <v>7823</v>
      </c>
      <c r="B809" s="7" t="s">
        <v>20604</v>
      </c>
      <c r="C809" s="7" t="s">
        <v>58</v>
      </c>
      <c r="D809" s="7" t="s">
        <v>1859</v>
      </c>
      <c r="E809" s="7" t="s">
        <v>7827</v>
      </c>
      <c r="F809" s="7">
        <v>20.0</v>
      </c>
      <c r="G809" s="6" t="s">
        <v>422</v>
      </c>
      <c r="H809" s="7"/>
      <c r="I809" s="7"/>
      <c r="J809" s="6" t="s">
        <v>20605</v>
      </c>
      <c r="K809" s="6" t="s">
        <v>20606</v>
      </c>
      <c r="L809" s="7">
        <v>97414.0</v>
      </c>
      <c r="M809" s="7" t="s">
        <v>40</v>
      </c>
      <c r="N809" s="6" t="s">
        <v>40</v>
      </c>
      <c r="O809" s="6" t="s">
        <v>20607</v>
      </c>
      <c r="P809" s="42" t="s">
        <v>7829</v>
      </c>
      <c r="Q809" s="43" t="s">
        <v>20608</v>
      </c>
      <c r="R809" s="50"/>
      <c r="S809" s="51"/>
      <c r="T809" s="7" t="s">
        <v>7831</v>
      </c>
      <c r="U809" s="7" t="s">
        <v>7830</v>
      </c>
      <c r="V809" s="7"/>
      <c r="W809" s="6" t="s">
        <v>20609</v>
      </c>
      <c r="X809" s="7" t="s">
        <v>2198</v>
      </c>
      <c r="Y809" s="7" t="s">
        <v>377</v>
      </c>
      <c r="Z809" s="7" t="s">
        <v>378</v>
      </c>
      <c r="AA809" s="7"/>
      <c r="AB809" s="7"/>
      <c r="AC809" s="6">
        <v>4.3894280700027E13</v>
      </c>
      <c r="AD809" s="6">
        <v>4.38942807E8</v>
      </c>
      <c r="AE809" s="6" t="s">
        <v>401</v>
      </c>
      <c r="AF809" s="63">
        <v>45985.44390046296</v>
      </c>
      <c r="AG809" s="7" t="s">
        <v>20610</v>
      </c>
      <c r="AH809" s="46" t="s">
        <v>20611</v>
      </c>
      <c r="AI809" s="7"/>
      <c r="AJ809" s="6" t="s">
        <v>20612</v>
      </c>
      <c r="AK809" s="7" t="b">
        <v>0</v>
      </c>
      <c r="AL809" s="7" t="b">
        <v>0</v>
      </c>
      <c r="AM809" s="6" t="s">
        <v>7836</v>
      </c>
      <c r="AN809" s="6" t="s">
        <v>7823</v>
      </c>
      <c r="AO809" s="6">
        <v>2322.0</v>
      </c>
      <c r="AP809" s="6"/>
      <c r="AQ809" s="6" t="b">
        <v>1</v>
      </c>
      <c r="AR809" s="6"/>
      <c r="AS809" s="48" t="s">
        <v>12303</v>
      </c>
    </row>
    <row r="810" ht="15.75" customHeight="1">
      <c r="A810" s="7" t="s">
        <v>4969</v>
      </c>
      <c r="B810" s="7" t="s">
        <v>4970</v>
      </c>
      <c r="C810" s="7" t="s">
        <v>58</v>
      </c>
      <c r="D810" s="7" t="s">
        <v>59</v>
      </c>
      <c r="E810" s="7" t="s">
        <v>374</v>
      </c>
      <c r="F810" s="7">
        <v>8.0</v>
      </c>
      <c r="G810" s="7" t="s">
        <v>375</v>
      </c>
      <c r="H810" s="7" t="s">
        <v>395</v>
      </c>
      <c r="I810" s="7"/>
      <c r="J810" s="7">
        <v>37.0</v>
      </c>
      <c r="K810" s="7" t="s">
        <v>20613</v>
      </c>
      <c r="L810" s="7">
        <v>97430.0</v>
      </c>
      <c r="M810" s="7" t="s">
        <v>71</v>
      </c>
      <c r="N810" s="7"/>
      <c r="O810" s="7" t="s">
        <v>4981</v>
      </c>
      <c r="P810" s="42" t="s">
        <v>4974</v>
      </c>
      <c r="Q810" s="43" t="s">
        <v>20614</v>
      </c>
      <c r="R810" s="50"/>
      <c r="S810" s="51"/>
      <c r="T810" s="7" t="s">
        <v>4976</v>
      </c>
      <c r="U810" s="7" t="s">
        <v>4975</v>
      </c>
      <c r="V810" s="7" t="s">
        <v>4977</v>
      </c>
      <c r="W810" s="6" t="s">
        <v>20615</v>
      </c>
      <c r="X810" s="7" t="s">
        <v>2787</v>
      </c>
      <c r="Y810" s="7" t="s">
        <v>4973</v>
      </c>
      <c r="Z810" s="7" t="s">
        <v>424</v>
      </c>
      <c r="AA810" s="7"/>
      <c r="AB810" s="7"/>
      <c r="AC810" s="7">
        <v>8.2791448200019E13</v>
      </c>
      <c r="AD810" s="7">
        <v>8.27914482E8</v>
      </c>
      <c r="AE810" s="6" t="s">
        <v>12355</v>
      </c>
      <c r="AF810" s="74">
        <v>44068.197222222225</v>
      </c>
      <c r="AG810" s="7" t="s">
        <v>20616</v>
      </c>
      <c r="AH810" s="46" t="s">
        <v>20617</v>
      </c>
      <c r="AI810" s="7"/>
      <c r="AJ810" s="7"/>
      <c r="AK810" s="7" t="b">
        <v>0</v>
      </c>
      <c r="AL810" s="7" t="b">
        <v>0</v>
      </c>
      <c r="AM810" s="6" t="s">
        <v>4982</v>
      </c>
      <c r="AN810" s="6" t="s">
        <v>4969</v>
      </c>
      <c r="AO810" s="6">
        <v>4283.0</v>
      </c>
      <c r="AP810" s="6"/>
      <c r="AQ810" s="6" t="b">
        <v>1</v>
      </c>
      <c r="AR810" s="6"/>
      <c r="AS810" s="6"/>
    </row>
    <row r="811" ht="15.75" customHeight="1">
      <c r="A811" s="7" t="s">
        <v>7585</v>
      </c>
      <c r="B811" s="6" t="s">
        <v>20618</v>
      </c>
      <c r="C811" s="7" t="s">
        <v>58</v>
      </c>
      <c r="D811" s="7" t="s">
        <v>453</v>
      </c>
      <c r="E811" s="7" t="s">
        <v>454</v>
      </c>
      <c r="F811" s="7">
        <v>6.0</v>
      </c>
      <c r="G811" s="7" t="s">
        <v>455</v>
      </c>
      <c r="H811" s="7"/>
      <c r="I811" s="7"/>
      <c r="J811" s="7">
        <v>270.0</v>
      </c>
      <c r="K811" s="7" t="s">
        <v>20619</v>
      </c>
      <c r="L811" s="7">
        <v>97430.0</v>
      </c>
      <c r="M811" s="7" t="s">
        <v>71</v>
      </c>
      <c r="N811" s="6" t="s">
        <v>9050</v>
      </c>
      <c r="O811" s="6" t="s">
        <v>20620</v>
      </c>
      <c r="P811" s="42" t="s">
        <v>7590</v>
      </c>
      <c r="Q811" s="43" t="s">
        <v>20621</v>
      </c>
      <c r="R811" s="50"/>
      <c r="S811" s="47" t="s">
        <v>7588</v>
      </c>
      <c r="T811" s="6" t="s">
        <v>20622</v>
      </c>
      <c r="U811" s="6" t="s">
        <v>20623</v>
      </c>
      <c r="V811" s="7" t="s">
        <v>7593</v>
      </c>
      <c r="W811" s="6" t="s">
        <v>20624</v>
      </c>
      <c r="X811" s="7"/>
      <c r="Y811" s="7" t="s">
        <v>974</v>
      </c>
      <c r="Z811" s="7" t="s">
        <v>1698</v>
      </c>
      <c r="AA811" s="7"/>
      <c r="AB811" s="7"/>
      <c r="AC811" s="7">
        <v>5.3203911200018E13</v>
      </c>
      <c r="AD811" s="7">
        <v>5.32039112E8</v>
      </c>
      <c r="AE811" s="6" t="s">
        <v>401</v>
      </c>
      <c r="AF811" s="74">
        <v>44068.197222222225</v>
      </c>
      <c r="AG811" s="7" t="s">
        <v>20625</v>
      </c>
      <c r="AH811" s="46" t="s">
        <v>20626</v>
      </c>
      <c r="AI811" s="7"/>
      <c r="AJ811" s="7"/>
      <c r="AK811" s="7" t="b">
        <v>0</v>
      </c>
      <c r="AL811" s="7" t="b">
        <v>0</v>
      </c>
      <c r="AM811" s="6" t="s">
        <v>7598</v>
      </c>
      <c r="AN811" s="6" t="s">
        <v>7585</v>
      </c>
      <c r="AO811" s="6">
        <v>4514.0</v>
      </c>
      <c r="AP811" s="6"/>
      <c r="AQ811" s="6" t="b">
        <v>1</v>
      </c>
      <c r="AR811" s="6" t="s">
        <v>20627</v>
      </c>
      <c r="AS811" s="6" t="s">
        <v>12303</v>
      </c>
    </row>
    <row r="812" ht="15.75" customHeight="1">
      <c r="A812" s="7" t="s">
        <v>1656</v>
      </c>
      <c r="B812" s="7" t="s">
        <v>1657</v>
      </c>
      <c r="C812" s="6" t="s">
        <v>117</v>
      </c>
      <c r="D812" s="7" t="s">
        <v>197</v>
      </c>
      <c r="E812" s="7" t="s">
        <v>559</v>
      </c>
      <c r="F812" s="6">
        <v>5.0</v>
      </c>
      <c r="G812" s="7" t="s">
        <v>422</v>
      </c>
      <c r="H812" s="7"/>
      <c r="I812" s="7"/>
      <c r="J812" s="41" t="s">
        <v>15756</v>
      </c>
      <c r="K812" s="7" t="s">
        <v>20628</v>
      </c>
      <c r="L812" s="7">
        <v>97414.0</v>
      </c>
      <c r="M812" s="7" t="s">
        <v>40</v>
      </c>
      <c r="N812" s="7"/>
      <c r="O812" s="6" t="s">
        <v>20629</v>
      </c>
      <c r="P812" s="42" t="s">
        <v>1659</v>
      </c>
      <c r="Q812" s="43" t="s">
        <v>20630</v>
      </c>
      <c r="R812" s="50"/>
      <c r="S812" s="51"/>
      <c r="T812" s="7" t="s">
        <v>1660</v>
      </c>
      <c r="U812" s="7"/>
      <c r="V812" s="7"/>
      <c r="W812" s="6" t="s">
        <v>20631</v>
      </c>
      <c r="X812" s="7"/>
      <c r="Y812" s="7" t="s">
        <v>377</v>
      </c>
      <c r="Z812" s="7" t="s">
        <v>378</v>
      </c>
      <c r="AA812" s="7"/>
      <c r="AB812" s="7"/>
      <c r="AC812" s="7"/>
      <c r="AD812" s="7"/>
      <c r="AE812" s="6" t="s">
        <v>401</v>
      </c>
      <c r="AF812" s="74">
        <v>44067.22708333333</v>
      </c>
      <c r="AG812" s="7" t="s">
        <v>20632</v>
      </c>
      <c r="AH812" s="46" t="s">
        <v>20633</v>
      </c>
      <c r="AI812" s="7"/>
      <c r="AJ812" s="7"/>
      <c r="AK812" s="6" t="b">
        <v>1</v>
      </c>
      <c r="AL812" s="7" t="b">
        <v>0</v>
      </c>
      <c r="AM812" s="7"/>
      <c r="AN812" s="6" t="s">
        <v>1656</v>
      </c>
      <c r="AO812" s="6">
        <v>2056.0</v>
      </c>
      <c r="AP812" s="6"/>
      <c r="AQ812" s="6" t="b">
        <v>1</v>
      </c>
      <c r="AR812" s="6"/>
      <c r="AS812" s="48" t="s">
        <v>12303</v>
      </c>
    </row>
    <row r="813" ht="15.75" customHeight="1">
      <c r="A813" s="7" t="s">
        <v>1787</v>
      </c>
      <c r="B813" s="7" t="s">
        <v>20634</v>
      </c>
      <c r="C813" s="6" t="s">
        <v>117</v>
      </c>
      <c r="D813" s="7" t="s">
        <v>1792</v>
      </c>
      <c r="E813" s="7" t="s">
        <v>1793</v>
      </c>
      <c r="F813" s="7"/>
      <c r="G813" s="7" t="s">
        <v>422</v>
      </c>
      <c r="H813" s="7"/>
      <c r="I813" s="7" t="s">
        <v>597</v>
      </c>
      <c r="J813" s="7">
        <v>39.0</v>
      </c>
      <c r="K813" s="7" t="s">
        <v>19179</v>
      </c>
      <c r="L813" s="7">
        <v>97418.0</v>
      </c>
      <c r="M813" s="7" t="s">
        <v>71</v>
      </c>
      <c r="N813" s="7" t="s">
        <v>216</v>
      </c>
      <c r="O813" s="6" t="s">
        <v>20635</v>
      </c>
      <c r="P813" s="42" t="s">
        <v>1794</v>
      </c>
      <c r="Q813" s="49" t="s">
        <v>20636</v>
      </c>
      <c r="R813" s="43" t="s">
        <v>20637</v>
      </c>
      <c r="S813" s="47" t="s">
        <v>1791</v>
      </c>
      <c r="T813" s="6" t="s">
        <v>20638</v>
      </c>
      <c r="U813" s="7" t="s">
        <v>1795</v>
      </c>
      <c r="V813" s="7"/>
      <c r="W813" s="7"/>
      <c r="X813" s="7"/>
      <c r="Y813" s="7" t="s">
        <v>377</v>
      </c>
      <c r="Z813" s="7" t="s">
        <v>353</v>
      </c>
      <c r="AA813" s="7"/>
      <c r="AB813" s="7"/>
      <c r="AC813" s="7">
        <v>4.8180447400023E13</v>
      </c>
      <c r="AD813" s="7">
        <v>4.81804474E8</v>
      </c>
      <c r="AE813" s="6" t="s">
        <v>401</v>
      </c>
      <c r="AF813" s="45">
        <v>45819.46365740741</v>
      </c>
      <c r="AG813" s="7" t="s">
        <v>20639</v>
      </c>
      <c r="AH813" s="46" t="s">
        <v>20640</v>
      </c>
      <c r="AI813" s="7"/>
      <c r="AJ813" s="6" t="s">
        <v>20641</v>
      </c>
      <c r="AK813" s="7" t="b">
        <v>0</v>
      </c>
      <c r="AL813" s="7" t="b">
        <v>0</v>
      </c>
      <c r="AM813" s="7"/>
      <c r="AN813" s="6" t="s">
        <v>1787</v>
      </c>
      <c r="AO813" s="6">
        <v>2675.0</v>
      </c>
      <c r="AP813" s="6"/>
      <c r="AQ813" s="6" t="b">
        <v>1</v>
      </c>
      <c r="AR813" s="6"/>
      <c r="AS813" s="48" t="s">
        <v>12303</v>
      </c>
    </row>
    <row r="814" ht="15.75" customHeight="1">
      <c r="A814" s="7" t="s">
        <v>1947</v>
      </c>
      <c r="B814" s="7" t="s">
        <v>20642</v>
      </c>
      <c r="C814" s="7" t="s">
        <v>58</v>
      </c>
      <c r="D814" s="7" t="s">
        <v>59</v>
      </c>
      <c r="E814" s="7" t="s">
        <v>346</v>
      </c>
      <c r="F814" s="7">
        <v>24.0</v>
      </c>
      <c r="G814" s="7" t="s">
        <v>407</v>
      </c>
      <c r="H814" s="7"/>
      <c r="I814" s="7"/>
      <c r="J814" s="7">
        <v>78.0</v>
      </c>
      <c r="K814" s="7" t="s">
        <v>20643</v>
      </c>
      <c r="L814" s="7">
        <v>97430.0</v>
      </c>
      <c r="M814" s="7" t="s">
        <v>71</v>
      </c>
      <c r="N814" s="7" t="s">
        <v>3501</v>
      </c>
      <c r="O814" s="7" t="s">
        <v>1960</v>
      </c>
      <c r="P814" s="42" t="s">
        <v>1953</v>
      </c>
      <c r="Q814" s="43" t="s">
        <v>19112</v>
      </c>
      <c r="R814" s="43" t="s">
        <v>19113</v>
      </c>
      <c r="S814" s="47" t="s">
        <v>1951</v>
      </c>
      <c r="T814" s="7" t="s">
        <v>1955</v>
      </c>
      <c r="U814" s="7" t="s">
        <v>1954</v>
      </c>
      <c r="V814" s="7" t="s">
        <v>1956</v>
      </c>
      <c r="W814" s="6" t="s">
        <v>20644</v>
      </c>
      <c r="X814" s="7" t="s">
        <v>1296</v>
      </c>
      <c r="Y814" s="7" t="s">
        <v>377</v>
      </c>
      <c r="Z814" s="7" t="s">
        <v>592</v>
      </c>
      <c r="AA814" s="7" t="s">
        <v>1961</v>
      </c>
      <c r="AB814" s="7" t="s">
        <v>1962</v>
      </c>
      <c r="AC814" s="7"/>
      <c r="AD814" s="7"/>
      <c r="AE814" s="6" t="s">
        <v>12355</v>
      </c>
      <c r="AF814" s="74">
        <v>44054.53125</v>
      </c>
      <c r="AG814" s="7" t="s">
        <v>19114</v>
      </c>
      <c r="AH814" s="75" t="s">
        <v>20645</v>
      </c>
      <c r="AI814" s="7"/>
      <c r="AJ814" s="7"/>
      <c r="AK814" s="7" t="b">
        <v>0</v>
      </c>
      <c r="AL814" s="7" t="b">
        <v>0</v>
      </c>
      <c r="AM814" s="6" t="s">
        <v>1963</v>
      </c>
      <c r="AN814" s="7"/>
      <c r="AO814" s="6">
        <v>943.0</v>
      </c>
      <c r="AP814" s="6"/>
      <c r="AQ814" s="6" t="b">
        <v>1</v>
      </c>
      <c r="AR814" s="6"/>
      <c r="AS814" s="6"/>
    </row>
    <row r="815" ht="15.75" customHeight="1">
      <c r="A815" s="7" t="s">
        <v>1893</v>
      </c>
      <c r="B815" s="7" t="s">
        <v>20646</v>
      </c>
      <c r="C815" s="6" t="s">
        <v>117</v>
      </c>
      <c r="D815" s="7" t="s">
        <v>197</v>
      </c>
      <c r="E815" s="7" t="s">
        <v>559</v>
      </c>
      <c r="F815" s="7"/>
      <c r="G815" s="7"/>
      <c r="H815" s="7"/>
      <c r="I815" s="7"/>
      <c r="J815" s="7">
        <v>14.0</v>
      </c>
      <c r="K815" s="7" t="s">
        <v>20647</v>
      </c>
      <c r="L815" s="7">
        <v>97418.0</v>
      </c>
      <c r="M815" s="7" t="s">
        <v>71</v>
      </c>
      <c r="N815" s="7" t="s">
        <v>216</v>
      </c>
      <c r="O815" s="6" t="s">
        <v>20648</v>
      </c>
      <c r="P815" s="42" t="s">
        <v>1896</v>
      </c>
      <c r="Q815" s="43" t="s">
        <v>20649</v>
      </c>
      <c r="R815" s="50"/>
      <c r="S815" s="51"/>
      <c r="T815" s="7" t="s">
        <v>1897</v>
      </c>
      <c r="U815" s="7"/>
      <c r="V815" s="7"/>
      <c r="W815" s="7"/>
      <c r="X815" s="7"/>
      <c r="Y815" s="7" t="s">
        <v>377</v>
      </c>
      <c r="Z815" s="7" t="s">
        <v>378</v>
      </c>
      <c r="AA815" s="7"/>
      <c r="AB815" s="7"/>
      <c r="AC815" s="7">
        <v>4.8479721200012E13</v>
      </c>
      <c r="AD815" s="7">
        <v>4.84797212E8</v>
      </c>
      <c r="AE815" s="6" t="s">
        <v>401</v>
      </c>
      <c r="AF815" s="74">
        <v>44054.04375</v>
      </c>
      <c r="AG815" s="7" t="s">
        <v>20650</v>
      </c>
      <c r="AH815" s="75" t="s">
        <v>20651</v>
      </c>
      <c r="AI815" s="7"/>
      <c r="AJ815" s="7"/>
      <c r="AK815" s="7" t="b">
        <v>0</v>
      </c>
      <c r="AL815" s="7" t="b">
        <v>0</v>
      </c>
      <c r="AM815" s="7"/>
      <c r="AN815" s="7"/>
      <c r="AO815" s="6">
        <v>3012.0</v>
      </c>
      <c r="AP815" s="6"/>
      <c r="AQ815" s="6" t="b">
        <v>1</v>
      </c>
      <c r="AR815" s="6"/>
      <c r="AS815" s="48" t="s">
        <v>12303</v>
      </c>
    </row>
    <row r="816" ht="15.75" customHeight="1">
      <c r="A816" s="7" t="s">
        <v>5260</v>
      </c>
      <c r="B816" s="7" t="s">
        <v>20652</v>
      </c>
      <c r="C816" s="7" t="s">
        <v>58</v>
      </c>
      <c r="D816" s="7" t="s">
        <v>59</v>
      </c>
      <c r="E816" s="7" t="s">
        <v>545</v>
      </c>
      <c r="F816" s="7">
        <v>5.0</v>
      </c>
      <c r="G816" s="7" t="s">
        <v>422</v>
      </c>
      <c r="H816" s="7"/>
      <c r="I816" s="7"/>
      <c r="J816" s="6" t="s">
        <v>20653</v>
      </c>
      <c r="K816" s="7" t="s">
        <v>18061</v>
      </c>
      <c r="L816" s="7">
        <v>97414.0</v>
      </c>
      <c r="M816" s="7" t="s">
        <v>40</v>
      </c>
      <c r="N816" s="7"/>
      <c r="O816" s="6" t="s">
        <v>20654</v>
      </c>
      <c r="P816" s="42" t="s">
        <v>5266</v>
      </c>
      <c r="Q816" s="43" t="s">
        <v>20655</v>
      </c>
      <c r="R816" s="43" t="s">
        <v>20656</v>
      </c>
      <c r="S816" s="47"/>
      <c r="T816" s="7" t="s">
        <v>5268</v>
      </c>
      <c r="U816" s="7" t="s">
        <v>5267</v>
      </c>
      <c r="V816" s="7" t="s">
        <v>5269</v>
      </c>
      <c r="W816" s="6" t="s">
        <v>20657</v>
      </c>
      <c r="X816" s="7" t="s">
        <v>2363</v>
      </c>
      <c r="Y816" s="7" t="s">
        <v>377</v>
      </c>
      <c r="Z816" s="7" t="s">
        <v>378</v>
      </c>
      <c r="AA816" s="7"/>
      <c r="AB816" s="7"/>
      <c r="AC816" s="7">
        <v>4.7976905100018E13</v>
      </c>
      <c r="AD816" s="7">
        <v>4.79769051E8</v>
      </c>
      <c r="AE816" s="6" t="s">
        <v>401</v>
      </c>
      <c r="AF816" s="74">
        <v>44053.0</v>
      </c>
      <c r="AG816" s="7" t="s">
        <v>20658</v>
      </c>
      <c r="AH816" s="46" t="s">
        <v>20659</v>
      </c>
      <c r="AI816" s="7"/>
      <c r="AJ816" s="7"/>
      <c r="AK816" s="7" t="b">
        <v>0</v>
      </c>
      <c r="AL816" s="7" t="b">
        <v>0</v>
      </c>
      <c r="AM816" s="6" t="s">
        <v>5274</v>
      </c>
      <c r="AN816" s="6" t="s">
        <v>5260</v>
      </c>
      <c r="AO816" s="6">
        <v>446.0</v>
      </c>
      <c r="AP816" s="6"/>
      <c r="AQ816" s="6" t="b">
        <v>1</v>
      </c>
      <c r="AR816" s="6"/>
      <c r="AS816" s="48" t="s">
        <v>12303</v>
      </c>
    </row>
    <row r="817" ht="15.75" customHeight="1">
      <c r="A817" s="7" t="s">
        <v>2767</v>
      </c>
      <c r="B817" s="7" t="s">
        <v>2768</v>
      </c>
      <c r="C817" s="7" t="s">
        <v>58</v>
      </c>
      <c r="D817" s="7" t="s">
        <v>59</v>
      </c>
      <c r="E817" s="7" t="s">
        <v>346</v>
      </c>
      <c r="F817" s="7">
        <v>4.0</v>
      </c>
      <c r="G817" s="7" t="s">
        <v>422</v>
      </c>
      <c r="H817" s="7"/>
      <c r="I817" s="7"/>
      <c r="J817" s="7">
        <v>6.0</v>
      </c>
      <c r="K817" s="7" t="s">
        <v>20660</v>
      </c>
      <c r="L817" s="7">
        <v>97414.0</v>
      </c>
      <c r="M817" s="7" t="s">
        <v>40</v>
      </c>
      <c r="N817" s="7"/>
      <c r="O817" s="6" t="s">
        <v>20661</v>
      </c>
      <c r="P817" s="42" t="s">
        <v>2772</v>
      </c>
      <c r="Q817" s="43" t="s">
        <v>20662</v>
      </c>
      <c r="R817" s="50"/>
      <c r="S817" s="47" t="s">
        <v>2770</v>
      </c>
      <c r="T817" s="7" t="s">
        <v>2774</v>
      </c>
      <c r="U817" s="7" t="s">
        <v>2773</v>
      </c>
      <c r="V817" s="7" t="s">
        <v>2775</v>
      </c>
      <c r="W817" s="6" t="s">
        <v>20663</v>
      </c>
      <c r="X817" s="7" t="s">
        <v>1038</v>
      </c>
      <c r="Y817" s="7" t="s">
        <v>377</v>
      </c>
      <c r="Z817" s="7" t="s">
        <v>378</v>
      </c>
      <c r="AA817" s="7" t="s">
        <v>2045</v>
      </c>
      <c r="AB817" s="7" t="s">
        <v>1962</v>
      </c>
      <c r="AC817" s="7">
        <v>3.5306577400013E13</v>
      </c>
      <c r="AD817" s="7">
        <v>3.53065774E8</v>
      </c>
      <c r="AE817" s="6" t="s">
        <v>401</v>
      </c>
      <c r="AF817" s="74">
        <v>44046.53194444445</v>
      </c>
      <c r="AG817" s="7" t="s">
        <v>20664</v>
      </c>
      <c r="AH817" s="75" t="s">
        <v>20665</v>
      </c>
      <c r="AI817" s="7"/>
      <c r="AJ817" s="7"/>
      <c r="AK817" s="7" t="b">
        <v>0</v>
      </c>
      <c r="AL817" s="7" t="b">
        <v>0</v>
      </c>
      <c r="AM817" s="6" t="s">
        <v>2780</v>
      </c>
      <c r="AN817" s="7"/>
      <c r="AO817" s="6">
        <v>4868.0</v>
      </c>
      <c r="AP817" s="6"/>
      <c r="AQ817" s="6" t="b">
        <v>1</v>
      </c>
      <c r="AR817" s="6"/>
      <c r="AS817" s="48" t="s">
        <v>12303</v>
      </c>
    </row>
    <row r="818" ht="15.75" customHeight="1">
      <c r="A818" s="7" t="s">
        <v>2432</v>
      </c>
      <c r="B818" s="7" t="s">
        <v>2433</v>
      </c>
      <c r="C818" s="7" t="s">
        <v>58</v>
      </c>
      <c r="D818" s="7" t="s">
        <v>59</v>
      </c>
      <c r="E818" s="7" t="s">
        <v>346</v>
      </c>
      <c r="F818" s="7">
        <v>4.0</v>
      </c>
      <c r="G818" s="7" t="s">
        <v>422</v>
      </c>
      <c r="H818" s="7"/>
      <c r="I818" s="7"/>
      <c r="J818" s="7">
        <v>8.0</v>
      </c>
      <c r="K818" s="7" t="s">
        <v>16758</v>
      </c>
      <c r="L818" s="7">
        <v>97414.0</v>
      </c>
      <c r="M818" s="7" t="s">
        <v>40</v>
      </c>
      <c r="N818" s="7"/>
      <c r="O818" s="7" t="s">
        <v>2444</v>
      </c>
      <c r="P818" s="42" t="s">
        <v>2437</v>
      </c>
      <c r="Q818" s="43" t="s">
        <v>20666</v>
      </c>
      <c r="R818" s="43" t="s">
        <v>20667</v>
      </c>
      <c r="S818" s="51"/>
      <c r="T818" s="7" t="s">
        <v>2439</v>
      </c>
      <c r="U818" s="7" t="s">
        <v>2438</v>
      </c>
      <c r="V818" s="7" t="s">
        <v>2440</v>
      </c>
      <c r="W818" s="6" t="s">
        <v>20668</v>
      </c>
      <c r="X818" s="7" t="s">
        <v>2436</v>
      </c>
      <c r="Y818" s="7" t="s">
        <v>377</v>
      </c>
      <c r="Z818" s="7" t="s">
        <v>378</v>
      </c>
      <c r="AA818" s="7"/>
      <c r="AB818" s="7"/>
      <c r="AC818" s="7"/>
      <c r="AD818" s="7"/>
      <c r="AE818" s="6" t="s">
        <v>12355</v>
      </c>
      <c r="AF818" s="74">
        <v>44045.444444444445</v>
      </c>
      <c r="AG818" s="7" t="s">
        <v>20669</v>
      </c>
      <c r="AH818" s="75" t="s">
        <v>20670</v>
      </c>
      <c r="AI818" s="7"/>
      <c r="AJ818" s="7"/>
      <c r="AK818" s="7" t="b">
        <v>0</v>
      </c>
      <c r="AL818" s="7" t="b">
        <v>0</v>
      </c>
      <c r="AM818" s="6" t="s">
        <v>2445</v>
      </c>
      <c r="AN818" s="7"/>
      <c r="AO818" s="6">
        <v>3735.0</v>
      </c>
      <c r="AP818" s="6"/>
      <c r="AQ818" s="6" t="b">
        <v>1</v>
      </c>
      <c r="AR818" s="6"/>
      <c r="AS818" s="48" t="s">
        <v>12303</v>
      </c>
    </row>
    <row r="819" ht="15.75" customHeight="1">
      <c r="A819" s="7" t="s">
        <v>6411</v>
      </c>
      <c r="B819" s="7" t="s">
        <v>6412</v>
      </c>
      <c r="C819" s="6" t="s">
        <v>117</v>
      </c>
      <c r="D819" s="7" t="s">
        <v>197</v>
      </c>
      <c r="E819" s="7" t="s">
        <v>559</v>
      </c>
      <c r="F819" s="6">
        <v>6.0</v>
      </c>
      <c r="G819" s="7" t="s">
        <v>422</v>
      </c>
      <c r="H819" s="7"/>
      <c r="I819" s="7"/>
      <c r="J819" s="7">
        <v>19.0</v>
      </c>
      <c r="K819" s="7" t="s">
        <v>20671</v>
      </c>
      <c r="L819" s="7">
        <v>97414.0</v>
      </c>
      <c r="M819" s="7" t="s">
        <v>40</v>
      </c>
      <c r="N819" s="7"/>
      <c r="O819" s="6" t="s">
        <v>20672</v>
      </c>
      <c r="P819" s="53" t="s">
        <v>20673</v>
      </c>
      <c r="Q819" s="43" t="s">
        <v>20674</v>
      </c>
      <c r="R819" s="50"/>
      <c r="S819" s="51"/>
      <c r="T819" s="7" t="s">
        <v>6414</v>
      </c>
      <c r="U819" s="7"/>
      <c r="V819" s="7"/>
      <c r="W819" s="7"/>
      <c r="X819" s="7"/>
      <c r="Y819" s="7" t="s">
        <v>377</v>
      </c>
      <c r="Z819" s="7" t="s">
        <v>353</v>
      </c>
      <c r="AA819" s="7"/>
      <c r="AB819" s="7"/>
      <c r="AC819" s="6">
        <v>3.9887315800057E13</v>
      </c>
      <c r="AD819" s="6">
        <v>3.98873158E8</v>
      </c>
      <c r="AE819" s="6" t="s">
        <v>401</v>
      </c>
      <c r="AF819" s="63">
        <v>45985.403969907406</v>
      </c>
      <c r="AG819" s="7" t="s">
        <v>20675</v>
      </c>
      <c r="AH819" s="46" t="s">
        <v>20676</v>
      </c>
      <c r="AI819" s="7"/>
      <c r="AJ819" s="6" t="s">
        <v>20677</v>
      </c>
      <c r="AK819" s="7" t="b">
        <v>0</v>
      </c>
      <c r="AL819" s="7" t="b">
        <v>0</v>
      </c>
      <c r="AM819" s="7"/>
      <c r="AN819" s="6" t="s">
        <v>6411</v>
      </c>
      <c r="AO819" s="6">
        <v>2065.0</v>
      </c>
      <c r="AP819" s="6"/>
      <c r="AQ819" s="6" t="b">
        <v>1</v>
      </c>
      <c r="AR819" s="6"/>
      <c r="AS819" s="48" t="s">
        <v>12303</v>
      </c>
    </row>
    <row r="820" ht="15.75" customHeight="1">
      <c r="A820" s="7" t="s">
        <v>6130</v>
      </c>
      <c r="B820" s="7" t="s">
        <v>20678</v>
      </c>
      <c r="C820" s="7" t="s">
        <v>58</v>
      </c>
      <c r="D820" s="7" t="s">
        <v>59</v>
      </c>
      <c r="E820" s="7" t="s">
        <v>346</v>
      </c>
      <c r="F820" s="7">
        <v>6.0</v>
      </c>
      <c r="G820" s="7" t="s">
        <v>422</v>
      </c>
      <c r="H820" s="7"/>
      <c r="I820" s="7"/>
      <c r="J820" s="7">
        <v>30.0</v>
      </c>
      <c r="K820" s="7" t="s">
        <v>20679</v>
      </c>
      <c r="L820" s="7">
        <v>97414.0</v>
      </c>
      <c r="M820" s="7" t="s">
        <v>40</v>
      </c>
      <c r="N820" s="6" t="s">
        <v>12822</v>
      </c>
      <c r="O820" s="6" t="s">
        <v>20680</v>
      </c>
      <c r="P820" s="42" t="s">
        <v>6134</v>
      </c>
      <c r="Q820" s="49" t="s">
        <v>20681</v>
      </c>
      <c r="R820" s="43" t="s">
        <v>20682</v>
      </c>
      <c r="S820" s="51"/>
      <c r="T820" s="7" t="s">
        <v>6135</v>
      </c>
      <c r="U820" s="6" t="s">
        <v>20683</v>
      </c>
      <c r="V820" s="7" t="s">
        <v>6136</v>
      </c>
      <c r="W820" s="6" t="s">
        <v>20684</v>
      </c>
      <c r="X820" s="6" t="s">
        <v>20685</v>
      </c>
      <c r="Y820" s="7" t="s">
        <v>377</v>
      </c>
      <c r="Z820" s="7" t="s">
        <v>353</v>
      </c>
      <c r="AA820" s="7" t="s">
        <v>6141</v>
      </c>
      <c r="AB820" s="7" t="s">
        <v>1962</v>
      </c>
      <c r="AC820" s="7"/>
      <c r="AD820" s="7"/>
      <c r="AE820" s="6" t="s">
        <v>401</v>
      </c>
      <c r="AF820" s="45">
        <v>45448.628217592595</v>
      </c>
      <c r="AG820" s="7" t="s">
        <v>20686</v>
      </c>
      <c r="AH820" s="46" t="s">
        <v>20687</v>
      </c>
      <c r="AI820" s="7"/>
      <c r="AJ820" s="6" t="s">
        <v>20688</v>
      </c>
      <c r="AK820" s="7" t="b">
        <v>0</v>
      </c>
      <c r="AL820" s="7" t="b">
        <v>0</v>
      </c>
      <c r="AM820" s="6" t="s">
        <v>6142</v>
      </c>
      <c r="AN820" s="6" t="s">
        <v>6130</v>
      </c>
      <c r="AO820" s="6">
        <v>3077.0</v>
      </c>
      <c r="AP820" s="6"/>
      <c r="AQ820" s="6" t="b">
        <v>1</v>
      </c>
      <c r="AR820" s="6"/>
      <c r="AS820" s="48" t="s">
        <v>12303</v>
      </c>
    </row>
    <row r="821" ht="15.75" customHeight="1">
      <c r="A821" s="7" t="s">
        <v>8011</v>
      </c>
      <c r="B821" s="7" t="s">
        <v>8012</v>
      </c>
      <c r="C821" s="7" t="s">
        <v>58</v>
      </c>
      <c r="D821" s="7" t="s">
        <v>59</v>
      </c>
      <c r="E821" s="7" t="s">
        <v>346</v>
      </c>
      <c r="F821" s="7">
        <v>7.0</v>
      </c>
      <c r="G821" s="7"/>
      <c r="H821" s="7"/>
      <c r="I821" s="7"/>
      <c r="J821" s="7">
        <v>111.0</v>
      </c>
      <c r="K821" s="7" t="s">
        <v>20689</v>
      </c>
      <c r="L821" s="7">
        <v>97414.0</v>
      </c>
      <c r="M821" s="7" t="s">
        <v>40</v>
      </c>
      <c r="N821" s="6" t="s">
        <v>16720</v>
      </c>
      <c r="O821" s="6" t="s">
        <v>20690</v>
      </c>
      <c r="P821" s="42" t="s">
        <v>8016</v>
      </c>
      <c r="Q821" s="43" t="s">
        <v>20691</v>
      </c>
      <c r="R821" s="50"/>
      <c r="S821" s="51"/>
      <c r="T821" s="7" t="s">
        <v>8018</v>
      </c>
      <c r="U821" s="7" t="s">
        <v>8017</v>
      </c>
      <c r="V821" s="7" t="s">
        <v>8019</v>
      </c>
      <c r="W821" s="6" t="s">
        <v>20692</v>
      </c>
      <c r="X821" s="6" t="s">
        <v>20693</v>
      </c>
      <c r="Y821" s="6" t="s">
        <v>377</v>
      </c>
      <c r="Z821" s="7" t="s">
        <v>393</v>
      </c>
      <c r="AA821" s="7" t="s">
        <v>8024</v>
      </c>
      <c r="AB821" s="7" t="s">
        <v>1590</v>
      </c>
      <c r="AC821" s="7">
        <v>3.397752490004E13</v>
      </c>
      <c r="AD821" s="7">
        <v>3.39775249E8</v>
      </c>
      <c r="AE821" s="6" t="s">
        <v>12355</v>
      </c>
      <c r="AF821" s="45">
        <v>45705.49511574074</v>
      </c>
      <c r="AG821" s="7" t="s">
        <v>20694</v>
      </c>
      <c r="AH821" s="46" t="s">
        <v>20695</v>
      </c>
      <c r="AI821" s="7"/>
      <c r="AJ821" s="6" t="s">
        <v>20696</v>
      </c>
      <c r="AK821" s="6" t="b">
        <v>1</v>
      </c>
      <c r="AL821" s="7" t="b">
        <v>0</v>
      </c>
      <c r="AM821" s="6" t="s">
        <v>8025</v>
      </c>
      <c r="AN821" s="6" t="s">
        <v>8011</v>
      </c>
      <c r="AO821" s="6">
        <v>5122.0</v>
      </c>
      <c r="AP821" s="6"/>
      <c r="AQ821" s="6" t="b">
        <v>1</v>
      </c>
      <c r="AR821" s="6"/>
      <c r="AS821" s="48" t="s">
        <v>12303</v>
      </c>
    </row>
    <row r="822" ht="15.75" customHeight="1">
      <c r="A822" s="7" t="s">
        <v>5970</v>
      </c>
      <c r="B822" s="7" t="s">
        <v>5971</v>
      </c>
      <c r="C822" s="7" t="s">
        <v>58</v>
      </c>
      <c r="D822" s="7" t="s">
        <v>59</v>
      </c>
      <c r="E822" s="7" t="s">
        <v>545</v>
      </c>
      <c r="F822" s="7">
        <v>2.0</v>
      </c>
      <c r="G822" s="7" t="s">
        <v>422</v>
      </c>
      <c r="H822" s="7"/>
      <c r="I822" s="7"/>
      <c r="J822" s="7">
        <v>111.0</v>
      </c>
      <c r="K822" s="7" t="s">
        <v>18061</v>
      </c>
      <c r="L822" s="7">
        <v>97414.0</v>
      </c>
      <c r="M822" s="7" t="s">
        <v>40</v>
      </c>
      <c r="N822" s="7"/>
      <c r="O822" s="7" t="s">
        <v>5978</v>
      </c>
      <c r="P822" s="42"/>
      <c r="Q822" s="43" t="s">
        <v>20697</v>
      </c>
      <c r="R822" s="50"/>
      <c r="S822" s="51"/>
      <c r="T822" s="7" t="s">
        <v>5974</v>
      </c>
      <c r="U822" s="7" t="s">
        <v>5973</v>
      </c>
      <c r="V822" s="7"/>
      <c r="W822" s="6" t="s">
        <v>20698</v>
      </c>
      <c r="X822" s="7" t="s">
        <v>2053</v>
      </c>
      <c r="Y822" s="7" t="s">
        <v>377</v>
      </c>
      <c r="Z822" s="7" t="s">
        <v>378</v>
      </c>
      <c r="AA822" s="7"/>
      <c r="AB822" s="7"/>
      <c r="AC822" s="7"/>
      <c r="AD822" s="7"/>
      <c r="AE822" s="6" t="s">
        <v>12355</v>
      </c>
      <c r="AF822" s="74">
        <v>44026.0</v>
      </c>
      <c r="AG822" s="7" t="s">
        <v>20699</v>
      </c>
      <c r="AH822" s="46" t="s">
        <v>20700</v>
      </c>
      <c r="AI822" s="7"/>
      <c r="AJ822" s="7"/>
      <c r="AK822" s="7" t="b">
        <v>0</v>
      </c>
      <c r="AL822" s="7" t="b">
        <v>0</v>
      </c>
      <c r="AM822" s="6" t="s">
        <v>5979</v>
      </c>
      <c r="AN822" s="6" t="s">
        <v>5970</v>
      </c>
      <c r="AO822" s="6">
        <v>2718.0</v>
      </c>
      <c r="AP822" s="6"/>
      <c r="AQ822" s="6" t="b">
        <v>1</v>
      </c>
      <c r="AR822" s="6"/>
      <c r="AS822" s="48" t="s">
        <v>12303</v>
      </c>
    </row>
    <row r="823" ht="15.75" customHeight="1">
      <c r="A823" s="7" t="s">
        <v>7348</v>
      </c>
      <c r="B823" s="7" t="s">
        <v>12527</v>
      </c>
      <c r="C823" s="7" t="s">
        <v>58</v>
      </c>
      <c r="D823" s="7" t="s">
        <v>137</v>
      </c>
      <c r="E823" s="7" t="s">
        <v>1091</v>
      </c>
      <c r="F823" s="7">
        <v>14.0</v>
      </c>
      <c r="G823" s="7" t="s">
        <v>455</v>
      </c>
      <c r="H823" s="7"/>
      <c r="I823" s="7"/>
      <c r="J823" s="7">
        <v>17.0</v>
      </c>
      <c r="K823" s="7" t="s">
        <v>20701</v>
      </c>
      <c r="L823" s="7">
        <v>97480.0</v>
      </c>
      <c r="M823" s="7" t="s">
        <v>123</v>
      </c>
      <c r="N823" s="7"/>
      <c r="O823" s="6" t="s">
        <v>20702</v>
      </c>
      <c r="P823" s="42" t="s">
        <v>5143</v>
      </c>
      <c r="Q823" s="49" t="s">
        <v>20703</v>
      </c>
      <c r="R823" s="50"/>
      <c r="S823" s="51"/>
      <c r="T823" s="7" t="s">
        <v>7354</v>
      </c>
      <c r="U823" s="7" t="s">
        <v>7353</v>
      </c>
      <c r="V823" s="7" t="s">
        <v>7355</v>
      </c>
      <c r="W823" s="6" t="s">
        <v>20704</v>
      </c>
      <c r="X823" s="7" t="s">
        <v>7352</v>
      </c>
      <c r="Y823" s="7" t="s">
        <v>377</v>
      </c>
      <c r="Z823" s="7" t="s">
        <v>353</v>
      </c>
      <c r="AA823" s="7"/>
      <c r="AB823" s="7"/>
      <c r="AC823" s="7">
        <v>4.4464876000015E13</v>
      </c>
      <c r="AD823" s="7">
        <v>4.4464876E8</v>
      </c>
      <c r="AE823" s="6" t="s">
        <v>401</v>
      </c>
      <c r="AF823" s="45">
        <v>45995.4190625</v>
      </c>
      <c r="AG823" s="7" t="s">
        <v>12533</v>
      </c>
      <c r="AH823" s="46" t="s">
        <v>20705</v>
      </c>
      <c r="AI823" s="7"/>
      <c r="AJ823" s="6" t="s">
        <v>20706</v>
      </c>
      <c r="AK823" s="7" t="b">
        <v>0</v>
      </c>
      <c r="AL823" s="7" t="b">
        <v>0</v>
      </c>
      <c r="AM823" s="6" t="s">
        <v>7356</v>
      </c>
      <c r="AN823" s="6" t="s">
        <v>7348</v>
      </c>
      <c r="AO823" s="6">
        <v>408.0</v>
      </c>
      <c r="AP823" s="6"/>
      <c r="AQ823" s="6" t="b">
        <v>1</v>
      </c>
      <c r="AR823" s="6"/>
      <c r="AS823" s="6" t="s">
        <v>12303</v>
      </c>
    </row>
    <row r="824" ht="15.75" customHeight="1">
      <c r="A824" s="7" t="s">
        <v>4379</v>
      </c>
      <c r="B824" s="7" t="s">
        <v>4380</v>
      </c>
      <c r="C824" s="7" t="s">
        <v>58</v>
      </c>
      <c r="D824" s="7" t="s">
        <v>137</v>
      </c>
      <c r="E824" s="7" t="s">
        <v>2280</v>
      </c>
      <c r="F824" s="7">
        <v>30.0</v>
      </c>
      <c r="G824" s="7" t="s">
        <v>472</v>
      </c>
      <c r="H824" s="7"/>
      <c r="I824" s="7"/>
      <c r="J824" s="7"/>
      <c r="K824" s="7"/>
      <c r="L824" s="7">
        <v>97414.0</v>
      </c>
      <c r="M824" s="7" t="s">
        <v>40</v>
      </c>
      <c r="N824" s="7"/>
      <c r="O824" s="7" t="s">
        <v>4387</v>
      </c>
      <c r="P824" s="42" t="s">
        <v>4382</v>
      </c>
      <c r="Q824" s="43" t="s">
        <v>20707</v>
      </c>
      <c r="R824" s="43" t="s">
        <v>20708</v>
      </c>
      <c r="S824" s="51"/>
      <c r="T824" s="7" t="s">
        <v>4383</v>
      </c>
      <c r="U824" s="7"/>
      <c r="V824" s="7"/>
      <c r="W824" s="7"/>
      <c r="X824" s="7" t="s">
        <v>2842</v>
      </c>
      <c r="Y824" s="7" t="s">
        <v>377</v>
      </c>
      <c r="Z824" s="7" t="s">
        <v>378</v>
      </c>
      <c r="AA824" s="7"/>
      <c r="AB824" s="7"/>
      <c r="AC824" s="7"/>
      <c r="AD824" s="7"/>
      <c r="AE824" s="6" t="s">
        <v>12355</v>
      </c>
      <c r="AF824" s="74">
        <v>43854.0</v>
      </c>
      <c r="AG824" s="7" t="s">
        <v>20709</v>
      </c>
      <c r="AH824" s="46" t="s">
        <v>20710</v>
      </c>
      <c r="AI824" s="7"/>
      <c r="AJ824" s="7"/>
      <c r="AK824" s="7" t="b">
        <v>0</v>
      </c>
      <c r="AL824" s="7" t="b">
        <v>0</v>
      </c>
      <c r="AM824" s="6" t="s">
        <v>4388</v>
      </c>
      <c r="AN824" s="6" t="s">
        <v>4379</v>
      </c>
      <c r="AO824" s="6">
        <v>2028.0</v>
      </c>
      <c r="AP824" s="6"/>
      <c r="AQ824" s="6" t="b">
        <v>1</v>
      </c>
      <c r="AR824" s="6"/>
      <c r="AS824" s="48" t="s">
        <v>12303</v>
      </c>
    </row>
    <row r="825" ht="15.75" customHeight="1">
      <c r="A825" s="7" t="s">
        <v>1260</v>
      </c>
      <c r="B825" s="7" t="s">
        <v>1261</v>
      </c>
      <c r="C825" s="7" t="s">
        <v>58</v>
      </c>
      <c r="D825" s="7" t="s">
        <v>453</v>
      </c>
      <c r="E825" s="7" t="s">
        <v>454</v>
      </c>
      <c r="F825" s="7">
        <v>6.0</v>
      </c>
      <c r="G825" s="7" t="s">
        <v>455</v>
      </c>
      <c r="H825" s="7"/>
      <c r="I825" s="7"/>
      <c r="J825" s="7">
        <v>31.0</v>
      </c>
      <c r="K825" s="7" t="s">
        <v>20711</v>
      </c>
      <c r="L825" s="7">
        <v>97430.0</v>
      </c>
      <c r="M825" s="7" t="s">
        <v>71</v>
      </c>
      <c r="N825" s="7" t="s">
        <v>3501</v>
      </c>
      <c r="O825" s="7" t="s">
        <v>1270</v>
      </c>
      <c r="P825" s="42" t="s">
        <v>1264</v>
      </c>
      <c r="Q825" s="43" t="s">
        <v>20712</v>
      </c>
      <c r="R825" s="50"/>
      <c r="S825" s="51"/>
      <c r="T825" s="7" t="s">
        <v>1266</v>
      </c>
      <c r="U825" s="7" t="s">
        <v>1265</v>
      </c>
      <c r="V825" s="7"/>
      <c r="W825" s="6" t="s">
        <v>20713</v>
      </c>
      <c r="X825" s="7"/>
      <c r="Y825" s="7" t="s">
        <v>377</v>
      </c>
      <c r="Z825" s="7" t="s">
        <v>378</v>
      </c>
      <c r="AA825" s="7"/>
      <c r="AB825" s="7"/>
      <c r="AC825" s="7">
        <v>8.217524660001E13</v>
      </c>
      <c r="AD825" s="7">
        <v>8.21752466E8</v>
      </c>
      <c r="AE825" s="6" t="s">
        <v>12355</v>
      </c>
      <c r="AF825" s="74"/>
      <c r="AG825" s="7" t="s">
        <v>20714</v>
      </c>
      <c r="AH825" s="46" t="s">
        <v>20715</v>
      </c>
      <c r="AI825" s="7"/>
      <c r="AJ825" s="6" t="s">
        <v>20716</v>
      </c>
      <c r="AK825" s="7" t="b">
        <v>0</v>
      </c>
      <c r="AL825" s="7" t="b">
        <v>0</v>
      </c>
      <c r="AM825" s="6" t="s">
        <v>1271</v>
      </c>
      <c r="AN825" s="6" t="s">
        <v>1260</v>
      </c>
      <c r="AO825" s="6">
        <v>3361.0</v>
      </c>
      <c r="AP825" s="6"/>
      <c r="AQ825" s="6" t="b">
        <v>1</v>
      </c>
      <c r="AR825" s="6"/>
      <c r="AS825" s="6"/>
    </row>
    <row r="826" ht="15.75" customHeight="1">
      <c r="A826" s="7" t="s">
        <v>6107</v>
      </c>
      <c r="B826" s="7" t="s">
        <v>6108</v>
      </c>
      <c r="C826" s="7" t="s">
        <v>58</v>
      </c>
      <c r="D826" s="7" t="s">
        <v>59</v>
      </c>
      <c r="E826" s="7" t="s">
        <v>545</v>
      </c>
      <c r="F826" s="7">
        <v>24.0</v>
      </c>
      <c r="G826" s="7" t="s">
        <v>455</v>
      </c>
      <c r="H826" s="7"/>
      <c r="I826" s="7"/>
      <c r="J826" s="7">
        <v>156.0</v>
      </c>
      <c r="K826" s="7" t="s">
        <v>20717</v>
      </c>
      <c r="L826" s="7">
        <v>97430.0</v>
      </c>
      <c r="M826" s="7" t="s">
        <v>71</v>
      </c>
      <c r="N826" s="7"/>
      <c r="O826" s="7" t="s">
        <v>6115</v>
      </c>
      <c r="P826" s="42" t="s">
        <v>6110</v>
      </c>
      <c r="Q826" s="43" t="s">
        <v>20718</v>
      </c>
      <c r="R826" s="50"/>
      <c r="S826" s="51"/>
      <c r="T826" s="7" t="s">
        <v>6112</v>
      </c>
      <c r="U826" s="7" t="s">
        <v>6111</v>
      </c>
      <c r="V826" s="7"/>
      <c r="W826" s="7"/>
      <c r="X826" s="7"/>
      <c r="Y826" s="7"/>
      <c r="Z826" s="7"/>
      <c r="AA826" s="7"/>
      <c r="AB826" s="7"/>
      <c r="AC826" s="7"/>
      <c r="AD826" s="7"/>
      <c r="AE826" s="6" t="s">
        <v>12355</v>
      </c>
      <c r="AF826" s="74"/>
      <c r="AG826" s="7" t="s">
        <v>20719</v>
      </c>
      <c r="AH826" s="75" t="s">
        <v>20720</v>
      </c>
      <c r="AI826" s="7"/>
      <c r="AJ826" s="7"/>
      <c r="AK826" s="7" t="b">
        <v>0</v>
      </c>
      <c r="AL826" s="7" t="b">
        <v>0</v>
      </c>
      <c r="AM826" s="7"/>
      <c r="AN826" s="7"/>
      <c r="AO826" s="6">
        <v>3900.0</v>
      </c>
      <c r="AP826" s="6"/>
      <c r="AQ826" s="6" t="b">
        <v>1</v>
      </c>
      <c r="AR826" s="6"/>
      <c r="AS826" s="6"/>
    </row>
    <row r="827" ht="15.75" customHeight="1">
      <c r="A827" s="7" t="s">
        <v>8256</v>
      </c>
      <c r="B827" s="7" t="s">
        <v>8257</v>
      </c>
      <c r="C827" s="6" t="s">
        <v>117</v>
      </c>
      <c r="D827" s="7"/>
      <c r="E827" s="7"/>
      <c r="F827" s="7"/>
      <c r="G827" s="7"/>
      <c r="H827" s="7"/>
      <c r="I827" s="7"/>
      <c r="J827" s="7">
        <v>21.0</v>
      </c>
      <c r="K827" s="7" t="s">
        <v>20721</v>
      </c>
      <c r="L827" s="7">
        <v>97480.0</v>
      </c>
      <c r="M827" s="7" t="s">
        <v>123</v>
      </c>
      <c r="N827" s="7"/>
      <c r="O827" s="7" t="s">
        <v>8264</v>
      </c>
      <c r="P827" s="42" t="s">
        <v>8260</v>
      </c>
      <c r="Q827" s="43" t="s">
        <v>20722</v>
      </c>
      <c r="R827" s="50"/>
      <c r="S827" s="51"/>
      <c r="T827" s="7" t="s">
        <v>8261</v>
      </c>
      <c r="U827" s="7"/>
      <c r="V827" s="7"/>
      <c r="W827" s="7"/>
      <c r="X827" s="7"/>
      <c r="Y827" s="7"/>
      <c r="Z827" s="7"/>
      <c r="AA827" s="7"/>
      <c r="AB827" s="7"/>
      <c r="AC827" s="7">
        <v>5.1236804400016E13</v>
      </c>
      <c r="AD827" s="7">
        <v>5.12368044E8</v>
      </c>
      <c r="AE827" s="6" t="s">
        <v>12355</v>
      </c>
      <c r="AF827" s="74"/>
      <c r="AG827" s="7" t="s">
        <v>20723</v>
      </c>
      <c r="AH827" s="46" t="s">
        <v>20724</v>
      </c>
      <c r="AI827" s="7"/>
      <c r="AJ827" s="7"/>
      <c r="AK827" s="7" t="b">
        <v>0</v>
      </c>
      <c r="AL827" s="7" t="b">
        <v>0</v>
      </c>
      <c r="AM827" s="7"/>
      <c r="AN827" s="6" t="s">
        <v>8256</v>
      </c>
      <c r="AO827" s="7"/>
      <c r="AP827" s="7"/>
      <c r="AQ827" s="6" t="b">
        <v>0</v>
      </c>
      <c r="AR827" s="6"/>
      <c r="AS827" s="6"/>
    </row>
    <row r="828" ht="15.75" customHeight="1">
      <c r="A828" s="7" t="s">
        <v>8275</v>
      </c>
      <c r="B828" s="7" t="s">
        <v>8276</v>
      </c>
      <c r="C828" s="6" t="s">
        <v>117</v>
      </c>
      <c r="D828" s="7" t="s">
        <v>197</v>
      </c>
      <c r="E828" s="7" t="s">
        <v>559</v>
      </c>
      <c r="F828" s="6">
        <v>10.0</v>
      </c>
      <c r="G828" s="7"/>
      <c r="H828" s="7"/>
      <c r="I828" s="7"/>
      <c r="J828" s="6" t="s">
        <v>20725</v>
      </c>
      <c r="K828" s="6" t="s">
        <v>20726</v>
      </c>
      <c r="L828" s="7">
        <v>97414.0</v>
      </c>
      <c r="M828" s="7" t="s">
        <v>40</v>
      </c>
      <c r="N828" s="6"/>
      <c r="O828" s="6" t="s">
        <v>20727</v>
      </c>
      <c r="P828" s="53" t="s">
        <v>8280</v>
      </c>
      <c r="Q828" s="49" t="s">
        <v>20728</v>
      </c>
      <c r="R828" s="50"/>
      <c r="S828" s="47" t="s">
        <v>8278</v>
      </c>
      <c r="T828" s="6" t="s">
        <v>20729</v>
      </c>
      <c r="U828" s="6" t="s">
        <v>20730</v>
      </c>
      <c r="V828" s="6" t="s">
        <v>20731</v>
      </c>
      <c r="W828" s="6" t="s">
        <v>14892</v>
      </c>
      <c r="X828" s="6" t="s">
        <v>20732</v>
      </c>
      <c r="Y828" s="6" t="s">
        <v>377</v>
      </c>
      <c r="Z828" s="7" t="s">
        <v>353</v>
      </c>
      <c r="AA828" s="7"/>
      <c r="AB828" s="7"/>
      <c r="AC828" s="6">
        <v>4.4425518600017E13</v>
      </c>
      <c r="AD828" s="6">
        <v>4.44255186E8</v>
      </c>
      <c r="AE828" s="6" t="s">
        <v>401</v>
      </c>
      <c r="AF828" s="45">
        <v>45992.55756944444</v>
      </c>
      <c r="AG828" s="7" t="s">
        <v>20733</v>
      </c>
      <c r="AH828" s="46" t="s">
        <v>20734</v>
      </c>
      <c r="AI828" s="7"/>
      <c r="AJ828" s="6" t="s">
        <v>20735</v>
      </c>
      <c r="AK828" s="7" t="b">
        <v>0</v>
      </c>
      <c r="AL828" s="6" t="b">
        <v>1</v>
      </c>
      <c r="AM828" s="7"/>
      <c r="AN828" s="6" t="s">
        <v>8275</v>
      </c>
      <c r="AO828" s="7"/>
      <c r="AP828" s="7"/>
      <c r="AQ828" s="6" t="b">
        <v>0</v>
      </c>
      <c r="AR828" s="6"/>
      <c r="AS828" s="48" t="s">
        <v>12303</v>
      </c>
    </row>
    <row r="829" ht="15.75" customHeight="1">
      <c r="A829" s="7" t="s">
        <v>243</v>
      </c>
      <c r="B829" s="7" t="s">
        <v>8300</v>
      </c>
      <c r="C829" s="6" t="s">
        <v>117</v>
      </c>
      <c r="D829" s="7" t="s">
        <v>197</v>
      </c>
      <c r="E829" s="7" t="s">
        <v>559</v>
      </c>
      <c r="F829" s="7"/>
      <c r="G829" s="7"/>
      <c r="H829" s="7"/>
      <c r="I829" s="7"/>
      <c r="J829" s="41" t="s">
        <v>16176</v>
      </c>
      <c r="K829" s="6" t="s">
        <v>20736</v>
      </c>
      <c r="L829" s="7">
        <v>97414.0</v>
      </c>
      <c r="M829" s="7" t="s">
        <v>40</v>
      </c>
      <c r="N829" s="6" t="s">
        <v>12822</v>
      </c>
      <c r="O829" s="6" t="s">
        <v>20737</v>
      </c>
      <c r="P829" s="53" t="s">
        <v>20738</v>
      </c>
      <c r="Q829" s="43" t="s">
        <v>20739</v>
      </c>
      <c r="R829" s="50"/>
      <c r="S829" s="51"/>
      <c r="T829" s="7" t="s">
        <v>8303</v>
      </c>
      <c r="U829" s="7"/>
      <c r="V829" s="6" t="s">
        <v>20740</v>
      </c>
      <c r="W829" s="6" t="s">
        <v>20741</v>
      </c>
      <c r="X829" s="6" t="s">
        <v>20742</v>
      </c>
      <c r="Y829" s="6" t="s">
        <v>377</v>
      </c>
      <c r="Z829" s="6" t="s">
        <v>592</v>
      </c>
      <c r="AA829" s="7"/>
      <c r="AB829" s="7"/>
      <c r="AC829" s="7"/>
      <c r="AD829" s="7"/>
      <c r="AE829" s="6" t="s">
        <v>401</v>
      </c>
      <c r="AF829" s="74"/>
      <c r="AG829" s="7" t="s">
        <v>20743</v>
      </c>
      <c r="AH829" s="46" t="s">
        <v>20744</v>
      </c>
      <c r="AI829" s="7"/>
      <c r="AJ829" s="6" t="s">
        <v>20745</v>
      </c>
      <c r="AK829" s="7" t="b">
        <v>0</v>
      </c>
      <c r="AL829" s="7" t="b">
        <v>0</v>
      </c>
      <c r="AM829" s="7"/>
      <c r="AN829" s="6" t="s">
        <v>243</v>
      </c>
      <c r="AO829" s="7"/>
      <c r="AP829" s="7"/>
      <c r="AQ829" s="6" t="b">
        <v>0</v>
      </c>
      <c r="AR829" s="6"/>
      <c r="AS829" s="48" t="s">
        <v>12303</v>
      </c>
    </row>
    <row r="830" ht="15.75" customHeight="1">
      <c r="A830" s="7" t="s">
        <v>8322</v>
      </c>
      <c r="B830" s="6" t="s">
        <v>20746</v>
      </c>
      <c r="C830" s="7" t="s">
        <v>34</v>
      </c>
      <c r="D830" s="7" t="s">
        <v>485</v>
      </c>
      <c r="E830" s="7" t="s">
        <v>486</v>
      </c>
      <c r="F830" s="7">
        <v>40.0</v>
      </c>
      <c r="G830" s="6" t="s">
        <v>375</v>
      </c>
      <c r="H830" s="7"/>
      <c r="I830" s="7"/>
      <c r="J830" s="7">
        <v>78.0</v>
      </c>
      <c r="K830" s="6" t="s">
        <v>20747</v>
      </c>
      <c r="L830" s="7">
        <v>97480.0</v>
      </c>
      <c r="M830" s="7" t="s">
        <v>123</v>
      </c>
      <c r="N830" s="6" t="s">
        <v>8325</v>
      </c>
      <c r="O830" s="7" t="s">
        <v>8329</v>
      </c>
      <c r="P830" s="42" t="s">
        <v>8326</v>
      </c>
      <c r="Q830" s="49" t="s">
        <v>20748</v>
      </c>
      <c r="R830" s="43" t="s">
        <v>20749</v>
      </c>
      <c r="S830" s="51"/>
      <c r="T830" s="6" t="s">
        <v>20750</v>
      </c>
      <c r="U830" s="6" t="s">
        <v>20751</v>
      </c>
      <c r="V830" s="6" t="s">
        <v>20752</v>
      </c>
      <c r="W830" s="6" t="s">
        <v>20753</v>
      </c>
      <c r="X830" s="6" t="s">
        <v>20754</v>
      </c>
      <c r="Y830" s="7" t="s">
        <v>377</v>
      </c>
      <c r="Z830" s="7" t="s">
        <v>353</v>
      </c>
      <c r="AA830" s="7"/>
      <c r="AB830" s="7"/>
      <c r="AC830" s="7">
        <v>7.4983348900018E13</v>
      </c>
      <c r="AD830" s="7">
        <v>7.49833489E8</v>
      </c>
      <c r="AE830" s="6" t="s">
        <v>401</v>
      </c>
      <c r="AF830" s="45">
        <v>45485.61313657407</v>
      </c>
      <c r="AG830" s="7" t="s">
        <v>20755</v>
      </c>
      <c r="AH830" s="46" t="s">
        <v>20756</v>
      </c>
      <c r="AI830" s="7"/>
      <c r="AJ830" s="6" t="s">
        <v>20757</v>
      </c>
      <c r="AK830" s="6" t="b">
        <v>1</v>
      </c>
      <c r="AL830" s="7" t="b">
        <v>0</v>
      </c>
      <c r="AM830" s="7"/>
      <c r="AN830" s="6" t="s">
        <v>8322</v>
      </c>
      <c r="AO830" s="7"/>
      <c r="AP830" s="7"/>
      <c r="AQ830" s="6" t="b">
        <v>0</v>
      </c>
      <c r="AR830" s="6" t="s">
        <v>20758</v>
      </c>
      <c r="AS830" s="6"/>
    </row>
    <row r="831" ht="15.75" customHeight="1">
      <c r="A831" s="7" t="s">
        <v>8388</v>
      </c>
      <c r="B831" s="7" t="s">
        <v>8389</v>
      </c>
      <c r="C831" s="7" t="s">
        <v>34</v>
      </c>
      <c r="D831" s="7" t="s">
        <v>622</v>
      </c>
      <c r="E831" s="7"/>
      <c r="F831" s="7"/>
      <c r="G831" s="7"/>
      <c r="H831" s="7"/>
      <c r="I831" s="7"/>
      <c r="J831" s="7">
        <v>119.0</v>
      </c>
      <c r="K831" s="7" t="s">
        <v>12321</v>
      </c>
      <c r="L831" s="7">
        <v>97480.0</v>
      </c>
      <c r="M831" s="7" t="s">
        <v>123</v>
      </c>
      <c r="N831" s="7"/>
      <c r="O831" s="7" t="s">
        <v>8391</v>
      </c>
      <c r="P831" s="42" t="s">
        <v>20101</v>
      </c>
      <c r="Q831" s="43" t="s">
        <v>20759</v>
      </c>
      <c r="R831" s="43" t="s">
        <v>20760</v>
      </c>
      <c r="S831" s="51"/>
      <c r="T831" s="7"/>
      <c r="U831" s="7"/>
      <c r="V831" s="7"/>
      <c r="W831" s="7"/>
      <c r="X831" s="7"/>
      <c r="Y831" s="7"/>
      <c r="Z831" s="7"/>
      <c r="AA831" s="7"/>
      <c r="AB831" s="7"/>
      <c r="AC831" s="7"/>
      <c r="AD831" s="7"/>
      <c r="AE831" s="6" t="s">
        <v>12355</v>
      </c>
      <c r="AF831" s="74"/>
      <c r="AG831" s="7" t="s">
        <v>20761</v>
      </c>
      <c r="AH831" s="75" t="s">
        <v>20762</v>
      </c>
      <c r="AI831" s="7"/>
      <c r="AJ831" s="7"/>
      <c r="AK831" s="7" t="b">
        <v>0</v>
      </c>
      <c r="AL831" s="7" t="b">
        <v>0</v>
      </c>
      <c r="AM831" s="7"/>
      <c r="AN831" s="7"/>
      <c r="AO831" s="7"/>
      <c r="AP831" s="7"/>
      <c r="AQ831" s="6" t="b">
        <v>0</v>
      </c>
      <c r="AR831" s="6"/>
      <c r="AS831" s="6"/>
    </row>
    <row r="832" ht="15.75" customHeight="1">
      <c r="A832" s="7" t="s">
        <v>8393</v>
      </c>
      <c r="B832" s="7" t="s">
        <v>1275</v>
      </c>
      <c r="C832" s="7" t="s">
        <v>34</v>
      </c>
      <c r="D832" s="7" t="s">
        <v>485</v>
      </c>
      <c r="E832" s="7" t="s">
        <v>486</v>
      </c>
      <c r="F832" s="7">
        <v>16.0</v>
      </c>
      <c r="G832" s="7"/>
      <c r="H832" s="7"/>
      <c r="I832" s="7"/>
      <c r="J832" s="7">
        <v>6.0</v>
      </c>
      <c r="K832" s="7" t="s">
        <v>20212</v>
      </c>
      <c r="L832" s="7">
        <v>97480.0</v>
      </c>
      <c r="M832" s="7" t="s">
        <v>123</v>
      </c>
      <c r="N832" s="7"/>
      <c r="O832" s="7" t="s">
        <v>8396</v>
      </c>
      <c r="P832" s="42" t="s">
        <v>1280</v>
      </c>
      <c r="Q832" s="43" t="s">
        <v>20213</v>
      </c>
      <c r="R832" s="43" t="s">
        <v>20214</v>
      </c>
      <c r="S832" s="51"/>
      <c r="T832" s="7"/>
      <c r="U832" s="7"/>
      <c r="V832" s="7"/>
      <c r="W832" s="7"/>
      <c r="X832" s="7"/>
      <c r="Y832" s="7"/>
      <c r="Z832" s="7"/>
      <c r="AA832" s="7"/>
      <c r="AB832" s="7"/>
      <c r="AC832" s="7"/>
      <c r="AD832" s="7"/>
      <c r="AE832" s="6" t="s">
        <v>12355</v>
      </c>
      <c r="AF832" s="74"/>
      <c r="AG832" s="7" t="s">
        <v>20216</v>
      </c>
      <c r="AH832" s="75" t="s">
        <v>20763</v>
      </c>
      <c r="AI832" s="7"/>
      <c r="AJ832" s="7"/>
      <c r="AK832" s="7" t="b">
        <v>0</v>
      </c>
      <c r="AL832" s="7" t="b">
        <v>0</v>
      </c>
      <c r="AM832" s="7"/>
      <c r="AN832" s="7"/>
      <c r="AO832" s="7"/>
      <c r="AP832" s="7"/>
      <c r="AQ832" s="6" t="b">
        <v>0</v>
      </c>
      <c r="AR832" s="6"/>
      <c r="AS832" s="6"/>
    </row>
    <row r="833" ht="15.75" customHeight="1">
      <c r="A833" s="7" t="s">
        <v>8419</v>
      </c>
      <c r="B833" s="7" t="s">
        <v>20764</v>
      </c>
      <c r="C833" s="7" t="s">
        <v>58</v>
      </c>
      <c r="D833" s="7" t="s">
        <v>59</v>
      </c>
      <c r="E833" s="7" t="s">
        <v>346</v>
      </c>
      <c r="F833" s="7">
        <v>10.0</v>
      </c>
      <c r="G833" s="7"/>
      <c r="H833" s="7"/>
      <c r="I833" s="7"/>
      <c r="J833" s="7"/>
      <c r="K833" s="7" t="s">
        <v>20765</v>
      </c>
      <c r="L833" s="7">
        <v>97430.0</v>
      </c>
      <c r="M833" s="7" t="s">
        <v>71</v>
      </c>
      <c r="N833" s="7"/>
      <c r="O833" s="7" t="s">
        <v>8427</v>
      </c>
      <c r="P833" s="42"/>
      <c r="Q833" s="50"/>
      <c r="R833" s="50"/>
      <c r="S833" s="51"/>
      <c r="T833" s="7"/>
      <c r="U833" s="7"/>
      <c r="V833" s="7"/>
      <c r="W833" s="6" t="s">
        <v>12532</v>
      </c>
      <c r="X833" s="7"/>
      <c r="Y833" s="7" t="s">
        <v>377</v>
      </c>
      <c r="Z833" s="7" t="s">
        <v>378</v>
      </c>
      <c r="AA833" s="7"/>
      <c r="AB833" s="7"/>
      <c r="AC833" s="7">
        <v>8.4202321000011E13</v>
      </c>
      <c r="AD833" s="7">
        <v>8.4202321E8</v>
      </c>
      <c r="AE833" s="6" t="s">
        <v>12355</v>
      </c>
      <c r="AF833" s="74"/>
      <c r="AG833" s="7" t="s">
        <v>20766</v>
      </c>
      <c r="AH833" s="46" t="s">
        <v>20767</v>
      </c>
      <c r="AI833" s="7"/>
      <c r="AJ833" s="7"/>
      <c r="AK833" s="7" t="b">
        <v>0</v>
      </c>
      <c r="AL833" s="7" t="b">
        <v>0</v>
      </c>
      <c r="AM833" s="7"/>
      <c r="AN833" s="6" t="s">
        <v>8419</v>
      </c>
      <c r="AO833" s="7"/>
      <c r="AP833" s="7"/>
      <c r="AQ833" s="6" t="b">
        <v>0</v>
      </c>
      <c r="AR833" s="6"/>
      <c r="AS833" s="6"/>
    </row>
    <row r="834" ht="15.75" customHeight="1">
      <c r="A834" s="7" t="s">
        <v>8457</v>
      </c>
      <c r="B834" s="7" t="s">
        <v>20768</v>
      </c>
      <c r="C834" s="7" t="s">
        <v>58</v>
      </c>
      <c r="D834" s="7" t="s">
        <v>59</v>
      </c>
      <c r="E834" s="7" t="s">
        <v>346</v>
      </c>
      <c r="F834" s="7">
        <v>8.0</v>
      </c>
      <c r="G834" s="7"/>
      <c r="H834" s="7"/>
      <c r="I834" s="7"/>
      <c r="J834" s="7">
        <v>63.0</v>
      </c>
      <c r="K834" s="7" t="s">
        <v>20769</v>
      </c>
      <c r="L834" s="7">
        <v>97418.0</v>
      </c>
      <c r="M834" s="7" t="s">
        <v>71</v>
      </c>
      <c r="N834" s="7" t="s">
        <v>216</v>
      </c>
      <c r="O834" s="7" t="s">
        <v>8465</v>
      </c>
      <c r="P834" s="42"/>
      <c r="Q834" s="50"/>
      <c r="R834" s="50"/>
      <c r="S834" s="51"/>
      <c r="T834" s="7" t="s">
        <v>8462</v>
      </c>
      <c r="U834" s="7"/>
      <c r="V834" s="7"/>
      <c r="W834" s="7"/>
      <c r="X834" s="7"/>
      <c r="Y834" s="7"/>
      <c r="Z834" s="7" t="s">
        <v>424</v>
      </c>
      <c r="AA834" s="7"/>
      <c r="AB834" s="7"/>
      <c r="AC834" s="7">
        <v>5.209594610001E13</v>
      </c>
      <c r="AD834" s="7">
        <v>5.20959461E8</v>
      </c>
      <c r="AE834" s="6" t="s">
        <v>12355</v>
      </c>
      <c r="AF834" s="74"/>
      <c r="AG834" s="7" t="s">
        <v>20770</v>
      </c>
      <c r="AH834" s="46" t="s">
        <v>20771</v>
      </c>
      <c r="AI834" s="7"/>
      <c r="AJ834" s="7"/>
      <c r="AK834" s="7" t="b">
        <v>0</v>
      </c>
      <c r="AL834" s="7" t="b">
        <v>0</v>
      </c>
      <c r="AM834" s="7"/>
      <c r="AN834" s="6" t="s">
        <v>8457</v>
      </c>
      <c r="AO834" s="7"/>
      <c r="AP834" s="7"/>
      <c r="AQ834" s="6" t="b">
        <v>0</v>
      </c>
      <c r="AR834" s="6"/>
      <c r="AS834" s="48" t="s">
        <v>12303</v>
      </c>
    </row>
    <row r="835" ht="15.75" customHeight="1">
      <c r="A835" s="7" t="s">
        <v>8488</v>
      </c>
      <c r="B835" s="7" t="s">
        <v>20772</v>
      </c>
      <c r="C835" s="6" t="s">
        <v>117</v>
      </c>
      <c r="D835" s="7" t="s">
        <v>197</v>
      </c>
      <c r="E835" s="7"/>
      <c r="F835" s="6">
        <v>1.0</v>
      </c>
      <c r="G835" s="7"/>
      <c r="H835" s="7"/>
      <c r="I835" s="7"/>
      <c r="J835" s="41" t="s">
        <v>13151</v>
      </c>
      <c r="K835" s="6" t="s">
        <v>20773</v>
      </c>
      <c r="L835" s="6">
        <v>97418.0</v>
      </c>
      <c r="M835" s="6" t="s">
        <v>71</v>
      </c>
      <c r="N835" s="6" t="s">
        <v>9494</v>
      </c>
      <c r="O835" s="6" t="s">
        <v>20774</v>
      </c>
      <c r="P835" s="42" t="s">
        <v>20775</v>
      </c>
      <c r="Q835" s="43" t="s">
        <v>20776</v>
      </c>
      <c r="R835" s="50"/>
      <c r="S835" s="51"/>
      <c r="T835" s="6" t="s">
        <v>20777</v>
      </c>
      <c r="U835" s="7"/>
      <c r="V835" s="7"/>
      <c r="W835" s="7"/>
      <c r="X835" s="7"/>
      <c r="Y835" s="7"/>
      <c r="Z835" s="7"/>
      <c r="AA835" s="7"/>
      <c r="AB835" s="7"/>
      <c r="AC835" s="6">
        <v>5.0322560900026E13</v>
      </c>
      <c r="AD835" s="6">
        <v>5.03225609E8</v>
      </c>
      <c r="AE835" s="6" t="s">
        <v>401</v>
      </c>
      <c r="AF835" s="45">
        <v>46079.464895833335</v>
      </c>
      <c r="AG835" s="7" t="s">
        <v>20778</v>
      </c>
      <c r="AH835" s="62" t="s">
        <v>20779</v>
      </c>
      <c r="AI835" s="7"/>
      <c r="AJ835" s="6" t="s">
        <v>20780</v>
      </c>
      <c r="AK835" s="7" t="b">
        <v>0</v>
      </c>
      <c r="AL835" s="7" t="b">
        <v>0</v>
      </c>
      <c r="AM835" s="7"/>
      <c r="AN835" s="6" t="s">
        <v>8488</v>
      </c>
      <c r="AO835" s="7"/>
      <c r="AP835" s="7"/>
      <c r="AQ835" s="6" t="b">
        <v>0</v>
      </c>
      <c r="AR835" s="6"/>
      <c r="AS835" s="48" t="s">
        <v>12303</v>
      </c>
    </row>
    <row r="836" ht="15.75" customHeight="1">
      <c r="A836" s="7" t="s">
        <v>8512</v>
      </c>
      <c r="B836" s="7" t="s">
        <v>8513</v>
      </c>
      <c r="C836" s="7" t="s">
        <v>58</v>
      </c>
      <c r="D836" s="7" t="s">
        <v>59</v>
      </c>
      <c r="E836" s="7" t="s">
        <v>346</v>
      </c>
      <c r="F836" s="7">
        <v>4.0</v>
      </c>
      <c r="G836" s="7"/>
      <c r="H836" s="7"/>
      <c r="I836" s="7"/>
      <c r="J836" s="7">
        <v>138.0</v>
      </c>
      <c r="K836" s="7" t="s">
        <v>20781</v>
      </c>
      <c r="L836" s="7">
        <v>97430.0</v>
      </c>
      <c r="M836" s="7" t="s">
        <v>71</v>
      </c>
      <c r="N836" s="7" t="s">
        <v>3501</v>
      </c>
      <c r="O836" s="6" t="s">
        <v>20782</v>
      </c>
      <c r="P836" s="42" t="s">
        <v>8517</v>
      </c>
      <c r="Q836" s="43" t="s">
        <v>20783</v>
      </c>
      <c r="R836" s="50"/>
      <c r="S836" s="51"/>
      <c r="T836" s="7"/>
      <c r="U836" s="7"/>
      <c r="V836" s="7"/>
      <c r="W836" s="6" t="s">
        <v>20784</v>
      </c>
      <c r="X836" s="7" t="s">
        <v>8516</v>
      </c>
      <c r="Y836" s="7" t="s">
        <v>3816</v>
      </c>
      <c r="Z836" s="7" t="s">
        <v>1508</v>
      </c>
      <c r="AA836" s="7"/>
      <c r="AB836" s="7"/>
      <c r="AC836" s="7"/>
      <c r="AD836" s="7"/>
      <c r="AE836" s="6" t="s">
        <v>401</v>
      </c>
      <c r="AF836" s="74"/>
      <c r="AG836" s="7" t="s">
        <v>20785</v>
      </c>
      <c r="AH836" s="75" t="s">
        <v>20786</v>
      </c>
      <c r="AI836" s="7"/>
      <c r="AJ836" s="7"/>
      <c r="AK836" s="7" t="b">
        <v>0</v>
      </c>
      <c r="AL836" s="7" t="b">
        <v>0</v>
      </c>
      <c r="AM836" s="6" t="s">
        <v>20787</v>
      </c>
      <c r="AN836" s="7"/>
      <c r="AO836" s="7"/>
      <c r="AP836" s="7"/>
      <c r="AQ836" s="6" t="b">
        <v>0</v>
      </c>
      <c r="AR836" s="6"/>
      <c r="AS836" s="6"/>
    </row>
    <row r="837" ht="15.75" customHeight="1">
      <c r="A837" s="7" t="s">
        <v>273</v>
      </c>
      <c r="B837" s="7" t="s">
        <v>20788</v>
      </c>
      <c r="C837" s="7" t="s">
        <v>58</v>
      </c>
      <c r="D837" s="7" t="s">
        <v>59</v>
      </c>
      <c r="E837" s="7" t="s">
        <v>346</v>
      </c>
      <c r="F837" s="7">
        <v>16.0</v>
      </c>
      <c r="G837" s="7"/>
      <c r="H837" s="7"/>
      <c r="I837" s="7"/>
      <c r="J837" s="7">
        <v>2.0</v>
      </c>
      <c r="K837" s="7" t="s">
        <v>12312</v>
      </c>
      <c r="L837" s="7">
        <v>97418.0</v>
      </c>
      <c r="M837" s="7" t="s">
        <v>71</v>
      </c>
      <c r="N837" s="7" t="s">
        <v>216</v>
      </c>
      <c r="O837" s="6" t="s">
        <v>20789</v>
      </c>
      <c r="P837" s="42" t="s">
        <v>8534</v>
      </c>
      <c r="Q837" s="43" t="s">
        <v>20790</v>
      </c>
      <c r="R837" s="50"/>
      <c r="S837" s="51"/>
      <c r="T837" s="7" t="s">
        <v>8535</v>
      </c>
      <c r="U837" s="7"/>
      <c r="V837" s="7"/>
      <c r="W837" s="7"/>
      <c r="X837" s="7"/>
      <c r="Y837" s="7" t="s">
        <v>377</v>
      </c>
      <c r="Z837" s="7" t="s">
        <v>424</v>
      </c>
      <c r="AA837" s="7"/>
      <c r="AB837" s="7"/>
      <c r="AC837" s="7"/>
      <c r="AD837" s="7"/>
      <c r="AE837" s="6" t="s">
        <v>401</v>
      </c>
      <c r="AF837" s="74"/>
      <c r="AG837" s="7" t="s">
        <v>13846</v>
      </c>
      <c r="AH837" s="75" t="s">
        <v>20791</v>
      </c>
      <c r="AI837" s="7"/>
      <c r="AJ837" s="7"/>
      <c r="AK837" s="7" t="b">
        <v>0</v>
      </c>
      <c r="AL837" s="7" t="b">
        <v>0</v>
      </c>
      <c r="AM837" s="6" t="s">
        <v>8539</v>
      </c>
      <c r="AN837" s="7"/>
      <c r="AO837" s="7"/>
      <c r="AP837" s="7"/>
      <c r="AQ837" s="6" t="b">
        <v>0</v>
      </c>
      <c r="AR837" s="6"/>
      <c r="AS837" s="48" t="s">
        <v>12303</v>
      </c>
    </row>
    <row r="838" ht="15.75" customHeight="1">
      <c r="A838" s="7" t="s">
        <v>8540</v>
      </c>
      <c r="B838" s="7" t="s">
        <v>20792</v>
      </c>
      <c r="C838" s="7" t="s">
        <v>58</v>
      </c>
      <c r="D838" s="7" t="s">
        <v>59</v>
      </c>
      <c r="E838" s="7" t="s">
        <v>346</v>
      </c>
      <c r="F838" s="7">
        <v>8.0</v>
      </c>
      <c r="G838" s="7"/>
      <c r="H838" s="7"/>
      <c r="I838" s="7"/>
      <c r="J838" s="7">
        <v>2.0</v>
      </c>
      <c r="K838" s="7" t="s">
        <v>12312</v>
      </c>
      <c r="L838" s="7">
        <v>97418.0</v>
      </c>
      <c r="M838" s="7" t="s">
        <v>71</v>
      </c>
      <c r="N838" s="7" t="s">
        <v>216</v>
      </c>
      <c r="O838" s="6" t="s">
        <v>20793</v>
      </c>
      <c r="P838" s="42" t="s">
        <v>8534</v>
      </c>
      <c r="Q838" s="43" t="s">
        <v>20790</v>
      </c>
      <c r="R838" s="50"/>
      <c r="S838" s="51"/>
      <c r="T838" s="7"/>
      <c r="U838" s="7"/>
      <c r="V838" s="7"/>
      <c r="W838" s="7" t="s">
        <v>8543</v>
      </c>
      <c r="X838" s="7"/>
      <c r="Y838" s="7" t="s">
        <v>377</v>
      </c>
      <c r="Z838" s="7" t="s">
        <v>424</v>
      </c>
      <c r="AA838" s="7"/>
      <c r="AB838" s="7"/>
      <c r="AC838" s="7"/>
      <c r="AD838" s="7"/>
      <c r="AE838" s="6" t="s">
        <v>401</v>
      </c>
      <c r="AF838" s="74"/>
      <c r="AG838" s="7" t="s">
        <v>13846</v>
      </c>
      <c r="AH838" s="75" t="s">
        <v>20794</v>
      </c>
      <c r="AI838" s="7"/>
      <c r="AJ838" s="7"/>
      <c r="AK838" s="7" t="b">
        <v>0</v>
      </c>
      <c r="AL838" s="7" t="b">
        <v>0</v>
      </c>
      <c r="AM838" s="6" t="s">
        <v>8544</v>
      </c>
      <c r="AN838" s="7"/>
      <c r="AO838" s="7"/>
      <c r="AP838" s="7"/>
      <c r="AQ838" s="6" t="b">
        <v>0</v>
      </c>
      <c r="AR838" s="6"/>
      <c r="AS838" s="48" t="s">
        <v>12303</v>
      </c>
    </row>
    <row r="839" ht="15.75" customHeight="1">
      <c r="A839" s="7" t="s">
        <v>8755</v>
      </c>
      <c r="B839" s="6" t="s">
        <v>20795</v>
      </c>
      <c r="C839" s="7" t="s">
        <v>58</v>
      </c>
      <c r="D839" s="7" t="s">
        <v>59</v>
      </c>
      <c r="E839" s="6" t="s">
        <v>346</v>
      </c>
      <c r="F839" s="7">
        <v>2.0</v>
      </c>
      <c r="G839" s="7"/>
      <c r="H839" s="7"/>
      <c r="I839" s="7"/>
      <c r="J839" s="7">
        <v>15.0</v>
      </c>
      <c r="K839" s="7" t="s">
        <v>20796</v>
      </c>
      <c r="L839" s="7">
        <v>97430.0</v>
      </c>
      <c r="M839" s="7" t="s">
        <v>71</v>
      </c>
      <c r="N839" s="7" t="s">
        <v>3501</v>
      </c>
      <c r="O839" s="6" t="s">
        <v>20797</v>
      </c>
      <c r="P839" s="42" t="s">
        <v>20798</v>
      </c>
      <c r="Q839" s="43" t="s">
        <v>20799</v>
      </c>
      <c r="R839" s="50"/>
      <c r="S839" s="51"/>
      <c r="T839" s="6" t="s">
        <v>20800</v>
      </c>
      <c r="U839" s="6" t="s">
        <v>20801</v>
      </c>
      <c r="V839" s="7"/>
      <c r="W839" s="6" t="s">
        <v>20802</v>
      </c>
      <c r="X839" s="6" t="s">
        <v>16772</v>
      </c>
      <c r="Y839" s="6" t="s">
        <v>14800</v>
      </c>
      <c r="Z839" s="7"/>
      <c r="AA839" s="7"/>
      <c r="AB839" s="7"/>
      <c r="AC839" s="7"/>
      <c r="AD839" s="7"/>
      <c r="AE839" s="6" t="s">
        <v>401</v>
      </c>
      <c r="AF839" s="45">
        <v>45456.327881944446</v>
      </c>
      <c r="AG839" s="7" t="s">
        <v>20803</v>
      </c>
      <c r="AH839" s="46" t="s">
        <v>20804</v>
      </c>
      <c r="AI839" s="7"/>
      <c r="AJ839" s="6" t="s">
        <v>20805</v>
      </c>
      <c r="AK839" s="7" t="b">
        <v>0</v>
      </c>
      <c r="AL839" s="7" t="b">
        <v>0</v>
      </c>
      <c r="AM839" s="6" t="s">
        <v>20806</v>
      </c>
      <c r="AN839" s="6" t="s">
        <v>8755</v>
      </c>
      <c r="AO839" s="7"/>
      <c r="AP839" s="7"/>
      <c r="AQ839" s="6" t="b">
        <v>0</v>
      </c>
      <c r="AR839" s="6"/>
      <c r="AS839" s="6"/>
    </row>
    <row r="840" ht="15.75" customHeight="1">
      <c r="A840" s="7" t="s">
        <v>8763</v>
      </c>
      <c r="B840" s="7" t="s">
        <v>8764</v>
      </c>
      <c r="C840" s="7" t="s">
        <v>34</v>
      </c>
      <c r="D840" s="7" t="s">
        <v>485</v>
      </c>
      <c r="E840" s="7" t="s">
        <v>8766</v>
      </c>
      <c r="F840" s="7">
        <v>20.0</v>
      </c>
      <c r="G840" s="7"/>
      <c r="H840" s="7"/>
      <c r="I840" s="7"/>
      <c r="J840" s="7">
        <v>11.0</v>
      </c>
      <c r="K840" s="7" t="s">
        <v>20807</v>
      </c>
      <c r="L840" s="7">
        <v>97414.0</v>
      </c>
      <c r="M840" s="7" t="s">
        <v>40</v>
      </c>
      <c r="N840" s="7"/>
      <c r="O840" s="7" t="s">
        <v>8772</v>
      </c>
      <c r="P840" s="42" t="s">
        <v>8768</v>
      </c>
      <c r="Q840" s="43" t="s">
        <v>20808</v>
      </c>
      <c r="R840" s="50"/>
      <c r="S840" s="51"/>
      <c r="T840" s="7"/>
      <c r="U840" s="7"/>
      <c r="V840" s="7"/>
      <c r="W840" s="6" t="s">
        <v>20809</v>
      </c>
      <c r="X840" s="7"/>
      <c r="Y840" s="7" t="s">
        <v>377</v>
      </c>
      <c r="Z840" s="7" t="s">
        <v>378</v>
      </c>
      <c r="AA840" s="7"/>
      <c r="AB840" s="7"/>
      <c r="AC840" s="7">
        <v>5.0104208900018E13</v>
      </c>
      <c r="AD840" s="7">
        <v>5.01042089E8</v>
      </c>
      <c r="AE840" s="6" t="s">
        <v>12355</v>
      </c>
      <c r="AF840" s="74"/>
      <c r="AG840" s="7" t="s">
        <v>20810</v>
      </c>
      <c r="AH840" s="75" t="s">
        <v>20811</v>
      </c>
      <c r="AI840" s="7"/>
      <c r="AJ840" s="7"/>
      <c r="AK840" s="7" t="b">
        <v>0</v>
      </c>
      <c r="AL840" s="7" t="b">
        <v>0</v>
      </c>
      <c r="AM840" s="7"/>
      <c r="AN840" s="7"/>
      <c r="AO840" s="7"/>
      <c r="AP840" s="7"/>
      <c r="AQ840" s="6" t="b">
        <v>0</v>
      </c>
      <c r="AR840" s="6"/>
      <c r="AS840" s="48" t="s">
        <v>12303</v>
      </c>
    </row>
    <row r="841" ht="15.75" customHeight="1">
      <c r="A841" s="7" t="s">
        <v>8774</v>
      </c>
      <c r="B841" s="7" t="s">
        <v>8764</v>
      </c>
      <c r="C841" s="7" t="s">
        <v>58</v>
      </c>
      <c r="D841" s="7" t="s">
        <v>1859</v>
      </c>
      <c r="E841" s="7" t="s">
        <v>1859</v>
      </c>
      <c r="F841" s="7">
        <v>60.0</v>
      </c>
      <c r="G841" s="7"/>
      <c r="H841" s="7"/>
      <c r="I841" s="7"/>
      <c r="J841" s="7">
        <v>11.0</v>
      </c>
      <c r="K841" s="7" t="s">
        <v>20807</v>
      </c>
      <c r="L841" s="7">
        <v>97414.0</v>
      </c>
      <c r="M841" s="7" t="s">
        <v>40</v>
      </c>
      <c r="N841" s="7"/>
      <c r="O841" s="7" t="s">
        <v>8772</v>
      </c>
      <c r="P841" s="42" t="s">
        <v>8768</v>
      </c>
      <c r="Q841" s="43" t="s">
        <v>20812</v>
      </c>
      <c r="R841" s="50"/>
      <c r="S841" s="51"/>
      <c r="T841" s="7"/>
      <c r="U841" s="7"/>
      <c r="V841" s="7"/>
      <c r="W841" s="6" t="s">
        <v>20809</v>
      </c>
      <c r="X841" s="7"/>
      <c r="Y841" s="7" t="s">
        <v>377</v>
      </c>
      <c r="Z841" s="7" t="s">
        <v>378</v>
      </c>
      <c r="AA841" s="7" t="s">
        <v>8777</v>
      </c>
      <c r="AB841" s="7" t="s">
        <v>1876</v>
      </c>
      <c r="AC841" s="7">
        <v>5.0104208900018E13</v>
      </c>
      <c r="AD841" s="7">
        <v>5.01042089E8</v>
      </c>
      <c r="AE841" s="6" t="s">
        <v>12355</v>
      </c>
      <c r="AF841" s="74"/>
      <c r="AG841" s="7" t="s">
        <v>20810</v>
      </c>
      <c r="AH841" s="75" t="s">
        <v>20813</v>
      </c>
      <c r="AI841" s="7"/>
      <c r="AJ841" s="7"/>
      <c r="AK841" s="7" t="b">
        <v>0</v>
      </c>
      <c r="AL841" s="7" t="b">
        <v>0</v>
      </c>
      <c r="AM841" s="6" t="s">
        <v>8778</v>
      </c>
      <c r="AN841" s="7"/>
      <c r="AO841" s="7"/>
      <c r="AP841" s="7"/>
      <c r="AQ841" s="6" t="b">
        <v>0</v>
      </c>
      <c r="AR841" s="6"/>
      <c r="AS841" s="48" t="s">
        <v>12303</v>
      </c>
    </row>
    <row r="842" ht="15.75" customHeight="1">
      <c r="A842" s="7" t="s">
        <v>8795</v>
      </c>
      <c r="B842" s="7" t="s">
        <v>8796</v>
      </c>
      <c r="C842" s="7" t="s">
        <v>58</v>
      </c>
      <c r="D842" s="7" t="s">
        <v>59</v>
      </c>
      <c r="E842" s="7" t="s">
        <v>346</v>
      </c>
      <c r="F842" s="7">
        <v>18.0</v>
      </c>
      <c r="G842" s="7"/>
      <c r="H842" s="7"/>
      <c r="I842" s="7"/>
      <c r="J842" s="41" t="s">
        <v>15770</v>
      </c>
      <c r="K842" s="6" t="s">
        <v>20814</v>
      </c>
      <c r="L842" s="7">
        <v>97430.0</v>
      </c>
      <c r="M842" s="7" t="s">
        <v>71</v>
      </c>
      <c r="N842" s="6" t="s">
        <v>216</v>
      </c>
      <c r="O842" s="6" t="s">
        <v>20815</v>
      </c>
      <c r="P842" s="42" t="s">
        <v>8800</v>
      </c>
      <c r="Q842" s="43" t="s">
        <v>20816</v>
      </c>
      <c r="R842" s="50"/>
      <c r="S842" s="51"/>
      <c r="T842" s="6" t="s">
        <v>20817</v>
      </c>
      <c r="U842" s="6" t="s">
        <v>8801</v>
      </c>
      <c r="V842" s="7"/>
      <c r="W842" s="6" t="s">
        <v>20818</v>
      </c>
      <c r="X842" s="7" t="s">
        <v>8799</v>
      </c>
      <c r="Y842" s="7" t="s">
        <v>8184</v>
      </c>
      <c r="Z842" s="6" t="s">
        <v>592</v>
      </c>
      <c r="AA842" s="7" t="s">
        <v>8806</v>
      </c>
      <c r="AB842" s="7" t="s">
        <v>1590</v>
      </c>
      <c r="AC842" s="6">
        <v>8.84357328E8</v>
      </c>
      <c r="AD842" s="6">
        <v>8.84357328E8</v>
      </c>
      <c r="AE842" s="6" t="s">
        <v>401</v>
      </c>
      <c r="AF842" s="45">
        <v>45667.583020833335</v>
      </c>
      <c r="AG842" s="7" t="s">
        <v>20819</v>
      </c>
      <c r="AH842" s="46" t="s">
        <v>20820</v>
      </c>
      <c r="AI842" s="7"/>
      <c r="AJ842" s="6" t="s">
        <v>20821</v>
      </c>
      <c r="AK842" s="6" t="b">
        <v>1</v>
      </c>
      <c r="AL842" s="7" t="b">
        <v>0</v>
      </c>
      <c r="AM842" s="6" t="s">
        <v>8807</v>
      </c>
      <c r="AN842" s="6" t="s">
        <v>8795</v>
      </c>
      <c r="AO842" s="7"/>
      <c r="AP842" s="7"/>
      <c r="AQ842" s="6" t="b">
        <v>0</v>
      </c>
      <c r="AR842" s="6"/>
      <c r="AS842" s="6" t="s">
        <v>12303</v>
      </c>
    </row>
    <row r="843" ht="15.75" customHeight="1">
      <c r="A843" s="7" t="s">
        <v>8842</v>
      </c>
      <c r="B843" s="7" t="s">
        <v>8843</v>
      </c>
      <c r="C843" s="7" t="s">
        <v>58</v>
      </c>
      <c r="D843" s="7" t="s">
        <v>453</v>
      </c>
      <c r="E843" s="7" t="s">
        <v>454</v>
      </c>
      <c r="F843" s="7">
        <v>12.0</v>
      </c>
      <c r="G843" s="7"/>
      <c r="H843" s="7"/>
      <c r="I843" s="7"/>
      <c r="J843" s="41" t="s">
        <v>14287</v>
      </c>
      <c r="K843" s="7" t="s">
        <v>20822</v>
      </c>
      <c r="L843" s="7">
        <v>97442.0</v>
      </c>
      <c r="M843" s="7" t="s">
        <v>33</v>
      </c>
      <c r="N843" s="7"/>
      <c r="O843" s="7" t="s">
        <v>8848</v>
      </c>
      <c r="P843" s="42" t="s">
        <v>8845</v>
      </c>
      <c r="Q843" s="43" t="s">
        <v>20823</v>
      </c>
      <c r="R843" s="50"/>
      <c r="S843" s="51"/>
      <c r="T843" s="7"/>
      <c r="U843" s="7"/>
      <c r="V843" s="7"/>
      <c r="W843" s="7"/>
      <c r="X843" s="7"/>
      <c r="Y843" s="7"/>
      <c r="Z843" s="6" t="s">
        <v>353</v>
      </c>
      <c r="AA843" s="7"/>
      <c r="AB843" s="7"/>
      <c r="AC843" s="7"/>
      <c r="AD843" s="7"/>
      <c r="AE843" s="6" t="s">
        <v>5287</v>
      </c>
      <c r="AF843" s="45">
        <v>45467.46451388889</v>
      </c>
      <c r="AG843" s="7" t="s">
        <v>20824</v>
      </c>
      <c r="AH843" s="46" t="s">
        <v>20825</v>
      </c>
      <c r="AI843" s="7"/>
      <c r="AJ843" s="6" t="s">
        <v>20826</v>
      </c>
      <c r="AK843" s="7" t="b">
        <v>0</v>
      </c>
      <c r="AL843" s="7" t="b">
        <v>0</v>
      </c>
      <c r="AM843" s="6" t="s">
        <v>8849</v>
      </c>
      <c r="AN843" s="6" t="s">
        <v>8842</v>
      </c>
      <c r="AO843" s="7"/>
      <c r="AP843" s="7"/>
      <c r="AQ843" s="6" t="b">
        <v>0</v>
      </c>
      <c r="AR843" s="6"/>
      <c r="AS843" s="48" t="s">
        <v>12303</v>
      </c>
    </row>
    <row r="844" ht="15.75" customHeight="1">
      <c r="A844" s="7" t="s">
        <v>8851</v>
      </c>
      <c r="B844" s="7" t="s">
        <v>8852</v>
      </c>
      <c r="C844" s="7" t="s">
        <v>58</v>
      </c>
      <c r="D844" s="7" t="s">
        <v>59</v>
      </c>
      <c r="E844" s="7"/>
      <c r="F844" s="7">
        <v>15.0</v>
      </c>
      <c r="G844" s="7"/>
      <c r="H844" s="7"/>
      <c r="I844" s="7"/>
      <c r="J844" s="7"/>
      <c r="K844" s="7" t="s">
        <v>20827</v>
      </c>
      <c r="L844" s="7">
        <v>97418.0</v>
      </c>
      <c r="M844" s="7" t="s">
        <v>71</v>
      </c>
      <c r="N844" s="7" t="s">
        <v>216</v>
      </c>
      <c r="O844" s="7" t="s">
        <v>8805</v>
      </c>
      <c r="P844" s="42" t="s">
        <v>8854</v>
      </c>
      <c r="Q844" s="43" t="s">
        <v>20828</v>
      </c>
      <c r="R844" s="50"/>
      <c r="S844" s="51"/>
      <c r="T844" s="7"/>
      <c r="U844" s="7"/>
      <c r="V844" s="7"/>
      <c r="W844" s="7"/>
      <c r="X844" s="7"/>
      <c r="Y844" s="7"/>
      <c r="Z844" s="7"/>
      <c r="AA844" s="7"/>
      <c r="AB844" s="7"/>
      <c r="AC844" s="7"/>
      <c r="AD844" s="7"/>
      <c r="AE844" s="6" t="s">
        <v>12355</v>
      </c>
      <c r="AF844" s="45">
        <v>45434.57108796296</v>
      </c>
      <c r="AG844" s="7" t="s">
        <v>20829</v>
      </c>
      <c r="AH844" s="46" t="s">
        <v>20830</v>
      </c>
      <c r="AI844" s="7"/>
      <c r="AJ844" s="7"/>
      <c r="AK844" s="7" t="b">
        <v>0</v>
      </c>
      <c r="AL844" s="7" t="b">
        <v>0</v>
      </c>
      <c r="AM844" s="6" t="s">
        <v>8857</v>
      </c>
      <c r="AN844" s="6" t="s">
        <v>8851</v>
      </c>
      <c r="AO844" s="7"/>
      <c r="AP844" s="7"/>
      <c r="AQ844" s="6" t="b">
        <v>0</v>
      </c>
      <c r="AR844" s="6"/>
      <c r="AS844" s="48" t="s">
        <v>12303</v>
      </c>
    </row>
    <row r="845" ht="15.75" customHeight="1">
      <c r="A845" s="7" t="s">
        <v>8880</v>
      </c>
      <c r="B845" s="7" t="s">
        <v>20831</v>
      </c>
      <c r="C845" s="7" t="s">
        <v>58</v>
      </c>
      <c r="D845" s="7" t="s">
        <v>59</v>
      </c>
      <c r="E845" s="7" t="s">
        <v>346</v>
      </c>
      <c r="F845" s="7">
        <v>8.0</v>
      </c>
      <c r="G845" s="7"/>
      <c r="H845" s="7"/>
      <c r="I845" s="7"/>
      <c r="J845" s="7">
        <v>86.0</v>
      </c>
      <c r="K845" s="7" t="s">
        <v>13798</v>
      </c>
      <c r="L845" s="7">
        <v>97442.0</v>
      </c>
      <c r="M845" s="7" t="s">
        <v>33</v>
      </c>
      <c r="N845" s="7"/>
      <c r="O845" s="7" t="s">
        <v>8886</v>
      </c>
      <c r="P845" s="53" t="s">
        <v>20832</v>
      </c>
      <c r="Q845" s="43" t="s">
        <v>20833</v>
      </c>
      <c r="R845" s="43" t="s">
        <v>20834</v>
      </c>
      <c r="S845" s="51"/>
      <c r="T845" s="7"/>
      <c r="U845" s="7"/>
      <c r="V845" s="7"/>
      <c r="W845" s="7"/>
      <c r="X845" s="7"/>
      <c r="Y845" s="7"/>
      <c r="Z845" s="7"/>
      <c r="AA845" s="7"/>
      <c r="AB845" s="7"/>
      <c r="AC845" s="6">
        <v>8.98970512E8</v>
      </c>
      <c r="AD845" s="6">
        <v>8.98970512E8</v>
      </c>
      <c r="AE845" s="6" t="s">
        <v>12355</v>
      </c>
      <c r="AF845" s="74"/>
      <c r="AG845" s="7" t="s">
        <v>20835</v>
      </c>
      <c r="AH845" s="46" t="s">
        <v>20836</v>
      </c>
      <c r="AI845" s="7"/>
      <c r="AJ845" s="7"/>
      <c r="AK845" s="7" t="b">
        <v>0</v>
      </c>
      <c r="AL845" s="7" t="b">
        <v>0</v>
      </c>
      <c r="AM845" s="6" t="s">
        <v>20837</v>
      </c>
      <c r="AN845" s="6" t="s">
        <v>8880</v>
      </c>
      <c r="AO845" s="7"/>
      <c r="AP845" s="7"/>
      <c r="AQ845" s="6" t="b">
        <v>0</v>
      </c>
      <c r="AR845" s="6"/>
      <c r="AS845" s="48" t="s">
        <v>12303</v>
      </c>
    </row>
    <row r="846" ht="15.75" customHeight="1">
      <c r="A846" s="7" t="s">
        <v>8910</v>
      </c>
      <c r="B846" s="7" t="s">
        <v>20838</v>
      </c>
      <c r="C846" s="7" t="s">
        <v>58</v>
      </c>
      <c r="D846" s="7" t="s">
        <v>59</v>
      </c>
      <c r="E846" s="7" t="s">
        <v>346</v>
      </c>
      <c r="F846" s="7">
        <v>14.0</v>
      </c>
      <c r="G846" s="7"/>
      <c r="H846" s="7"/>
      <c r="I846" s="7"/>
      <c r="J846" s="41" t="s">
        <v>13876</v>
      </c>
      <c r="K846" s="6" t="s">
        <v>20839</v>
      </c>
      <c r="L846" s="7">
        <v>97418.0</v>
      </c>
      <c r="M846" s="7" t="s">
        <v>71</v>
      </c>
      <c r="N846" s="7" t="s">
        <v>216</v>
      </c>
      <c r="O846" s="6" t="s">
        <v>20840</v>
      </c>
      <c r="P846" s="42" t="s">
        <v>8913</v>
      </c>
      <c r="Q846" s="43" t="s">
        <v>20841</v>
      </c>
      <c r="R846" s="50"/>
      <c r="S846" s="51"/>
      <c r="T846" s="7"/>
      <c r="U846" s="6" t="s">
        <v>20842</v>
      </c>
      <c r="V846" s="7"/>
      <c r="W846" s="7"/>
      <c r="X846" s="7"/>
      <c r="Y846" s="7"/>
      <c r="Z846" s="7" t="s">
        <v>378</v>
      </c>
      <c r="AA846" s="7" t="s">
        <v>8917</v>
      </c>
      <c r="AB846" s="7" t="s">
        <v>1590</v>
      </c>
      <c r="AC846" s="6">
        <v>4.0289955300042E13</v>
      </c>
      <c r="AD846" s="6">
        <v>4.02899553E8</v>
      </c>
      <c r="AE846" s="6" t="s">
        <v>401</v>
      </c>
      <c r="AF846" s="45">
        <v>45434.501435185186</v>
      </c>
      <c r="AG846" s="7" t="s">
        <v>20843</v>
      </c>
      <c r="AH846" s="46" t="s">
        <v>20844</v>
      </c>
      <c r="AI846" s="7"/>
      <c r="AJ846" s="6" t="s">
        <v>20845</v>
      </c>
      <c r="AK846" s="7" t="b">
        <v>0</v>
      </c>
      <c r="AL846" s="7" t="b">
        <v>0</v>
      </c>
      <c r="AM846" s="6" t="s">
        <v>8918</v>
      </c>
      <c r="AN846" s="6" t="s">
        <v>8910</v>
      </c>
      <c r="AO846" s="7"/>
      <c r="AP846" s="7"/>
      <c r="AQ846" s="6" t="b">
        <v>0</v>
      </c>
      <c r="AR846" s="6"/>
      <c r="AS846" s="48" t="s">
        <v>12303</v>
      </c>
    </row>
    <row r="847" ht="15.75" customHeight="1">
      <c r="A847" s="7" t="s">
        <v>9063</v>
      </c>
      <c r="B847" s="7" t="s">
        <v>20846</v>
      </c>
      <c r="C847" s="7" t="s">
        <v>58</v>
      </c>
      <c r="D847" s="7" t="s">
        <v>59</v>
      </c>
      <c r="E847" s="7" t="s">
        <v>346</v>
      </c>
      <c r="F847" s="7">
        <v>6.0</v>
      </c>
      <c r="G847" s="7"/>
      <c r="H847" s="7"/>
      <c r="I847" s="7"/>
      <c r="J847" s="7"/>
      <c r="K847" s="7" t="s">
        <v>20847</v>
      </c>
      <c r="L847" s="7">
        <v>97430.0</v>
      </c>
      <c r="M847" s="7" t="s">
        <v>71</v>
      </c>
      <c r="N847" s="7" t="s">
        <v>3501</v>
      </c>
      <c r="O847" s="6" t="s">
        <v>20848</v>
      </c>
      <c r="P847" s="42" t="s">
        <v>9066</v>
      </c>
      <c r="Q847" s="43" t="s">
        <v>20849</v>
      </c>
      <c r="R847" s="50"/>
      <c r="S847" s="51"/>
      <c r="T847" s="7"/>
      <c r="U847" s="7"/>
      <c r="V847" s="7"/>
      <c r="W847" s="7"/>
      <c r="X847" s="7"/>
      <c r="Y847" s="7"/>
      <c r="Z847" s="7" t="s">
        <v>378</v>
      </c>
      <c r="AA847" s="7"/>
      <c r="AB847" s="7"/>
      <c r="AC847" s="7"/>
      <c r="AD847" s="7"/>
      <c r="AE847" s="6" t="s">
        <v>12355</v>
      </c>
      <c r="AF847" s="45">
        <v>45373.63425925926</v>
      </c>
      <c r="AG847" s="7" t="s">
        <v>20850</v>
      </c>
      <c r="AH847" s="46" t="s">
        <v>20851</v>
      </c>
      <c r="AI847" s="7"/>
      <c r="AJ847" s="7"/>
      <c r="AK847" s="7" t="b">
        <v>0</v>
      </c>
      <c r="AL847" s="7" t="b">
        <v>0</v>
      </c>
      <c r="AM847" s="6" t="s">
        <v>9070</v>
      </c>
      <c r="AN847" s="6" t="s">
        <v>9063</v>
      </c>
      <c r="AO847" s="7"/>
      <c r="AP847" s="7"/>
      <c r="AQ847" s="6" t="b">
        <v>0</v>
      </c>
      <c r="AR847" s="6"/>
      <c r="AS847" s="6"/>
    </row>
    <row r="848" ht="15.75" customHeight="1">
      <c r="A848" s="7" t="s">
        <v>9160</v>
      </c>
      <c r="B848" s="7" t="s">
        <v>9161</v>
      </c>
      <c r="C848" s="6" t="s">
        <v>117</v>
      </c>
      <c r="D848" s="7" t="s">
        <v>1549</v>
      </c>
      <c r="E848" s="7" t="s">
        <v>1550</v>
      </c>
      <c r="F848" s="7"/>
      <c r="G848" s="7"/>
      <c r="H848" s="7"/>
      <c r="I848" s="7"/>
      <c r="J848" s="7">
        <v>18.0</v>
      </c>
      <c r="K848" s="7" t="s">
        <v>20852</v>
      </c>
      <c r="L848" s="7">
        <v>97480.0</v>
      </c>
      <c r="M848" s="7" t="s">
        <v>123</v>
      </c>
      <c r="N848" s="7"/>
      <c r="O848" s="7" t="s">
        <v>9165</v>
      </c>
      <c r="P848" s="42" t="s">
        <v>9163</v>
      </c>
      <c r="Q848" s="43" t="s">
        <v>20853</v>
      </c>
      <c r="R848" s="50"/>
      <c r="S848" s="51"/>
      <c r="T848" s="7" t="s">
        <v>9164</v>
      </c>
      <c r="U848" s="7"/>
      <c r="V848" s="7"/>
      <c r="W848" s="7"/>
      <c r="X848" s="7"/>
      <c r="Y848" s="7"/>
      <c r="Z848" s="7"/>
      <c r="AA848" s="7"/>
      <c r="AB848" s="7"/>
      <c r="AC848" s="7"/>
      <c r="AD848" s="7"/>
      <c r="AE848" s="6" t="s">
        <v>12355</v>
      </c>
      <c r="AF848" s="74"/>
      <c r="AG848" s="7" t="s">
        <v>20854</v>
      </c>
      <c r="AH848" s="46" t="s">
        <v>20855</v>
      </c>
      <c r="AI848" s="7"/>
      <c r="AJ848" s="7"/>
      <c r="AK848" s="7" t="b">
        <v>0</v>
      </c>
      <c r="AL848" s="7" t="b">
        <v>0</v>
      </c>
      <c r="AM848" s="7"/>
      <c r="AN848" s="6" t="s">
        <v>9160</v>
      </c>
      <c r="AO848" s="7"/>
      <c r="AP848" s="7"/>
      <c r="AQ848" s="6" t="b">
        <v>0</v>
      </c>
      <c r="AR848" s="6"/>
      <c r="AS848" s="6"/>
    </row>
    <row r="849" ht="15.75" customHeight="1">
      <c r="A849" s="7" t="s">
        <v>9167</v>
      </c>
      <c r="B849" s="7" t="s">
        <v>9168</v>
      </c>
      <c r="C849" s="7" t="s">
        <v>1198</v>
      </c>
      <c r="D849" s="7" t="s">
        <v>6960</v>
      </c>
      <c r="E849" s="6" t="s">
        <v>9717</v>
      </c>
      <c r="F849" s="7"/>
      <c r="G849" s="6" t="s">
        <v>422</v>
      </c>
      <c r="H849" s="7"/>
      <c r="I849" s="7"/>
      <c r="J849" s="7">
        <v>39.0</v>
      </c>
      <c r="K849" s="7" t="s">
        <v>20689</v>
      </c>
      <c r="L849" s="7">
        <v>97414.0</v>
      </c>
      <c r="M849" s="7" t="s">
        <v>40</v>
      </c>
      <c r="N849" s="6" t="s">
        <v>16720</v>
      </c>
      <c r="O849" s="6" t="s">
        <v>20856</v>
      </c>
      <c r="P849" s="53" t="s">
        <v>20857</v>
      </c>
      <c r="Q849" s="49" t="s">
        <v>20858</v>
      </c>
      <c r="R849" s="50"/>
      <c r="S849" s="51"/>
      <c r="T849" s="7" t="s">
        <v>9172</v>
      </c>
      <c r="U849" s="6" t="s">
        <v>20859</v>
      </c>
      <c r="V849" s="6" t="s">
        <v>16720</v>
      </c>
      <c r="W849" s="7"/>
      <c r="X849" s="7"/>
      <c r="Y849" s="7" t="s">
        <v>974</v>
      </c>
      <c r="Z849" s="7" t="s">
        <v>8232</v>
      </c>
      <c r="AA849" s="7"/>
      <c r="AB849" s="7"/>
      <c r="AC849" s="7">
        <v>8.9281015100019E13</v>
      </c>
      <c r="AD849" s="7">
        <v>8.92810151E8</v>
      </c>
      <c r="AE849" s="6" t="s">
        <v>401</v>
      </c>
      <c r="AF849" s="45">
        <v>45422.40791666666</v>
      </c>
      <c r="AG849" s="7" t="s">
        <v>20860</v>
      </c>
      <c r="AH849" s="46" t="s">
        <v>20861</v>
      </c>
      <c r="AI849" s="7"/>
      <c r="AJ849" s="6" t="s">
        <v>20862</v>
      </c>
      <c r="AK849" s="7" t="b">
        <v>0</v>
      </c>
      <c r="AL849" s="7" t="b">
        <v>0</v>
      </c>
      <c r="AM849" s="7"/>
      <c r="AN849" s="6" t="s">
        <v>9167</v>
      </c>
      <c r="AO849" s="7"/>
      <c r="AP849" s="7"/>
      <c r="AQ849" s="6" t="b">
        <v>0</v>
      </c>
      <c r="AR849" s="6" t="s">
        <v>20863</v>
      </c>
      <c r="AS849" s="48" t="s">
        <v>12303</v>
      </c>
    </row>
    <row r="850" ht="15.75" customHeight="1">
      <c r="A850" s="7" t="s">
        <v>9178</v>
      </c>
      <c r="B850" s="7" t="s">
        <v>9179</v>
      </c>
      <c r="C850" s="7" t="s">
        <v>822</v>
      </c>
      <c r="D850" s="7" t="s">
        <v>4826</v>
      </c>
      <c r="E850" s="7" t="s">
        <v>1406</v>
      </c>
      <c r="F850" s="7">
        <v>10.0</v>
      </c>
      <c r="G850" s="7" t="s">
        <v>455</v>
      </c>
      <c r="H850" s="7"/>
      <c r="I850" s="7"/>
      <c r="J850" s="7">
        <v>12.0</v>
      </c>
      <c r="K850" s="7" t="s">
        <v>20864</v>
      </c>
      <c r="L850" s="7">
        <v>97414.0</v>
      </c>
      <c r="M850" s="7" t="s">
        <v>40</v>
      </c>
      <c r="N850" s="7"/>
      <c r="O850" s="7" t="s">
        <v>9187</v>
      </c>
      <c r="P850" s="42"/>
      <c r="Q850" s="43" t="s">
        <v>20865</v>
      </c>
      <c r="R850" s="50"/>
      <c r="S850" s="47" t="s">
        <v>9181</v>
      </c>
      <c r="T850" s="7" t="s">
        <v>9185</v>
      </c>
      <c r="U850" s="7"/>
      <c r="V850" s="7"/>
      <c r="W850" s="6" t="s">
        <v>20866</v>
      </c>
      <c r="X850" s="7" t="s">
        <v>9183</v>
      </c>
      <c r="Y850" s="7" t="s">
        <v>8231</v>
      </c>
      <c r="Z850" s="7" t="s">
        <v>353</v>
      </c>
      <c r="AA850" s="7"/>
      <c r="AB850" s="7"/>
      <c r="AC850" s="7">
        <v>5.0518634600043E13</v>
      </c>
      <c r="AD850" s="7">
        <v>5.05186346E8</v>
      </c>
      <c r="AE850" s="6" t="s">
        <v>12355</v>
      </c>
      <c r="AF850" s="45">
        <v>45448.63112268518</v>
      </c>
      <c r="AG850" s="7" t="s">
        <v>20867</v>
      </c>
      <c r="AH850" s="46" t="s">
        <v>20868</v>
      </c>
      <c r="AI850" s="7"/>
      <c r="AJ850" s="7"/>
      <c r="AK850" s="7" t="b">
        <v>0</v>
      </c>
      <c r="AL850" s="7" t="b">
        <v>0</v>
      </c>
      <c r="AM850" s="7"/>
      <c r="AN850" s="6" t="s">
        <v>9178</v>
      </c>
      <c r="AO850" s="7"/>
      <c r="AP850" s="7"/>
      <c r="AQ850" s="6" t="b">
        <v>0</v>
      </c>
      <c r="AR850" s="6"/>
      <c r="AS850" s="48" t="s">
        <v>12303</v>
      </c>
    </row>
    <row r="851" ht="15.75" customHeight="1">
      <c r="A851" s="7" t="s">
        <v>9228</v>
      </c>
      <c r="B851" s="7" t="s">
        <v>9229</v>
      </c>
      <c r="C851" s="6" t="s">
        <v>117</v>
      </c>
      <c r="D851" s="7" t="s">
        <v>197</v>
      </c>
      <c r="E851" s="7" t="s">
        <v>1406</v>
      </c>
      <c r="F851" s="7"/>
      <c r="G851" s="7"/>
      <c r="H851" s="7"/>
      <c r="I851" s="7"/>
      <c r="J851" s="7">
        <v>31.0</v>
      </c>
      <c r="K851" s="7" t="s">
        <v>20689</v>
      </c>
      <c r="L851" s="7">
        <v>97414.0</v>
      </c>
      <c r="M851" s="7" t="s">
        <v>40</v>
      </c>
      <c r="N851" s="7"/>
      <c r="O851" s="7" t="s">
        <v>9235</v>
      </c>
      <c r="P851" s="42" t="s">
        <v>9231</v>
      </c>
      <c r="Q851" s="43" t="s">
        <v>20869</v>
      </c>
      <c r="R851" s="50"/>
      <c r="S851" s="51"/>
      <c r="T851" s="7" t="s">
        <v>9232</v>
      </c>
      <c r="U851" s="7"/>
      <c r="V851" s="7"/>
      <c r="W851" s="7"/>
      <c r="X851" s="7"/>
      <c r="Y851" s="7" t="s">
        <v>8184</v>
      </c>
      <c r="Z851" s="7" t="s">
        <v>353</v>
      </c>
      <c r="AA851" s="7"/>
      <c r="AB851" s="7"/>
      <c r="AC851" s="7"/>
      <c r="AD851" s="7"/>
      <c r="AE851" s="6" t="s">
        <v>12355</v>
      </c>
      <c r="AF851" s="74"/>
      <c r="AG851" s="7" t="s">
        <v>20870</v>
      </c>
      <c r="AH851" s="46" t="s">
        <v>20871</v>
      </c>
      <c r="AI851" s="7"/>
      <c r="AJ851" s="7"/>
      <c r="AK851" s="7" t="b">
        <v>0</v>
      </c>
      <c r="AL851" s="7" t="b">
        <v>0</v>
      </c>
      <c r="AM851" s="7"/>
      <c r="AN851" s="6" t="s">
        <v>9228</v>
      </c>
      <c r="AO851" s="7"/>
      <c r="AP851" s="7"/>
      <c r="AQ851" s="6" t="b">
        <v>0</v>
      </c>
      <c r="AR851" s="6"/>
      <c r="AS851" s="48" t="s">
        <v>12303</v>
      </c>
    </row>
    <row r="852" ht="15.75" customHeight="1">
      <c r="A852" s="7" t="s">
        <v>9240</v>
      </c>
      <c r="B852" s="7" t="s">
        <v>9241</v>
      </c>
      <c r="C852" s="7" t="s">
        <v>58</v>
      </c>
      <c r="D852" s="7" t="s">
        <v>59</v>
      </c>
      <c r="E852" s="7" t="s">
        <v>346</v>
      </c>
      <c r="F852" s="7">
        <v>4.0</v>
      </c>
      <c r="G852" s="7" t="s">
        <v>9243</v>
      </c>
      <c r="H852" s="7"/>
      <c r="I852" s="7"/>
      <c r="J852" s="7">
        <v>23.0</v>
      </c>
      <c r="K852" s="7" t="s">
        <v>20872</v>
      </c>
      <c r="L852" s="7">
        <v>97480.0</v>
      </c>
      <c r="M852" s="7" t="s">
        <v>123</v>
      </c>
      <c r="N852" s="7"/>
      <c r="O852" s="7" t="s">
        <v>9249</v>
      </c>
      <c r="P852" s="42" t="s">
        <v>9245</v>
      </c>
      <c r="Q852" s="43" t="s">
        <v>20873</v>
      </c>
      <c r="R852" s="43" t="s">
        <v>20874</v>
      </c>
      <c r="S852" s="51"/>
      <c r="T852" s="7" t="s">
        <v>9246</v>
      </c>
      <c r="U852" s="7"/>
      <c r="V852" s="7"/>
      <c r="W852" s="6" t="s">
        <v>20875</v>
      </c>
      <c r="X852" s="7" t="s">
        <v>9183</v>
      </c>
      <c r="Y852" s="7" t="s">
        <v>8184</v>
      </c>
      <c r="Z852" s="7" t="s">
        <v>378</v>
      </c>
      <c r="AA852" s="7" t="s">
        <v>9250</v>
      </c>
      <c r="AB852" s="7" t="s">
        <v>1962</v>
      </c>
      <c r="AC852" s="7"/>
      <c r="AD852" s="7"/>
      <c r="AE852" s="6" t="s">
        <v>12355</v>
      </c>
      <c r="AF852" s="74"/>
      <c r="AG852" s="7" t="s">
        <v>20876</v>
      </c>
      <c r="AH852" s="75" t="s">
        <v>20877</v>
      </c>
      <c r="AI852" s="7"/>
      <c r="AJ852" s="7"/>
      <c r="AK852" s="7" t="b">
        <v>0</v>
      </c>
      <c r="AL852" s="7" t="b">
        <v>0</v>
      </c>
      <c r="AM852" s="6" t="s">
        <v>20878</v>
      </c>
      <c r="AN852" s="7"/>
      <c r="AO852" s="7"/>
      <c r="AP852" s="7"/>
      <c r="AQ852" s="6" t="b">
        <v>0</v>
      </c>
      <c r="AR852" s="6"/>
      <c r="AS852" s="6"/>
    </row>
    <row r="853" ht="15.75" customHeight="1">
      <c r="A853" s="7" t="s">
        <v>9339</v>
      </c>
      <c r="B853" s="7" t="s">
        <v>20879</v>
      </c>
      <c r="C853" s="7" t="s">
        <v>58</v>
      </c>
      <c r="D853" s="7" t="s">
        <v>59</v>
      </c>
      <c r="E853" s="7" t="s">
        <v>374</v>
      </c>
      <c r="F853" s="7">
        <v>4.0</v>
      </c>
      <c r="G853" s="7"/>
      <c r="H853" s="7"/>
      <c r="I853" s="7"/>
      <c r="J853" s="7">
        <v>35.0</v>
      </c>
      <c r="K853" s="6" t="s">
        <v>20880</v>
      </c>
      <c r="L853" s="7">
        <v>97430.0</v>
      </c>
      <c r="M853" s="7" t="s">
        <v>71</v>
      </c>
      <c r="N853" s="7"/>
      <c r="O853" s="6" t="s">
        <v>20881</v>
      </c>
      <c r="P853" s="42" t="s">
        <v>9344</v>
      </c>
      <c r="Q853" s="43" t="s">
        <v>20882</v>
      </c>
      <c r="R853" s="50"/>
      <c r="S853" s="51"/>
      <c r="T853" s="6" t="s">
        <v>20883</v>
      </c>
      <c r="U853" s="6" t="s">
        <v>20884</v>
      </c>
      <c r="V853" s="7"/>
      <c r="W853" s="6" t="s">
        <v>20885</v>
      </c>
      <c r="X853" s="7" t="s">
        <v>9343</v>
      </c>
      <c r="Y853" s="6" t="s">
        <v>9455</v>
      </c>
      <c r="Z853" s="7" t="s">
        <v>9333</v>
      </c>
      <c r="AA853" s="7"/>
      <c r="AB853" s="7"/>
      <c r="AC853" s="7"/>
      <c r="AD853" s="7"/>
      <c r="AE853" s="6" t="s">
        <v>401</v>
      </c>
      <c r="AF853" s="45">
        <v>45457.27190972222</v>
      </c>
      <c r="AG853" s="7" t="s">
        <v>20886</v>
      </c>
      <c r="AH853" s="46" t="s">
        <v>20887</v>
      </c>
      <c r="AI853" s="7"/>
      <c r="AJ853" s="6" t="s">
        <v>20888</v>
      </c>
      <c r="AK853" s="7" t="b">
        <v>0</v>
      </c>
      <c r="AL853" s="7" t="b">
        <v>0</v>
      </c>
      <c r="AM853" s="6" t="s">
        <v>20889</v>
      </c>
      <c r="AN853" s="6" t="s">
        <v>9339</v>
      </c>
      <c r="AO853" s="7"/>
      <c r="AP853" s="7"/>
      <c r="AQ853" s="6" t="b">
        <v>0</v>
      </c>
      <c r="AR853" s="6"/>
      <c r="AS853" s="6"/>
    </row>
    <row r="854" ht="15.75" customHeight="1">
      <c r="A854" s="7" t="s">
        <v>9375</v>
      </c>
      <c r="B854" s="6" t="s">
        <v>20890</v>
      </c>
      <c r="C854" s="7" t="s">
        <v>58</v>
      </c>
      <c r="D854" s="7" t="s">
        <v>59</v>
      </c>
      <c r="E854" s="7" t="s">
        <v>346</v>
      </c>
      <c r="F854" s="6">
        <v>4.0</v>
      </c>
      <c r="G854" s="7" t="s">
        <v>455</v>
      </c>
      <c r="H854" s="7" t="s">
        <v>2716</v>
      </c>
      <c r="I854" s="7"/>
      <c r="J854" s="7">
        <v>167.0</v>
      </c>
      <c r="K854" s="7" t="s">
        <v>20711</v>
      </c>
      <c r="L854" s="7">
        <v>97430.0</v>
      </c>
      <c r="M854" s="7" t="s">
        <v>71</v>
      </c>
      <c r="N854" s="7" t="s">
        <v>3501</v>
      </c>
      <c r="O854" s="6" t="s">
        <v>20891</v>
      </c>
      <c r="P854" s="42" t="s">
        <v>3505</v>
      </c>
      <c r="Q854" s="49" t="s">
        <v>16330</v>
      </c>
      <c r="R854" s="43" t="s">
        <v>20892</v>
      </c>
      <c r="S854" s="47" t="s">
        <v>3500</v>
      </c>
      <c r="T854" s="6" t="s">
        <v>20893</v>
      </c>
      <c r="U854" s="6" t="s">
        <v>20894</v>
      </c>
      <c r="V854" s="6" t="s">
        <v>20895</v>
      </c>
      <c r="W854" s="6" t="s">
        <v>16333</v>
      </c>
      <c r="X854" s="7" t="s">
        <v>3503</v>
      </c>
      <c r="Y854" s="7" t="s">
        <v>3504</v>
      </c>
      <c r="Z854" s="7" t="s">
        <v>353</v>
      </c>
      <c r="AA854" s="7"/>
      <c r="AB854" s="7"/>
      <c r="AC854" s="7">
        <v>8.4111528000015E13</v>
      </c>
      <c r="AD854" s="7">
        <v>8.4111528E8</v>
      </c>
      <c r="AE854" s="6" t="s">
        <v>401</v>
      </c>
      <c r="AF854" s="45">
        <v>45462.46486111111</v>
      </c>
      <c r="AG854" s="7" t="s">
        <v>16334</v>
      </c>
      <c r="AH854" s="46" t="s">
        <v>20896</v>
      </c>
      <c r="AI854" s="7"/>
      <c r="AJ854" s="6" t="s">
        <v>20897</v>
      </c>
      <c r="AK854" s="7" t="b">
        <v>0</v>
      </c>
      <c r="AL854" s="7" t="b">
        <v>0</v>
      </c>
      <c r="AM854" s="6" t="s">
        <v>9378</v>
      </c>
      <c r="AN854" s="6" t="s">
        <v>9375</v>
      </c>
      <c r="AO854" s="7"/>
      <c r="AP854" s="7"/>
      <c r="AQ854" s="6" t="b">
        <v>1</v>
      </c>
      <c r="AR854" s="6"/>
      <c r="AS854" s="6"/>
    </row>
    <row r="855" ht="15.75" customHeight="1">
      <c r="A855" s="7"/>
      <c r="B855" s="6"/>
      <c r="C855" s="7"/>
      <c r="D855" s="7"/>
      <c r="E855" s="7"/>
      <c r="F855" s="7"/>
      <c r="G855" s="7"/>
      <c r="H855" s="7"/>
      <c r="I855" s="7"/>
      <c r="J855" s="7"/>
      <c r="K855" s="7"/>
      <c r="L855" s="7"/>
      <c r="M855" s="7"/>
      <c r="N855" s="7"/>
      <c r="O855" s="7"/>
      <c r="P855" s="42"/>
      <c r="Q855" s="43"/>
      <c r="R855" s="43"/>
      <c r="S855" s="47"/>
      <c r="T855" s="7"/>
      <c r="U855" s="7"/>
      <c r="V855" s="7"/>
      <c r="W855" s="6"/>
      <c r="X855" s="7"/>
      <c r="Y855" s="7"/>
      <c r="Z855" s="7"/>
      <c r="AA855" s="7"/>
      <c r="AB855" s="7"/>
      <c r="AC855" s="7"/>
      <c r="AD855" s="7"/>
      <c r="AE855" s="6"/>
      <c r="AF855" s="74"/>
      <c r="AG855" s="7"/>
      <c r="AH855" s="46"/>
      <c r="AI855" s="7"/>
      <c r="AJ855" s="7"/>
      <c r="AK855" s="7"/>
      <c r="AL855" s="7"/>
      <c r="AM855" s="6"/>
      <c r="AN855" s="6"/>
      <c r="AO855" s="6"/>
      <c r="AP855" s="6"/>
      <c r="AQ855" s="6"/>
      <c r="AR855" s="6"/>
      <c r="AS855" s="6"/>
    </row>
    <row r="856" ht="15.75" customHeight="1">
      <c r="A856" s="7" t="s">
        <v>9437</v>
      </c>
      <c r="B856" s="7" t="s">
        <v>9438</v>
      </c>
      <c r="C856" s="7" t="s">
        <v>58</v>
      </c>
      <c r="D856" s="7" t="s">
        <v>59</v>
      </c>
      <c r="E856" s="7" t="s">
        <v>346</v>
      </c>
      <c r="F856" s="7">
        <v>6.0</v>
      </c>
      <c r="G856" s="6" t="s">
        <v>422</v>
      </c>
      <c r="H856" s="7"/>
      <c r="I856" s="7"/>
      <c r="J856" s="41" t="s">
        <v>19261</v>
      </c>
      <c r="K856" s="6" t="s">
        <v>20898</v>
      </c>
      <c r="L856" s="7">
        <v>97414.0</v>
      </c>
      <c r="M856" s="7" t="s">
        <v>40</v>
      </c>
      <c r="N856" s="6" t="s">
        <v>40</v>
      </c>
      <c r="O856" s="6" t="s">
        <v>20899</v>
      </c>
      <c r="P856" s="42" t="s">
        <v>9444</v>
      </c>
      <c r="Q856" s="43" t="s">
        <v>20900</v>
      </c>
      <c r="R856" s="50"/>
      <c r="S856" s="51"/>
      <c r="T856" s="6" t="s">
        <v>20901</v>
      </c>
      <c r="U856" s="6" t="s">
        <v>20902</v>
      </c>
      <c r="V856" s="6" t="s">
        <v>20903</v>
      </c>
      <c r="W856" s="6" t="s">
        <v>20904</v>
      </c>
      <c r="X856" s="7" t="s">
        <v>9441</v>
      </c>
      <c r="Y856" s="7" t="s">
        <v>9442</v>
      </c>
      <c r="Z856" s="7" t="s">
        <v>9443</v>
      </c>
      <c r="AA856" s="7"/>
      <c r="AB856" s="7"/>
      <c r="AC856" s="6">
        <v>8.94476134E8</v>
      </c>
      <c r="AD856" s="6">
        <v>8.94476134E8</v>
      </c>
      <c r="AE856" s="6" t="s">
        <v>401</v>
      </c>
      <c r="AF856" s="45">
        <v>45443.53561342593</v>
      </c>
      <c r="AG856" s="7" t="s">
        <v>20905</v>
      </c>
      <c r="AH856" s="46" t="s">
        <v>20906</v>
      </c>
      <c r="AI856" s="7"/>
      <c r="AJ856" s="6" t="s">
        <v>20907</v>
      </c>
      <c r="AK856" s="7" t="b">
        <v>0</v>
      </c>
      <c r="AL856" s="7" t="b">
        <v>0</v>
      </c>
      <c r="AM856" s="6" t="s">
        <v>20908</v>
      </c>
      <c r="AN856" s="6" t="s">
        <v>9437</v>
      </c>
      <c r="AO856" s="7"/>
      <c r="AP856" s="7"/>
      <c r="AQ856" s="6" t="b">
        <v>0</v>
      </c>
      <c r="AR856" s="6"/>
      <c r="AS856" s="48" t="s">
        <v>12303</v>
      </c>
    </row>
    <row r="857" ht="15.75" customHeight="1">
      <c r="A857" s="7" t="s">
        <v>9491</v>
      </c>
      <c r="B857" s="7" t="s">
        <v>9492</v>
      </c>
      <c r="C857" s="7" t="s">
        <v>58</v>
      </c>
      <c r="D857" s="7" t="s">
        <v>59</v>
      </c>
      <c r="E857" s="7" t="s">
        <v>346</v>
      </c>
      <c r="F857" s="7">
        <v>6.0</v>
      </c>
      <c r="G857" s="7"/>
      <c r="H857" s="7"/>
      <c r="I857" s="7"/>
      <c r="J857" s="7">
        <v>250.0</v>
      </c>
      <c r="K857" s="7" t="s">
        <v>19654</v>
      </c>
      <c r="L857" s="7">
        <v>97418.0</v>
      </c>
      <c r="M857" s="7" t="s">
        <v>71</v>
      </c>
      <c r="N857" s="7" t="s">
        <v>216</v>
      </c>
      <c r="O857" s="6" t="s">
        <v>20909</v>
      </c>
      <c r="P857" s="42" t="s">
        <v>20910</v>
      </c>
      <c r="Q857" s="43" t="s">
        <v>20911</v>
      </c>
      <c r="R857" s="50"/>
      <c r="S857" s="51"/>
      <c r="T857" s="6" t="s">
        <v>20912</v>
      </c>
      <c r="U857" s="6" t="s">
        <v>20913</v>
      </c>
      <c r="V857" s="6" t="s">
        <v>19594</v>
      </c>
      <c r="W857" s="6" t="s">
        <v>20914</v>
      </c>
      <c r="X857" s="6" t="s">
        <v>20915</v>
      </c>
      <c r="Y857" s="6" t="s">
        <v>20916</v>
      </c>
      <c r="Z857" s="7" t="s">
        <v>9333</v>
      </c>
      <c r="AA857" s="7"/>
      <c r="AB857" s="7"/>
      <c r="AC857" s="7"/>
      <c r="AD857" s="7"/>
      <c r="AE857" s="6" t="s">
        <v>401</v>
      </c>
      <c r="AF857" s="45">
        <v>45425.64696759259</v>
      </c>
      <c r="AG857" s="7" t="s">
        <v>20917</v>
      </c>
      <c r="AH857" s="46" t="s">
        <v>20918</v>
      </c>
      <c r="AI857" s="7"/>
      <c r="AJ857" s="7"/>
      <c r="AK857" s="7" t="b">
        <v>0</v>
      </c>
      <c r="AL857" s="6" t="b">
        <v>1</v>
      </c>
      <c r="AM857" s="6" t="s">
        <v>20919</v>
      </c>
      <c r="AN857" s="6" t="s">
        <v>9491</v>
      </c>
      <c r="AO857" s="7"/>
      <c r="AP857" s="7"/>
      <c r="AQ857" s="6" t="b">
        <v>0</v>
      </c>
      <c r="AR857" s="6" t="s">
        <v>20920</v>
      </c>
      <c r="AS857" s="48" t="s">
        <v>12303</v>
      </c>
    </row>
    <row r="858" ht="15.75" customHeight="1">
      <c r="A858" s="7" t="s">
        <v>9564</v>
      </c>
      <c r="B858" s="7" t="s">
        <v>20921</v>
      </c>
      <c r="C858" s="7" t="s">
        <v>58</v>
      </c>
      <c r="D858" s="7" t="s">
        <v>59</v>
      </c>
      <c r="E858" s="6" t="s">
        <v>12384</v>
      </c>
      <c r="F858" s="6">
        <v>14.0</v>
      </c>
      <c r="G858" s="6" t="s">
        <v>9780</v>
      </c>
      <c r="H858" s="6" t="s">
        <v>355</v>
      </c>
      <c r="I858" s="7"/>
      <c r="J858" s="6" t="s">
        <v>20922</v>
      </c>
      <c r="K858" s="7" t="s">
        <v>16457</v>
      </c>
      <c r="L858" s="7">
        <v>97418.0</v>
      </c>
      <c r="M858" s="7" t="s">
        <v>71</v>
      </c>
      <c r="N858" s="7" t="s">
        <v>216</v>
      </c>
      <c r="O858" s="6" t="s">
        <v>20923</v>
      </c>
      <c r="P858" s="42" t="s">
        <v>17314</v>
      </c>
      <c r="Q858" s="43" t="s">
        <v>20924</v>
      </c>
      <c r="R858" s="43" t="s">
        <v>17315</v>
      </c>
      <c r="S858" s="44" t="s">
        <v>20925</v>
      </c>
      <c r="T858" s="6" t="s">
        <v>20926</v>
      </c>
      <c r="U858" s="6" t="s">
        <v>20927</v>
      </c>
      <c r="V858" s="6" t="s">
        <v>20928</v>
      </c>
      <c r="W858" s="6" t="s">
        <v>20929</v>
      </c>
      <c r="X858" s="6" t="s">
        <v>20930</v>
      </c>
      <c r="Y858" s="6" t="s">
        <v>20931</v>
      </c>
      <c r="Z858" s="7" t="s">
        <v>8505</v>
      </c>
      <c r="AA858" s="7"/>
      <c r="AB858" s="7"/>
      <c r="AC858" s="6">
        <v>8.9054084200022E13</v>
      </c>
      <c r="AD858" s="7">
        <v>8.90540842E8</v>
      </c>
      <c r="AE858" s="6" t="s">
        <v>401</v>
      </c>
      <c r="AF858" s="45">
        <v>46064.586180555554</v>
      </c>
      <c r="AG858" s="7" t="s">
        <v>20229</v>
      </c>
      <c r="AH858" s="46" t="s">
        <v>20932</v>
      </c>
      <c r="AI858" s="7"/>
      <c r="AJ858" s="6" t="s">
        <v>20933</v>
      </c>
      <c r="AK858" s="7" t="b">
        <v>0</v>
      </c>
      <c r="AL858" s="6" t="b">
        <v>1</v>
      </c>
      <c r="AM858" s="6" t="s">
        <v>9570</v>
      </c>
      <c r="AN858" s="6" t="s">
        <v>9564</v>
      </c>
      <c r="AO858" s="6">
        <v>1707.0</v>
      </c>
      <c r="AP858" s="6"/>
      <c r="AQ858" s="6" t="b">
        <v>1</v>
      </c>
      <c r="AR858" s="6"/>
      <c r="AS858" s="48" t="s">
        <v>12303</v>
      </c>
    </row>
    <row r="859" ht="15.75" customHeight="1">
      <c r="A859" s="7" t="s">
        <v>9590</v>
      </c>
      <c r="B859" s="7" t="s">
        <v>9591</v>
      </c>
      <c r="C859" s="7" t="s">
        <v>58</v>
      </c>
      <c r="D859" s="7" t="s">
        <v>59</v>
      </c>
      <c r="E859" s="7" t="s">
        <v>346</v>
      </c>
      <c r="F859" s="7">
        <v>5.0</v>
      </c>
      <c r="G859" s="7"/>
      <c r="H859" s="7"/>
      <c r="I859" s="7"/>
      <c r="J859" s="7">
        <v>138.0</v>
      </c>
      <c r="K859" s="7" t="s">
        <v>20781</v>
      </c>
      <c r="L859" s="7">
        <v>97430.0</v>
      </c>
      <c r="M859" s="7" t="s">
        <v>71</v>
      </c>
      <c r="N859" s="7" t="s">
        <v>3501</v>
      </c>
      <c r="O859" s="6" t="s">
        <v>20934</v>
      </c>
      <c r="P859" s="42" t="s">
        <v>9593</v>
      </c>
      <c r="Q859" s="43" t="s">
        <v>20783</v>
      </c>
      <c r="R859" s="50"/>
      <c r="S859" s="51"/>
      <c r="T859" s="7"/>
      <c r="U859" s="7"/>
      <c r="V859" s="7"/>
      <c r="W859" s="6" t="s">
        <v>20784</v>
      </c>
      <c r="X859" s="7" t="s">
        <v>8516</v>
      </c>
      <c r="Y859" s="7" t="s">
        <v>3816</v>
      </c>
      <c r="Z859" s="7" t="s">
        <v>1508</v>
      </c>
      <c r="AA859" s="7"/>
      <c r="AB859" s="7"/>
      <c r="AC859" s="7"/>
      <c r="AD859" s="7"/>
      <c r="AE859" s="6" t="s">
        <v>401</v>
      </c>
      <c r="AF859" s="74"/>
      <c r="AG859" s="7" t="s">
        <v>20785</v>
      </c>
      <c r="AH859" s="75" t="s">
        <v>20935</v>
      </c>
      <c r="AI859" s="7"/>
      <c r="AJ859" s="7"/>
      <c r="AK859" s="7" t="b">
        <v>0</v>
      </c>
      <c r="AL859" s="7" t="b">
        <v>0</v>
      </c>
      <c r="AM859" s="6" t="s">
        <v>20936</v>
      </c>
      <c r="AN859" s="7"/>
      <c r="AO859" s="7"/>
      <c r="AP859" s="7"/>
      <c r="AQ859" s="6" t="b">
        <v>0</v>
      </c>
      <c r="AR859" s="6"/>
      <c r="AS859" s="6"/>
    </row>
    <row r="860" ht="15.75" customHeight="1">
      <c r="A860" s="7" t="s">
        <v>9603</v>
      </c>
      <c r="B860" s="7" t="s">
        <v>20937</v>
      </c>
      <c r="C860" s="7" t="s">
        <v>58</v>
      </c>
      <c r="D860" s="7" t="s">
        <v>453</v>
      </c>
      <c r="E860" s="7" t="s">
        <v>454</v>
      </c>
      <c r="F860" s="7">
        <v>4.0</v>
      </c>
      <c r="G860" s="7"/>
      <c r="H860" s="7"/>
      <c r="I860" s="7"/>
      <c r="J860" s="7">
        <v>48.0</v>
      </c>
      <c r="K860" s="7" t="s">
        <v>20938</v>
      </c>
      <c r="L860" s="7">
        <v>97430.0</v>
      </c>
      <c r="M860" s="7" t="s">
        <v>71</v>
      </c>
      <c r="N860" s="7"/>
      <c r="O860" s="6" t="s">
        <v>20939</v>
      </c>
      <c r="P860" s="42" t="s">
        <v>9606</v>
      </c>
      <c r="Q860" s="43" t="s">
        <v>20940</v>
      </c>
      <c r="R860" s="50"/>
      <c r="S860" s="51"/>
      <c r="T860" s="7" t="s">
        <v>9607</v>
      </c>
      <c r="U860" s="7"/>
      <c r="V860" s="7"/>
      <c r="W860" s="7"/>
      <c r="X860" s="7"/>
      <c r="Y860" s="7"/>
      <c r="Z860" s="7"/>
      <c r="AA860" s="7"/>
      <c r="AB860" s="7"/>
      <c r="AC860" s="7"/>
      <c r="AD860" s="7"/>
      <c r="AE860" s="6" t="s">
        <v>401</v>
      </c>
      <c r="AF860" s="45">
        <v>45761.47326388889</v>
      </c>
      <c r="AG860" s="7" t="s">
        <v>20941</v>
      </c>
      <c r="AH860" s="46" t="s">
        <v>20942</v>
      </c>
      <c r="AI860" s="7"/>
      <c r="AJ860" s="6" t="s">
        <v>20943</v>
      </c>
      <c r="AK860" s="7" t="b">
        <v>0</v>
      </c>
      <c r="AL860" s="7" t="b">
        <v>0</v>
      </c>
      <c r="AM860" s="6" t="s">
        <v>9610</v>
      </c>
      <c r="AN860" s="6" t="s">
        <v>9603</v>
      </c>
      <c r="AO860" s="6"/>
      <c r="AP860" s="6"/>
      <c r="AQ860" s="6" t="b">
        <v>1</v>
      </c>
      <c r="AR860" s="6"/>
      <c r="AS860" s="6"/>
    </row>
    <row r="861" ht="15.75" customHeight="1">
      <c r="A861" s="7" t="s">
        <v>9648</v>
      </c>
      <c r="B861" s="7" t="s">
        <v>20944</v>
      </c>
      <c r="C861" s="7" t="s">
        <v>58</v>
      </c>
      <c r="D861" s="7" t="s">
        <v>59</v>
      </c>
      <c r="E861" s="7"/>
      <c r="F861" s="7">
        <v>15.0</v>
      </c>
      <c r="G861" s="7"/>
      <c r="H861" s="7"/>
      <c r="I861" s="7"/>
      <c r="J861" s="7">
        <v>20.0</v>
      </c>
      <c r="K861" s="7" t="s">
        <v>12901</v>
      </c>
      <c r="L861" s="7">
        <v>97418.0</v>
      </c>
      <c r="M861" s="7" t="s">
        <v>71</v>
      </c>
      <c r="N861" s="7" t="s">
        <v>216</v>
      </c>
      <c r="O861" s="7" t="s">
        <v>9654</v>
      </c>
      <c r="P861" s="42" t="s">
        <v>9651</v>
      </c>
      <c r="Q861" s="43" t="s">
        <v>20945</v>
      </c>
      <c r="R861" s="50"/>
      <c r="S861" s="51"/>
      <c r="T861" s="7"/>
      <c r="U861" s="7"/>
      <c r="V861" s="7"/>
      <c r="W861" s="7"/>
      <c r="X861" s="7"/>
      <c r="Y861" s="7"/>
      <c r="Z861" s="7"/>
      <c r="AA861" s="7"/>
      <c r="AB861" s="7"/>
      <c r="AC861" s="7"/>
      <c r="AD861" s="7"/>
      <c r="AE861" s="6" t="s">
        <v>12355</v>
      </c>
      <c r="AF861" s="74"/>
      <c r="AG861" s="7" t="s">
        <v>20946</v>
      </c>
      <c r="AH861" s="75" t="s">
        <v>20947</v>
      </c>
      <c r="AI861" s="7"/>
      <c r="AJ861" s="7"/>
      <c r="AK861" s="7" t="b">
        <v>0</v>
      </c>
      <c r="AL861" s="7" t="b">
        <v>0</v>
      </c>
      <c r="AM861" s="6" t="s">
        <v>9655</v>
      </c>
      <c r="AN861" s="7"/>
      <c r="AO861" s="7"/>
      <c r="AP861" s="7"/>
      <c r="AQ861" s="6" t="b">
        <v>0</v>
      </c>
      <c r="AR861" s="6"/>
      <c r="AS861" s="48" t="s">
        <v>12303</v>
      </c>
    </row>
    <row r="862" ht="15.75" customHeight="1">
      <c r="A862" s="7" t="s">
        <v>9688</v>
      </c>
      <c r="B862" s="7" t="s">
        <v>9689</v>
      </c>
      <c r="C862" s="7" t="s">
        <v>58</v>
      </c>
      <c r="D862" s="7" t="s">
        <v>59</v>
      </c>
      <c r="E862" s="7"/>
      <c r="F862" s="7">
        <v>6.0</v>
      </c>
      <c r="G862" s="7"/>
      <c r="H862" s="7"/>
      <c r="I862" s="7"/>
      <c r="J862" s="7">
        <v>88.0</v>
      </c>
      <c r="K862" s="7" t="s">
        <v>15865</v>
      </c>
      <c r="L862" s="7">
        <v>97430.0</v>
      </c>
      <c r="M862" s="7" t="s">
        <v>71</v>
      </c>
      <c r="N862" s="7"/>
      <c r="O862" s="6" t="s">
        <v>20948</v>
      </c>
      <c r="P862" s="42" t="s">
        <v>9691</v>
      </c>
      <c r="Q862" s="43" t="s">
        <v>20949</v>
      </c>
      <c r="R862" s="50"/>
      <c r="S862" s="51"/>
      <c r="T862" s="7"/>
      <c r="U862" s="7" t="s">
        <v>9692</v>
      </c>
      <c r="V862" s="7"/>
      <c r="W862" s="7"/>
      <c r="X862" s="7"/>
      <c r="Y862" s="7" t="s">
        <v>377</v>
      </c>
      <c r="Z862" s="7" t="s">
        <v>8505</v>
      </c>
      <c r="AA862" s="7" t="s">
        <v>3806</v>
      </c>
      <c r="AB862" s="7" t="s">
        <v>1590</v>
      </c>
      <c r="AC862" s="7">
        <v>4.4459926000023E13</v>
      </c>
      <c r="AD862" s="7">
        <v>4.4459926E8</v>
      </c>
      <c r="AE862" s="6" t="s">
        <v>401</v>
      </c>
      <c r="AF862" s="74"/>
      <c r="AG862" s="7" t="s">
        <v>20950</v>
      </c>
      <c r="AH862" s="46" t="s">
        <v>20951</v>
      </c>
      <c r="AI862" s="7"/>
      <c r="AJ862" s="7"/>
      <c r="AK862" s="7" t="b">
        <v>0</v>
      </c>
      <c r="AL862" s="7" t="b">
        <v>0</v>
      </c>
      <c r="AM862" s="6" t="s">
        <v>9696</v>
      </c>
      <c r="AN862" s="6" t="s">
        <v>9688</v>
      </c>
      <c r="AO862" s="7"/>
      <c r="AP862" s="7"/>
      <c r="AQ862" s="6" t="b">
        <v>0</v>
      </c>
      <c r="AR862" s="6"/>
      <c r="AS862" s="6"/>
    </row>
    <row r="863" ht="15.75" customHeight="1">
      <c r="A863" s="7" t="s">
        <v>9708</v>
      </c>
      <c r="B863" s="7" t="s">
        <v>9709</v>
      </c>
      <c r="C863" s="6" t="s">
        <v>117</v>
      </c>
      <c r="D863" s="7"/>
      <c r="E863" s="7"/>
      <c r="F863" s="7"/>
      <c r="G863" s="7"/>
      <c r="H863" s="7"/>
      <c r="I863" s="7"/>
      <c r="J863" s="7">
        <v>2.0</v>
      </c>
      <c r="K863" s="7" t="s">
        <v>20952</v>
      </c>
      <c r="L863" s="7">
        <v>97480.0</v>
      </c>
      <c r="M863" s="7" t="s">
        <v>123</v>
      </c>
      <c r="N863" s="7"/>
      <c r="O863" s="7" t="s">
        <v>9712</v>
      </c>
      <c r="P863" s="42" t="s">
        <v>1699</v>
      </c>
      <c r="Q863" s="43" t="s">
        <v>20953</v>
      </c>
      <c r="R863" s="43" t="s">
        <v>20954</v>
      </c>
      <c r="S863" s="47" t="s">
        <v>1695</v>
      </c>
      <c r="T863" s="7"/>
      <c r="U863" s="7"/>
      <c r="V863" s="7"/>
      <c r="W863" s="7"/>
      <c r="X863" s="7"/>
      <c r="Y863" s="7"/>
      <c r="Z863" s="7"/>
      <c r="AA863" s="7"/>
      <c r="AB863" s="7"/>
      <c r="AC863" s="7"/>
      <c r="AD863" s="7"/>
      <c r="AE863" s="6" t="s">
        <v>401</v>
      </c>
      <c r="AF863" s="74"/>
      <c r="AG863" s="7" t="s">
        <v>20955</v>
      </c>
      <c r="AH863" s="75" t="s">
        <v>20956</v>
      </c>
      <c r="AI863" s="7"/>
      <c r="AJ863" s="7"/>
      <c r="AK863" s="7" t="b">
        <v>0</v>
      </c>
      <c r="AL863" s="7" t="b">
        <v>0</v>
      </c>
      <c r="AM863" s="7"/>
      <c r="AN863" s="7"/>
      <c r="AO863" s="7"/>
      <c r="AP863" s="7"/>
      <c r="AQ863" s="6" t="b">
        <v>0</v>
      </c>
      <c r="AR863" s="6"/>
      <c r="AS863" s="6"/>
    </row>
    <row r="864" ht="15.75" customHeight="1">
      <c r="A864" s="7" t="s">
        <v>9736</v>
      </c>
      <c r="B864" s="7" t="s">
        <v>20957</v>
      </c>
      <c r="C864" s="7" t="s">
        <v>58</v>
      </c>
      <c r="D864" s="7" t="s">
        <v>59</v>
      </c>
      <c r="E864" s="6" t="s">
        <v>20958</v>
      </c>
      <c r="F864" s="7">
        <v>6.0</v>
      </c>
      <c r="G864" s="7" t="s">
        <v>455</v>
      </c>
      <c r="H864" s="7"/>
      <c r="I864" s="7"/>
      <c r="J864" s="7">
        <v>29.0</v>
      </c>
      <c r="K864" s="7" t="s">
        <v>20959</v>
      </c>
      <c r="L864" s="7">
        <v>97418.0</v>
      </c>
      <c r="M864" s="7" t="s">
        <v>71</v>
      </c>
      <c r="N864" s="7" t="s">
        <v>216</v>
      </c>
      <c r="O864" s="6" t="s">
        <v>20960</v>
      </c>
      <c r="P864" s="42" t="s">
        <v>9740</v>
      </c>
      <c r="Q864" s="49" t="s">
        <v>20961</v>
      </c>
      <c r="R864" s="50"/>
      <c r="S864" s="51"/>
      <c r="T864" s="6" t="s">
        <v>20962</v>
      </c>
      <c r="U864" s="7" t="s">
        <v>9741</v>
      </c>
      <c r="V864" s="7"/>
      <c r="W864" s="6" t="s">
        <v>20963</v>
      </c>
      <c r="X864" s="6" t="s">
        <v>20964</v>
      </c>
      <c r="Y864" s="6" t="s">
        <v>16773</v>
      </c>
      <c r="Z864" s="6" t="s">
        <v>592</v>
      </c>
      <c r="AA864" s="7"/>
      <c r="AB864" s="7"/>
      <c r="AC864" s="7">
        <v>4.851088490002E13</v>
      </c>
      <c r="AD864" s="7">
        <v>4.85108849E8</v>
      </c>
      <c r="AE864" s="6" t="s">
        <v>401</v>
      </c>
      <c r="AF864" s="45">
        <v>46031.55284722222</v>
      </c>
      <c r="AG864" s="7" t="s">
        <v>20965</v>
      </c>
      <c r="AH864" s="46" t="s">
        <v>20966</v>
      </c>
      <c r="AI864" s="7"/>
      <c r="AJ864" s="6" t="s">
        <v>20967</v>
      </c>
      <c r="AK864" s="7" t="b">
        <v>0</v>
      </c>
      <c r="AL864" s="6" t="b">
        <v>1</v>
      </c>
      <c r="AM864" s="6" t="s">
        <v>9744</v>
      </c>
      <c r="AN864" s="6" t="s">
        <v>9736</v>
      </c>
      <c r="AO864" s="7"/>
      <c r="AP864" s="7"/>
      <c r="AQ864" s="6" t="b">
        <v>0</v>
      </c>
      <c r="AR864" s="6"/>
      <c r="AS864" s="48" t="s">
        <v>12303</v>
      </c>
    </row>
    <row r="865" ht="15.75" customHeight="1">
      <c r="A865" s="7" t="s">
        <v>9757</v>
      </c>
      <c r="B865" s="7" t="s">
        <v>9758</v>
      </c>
      <c r="C865" s="7" t="s">
        <v>34</v>
      </c>
      <c r="D865" s="7" t="s">
        <v>622</v>
      </c>
      <c r="E865" s="7"/>
      <c r="F865" s="7">
        <v>12.0</v>
      </c>
      <c r="G865" s="7"/>
      <c r="H865" s="7"/>
      <c r="I865" s="7"/>
      <c r="J865" s="7">
        <v>4.0</v>
      </c>
      <c r="K865" s="7" t="s">
        <v>20968</v>
      </c>
      <c r="L865" s="7">
        <v>97480.0</v>
      </c>
      <c r="M865" s="7" t="s">
        <v>123</v>
      </c>
      <c r="N865" s="7" t="s">
        <v>8325</v>
      </c>
      <c r="O865" s="7" t="s">
        <v>9760</v>
      </c>
      <c r="P865" s="42"/>
      <c r="Q865" s="43" t="s">
        <v>20969</v>
      </c>
      <c r="R865" s="50"/>
      <c r="S865" s="51"/>
      <c r="T865" s="7"/>
      <c r="U865" s="7"/>
      <c r="V865" s="7"/>
      <c r="W865" s="7"/>
      <c r="X865" s="7"/>
      <c r="Y865" s="7"/>
      <c r="Z865" s="7"/>
      <c r="AA865" s="7"/>
      <c r="AB865" s="7"/>
      <c r="AC865" s="7"/>
      <c r="AD865" s="7"/>
      <c r="AE865" s="6" t="s">
        <v>12355</v>
      </c>
      <c r="AF865" s="74"/>
      <c r="AG865" s="7" t="s">
        <v>20970</v>
      </c>
      <c r="AH865" s="75" t="s">
        <v>20971</v>
      </c>
      <c r="AI865" s="7"/>
      <c r="AJ865" s="7"/>
      <c r="AK865" s="7" t="b">
        <v>0</v>
      </c>
      <c r="AL865" s="7" t="b">
        <v>0</v>
      </c>
      <c r="AM865" s="7"/>
      <c r="AN865" s="7"/>
      <c r="AO865" s="7"/>
      <c r="AP865" s="7"/>
      <c r="AQ865" s="6" t="b">
        <v>0</v>
      </c>
      <c r="AR865" s="6"/>
      <c r="AS865" s="6"/>
    </row>
    <row r="866" ht="15.75" customHeight="1">
      <c r="A866" s="7" t="s">
        <v>9787</v>
      </c>
      <c r="B866" s="7" t="s">
        <v>9788</v>
      </c>
      <c r="C866" s="7" t="s">
        <v>58</v>
      </c>
      <c r="D866" s="7" t="s">
        <v>453</v>
      </c>
      <c r="E866" s="7" t="s">
        <v>454</v>
      </c>
      <c r="F866" s="7">
        <v>6.0</v>
      </c>
      <c r="G866" s="7"/>
      <c r="H866" s="7"/>
      <c r="I866" s="7"/>
      <c r="J866" s="7">
        <v>69.0</v>
      </c>
      <c r="K866" s="7" t="s">
        <v>20972</v>
      </c>
      <c r="L866" s="7">
        <v>97480.0</v>
      </c>
      <c r="M866" s="7" t="s">
        <v>123</v>
      </c>
      <c r="N866" s="7"/>
      <c r="O866" s="7" t="s">
        <v>9793</v>
      </c>
      <c r="P866" s="42" t="s">
        <v>9790</v>
      </c>
      <c r="Q866" s="43" t="s">
        <v>20973</v>
      </c>
      <c r="R866" s="50"/>
      <c r="S866" s="51"/>
      <c r="T866" s="7"/>
      <c r="U866" s="7"/>
      <c r="V866" s="7"/>
      <c r="W866" s="7"/>
      <c r="X866" s="7"/>
      <c r="Y866" s="7"/>
      <c r="Z866" s="7"/>
      <c r="AA866" s="7"/>
      <c r="AB866" s="7"/>
      <c r="AC866" s="7"/>
      <c r="AD866" s="7"/>
      <c r="AE866" s="6" t="s">
        <v>12355</v>
      </c>
      <c r="AF866" s="74"/>
      <c r="AG866" s="7" t="s">
        <v>20974</v>
      </c>
      <c r="AH866" s="46" t="s">
        <v>20975</v>
      </c>
      <c r="AI866" s="7"/>
      <c r="AJ866" s="7"/>
      <c r="AK866" s="7" t="b">
        <v>0</v>
      </c>
      <c r="AL866" s="7" t="b">
        <v>0</v>
      </c>
      <c r="AM866" s="6" t="s">
        <v>9794</v>
      </c>
      <c r="AN866" s="6" t="s">
        <v>9787</v>
      </c>
      <c r="AO866" s="7"/>
      <c r="AP866" s="7"/>
      <c r="AQ866" s="6" t="b">
        <v>0</v>
      </c>
      <c r="AR866" s="6"/>
      <c r="AS866" s="6"/>
    </row>
    <row r="867" ht="15.75" customHeight="1">
      <c r="A867" s="7" t="s">
        <v>9901</v>
      </c>
      <c r="B867" s="6" t="s">
        <v>20976</v>
      </c>
      <c r="C867" s="7" t="s">
        <v>58</v>
      </c>
      <c r="D867" s="7" t="s">
        <v>59</v>
      </c>
      <c r="E867" s="7" t="s">
        <v>346</v>
      </c>
      <c r="F867" s="7">
        <v>4.0</v>
      </c>
      <c r="G867" s="7"/>
      <c r="H867" s="7"/>
      <c r="I867" s="7"/>
      <c r="J867" s="41" t="s">
        <v>13933</v>
      </c>
      <c r="K867" s="7" t="s">
        <v>33</v>
      </c>
      <c r="L867" s="7">
        <v>97442.0</v>
      </c>
      <c r="M867" s="7" t="s">
        <v>33</v>
      </c>
      <c r="N867" s="7"/>
      <c r="O867" s="6" t="s">
        <v>20977</v>
      </c>
      <c r="P867" s="42" t="s">
        <v>9905</v>
      </c>
      <c r="Q867" s="43" t="s">
        <v>20978</v>
      </c>
      <c r="R867" s="50"/>
      <c r="S867" s="51"/>
      <c r="T867" s="7"/>
      <c r="U867" s="7"/>
      <c r="V867" s="7"/>
      <c r="W867" s="6" t="s">
        <v>20979</v>
      </c>
      <c r="X867" s="7"/>
      <c r="Y867" s="7" t="s">
        <v>377</v>
      </c>
      <c r="Z867" s="7" t="s">
        <v>353</v>
      </c>
      <c r="AA867" s="7"/>
      <c r="AB867" s="7"/>
      <c r="AC867" s="7"/>
      <c r="AD867" s="7"/>
      <c r="AE867" s="6" t="s">
        <v>12355</v>
      </c>
      <c r="AF867" s="45">
        <v>45434.372511574074</v>
      </c>
      <c r="AG867" s="7" t="s">
        <v>20980</v>
      </c>
      <c r="AH867" s="46" t="s">
        <v>20981</v>
      </c>
      <c r="AI867" s="7"/>
      <c r="AJ867" s="7"/>
      <c r="AK867" s="7" t="b">
        <v>0</v>
      </c>
      <c r="AL867" s="7" t="b">
        <v>0</v>
      </c>
      <c r="AM867" s="6" t="s">
        <v>9910</v>
      </c>
      <c r="AN867" s="6" t="s">
        <v>9901</v>
      </c>
      <c r="AO867" s="7"/>
      <c r="AP867" s="7"/>
      <c r="AQ867" s="6" t="b">
        <v>0</v>
      </c>
      <c r="AR867" s="6"/>
      <c r="AS867" s="48" t="s">
        <v>12303</v>
      </c>
    </row>
    <row r="868" ht="15.75" customHeight="1">
      <c r="A868" s="7" t="s">
        <v>9949</v>
      </c>
      <c r="B868" s="7" t="s">
        <v>9950</v>
      </c>
      <c r="C868" s="7" t="s">
        <v>58</v>
      </c>
      <c r="D868" s="7" t="s">
        <v>137</v>
      </c>
      <c r="E868" s="7" t="s">
        <v>545</v>
      </c>
      <c r="F868" s="7">
        <v>15.0</v>
      </c>
      <c r="G868" s="7" t="s">
        <v>455</v>
      </c>
      <c r="H868" s="7"/>
      <c r="I868" s="7"/>
      <c r="J868" s="41" t="s">
        <v>13933</v>
      </c>
      <c r="K868" s="7" t="s">
        <v>8701</v>
      </c>
      <c r="L868" s="7">
        <v>97414.0</v>
      </c>
      <c r="M868" s="7" t="s">
        <v>40</v>
      </c>
      <c r="N868" s="6" t="s">
        <v>8701</v>
      </c>
      <c r="O868" s="7" t="s">
        <v>8707</v>
      </c>
      <c r="P868" s="53" t="s">
        <v>9952</v>
      </c>
      <c r="Q868" s="43" t="s">
        <v>20982</v>
      </c>
      <c r="R868" s="43" t="s">
        <v>20983</v>
      </c>
      <c r="S868" s="51"/>
      <c r="T868" s="6" t="s">
        <v>20984</v>
      </c>
      <c r="U868" s="7"/>
      <c r="V868" s="6" t="s">
        <v>20985</v>
      </c>
      <c r="W868" s="6" t="s">
        <v>18360</v>
      </c>
      <c r="X868" s="7"/>
      <c r="Y868" s="7" t="s">
        <v>377</v>
      </c>
      <c r="Z868" s="6" t="s">
        <v>20986</v>
      </c>
      <c r="AA868" s="7" t="s">
        <v>4266</v>
      </c>
      <c r="AB868" s="7" t="s">
        <v>1876</v>
      </c>
      <c r="AC868" s="6">
        <v>8.84902511E8</v>
      </c>
      <c r="AD868" s="6">
        <v>8.84902511E8</v>
      </c>
      <c r="AE868" s="6" t="s">
        <v>401</v>
      </c>
      <c r="AF868" s="45">
        <v>45709.44851851852</v>
      </c>
      <c r="AG868" s="7" t="s">
        <v>20987</v>
      </c>
      <c r="AH868" s="46" t="s">
        <v>20988</v>
      </c>
      <c r="AI868" s="7"/>
      <c r="AJ868" s="6" t="s">
        <v>20989</v>
      </c>
      <c r="AK868" s="6" t="b">
        <v>1</v>
      </c>
      <c r="AL868" s="7" t="b">
        <v>0</v>
      </c>
      <c r="AM868" s="6" t="s">
        <v>7630</v>
      </c>
      <c r="AN868" s="6" t="s">
        <v>9949</v>
      </c>
      <c r="AO868" s="6">
        <v>2719.0</v>
      </c>
      <c r="AP868" s="6"/>
      <c r="AQ868" s="6" t="b">
        <v>1</v>
      </c>
      <c r="AR868" s="6" t="s">
        <v>20990</v>
      </c>
      <c r="AS868" s="48" t="s">
        <v>12303</v>
      </c>
    </row>
    <row r="869" ht="15.75" customHeight="1">
      <c r="A869" s="7" t="s">
        <v>9978</v>
      </c>
      <c r="B869" s="7" t="s">
        <v>9979</v>
      </c>
      <c r="C869" s="7" t="s">
        <v>34</v>
      </c>
      <c r="D869" s="7" t="s">
        <v>622</v>
      </c>
      <c r="E869" s="7"/>
      <c r="F869" s="7">
        <v>80.0</v>
      </c>
      <c r="G869" s="7"/>
      <c r="H869" s="7"/>
      <c r="I869" s="7"/>
      <c r="J869" s="7">
        <v>37.0</v>
      </c>
      <c r="K869" s="7" t="s">
        <v>20991</v>
      </c>
      <c r="L869" s="7">
        <v>97480.0</v>
      </c>
      <c r="M869" s="7" t="s">
        <v>123</v>
      </c>
      <c r="N869" s="7"/>
      <c r="O869" s="7" t="s">
        <v>9982</v>
      </c>
      <c r="P869" s="42" t="s">
        <v>20101</v>
      </c>
      <c r="Q869" s="43" t="s">
        <v>20992</v>
      </c>
      <c r="R869" s="50" t="s">
        <v>12350</v>
      </c>
      <c r="S869" s="51"/>
      <c r="T869" s="7"/>
      <c r="U869" s="7"/>
      <c r="V869" s="7"/>
      <c r="W869" s="7"/>
      <c r="X869" s="7"/>
      <c r="Y869" s="7"/>
      <c r="Z869" s="7"/>
      <c r="AA869" s="7"/>
      <c r="AB869" s="7"/>
      <c r="AC869" s="7"/>
      <c r="AD869" s="7"/>
      <c r="AE869" s="6" t="s">
        <v>12355</v>
      </c>
      <c r="AF869" s="74"/>
      <c r="AG869" s="7" t="s">
        <v>20993</v>
      </c>
      <c r="AH869" s="75" t="s">
        <v>20994</v>
      </c>
      <c r="AI869" s="7"/>
      <c r="AJ869" s="7"/>
      <c r="AK869" s="7" t="b">
        <v>0</v>
      </c>
      <c r="AL869" s="7" t="b">
        <v>0</v>
      </c>
      <c r="AM869" s="7"/>
      <c r="AN869" s="7"/>
      <c r="AO869" s="7"/>
      <c r="AP869" s="7"/>
      <c r="AQ869" s="6" t="b">
        <v>0</v>
      </c>
      <c r="AR869" s="6"/>
      <c r="AS869" s="6"/>
    </row>
    <row r="870" ht="15.75" customHeight="1">
      <c r="A870" s="7" t="s">
        <v>9993</v>
      </c>
      <c r="B870" s="7" t="s">
        <v>9994</v>
      </c>
      <c r="C870" s="7" t="s">
        <v>58</v>
      </c>
      <c r="D870" s="7" t="s">
        <v>59</v>
      </c>
      <c r="E870" s="7" t="s">
        <v>346</v>
      </c>
      <c r="F870" s="7">
        <v>15.0</v>
      </c>
      <c r="G870" s="7"/>
      <c r="H870" s="7"/>
      <c r="I870" s="7"/>
      <c r="J870" s="7">
        <v>135.0</v>
      </c>
      <c r="K870" s="7" t="s">
        <v>12511</v>
      </c>
      <c r="L870" s="7">
        <v>97480.0</v>
      </c>
      <c r="M870" s="7" t="s">
        <v>123</v>
      </c>
      <c r="N870" s="7"/>
      <c r="O870" s="7" t="s">
        <v>10002</v>
      </c>
      <c r="P870" s="42" t="s">
        <v>9998</v>
      </c>
      <c r="Q870" s="43" t="s">
        <v>20995</v>
      </c>
      <c r="R870" s="50" t="s">
        <v>12350</v>
      </c>
      <c r="S870" s="51"/>
      <c r="T870" s="7"/>
      <c r="U870" s="7"/>
      <c r="V870" s="7"/>
      <c r="W870" s="6" t="s">
        <v>20996</v>
      </c>
      <c r="X870" s="7"/>
      <c r="Y870" s="7" t="s">
        <v>9997</v>
      </c>
      <c r="Z870" s="7" t="s">
        <v>592</v>
      </c>
      <c r="AA870" s="7"/>
      <c r="AB870" s="7"/>
      <c r="AC870" s="7"/>
      <c r="AD870" s="7"/>
      <c r="AE870" s="6" t="s">
        <v>12355</v>
      </c>
      <c r="AF870" s="74"/>
      <c r="AG870" s="7" t="s">
        <v>20997</v>
      </c>
      <c r="AH870" s="75" t="s">
        <v>20998</v>
      </c>
      <c r="AI870" s="7"/>
      <c r="AJ870" s="7"/>
      <c r="AK870" s="7" t="b">
        <v>0</v>
      </c>
      <c r="AL870" s="7" t="b">
        <v>0</v>
      </c>
      <c r="AM870" s="6" t="s">
        <v>10003</v>
      </c>
      <c r="AN870" s="7"/>
      <c r="AO870" s="7"/>
      <c r="AP870" s="7"/>
      <c r="AQ870" s="6" t="b">
        <v>0</v>
      </c>
      <c r="AR870" s="6"/>
      <c r="AS870" s="6"/>
    </row>
    <row r="871" ht="15.75" customHeight="1">
      <c r="A871" s="7" t="s">
        <v>10005</v>
      </c>
      <c r="B871" s="7" t="s">
        <v>10006</v>
      </c>
      <c r="C871" s="7" t="s">
        <v>58</v>
      </c>
      <c r="D871" s="7" t="s">
        <v>59</v>
      </c>
      <c r="E871" s="7" t="s">
        <v>346</v>
      </c>
      <c r="F871" s="7">
        <v>17.0</v>
      </c>
      <c r="G871" s="7"/>
      <c r="H871" s="7"/>
      <c r="I871" s="7"/>
      <c r="J871" s="7"/>
      <c r="K871" s="7" t="s">
        <v>16613</v>
      </c>
      <c r="L871" s="7">
        <v>97418.0</v>
      </c>
      <c r="M871" s="7" t="s">
        <v>71</v>
      </c>
      <c r="N871" s="7" t="s">
        <v>216</v>
      </c>
      <c r="O871" s="7" t="s">
        <v>10012</v>
      </c>
      <c r="P871" s="42" t="s">
        <v>10008</v>
      </c>
      <c r="Q871" s="43" t="s">
        <v>20999</v>
      </c>
      <c r="R871" s="50" t="s">
        <v>12350</v>
      </c>
      <c r="S871" s="51"/>
      <c r="T871" s="7"/>
      <c r="U871" s="7"/>
      <c r="V871" s="7"/>
      <c r="W871" s="7"/>
      <c r="X871" s="7"/>
      <c r="Y871" s="7"/>
      <c r="Z871" s="7"/>
      <c r="AA871" s="7"/>
      <c r="AB871" s="7"/>
      <c r="AC871" s="7"/>
      <c r="AD871" s="7"/>
      <c r="AE871" s="6" t="s">
        <v>12355</v>
      </c>
      <c r="AF871" s="74"/>
      <c r="AG871" s="7" t="s">
        <v>21000</v>
      </c>
      <c r="AH871" s="46" t="s">
        <v>21001</v>
      </c>
      <c r="AI871" s="7"/>
      <c r="AJ871" s="7"/>
      <c r="AK871" s="7" t="b">
        <v>0</v>
      </c>
      <c r="AL871" s="7" t="b">
        <v>0</v>
      </c>
      <c r="AM871" s="6" t="s">
        <v>10013</v>
      </c>
      <c r="AN871" s="6" t="s">
        <v>10005</v>
      </c>
      <c r="AO871" s="7"/>
      <c r="AP871" s="7"/>
      <c r="AQ871" s="6" t="b">
        <v>0</v>
      </c>
      <c r="AR871" s="6"/>
      <c r="AS871" s="48" t="s">
        <v>12303</v>
      </c>
    </row>
    <row r="872" ht="15.75" customHeight="1">
      <c r="A872" s="7" t="s">
        <v>10014</v>
      </c>
      <c r="B872" s="7" t="s">
        <v>10015</v>
      </c>
      <c r="C872" s="7" t="s">
        <v>58</v>
      </c>
      <c r="D872" s="7" t="s">
        <v>59</v>
      </c>
      <c r="E872" s="7" t="s">
        <v>346</v>
      </c>
      <c r="F872" s="7">
        <v>20.0</v>
      </c>
      <c r="G872" s="7"/>
      <c r="H872" s="7"/>
      <c r="I872" s="7"/>
      <c r="J872" s="7" t="s">
        <v>18828</v>
      </c>
      <c r="K872" s="7" t="s">
        <v>21002</v>
      </c>
      <c r="L872" s="7">
        <v>97418.0</v>
      </c>
      <c r="M872" s="7" t="s">
        <v>71</v>
      </c>
      <c r="N872" s="7" t="s">
        <v>216</v>
      </c>
      <c r="O872" s="6" t="s">
        <v>21003</v>
      </c>
      <c r="P872" s="42" t="s">
        <v>10017</v>
      </c>
      <c r="Q872" s="43" t="s">
        <v>21004</v>
      </c>
      <c r="R872" s="50" t="s">
        <v>12350</v>
      </c>
      <c r="S872" s="51"/>
      <c r="T872" s="7" t="s">
        <v>10018</v>
      </c>
      <c r="U872" s="7"/>
      <c r="V872" s="7"/>
      <c r="W872" s="7"/>
      <c r="X872" s="7"/>
      <c r="Y872" s="7"/>
      <c r="Z872" s="7" t="s">
        <v>9333</v>
      </c>
      <c r="AA872" s="7"/>
      <c r="AB872" s="7"/>
      <c r="AC872" s="6">
        <v>8.8037052300016E13</v>
      </c>
      <c r="AD872" s="6">
        <v>8.80370523E8</v>
      </c>
      <c r="AE872" s="6" t="s">
        <v>401</v>
      </c>
      <c r="AF872" s="63">
        <v>45985.463692129626</v>
      </c>
      <c r="AG872" s="7" t="s">
        <v>21005</v>
      </c>
      <c r="AH872" s="46" t="s">
        <v>21006</v>
      </c>
      <c r="AI872" s="7"/>
      <c r="AJ872" s="6" t="s">
        <v>21007</v>
      </c>
      <c r="AK872" s="7" t="b">
        <v>0</v>
      </c>
      <c r="AL872" s="7" t="b">
        <v>0</v>
      </c>
      <c r="AM872" s="6" t="s">
        <v>21008</v>
      </c>
      <c r="AN872" s="6" t="s">
        <v>10014</v>
      </c>
      <c r="AO872" s="7"/>
      <c r="AP872" s="7"/>
      <c r="AQ872" s="6" t="b">
        <v>0</v>
      </c>
      <c r="AR872" s="6"/>
      <c r="AS872" s="48" t="s">
        <v>12303</v>
      </c>
    </row>
    <row r="873" ht="15.75" customHeight="1">
      <c r="A873" s="7" t="s">
        <v>10034</v>
      </c>
      <c r="B873" s="7" t="s">
        <v>10035</v>
      </c>
      <c r="C873" s="7" t="s">
        <v>58</v>
      </c>
      <c r="D873" s="7" t="s">
        <v>59</v>
      </c>
      <c r="E873" s="7" t="s">
        <v>346</v>
      </c>
      <c r="F873" s="7">
        <v>8.0</v>
      </c>
      <c r="G873" s="7" t="s">
        <v>375</v>
      </c>
      <c r="H873" s="7"/>
      <c r="I873" s="7"/>
      <c r="J873" s="7">
        <v>172.0</v>
      </c>
      <c r="K873" s="7" t="s">
        <v>12940</v>
      </c>
      <c r="L873" s="7">
        <v>97480.0</v>
      </c>
      <c r="M873" s="7" t="s">
        <v>123</v>
      </c>
      <c r="N873" s="7" t="s">
        <v>206</v>
      </c>
      <c r="O873" s="7" t="s">
        <v>10041</v>
      </c>
      <c r="P873" s="42" t="s">
        <v>10037</v>
      </c>
      <c r="Q873" s="43" t="s">
        <v>21009</v>
      </c>
      <c r="R873" s="50" t="s">
        <v>12350</v>
      </c>
      <c r="S873" s="51"/>
      <c r="T873" s="7"/>
      <c r="U873" s="7"/>
      <c r="V873" s="7"/>
      <c r="W873" s="6" t="s">
        <v>12532</v>
      </c>
      <c r="X873" s="7" t="s">
        <v>8613</v>
      </c>
      <c r="Y873" s="7" t="s">
        <v>3504</v>
      </c>
      <c r="Z873" s="7" t="s">
        <v>424</v>
      </c>
      <c r="AA873" s="7"/>
      <c r="AB873" s="7"/>
      <c r="AC873" s="7"/>
      <c r="AD873" s="7"/>
      <c r="AE873" s="6" t="s">
        <v>12355</v>
      </c>
      <c r="AF873" s="74"/>
      <c r="AG873" s="7" t="s">
        <v>13012</v>
      </c>
      <c r="AH873" s="75" t="s">
        <v>21010</v>
      </c>
      <c r="AI873" s="7"/>
      <c r="AJ873" s="7"/>
      <c r="AK873" s="7" t="b">
        <v>0</v>
      </c>
      <c r="AL873" s="7" t="b">
        <v>0</v>
      </c>
      <c r="AM873" s="6" t="s">
        <v>10042</v>
      </c>
      <c r="AN873" s="7"/>
      <c r="AO873" s="7"/>
      <c r="AP873" s="7"/>
      <c r="AQ873" s="6" t="b">
        <v>0</v>
      </c>
      <c r="AR873" s="6"/>
      <c r="AS873" s="6"/>
    </row>
    <row r="874" ht="15.75" customHeight="1">
      <c r="A874" s="7" t="s">
        <v>10044</v>
      </c>
      <c r="B874" s="7" t="s">
        <v>21011</v>
      </c>
      <c r="C874" s="7" t="s">
        <v>58</v>
      </c>
      <c r="D874" s="7" t="s">
        <v>59</v>
      </c>
      <c r="E874" s="7" t="s">
        <v>346</v>
      </c>
      <c r="F874" s="7">
        <v>8.0</v>
      </c>
      <c r="G874" s="7" t="s">
        <v>10047</v>
      </c>
      <c r="H874" s="7"/>
      <c r="I874" s="7"/>
      <c r="J874" s="6" t="s">
        <v>21012</v>
      </c>
      <c r="K874" s="7" t="s">
        <v>16492</v>
      </c>
      <c r="L874" s="7">
        <v>97430.0</v>
      </c>
      <c r="M874" s="7" t="s">
        <v>71</v>
      </c>
      <c r="N874" s="6" t="s">
        <v>8411</v>
      </c>
      <c r="O874" s="6" t="s">
        <v>21013</v>
      </c>
      <c r="P874" s="42" t="s">
        <v>10051</v>
      </c>
      <c r="Q874" s="49" t="s">
        <v>21014</v>
      </c>
      <c r="R874" s="50" t="s">
        <v>12350</v>
      </c>
      <c r="S874" s="51"/>
      <c r="T874" s="6" t="s">
        <v>21015</v>
      </c>
      <c r="U874" s="6" t="s">
        <v>21016</v>
      </c>
      <c r="V874" s="7"/>
      <c r="W874" s="6" t="s">
        <v>21017</v>
      </c>
      <c r="X874" s="7" t="s">
        <v>10049</v>
      </c>
      <c r="Y874" s="7" t="s">
        <v>9455</v>
      </c>
      <c r="Z874" s="7" t="s">
        <v>10050</v>
      </c>
      <c r="AA874" s="7"/>
      <c r="AB874" s="7"/>
      <c r="AC874" s="7">
        <v>8.8166806500017E13</v>
      </c>
      <c r="AD874" s="7">
        <v>8.81668065E8</v>
      </c>
      <c r="AE874" s="6" t="s">
        <v>401</v>
      </c>
      <c r="AF874" s="45">
        <v>45425.66652777778</v>
      </c>
      <c r="AG874" s="7" t="s">
        <v>21018</v>
      </c>
      <c r="AH874" s="46" t="s">
        <v>21019</v>
      </c>
      <c r="AI874" s="7"/>
      <c r="AJ874" s="6" t="s">
        <v>21020</v>
      </c>
      <c r="AK874" s="7" t="b">
        <v>0</v>
      </c>
      <c r="AL874" s="7" t="b">
        <v>0</v>
      </c>
      <c r="AM874" s="6" t="s">
        <v>21021</v>
      </c>
      <c r="AN874" s="6" t="s">
        <v>10044</v>
      </c>
      <c r="AO874" s="7"/>
      <c r="AP874" s="7"/>
      <c r="AQ874" s="6" t="b">
        <v>1</v>
      </c>
      <c r="AR874" s="6"/>
      <c r="AS874" s="6"/>
    </row>
    <row r="875" ht="15.75" customHeight="1">
      <c r="A875" s="7" t="s">
        <v>10104</v>
      </c>
      <c r="B875" s="7" t="s">
        <v>10105</v>
      </c>
      <c r="C875" s="7" t="s">
        <v>58</v>
      </c>
      <c r="D875" s="7" t="s">
        <v>59</v>
      </c>
      <c r="E875" s="7" t="s">
        <v>346</v>
      </c>
      <c r="F875" s="7">
        <v>18.0</v>
      </c>
      <c r="G875" s="7"/>
      <c r="H875" s="7" t="s">
        <v>2716</v>
      </c>
      <c r="I875" s="7"/>
      <c r="J875" s="7">
        <v>66.0</v>
      </c>
      <c r="K875" s="6" t="s">
        <v>21022</v>
      </c>
      <c r="L875" s="7">
        <v>97414.0</v>
      </c>
      <c r="M875" s="7" t="s">
        <v>40</v>
      </c>
      <c r="N875" s="7"/>
      <c r="O875" s="7" t="s">
        <v>9898</v>
      </c>
      <c r="P875" s="42" t="s">
        <v>10107</v>
      </c>
      <c r="Q875" s="43" t="s">
        <v>21023</v>
      </c>
      <c r="R875" s="50" t="s">
        <v>12350</v>
      </c>
      <c r="S875" s="51"/>
      <c r="T875" s="7"/>
      <c r="U875" s="7"/>
      <c r="V875" s="7"/>
      <c r="W875" s="7"/>
      <c r="X875" s="7"/>
      <c r="Y875" s="7"/>
      <c r="Z875" s="7"/>
      <c r="AA875" s="7"/>
      <c r="AB875" s="7"/>
      <c r="AC875" s="6">
        <v>7.889745900001E13</v>
      </c>
      <c r="AD875" s="6">
        <v>7.8897459E8</v>
      </c>
      <c r="AE875" s="6" t="s">
        <v>12355</v>
      </c>
      <c r="AF875" s="74"/>
      <c r="AG875" s="7" t="s">
        <v>21024</v>
      </c>
      <c r="AH875" s="46" t="s">
        <v>21025</v>
      </c>
      <c r="AI875" s="7"/>
      <c r="AJ875" s="7"/>
      <c r="AK875" s="7" t="b">
        <v>0</v>
      </c>
      <c r="AL875" s="7" t="b">
        <v>0</v>
      </c>
      <c r="AM875" s="6" t="s">
        <v>10111</v>
      </c>
      <c r="AN875" s="6" t="s">
        <v>10104</v>
      </c>
      <c r="AO875" s="7"/>
      <c r="AP875" s="7"/>
      <c r="AQ875" s="6" t="b">
        <v>0</v>
      </c>
      <c r="AR875" s="6"/>
      <c r="AS875" s="48" t="s">
        <v>12303</v>
      </c>
    </row>
    <row r="876" ht="15.75" customHeight="1">
      <c r="A876" s="6" t="s">
        <v>10649</v>
      </c>
      <c r="B876" s="6" t="s">
        <v>21026</v>
      </c>
      <c r="C876" s="7"/>
      <c r="D876" s="7"/>
      <c r="E876" s="7"/>
      <c r="F876" s="7"/>
      <c r="G876" s="7"/>
      <c r="H876" s="7"/>
      <c r="I876" s="7"/>
      <c r="J876" s="7"/>
      <c r="K876" s="7"/>
      <c r="L876" s="7"/>
      <c r="M876" s="6" t="s">
        <v>40</v>
      </c>
      <c r="N876" s="7"/>
      <c r="O876" s="6" t="s">
        <v>1450</v>
      </c>
      <c r="P876" s="42"/>
      <c r="Q876" s="43"/>
      <c r="R876" s="50"/>
      <c r="S876" s="51"/>
      <c r="T876" s="7"/>
      <c r="U876" s="7"/>
      <c r="V876" s="7"/>
      <c r="W876" s="7"/>
      <c r="X876" s="7"/>
      <c r="Y876" s="7"/>
      <c r="Z876" s="7"/>
      <c r="AA876" s="7"/>
      <c r="AB876" s="7"/>
      <c r="AC876" s="7"/>
      <c r="AD876" s="7"/>
      <c r="AE876" s="6" t="s">
        <v>12355</v>
      </c>
      <c r="AF876" s="74"/>
      <c r="AG876" s="7"/>
      <c r="AH876" s="73" t="s">
        <v>21027</v>
      </c>
      <c r="AI876" s="7"/>
      <c r="AJ876" s="7"/>
      <c r="AK876" s="7"/>
      <c r="AL876" s="7"/>
      <c r="AM876" s="6"/>
      <c r="AN876" s="7"/>
      <c r="AO876" s="7"/>
      <c r="AP876" s="65">
        <v>30811.0</v>
      </c>
      <c r="AQ876" s="6"/>
      <c r="AR876" s="6"/>
      <c r="AS876" s="6"/>
    </row>
    <row r="877" ht="15.75" customHeight="1">
      <c r="A877" s="6" t="s">
        <v>21028</v>
      </c>
      <c r="B877" s="6" t="s">
        <v>5246</v>
      </c>
      <c r="C877" s="7"/>
      <c r="D877" s="7"/>
      <c r="E877" s="7"/>
      <c r="F877" s="7"/>
      <c r="G877" s="7"/>
      <c r="H877" s="7"/>
      <c r="I877" s="7"/>
      <c r="J877" s="7"/>
      <c r="K877" s="7"/>
      <c r="L877" s="7"/>
      <c r="M877" s="6" t="s">
        <v>71</v>
      </c>
      <c r="N877" s="7"/>
      <c r="O877" s="6" t="s">
        <v>21029</v>
      </c>
      <c r="P877" s="42"/>
      <c r="Q877" s="43"/>
      <c r="R877" s="50"/>
      <c r="S877" s="51"/>
      <c r="T877" s="7"/>
      <c r="U877" s="7"/>
      <c r="V877" s="7"/>
      <c r="W877" s="7"/>
      <c r="X877" s="7"/>
      <c r="Y877" s="7"/>
      <c r="Z877" s="7"/>
      <c r="AA877" s="7"/>
      <c r="AB877" s="7"/>
      <c r="AC877" s="7"/>
      <c r="AD877" s="7"/>
      <c r="AE877" s="6" t="s">
        <v>12355</v>
      </c>
      <c r="AF877" s="74"/>
      <c r="AG877" s="7"/>
      <c r="AH877" s="73" t="s">
        <v>21030</v>
      </c>
      <c r="AI877" s="7"/>
      <c r="AJ877" s="7"/>
      <c r="AK877" s="7"/>
      <c r="AL877" s="7"/>
      <c r="AM877" s="6"/>
      <c r="AN877" s="7"/>
      <c r="AO877" s="7"/>
      <c r="AP877" s="65">
        <v>30811.0</v>
      </c>
      <c r="AQ877" s="6"/>
      <c r="AR877" s="6"/>
      <c r="AS877" s="6"/>
    </row>
    <row r="878" ht="15.75" customHeight="1">
      <c r="A878" s="6" t="s">
        <v>10784</v>
      </c>
      <c r="B878" s="6" t="s">
        <v>21031</v>
      </c>
      <c r="C878" s="7"/>
      <c r="D878" s="7"/>
      <c r="E878" s="7"/>
      <c r="F878" s="7"/>
      <c r="G878" s="7"/>
      <c r="H878" s="7"/>
      <c r="I878" s="7"/>
      <c r="J878" s="7"/>
      <c r="K878" s="7"/>
      <c r="L878" s="7"/>
      <c r="M878" s="6" t="s">
        <v>123</v>
      </c>
      <c r="N878" s="7"/>
      <c r="O878" s="6"/>
      <c r="P878" s="42"/>
      <c r="Q878" s="43"/>
      <c r="R878" s="50"/>
      <c r="S878" s="51"/>
      <c r="T878" s="7"/>
      <c r="U878" s="7"/>
      <c r="V878" s="7"/>
      <c r="W878" s="7"/>
      <c r="X878" s="7"/>
      <c r="Y878" s="7"/>
      <c r="Z878" s="7"/>
      <c r="AA878" s="7"/>
      <c r="AB878" s="7"/>
      <c r="AC878" s="7"/>
      <c r="AD878" s="7"/>
      <c r="AE878" s="6" t="s">
        <v>12355</v>
      </c>
      <c r="AF878" s="74"/>
      <c r="AG878" s="7"/>
      <c r="AH878" s="73" t="s">
        <v>21032</v>
      </c>
      <c r="AI878" s="7"/>
      <c r="AJ878" s="7"/>
      <c r="AK878" s="7"/>
      <c r="AL878" s="7"/>
      <c r="AM878" s="6"/>
      <c r="AN878" s="7"/>
      <c r="AO878" s="7"/>
      <c r="AP878" s="65">
        <v>30811.0</v>
      </c>
      <c r="AQ878" s="6"/>
      <c r="AR878" s="6"/>
      <c r="AS878" s="6"/>
    </row>
    <row r="879" ht="15.75" customHeight="1">
      <c r="A879" s="6" t="s">
        <v>10786</v>
      </c>
      <c r="B879" s="6" t="s">
        <v>4287</v>
      </c>
      <c r="C879" s="7"/>
      <c r="D879" s="7"/>
      <c r="E879" s="7"/>
      <c r="F879" s="7"/>
      <c r="G879" s="7"/>
      <c r="H879" s="7"/>
      <c r="I879" s="7"/>
      <c r="J879" s="7"/>
      <c r="K879" s="7"/>
      <c r="L879" s="7"/>
      <c r="M879" s="6" t="s">
        <v>71</v>
      </c>
      <c r="N879" s="7"/>
      <c r="O879" s="6" t="s">
        <v>4300</v>
      </c>
      <c r="P879" s="42"/>
      <c r="Q879" s="43"/>
      <c r="R879" s="50"/>
      <c r="S879" s="51"/>
      <c r="T879" s="7"/>
      <c r="U879" s="7"/>
      <c r="V879" s="7"/>
      <c r="W879" s="7"/>
      <c r="X879" s="7"/>
      <c r="Y879" s="7"/>
      <c r="Z879" s="7"/>
      <c r="AA879" s="7"/>
      <c r="AB879" s="7"/>
      <c r="AC879" s="7"/>
      <c r="AD879" s="7"/>
      <c r="AE879" s="6" t="s">
        <v>12355</v>
      </c>
      <c r="AF879" s="74"/>
      <c r="AG879" s="7"/>
      <c r="AH879" s="73" t="s">
        <v>21033</v>
      </c>
      <c r="AI879" s="7"/>
      <c r="AJ879" s="7"/>
      <c r="AK879" s="7"/>
      <c r="AL879" s="7"/>
      <c r="AM879" s="6"/>
      <c r="AN879" s="7"/>
      <c r="AO879" s="7"/>
      <c r="AP879" s="65">
        <v>30811.0</v>
      </c>
      <c r="AQ879" s="6"/>
      <c r="AR879" s="6"/>
      <c r="AS879" s="6"/>
    </row>
    <row r="880" ht="15.75" customHeight="1">
      <c r="A880" s="6" t="s">
        <v>10788</v>
      </c>
      <c r="B880" s="6" t="s">
        <v>21034</v>
      </c>
      <c r="C880" s="7"/>
      <c r="D880" s="7"/>
      <c r="E880" s="7"/>
      <c r="F880" s="7"/>
      <c r="G880" s="7"/>
      <c r="H880" s="7"/>
      <c r="I880" s="7"/>
      <c r="J880" s="7"/>
      <c r="K880" s="7"/>
      <c r="L880" s="7"/>
      <c r="M880" s="6" t="s">
        <v>123</v>
      </c>
      <c r="N880" s="7"/>
      <c r="O880" s="6" t="s">
        <v>2795</v>
      </c>
      <c r="P880" s="42"/>
      <c r="Q880" s="43"/>
      <c r="R880" s="50"/>
      <c r="S880" s="51"/>
      <c r="T880" s="7"/>
      <c r="U880" s="7"/>
      <c r="V880" s="7"/>
      <c r="W880" s="7"/>
      <c r="X880" s="7"/>
      <c r="Y880" s="7"/>
      <c r="Z880" s="7"/>
      <c r="AA880" s="7"/>
      <c r="AB880" s="7"/>
      <c r="AC880" s="7"/>
      <c r="AD880" s="7"/>
      <c r="AE880" s="6" t="s">
        <v>12355</v>
      </c>
      <c r="AF880" s="74"/>
      <c r="AG880" s="7"/>
      <c r="AH880" s="73" t="s">
        <v>21035</v>
      </c>
      <c r="AI880" s="7"/>
      <c r="AJ880" s="7"/>
      <c r="AK880" s="7"/>
      <c r="AL880" s="7"/>
      <c r="AM880" s="6"/>
      <c r="AN880" s="7"/>
      <c r="AO880" s="7"/>
      <c r="AP880" s="65">
        <v>30811.0</v>
      </c>
      <c r="AQ880" s="6"/>
      <c r="AR880" s="6"/>
      <c r="AS880" s="6"/>
    </row>
    <row r="881" ht="15.75" customHeight="1">
      <c r="A881" s="6" t="s">
        <v>21036</v>
      </c>
      <c r="B881" s="6" t="s">
        <v>21037</v>
      </c>
      <c r="C881" s="7"/>
      <c r="D881" s="7"/>
      <c r="E881" s="7"/>
      <c r="F881" s="7"/>
      <c r="G881" s="7"/>
      <c r="H881" s="7"/>
      <c r="I881" s="7"/>
      <c r="J881" s="7"/>
      <c r="K881" s="7"/>
      <c r="L881" s="7"/>
      <c r="M881" s="6" t="s">
        <v>71</v>
      </c>
      <c r="N881" s="7"/>
      <c r="O881" s="6" t="s">
        <v>495</v>
      </c>
      <c r="P881" s="42"/>
      <c r="Q881" s="43"/>
      <c r="R881" s="50"/>
      <c r="S881" s="51"/>
      <c r="T881" s="7"/>
      <c r="U881" s="7"/>
      <c r="V881" s="7"/>
      <c r="W881" s="7"/>
      <c r="X881" s="7"/>
      <c r="Y881" s="7"/>
      <c r="Z881" s="7"/>
      <c r="AA881" s="7"/>
      <c r="AB881" s="7"/>
      <c r="AC881" s="7"/>
      <c r="AD881" s="7"/>
      <c r="AE881" s="6" t="s">
        <v>12355</v>
      </c>
      <c r="AF881" s="74"/>
      <c r="AG881" s="7"/>
      <c r="AH881" s="73" t="s">
        <v>21038</v>
      </c>
      <c r="AI881" s="7"/>
      <c r="AJ881" s="7"/>
      <c r="AK881" s="7"/>
      <c r="AL881" s="7"/>
      <c r="AM881" s="6"/>
      <c r="AN881" s="7"/>
      <c r="AO881" s="7"/>
      <c r="AP881" s="65">
        <v>30811.0</v>
      </c>
      <c r="AQ881" s="6"/>
      <c r="AR881" s="6"/>
      <c r="AS881" s="6"/>
    </row>
    <row r="882" ht="15.75" customHeight="1">
      <c r="A882" s="6" t="s">
        <v>10790</v>
      </c>
      <c r="B882" s="6" t="s">
        <v>451</v>
      </c>
      <c r="C882" s="7"/>
      <c r="D882" s="7"/>
      <c r="E882" s="7"/>
      <c r="F882" s="7"/>
      <c r="G882" s="7"/>
      <c r="H882" s="7"/>
      <c r="I882" s="7"/>
      <c r="J882" s="7"/>
      <c r="K882" s="7"/>
      <c r="L882" s="7"/>
      <c r="M882" s="6" t="s">
        <v>123</v>
      </c>
      <c r="N882" s="7"/>
      <c r="O882" s="6" t="s">
        <v>463</v>
      </c>
      <c r="P882" s="42"/>
      <c r="Q882" s="43"/>
      <c r="R882" s="50"/>
      <c r="S882" s="51"/>
      <c r="T882" s="7"/>
      <c r="U882" s="7"/>
      <c r="V882" s="7"/>
      <c r="W882" s="7"/>
      <c r="X882" s="7"/>
      <c r="Y882" s="7"/>
      <c r="Z882" s="7"/>
      <c r="AA882" s="7"/>
      <c r="AB882" s="7"/>
      <c r="AC882" s="7"/>
      <c r="AD882" s="7"/>
      <c r="AE882" s="6" t="s">
        <v>12355</v>
      </c>
      <c r="AF882" s="74"/>
      <c r="AG882" s="7"/>
      <c r="AH882" s="73" t="s">
        <v>21039</v>
      </c>
      <c r="AI882" s="7"/>
      <c r="AJ882" s="7"/>
      <c r="AK882" s="7"/>
      <c r="AL882" s="7"/>
      <c r="AM882" s="6"/>
      <c r="AN882" s="7"/>
      <c r="AO882" s="7"/>
      <c r="AP882" s="65">
        <v>30811.0</v>
      </c>
      <c r="AQ882" s="6"/>
      <c r="AR882" s="6"/>
      <c r="AS882" s="6"/>
    </row>
    <row r="883" ht="15.75" customHeight="1">
      <c r="A883" s="6" t="s">
        <v>10792</v>
      </c>
      <c r="B883" s="6" t="s">
        <v>21040</v>
      </c>
      <c r="C883" s="7"/>
      <c r="D883" s="7"/>
      <c r="E883" s="7"/>
      <c r="F883" s="7"/>
      <c r="G883" s="7"/>
      <c r="H883" s="7"/>
      <c r="I883" s="7"/>
      <c r="J883" s="7"/>
      <c r="K883" s="7"/>
      <c r="L883" s="7"/>
      <c r="M883" s="6" t="s">
        <v>123</v>
      </c>
      <c r="N883" s="7"/>
      <c r="O883" s="6"/>
      <c r="P883" s="42"/>
      <c r="Q883" s="43"/>
      <c r="R883" s="50"/>
      <c r="S883" s="51"/>
      <c r="T883" s="7"/>
      <c r="U883" s="7"/>
      <c r="V883" s="7"/>
      <c r="W883" s="7"/>
      <c r="X883" s="7"/>
      <c r="Y883" s="7"/>
      <c r="Z883" s="7"/>
      <c r="AA883" s="7"/>
      <c r="AB883" s="7"/>
      <c r="AC883" s="7"/>
      <c r="AD883" s="7"/>
      <c r="AE883" s="6" t="s">
        <v>12355</v>
      </c>
      <c r="AF883" s="74"/>
      <c r="AG883" s="7"/>
      <c r="AH883" s="73" t="s">
        <v>21041</v>
      </c>
      <c r="AI883" s="7"/>
      <c r="AJ883" s="7"/>
      <c r="AK883" s="7"/>
      <c r="AL883" s="7"/>
      <c r="AM883" s="6"/>
      <c r="AN883" s="7"/>
      <c r="AO883" s="7"/>
      <c r="AP883" s="65">
        <v>30811.0</v>
      </c>
      <c r="AQ883" s="6"/>
      <c r="AR883" s="6"/>
      <c r="AS883" s="6"/>
    </row>
    <row r="884" ht="15.75" customHeight="1">
      <c r="A884" s="6" t="s">
        <v>10794</v>
      </c>
      <c r="B884" s="6" t="s">
        <v>21037</v>
      </c>
      <c r="C884" s="7"/>
      <c r="D884" s="7"/>
      <c r="E884" s="7"/>
      <c r="F884" s="7"/>
      <c r="G884" s="7"/>
      <c r="H884" s="7"/>
      <c r="I884" s="7"/>
      <c r="J884" s="7"/>
      <c r="K884" s="7"/>
      <c r="L884" s="7"/>
      <c r="M884" s="6" t="s">
        <v>71</v>
      </c>
      <c r="N884" s="7"/>
      <c r="O884" s="6" t="s">
        <v>495</v>
      </c>
      <c r="P884" s="42"/>
      <c r="Q884" s="43"/>
      <c r="R884" s="50"/>
      <c r="S884" s="51"/>
      <c r="T884" s="7"/>
      <c r="U884" s="7"/>
      <c r="V884" s="7"/>
      <c r="W884" s="7"/>
      <c r="X884" s="7"/>
      <c r="Y884" s="7"/>
      <c r="Z884" s="7"/>
      <c r="AA884" s="7"/>
      <c r="AB884" s="7"/>
      <c r="AC884" s="7"/>
      <c r="AD884" s="7"/>
      <c r="AE884" s="6" t="s">
        <v>12355</v>
      </c>
      <c r="AF884" s="74"/>
      <c r="AG884" s="7"/>
      <c r="AH884" s="73" t="s">
        <v>21042</v>
      </c>
      <c r="AI884" s="7"/>
      <c r="AJ884" s="7"/>
      <c r="AK884" s="7"/>
      <c r="AL884" s="7"/>
      <c r="AM884" s="6"/>
      <c r="AN884" s="7"/>
      <c r="AO884" s="7"/>
      <c r="AP884" s="65">
        <v>30811.0</v>
      </c>
      <c r="AQ884" s="6"/>
      <c r="AR884" s="6"/>
      <c r="AS884" s="6"/>
    </row>
    <row r="885" ht="15.75" customHeight="1">
      <c r="A885" s="6" t="s">
        <v>10796</v>
      </c>
      <c r="B885" s="6" t="s">
        <v>21043</v>
      </c>
      <c r="C885" s="7"/>
      <c r="D885" s="7"/>
      <c r="E885" s="7"/>
      <c r="F885" s="7"/>
      <c r="G885" s="7"/>
      <c r="H885" s="7"/>
      <c r="I885" s="7"/>
      <c r="J885" s="7"/>
      <c r="K885" s="7"/>
      <c r="L885" s="7"/>
      <c r="M885" s="6" t="s">
        <v>71</v>
      </c>
      <c r="N885" s="7"/>
      <c r="O885" s="6" t="s">
        <v>6750</v>
      </c>
      <c r="P885" s="42"/>
      <c r="Q885" s="43"/>
      <c r="R885" s="50"/>
      <c r="S885" s="51"/>
      <c r="T885" s="7"/>
      <c r="U885" s="7"/>
      <c r="V885" s="7"/>
      <c r="W885" s="7"/>
      <c r="X885" s="7"/>
      <c r="Y885" s="7"/>
      <c r="Z885" s="7"/>
      <c r="AA885" s="7"/>
      <c r="AB885" s="7"/>
      <c r="AC885" s="7"/>
      <c r="AD885" s="7"/>
      <c r="AE885" s="6" t="s">
        <v>12355</v>
      </c>
      <c r="AF885" s="74"/>
      <c r="AG885" s="7"/>
      <c r="AH885" s="73" t="s">
        <v>21044</v>
      </c>
      <c r="AI885" s="7"/>
      <c r="AJ885" s="7"/>
      <c r="AK885" s="7"/>
      <c r="AL885" s="7"/>
      <c r="AM885" s="6"/>
      <c r="AN885" s="7"/>
      <c r="AO885" s="7"/>
      <c r="AP885" s="65">
        <v>30811.0</v>
      </c>
      <c r="AQ885" s="6"/>
      <c r="AR885" s="6"/>
      <c r="AS885" s="6"/>
    </row>
    <row r="886" ht="15.75" customHeight="1">
      <c r="A886" s="6" t="s">
        <v>21045</v>
      </c>
      <c r="B886" s="6" t="s">
        <v>2624</v>
      </c>
      <c r="C886" s="7"/>
      <c r="D886" s="7"/>
      <c r="E886" s="7"/>
      <c r="F886" s="7"/>
      <c r="G886" s="7"/>
      <c r="H886" s="7"/>
      <c r="I886" s="7"/>
      <c r="J886" s="7"/>
      <c r="K886" s="7"/>
      <c r="L886" s="7"/>
      <c r="M886" s="6" t="s">
        <v>71</v>
      </c>
      <c r="N886" s="7"/>
      <c r="O886" s="6" t="s">
        <v>21029</v>
      </c>
      <c r="P886" s="42"/>
      <c r="Q886" s="43"/>
      <c r="R886" s="50"/>
      <c r="S886" s="51"/>
      <c r="T886" s="7"/>
      <c r="U886" s="7"/>
      <c r="V886" s="7"/>
      <c r="W886" s="7"/>
      <c r="X886" s="7"/>
      <c r="Y886" s="7"/>
      <c r="Z886" s="7"/>
      <c r="AA886" s="7"/>
      <c r="AB886" s="7"/>
      <c r="AC886" s="7"/>
      <c r="AD886" s="7"/>
      <c r="AE886" s="6" t="s">
        <v>12355</v>
      </c>
      <c r="AF886" s="74"/>
      <c r="AG886" s="7"/>
      <c r="AH886" s="73" t="s">
        <v>21046</v>
      </c>
      <c r="AI886" s="7"/>
      <c r="AJ886" s="7"/>
      <c r="AK886" s="7"/>
      <c r="AL886" s="7"/>
      <c r="AM886" s="6"/>
      <c r="AN886" s="7"/>
      <c r="AO886" s="7"/>
      <c r="AP886" s="65">
        <v>30811.0</v>
      </c>
      <c r="AQ886" s="6"/>
      <c r="AR886" s="6"/>
      <c r="AS886" s="6"/>
    </row>
    <row r="887" ht="15.75" customHeight="1">
      <c r="A887" s="6" t="s">
        <v>10798</v>
      </c>
      <c r="B887" s="6" t="s">
        <v>21047</v>
      </c>
      <c r="C887" s="7"/>
      <c r="D887" s="7"/>
      <c r="E887" s="7"/>
      <c r="F887" s="7"/>
      <c r="G887" s="7"/>
      <c r="H887" s="7"/>
      <c r="I887" s="7"/>
      <c r="J887" s="7"/>
      <c r="K887" s="7"/>
      <c r="L887" s="7"/>
      <c r="M887" s="6" t="s">
        <v>123</v>
      </c>
      <c r="N887" s="7"/>
      <c r="O887" s="6" t="s">
        <v>1844</v>
      </c>
      <c r="P887" s="42"/>
      <c r="Q887" s="43"/>
      <c r="R887" s="50"/>
      <c r="S887" s="51"/>
      <c r="T887" s="7"/>
      <c r="U887" s="7"/>
      <c r="V887" s="7"/>
      <c r="W887" s="7"/>
      <c r="X887" s="7"/>
      <c r="Y887" s="7"/>
      <c r="Z887" s="7"/>
      <c r="AA887" s="7"/>
      <c r="AB887" s="7"/>
      <c r="AC887" s="7"/>
      <c r="AD887" s="7"/>
      <c r="AE887" s="6" t="s">
        <v>12355</v>
      </c>
      <c r="AF887" s="74"/>
      <c r="AG887" s="7"/>
      <c r="AH887" s="73" t="s">
        <v>21048</v>
      </c>
      <c r="AI887" s="7"/>
      <c r="AJ887" s="7"/>
      <c r="AK887" s="7"/>
      <c r="AL887" s="7"/>
      <c r="AM887" s="6"/>
      <c r="AN887" s="7"/>
      <c r="AO887" s="7"/>
      <c r="AP887" s="65">
        <v>30811.0</v>
      </c>
      <c r="AQ887" s="6"/>
      <c r="AR887" s="6"/>
      <c r="AS887" s="6"/>
    </row>
    <row r="888" ht="15.75" customHeight="1">
      <c r="A888" s="6" t="s">
        <v>21049</v>
      </c>
      <c r="B888" s="6" t="s">
        <v>6903</v>
      </c>
      <c r="C888" s="7"/>
      <c r="D888" s="7"/>
      <c r="E888" s="7"/>
      <c r="F888" s="7"/>
      <c r="G888" s="7"/>
      <c r="H888" s="7"/>
      <c r="I888" s="7"/>
      <c r="J888" s="7"/>
      <c r="K888" s="7"/>
      <c r="L888" s="7"/>
      <c r="M888" s="6" t="s">
        <v>123</v>
      </c>
      <c r="N888" s="7"/>
      <c r="O888" s="6" t="s">
        <v>21029</v>
      </c>
      <c r="P888" s="42"/>
      <c r="Q888" s="43"/>
      <c r="R888" s="50"/>
      <c r="S888" s="51"/>
      <c r="T888" s="7"/>
      <c r="U888" s="7"/>
      <c r="V888" s="7"/>
      <c r="W888" s="7"/>
      <c r="X888" s="7"/>
      <c r="Y888" s="7"/>
      <c r="Z888" s="7"/>
      <c r="AA888" s="7"/>
      <c r="AB888" s="7"/>
      <c r="AC888" s="7"/>
      <c r="AD888" s="7"/>
      <c r="AE888" s="6" t="s">
        <v>12355</v>
      </c>
      <c r="AF888" s="74"/>
      <c r="AG888" s="7"/>
      <c r="AH888" s="73" t="s">
        <v>21050</v>
      </c>
      <c r="AI888" s="7"/>
      <c r="AJ888" s="7"/>
      <c r="AK888" s="7"/>
      <c r="AL888" s="7"/>
      <c r="AM888" s="6"/>
      <c r="AN888" s="7"/>
      <c r="AO888" s="7"/>
      <c r="AP888" s="65">
        <v>30811.0</v>
      </c>
      <c r="AQ888" s="6"/>
      <c r="AR888" s="6"/>
      <c r="AS888" s="6"/>
    </row>
    <row r="889" ht="15.75" customHeight="1">
      <c r="A889" s="6" t="s">
        <v>10800</v>
      </c>
      <c r="B889" s="6" t="s">
        <v>6867</v>
      </c>
      <c r="C889" s="7"/>
      <c r="D889" s="7"/>
      <c r="E889" s="7"/>
      <c r="F889" s="7"/>
      <c r="G889" s="7"/>
      <c r="H889" s="7"/>
      <c r="I889" s="7"/>
      <c r="J889" s="7"/>
      <c r="K889" s="7"/>
      <c r="L889" s="7"/>
      <c r="M889" s="6" t="s">
        <v>123</v>
      </c>
      <c r="N889" s="7"/>
      <c r="O889" s="6" t="s">
        <v>6878</v>
      </c>
      <c r="P889" s="42"/>
      <c r="Q889" s="43"/>
      <c r="R889" s="50"/>
      <c r="S889" s="51"/>
      <c r="T889" s="7"/>
      <c r="U889" s="7"/>
      <c r="V889" s="7"/>
      <c r="W889" s="7"/>
      <c r="X889" s="7"/>
      <c r="Y889" s="7"/>
      <c r="Z889" s="7"/>
      <c r="AA889" s="7"/>
      <c r="AB889" s="7"/>
      <c r="AC889" s="7"/>
      <c r="AD889" s="7"/>
      <c r="AE889" s="6" t="s">
        <v>12355</v>
      </c>
      <c r="AF889" s="74"/>
      <c r="AG889" s="7"/>
      <c r="AH889" s="73" t="s">
        <v>21051</v>
      </c>
      <c r="AI889" s="7"/>
      <c r="AJ889" s="7"/>
      <c r="AK889" s="7"/>
      <c r="AL889" s="7"/>
      <c r="AM889" s="6"/>
      <c r="AN889" s="7"/>
      <c r="AO889" s="7"/>
      <c r="AP889" s="65">
        <v>30811.0</v>
      </c>
      <c r="AQ889" s="6"/>
      <c r="AR889" s="6"/>
      <c r="AS889" s="6"/>
    </row>
    <row r="890" ht="15.75" customHeight="1">
      <c r="A890" s="6" t="s">
        <v>10802</v>
      </c>
      <c r="B890" s="6" t="s">
        <v>6734</v>
      </c>
      <c r="C890" s="7"/>
      <c r="D890" s="7"/>
      <c r="E890" s="7"/>
      <c r="F890" s="7"/>
      <c r="G890" s="7"/>
      <c r="H890" s="7"/>
      <c r="I890" s="7"/>
      <c r="J890" s="7"/>
      <c r="K890" s="7"/>
      <c r="L890" s="7"/>
      <c r="M890" s="6" t="s">
        <v>123</v>
      </c>
      <c r="N890" s="7"/>
      <c r="O890" s="6" t="s">
        <v>6739</v>
      </c>
      <c r="P890" s="42"/>
      <c r="Q890" s="43"/>
      <c r="R890" s="50"/>
      <c r="S890" s="51"/>
      <c r="T890" s="7"/>
      <c r="U890" s="7"/>
      <c r="V890" s="7"/>
      <c r="W890" s="7"/>
      <c r="X890" s="7"/>
      <c r="Y890" s="7"/>
      <c r="Z890" s="7"/>
      <c r="AA890" s="7"/>
      <c r="AB890" s="7"/>
      <c r="AC890" s="7"/>
      <c r="AD890" s="7"/>
      <c r="AE890" s="6" t="s">
        <v>12355</v>
      </c>
      <c r="AF890" s="74"/>
      <c r="AG890" s="7"/>
      <c r="AH890" s="73" t="s">
        <v>21052</v>
      </c>
      <c r="AI890" s="7"/>
      <c r="AJ890" s="7"/>
      <c r="AK890" s="7"/>
      <c r="AL890" s="7"/>
      <c r="AM890" s="6"/>
      <c r="AN890" s="7"/>
      <c r="AO890" s="7"/>
      <c r="AP890" s="65">
        <v>30811.0</v>
      </c>
      <c r="AQ890" s="6"/>
      <c r="AR890" s="6"/>
      <c r="AS890" s="6"/>
    </row>
    <row r="891" ht="15.75" customHeight="1">
      <c r="A891" s="6" t="s">
        <v>21053</v>
      </c>
      <c r="B891" s="6" t="s">
        <v>21054</v>
      </c>
      <c r="C891" s="7"/>
      <c r="D891" s="7"/>
      <c r="E891" s="7"/>
      <c r="F891" s="7"/>
      <c r="G891" s="7"/>
      <c r="H891" s="7"/>
      <c r="I891" s="7"/>
      <c r="J891" s="7"/>
      <c r="K891" s="7"/>
      <c r="L891" s="7"/>
      <c r="M891" s="6" t="s">
        <v>123</v>
      </c>
      <c r="N891" s="7"/>
      <c r="O891" s="6" t="s">
        <v>21029</v>
      </c>
      <c r="P891" s="42"/>
      <c r="Q891" s="43"/>
      <c r="R891" s="50"/>
      <c r="S891" s="51"/>
      <c r="T891" s="7"/>
      <c r="U891" s="7"/>
      <c r="V891" s="7"/>
      <c r="W891" s="7"/>
      <c r="X891" s="7"/>
      <c r="Y891" s="7"/>
      <c r="Z891" s="7"/>
      <c r="AA891" s="7"/>
      <c r="AB891" s="7"/>
      <c r="AC891" s="7"/>
      <c r="AD891" s="7"/>
      <c r="AE891" s="6" t="s">
        <v>12355</v>
      </c>
      <c r="AF891" s="74"/>
      <c r="AG891" s="7"/>
      <c r="AH891" s="73" t="s">
        <v>21055</v>
      </c>
      <c r="AI891" s="7"/>
      <c r="AJ891" s="7"/>
      <c r="AK891" s="7"/>
      <c r="AL891" s="7"/>
      <c r="AM891" s="6"/>
      <c r="AN891" s="7"/>
      <c r="AO891" s="7"/>
      <c r="AP891" s="65">
        <v>30811.0</v>
      </c>
      <c r="AQ891" s="6"/>
      <c r="AR891" s="6"/>
      <c r="AS891" s="6"/>
    </row>
    <row r="892" ht="15.75" customHeight="1">
      <c r="A892" s="6" t="s">
        <v>21056</v>
      </c>
      <c r="B892" s="6" t="s">
        <v>5759</v>
      </c>
      <c r="C892" s="7"/>
      <c r="D892" s="7"/>
      <c r="E892" s="7"/>
      <c r="F892" s="7"/>
      <c r="G892" s="7"/>
      <c r="H892" s="7"/>
      <c r="I892" s="7"/>
      <c r="J892" s="7"/>
      <c r="K892" s="7"/>
      <c r="L892" s="7"/>
      <c r="M892" s="6" t="s">
        <v>40</v>
      </c>
      <c r="N892" s="7"/>
      <c r="O892" s="6" t="s">
        <v>21029</v>
      </c>
      <c r="P892" s="42"/>
      <c r="Q892" s="43"/>
      <c r="R892" s="50"/>
      <c r="S892" s="51"/>
      <c r="T892" s="7"/>
      <c r="U892" s="7"/>
      <c r="V892" s="7"/>
      <c r="W892" s="7"/>
      <c r="X892" s="7"/>
      <c r="Y892" s="7"/>
      <c r="Z892" s="7"/>
      <c r="AA892" s="7"/>
      <c r="AB892" s="7"/>
      <c r="AC892" s="7"/>
      <c r="AD892" s="7"/>
      <c r="AE892" s="6" t="s">
        <v>12355</v>
      </c>
      <c r="AF892" s="74"/>
      <c r="AG892" s="7"/>
      <c r="AH892" s="73" t="s">
        <v>21057</v>
      </c>
      <c r="AI892" s="7"/>
      <c r="AJ892" s="7"/>
      <c r="AK892" s="7"/>
      <c r="AL892" s="7"/>
      <c r="AM892" s="6"/>
      <c r="AN892" s="7"/>
      <c r="AO892" s="7"/>
      <c r="AP892" s="65">
        <v>30811.0</v>
      </c>
      <c r="AQ892" s="6"/>
      <c r="AR892" s="6"/>
      <c r="AS892" s="6"/>
    </row>
    <row r="893" ht="15.75" customHeight="1">
      <c r="A893" s="6" t="s">
        <v>10804</v>
      </c>
      <c r="B893" s="6" t="s">
        <v>21058</v>
      </c>
      <c r="C893" s="7"/>
      <c r="D893" s="7"/>
      <c r="E893" s="7"/>
      <c r="F893" s="7"/>
      <c r="G893" s="7"/>
      <c r="H893" s="7"/>
      <c r="I893" s="7"/>
      <c r="J893" s="7"/>
      <c r="K893" s="7"/>
      <c r="L893" s="7"/>
      <c r="M893" s="6" t="s">
        <v>123</v>
      </c>
      <c r="N893" s="7"/>
      <c r="O893" s="6" t="s">
        <v>5715</v>
      </c>
      <c r="P893" s="42"/>
      <c r="Q893" s="43"/>
      <c r="R893" s="50"/>
      <c r="S893" s="51"/>
      <c r="T893" s="7"/>
      <c r="U893" s="7"/>
      <c r="V893" s="7"/>
      <c r="W893" s="7"/>
      <c r="X893" s="7"/>
      <c r="Y893" s="7"/>
      <c r="Z893" s="7"/>
      <c r="AA893" s="7"/>
      <c r="AB893" s="7"/>
      <c r="AC893" s="7"/>
      <c r="AD893" s="7"/>
      <c r="AE893" s="6" t="s">
        <v>12355</v>
      </c>
      <c r="AF893" s="74"/>
      <c r="AG893" s="7"/>
      <c r="AH893" s="73" t="s">
        <v>21059</v>
      </c>
      <c r="AI893" s="7"/>
      <c r="AJ893" s="7"/>
      <c r="AK893" s="7"/>
      <c r="AL893" s="7"/>
      <c r="AM893" s="6"/>
      <c r="AN893" s="7"/>
      <c r="AO893" s="7"/>
      <c r="AP893" s="65">
        <v>30811.0</v>
      </c>
      <c r="AQ893" s="6"/>
      <c r="AR893" s="6"/>
      <c r="AS893" s="6"/>
    </row>
    <row r="894" ht="15.75" customHeight="1">
      <c r="A894" s="6" t="s">
        <v>21060</v>
      </c>
      <c r="B894" s="6" t="s">
        <v>21061</v>
      </c>
      <c r="C894" s="7"/>
      <c r="D894" s="7"/>
      <c r="E894" s="7"/>
      <c r="F894" s="7"/>
      <c r="G894" s="7"/>
      <c r="H894" s="7"/>
      <c r="I894" s="7"/>
      <c r="J894" s="7"/>
      <c r="K894" s="7"/>
      <c r="L894" s="7"/>
      <c r="M894" s="6" t="s">
        <v>123</v>
      </c>
      <c r="N894" s="7"/>
      <c r="O894" s="6" t="s">
        <v>21029</v>
      </c>
      <c r="P894" s="42"/>
      <c r="Q894" s="43"/>
      <c r="R894" s="50"/>
      <c r="S894" s="51"/>
      <c r="T894" s="7"/>
      <c r="U894" s="7"/>
      <c r="V894" s="7"/>
      <c r="W894" s="7"/>
      <c r="X894" s="7"/>
      <c r="Y894" s="7"/>
      <c r="Z894" s="7"/>
      <c r="AA894" s="7"/>
      <c r="AB894" s="7"/>
      <c r="AC894" s="7"/>
      <c r="AD894" s="7"/>
      <c r="AE894" s="6" t="s">
        <v>12355</v>
      </c>
      <c r="AF894" s="74"/>
      <c r="AG894" s="7"/>
      <c r="AH894" s="73" t="s">
        <v>21062</v>
      </c>
      <c r="AI894" s="7"/>
      <c r="AJ894" s="7"/>
      <c r="AK894" s="7"/>
      <c r="AL894" s="7"/>
      <c r="AM894" s="6"/>
      <c r="AN894" s="7"/>
      <c r="AO894" s="7"/>
      <c r="AP894" s="65">
        <v>30811.0</v>
      </c>
      <c r="AQ894" s="6"/>
      <c r="AR894" s="6"/>
      <c r="AS894" s="6"/>
    </row>
    <row r="895" ht="15.75" customHeight="1">
      <c r="A895" s="6" t="s">
        <v>21063</v>
      </c>
      <c r="B895" s="6" t="s">
        <v>21064</v>
      </c>
      <c r="C895" s="7"/>
      <c r="D895" s="7"/>
      <c r="E895" s="7"/>
      <c r="F895" s="7"/>
      <c r="G895" s="7"/>
      <c r="H895" s="7"/>
      <c r="I895" s="7"/>
      <c r="J895" s="7"/>
      <c r="K895" s="7"/>
      <c r="L895" s="7"/>
      <c r="M895" s="6" t="s">
        <v>123</v>
      </c>
      <c r="N895" s="7"/>
      <c r="O895" s="6" t="s">
        <v>21029</v>
      </c>
      <c r="P895" s="42"/>
      <c r="Q895" s="43"/>
      <c r="R895" s="50"/>
      <c r="S895" s="51"/>
      <c r="T895" s="7"/>
      <c r="U895" s="7"/>
      <c r="V895" s="7"/>
      <c r="W895" s="7"/>
      <c r="X895" s="7"/>
      <c r="Y895" s="7"/>
      <c r="Z895" s="7"/>
      <c r="AA895" s="7"/>
      <c r="AB895" s="7"/>
      <c r="AC895" s="7"/>
      <c r="AD895" s="7"/>
      <c r="AE895" s="6" t="s">
        <v>12355</v>
      </c>
      <c r="AF895" s="74"/>
      <c r="AG895" s="7"/>
      <c r="AH895" s="73" t="s">
        <v>21065</v>
      </c>
      <c r="AI895" s="7"/>
      <c r="AJ895" s="7"/>
      <c r="AK895" s="7"/>
      <c r="AL895" s="7"/>
      <c r="AM895" s="6"/>
      <c r="AN895" s="7"/>
      <c r="AO895" s="7"/>
      <c r="AP895" s="65">
        <v>30811.0</v>
      </c>
      <c r="AQ895" s="6"/>
      <c r="AR895" s="6"/>
      <c r="AS895" s="6"/>
    </row>
    <row r="896" ht="15.75" customHeight="1">
      <c r="A896" s="6" t="s">
        <v>21066</v>
      </c>
      <c r="B896" s="6" t="s">
        <v>4082</v>
      </c>
      <c r="C896" s="7"/>
      <c r="D896" s="7"/>
      <c r="E896" s="7"/>
      <c r="F896" s="7"/>
      <c r="G896" s="7"/>
      <c r="H896" s="7"/>
      <c r="I896" s="7"/>
      <c r="J896" s="7"/>
      <c r="K896" s="7"/>
      <c r="L896" s="7"/>
      <c r="M896" s="6" t="s">
        <v>123</v>
      </c>
      <c r="N896" s="7"/>
      <c r="O896" s="6" t="s">
        <v>21029</v>
      </c>
      <c r="P896" s="42"/>
      <c r="Q896" s="43"/>
      <c r="R896" s="50"/>
      <c r="S896" s="51"/>
      <c r="T896" s="7"/>
      <c r="U896" s="7"/>
      <c r="V896" s="7"/>
      <c r="W896" s="7"/>
      <c r="X896" s="7"/>
      <c r="Y896" s="7"/>
      <c r="Z896" s="7"/>
      <c r="AA896" s="7"/>
      <c r="AB896" s="7"/>
      <c r="AC896" s="7"/>
      <c r="AD896" s="7"/>
      <c r="AE896" s="6" t="s">
        <v>12355</v>
      </c>
      <c r="AF896" s="74"/>
      <c r="AG896" s="7"/>
      <c r="AH896" s="73" t="s">
        <v>21067</v>
      </c>
      <c r="AI896" s="7"/>
      <c r="AJ896" s="7"/>
      <c r="AK896" s="7"/>
      <c r="AL896" s="7"/>
      <c r="AM896" s="6"/>
      <c r="AN896" s="7"/>
      <c r="AO896" s="7"/>
      <c r="AP896" s="65">
        <v>30811.0</v>
      </c>
      <c r="AQ896" s="6"/>
      <c r="AR896" s="6"/>
      <c r="AS896" s="6"/>
    </row>
    <row r="897" ht="15.75" customHeight="1">
      <c r="A897" s="6" t="s">
        <v>10806</v>
      </c>
      <c r="B897" s="6" t="s">
        <v>4052</v>
      </c>
      <c r="C897" s="7"/>
      <c r="D897" s="7"/>
      <c r="E897" s="7"/>
      <c r="F897" s="7"/>
      <c r="G897" s="7"/>
      <c r="H897" s="7"/>
      <c r="I897" s="7"/>
      <c r="J897" s="7"/>
      <c r="K897" s="7"/>
      <c r="L897" s="7"/>
      <c r="M897" s="6" t="s">
        <v>71</v>
      </c>
      <c r="N897" s="7"/>
      <c r="O897" s="6" t="s">
        <v>4059</v>
      </c>
      <c r="P897" s="42"/>
      <c r="Q897" s="43"/>
      <c r="R897" s="50"/>
      <c r="S897" s="51"/>
      <c r="T897" s="7"/>
      <c r="U897" s="7"/>
      <c r="V897" s="7"/>
      <c r="W897" s="7"/>
      <c r="X897" s="7"/>
      <c r="Y897" s="7"/>
      <c r="Z897" s="7"/>
      <c r="AA897" s="7"/>
      <c r="AB897" s="7"/>
      <c r="AC897" s="7"/>
      <c r="AD897" s="7"/>
      <c r="AE897" s="6" t="s">
        <v>12355</v>
      </c>
      <c r="AF897" s="74"/>
      <c r="AG897" s="7"/>
      <c r="AH897" s="73" t="s">
        <v>21068</v>
      </c>
      <c r="AI897" s="7"/>
      <c r="AJ897" s="7"/>
      <c r="AK897" s="7"/>
      <c r="AL897" s="7"/>
      <c r="AM897" s="6"/>
      <c r="AN897" s="7"/>
      <c r="AO897" s="7"/>
      <c r="AP897" s="65">
        <v>30811.0</v>
      </c>
      <c r="AQ897" s="6"/>
      <c r="AR897" s="6"/>
      <c r="AS897" s="6"/>
    </row>
    <row r="898" ht="15.75" customHeight="1">
      <c r="A898" s="6" t="s">
        <v>10808</v>
      </c>
      <c r="B898" s="6" t="s">
        <v>3985</v>
      </c>
      <c r="C898" s="7"/>
      <c r="D898" s="7"/>
      <c r="E898" s="7"/>
      <c r="F898" s="7"/>
      <c r="G898" s="7"/>
      <c r="H898" s="7"/>
      <c r="I898" s="7"/>
      <c r="J898" s="7"/>
      <c r="K898" s="7"/>
      <c r="L898" s="7"/>
      <c r="M898" s="6" t="s">
        <v>123</v>
      </c>
      <c r="N898" s="7"/>
      <c r="O898" s="6" t="s">
        <v>3997</v>
      </c>
      <c r="P898" s="42"/>
      <c r="Q898" s="43"/>
      <c r="R898" s="50"/>
      <c r="S898" s="51"/>
      <c r="T898" s="7"/>
      <c r="U898" s="7"/>
      <c r="V898" s="7"/>
      <c r="W898" s="7"/>
      <c r="X898" s="7"/>
      <c r="Y898" s="7"/>
      <c r="Z898" s="7"/>
      <c r="AA898" s="7"/>
      <c r="AB898" s="7"/>
      <c r="AC898" s="7"/>
      <c r="AD898" s="7"/>
      <c r="AE898" s="6" t="s">
        <v>12355</v>
      </c>
      <c r="AF898" s="74"/>
      <c r="AG898" s="7"/>
      <c r="AH898" s="73" t="s">
        <v>21069</v>
      </c>
      <c r="AI898" s="7"/>
      <c r="AJ898" s="7"/>
      <c r="AK898" s="7"/>
      <c r="AL898" s="7"/>
      <c r="AM898" s="6"/>
      <c r="AN898" s="7"/>
      <c r="AO898" s="7"/>
      <c r="AP898" s="65">
        <v>30811.0</v>
      </c>
      <c r="AQ898" s="6"/>
      <c r="AR898" s="6"/>
      <c r="AS898" s="6"/>
    </row>
    <row r="899" ht="15.75" customHeight="1">
      <c r="A899" s="6" t="s">
        <v>10810</v>
      </c>
      <c r="B899" s="6" t="s">
        <v>21070</v>
      </c>
      <c r="C899" s="7"/>
      <c r="D899" s="7"/>
      <c r="E899" s="7"/>
      <c r="F899" s="7"/>
      <c r="G899" s="7"/>
      <c r="H899" s="7"/>
      <c r="I899" s="7"/>
      <c r="J899" s="7"/>
      <c r="K899" s="7"/>
      <c r="L899" s="7"/>
      <c r="M899" s="6" t="s">
        <v>123</v>
      </c>
      <c r="N899" s="7"/>
      <c r="O899" s="6" t="s">
        <v>673</v>
      </c>
      <c r="P899" s="42"/>
      <c r="Q899" s="43"/>
      <c r="R899" s="50"/>
      <c r="S899" s="51"/>
      <c r="T899" s="7"/>
      <c r="U899" s="7"/>
      <c r="V899" s="7"/>
      <c r="W899" s="7"/>
      <c r="X899" s="7"/>
      <c r="Y899" s="7"/>
      <c r="Z899" s="7"/>
      <c r="AA899" s="7"/>
      <c r="AB899" s="7"/>
      <c r="AC899" s="7"/>
      <c r="AD899" s="7"/>
      <c r="AE899" s="6" t="s">
        <v>12355</v>
      </c>
      <c r="AF899" s="74"/>
      <c r="AG899" s="7"/>
      <c r="AH899" s="73" t="s">
        <v>21071</v>
      </c>
      <c r="AI899" s="7"/>
      <c r="AJ899" s="7"/>
      <c r="AK899" s="7"/>
      <c r="AL899" s="7"/>
      <c r="AM899" s="6"/>
      <c r="AN899" s="7"/>
      <c r="AO899" s="7"/>
      <c r="AP899" s="65">
        <v>30811.0</v>
      </c>
      <c r="AQ899" s="6"/>
      <c r="AR899" s="6"/>
      <c r="AS899" s="6"/>
    </row>
    <row r="900" ht="15.75" customHeight="1">
      <c r="A900" s="6" t="s">
        <v>10812</v>
      </c>
      <c r="B900" s="6" t="s">
        <v>21072</v>
      </c>
      <c r="C900" s="7"/>
      <c r="D900" s="7"/>
      <c r="E900" s="7"/>
      <c r="F900" s="7"/>
      <c r="G900" s="7"/>
      <c r="H900" s="7"/>
      <c r="I900" s="7"/>
      <c r="J900" s="7"/>
      <c r="K900" s="7"/>
      <c r="L900" s="7"/>
      <c r="M900" s="6" t="s">
        <v>40</v>
      </c>
      <c r="N900" s="7"/>
      <c r="O900" s="6"/>
      <c r="P900" s="42"/>
      <c r="Q900" s="43"/>
      <c r="R900" s="50"/>
      <c r="S900" s="51"/>
      <c r="T900" s="7"/>
      <c r="U900" s="7"/>
      <c r="V900" s="7"/>
      <c r="W900" s="7"/>
      <c r="X900" s="7"/>
      <c r="Y900" s="7"/>
      <c r="Z900" s="7"/>
      <c r="AA900" s="7"/>
      <c r="AB900" s="7"/>
      <c r="AC900" s="7"/>
      <c r="AD900" s="7"/>
      <c r="AE900" s="6" t="s">
        <v>12355</v>
      </c>
      <c r="AF900" s="74"/>
      <c r="AG900" s="7"/>
      <c r="AH900" s="73" t="s">
        <v>21073</v>
      </c>
      <c r="AI900" s="7"/>
      <c r="AJ900" s="7"/>
      <c r="AK900" s="7"/>
      <c r="AL900" s="7"/>
      <c r="AM900" s="6"/>
      <c r="AN900" s="7"/>
      <c r="AO900" s="7"/>
      <c r="AP900" s="65">
        <v>30811.0</v>
      </c>
      <c r="AQ900" s="6"/>
      <c r="AR900" s="6"/>
      <c r="AS900" s="6"/>
    </row>
    <row r="901" ht="15.75" customHeight="1">
      <c r="A901" s="6" t="s">
        <v>10814</v>
      </c>
      <c r="B901" s="6" t="s">
        <v>21074</v>
      </c>
      <c r="C901" s="7"/>
      <c r="D901" s="7"/>
      <c r="E901" s="7"/>
      <c r="F901" s="7"/>
      <c r="G901" s="7"/>
      <c r="H901" s="7"/>
      <c r="I901" s="7"/>
      <c r="J901" s="7"/>
      <c r="K901" s="7"/>
      <c r="L901" s="7"/>
      <c r="M901" s="6" t="s">
        <v>71</v>
      </c>
      <c r="N901" s="7"/>
      <c r="O901" s="6"/>
      <c r="P901" s="42"/>
      <c r="Q901" s="43"/>
      <c r="R901" s="50"/>
      <c r="S901" s="51"/>
      <c r="T901" s="7"/>
      <c r="U901" s="7"/>
      <c r="V901" s="7"/>
      <c r="W901" s="7"/>
      <c r="X901" s="7"/>
      <c r="Y901" s="7"/>
      <c r="Z901" s="7"/>
      <c r="AA901" s="7"/>
      <c r="AB901" s="7"/>
      <c r="AC901" s="7"/>
      <c r="AD901" s="7"/>
      <c r="AE901" s="6" t="s">
        <v>12355</v>
      </c>
      <c r="AF901" s="74"/>
      <c r="AG901" s="7"/>
      <c r="AH901" s="73" t="s">
        <v>21075</v>
      </c>
      <c r="AI901" s="7"/>
      <c r="AJ901" s="7"/>
      <c r="AK901" s="7"/>
      <c r="AL901" s="7"/>
      <c r="AM901" s="6"/>
      <c r="AN901" s="7"/>
      <c r="AO901" s="7"/>
      <c r="AP901" s="65">
        <v>30811.0</v>
      </c>
      <c r="AQ901" s="6"/>
      <c r="AR901" s="6"/>
      <c r="AS901" s="6"/>
    </row>
    <row r="902" ht="15.75" customHeight="1">
      <c r="A902" s="6" t="s">
        <v>10816</v>
      </c>
      <c r="B902" s="6" t="s">
        <v>2262</v>
      </c>
      <c r="C902" s="7"/>
      <c r="D902" s="7"/>
      <c r="E902" s="7"/>
      <c r="F902" s="7"/>
      <c r="G902" s="7"/>
      <c r="H902" s="7"/>
      <c r="I902" s="7"/>
      <c r="J902" s="7"/>
      <c r="K902" s="7"/>
      <c r="L902" s="7"/>
      <c r="M902" s="6" t="s">
        <v>123</v>
      </c>
      <c r="N902" s="7"/>
      <c r="O902" s="6" t="s">
        <v>2274</v>
      </c>
      <c r="P902" s="42"/>
      <c r="Q902" s="43"/>
      <c r="R902" s="50"/>
      <c r="S902" s="51"/>
      <c r="T902" s="7"/>
      <c r="U902" s="7"/>
      <c r="V902" s="7"/>
      <c r="W902" s="7"/>
      <c r="X902" s="7"/>
      <c r="Y902" s="7"/>
      <c r="Z902" s="7"/>
      <c r="AA902" s="7"/>
      <c r="AB902" s="7"/>
      <c r="AC902" s="7"/>
      <c r="AD902" s="7"/>
      <c r="AE902" s="6" t="s">
        <v>12355</v>
      </c>
      <c r="AF902" s="74"/>
      <c r="AG902" s="7"/>
      <c r="AH902" s="73" t="s">
        <v>21076</v>
      </c>
      <c r="AI902" s="7"/>
      <c r="AJ902" s="7"/>
      <c r="AK902" s="7"/>
      <c r="AL902" s="7"/>
      <c r="AM902" s="6"/>
      <c r="AN902" s="7"/>
      <c r="AO902" s="7"/>
      <c r="AP902" s="65">
        <v>30811.0</v>
      </c>
      <c r="AQ902" s="6"/>
      <c r="AR902" s="6"/>
      <c r="AS902" s="6"/>
    </row>
    <row r="903" ht="15.75" customHeight="1">
      <c r="A903" s="6" t="s">
        <v>10779</v>
      </c>
      <c r="B903" s="6" t="s">
        <v>21077</v>
      </c>
      <c r="C903" s="7"/>
      <c r="D903" s="7"/>
      <c r="E903" s="7"/>
      <c r="F903" s="7"/>
      <c r="G903" s="7"/>
      <c r="H903" s="7"/>
      <c r="I903" s="7"/>
      <c r="J903" s="7"/>
      <c r="K903" s="7"/>
      <c r="L903" s="7"/>
      <c r="M903" s="6" t="s">
        <v>71</v>
      </c>
      <c r="N903" s="7"/>
      <c r="O903" s="6"/>
      <c r="P903" s="42"/>
      <c r="Q903" s="43"/>
      <c r="R903" s="50"/>
      <c r="S903" s="51"/>
      <c r="T903" s="7"/>
      <c r="U903" s="7"/>
      <c r="V903" s="7"/>
      <c r="W903" s="7"/>
      <c r="X903" s="7"/>
      <c r="Y903" s="7"/>
      <c r="Z903" s="7"/>
      <c r="AA903" s="7"/>
      <c r="AB903" s="7"/>
      <c r="AC903" s="7"/>
      <c r="AD903" s="7"/>
      <c r="AE903" s="6" t="s">
        <v>12355</v>
      </c>
      <c r="AF903" s="74"/>
      <c r="AG903" s="7"/>
      <c r="AH903" s="73" t="s">
        <v>21078</v>
      </c>
      <c r="AI903" s="7"/>
      <c r="AJ903" s="7"/>
      <c r="AK903" s="7"/>
      <c r="AL903" s="7"/>
      <c r="AM903" s="6"/>
      <c r="AN903" s="7"/>
      <c r="AO903" s="7"/>
      <c r="AP903" s="65">
        <v>30811.0</v>
      </c>
      <c r="AQ903" s="6"/>
      <c r="AR903" s="6"/>
      <c r="AS903" s="6"/>
    </row>
    <row r="904" ht="15.75" customHeight="1">
      <c r="A904" s="6" t="s">
        <v>10818</v>
      </c>
      <c r="B904" s="6" t="s">
        <v>21079</v>
      </c>
      <c r="C904" s="7"/>
      <c r="D904" s="7"/>
      <c r="E904" s="7"/>
      <c r="F904" s="7"/>
      <c r="G904" s="7"/>
      <c r="H904" s="7"/>
      <c r="I904" s="7"/>
      <c r="J904" s="7"/>
      <c r="K904" s="7"/>
      <c r="L904" s="7"/>
      <c r="M904" s="6" t="s">
        <v>123</v>
      </c>
      <c r="N904" s="7"/>
      <c r="O904" s="6"/>
      <c r="P904" s="42"/>
      <c r="Q904" s="43"/>
      <c r="R904" s="50"/>
      <c r="S904" s="51"/>
      <c r="T904" s="7"/>
      <c r="U904" s="7"/>
      <c r="V904" s="7"/>
      <c r="W904" s="7"/>
      <c r="X904" s="7"/>
      <c r="Y904" s="7"/>
      <c r="Z904" s="7"/>
      <c r="AA904" s="7"/>
      <c r="AB904" s="7"/>
      <c r="AC904" s="7"/>
      <c r="AD904" s="7"/>
      <c r="AE904" s="6" t="s">
        <v>12355</v>
      </c>
      <c r="AF904" s="74"/>
      <c r="AG904" s="7"/>
      <c r="AH904" s="73" t="s">
        <v>21080</v>
      </c>
      <c r="AI904" s="7"/>
      <c r="AJ904" s="7"/>
      <c r="AK904" s="7"/>
      <c r="AL904" s="7"/>
      <c r="AM904" s="6"/>
      <c r="AN904" s="7"/>
      <c r="AO904" s="7"/>
      <c r="AP904" s="65">
        <v>30811.0</v>
      </c>
      <c r="AQ904" s="6"/>
      <c r="AR904" s="6"/>
      <c r="AS904" s="6"/>
    </row>
    <row r="905" ht="15.75" customHeight="1">
      <c r="A905" s="6" t="s">
        <v>10820</v>
      </c>
      <c r="B905" s="6" t="s">
        <v>1975</v>
      </c>
      <c r="C905" s="7"/>
      <c r="D905" s="7"/>
      <c r="E905" s="7"/>
      <c r="F905" s="7"/>
      <c r="G905" s="7"/>
      <c r="H905" s="7"/>
      <c r="I905" s="7"/>
      <c r="J905" s="7"/>
      <c r="K905" s="7"/>
      <c r="L905" s="7"/>
      <c r="M905" s="6" t="s">
        <v>71</v>
      </c>
      <c r="N905" s="7"/>
      <c r="O905" s="6" t="s">
        <v>1982</v>
      </c>
      <c r="P905" s="42"/>
      <c r="Q905" s="43"/>
      <c r="R905" s="50"/>
      <c r="S905" s="51"/>
      <c r="T905" s="7"/>
      <c r="U905" s="7"/>
      <c r="V905" s="7"/>
      <c r="W905" s="7"/>
      <c r="X905" s="7"/>
      <c r="Y905" s="7"/>
      <c r="Z905" s="7"/>
      <c r="AA905" s="7"/>
      <c r="AB905" s="7"/>
      <c r="AC905" s="7"/>
      <c r="AD905" s="7"/>
      <c r="AE905" s="6" t="s">
        <v>12355</v>
      </c>
      <c r="AF905" s="74"/>
      <c r="AG905" s="7"/>
      <c r="AH905" s="73" t="s">
        <v>21081</v>
      </c>
      <c r="AI905" s="7"/>
      <c r="AJ905" s="7"/>
      <c r="AK905" s="7"/>
      <c r="AL905" s="7"/>
      <c r="AM905" s="6"/>
      <c r="AN905" s="7"/>
      <c r="AO905" s="7"/>
      <c r="AP905" s="65">
        <v>30811.0</v>
      </c>
      <c r="AQ905" s="6"/>
      <c r="AR905" s="6"/>
      <c r="AS905" s="6"/>
    </row>
    <row r="906" ht="15.75" customHeight="1">
      <c r="A906" s="6" t="s">
        <v>10822</v>
      </c>
      <c r="B906" s="6" t="s">
        <v>21082</v>
      </c>
      <c r="C906" s="7"/>
      <c r="D906" s="7"/>
      <c r="E906" s="7"/>
      <c r="F906" s="7"/>
      <c r="G906" s="7"/>
      <c r="H906" s="7"/>
      <c r="I906" s="7"/>
      <c r="J906" s="7"/>
      <c r="K906" s="7"/>
      <c r="L906" s="7"/>
      <c r="M906" s="6" t="s">
        <v>71</v>
      </c>
      <c r="N906" s="7"/>
      <c r="O906" s="6" t="s">
        <v>7859</v>
      </c>
      <c r="P906" s="42"/>
      <c r="Q906" s="43"/>
      <c r="R906" s="50"/>
      <c r="S906" s="51"/>
      <c r="T906" s="7"/>
      <c r="U906" s="7"/>
      <c r="V906" s="7"/>
      <c r="W906" s="7"/>
      <c r="X906" s="7"/>
      <c r="Y906" s="7"/>
      <c r="Z906" s="7"/>
      <c r="AA906" s="7"/>
      <c r="AB906" s="7"/>
      <c r="AC906" s="7"/>
      <c r="AD906" s="7"/>
      <c r="AE906" s="6" t="s">
        <v>12355</v>
      </c>
      <c r="AF906" s="74"/>
      <c r="AG906" s="7"/>
      <c r="AH906" s="73" t="s">
        <v>21083</v>
      </c>
      <c r="AI906" s="7"/>
      <c r="AJ906" s="7"/>
      <c r="AK906" s="7"/>
      <c r="AL906" s="7"/>
      <c r="AM906" s="6"/>
      <c r="AN906" s="7"/>
      <c r="AO906" s="7"/>
      <c r="AP906" s="65">
        <v>30811.0</v>
      </c>
      <c r="AQ906" s="6"/>
      <c r="AR906" s="6"/>
      <c r="AS906" s="6"/>
    </row>
    <row r="907" ht="15.75" customHeight="1">
      <c r="A907" s="6" t="s">
        <v>10824</v>
      </c>
      <c r="B907" s="6" t="s">
        <v>21084</v>
      </c>
      <c r="C907" s="7"/>
      <c r="D907" s="7"/>
      <c r="E907" s="7"/>
      <c r="F907" s="7"/>
      <c r="G907" s="7"/>
      <c r="H907" s="7"/>
      <c r="I907" s="7"/>
      <c r="J907" s="7"/>
      <c r="K907" s="7"/>
      <c r="L907" s="7"/>
      <c r="M907" s="6" t="s">
        <v>71</v>
      </c>
      <c r="N907" s="7"/>
      <c r="O907" s="6" t="s">
        <v>1436</v>
      </c>
      <c r="P907" s="42"/>
      <c r="Q907" s="43"/>
      <c r="R907" s="50"/>
      <c r="S907" s="51"/>
      <c r="T907" s="7"/>
      <c r="U907" s="7"/>
      <c r="V907" s="7"/>
      <c r="W907" s="7"/>
      <c r="X907" s="7"/>
      <c r="Y907" s="7"/>
      <c r="Z907" s="7"/>
      <c r="AA907" s="7"/>
      <c r="AB907" s="7"/>
      <c r="AC907" s="7"/>
      <c r="AD907" s="7"/>
      <c r="AE907" s="6" t="s">
        <v>12355</v>
      </c>
      <c r="AF907" s="74"/>
      <c r="AG907" s="7"/>
      <c r="AH907" s="73" t="s">
        <v>21085</v>
      </c>
      <c r="AI907" s="7"/>
      <c r="AJ907" s="7"/>
      <c r="AK907" s="7"/>
      <c r="AL907" s="7"/>
      <c r="AM907" s="6"/>
      <c r="AN907" s="7"/>
      <c r="AO907" s="7"/>
      <c r="AP907" s="65">
        <v>30811.0</v>
      </c>
      <c r="AQ907" s="6"/>
      <c r="AR907" s="6"/>
      <c r="AS907" s="6"/>
    </row>
    <row r="908" ht="15.75" customHeight="1">
      <c r="A908" s="6" t="s">
        <v>21086</v>
      </c>
      <c r="B908" s="6" t="s">
        <v>2448</v>
      </c>
      <c r="C908" s="7"/>
      <c r="D908" s="7"/>
      <c r="E908" s="7"/>
      <c r="F908" s="7"/>
      <c r="G908" s="7"/>
      <c r="H908" s="7"/>
      <c r="I908" s="7"/>
      <c r="J908" s="7"/>
      <c r="K908" s="7"/>
      <c r="L908" s="7"/>
      <c r="M908" s="6" t="s">
        <v>71</v>
      </c>
      <c r="N908" s="7"/>
      <c r="O908" s="6" t="s">
        <v>2458</v>
      </c>
      <c r="P908" s="42"/>
      <c r="Q908" s="43"/>
      <c r="R908" s="50"/>
      <c r="S908" s="51"/>
      <c r="T908" s="7"/>
      <c r="U908" s="7"/>
      <c r="V908" s="7"/>
      <c r="W908" s="7"/>
      <c r="X908" s="7"/>
      <c r="Y908" s="7"/>
      <c r="Z908" s="7"/>
      <c r="AA908" s="7"/>
      <c r="AB908" s="7"/>
      <c r="AC908" s="7"/>
      <c r="AD908" s="7"/>
      <c r="AE908" s="6" t="s">
        <v>12355</v>
      </c>
      <c r="AF908" s="74"/>
      <c r="AG908" s="7"/>
      <c r="AH908" s="73" t="s">
        <v>21087</v>
      </c>
      <c r="AI908" s="7"/>
      <c r="AJ908" s="7"/>
      <c r="AK908" s="7"/>
      <c r="AL908" s="7"/>
      <c r="AM908" s="6"/>
      <c r="AN908" s="7"/>
      <c r="AO908" s="7"/>
      <c r="AP908" s="65">
        <v>30811.0</v>
      </c>
      <c r="AQ908" s="6"/>
      <c r="AR908" s="6"/>
      <c r="AS908" s="6"/>
    </row>
    <row r="909" ht="15.75" customHeight="1">
      <c r="A909" s="6" t="s">
        <v>10826</v>
      </c>
      <c r="B909" s="6" t="s">
        <v>21088</v>
      </c>
      <c r="C909" s="7"/>
      <c r="D909" s="7"/>
      <c r="E909" s="7"/>
      <c r="F909" s="7"/>
      <c r="G909" s="7"/>
      <c r="H909" s="7"/>
      <c r="I909" s="7"/>
      <c r="J909" s="7"/>
      <c r="K909" s="7"/>
      <c r="L909" s="7"/>
      <c r="M909" s="6" t="s">
        <v>71</v>
      </c>
      <c r="N909" s="7"/>
      <c r="O909" s="6"/>
      <c r="P909" s="42"/>
      <c r="Q909" s="43"/>
      <c r="R909" s="50"/>
      <c r="S909" s="51"/>
      <c r="T909" s="7"/>
      <c r="U909" s="7"/>
      <c r="V909" s="7"/>
      <c r="W909" s="7"/>
      <c r="X909" s="7"/>
      <c r="Y909" s="7"/>
      <c r="Z909" s="7"/>
      <c r="AA909" s="7"/>
      <c r="AB909" s="7"/>
      <c r="AC909" s="7"/>
      <c r="AD909" s="7"/>
      <c r="AE909" s="6" t="s">
        <v>12355</v>
      </c>
      <c r="AF909" s="74"/>
      <c r="AG909" s="7"/>
      <c r="AH909" s="73" t="s">
        <v>21089</v>
      </c>
      <c r="AI909" s="7"/>
      <c r="AJ909" s="7"/>
      <c r="AK909" s="7"/>
      <c r="AL909" s="7"/>
      <c r="AM909" s="6"/>
      <c r="AN909" s="7"/>
      <c r="AO909" s="7"/>
      <c r="AP909" s="65">
        <v>30811.0</v>
      </c>
      <c r="AQ909" s="6"/>
      <c r="AR909" s="6"/>
      <c r="AS909" s="6"/>
    </row>
    <row r="910" ht="15.75" customHeight="1">
      <c r="A910" s="6" t="s">
        <v>10828</v>
      </c>
      <c r="B910" s="6" t="s">
        <v>2556</v>
      </c>
      <c r="C910" s="7"/>
      <c r="D910" s="7"/>
      <c r="E910" s="7"/>
      <c r="F910" s="7"/>
      <c r="G910" s="7"/>
      <c r="H910" s="7"/>
      <c r="I910" s="7"/>
      <c r="J910" s="7"/>
      <c r="K910" s="7"/>
      <c r="L910" s="7"/>
      <c r="M910" s="6" t="s">
        <v>71</v>
      </c>
      <c r="N910" s="7"/>
      <c r="O910" s="6" t="s">
        <v>2566</v>
      </c>
      <c r="P910" s="42"/>
      <c r="Q910" s="43"/>
      <c r="R910" s="50"/>
      <c r="S910" s="51"/>
      <c r="T910" s="7"/>
      <c r="U910" s="7"/>
      <c r="V910" s="7"/>
      <c r="W910" s="7"/>
      <c r="X910" s="7"/>
      <c r="Y910" s="7"/>
      <c r="Z910" s="7"/>
      <c r="AA910" s="7"/>
      <c r="AB910" s="7"/>
      <c r="AC910" s="7"/>
      <c r="AD910" s="7"/>
      <c r="AE910" s="6" t="s">
        <v>12355</v>
      </c>
      <c r="AF910" s="74"/>
      <c r="AG910" s="7"/>
      <c r="AH910" s="73" t="s">
        <v>21090</v>
      </c>
      <c r="AI910" s="7"/>
      <c r="AJ910" s="7"/>
      <c r="AK910" s="7"/>
      <c r="AL910" s="7"/>
      <c r="AM910" s="6"/>
      <c r="AN910" s="7"/>
      <c r="AO910" s="7"/>
      <c r="AP910" s="65">
        <v>30811.0</v>
      </c>
      <c r="AQ910" s="6"/>
      <c r="AR910" s="6"/>
      <c r="AS910" s="6"/>
    </row>
    <row r="911" ht="15.75" customHeight="1">
      <c r="A911" s="6" t="s">
        <v>10830</v>
      </c>
      <c r="B911" s="6" t="s">
        <v>21091</v>
      </c>
      <c r="C911" s="7"/>
      <c r="D911" s="7"/>
      <c r="E911" s="7"/>
      <c r="F911" s="7"/>
      <c r="G911" s="7"/>
      <c r="H911" s="7"/>
      <c r="I911" s="7"/>
      <c r="J911" s="7"/>
      <c r="K911" s="7"/>
      <c r="L911" s="7"/>
      <c r="M911" s="6" t="s">
        <v>71</v>
      </c>
      <c r="N911" s="7"/>
      <c r="O911" s="6" t="s">
        <v>363</v>
      </c>
      <c r="P911" s="42"/>
      <c r="Q911" s="43"/>
      <c r="R911" s="50"/>
      <c r="S911" s="51"/>
      <c r="T911" s="7"/>
      <c r="U911" s="7"/>
      <c r="V911" s="7"/>
      <c r="W911" s="7"/>
      <c r="X911" s="7"/>
      <c r="Y911" s="7"/>
      <c r="Z911" s="7"/>
      <c r="AA911" s="7"/>
      <c r="AB911" s="7"/>
      <c r="AC911" s="7"/>
      <c r="AD911" s="7"/>
      <c r="AE911" s="6" t="s">
        <v>12355</v>
      </c>
      <c r="AF911" s="74"/>
      <c r="AG911" s="7"/>
      <c r="AH911" s="73" t="s">
        <v>21092</v>
      </c>
      <c r="AI911" s="7"/>
      <c r="AJ911" s="7"/>
      <c r="AK911" s="7"/>
      <c r="AL911" s="7"/>
      <c r="AM911" s="6"/>
      <c r="AN911" s="7"/>
      <c r="AO911" s="7"/>
      <c r="AP911" s="65">
        <v>30811.0</v>
      </c>
      <c r="AQ911" s="6"/>
      <c r="AR911" s="6"/>
      <c r="AS911" s="6"/>
    </row>
    <row r="912" ht="15.75" customHeight="1">
      <c r="A912" s="6" t="s">
        <v>10832</v>
      </c>
      <c r="B912" s="6" t="s">
        <v>5081</v>
      </c>
      <c r="C912" s="7"/>
      <c r="D912" s="7"/>
      <c r="E912" s="7"/>
      <c r="F912" s="7"/>
      <c r="G912" s="7"/>
      <c r="H912" s="7"/>
      <c r="I912" s="7"/>
      <c r="J912" s="7"/>
      <c r="K912" s="7"/>
      <c r="L912" s="7"/>
      <c r="M912" s="6" t="s">
        <v>71</v>
      </c>
      <c r="N912" s="7"/>
      <c r="O912" s="6" t="s">
        <v>5089</v>
      </c>
      <c r="P912" s="42"/>
      <c r="Q912" s="43"/>
      <c r="R912" s="50"/>
      <c r="S912" s="51"/>
      <c r="T912" s="7"/>
      <c r="U912" s="7"/>
      <c r="V912" s="7"/>
      <c r="W912" s="7"/>
      <c r="X912" s="7"/>
      <c r="Y912" s="7"/>
      <c r="Z912" s="7"/>
      <c r="AA912" s="7"/>
      <c r="AB912" s="7"/>
      <c r="AC912" s="7"/>
      <c r="AD912" s="7"/>
      <c r="AE912" s="6" t="s">
        <v>12355</v>
      </c>
      <c r="AF912" s="74"/>
      <c r="AG912" s="7"/>
      <c r="AH912" s="73" t="s">
        <v>21093</v>
      </c>
      <c r="AI912" s="7"/>
      <c r="AJ912" s="7"/>
      <c r="AK912" s="7"/>
      <c r="AL912" s="7"/>
      <c r="AM912" s="6"/>
      <c r="AN912" s="7"/>
      <c r="AO912" s="7"/>
      <c r="AP912" s="65">
        <v>30811.0</v>
      </c>
      <c r="AQ912" s="6"/>
      <c r="AR912" s="6"/>
      <c r="AS912" s="6"/>
    </row>
    <row r="913" ht="15.75" customHeight="1">
      <c r="A913" s="6" t="s">
        <v>10834</v>
      </c>
      <c r="B913" s="6" t="s">
        <v>21094</v>
      </c>
      <c r="C913" s="7"/>
      <c r="D913" s="7"/>
      <c r="E913" s="7"/>
      <c r="F913" s="7"/>
      <c r="G913" s="7"/>
      <c r="H913" s="7"/>
      <c r="I913" s="7"/>
      <c r="J913" s="7"/>
      <c r="K913" s="7"/>
      <c r="L913" s="7"/>
      <c r="M913" s="6" t="s">
        <v>71</v>
      </c>
      <c r="N913" s="7"/>
      <c r="O913" s="6" t="s">
        <v>513</v>
      </c>
      <c r="P913" s="42"/>
      <c r="Q913" s="43"/>
      <c r="R913" s="50"/>
      <c r="S913" s="51"/>
      <c r="T913" s="7"/>
      <c r="U913" s="7"/>
      <c r="V913" s="7"/>
      <c r="W913" s="7"/>
      <c r="X913" s="7"/>
      <c r="Y913" s="7"/>
      <c r="Z913" s="7"/>
      <c r="AA913" s="7"/>
      <c r="AB913" s="7"/>
      <c r="AC913" s="7"/>
      <c r="AD913" s="7"/>
      <c r="AE913" s="6" t="s">
        <v>12355</v>
      </c>
      <c r="AF913" s="74"/>
      <c r="AG913" s="7"/>
      <c r="AH913" s="73" t="s">
        <v>21095</v>
      </c>
      <c r="AI913" s="7"/>
      <c r="AJ913" s="7"/>
      <c r="AK913" s="7"/>
      <c r="AL913" s="7"/>
      <c r="AM913" s="6"/>
      <c r="AN913" s="7"/>
      <c r="AO913" s="7"/>
      <c r="AP913" s="65">
        <v>30811.0</v>
      </c>
      <c r="AQ913" s="6"/>
      <c r="AR913" s="6"/>
      <c r="AS913" s="6"/>
    </row>
    <row r="914" ht="15.75" customHeight="1">
      <c r="A914" s="6" t="s">
        <v>10836</v>
      </c>
      <c r="B914" s="6" t="s">
        <v>4412</v>
      </c>
      <c r="C914" s="7"/>
      <c r="D914" s="7"/>
      <c r="E914" s="7"/>
      <c r="F914" s="7"/>
      <c r="G914" s="7"/>
      <c r="H914" s="7"/>
      <c r="I914" s="7"/>
      <c r="J914" s="7"/>
      <c r="K914" s="7"/>
      <c r="L914" s="7"/>
      <c r="M914" s="6" t="s">
        <v>71</v>
      </c>
      <c r="N914" s="7"/>
      <c r="O914" s="6" t="s">
        <v>4421</v>
      </c>
      <c r="P914" s="42"/>
      <c r="Q914" s="43"/>
      <c r="R914" s="50"/>
      <c r="S914" s="51"/>
      <c r="T914" s="7"/>
      <c r="U914" s="7"/>
      <c r="V914" s="7"/>
      <c r="W914" s="7"/>
      <c r="X914" s="7"/>
      <c r="Y914" s="7"/>
      <c r="Z914" s="7"/>
      <c r="AA914" s="7"/>
      <c r="AB914" s="7"/>
      <c r="AC914" s="7"/>
      <c r="AD914" s="7"/>
      <c r="AE914" s="6" t="s">
        <v>12355</v>
      </c>
      <c r="AF914" s="74"/>
      <c r="AG914" s="7"/>
      <c r="AH914" s="73" t="s">
        <v>21096</v>
      </c>
      <c r="AI914" s="7"/>
      <c r="AJ914" s="7"/>
      <c r="AK914" s="7"/>
      <c r="AL914" s="7"/>
      <c r="AM914" s="6"/>
      <c r="AN914" s="7"/>
      <c r="AO914" s="7"/>
      <c r="AP914" s="65">
        <v>30811.0</v>
      </c>
      <c r="AQ914" s="6"/>
      <c r="AR914" s="6"/>
      <c r="AS914" s="6"/>
    </row>
    <row r="915" ht="15.75" customHeight="1">
      <c r="A915" s="6" t="s">
        <v>21097</v>
      </c>
      <c r="B915" s="6" t="s">
        <v>21098</v>
      </c>
      <c r="C915" s="7"/>
      <c r="D915" s="7"/>
      <c r="E915" s="7"/>
      <c r="F915" s="7"/>
      <c r="G915" s="7"/>
      <c r="H915" s="7"/>
      <c r="I915" s="7"/>
      <c r="J915" s="7"/>
      <c r="K915" s="7"/>
      <c r="L915" s="7"/>
      <c r="M915" s="6" t="s">
        <v>71</v>
      </c>
      <c r="N915" s="7"/>
      <c r="O915" s="6" t="s">
        <v>21029</v>
      </c>
      <c r="P915" s="42"/>
      <c r="Q915" s="43"/>
      <c r="R915" s="50"/>
      <c r="S915" s="51"/>
      <c r="T915" s="7"/>
      <c r="U915" s="7"/>
      <c r="V915" s="7"/>
      <c r="W915" s="7"/>
      <c r="X915" s="7"/>
      <c r="Y915" s="7"/>
      <c r="Z915" s="7"/>
      <c r="AA915" s="7"/>
      <c r="AB915" s="7"/>
      <c r="AC915" s="7"/>
      <c r="AD915" s="7"/>
      <c r="AE915" s="6" t="s">
        <v>12355</v>
      </c>
      <c r="AF915" s="74"/>
      <c r="AG915" s="7"/>
      <c r="AH915" s="73" t="s">
        <v>21099</v>
      </c>
      <c r="AI915" s="7"/>
      <c r="AJ915" s="7"/>
      <c r="AK915" s="7"/>
      <c r="AL915" s="7"/>
      <c r="AM915" s="6"/>
      <c r="AN915" s="7"/>
      <c r="AO915" s="7"/>
      <c r="AP915" s="65">
        <v>30811.0</v>
      </c>
      <c r="AQ915" s="6"/>
      <c r="AR915" s="6"/>
      <c r="AS915" s="6"/>
    </row>
    <row r="916" ht="15.75" customHeight="1">
      <c r="A916" s="6" t="s">
        <v>10839</v>
      </c>
      <c r="B916" s="6" t="s">
        <v>4399</v>
      </c>
      <c r="C916" s="7"/>
      <c r="D916" s="7"/>
      <c r="E916" s="7"/>
      <c r="F916" s="7"/>
      <c r="G916" s="7"/>
      <c r="H916" s="7"/>
      <c r="I916" s="7"/>
      <c r="J916" s="7"/>
      <c r="K916" s="7"/>
      <c r="L916" s="7"/>
      <c r="M916" s="6" t="s">
        <v>71</v>
      </c>
      <c r="N916" s="7"/>
      <c r="O916" s="6" t="s">
        <v>4410</v>
      </c>
      <c r="P916" s="42"/>
      <c r="Q916" s="43"/>
      <c r="R916" s="50"/>
      <c r="S916" s="51"/>
      <c r="T916" s="7"/>
      <c r="U916" s="7"/>
      <c r="V916" s="7"/>
      <c r="W916" s="7"/>
      <c r="X916" s="7"/>
      <c r="Y916" s="7"/>
      <c r="Z916" s="7"/>
      <c r="AA916" s="7"/>
      <c r="AB916" s="7"/>
      <c r="AC916" s="7"/>
      <c r="AD916" s="7"/>
      <c r="AE916" s="6" t="s">
        <v>12355</v>
      </c>
      <c r="AF916" s="74"/>
      <c r="AG916" s="7"/>
      <c r="AH916" s="73" t="s">
        <v>21100</v>
      </c>
      <c r="AI916" s="7"/>
      <c r="AJ916" s="7"/>
      <c r="AK916" s="7"/>
      <c r="AL916" s="7"/>
      <c r="AM916" s="6"/>
      <c r="AN916" s="7"/>
      <c r="AO916" s="7"/>
      <c r="AP916" s="65">
        <v>30811.0</v>
      </c>
      <c r="AQ916" s="6"/>
      <c r="AR916" s="6"/>
      <c r="AS916" s="6"/>
    </row>
    <row r="917" ht="15.75" customHeight="1">
      <c r="A917" s="6" t="s">
        <v>10841</v>
      </c>
      <c r="B917" s="6" t="s">
        <v>4441</v>
      </c>
      <c r="C917" s="7"/>
      <c r="D917" s="7"/>
      <c r="E917" s="7"/>
      <c r="F917" s="7"/>
      <c r="G917" s="7"/>
      <c r="H917" s="7"/>
      <c r="I917" s="7"/>
      <c r="J917" s="7"/>
      <c r="K917" s="7"/>
      <c r="L917" s="7"/>
      <c r="M917" s="6" t="s">
        <v>71</v>
      </c>
      <c r="N917" s="7"/>
      <c r="O917" s="6" t="s">
        <v>4451</v>
      </c>
      <c r="P917" s="42"/>
      <c r="Q917" s="43"/>
      <c r="R917" s="50"/>
      <c r="S917" s="51"/>
      <c r="T917" s="7"/>
      <c r="U917" s="7"/>
      <c r="V917" s="7"/>
      <c r="W917" s="7"/>
      <c r="X917" s="7"/>
      <c r="Y917" s="7"/>
      <c r="Z917" s="7"/>
      <c r="AA917" s="7"/>
      <c r="AB917" s="7"/>
      <c r="AC917" s="7"/>
      <c r="AD917" s="7"/>
      <c r="AE917" s="6" t="s">
        <v>12355</v>
      </c>
      <c r="AF917" s="74"/>
      <c r="AG917" s="7"/>
      <c r="AH917" s="73" t="s">
        <v>21101</v>
      </c>
      <c r="AI917" s="7"/>
      <c r="AJ917" s="7"/>
      <c r="AK917" s="7"/>
      <c r="AL917" s="7"/>
      <c r="AM917" s="6"/>
      <c r="AN917" s="7"/>
      <c r="AO917" s="7"/>
      <c r="AP917" s="65">
        <v>30811.0</v>
      </c>
      <c r="AQ917" s="6"/>
      <c r="AR917" s="6"/>
      <c r="AS917" s="6"/>
    </row>
    <row r="918" ht="15.75" customHeight="1">
      <c r="A918" s="6" t="s">
        <v>10843</v>
      </c>
      <c r="B918" s="6" t="s">
        <v>21102</v>
      </c>
      <c r="C918" s="7"/>
      <c r="D918" s="7"/>
      <c r="E918" s="7"/>
      <c r="F918" s="7"/>
      <c r="G918" s="7"/>
      <c r="H918" s="7"/>
      <c r="I918" s="7"/>
      <c r="J918" s="7"/>
      <c r="K918" s="7"/>
      <c r="L918" s="7"/>
      <c r="M918" s="6" t="s">
        <v>71</v>
      </c>
      <c r="N918" s="7"/>
      <c r="O918" s="6"/>
      <c r="P918" s="42"/>
      <c r="Q918" s="43"/>
      <c r="R918" s="50"/>
      <c r="S918" s="51"/>
      <c r="T918" s="7"/>
      <c r="U918" s="7"/>
      <c r="V918" s="7"/>
      <c r="W918" s="7"/>
      <c r="X918" s="7"/>
      <c r="Y918" s="7"/>
      <c r="Z918" s="7"/>
      <c r="AA918" s="7"/>
      <c r="AB918" s="7"/>
      <c r="AC918" s="7"/>
      <c r="AD918" s="7"/>
      <c r="AE918" s="6" t="s">
        <v>12355</v>
      </c>
      <c r="AF918" s="74"/>
      <c r="AG918" s="7"/>
      <c r="AH918" s="73" t="s">
        <v>21103</v>
      </c>
      <c r="AI918" s="7"/>
      <c r="AJ918" s="7"/>
      <c r="AK918" s="7"/>
      <c r="AL918" s="7"/>
      <c r="AM918" s="6"/>
      <c r="AN918" s="7"/>
      <c r="AO918" s="7"/>
      <c r="AP918" s="65">
        <v>30811.0</v>
      </c>
      <c r="AQ918" s="6"/>
      <c r="AR918" s="6"/>
      <c r="AS918" s="6"/>
    </row>
    <row r="919" ht="15.75" customHeight="1">
      <c r="A919" s="6" t="s">
        <v>10845</v>
      </c>
      <c r="B919" s="6" t="s">
        <v>6892</v>
      </c>
      <c r="C919" s="7"/>
      <c r="D919" s="7"/>
      <c r="E919" s="7"/>
      <c r="F919" s="7"/>
      <c r="G919" s="7"/>
      <c r="H919" s="7"/>
      <c r="I919" s="7"/>
      <c r="J919" s="7"/>
      <c r="K919" s="7"/>
      <c r="L919" s="7"/>
      <c r="M919" s="6" t="s">
        <v>71</v>
      </c>
      <c r="N919" s="7"/>
      <c r="O919" s="6" t="s">
        <v>6901</v>
      </c>
      <c r="P919" s="42"/>
      <c r="Q919" s="43"/>
      <c r="R919" s="50"/>
      <c r="S919" s="51"/>
      <c r="T919" s="7"/>
      <c r="U919" s="7"/>
      <c r="V919" s="7"/>
      <c r="W919" s="7"/>
      <c r="X919" s="7"/>
      <c r="Y919" s="7"/>
      <c r="Z919" s="7"/>
      <c r="AA919" s="7"/>
      <c r="AB919" s="7"/>
      <c r="AC919" s="7"/>
      <c r="AD919" s="7"/>
      <c r="AE919" s="6" t="s">
        <v>12355</v>
      </c>
      <c r="AF919" s="74"/>
      <c r="AG919" s="7"/>
      <c r="AH919" s="73" t="s">
        <v>21104</v>
      </c>
      <c r="AI919" s="7"/>
      <c r="AJ919" s="7"/>
      <c r="AK919" s="7"/>
      <c r="AL919" s="7"/>
      <c r="AM919" s="6"/>
      <c r="AN919" s="7"/>
      <c r="AO919" s="7"/>
      <c r="AP919" s="65">
        <v>30811.0</v>
      </c>
      <c r="AQ919" s="6"/>
      <c r="AR919" s="6"/>
      <c r="AS919" s="6"/>
    </row>
    <row r="920" ht="15.75" customHeight="1">
      <c r="A920" s="6" t="s">
        <v>10847</v>
      </c>
      <c r="B920" s="6" t="s">
        <v>21105</v>
      </c>
      <c r="C920" s="7"/>
      <c r="D920" s="7"/>
      <c r="E920" s="7"/>
      <c r="F920" s="7"/>
      <c r="G920" s="7"/>
      <c r="H920" s="7"/>
      <c r="I920" s="7"/>
      <c r="J920" s="7"/>
      <c r="K920" s="7"/>
      <c r="L920" s="7"/>
      <c r="M920" s="6" t="s">
        <v>71</v>
      </c>
      <c r="N920" s="7"/>
      <c r="O920" s="6" t="s">
        <v>3582</v>
      </c>
      <c r="P920" s="42"/>
      <c r="Q920" s="43"/>
      <c r="R920" s="50"/>
      <c r="S920" s="51"/>
      <c r="T920" s="7"/>
      <c r="U920" s="7"/>
      <c r="V920" s="7"/>
      <c r="W920" s="7"/>
      <c r="X920" s="7"/>
      <c r="Y920" s="7"/>
      <c r="Z920" s="7"/>
      <c r="AA920" s="7"/>
      <c r="AB920" s="7"/>
      <c r="AC920" s="7"/>
      <c r="AD920" s="7"/>
      <c r="AE920" s="6" t="s">
        <v>12355</v>
      </c>
      <c r="AF920" s="74"/>
      <c r="AG920" s="7"/>
      <c r="AH920" s="73" t="s">
        <v>21106</v>
      </c>
      <c r="AI920" s="7"/>
      <c r="AJ920" s="7"/>
      <c r="AK920" s="7"/>
      <c r="AL920" s="7"/>
      <c r="AM920" s="6"/>
      <c r="AN920" s="7"/>
      <c r="AO920" s="7"/>
      <c r="AP920" s="65">
        <v>30811.0</v>
      </c>
      <c r="AQ920" s="6"/>
      <c r="AR920" s="6"/>
      <c r="AS920" s="6"/>
    </row>
    <row r="921" ht="15.75" customHeight="1">
      <c r="A921" s="6" t="s">
        <v>10849</v>
      </c>
      <c r="B921" s="6" t="s">
        <v>1219</v>
      </c>
      <c r="C921" s="7"/>
      <c r="D921" s="7"/>
      <c r="E921" s="7"/>
      <c r="F921" s="7"/>
      <c r="G921" s="7"/>
      <c r="H921" s="7"/>
      <c r="I921" s="7"/>
      <c r="J921" s="7"/>
      <c r="K921" s="7"/>
      <c r="L921" s="7"/>
      <c r="M921" s="6" t="s">
        <v>71</v>
      </c>
      <c r="N921" s="7"/>
      <c r="O921" s="6" t="s">
        <v>1230</v>
      </c>
      <c r="P921" s="42"/>
      <c r="Q921" s="43"/>
      <c r="R921" s="50"/>
      <c r="S921" s="51"/>
      <c r="T921" s="7"/>
      <c r="U921" s="7"/>
      <c r="V921" s="7"/>
      <c r="W921" s="7"/>
      <c r="X921" s="7"/>
      <c r="Y921" s="7"/>
      <c r="Z921" s="7"/>
      <c r="AA921" s="7"/>
      <c r="AB921" s="7"/>
      <c r="AC921" s="7"/>
      <c r="AD921" s="7"/>
      <c r="AE921" s="6" t="s">
        <v>12355</v>
      </c>
      <c r="AF921" s="74"/>
      <c r="AG921" s="7"/>
      <c r="AH921" s="73" t="s">
        <v>21107</v>
      </c>
      <c r="AI921" s="7"/>
      <c r="AJ921" s="7"/>
      <c r="AK921" s="7"/>
      <c r="AL921" s="7"/>
      <c r="AM921" s="6"/>
      <c r="AN921" s="7"/>
      <c r="AO921" s="7"/>
      <c r="AP921" s="65">
        <v>30811.0</v>
      </c>
      <c r="AQ921" s="6"/>
      <c r="AR921" s="6"/>
      <c r="AS921" s="6"/>
    </row>
    <row r="922" ht="15.75" customHeight="1">
      <c r="A922" s="6" t="s">
        <v>10851</v>
      </c>
      <c r="B922" s="6" t="s">
        <v>21108</v>
      </c>
      <c r="C922" s="7"/>
      <c r="D922" s="7"/>
      <c r="E922" s="7"/>
      <c r="F922" s="7"/>
      <c r="G922" s="7"/>
      <c r="H922" s="7"/>
      <c r="I922" s="7"/>
      <c r="J922" s="7"/>
      <c r="K922" s="7"/>
      <c r="L922" s="7"/>
      <c r="M922" s="6" t="s">
        <v>71</v>
      </c>
      <c r="N922" s="7"/>
      <c r="O922" s="6"/>
      <c r="P922" s="42"/>
      <c r="Q922" s="43"/>
      <c r="R922" s="50"/>
      <c r="S922" s="51"/>
      <c r="T922" s="7"/>
      <c r="U922" s="7"/>
      <c r="V922" s="7"/>
      <c r="W922" s="7"/>
      <c r="X922" s="7"/>
      <c r="Y922" s="7"/>
      <c r="Z922" s="7"/>
      <c r="AA922" s="7"/>
      <c r="AB922" s="7"/>
      <c r="AC922" s="7"/>
      <c r="AD922" s="7"/>
      <c r="AE922" s="6" t="s">
        <v>12355</v>
      </c>
      <c r="AF922" s="74"/>
      <c r="AG922" s="7"/>
      <c r="AH922" s="73" t="s">
        <v>21109</v>
      </c>
      <c r="AI922" s="7"/>
      <c r="AJ922" s="7"/>
      <c r="AK922" s="7"/>
      <c r="AL922" s="7"/>
      <c r="AM922" s="6"/>
      <c r="AN922" s="7"/>
      <c r="AO922" s="7"/>
      <c r="AP922" s="65">
        <v>30811.0</v>
      </c>
      <c r="AQ922" s="6"/>
      <c r="AR922" s="6"/>
      <c r="AS922" s="6"/>
    </row>
    <row r="923" ht="15.75" customHeight="1">
      <c r="A923" s="6" t="s">
        <v>10853</v>
      </c>
      <c r="B923" s="6" t="s">
        <v>21110</v>
      </c>
      <c r="C923" s="7"/>
      <c r="D923" s="7"/>
      <c r="E923" s="7"/>
      <c r="F923" s="7"/>
      <c r="G923" s="7"/>
      <c r="H923" s="7"/>
      <c r="I923" s="7"/>
      <c r="J923" s="7"/>
      <c r="K923" s="7"/>
      <c r="L923" s="7"/>
      <c r="M923" s="6" t="s">
        <v>71</v>
      </c>
      <c r="N923" s="7"/>
      <c r="O923" s="6" t="s">
        <v>1528</v>
      </c>
      <c r="P923" s="42"/>
      <c r="Q923" s="43"/>
      <c r="R923" s="50"/>
      <c r="S923" s="51"/>
      <c r="T923" s="7"/>
      <c r="U923" s="7"/>
      <c r="V923" s="7"/>
      <c r="W923" s="7"/>
      <c r="X923" s="7"/>
      <c r="Y923" s="7"/>
      <c r="Z923" s="7"/>
      <c r="AA923" s="7"/>
      <c r="AB923" s="7"/>
      <c r="AC923" s="7"/>
      <c r="AD923" s="7"/>
      <c r="AE923" s="6" t="s">
        <v>12355</v>
      </c>
      <c r="AF923" s="74"/>
      <c r="AG923" s="7"/>
      <c r="AH923" s="73" t="s">
        <v>21111</v>
      </c>
      <c r="AI923" s="7"/>
      <c r="AJ923" s="7"/>
      <c r="AK923" s="7"/>
      <c r="AL923" s="7"/>
      <c r="AM923" s="6"/>
      <c r="AN923" s="7"/>
      <c r="AO923" s="7"/>
      <c r="AP923" s="65">
        <v>30811.0</v>
      </c>
      <c r="AQ923" s="6"/>
      <c r="AR923" s="6"/>
      <c r="AS923" s="6"/>
    </row>
    <row r="924" ht="15.75" customHeight="1">
      <c r="A924" s="6" t="s">
        <v>10855</v>
      </c>
      <c r="B924" s="6" t="s">
        <v>5167</v>
      </c>
      <c r="C924" s="7"/>
      <c r="D924" s="7"/>
      <c r="E924" s="7"/>
      <c r="F924" s="7"/>
      <c r="G924" s="7"/>
      <c r="H924" s="7"/>
      <c r="I924" s="7"/>
      <c r="J924" s="7"/>
      <c r="K924" s="7"/>
      <c r="L924" s="7"/>
      <c r="M924" s="6" t="s">
        <v>71</v>
      </c>
      <c r="N924" s="7"/>
      <c r="O924" s="6" t="s">
        <v>5176</v>
      </c>
      <c r="P924" s="42"/>
      <c r="Q924" s="43"/>
      <c r="R924" s="50"/>
      <c r="S924" s="51"/>
      <c r="T924" s="7"/>
      <c r="U924" s="7"/>
      <c r="V924" s="7"/>
      <c r="W924" s="7"/>
      <c r="X924" s="7"/>
      <c r="Y924" s="7"/>
      <c r="Z924" s="7"/>
      <c r="AA924" s="7"/>
      <c r="AB924" s="7"/>
      <c r="AC924" s="7"/>
      <c r="AD924" s="7"/>
      <c r="AE924" s="6" t="s">
        <v>12355</v>
      </c>
      <c r="AF924" s="74"/>
      <c r="AG924" s="7"/>
      <c r="AH924" s="73" t="s">
        <v>21112</v>
      </c>
      <c r="AI924" s="7"/>
      <c r="AJ924" s="7"/>
      <c r="AK924" s="7"/>
      <c r="AL924" s="7"/>
      <c r="AM924" s="6"/>
      <c r="AN924" s="7"/>
      <c r="AO924" s="7"/>
      <c r="AP924" s="65">
        <v>30811.0</v>
      </c>
      <c r="AQ924" s="6"/>
      <c r="AR924" s="6"/>
      <c r="AS924" s="6"/>
    </row>
    <row r="925" ht="15.75" customHeight="1">
      <c r="A925" s="6" t="s">
        <v>10857</v>
      </c>
      <c r="B925" s="6" t="s">
        <v>21113</v>
      </c>
      <c r="C925" s="7"/>
      <c r="D925" s="7"/>
      <c r="E925" s="7"/>
      <c r="F925" s="7"/>
      <c r="G925" s="7"/>
      <c r="H925" s="7"/>
      <c r="I925" s="7"/>
      <c r="J925" s="7"/>
      <c r="K925" s="7"/>
      <c r="L925" s="7"/>
      <c r="M925" s="6" t="s">
        <v>71</v>
      </c>
      <c r="N925" s="7"/>
      <c r="O925" s="6"/>
      <c r="P925" s="42"/>
      <c r="Q925" s="43"/>
      <c r="R925" s="50"/>
      <c r="S925" s="51"/>
      <c r="T925" s="7"/>
      <c r="U925" s="7"/>
      <c r="V925" s="7"/>
      <c r="W925" s="7"/>
      <c r="X925" s="7"/>
      <c r="Y925" s="7"/>
      <c r="Z925" s="7"/>
      <c r="AA925" s="7"/>
      <c r="AB925" s="7"/>
      <c r="AC925" s="7"/>
      <c r="AD925" s="7"/>
      <c r="AE925" s="6" t="s">
        <v>12355</v>
      </c>
      <c r="AF925" s="74"/>
      <c r="AG925" s="7"/>
      <c r="AH925" s="73" t="s">
        <v>21114</v>
      </c>
      <c r="AI925" s="7"/>
      <c r="AJ925" s="7"/>
      <c r="AK925" s="7"/>
      <c r="AL925" s="7"/>
      <c r="AM925" s="6"/>
      <c r="AN925" s="7"/>
      <c r="AO925" s="7"/>
      <c r="AP925" s="65">
        <v>30811.0</v>
      </c>
      <c r="AQ925" s="6"/>
      <c r="AR925" s="6"/>
      <c r="AS925" s="6"/>
    </row>
    <row r="926" ht="15.75" customHeight="1">
      <c r="A926" s="6" t="s">
        <v>10859</v>
      </c>
      <c r="B926" s="6" t="s">
        <v>21115</v>
      </c>
      <c r="C926" s="7"/>
      <c r="D926" s="7"/>
      <c r="E926" s="7"/>
      <c r="F926" s="7"/>
      <c r="G926" s="7"/>
      <c r="H926" s="7"/>
      <c r="I926" s="7"/>
      <c r="J926" s="7"/>
      <c r="K926" s="7"/>
      <c r="L926" s="7"/>
      <c r="M926" s="6" t="s">
        <v>71</v>
      </c>
      <c r="N926" s="7"/>
      <c r="O926" s="6"/>
      <c r="P926" s="42"/>
      <c r="Q926" s="43"/>
      <c r="R926" s="50"/>
      <c r="S926" s="51"/>
      <c r="T926" s="7"/>
      <c r="U926" s="7"/>
      <c r="V926" s="7"/>
      <c r="W926" s="7"/>
      <c r="X926" s="7"/>
      <c r="Y926" s="7"/>
      <c r="Z926" s="7"/>
      <c r="AA926" s="7"/>
      <c r="AB926" s="7"/>
      <c r="AC926" s="7"/>
      <c r="AD926" s="7"/>
      <c r="AE926" s="6" t="s">
        <v>12355</v>
      </c>
      <c r="AF926" s="74"/>
      <c r="AG926" s="7"/>
      <c r="AH926" s="73" t="s">
        <v>21116</v>
      </c>
      <c r="AI926" s="7"/>
      <c r="AJ926" s="7"/>
      <c r="AK926" s="7"/>
      <c r="AL926" s="7"/>
      <c r="AM926" s="6"/>
      <c r="AN926" s="7"/>
      <c r="AO926" s="7"/>
      <c r="AP926" s="65">
        <v>30811.0</v>
      </c>
      <c r="AQ926" s="6"/>
      <c r="AR926" s="6"/>
      <c r="AS926" s="6"/>
    </row>
    <row r="927" ht="15.75" customHeight="1">
      <c r="A927" s="6" t="s">
        <v>10861</v>
      </c>
      <c r="B927" s="6" t="s">
        <v>5664</v>
      </c>
      <c r="C927" s="7"/>
      <c r="D927" s="7"/>
      <c r="E927" s="7"/>
      <c r="F927" s="7"/>
      <c r="G927" s="7"/>
      <c r="H927" s="7"/>
      <c r="I927" s="7"/>
      <c r="J927" s="7"/>
      <c r="K927" s="7"/>
      <c r="L927" s="7"/>
      <c r="M927" s="6" t="s">
        <v>71</v>
      </c>
      <c r="N927" s="7"/>
      <c r="O927" s="6" t="s">
        <v>5674</v>
      </c>
      <c r="P927" s="42"/>
      <c r="Q927" s="43"/>
      <c r="R927" s="50"/>
      <c r="S927" s="51"/>
      <c r="T927" s="7"/>
      <c r="U927" s="7"/>
      <c r="V927" s="7"/>
      <c r="W927" s="7"/>
      <c r="X927" s="7"/>
      <c r="Y927" s="7"/>
      <c r="Z927" s="7"/>
      <c r="AA927" s="7"/>
      <c r="AB927" s="7"/>
      <c r="AC927" s="7"/>
      <c r="AD927" s="7"/>
      <c r="AE927" s="6" t="s">
        <v>12355</v>
      </c>
      <c r="AF927" s="74"/>
      <c r="AG927" s="7"/>
      <c r="AH927" s="73" t="s">
        <v>21117</v>
      </c>
      <c r="AI927" s="7"/>
      <c r="AJ927" s="7"/>
      <c r="AK927" s="7"/>
      <c r="AL927" s="7"/>
      <c r="AM927" s="6"/>
      <c r="AN927" s="7"/>
      <c r="AO927" s="7"/>
      <c r="AP927" s="65">
        <v>30811.0</v>
      </c>
      <c r="AQ927" s="6"/>
      <c r="AR927" s="6"/>
      <c r="AS927" s="6"/>
    </row>
    <row r="928" ht="15.75" customHeight="1">
      <c r="A928" s="6" t="s">
        <v>10863</v>
      </c>
      <c r="B928" s="6" t="s">
        <v>21118</v>
      </c>
      <c r="C928" s="7"/>
      <c r="D928" s="7"/>
      <c r="E928" s="7"/>
      <c r="F928" s="7"/>
      <c r="G928" s="7"/>
      <c r="H928" s="7"/>
      <c r="I928" s="7"/>
      <c r="J928" s="7"/>
      <c r="K928" s="7"/>
      <c r="L928" s="7"/>
      <c r="M928" s="6" t="s">
        <v>71</v>
      </c>
      <c r="N928" s="7"/>
      <c r="O928" s="6" t="s">
        <v>3887</v>
      </c>
      <c r="P928" s="42"/>
      <c r="Q928" s="43"/>
      <c r="R928" s="50"/>
      <c r="S928" s="51"/>
      <c r="T928" s="7"/>
      <c r="U928" s="7"/>
      <c r="V928" s="7"/>
      <c r="W928" s="7"/>
      <c r="X928" s="7"/>
      <c r="Y928" s="7"/>
      <c r="Z928" s="7"/>
      <c r="AA928" s="7"/>
      <c r="AB928" s="7"/>
      <c r="AC928" s="7"/>
      <c r="AD928" s="7"/>
      <c r="AE928" s="6" t="s">
        <v>12355</v>
      </c>
      <c r="AF928" s="74"/>
      <c r="AG928" s="7"/>
      <c r="AH928" s="73" t="s">
        <v>21119</v>
      </c>
      <c r="AI928" s="7"/>
      <c r="AJ928" s="7"/>
      <c r="AK928" s="7"/>
      <c r="AL928" s="7"/>
      <c r="AM928" s="6"/>
      <c r="AN928" s="7"/>
      <c r="AO928" s="7"/>
      <c r="AP928" s="65">
        <v>30811.0</v>
      </c>
      <c r="AQ928" s="6"/>
      <c r="AR928" s="6"/>
      <c r="AS928" s="6"/>
    </row>
    <row r="929" ht="15.75" customHeight="1">
      <c r="A929" s="6" t="s">
        <v>10865</v>
      </c>
      <c r="B929" s="6" t="s">
        <v>4389</v>
      </c>
      <c r="C929" s="7"/>
      <c r="D929" s="7"/>
      <c r="E929" s="7"/>
      <c r="F929" s="7"/>
      <c r="G929" s="7"/>
      <c r="H929" s="7"/>
      <c r="I929" s="7"/>
      <c r="J929" s="7"/>
      <c r="K929" s="7"/>
      <c r="L929" s="7"/>
      <c r="M929" s="6" t="s">
        <v>71</v>
      </c>
      <c r="N929" s="7"/>
      <c r="O929" s="6" t="s">
        <v>4397</v>
      </c>
      <c r="P929" s="42"/>
      <c r="Q929" s="43"/>
      <c r="R929" s="50"/>
      <c r="S929" s="51"/>
      <c r="T929" s="7"/>
      <c r="U929" s="7"/>
      <c r="V929" s="7"/>
      <c r="W929" s="7"/>
      <c r="X929" s="7"/>
      <c r="Y929" s="7"/>
      <c r="Z929" s="7"/>
      <c r="AA929" s="7"/>
      <c r="AB929" s="7"/>
      <c r="AC929" s="7"/>
      <c r="AD929" s="7"/>
      <c r="AE929" s="6" t="s">
        <v>12355</v>
      </c>
      <c r="AF929" s="74"/>
      <c r="AG929" s="7"/>
      <c r="AH929" s="73" t="s">
        <v>21120</v>
      </c>
      <c r="AI929" s="7"/>
      <c r="AJ929" s="7"/>
      <c r="AK929" s="7"/>
      <c r="AL929" s="7"/>
      <c r="AM929" s="6"/>
      <c r="AN929" s="7"/>
      <c r="AO929" s="7"/>
      <c r="AP929" s="65">
        <v>30811.0</v>
      </c>
      <c r="AQ929" s="6"/>
      <c r="AR929" s="6"/>
      <c r="AS929" s="6"/>
    </row>
    <row r="930" ht="15.75" customHeight="1">
      <c r="A930" s="6" t="s">
        <v>21121</v>
      </c>
      <c r="B930" s="6" t="s">
        <v>21122</v>
      </c>
      <c r="C930" s="7"/>
      <c r="D930" s="7"/>
      <c r="E930" s="7"/>
      <c r="F930" s="7"/>
      <c r="G930" s="7"/>
      <c r="H930" s="7"/>
      <c r="I930" s="7"/>
      <c r="J930" s="7"/>
      <c r="K930" s="7"/>
      <c r="L930" s="7"/>
      <c r="M930" s="6" t="s">
        <v>71</v>
      </c>
      <c r="N930" s="7"/>
      <c r="O930" s="6" t="s">
        <v>417</v>
      </c>
      <c r="P930" s="42"/>
      <c r="Q930" s="43"/>
      <c r="R930" s="50"/>
      <c r="S930" s="51"/>
      <c r="T930" s="7"/>
      <c r="U930" s="7"/>
      <c r="V930" s="7"/>
      <c r="W930" s="7"/>
      <c r="X930" s="7"/>
      <c r="Y930" s="7"/>
      <c r="Z930" s="7"/>
      <c r="AA930" s="7"/>
      <c r="AB930" s="7"/>
      <c r="AC930" s="7"/>
      <c r="AD930" s="7"/>
      <c r="AE930" s="6" t="s">
        <v>12355</v>
      </c>
      <c r="AF930" s="74"/>
      <c r="AG930" s="7"/>
      <c r="AH930" s="73" t="s">
        <v>21123</v>
      </c>
      <c r="AI930" s="7"/>
      <c r="AJ930" s="7"/>
      <c r="AK930" s="7"/>
      <c r="AL930" s="7"/>
      <c r="AM930" s="6"/>
      <c r="AN930" s="7"/>
      <c r="AO930" s="7"/>
      <c r="AP930" s="65">
        <v>30811.0</v>
      </c>
      <c r="AQ930" s="6"/>
      <c r="AR930" s="6"/>
      <c r="AS930" s="6"/>
    </row>
    <row r="931" ht="15.75" customHeight="1">
      <c r="A931" s="6" t="s">
        <v>10867</v>
      </c>
      <c r="B931" s="6" t="s">
        <v>21124</v>
      </c>
      <c r="C931" s="7"/>
      <c r="D931" s="7"/>
      <c r="E931" s="7"/>
      <c r="F931" s="7"/>
      <c r="G931" s="7"/>
      <c r="H931" s="7"/>
      <c r="I931" s="7"/>
      <c r="J931" s="7"/>
      <c r="K931" s="7"/>
      <c r="L931" s="7"/>
      <c r="M931" s="6" t="s">
        <v>71</v>
      </c>
      <c r="N931" s="7"/>
      <c r="O931" s="6" t="s">
        <v>7583</v>
      </c>
      <c r="P931" s="42"/>
      <c r="Q931" s="43"/>
      <c r="R931" s="50"/>
      <c r="S931" s="51"/>
      <c r="T931" s="7"/>
      <c r="U931" s="7"/>
      <c r="V931" s="7"/>
      <c r="W931" s="7"/>
      <c r="X931" s="7"/>
      <c r="Y931" s="7"/>
      <c r="Z931" s="7"/>
      <c r="AA931" s="7"/>
      <c r="AB931" s="7"/>
      <c r="AC931" s="7"/>
      <c r="AD931" s="7"/>
      <c r="AE931" s="6" t="s">
        <v>12355</v>
      </c>
      <c r="AF931" s="74"/>
      <c r="AG931" s="7"/>
      <c r="AH931" s="73" t="s">
        <v>21125</v>
      </c>
      <c r="AI931" s="7"/>
      <c r="AJ931" s="7"/>
      <c r="AK931" s="7"/>
      <c r="AL931" s="7"/>
      <c r="AM931" s="6"/>
      <c r="AN931" s="7"/>
      <c r="AO931" s="7"/>
      <c r="AP931" s="65">
        <v>30811.0</v>
      </c>
      <c r="AQ931" s="6"/>
      <c r="AR931" s="6"/>
      <c r="AS931" s="6"/>
    </row>
    <row r="932" ht="15.75" customHeight="1">
      <c r="A932" s="6" t="s">
        <v>10869</v>
      </c>
      <c r="B932" s="6" t="s">
        <v>21126</v>
      </c>
      <c r="C932" s="7"/>
      <c r="D932" s="7"/>
      <c r="E932" s="7"/>
      <c r="F932" s="7"/>
      <c r="G932" s="7"/>
      <c r="H932" s="7"/>
      <c r="I932" s="7"/>
      <c r="J932" s="7"/>
      <c r="K932" s="7"/>
      <c r="L932" s="7"/>
      <c r="M932" s="6" t="s">
        <v>71</v>
      </c>
      <c r="N932" s="7"/>
      <c r="O932" s="6" t="s">
        <v>8133</v>
      </c>
      <c r="P932" s="42"/>
      <c r="Q932" s="43"/>
      <c r="R932" s="50"/>
      <c r="S932" s="51"/>
      <c r="T932" s="7"/>
      <c r="U932" s="7"/>
      <c r="V932" s="7"/>
      <c r="W932" s="7"/>
      <c r="X932" s="7"/>
      <c r="Y932" s="7"/>
      <c r="Z932" s="7"/>
      <c r="AA932" s="7"/>
      <c r="AB932" s="7"/>
      <c r="AC932" s="7"/>
      <c r="AD932" s="7"/>
      <c r="AE932" s="6" t="s">
        <v>12355</v>
      </c>
      <c r="AF932" s="74"/>
      <c r="AG932" s="7"/>
      <c r="AH932" s="73" t="s">
        <v>21127</v>
      </c>
      <c r="AI932" s="7"/>
      <c r="AJ932" s="7"/>
      <c r="AK932" s="7"/>
      <c r="AL932" s="7"/>
      <c r="AM932" s="6"/>
      <c r="AN932" s="7"/>
      <c r="AO932" s="7"/>
      <c r="AP932" s="65">
        <v>30811.0</v>
      </c>
      <c r="AQ932" s="6"/>
      <c r="AR932" s="6"/>
      <c r="AS932" s="6"/>
    </row>
    <row r="933" ht="15.75" customHeight="1">
      <c r="A933" s="6" t="s">
        <v>10871</v>
      </c>
      <c r="B933" s="6" t="s">
        <v>21128</v>
      </c>
      <c r="C933" s="7"/>
      <c r="D933" s="7"/>
      <c r="E933" s="7"/>
      <c r="F933" s="7"/>
      <c r="G933" s="7"/>
      <c r="H933" s="7"/>
      <c r="I933" s="7"/>
      <c r="J933" s="7"/>
      <c r="K933" s="7"/>
      <c r="L933" s="7"/>
      <c r="M933" s="6" t="s">
        <v>71</v>
      </c>
      <c r="N933" s="7"/>
      <c r="O933" s="6" t="s">
        <v>4672</v>
      </c>
      <c r="P933" s="42"/>
      <c r="Q933" s="43"/>
      <c r="R933" s="50"/>
      <c r="S933" s="51"/>
      <c r="T933" s="7"/>
      <c r="U933" s="7"/>
      <c r="V933" s="7"/>
      <c r="W933" s="7"/>
      <c r="X933" s="7"/>
      <c r="Y933" s="7"/>
      <c r="Z933" s="7"/>
      <c r="AA933" s="7"/>
      <c r="AB933" s="7"/>
      <c r="AC933" s="7"/>
      <c r="AD933" s="7"/>
      <c r="AE933" s="6" t="s">
        <v>12355</v>
      </c>
      <c r="AF933" s="74"/>
      <c r="AG933" s="7"/>
      <c r="AH933" s="73" t="s">
        <v>21129</v>
      </c>
      <c r="AI933" s="7"/>
      <c r="AJ933" s="7"/>
      <c r="AK933" s="7"/>
      <c r="AL933" s="7"/>
      <c r="AM933" s="6"/>
      <c r="AN933" s="7"/>
      <c r="AO933" s="7"/>
      <c r="AP933" s="65">
        <v>30811.0</v>
      </c>
      <c r="AQ933" s="6"/>
      <c r="AR933" s="6"/>
      <c r="AS933" s="6"/>
    </row>
    <row r="934" ht="15.75" customHeight="1">
      <c r="A934" s="6" t="s">
        <v>21130</v>
      </c>
      <c r="B934" s="6" t="s">
        <v>21131</v>
      </c>
      <c r="C934" s="7"/>
      <c r="D934" s="7"/>
      <c r="E934" s="7"/>
      <c r="F934" s="7"/>
      <c r="G934" s="7"/>
      <c r="H934" s="7"/>
      <c r="I934" s="7"/>
      <c r="J934" s="7"/>
      <c r="K934" s="7"/>
      <c r="L934" s="7"/>
      <c r="M934" s="6" t="s">
        <v>71</v>
      </c>
      <c r="N934" s="7"/>
      <c r="O934" s="6" t="s">
        <v>21029</v>
      </c>
      <c r="P934" s="42"/>
      <c r="Q934" s="43"/>
      <c r="R934" s="50"/>
      <c r="S934" s="51"/>
      <c r="T934" s="7"/>
      <c r="U934" s="7"/>
      <c r="V934" s="7"/>
      <c r="W934" s="7"/>
      <c r="X934" s="7"/>
      <c r="Y934" s="7"/>
      <c r="Z934" s="7"/>
      <c r="AA934" s="7"/>
      <c r="AB934" s="7"/>
      <c r="AC934" s="7"/>
      <c r="AD934" s="7"/>
      <c r="AE934" s="6" t="s">
        <v>12355</v>
      </c>
      <c r="AF934" s="74"/>
      <c r="AG934" s="7"/>
      <c r="AH934" s="73" t="s">
        <v>21132</v>
      </c>
      <c r="AI934" s="7"/>
      <c r="AJ934" s="7"/>
      <c r="AK934" s="7"/>
      <c r="AL934" s="7"/>
      <c r="AM934" s="6"/>
      <c r="AN934" s="7"/>
      <c r="AO934" s="7"/>
      <c r="AP934" s="65">
        <v>30811.0</v>
      </c>
      <c r="AQ934" s="6"/>
      <c r="AR934" s="6"/>
      <c r="AS934" s="6"/>
    </row>
    <row r="935" ht="15.75" customHeight="1">
      <c r="A935" s="6" t="s">
        <v>10873</v>
      </c>
      <c r="B935" s="6" t="s">
        <v>21133</v>
      </c>
      <c r="C935" s="7"/>
      <c r="D935" s="7"/>
      <c r="E935" s="7"/>
      <c r="F935" s="7"/>
      <c r="G935" s="7"/>
      <c r="H935" s="7"/>
      <c r="I935" s="7"/>
      <c r="J935" s="7"/>
      <c r="K935" s="7"/>
      <c r="L935" s="7"/>
      <c r="M935" s="6" t="s">
        <v>71</v>
      </c>
      <c r="N935" s="7"/>
      <c r="O935" s="6"/>
      <c r="P935" s="42"/>
      <c r="Q935" s="43"/>
      <c r="R935" s="50"/>
      <c r="S935" s="51"/>
      <c r="T935" s="7"/>
      <c r="U935" s="7"/>
      <c r="V935" s="7"/>
      <c r="W935" s="7"/>
      <c r="X935" s="7"/>
      <c r="Y935" s="7"/>
      <c r="Z935" s="7"/>
      <c r="AA935" s="7"/>
      <c r="AB935" s="7"/>
      <c r="AC935" s="7"/>
      <c r="AD935" s="7"/>
      <c r="AE935" s="6" t="s">
        <v>12355</v>
      </c>
      <c r="AF935" s="74"/>
      <c r="AG935" s="7"/>
      <c r="AH935" s="73" t="s">
        <v>21134</v>
      </c>
      <c r="AI935" s="7"/>
      <c r="AJ935" s="7"/>
      <c r="AK935" s="7"/>
      <c r="AL935" s="7"/>
      <c r="AM935" s="6"/>
      <c r="AN935" s="7"/>
      <c r="AO935" s="7"/>
      <c r="AP935" s="65">
        <v>30811.0</v>
      </c>
      <c r="AQ935" s="6"/>
      <c r="AR935" s="6"/>
      <c r="AS935" s="6"/>
    </row>
    <row r="936" ht="15.75" customHeight="1">
      <c r="A936" s="6" t="s">
        <v>21135</v>
      </c>
      <c r="B936" s="6" t="s">
        <v>2251</v>
      </c>
      <c r="C936" s="7"/>
      <c r="D936" s="7"/>
      <c r="E936" s="7"/>
      <c r="F936" s="7"/>
      <c r="G936" s="7"/>
      <c r="H936" s="7"/>
      <c r="I936" s="7"/>
      <c r="J936" s="7"/>
      <c r="K936" s="7"/>
      <c r="L936" s="7"/>
      <c r="M936" s="6" t="s">
        <v>71</v>
      </c>
      <c r="N936" s="7"/>
      <c r="O936" s="6" t="s">
        <v>21029</v>
      </c>
      <c r="P936" s="42"/>
      <c r="Q936" s="43"/>
      <c r="R936" s="50"/>
      <c r="S936" s="51"/>
      <c r="T936" s="7"/>
      <c r="U936" s="7"/>
      <c r="V936" s="7"/>
      <c r="W936" s="7"/>
      <c r="X936" s="7"/>
      <c r="Y936" s="7"/>
      <c r="Z936" s="7"/>
      <c r="AA936" s="7"/>
      <c r="AB936" s="7"/>
      <c r="AC936" s="7"/>
      <c r="AD936" s="7"/>
      <c r="AE936" s="6" t="s">
        <v>12355</v>
      </c>
      <c r="AF936" s="74"/>
      <c r="AG936" s="7"/>
      <c r="AH936" s="73" t="s">
        <v>21136</v>
      </c>
      <c r="AI936" s="7"/>
      <c r="AJ936" s="7"/>
      <c r="AK936" s="7"/>
      <c r="AL936" s="7"/>
      <c r="AM936" s="6"/>
      <c r="AN936" s="7"/>
      <c r="AO936" s="7"/>
      <c r="AP936" s="65">
        <v>30811.0</v>
      </c>
      <c r="AQ936" s="6"/>
      <c r="AR936" s="6"/>
      <c r="AS936" s="6"/>
    </row>
    <row r="937" ht="15.75" customHeight="1">
      <c r="A937" s="6" t="s">
        <v>10875</v>
      </c>
      <c r="B937" s="6" t="s">
        <v>21137</v>
      </c>
      <c r="C937" s="7"/>
      <c r="D937" s="7"/>
      <c r="E937" s="7"/>
      <c r="F937" s="7"/>
      <c r="G937" s="7"/>
      <c r="H937" s="7"/>
      <c r="I937" s="7"/>
      <c r="J937" s="7"/>
      <c r="K937" s="7"/>
      <c r="L937" s="7"/>
      <c r="M937" s="6" t="s">
        <v>71</v>
      </c>
      <c r="N937" s="7"/>
      <c r="O937" s="6" t="s">
        <v>6378</v>
      </c>
      <c r="P937" s="42"/>
      <c r="Q937" s="43"/>
      <c r="R937" s="50"/>
      <c r="S937" s="51"/>
      <c r="T937" s="7"/>
      <c r="U937" s="7"/>
      <c r="V937" s="7"/>
      <c r="W937" s="7"/>
      <c r="X937" s="7"/>
      <c r="Y937" s="7"/>
      <c r="Z937" s="7"/>
      <c r="AA937" s="7"/>
      <c r="AB937" s="7"/>
      <c r="AC937" s="7"/>
      <c r="AD937" s="7"/>
      <c r="AE937" s="6" t="s">
        <v>12355</v>
      </c>
      <c r="AF937" s="74"/>
      <c r="AG937" s="7"/>
      <c r="AH937" s="73" t="s">
        <v>21138</v>
      </c>
      <c r="AI937" s="7"/>
      <c r="AJ937" s="7"/>
      <c r="AK937" s="7"/>
      <c r="AL937" s="7"/>
      <c r="AM937" s="6"/>
      <c r="AN937" s="7"/>
      <c r="AO937" s="7"/>
      <c r="AP937" s="65">
        <v>30811.0</v>
      </c>
      <c r="AQ937" s="6"/>
      <c r="AR937" s="6"/>
      <c r="AS937" s="6"/>
    </row>
    <row r="938" ht="15.75" customHeight="1">
      <c r="A938" s="6" t="s">
        <v>10877</v>
      </c>
      <c r="B938" s="6" t="s">
        <v>1761</v>
      </c>
      <c r="C938" s="7"/>
      <c r="D938" s="7"/>
      <c r="E938" s="7"/>
      <c r="F938" s="7"/>
      <c r="G938" s="7"/>
      <c r="H938" s="7"/>
      <c r="I938" s="7"/>
      <c r="J938" s="7"/>
      <c r="K938" s="7"/>
      <c r="L938" s="7"/>
      <c r="M938" s="6" t="s">
        <v>71</v>
      </c>
      <c r="N938" s="7"/>
      <c r="O938" s="6" t="s">
        <v>1771</v>
      </c>
      <c r="P938" s="42"/>
      <c r="Q938" s="43"/>
      <c r="R938" s="50"/>
      <c r="S938" s="51"/>
      <c r="T938" s="7"/>
      <c r="U938" s="7"/>
      <c r="V938" s="7"/>
      <c r="W938" s="7"/>
      <c r="X938" s="7"/>
      <c r="Y938" s="7"/>
      <c r="Z938" s="7"/>
      <c r="AA938" s="7"/>
      <c r="AB938" s="7"/>
      <c r="AC938" s="7"/>
      <c r="AD938" s="7"/>
      <c r="AE938" s="6" t="s">
        <v>12355</v>
      </c>
      <c r="AF938" s="74"/>
      <c r="AG938" s="7"/>
      <c r="AH938" s="73" t="s">
        <v>21139</v>
      </c>
      <c r="AI938" s="7"/>
      <c r="AJ938" s="7"/>
      <c r="AK938" s="7"/>
      <c r="AL938" s="7"/>
      <c r="AM938" s="6"/>
      <c r="AN938" s="7"/>
      <c r="AO938" s="7"/>
      <c r="AP938" s="65">
        <v>30811.0</v>
      </c>
      <c r="AQ938" s="6"/>
      <c r="AR938" s="6"/>
      <c r="AS938" s="6"/>
    </row>
    <row r="939" ht="15.75" customHeight="1">
      <c r="A939" s="6" t="s">
        <v>10879</v>
      </c>
      <c r="B939" s="6" t="s">
        <v>2602</v>
      </c>
      <c r="C939" s="7"/>
      <c r="D939" s="7"/>
      <c r="E939" s="7"/>
      <c r="F939" s="7"/>
      <c r="G939" s="7"/>
      <c r="H939" s="7"/>
      <c r="I939" s="7"/>
      <c r="J939" s="7"/>
      <c r="K939" s="7"/>
      <c r="L939" s="7"/>
      <c r="M939" s="6" t="s">
        <v>71</v>
      </c>
      <c r="N939" s="7"/>
      <c r="O939" s="6" t="s">
        <v>2613</v>
      </c>
      <c r="P939" s="42"/>
      <c r="Q939" s="43"/>
      <c r="R939" s="50"/>
      <c r="S939" s="51"/>
      <c r="T939" s="7"/>
      <c r="U939" s="7"/>
      <c r="V939" s="7"/>
      <c r="W939" s="7"/>
      <c r="X939" s="7"/>
      <c r="Y939" s="7"/>
      <c r="Z939" s="7"/>
      <c r="AA939" s="7"/>
      <c r="AB939" s="7"/>
      <c r="AC939" s="7"/>
      <c r="AD939" s="7"/>
      <c r="AE939" s="6" t="s">
        <v>12355</v>
      </c>
      <c r="AF939" s="74"/>
      <c r="AG939" s="7"/>
      <c r="AH939" s="73" t="s">
        <v>21140</v>
      </c>
      <c r="AI939" s="7"/>
      <c r="AJ939" s="7"/>
      <c r="AK939" s="7"/>
      <c r="AL939" s="7"/>
      <c r="AM939" s="6"/>
      <c r="AN939" s="7"/>
      <c r="AO939" s="7"/>
      <c r="AP939" s="65">
        <v>30811.0</v>
      </c>
      <c r="AQ939" s="6"/>
      <c r="AR939" s="6"/>
      <c r="AS939" s="6"/>
    </row>
    <row r="940" ht="15.75" customHeight="1">
      <c r="A940" s="6" t="s">
        <v>10881</v>
      </c>
      <c r="B940" s="6" t="s">
        <v>21141</v>
      </c>
      <c r="C940" s="7"/>
      <c r="D940" s="7"/>
      <c r="E940" s="7"/>
      <c r="F940" s="7"/>
      <c r="G940" s="7"/>
      <c r="H940" s="7"/>
      <c r="I940" s="7"/>
      <c r="J940" s="7"/>
      <c r="K940" s="7"/>
      <c r="L940" s="7"/>
      <c r="M940" s="6" t="s">
        <v>71</v>
      </c>
      <c r="N940" s="7"/>
      <c r="O940" s="6"/>
      <c r="P940" s="42"/>
      <c r="Q940" s="43"/>
      <c r="R940" s="50"/>
      <c r="S940" s="51"/>
      <c r="T940" s="7"/>
      <c r="U940" s="7"/>
      <c r="V940" s="7"/>
      <c r="W940" s="7"/>
      <c r="X940" s="7"/>
      <c r="Y940" s="7"/>
      <c r="Z940" s="7"/>
      <c r="AA940" s="7"/>
      <c r="AB940" s="7"/>
      <c r="AC940" s="7"/>
      <c r="AD940" s="7"/>
      <c r="AE940" s="6" t="s">
        <v>12355</v>
      </c>
      <c r="AF940" s="74"/>
      <c r="AG940" s="7"/>
      <c r="AH940" s="73" t="s">
        <v>21142</v>
      </c>
      <c r="AI940" s="7"/>
      <c r="AJ940" s="7"/>
      <c r="AK940" s="7"/>
      <c r="AL940" s="7"/>
      <c r="AM940" s="6"/>
      <c r="AN940" s="7"/>
      <c r="AO940" s="7"/>
      <c r="AP940" s="65">
        <v>30811.0</v>
      </c>
      <c r="AQ940" s="6"/>
      <c r="AR940" s="6"/>
      <c r="AS940" s="6"/>
    </row>
    <row r="941" ht="15.75" customHeight="1">
      <c r="A941" s="6" t="s">
        <v>10883</v>
      </c>
      <c r="B941" s="6" t="s">
        <v>2289</v>
      </c>
      <c r="C941" s="7"/>
      <c r="D941" s="7"/>
      <c r="E941" s="7"/>
      <c r="F941" s="7"/>
      <c r="G941" s="7"/>
      <c r="H941" s="7"/>
      <c r="I941" s="7"/>
      <c r="J941" s="7"/>
      <c r="K941" s="7"/>
      <c r="L941" s="7"/>
      <c r="M941" s="6" t="s">
        <v>71</v>
      </c>
      <c r="N941" s="7"/>
      <c r="O941" s="6" t="s">
        <v>2299</v>
      </c>
      <c r="P941" s="42"/>
      <c r="Q941" s="43"/>
      <c r="R941" s="50"/>
      <c r="S941" s="51"/>
      <c r="T941" s="7"/>
      <c r="U941" s="7"/>
      <c r="V941" s="7"/>
      <c r="W941" s="7"/>
      <c r="X941" s="7"/>
      <c r="Y941" s="7"/>
      <c r="Z941" s="7"/>
      <c r="AA941" s="7"/>
      <c r="AB941" s="7"/>
      <c r="AC941" s="7"/>
      <c r="AD941" s="7"/>
      <c r="AE941" s="6" t="s">
        <v>12355</v>
      </c>
      <c r="AF941" s="74"/>
      <c r="AG941" s="7"/>
      <c r="AH941" s="73" t="s">
        <v>21143</v>
      </c>
      <c r="AI941" s="7"/>
      <c r="AJ941" s="7"/>
      <c r="AK941" s="7"/>
      <c r="AL941" s="7"/>
      <c r="AM941" s="6"/>
      <c r="AN941" s="7"/>
      <c r="AO941" s="7"/>
      <c r="AP941" s="65">
        <v>30811.0</v>
      </c>
      <c r="AQ941" s="6"/>
      <c r="AR941" s="6"/>
      <c r="AS941" s="6"/>
    </row>
    <row r="942" ht="15.75" customHeight="1">
      <c r="A942" s="6" t="s">
        <v>10885</v>
      </c>
      <c r="B942" s="6" t="s">
        <v>21144</v>
      </c>
      <c r="C942" s="7"/>
      <c r="D942" s="7"/>
      <c r="E942" s="7"/>
      <c r="F942" s="7"/>
      <c r="G942" s="7"/>
      <c r="H942" s="7"/>
      <c r="I942" s="7"/>
      <c r="J942" s="7"/>
      <c r="K942" s="7"/>
      <c r="L942" s="7"/>
      <c r="M942" s="6" t="s">
        <v>71</v>
      </c>
      <c r="N942" s="7"/>
      <c r="O942" s="6" t="s">
        <v>3691</v>
      </c>
      <c r="P942" s="42"/>
      <c r="Q942" s="43"/>
      <c r="R942" s="50"/>
      <c r="S942" s="51"/>
      <c r="T942" s="7"/>
      <c r="U942" s="7"/>
      <c r="V942" s="7"/>
      <c r="W942" s="7"/>
      <c r="X942" s="7"/>
      <c r="Y942" s="7"/>
      <c r="Z942" s="7"/>
      <c r="AA942" s="7"/>
      <c r="AB942" s="7"/>
      <c r="AC942" s="7"/>
      <c r="AD942" s="7"/>
      <c r="AE942" s="6" t="s">
        <v>12355</v>
      </c>
      <c r="AF942" s="74"/>
      <c r="AG942" s="7"/>
      <c r="AH942" s="73" t="s">
        <v>21145</v>
      </c>
      <c r="AI942" s="7"/>
      <c r="AJ942" s="7"/>
      <c r="AK942" s="7"/>
      <c r="AL942" s="7"/>
      <c r="AM942" s="6"/>
      <c r="AN942" s="7"/>
      <c r="AO942" s="7"/>
      <c r="AP942" s="65">
        <v>30811.0</v>
      </c>
      <c r="AQ942" s="6"/>
      <c r="AR942" s="6"/>
      <c r="AS942" s="6"/>
    </row>
    <row r="943" ht="15.75" customHeight="1">
      <c r="A943" s="6" t="s">
        <v>21146</v>
      </c>
      <c r="B943" s="6" t="s">
        <v>21147</v>
      </c>
      <c r="C943" s="7"/>
      <c r="D943" s="7"/>
      <c r="E943" s="7"/>
      <c r="F943" s="7"/>
      <c r="G943" s="7"/>
      <c r="H943" s="7"/>
      <c r="I943" s="7"/>
      <c r="J943" s="7"/>
      <c r="K943" s="7"/>
      <c r="L943" s="7"/>
      <c r="M943" s="6" t="s">
        <v>71</v>
      </c>
      <c r="N943" s="7"/>
      <c r="O943" s="6" t="s">
        <v>7059</v>
      </c>
      <c r="P943" s="42"/>
      <c r="Q943" s="43"/>
      <c r="R943" s="50"/>
      <c r="S943" s="51"/>
      <c r="T943" s="7"/>
      <c r="U943" s="7"/>
      <c r="V943" s="7"/>
      <c r="W943" s="7"/>
      <c r="X943" s="7"/>
      <c r="Y943" s="7"/>
      <c r="Z943" s="7"/>
      <c r="AA943" s="7"/>
      <c r="AB943" s="7"/>
      <c r="AC943" s="7"/>
      <c r="AD943" s="7"/>
      <c r="AE943" s="6" t="s">
        <v>12355</v>
      </c>
      <c r="AF943" s="74"/>
      <c r="AG943" s="7"/>
      <c r="AH943" s="73" t="s">
        <v>21148</v>
      </c>
      <c r="AI943" s="7"/>
      <c r="AJ943" s="7"/>
      <c r="AK943" s="7"/>
      <c r="AL943" s="7"/>
      <c r="AM943" s="6"/>
      <c r="AN943" s="7"/>
      <c r="AO943" s="7"/>
      <c r="AP943" s="65">
        <v>30811.0</v>
      </c>
      <c r="AQ943" s="6"/>
      <c r="AR943" s="6"/>
      <c r="AS943" s="6"/>
    </row>
    <row r="944" ht="15.75" customHeight="1">
      <c r="A944" s="6" t="s">
        <v>10887</v>
      </c>
      <c r="B944" s="6" t="s">
        <v>21149</v>
      </c>
      <c r="C944" s="7"/>
      <c r="D944" s="7"/>
      <c r="E944" s="7"/>
      <c r="F944" s="7"/>
      <c r="G944" s="7"/>
      <c r="H944" s="7"/>
      <c r="I944" s="7"/>
      <c r="J944" s="7"/>
      <c r="K944" s="7"/>
      <c r="L944" s="7"/>
      <c r="M944" s="6" t="s">
        <v>71</v>
      </c>
      <c r="N944" s="7"/>
      <c r="O944" s="6" t="s">
        <v>7059</v>
      </c>
      <c r="P944" s="42"/>
      <c r="Q944" s="43"/>
      <c r="R944" s="50"/>
      <c r="S944" s="51"/>
      <c r="T944" s="7"/>
      <c r="U944" s="7"/>
      <c r="V944" s="7"/>
      <c r="W944" s="7"/>
      <c r="X944" s="7"/>
      <c r="Y944" s="7"/>
      <c r="Z944" s="7"/>
      <c r="AA944" s="7"/>
      <c r="AB944" s="7"/>
      <c r="AC944" s="7"/>
      <c r="AD944" s="7"/>
      <c r="AE944" s="6" t="s">
        <v>12355</v>
      </c>
      <c r="AF944" s="74"/>
      <c r="AG944" s="7"/>
      <c r="AH944" s="73" t="s">
        <v>21150</v>
      </c>
      <c r="AI944" s="7"/>
      <c r="AJ944" s="7"/>
      <c r="AK944" s="7"/>
      <c r="AL944" s="7"/>
      <c r="AM944" s="6"/>
      <c r="AN944" s="7"/>
      <c r="AO944" s="7"/>
      <c r="AP944" s="65">
        <v>30811.0</v>
      </c>
      <c r="AQ944" s="6"/>
      <c r="AR944" s="6"/>
      <c r="AS944" s="6"/>
    </row>
    <row r="945" ht="15.75" customHeight="1">
      <c r="A945" s="6" t="s">
        <v>10889</v>
      </c>
      <c r="B945" s="6" t="s">
        <v>5913</v>
      </c>
      <c r="C945" s="7"/>
      <c r="D945" s="7"/>
      <c r="E945" s="7"/>
      <c r="F945" s="7"/>
      <c r="G945" s="7"/>
      <c r="H945" s="7"/>
      <c r="I945" s="7"/>
      <c r="J945" s="7"/>
      <c r="K945" s="7"/>
      <c r="L945" s="7"/>
      <c r="M945" s="6" t="s">
        <v>71</v>
      </c>
      <c r="N945" s="7"/>
      <c r="O945" s="6" t="s">
        <v>5923</v>
      </c>
      <c r="P945" s="42"/>
      <c r="Q945" s="43"/>
      <c r="R945" s="50"/>
      <c r="S945" s="51"/>
      <c r="T945" s="7"/>
      <c r="U945" s="7"/>
      <c r="V945" s="7"/>
      <c r="W945" s="7"/>
      <c r="X945" s="7"/>
      <c r="Y945" s="7"/>
      <c r="Z945" s="7"/>
      <c r="AA945" s="7"/>
      <c r="AB945" s="7"/>
      <c r="AC945" s="7"/>
      <c r="AD945" s="7"/>
      <c r="AE945" s="6" t="s">
        <v>12355</v>
      </c>
      <c r="AF945" s="74"/>
      <c r="AG945" s="7"/>
      <c r="AH945" s="73" t="s">
        <v>21151</v>
      </c>
      <c r="AI945" s="7"/>
      <c r="AJ945" s="7"/>
      <c r="AK945" s="7"/>
      <c r="AL945" s="7"/>
      <c r="AM945" s="6"/>
      <c r="AN945" s="7"/>
      <c r="AO945" s="7"/>
      <c r="AP945" s="65">
        <v>30811.0</v>
      </c>
      <c r="AQ945" s="6"/>
      <c r="AR945" s="6"/>
      <c r="AS945" s="6"/>
    </row>
    <row r="946" ht="15.75" customHeight="1">
      <c r="A946" s="6" t="s">
        <v>10891</v>
      </c>
      <c r="B946" s="6" t="s">
        <v>21152</v>
      </c>
      <c r="C946" s="7"/>
      <c r="D946" s="7"/>
      <c r="E946" s="7"/>
      <c r="F946" s="7"/>
      <c r="G946" s="7"/>
      <c r="H946" s="7"/>
      <c r="I946" s="7"/>
      <c r="J946" s="7"/>
      <c r="K946" s="7"/>
      <c r="L946" s="7"/>
      <c r="M946" s="6" t="s">
        <v>71</v>
      </c>
      <c r="N946" s="7"/>
      <c r="O946" s="6"/>
      <c r="P946" s="42"/>
      <c r="Q946" s="43"/>
      <c r="R946" s="50"/>
      <c r="S946" s="51"/>
      <c r="T946" s="7"/>
      <c r="U946" s="7"/>
      <c r="V946" s="7"/>
      <c r="W946" s="7"/>
      <c r="X946" s="7"/>
      <c r="Y946" s="7"/>
      <c r="Z946" s="7"/>
      <c r="AA946" s="7"/>
      <c r="AB946" s="7"/>
      <c r="AC946" s="7"/>
      <c r="AD946" s="7"/>
      <c r="AE946" s="6" t="s">
        <v>12355</v>
      </c>
      <c r="AF946" s="74"/>
      <c r="AG946" s="7"/>
      <c r="AH946" s="73" t="s">
        <v>21153</v>
      </c>
      <c r="AI946" s="7"/>
      <c r="AJ946" s="7"/>
      <c r="AK946" s="7"/>
      <c r="AL946" s="7"/>
      <c r="AM946" s="6"/>
      <c r="AN946" s="7"/>
      <c r="AO946" s="7"/>
      <c r="AP946" s="65">
        <v>30811.0</v>
      </c>
      <c r="AQ946" s="6"/>
      <c r="AR946" s="6"/>
      <c r="AS946" s="6"/>
    </row>
    <row r="947" ht="15.75" customHeight="1">
      <c r="A947" s="6" t="s">
        <v>10893</v>
      </c>
      <c r="B947" s="6" t="s">
        <v>21154</v>
      </c>
      <c r="C947" s="7"/>
      <c r="D947" s="7"/>
      <c r="E947" s="7"/>
      <c r="F947" s="7"/>
      <c r="G947" s="7"/>
      <c r="H947" s="7"/>
      <c r="I947" s="7"/>
      <c r="J947" s="7"/>
      <c r="K947" s="7"/>
      <c r="L947" s="7"/>
      <c r="M947" s="6" t="s">
        <v>71</v>
      </c>
      <c r="N947" s="7"/>
      <c r="O947" s="6" t="s">
        <v>2179</v>
      </c>
      <c r="P947" s="42"/>
      <c r="Q947" s="43"/>
      <c r="R947" s="50"/>
      <c r="S947" s="51"/>
      <c r="T947" s="7"/>
      <c r="U947" s="7"/>
      <c r="V947" s="7"/>
      <c r="W947" s="7"/>
      <c r="X947" s="7"/>
      <c r="Y947" s="7"/>
      <c r="Z947" s="7"/>
      <c r="AA947" s="7"/>
      <c r="AB947" s="7"/>
      <c r="AC947" s="7"/>
      <c r="AD947" s="7"/>
      <c r="AE947" s="6" t="s">
        <v>12355</v>
      </c>
      <c r="AF947" s="74"/>
      <c r="AG947" s="7"/>
      <c r="AH947" s="73" t="s">
        <v>21155</v>
      </c>
      <c r="AI947" s="7"/>
      <c r="AJ947" s="7"/>
      <c r="AK947" s="7"/>
      <c r="AL947" s="7"/>
      <c r="AM947" s="6"/>
      <c r="AN947" s="7"/>
      <c r="AO947" s="7"/>
      <c r="AP947" s="65">
        <v>30811.0</v>
      </c>
      <c r="AQ947" s="6"/>
      <c r="AR947" s="6"/>
      <c r="AS947" s="6"/>
    </row>
    <row r="948" ht="15.75" customHeight="1">
      <c r="A948" s="6" t="s">
        <v>21156</v>
      </c>
      <c r="B948" s="6" t="s">
        <v>21157</v>
      </c>
      <c r="C948" s="7"/>
      <c r="D948" s="7"/>
      <c r="E948" s="7"/>
      <c r="F948" s="7"/>
      <c r="G948" s="7"/>
      <c r="H948" s="7"/>
      <c r="I948" s="7"/>
      <c r="J948" s="7"/>
      <c r="K948" s="7"/>
      <c r="L948" s="7"/>
      <c r="M948" s="6" t="s">
        <v>71</v>
      </c>
      <c r="N948" s="7"/>
      <c r="O948" s="6" t="s">
        <v>1670</v>
      </c>
      <c r="P948" s="42"/>
      <c r="Q948" s="43"/>
      <c r="R948" s="50"/>
      <c r="S948" s="51"/>
      <c r="T948" s="7"/>
      <c r="U948" s="7"/>
      <c r="V948" s="7"/>
      <c r="W948" s="7"/>
      <c r="X948" s="7"/>
      <c r="Y948" s="7"/>
      <c r="Z948" s="7"/>
      <c r="AA948" s="7"/>
      <c r="AB948" s="7"/>
      <c r="AC948" s="7"/>
      <c r="AD948" s="7"/>
      <c r="AE948" s="6" t="s">
        <v>12355</v>
      </c>
      <c r="AF948" s="74"/>
      <c r="AG948" s="7"/>
      <c r="AH948" s="73" t="s">
        <v>21158</v>
      </c>
      <c r="AI948" s="7"/>
      <c r="AJ948" s="7"/>
      <c r="AK948" s="7"/>
      <c r="AL948" s="7"/>
      <c r="AM948" s="6"/>
      <c r="AN948" s="7"/>
      <c r="AO948" s="7"/>
      <c r="AP948" s="65">
        <v>30811.0</v>
      </c>
      <c r="AQ948" s="6"/>
      <c r="AR948" s="6"/>
      <c r="AS948" s="6"/>
    </row>
    <row r="949" ht="15.75" customHeight="1">
      <c r="A949" s="6" t="s">
        <v>10895</v>
      </c>
      <c r="B949" s="6" t="s">
        <v>2425</v>
      </c>
      <c r="C949" s="7"/>
      <c r="D949" s="7"/>
      <c r="E949" s="7"/>
      <c r="F949" s="7"/>
      <c r="G949" s="7"/>
      <c r="H949" s="7"/>
      <c r="I949" s="7"/>
      <c r="J949" s="7"/>
      <c r="K949" s="7"/>
      <c r="L949" s="7"/>
      <c r="M949" s="6" t="s">
        <v>71</v>
      </c>
      <c r="N949" s="7"/>
      <c r="O949" s="6" t="s">
        <v>2430</v>
      </c>
      <c r="P949" s="42"/>
      <c r="Q949" s="43"/>
      <c r="R949" s="50"/>
      <c r="S949" s="51"/>
      <c r="T949" s="7"/>
      <c r="U949" s="7"/>
      <c r="V949" s="7"/>
      <c r="W949" s="7"/>
      <c r="X949" s="7"/>
      <c r="Y949" s="7"/>
      <c r="Z949" s="7"/>
      <c r="AA949" s="7"/>
      <c r="AB949" s="7"/>
      <c r="AC949" s="7"/>
      <c r="AD949" s="7"/>
      <c r="AE949" s="6" t="s">
        <v>12355</v>
      </c>
      <c r="AF949" s="74"/>
      <c r="AG949" s="7"/>
      <c r="AH949" s="73" t="s">
        <v>21159</v>
      </c>
      <c r="AI949" s="7"/>
      <c r="AJ949" s="7"/>
      <c r="AK949" s="7"/>
      <c r="AL949" s="7"/>
      <c r="AM949" s="6"/>
      <c r="AN949" s="7"/>
      <c r="AO949" s="7"/>
      <c r="AP949" s="65">
        <v>30811.0</v>
      </c>
      <c r="AQ949" s="6"/>
      <c r="AR949" s="6"/>
      <c r="AS949" s="6"/>
    </row>
    <row r="950" ht="15.75" customHeight="1">
      <c r="A950" s="6" t="s">
        <v>10897</v>
      </c>
      <c r="B950" s="6" t="s">
        <v>2591</v>
      </c>
      <c r="C950" s="7"/>
      <c r="D950" s="7"/>
      <c r="E950" s="7"/>
      <c r="F950" s="7"/>
      <c r="G950" s="7"/>
      <c r="H950" s="7"/>
      <c r="I950" s="7"/>
      <c r="J950" s="7"/>
      <c r="K950" s="7"/>
      <c r="L950" s="7"/>
      <c r="M950" s="6" t="s">
        <v>71</v>
      </c>
      <c r="N950" s="7"/>
      <c r="O950" s="6" t="s">
        <v>2600</v>
      </c>
      <c r="P950" s="42"/>
      <c r="Q950" s="43"/>
      <c r="R950" s="50"/>
      <c r="S950" s="51"/>
      <c r="T950" s="7"/>
      <c r="U950" s="7"/>
      <c r="V950" s="7"/>
      <c r="W950" s="7"/>
      <c r="X950" s="7"/>
      <c r="Y950" s="7"/>
      <c r="Z950" s="7"/>
      <c r="AA950" s="7"/>
      <c r="AB950" s="7"/>
      <c r="AC950" s="7"/>
      <c r="AD950" s="7"/>
      <c r="AE950" s="6" t="s">
        <v>12355</v>
      </c>
      <c r="AF950" s="74"/>
      <c r="AG950" s="7"/>
      <c r="AH950" s="73" t="s">
        <v>21160</v>
      </c>
      <c r="AI950" s="7"/>
      <c r="AJ950" s="7"/>
      <c r="AK950" s="7"/>
      <c r="AL950" s="7"/>
      <c r="AM950" s="6"/>
      <c r="AN950" s="7"/>
      <c r="AO950" s="7"/>
      <c r="AP950" s="65">
        <v>30811.0</v>
      </c>
      <c r="AQ950" s="6"/>
      <c r="AR950" s="6"/>
      <c r="AS950" s="6"/>
    </row>
    <row r="951" ht="15.75" customHeight="1">
      <c r="A951" s="6" t="s">
        <v>10899</v>
      </c>
      <c r="B951" s="6" t="s">
        <v>2638</v>
      </c>
      <c r="C951" s="7"/>
      <c r="D951" s="7"/>
      <c r="E951" s="7"/>
      <c r="F951" s="7"/>
      <c r="G951" s="7"/>
      <c r="H951" s="7"/>
      <c r="I951" s="7"/>
      <c r="J951" s="7"/>
      <c r="K951" s="7"/>
      <c r="L951" s="7"/>
      <c r="M951" s="6" t="s">
        <v>71</v>
      </c>
      <c r="N951" s="7"/>
      <c r="O951" s="6" t="s">
        <v>2646</v>
      </c>
      <c r="P951" s="42"/>
      <c r="Q951" s="43"/>
      <c r="R951" s="50"/>
      <c r="S951" s="51"/>
      <c r="T951" s="7"/>
      <c r="U951" s="7"/>
      <c r="V951" s="7"/>
      <c r="W951" s="7"/>
      <c r="X951" s="7"/>
      <c r="Y951" s="7"/>
      <c r="Z951" s="7"/>
      <c r="AA951" s="7"/>
      <c r="AB951" s="7"/>
      <c r="AC951" s="7"/>
      <c r="AD951" s="7"/>
      <c r="AE951" s="6" t="s">
        <v>12355</v>
      </c>
      <c r="AF951" s="74"/>
      <c r="AG951" s="7"/>
      <c r="AH951" s="73" t="s">
        <v>21161</v>
      </c>
      <c r="AI951" s="7"/>
      <c r="AJ951" s="7"/>
      <c r="AK951" s="7"/>
      <c r="AL951" s="7"/>
      <c r="AM951" s="6"/>
      <c r="AN951" s="7"/>
      <c r="AO951" s="7"/>
      <c r="AP951" s="65">
        <v>30811.0</v>
      </c>
      <c r="AQ951" s="6"/>
      <c r="AR951" s="6"/>
      <c r="AS951" s="6"/>
    </row>
    <row r="952" ht="15.75" customHeight="1">
      <c r="A952" s="6" t="s">
        <v>10901</v>
      </c>
      <c r="B952" s="6" t="s">
        <v>21162</v>
      </c>
      <c r="C952" s="7"/>
      <c r="D952" s="7"/>
      <c r="E952" s="7"/>
      <c r="F952" s="7"/>
      <c r="G952" s="7"/>
      <c r="H952" s="7"/>
      <c r="I952" s="7"/>
      <c r="J952" s="7"/>
      <c r="K952" s="7"/>
      <c r="L952" s="7"/>
      <c r="M952" s="6" t="s">
        <v>71</v>
      </c>
      <c r="N952" s="7"/>
      <c r="O952" s="6" t="s">
        <v>3201</v>
      </c>
      <c r="P952" s="42"/>
      <c r="Q952" s="43"/>
      <c r="R952" s="50"/>
      <c r="S952" s="51"/>
      <c r="T952" s="7"/>
      <c r="U952" s="7"/>
      <c r="V952" s="7"/>
      <c r="W952" s="7"/>
      <c r="X952" s="7"/>
      <c r="Y952" s="7"/>
      <c r="Z952" s="7"/>
      <c r="AA952" s="7"/>
      <c r="AB952" s="7"/>
      <c r="AC952" s="7"/>
      <c r="AD952" s="7"/>
      <c r="AE952" s="6" t="s">
        <v>12355</v>
      </c>
      <c r="AF952" s="74"/>
      <c r="AG952" s="7"/>
      <c r="AH952" s="73" t="s">
        <v>21163</v>
      </c>
      <c r="AI952" s="7"/>
      <c r="AJ952" s="7"/>
      <c r="AK952" s="7"/>
      <c r="AL952" s="7"/>
      <c r="AM952" s="6"/>
      <c r="AN952" s="7"/>
      <c r="AO952" s="7"/>
      <c r="AP952" s="65">
        <v>30811.0</v>
      </c>
      <c r="AQ952" s="6"/>
      <c r="AR952" s="6"/>
      <c r="AS952" s="6"/>
    </row>
    <row r="953" ht="15.75" customHeight="1">
      <c r="A953" s="6" t="s">
        <v>10903</v>
      </c>
      <c r="B953" s="6" t="s">
        <v>4958</v>
      </c>
      <c r="C953" s="7"/>
      <c r="D953" s="7"/>
      <c r="E953" s="7"/>
      <c r="F953" s="7"/>
      <c r="G953" s="7"/>
      <c r="H953" s="7"/>
      <c r="I953" s="7"/>
      <c r="J953" s="7"/>
      <c r="K953" s="7"/>
      <c r="L953" s="7"/>
      <c r="M953" s="6" t="s">
        <v>71</v>
      </c>
      <c r="N953" s="7"/>
      <c r="O953" s="6" t="s">
        <v>4966</v>
      </c>
      <c r="P953" s="42"/>
      <c r="Q953" s="43"/>
      <c r="R953" s="50"/>
      <c r="S953" s="51"/>
      <c r="T953" s="7"/>
      <c r="U953" s="7"/>
      <c r="V953" s="7"/>
      <c r="W953" s="7"/>
      <c r="X953" s="7"/>
      <c r="Y953" s="7"/>
      <c r="Z953" s="7"/>
      <c r="AA953" s="7"/>
      <c r="AB953" s="7"/>
      <c r="AC953" s="7"/>
      <c r="AD953" s="7"/>
      <c r="AE953" s="6" t="s">
        <v>12355</v>
      </c>
      <c r="AF953" s="74"/>
      <c r="AG953" s="7"/>
      <c r="AH953" s="73" t="s">
        <v>21164</v>
      </c>
      <c r="AI953" s="7"/>
      <c r="AJ953" s="7"/>
      <c r="AK953" s="7"/>
      <c r="AL953" s="7"/>
      <c r="AM953" s="6"/>
      <c r="AN953" s="7"/>
      <c r="AO953" s="7"/>
      <c r="AP953" s="65">
        <v>30811.0</v>
      </c>
      <c r="AQ953" s="6"/>
      <c r="AR953" s="6"/>
      <c r="AS953" s="6"/>
    </row>
    <row r="954" ht="15.75" customHeight="1">
      <c r="A954" s="6" t="s">
        <v>10909</v>
      </c>
      <c r="B954" s="6" t="s">
        <v>5536</v>
      </c>
      <c r="C954" s="7"/>
      <c r="D954" s="7"/>
      <c r="E954" s="7"/>
      <c r="F954" s="7"/>
      <c r="G954" s="7"/>
      <c r="H954" s="7"/>
      <c r="I954" s="7"/>
      <c r="J954" s="7"/>
      <c r="K954" s="7"/>
      <c r="L954" s="7"/>
      <c r="M954" s="6" t="s">
        <v>71</v>
      </c>
      <c r="N954" s="7"/>
      <c r="O954" s="6" t="s">
        <v>5543</v>
      </c>
      <c r="P954" s="42"/>
      <c r="Q954" s="43"/>
      <c r="R954" s="50"/>
      <c r="S954" s="51"/>
      <c r="T954" s="7"/>
      <c r="U954" s="7"/>
      <c r="V954" s="7"/>
      <c r="W954" s="7"/>
      <c r="X954" s="7"/>
      <c r="Y954" s="7"/>
      <c r="Z954" s="7"/>
      <c r="AA954" s="7"/>
      <c r="AB954" s="7"/>
      <c r="AC954" s="7"/>
      <c r="AD954" s="7"/>
      <c r="AE954" s="6" t="s">
        <v>12355</v>
      </c>
      <c r="AF954" s="74"/>
      <c r="AG954" s="7"/>
      <c r="AH954" s="73" t="s">
        <v>21165</v>
      </c>
      <c r="AI954" s="7"/>
      <c r="AJ954" s="7"/>
      <c r="AK954" s="7"/>
      <c r="AL954" s="7"/>
      <c r="AM954" s="6"/>
      <c r="AN954" s="7"/>
      <c r="AO954" s="7"/>
      <c r="AP954" s="65">
        <v>30811.0</v>
      </c>
      <c r="AQ954" s="6"/>
      <c r="AR954" s="6"/>
      <c r="AS954" s="6"/>
    </row>
    <row r="955" ht="15.75" customHeight="1">
      <c r="A955" s="6" t="s">
        <v>10911</v>
      </c>
      <c r="B955" s="6" t="s">
        <v>5890</v>
      </c>
      <c r="C955" s="7"/>
      <c r="D955" s="7"/>
      <c r="E955" s="7"/>
      <c r="F955" s="7"/>
      <c r="G955" s="7"/>
      <c r="H955" s="7"/>
      <c r="I955" s="7"/>
      <c r="J955" s="7"/>
      <c r="K955" s="7"/>
      <c r="L955" s="7"/>
      <c r="M955" s="6" t="s">
        <v>71</v>
      </c>
      <c r="N955" s="7"/>
      <c r="O955" s="6" t="s">
        <v>5898</v>
      </c>
      <c r="P955" s="42"/>
      <c r="Q955" s="43"/>
      <c r="R955" s="50"/>
      <c r="S955" s="51"/>
      <c r="T955" s="7"/>
      <c r="U955" s="7"/>
      <c r="V955" s="7"/>
      <c r="W955" s="7"/>
      <c r="X955" s="7"/>
      <c r="Y955" s="7"/>
      <c r="Z955" s="7"/>
      <c r="AA955" s="7"/>
      <c r="AB955" s="7"/>
      <c r="AC955" s="7"/>
      <c r="AD955" s="7"/>
      <c r="AE955" s="6" t="s">
        <v>12355</v>
      </c>
      <c r="AF955" s="74"/>
      <c r="AG955" s="7"/>
      <c r="AH955" s="73" t="s">
        <v>21166</v>
      </c>
      <c r="AI955" s="7"/>
      <c r="AJ955" s="7"/>
      <c r="AK955" s="7"/>
      <c r="AL955" s="7"/>
      <c r="AM955" s="6"/>
      <c r="AN955" s="7"/>
      <c r="AO955" s="7"/>
      <c r="AP955" s="65">
        <v>30811.0</v>
      </c>
      <c r="AQ955" s="6"/>
      <c r="AR955" s="6"/>
      <c r="AS955" s="6"/>
    </row>
    <row r="956" ht="15.75" customHeight="1">
      <c r="A956" s="6" t="s">
        <v>21167</v>
      </c>
      <c r="B956" s="6" t="s">
        <v>21168</v>
      </c>
      <c r="C956" s="7"/>
      <c r="D956" s="7"/>
      <c r="E956" s="7"/>
      <c r="F956" s="7"/>
      <c r="G956" s="7"/>
      <c r="H956" s="7"/>
      <c r="I956" s="7"/>
      <c r="J956" s="7"/>
      <c r="K956" s="7"/>
      <c r="L956" s="7"/>
      <c r="M956" s="6" t="s">
        <v>71</v>
      </c>
      <c r="N956" s="7"/>
      <c r="O956" s="6" t="s">
        <v>7285</v>
      </c>
      <c r="P956" s="42"/>
      <c r="Q956" s="43"/>
      <c r="R956" s="50"/>
      <c r="S956" s="51"/>
      <c r="T956" s="7"/>
      <c r="U956" s="7"/>
      <c r="V956" s="7"/>
      <c r="W956" s="7"/>
      <c r="X956" s="7"/>
      <c r="Y956" s="7"/>
      <c r="Z956" s="7"/>
      <c r="AA956" s="7"/>
      <c r="AB956" s="7"/>
      <c r="AC956" s="7"/>
      <c r="AD956" s="7"/>
      <c r="AE956" s="6" t="s">
        <v>12355</v>
      </c>
      <c r="AF956" s="74"/>
      <c r="AG956" s="7"/>
      <c r="AH956" s="73" t="s">
        <v>21169</v>
      </c>
      <c r="AI956" s="7"/>
      <c r="AJ956" s="7"/>
      <c r="AK956" s="7"/>
      <c r="AL956" s="7"/>
      <c r="AM956" s="6"/>
      <c r="AN956" s="7"/>
      <c r="AO956" s="7"/>
      <c r="AP956" s="65">
        <v>30811.0</v>
      </c>
      <c r="AQ956" s="6"/>
      <c r="AR956" s="6"/>
      <c r="AS956" s="6"/>
    </row>
    <row r="957" ht="15.75" customHeight="1">
      <c r="A957" s="6" t="s">
        <v>10913</v>
      </c>
      <c r="B957" s="6" t="s">
        <v>8093</v>
      </c>
      <c r="C957" s="7"/>
      <c r="D957" s="7"/>
      <c r="E957" s="7"/>
      <c r="F957" s="7"/>
      <c r="G957" s="7"/>
      <c r="H957" s="7"/>
      <c r="I957" s="7"/>
      <c r="J957" s="7"/>
      <c r="K957" s="7"/>
      <c r="L957" s="7"/>
      <c r="M957" s="6" t="s">
        <v>71</v>
      </c>
      <c r="N957" s="7"/>
      <c r="O957" s="6" t="s">
        <v>8098</v>
      </c>
      <c r="P957" s="42"/>
      <c r="Q957" s="43"/>
      <c r="R957" s="50"/>
      <c r="S957" s="51"/>
      <c r="T957" s="7"/>
      <c r="U957" s="7"/>
      <c r="V957" s="7"/>
      <c r="W957" s="7"/>
      <c r="X957" s="7"/>
      <c r="Y957" s="7"/>
      <c r="Z957" s="7"/>
      <c r="AA957" s="7"/>
      <c r="AB957" s="7"/>
      <c r="AC957" s="7"/>
      <c r="AD957" s="7"/>
      <c r="AE957" s="6" t="s">
        <v>12355</v>
      </c>
      <c r="AF957" s="74"/>
      <c r="AG957" s="7"/>
      <c r="AH957" s="73" t="s">
        <v>21170</v>
      </c>
      <c r="AI957" s="7"/>
      <c r="AJ957" s="7"/>
      <c r="AK957" s="7"/>
      <c r="AL957" s="7"/>
      <c r="AM957" s="6"/>
      <c r="AN957" s="7"/>
      <c r="AO957" s="7"/>
      <c r="AP957" s="65">
        <v>30811.0</v>
      </c>
      <c r="AQ957" s="6"/>
      <c r="AR957" s="6"/>
      <c r="AS957" s="6"/>
    </row>
    <row r="958" ht="15.75" customHeight="1">
      <c r="A958" s="6" t="s">
        <v>10916</v>
      </c>
      <c r="B958" s="6" t="s">
        <v>4595</v>
      </c>
      <c r="C958" s="7"/>
      <c r="D958" s="7"/>
      <c r="E958" s="7"/>
      <c r="F958" s="7"/>
      <c r="G958" s="7"/>
      <c r="H958" s="7"/>
      <c r="I958" s="7"/>
      <c r="J958" s="7"/>
      <c r="K958" s="7"/>
      <c r="L958" s="7"/>
      <c r="M958" s="6" t="s">
        <v>71</v>
      </c>
      <c r="N958" s="7"/>
      <c r="O958" s="6" t="s">
        <v>4605</v>
      </c>
      <c r="P958" s="42"/>
      <c r="Q958" s="43"/>
      <c r="R958" s="50"/>
      <c r="S958" s="51"/>
      <c r="T958" s="7"/>
      <c r="U958" s="7"/>
      <c r="V958" s="7"/>
      <c r="W958" s="7"/>
      <c r="X958" s="7"/>
      <c r="Y958" s="7"/>
      <c r="Z958" s="7"/>
      <c r="AA958" s="7"/>
      <c r="AB958" s="7"/>
      <c r="AC958" s="7"/>
      <c r="AD958" s="7"/>
      <c r="AE958" s="6" t="s">
        <v>12355</v>
      </c>
      <c r="AF958" s="74"/>
      <c r="AG958" s="7"/>
      <c r="AH958" s="73" t="s">
        <v>21171</v>
      </c>
      <c r="AI958" s="7"/>
      <c r="AJ958" s="7"/>
      <c r="AK958" s="7"/>
      <c r="AL958" s="7"/>
      <c r="AM958" s="6"/>
      <c r="AN958" s="7"/>
      <c r="AO958" s="7"/>
      <c r="AP958" s="65">
        <v>30811.0</v>
      </c>
      <c r="AQ958" s="6"/>
      <c r="AR958" s="6"/>
      <c r="AS958" s="6"/>
    </row>
    <row r="959" ht="15.75" customHeight="1">
      <c r="A959" s="6" t="s">
        <v>10918</v>
      </c>
      <c r="B959" s="6" t="s">
        <v>21172</v>
      </c>
      <c r="C959" s="7"/>
      <c r="D959" s="7"/>
      <c r="E959" s="7"/>
      <c r="F959" s="7"/>
      <c r="G959" s="7"/>
      <c r="H959" s="7"/>
      <c r="I959" s="7"/>
      <c r="J959" s="7"/>
      <c r="K959" s="7"/>
      <c r="L959" s="7"/>
      <c r="M959" s="6" t="s">
        <v>123</v>
      </c>
      <c r="N959" s="7"/>
      <c r="O959" s="6"/>
      <c r="P959" s="42"/>
      <c r="Q959" s="43"/>
      <c r="R959" s="50"/>
      <c r="S959" s="51"/>
      <c r="T959" s="7"/>
      <c r="U959" s="7"/>
      <c r="V959" s="7"/>
      <c r="W959" s="7"/>
      <c r="X959" s="7"/>
      <c r="Y959" s="7"/>
      <c r="Z959" s="7"/>
      <c r="AA959" s="7"/>
      <c r="AB959" s="7"/>
      <c r="AC959" s="7"/>
      <c r="AD959" s="7"/>
      <c r="AE959" s="6" t="s">
        <v>12355</v>
      </c>
      <c r="AF959" s="74"/>
      <c r="AG959" s="7"/>
      <c r="AH959" s="73" t="s">
        <v>21173</v>
      </c>
      <c r="AI959" s="7"/>
      <c r="AJ959" s="7"/>
      <c r="AK959" s="7"/>
      <c r="AL959" s="7"/>
      <c r="AM959" s="6"/>
      <c r="AN959" s="7"/>
      <c r="AO959" s="7"/>
      <c r="AP959" s="65">
        <v>30811.0</v>
      </c>
      <c r="AQ959" s="6"/>
      <c r="AR959" s="6"/>
      <c r="AS959" s="6"/>
    </row>
    <row r="960" ht="15.75" customHeight="1">
      <c r="A960" s="6" t="s">
        <v>10920</v>
      </c>
      <c r="B960" s="6" t="s">
        <v>9148</v>
      </c>
      <c r="C960" s="7"/>
      <c r="D960" s="7"/>
      <c r="E960" s="7"/>
      <c r="F960" s="7"/>
      <c r="G960" s="7"/>
      <c r="H960" s="7"/>
      <c r="I960" s="7"/>
      <c r="J960" s="7"/>
      <c r="K960" s="7"/>
      <c r="L960" s="7"/>
      <c r="M960" s="6" t="s">
        <v>71</v>
      </c>
      <c r="N960" s="7"/>
      <c r="O960" s="6"/>
      <c r="P960" s="42"/>
      <c r="Q960" s="43"/>
      <c r="R960" s="50"/>
      <c r="S960" s="51"/>
      <c r="T960" s="7"/>
      <c r="U960" s="7"/>
      <c r="V960" s="7"/>
      <c r="W960" s="7"/>
      <c r="X960" s="7"/>
      <c r="Y960" s="7"/>
      <c r="Z960" s="7"/>
      <c r="AA960" s="7"/>
      <c r="AB960" s="7"/>
      <c r="AC960" s="7"/>
      <c r="AD960" s="7"/>
      <c r="AE960" s="6" t="s">
        <v>12355</v>
      </c>
      <c r="AF960" s="74"/>
      <c r="AG960" s="7"/>
      <c r="AH960" s="73" t="s">
        <v>21174</v>
      </c>
      <c r="AI960" s="7"/>
      <c r="AJ960" s="7"/>
      <c r="AK960" s="7"/>
      <c r="AL960" s="7"/>
      <c r="AM960" s="6"/>
      <c r="AN960" s="7"/>
      <c r="AO960" s="7"/>
      <c r="AP960" s="65">
        <v>30811.0</v>
      </c>
      <c r="AQ960" s="6"/>
      <c r="AR960" s="6"/>
      <c r="AS960" s="6"/>
    </row>
    <row r="961" ht="15.75" customHeight="1">
      <c r="A961" s="6" t="s">
        <v>10922</v>
      </c>
      <c r="B961" s="6" t="s">
        <v>21175</v>
      </c>
      <c r="C961" s="7"/>
      <c r="D961" s="7"/>
      <c r="E961" s="7"/>
      <c r="F961" s="7"/>
      <c r="G961" s="7"/>
      <c r="H961" s="7"/>
      <c r="I961" s="7"/>
      <c r="J961" s="7"/>
      <c r="K961" s="7"/>
      <c r="L961" s="7"/>
      <c r="M961" s="6" t="s">
        <v>71</v>
      </c>
      <c r="N961" s="7"/>
      <c r="O961" s="6"/>
      <c r="P961" s="42"/>
      <c r="Q961" s="43"/>
      <c r="R961" s="50"/>
      <c r="S961" s="51"/>
      <c r="T961" s="7"/>
      <c r="U961" s="7"/>
      <c r="V961" s="7"/>
      <c r="W961" s="7"/>
      <c r="X961" s="7"/>
      <c r="Y961" s="7"/>
      <c r="Z961" s="7"/>
      <c r="AA961" s="7"/>
      <c r="AB961" s="7"/>
      <c r="AC961" s="7"/>
      <c r="AD961" s="7"/>
      <c r="AE961" s="6" t="s">
        <v>12355</v>
      </c>
      <c r="AF961" s="74"/>
      <c r="AG961" s="7"/>
      <c r="AH961" s="73" t="s">
        <v>21176</v>
      </c>
      <c r="AI961" s="7"/>
      <c r="AJ961" s="7"/>
      <c r="AK961" s="7"/>
      <c r="AL961" s="7"/>
      <c r="AM961" s="6"/>
      <c r="AN961" s="7"/>
      <c r="AO961" s="7"/>
      <c r="AP961" s="65">
        <v>30811.0</v>
      </c>
      <c r="AQ961" s="6"/>
      <c r="AR961" s="6"/>
      <c r="AS961" s="6"/>
    </row>
    <row r="962" ht="15.75" customHeight="1">
      <c r="A962" s="6" t="s">
        <v>10924</v>
      </c>
      <c r="B962" s="6" t="s">
        <v>21177</v>
      </c>
      <c r="C962" s="7"/>
      <c r="D962" s="7"/>
      <c r="E962" s="7"/>
      <c r="F962" s="7"/>
      <c r="G962" s="7"/>
      <c r="H962" s="7"/>
      <c r="I962" s="7"/>
      <c r="J962" s="7"/>
      <c r="K962" s="7"/>
      <c r="L962" s="7"/>
      <c r="M962" s="6" t="s">
        <v>123</v>
      </c>
      <c r="N962" s="7"/>
      <c r="O962" s="6" t="s">
        <v>1705</v>
      </c>
      <c r="P962" s="42"/>
      <c r="Q962" s="43"/>
      <c r="R962" s="50"/>
      <c r="S962" s="51"/>
      <c r="T962" s="7"/>
      <c r="U962" s="7"/>
      <c r="V962" s="7"/>
      <c r="W962" s="7"/>
      <c r="X962" s="7"/>
      <c r="Y962" s="7"/>
      <c r="Z962" s="7"/>
      <c r="AA962" s="7"/>
      <c r="AB962" s="7"/>
      <c r="AC962" s="7"/>
      <c r="AD962" s="7"/>
      <c r="AE962" s="6" t="s">
        <v>12355</v>
      </c>
      <c r="AF962" s="74"/>
      <c r="AG962" s="7"/>
      <c r="AH962" s="73" t="s">
        <v>21178</v>
      </c>
      <c r="AI962" s="7"/>
      <c r="AJ962" s="7"/>
      <c r="AK962" s="7"/>
      <c r="AL962" s="7"/>
      <c r="AM962" s="6"/>
      <c r="AN962" s="7"/>
      <c r="AO962" s="7"/>
      <c r="AP962" s="65">
        <v>30811.0</v>
      </c>
      <c r="AQ962" s="6"/>
      <c r="AR962" s="6"/>
      <c r="AS962" s="6"/>
    </row>
    <row r="963" ht="15.75" customHeight="1">
      <c r="A963" s="6" t="s">
        <v>21179</v>
      </c>
      <c r="B963" s="6" t="s">
        <v>21180</v>
      </c>
      <c r="C963" s="7"/>
      <c r="D963" s="7"/>
      <c r="E963" s="7"/>
      <c r="F963" s="7"/>
      <c r="G963" s="7"/>
      <c r="H963" s="7"/>
      <c r="I963" s="7"/>
      <c r="J963" s="7"/>
      <c r="K963" s="7"/>
      <c r="L963" s="7"/>
      <c r="M963" s="6" t="s">
        <v>123</v>
      </c>
      <c r="N963" s="7"/>
      <c r="O963" s="6" t="s">
        <v>21029</v>
      </c>
      <c r="P963" s="42"/>
      <c r="Q963" s="43"/>
      <c r="R963" s="50"/>
      <c r="S963" s="51"/>
      <c r="T963" s="7"/>
      <c r="U963" s="7"/>
      <c r="V963" s="7"/>
      <c r="W963" s="7"/>
      <c r="X963" s="7"/>
      <c r="Y963" s="7"/>
      <c r="Z963" s="7"/>
      <c r="AA963" s="7"/>
      <c r="AB963" s="7"/>
      <c r="AC963" s="7"/>
      <c r="AD963" s="7"/>
      <c r="AE963" s="6" t="s">
        <v>12355</v>
      </c>
      <c r="AF963" s="74"/>
      <c r="AG963" s="7"/>
      <c r="AH963" s="73" t="s">
        <v>21181</v>
      </c>
      <c r="AI963" s="7"/>
      <c r="AJ963" s="7"/>
      <c r="AK963" s="7"/>
      <c r="AL963" s="7"/>
      <c r="AM963" s="6"/>
      <c r="AN963" s="7"/>
      <c r="AO963" s="7"/>
      <c r="AP963" s="65">
        <v>30811.0</v>
      </c>
      <c r="AQ963" s="6"/>
      <c r="AR963" s="6"/>
      <c r="AS963" s="6"/>
    </row>
    <row r="964" ht="15.75" customHeight="1">
      <c r="A964" s="6" t="s">
        <v>10926</v>
      </c>
      <c r="B964" s="6" t="s">
        <v>4493</v>
      </c>
      <c r="C964" s="7"/>
      <c r="D964" s="7"/>
      <c r="E964" s="7"/>
      <c r="F964" s="7"/>
      <c r="G964" s="7"/>
      <c r="H964" s="7"/>
      <c r="I964" s="7"/>
      <c r="J964" s="7"/>
      <c r="K964" s="7"/>
      <c r="L964" s="7"/>
      <c r="M964" s="6" t="s">
        <v>123</v>
      </c>
      <c r="N964" s="7"/>
      <c r="O964" s="6" t="s">
        <v>4499</v>
      </c>
      <c r="P964" s="42"/>
      <c r="Q964" s="43"/>
      <c r="R964" s="50"/>
      <c r="S964" s="51"/>
      <c r="T964" s="7"/>
      <c r="U964" s="7"/>
      <c r="V964" s="7"/>
      <c r="W964" s="7"/>
      <c r="X964" s="7"/>
      <c r="Y964" s="7"/>
      <c r="Z964" s="7"/>
      <c r="AA964" s="7"/>
      <c r="AB964" s="7"/>
      <c r="AC964" s="7"/>
      <c r="AD964" s="7"/>
      <c r="AE964" s="6" t="s">
        <v>12355</v>
      </c>
      <c r="AF964" s="74"/>
      <c r="AG964" s="7"/>
      <c r="AH964" s="73" t="s">
        <v>21182</v>
      </c>
      <c r="AI964" s="7"/>
      <c r="AJ964" s="7"/>
      <c r="AK964" s="7"/>
      <c r="AL964" s="7"/>
      <c r="AM964" s="6"/>
      <c r="AN964" s="7"/>
      <c r="AO964" s="7"/>
      <c r="AP964" s="65">
        <v>30811.0</v>
      </c>
      <c r="AQ964" s="6"/>
      <c r="AR964" s="6"/>
      <c r="AS964" s="6"/>
    </row>
    <row r="965" ht="15.75" customHeight="1">
      <c r="A965" s="6" t="s">
        <v>21183</v>
      </c>
      <c r="B965" s="6" t="s">
        <v>21184</v>
      </c>
      <c r="C965" s="7"/>
      <c r="D965" s="7"/>
      <c r="E965" s="7"/>
      <c r="F965" s="7"/>
      <c r="G965" s="7"/>
      <c r="H965" s="7"/>
      <c r="I965" s="7"/>
      <c r="J965" s="7"/>
      <c r="K965" s="7"/>
      <c r="L965" s="7"/>
      <c r="M965" s="6" t="s">
        <v>123</v>
      </c>
      <c r="N965" s="7"/>
      <c r="O965" s="6" t="s">
        <v>21029</v>
      </c>
      <c r="P965" s="42"/>
      <c r="Q965" s="43"/>
      <c r="R965" s="50"/>
      <c r="S965" s="51"/>
      <c r="T965" s="7"/>
      <c r="U965" s="7"/>
      <c r="V965" s="7"/>
      <c r="W965" s="7"/>
      <c r="X965" s="7"/>
      <c r="Y965" s="7"/>
      <c r="Z965" s="7"/>
      <c r="AA965" s="7"/>
      <c r="AB965" s="7"/>
      <c r="AC965" s="7"/>
      <c r="AD965" s="7"/>
      <c r="AE965" s="6" t="s">
        <v>12355</v>
      </c>
      <c r="AF965" s="74"/>
      <c r="AG965" s="7"/>
      <c r="AH965" s="73" t="s">
        <v>21185</v>
      </c>
      <c r="AI965" s="7"/>
      <c r="AJ965" s="7"/>
      <c r="AK965" s="7"/>
      <c r="AL965" s="7"/>
      <c r="AM965" s="6"/>
      <c r="AN965" s="7"/>
      <c r="AO965" s="7"/>
      <c r="AP965" s="65">
        <v>30811.0</v>
      </c>
      <c r="AQ965" s="6"/>
      <c r="AR965" s="6"/>
      <c r="AS965" s="6"/>
    </row>
    <row r="966" ht="15.75" customHeight="1">
      <c r="A966" s="6" t="s">
        <v>21186</v>
      </c>
      <c r="B966" s="6" t="s">
        <v>7902</v>
      </c>
      <c r="C966" s="7"/>
      <c r="D966" s="7"/>
      <c r="E966" s="7"/>
      <c r="F966" s="7"/>
      <c r="G966" s="7"/>
      <c r="H966" s="7"/>
      <c r="I966" s="7"/>
      <c r="J966" s="7"/>
      <c r="K966" s="7"/>
      <c r="L966" s="7"/>
      <c r="M966" s="6" t="s">
        <v>123</v>
      </c>
      <c r="N966" s="7"/>
      <c r="O966" s="6" t="s">
        <v>21029</v>
      </c>
      <c r="P966" s="42"/>
      <c r="Q966" s="43"/>
      <c r="R966" s="50"/>
      <c r="S966" s="51"/>
      <c r="T966" s="7"/>
      <c r="U966" s="7"/>
      <c r="V966" s="7"/>
      <c r="W966" s="7"/>
      <c r="X966" s="7"/>
      <c r="Y966" s="7"/>
      <c r="Z966" s="7"/>
      <c r="AA966" s="7"/>
      <c r="AB966" s="7"/>
      <c r="AC966" s="7"/>
      <c r="AD966" s="7"/>
      <c r="AE966" s="6" t="s">
        <v>12355</v>
      </c>
      <c r="AF966" s="74"/>
      <c r="AG966" s="7"/>
      <c r="AH966" s="73" t="s">
        <v>21187</v>
      </c>
      <c r="AI966" s="7"/>
      <c r="AJ966" s="7"/>
      <c r="AK966" s="7"/>
      <c r="AL966" s="7"/>
      <c r="AM966" s="6"/>
      <c r="AN966" s="7"/>
      <c r="AO966" s="7"/>
      <c r="AP966" s="65">
        <v>30811.0</v>
      </c>
      <c r="AQ966" s="6"/>
      <c r="AR966" s="6"/>
      <c r="AS966" s="6"/>
    </row>
    <row r="967" ht="15.75" customHeight="1">
      <c r="A967" s="6" t="s">
        <v>21188</v>
      </c>
      <c r="B967" s="6" t="s">
        <v>7940</v>
      </c>
      <c r="C967" s="7"/>
      <c r="D967" s="7"/>
      <c r="E967" s="7"/>
      <c r="F967" s="7"/>
      <c r="G967" s="7"/>
      <c r="H967" s="7"/>
      <c r="I967" s="7"/>
      <c r="J967" s="7"/>
      <c r="K967" s="7"/>
      <c r="L967" s="7"/>
      <c r="M967" s="6" t="s">
        <v>123</v>
      </c>
      <c r="N967" s="7"/>
      <c r="O967" s="6" t="s">
        <v>21029</v>
      </c>
      <c r="P967" s="42"/>
      <c r="Q967" s="43"/>
      <c r="R967" s="50"/>
      <c r="S967" s="51"/>
      <c r="T967" s="7"/>
      <c r="U967" s="7"/>
      <c r="V967" s="7"/>
      <c r="W967" s="7"/>
      <c r="X967" s="7"/>
      <c r="Y967" s="7"/>
      <c r="Z967" s="7"/>
      <c r="AA967" s="7"/>
      <c r="AB967" s="7"/>
      <c r="AC967" s="7"/>
      <c r="AD967" s="7"/>
      <c r="AE967" s="6" t="s">
        <v>12355</v>
      </c>
      <c r="AF967" s="74"/>
      <c r="AG967" s="7"/>
      <c r="AH967" s="73" t="s">
        <v>21189</v>
      </c>
      <c r="AI967" s="7"/>
      <c r="AJ967" s="7"/>
      <c r="AK967" s="7"/>
      <c r="AL967" s="7"/>
      <c r="AM967" s="6"/>
      <c r="AN967" s="7"/>
      <c r="AO967" s="7"/>
      <c r="AP967" s="65">
        <v>30811.0</v>
      </c>
      <c r="AQ967" s="6"/>
      <c r="AR967" s="6"/>
      <c r="AS967" s="6"/>
    </row>
    <row r="968" ht="15.75" customHeight="1">
      <c r="A968" s="6" t="s">
        <v>10928</v>
      </c>
      <c r="B968" s="6" t="s">
        <v>21190</v>
      </c>
      <c r="C968" s="7"/>
      <c r="D968" s="7"/>
      <c r="E968" s="7"/>
      <c r="F968" s="7"/>
      <c r="G968" s="7"/>
      <c r="H968" s="7"/>
      <c r="I968" s="7"/>
      <c r="J968" s="7"/>
      <c r="K968" s="7"/>
      <c r="L968" s="7"/>
      <c r="M968" s="6" t="s">
        <v>40</v>
      </c>
      <c r="N968" s="7"/>
      <c r="O968" s="6"/>
      <c r="P968" s="42"/>
      <c r="Q968" s="43"/>
      <c r="R968" s="50"/>
      <c r="S968" s="51"/>
      <c r="T968" s="7"/>
      <c r="U968" s="7"/>
      <c r="V968" s="7"/>
      <c r="W968" s="7"/>
      <c r="X968" s="7"/>
      <c r="Y968" s="7"/>
      <c r="Z968" s="7"/>
      <c r="AA968" s="7"/>
      <c r="AB968" s="7"/>
      <c r="AC968" s="7"/>
      <c r="AD968" s="7"/>
      <c r="AE968" s="6" t="s">
        <v>12355</v>
      </c>
      <c r="AF968" s="74"/>
      <c r="AG968" s="7"/>
      <c r="AH968" s="73" t="s">
        <v>21191</v>
      </c>
      <c r="AI968" s="7"/>
      <c r="AJ968" s="7"/>
      <c r="AK968" s="7"/>
      <c r="AL968" s="7"/>
      <c r="AM968" s="6"/>
      <c r="AN968" s="7"/>
      <c r="AO968" s="7"/>
      <c r="AP968" s="65">
        <v>30811.0</v>
      </c>
      <c r="AQ968" s="6"/>
      <c r="AR968" s="6"/>
      <c r="AS968" s="6"/>
    </row>
    <row r="969" ht="15.75" customHeight="1">
      <c r="A969" s="6" t="s">
        <v>21192</v>
      </c>
      <c r="B969" s="6" t="s">
        <v>1686</v>
      </c>
      <c r="C969" s="7"/>
      <c r="D969" s="7"/>
      <c r="E969" s="7"/>
      <c r="F969" s="7"/>
      <c r="G969" s="7"/>
      <c r="H969" s="7"/>
      <c r="I969" s="7"/>
      <c r="J969" s="7"/>
      <c r="K969" s="7"/>
      <c r="L969" s="7"/>
      <c r="M969" s="6" t="s">
        <v>71</v>
      </c>
      <c r="N969" s="7"/>
      <c r="O969" s="6" t="s">
        <v>21029</v>
      </c>
      <c r="P969" s="42"/>
      <c r="Q969" s="43"/>
      <c r="R969" s="50"/>
      <c r="S969" s="51"/>
      <c r="T969" s="7"/>
      <c r="U969" s="7"/>
      <c r="V969" s="7"/>
      <c r="W969" s="7"/>
      <c r="X969" s="7"/>
      <c r="Y969" s="7"/>
      <c r="Z969" s="7"/>
      <c r="AA969" s="7"/>
      <c r="AB969" s="7"/>
      <c r="AC969" s="7"/>
      <c r="AD969" s="7"/>
      <c r="AE969" s="6" t="s">
        <v>12355</v>
      </c>
      <c r="AF969" s="74"/>
      <c r="AG969" s="7"/>
      <c r="AH969" s="73" t="s">
        <v>21193</v>
      </c>
      <c r="AI969" s="7"/>
      <c r="AJ969" s="7"/>
      <c r="AK969" s="7"/>
      <c r="AL969" s="7"/>
      <c r="AM969" s="6"/>
      <c r="AN969" s="7"/>
      <c r="AO969" s="7"/>
      <c r="AP969" s="65">
        <v>30811.0</v>
      </c>
      <c r="AQ969" s="6"/>
      <c r="AR969" s="6"/>
      <c r="AS969" s="6"/>
    </row>
    <row r="970" ht="15.75" customHeight="1">
      <c r="A970" s="6" t="s">
        <v>10930</v>
      </c>
      <c r="B970" s="6" t="s">
        <v>21194</v>
      </c>
      <c r="C970" s="7"/>
      <c r="D970" s="7"/>
      <c r="E970" s="7"/>
      <c r="F970" s="7"/>
      <c r="G970" s="7"/>
      <c r="H970" s="7"/>
      <c r="I970" s="7"/>
      <c r="J970" s="7"/>
      <c r="K970" s="7"/>
      <c r="L970" s="7"/>
      <c r="M970" s="6" t="s">
        <v>71</v>
      </c>
      <c r="N970" s="7"/>
      <c r="O970" s="6" t="s">
        <v>3366</v>
      </c>
      <c r="P970" s="42"/>
      <c r="Q970" s="43"/>
      <c r="R970" s="50"/>
      <c r="S970" s="51"/>
      <c r="T970" s="7"/>
      <c r="U970" s="7"/>
      <c r="V970" s="7"/>
      <c r="W970" s="7"/>
      <c r="X970" s="7"/>
      <c r="Y970" s="7"/>
      <c r="Z970" s="7"/>
      <c r="AA970" s="7"/>
      <c r="AB970" s="7"/>
      <c r="AC970" s="7"/>
      <c r="AD970" s="7"/>
      <c r="AE970" s="6" t="s">
        <v>12355</v>
      </c>
      <c r="AF970" s="74"/>
      <c r="AG970" s="7"/>
      <c r="AH970" s="73" t="s">
        <v>21195</v>
      </c>
      <c r="AI970" s="7"/>
      <c r="AJ970" s="7"/>
      <c r="AK970" s="7"/>
      <c r="AL970" s="7"/>
      <c r="AM970" s="6"/>
      <c r="AN970" s="7"/>
      <c r="AO970" s="7"/>
      <c r="AP970" s="65">
        <v>30811.0</v>
      </c>
      <c r="AQ970" s="6"/>
      <c r="AR970" s="6"/>
      <c r="AS970" s="6"/>
    </row>
    <row r="971" ht="15.75" customHeight="1">
      <c r="A971" s="6" t="s">
        <v>21196</v>
      </c>
      <c r="B971" s="6" t="s">
        <v>6634</v>
      </c>
      <c r="C971" s="7"/>
      <c r="D971" s="7"/>
      <c r="E971" s="7"/>
      <c r="F971" s="7"/>
      <c r="G971" s="7"/>
      <c r="H971" s="7"/>
      <c r="I971" s="7"/>
      <c r="J971" s="7"/>
      <c r="K971" s="7"/>
      <c r="L971" s="7"/>
      <c r="M971" s="6" t="s">
        <v>71</v>
      </c>
      <c r="N971" s="7"/>
      <c r="O971" s="6" t="s">
        <v>21029</v>
      </c>
      <c r="P971" s="42"/>
      <c r="Q971" s="43"/>
      <c r="R971" s="50"/>
      <c r="S971" s="51"/>
      <c r="T971" s="7"/>
      <c r="U971" s="7"/>
      <c r="V971" s="7"/>
      <c r="W971" s="7"/>
      <c r="X971" s="7"/>
      <c r="Y971" s="7"/>
      <c r="Z971" s="7"/>
      <c r="AA971" s="7"/>
      <c r="AB971" s="7"/>
      <c r="AC971" s="7"/>
      <c r="AD971" s="7"/>
      <c r="AE971" s="6" t="s">
        <v>12355</v>
      </c>
      <c r="AF971" s="74"/>
      <c r="AG971" s="7"/>
      <c r="AH971" s="73" t="s">
        <v>21197</v>
      </c>
      <c r="AI971" s="7"/>
      <c r="AJ971" s="7"/>
      <c r="AK971" s="7"/>
      <c r="AL971" s="7"/>
      <c r="AM971" s="6"/>
      <c r="AN971" s="7"/>
      <c r="AO971" s="7"/>
      <c r="AP971" s="65">
        <v>30811.0</v>
      </c>
      <c r="AQ971" s="6"/>
      <c r="AR971" s="6"/>
      <c r="AS971" s="6"/>
    </row>
    <row r="972" ht="15.75" customHeight="1">
      <c r="A972" s="6" t="s">
        <v>21198</v>
      </c>
      <c r="B972" s="6" t="s">
        <v>7133</v>
      </c>
      <c r="C972" s="7"/>
      <c r="D972" s="7"/>
      <c r="E972" s="7"/>
      <c r="F972" s="7"/>
      <c r="G972" s="7"/>
      <c r="H972" s="7"/>
      <c r="I972" s="7"/>
      <c r="J972" s="7"/>
      <c r="K972" s="7"/>
      <c r="L972" s="7"/>
      <c r="M972" s="6" t="s">
        <v>40</v>
      </c>
      <c r="N972" s="7"/>
      <c r="O972" s="6" t="s">
        <v>21029</v>
      </c>
      <c r="P972" s="42"/>
      <c r="Q972" s="43"/>
      <c r="R972" s="50"/>
      <c r="S972" s="51"/>
      <c r="T972" s="7"/>
      <c r="U972" s="7"/>
      <c r="V972" s="7"/>
      <c r="W972" s="7"/>
      <c r="X972" s="7"/>
      <c r="Y972" s="7"/>
      <c r="Z972" s="7"/>
      <c r="AA972" s="7"/>
      <c r="AB972" s="7"/>
      <c r="AC972" s="7"/>
      <c r="AD972" s="7"/>
      <c r="AE972" s="6" t="s">
        <v>12355</v>
      </c>
      <c r="AF972" s="74"/>
      <c r="AG972" s="7"/>
      <c r="AH972" s="73" t="s">
        <v>21199</v>
      </c>
      <c r="AI972" s="7"/>
      <c r="AJ972" s="7"/>
      <c r="AK972" s="7"/>
      <c r="AL972" s="7"/>
      <c r="AM972" s="6"/>
      <c r="AN972" s="7"/>
      <c r="AO972" s="7"/>
      <c r="AP972" s="65">
        <v>30811.0</v>
      </c>
      <c r="AQ972" s="6"/>
      <c r="AR972" s="6"/>
      <c r="AS972" s="6"/>
    </row>
    <row r="973" ht="15.75" customHeight="1">
      <c r="A973" s="6" t="s">
        <v>10932</v>
      </c>
      <c r="B973" s="6" t="s">
        <v>8146</v>
      </c>
      <c r="C973" s="7"/>
      <c r="D973" s="7"/>
      <c r="E973" s="7"/>
      <c r="F973" s="7"/>
      <c r="G973" s="7"/>
      <c r="H973" s="7"/>
      <c r="I973" s="7"/>
      <c r="J973" s="7"/>
      <c r="K973" s="7"/>
      <c r="L973" s="7"/>
      <c r="M973" s="6" t="s">
        <v>40</v>
      </c>
      <c r="N973" s="7"/>
      <c r="O973" s="6" t="s">
        <v>8151</v>
      </c>
      <c r="P973" s="42"/>
      <c r="Q973" s="43"/>
      <c r="R973" s="50"/>
      <c r="S973" s="51"/>
      <c r="T973" s="7"/>
      <c r="U973" s="7"/>
      <c r="V973" s="7"/>
      <c r="W973" s="7"/>
      <c r="X973" s="7"/>
      <c r="Y973" s="7"/>
      <c r="Z973" s="7"/>
      <c r="AA973" s="7"/>
      <c r="AB973" s="7"/>
      <c r="AC973" s="7"/>
      <c r="AD973" s="7"/>
      <c r="AE973" s="6" t="s">
        <v>12355</v>
      </c>
      <c r="AF973" s="74"/>
      <c r="AG973" s="7"/>
      <c r="AH973" s="73" t="s">
        <v>21200</v>
      </c>
      <c r="AI973" s="7"/>
      <c r="AJ973" s="7"/>
      <c r="AK973" s="7"/>
      <c r="AL973" s="7"/>
      <c r="AM973" s="6"/>
      <c r="AN973" s="7"/>
      <c r="AO973" s="7"/>
      <c r="AP973" s="65">
        <v>30811.0</v>
      </c>
      <c r="AQ973" s="6"/>
      <c r="AR973" s="6"/>
      <c r="AS973" s="6"/>
    </row>
    <row r="974" ht="15.75" customHeight="1">
      <c r="A974" s="6" t="s">
        <v>10934</v>
      </c>
      <c r="B974" s="6" t="s">
        <v>21201</v>
      </c>
      <c r="C974" s="7"/>
      <c r="D974" s="7"/>
      <c r="E974" s="7"/>
      <c r="F974" s="7"/>
      <c r="G974" s="7"/>
      <c r="H974" s="7"/>
      <c r="I974" s="7"/>
      <c r="J974" s="7"/>
      <c r="K974" s="7"/>
      <c r="L974" s="7"/>
      <c r="M974" s="6" t="s">
        <v>71</v>
      </c>
      <c r="N974" s="7"/>
      <c r="O974" s="6"/>
      <c r="P974" s="42"/>
      <c r="Q974" s="43"/>
      <c r="R974" s="50"/>
      <c r="S974" s="51"/>
      <c r="T974" s="7"/>
      <c r="U974" s="7"/>
      <c r="V974" s="7"/>
      <c r="W974" s="7"/>
      <c r="X974" s="7"/>
      <c r="Y974" s="7"/>
      <c r="Z974" s="7"/>
      <c r="AA974" s="7"/>
      <c r="AB974" s="7"/>
      <c r="AC974" s="7"/>
      <c r="AD974" s="7"/>
      <c r="AE974" s="6" t="s">
        <v>12355</v>
      </c>
      <c r="AF974" s="74"/>
      <c r="AG974" s="7"/>
      <c r="AH974" s="73" t="s">
        <v>21202</v>
      </c>
      <c r="AI974" s="7"/>
      <c r="AJ974" s="7"/>
      <c r="AK974" s="7"/>
      <c r="AL974" s="7"/>
      <c r="AM974" s="6"/>
      <c r="AN974" s="7"/>
      <c r="AO974" s="7"/>
      <c r="AP974" s="65">
        <v>30811.0</v>
      </c>
      <c r="AQ974" s="6"/>
      <c r="AR974" s="6"/>
      <c r="AS974" s="6"/>
    </row>
    <row r="975" ht="15.75" customHeight="1">
      <c r="A975" s="6" t="s">
        <v>10936</v>
      </c>
      <c r="B975" s="6" t="s">
        <v>6668</v>
      </c>
      <c r="C975" s="7"/>
      <c r="D975" s="7"/>
      <c r="E975" s="7"/>
      <c r="F975" s="7"/>
      <c r="G975" s="7"/>
      <c r="H975" s="7"/>
      <c r="I975" s="7"/>
      <c r="J975" s="7"/>
      <c r="K975" s="7"/>
      <c r="L975" s="7"/>
      <c r="M975" s="6" t="s">
        <v>71</v>
      </c>
      <c r="N975" s="7"/>
      <c r="O975" s="6" t="s">
        <v>6677</v>
      </c>
      <c r="P975" s="42"/>
      <c r="Q975" s="43"/>
      <c r="R975" s="50"/>
      <c r="S975" s="51"/>
      <c r="T975" s="7"/>
      <c r="U975" s="7"/>
      <c r="V975" s="7"/>
      <c r="W975" s="7"/>
      <c r="X975" s="7"/>
      <c r="Y975" s="7"/>
      <c r="Z975" s="7"/>
      <c r="AA975" s="7"/>
      <c r="AB975" s="7"/>
      <c r="AC975" s="7"/>
      <c r="AD975" s="7"/>
      <c r="AE975" s="6" t="s">
        <v>12355</v>
      </c>
      <c r="AF975" s="74"/>
      <c r="AG975" s="7"/>
      <c r="AH975" s="73" t="s">
        <v>21203</v>
      </c>
      <c r="AI975" s="7"/>
      <c r="AJ975" s="7"/>
      <c r="AK975" s="7"/>
      <c r="AL975" s="7"/>
      <c r="AM975" s="6"/>
      <c r="AN975" s="7"/>
      <c r="AO975" s="7"/>
      <c r="AP975" s="65">
        <v>30811.0</v>
      </c>
      <c r="AQ975" s="6"/>
      <c r="AR975" s="6"/>
      <c r="AS975" s="6"/>
    </row>
    <row r="976" ht="15.75" customHeight="1">
      <c r="A976" s="6" t="s">
        <v>10938</v>
      </c>
      <c r="B976" s="6" t="s">
        <v>6175</v>
      </c>
      <c r="C976" s="7"/>
      <c r="D976" s="7"/>
      <c r="E976" s="7"/>
      <c r="F976" s="7"/>
      <c r="G976" s="7"/>
      <c r="H976" s="7"/>
      <c r="I976" s="7"/>
      <c r="J976" s="7"/>
      <c r="K976" s="7"/>
      <c r="L976" s="7"/>
      <c r="M976" s="6" t="s">
        <v>71</v>
      </c>
      <c r="N976" s="7"/>
      <c r="O976" s="6" t="s">
        <v>6183</v>
      </c>
      <c r="P976" s="42"/>
      <c r="Q976" s="43"/>
      <c r="R976" s="50"/>
      <c r="S976" s="51"/>
      <c r="T976" s="7"/>
      <c r="U976" s="7"/>
      <c r="V976" s="7"/>
      <c r="W976" s="7"/>
      <c r="X976" s="7"/>
      <c r="Y976" s="7"/>
      <c r="Z976" s="7"/>
      <c r="AA976" s="7"/>
      <c r="AB976" s="7"/>
      <c r="AC976" s="7"/>
      <c r="AD976" s="7"/>
      <c r="AE976" s="6" t="s">
        <v>12355</v>
      </c>
      <c r="AF976" s="74"/>
      <c r="AG976" s="7"/>
      <c r="AH976" s="73" t="s">
        <v>21204</v>
      </c>
      <c r="AI976" s="7"/>
      <c r="AJ976" s="7"/>
      <c r="AK976" s="7"/>
      <c r="AL976" s="7"/>
      <c r="AM976" s="6"/>
      <c r="AN976" s="7"/>
      <c r="AO976" s="7"/>
      <c r="AP976" s="65">
        <v>30811.0</v>
      </c>
      <c r="AQ976" s="6"/>
      <c r="AR976" s="6"/>
      <c r="AS976" s="6"/>
    </row>
    <row r="977" ht="15.75" customHeight="1">
      <c r="A977" s="6" t="s">
        <v>10940</v>
      </c>
      <c r="B977" s="6" t="s">
        <v>1211</v>
      </c>
      <c r="C977" s="7"/>
      <c r="D977" s="7"/>
      <c r="E977" s="7"/>
      <c r="F977" s="7"/>
      <c r="G977" s="7"/>
      <c r="H977" s="7"/>
      <c r="I977" s="7"/>
      <c r="J977" s="7"/>
      <c r="K977" s="7"/>
      <c r="L977" s="7"/>
      <c r="M977" s="6" t="s">
        <v>40</v>
      </c>
      <c r="N977" s="7"/>
      <c r="O977" s="6" t="s">
        <v>1217</v>
      </c>
      <c r="P977" s="42"/>
      <c r="Q977" s="43"/>
      <c r="R977" s="50"/>
      <c r="S977" s="51"/>
      <c r="T977" s="7"/>
      <c r="U977" s="7"/>
      <c r="V977" s="7"/>
      <c r="W977" s="7"/>
      <c r="X977" s="7"/>
      <c r="Y977" s="7"/>
      <c r="Z977" s="7"/>
      <c r="AA977" s="7"/>
      <c r="AB977" s="7"/>
      <c r="AC977" s="7"/>
      <c r="AD977" s="7"/>
      <c r="AE977" s="6" t="s">
        <v>12355</v>
      </c>
      <c r="AF977" s="74"/>
      <c r="AG977" s="7"/>
      <c r="AH977" s="73" t="s">
        <v>21205</v>
      </c>
      <c r="AI977" s="7"/>
      <c r="AJ977" s="7"/>
      <c r="AK977" s="7"/>
      <c r="AL977" s="7"/>
      <c r="AM977" s="6"/>
      <c r="AN977" s="7"/>
      <c r="AO977" s="7"/>
      <c r="AP977" s="65">
        <v>30811.0</v>
      </c>
      <c r="AQ977" s="6"/>
      <c r="AR977" s="6"/>
      <c r="AS977" s="6"/>
    </row>
    <row r="978" ht="15.75" customHeight="1">
      <c r="A978" s="6" t="s">
        <v>10942</v>
      </c>
      <c r="B978" s="6" t="s">
        <v>6060</v>
      </c>
      <c r="C978" s="7"/>
      <c r="D978" s="7"/>
      <c r="E978" s="7"/>
      <c r="F978" s="7"/>
      <c r="G978" s="7"/>
      <c r="H978" s="7"/>
      <c r="I978" s="7"/>
      <c r="J978" s="7"/>
      <c r="K978" s="7"/>
      <c r="L978" s="7"/>
      <c r="M978" s="6" t="s">
        <v>123</v>
      </c>
      <c r="N978" s="7"/>
      <c r="O978" s="6" t="s">
        <v>6069</v>
      </c>
      <c r="P978" s="42"/>
      <c r="Q978" s="43"/>
      <c r="R978" s="50"/>
      <c r="S978" s="51"/>
      <c r="T978" s="7"/>
      <c r="U978" s="7"/>
      <c r="V978" s="7"/>
      <c r="W978" s="7"/>
      <c r="X978" s="7"/>
      <c r="Y978" s="7"/>
      <c r="Z978" s="7"/>
      <c r="AA978" s="7"/>
      <c r="AB978" s="7"/>
      <c r="AC978" s="7"/>
      <c r="AD978" s="7"/>
      <c r="AE978" s="6" t="s">
        <v>12355</v>
      </c>
      <c r="AF978" s="74"/>
      <c r="AG978" s="7"/>
      <c r="AH978" s="73" t="s">
        <v>21206</v>
      </c>
      <c r="AI978" s="7"/>
      <c r="AJ978" s="7"/>
      <c r="AK978" s="7"/>
      <c r="AL978" s="7"/>
      <c r="AM978" s="6"/>
      <c r="AN978" s="7"/>
      <c r="AO978" s="7"/>
      <c r="AP978" s="65">
        <v>30811.0</v>
      </c>
      <c r="AQ978" s="6"/>
      <c r="AR978" s="6"/>
      <c r="AS978" s="6"/>
    </row>
    <row r="979" ht="15.75" customHeight="1">
      <c r="A979" s="6" t="s">
        <v>10944</v>
      </c>
      <c r="B979" s="6" t="s">
        <v>3068</v>
      </c>
      <c r="C979" s="7"/>
      <c r="D979" s="7"/>
      <c r="E979" s="7"/>
      <c r="F979" s="7"/>
      <c r="G979" s="7"/>
      <c r="H979" s="7"/>
      <c r="I979" s="7"/>
      <c r="J979" s="7"/>
      <c r="K979" s="7"/>
      <c r="L979" s="7"/>
      <c r="M979" s="6" t="s">
        <v>123</v>
      </c>
      <c r="N979" s="7"/>
      <c r="O979" s="6" t="s">
        <v>3078</v>
      </c>
      <c r="P979" s="42"/>
      <c r="Q979" s="43"/>
      <c r="R979" s="50"/>
      <c r="S979" s="51"/>
      <c r="T979" s="7"/>
      <c r="U979" s="7"/>
      <c r="V979" s="7"/>
      <c r="W979" s="7"/>
      <c r="X979" s="7"/>
      <c r="Y979" s="7"/>
      <c r="Z979" s="7"/>
      <c r="AA979" s="7"/>
      <c r="AB979" s="7"/>
      <c r="AC979" s="7"/>
      <c r="AD979" s="7"/>
      <c r="AE979" s="6" t="s">
        <v>12355</v>
      </c>
      <c r="AF979" s="74"/>
      <c r="AG979" s="7"/>
      <c r="AH979" s="73" t="s">
        <v>21207</v>
      </c>
      <c r="AI979" s="7"/>
      <c r="AJ979" s="7"/>
      <c r="AK979" s="7"/>
      <c r="AL979" s="7"/>
      <c r="AM979" s="6"/>
      <c r="AN979" s="7"/>
      <c r="AO979" s="7"/>
      <c r="AP979" s="65">
        <v>30811.0</v>
      </c>
      <c r="AQ979" s="6"/>
      <c r="AR979" s="6"/>
      <c r="AS979" s="6"/>
    </row>
    <row r="980" ht="15.75" customHeight="1">
      <c r="A980" s="6" t="s">
        <v>10946</v>
      </c>
      <c r="B980" s="6" t="s">
        <v>21208</v>
      </c>
      <c r="C980" s="7"/>
      <c r="D980" s="7"/>
      <c r="E980" s="7"/>
      <c r="F980" s="7"/>
      <c r="G980" s="7"/>
      <c r="H980" s="7"/>
      <c r="I980" s="7"/>
      <c r="J980" s="7"/>
      <c r="K980" s="7"/>
      <c r="L980" s="7"/>
      <c r="M980" s="6" t="s">
        <v>123</v>
      </c>
      <c r="N980" s="7"/>
      <c r="O980" s="6"/>
      <c r="P980" s="42"/>
      <c r="Q980" s="43"/>
      <c r="R980" s="50"/>
      <c r="S980" s="51"/>
      <c r="T980" s="7"/>
      <c r="U980" s="7"/>
      <c r="V980" s="7"/>
      <c r="W980" s="7"/>
      <c r="X980" s="7"/>
      <c r="Y980" s="7"/>
      <c r="Z980" s="7"/>
      <c r="AA980" s="7"/>
      <c r="AB980" s="7"/>
      <c r="AC980" s="7"/>
      <c r="AD980" s="7"/>
      <c r="AE980" s="6" t="s">
        <v>12355</v>
      </c>
      <c r="AF980" s="74"/>
      <c r="AG980" s="7"/>
      <c r="AH980" s="73" t="s">
        <v>21209</v>
      </c>
      <c r="AI980" s="7"/>
      <c r="AJ980" s="7"/>
      <c r="AK980" s="7"/>
      <c r="AL980" s="7"/>
      <c r="AM980" s="6"/>
      <c r="AN980" s="7"/>
      <c r="AO980" s="7"/>
      <c r="AP980" s="65">
        <v>30811.0</v>
      </c>
      <c r="AQ980" s="6"/>
      <c r="AR980" s="6"/>
      <c r="AS980" s="6"/>
    </row>
    <row r="981" ht="15.75" customHeight="1">
      <c r="A981" s="6" t="s">
        <v>10948</v>
      </c>
      <c r="B981" s="6" t="s">
        <v>21210</v>
      </c>
      <c r="C981" s="7"/>
      <c r="D981" s="7"/>
      <c r="E981" s="7"/>
      <c r="F981" s="7"/>
      <c r="G981" s="7"/>
      <c r="H981" s="7"/>
      <c r="I981" s="7"/>
      <c r="J981" s="7"/>
      <c r="K981" s="7"/>
      <c r="L981" s="7"/>
      <c r="M981" s="6" t="s">
        <v>123</v>
      </c>
      <c r="N981" s="7"/>
      <c r="O981" s="6"/>
      <c r="P981" s="42"/>
      <c r="Q981" s="43"/>
      <c r="R981" s="50"/>
      <c r="S981" s="51"/>
      <c r="T981" s="7"/>
      <c r="U981" s="7"/>
      <c r="V981" s="7"/>
      <c r="W981" s="7"/>
      <c r="X981" s="7"/>
      <c r="Y981" s="7"/>
      <c r="Z981" s="7"/>
      <c r="AA981" s="7"/>
      <c r="AB981" s="7"/>
      <c r="AC981" s="7"/>
      <c r="AD981" s="7"/>
      <c r="AE981" s="6" t="s">
        <v>12355</v>
      </c>
      <c r="AF981" s="74"/>
      <c r="AG981" s="7"/>
      <c r="AH981" s="73" t="s">
        <v>21211</v>
      </c>
      <c r="AI981" s="7"/>
      <c r="AJ981" s="7"/>
      <c r="AK981" s="7"/>
      <c r="AL981" s="7"/>
      <c r="AM981" s="6"/>
      <c r="AN981" s="7"/>
      <c r="AO981" s="7"/>
      <c r="AP981" s="65">
        <v>30811.0</v>
      </c>
      <c r="AQ981" s="6"/>
      <c r="AR981" s="6"/>
      <c r="AS981" s="6"/>
    </row>
    <row r="982" ht="15.75" customHeight="1">
      <c r="A982" s="6" t="s">
        <v>10950</v>
      </c>
      <c r="B982" s="6" t="s">
        <v>21212</v>
      </c>
      <c r="C982" s="7"/>
      <c r="D982" s="7"/>
      <c r="E982" s="7"/>
      <c r="F982" s="7"/>
      <c r="G982" s="7"/>
      <c r="H982" s="7"/>
      <c r="I982" s="7"/>
      <c r="J982" s="7"/>
      <c r="K982" s="7"/>
      <c r="L982" s="7"/>
      <c r="M982" s="6" t="s">
        <v>123</v>
      </c>
      <c r="N982" s="7"/>
      <c r="O982" s="6"/>
      <c r="P982" s="42"/>
      <c r="Q982" s="43"/>
      <c r="R982" s="50"/>
      <c r="S982" s="51"/>
      <c r="T982" s="7"/>
      <c r="U982" s="7"/>
      <c r="V982" s="7"/>
      <c r="W982" s="7"/>
      <c r="X982" s="7"/>
      <c r="Y982" s="7"/>
      <c r="Z982" s="7"/>
      <c r="AA982" s="7"/>
      <c r="AB982" s="7"/>
      <c r="AC982" s="7"/>
      <c r="AD982" s="7"/>
      <c r="AE982" s="6" t="s">
        <v>12355</v>
      </c>
      <c r="AF982" s="74"/>
      <c r="AG982" s="7"/>
      <c r="AH982" s="73" t="s">
        <v>21213</v>
      </c>
      <c r="AI982" s="7"/>
      <c r="AJ982" s="7"/>
      <c r="AK982" s="7"/>
      <c r="AL982" s="7"/>
      <c r="AM982" s="6"/>
      <c r="AN982" s="7"/>
      <c r="AO982" s="7"/>
      <c r="AP982" s="65">
        <v>30811.0</v>
      </c>
      <c r="AQ982" s="6"/>
      <c r="AR982" s="6"/>
      <c r="AS982" s="6"/>
    </row>
    <row r="983" ht="15.75" customHeight="1">
      <c r="A983" s="6" t="s">
        <v>21214</v>
      </c>
      <c r="B983" s="6" t="s">
        <v>887</v>
      </c>
      <c r="C983" s="7"/>
      <c r="D983" s="7"/>
      <c r="E983" s="7"/>
      <c r="F983" s="7"/>
      <c r="G983" s="7"/>
      <c r="H983" s="7"/>
      <c r="I983" s="7"/>
      <c r="J983" s="7"/>
      <c r="K983" s="7"/>
      <c r="L983" s="7"/>
      <c r="M983" s="6" t="s">
        <v>33</v>
      </c>
      <c r="N983" s="7"/>
      <c r="O983" s="6" t="s">
        <v>21029</v>
      </c>
      <c r="P983" s="42"/>
      <c r="Q983" s="43"/>
      <c r="R983" s="50"/>
      <c r="S983" s="51"/>
      <c r="T983" s="7"/>
      <c r="U983" s="7"/>
      <c r="V983" s="7"/>
      <c r="W983" s="7"/>
      <c r="X983" s="7"/>
      <c r="Y983" s="7"/>
      <c r="Z983" s="7"/>
      <c r="AA983" s="7"/>
      <c r="AB983" s="7"/>
      <c r="AC983" s="7"/>
      <c r="AD983" s="7"/>
      <c r="AE983" s="6" t="s">
        <v>12355</v>
      </c>
      <c r="AF983" s="74"/>
      <c r="AG983" s="7"/>
      <c r="AH983" s="73" t="s">
        <v>21215</v>
      </c>
      <c r="AI983" s="7"/>
      <c r="AJ983" s="7"/>
      <c r="AK983" s="7"/>
      <c r="AL983" s="7"/>
      <c r="AM983" s="6"/>
      <c r="AN983" s="7"/>
      <c r="AO983" s="7"/>
      <c r="AP983" s="65">
        <v>30811.0</v>
      </c>
      <c r="AQ983" s="6"/>
      <c r="AR983" s="6"/>
      <c r="AS983" s="6"/>
    </row>
    <row r="984" ht="15.75" customHeight="1">
      <c r="A984" s="6" t="s">
        <v>21216</v>
      </c>
      <c r="B984" s="6" t="s">
        <v>3629</v>
      </c>
      <c r="C984" s="7"/>
      <c r="D984" s="7"/>
      <c r="E984" s="7"/>
      <c r="F984" s="7"/>
      <c r="G984" s="7"/>
      <c r="H984" s="7"/>
      <c r="I984" s="7"/>
      <c r="J984" s="7"/>
      <c r="K984" s="7"/>
      <c r="L984" s="7"/>
      <c r="M984" s="6" t="s">
        <v>71</v>
      </c>
      <c r="N984" s="7"/>
      <c r="O984" s="6" t="s">
        <v>21029</v>
      </c>
      <c r="P984" s="42"/>
      <c r="Q984" s="43"/>
      <c r="R984" s="50"/>
      <c r="S984" s="51"/>
      <c r="T984" s="7"/>
      <c r="U984" s="7"/>
      <c r="V984" s="7"/>
      <c r="W984" s="7"/>
      <c r="X984" s="7"/>
      <c r="Y984" s="7"/>
      <c r="Z984" s="7"/>
      <c r="AA984" s="7"/>
      <c r="AB984" s="7"/>
      <c r="AC984" s="7"/>
      <c r="AD984" s="7"/>
      <c r="AE984" s="6" t="s">
        <v>12355</v>
      </c>
      <c r="AF984" s="74"/>
      <c r="AG984" s="7"/>
      <c r="AH984" s="73" t="s">
        <v>21217</v>
      </c>
      <c r="AI984" s="7"/>
      <c r="AJ984" s="7"/>
      <c r="AK984" s="7"/>
      <c r="AL984" s="7"/>
      <c r="AM984" s="6"/>
      <c r="AN984" s="7"/>
      <c r="AO984" s="7"/>
      <c r="AP984" s="65">
        <v>30811.0</v>
      </c>
      <c r="AQ984" s="6"/>
      <c r="AR984" s="6"/>
      <c r="AS984" s="6"/>
    </row>
    <row r="985" ht="15.75" customHeight="1">
      <c r="A985" s="6" t="s">
        <v>21218</v>
      </c>
      <c r="B985" s="6" t="s">
        <v>5799</v>
      </c>
      <c r="C985" s="7"/>
      <c r="D985" s="7"/>
      <c r="E985" s="7"/>
      <c r="F985" s="7"/>
      <c r="G985" s="7"/>
      <c r="H985" s="7"/>
      <c r="I985" s="7"/>
      <c r="J985" s="7"/>
      <c r="K985" s="7"/>
      <c r="L985" s="7"/>
      <c r="M985" s="6" t="s">
        <v>71</v>
      </c>
      <c r="N985" s="7"/>
      <c r="O985" s="6" t="s">
        <v>21029</v>
      </c>
      <c r="P985" s="42"/>
      <c r="Q985" s="43"/>
      <c r="R985" s="50"/>
      <c r="S985" s="51"/>
      <c r="T985" s="7"/>
      <c r="U985" s="7"/>
      <c r="V985" s="7"/>
      <c r="W985" s="7"/>
      <c r="X985" s="7"/>
      <c r="Y985" s="7"/>
      <c r="Z985" s="7"/>
      <c r="AA985" s="7"/>
      <c r="AB985" s="7"/>
      <c r="AC985" s="7"/>
      <c r="AD985" s="7"/>
      <c r="AE985" s="6" t="s">
        <v>12355</v>
      </c>
      <c r="AF985" s="74"/>
      <c r="AG985" s="7"/>
      <c r="AH985" s="73" t="s">
        <v>21219</v>
      </c>
      <c r="AI985" s="7"/>
      <c r="AJ985" s="7"/>
      <c r="AK985" s="7"/>
      <c r="AL985" s="7"/>
      <c r="AM985" s="6"/>
      <c r="AN985" s="7"/>
      <c r="AO985" s="7"/>
      <c r="AP985" s="65">
        <v>30811.0</v>
      </c>
      <c r="AQ985" s="6"/>
      <c r="AR985" s="6"/>
      <c r="AS985" s="6"/>
    </row>
    <row r="986" ht="15.75" customHeight="1">
      <c r="A986" s="6" t="s">
        <v>10952</v>
      </c>
      <c r="B986" s="6" t="s">
        <v>5879</v>
      </c>
      <c r="C986" s="7"/>
      <c r="D986" s="7"/>
      <c r="E986" s="7"/>
      <c r="F986" s="7"/>
      <c r="G986" s="7"/>
      <c r="H986" s="7"/>
      <c r="I986" s="7"/>
      <c r="J986" s="7"/>
      <c r="K986" s="7"/>
      <c r="L986" s="7"/>
      <c r="M986" s="6" t="s">
        <v>71</v>
      </c>
      <c r="N986" s="7"/>
      <c r="O986" s="6" t="s">
        <v>5888</v>
      </c>
      <c r="P986" s="42"/>
      <c r="Q986" s="43"/>
      <c r="R986" s="50"/>
      <c r="S986" s="51"/>
      <c r="T986" s="7"/>
      <c r="U986" s="7"/>
      <c r="V986" s="7"/>
      <c r="W986" s="7"/>
      <c r="X986" s="7"/>
      <c r="Y986" s="7"/>
      <c r="Z986" s="7"/>
      <c r="AA986" s="7"/>
      <c r="AB986" s="7"/>
      <c r="AC986" s="7"/>
      <c r="AD986" s="7"/>
      <c r="AE986" s="6" t="s">
        <v>12355</v>
      </c>
      <c r="AF986" s="74"/>
      <c r="AG986" s="7"/>
      <c r="AH986" s="73" t="s">
        <v>21220</v>
      </c>
      <c r="AI986" s="7"/>
      <c r="AJ986" s="7"/>
      <c r="AK986" s="7"/>
      <c r="AL986" s="7"/>
      <c r="AM986" s="6"/>
      <c r="AN986" s="7"/>
      <c r="AO986" s="7"/>
      <c r="AP986" s="65">
        <v>30811.0</v>
      </c>
      <c r="AQ986" s="6"/>
      <c r="AR986" s="6"/>
      <c r="AS986" s="6"/>
    </row>
    <row r="987" ht="15.75" customHeight="1">
      <c r="A987" s="6" t="s">
        <v>21221</v>
      </c>
      <c r="B987" s="6" t="s">
        <v>3108</v>
      </c>
      <c r="C987" s="7"/>
      <c r="D987" s="7"/>
      <c r="E987" s="7"/>
      <c r="F987" s="7"/>
      <c r="G987" s="7"/>
      <c r="H987" s="7"/>
      <c r="I987" s="7"/>
      <c r="J987" s="7"/>
      <c r="K987" s="7"/>
      <c r="L987" s="7"/>
      <c r="M987" s="6" t="s">
        <v>123</v>
      </c>
      <c r="N987" s="7"/>
      <c r="O987" s="6" t="s">
        <v>21029</v>
      </c>
      <c r="P987" s="42"/>
      <c r="Q987" s="43"/>
      <c r="R987" s="50"/>
      <c r="S987" s="51"/>
      <c r="T987" s="7"/>
      <c r="U987" s="7"/>
      <c r="V987" s="7"/>
      <c r="W987" s="7"/>
      <c r="X987" s="7"/>
      <c r="Y987" s="7"/>
      <c r="Z987" s="7"/>
      <c r="AA987" s="7"/>
      <c r="AB987" s="7"/>
      <c r="AC987" s="7"/>
      <c r="AD987" s="7"/>
      <c r="AE987" s="6" t="s">
        <v>12355</v>
      </c>
      <c r="AF987" s="74"/>
      <c r="AG987" s="7"/>
      <c r="AH987" s="73" t="s">
        <v>21222</v>
      </c>
      <c r="AI987" s="7"/>
      <c r="AJ987" s="7"/>
      <c r="AK987" s="7"/>
      <c r="AL987" s="7"/>
      <c r="AM987" s="6"/>
      <c r="AN987" s="7"/>
      <c r="AO987" s="7"/>
      <c r="AP987" s="65">
        <v>30811.0</v>
      </c>
      <c r="AQ987" s="6"/>
      <c r="AR987" s="6"/>
      <c r="AS987" s="6"/>
    </row>
    <row r="988" ht="15.75" customHeight="1">
      <c r="A988" s="6" t="s">
        <v>10954</v>
      </c>
      <c r="B988" s="6" t="s">
        <v>917</v>
      </c>
      <c r="C988" s="7"/>
      <c r="D988" s="7"/>
      <c r="E988" s="7"/>
      <c r="F988" s="7"/>
      <c r="G988" s="7"/>
      <c r="H988" s="7"/>
      <c r="I988" s="7"/>
      <c r="J988" s="7"/>
      <c r="K988" s="7"/>
      <c r="L988" s="7"/>
      <c r="M988" s="6" t="s">
        <v>71</v>
      </c>
      <c r="N988" s="7"/>
      <c r="O988" s="6" t="s">
        <v>21223</v>
      </c>
      <c r="P988" s="42"/>
      <c r="Q988" s="43"/>
      <c r="R988" s="50"/>
      <c r="S988" s="51"/>
      <c r="T988" s="7"/>
      <c r="U988" s="7"/>
      <c r="V988" s="7"/>
      <c r="W988" s="7"/>
      <c r="X988" s="7"/>
      <c r="Y988" s="7"/>
      <c r="Z988" s="7"/>
      <c r="AA988" s="7"/>
      <c r="AB988" s="7"/>
      <c r="AC988" s="7"/>
      <c r="AD988" s="7"/>
      <c r="AE988" s="6" t="s">
        <v>12355</v>
      </c>
      <c r="AF988" s="74"/>
      <c r="AG988" s="7"/>
      <c r="AH988" s="73" t="s">
        <v>21224</v>
      </c>
      <c r="AI988" s="7"/>
      <c r="AJ988" s="7"/>
      <c r="AK988" s="7"/>
      <c r="AL988" s="7"/>
      <c r="AM988" s="6"/>
      <c r="AN988" s="7"/>
      <c r="AO988" s="7"/>
      <c r="AP988" s="65">
        <v>30811.0</v>
      </c>
      <c r="AQ988" s="6"/>
      <c r="AR988" s="6"/>
      <c r="AS988" s="6"/>
    </row>
    <row r="989" ht="15.75" customHeight="1">
      <c r="A989" s="6" t="s">
        <v>10956</v>
      </c>
      <c r="B989" s="6" t="s">
        <v>21225</v>
      </c>
      <c r="C989" s="7"/>
      <c r="D989" s="7"/>
      <c r="E989" s="7"/>
      <c r="F989" s="7"/>
      <c r="G989" s="7"/>
      <c r="H989" s="7"/>
      <c r="I989" s="7"/>
      <c r="J989" s="7"/>
      <c r="K989" s="7"/>
      <c r="L989" s="7"/>
      <c r="M989" s="6" t="s">
        <v>123</v>
      </c>
      <c r="N989" s="7"/>
      <c r="O989" s="6"/>
      <c r="P989" s="42"/>
      <c r="Q989" s="43"/>
      <c r="R989" s="50"/>
      <c r="S989" s="51"/>
      <c r="T989" s="7"/>
      <c r="U989" s="7"/>
      <c r="V989" s="7"/>
      <c r="W989" s="7"/>
      <c r="X989" s="7"/>
      <c r="Y989" s="7"/>
      <c r="Z989" s="7"/>
      <c r="AA989" s="7"/>
      <c r="AB989" s="7"/>
      <c r="AC989" s="7"/>
      <c r="AD989" s="7"/>
      <c r="AE989" s="6" t="s">
        <v>12355</v>
      </c>
      <c r="AF989" s="74"/>
      <c r="AG989" s="7"/>
      <c r="AH989" s="73" t="s">
        <v>21226</v>
      </c>
      <c r="AI989" s="7"/>
      <c r="AJ989" s="7"/>
      <c r="AK989" s="7"/>
      <c r="AL989" s="7"/>
      <c r="AM989" s="6"/>
      <c r="AN989" s="7"/>
      <c r="AO989" s="7"/>
      <c r="AP989" s="65">
        <v>30811.0</v>
      </c>
      <c r="AQ989" s="6"/>
      <c r="AR989" s="6"/>
      <c r="AS989" s="6"/>
    </row>
    <row r="990" ht="15.75" customHeight="1">
      <c r="A990" s="6" t="s">
        <v>10958</v>
      </c>
      <c r="B990" s="6" t="s">
        <v>3901</v>
      </c>
      <c r="C990" s="7"/>
      <c r="D990" s="7"/>
      <c r="E990" s="7"/>
      <c r="F990" s="7"/>
      <c r="G990" s="7"/>
      <c r="H990" s="7"/>
      <c r="I990" s="7"/>
      <c r="J990" s="7"/>
      <c r="K990" s="7"/>
      <c r="L990" s="7"/>
      <c r="M990" s="6" t="s">
        <v>123</v>
      </c>
      <c r="N990" s="7"/>
      <c r="O990" s="6" t="s">
        <v>3906</v>
      </c>
      <c r="P990" s="42"/>
      <c r="Q990" s="43"/>
      <c r="R990" s="50"/>
      <c r="S990" s="51"/>
      <c r="T990" s="7"/>
      <c r="U990" s="7"/>
      <c r="V990" s="7"/>
      <c r="W990" s="7"/>
      <c r="X990" s="7"/>
      <c r="Y990" s="7"/>
      <c r="Z990" s="7"/>
      <c r="AA990" s="7"/>
      <c r="AB990" s="7"/>
      <c r="AC990" s="7"/>
      <c r="AD990" s="7"/>
      <c r="AE990" s="6" t="s">
        <v>12355</v>
      </c>
      <c r="AF990" s="74"/>
      <c r="AG990" s="7"/>
      <c r="AH990" s="73" t="s">
        <v>21227</v>
      </c>
      <c r="AI990" s="7"/>
      <c r="AJ990" s="7"/>
      <c r="AK990" s="7"/>
      <c r="AL990" s="7"/>
      <c r="AM990" s="6"/>
      <c r="AN990" s="7"/>
      <c r="AO990" s="7"/>
      <c r="AP990" s="65">
        <v>30811.0</v>
      </c>
      <c r="AQ990" s="6"/>
      <c r="AR990" s="6"/>
      <c r="AS990" s="6"/>
    </row>
    <row r="991" ht="15.75" customHeight="1">
      <c r="A991" s="6" t="s">
        <v>10960</v>
      </c>
      <c r="B991" s="6" t="s">
        <v>21228</v>
      </c>
      <c r="C991" s="7"/>
      <c r="D991" s="7"/>
      <c r="E991" s="7"/>
      <c r="F991" s="7"/>
      <c r="G991" s="7"/>
      <c r="H991" s="7"/>
      <c r="I991" s="7"/>
      <c r="J991" s="7"/>
      <c r="K991" s="7"/>
      <c r="L991" s="7"/>
      <c r="M991" s="6" t="s">
        <v>40</v>
      </c>
      <c r="N991" s="7"/>
      <c r="O991" s="6"/>
      <c r="P991" s="42"/>
      <c r="Q991" s="43"/>
      <c r="R991" s="50"/>
      <c r="S991" s="51"/>
      <c r="T991" s="7"/>
      <c r="U991" s="7"/>
      <c r="V991" s="7"/>
      <c r="W991" s="7"/>
      <c r="X991" s="7"/>
      <c r="Y991" s="7"/>
      <c r="Z991" s="7"/>
      <c r="AA991" s="7"/>
      <c r="AB991" s="7"/>
      <c r="AC991" s="7"/>
      <c r="AD991" s="7"/>
      <c r="AE991" s="6" t="s">
        <v>12355</v>
      </c>
      <c r="AF991" s="74"/>
      <c r="AG991" s="7"/>
      <c r="AH991" s="73" t="s">
        <v>21229</v>
      </c>
      <c r="AI991" s="7"/>
      <c r="AJ991" s="7"/>
      <c r="AK991" s="7"/>
      <c r="AL991" s="7"/>
      <c r="AM991" s="6"/>
      <c r="AN991" s="7"/>
      <c r="AO991" s="7"/>
      <c r="AP991" s="65">
        <v>30811.0</v>
      </c>
      <c r="AQ991" s="6"/>
      <c r="AR991" s="6"/>
      <c r="AS991" s="6"/>
    </row>
    <row r="992" ht="15.75" customHeight="1">
      <c r="A992" s="6" t="s">
        <v>10962</v>
      </c>
      <c r="B992" s="6" t="s">
        <v>897</v>
      </c>
      <c r="C992" s="7"/>
      <c r="D992" s="7"/>
      <c r="E992" s="7"/>
      <c r="F992" s="7"/>
      <c r="G992" s="7"/>
      <c r="H992" s="7"/>
      <c r="I992" s="7"/>
      <c r="J992" s="7"/>
      <c r="K992" s="7"/>
      <c r="L992" s="7"/>
      <c r="M992" s="6" t="s">
        <v>123</v>
      </c>
      <c r="N992" s="7"/>
      <c r="O992" s="6" t="s">
        <v>903</v>
      </c>
      <c r="P992" s="42"/>
      <c r="Q992" s="43"/>
      <c r="R992" s="50"/>
      <c r="S992" s="51"/>
      <c r="T992" s="7"/>
      <c r="U992" s="7"/>
      <c r="V992" s="7"/>
      <c r="W992" s="7"/>
      <c r="X992" s="7"/>
      <c r="Y992" s="7"/>
      <c r="Z992" s="7"/>
      <c r="AA992" s="7"/>
      <c r="AB992" s="7"/>
      <c r="AC992" s="7"/>
      <c r="AD992" s="7"/>
      <c r="AE992" s="6" t="s">
        <v>12355</v>
      </c>
      <c r="AF992" s="74"/>
      <c r="AG992" s="7"/>
      <c r="AH992" s="73" t="s">
        <v>21230</v>
      </c>
      <c r="AI992" s="7"/>
      <c r="AJ992" s="7"/>
      <c r="AK992" s="7"/>
      <c r="AL992" s="7"/>
      <c r="AM992" s="6"/>
      <c r="AN992" s="7"/>
      <c r="AO992" s="7"/>
      <c r="AP992" s="65">
        <v>30811.0</v>
      </c>
      <c r="AQ992" s="6"/>
      <c r="AR992" s="6"/>
      <c r="AS992" s="6"/>
    </row>
    <row r="993" ht="15.75" customHeight="1">
      <c r="A993" s="6" t="s">
        <v>10964</v>
      </c>
      <c r="B993" s="6" t="s">
        <v>831</v>
      </c>
      <c r="C993" s="7"/>
      <c r="D993" s="7"/>
      <c r="E993" s="7"/>
      <c r="F993" s="7"/>
      <c r="G993" s="7"/>
      <c r="H993" s="7"/>
      <c r="I993" s="7"/>
      <c r="J993" s="7"/>
      <c r="K993" s="7"/>
      <c r="L993" s="7"/>
      <c r="M993" s="6" t="s">
        <v>123</v>
      </c>
      <c r="N993" s="7"/>
      <c r="O993" s="6" t="s">
        <v>841</v>
      </c>
      <c r="P993" s="42"/>
      <c r="Q993" s="43"/>
      <c r="R993" s="50"/>
      <c r="S993" s="51"/>
      <c r="T993" s="7"/>
      <c r="U993" s="7"/>
      <c r="V993" s="7"/>
      <c r="W993" s="7"/>
      <c r="X993" s="7"/>
      <c r="Y993" s="7"/>
      <c r="Z993" s="7"/>
      <c r="AA993" s="7"/>
      <c r="AB993" s="7"/>
      <c r="AC993" s="7"/>
      <c r="AD993" s="7"/>
      <c r="AE993" s="6" t="s">
        <v>12355</v>
      </c>
      <c r="AF993" s="74"/>
      <c r="AG993" s="7"/>
      <c r="AH993" s="73" t="s">
        <v>21231</v>
      </c>
      <c r="AI993" s="7"/>
      <c r="AJ993" s="7"/>
      <c r="AK993" s="7"/>
      <c r="AL993" s="7"/>
      <c r="AM993" s="6"/>
      <c r="AN993" s="7"/>
      <c r="AO993" s="7"/>
      <c r="AP993" s="65">
        <v>30811.0</v>
      </c>
      <c r="AQ993" s="6"/>
      <c r="AR993" s="6"/>
      <c r="AS993" s="6"/>
    </row>
    <row r="994" ht="15.75" customHeight="1">
      <c r="A994" s="6" t="s">
        <v>10966</v>
      </c>
      <c r="B994" s="6" t="s">
        <v>21232</v>
      </c>
      <c r="C994" s="7"/>
      <c r="D994" s="7"/>
      <c r="E994" s="7"/>
      <c r="F994" s="7"/>
      <c r="G994" s="7"/>
      <c r="H994" s="7"/>
      <c r="I994" s="7"/>
      <c r="J994" s="7"/>
      <c r="K994" s="7"/>
      <c r="L994" s="7"/>
      <c r="M994" s="6" t="s">
        <v>123</v>
      </c>
      <c r="N994" s="7"/>
      <c r="O994" s="6" t="s">
        <v>915</v>
      </c>
      <c r="P994" s="42"/>
      <c r="Q994" s="43"/>
      <c r="R994" s="50"/>
      <c r="S994" s="51"/>
      <c r="T994" s="7"/>
      <c r="U994" s="7"/>
      <c r="V994" s="7"/>
      <c r="W994" s="7"/>
      <c r="X994" s="7"/>
      <c r="Y994" s="7"/>
      <c r="Z994" s="7"/>
      <c r="AA994" s="7"/>
      <c r="AB994" s="7"/>
      <c r="AC994" s="7"/>
      <c r="AD994" s="7"/>
      <c r="AE994" s="6" t="s">
        <v>12355</v>
      </c>
      <c r="AF994" s="74"/>
      <c r="AG994" s="7"/>
      <c r="AH994" s="73" t="s">
        <v>21233</v>
      </c>
      <c r="AI994" s="7"/>
      <c r="AJ994" s="7"/>
      <c r="AK994" s="7"/>
      <c r="AL994" s="7"/>
      <c r="AM994" s="6"/>
      <c r="AN994" s="7"/>
      <c r="AO994" s="7"/>
      <c r="AP994" s="65">
        <v>30811.0</v>
      </c>
      <c r="AQ994" s="6"/>
      <c r="AR994" s="6"/>
      <c r="AS994" s="6"/>
    </row>
    <row r="995" ht="15.75" customHeight="1">
      <c r="A995" s="6" t="s">
        <v>10968</v>
      </c>
      <c r="B995" s="6" t="s">
        <v>21234</v>
      </c>
      <c r="C995" s="7"/>
      <c r="D995" s="7"/>
      <c r="E995" s="7"/>
      <c r="F995" s="7"/>
      <c r="G995" s="7"/>
      <c r="H995" s="7"/>
      <c r="I995" s="7"/>
      <c r="J995" s="7"/>
      <c r="K995" s="7"/>
      <c r="L995" s="7"/>
      <c r="M995" s="6" t="s">
        <v>123</v>
      </c>
      <c r="N995" s="7"/>
      <c r="O995" s="6"/>
      <c r="P995" s="42"/>
      <c r="Q995" s="43"/>
      <c r="R995" s="50"/>
      <c r="S995" s="51"/>
      <c r="T995" s="7"/>
      <c r="U995" s="7"/>
      <c r="V995" s="7"/>
      <c r="W995" s="7"/>
      <c r="X995" s="7"/>
      <c r="Y995" s="7"/>
      <c r="Z995" s="7"/>
      <c r="AA995" s="7"/>
      <c r="AB995" s="7"/>
      <c r="AC995" s="7"/>
      <c r="AD995" s="7"/>
      <c r="AE995" s="6" t="s">
        <v>12355</v>
      </c>
      <c r="AF995" s="74"/>
      <c r="AG995" s="7"/>
      <c r="AH995" s="73" t="s">
        <v>21235</v>
      </c>
      <c r="AI995" s="7"/>
      <c r="AJ995" s="7"/>
      <c r="AK995" s="7"/>
      <c r="AL995" s="7"/>
      <c r="AM995" s="6"/>
      <c r="AN995" s="7"/>
      <c r="AO995" s="7"/>
      <c r="AP995" s="65">
        <v>30811.0</v>
      </c>
      <c r="AQ995" s="6"/>
      <c r="AR995" s="6"/>
      <c r="AS995" s="6"/>
    </row>
    <row r="996" ht="15.75" customHeight="1">
      <c r="A996" s="6" t="s">
        <v>10970</v>
      </c>
      <c r="B996" s="6" t="s">
        <v>21236</v>
      </c>
      <c r="C996" s="7"/>
      <c r="D996" s="7"/>
      <c r="E996" s="7"/>
      <c r="F996" s="7"/>
      <c r="G996" s="7"/>
      <c r="H996" s="7"/>
      <c r="I996" s="7"/>
      <c r="J996" s="7"/>
      <c r="K996" s="7"/>
      <c r="L996" s="7"/>
      <c r="M996" s="6" t="s">
        <v>71</v>
      </c>
      <c r="N996" s="7"/>
      <c r="O996" s="6"/>
      <c r="P996" s="42"/>
      <c r="Q996" s="43"/>
      <c r="R996" s="50"/>
      <c r="S996" s="51"/>
      <c r="T996" s="7"/>
      <c r="U996" s="7"/>
      <c r="V996" s="7"/>
      <c r="W996" s="7"/>
      <c r="X996" s="7"/>
      <c r="Y996" s="7"/>
      <c r="Z996" s="7"/>
      <c r="AA996" s="7"/>
      <c r="AB996" s="7"/>
      <c r="AC996" s="7"/>
      <c r="AD996" s="7"/>
      <c r="AE996" s="6" t="s">
        <v>12355</v>
      </c>
      <c r="AF996" s="74"/>
      <c r="AG996" s="7"/>
      <c r="AH996" s="73" t="s">
        <v>21237</v>
      </c>
      <c r="AI996" s="7"/>
      <c r="AJ996" s="7"/>
      <c r="AK996" s="7"/>
      <c r="AL996" s="7"/>
      <c r="AM996" s="6"/>
      <c r="AN996" s="7"/>
      <c r="AO996" s="7"/>
      <c r="AP996" s="65">
        <v>30811.0</v>
      </c>
      <c r="AQ996" s="6"/>
      <c r="AR996" s="6"/>
      <c r="AS996" s="6"/>
    </row>
    <row r="997" ht="15.75" customHeight="1">
      <c r="A997" s="6" t="s">
        <v>21238</v>
      </c>
      <c r="B997" s="6" t="s">
        <v>5498</v>
      </c>
      <c r="C997" s="7"/>
      <c r="D997" s="7"/>
      <c r="E997" s="7"/>
      <c r="F997" s="7"/>
      <c r="G997" s="7"/>
      <c r="H997" s="7"/>
      <c r="I997" s="7"/>
      <c r="J997" s="7"/>
      <c r="K997" s="7"/>
      <c r="L997" s="7"/>
      <c r="M997" s="6" t="s">
        <v>33</v>
      </c>
      <c r="N997" s="7"/>
      <c r="O997" s="6" t="s">
        <v>21029</v>
      </c>
      <c r="P997" s="42"/>
      <c r="Q997" s="43"/>
      <c r="R997" s="50"/>
      <c r="S997" s="51"/>
      <c r="T997" s="7"/>
      <c r="U997" s="7"/>
      <c r="V997" s="7"/>
      <c r="W997" s="7"/>
      <c r="X997" s="7"/>
      <c r="Y997" s="7"/>
      <c r="Z997" s="7"/>
      <c r="AA997" s="7"/>
      <c r="AB997" s="7"/>
      <c r="AC997" s="7"/>
      <c r="AD997" s="7"/>
      <c r="AE997" s="6" t="s">
        <v>12355</v>
      </c>
      <c r="AF997" s="74"/>
      <c r="AG997" s="7"/>
      <c r="AH997" s="73" t="s">
        <v>21239</v>
      </c>
      <c r="AI997" s="7"/>
      <c r="AJ997" s="7"/>
      <c r="AK997" s="7"/>
      <c r="AL997" s="7"/>
      <c r="AM997" s="6"/>
      <c r="AN997" s="7"/>
      <c r="AO997" s="7"/>
      <c r="AP997" s="65">
        <v>30811.0</v>
      </c>
      <c r="AQ997" s="6"/>
      <c r="AR997" s="6"/>
      <c r="AS997" s="6"/>
    </row>
    <row r="998" ht="15.75" customHeight="1">
      <c r="A998" s="6" t="s">
        <v>10972</v>
      </c>
      <c r="B998" s="6" t="s">
        <v>21122</v>
      </c>
      <c r="C998" s="7"/>
      <c r="D998" s="7"/>
      <c r="E998" s="7"/>
      <c r="F998" s="7"/>
      <c r="G998" s="7"/>
      <c r="H998" s="7"/>
      <c r="I998" s="7"/>
      <c r="J998" s="7"/>
      <c r="K998" s="7"/>
      <c r="L998" s="7"/>
      <c r="M998" s="6" t="s">
        <v>123</v>
      </c>
      <c r="N998" s="7"/>
      <c r="O998" s="6"/>
      <c r="P998" s="42"/>
      <c r="Q998" s="43"/>
      <c r="R998" s="50"/>
      <c r="S998" s="51"/>
      <c r="T998" s="7"/>
      <c r="U998" s="7"/>
      <c r="V998" s="7"/>
      <c r="W998" s="7"/>
      <c r="X998" s="7"/>
      <c r="Y998" s="7"/>
      <c r="Z998" s="7"/>
      <c r="AA998" s="7"/>
      <c r="AB998" s="7"/>
      <c r="AC998" s="7"/>
      <c r="AD998" s="7"/>
      <c r="AE998" s="6" t="s">
        <v>12355</v>
      </c>
      <c r="AF998" s="74"/>
      <c r="AG998" s="7"/>
      <c r="AH998" s="73" t="s">
        <v>21240</v>
      </c>
      <c r="AI998" s="7"/>
      <c r="AJ998" s="7"/>
      <c r="AK998" s="7"/>
      <c r="AL998" s="7"/>
      <c r="AM998" s="6"/>
      <c r="AN998" s="7"/>
      <c r="AO998" s="7"/>
      <c r="AP998" s="65">
        <v>30811.0</v>
      </c>
      <c r="AQ998" s="6"/>
      <c r="AR998" s="6"/>
      <c r="AS998" s="6"/>
    </row>
    <row r="999" ht="15.75" customHeight="1">
      <c r="A999" s="6" t="s">
        <v>10974</v>
      </c>
      <c r="B999" s="6" t="s">
        <v>21241</v>
      </c>
      <c r="C999" s="7"/>
      <c r="D999" s="7"/>
      <c r="E999" s="7"/>
      <c r="F999" s="7"/>
      <c r="G999" s="7"/>
      <c r="H999" s="7"/>
      <c r="I999" s="7"/>
      <c r="J999" s="7"/>
      <c r="K999" s="7"/>
      <c r="L999" s="7"/>
      <c r="M999" s="6" t="s">
        <v>71</v>
      </c>
      <c r="N999" s="7"/>
      <c r="O999" s="6" t="s">
        <v>4710</v>
      </c>
      <c r="P999" s="42"/>
      <c r="Q999" s="43"/>
      <c r="R999" s="50"/>
      <c r="S999" s="51"/>
      <c r="T999" s="7"/>
      <c r="U999" s="7"/>
      <c r="V999" s="7"/>
      <c r="W999" s="7"/>
      <c r="X999" s="7"/>
      <c r="Y999" s="7"/>
      <c r="Z999" s="7"/>
      <c r="AA999" s="7"/>
      <c r="AB999" s="7"/>
      <c r="AC999" s="7"/>
      <c r="AD999" s="7"/>
      <c r="AE999" s="6" t="s">
        <v>12355</v>
      </c>
      <c r="AF999" s="74"/>
      <c r="AG999" s="7"/>
      <c r="AH999" s="73" t="s">
        <v>21242</v>
      </c>
      <c r="AI999" s="7"/>
      <c r="AJ999" s="7"/>
      <c r="AK999" s="7"/>
      <c r="AL999" s="7"/>
      <c r="AM999" s="6"/>
      <c r="AN999" s="7"/>
      <c r="AO999" s="7"/>
      <c r="AP999" s="65">
        <v>30811.0</v>
      </c>
      <c r="AQ999" s="6"/>
      <c r="AR999" s="6"/>
      <c r="AS999" s="6"/>
    </row>
    <row r="1000" ht="15.75" customHeight="1">
      <c r="A1000" s="6" t="s">
        <v>10976</v>
      </c>
      <c r="B1000" s="6" t="s">
        <v>1072</v>
      </c>
      <c r="C1000" s="7"/>
      <c r="D1000" s="7"/>
      <c r="E1000" s="7"/>
      <c r="F1000" s="7"/>
      <c r="G1000" s="7"/>
      <c r="H1000" s="7"/>
      <c r="I1000" s="7"/>
      <c r="J1000" s="7"/>
      <c r="K1000" s="7"/>
      <c r="L1000" s="7"/>
      <c r="M1000" s="6" t="s">
        <v>123</v>
      </c>
      <c r="N1000" s="7"/>
      <c r="O1000" s="6" t="s">
        <v>1085</v>
      </c>
      <c r="P1000" s="42"/>
      <c r="Q1000" s="43"/>
      <c r="R1000" s="50"/>
      <c r="S1000" s="51"/>
      <c r="T1000" s="7"/>
      <c r="U1000" s="7"/>
      <c r="V1000" s="7"/>
      <c r="W1000" s="7"/>
      <c r="X1000" s="7"/>
      <c r="Y1000" s="7"/>
      <c r="Z1000" s="7"/>
      <c r="AA1000" s="7"/>
      <c r="AB1000" s="7"/>
      <c r="AC1000" s="7"/>
      <c r="AD1000" s="7"/>
      <c r="AE1000" s="6" t="s">
        <v>12355</v>
      </c>
      <c r="AF1000" s="74"/>
      <c r="AG1000" s="7"/>
      <c r="AH1000" s="73" t="s">
        <v>21243</v>
      </c>
      <c r="AI1000" s="7"/>
      <c r="AJ1000" s="7"/>
      <c r="AK1000" s="7"/>
      <c r="AL1000" s="7"/>
      <c r="AM1000" s="6"/>
      <c r="AN1000" s="7"/>
      <c r="AO1000" s="7"/>
      <c r="AP1000" s="65">
        <v>30811.0</v>
      </c>
      <c r="AQ1000" s="6"/>
      <c r="AR1000" s="6"/>
      <c r="AS1000" s="6"/>
    </row>
    <row r="1001" ht="15.75" customHeight="1">
      <c r="A1001" s="6" t="s">
        <v>10905</v>
      </c>
      <c r="B1001" s="6" t="s">
        <v>21157</v>
      </c>
      <c r="C1001" s="7"/>
      <c r="D1001" s="7"/>
      <c r="E1001" s="7"/>
      <c r="F1001" s="7"/>
      <c r="G1001" s="7"/>
      <c r="H1001" s="7"/>
      <c r="I1001" s="7"/>
      <c r="J1001" s="7"/>
      <c r="K1001" s="7"/>
      <c r="L1001" s="7"/>
      <c r="M1001" s="6" t="s">
        <v>123</v>
      </c>
      <c r="N1001" s="7"/>
      <c r="O1001" s="6" t="s">
        <v>1684</v>
      </c>
      <c r="P1001" s="42"/>
      <c r="Q1001" s="43"/>
      <c r="R1001" s="50"/>
      <c r="S1001" s="51"/>
      <c r="T1001" s="7"/>
      <c r="U1001" s="7"/>
      <c r="V1001" s="7"/>
      <c r="W1001" s="7"/>
      <c r="X1001" s="7"/>
      <c r="Y1001" s="7"/>
      <c r="Z1001" s="7"/>
      <c r="AA1001" s="7"/>
      <c r="AB1001" s="7"/>
      <c r="AC1001" s="7"/>
      <c r="AD1001" s="7"/>
      <c r="AE1001" s="6" t="s">
        <v>12355</v>
      </c>
      <c r="AF1001" s="74"/>
      <c r="AG1001" s="7"/>
      <c r="AH1001" s="73" t="s">
        <v>21244</v>
      </c>
      <c r="AI1001" s="7"/>
      <c r="AJ1001" s="7"/>
      <c r="AK1001" s="7"/>
      <c r="AL1001" s="7"/>
      <c r="AM1001" s="6"/>
      <c r="AN1001" s="7"/>
      <c r="AO1001" s="7"/>
      <c r="AP1001" s="65">
        <v>30811.0</v>
      </c>
      <c r="AQ1001" s="6"/>
      <c r="AR1001" s="6"/>
      <c r="AS1001" s="6"/>
    </row>
    <row r="1002" ht="15.75" customHeight="1">
      <c r="A1002" s="6" t="s">
        <v>10978</v>
      </c>
      <c r="B1002" s="6" t="s">
        <v>4070</v>
      </c>
      <c r="C1002" s="7"/>
      <c r="D1002" s="7"/>
      <c r="E1002" s="7"/>
      <c r="F1002" s="7"/>
      <c r="G1002" s="7"/>
      <c r="H1002" s="7"/>
      <c r="I1002" s="7"/>
      <c r="J1002" s="7"/>
      <c r="K1002" s="7"/>
      <c r="L1002" s="7"/>
      <c r="M1002" s="6" t="s">
        <v>71</v>
      </c>
      <c r="N1002" s="7"/>
      <c r="O1002" s="6" t="s">
        <v>4080</v>
      </c>
      <c r="P1002" s="42"/>
      <c r="Q1002" s="43"/>
      <c r="R1002" s="50"/>
      <c r="S1002" s="51"/>
      <c r="T1002" s="7"/>
      <c r="U1002" s="7"/>
      <c r="V1002" s="7"/>
      <c r="W1002" s="7"/>
      <c r="X1002" s="7"/>
      <c r="Y1002" s="7"/>
      <c r="Z1002" s="7"/>
      <c r="AA1002" s="7"/>
      <c r="AB1002" s="7"/>
      <c r="AC1002" s="7"/>
      <c r="AD1002" s="7"/>
      <c r="AE1002" s="6" t="s">
        <v>12355</v>
      </c>
      <c r="AF1002" s="74"/>
      <c r="AG1002" s="7"/>
      <c r="AH1002" s="73" t="s">
        <v>21245</v>
      </c>
      <c r="AI1002" s="7"/>
      <c r="AJ1002" s="7"/>
      <c r="AK1002" s="7"/>
      <c r="AL1002" s="7"/>
      <c r="AM1002" s="6"/>
      <c r="AN1002" s="7"/>
      <c r="AO1002" s="7"/>
      <c r="AP1002" s="65">
        <v>30811.0</v>
      </c>
      <c r="AQ1002" s="6"/>
      <c r="AR1002" s="6"/>
      <c r="AS1002" s="6"/>
    </row>
    <row r="1003" ht="15.75" customHeight="1">
      <c r="A1003" s="6" t="s">
        <v>10980</v>
      </c>
      <c r="B1003" s="6" t="s">
        <v>1176</v>
      </c>
      <c r="C1003" s="7"/>
      <c r="D1003" s="7"/>
      <c r="E1003" s="7"/>
      <c r="F1003" s="7"/>
      <c r="G1003" s="7"/>
      <c r="H1003" s="7"/>
      <c r="I1003" s="7"/>
      <c r="J1003" s="7"/>
      <c r="K1003" s="7"/>
      <c r="L1003" s="7"/>
      <c r="M1003" s="6" t="s">
        <v>71</v>
      </c>
      <c r="N1003" s="7"/>
      <c r="O1003" s="6" t="s">
        <v>1186</v>
      </c>
      <c r="P1003" s="42"/>
      <c r="Q1003" s="43"/>
      <c r="R1003" s="50"/>
      <c r="S1003" s="51"/>
      <c r="T1003" s="7"/>
      <c r="U1003" s="7"/>
      <c r="V1003" s="7"/>
      <c r="W1003" s="7"/>
      <c r="X1003" s="7"/>
      <c r="Y1003" s="7"/>
      <c r="Z1003" s="7"/>
      <c r="AA1003" s="7"/>
      <c r="AB1003" s="7"/>
      <c r="AC1003" s="7"/>
      <c r="AD1003" s="7"/>
      <c r="AE1003" s="6" t="s">
        <v>12355</v>
      </c>
      <c r="AF1003" s="74"/>
      <c r="AG1003" s="7"/>
      <c r="AH1003" s="73" t="s">
        <v>21246</v>
      </c>
      <c r="AI1003" s="7"/>
      <c r="AJ1003" s="7"/>
      <c r="AK1003" s="7"/>
      <c r="AL1003" s="7"/>
      <c r="AM1003" s="6"/>
      <c r="AN1003" s="7"/>
      <c r="AO1003" s="7"/>
      <c r="AP1003" s="65">
        <v>30811.0</v>
      </c>
      <c r="AQ1003" s="6"/>
      <c r="AR1003" s="6"/>
      <c r="AS1003" s="6"/>
    </row>
    <row r="1004" ht="15.75" customHeight="1">
      <c r="A1004" s="6" t="s">
        <v>10982</v>
      </c>
      <c r="B1004" s="6" t="s">
        <v>5058</v>
      </c>
      <c r="C1004" s="7"/>
      <c r="D1004" s="7"/>
      <c r="E1004" s="7"/>
      <c r="F1004" s="7"/>
      <c r="G1004" s="7"/>
      <c r="H1004" s="7"/>
      <c r="I1004" s="7"/>
      <c r="J1004" s="7"/>
      <c r="K1004" s="7"/>
      <c r="L1004" s="7"/>
      <c r="M1004" s="6" t="s">
        <v>71</v>
      </c>
      <c r="N1004" s="7"/>
      <c r="O1004" s="6" t="s">
        <v>5065</v>
      </c>
      <c r="P1004" s="42"/>
      <c r="Q1004" s="43"/>
      <c r="R1004" s="50"/>
      <c r="S1004" s="51"/>
      <c r="T1004" s="7"/>
      <c r="U1004" s="7"/>
      <c r="V1004" s="7"/>
      <c r="W1004" s="7"/>
      <c r="X1004" s="7"/>
      <c r="Y1004" s="7"/>
      <c r="Z1004" s="7"/>
      <c r="AA1004" s="7"/>
      <c r="AB1004" s="7"/>
      <c r="AC1004" s="7"/>
      <c r="AD1004" s="7"/>
      <c r="AE1004" s="6" t="s">
        <v>12355</v>
      </c>
      <c r="AF1004" s="74"/>
      <c r="AG1004" s="7"/>
      <c r="AH1004" s="73" t="s">
        <v>21247</v>
      </c>
      <c r="AI1004" s="7"/>
      <c r="AJ1004" s="7"/>
      <c r="AK1004" s="7"/>
      <c r="AL1004" s="7"/>
      <c r="AM1004" s="6"/>
      <c r="AN1004" s="7"/>
      <c r="AO1004" s="7"/>
      <c r="AP1004" s="65">
        <v>30811.0</v>
      </c>
      <c r="AQ1004" s="6"/>
      <c r="AR1004" s="6"/>
      <c r="AS1004" s="6"/>
    </row>
    <row r="1005" ht="15.75" customHeight="1">
      <c r="A1005" s="6" t="s">
        <v>10984</v>
      </c>
      <c r="B1005" s="6" t="s">
        <v>3485</v>
      </c>
      <c r="C1005" s="7"/>
      <c r="D1005" s="7"/>
      <c r="E1005" s="7"/>
      <c r="F1005" s="7"/>
      <c r="G1005" s="7"/>
      <c r="H1005" s="7"/>
      <c r="I1005" s="7"/>
      <c r="J1005" s="7"/>
      <c r="K1005" s="7"/>
      <c r="L1005" s="7"/>
      <c r="M1005" s="6" t="s">
        <v>40</v>
      </c>
      <c r="N1005" s="7"/>
      <c r="O1005" s="6" t="s">
        <v>3495</v>
      </c>
      <c r="P1005" s="42"/>
      <c r="Q1005" s="43"/>
      <c r="R1005" s="50"/>
      <c r="S1005" s="51"/>
      <c r="T1005" s="7"/>
      <c r="U1005" s="7"/>
      <c r="V1005" s="7"/>
      <c r="W1005" s="7"/>
      <c r="X1005" s="7"/>
      <c r="Y1005" s="7"/>
      <c r="Z1005" s="7"/>
      <c r="AA1005" s="7"/>
      <c r="AB1005" s="7"/>
      <c r="AC1005" s="7"/>
      <c r="AD1005" s="7"/>
      <c r="AE1005" s="6" t="s">
        <v>12355</v>
      </c>
      <c r="AF1005" s="74"/>
      <c r="AG1005" s="7"/>
      <c r="AH1005" s="73" t="s">
        <v>21248</v>
      </c>
      <c r="AI1005" s="7"/>
      <c r="AJ1005" s="7"/>
      <c r="AK1005" s="7"/>
      <c r="AL1005" s="7"/>
      <c r="AM1005" s="6"/>
      <c r="AN1005" s="7"/>
      <c r="AO1005" s="7"/>
      <c r="AP1005" s="65">
        <v>30811.0</v>
      </c>
      <c r="AQ1005" s="6"/>
      <c r="AR1005" s="6"/>
      <c r="AS1005" s="6"/>
    </row>
    <row r="1006" ht="15.75" customHeight="1">
      <c r="A1006" s="6" t="s">
        <v>10986</v>
      </c>
      <c r="B1006" s="6" t="s">
        <v>6356</v>
      </c>
      <c r="C1006" s="7"/>
      <c r="D1006" s="7"/>
      <c r="E1006" s="7"/>
      <c r="F1006" s="7"/>
      <c r="G1006" s="7"/>
      <c r="H1006" s="7"/>
      <c r="I1006" s="7"/>
      <c r="J1006" s="7"/>
      <c r="K1006" s="7"/>
      <c r="L1006" s="7"/>
      <c r="M1006" s="6" t="s">
        <v>123</v>
      </c>
      <c r="N1006" s="7"/>
      <c r="O1006" s="6" t="s">
        <v>6365</v>
      </c>
      <c r="P1006" s="42"/>
      <c r="Q1006" s="43"/>
      <c r="R1006" s="50"/>
      <c r="S1006" s="51"/>
      <c r="T1006" s="7"/>
      <c r="U1006" s="7"/>
      <c r="V1006" s="7"/>
      <c r="W1006" s="7"/>
      <c r="X1006" s="7"/>
      <c r="Y1006" s="7"/>
      <c r="Z1006" s="7"/>
      <c r="AA1006" s="7"/>
      <c r="AB1006" s="7"/>
      <c r="AC1006" s="7"/>
      <c r="AD1006" s="7"/>
      <c r="AE1006" s="6" t="s">
        <v>12355</v>
      </c>
      <c r="AF1006" s="74"/>
      <c r="AG1006" s="7"/>
      <c r="AH1006" s="73" t="s">
        <v>21249</v>
      </c>
      <c r="AI1006" s="7"/>
      <c r="AJ1006" s="7"/>
      <c r="AK1006" s="7"/>
      <c r="AL1006" s="7"/>
      <c r="AM1006" s="6"/>
      <c r="AN1006" s="7"/>
      <c r="AO1006" s="7"/>
      <c r="AP1006" s="65">
        <v>30811.0</v>
      </c>
      <c r="AQ1006" s="6"/>
      <c r="AR1006" s="6"/>
      <c r="AS1006" s="6"/>
    </row>
    <row r="1007" ht="15.75" customHeight="1">
      <c r="A1007" s="6" t="s">
        <v>10989</v>
      </c>
      <c r="B1007" s="6" t="s">
        <v>3539</v>
      </c>
      <c r="C1007" s="7"/>
      <c r="D1007" s="7"/>
      <c r="E1007" s="7"/>
      <c r="F1007" s="7"/>
      <c r="G1007" s="7"/>
      <c r="H1007" s="7"/>
      <c r="I1007" s="7"/>
      <c r="J1007" s="7"/>
      <c r="K1007" s="7"/>
      <c r="L1007" s="7"/>
      <c r="M1007" s="6" t="s">
        <v>40</v>
      </c>
      <c r="N1007" s="7"/>
      <c r="O1007" s="6" t="s">
        <v>3550</v>
      </c>
      <c r="P1007" s="42"/>
      <c r="Q1007" s="43"/>
      <c r="R1007" s="50"/>
      <c r="S1007" s="51"/>
      <c r="T1007" s="7"/>
      <c r="U1007" s="7"/>
      <c r="V1007" s="7"/>
      <c r="W1007" s="7"/>
      <c r="X1007" s="7"/>
      <c r="Y1007" s="7"/>
      <c r="Z1007" s="7"/>
      <c r="AA1007" s="7"/>
      <c r="AB1007" s="7"/>
      <c r="AC1007" s="7"/>
      <c r="AD1007" s="7"/>
      <c r="AE1007" s="6" t="s">
        <v>12355</v>
      </c>
      <c r="AF1007" s="74"/>
      <c r="AG1007" s="7"/>
      <c r="AH1007" s="73" t="s">
        <v>21250</v>
      </c>
      <c r="AI1007" s="7"/>
      <c r="AJ1007" s="7"/>
      <c r="AK1007" s="7"/>
      <c r="AL1007" s="7"/>
      <c r="AM1007" s="6"/>
      <c r="AN1007" s="7"/>
      <c r="AO1007" s="7"/>
      <c r="AP1007" s="65">
        <v>30811.0</v>
      </c>
      <c r="AQ1007" s="6"/>
      <c r="AR1007" s="6"/>
      <c r="AS1007" s="6"/>
    </row>
    <row r="1008" ht="15.75" customHeight="1">
      <c r="A1008" s="6" t="s">
        <v>21251</v>
      </c>
      <c r="B1008" s="6" t="s">
        <v>8002</v>
      </c>
      <c r="C1008" s="7"/>
      <c r="D1008" s="7"/>
      <c r="E1008" s="7"/>
      <c r="F1008" s="7"/>
      <c r="G1008" s="7"/>
      <c r="H1008" s="7"/>
      <c r="I1008" s="7"/>
      <c r="J1008" s="7"/>
      <c r="K1008" s="7"/>
      <c r="L1008" s="7"/>
      <c r="M1008" s="6" t="s">
        <v>40</v>
      </c>
      <c r="N1008" s="7"/>
      <c r="O1008" s="6" t="s">
        <v>21029</v>
      </c>
      <c r="P1008" s="42"/>
      <c r="Q1008" s="43"/>
      <c r="R1008" s="50"/>
      <c r="S1008" s="51"/>
      <c r="T1008" s="7"/>
      <c r="U1008" s="7"/>
      <c r="V1008" s="7"/>
      <c r="W1008" s="7"/>
      <c r="X1008" s="7"/>
      <c r="Y1008" s="7"/>
      <c r="Z1008" s="7"/>
      <c r="AA1008" s="7"/>
      <c r="AB1008" s="7"/>
      <c r="AC1008" s="7"/>
      <c r="AD1008" s="7"/>
      <c r="AE1008" s="6" t="s">
        <v>12355</v>
      </c>
      <c r="AF1008" s="74"/>
      <c r="AG1008" s="7"/>
      <c r="AH1008" s="73" t="s">
        <v>21252</v>
      </c>
      <c r="AI1008" s="7"/>
      <c r="AJ1008" s="7"/>
      <c r="AK1008" s="7"/>
      <c r="AL1008" s="7"/>
      <c r="AM1008" s="6"/>
      <c r="AN1008" s="7"/>
      <c r="AO1008" s="7"/>
      <c r="AP1008" s="65">
        <v>30811.0</v>
      </c>
      <c r="AQ1008" s="6"/>
      <c r="AR1008" s="6"/>
      <c r="AS1008" s="6"/>
    </row>
    <row r="1009" ht="15.75" customHeight="1">
      <c r="A1009" s="6" t="s">
        <v>10991</v>
      </c>
      <c r="B1009" s="6" t="s">
        <v>21253</v>
      </c>
      <c r="C1009" s="7"/>
      <c r="D1009" s="7"/>
      <c r="E1009" s="7"/>
      <c r="F1009" s="7"/>
      <c r="G1009" s="7"/>
      <c r="H1009" s="7"/>
      <c r="I1009" s="7"/>
      <c r="J1009" s="7"/>
      <c r="K1009" s="7"/>
      <c r="L1009" s="7"/>
      <c r="M1009" s="6" t="s">
        <v>123</v>
      </c>
      <c r="N1009" s="7"/>
      <c r="O1009" s="6" t="s">
        <v>2166</v>
      </c>
      <c r="P1009" s="42"/>
      <c r="Q1009" s="43"/>
      <c r="R1009" s="50"/>
      <c r="S1009" s="51"/>
      <c r="T1009" s="7"/>
      <c r="U1009" s="7"/>
      <c r="V1009" s="7"/>
      <c r="W1009" s="7"/>
      <c r="X1009" s="7"/>
      <c r="Y1009" s="7"/>
      <c r="Z1009" s="7"/>
      <c r="AA1009" s="7"/>
      <c r="AB1009" s="7"/>
      <c r="AC1009" s="7"/>
      <c r="AD1009" s="7"/>
      <c r="AE1009" s="6" t="s">
        <v>12355</v>
      </c>
      <c r="AF1009" s="74"/>
      <c r="AG1009" s="7"/>
      <c r="AH1009" s="73" t="s">
        <v>21254</v>
      </c>
      <c r="AI1009" s="7"/>
      <c r="AJ1009" s="7"/>
      <c r="AK1009" s="7"/>
      <c r="AL1009" s="7"/>
      <c r="AM1009" s="6"/>
      <c r="AN1009" s="7"/>
      <c r="AO1009" s="7"/>
      <c r="AP1009" s="65">
        <v>30811.0</v>
      </c>
      <c r="AQ1009" s="6"/>
      <c r="AR1009" s="6"/>
      <c r="AS1009" s="6"/>
    </row>
    <row r="1010" ht="15.75" customHeight="1">
      <c r="A1010" s="6" t="s">
        <v>21255</v>
      </c>
      <c r="B1010" s="6" t="s">
        <v>2448</v>
      </c>
      <c r="C1010" s="7"/>
      <c r="D1010" s="7"/>
      <c r="E1010" s="7"/>
      <c r="F1010" s="7"/>
      <c r="G1010" s="7"/>
      <c r="H1010" s="7"/>
      <c r="I1010" s="7"/>
      <c r="J1010" s="7"/>
      <c r="K1010" s="7"/>
      <c r="L1010" s="7"/>
      <c r="M1010" s="6" t="s">
        <v>71</v>
      </c>
      <c r="N1010" s="7"/>
      <c r="O1010" s="6" t="s">
        <v>2458</v>
      </c>
      <c r="P1010" s="42"/>
      <c r="Q1010" s="43"/>
      <c r="R1010" s="50"/>
      <c r="S1010" s="51"/>
      <c r="T1010" s="7"/>
      <c r="U1010" s="7"/>
      <c r="V1010" s="7"/>
      <c r="W1010" s="7"/>
      <c r="X1010" s="7"/>
      <c r="Y1010" s="7"/>
      <c r="Z1010" s="7"/>
      <c r="AA1010" s="7"/>
      <c r="AB1010" s="7"/>
      <c r="AC1010" s="7"/>
      <c r="AD1010" s="7"/>
      <c r="AE1010" s="6" t="s">
        <v>12355</v>
      </c>
      <c r="AF1010" s="74"/>
      <c r="AG1010" s="7"/>
      <c r="AH1010" s="73" t="s">
        <v>21256</v>
      </c>
      <c r="AI1010" s="7"/>
      <c r="AJ1010" s="7"/>
      <c r="AK1010" s="7"/>
      <c r="AL1010" s="7"/>
      <c r="AM1010" s="6"/>
      <c r="AN1010" s="7"/>
      <c r="AO1010" s="7"/>
      <c r="AP1010" s="65">
        <v>30811.0</v>
      </c>
      <c r="AQ1010" s="6"/>
      <c r="AR1010" s="6"/>
      <c r="AS1010" s="6"/>
    </row>
    <row r="1011" ht="15.75" customHeight="1">
      <c r="A1011" s="6" t="s">
        <v>10995</v>
      </c>
      <c r="B1011" s="6" t="s">
        <v>2448</v>
      </c>
      <c r="C1011" s="7"/>
      <c r="D1011" s="7"/>
      <c r="E1011" s="7"/>
      <c r="F1011" s="7"/>
      <c r="G1011" s="7"/>
      <c r="H1011" s="7"/>
      <c r="I1011" s="7"/>
      <c r="J1011" s="7"/>
      <c r="K1011" s="7"/>
      <c r="L1011" s="7"/>
      <c r="M1011" s="6" t="s">
        <v>71</v>
      </c>
      <c r="N1011" s="7"/>
      <c r="O1011" s="6" t="s">
        <v>2458</v>
      </c>
      <c r="P1011" s="42"/>
      <c r="Q1011" s="43"/>
      <c r="R1011" s="50"/>
      <c r="S1011" s="51"/>
      <c r="T1011" s="7"/>
      <c r="U1011" s="7"/>
      <c r="V1011" s="7"/>
      <c r="W1011" s="7"/>
      <c r="X1011" s="7"/>
      <c r="Y1011" s="7"/>
      <c r="Z1011" s="7"/>
      <c r="AA1011" s="7"/>
      <c r="AB1011" s="7"/>
      <c r="AC1011" s="7"/>
      <c r="AD1011" s="7"/>
      <c r="AE1011" s="6" t="s">
        <v>12355</v>
      </c>
      <c r="AF1011" s="74"/>
      <c r="AG1011" s="7"/>
      <c r="AH1011" s="73" t="s">
        <v>21257</v>
      </c>
      <c r="AI1011" s="7"/>
      <c r="AJ1011" s="7"/>
      <c r="AK1011" s="7"/>
      <c r="AL1011" s="7"/>
      <c r="AM1011" s="6"/>
      <c r="AN1011" s="7"/>
      <c r="AO1011" s="7"/>
      <c r="AP1011" s="65">
        <v>30811.0</v>
      </c>
      <c r="AQ1011" s="6"/>
      <c r="AR1011" s="6"/>
      <c r="AS1011" s="6"/>
    </row>
    <row r="1012" ht="15.75" customHeight="1">
      <c r="A1012" s="6" t="s">
        <v>10997</v>
      </c>
      <c r="B1012" s="6" t="s">
        <v>21258</v>
      </c>
      <c r="C1012" s="7"/>
      <c r="D1012" s="7"/>
      <c r="E1012" s="7"/>
      <c r="F1012" s="7"/>
      <c r="G1012" s="7"/>
      <c r="H1012" s="7"/>
      <c r="I1012" s="7"/>
      <c r="J1012" s="7"/>
      <c r="K1012" s="7"/>
      <c r="L1012" s="7"/>
      <c r="M1012" s="6" t="s">
        <v>40</v>
      </c>
      <c r="N1012" s="7"/>
      <c r="O1012" s="6" t="s">
        <v>6574</v>
      </c>
      <c r="P1012" s="42"/>
      <c r="Q1012" s="43"/>
      <c r="R1012" s="50"/>
      <c r="S1012" s="51"/>
      <c r="T1012" s="7"/>
      <c r="U1012" s="7"/>
      <c r="V1012" s="7"/>
      <c r="W1012" s="7"/>
      <c r="X1012" s="7"/>
      <c r="Y1012" s="7"/>
      <c r="Z1012" s="7"/>
      <c r="AA1012" s="7"/>
      <c r="AB1012" s="7"/>
      <c r="AC1012" s="7"/>
      <c r="AD1012" s="7"/>
      <c r="AE1012" s="6" t="s">
        <v>12355</v>
      </c>
      <c r="AF1012" s="74"/>
      <c r="AG1012" s="7"/>
      <c r="AH1012" s="73" t="s">
        <v>21259</v>
      </c>
      <c r="AI1012" s="7"/>
      <c r="AJ1012" s="7"/>
      <c r="AK1012" s="7"/>
      <c r="AL1012" s="7"/>
      <c r="AM1012" s="6"/>
      <c r="AN1012" s="7"/>
      <c r="AO1012" s="7"/>
      <c r="AP1012" s="65">
        <v>30811.0</v>
      </c>
      <c r="AQ1012" s="6"/>
      <c r="AR1012" s="6"/>
      <c r="AS1012" s="6"/>
    </row>
    <row r="1013" ht="15.75" customHeight="1">
      <c r="A1013" s="6" t="s">
        <v>10999</v>
      </c>
      <c r="B1013" s="6" t="s">
        <v>21260</v>
      </c>
      <c r="C1013" s="7"/>
      <c r="D1013" s="7"/>
      <c r="E1013" s="7"/>
      <c r="F1013" s="7"/>
      <c r="G1013" s="7"/>
      <c r="H1013" s="7"/>
      <c r="I1013" s="7"/>
      <c r="J1013" s="7"/>
      <c r="K1013" s="7"/>
      <c r="L1013" s="7"/>
      <c r="M1013" s="6" t="s">
        <v>123</v>
      </c>
      <c r="N1013" s="7"/>
      <c r="O1013" s="6" t="s">
        <v>4544</v>
      </c>
      <c r="P1013" s="42"/>
      <c r="Q1013" s="43"/>
      <c r="R1013" s="50"/>
      <c r="S1013" s="51"/>
      <c r="T1013" s="7"/>
      <c r="U1013" s="7"/>
      <c r="V1013" s="7"/>
      <c r="W1013" s="7"/>
      <c r="X1013" s="7"/>
      <c r="Y1013" s="7"/>
      <c r="Z1013" s="7"/>
      <c r="AA1013" s="7"/>
      <c r="AB1013" s="7"/>
      <c r="AC1013" s="7"/>
      <c r="AD1013" s="7"/>
      <c r="AE1013" s="6" t="s">
        <v>12355</v>
      </c>
      <c r="AF1013" s="74"/>
      <c r="AG1013" s="7"/>
      <c r="AH1013" s="73" t="s">
        <v>21261</v>
      </c>
      <c r="AI1013" s="7"/>
      <c r="AJ1013" s="7"/>
      <c r="AK1013" s="7"/>
      <c r="AL1013" s="7"/>
      <c r="AM1013" s="6"/>
      <c r="AN1013" s="7"/>
      <c r="AO1013" s="7"/>
      <c r="AP1013" s="65">
        <v>30811.0</v>
      </c>
      <c r="AQ1013" s="6"/>
      <c r="AR1013" s="6"/>
      <c r="AS1013" s="6"/>
    </row>
    <row r="1014" ht="15.75" customHeight="1">
      <c r="A1014" s="6" t="s">
        <v>21262</v>
      </c>
      <c r="B1014" s="6" t="s">
        <v>5765</v>
      </c>
      <c r="C1014" s="7"/>
      <c r="D1014" s="7"/>
      <c r="E1014" s="7"/>
      <c r="F1014" s="7"/>
      <c r="G1014" s="7"/>
      <c r="H1014" s="7"/>
      <c r="I1014" s="7"/>
      <c r="J1014" s="7"/>
      <c r="K1014" s="7"/>
      <c r="L1014" s="7"/>
      <c r="M1014" s="6" t="s">
        <v>123</v>
      </c>
      <c r="N1014" s="7"/>
      <c r="O1014" s="6" t="s">
        <v>5774</v>
      </c>
      <c r="P1014" s="42"/>
      <c r="Q1014" s="43"/>
      <c r="R1014" s="50"/>
      <c r="S1014" s="51"/>
      <c r="T1014" s="7"/>
      <c r="U1014" s="7"/>
      <c r="V1014" s="7"/>
      <c r="W1014" s="7"/>
      <c r="X1014" s="7"/>
      <c r="Y1014" s="7"/>
      <c r="Z1014" s="7"/>
      <c r="AA1014" s="7"/>
      <c r="AB1014" s="7"/>
      <c r="AC1014" s="7"/>
      <c r="AD1014" s="7"/>
      <c r="AE1014" s="6" t="s">
        <v>12355</v>
      </c>
      <c r="AF1014" s="74"/>
      <c r="AG1014" s="7"/>
      <c r="AH1014" s="73" t="s">
        <v>21263</v>
      </c>
      <c r="AI1014" s="7"/>
      <c r="AJ1014" s="7"/>
      <c r="AK1014" s="7"/>
      <c r="AL1014" s="7"/>
      <c r="AM1014" s="6"/>
      <c r="AN1014" s="7"/>
      <c r="AO1014" s="7"/>
      <c r="AP1014" s="65">
        <v>30811.0</v>
      </c>
      <c r="AQ1014" s="6"/>
      <c r="AR1014" s="6"/>
      <c r="AS1014" s="6"/>
    </row>
    <row r="1015" ht="15.75" customHeight="1">
      <c r="A1015" s="6" t="s">
        <v>11001</v>
      </c>
      <c r="B1015" s="6" t="s">
        <v>5765</v>
      </c>
      <c r="C1015" s="7"/>
      <c r="D1015" s="7"/>
      <c r="E1015" s="7"/>
      <c r="F1015" s="7"/>
      <c r="G1015" s="7"/>
      <c r="H1015" s="7"/>
      <c r="I1015" s="7"/>
      <c r="J1015" s="7"/>
      <c r="K1015" s="7"/>
      <c r="L1015" s="7"/>
      <c r="M1015" s="6" t="s">
        <v>123</v>
      </c>
      <c r="N1015" s="7"/>
      <c r="O1015" s="6" t="s">
        <v>5774</v>
      </c>
      <c r="P1015" s="42"/>
      <c r="Q1015" s="43"/>
      <c r="R1015" s="50"/>
      <c r="S1015" s="51"/>
      <c r="T1015" s="7"/>
      <c r="U1015" s="7"/>
      <c r="V1015" s="7"/>
      <c r="W1015" s="7"/>
      <c r="X1015" s="7"/>
      <c r="Y1015" s="7"/>
      <c r="Z1015" s="7"/>
      <c r="AA1015" s="7"/>
      <c r="AB1015" s="7"/>
      <c r="AC1015" s="7"/>
      <c r="AD1015" s="7"/>
      <c r="AE1015" s="6" t="s">
        <v>12355</v>
      </c>
      <c r="AF1015" s="74"/>
      <c r="AG1015" s="7"/>
      <c r="AH1015" s="73" t="s">
        <v>21264</v>
      </c>
      <c r="AI1015" s="7"/>
      <c r="AJ1015" s="7"/>
      <c r="AK1015" s="7"/>
      <c r="AL1015" s="7"/>
      <c r="AM1015" s="6"/>
      <c r="AN1015" s="7"/>
      <c r="AO1015" s="7"/>
      <c r="AP1015" s="65">
        <v>30811.0</v>
      </c>
      <c r="AQ1015" s="6"/>
      <c r="AR1015" s="6"/>
      <c r="AS1015" s="6"/>
    </row>
    <row r="1016" ht="15.75" customHeight="1">
      <c r="A1016" s="6" t="s">
        <v>11003</v>
      </c>
      <c r="B1016" s="6" t="s">
        <v>2647</v>
      </c>
      <c r="C1016" s="7"/>
      <c r="D1016" s="7"/>
      <c r="E1016" s="7"/>
      <c r="F1016" s="7"/>
      <c r="G1016" s="7"/>
      <c r="H1016" s="7"/>
      <c r="I1016" s="7"/>
      <c r="J1016" s="7"/>
      <c r="K1016" s="7"/>
      <c r="L1016" s="7"/>
      <c r="M1016" s="6" t="s">
        <v>123</v>
      </c>
      <c r="N1016" s="7"/>
      <c r="O1016" s="6" t="s">
        <v>2654</v>
      </c>
      <c r="P1016" s="42"/>
      <c r="Q1016" s="43"/>
      <c r="R1016" s="50"/>
      <c r="S1016" s="51"/>
      <c r="T1016" s="7"/>
      <c r="U1016" s="7"/>
      <c r="V1016" s="7"/>
      <c r="W1016" s="7"/>
      <c r="X1016" s="7"/>
      <c r="Y1016" s="7"/>
      <c r="Z1016" s="7"/>
      <c r="AA1016" s="7"/>
      <c r="AB1016" s="7"/>
      <c r="AC1016" s="7"/>
      <c r="AD1016" s="7"/>
      <c r="AE1016" s="6" t="s">
        <v>12355</v>
      </c>
      <c r="AF1016" s="74"/>
      <c r="AG1016" s="7"/>
      <c r="AH1016" s="73" t="s">
        <v>21265</v>
      </c>
      <c r="AI1016" s="7"/>
      <c r="AJ1016" s="7"/>
      <c r="AK1016" s="7"/>
      <c r="AL1016" s="7"/>
      <c r="AM1016" s="6"/>
      <c r="AN1016" s="7"/>
      <c r="AO1016" s="7"/>
      <c r="AP1016" s="65">
        <v>30811.0</v>
      </c>
      <c r="AQ1016" s="6"/>
      <c r="AR1016" s="6"/>
      <c r="AS1016" s="6"/>
    </row>
    <row r="1017" ht="15.75" customHeight="1">
      <c r="A1017" s="6" t="s">
        <v>21266</v>
      </c>
      <c r="B1017" s="6" t="s">
        <v>21267</v>
      </c>
      <c r="C1017" s="7"/>
      <c r="D1017" s="7"/>
      <c r="E1017" s="7"/>
      <c r="F1017" s="7"/>
      <c r="G1017" s="7"/>
      <c r="H1017" s="7"/>
      <c r="I1017" s="7"/>
      <c r="J1017" s="7"/>
      <c r="K1017" s="7"/>
      <c r="L1017" s="7"/>
      <c r="M1017" s="6" t="s">
        <v>71</v>
      </c>
      <c r="N1017" s="7"/>
      <c r="O1017" s="6" t="s">
        <v>7736</v>
      </c>
      <c r="P1017" s="42"/>
      <c r="Q1017" s="43"/>
      <c r="R1017" s="50"/>
      <c r="S1017" s="51"/>
      <c r="T1017" s="7"/>
      <c r="U1017" s="7"/>
      <c r="V1017" s="7"/>
      <c r="W1017" s="7"/>
      <c r="X1017" s="7"/>
      <c r="Y1017" s="7"/>
      <c r="Z1017" s="7"/>
      <c r="AA1017" s="7"/>
      <c r="AB1017" s="7"/>
      <c r="AC1017" s="7"/>
      <c r="AD1017" s="7"/>
      <c r="AE1017" s="6" t="s">
        <v>12355</v>
      </c>
      <c r="AF1017" s="74"/>
      <c r="AG1017" s="7"/>
      <c r="AH1017" s="73" t="s">
        <v>21268</v>
      </c>
      <c r="AI1017" s="7"/>
      <c r="AJ1017" s="7"/>
      <c r="AK1017" s="7"/>
      <c r="AL1017" s="7"/>
      <c r="AM1017" s="6"/>
      <c r="AN1017" s="7"/>
      <c r="AO1017" s="7"/>
      <c r="AP1017" s="65">
        <v>30811.0</v>
      </c>
      <c r="AQ1017" s="6"/>
      <c r="AR1017" s="6"/>
      <c r="AS1017" s="6"/>
    </row>
    <row r="1018" ht="15.75" customHeight="1">
      <c r="A1018" s="6" t="s">
        <v>11005</v>
      </c>
      <c r="B1018" s="6" t="s">
        <v>21267</v>
      </c>
      <c r="C1018" s="7"/>
      <c r="D1018" s="7"/>
      <c r="E1018" s="7"/>
      <c r="F1018" s="7"/>
      <c r="G1018" s="7"/>
      <c r="H1018" s="7"/>
      <c r="I1018" s="7"/>
      <c r="J1018" s="7"/>
      <c r="K1018" s="7"/>
      <c r="L1018" s="7"/>
      <c r="M1018" s="6" t="s">
        <v>71</v>
      </c>
      <c r="N1018" s="7"/>
      <c r="O1018" s="6" t="s">
        <v>7736</v>
      </c>
      <c r="P1018" s="42"/>
      <c r="Q1018" s="43"/>
      <c r="R1018" s="50"/>
      <c r="S1018" s="51"/>
      <c r="T1018" s="7"/>
      <c r="U1018" s="7"/>
      <c r="V1018" s="7"/>
      <c r="W1018" s="7"/>
      <c r="X1018" s="7"/>
      <c r="Y1018" s="7"/>
      <c r="Z1018" s="7"/>
      <c r="AA1018" s="7"/>
      <c r="AB1018" s="7"/>
      <c r="AC1018" s="7"/>
      <c r="AD1018" s="7"/>
      <c r="AE1018" s="6" t="s">
        <v>12355</v>
      </c>
      <c r="AF1018" s="74"/>
      <c r="AG1018" s="7"/>
      <c r="AH1018" s="73" t="s">
        <v>21269</v>
      </c>
      <c r="AI1018" s="7"/>
      <c r="AJ1018" s="7"/>
      <c r="AK1018" s="7"/>
      <c r="AL1018" s="7"/>
      <c r="AM1018" s="6"/>
      <c r="AN1018" s="7"/>
      <c r="AO1018" s="7"/>
      <c r="AP1018" s="65">
        <v>30811.0</v>
      </c>
      <c r="AQ1018" s="6"/>
      <c r="AR1018" s="6"/>
      <c r="AS1018" s="6"/>
    </row>
    <row r="1019" ht="15.75" customHeight="1">
      <c r="A1019" s="6" t="s">
        <v>11007</v>
      </c>
      <c r="B1019" s="6" t="s">
        <v>4323</v>
      </c>
      <c r="C1019" s="7"/>
      <c r="D1019" s="7"/>
      <c r="E1019" s="7"/>
      <c r="F1019" s="7"/>
      <c r="G1019" s="7"/>
      <c r="H1019" s="7"/>
      <c r="I1019" s="7"/>
      <c r="J1019" s="7"/>
      <c r="K1019" s="7"/>
      <c r="L1019" s="7"/>
      <c r="M1019" s="6" t="s">
        <v>123</v>
      </c>
      <c r="N1019" s="7"/>
      <c r="O1019" s="6" t="s">
        <v>4335</v>
      </c>
      <c r="P1019" s="42"/>
      <c r="Q1019" s="43"/>
      <c r="R1019" s="50"/>
      <c r="S1019" s="51"/>
      <c r="T1019" s="7"/>
      <c r="U1019" s="7"/>
      <c r="V1019" s="7"/>
      <c r="W1019" s="7"/>
      <c r="X1019" s="7"/>
      <c r="Y1019" s="7"/>
      <c r="Z1019" s="7"/>
      <c r="AA1019" s="7"/>
      <c r="AB1019" s="7"/>
      <c r="AC1019" s="7"/>
      <c r="AD1019" s="7"/>
      <c r="AE1019" s="6" t="s">
        <v>12355</v>
      </c>
      <c r="AF1019" s="74"/>
      <c r="AG1019" s="7"/>
      <c r="AH1019" s="73" t="s">
        <v>21270</v>
      </c>
      <c r="AI1019" s="7"/>
      <c r="AJ1019" s="7"/>
      <c r="AK1019" s="7"/>
      <c r="AL1019" s="7"/>
      <c r="AM1019" s="6"/>
      <c r="AN1019" s="7"/>
      <c r="AO1019" s="7"/>
      <c r="AP1019" s="65">
        <v>30811.0</v>
      </c>
      <c r="AQ1019" s="6"/>
      <c r="AR1019" s="6"/>
      <c r="AS1019" s="6"/>
    </row>
    <row r="1020" ht="15.75" customHeight="1">
      <c r="A1020" s="6" t="s">
        <v>11009</v>
      </c>
      <c r="B1020" s="6" t="s">
        <v>21271</v>
      </c>
      <c r="C1020" s="7"/>
      <c r="D1020" s="7"/>
      <c r="E1020" s="7"/>
      <c r="F1020" s="7"/>
      <c r="G1020" s="7"/>
      <c r="H1020" s="7"/>
      <c r="I1020" s="7"/>
      <c r="J1020" s="7"/>
      <c r="K1020" s="7"/>
      <c r="L1020" s="7"/>
      <c r="M1020" s="6" t="s">
        <v>71</v>
      </c>
      <c r="N1020" s="7"/>
      <c r="O1020" s="6" t="s">
        <v>4933</v>
      </c>
      <c r="P1020" s="42"/>
      <c r="Q1020" s="43"/>
      <c r="R1020" s="50"/>
      <c r="S1020" s="51"/>
      <c r="T1020" s="7"/>
      <c r="U1020" s="7"/>
      <c r="V1020" s="7"/>
      <c r="W1020" s="7"/>
      <c r="X1020" s="7"/>
      <c r="Y1020" s="7"/>
      <c r="Z1020" s="7"/>
      <c r="AA1020" s="7"/>
      <c r="AB1020" s="7"/>
      <c r="AC1020" s="7"/>
      <c r="AD1020" s="7"/>
      <c r="AE1020" s="6" t="s">
        <v>12355</v>
      </c>
      <c r="AF1020" s="74"/>
      <c r="AG1020" s="7"/>
      <c r="AH1020" s="73" t="s">
        <v>21272</v>
      </c>
      <c r="AI1020" s="7"/>
      <c r="AJ1020" s="7"/>
      <c r="AK1020" s="7"/>
      <c r="AL1020" s="7"/>
      <c r="AM1020" s="6"/>
      <c r="AN1020" s="7"/>
      <c r="AO1020" s="7"/>
      <c r="AP1020" s="65">
        <v>30811.0</v>
      </c>
      <c r="AQ1020" s="6"/>
      <c r="AR1020" s="6"/>
      <c r="AS1020" s="6"/>
    </row>
    <row r="1021" ht="15.75" customHeight="1">
      <c r="A1021" s="6" t="s">
        <v>11011</v>
      </c>
      <c r="B1021" s="6" t="s">
        <v>5505</v>
      </c>
      <c r="C1021" s="7"/>
      <c r="D1021" s="7"/>
      <c r="E1021" s="7"/>
      <c r="F1021" s="7"/>
      <c r="G1021" s="7"/>
      <c r="H1021" s="7"/>
      <c r="I1021" s="7"/>
      <c r="J1021" s="7"/>
      <c r="K1021" s="7"/>
      <c r="L1021" s="7"/>
      <c r="M1021" s="6" t="s">
        <v>40</v>
      </c>
      <c r="N1021" s="7"/>
      <c r="O1021" s="6" t="s">
        <v>5517</v>
      </c>
      <c r="P1021" s="42"/>
      <c r="Q1021" s="43"/>
      <c r="R1021" s="50"/>
      <c r="S1021" s="51"/>
      <c r="T1021" s="7"/>
      <c r="U1021" s="7"/>
      <c r="V1021" s="7"/>
      <c r="W1021" s="7"/>
      <c r="X1021" s="7"/>
      <c r="Y1021" s="7"/>
      <c r="Z1021" s="7"/>
      <c r="AA1021" s="7"/>
      <c r="AB1021" s="7"/>
      <c r="AC1021" s="7"/>
      <c r="AD1021" s="7"/>
      <c r="AE1021" s="6" t="s">
        <v>12355</v>
      </c>
      <c r="AF1021" s="74"/>
      <c r="AG1021" s="7"/>
      <c r="AH1021" s="73" t="s">
        <v>21273</v>
      </c>
      <c r="AI1021" s="7"/>
      <c r="AJ1021" s="7"/>
      <c r="AK1021" s="7"/>
      <c r="AL1021" s="7"/>
      <c r="AM1021" s="6"/>
      <c r="AN1021" s="7"/>
      <c r="AO1021" s="7"/>
      <c r="AP1021" s="65">
        <v>30811.0</v>
      </c>
      <c r="AQ1021" s="6"/>
      <c r="AR1021" s="6"/>
      <c r="AS1021" s="6"/>
    </row>
    <row r="1022" ht="15.75" customHeight="1">
      <c r="A1022" s="6" t="s">
        <v>11013</v>
      </c>
      <c r="B1022" s="6" t="s">
        <v>21274</v>
      </c>
      <c r="C1022" s="7"/>
      <c r="D1022" s="7"/>
      <c r="E1022" s="7"/>
      <c r="F1022" s="7"/>
      <c r="G1022" s="7"/>
      <c r="H1022" s="7"/>
      <c r="I1022" s="7"/>
      <c r="J1022" s="7"/>
      <c r="K1022" s="7"/>
      <c r="L1022" s="7"/>
      <c r="M1022" s="6" t="s">
        <v>71</v>
      </c>
      <c r="N1022" s="7"/>
      <c r="O1022" s="6" t="s">
        <v>2900</v>
      </c>
      <c r="P1022" s="42"/>
      <c r="Q1022" s="43"/>
      <c r="R1022" s="50"/>
      <c r="S1022" s="51"/>
      <c r="T1022" s="7"/>
      <c r="U1022" s="7"/>
      <c r="V1022" s="7"/>
      <c r="W1022" s="7"/>
      <c r="X1022" s="7"/>
      <c r="Y1022" s="7"/>
      <c r="Z1022" s="7"/>
      <c r="AA1022" s="7"/>
      <c r="AB1022" s="7"/>
      <c r="AC1022" s="7"/>
      <c r="AD1022" s="7"/>
      <c r="AE1022" s="6" t="s">
        <v>12355</v>
      </c>
      <c r="AF1022" s="74"/>
      <c r="AG1022" s="7"/>
      <c r="AH1022" s="73" t="s">
        <v>21275</v>
      </c>
      <c r="AI1022" s="7"/>
      <c r="AJ1022" s="7"/>
      <c r="AK1022" s="7"/>
      <c r="AL1022" s="7"/>
      <c r="AM1022" s="6"/>
      <c r="AN1022" s="7"/>
      <c r="AO1022" s="7"/>
      <c r="AP1022" s="65">
        <v>30811.0</v>
      </c>
      <c r="AQ1022" s="6"/>
      <c r="AR1022" s="6"/>
      <c r="AS1022" s="6"/>
    </row>
    <row r="1023" ht="15.75" customHeight="1">
      <c r="A1023" s="6" t="s">
        <v>11015</v>
      </c>
      <c r="B1023" s="6" t="s">
        <v>6832</v>
      </c>
      <c r="C1023" s="7"/>
      <c r="D1023" s="7"/>
      <c r="E1023" s="7"/>
      <c r="F1023" s="7"/>
      <c r="G1023" s="7"/>
      <c r="H1023" s="7"/>
      <c r="I1023" s="7"/>
      <c r="J1023" s="7"/>
      <c r="K1023" s="7"/>
      <c r="L1023" s="7"/>
      <c r="M1023" s="6" t="s">
        <v>123</v>
      </c>
      <c r="N1023" s="7"/>
      <c r="O1023" s="6" t="s">
        <v>6842</v>
      </c>
      <c r="P1023" s="42"/>
      <c r="Q1023" s="43"/>
      <c r="R1023" s="50"/>
      <c r="S1023" s="51"/>
      <c r="T1023" s="7"/>
      <c r="U1023" s="7"/>
      <c r="V1023" s="7"/>
      <c r="W1023" s="7"/>
      <c r="X1023" s="7"/>
      <c r="Y1023" s="7"/>
      <c r="Z1023" s="7"/>
      <c r="AA1023" s="7"/>
      <c r="AB1023" s="7"/>
      <c r="AC1023" s="7"/>
      <c r="AD1023" s="7"/>
      <c r="AE1023" s="6" t="s">
        <v>12355</v>
      </c>
      <c r="AF1023" s="74"/>
      <c r="AG1023" s="7"/>
      <c r="AH1023" s="73" t="s">
        <v>21276</v>
      </c>
      <c r="AI1023" s="7"/>
      <c r="AJ1023" s="7"/>
      <c r="AK1023" s="7"/>
      <c r="AL1023" s="7"/>
      <c r="AM1023" s="6"/>
      <c r="AN1023" s="7"/>
      <c r="AO1023" s="7"/>
      <c r="AP1023" s="65">
        <v>30811.0</v>
      </c>
      <c r="AQ1023" s="6"/>
      <c r="AR1023" s="6"/>
      <c r="AS1023" s="6"/>
    </row>
    <row r="1024" ht="15.75" customHeight="1">
      <c r="A1024" s="6" t="s">
        <v>12033</v>
      </c>
      <c r="B1024" s="6" t="s">
        <v>21277</v>
      </c>
      <c r="C1024" s="6" t="s">
        <v>58</v>
      </c>
      <c r="D1024" s="6" t="s">
        <v>59</v>
      </c>
      <c r="E1024" s="6" t="s">
        <v>346</v>
      </c>
      <c r="F1024" s="6">
        <v>10.0</v>
      </c>
      <c r="G1024" s="7"/>
      <c r="H1024" s="7"/>
      <c r="I1024" s="7"/>
      <c r="J1024" s="41" t="s">
        <v>13933</v>
      </c>
      <c r="K1024" s="6" t="s">
        <v>21278</v>
      </c>
      <c r="L1024" s="6">
        <v>97430.0</v>
      </c>
      <c r="M1024" s="6" t="s">
        <v>71</v>
      </c>
      <c r="N1024" s="6" t="s">
        <v>3501</v>
      </c>
      <c r="O1024" s="6" t="s">
        <v>21279</v>
      </c>
      <c r="P1024" s="53" t="s">
        <v>21280</v>
      </c>
      <c r="Q1024" s="49" t="s">
        <v>21281</v>
      </c>
      <c r="R1024" s="50"/>
      <c r="S1024" s="51"/>
      <c r="T1024" s="6" t="s">
        <v>21282</v>
      </c>
      <c r="U1024" s="6" t="s">
        <v>21283</v>
      </c>
      <c r="V1024" s="7"/>
      <c r="W1024" s="6" t="s">
        <v>21284</v>
      </c>
      <c r="X1024" s="6" t="s">
        <v>21285</v>
      </c>
      <c r="Y1024" s="7"/>
      <c r="Z1024" s="7"/>
      <c r="AA1024" s="7"/>
      <c r="AB1024" s="7"/>
      <c r="AC1024" s="7"/>
      <c r="AD1024" s="7"/>
      <c r="AE1024" s="6" t="s">
        <v>12355</v>
      </c>
      <c r="AF1024" s="45">
        <v>45699.64261574074</v>
      </c>
      <c r="AG1024" s="6" t="s">
        <v>21286</v>
      </c>
      <c r="AH1024" s="46" t="s">
        <v>21287</v>
      </c>
      <c r="AI1024" s="7"/>
      <c r="AJ1024" s="6" t="s">
        <v>21288</v>
      </c>
      <c r="AK1024" s="7"/>
      <c r="AL1024" s="7"/>
      <c r="AM1024" s="6" t="s">
        <v>21289</v>
      </c>
      <c r="AN1024" s="6" t="s">
        <v>12033</v>
      </c>
      <c r="AO1024" s="7"/>
      <c r="AP1024" s="65">
        <v>30811.0</v>
      </c>
      <c r="AQ1024" s="6" t="b">
        <v>0</v>
      </c>
      <c r="AR1024" s="6"/>
      <c r="AS1024" s="6"/>
    </row>
    <row r="1025" ht="15.75" customHeight="1">
      <c r="A1025" s="6" t="s">
        <v>21290</v>
      </c>
      <c r="B1025" s="6" t="s">
        <v>7206</v>
      </c>
      <c r="C1025" s="7"/>
      <c r="D1025" s="7"/>
      <c r="E1025" s="7"/>
      <c r="F1025" s="7"/>
      <c r="G1025" s="7"/>
      <c r="H1025" s="7"/>
      <c r="I1025" s="7"/>
      <c r="J1025" s="7"/>
      <c r="K1025" s="7"/>
      <c r="L1025" s="7"/>
      <c r="M1025" s="6" t="s">
        <v>40</v>
      </c>
      <c r="N1025" s="7"/>
      <c r="O1025" s="6" t="s">
        <v>7214</v>
      </c>
      <c r="P1025" s="42"/>
      <c r="Q1025" s="43"/>
      <c r="R1025" s="50"/>
      <c r="S1025" s="51"/>
      <c r="T1025" s="7"/>
      <c r="U1025" s="7"/>
      <c r="V1025" s="7"/>
      <c r="W1025" s="7"/>
      <c r="X1025" s="7"/>
      <c r="Y1025" s="7"/>
      <c r="Z1025" s="7"/>
      <c r="AA1025" s="7"/>
      <c r="AB1025" s="7"/>
      <c r="AC1025" s="7"/>
      <c r="AD1025" s="7"/>
      <c r="AE1025" s="6" t="s">
        <v>12355</v>
      </c>
      <c r="AF1025" s="74"/>
      <c r="AG1025" s="7"/>
      <c r="AH1025" s="73" t="s">
        <v>21291</v>
      </c>
      <c r="AI1025" s="7"/>
      <c r="AJ1025" s="7"/>
      <c r="AK1025" s="7"/>
      <c r="AL1025" s="7"/>
      <c r="AM1025" s="6"/>
      <c r="AN1025" s="7"/>
      <c r="AO1025" s="7"/>
      <c r="AP1025" s="65">
        <v>30811.0</v>
      </c>
      <c r="AQ1025" s="6"/>
      <c r="AR1025" s="6"/>
      <c r="AS1025" s="6"/>
    </row>
    <row r="1026" ht="15.75" customHeight="1">
      <c r="A1026" s="6" t="s">
        <v>11017</v>
      </c>
      <c r="B1026" s="6" t="s">
        <v>7206</v>
      </c>
      <c r="C1026" s="7"/>
      <c r="D1026" s="7"/>
      <c r="E1026" s="7"/>
      <c r="F1026" s="7"/>
      <c r="G1026" s="7"/>
      <c r="H1026" s="7"/>
      <c r="I1026" s="7"/>
      <c r="J1026" s="7"/>
      <c r="K1026" s="7"/>
      <c r="L1026" s="7"/>
      <c r="M1026" s="6" t="s">
        <v>40</v>
      </c>
      <c r="N1026" s="7"/>
      <c r="O1026" s="6" t="s">
        <v>7214</v>
      </c>
      <c r="P1026" s="42"/>
      <c r="Q1026" s="43"/>
      <c r="R1026" s="50"/>
      <c r="S1026" s="51"/>
      <c r="T1026" s="7"/>
      <c r="U1026" s="7"/>
      <c r="V1026" s="7"/>
      <c r="W1026" s="7"/>
      <c r="X1026" s="7"/>
      <c r="Y1026" s="7"/>
      <c r="Z1026" s="7"/>
      <c r="AA1026" s="7"/>
      <c r="AB1026" s="7"/>
      <c r="AC1026" s="7"/>
      <c r="AD1026" s="7"/>
      <c r="AE1026" s="6" t="s">
        <v>12355</v>
      </c>
      <c r="AF1026" s="74"/>
      <c r="AG1026" s="7"/>
      <c r="AH1026" s="73" t="s">
        <v>21292</v>
      </c>
      <c r="AI1026" s="7"/>
      <c r="AJ1026" s="7"/>
      <c r="AK1026" s="7"/>
      <c r="AL1026" s="7"/>
      <c r="AM1026" s="6"/>
      <c r="AN1026" s="7"/>
      <c r="AO1026" s="7"/>
      <c r="AP1026" s="65">
        <v>30811.0</v>
      </c>
      <c r="AQ1026" s="6"/>
      <c r="AR1026" s="6"/>
      <c r="AS1026" s="6"/>
    </row>
    <row r="1027" ht="15.75" customHeight="1">
      <c r="A1027" s="6" t="s">
        <v>11019</v>
      </c>
      <c r="B1027" s="6" t="s">
        <v>21293</v>
      </c>
      <c r="C1027" s="7"/>
      <c r="D1027" s="7"/>
      <c r="E1027" s="7"/>
      <c r="F1027" s="7"/>
      <c r="G1027" s="7"/>
      <c r="H1027" s="7"/>
      <c r="I1027" s="7"/>
      <c r="J1027" s="7"/>
      <c r="K1027" s="7"/>
      <c r="L1027" s="7"/>
      <c r="M1027" s="6" t="s">
        <v>123</v>
      </c>
      <c r="N1027" s="7"/>
      <c r="O1027" s="6"/>
      <c r="P1027" s="42"/>
      <c r="Q1027" s="43"/>
      <c r="R1027" s="50"/>
      <c r="S1027" s="51"/>
      <c r="T1027" s="7"/>
      <c r="U1027" s="7"/>
      <c r="V1027" s="7"/>
      <c r="W1027" s="7"/>
      <c r="X1027" s="7"/>
      <c r="Y1027" s="7"/>
      <c r="Z1027" s="7"/>
      <c r="AA1027" s="7"/>
      <c r="AB1027" s="7"/>
      <c r="AC1027" s="7"/>
      <c r="AD1027" s="7"/>
      <c r="AE1027" s="6" t="s">
        <v>12355</v>
      </c>
      <c r="AF1027" s="74"/>
      <c r="AG1027" s="7"/>
      <c r="AH1027" s="73" t="s">
        <v>21294</v>
      </c>
      <c r="AI1027" s="7"/>
      <c r="AJ1027" s="7"/>
      <c r="AK1027" s="7"/>
      <c r="AL1027" s="7"/>
      <c r="AM1027" s="6"/>
      <c r="AN1027" s="7"/>
      <c r="AO1027" s="7"/>
      <c r="AP1027" s="65">
        <v>30811.0</v>
      </c>
      <c r="AQ1027" s="6"/>
      <c r="AR1027" s="6"/>
      <c r="AS1027" s="6"/>
    </row>
    <row r="1028" ht="15.75" customHeight="1">
      <c r="A1028" s="6" t="s">
        <v>11021</v>
      </c>
      <c r="B1028" s="6" t="s">
        <v>5946</v>
      </c>
      <c r="C1028" s="7"/>
      <c r="D1028" s="7"/>
      <c r="E1028" s="7"/>
      <c r="F1028" s="7"/>
      <c r="G1028" s="7"/>
      <c r="H1028" s="7"/>
      <c r="I1028" s="7"/>
      <c r="J1028" s="7"/>
      <c r="K1028" s="7"/>
      <c r="L1028" s="7"/>
      <c r="M1028" s="6" t="s">
        <v>40</v>
      </c>
      <c r="N1028" s="7"/>
      <c r="O1028" s="6" t="s">
        <v>5953</v>
      </c>
      <c r="P1028" s="42"/>
      <c r="Q1028" s="43"/>
      <c r="R1028" s="50"/>
      <c r="S1028" s="51"/>
      <c r="T1028" s="7"/>
      <c r="U1028" s="7"/>
      <c r="V1028" s="7"/>
      <c r="W1028" s="7"/>
      <c r="X1028" s="7"/>
      <c r="Y1028" s="7"/>
      <c r="Z1028" s="7"/>
      <c r="AA1028" s="7"/>
      <c r="AB1028" s="7"/>
      <c r="AC1028" s="7"/>
      <c r="AD1028" s="7"/>
      <c r="AE1028" s="6" t="s">
        <v>12355</v>
      </c>
      <c r="AF1028" s="74"/>
      <c r="AG1028" s="7"/>
      <c r="AH1028" s="73" t="s">
        <v>21295</v>
      </c>
      <c r="AI1028" s="7"/>
      <c r="AJ1028" s="7"/>
      <c r="AK1028" s="7"/>
      <c r="AL1028" s="7"/>
      <c r="AM1028" s="6"/>
      <c r="AN1028" s="7"/>
      <c r="AO1028" s="7"/>
      <c r="AP1028" s="65">
        <v>30811.0</v>
      </c>
      <c r="AQ1028" s="6"/>
      <c r="AR1028" s="6"/>
      <c r="AS1028" s="6"/>
    </row>
    <row r="1029" ht="15.75" customHeight="1">
      <c r="A1029" s="6" t="s">
        <v>11023</v>
      </c>
      <c r="B1029" s="6" t="s">
        <v>21296</v>
      </c>
      <c r="C1029" s="7"/>
      <c r="D1029" s="7"/>
      <c r="E1029" s="7"/>
      <c r="F1029" s="7"/>
      <c r="G1029" s="7"/>
      <c r="H1029" s="7"/>
      <c r="I1029" s="7"/>
      <c r="J1029" s="7"/>
      <c r="K1029" s="7"/>
      <c r="L1029" s="7"/>
      <c r="M1029" s="6" t="s">
        <v>33</v>
      </c>
      <c r="N1029" s="7"/>
      <c r="O1029" s="6"/>
      <c r="P1029" s="42"/>
      <c r="Q1029" s="43"/>
      <c r="R1029" s="50"/>
      <c r="S1029" s="51"/>
      <c r="T1029" s="7"/>
      <c r="U1029" s="7"/>
      <c r="V1029" s="7"/>
      <c r="W1029" s="7"/>
      <c r="X1029" s="7"/>
      <c r="Y1029" s="7"/>
      <c r="Z1029" s="7"/>
      <c r="AA1029" s="7"/>
      <c r="AB1029" s="7"/>
      <c r="AC1029" s="7"/>
      <c r="AD1029" s="7"/>
      <c r="AE1029" s="6" t="s">
        <v>12355</v>
      </c>
      <c r="AF1029" s="74"/>
      <c r="AG1029" s="7"/>
      <c r="AH1029" s="73" t="s">
        <v>21297</v>
      </c>
      <c r="AI1029" s="7"/>
      <c r="AJ1029" s="7"/>
      <c r="AK1029" s="7"/>
      <c r="AL1029" s="7"/>
      <c r="AM1029" s="6"/>
      <c r="AN1029" s="7"/>
      <c r="AO1029" s="7"/>
      <c r="AP1029" s="65">
        <v>30811.0</v>
      </c>
      <c r="AQ1029" s="6"/>
      <c r="AR1029" s="6"/>
      <c r="AS1029" s="6"/>
    </row>
    <row r="1030" ht="15.75" customHeight="1">
      <c r="A1030" s="6" t="s">
        <v>11025</v>
      </c>
      <c r="B1030" s="6" t="s">
        <v>21298</v>
      </c>
      <c r="C1030" s="7"/>
      <c r="D1030" s="7"/>
      <c r="E1030" s="7"/>
      <c r="F1030" s="7"/>
      <c r="G1030" s="7"/>
      <c r="H1030" s="7"/>
      <c r="I1030" s="7"/>
      <c r="J1030" s="7"/>
      <c r="K1030" s="7"/>
      <c r="L1030" s="7"/>
      <c r="M1030" s="6" t="s">
        <v>33</v>
      </c>
      <c r="N1030" s="7"/>
      <c r="O1030" s="6"/>
      <c r="P1030" s="42"/>
      <c r="Q1030" s="43"/>
      <c r="R1030" s="50"/>
      <c r="S1030" s="51"/>
      <c r="T1030" s="7"/>
      <c r="U1030" s="7"/>
      <c r="V1030" s="7"/>
      <c r="W1030" s="7"/>
      <c r="X1030" s="7"/>
      <c r="Y1030" s="7"/>
      <c r="Z1030" s="7"/>
      <c r="AA1030" s="7"/>
      <c r="AB1030" s="7"/>
      <c r="AC1030" s="7"/>
      <c r="AD1030" s="7"/>
      <c r="AE1030" s="6" t="s">
        <v>12355</v>
      </c>
      <c r="AF1030" s="74"/>
      <c r="AG1030" s="7"/>
      <c r="AH1030" s="73" t="s">
        <v>21299</v>
      </c>
      <c r="AI1030" s="7"/>
      <c r="AJ1030" s="7"/>
      <c r="AK1030" s="7"/>
      <c r="AL1030" s="7"/>
      <c r="AM1030" s="6"/>
      <c r="AN1030" s="7"/>
      <c r="AO1030" s="7"/>
      <c r="AP1030" s="65">
        <v>30811.0</v>
      </c>
      <c r="AQ1030" s="6"/>
      <c r="AR1030" s="6"/>
      <c r="AS1030" s="6"/>
    </row>
    <row r="1031" ht="15.75" customHeight="1">
      <c r="A1031" s="6" t="s">
        <v>11027</v>
      </c>
      <c r="B1031" s="6" t="s">
        <v>21300</v>
      </c>
      <c r="C1031" s="7"/>
      <c r="D1031" s="7"/>
      <c r="E1031" s="7"/>
      <c r="F1031" s="7"/>
      <c r="G1031" s="7"/>
      <c r="H1031" s="7"/>
      <c r="I1031" s="7"/>
      <c r="J1031" s="7"/>
      <c r="K1031" s="7"/>
      <c r="L1031" s="7"/>
      <c r="M1031" s="6" t="s">
        <v>123</v>
      </c>
      <c r="N1031" s="7"/>
      <c r="O1031" s="6"/>
      <c r="P1031" s="42"/>
      <c r="Q1031" s="43"/>
      <c r="R1031" s="50"/>
      <c r="S1031" s="51"/>
      <c r="T1031" s="7"/>
      <c r="U1031" s="7"/>
      <c r="V1031" s="7"/>
      <c r="W1031" s="7"/>
      <c r="X1031" s="7"/>
      <c r="Y1031" s="7"/>
      <c r="Z1031" s="7"/>
      <c r="AA1031" s="7"/>
      <c r="AB1031" s="7"/>
      <c r="AC1031" s="7"/>
      <c r="AD1031" s="7"/>
      <c r="AE1031" s="6" t="s">
        <v>12355</v>
      </c>
      <c r="AF1031" s="74"/>
      <c r="AG1031" s="7"/>
      <c r="AH1031" s="73" t="s">
        <v>21301</v>
      </c>
      <c r="AI1031" s="7"/>
      <c r="AJ1031" s="7"/>
      <c r="AK1031" s="7"/>
      <c r="AL1031" s="7"/>
      <c r="AM1031" s="6"/>
      <c r="AN1031" s="7"/>
      <c r="AO1031" s="7"/>
      <c r="AP1031" s="65">
        <v>30811.0</v>
      </c>
      <c r="AQ1031" s="6"/>
      <c r="AR1031" s="6"/>
      <c r="AS1031" s="6"/>
    </row>
    <row r="1032" ht="15.75" customHeight="1">
      <c r="A1032" s="6" t="s">
        <v>11029</v>
      </c>
      <c r="B1032" s="6" t="s">
        <v>3118</v>
      </c>
      <c r="C1032" s="7"/>
      <c r="D1032" s="7"/>
      <c r="E1032" s="7"/>
      <c r="F1032" s="7"/>
      <c r="G1032" s="7"/>
      <c r="H1032" s="7"/>
      <c r="I1032" s="7"/>
      <c r="J1032" s="7"/>
      <c r="K1032" s="7"/>
      <c r="L1032" s="7"/>
      <c r="M1032" s="6" t="s">
        <v>71</v>
      </c>
      <c r="N1032" s="7"/>
      <c r="O1032" s="6" t="s">
        <v>3127</v>
      </c>
      <c r="P1032" s="42"/>
      <c r="Q1032" s="43"/>
      <c r="R1032" s="50"/>
      <c r="S1032" s="51"/>
      <c r="T1032" s="7"/>
      <c r="U1032" s="7"/>
      <c r="V1032" s="7"/>
      <c r="W1032" s="7"/>
      <c r="X1032" s="7"/>
      <c r="Y1032" s="7"/>
      <c r="Z1032" s="7"/>
      <c r="AA1032" s="7"/>
      <c r="AB1032" s="7"/>
      <c r="AC1032" s="7"/>
      <c r="AD1032" s="7"/>
      <c r="AE1032" s="6" t="s">
        <v>12355</v>
      </c>
      <c r="AF1032" s="74"/>
      <c r="AG1032" s="7"/>
      <c r="AH1032" s="73" t="s">
        <v>21302</v>
      </c>
      <c r="AI1032" s="7"/>
      <c r="AJ1032" s="7"/>
      <c r="AK1032" s="7"/>
      <c r="AL1032" s="7"/>
      <c r="AM1032" s="6"/>
      <c r="AN1032" s="7"/>
      <c r="AO1032" s="7"/>
      <c r="AP1032" s="65">
        <v>30811.0</v>
      </c>
      <c r="AQ1032" s="6"/>
      <c r="AR1032" s="6"/>
      <c r="AS1032" s="6"/>
    </row>
    <row r="1033" ht="15.75" customHeight="1">
      <c r="A1033" s="6" t="s">
        <v>11031</v>
      </c>
      <c r="B1033" s="6" t="s">
        <v>21303</v>
      </c>
      <c r="C1033" s="7"/>
      <c r="D1033" s="7"/>
      <c r="E1033" s="7"/>
      <c r="F1033" s="7"/>
      <c r="G1033" s="7"/>
      <c r="H1033" s="7"/>
      <c r="I1033" s="7"/>
      <c r="J1033" s="7"/>
      <c r="K1033" s="7"/>
      <c r="L1033" s="7"/>
      <c r="M1033" s="6" t="s">
        <v>71</v>
      </c>
      <c r="N1033" s="7"/>
      <c r="O1033" s="6"/>
      <c r="P1033" s="42"/>
      <c r="Q1033" s="43"/>
      <c r="R1033" s="50"/>
      <c r="S1033" s="51"/>
      <c r="T1033" s="7"/>
      <c r="U1033" s="7"/>
      <c r="V1033" s="7"/>
      <c r="W1033" s="7"/>
      <c r="X1033" s="7"/>
      <c r="Y1033" s="7"/>
      <c r="Z1033" s="7"/>
      <c r="AA1033" s="7"/>
      <c r="AB1033" s="7"/>
      <c r="AC1033" s="7"/>
      <c r="AD1033" s="7"/>
      <c r="AE1033" s="6" t="s">
        <v>12355</v>
      </c>
      <c r="AF1033" s="74"/>
      <c r="AG1033" s="19" t="s">
        <v>21304</v>
      </c>
      <c r="AH1033" s="73" t="s">
        <v>21305</v>
      </c>
      <c r="AI1033" s="7"/>
      <c r="AJ1033" s="7"/>
      <c r="AK1033" s="7"/>
      <c r="AL1033" s="7"/>
      <c r="AM1033" s="6"/>
      <c r="AN1033" s="7"/>
      <c r="AO1033" s="7"/>
      <c r="AP1033" s="65">
        <v>30811.0</v>
      </c>
      <c r="AQ1033" s="6"/>
      <c r="AR1033" s="6"/>
      <c r="AS1033" s="6"/>
    </row>
    <row r="1034" ht="15.75" customHeight="1">
      <c r="A1034" s="6" t="s">
        <v>11033</v>
      </c>
      <c r="B1034" s="6" t="s">
        <v>21306</v>
      </c>
      <c r="C1034" s="7"/>
      <c r="D1034" s="7"/>
      <c r="E1034" s="7"/>
      <c r="F1034" s="7"/>
      <c r="G1034" s="7"/>
      <c r="H1034" s="7"/>
      <c r="I1034" s="7"/>
      <c r="J1034" s="7"/>
      <c r="K1034" s="7"/>
      <c r="L1034" s="7"/>
      <c r="M1034" s="6" t="s">
        <v>123</v>
      </c>
      <c r="N1034" s="7"/>
      <c r="O1034" s="6"/>
      <c r="P1034" s="42"/>
      <c r="Q1034" s="43"/>
      <c r="R1034" s="50"/>
      <c r="S1034" s="51"/>
      <c r="T1034" s="7"/>
      <c r="U1034" s="7"/>
      <c r="V1034" s="7"/>
      <c r="W1034" s="7"/>
      <c r="X1034" s="7"/>
      <c r="Y1034" s="7"/>
      <c r="Z1034" s="7"/>
      <c r="AA1034" s="7"/>
      <c r="AB1034" s="7"/>
      <c r="AC1034" s="7"/>
      <c r="AD1034" s="7"/>
      <c r="AE1034" s="6" t="s">
        <v>12355</v>
      </c>
      <c r="AF1034" s="74"/>
      <c r="AG1034" s="7"/>
      <c r="AH1034" s="73" t="s">
        <v>21307</v>
      </c>
      <c r="AI1034" s="7"/>
      <c r="AJ1034" s="7"/>
      <c r="AK1034" s="7"/>
      <c r="AL1034" s="7"/>
      <c r="AM1034" s="6"/>
      <c r="AN1034" s="7"/>
      <c r="AO1034" s="7"/>
      <c r="AP1034" s="65">
        <v>30811.0</v>
      </c>
      <c r="AQ1034" s="6"/>
      <c r="AR1034" s="6"/>
      <c r="AS1034" s="6"/>
    </row>
    <row r="1035" ht="15.75" customHeight="1">
      <c r="A1035" s="6" t="s">
        <v>11035</v>
      </c>
      <c r="B1035" s="6" t="s">
        <v>21308</v>
      </c>
      <c r="C1035" s="7"/>
      <c r="D1035" s="7"/>
      <c r="E1035" s="7"/>
      <c r="F1035" s="7"/>
      <c r="G1035" s="7"/>
      <c r="H1035" s="7"/>
      <c r="I1035" s="7"/>
      <c r="J1035" s="7"/>
      <c r="K1035" s="7"/>
      <c r="L1035" s="7"/>
      <c r="M1035" s="6" t="s">
        <v>40</v>
      </c>
      <c r="N1035" s="7"/>
      <c r="O1035" s="6" t="s">
        <v>3930</v>
      </c>
      <c r="P1035" s="42"/>
      <c r="Q1035" s="43"/>
      <c r="R1035" s="50"/>
      <c r="S1035" s="51"/>
      <c r="T1035" s="7"/>
      <c r="U1035" s="7"/>
      <c r="V1035" s="7"/>
      <c r="W1035" s="7"/>
      <c r="X1035" s="7"/>
      <c r="Y1035" s="7"/>
      <c r="Z1035" s="7"/>
      <c r="AA1035" s="7"/>
      <c r="AB1035" s="7"/>
      <c r="AC1035" s="7"/>
      <c r="AD1035" s="7"/>
      <c r="AE1035" s="6" t="s">
        <v>12355</v>
      </c>
      <c r="AF1035" s="74"/>
      <c r="AG1035" s="7"/>
      <c r="AH1035" s="73" t="s">
        <v>21309</v>
      </c>
      <c r="AI1035" s="7"/>
      <c r="AJ1035" s="7"/>
      <c r="AK1035" s="7"/>
      <c r="AL1035" s="7"/>
      <c r="AM1035" s="6"/>
      <c r="AN1035" s="7"/>
      <c r="AO1035" s="7"/>
      <c r="AP1035" s="65">
        <v>30811.0</v>
      </c>
      <c r="AQ1035" s="6"/>
      <c r="AR1035" s="6"/>
      <c r="AS1035" s="6"/>
    </row>
    <row r="1036" ht="15.75" customHeight="1">
      <c r="A1036" s="6" t="s">
        <v>11037</v>
      </c>
      <c r="B1036" s="6" t="s">
        <v>3291</v>
      </c>
      <c r="C1036" s="7"/>
      <c r="D1036" s="7"/>
      <c r="E1036" s="7"/>
      <c r="F1036" s="7"/>
      <c r="G1036" s="7"/>
      <c r="H1036" s="7"/>
      <c r="I1036" s="7"/>
      <c r="J1036" s="7"/>
      <c r="K1036" s="7"/>
      <c r="L1036" s="7"/>
      <c r="M1036" s="6" t="s">
        <v>71</v>
      </c>
      <c r="N1036" s="7"/>
      <c r="O1036" s="6" t="s">
        <v>3302</v>
      </c>
      <c r="P1036" s="42"/>
      <c r="Q1036" s="43"/>
      <c r="R1036" s="50"/>
      <c r="S1036" s="51"/>
      <c r="T1036" s="7"/>
      <c r="U1036" s="7"/>
      <c r="V1036" s="7"/>
      <c r="W1036" s="7"/>
      <c r="X1036" s="7"/>
      <c r="Y1036" s="7"/>
      <c r="Z1036" s="7"/>
      <c r="AA1036" s="7"/>
      <c r="AB1036" s="7"/>
      <c r="AC1036" s="7"/>
      <c r="AD1036" s="7"/>
      <c r="AE1036" s="6" t="s">
        <v>12355</v>
      </c>
      <c r="AF1036" s="74"/>
      <c r="AG1036" s="7"/>
      <c r="AH1036" s="73" t="s">
        <v>21310</v>
      </c>
      <c r="AI1036" s="7"/>
      <c r="AJ1036" s="7"/>
      <c r="AK1036" s="7"/>
      <c r="AL1036" s="7"/>
      <c r="AM1036" s="6"/>
      <c r="AN1036" s="7"/>
      <c r="AO1036" s="7"/>
      <c r="AP1036" s="65">
        <v>30811.0</v>
      </c>
      <c r="AQ1036" s="6"/>
      <c r="AR1036" s="6"/>
      <c r="AS1036" s="6"/>
    </row>
    <row r="1037" ht="15.75" customHeight="1">
      <c r="A1037" s="6" t="s">
        <v>21311</v>
      </c>
      <c r="B1037" s="6" t="s">
        <v>3596</v>
      </c>
      <c r="C1037" s="7"/>
      <c r="D1037" s="7"/>
      <c r="E1037" s="7"/>
      <c r="F1037" s="7"/>
      <c r="G1037" s="7"/>
      <c r="H1037" s="7"/>
      <c r="I1037" s="7"/>
      <c r="J1037" s="7"/>
      <c r="K1037" s="7"/>
      <c r="L1037" s="7"/>
      <c r="M1037" s="6" t="s">
        <v>71</v>
      </c>
      <c r="N1037" s="7"/>
      <c r="O1037" s="6" t="s">
        <v>21029</v>
      </c>
      <c r="P1037" s="42"/>
      <c r="Q1037" s="43"/>
      <c r="R1037" s="50"/>
      <c r="S1037" s="51"/>
      <c r="T1037" s="7"/>
      <c r="U1037" s="7"/>
      <c r="V1037" s="7"/>
      <c r="W1037" s="7"/>
      <c r="X1037" s="7"/>
      <c r="Y1037" s="7"/>
      <c r="Z1037" s="7"/>
      <c r="AA1037" s="7"/>
      <c r="AB1037" s="7"/>
      <c r="AC1037" s="7"/>
      <c r="AD1037" s="7"/>
      <c r="AE1037" s="6" t="s">
        <v>12355</v>
      </c>
      <c r="AF1037" s="74"/>
      <c r="AG1037" s="7"/>
      <c r="AH1037" s="73" t="s">
        <v>21312</v>
      </c>
      <c r="AI1037" s="7"/>
      <c r="AJ1037" s="7"/>
      <c r="AK1037" s="7"/>
      <c r="AL1037" s="7"/>
      <c r="AM1037" s="6"/>
      <c r="AN1037" s="7"/>
      <c r="AO1037" s="7"/>
      <c r="AP1037" s="65">
        <v>30811.0</v>
      </c>
      <c r="AQ1037" s="6"/>
      <c r="AR1037" s="6"/>
      <c r="AS1037" s="6"/>
    </row>
    <row r="1038" ht="15.75" customHeight="1">
      <c r="A1038" s="6" t="s">
        <v>11039</v>
      </c>
      <c r="B1038" s="6" t="s">
        <v>21313</v>
      </c>
      <c r="C1038" s="7"/>
      <c r="D1038" s="7"/>
      <c r="E1038" s="7"/>
      <c r="F1038" s="7"/>
      <c r="G1038" s="7"/>
      <c r="H1038" s="7"/>
      <c r="I1038" s="7"/>
      <c r="J1038" s="7"/>
      <c r="K1038" s="7"/>
      <c r="L1038" s="7"/>
      <c r="M1038" s="6" t="s">
        <v>40</v>
      </c>
      <c r="N1038" s="7"/>
      <c r="O1038" s="6" t="s">
        <v>2874</v>
      </c>
      <c r="P1038" s="42"/>
      <c r="Q1038" s="43"/>
      <c r="R1038" s="50"/>
      <c r="S1038" s="51"/>
      <c r="T1038" s="7"/>
      <c r="U1038" s="7"/>
      <c r="V1038" s="7"/>
      <c r="W1038" s="7"/>
      <c r="X1038" s="7"/>
      <c r="Y1038" s="7"/>
      <c r="Z1038" s="7"/>
      <c r="AA1038" s="7"/>
      <c r="AB1038" s="7"/>
      <c r="AC1038" s="7"/>
      <c r="AD1038" s="7"/>
      <c r="AE1038" s="6" t="s">
        <v>12355</v>
      </c>
      <c r="AF1038" s="74"/>
      <c r="AG1038" s="7"/>
      <c r="AH1038" s="73" t="s">
        <v>21314</v>
      </c>
      <c r="AI1038" s="7"/>
      <c r="AJ1038" s="7"/>
      <c r="AK1038" s="7"/>
      <c r="AL1038" s="7"/>
      <c r="AM1038" s="6"/>
      <c r="AN1038" s="7"/>
      <c r="AO1038" s="7"/>
      <c r="AP1038" s="65">
        <v>30811.0</v>
      </c>
      <c r="AQ1038" s="6"/>
      <c r="AR1038" s="6"/>
      <c r="AS1038" s="6"/>
    </row>
    <row r="1039" ht="15.75" customHeight="1">
      <c r="A1039" s="6" t="s">
        <v>10993</v>
      </c>
      <c r="B1039" s="6" t="s">
        <v>21315</v>
      </c>
      <c r="C1039" s="7"/>
      <c r="D1039" s="7"/>
      <c r="E1039" s="7"/>
      <c r="F1039" s="7"/>
      <c r="G1039" s="7"/>
      <c r="H1039" s="7"/>
      <c r="I1039" s="7"/>
      <c r="J1039" s="7"/>
      <c r="K1039" s="7"/>
      <c r="L1039" s="7"/>
      <c r="M1039" s="6" t="s">
        <v>123</v>
      </c>
      <c r="N1039" s="7"/>
      <c r="O1039" s="6"/>
      <c r="P1039" s="42"/>
      <c r="Q1039" s="43"/>
      <c r="R1039" s="50"/>
      <c r="S1039" s="51"/>
      <c r="T1039" s="7"/>
      <c r="U1039" s="7"/>
      <c r="V1039" s="7"/>
      <c r="W1039" s="7"/>
      <c r="X1039" s="7"/>
      <c r="Y1039" s="7"/>
      <c r="Z1039" s="7"/>
      <c r="AA1039" s="7"/>
      <c r="AB1039" s="7"/>
      <c r="AC1039" s="7"/>
      <c r="AD1039" s="7"/>
      <c r="AE1039" s="6" t="s">
        <v>12355</v>
      </c>
      <c r="AF1039" s="74"/>
      <c r="AG1039" s="7"/>
      <c r="AH1039" s="73" t="s">
        <v>21316</v>
      </c>
      <c r="AI1039" s="7"/>
      <c r="AJ1039" s="7"/>
      <c r="AK1039" s="7"/>
      <c r="AL1039" s="7"/>
      <c r="AM1039" s="6"/>
      <c r="AN1039" s="7"/>
      <c r="AO1039" s="7"/>
      <c r="AP1039" s="65">
        <v>30811.0</v>
      </c>
      <c r="AQ1039" s="6"/>
      <c r="AR1039" s="6"/>
      <c r="AS1039" s="6"/>
    </row>
    <row r="1040" ht="15.75" customHeight="1">
      <c r="A1040" s="6" t="s">
        <v>11041</v>
      </c>
      <c r="B1040" s="6" t="s">
        <v>21317</v>
      </c>
      <c r="C1040" s="7"/>
      <c r="D1040" s="7"/>
      <c r="E1040" s="7"/>
      <c r="F1040" s="7"/>
      <c r="G1040" s="7"/>
      <c r="H1040" s="7"/>
      <c r="I1040" s="7"/>
      <c r="J1040" s="7"/>
      <c r="K1040" s="7"/>
      <c r="L1040" s="7"/>
      <c r="M1040" s="6" t="s">
        <v>71</v>
      </c>
      <c r="N1040" s="7"/>
      <c r="O1040" s="6" t="s">
        <v>1945</v>
      </c>
      <c r="P1040" s="42"/>
      <c r="Q1040" s="43"/>
      <c r="R1040" s="50"/>
      <c r="S1040" s="51"/>
      <c r="T1040" s="7"/>
      <c r="U1040" s="7"/>
      <c r="V1040" s="7"/>
      <c r="W1040" s="7"/>
      <c r="X1040" s="7"/>
      <c r="Y1040" s="7"/>
      <c r="Z1040" s="7"/>
      <c r="AA1040" s="7"/>
      <c r="AB1040" s="7"/>
      <c r="AC1040" s="7"/>
      <c r="AD1040" s="7"/>
      <c r="AE1040" s="6" t="s">
        <v>12355</v>
      </c>
      <c r="AF1040" s="74"/>
      <c r="AG1040" s="7"/>
      <c r="AH1040" s="73" t="s">
        <v>21318</v>
      </c>
      <c r="AI1040" s="7"/>
      <c r="AJ1040" s="7"/>
      <c r="AK1040" s="7"/>
      <c r="AL1040" s="7"/>
      <c r="AM1040" s="6"/>
      <c r="AN1040" s="7"/>
      <c r="AO1040" s="7"/>
      <c r="AP1040" s="65">
        <v>30811.0</v>
      </c>
      <c r="AQ1040" s="6"/>
      <c r="AR1040" s="6"/>
      <c r="AS1040" s="6"/>
    </row>
    <row r="1041" ht="15.75" customHeight="1">
      <c r="A1041" s="6" t="s">
        <v>11043</v>
      </c>
      <c r="B1041" s="6" t="s">
        <v>21319</v>
      </c>
      <c r="C1041" s="7"/>
      <c r="D1041" s="7"/>
      <c r="E1041" s="7"/>
      <c r="F1041" s="7"/>
      <c r="G1041" s="7"/>
      <c r="H1041" s="7"/>
      <c r="I1041" s="7"/>
      <c r="J1041" s="7"/>
      <c r="K1041" s="7"/>
      <c r="L1041" s="7"/>
      <c r="M1041" s="6" t="s">
        <v>123</v>
      </c>
      <c r="N1041" s="7"/>
      <c r="O1041" s="6" t="s">
        <v>4921</v>
      </c>
      <c r="P1041" s="42"/>
      <c r="Q1041" s="43"/>
      <c r="R1041" s="50"/>
      <c r="S1041" s="51"/>
      <c r="T1041" s="7"/>
      <c r="U1041" s="7"/>
      <c r="V1041" s="7"/>
      <c r="W1041" s="7"/>
      <c r="X1041" s="7"/>
      <c r="Y1041" s="7"/>
      <c r="Z1041" s="7"/>
      <c r="AA1041" s="7"/>
      <c r="AB1041" s="7"/>
      <c r="AC1041" s="7"/>
      <c r="AD1041" s="7"/>
      <c r="AE1041" s="6" t="s">
        <v>12355</v>
      </c>
      <c r="AF1041" s="74"/>
      <c r="AG1041" s="7"/>
      <c r="AH1041" s="73" t="s">
        <v>21320</v>
      </c>
      <c r="AI1041" s="7"/>
      <c r="AJ1041" s="7"/>
      <c r="AK1041" s="7"/>
      <c r="AL1041" s="7"/>
      <c r="AM1041" s="6"/>
      <c r="AN1041" s="7"/>
      <c r="AO1041" s="7"/>
      <c r="AP1041" s="65">
        <v>30811.0</v>
      </c>
      <c r="AQ1041" s="6"/>
      <c r="AR1041" s="6"/>
      <c r="AS1041" s="6"/>
    </row>
    <row r="1042" ht="15.75" customHeight="1">
      <c r="A1042" s="6" t="s">
        <v>11045</v>
      </c>
      <c r="B1042" s="6" t="s">
        <v>3932</v>
      </c>
      <c r="C1042" s="7"/>
      <c r="D1042" s="7"/>
      <c r="E1042" s="7"/>
      <c r="F1042" s="7"/>
      <c r="G1042" s="7"/>
      <c r="H1042" s="7"/>
      <c r="I1042" s="7"/>
      <c r="J1042" s="7"/>
      <c r="K1042" s="7"/>
      <c r="L1042" s="7"/>
      <c r="M1042" s="6" t="s">
        <v>71</v>
      </c>
      <c r="N1042" s="7"/>
      <c r="O1042" s="6" t="s">
        <v>3943</v>
      </c>
      <c r="P1042" s="42"/>
      <c r="Q1042" s="43"/>
      <c r="R1042" s="50"/>
      <c r="S1042" s="51"/>
      <c r="T1042" s="7"/>
      <c r="U1042" s="7"/>
      <c r="V1042" s="7"/>
      <c r="W1042" s="7"/>
      <c r="X1042" s="7"/>
      <c r="Y1042" s="7"/>
      <c r="Z1042" s="7"/>
      <c r="AA1042" s="7"/>
      <c r="AB1042" s="7"/>
      <c r="AC1042" s="7"/>
      <c r="AD1042" s="7"/>
      <c r="AE1042" s="6" t="s">
        <v>12355</v>
      </c>
      <c r="AF1042" s="74"/>
      <c r="AG1042" s="7"/>
      <c r="AH1042" s="73" t="s">
        <v>21321</v>
      </c>
      <c r="AI1042" s="7"/>
      <c r="AJ1042" s="7"/>
      <c r="AK1042" s="7"/>
      <c r="AL1042" s="7"/>
      <c r="AM1042" s="6"/>
      <c r="AN1042" s="7"/>
      <c r="AO1042" s="7"/>
      <c r="AP1042" s="65">
        <v>30811.0</v>
      </c>
      <c r="AQ1042" s="6"/>
      <c r="AR1042" s="6"/>
      <c r="AS1042" s="6"/>
    </row>
    <row r="1043" ht="15.75" customHeight="1">
      <c r="A1043" s="6" t="s">
        <v>11047</v>
      </c>
      <c r="B1043" s="6" t="s">
        <v>4650</v>
      </c>
      <c r="C1043" s="7"/>
      <c r="D1043" s="7"/>
      <c r="E1043" s="7"/>
      <c r="F1043" s="7"/>
      <c r="G1043" s="7"/>
      <c r="H1043" s="7"/>
      <c r="I1043" s="7"/>
      <c r="J1043" s="7"/>
      <c r="K1043" s="7"/>
      <c r="L1043" s="7"/>
      <c r="M1043" s="6" t="s">
        <v>123</v>
      </c>
      <c r="N1043" s="7"/>
      <c r="O1043" s="6" t="s">
        <v>3761</v>
      </c>
      <c r="P1043" s="42"/>
      <c r="Q1043" s="43"/>
      <c r="R1043" s="50"/>
      <c r="S1043" s="51"/>
      <c r="T1043" s="7"/>
      <c r="U1043" s="7"/>
      <c r="V1043" s="7"/>
      <c r="W1043" s="7"/>
      <c r="X1043" s="7"/>
      <c r="Y1043" s="7"/>
      <c r="Z1043" s="7"/>
      <c r="AA1043" s="7"/>
      <c r="AB1043" s="7"/>
      <c r="AC1043" s="7"/>
      <c r="AD1043" s="7"/>
      <c r="AE1043" s="6" t="s">
        <v>12355</v>
      </c>
      <c r="AF1043" s="74"/>
      <c r="AG1043" s="7"/>
      <c r="AH1043" s="73" t="s">
        <v>21322</v>
      </c>
      <c r="AI1043" s="7"/>
      <c r="AJ1043" s="7"/>
      <c r="AK1043" s="7"/>
      <c r="AL1043" s="7"/>
      <c r="AM1043" s="6"/>
      <c r="AN1043" s="7"/>
      <c r="AO1043" s="7"/>
      <c r="AP1043" s="65">
        <v>30811.0</v>
      </c>
      <c r="AQ1043" s="6"/>
      <c r="AR1043" s="6"/>
      <c r="AS1043" s="6"/>
    </row>
    <row r="1044" ht="15.75" customHeight="1">
      <c r="A1044" s="6" t="s">
        <v>11049</v>
      </c>
      <c r="B1044" s="6" t="s">
        <v>21323</v>
      </c>
      <c r="C1044" s="7"/>
      <c r="D1044" s="7"/>
      <c r="E1044" s="7"/>
      <c r="F1044" s="7"/>
      <c r="G1044" s="7"/>
      <c r="H1044" s="7"/>
      <c r="I1044" s="7"/>
      <c r="J1044" s="7"/>
      <c r="K1044" s="7"/>
      <c r="L1044" s="7"/>
      <c r="M1044" s="6" t="s">
        <v>123</v>
      </c>
      <c r="N1044" s="7"/>
      <c r="O1044" s="6" t="s">
        <v>5575</v>
      </c>
      <c r="P1044" s="42"/>
      <c r="Q1044" s="43"/>
      <c r="R1044" s="50"/>
      <c r="S1044" s="51"/>
      <c r="T1044" s="7"/>
      <c r="U1044" s="7"/>
      <c r="V1044" s="7"/>
      <c r="W1044" s="7"/>
      <c r="X1044" s="7"/>
      <c r="Y1044" s="7"/>
      <c r="Z1044" s="7"/>
      <c r="AA1044" s="7"/>
      <c r="AB1044" s="7"/>
      <c r="AC1044" s="7"/>
      <c r="AD1044" s="7"/>
      <c r="AE1044" s="6" t="s">
        <v>12355</v>
      </c>
      <c r="AF1044" s="74"/>
      <c r="AG1044" s="7"/>
      <c r="AH1044" s="73" t="s">
        <v>21324</v>
      </c>
      <c r="AI1044" s="7"/>
      <c r="AJ1044" s="7"/>
      <c r="AK1044" s="7"/>
      <c r="AL1044" s="7"/>
      <c r="AM1044" s="6"/>
      <c r="AN1044" s="7"/>
      <c r="AO1044" s="7"/>
      <c r="AP1044" s="65">
        <v>30811.0</v>
      </c>
      <c r="AQ1044" s="6"/>
      <c r="AR1044" s="6"/>
      <c r="AS1044" s="6"/>
    </row>
    <row r="1045" ht="15.75" customHeight="1">
      <c r="A1045" s="6" t="s">
        <v>21325</v>
      </c>
      <c r="B1045" s="6" t="s">
        <v>21326</v>
      </c>
      <c r="C1045" s="7"/>
      <c r="D1045" s="7"/>
      <c r="E1045" s="7"/>
      <c r="F1045" s="7"/>
      <c r="G1045" s="7"/>
      <c r="H1045" s="7"/>
      <c r="I1045" s="7"/>
      <c r="J1045" s="7"/>
      <c r="K1045" s="7"/>
      <c r="L1045" s="7"/>
      <c r="M1045" s="6" t="s">
        <v>123</v>
      </c>
      <c r="N1045" s="7"/>
      <c r="O1045" s="6" t="s">
        <v>21029</v>
      </c>
      <c r="P1045" s="42"/>
      <c r="Q1045" s="43"/>
      <c r="R1045" s="50"/>
      <c r="S1045" s="51"/>
      <c r="T1045" s="7"/>
      <c r="U1045" s="7"/>
      <c r="V1045" s="7"/>
      <c r="W1045" s="7"/>
      <c r="X1045" s="7"/>
      <c r="Y1045" s="7"/>
      <c r="Z1045" s="7"/>
      <c r="AA1045" s="7"/>
      <c r="AB1045" s="7"/>
      <c r="AC1045" s="7"/>
      <c r="AD1045" s="7"/>
      <c r="AE1045" s="6" t="s">
        <v>12355</v>
      </c>
      <c r="AF1045" s="74"/>
      <c r="AG1045" s="7"/>
      <c r="AH1045" s="73" t="s">
        <v>21327</v>
      </c>
      <c r="AI1045" s="7"/>
      <c r="AJ1045" s="7"/>
      <c r="AK1045" s="7"/>
      <c r="AL1045" s="7"/>
      <c r="AM1045" s="6"/>
      <c r="AN1045" s="7"/>
      <c r="AO1045" s="7"/>
      <c r="AP1045" s="65">
        <v>30811.0</v>
      </c>
      <c r="AQ1045" s="6"/>
      <c r="AR1045" s="6"/>
      <c r="AS1045" s="6"/>
    </row>
    <row r="1046" ht="15.75" customHeight="1">
      <c r="A1046" s="6" t="s">
        <v>11051</v>
      </c>
      <c r="B1046" s="6" t="s">
        <v>21328</v>
      </c>
      <c r="C1046" s="7"/>
      <c r="D1046" s="7"/>
      <c r="E1046" s="7"/>
      <c r="F1046" s="7"/>
      <c r="G1046" s="7"/>
      <c r="H1046" s="7"/>
      <c r="I1046" s="7"/>
      <c r="J1046" s="7"/>
      <c r="K1046" s="7"/>
      <c r="L1046" s="7"/>
      <c r="M1046" s="6" t="s">
        <v>123</v>
      </c>
      <c r="N1046" s="7"/>
      <c r="O1046" s="6" t="s">
        <v>386</v>
      </c>
      <c r="P1046" s="42"/>
      <c r="Q1046" s="43"/>
      <c r="R1046" s="50"/>
      <c r="S1046" s="51"/>
      <c r="T1046" s="7"/>
      <c r="U1046" s="7"/>
      <c r="V1046" s="7"/>
      <c r="W1046" s="7"/>
      <c r="X1046" s="7"/>
      <c r="Y1046" s="7"/>
      <c r="Z1046" s="7"/>
      <c r="AA1046" s="7"/>
      <c r="AB1046" s="7"/>
      <c r="AC1046" s="7"/>
      <c r="AD1046" s="7"/>
      <c r="AE1046" s="6" t="s">
        <v>12355</v>
      </c>
      <c r="AF1046" s="74"/>
      <c r="AG1046" s="7"/>
      <c r="AH1046" s="73" t="s">
        <v>21329</v>
      </c>
      <c r="AI1046" s="7"/>
      <c r="AJ1046" s="7"/>
      <c r="AK1046" s="7"/>
      <c r="AL1046" s="7"/>
      <c r="AM1046" s="6"/>
      <c r="AN1046" s="7"/>
      <c r="AO1046" s="7"/>
      <c r="AP1046" s="65">
        <v>30811.0</v>
      </c>
      <c r="AQ1046" s="6"/>
      <c r="AR1046" s="6"/>
      <c r="AS1046" s="6"/>
    </row>
    <row r="1047" ht="15.75" customHeight="1">
      <c r="A1047" s="6" t="s">
        <v>21330</v>
      </c>
      <c r="B1047" s="6" t="s">
        <v>2830</v>
      </c>
      <c r="C1047" s="7"/>
      <c r="D1047" s="7"/>
      <c r="E1047" s="7"/>
      <c r="F1047" s="7"/>
      <c r="G1047" s="7"/>
      <c r="H1047" s="7"/>
      <c r="I1047" s="7"/>
      <c r="J1047" s="7"/>
      <c r="K1047" s="7"/>
      <c r="L1047" s="7"/>
      <c r="M1047" s="6" t="s">
        <v>71</v>
      </c>
      <c r="N1047" s="7"/>
      <c r="O1047" s="6" t="s">
        <v>21029</v>
      </c>
      <c r="P1047" s="42"/>
      <c r="Q1047" s="43"/>
      <c r="R1047" s="50"/>
      <c r="S1047" s="51"/>
      <c r="T1047" s="7"/>
      <c r="U1047" s="7"/>
      <c r="V1047" s="7"/>
      <c r="W1047" s="7"/>
      <c r="X1047" s="7"/>
      <c r="Y1047" s="7"/>
      <c r="Z1047" s="7"/>
      <c r="AA1047" s="7"/>
      <c r="AB1047" s="7"/>
      <c r="AC1047" s="7"/>
      <c r="AD1047" s="7"/>
      <c r="AE1047" s="6" t="s">
        <v>12355</v>
      </c>
      <c r="AF1047" s="74"/>
      <c r="AG1047" s="7"/>
      <c r="AH1047" s="73" t="s">
        <v>21331</v>
      </c>
      <c r="AI1047" s="7"/>
      <c r="AJ1047" s="7"/>
      <c r="AK1047" s="7"/>
      <c r="AL1047" s="7"/>
      <c r="AM1047" s="6"/>
      <c r="AN1047" s="7"/>
      <c r="AO1047" s="7"/>
      <c r="AP1047" s="65">
        <v>30811.0</v>
      </c>
      <c r="AQ1047" s="6"/>
      <c r="AR1047" s="6"/>
      <c r="AS1047" s="6"/>
    </row>
    <row r="1048" ht="15.75" customHeight="1">
      <c r="A1048" s="6" t="s">
        <v>11053</v>
      </c>
      <c r="B1048" s="6" t="s">
        <v>4738</v>
      </c>
      <c r="C1048" s="7"/>
      <c r="D1048" s="7"/>
      <c r="E1048" s="7"/>
      <c r="F1048" s="7"/>
      <c r="G1048" s="7"/>
      <c r="H1048" s="7"/>
      <c r="I1048" s="7"/>
      <c r="J1048" s="7"/>
      <c r="K1048" s="7"/>
      <c r="L1048" s="7"/>
      <c r="M1048" s="6" t="s">
        <v>19729</v>
      </c>
      <c r="N1048" s="7"/>
      <c r="O1048" s="6" t="s">
        <v>4748</v>
      </c>
      <c r="P1048" s="42"/>
      <c r="Q1048" s="43"/>
      <c r="R1048" s="50"/>
      <c r="S1048" s="51"/>
      <c r="T1048" s="7"/>
      <c r="U1048" s="7"/>
      <c r="V1048" s="7"/>
      <c r="W1048" s="7"/>
      <c r="X1048" s="7"/>
      <c r="Y1048" s="7"/>
      <c r="Z1048" s="7"/>
      <c r="AA1048" s="7"/>
      <c r="AB1048" s="7"/>
      <c r="AC1048" s="7"/>
      <c r="AD1048" s="7"/>
      <c r="AE1048" s="6" t="s">
        <v>12355</v>
      </c>
      <c r="AF1048" s="74"/>
      <c r="AG1048" s="7"/>
      <c r="AH1048" s="73" t="s">
        <v>21332</v>
      </c>
      <c r="AI1048" s="7"/>
      <c r="AJ1048" s="7"/>
      <c r="AK1048" s="7"/>
      <c r="AL1048" s="7"/>
      <c r="AM1048" s="6"/>
      <c r="AN1048" s="6" t="s">
        <v>11053</v>
      </c>
      <c r="AO1048" s="7"/>
      <c r="AP1048" s="65">
        <v>30811.0</v>
      </c>
      <c r="AQ1048" s="6"/>
      <c r="AR1048" s="6" t="s">
        <v>21333</v>
      </c>
      <c r="AS1048" s="6"/>
    </row>
    <row r="1049" ht="15.75" customHeight="1">
      <c r="A1049" s="6" t="s">
        <v>21334</v>
      </c>
      <c r="B1049" s="6" t="s">
        <v>21335</v>
      </c>
      <c r="C1049" s="7"/>
      <c r="D1049" s="7"/>
      <c r="E1049" s="7"/>
      <c r="F1049" s="7"/>
      <c r="G1049" s="7"/>
      <c r="H1049" s="7"/>
      <c r="I1049" s="7"/>
      <c r="J1049" s="7"/>
      <c r="K1049" s="7"/>
      <c r="L1049" s="7"/>
      <c r="M1049" s="6" t="s">
        <v>33</v>
      </c>
      <c r="N1049" s="7"/>
      <c r="O1049" s="6" t="s">
        <v>21029</v>
      </c>
      <c r="P1049" s="42"/>
      <c r="Q1049" s="43"/>
      <c r="R1049" s="50"/>
      <c r="S1049" s="51"/>
      <c r="T1049" s="7"/>
      <c r="U1049" s="7"/>
      <c r="V1049" s="7"/>
      <c r="W1049" s="7"/>
      <c r="X1049" s="7"/>
      <c r="Y1049" s="7"/>
      <c r="Z1049" s="7"/>
      <c r="AA1049" s="7"/>
      <c r="AB1049" s="7"/>
      <c r="AC1049" s="7"/>
      <c r="AD1049" s="7"/>
      <c r="AE1049" s="6" t="s">
        <v>12355</v>
      </c>
      <c r="AF1049" s="74"/>
      <c r="AG1049" s="7"/>
      <c r="AH1049" s="73" t="s">
        <v>21336</v>
      </c>
      <c r="AI1049" s="7"/>
      <c r="AJ1049" s="7"/>
      <c r="AK1049" s="7"/>
      <c r="AL1049" s="7"/>
      <c r="AM1049" s="6"/>
      <c r="AN1049" s="7"/>
      <c r="AO1049" s="7"/>
      <c r="AP1049" s="65">
        <v>30811.0</v>
      </c>
      <c r="AQ1049" s="6"/>
      <c r="AR1049" s="6"/>
      <c r="AS1049" s="6"/>
    </row>
    <row r="1050" ht="15.75" customHeight="1">
      <c r="A1050" s="6" t="s">
        <v>11055</v>
      </c>
      <c r="B1050" s="6" t="s">
        <v>7700</v>
      </c>
      <c r="C1050" s="7"/>
      <c r="D1050" s="7"/>
      <c r="E1050" s="7"/>
      <c r="F1050" s="7"/>
      <c r="G1050" s="7"/>
      <c r="H1050" s="7"/>
      <c r="I1050" s="7"/>
      <c r="J1050" s="7"/>
      <c r="K1050" s="7"/>
      <c r="L1050" s="7"/>
      <c r="M1050" s="6" t="s">
        <v>71</v>
      </c>
      <c r="N1050" s="7"/>
      <c r="O1050" s="6" t="s">
        <v>7712</v>
      </c>
      <c r="P1050" s="42"/>
      <c r="Q1050" s="43"/>
      <c r="R1050" s="50"/>
      <c r="S1050" s="51"/>
      <c r="T1050" s="7"/>
      <c r="U1050" s="7"/>
      <c r="V1050" s="7"/>
      <c r="W1050" s="7"/>
      <c r="X1050" s="7"/>
      <c r="Y1050" s="7"/>
      <c r="Z1050" s="7"/>
      <c r="AA1050" s="7"/>
      <c r="AB1050" s="7"/>
      <c r="AC1050" s="7"/>
      <c r="AD1050" s="7"/>
      <c r="AE1050" s="6" t="s">
        <v>12355</v>
      </c>
      <c r="AF1050" s="74"/>
      <c r="AG1050" s="7"/>
      <c r="AH1050" s="73" t="s">
        <v>21337</v>
      </c>
      <c r="AI1050" s="7"/>
      <c r="AJ1050" s="7"/>
      <c r="AK1050" s="7"/>
      <c r="AL1050" s="7"/>
      <c r="AM1050" s="6"/>
      <c r="AN1050" s="7"/>
      <c r="AO1050" s="7"/>
      <c r="AP1050" s="65">
        <v>30811.0</v>
      </c>
      <c r="AQ1050" s="6"/>
      <c r="AR1050" s="6"/>
      <c r="AS1050" s="6"/>
    </row>
    <row r="1051" ht="15.75" customHeight="1">
      <c r="A1051" s="6" t="s">
        <v>11057</v>
      </c>
      <c r="B1051" s="6" t="s">
        <v>1022</v>
      </c>
      <c r="C1051" s="7"/>
      <c r="D1051" s="7"/>
      <c r="E1051" s="7"/>
      <c r="F1051" s="7"/>
      <c r="G1051" s="7"/>
      <c r="H1051" s="7"/>
      <c r="I1051" s="7"/>
      <c r="J1051" s="7"/>
      <c r="K1051" s="7"/>
      <c r="L1051" s="7"/>
      <c r="M1051" s="6" t="s">
        <v>40</v>
      </c>
      <c r="N1051" s="7"/>
      <c r="O1051" s="6" t="s">
        <v>1032</v>
      </c>
      <c r="P1051" s="42"/>
      <c r="Q1051" s="43"/>
      <c r="R1051" s="50"/>
      <c r="S1051" s="51"/>
      <c r="T1051" s="7"/>
      <c r="U1051" s="7"/>
      <c r="V1051" s="7"/>
      <c r="W1051" s="7"/>
      <c r="X1051" s="7"/>
      <c r="Y1051" s="7"/>
      <c r="Z1051" s="7"/>
      <c r="AA1051" s="7"/>
      <c r="AB1051" s="7"/>
      <c r="AC1051" s="7"/>
      <c r="AD1051" s="7"/>
      <c r="AE1051" s="6" t="s">
        <v>12355</v>
      </c>
      <c r="AF1051" s="74"/>
      <c r="AG1051" s="7"/>
      <c r="AH1051" s="73" t="s">
        <v>21338</v>
      </c>
      <c r="AI1051" s="7"/>
      <c r="AJ1051" s="7"/>
      <c r="AK1051" s="7"/>
      <c r="AL1051" s="7"/>
      <c r="AM1051" s="6"/>
      <c r="AN1051" s="7"/>
      <c r="AO1051" s="7"/>
      <c r="AP1051" s="65">
        <v>30811.0</v>
      </c>
      <c r="AQ1051" s="6"/>
      <c r="AR1051" s="6"/>
      <c r="AS1051" s="6"/>
    </row>
    <row r="1052" ht="15.75" customHeight="1">
      <c r="A1052" s="6" t="s">
        <v>11059</v>
      </c>
      <c r="B1052" s="6" t="s">
        <v>21339</v>
      </c>
      <c r="C1052" s="7"/>
      <c r="D1052" s="7"/>
      <c r="E1052" s="7"/>
      <c r="F1052" s="7"/>
      <c r="G1052" s="7"/>
      <c r="H1052" s="7"/>
      <c r="I1052" s="7"/>
      <c r="J1052" s="7"/>
      <c r="K1052" s="7"/>
      <c r="L1052" s="7"/>
      <c r="M1052" s="6" t="s">
        <v>123</v>
      </c>
      <c r="N1052" s="7"/>
      <c r="O1052" s="6" t="s">
        <v>4783</v>
      </c>
      <c r="P1052" s="42"/>
      <c r="Q1052" s="43"/>
      <c r="R1052" s="50"/>
      <c r="S1052" s="51"/>
      <c r="T1052" s="7"/>
      <c r="U1052" s="7"/>
      <c r="V1052" s="7"/>
      <c r="W1052" s="7"/>
      <c r="X1052" s="7"/>
      <c r="Y1052" s="7"/>
      <c r="Z1052" s="7"/>
      <c r="AA1052" s="7"/>
      <c r="AB1052" s="7"/>
      <c r="AC1052" s="7"/>
      <c r="AD1052" s="7"/>
      <c r="AE1052" s="6" t="s">
        <v>12355</v>
      </c>
      <c r="AF1052" s="74"/>
      <c r="AG1052" s="7"/>
      <c r="AH1052" s="73" t="s">
        <v>21340</v>
      </c>
      <c r="AI1052" s="7"/>
      <c r="AJ1052" s="7"/>
      <c r="AK1052" s="7"/>
      <c r="AL1052" s="7"/>
      <c r="AM1052" s="6"/>
      <c r="AN1052" s="7"/>
      <c r="AO1052" s="7"/>
      <c r="AP1052" s="65">
        <v>30811.0</v>
      </c>
      <c r="AQ1052" s="6"/>
      <c r="AR1052" s="6"/>
      <c r="AS1052" s="6"/>
    </row>
    <row r="1053" ht="15.75" customHeight="1">
      <c r="A1053" s="6" t="s">
        <v>11061</v>
      </c>
      <c r="B1053" s="6" t="s">
        <v>21341</v>
      </c>
      <c r="C1053" s="7"/>
      <c r="D1053" s="7"/>
      <c r="E1053" s="7"/>
      <c r="F1053" s="7"/>
      <c r="G1053" s="7"/>
      <c r="H1053" s="7"/>
      <c r="I1053" s="7"/>
      <c r="J1053" s="7"/>
      <c r="K1053" s="7"/>
      <c r="L1053" s="7"/>
      <c r="M1053" s="6" t="s">
        <v>123</v>
      </c>
      <c r="N1053" s="7"/>
      <c r="O1053" s="6" t="s">
        <v>6128</v>
      </c>
      <c r="P1053" s="42"/>
      <c r="Q1053" s="43"/>
      <c r="R1053" s="50"/>
      <c r="S1053" s="51"/>
      <c r="T1053" s="7"/>
      <c r="U1053" s="7"/>
      <c r="V1053" s="7"/>
      <c r="W1053" s="7"/>
      <c r="X1053" s="7"/>
      <c r="Y1053" s="7"/>
      <c r="Z1053" s="7"/>
      <c r="AA1053" s="7"/>
      <c r="AB1053" s="7"/>
      <c r="AC1053" s="7"/>
      <c r="AD1053" s="7"/>
      <c r="AE1053" s="6" t="s">
        <v>12355</v>
      </c>
      <c r="AF1053" s="74"/>
      <c r="AG1053" s="7"/>
      <c r="AH1053" s="73" t="s">
        <v>21342</v>
      </c>
      <c r="AI1053" s="7"/>
      <c r="AJ1053" s="7"/>
      <c r="AK1053" s="7"/>
      <c r="AL1053" s="7"/>
      <c r="AM1053" s="6"/>
      <c r="AN1053" s="7"/>
      <c r="AO1053" s="7"/>
      <c r="AP1053" s="65">
        <v>30811.0</v>
      </c>
      <c r="AQ1053" s="6"/>
      <c r="AR1053" s="6"/>
      <c r="AS1053" s="6"/>
    </row>
    <row r="1054" ht="15.75" customHeight="1">
      <c r="A1054" s="6" t="s">
        <v>11064</v>
      </c>
      <c r="B1054" s="6" t="s">
        <v>2973</v>
      </c>
      <c r="C1054" s="7"/>
      <c r="D1054" s="7"/>
      <c r="E1054" s="7"/>
      <c r="F1054" s="7"/>
      <c r="G1054" s="7"/>
      <c r="H1054" s="7"/>
      <c r="I1054" s="7"/>
      <c r="J1054" s="7"/>
      <c r="K1054" s="7"/>
      <c r="L1054" s="7"/>
      <c r="M1054" s="6" t="s">
        <v>123</v>
      </c>
      <c r="N1054" s="7"/>
      <c r="O1054" s="6" t="s">
        <v>7746</v>
      </c>
      <c r="P1054" s="42"/>
      <c r="Q1054" s="43"/>
      <c r="R1054" s="50"/>
      <c r="S1054" s="51"/>
      <c r="T1054" s="7"/>
      <c r="U1054" s="7"/>
      <c r="V1054" s="7"/>
      <c r="W1054" s="7"/>
      <c r="X1054" s="7"/>
      <c r="Y1054" s="7"/>
      <c r="Z1054" s="7"/>
      <c r="AA1054" s="7"/>
      <c r="AB1054" s="7"/>
      <c r="AC1054" s="7"/>
      <c r="AD1054" s="7"/>
      <c r="AE1054" s="6" t="s">
        <v>12355</v>
      </c>
      <c r="AF1054" s="74"/>
      <c r="AG1054" s="7"/>
      <c r="AH1054" s="73" t="s">
        <v>21343</v>
      </c>
      <c r="AI1054" s="7"/>
      <c r="AJ1054" s="7"/>
      <c r="AK1054" s="7"/>
      <c r="AL1054" s="7"/>
      <c r="AM1054" s="6"/>
      <c r="AN1054" s="7"/>
      <c r="AO1054" s="7"/>
      <c r="AP1054" s="65">
        <v>30811.0</v>
      </c>
      <c r="AQ1054" s="6"/>
      <c r="AR1054" s="6"/>
      <c r="AS1054" s="6"/>
    </row>
    <row r="1055" ht="15.75" customHeight="1">
      <c r="A1055" s="6" t="s">
        <v>11066</v>
      </c>
      <c r="B1055" s="6" t="s">
        <v>21344</v>
      </c>
      <c r="C1055" s="7"/>
      <c r="D1055" s="7"/>
      <c r="E1055" s="7"/>
      <c r="F1055" s="7"/>
      <c r="G1055" s="7"/>
      <c r="H1055" s="7"/>
      <c r="I1055" s="7"/>
      <c r="J1055" s="7"/>
      <c r="K1055" s="7"/>
      <c r="L1055" s="7"/>
      <c r="M1055" s="6" t="s">
        <v>123</v>
      </c>
      <c r="N1055" s="7"/>
      <c r="O1055" s="6"/>
      <c r="P1055" s="42"/>
      <c r="Q1055" s="43"/>
      <c r="R1055" s="50"/>
      <c r="S1055" s="51"/>
      <c r="T1055" s="7"/>
      <c r="U1055" s="7"/>
      <c r="V1055" s="7"/>
      <c r="W1055" s="7"/>
      <c r="X1055" s="7"/>
      <c r="Y1055" s="7"/>
      <c r="Z1055" s="7"/>
      <c r="AA1055" s="7"/>
      <c r="AB1055" s="7"/>
      <c r="AC1055" s="7"/>
      <c r="AD1055" s="7"/>
      <c r="AE1055" s="6" t="s">
        <v>12355</v>
      </c>
      <c r="AF1055" s="74"/>
      <c r="AG1055" s="7"/>
      <c r="AH1055" s="73" t="s">
        <v>21345</v>
      </c>
      <c r="AI1055" s="7"/>
      <c r="AJ1055" s="7"/>
      <c r="AK1055" s="7"/>
      <c r="AL1055" s="7"/>
      <c r="AM1055" s="6"/>
      <c r="AN1055" s="7"/>
      <c r="AO1055" s="7"/>
      <c r="AP1055" s="65">
        <v>30811.0</v>
      </c>
      <c r="AQ1055" s="6"/>
      <c r="AR1055" s="6"/>
      <c r="AS1055" s="6"/>
    </row>
    <row r="1056" ht="15.75" customHeight="1">
      <c r="A1056" s="6" t="s">
        <v>11068</v>
      </c>
      <c r="B1056" s="6" t="s">
        <v>21346</v>
      </c>
      <c r="C1056" s="7"/>
      <c r="D1056" s="7"/>
      <c r="E1056" s="7"/>
      <c r="F1056" s="7"/>
      <c r="G1056" s="7"/>
      <c r="H1056" s="7"/>
      <c r="I1056" s="7"/>
      <c r="J1056" s="7"/>
      <c r="K1056" s="7"/>
      <c r="L1056" s="7"/>
      <c r="M1056" s="6" t="s">
        <v>19729</v>
      </c>
      <c r="N1056" s="7"/>
      <c r="O1056" s="6" t="s">
        <v>1852</v>
      </c>
      <c r="P1056" s="42"/>
      <c r="Q1056" s="43"/>
      <c r="R1056" s="50"/>
      <c r="S1056" s="51"/>
      <c r="T1056" s="7"/>
      <c r="U1056" s="7"/>
      <c r="V1056" s="7"/>
      <c r="W1056" s="7"/>
      <c r="X1056" s="7"/>
      <c r="Y1056" s="7"/>
      <c r="Z1056" s="7"/>
      <c r="AA1056" s="7"/>
      <c r="AB1056" s="7"/>
      <c r="AC1056" s="7"/>
      <c r="AD1056" s="7"/>
      <c r="AE1056" s="6" t="s">
        <v>12355</v>
      </c>
      <c r="AF1056" s="74"/>
      <c r="AG1056" s="7"/>
      <c r="AH1056" s="73" t="s">
        <v>21347</v>
      </c>
      <c r="AI1056" s="7"/>
      <c r="AJ1056" s="7"/>
      <c r="AK1056" s="7"/>
      <c r="AL1056" s="7"/>
      <c r="AM1056" s="6"/>
      <c r="AN1056" s="6" t="s">
        <v>11068</v>
      </c>
      <c r="AO1056" s="7"/>
      <c r="AP1056" s="65">
        <v>30811.0</v>
      </c>
      <c r="AQ1056" s="6"/>
      <c r="AR1056" s="6" t="s">
        <v>21348</v>
      </c>
      <c r="AS1056" s="6"/>
    </row>
    <row r="1057" ht="15.75" customHeight="1">
      <c r="A1057" s="6" t="s">
        <v>21349</v>
      </c>
      <c r="B1057" s="6" t="s">
        <v>2403</v>
      </c>
      <c r="C1057" s="7"/>
      <c r="D1057" s="7"/>
      <c r="E1057" s="7"/>
      <c r="F1057" s="7"/>
      <c r="G1057" s="7"/>
      <c r="H1057" s="7"/>
      <c r="I1057" s="7"/>
      <c r="J1057" s="7"/>
      <c r="K1057" s="7"/>
      <c r="L1057" s="7"/>
      <c r="M1057" s="6" t="s">
        <v>71</v>
      </c>
      <c r="N1057" s="7"/>
      <c r="O1057" s="6" t="s">
        <v>21029</v>
      </c>
      <c r="P1057" s="42"/>
      <c r="Q1057" s="43"/>
      <c r="R1057" s="50"/>
      <c r="S1057" s="51"/>
      <c r="T1057" s="7"/>
      <c r="U1057" s="7"/>
      <c r="V1057" s="7"/>
      <c r="W1057" s="7"/>
      <c r="X1057" s="7"/>
      <c r="Y1057" s="7"/>
      <c r="Z1057" s="7"/>
      <c r="AA1057" s="7"/>
      <c r="AB1057" s="7"/>
      <c r="AC1057" s="7"/>
      <c r="AD1057" s="7"/>
      <c r="AE1057" s="6" t="s">
        <v>12355</v>
      </c>
      <c r="AF1057" s="74"/>
      <c r="AG1057" s="7"/>
      <c r="AH1057" s="73" t="s">
        <v>21350</v>
      </c>
      <c r="AI1057" s="7"/>
      <c r="AJ1057" s="7"/>
      <c r="AK1057" s="7"/>
      <c r="AL1057" s="7"/>
      <c r="AM1057" s="6"/>
      <c r="AN1057" s="7"/>
      <c r="AO1057" s="7"/>
      <c r="AP1057" s="65">
        <v>30811.0</v>
      </c>
      <c r="AQ1057" s="6"/>
      <c r="AR1057" s="6"/>
      <c r="AS1057" s="6"/>
    </row>
    <row r="1058" ht="15.75" customHeight="1">
      <c r="A1058" s="6" t="s">
        <v>11070</v>
      </c>
      <c r="B1058" s="6" t="s">
        <v>21351</v>
      </c>
      <c r="C1058" s="7"/>
      <c r="D1058" s="7"/>
      <c r="E1058" s="7"/>
      <c r="F1058" s="7"/>
      <c r="G1058" s="7"/>
      <c r="H1058" s="7"/>
      <c r="I1058" s="7"/>
      <c r="J1058" s="7"/>
      <c r="K1058" s="7"/>
      <c r="L1058" s="7"/>
      <c r="M1058" s="6" t="s">
        <v>40</v>
      </c>
      <c r="N1058" s="7"/>
      <c r="O1058" s="6" t="s">
        <v>2075</v>
      </c>
      <c r="P1058" s="42"/>
      <c r="Q1058" s="43"/>
      <c r="R1058" s="50"/>
      <c r="S1058" s="51"/>
      <c r="T1058" s="7"/>
      <c r="U1058" s="7"/>
      <c r="V1058" s="7"/>
      <c r="W1058" s="7"/>
      <c r="X1058" s="7"/>
      <c r="Y1058" s="7"/>
      <c r="Z1058" s="7"/>
      <c r="AA1058" s="7"/>
      <c r="AB1058" s="7"/>
      <c r="AC1058" s="7"/>
      <c r="AD1058" s="7"/>
      <c r="AE1058" s="6" t="s">
        <v>12355</v>
      </c>
      <c r="AF1058" s="74"/>
      <c r="AG1058" s="7"/>
      <c r="AH1058" s="73" t="s">
        <v>21352</v>
      </c>
      <c r="AI1058" s="7"/>
      <c r="AJ1058" s="7"/>
      <c r="AK1058" s="7"/>
      <c r="AL1058" s="7"/>
      <c r="AM1058" s="6"/>
      <c r="AN1058" s="7"/>
      <c r="AO1058" s="7"/>
      <c r="AP1058" s="65">
        <v>30811.0</v>
      </c>
      <c r="AQ1058" s="6"/>
      <c r="AR1058" s="6"/>
      <c r="AS1058" s="6"/>
    </row>
    <row r="1059" ht="15.75" customHeight="1">
      <c r="A1059" s="6" t="s">
        <v>11072</v>
      </c>
      <c r="B1059" s="6" t="s">
        <v>21353</v>
      </c>
      <c r="C1059" s="7"/>
      <c r="D1059" s="7"/>
      <c r="E1059" s="7"/>
      <c r="F1059" s="7"/>
      <c r="G1059" s="7"/>
      <c r="H1059" s="7"/>
      <c r="I1059" s="7"/>
      <c r="J1059" s="7"/>
      <c r="K1059" s="7"/>
      <c r="L1059" s="7"/>
      <c r="M1059" s="6" t="s">
        <v>71</v>
      </c>
      <c r="N1059" s="7"/>
      <c r="O1059" s="6"/>
      <c r="P1059" s="42"/>
      <c r="Q1059" s="43"/>
      <c r="R1059" s="50"/>
      <c r="S1059" s="51"/>
      <c r="T1059" s="7"/>
      <c r="U1059" s="7"/>
      <c r="V1059" s="7"/>
      <c r="W1059" s="7"/>
      <c r="X1059" s="7"/>
      <c r="Y1059" s="7"/>
      <c r="Z1059" s="7"/>
      <c r="AA1059" s="7"/>
      <c r="AB1059" s="7"/>
      <c r="AC1059" s="7"/>
      <c r="AD1059" s="7"/>
      <c r="AE1059" s="6" t="s">
        <v>12355</v>
      </c>
      <c r="AF1059" s="74"/>
      <c r="AG1059" s="7"/>
      <c r="AH1059" s="73" t="s">
        <v>21354</v>
      </c>
      <c r="AI1059" s="7"/>
      <c r="AJ1059" s="7"/>
      <c r="AK1059" s="7"/>
      <c r="AL1059" s="7"/>
      <c r="AM1059" s="6"/>
      <c r="AN1059" s="7"/>
      <c r="AO1059" s="7"/>
      <c r="AP1059" s="65">
        <v>30811.0</v>
      </c>
      <c r="AQ1059" s="6"/>
      <c r="AR1059" s="6"/>
      <c r="AS1059" s="6"/>
    </row>
    <row r="1060" ht="15.75" customHeight="1">
      <c r="A1060" s="6" t="s">
        <v>11074</v>
      </c>
      <c r="B1060" s="6" t="s">
        <v>21355</v>
      </c>
      <c r="C1060" s="7"/>
      <c r="D1060" s="7"/>
      <c r="E1060" s="7"/>
      <c r="F1060" s="7"/>
      <c r="G1060" s="7"/>
      <c r="H1060" s="7"/>
      <c r="I1060" s="7"/>
      <c r="J1060" s="7"/>
      <c r="K1060" s="7"/>
      <c r="L1060" s="7"/>
      <c r="M1060" s="6" t="s">
        <v>71</v>
      </c>
      <c r="N1060" s="7"/>
      <c r="O1060" s="6" t="s">
        <v>1619</v>
      </c>
      <c r="P1060" s="42"/>
      <c r="Q1060" s="43"/>
      <c r="R1060" s="50"/>
      <c r="S1060" s="51"/>
      <c r="T1060" s="7"/>
      <c r="U1060" s="7"/>
      <c r="V1060" s="7"/>
      <c r="W1060" s="7"/>
      <c r="X1060" s="7"/>
      <c r="Y1060" s="7"/>
      <c r="Z1060" s="7"/>
      <c r="AA1060" s="7"/>
      <c r="AB1060" s="7"/>
      <c r="AC1060" s="7"/>
      <c r="AD1060" s="7"/>
      <c r="AE1060" s="6" t="s">
        <v>12355</v>
      </c>
      <c r="AF1060" s="74"/>
      <c r="AG1060" s="7"/>
      <c r="AH1060" s="73" t="s">
        <v>21356</v>
      </c>
      <c r="AI1060" s="7"/>
      <c r="AJ1060" s="7"/>
      <c r="AK1060" s="7"/>
      <c r="AL1060" s="7"/>
      <c r="AM1060" s="6"/>
      <c r="AN1060" s="7"/>
      <c r="AO1060" s="7"/>
      <c r="AP1060" s="65">
        <v>30811.0</v>
      </c>
      <c r="AQ1060" s="6"/>
      <c r="AR1060" s="6"/>
      <c r="AS1060" s="6"/>
    </row>
    <row r="1061" ht="15.75" customHeight="1">
      <c r="A1061" s="6" t="s">
        <v>11076</v>
      </c>
      <c r="B1061" s="6" t="s">
        <v>21357</v>
      </c>
      <c r="C1061" s="7"/>
      <c r="D1061" s="7"/>
      <c r="E1061" s="7"/>
      <c r="F1061" s="7"/>
      <c r="G1061" s="7"/>
      <c r="H1061" s="7"/>
      <c r="I1061" s="7"/>
      <c r="J1061" s="7"/>
      <c r="K1061" s="7"/>
      <c r="L1061" s="7"/>
      <c r="M1061" s="6" t="s">
        <v>71</v>
      </c>
      <c r="N1061" s="7"/>
      <c r="O1061" s="6" t="s">
        <v>3791</v>
      </c>
      <c r="P1061" s="42"/>
      <c r="Q1061" s="43"/>
      <c r="R1061" s="50"/>
      <c r="S1061" s="51"/>
      <c r="T1061" s="7"/>
      <c r="U1061" s="7"/>
      <c r="V1061" s="7"/>
      <c r="W1061" s="7"/>
      <c r="X1061" s="7"/>
      <c r="Y1061" s="7"/>
      <c r="Z1061" s="7"/>
      <c r="AA1061" s="7"/>
      <c r="AB1061" s="7"/>
      <c r="AC1061" s="7"/>
      <c r="AD1061" s="7"/>
      <c r="AE1061" s="6" t="s">
        <v>12355</v>
      </c>
      <c r="AF1061" s="74"/>
      <c r="AG1061" s="7"/>
      <c r="AH1061" s="73" t="s">
        <v>21358</v>
      </c>
      <c r="AI1061" s="7"/>
      <c r="AJ1061" s="7"/>
      <c r="AK1061" s="7"/>
      <c r="AL1061" s="7"/>
      <c r="AM1061" s="6"/>
      <c r="AN1061" s="7"/>
      <c r="AO1061" s="7"/>
      <c r="AP1061" s="65">
        <v>30811.0</v>
      </c>
      <c r="AQ1061" s="6"/>
      <c r="AR1061" s="6"/>
      <c r="AS1061" s="6"/>
    </row>
    <row r="1062" ht="15.75" customHeight="1">
      <c r="A1062" s="6" t="s">
        <v>11078</v>
      </c>
      <c r="B1062" s="6" t="s">
        <v>21359</v>
      </c>
      <c r="C1062" s="7"/>
      <c r="D1062" s="7"/>
      <c r="E1062" s="7"/>
      <c r="F1062" s="7"/>
      <c r="G1062" s="7"/>
      <c r="H1062" s="7"/>
      <c r="I1062" s="7"/>
      <c r="J1062" s="7"/>
      <c r="K1062" s="7"/>
      <c r="L1062" s="7"/>
      <c r="M1062" s="6" t="s">
        <v>123</v>
      </c>
      <c r="N1062" s="7"/>
      <c r="O1062" s="6" t="s">
        <v>5034</v>
      </c>
      <c r="P1062" s="42"/>
      <c r="Q1062" s="43"/>
      <c r="R1062" s="50"/>
      <c r="S1062" s="51"/>
      <c r="T1062" s="7"/>
      <c r="U1062" s="7"/>
      <c r="V1062" s="7"/>
      <c r="W1062" s="7"/>
      <c r="X1062" s="7"/>
      <c r="Y1062" s="7"/>
      <c r="Z1062" s="7"/>
      <c r="AA1062" s="7"/>
      <c r="AB1062" s="7"/>
      <c r="AC1062" s="7"/>
      <c r="AD1062" s="7"/>
      <c r="AE1062" s="6" t="s">
        <v>12355</v>
      </c>
      <c r="AF1062" s="74"/>
      <c r="AG1062" s="7"/>
      <c r="AH1062" s="73" t="s">
        <v>21360</v>
      </c>
      <c r="AI1062" s="7"/>
      <c r="AJ1062" s="7"/>
      <c r="AK1062" s="7"/>
      <c r="AL1062" s="7"/>
      <c r="AM1062" s="6"/>
      <c r="AN1062" s="7"/>
      <c r="AO1062" s="7"/>
      <c r="AP1062" s="65">
        <v>30811.0</v>
      </c>
      <c r="AQ1062" s="6"/>
      <c r="AR1062" s="6"/>
      <c r="AS1062" s="6"/>
    </row>
    <row r="1063" ht="15.75" customHeight="1">
      <c r="A1063" s="6" t="s">
        <v>11080</v>
      </c>
      <c r="B1063" s="6" t="s">
        <v>21361</v>
      </c>
      <c r="C1063" s="7"/>
      <c r="D1063" s="7"/>
      <c r="E1063" s="7"/>
      <c r="F1063" s="7"/>
      <c r="G1063" s="7"/>
      <c r="H1063" s="7"/>
      <c r="I1063" s="7"/>
      <c r="J1063" s="7"/>
      <c r="K1063" s="7"/>
      <c r="L1063" s="7"/>
      <c r="M1063" s="6" t="s">
        <v>71</v>
      </c>
      <c r="N1063" s="7"/>
      <c r="O1063" s="6" t="s">
        <v>6988</v>
      </c>
      <c r="P1063" s="42"/>
      <c r="Q1063" s="43"/>
      <c r="R1063" s="50"/>
      <c r="S1063" s="51"/>
      <c r="T1063" s="7"/>
      <c r="U1063" s="7"/>
      <c r="V1063" s="7"/>
      <c r="W1063" s="7"/>
      <c r="X1063" s="7"/>
      <c r="Y1063" s="7"/>
      <c r="Z1063" s="7"/>
      <c r="AA1063" s="7"/>
      <c r="AB1063" s="7"/>
      <c r="AC1063" s="7"/>
      <c r="AD1063" s="7"/>
      <c r="AE1063" s="6" t="s">
        <v>12355</v>
      </c>
      <c r="AF1063" s="74"/>
      <c r="AG1063" s="7"/>
      <c r="AH1063" s="73" t="s">
        <v>21362</v>
      </c>
      <c r="AI1063" s="7"/>
      <c r="AJ1063" s="7"/>
      <c r="AK1063" s="7"/>
      <c r="AL1063" s="7"/>
      <c r="AM1063" s="6"/>
      <c r="AN1063" s="7"/>
      <c r="AO1063" s="7"/>
      <c r="AP1063" s="65">
        <v>30811.0</v>
      </c>
      <c r="AQ1063" s="6"/>
      <c r="AR1063" s="6"/>
      <c r="AS1063" s="6"/>
    </row>
    <row r="1064" ht="15.75" customHeight="1">
      <c r="A1064" s="6" t="s">
        <v>11082</v>
      </c>
      <c r="B1064" s="6" t="s">
        <v>21363</v>
      </c>
      <c r="C1064" s="7"/>
      <c r="D1064" s="7"/>
      <c r="E1064" s="7"/>
      <c r="F1064" s="7"/>
      <c r="G1064" s="7"/>
      <c r="H1064" s="7"/>
      <c r="I1064" s="7"/>
      <c r="J1064" s="7"/>
      <c r="K1064" s="7"/>
      <c r="L1064" s="7"/>
      <c r="M1064" s="6" t="s">
        <v>33</v>
      </c>
      <c r="N1064" s="7"/>
      <c r="O1064" s="6" t="s">
        <v>7771</v>
      </c>
      <c r="P1064" s="42"/>
      <c r="Q1064" s="43"/>
      <c r="R1064" s="50"/>
      <c r="S1064" s="51"/>
      <c r="T1064" s="7"/>
      <c r="U1064" s="7"/>
      <c r="V1064" s="7"/>
      <c r="W1064" s="7"/>
      <c r="X1064" s="7"/>
      <c r="Y1064" s="7"/>
      <c r="Z1064" s="7"/>
      <c r="AA1064" s="7"/>
      <c r="AB1064" s="7"/>
      <c r="AC1064" s="7"/>
      <c r="AD1064" s="7"/>
      <c r="AE1064" s="6" t="s">
        <v>12355</v>
      </c>
      <c r="AF1064" s="74"/>
      <c r="AG1064" s="7"/>
      <c r="AH1064" s="73" t="s">
        <v>21364</v>
      </c>
      <c r="AI1064" s="7"/>
      <c r="AJ1064" s="7"/>
      <c r="AK1064" s="7"/>
      <c r="AL1064" s="7"/>
      <c r="AM1064" s="6"/>
      <c r="AN1064" s="7"/>
      <c r="AO1064" s="7"/>
      <c r="AP1064" s="65">
        <v>30811.0</v>
      </c>
      <c r="AQ1064" s="6"/>
      <c r="AR1064" s="6"/>
      <c r="AS1064" s="6"/>
    </row>
    <row r="1065" ht="15.75" customHeight="1">
      <c r="A1065" s="6" t="s">
        <v>11084</v>
      </c>
      <c r="B1065" s="6" t="s">
        <v>21365</v>
      </c>
      <c r="C1065" s="7"/>
      <c r="D1065" s="7"/>
      <c r="E1065" s="7"/>
      <c r="F1065" s="7"/>
      <c r="G1065" s="7"/>
      <c r="H1065" s="7"/>
      <c r="I1065" s="7"/>
      <c r="J1065" s="7"/>
      <c r="K1065" s="7"/>
      <c r="L1065" s="7"/>
      <c r="M1065" s="6" t="s">
        <v>40</v>
      </c>
      <c r="N1065" s="7"/>
      <c r="O1065" s="6"/>
      <c r="P1065" s="42"/>
      <c r="Q1065" s="43"/>
      <c r="R1065" s="50"/>
      <c r="S1065" s="51"/>
      <c r="T1065" s="7"/>
      <c r="U1065" s="7"/>
      <c r="V1065" s="7"/>
      <c r="W1065" s="7"/>
      <c r="X1065" s="7"/>
      <c r="Y1065" s="7"/>
      <c r="Z1065" s="7"/>
      <c r="AA1065" s="7"/>
      <c r="AB1065" s="7"/>
      <c r="AC1065" s="7"/>
      <c r="AD1065" s="7"/>
      <c r="AE1065" s="6" t="s">
        <v>12355</v>
      </c>
      <c r="AF1065" s="74"/>
      <c r="AG1065" s="7"/>
      <c r="AH1065" s="73" t="s">
        <v>21366</v>
      </c>
      <c r="AI1065" s="7"/>
      <c r="AJ1065" s="7"/>
      <c r="AK1065" s="7"/>
      <c r="AL1065" s="7"/>
      <c r="AM1065" s="6"/>
      <c r="AN1065" s="7"/>
      <c r="AO1065" s="7"/>
      <c r="AP1065" s="65">
        <v>30811.0</v>
      </c>
      <c r="AQ1065" s="6"/>
      <c r="AR1065" s="6"/>
      <c r="AS1065" s="6"/>
    </row>
    <row r="1066" ht="15.75" customHeight="1">
      <c r="A1066" s="6" t="s">
        <v>11086</v>
      </c>
      <c r="B1066" s="6" t="s">
        <v>21367</v>
      </c>
      <c r="C1066" s="7"/>
      <c r="D1066" s="7"/>
      <c r="E1066" s="7"/>
      <c r="F1066" s="7"/>
      <c r="G1066" s="7"/>
      <c r="H1066" s="7"/>
      <c r="I1066" s="7"/>
      <c r="J1066" s="7"/>
      <c r="K1066" s="7"/>
      <c r="L1066" s="7"/>
      <c r="M1066" s="6" t="s">
        <v>123</v>
      </c>
      <c r="N1066" s="7"/>
      <c r="O1066" s="6"/>
      <c r="P1066" s="42"/>
      <c r="Q1066" s="43"/>
      <c r="R1066" s="50"/>
      <c r="S1066" s="51"/>
      <c r="T1066" s="7"/>
      <c r="U1066" s="7"/>
      <c r="V1066" s="7"/>
      <c r="W1066" s="7"/>
      <c r="X1066" s="7"/>
      <c r="Y1066" s="7"/>
      <c r="Z1066" s="7"/>
      <c r="AA1066" s="7"/>
      <c r="AB1066" s="7"/>
      <c r="AC1066" s="7"/>
      <c r="AD1066" s="7"/>
      <c r="AE1066" s="6" t="s">
        <v>12355</v>
      </c>
      <c r="AF1066" s="74"/>
      <c r="AG1066" s="7"/>
      <c r="AH1066" s="73" t="s">
        <v>21368</v>
      </c>
      <c r="AI1066" s="7"/>
      <c r="AJ1066" s="7"/>
      <c r="AK1066" s="7"/>
      <c r="AL1066" s="7"/>
      <c r="AM1066" s="6"/>
      <c r="AN1066" s="7"/>
      <c r="AO1066" s="7"/>
      <c r="AP1066" s="65">
        <v>30811.0</v>
      </c>
      <c r="AQ1066" s="6"/>
      <c r="AR1066" s="6"/>
      <c r="AS1066" s="6"/>
    </row>
    <row r="1067" ht="15.75" customHeight="1">
      <c r="A1067" s="6" t="s">
        <v>21369</v>
      </c>
      <c r="B1067" s="6" t="s">
        <v>21370</v>
      </c>
      <c r="C1067" s="7"/>
      <c r="D1067" s="7"/>
      <c r="E1067" s="7"/>
      <c r="F1067" s="7"/>
      <c r="G1067" s="7"/>
      <c r="H1067" s="7"/>
      <c r="I1067" s="7"/>
      <c r="J1067" s="7"/>
      <c r="K1067" s="7"/>
      <c r="L1067" s="7"/>
      <c r="M1067" s="6" t="s">
        <v>33</v>
      </c>
      <c r="N1067" s="7"/>
      <c r="O1067" s="6" t="s">
        <v>1386</v>
      </c>
      <c r="P1067" s="42"/>
      <c r="Q1067" s="43"/>
      <c r="R1067" s="50"/>
      <c r="S1067" s="51"/>
      <c r="T1067" s="7"/>
      <c r="U1067" s="7"/>
      <c r="V1067" s="7"/>
      <c r="W1067" s="7"/>
      <c r="X1067" s="7"/>
      <c r="Y1067" s="7"/>
      <c r="Z1067" s="7"/>
      <c r="AA1067" s="7"/>
      <c r="AB1067" s="7"/>
      <c r="AC1067" s="7"/>
      <c r="AD1067" s="7"/>
      <c r="AE1067" s="6" t="s">
        <v>12355</v>
      </c>
      <c r="AF1067" s="74"/>
      <c r="AG1067" s="7"/>
      <c r="AH1067" s="73" t="s">
        <v>21371</v>
      </c>
      <c r="AI1067" s="7"/>
      <c r="AJ1067" s="7"/>
      <c r="AK1067" s="7"/>
      <c r="AL1067" s="7"/>
      <c r="AM1067" s="6"/>
      <c r="AN1067" s="7"/>
      <c r="AO1067" s="7"/>
      <c r="AP1067" s="65">
        <v>30811.0</v>
      </c>
      <c r="AQ1067" s="6"/>
      <c r="AR1067" s="6"/>
      <c r="AS1067" s="6"/>
    </row>
    <row r="1068" ht="15.75" customHeight="1">
      <c r="A1068" s="6" t="s">
        <v>11088</v>
      </c>
      <c r="B1068" s="6" t="s">
        <v>21370</v>
      </c>
      <c r="C1068" s="7"/>
      <c r="D1068" s="7"/>
      <c r="E1068" s="7"/>
      <c r="F1068" s="7"/>
      <c r="G1068" s="7"/>
      <c r="H1068" s="7"/>
      <c r="I1068" s="7"/>
      <c r="J1068" s="7"/>
      <c r="K1068" s="7"/>
      <c r="L1068" s="7"/>
      <c r="M1068" s="6" t="s">
        <v>33</v>
      </c>
      <c r="N1068" s="7"/>
      <c r="O1068" s="6" t="s">
        <v>1386</v>
      </c>
      <c r="P1068" s="42"/>
      <c r="Q1068" s="43"/>
      <c r="R1068" s="50"/>
      <c r="S1068" s="51"/>
      <c r="T1068" s="7"/>
      <c r="U1068" s="7"/>
      <c r="V1068" s="7"/>
      <c r="W1068" s="7"/>
      <c r="X1068" s="7"/>
      <c r="Y1068" s="7"/>
      <c r="Z1068" s="7"/>
      <c r="AA1068" s="7"/>
      <c r="AB1068" s="7"/>
      <c r="AC1068" s="7"/>
      <c r="AD1068" s="7"/>
      <c r="AE1068" s="6" t="s">
        <v>12355</v>
      </c>
      <c r="AF1068" s="74"/>
      <c r="AG1068" s="7"/>
      <c r="AH1068" s="73" t="s">
        <v>21372</v>
      </c>
      <c r="AI1068" s="7"/>
      <c r="AJ1068" s="7"/>
      <c r="AK1068" s="7"/>
      <c r="AL1068" s="7"/>
      <c r="AM1068" s="6"/>
      <c r="AN1068" s="7"/>
      <c r="AO1068" s="7"/>
      <c r="AP1068" s="65">
        <v>30811.0</v>
      </c>
      <c r="AQ1068" s="6"/>
      <c r="AR1068" s="6"/>
      <c r="AS1068" s="6"/>
    </row>
    <row r="1069" ht="15.75" customHeight="1">
      <c r="A1069" s="6" t="s">
        <v>11090</v>
      </c>
      <c r="B1069" s="6" t="s">
        <v>21373</v>
      </c>
      <c r="C1069" s="7"/>
      <c r="D1069" s="7"/>
      <c r="E1069" s="7"/>
      <c r="F1069" s="7"/>
      <c r="G1069" s="7"/>
      <c r="H1069" s="7"/>
      <c r="I1069" s="7"/>
      <c r="J1069" s="7"/>
      <c r="K1069" s="7"/>
      <c r="L1069" s="7"/>
      <c r="M1069" s="6" t="s">
        <v>123</v>
      </c>
      <c r="N1069" s="7"/>
      <c r="O1069" s="6" t="s">
        <v>5188</v>
      </c>
      <c r="P1069" s="42"/>
      <c r="Q1069" s="43"/>
      <c r="R1069" s="50"/>
      <c r="S1069" s="51"/>
      <c r="T1069" s="7"/>
      <c r="U1069" s="7"/>
      <c r="V1069" s="7"/>
      <c r="W1069" s="7"/>
      <c r="X1069" s="7"/>
      <c r="Y1069" s="7"/>
      <c r="Z1069" s="7"/>
      <c r="AA1069" s="7"/>
      <c r="AB1069" s="7"/>
      <c r="AC1069" s="7"/>
      <c r="AD1069" s="7"/>
      <c r="AE1069" s="6" t="s">
        <v>12355</v>
      </c>
      <c r="AF1069" s="74"/>
      <c r="AG1069" s="7"/>
      <c r="AH1069" s="73" t="s">
        <v>21374</v>
      </c>
      <c r="AI1069" s="7"/>
      <c r="AJ1069" s="7"/>
      <c r="AK1069" s="7"/>
      <c r="AL1069" s="7"/>
      <c r="AM1069" s="6"/>
      <c r="AN1069" s="7"/>
      <c r="AO1069" s="7"/>
      <c r="AP1069" s="65">
        <v>30811.0</v>
      </c>
      <c r="AQ1069" s="6"/>
      <c r="AR1069" s="6"/>
      <c r="AS1069" s="6"/>
    </row>
    <row r="1070" ht="15.75" customHeight="1">
      <c r="A1070" s="6" t="s">
        <v>11092</v>
      </c>
      <c r="B1070" s="6" t="s">
        <v>5227</v>
      </c>
      <c r="C1070" s="7"/>
      <c r="D1070" s="7"/>
      <c r="E1070" s="7"/>
      <c r="F1070" s="7"/>
      <c r="G1070" s="7"/>
      <c r="H1070" s="7"/>
      <c r="I1070" s="7"/>
      <c r="J1070" s="7"/>
      <c r="K1070" s="7"/>
      <c r="L1070" s="7"/>
      <c r="M1070" s="6" t="s">
        <v>19729</v>
      </c>
      <c r="N1070" s="7"/>
      <c r="O1070" s="6" t="s">
        <v>5237</v>
      </c>
      <c r="P1070" s="42"/>
      <c r="Q1070" s="43"/>
      <c r="R1070" s="50"/>
      <c r="S1070" s="51"/>
      <c r="T1070" s="7"/>
      <c r="U1070" s="7"/>
      <c r="V1070" s="7"/>
      <c r="W1070" s="7"/>
      <c r="X1070" s="7"/>
      <c r="Y1070" s="7"/>
      <c r="Z1070" s="7"/>
      <c r="AA1070" s="7"/>
      <c r="AB1070" s="7"/>
      <c r="AC1070" s="7"/>
      <c r="AD1070" s="7"/>
      <c r="AE1070" s="6" t="s">
        <v>12355</v>
      </c>
      <c r="AF1070" s="74"/>
      <c r="AG1070" s="7"/>
      <c r="AH1070" s="73" t="s">
        <v>21375</v>
      </c>
      <c r="AI1070" s="7"/>
      <c r="AJ1070" s="7"/>
      <c r="AK1070" s="7"/>
      <c r="AL1070" s="7"/>
      <c r="AM1070" s="6"/>
      <c r="AN1070" s="6" t="s">
        <v>11092</v>
      </c>
      <c r="AO1070" s="7"/>
      <c r="AP1070" s="65">
        <v>30811.0</v>
      </c>
      <c r="AQ1070" s="6"/>
      <c r="AR1070" s="6" t="s">
        <v>21376</v>
      </c>
      <c r="AS1070" s="6"/>
    </row>
    <row r="1071" ht="15.75" customHeight="1">
      <c r="A1071" s="6" t="s">
        <v>11094</v>
      </c>
      <c r="B1071" s="6" t="s">
        <v>21377</v>
      </c>
      <c r="C1071" s="7"/>
      <c r="D1071" s="7"/>
      <c r="E1071" s="7"/>
      <c r="F1071" s="7"/>
      <c r="G1071" s="7"/>
      <c r="H1071" s="7"/>
      <c r="I1071" s="7"/>
      <c r="J1071" s="7"/>
      <c r="K1071" s="7"/>
      <c r="L1071" s="7"/>
      <c r="M1071" s="6" t="s">
        <v>123</v>
      </c>
      <c r="N1071" s="7"/>
      <c r="O1071" s="6" t="s">
        <v>6409</v>
      </c>
      <c r="P1071" s="42"/>
      <c r="Q1071" s="43"/>
      <c r="R1071" s="50"/>
      <c r="S1071" s="51"/>
      <c r="T1071" s="7"/>
      <c r="U1071" s="7"/>
      <c r="V1071" s="7"/>
      <c r="W1071" s="7"/>
      <c r="X1071" s="7"/>
      <c r="Y1071" s="7"/>
      <c r="Z1071" s="7"/>
      <c r="AA1071" s="7"/>
      <c r="AB1071" s="7"/>
      <c r="AC1071" s="7"/>
      <c r="AD1071" s="7"/>
      <c r="AE1071" s="6" t="s">
        <v>12355</v>
      </c>
      <c r="AF1071" s="74"/>
      <c r="AG1071" s="7"/>
      <c r="AH1071" s="73" t="s">
        <v>21378</v>
      </c>
      <c r="AI1071" s="7"/>
      <c r="AJ1071" s="7"/>
      <c r="AK1071" s="7"/>
      <c r="AL1071" s="7"/>
      <c r="AM1071" s="6"/>
      <c r="AN1071" s="7"/>
      <c r="AO1071" s="7"/>
      <c r="AP1071" s="65">
        <v>30811.0</v>
      </c>
      <c r="AQ1071" s="6"/>
      <c r="AR1071" s="6"/>
      <c r="AS1071" s="6"/>
    </row>
    <row r="1072" ht="15.75" customHeight="1">
      <c r="A1072" s="6" t="s">
        <v>11096</v>
      </c>
      <c r="B1072" s="6" t="s">
        <v>21379</v>
      </c>
      <c r="C1072" s="7"/>
      <c r="D1072" s="7"/>
      <c r="E1072" s="7"/>
      <c r="F1072" s="7"/>
      <c r="G1072" s="7"/>
      <c r="H1072" s="7"/>
      <c r="I1072" s="7"/>
      <c r="J1072" s="7"/>
      <c r="K1072" s="7"/>
      <c r="L1072" s="7"/>
      <c r="M1072" s="6" t="s">
        <v>71</v>
      </c>
      <c r="N1072" s="7"/>
      <c r="O1072" s="6" t="s">
        <v>1342</v>
      </c>
      <c r="P1072" s="42"/>
      <c r="Q1072" s="43"/>
      <c r="R1072" s="50"/>
      <c r="S1072" s="51"/>
      <c r="T1072" s="7"/>
      <c r="U1072" s="7"/>
      <c r="V1072" s="7"/>
      <c r="W1072" s="7"/>
      <c r="X1072" s="7"/>
      <c r="Y1072" s="7"/>
      <c r="Z1072" s="7"/>
      <c r="AA1072" s="7"/>
      <c r="AB1072" s="7"/>
      <c r="AC1072" s="7"/>
      <c r="AD1072" s="7"/>
      <c r="AE1072" s="6" t="s">
        <v>12355</v>
      </c>
      <c r="AF1072" s="74"/>
      <c r="AG1072" s="7"/>
      <c r="AH1072" s="73" t="s">
        <v>21380</v>
      </c>
      <c r="AI1072" s="7"/>
      <c r="AJ1072" s="7"/>
      <c r="AK1072" s="7"/>
      <c r="AL1072" s="7"/>
      <c r="AM1072" s="6"/>
      <c r="AN1072" s="7"/>
      <c r="AO1072" s="7"/>
      <c r="AP1072" s="65">
        <v>30811.0</v>
      </c>
      <c r="AQ1072" s="6"/>
      <c r="AR1072" s="6"/>
      <c r="AS1072" s="6"/>
    </row>
    <row r="1073" ht="15.75" customHeight="1">
      <c r="A1073" s="6" t="s">
        <v>11098</v>
      </c>
      <c r="B1073" s="6" t="s">
        <v>1775</v>
      </c>
      <c r="C1073" s="7"/>
      <c r="D1073" s="7"/>
      <c r="E1073" s="7"/>
      <c r="F1073" s="7"/>
      <c r="G1073" s="7"/>
      <c r="H1073" s="7"/>
      <c r="I1073" s="7"/>
      <c r="J1073" s="7"/>
      <c r="K1073" s="7"/>
      <c r="L1073" s="7"/>
      <c r="M1073" s="6" t="s">
        <v>40</v>
      </c>
      <c r="N1073" s="7"/>
      <c r="O1073" s="6" t="s">
        <v>1785</v>
      </c>
      <c r="P1073" s="42"/>
      <c r="Q1073" s="43"/>
      <c r="R1073" s="50"/>
      <c r="S1073" s="51"/>
      <c r="T1073" s="7"/>
      <c r="U1073" s="7"/>
      <c r="V1073" s="7"/>
      <c r="W1073" s="7"/>
      <c r="X1073" s="7"/>
      <c r="Y1073" s="7"/>
      <c r="Z1073" s="7"/>
      <c r="AA1073" s="7"/>
      <c r="AB1073" s="7"/>
      <c r="AC1073" s="7"/>
      <c r="AD1073" s="7"/>
      <c r="AE1073" s="6" t="s">
        <v>12355</v>
      </c>
      <c r="AF1073" s="74"/>
      <c r="AG1073" s="7"/>
      <c r="AH1073" s="73" t="s">
        <v>21381</v>
      </c>
      <c r="AI1073" s="7"/>
      <c r="AJ1073" s="7"/>
      <c r="AK1073" s="7"/>
      <c r="AL1073" s="7"/>
      <c r="AM1073" s="6"/>
      <c r="AN1073" s="7"/>
      <c r="AO1073" s="7"/>
      <c r="AP1073" s="65">
        <v>30811.0</v>
      </c>
      <c r="AQ1073" s="6"/>
      <c r="AR1073" s="6"/>
      <c r="AS1073" s="6"/>
    </row>
    <row r="1074" ht="15.75" customHeight="1">
      <c r="A1074" s="6" t="s">
        <v>11100</v>
      </c>
      <c r="B1074" s="6" t="s">
        <v>21382</v>
      </c>
      <c r="C1074" s="7"/>
      <c r="D1074" s="7"/>
      <c r="E1074" s="7"/>
      <c r="F1074" s="7"/>
      <c r="G1074" s="7"/>
      <c r="H1074" s="7"/>
      <c r="I1074" s="7"/>
      <c r="J1074" s="7"/>
      <c r="K1074" s="7"/>
      <c r="L1074" s="7"/>
      <c r="M1074" s="6" t="s">
        <v>19729</v>
      </c>
      <c r="N1074" s="7"/>
      <c r="O1074" s="6" t="s">
        <v>4624</v>
      </c>
      <c r="P1074" s="42"/>
      <c r="Q1074" s="43"/>
      <c r="R1074" s="50"/>
      <c r="S1074" s="51"/>
      <c r="T1074" s="7"/>
      <c r="U1074" s="7"/>
      <c r="V1074" s="7"/>
      <c r="W1074" s="7"/>
      <c r="X1074" s="7"/>
      <c r="Y1074" s="7"/>
      <c r="Z1074" s="7"/>
      <c r="AA1074" s="7"/>
      <c r="AB1074" s="7"/>
      <c r="AC1074" s="7"/>
      <c r="AD1074" s="7"/>
      <c r="AE1074" s="6" t="s">
        <v>12355</v>
      </c>
      <c r="AF1074" s="74"/>
      <c r="AG1074" s="7"/>
      <c r="AH1074" s="73" t="s">
        <v>21383</v>
      </c>
      <c r="AI1074" s="7"/>
      <c r="AJ1074" s="7"/>
      <c r="AK1074" s="7"/>
      <c r="AL1074" s="7"/>
      <c r="AM1074" s="6"/>
      <c r="AN1074" s="6" t="s">
        <v>11100</v>
      </c>
      <c r="AO1074" s="7"/>
      <c r="AP1074" s="65">
        <v>30811.0</v>
      </c>
      <c r="AQ1074" s="6" t="b">
        <v>1</v>
      </c>
      <c r="AR1074" s="6" t="s">
        <v>21384</v>
      </c>
      <c r="AS1074" s="6"/>
    </row>
    <row r="1075" ht="15.75" customHeight="1">
      <c r="A1075" s="6" t="s">
        <v>11102</v>
      </c>
      <c r="B1075" s="6" t="s">
        <v>21385</v>
      </c>
      <c r="C1075" s="7"/>
      <c r="D1075" s="7"/>
      <c r="E1075" s="7"/>
      <c r="F1075" s="7"/>
      <c r="G1075" s="7"/>
      <c r="H1075" s="7"/>
      <c r="I1075" s="7"/>
      <c r="J1075" s="7"/>
      <c r="K1075" s="7"/>
      <c r="L1075" s="7"/>
      <c r="M1075" s="6" t="s">
        <v>123</v>
      </c>
      <c r="N1075" s="7"/>
      <c r="O1075" s="6" t="s">
        <v>7181</v>
      </c>
      <c r="P1075" s="42"/>
      <c r="Q1075" s="43"/>
      <c r="R1075" s="50"/>
      <c r="S1075" s="51"/>
      <c r="T1075" s="7"/>
      <c r="U1075" s="7"/>
      <c r="V1075" s="7"/>
      <c r="W1075" s="7"/>
      <c r="X1075" s="7"/>
      <c r="Y1075" s="7"/>
      <c r="Z1075" s="7"/>
      <c r="AA1075" s="7"/>
      <c r="AB1075" s="7"/>
      <c r="AC1075" s="7"/>
      <c r="AD1075" s="7"/>
      <c r="AE1075" s="6" t="s">
        <v>12355</v>
      </c>
      <c r="AF1075" s="74"/>
      <c r="AG1075" s="7"/>
      <c r="AH1075" s="73" t="s">
        <v>21386</v>
      </c>
      <c r="AI1075" s="7"/>
      <c r="AJ1075" s="7"/>
      <c r="AK1075" s="7"/>
      <c r="AL1075" s="7"/>
      <c r="AM1075" s="6"/>
      <c r="AN1075" s="7"/>
      <c r="AO1075" s="7"/>
      <c r="AP1075" s="65">
        <v>30811.0</v>
      </c>
      <c r="AQ1075" s="6"/>
      <c r="AR1075" s="6"/>
      <c r="AS1075" s="6"/>
    </row>
    <row r="1076" ht="15.75" customHeight="1">
      <c r="A1076" s="6" t="s">
        <v>11104</v>
      </c>
      <c r="B1076" s="6" t="s">
        <v>21387</v>
      </c>
      <c r="C1076" s="7"/>
      <c r="D1076" s="7"/>
      <c r="E1076" s="7"/>
      <c r="F1076" s="7"/>
      <c r="G1076" s="7"/>
      <c r="H1076" s="7"/>
      <c r="I1076" s="7"/>
      <c r="J1076" s="7"/>
      <c r="K1076" s="7"/>
      <c r="L1076" s="7"/>
      <c r="M1076" s="6" t="s">
        <v>40</v>
      </c>
      <c r="N1076" s="7"/>
      <c r="O1076" s="6" t="s">
        <v>3661</v>
      </c>
      <c r="P1076" s="42"/>
      <c r="Q1076" s="43"/>
      <c r="R1076" s="50"/>
      <c r="S1076" s="51"/>
      <c r="T1076" s="7"/>
      <c r="U1076" s="7"/>
      <c r="V1076" s="7"/>
      <c r="W1076" s="7"/>
      <c r="X1076" s="7"/>
      <c r="Y1076" s="7"/>
      <c r="Z1076" s="7"/>
      <c r="AA1076" s="7"/>
      <c r="AB1076" s="7"/>
      <c r="AC1076" s="7"/>
      <c r="AD1076" s="7"/>
      <c r="AE1076" s="6" t="s">
        <v>12355</v>
      </c>
      <c r="AF1076" s="74"/>
      <c r="AG1076" s="7"/>
      <c r="AH1076" s="73" t="s">
        <v>21388</v>
      </c>
      <c r="AI1076" s="7"/>
      <c r="AJ1076" s="7"/>
      <c r="AK1076" s="7"/>
      <c r="AL1076" s="7"/>
      <c r="AM1076" s="6"/>
      <c r="AN1076" s="7"/>
      <c r="AO1076" s="7"/>
      <c r="AP1076" s="65">
        <v>30811.0</v>
      </c>
      <c r="AQ1076" s="6"/>
      <c r="AR1076" s="6"/>
      <c r="AS1076" s="6"/>
    </row>
    <row r="1077" ht="15.75" customHeight="1">
      <c r="A1077" s="6" t="s">
        <v>11106</v>
      </c>
      <c r="B1077" s="6" t="s">
        <v>5004</v>
      </c>
      <c r="C1077" s="7"/>
      <c r="D1077" s="7"/>
      <c r="E1077" s="7"/>
      <c r="F1077" s="7"/>
      <c r="G1077" s="7"/>
      <c r="H1077" s="7"/>
      <c r="I1077" s="7"/>
      <c r="J1077" s="7"/>
      <c r="K1077" s="7"/>
      <c r="L1077" s="7"/>
      <c r="M1077" s="6" t="s">
        <v>40</v>
      </c>
      <c r="N1077" s="7"/>
      <c r="O1077" s="6" t="s">
        <v>5012</v>
      </c>
      <c r="P1077" s="42"/>
      <c r="Q1077" s="43"/>
      <c r="R1077" s="50"/>
      <c r="S1077" s="51"/>
      <c r="T1077" s="7"/>
      <c r="U1077" s="7"/>
      <c r="V1077" s="7"/>
      <c r="W1077" s="7"/>
      <c r="X1077" s="7"/>
      <c r="Y1077" s="7"/>
      <c r="Z1077" s="7"/>
      <c r="AA1077" s="7"/>
      <c r="AB1077" s="7"/>
      <c r="AC1077" s="7"/>
      <c r="AD1077" s="7"/>
      <c r="AE1077" s="6" t="s">
        <v>12355</v>
      </c>
      <c r="AF1077" s="74"/>
      <c r="AG1077" s="7"/>
      <c r="AH1077" s="73" t="s">
        <v>21389</v>
      </c>
      <c r="AI1077" s="7"/>
      <c r="AJ1077" s="7"/>
      <c r="AK1077" s="7"/>
      <c r="AL1077" s="7"/>
      <c r="AM1077" s="6"/>
      <c r="AN1077" s="7"/>
      <c r="AO1077" s="7"/>
      <c r="AP1077" s="65">
        <v>30811.0</v>
      </c>
      <c r="AQ1077" s="6"/>
      <c r="AR1077" s="6"/>
      <c r="AS1077" s="6"/>
    </row>
    <row r="1078" ht="15.75" customHeight="1">
      <c r="A1078" s="6" t="s">
        <v>11108</v>
      </c>
      <c r="B1078" s="6" t="s">
        <v>2580</v>
      </c>
      <c r="C1078" s="7"/>
      <c r="D1078" s="7"/>
      <c r="E1078" s="7"/>
      <c r="F1078" s="7"/>
      <c r="G1078" s="7"/>
      <c r="H1078" s="7"/>
      <c r="I1078" s="7"/>
      <c r="J1078" s="7"/>
      <c r="K1078" s="7"/>
      <c r="L1078" s="7"/>
      <c r="M1078" s="6" t="s">
        <v>71</v>
      </c>
      <c r="N1078" s="7"/>
      <c r="O1078" s="6" t="s">
        <v>2589</v>
      </c>
      <c r="P1078" s="42"/>
      <c r="Q1078" s="43"/>
      <c r="R1078" s="50"/>
      <c r="S1078" s="51"/>
      <c r="T1078" s="7"/>
      <c r="U1078" s="7"/>
      <c r="V1078" s="7"/>
      <c r="W1078" s="7"/>
      <c r="X1078" s="7"/>
      <c r="Y1078" s="7"/>
      <c r="Z1078" s="7"/>
      <c r="AA1078" s="7"/>
      <c r="AB1078" s="7"/>
      <c r="AC1078" s="7"/>
      <c r="AD1078" s="7"/>
      <c r="AE1078" s="6" t="s">
        <v>12355</v>
      </c>
      <c r="AF1078" s="74"/>
      <c r="AG1078" s="7"/>
      <c r="AH1078" s="73" t="s">
        <v>21390</v>
      </c>
      <c r="AI1078" s="7"/>
      <c r="AJ1078" s="7"/>
      <c r="AK1078" s="7"/>
      <c r="AL1078" s="7"/>
      <c r="AM1078" s="6"/>
      <c r="AN1078" s="7"/>
      <c r="AO1078" s="7"/>
      <c r="AP1078" s="65">
        <v>30811.0</v>
      </c>
      <c r="AQ1078" s="6"/>
      <c r="AR1078" s="6"/>
      <c r="AS1078" s="6"/>
    </row>
    <row r="1079" ht="15.75" customHeight="1">
      <c r="A1079" s="6" t="s">
        <v>11110</v>
      </c>
      <c r="B1079" s="6" t="s">
        <v>21391</v>
      </c>
      <c r="C1079" s="7"/>
      <c r="D1079" s="7"/>
      <c r="E1079" s="7"/>
      <c r="F1079" s="7"/>
      <c r="G1079" s="7"/>
      <c r="H1079" s="7"/>
      <c r="I1079" s="7"/>
      <c r="J1079" s="7"/>
      <c r="K1079" s="7"/>
      <c r="L1079" s="7"/>
      <c r="M1079" s="6" t="s">
        <v>123</v>
      </c>
      <c r="N1079" s="7"/>
      <c r="O1079" s="6" t="s">
        <v>7962</v>
      </c>
      <c r="P1079" s="42"/>
      <c r="Q1079" s="43"/>
      <c r="R1079" s="50"/>
      <c r="S1079" s="51"/>
      <c r="T1079" s="7"/>
      <c r="U1079" s="7"/>
      <c r="V1079" s="7"/>
      <c r="W1079" s="7"/>
      <c r="X1079" s="7"/>
      <c r="Y1079" s="7"/>
      <c r="Z1079" s="7"/>
      <c r="AA1079" s="7"/>
      <c r="AB1079" s="7"/>
      <c r="AC1079" s="7"/>
      <c r="AD1079" s="7"/>
      <c r="AE1079" s="6" t="s">
        <v>12355</v>
      </c>
      <c r="AF1079" s="74"/>
      <c r="AG1079" s="7"/>
      <c r="AH1079" s="73" t="s">
        <v>21392</v>
      </c>
      <c r="AI1079" s="7"/>
      <c r="AJ1079" s="7"/>
      <c r="AK1079" s="7"/>
      <c r="AL1079" s="7"/>
      <c r="AM1079" s="6"/>
      <c r="AN1079" s="7"/>
      <c r="AO1079" s="7"/>
      <c r="AP1079" s="65">
        <v>30811.0</v>
      </c>
      <c r="AQ1079" s="6"/>
      <c r="AR1079" s="6"/>
      <c r="AS1079" s="6"/>
    </row>
    <row r="1080" ht="15.75" customHeight="1">
      <c r="A1080" s="6" t="s">
        <v>11112</v>
      </c>
      <c r="B1080" s="6" t="s">
        <v>21393</v>
      </c>
      <c r="C1080" s="7"/>
      <c r="D1080" s="7"/>
      <c r="E1080" s="7"/>
      <c r="F1080" s="7"/>
      <c r="G1080" s="7"/>
      <c r="H1080" s="7"/>
      <c r="I1080" s="7"/>
      <c r="J1080" s="7"/>
      <c r="K1080" s="7"/>
      <c r="L1080" s="7"/>
      <c r="M1080" s="6" t="s">
        <v>40</v>
      </c>
      <c r="N1080" s="7"/>
      <c r="O1080" s="6" t="s">
        <v>7087</v>
      </c>
      <c r="P1080" s="42"/>
      <c r="Q1080" s="43"/>
      <c r="R1080" s="50"/>
      <c r="S1080" s="51"/>
      <c r="T1080" s="7"/>
      <c r="U1080" s="7"/>
      <c r="V1080" s="7"/>
      <c r="W1080" s="7"/>
      <c r="X1080" s="7"/>
      <c r="Y1080" s="7"/>
      <c r="Z1080" s="7"/>
      <c r="AA1080" s="7"/>
      <c r="AB1080" s="7"/>
      <c r="AC1080" s="7"/>
      <c r="AD1080" s="7"/>
      <c r="AE1080" s="6" t="s">
        <v>12355</v>
      </c>
      <c r="AF1080" s="74"/>
      <c r="AG1080" s="7"/>
      <c r="AH1080" s="73" t="s">
        <v>21394</v>
      </c>
      <c r="AI1080" s="7"/>
      <c r="AJ1080" s="7"/>
      <c r="AK1080" s="7"/>
      <c r="AL1080" s="7"/>
      <c r="AM1080" s="6"/>
      <c r="AN1080" s="7"/>
      <c r="AO1080" s="7"/>
      <c r="AP1080" s="65">
        <v>30811.0</v>
      </c>
      <c r="AQ1080" s="6"/>
      <c r="AR1080" s="6"/>
      <c r="AS1080" s="6"/>
    </row>
    <row r="1081" ht="15.75" customHeight="1">
      <c r="A1081" s="6" t="s">
        <v>11114</v>
      </c>
      <c r="B1081" s="6" t="s">
        <v>21395</v>
      </c>
      <c r="C1081" s="7"/>
      <c r="D1081" s="7"/>
      <c r="E1081" s="7"/>
      <c r="F1081" s="7"/>
      <c r="G1081" s="7"/>
      <c r="H1081" s="7"/>
      <c r="I1081" s="7"/>
      <c r="J1081" s="7"/>
      <c r="K1081" s="7"/>
      <c r="L1081" s="7"/>
      <c r="M1081" s="6" t="s">
        <v>19729</v>
      </c>
      <c r="N1081" s="7"/>
      <c r="O1081" s="6"/>
      <c r="P1081" s="42"/>
      <c r="Q1081" s="43"/>
      <c r="R1081" s="50"/>
      <c r="S1081" s="51"/>
      <c r="T1081" s="7"/>
      <c r="U1081" s="7"/>
      <c r="V1081" s="7"/>
      <c r="W1081" s="7"/>
      <c r="X1081" s="7"/>
      <c r="Y1081" s="7"/>
      <c r="Z1081" s="7"/>
      <c r="AA1081" s="7"/>
      <c r="AB1081" s="7"/>
      <c r="AC1081" s="7"/>
      <c r="AD1081" s="7"/>
      <c r="AE1081" s="6" t="s">
        <v>12355</v>
      </c>
      <c r="AF1081" s="74"/>
      <c r="AG1081" s="7"/>
      <c r="AH1081" s="73" t="s">
        <v>21396</v>
      </c>
      <c r="AI1081" s="7"/>
      <c r="AJ1081" s="7"/>
      <c r="AK1081" s="7"/>
      <c r="AL1081" s="7"/>
      <c r="AM1081" s="6"/>
      <c r="AN1081" s="6" t="s">
        <v>11114</v>
      </c>
      <c r="AO1081" s="7"/>
      <c r="AP1081" s="65">
        <v>30811.0</v>
      </c>
      <c r="AQ1081" s="6"/>
      <c r="AR1081" s="6" t="s">
        <v>21397</v>
      </c>
      <c r="AS1081" s="6"/>
    </row>
    <row r="1082" ht="15.75" customHeight="1">
      <c r="A1082" s="6" t="s">
        <v>11116</v>
      </c>
      <c r="B1082" s="6" t="s">
        <v>21398</v>
      </c>
      <c r="C1082" s="7"/>
      <c r="D1082" s="7"/>
      <c r="E1082" s="7"/>
      <c r="F1082" s="7"/>
      <c r="G1082" s="7"/>
      <c r="H1082" s="7"/>
      <c r="I1082" s="7"/>
      <c r="J1082" s="7"/>
      <c r="K1082" s="7"/>
      <c r="L1082" s="7"/>
      <c r="M1082" s="6" t="s">
        <v>71</v>
      </c>
      <c r="N1082" s="7"/>
      <c r="O1082" s="6" t="s">
        <v>5423</v>
      </c>
      <c r="P1082" s="42"/>
      <c r="Q1082" s="43"/>
      <c r="R1082" s="50"/>
      <c r="S1082" s="51"/>
      <c r="T1082" s="7"/>
      <c r="U1082" s="7"/>
      <c r="V1082" s="7"/>
      <c r="W1082" s="7"/>
      <c r="X1082" s="7"/>
      <c r="Y1082" s="7"/>
      <c r="Z1082" s="7"/>
      <c r="AA1082" s="7"/>
      <c r="AB1082" s="7"/>
      <c r="AC1082" s="7"/>
      <c r="AD1082" s="7"/>
      <c r="AE1082" s="6" t="s">
        <v>12355</v>
      </c>
      <c r="AF1082" s="74"/>
      <c r="AG1082" s="7"/>
      <c r="AH1082" s="73" t="s">
        <v>21399</v>
      </c>
      <c r="AI1082" s="7"/>
      <c r="AJ1082" s="7"/>
      <c r="AK1082" s="7"/>
      <c r="AL1082" s="7"/>
      <c r="AM1082" s="6"/>
      <c r="AN1082" s="7"/>
      <c r="AO1082" s="7"/>
      <c r="AP1082" s="65">
        <v>30811.0</v>
      </c>
      <c r="AQ1082" s="6"/>
      <c r="AR1082" s="6"/>
      <c r="AS1082" s="6"/>
    </row>
    <row r="1083" ht="15.75" customHeight="1">
      <c r="A1083" s="6" t="s">
        <v>11118</v>
      </c>
      <c r="B1083" s="6" t="s">
        <v>6844</v>
      </c>
      <c r="C1083" s="7"/>
      <c r="D1083" s="7"/>
      <c r="E1083" s="7"/>
      <c r="F1083" s="7"/>
      <c r="G1083" s="7"/>
      <c r="H1083" s="7"/>
      <c r="I1083" s="7"/>
      <c r="J1083" s="7"/>
      <c r="K1083" s="7"/>
      <c r="L1083" s="7"/>
      <c r="M1083" s="6" t="s">
        <v>71</v>
      </c>
      <c r="N1083" s="7"/>
      <c r="O1083" s="6" t="s">
        <v>6852</v>
      </c>
      <c r="P1083" s="42"/>
      <c r="Q1083" s="43"/>
      <c r="R1083" s="50"/>
      <c r="S1083" s="51"/>
      <c r="T1083" s="7"/>
      <c r="U1083" s="7"/>
      <c r="V1083" s="7"/>
      <c r="W1083" s="7"/>
      <c r="X1083" s="7"/>
      <c r="Y1083" s="7"/>
      <c r="Z1083" s="7"/>
      <c r="AA1083" s="7"/>
      <c r="AB1083" s="7"/>
      <c r="AC1083" s="7"/>
      <c r="AD1083" s="7"/>
      <c r="AE1083" s="6" t="s">
        <v>12355</v>
      </c>
      <c r="AF1083" s="74"/>
      <c r="AG1083" s="7"/>
      <c r="AH1083" s="73" t="s">
        <v>21400</v>
      </c>
      <c r="AI1083" s="7"/>
      <c r="AJ1083" s="7"/>
      <c r="AK1083" s="7"/>
      <c r="AL1083" s="7"/>
      <c r="AM1083" s="6"/>
      <c r="AN1083" s="7"/>
      <c r="AO1083" s="7"/>
      <c r="AP1083" s="65">
        <v>30811.0</v>
      </c>
      <c r="AQ1083" s="6"/>
      <c r="AR1083" s="6"/>
      <c r="AS1083" s="6"/>
    </row>
    <row r="1084" ht="15.75" customHeight="1">
      <c r="A1084" s="6" t="s">
        <v>11120</v>
      </c>
      <c r="B1084" s="6" t="s">
        <v>5014</v>
      </c>
      <c r="C1084" s="7"/>
      <c r="D1084" s="7"/>
      <c r="E1084" s="7"/>
      <c r="F1084" s="7"/>
      <c r="G1084" s="7"/>
      <c r="H1084" s="7"/>
      <c r="I1084" s="7"/>
      <c r="J1084" s="7"/>
      <c r="K1084" s="7"/>
      <c r="L1084" s="7"/>
      <c r="M1084" s="6" t="s">
        <v>40</v>
      </c>
      <c r="N1084" s="7"/>
      <c r="O1084" s="6" t="s">
        <v>5023</v>
      </c>
      <c r="P1084" s="42"/>
      <c r="Q1084" s="43"/>
      <c r="R1084" s="50"/>
      <c r="S1084" s="51"/>
      <c r="T1084" s="7"/>
      <c r="U1084" s="7"/>
      <c r="V1084" s="7"/>
      <c r="W1084" s="7"/>
      <c r="X1084" s="7"/>
      <c r="Y1084" s="7"/>
      <c r="Z1084" s="7"/>
      <c r="AA1084" s="7"/>
      <c r="AB1084" s="7"/>
      <c r="AC1084" s="7"/>
      <c r="AD1084" s="7"/>
      <c r="AE1084" s="6" t="s">
        <v>12355</v>
      </c>
      <c r="AF1084" s="74"/>
      <c r="AG1084" s="7"/>
      <c r="AH1084" s="73" t="s">
        <v>21401</v>
      </c>
      <c r="AI1084" s="7"/>
      <c r="AJ1084" s="7"/>
      <c r="AK1084" s="7"/>
      <c r="AL1084" s="7"/>
      <c r="AM1084" s="6"/>
      <c r="AN1084" s="7"/>
      <c r="AO1084" s="7"/>
      <c r="AP1084" s="65">
        <v>30811.0</v>
      </c>
      <c r="AQ1084" s="6"/>
      <c r="AR1084" s="6"/>
      <c r="AS1084" s="6"/>
    </row>
    <row r="1085" ht="15.75" customHeight="1">
      <c r="A1085" s="6" t="s">
        <v>11122</v>
      </c>
      <c r="B1085" s="6" t="s">
        <v>515</v>
      </c>
      <c r="C1085" s="7"/>
      <c r="D1085" s="7"/>
      <c r="E1085" s="7"/>
      <c r="F1085" s="7"/>
      <c r="G1085" s="7"/>
      <c r="H1085" s="7"/>
      <c r="I1085" s="7"/>
      <c r="J1085" s="7"/>
      <c r="K1085" s="7"/>
      <c r="L1085" s="7"/>
      <c r="M1085" s="6" t="s">
        <v>123</v>
      </c>
      <c r="N1085" s="7"/>
      <c r="O1085" s="6" t="s">
        <v>526</v>
      </c>
      <c r="P1085" s="42"/>
      <c r="Q1085" s="43"/>
      <c r="R1085" s="50"/>
      <c r="S1085" s="51"/>
      <c r="T1085" s="7"/>
      <c r="U1085" s="7"/>
      <c r="V1085" s="7"/>
      <c r="W1085" s="7"/>
      <c r="X1085" s="7"/>
      <c r="Y1085" s="7"/>
      <c r="Z1085" s="7"/>
      <c r="AA1085" s="7"/>
      <c r="AB1085" s="7"/>
      <c r="AC1085" s="7"/>
      <c r="AD1085" s="7"/>
      <c r="AE1085" s="6" t="s">
        <v>12355</v>
      </c>
      <c r="AF1085" s="74"/>
      <c r="AG1085" s="7"/>
      <c r="AH1085" s="73" t="s">
        <v>21402</v>
      </c>
      <c r="AI1085" s="7"/>
      <c r="AJ1085" s="7"/>
      <c r="AK1085" s="7"/>
      <c r="AL1085" s="7"/>
      <c r="AM1085" s="6"/>
      <c r="AN1085" s="7"/>
      <c r="AO1085" s="7"/>
      <c r="AP1085" s="65">
        <v>30811.0</v>
      </c>
      <c r="AQ1085" s="6"/>
      <c r="AR1085" s="6"/>
      <c r="AS1085" s="6"/>
    </row>
    <row r="1086" ht="15.75" customHeight="1">
      <c r="A1086" s="6" t="s">
        <v>11124</v>
      </c>
      <c r="B1086" s="6" t="s">
        <v>528</v>
      </c>
      <c r="C1086" s="7"/>
      <c r="D1086" s="7"/>
      <c r="E1086" s="7"/>
      <c r="F1086" s="7"/>
      <c r="G1086" s="7"/>
      <c r="H1086" s="7"/>
      <c r="I1086" s="7"/>
      <c r="J1086" s="7"/>
      <c r="K1086" s="7"/>
      <c r="L1086" s="7"/>
      <c r="M1086" s="6" t="s">
        <v>123</v>
      </c>
      <c r="N1086" s="7"/>
      <c r="O1086" s="6" t="s">
        <v>526</v>
      </c>
      <c r="P1086" s="42"/>
      <c r="Q1086" s="43"/>
      <c r="R1086" s="50"/>
      <c r="S1086" s="51"/>
      <c r="T1086" s="7"/>
      <c r="U1086" s="7"/>
      <c r="V1086" s="7"/>
      <c r="W1086" s="7"/>
      <c r="X1086" s="7"/>
      <c r="Y1086" s="7"/>
      <c r="Z1086" s="7"/>
      <c r="AA1086" s="7"/>
      <c r="AB1086" s="7"/>
      <c r="AC1086" s="7"/>
      <c r="AD1086" s="7"/>
      <c r="AE1086" s="6" t="s">
        <v>12355</v>
      </c>
      <c r="AF1086" s="74"/>
      <c r="AG1086" s="7"/>
      <c r="AH1086" s="73" t="s">
        <v>21403</v>
      </c>
      <c r="AI1086" s="7"/>
      <c r="AJ1086" s="7"/>
      <c r="AK1086" s="7"/>
      <c r="AL1086" s="7"/>
      <c r="AM1086" s="6"/>
      <c r="AN1086" s="7"/>
      <c r="AO1086" s="7"/>
      <c r="AP1086" s="65">
        <v>30811.0</v>
      </c>
      <c r="AQ1086" s="6"/>
      <c r="AR1086" s="6"/>
      <c r="AS1086" s="6"/>
    </row>
    <row r="1087" ht="15.75" customHeight="1">
      <c r="A1087" s="6" t="s">
        <v>11126</v>
      </c>
      <c r="B1087" s="6" t="s">
        <v>535</v>
      </c>
      <c r="C1087" s="7"/>
      <c r="D1087" s="7"/>
      <c r="E1087" s="7"/>
      <c r="F1087" s="7"/>
      <c r="G1087" s="7"/>
      <c r="H1087" s="7"/>
      <c r="I1087" s="7"/>
      <c r="J1087" s="7"/>
      <c r="K1087" s="7"/>
      <c r="L1087" s="7"/>
      <c r="M1087" s="6" t="s">
        <v>123</v>
      </c>
      <c r="N1087" s="7"/>
      <c r="O1087" s="6" t="s">
        <v>526</v>
      </c>
      <c r="P1087" s="42"/>
      <c r="Q1087" s="43"/>
      <c r="R1087" s="50"/>
      <c r="S1087" s="51"/>
      <c r="T1087" s="7"/>
      <c r="U1087" s="7"/>
      <c r="V1087" s="7"/>
      <c r="W1087" s="7"/>
      <c r="X1087" s="7"/>
      <c r="Y1087" s="7"/>
      <c r="Z1087" s="7"/>
      <c r="AA1087" s="7"/>
      <c r="AB1087" s="7"/>
      <c r="AC1087" s="7"/>
      <c r="AD1087" s="7"/>
      <c r="AE1087" s="6" t="s">
        <v>12355</v>
      </c>
      <c r="AF1087" s="74"/>
      <c r="AG1087" s="7"/>
      <c r="AH1087" s="73" t="s">
        <v>21404</v>
      </c>
      <c r="AI1087" s="7"/>
      <c r="AJ1087" s="7"/>
      <c r="AK1087" s="7"/>
      <c r="AL1087" s="7"/>
      <c r="AM1087" s="6"/>
      <c r="AN1087" s="7"/>
      <c r="AO1087" s="7"/>
      <c r="AP1087" s="65">
        <v>30811.0</v>
      </c>
      <c r="AQ1087" s="6"/>
      <c r="AR1087" s="6"/>
      <c r="AS1087" s="6"/>
    </row>
    <row r="1088" ht="15.75" customHeight="1">
      <c r="A1088" s="6" t="s">
        <v>21405</v>
      </c>
      <c r="B1088" s="6" t="s">
        <v>820</v>
      </c>
      <c r="C1088" s="7"/>
      <c r="D1088" s="7"/>
      <c r="E1088" s="7"/>
      <c r="F1088" s="7"/>
      <c r="G1088" s="7"/>
      <c r="H1088" s="7"/>
      <c r="I1088" s="7"/>
      <c r="J1088" s="7"/>
      <c r="K1088" s="7"/>
      <c r="L1088" s="7"/>
      <c r="M1088" s="6" t="s">
        <v>123</v>
      </c>
      <c r="N1088" s="7"/>
      <c r="O1088" s="6" t="s">
        <v>21029</v>
      </c>
      <c r="P1088" s="42"/>
      <c r="Q1088" s="43"/>
      <c r="R1088" s="50"/>
      <c r="S1088" s="51"/>
      <c r="T1088" s="7"/>
      <c r="U1088" s="7"/>
      <c r="V1088" s="7"/>
      <c r="W1088" s="7"/>
      <c r="X1088" s="7"/>
      <c r="Y1088" s="7"/>
      <c r="Z1088" s="7"/>
      <c r="AA1088" s="7"/>
      <c r="AB1088" s="7"/>
      <c r="AC1088" s="7"/>
      <c r="AD1088" s="7"/>
      <c r="AE1088" s="6" t="s">
        <v>12355</v>
      </c>
      <c r="AF1088" s="74"/>
      <c r="AG1088" s="7"/>
      <c r="AH1088" s="73" t="s">
        <v>21406</v>
      </c>
      <c r="AI1088" s="7"/>
      <c r="AJ1088" s="7"/>
      <c r="AK1088" s="7"/>
      <c r="AL1088" s="7"/>
      <c r="AM1088" s="6"/>
      <c r="AN1088" s="7"/>
      <c r="AO1088" s="7"/>
      <c r="AP1088" s="65">
        <v>30811.0</v>
      </c>
      <c r="AQ1088" s="6"/>
      <c r="AR1088" s="6"/>
      <c r="AS1088" s="6"/>
    </row>
    <row r="1089" ht="15.75" customHeight="1">
      <c r="A1089" s="6" t="s">
        <v>11128</v>
      </c>
      <c r="B1089" s="6" t="s">
        <v>21407</v>
      </c>
      <c r="C1089" s="7"/>
      <c r="D1089" s="7"/>
      <c r="E1089" s="7"/>
      <c r="F1089" s="7"/>
      <c r="G1089" s="7"/>
      <c r="H1089" s="7"/>
      <c r="I1089" s="7"/>
      <c r="J1089" s="7"/>
      <c r="K1089" s="7"/>
      <c r="L1089" s="7"/>
      <c r="M1089" s="6" t="s">
        <v>123</v>
      </c>
      <c r="N1089" s="7"/>
      <c r="O1089" s="6" t="s">
        <v>6312</v>
      </c>
      <c r="P1089" s="42"/>
      <c r="Q1089" s="43"/>
      <c r="R1089" s="50"/>
      <c r="S1089" s="51"/>
      <c r="T1089" s="7"/>
      <c r="U1089" s="7"/>
      <c r="V1089" s="7"/>
      <c r="W1089" s="7"/>
      <c r="X1089" s="7"/>
      <c r="Y1089" s="7"/>
      <c r="Z1089" s="7"/>
      <c r="AA1089" s="7"/>
      <c r="AB1089" s="7"/>
      <c r="AC1089" s="7"/>
      <c r="AD1089" s="7"/>
      <c r="AE1089" s="6" t="s">
        <v>12355</v>
      </c>
      <c r="AF1089" s="74"/>
      <c r="AG1089" s="7"/>
      <c r="AH1089" s="73" t="s">
        <v>21408</v>
      </c>
      <c r="AI1089" s="7"/>
      <c r="AJ1089" s="7"/>
      <c r="AK1089" s="7"/>
      <c r="AL1089" s="7"/>
      <c r="AM1089" s="6"/>
      <c r="AN1089" s="7"/>
      <c r="AO1089" s="7"/>
      <c r="AP1089" s="65">
        <v>30811.0</v>
      </c>
      <c r="AQ1089" s="6"/>
      <c r="AR1089" s="6"/>
      <c r="AS1089" s="6"/>
    </row>
    <row r="1090" ht="15.75" customHeight="1">
      <c r="A1090" s="6" t="s">
        <v>11130</v>
      </c>
      <c r="B1090" s="6" t="s">
        <v>21409</v>
      </c>
      <c r="C1090" s="7"/>
      <c r="D1090" s="7"/>
      <c r="E1090" s="7"/>
      <c r="F1090" s="7"/>
      <c r="G1090" s="7"/>
      <c r="H1090" s="7"/>
      <c r="I1090" s="7"/>
      <c r="J1090" s="7"/>
      <c r="K1090" s="7"/>
      <c r="L1090" s="7"/>
      <c r="M1090" s="6" t="s">
        <v>71</v>
      </c>
      <c r="N1090" s="7"/>
      <c r="O1090" s="6"/>
      <c r="P1090" s="42"/>
      <c r="Q1090" s="43"/>
      <c r="R1090" s="50"/>
      <c r="S1090" s="51"/>
      <c r="T1090" s="7"/>
      <c r="U1090" s="7"/>
      <c r="V1090" s="7"/>
      <c r="W1090" s="7"/>
      <c r="X1090" s="7"/>
      <c r="Y1090" s="7"/>
      <c r="Z1090" s="7"/>
      <c r="AA1090" s="7"/>
      <c r="AB1090" s="7"/>
      <c r="AC1090" s="7"/>
      <c r="AD1090" s="7"/>
      <c r="AE1090" s="6" t="s">
        <v>12355</v>
      </c>
      <c r="AF1090" s="74"/>
      <c r="AG1090" s="7"/>
      <c r="AH1090" s="73" t="s">
        <v>21410</v>
      </c>
      <c r="AI1090" s="7"/>
      <c r="AJ1090" s="7"/>
      <c r="AK1090" s="7"/>
      <c r="AL1090" s="7"/>
      <c r="AM1090" s="6"/>
      <c r="AN1090" s="7"/>
      <c r="AO1090" s="7"/>
      <c r="AP1090" s="65">
        <v>30811.0</v>
      </c>
      <c r="AQ1090" s="6"/>
      <c r="AR1090" s="6"/>
      <c r="AS1090" s="6"/>
    </row>
    <row r="1091" ht="15.75" customHeight="1">
      <c r="A1091" s="6" t="s">
        <v>11133</v>
      </c>
      <c r="B1091" s="6" t="s">
        <v>7192</v>
      </c>
      <c r="C1091" s="7"/>
      <c r="D1091" s="7"/>
      <c r="E1091" s="7"/>
      <c r="F1091" s="7"/>
      <c r="G1091" s="7"/>
      <c r="H1091" s="7"/>
      <c r="I1091" s="7"/>
      <c r="J1091" s="7"/>
      <c r="K1091" s="7"/>
      <c r="L1091" s="7"/>
      <c r="M1091" s="6" t="s">
        <v>123</v>
      </c>
      <c r="N1091" s="7"/>
      <c r="O1091" s="6" t="s">
        <v>7204</v>
      </c>
      <c r="P1091" s="42"/>
      <c r="Q1091" s="43"/>
      <c r="R1091" s="50"/>
      <c r="S1091" s="51"/>
      <c r="T1091" s="7"/>
      <c r="U1091" s="7"/>
      <c r="V1091" s="7"/>
      <c r="W1091" s="7"/>
      <c r="X1091" s="7"/>
      <c r="Y1091" s="7"/>
      <c r="Z1091" s="7"/>
      <c r="AA1091" s="7"/>
      <c r="AB1091" s="7"/>
      <c r="AC1091" s="7"/>
      <c r="AD1091" s="7"/>
      <c r="AE1091" s="6" t="s">
        <v>12355</v>
      </c>
      <c r="AF1091" s="74"/>
      <c r="AG1091" s="7"/>
      <c r="AH1091" s="73" t="s">
        <v>21411</v>
      </c>
      <c r="AI1091" s="7"/>
      <c r="AJ1091" s="7"/>
      <c r="AK1091" s="7"/>
      <c r="AL1091" s="7"/>
      <c r="AM1091" s="6"/>
      <c r="AN1091" s="7"/>
      <c r="AO1091" s="7"/>
      <c r="AP1091" s="65">
        <v>30811.0</v>
      </c>
      <c r="AQ1091" s="6"/>
      <c r="AR1091" s="6"/>
      <c r="AS1091" s="6"/>
    </row>
    <row r="1092" ht="15.75" customHeight="1">
      <c r="A1092" s="6" t="s">
        <v>11135</v>
      </c>
      <c r="B1092" s="6" t="s">
        <v>21412</v>
      </c>
      <c r="C1092" s="7"/>
      <c r="D1092" s="7"/>
      <c r="E1092" s="7"/>
      <c r="F1092" s="7"/>
      <c r="G1092" s="7"/>
      <c r="H1092" s="7"/>
      <c r="I1092" s="7"/>
      <c r="J1092" s="7"/>
      <c r="K1092" s="7"/>
      <c r="L1092" s="7"/>
      <c r="M1092" s="6" t="s">
        <v>123</v>
      </c>
      <c r="N1092" s="7"/>
      <c r="O1092" s="6"/>
      <c r="P1092" s="42"/>
      <c r="Q1092" s="43"/>
      <c r="R1092" s="50"/>
      <c r="S1092" s="51"/>
      <c r="T1092" s="7"/>
      <c r="U1092" s="7"/>
      <c r="V1092" s="7"/>
      <c r="W1092" s="7"/>
      <c r="X1092" s="7"/>
      <c r="Y1092" s="7"/>
      <c r="Z1092" s="7"/>
      <c r="AA1092" s="7"/>
      <c r="AB1092" s="7"/>
      <c r="AC1092" s="7"/>
      <c r="AD1092" s="7"/>
      <c r="AE1092" s="6" t="s">
        <v>12355</v>
      </c>
      <c r="AF1092" s="74"/>
      <c r="AG1092" s="7"/>
      <c r="AH1092" s="73" t="s">
        <v>21413</v>
      </c>
      <c r="AI1092" s="7"/>
      <c r="AJ1092" s="7"/>
      <c r="AK1092" s="7"/>
      <c r="AL1092" s="7"/>
      <c r="AM1092" s="6"/>
      <c r="AN1092" s="7"/>
      <c r="AO1092" s="7"/>
      <c r="AP1092" s="65">
        <v>30811.0</v>
      </c>
      <c r="AQ1092" s="6"/>
      <c r="AR1092" s="6"/>
      <c r="AS1092" s="6"/>
    </row>
    <row r="1093" ht="15.75" customHeight="1">
      <c r="A1093" s="6" t="s">
        <v>11137</v>
      </c>
      <c r="B1093" s="6" t="s">
        <v>21414</v>
      </c>
      <c r="C1093" s="7"/>
      <c r="D1093" s="7"/>
      <c r="E1093" s="7"/>
      <c r="F1093" s="7"/>
      <c r="G1093" s="7"/>
      <c r="H1093" s="7"/>
      <c r="I1093" s="7"/>
      <c r="J1093" s="7"/>
      <c r="K1093" s="7"/>
      <c r="L1093" s="7"/>
      <c r="M1093" s="6" t="s">
        <v>123</v>
      </c>
      <c r="N1093" s="7"/>
      <c r="O1093" s="6"/>
      <c r="P1093" s="42"/>
      <c r="Q1093" s="43"/>
      <c r="R1093" s="50"/>
      <c r="S1093" s="51"/>
      <c r="T1093" s="7"/>
      <c r="U1093" s="7"/>
      <c r="V1093" s="7"/>
      <c r="W1093" s="7"/>
      <c r="X1093" s="7"/>
      <c r="Y1093" s="7"/>
      <c r="Z1093" s="7"/>
      <c r="AA1093" s="7"/>
      <c r="AB1093" s="7"/>
      <c r="AC1093" s="7"/>
      <c r="AD1093" s="7"/>
      <c r="AE1093" s="6" t="s">
        <v>12355</v>
      </c>
      <c r="AF1093" s="74"/>
      <c r="AG1093" s="7"/>
      <c r="AH1093" s="73" t="s">
        <v>21415</v>
      </c>
      <c r="AI1093" s="7"/>
      <c r="AJ1093" s="7"/>
      <c r="AK1093" s="7"/>
      <c r="AL1093" s="7"/>
      <c r="AM1093" s="6"/>
      <c r="AN1093" s="7"/>
      <c r="AO1093" s="7"/>
      <c r="AP1093" s="65">
        <v>30811.0</v>
      </c>
      <c r="AQ1093" s="6"/>
      <c r="AR1093" s="6"/>
      <c r="AS1093" s="6"/>
    </row>
    <row r="1094" ht="15.75" customHeight="1">
      <c r="A1094" s="6" t="s">
        <v>11139</v>
      </c>
      <c r="B1094" s="6" t="s">
        <v>21416</v>
      </c>
      <c r="C1094" s="7"/>
      <c r="D1094" s="7"/>
      <c r="E1094" s="7"/>
      <c r="F1094" s="7"/>
      <c r="G1094" s="7"/>
      <c r="H1094" s="7"/>
      <c r="I1094" s="7"/>
      <c r="J1094" s="7"/>
      <c r="K1094" s="7"/>
      <c r="L1094" s="7"/>
      <c r="M1094" s="6" t="s">
        <v>123</v>
      </c>
      <c r="N1094" s="7"/>
      <c r="O1094" s="6"/>
      <c r="P1094" s="42"/>
      <c r="Q1094" s="43"/>
      <c r="R1094" s="50"/>
      <c r="S1094" s="51"/>
      <c r="T1094" s="7"/>
      <c r="U1094" s="7"/>
      <c r="V1094" s="7"/>
      <c r="W1094" s="7"/>
      <c r="X1094" s="7"/>
      <c r="Y1094" s="7"/>
      <c r="Z1094" s="7"/>
      <c r="AA1094" s="7"/>
      <c r="AB1094" s="7"/>
      <c r="AC1094" s="7"/>
      <c r="AD1094" s="7"/>
      <c r="AE1094" s="6" t="s">
        <v>12355</v>
      </c>
      <c r="AF1094" s="74"/>
      <c r="AG1094" s="7"/>
      <c r="AH1094" s="73" t="s">
        <v>21417</v>
      </c>
      <c r="AI1094" s="7"/>
      <c r="AJ1094" s="7"/>
      <c r="AK1094" s="7"/>
      <c r="AL1094" s="7"/>
      <c r="AM1094" s="6"/>
      <c r="AN1094" s="7"/>
      <c r="AO1094" s="7"/>
      <c r="AP1094" s="65">
        <v>30811.0</v>
      </c>
      <c r="AQ1094" s="6"/>
      <c r="AR1094" s="6"/>
      <c r="AS1094" s="6"/>
    </row>
    <row r="1095" ht="15.75" customHeight="1">
      <c r="A1095" s="6" t="s">
        <v>11141</v>
      </c>
      <c r="B1095" s="6" t="s">
        <v>21418</v>
      </c>
      <c r="C1095" s="7"/>
      <c r="D1095" s="7"/>
      <c r="E1095" s="7"/>
      <c r="F1095" s="7"/>
      <c r="G1095" s="7"/>
      <c r="H1095" s="7"/>
      <c r="I1095" s="7"/>
      <c r="J1095" s="7"/>
      <c r="K1095" s="7"/>
      <c r="L1095" s="7"/>
      <c r="M1095" s="6" t="s">
        <v>40</v>
      </c>
      <c r="N1095" s="7"/>
      <c r="O1095" s="6" t="s">
        <v>3254</v>
      </c>
      <c r="P1095" s="42"/>
      <c r="Q1095" s="43"/>
      <c r="R1095" s="50"/>
      <c r="S1095" s="51"/>
      <c r="T1095" s="7"/>
      <c r="U1095" s="7"/>
      <c r="V1095" s="7"/>
      <c r="W1095" s="7"/>
      <c r="X1095" s="7"/>
      <c r="Y1095" s="7"/>
      <c r="Z1095" s="7"/>
      <c r="AA1095" s="7"/>
      <c r="AB1095" s="7"/>
      <c r="AC1095" s="7"/>
      <c r="AD1095" s="7"/>
      <c r="AE1095" s="6" t="s">
        <v>12355</v>
      </c>
      <c r="AF1095" s="74"/>
      <c r="AG1095" s="7"/>
      <c r="AH1095" s="73" t="s">
        <v>21419</v>
      </c>
      <c r="AI1095" s="7"/>
      <c r="AJ1095" s="7"/>
      <c r="AK1095" s="7"/>
      <c r="AL1095" s="7"/>
      <c r="AM1095" s="6"/>
      <c r="AN1095" s="7"/>
      <c r="AO1095" s="7"/>
      <c r="AP1095" s="65">
        <v>30811.0</v>
      </c>
      <c r="AQ1095" s="6"/>
      <c r="AR1095" s="6"/>
      <c r="AS1095" s="6"/>
    </row>
    <row r="1096" ht="15.75" customHeight="1">
      <c r="A1096" s="6" t="s">
        <v>11143</v>
      </c>
      <c r="B1096" s="6" t="s">
        <v>6026</v>
      </c>
      <c r="C1096" s="7"/>
      <c r="D1096" s="7"/>
      <c r="E1096" s="7"/>
      <c r="F1096" s="7"/>
      <c r="G1096" s="7"/>
      <c r="H1096" s="7"/>
      <c r="I1096" s="7"/>
      <c r="J1096" s="7"/>
      <c r="K1096" s="7"/>
      <c r="L1096" s="7"/>
      <c r="M1096" s="6" t="s">
        <v>71</v>
      </c>
      <c r="N1096" s="7"/>
      <c r="O1096" s="6" t="s">
        <v>6037</v>
      </c>
      <c r="P1096" s="42"/>
      <c r="Q1096" s="43"/>
      <c r="R1096" s="50"/>
      <c r="S1096" s="51"/>
      <c r="T1096" s="7"/>
      <c r="U1096" s="7"/>
      <c r="V1096" s="7"/>
      <c r="W1096" s="7"/>
      <c r="X1096" s="7"/>
      <c r="Y1096" s="7"/>
      <c r="Z1096" s="7"/>
      <c r="AA1096" s="7"/>
      <c r="AB1096" s="7"/>
      <c r="AC1096" s="7"/>
      <c r="AD1096" s="7"/>
      <c r="AE1096" s="6" t="s">
        <v>12355</v>
      </c>
      <c r="AF1096" s="74"/>
      <c r="AG1096" s="7"/>
      <c r="AH1096" s="73" t="s">
        <v>21420</v>
      </c>
      <c r="AI1096" s="7"/>
      <c r="AJ1096" s="7"/>
      <c r="AK1096" s="7"/>
      <c r="AL1096" s="7"/>
      <c r="AM1096" s="6"/>
      <c r="AN1096" s="7"/>
      <c r="AO1096" s="7"/>
      <c r="AP1096" s="65">
        <v>30811.0</v>
      </c>
      <c r="AQ1096" s="6"/>
      <c r="AR1096" s="6"/>
      <c r="AS1096" s="6"/>
    </row>
    <row r="1097" ht="15.75" customHeight="1">
      <c r="A1097" s="6" t="s">
        <v>11145</v>
      </c>
      <c r="B1097" s="6" t="s">
        <v>6034</v>
      </c>
      <c r="C1097" s="7"/>
      <c r="D1097" s="7"/>
      <c r="E1097" s="7"/>
      <c r="F1097" s="7"/>
      <c r="G1097" s="7"/>
      <c r="H1097" s="7"/>
      <c r="I1097" s="7"/>
      <c r="J1097" s="7"/>
      <c r="K1097" s="7"/>
      <c r="L1097" s="7"/>
      <c r="M1097" s="6" t="s">
        <v>71</v>
      </c>
      <c r="N1097" s="7"/>
      <c r="O1097" s="6" t="s">
        <v>6044</v>
      </c>
      <c r="P1097" s="42"/>
      <c r="Q1097" s="43"/>
      <c r="R1097" s="50"/>
      <c r="S1097" s="51"/>
      <c r="T1097" s="7"/>
      <c r="U1097" s="7"/>
      <c r="V1097" s="7"/>
      <c r="W1097" s="7"/>
      <c r="X1097" s="7"/>
      <c r="Y1097" s="7"/>
      <c r="Z1097" s="7"/>
      <c r="AA1097" s="7"/>
      <c r="AB1097" s="7"/>
      <c r="AC1097" s="7"/>
      <c r="AD1097" s="7"/>
      <c r="AE1097" s="6" t="s">
        <v>12355</v>
      </c>
      <c r="AF1097" s="74"/>
      <c r="AG1097" s="7"/>
      <c r="AH1097" s="73" t="s">
        <v>21421</v>
      </c>
      <c r="AI1097" s="7"/>
      <c r="AJ1097" s="7"/>
      <c r="AK1097" s="7"/>
      <c r="AL1097" s="7"/>
      <c r="AM1097" s="6"/>
      <c r="AN1097" s="7"/>
      <c r="AO1097" s="7"/>
      <c r="AP1097" s="65">
        <v>30811.0</v>
      </c>
      <c r="AQ1097" s="6"/>
      <c r="AR1097" s="6"/>
      <c r="AS1097" s="6"/>
    </row>
    <row r="1098" ht="15.75" customHeight="1">
      <c r="A1098" s="6" t="s">
        <v>11147</v>
      </c>
      <c r="B1098" s="6" t="s">
        <v>4730</v>
      </c>
      <c r="C1098" s="7"/>
      <c r="D1098" s="7"/>
      <c r="E1098" s="7"/>
      <c r="F1098" s="7"/>
      <c r="G1098" s="7"/>
      <c r="H1098" s="7"/>
      <c r="I1098" s="7"/>
      <c r="J1098" s="7"/>
      <c r="K1098" s="7"/>
      <c r="L1098" s="7"/>
      <c r="M1098" s="6" t="s">
        <v>40</v>
      </c>
      <c r="N1098" s="7"/>
      <c r="O1098" s="6" t="s">
        <v>4736</v>
      </c>
      <c r="P1098" s="42"/>
      <c r="Q1098" s="43"/>
      <c r="R1098" s="50"/>
      <c r="S1098" s="51"/>
      <c r="T1098" s="7"/>
      <c r="U1098" s="7"/>
      <c r="V1098" s="7"/>
      <c r="W1098" s="7"/>
      <c r="X1098" s="7"/>
      <c r="Y1098" s="7"/>
      <c r="Z1098" s="7"/>
      <c r="AA1098" s="7"/>
      <c r="AB1098" s="7"/>
      <c r="AC1098" s="7"/>
      <c r="AD1098" s="7"/>
      <c r="AE1098" s="6" t="s">
        <v>12355</v>
      </c>
      <c r="AF1098" s="74"/>
      <c r="AG1098" s="7"/>
      <c r="AH1098" s="73" t="s">
        <v>21422</v>
      </c>
      <c r="AI1098" s="7"/>
      <c r="AJ1098" s="7"/>
      <c r="AK1098" s="7"/>
      <c r="AL1098" s="7"/>
      <c r="AM1098" s="6"/>
      <c r="AN1098" s="7"/>
      <c r="AO1098" s="7"/>
      <c r="AP1098" s="65">
        <v>30811.0</v>
      </c>
      <c r="AQ1098" s="6"/>
      <c r="AR1098" s="6"/>
      <c r="AS1098" s="6"/>
    </row>
    <row r="1099" ht="15.75" customHeight="1">
      <c r="A1099" s="6" t="s">
        <v>11149</v>
      </c>
      <c r="B1099" s="6" t="s">
        <v>21423</v>
      </c>
      <c r="C1099" s="7"/>
      <c r="D1099" s="7"/>
      <c r="E1099" s="7"/>
      <c r="F1099" s="7"/>
      <c r="G1099" s="7"/>
      <c r="H1099" s="7"/>
      <c r="I1099" s="7"/>
      <c r="J1099" s="7"/>
      <c r="K1099" s="7"/>
      <c r="L1099" s="7"/>
      <c r="M1099" s="6" t="s">
        <v>40</v>
      </c>
      <c r="N1099" s="7"/>
      <c r="O1099" s="6" t="s">
        <v>1813</v>
      </c>
      <c r="P1099" s="42"/>
      <c r="Q1099" s="43"/>
      <c r="R1099" s="50"/>
      <c r="S1099" s="51"/>
      <c r="T1099" s="7"/>
      <c r="U1099" s="7"/>
      <c r="V1099" s="7"/>
      <c r="W1099" s="7"/>
      <c r="X1099" s="7"/>
      <c r="Y1099" s="7"/>
      <c r="Z1099" s="7"/>
      <c r="AA1099" s="7"/>
      <c r="AB1099" s="7"/>
      <c r="AC1099" s="7"/>
      <c r="AD1099" s="7"/>
      <c r="AE1099" s="6" t="s">
        <v>12355</v>
      </c>
      <c r="AF1099" s="74"/>
      <c r="AG1099" s="7"/>
      <c r="AH1099" s="73" t="s">
        <v>21424</v>
      </c>
      <c r="AI1099" s="7"/>
      <c r="AJ1099" s="7"/>
      <c r="AK1099" s="7"/>
      <c r="AL1099" s="7"/>
      <c r="AM1099" s="6"/>
      <c r="AN1099" s="7"/>
      <c r="AO1099" s="7"/>
      <c r="AP1099" s="65">
        <v>30811.0</v>
      </c>
      <c r="AQ1099" s="6"/>
      <c r="AR1099" s="6"/>
      <c r="AS1099" s="6"/>
    </row>
    <row r="1100" ht="15.75" customHeight="1">
      <c r="A1100" s="6" t="s">
        <v>11151</v>
      </c>
      <c r="B1100" s="6" t="s">
        <v>6005</v>
      </c>
      <c r="C1100" s="7"/>
      <c r="D1100" s="7"/>
      <c r="E1100" s="7"/>
      <c r="F1100" s="7"/>
      <c r="G1100" s="7"/>
      <c r="H1100" s="7"/>
      <c r="I1100" s="7"/>
      <c r="J1100" s="7"/>
      <c r="K1100" s="7"/>
      <c r="L1100" s="7"/>
      <c r="M1100" s="6" t="s">
        <v>40</v>
      </c>
      <c r="N1100" s="7"/>
      <c r="O1100" s="6" t="s">
        <v>1813</v>
      </c>
      <c r="P1100" s="42"/>
      <c r="Q1100" s="43"/>
      <c r="R1100" s="50"/>
      <c r="S1100" s="51"/>
      <c r="T1100" s="7"/>
      <c r="U1100" s="7"/>
      <c r="V1100" s="7"/>
      <c r="W1100" s="7"/>
      <c r="X1100" s="7"/>
      <c r="Y1100" s="7"/>
      <c r="Z1100" s="7"/>
      <c r="AA1100" s="7"/>
      <c r="AB1100" s="7"/>
      <c r="AC1100" s="7"/>
      <c r="AD1100" s="7"/>
      <c r="AE1100" s="6" t="s">
        <v>12355</v>
      </c>
      <c r="AF1100" s="74"/>
      <c r="AG1100" s="7"/>
      <c r="AH1100" s="73" t="s">
        <v>21425</v>
      </c>
      <c r="AI1100" s="7"/>
      <c r="AJ1100" s="7"/>
      <c r="AK1100" s="7"/>
      <c r="AL1100" s="7"/>
      <c r="AM1100" s="6"/>
      <c r="AN1100" s="7"/>
      <c r="AO1100" s="7"/>
      <c r="AP1100" s="65">
        <v>30811.0</v>
      </c>
      <c r="AQ1100" s="6"/>
      <c r="AR1100" s="6"/>
      <c r="AS1100" s="6"/>
    </row>
    <row r="1101" ht="15.75" customHeight="1">
      <c r="A1101" s="6" t="s">
        <v>11153</v>
      </c>
      <c r="B1101" s="6" t="s">
        <v>6015</v>
      </c>
      <c r="C1101" s="7"/>
      <c r="D1101" s="7"/>
      <c r="E1101" s="7"/>
      <c r="F1101" s="7"/>
      <c r="G1101" s="7"/>
      <c r="H1101" s="7"/>
      <c r="I1101" s="7"/>
      <c r="J1101" s="7"/>
      <c r="K1101" s="7"/>
      <c r="L1101" s="7"/>
      <c r="M1101" s="6" t="s">
        <v>33</v>
      </c>
      <c r="N1101" s="7"/>
      <c r="O1101" s="6" t="s">
        <v>6025</v>
      </c>
      <c r="P1101" s="42"/>
      <c r="Q1101" s="43"/>
      <c r="R1101" s="50"/>
      <c r="S1101" s="51"/>
      <c r="T1101" s="7"/>
      <c r="U1101" s="7"/>
      <c r="V1101" s="7"/>
      <c r="W1101" s="7"/>
      <c r="X1101" s="7"/>
      <c r="Y1101" s="7"/>
      <c r="Z1101" s="7"/>
      <c r="AA1101" s="7"/>
      <c r="AB1101" s="7"/>
      <c r="AC1101" s="7"/>
      <c r="AD1101" s="7"/>
      <c r="AE1101" s="6" t="s">
        <v>12355</v>
      </c>
      <c r="AF1101" s="74"/>
      <c r="AG1101" s="7"/>
      <c r="AH1101" s="73" t="s">
        <v>21426</v>
      </c>
      <c r="AI1101" s="7"/>
      <c r="AJ1101" s="7"/>
      <c r="AK1101" s="7"/>
      <c r="AL1101" s="7"/>
      <c r="AM1101" s="6"/>
      <c r="AN1101" s="7"/>
      <c r="AO1101" s="7"/>
      <c r="AP1101" s="65">
        <v>30811.0</v>
      </c>
      <c r="AQ1101" s="6"/>
      <c r="AR1101" s="6"/>
      <c r="AS1101" s="6"/>
    </row>
    <row r="1102" ht="15.75" customHeight="1">
      <c r="A1102" s="6" t="s">
        <v>21427</v>
      </c>
      <c r="B1102" s="6" t="s">
        <v>5851</v>
      </c>
      <c r="C1102" s="7"/>
      <c r="D1102" s="7"/>
      <c r="E1102" s="7"/>
      <c r="F1102" s="7"/>
      <c r="G1102" s="7"/>
      <c r="H1102" s="7"/>
      <c r="I1102" s="7"/>
      <c r="J1102" s="7"/>
      <c r="K1102" s="7"/>
      <c r="L1102" s="7"/>
      <c r="M1102" s="6" t="s">
        <v>40</v>
      </c>
      <c r="N1102" s="7"/>
      <c r="O1102" s="6" t="s">
        <v>5862</v>
      </c>
      <c r="P1102" s="42"/>
      <c r="Q1102" s="43"/>
      <c r="R1102" s="50"/>
      <c r="S1102" s="51"/>
      <c r="T1102" s="7"/>
      <c r="U1102" s="7"/>
      <c r="V1102" s="7"/>
      <c r="W1102" s="7"/>
      <c r="X1102" s="7"/>
      <c r="Y1102" s="7"/>
      <c r="Z1102" s="7"/>
      <c r="AA1102" s="7"/>
      <c r="AB1102" s="7"/>
      <c r="AC1102" s="7"/>
      <c r="AD1102" s="7"/>
      <c r="AE1102" s="6" t="s">
        <v>12355</v>
      </c>
      <c r="AF1102" s="74"/>
      <c r="AG1102" s="7"/>
      <c r="AH1102" s="73" t="s">
        <v>21428</v>
      </c>
      <c r="AI1102" s="7"/>
      <c r="AJ1102" s="7"/>
      <c r="AK1102" s="7"/>
      <c r="AL1102" s="7"/>
      <c r="AM1102" s="6"/>
      <c r="AN1102" s="7"/>
      <c r="AO1102" s="7"/>
      <c r="AP1102" s="65">
        <v>30811.0</v>
      </c>
      <c r="AQ1102" s="6"/>
      <c r="AR1102" s="6"/>
      <c r="AS1102" s="6"/>
    </row>
    <row r="1103" ht="15.75" customHeight="1">
      <c r="A1103" s="6" t="s">
        <v>11155</v>
      </c>
      <c r="B1103" s="6" t="s">
        <v>5851</v>
      </c>
      <c r="C1103" s="7"/>
      <c r="D1103" s="7"/>
      <c r="E1103" s="7"/>
      <c r="F1103" s="7"/>
      <c r="G1103" s="7"/>
      <c r="H1103" s="7"/>
      <c r="I1103" s="7"/>
      <c r="J1103" s="7"/>
      <c r="K1103" s="7"/>
      <c r="L1103" s="7"/>
      <c r="M1103" s="6" t="s">
        <v>40</v>
      </c>
      <c r="N1103" s="7"/>
      <c r="O1103" s="6" t="s">
        <v>5862</v>
      </c>
      <c r="P1103" s="42"/>
      <c r="Q1103" s="43"/>
      <c r="R1103" s="50"/>
      <c r="S1103" s="51"/>
      <c r="T1103" s="7"/>
      <c r="U1103" s="7"/>
      <c r="V1103" s="7"/>
      <c r="W1103" s="7"/>
      <c r="X1103" s="7"/>
      <c r="Y1103" s="7"/>
      <c r="Z1103" s="7"/>
      <c r="AA1103" s="7"/>
      <c r="AB1103" s="7"/>
      <c r="AC1103" s="7"/>
      <c r="AD1103" s="7"/>
      <c r="AE1103" s="6" t="s">
        <v>12355</v>
      </c>
      <c r="AF1103" s="74"/>
      <c r="AG1103" s="7"/>
      <c r="AH1103" s="73" t="s">
        <v>21429</v>
      </c>
      <c r="AI1103" s="7"/>
      <c r="AJ1103" s="7"/>
      <c r="AK1103" s="7"/>
      <c r="AL1103" s="7"/>
      <c r="AM1103" s="6"/>
      <c r="AN1103" s="7"/>
      <c r="AO1103" s="7"/>
      <c r="AP1103" s="65">
        <v>30811.0</v>
      </c>
      <c r="AQ1103" s="6"/>
      <c r="AR1103" s="6"/>
      <c r="AS1103" s="6"/>
    </row>
    <row r="1104" ht="15.75" customHeight="1">
      <c r="A1104" s="6" t="s">
        <v>11157</v>
      </c>
      <c r="B1104" s="6" t="s">
        <v>21430</v>
      </c>
      <c r="C1104" s="7"/>
      <c r="D1104" s="7"/>
      <c r="E1104" s="7"/>
      <c r="F1104" s="7"/>
      <c r="G1104" s="7"/>
      <c r="H1104" s="7"/>
      <c r="I1104" s="7"/>
      <c r="J1104" s="7"/>
      <c r="K1104" s="7"/>
      <c r="L1104" s="7"/>
      <c r="M1104" s="6" t="s">
        <v>40</v>
      </c>
      <c r="N1104" s="7"/>
      <c r="O1104" s="6"/>
      <c r="P1104" s="42"/>
      <c r="Q1104" s="43"/>
      <c r="R1104" s="50"/>
      <c r="S1104" s="51"/>
      <c r="T1104" s="7"/>
      <c r="U1104" s="7"/>
      <c r="V1104" s="7"/>
      <c r="W1104" s="7"/>
      <c r="X1104" s="7"/>
      <c r="Y1104" s="7"/>
      <c r="Z1104" s="7"/>
      <c r="AA1104" s="7"/>
      <c r="AB1104" s="7"/>
      <c r="AC1104" s="7"/>
      <c r="AD1104" s="7"/>
      <c r="AE1104" s="6" t="s">
        <v>12355</v>
      </c>
      <c r="AF1104" s="74"/>
      <c r="AG1104" s="7"/>
      <c r="AH1104" s="73" t="s">
        <v>21431</v>
      </c>
      <c r="AI1104" s="7"/>
      <c r="AJ1104" s="7"/>
      <c r="AK1104" s="7"/>
      <c r="AL1104" s="7"/>
      <c r="AM1104" s="6"/>
      <c r="AN1104" s="7"/>
      <c r="AO1104" s="7"/>
      <c r="AP1104" s="65">
        <v>30811.0</v>
      </c>
      <c r="AQ1104" s="6"/>
      <c r="AR1104" s="6"/>
      <c r="AS1104" s="6"/>
    </row>
    <row r="1105" ht="15.75" customHeight="1">
      <c r="A1105" s="6" t="s">
        <v>11159</v>
      </c>
      <c r="B1105" s="6" t="s">
        <v>6957</v>
      </c>
      <c r="C1105" s="7"/>
      <c r="D1105" s="7"/>
      <c r="E1105" s="7"/>
      <c r="F1105" s="7"/>
      <c r="G1105" s="7"/>
      <c r="H1105" s="7"/>
      <c r="I1105" s="7"/>
      <c r="J1105" s="7"/>
      <c r="K1105" s="7"/>
      <c r="L1105" s="7"/>
      <c r="M1105" s="6" t="s">
        <v>71</v>
      </c>
      <c r="N1105" s="7"/>
      <c r="O1105" s="6" t="s">
        <v>6968</v>
      </c>
      <c r="P1105" s="42"/>
      <c r="Q1105" s="43"/>
      <c r="R1105" s="50"/>
      <c r="S1105" s="51"/>
      <c r="T1105" s="7"/>
      <c r="U1105" s="7"/>
      <c r="V1105" s="7"/>
      <c r="W1105" s="7"/>
      <c r="X1105" s="7"/>
      <c r="Y1105" s="7"/>
      <c r="Z1105" s="7"/>
      <c r="AA1105" s="7"/>
      <c r="AB1105" s="7"/>
      <c r="AC1105" s="7"/>
      <c r="AD1105" s="7"/>
      <c r="AE1105" s="6" t="s">
        <v>12355</v>
      </c>
      <c r="AF1105" s="74"/>
      <c r="AG1105" s="7"/>
      <c r="AH1105" s="73" t="s">
        <v>21432</v>
      </c>
      <c r="AI1105" s="7"/>
      <c r="AJ1105" s="7"/>
      <c r="AK1105" s="7"/>
      <c r="AL1105" s="7"/>
      <c r="AM1105" s="6"/>
      <c r="AN1105" s="7"/>
      <c r="AO1105" s="7"/>
      <c r="AP1105" s="65">
        <v>30811.0</v>
      </c>
      <c r="AQ1105" s="6"/>
      <c r="AR1105" s="6"/>
      <c r="AS1105" s="6"/>
    </row>
    <row r="1106" ht="15.75" customHeight="1">
      <c r="A1106" s="6" t="s">
        <v>11161</v>
      </c>
      <c r="B1106" s="6" t="s">
        <v>21433</v>
      </c>
      <c r="C1106" s="7"/>
      <c r="D1106" s="7"/>
      <c r="E1106" s="7"/>
      <c r="F1106" s="7"/>
      <c r="G1106" s="7"/>
      <c r="I1106" s="7"/>
      <c r="J1106" s="7"/>
      <c r="K1106" s="7"/>
      <c r="L1106" s="7"/>
      <c r="M1106" s="6" t="s">
        <v>71</v>
      </c>
      <c r="N1106" s="7"/>
      <c r="O1106" s="6"/>
      <c r="P1106" s="42"/>
      <c r="Q1106" s="43"/>
      <c r="R1106" s="50"/>
      <c r="S1106" s="51"/>
      <c r="T1106" s="7"/>
      <c r="U1106" s="7"/>
      <c r="V1106" s="7"/>
      <c r="W1106" s="7"/>
      <c r="X1106" s="7"/>
      <c r="Y1106" s="7"/>
      <c r="Z1106" s="7"/>
      <c r="AA1106" s="7"/>
      <c r="AB1106" s="7"/>
      <c r="AC1106" s="7"/>
      <c r="AD1106" s="7"/>
      <c r="AE1106" s="6" t="s">
        <v>12355</v>
      </c>
      <c r="AF1106" s="74"/>
      <c r="AG1106" s="7"/>
      <c r="AH1106" s="73" t="s">
        <v>21434</v>
      </c>
      <c r="AI1106" s="7"/>
      <c r="AJ1106" s="7"/>
      <c r="AK1106" s="7"/>
      <c r="AL1106" s="7"/>
      <c r="AM1106" s="6"/>
      <c r="AN1106" s="7"/>
      <c r="AO1106" s="7"/>
      <c r="AP1106" s="65">
        <v>30811.0</v>
      </c>
      <c r="AQ1106" s="6"/>
      <c r="AR1106" s="6"/>
      <c r="AS1106" s="6"/>
    </row>
    <row r="1107" ht="15.75" customHeight="1">
      <c r="A1107" s="6" t="s">
        <v>10907</v>
      </c>
      <c r="B1107" s="6" t="s">
        <v>21147</v>
      </c>
      <c r="C1107" s="7"/>
      <c r="D1107" s="7"/>
      <c r="E1107" s="7"/>
      <c r="F1107" s="7"/>
      <c r="G1107" s="7"/>
      <c r="H1107" s="6" t="s">
        <v>747</v>
      </c>
      <c r="I1107" s="7"/>
      <c r="J1107" s="7"/>
      <c r="K1107" s="7"/>
      <c r="L1107" s="7"/>
      <c r="M1107" s="6" t="s">
        <v>71</v>
      </c>
      <c r="N1107" s="7"/>
      <c r="O1107" s="6" t="s">
        <v>7059</v>
      </c>
      <c r="P1107" s="42"/>
      <c r="Q1107" s="43"/>
      <c r="R1107" s="50"/>
      <c r="S1107" s="51"/>
      <c r="T1107" s="7"/>
      <c r="U1107" s="7"/>
      <c r="V1107" s="7"/>
      <c r="W1107" s="7"/>
      <c r="X1107" s="7"/>
      <c r="Y1107" s="7"/>
      <c r="Z1107" s="7"/>
      <c r="AA1107" s="7"/>
      <c r="AB1107" s="7"/>
      <c r="AC1107" s="7"/>
      <c r="AD1107" s="7"/>
      <c r="AE1107" s="6" t="s">
        <v>12355</v>
      </c>
      <c r="AF1107" s="74"/>
      <c r="AG1107" s="7"/>
      <c r="AH1107" s="73" t="s">
        <v>21435</v>
      </c>
      <c r="AI1107" s="7"/>
      <c r="AJ1107" s="7"/>
      <c r="AK1107" s="7"/>
      <c r="AL1107" s="7"/>
      <c r="AM1107" s="6"/>
      <c r="AN1107" s="7"/>
      <c r="AO1107" s="7"/>
      <c r="AP1107" s="65">
        <v>30811.0</v>
      </c>
      <c r="AQ1107" s="6"/>
      <c r="AR1107" s="6"/>
      <c r="AS1107" s="6"/>
    </row>
    <row r="1108" ht="15.75" customHeight="1">
      <c r="A1108" s="6" t="s">
        <v>11163</v>
      </c>
      <c r="B1108" s="6" t="s">
        <v>21436</v>
      </c>
      <c r="C1108" s="7"/>
      <c r="D1108" s="7"/>
      <c r="E1108" s="7"/>
      <c r="F1108" s="7"/>
      <c r="G1108" s="7"/>
      <c r="H1108" s="6" t="s">
        <v>3460</v>
      </c>
      <c r="I1108" s="7"/>
      <c r="J1108" s="7"/>
      <c r="K1108" s="7"/>
      <c r="L1108" s="7"/>
      <c r="M1108" s="6" t="s">
        <v>40</v>
      </c>
      <c r="N1108" s="7"/>
      <c r="O1108" s="6"/>
      <c r="P1108" s="42"/>
      <c r="Q1108" s="43"/>
      <c r="R1108" s="50"/>
      <c r="S1108" s="51"/>
      <c r="T1108" s="7"/>
      <c r="U1108" s="7"/>
      <c r="V1108" s="7"/>
      <c r="W1108" s="7"/>
      <c r="X1108" s="7"/>
      <c r="Y1108" s="7"/>
      <c r="Z1108" s="7"/>
      <c r="AA1108" s="7"/>
      <c r="AB1108" s="7"/>
      <c r="AC1108" s="7"/>
      <c r="AD1108" s="7"/>
      <c r="AE1108" s="6" t="s">
        <v>12355</v>
      </c>
      <c r="AF1108" s="74"/>
      <c r="AG1108" s="7"/>
      <c r="AH1108" s="73" t="s">
        <v>21437</v>
      </c>
      <c r="AI1108" s="7"/>
      <c r="AJ1108" s="7"/>
      <c r="AK1108" s="7"/>
      <c r="AL1108" s="7"/>
      <c r="AM1108" s="6"/>
      <c r="AN1108" s="7"/>
      <c r="AO1108" s="7"/>
      <c r="AP1108" s="65">
        <v>30811.0</v>
      </c>
      <c r="AQ1108" s="6"/>
      <c r="AR1108" s="6"/>
      <c r="AS1108" s="6"/>
    </row>
    <row r="1109" ht="15.75" customHeight="1">
      <c r="A1109" s="6" t="s">
        <v>21438</v>
      </c>
      <c r="B1109" s="6" t="s">
        <v>2090</v>
      </c>
      <c r="C1109" s="7"/>
      <c r="D1109" s="7"/>
      <c r="E1109" s="7"/>
      <c r="F1109" s="7"/>
      <c r="G1109" s="7"/>
      <c r="H1109" s="6" t="s">
        <v>1429</v>
      </c>
      <c r="I1109" s="7"/>
      <c r="J1109" s="7"/>
      <c r="K1109" s="7"/>
      <c r="L1109" s="7"/>
      <c r="M1109" s="6" t="s">
        <v>123</v>
      </c>
      <c r="N1109" s="7"/>
      <c r="O1109" s="6" t="s">
        <v>21029</v>
      </c>
      <c r="P1109" s="42"/>
      <c r="Q1109" s="43"/>
      <c r="R1109" s="50"/>
      <c r="S1109" s="51"/>
      <c r="T1109" s="7"/>
      <c r="U1109" s="7"/>
      <c r="V1109" s="7"/>
      <c r="W1109" s="7"/>
      <c r="X1109" s="7"/>
      <c r="Y1109" s="7"/>
      <c r="Z1109" s="7"/>
      <c r="AA1109" s="7"/>
      <c r="AB1109" s="7"/>
      <c r="AC1109" s="7"/>
      <c r="AD1109" s="7"/>
      <c r="AE1109" s="6" t="s">
        <v>12355</v>
      </c>
      <c r="AF1109" s="74"/>
      <c r="AG1109" s="7"/>
      <c r="AH1109" s="73" t="s">
        <v>21439</v>
      </c>
      <c r="AI1109" s="7"/>
      <c r="AJ1109" s="7"/>
      <c r="AK1109" s="7"/>
      <c r="AL1109" s="7"/>
      <c r="AM1109" s="6"/>
      <c r="AN1109" s="7"/>
      <c r="AO1109" s="7"/>
      <c r="AP1109" s="65">
        <v>30811.0</v>
      </c>
      <c r="AQ1109" s="6"/>
      <c r="AR1109" s="6"/>
      <c r="AS1109" s="6"/>
    </row>
    <row r="1110" ht="15.75" customHeight="1">
      <c r="A1110" s="6" t="s">
        <v>11165</v>
      </c>
      <c r="B1110" s="6" t="s">
        <v>7398</v>
      </c>
      <c r="C1110" s="7"/>
      <c r="D1110" s="7"/>
      <c r="E1110" s="7"/>
      <c r="F1110" s="7"/>
      <c r="G1110" s="7"/>
      <c r="H1110" s="6" t="s">
        <v>21440</v>
      </c>
      <c r="I1110" s="7"/>
      <c r="J1110" s="7"/>
      <c r="K1110" s="7"/>
      <c r="L1110" s="7"/>
      <c r="M1110" s="6" t="s">
        <v>40</v>
      </c>
      <c r="N1110" s="7"/>
      <c r="O1110" s="6" t="s">
        <v>7406</v>
      </c>
      <c r="P1110" s="42"/>
      <c r="Q1110" s="43"/>
      <c r="R1110" s="50"/>
      <c r="S1110" s="51"/>
      <c r="T1110" s="7"/>
      <c r="U1110" s="7"/>
      <c r="V1110" s="7"/>
      <c r="W1110" s="7"/>
      <c r="X1110" s="7"/>
      <c r="Y1110" s="7"/>
      <c r="Z1110" s="7"/>
      <c r="AA1110" s="7"/>
      <c r="AB1110" s="7"/>
      <c r="AC1110" s="7"/>
      <c r="AD1110" s="7"/>
      <c r="AE1110" s="6" t="s">
        <v>12355</v>
      </c>
      <c r="AF1110" s="74"/>
      <c r="AG1110" s="7"/>
      <c r="AH1110" s="73" t="s">
        <v>21441</v>
      </c>
      <c r="AI1110" s="7"/>
      <c r="AJ1110" s="7"/>
      <c r="AK1110" s="7"/>
      <c r="AL1110" s="7"/>
      <c r="AM1110" s="6"/>
      <c r="AN1110" s="7"/>
      <c r="AO1110" s="7"/>
      <c r="AP1110" s="65">
        <v>30811.0</v>
      </c>
      <c r="AQ1110" s="6"/>
      <c r="AR1110" s="6"/>
      <c r="AS1110" s="6"/>
    </row>
    <row r="1111" ht="15.75" customHeight="1">
      <c r="A1111" s="6" t="s">
        <v>11167</v>
      </c>
      <c r="B1111" s="6" t="s">
        <v>21442</v>
      </c>
      <c r="C1111" s="7"/>
      <c r="D1111" s="7"/>
      <c r="E1111" s="7"/>
      <c r="F1111" s="7"/>
      <c r="G1111" s="7"/>
      <c r="H1111" s="13" t="s">
        <v>788</v>
      </c>
      <c r="I1111" s="7"/>
      <c r="J1111" s="7"/>
      <c r="K1111" s="7"/>
      <c r="L1111" s="7"/>
      <c r="M1111" s="6" t="s">
        <v>123</v>
      </c>
      <c r="N1111" s="7"/>
      <c r="O1111" s="6" t="s">
        <v>7666</v>
      </c>
      <c r="P1111" s="42"/>
      <c r="Q1111" s="43"/>
      <c r="R1111" s="50"/>
      <c r="S1111" s="51"/>
      <c r="T1111" s="7"/>
      <c r="U1111" s="7"/>
      <c r="V1111" s="7"/>
      <c r="W1111" s="7"/>
      <c r="X1111" s="7"/>
      <c r="Y1111" s="7"/>
      <c r="Z1111" s="7"/>
      <c r="AA1111" s="7"/>
      <c r="AB1111" s="7"/>
      <c r="AC1111" s="7"/>
      <c r="AD1111" s="7"/>
      <c r="AE1111" s="6" t="s">
        <v>12355</v>
      </c>
      <c r="AF1111" s="74"/>
      <c r="AG1111" s="7"/>
      <c r="AH1111" s="73" t="s">
        <v>21443</v>
      </c>
      <c r="AI1111" s="7"/>
      <c r="AJ1111" s="7"/>
      <c r="AK1111" s="7"/>
      <c r="AL1111" s="7"/>
      <c r="AM1111" s="6"/>
      <c r="AN1111" s="7"/>
      <c r="AO1111" s="7"/>
      <c r="AP1111" s="65">
        <v>30811.0</v>
      </c>
      <c r="AQ1111" s="6"/>
      <c r="AR1111" s="6"/>
      <c r="AS1111" s="6"/>
    </row>
    <row r="1112" ht="15.75" customHeight="1">
      <c r="A1112" s="6" t="s">
        <v>11169</v>
      </c>
      <c r="B1112" s="6" t="s">
        <v>21444</v>
      </c>
      <c r="C1112" s="7"/>
      <c r="D1112" s="7"/>
      <c r="E1112" s="7"/>
      <c r="F1112" s="7"/>
      <c r="G1112" s="7"/>
      <c r="H1112" s="13" t="s">
        <v>574</v>
      </c>
      <c r="I1112" s="7"/>
      <c r="J1112" s="7"/>
      <c r="K1112" s="7"/>
      <c r="L1112" s="7"/>
      <c r="M1112" s="6" t="s">
        <v>71</v>
      </c>
      <c r="N1112" s="7"/>
      <c r="O1112" s="6"/>
      <c r="P1112" s="42"/>
      <c r="Q1112" s="43"/>
      <c r="R1112" s="50"/>
      <c r="S1112" s="51"/>
      <c r="T1112" s="7"/>
      <c r="U1112" s="7"/>
      <c r="V1112" s="7"/>
      <c r="W1112" s="7"/>
      <c r="X1112" s="7"/>
      <c r="Y1112" s="7"/>
      <c r="Z1112" s="7"/>
      <c r="AA1112" s="7"/>
      <c r="AB1112" s="7"/>
      <c r="AC1112" s="7"/>
      <c r="AD1112" s="7"/>
      <c r="AE1112" s="6" t="s">
        <v>12355</v>
      </c>
      <c r="AF1112" s="74"/>
      <c r="AG1112" s="7"/>
      <c r="AH1112" s="73" t="s">
        <v>21445</v>
      </c>
      <c r="AI1112" s="7"/>
      <c r="AJ1112" s="7"/>
      <c r="AK1112" s="7"/>
      <c r="AL1112" s="7"/>
      <c r="AM1112" s="6"/>
      <c r="AN1112" s="7"/>
      <c r="AO1112" s="7"/>
      <c r="AP1112" s="65">
        <v>30811.0</v>
      </c>
      <c r="AQ1112" s="6"/>
      <c r="AR1112" s="6"/>
      <c r="AS1112" s="6"/>
    </row>
    <row r="1113" ht="15.75" customHeight="1">
      <c r="A1113" s="6" t="s">
        <v>11171</v>
      </c>
      <c r="B1113" s="6" t="s">
        <v>21446</v>
      </c>
      <c r="C1113" s="7"/>
      <c r="D1113" s="7"/>
      <c r="E1113" s="7"/>
      <c r="F1113" s="7"/>
      <c r="G1113" s="7"/>
      <c r="H1113" s="13" t="s">
        <v>1865</v>
      </c>
      <c r="I1113" s="7"/>
      <c r="J1113" s="7"/>
      <c r="K1113" s="7"/>
      <c r="L1113" s="7"/>
      <c r="M1113" s="6" t="s">
        <v>123</v>
      </c>
      <c r="N1113" s="7"/>
      <c r="O1113" s="6" t="s">
        <v>1995</v>
      </c>
      <c r="P1113" s="42"/>
      <c r="Q1113" s="43"/>
      <c r="R1113" s="50"/>
      <c r="S1113" s="51"/>
      <c r="T1113" s="7"/>
      <c r="U1113" s="7"/>
      <c r="V1113" s="7"/>
      <c r="W1113" s="7"/>
      <c r="X1113" s="7"/>
      <c r="Y1113" s="7"/>
      <c r="Z1113" s="7"/>
      <c r="AA1113" s="7"/>
      <c r="AB1113" s="7"/>
      <c r="AC1113" s="7"/>
      <c r="AD1113" s="7"/>
      <c r="AE1113" s="6" t="s">
        <v>12355</v>
      </c>
      <c r="AF1113" s="74"/>
      <c r="AG1113" s="7"/>
      <c r="AH1113" s="73" t="s">
        <v>21447</v>
      </c>
      <c r="AI1113" s="7"/>
      <c r="AJ1113" s="7"/>
      <c r="AK1113" s="7"/>
      <c r="AL1113" s="7"/>
      <c r="AM1113" s="6"/>
      <c r="AN1113" s="7"/>
      <c r="AO1113" s="7"/>
      <c r="AP1113" s="65">
        <v>30811.0</v>
      </c>
      <c r="AQ1113" s="6"/>
      <c r="AR1113" s="6"/>
      <c r="AS1113" s="6"/>
    </row>
    <row r="1114" ht="15.75" customHeight="1">
      <c r="A1114" s="6" t="s">
        <v>11173</v>
      </c>
      <c r="B1114" s="6" t="s">
        <v>1735</v>
      </c>
      <c r="C1114" s="7"/>
      <c r="D1114" s="7"/>
      <c r="E1114" s="7"/>
      <c r="F1114" s="7"/>
      <c r="G1114" s="7"/>
      <c r="H1114" s="13" t="s">
        <v>21448</v>
      </c>
      <c r="I1114" s="7"/>
      <c r="J1114" s="7"/>
      <c r="K1114" s="7"/>
      <c r="L1114" s="7"/>
      <c r="M1114" s="6" t="s">
        <v>40</v>
      </c>
      <c r="N1114" s="7"/>
      <c r="O1114" s="6" t="s">
        <v>1745</v>
      </c>
      <c r="P1114" s="42"/>
      <c r="Q1114" s="43"/>
      <c r="R1114" s="50"/>
      <c r="S1114" s="51"/>
      <c r="T1114" s="7"/>
      <c r="U1114" s="7"/>
      <c r="V1114" s="7"/>
      <c r="W1114" s="7"/>
      <c r="X1114" s="7"/>
      <c r="Y1114" s="7"/>
      <c r="Z1114" s="7"/>
      <c r="AA1114" s="7"/>
      <c r="AB1114" s="7"/>
      <c r="AC1114" s="7"/>
      <c r="AD1114" s="7"/>
      <c r="AE1114" s="6" t="s">
        <v>12355</v>
      </c>
      <c r="AF1114" s="74"/>
      <c r="AG1114" s="7"/>
      <c r="AH1114" s="73" t="s">
        <v>21449</v>
      </c>
      <c r="AI1114" s="7"/>
      <c r="AJ1114" s="7"/>
      <c r="AK1114" s="7"/>
      <c r="AL1114" s="7"/>
      <c r="AM1114" s="6"/>
      <c r="AN1114" s="7"/>
      <c r="AO1114" s="7"/>
      <c r="AP1114" s="65">
        <v>30811.0</v>
      </c>
      <c r="AQ1114" s="6"/>
      <c r="AR1114" s="6"/>
      <c r="AS1114" s="6"/>
    </row>
    <row r="1115" ht="15.75" customHeight="1">
      <c r="A1115" s="6" t="s">
        <v>11175</v>
      </c>
      <c r="B1115" s="6" t="s">
        <v>21450</v>
      </c>
      <c r="C1115" s="7"/>
      <c r="D1115" s="7"/>
      <c r="E1115" s="7"/>
      <c r="F1115" s="7"/>
      <c r="G1115" s="7"/>
      <c r="H1115" s="6" t="s">
        <v>5893</v>
      </c>
      <c r="I1115" s="7"/>
      <c r="J1115" s="7"/>
      <c r="K1115" s="7"/>
      <c r="L1115" s="7"/>
      <c r="M1115" s="6" t="s">
        <v>71</v>
      </c>
      <c r="N1115" s="7"/>
      <c r="O1115" s="6"/>
      <c r="P1115" s="42"/>
      <c r="Q1115" s="43"/>
      <c r="R1115" s="50"/>
      <c r="S1115" s="51"/>
      <c r="T1115" s="7"/>
      <c r="U1115" s="7"/>
      <c r="V1115" s="7"/>
      <c r="W1115" s="7"/>
      <c r="X1115" s="7"/>
      <c r="Y1115" s="7"/>
      <c r="Z1115" s="7"/>
      <c r="AA1115" s="7"/>
      <c r="AB1115" s="7"/>
      <c r="AC1115" s="7"/>
      <c r="AD1115" s="7"/>
      <c r="AE1115" s="6" t="s">
        <v>12355</v>
      </c>
      <c r="AF1115" s="74"/>
      <c r="AG1115" s="7"/>
      <c r="AH1115" s="73" t="s">
        <v>21451</v>
      </c>
      <c r="AI1115" s="7"/>
      <c r="AJ1115" s="7"/>
      <c r="AK1115" s="7"/>
      <c r="AL1115" s="7"/>
      <c r="AM1115" s="6"/>
      <c r="AN1115" s="7"/>
      <c r="AO1115" s="7"/>
      <c r="AP1115" s="65">
        <v>30811.0</v>
      </c>
      <c r="AQ1115" s="6"/>
      <c r="AR1115" s="6"/>
      <c r="AS1115" s="6"/>
    </row>
    <row r="1116" ht="15.75" customHeight="1">
      <c r="A1116" s="6" t="s">
        <v>11177</v>
      </c>
      <c r="B1116" s="6" t="s">
        <v>21452</v>
      </c>
      <c r="C1116" s="7"/>
      <c r="D1116" s="7"/>
      <c r="E1116" s="7"/>
      <c r="F1116" s="7"/>
      <c r="G1116" s="7"/>
      <c r="H1116" s="7"/>
      <c r="I1116" s="7"/>
      <c r="J1116" s="7"/>
      <c r="K1116" s="7"/>
      <c r="L1116" s="7"/>
      <c r="M1116" s="6" t="s">
        <v>71</v>
      </c>
      <c r="N1116" s="7"/>
      <c r="O1116" s="6" t="s">
        <v>2007</v>
      </c>
      <c r="P1116" s="42"/>
      <c r="Q1116" s="43"/>
      <c r="R1116" s="50"/>
      <c r="S1116" s="51"/>
      <c r="T1116" s="7"/>
      <c r="U1116" s="7"/>
      <c r="V1116" s="7"/>
      <c r="W1116" s="7"/>
      <c r="X1116" s="7"/>
      <c r="Y1116" s="7"/>
      <c r="Z1116" s="7"/>
      <c r="AA1116" s="7"/>
      <c r="AB1116" s="7"/>
      <c r="AC1116" s="7"/>
      <c r="AD1116" s="7"/>
      <c r="AE1116" s="6" t="s">
        <v>12355</v>
      </c>
      <c r="AF1116" s="74"/>
      <c r="AG1116" s="7"/>
      <c r="AH1116" s="73" t="s">
        <v>21453</v>
      </c>
      <c r="AI1116" s="7"/>
      <c r="AJ1116" s="7"/>
      <c r="AK1116" s="7"/>
      <c r="AL1116" s="7"/>
      <c r="AM1116" s="6"/>
      <c r="AN1116" s="7"/>
      <c r="AO1116" s="7"/>
      <c r="AP1116" s="65">
        <v>30811.0</v>
      </c>
      <c r="AQ1116" s="6"/>
      <c r="AR1116" s="6"/>
      <c r="AS1116" s="6"/>
    </row>
    <row r="1117" ht="15.75" customHeight="1">
      <c r="A1117" s="6" t="s">
        <v>11179</v>
      </c>
      <c r="B1117" s="6" t="s">
        <v>2360</v>
      </c>
      <c r="C1117" s="7"/>
      <c r="D1117" s="7"/>
      <c r="E1117" s="7"/>
      <c r="F1117" s="7"/>
      <c r="G1117" s="7"/>
      <c r="H1117" s="7"/>
      <c r="I1117" s="7"/>
      <c r="J1117" s="7"/>
      <c r="K1117" s="7"/>
      <c r="L1117" s="7"/>
      <c r="M1117" s="6" t="s">
        <v>40</v>
      </c>
      <c r="N1117" s="7"/>
      <c r="O1117" s="6" t="s">
        <v>2371</v>
      </c>
      <c r="P1117" s="42"/>
      <c r="Q1117" s="43"/>
      <c r="R1117" s="50"/>
      <c r="S1117" s="51"/>
      <c r="T1117" s="7"/>
      <c r="U1117" s="7"/>
      <c r="V1117" s="7"/>
      <c r="W1117" s="7"/>
      <c r="X1117" s="7"/>
      <c r="Y1117" s="7"/>
      <c r="Z1117" s="7"/>
      <c r="AA1117" s="7"/>
      <c r="AB1117" s="7"/>
      <c r="AC1117" s="7"/>
      <c r="AD1117" s="7"/>
      <c r="AE1117" s="6" t="s">
        <v>12355</v>
      </c>
      <c r="AF1117" s="74"/>
      <c r="AG1117" s="7"/>
      <c r="AH1117" s="73" t="s">
        <v>21454</v>
      </c>
      <c r="AI1117" s="7"/>
      <c r="AJ1117" s="7"/>
      <c r="AK1117" s="7"/>
      <c r="AL1117" s="7"/>
      <c r="AM1117" s="6"/>
      <c r="AN1117" s="7"/>
      <c r="AO1117" s="7"/>
      <c r="AP1117" s="65">
        <v>30811.0</v>
      </c>
      <c r="AQ1117" s="6"/>
      <c r="AR1117" s="6"/>
      <c r="AS1117" s="6"/>
    </row>
    <row r="1118" ht="15.75" customHeight="1">
      <c r="A1118" s="6" t="s">
        <v>11181</v>
      </c>
      <c r="B1118" s="6" t="s">
        <v>21455</v>
      </c>
      <c r="C1118" s="7"/>
      <c r="D1118" s="7"/>
      <c r="E1118" s="7"/>
      <c r="F1118" s="7"/>
      <c r="G1118" s="7"/>
      <c r="H1118" s="7"/>
      <c r="I1118" s="7"/>
      <c r="J1118" s="7"/>
      <c r="K1118" s="7"/>
      <c r="L1118" s="7"/>
      <c r="M1118" s="6" t="s">
        <v>123</v>
      </c>
      <c r="N1118" s="7"/>
      <c r="O1118" s="6" t="s">
        <v>4877</v>
      </c>
      <c r="P1118" s="42"/>
      <c r="Q1118" s="43"/>
      <c r="R1118" s="50"/>
      <c r="S1118" s="51"/>
      <c r="T1118" s="7"/>
      <c r="U1118" s="7"/>
      <c r="V1118" s="7"/>
      <c r="W1118" s="7"/>
      <c r="X1118" s="7"/>
      <c r="Y1118" s="7"/>
      <c r="Z1118" s="7"/>
      <c r="AA1118" s="7"/>
      <c r="AB1118" s="7"/>
      <c r="AC1118" s="7"/>
      <c r="AD1118" s="7"/>
      <c r="AE1118" s="6" t="s">
        <v>12355</v>
      </c>
      <c r="AF1118" s="74"/>
      <c r="AG1118" s="7"/>
      <c r="AH1118" s="73" t="s">
        <v>21456</v>
      </c>
      <c r="AI1118" s="7"/>
      <c r="AJ1118" s="7"/>
      <c r="AK1118" s="7"/>
      <c r="AL1118" s="7"/>
      <c r="AM1118" s="6"/>
      <c r="AN1118" s="7"/>
      <c r="AO1118" s="7"/>
      <c r="AP1118" s="65">
        <v>30811.0</v>
      </c>
      <c r="AQ1118" s="6"/>
      <c r="AR1118" s="6"/>
      <c r="AS1118" s="6"/>
    </row>
    <row r="1119" ht="15.75" customHeight="1">
      <c r="A1119" s="6" t="s">
        <v>11183</v>
      </c>
      <c r="B1119" s="6" t="s">
        <v>21457</v>
      </c>
      <c r="C1119" s="7"/>
      <c r="D1119" s="7"/>
      <c r="E1119" s="7"/>
      <c r="F1119" s="7"/>
      <c r="G1119" s="7"/>
      <c r="H1119" s="7"/>
      <c r="I1119" s="7"/>
      <c r="J1119" s="7"/>
      <c r="K1119" s="7"/>
      <c r="L1119" s="7"/>
      <c r="M1119" s="6" t="s">
        <v>19729</v>
      </c>
      <c r="N1119" s="7"/>
      <c r="O1119" s="6"/>
      <c r="P1119" s="42"/>
      <c r="Q1119" s="43"/>
      <c r="R1119" s="50"/>
      <c r="S1119" s="51"/>
      <c r="T1119" s="7"/>
      <c r="U1119" s="7"/>
      <c r="V1119" s="7"/>
      <c r="W1119" s="7"/>
      <c r="X1119" s="7"/>
      <c r="Y1119" s="7"/>
      <c r="Z1119" s="7"/>
      <c r="AA1119" s="7"/>
      <c r="AB1119" s="7"/>
      <c r="AC1119" s="7"/>
      <c r="AD1119" s="7"/>
      <c r="AE1119" s="6" t="s">
        <v>12355</v>
      </c>
      <c r="AF1119" s="74"/>
      <c r="AG1119" s="7"/>
      <c r="AH1119" s="73" t="s">
        <v>21458</v>
      </c>
      <c r="AI1119" s="7"/>
      <c r="AJ1119" s="7"/>
      <c r="AK1119" s="7"/>
      <c r="AL1119" s="7"/>
      <c r="AM1119" s="6"/>
      <c r="AN1119" s="6" t="s">
        <v>11183</v>
      </c>
      <c r="AO1119" s="7"/>
      <c r="AP1119" s="65">
        <v>30811.0</v>
      </c>
      <c r="AQ1119" s="6"/>
      <c r="AR1119" s="6"/>
      <c r="AS1119" s="6"/>
    </row>
    <row r="1120" ht="15.75" customHeight="1">
      <c r="A1120" s="6" t="s">
        <v>11185</v>
      </c>
      <c r="B1120" s="6" t="s">
        <v>7468</v>
      </c>
      <c r="C1120" s="7"/>
      <c r="D1120" s="7"/>
      <c r="E1120" s="7"/>
      <c r="F1120" s="7"/>
      <c r="G1120" s="7"/>
      <c r="H1120" s="7"/>
      <c r="I1120" s="7"/>
      <c r="J1120" s="7"/>
      <c r="K1120" s="7"/>
      <c r="L1120" s="7"/>
      <c r="M1120" s="6" t="s">
        <v>123</v>
      </c>
      <c r="N1120" s="7"/>
      <c r="O1120" s="6" t="s">
        <v>7481</v>
      </c>
      <c r="P1120" s="42"/>
      <c r="Q1120" s="43"/>
      <c r="R1120" s="50"/>
      <c r="S1120" s="51"/>
      <c r="T1120" s="7"/>
      <c r="U1120" s="7"/>
      <c r="V1120" s="7"/>
      <c r="W1120" s="7"/>
      <c r="X1120" s="7"/>
      <c r="Y1120" s="7"/>
      <c r="Z1120" s="7"/>
      <c r="AA1120" s="7"/>
      <c r="AB1120" s="7"/>
      <c r="AC1120" s="7"/>
      <c r="AD1120" s="7"/>
      <c r="AE1120" s="6" t="s">
        <v>12355</v>
      </c>
      <c r="AF1120" s="74"/>
      <c r="AG1120" s="7"/>
      <c r="AH1120" s="73" t="s">
        <v>21459</v>
      </c>
      <c r="AI1120" s="7"/>
      <c r="AJ1120" s="7"/>
      <c r="AK1120" s="7"/>
      <c r="AL1120" s="7"/>
      <c r="AM1120" s="6"/>
      <c r="AN1120" s="7"/>
      <c r="AO1120" s="7"/>
      <c r="AP1120" s="65">
        <v>30811.0</v>
      </c>
      <c r="AQ1120" s="6"/>
      <c r="AR1120" s="6"/>
      <c r="AS1120" s="6"/>
    </row>
    <row r="1121" ht="15.75" customHeight="1">
      <c r="A1121" s="6" t="s">
        <v>11187</v>
      </c>
      <c r="B1121" s="6" t="s">
        <v>7964</v>
      </c>
      <c r="C1121" s="7"/>
      <c r="D1121" s="7"/>
      <c r="E1121" s="7"/>
      <c r="F1121" s="7"/>
      <c r="G1121" s="7"/>
      <c r="H1121" s="7"/>
      <c r="I1121" s="7"/>
      <c r="J1121" s="7"/>
      <c r="K1121" s="7"/>
      <c r="L1121" s="7"/>
      <c r="M1121" s="6" t="s">
        <v>123</v>
      </c>
      <c r="N1121" s="7"/>
      <c r="O1121" s="6" t="s">
        <v>7973</v>
      </c>
      <c r="P1121" s="42"/>
      <c r="Q1121" s="43"/>
      <c r="R1121" s="50"/>
      <c r="S1121" s="51"/>
      <c r="T1121" s="7"/>
      <c r="U1121" s="7"/>
      <c r="V1121" s="7"/>
      <c r="W1121" s="7"/>
      <c r="X1121" s="7"/>
      <c r="Y1121" s="7"/>
      <c r="Z1121" s="7"/>
      <c r="AA1121" s="7"/>
      <c r="AB1121" s="7"/>
      <c r="AC1121" s="7"/>
      <c r="AD1121" s="7"/>
      <c r="AE1121" s="6" t="s">
        <v>12355</v>
      </c>
      <c r="AF1121" s="74"/>
      <c r="AG1121" s="7"/>
      <c r="AH1121" s="73" t="s">
        <v>21460</v>
      </c>
      <c r="AI1121" s="7"/>
      <c r="AJ1121" s="7"/>
      <c r="AK1121" s="7"/>
      <c r="AL1121" s="7"/>
      <c r="AM1121" s="6"/>
      <c r="AN1121" s="7"/>
      <c r="AO1121" s="7"/>
      <c r="AP1121" s="65">
        <v>30811.0</v>
      </c>
      <c r="AQ1121" s="6"/>
      <c r="AR1121" s="6"/>
      <c r="AS1121" s="6"/>
    </row>
    <row r="1122" ht="15.75" customHeight="1">
      <c r="A1122" s="6" t="s">
        <v>11189</v>
      </c>
      <c r="B1122" s="6" t="s">
        <v>21461</v>
      </c>
      <c r="C1122" s="7"/>
      <c r="D1122" s="7"/>
      <c r="E1122" s="7"/>
      <c r="F1122" s="7"/>
      <c r="G1122" s="7"/>
      <c r="H1122" s="7"/>
      <c r="I1122" s="7"/>
      <c r="J1122" s="7"/>
      <c r="K1122" s="7"/>
      <c r="L1122" s="7"/>
      <c r="M1122" s="6" t="s">
        <v>71</v>
      </c>
      <c r="N1122" s="7"/>
      <c r="O1122" s="6" t="s">
        <v>8144</v>
      </c>
      <c r="P1122" s="42"/>
      <c r="Q1122" s="43"/>
      <c r="R1122" s="50"/>
      <c r="S1122" s="51"/>
      <c r="T1122" s="7"/>
      <c r="U1122" s="7"/>
      <c r="V1122" s="7"/>
      <c r="W1122" s="7"/>
      <c r="X1122" s="7"/>
      <c r="Y1122" s="7"/>
      <c r="Z1122" s="7"/>
      <c r="AA1122" s="7"/>
      <c r="AB1122" s="7"/>
      <c r="AC1122" s="7"/>
      <c r="AD1122" s="7"/>
      <c r="AE1122" s="6" t="s">
        <v>12355</v>
      </c>
      <c r="AF1122" s="74"/>
      <c r="AG1122" s="7"/>
      <c r="AH1122" s="73" t="s">
        <v>21462</v>
      </c>
      <c r="AI1122" s="7"/>
      <c r="AJ1122" s="7"/>
      <c r="AK1122" s="7"/>
      <c r="AL1122" s="7"/>
      <c r="AM1122" s="6"/>
      <c r="AN1122" s="7"/>
      <c r="AO1122" s="7"/>
      <c r="AP1122" s="65">
        <v>30811.0</v>
      </c>
      <c r="AQ1122" s="6"/>
      <c r="AR1122" s="6"/>
      <c r="AS1122" s="6"/>
    </row>
    <row r="1123" ht="15.75" customHeight="1">
      <c r="A1123" s="6" t="s">
        <v>11191</v>
      </c>
      <c r="B1123" s="6" t="s">
        <v>21463</v>
      </c>
      <c r="C1123" s="7"/>
      <c r="D1123" s="7"/>
      <c r="E1123" s="7"/>
      <c r="F1123" s="7"/>
      <c r="G1123" s="7"/>
      <c r="H1123" s="7"/>
      <c r="I1123" s="7"/>
      <c r="J1123" s="7"/>
      <c r="K1123" s="7"/>
      <c r="L1123" s="7"/>
      <c r="M1123" s="6" t="s">
        <v>123</v>
      </c>
      <c r="N1123" s="7"/>
      <c r="O1123" s="6"/>
      <c r="P1123" s="42"/>
      <c r="Q1123" s="43"/>
      <c r="R1123" s="50"/>
      <c r="S1123" s="51"/>
      <c r="T1123" s="7"/>
      <c r="U1123" s="7"/>
      <c r="V1123" s="7"/>
      <c r="W1123" s="7"/>
      <c r="X1123" s="7"/>
      <c r="Y1123" s="7"/>
      <c r="Z1123" s="7"/>
      <c r="AA1123" s="7"/>
      <c r="AB1123" s="7"/>
      <c r="AC1123" s="7"/>
      <c r="AD1123" s="7"/>
      <c r="AE1123" s="6" t="s">
        <v>12355</v>
      </c>
      <c r="AF1123" s="74"/>
      <c r="AG1123" s="7"/>
      <c r="AH1123" s="73" t="s">
        <v>21464</v>
      </c>
      <c r="AI1123" s="7"/>
      <c r="AJ1123" s="7"/>
      <c r="AK1123" s="7"/>
      <c r="AL1123" s="7"/>
      <c r="AM1123" s="6"/>
      <c r="AN1123" s="7"/>
      <c r="AO1123" s="7"/>
      <c r="AP1123" s="65">
        <v>30811.0</v>
      </c>
      <c r="AQ1123" s="6"/>
      <c r="AR1123" s="6"/>
      <c r="AS1123" s="6"/>
    </row>
    <row r="1124" ht="15.75" customHeight="1">
      <c r="A1124" s="6" t="s">
        <v>11193</v>
      </c>
      <c r="B1124" s="6" t="s">
        <v>21465</v>
      </c>
      <c r="C1124" s="7"/>
      <c r="D1124" s="7"/>
      <c r="E1124" s="7"/>
      <c r="F1124" s="7"/>
      <c r="G1124" s="7"/>
      <c r="H1124" s="7"/>
      <c r="I1124" s="7"/>
      <c r="J1124" s="7"/>
      <c r="K1124" s="7"/>
      <c r="L1124" s="7"/>
      <c r="M1124" s="6" t="s">
        <v>40</v>
      </c>
      <c r="N1124" s="7"/>
      <c r="O1124" s="6" t="s">
        <v>2668</v>
      </c>
      <c r="P1124" s="42"/>
      <c r="Q1124" s="43"/>
      <c r="R1124" s="50"/>
      <c r="S1124" s="51"/>
      <c r="T1124" s="7"/>
      <c r="U1124" s="7"/>
      <c r="V1124" s="7"/>
      <c r="W1124" s="7"/>
      <c r="X1124" s="7"/>
      <c r="Y1124" s="7"/>
      <c r="Z1124" s="7"/>
      <c r="AA1124" s="7"/>
      <c r="AB1124" s="7"/>
      <c r="AC1124" s="7"/>
      <c r="AD1124" s="7"/>
      <c r="AE1124" s="6" t="s">
        <v>12355</v>
      </c>
      <c r="AF1124" s="74"/>
      <c r="AG1124" s="7"/>
      <c r="AH1124" s="73" t="s">
        <v>21466</v>
      </c>
      <c r="AI1124" s="7"/>
      <c r="AJ1124" s="7"/>
      <c r="AK1124" s="7"/>
      <c r="AL1124" s="7"/>
      <c r="AM1124" s="6"/>
      <c r="AN1124" s="7"/>
      <c r="AO1124" s="7"/>
      <c r="AP1124" s="65">
        <v>30811.0</v>
      </c>
      <c r="AQ1124" s="6"/>
      <c r="AR1124" s="6"/>
      <c r="AS1124" s="6"/>
    </row>
    <row r="1125" ht="15.75" customHeight="1">
      <c r="A1125" s="6" t="s">
        <v>11195</v>
      </c>
      <c r="B1125" s="6" t="s">
        <v>557</v>
      </c>
      <c r="C1125" s="7"/>
      <c r="D1125" s="7"/>
      <c r="E1125" s="7"/>
      <c r="F1125" s="7"/>
      <c r="G1125" s="7"/>
      <c r="H1125" s="7"/>
      <c r="I1125" s="7"/>
      <c r="J1125" s="7"/>
      <c r="K1125" s="7"/>
      <c r="L1125" s="7"/>
      <c r="M1125" s="6" t="s">
        <v>71</v>
      </c>
      <c r="N1125" s="7"/>
      <c r="O1125" s="6" t="s">
        <v>563</v>
      </c>
      <c r="P1125" s="42"/>
      <c r="Q1125" s="43"/>
      <c r="R1125" s="50"/>
      <c r="S1125" s="51"/>
      <c r="T1125" s="7"/>
      <c r="U1125" s="7"/>
      <c r="V1125" s="7"/>
      <c r="W1125" s="7"/>
      <c r="X1125" s="7"/>
      <c r="Y1125" s="7"/>
      <c r="Z1125" s="7"/>
      <c r="AA1125" s="7"/>
      <c r="AB1125" s="7"/>
      <c r="AC1125" s="7"/>
      <c r="AD1125" s="7"/>
      <c r="AE1125" s="6" t="s">
        <v>12355</v>
      </c>
      <c r="AF1125" s="74"/>
      <c r="AG1125" s="7"/>
      <c r="AH1125" s="73" t="s">
        <v>21467</v>
      </c>
      <c r="AI1125" s="7"/>
      <c r="AJ1125" s="7"/>
      <c r="AK1125" s="7"/>
      <c r="AL1125" s="7"/>
      <c r="AM1125" s="6"/>
      <c r="AN1125" s="7"/>
      <c r="AO1125" s="7"/>
      <c r="AP1125" s="65">
        <v>30811.0</v>
      </c>
      <c r="AQ1125" s="6"/>
      <c r="AR1125" s="6"/>
      <c r="AS1125" s="6"/>
    </row>
    <row r="1126" ht="15.75" customHeight="1">
      <c r="A1126" s="6" t="s">
        <v>21468</v>
      </c>
      <c r="B1126" s="6" t="s">
        <v>21469</v>
      </c>
      <c r="C1126" s="7"/>
      <c r="D1126" s="7"/>
      <c r="E1126" s="7"/>
      <c r="F1126" s="7"/>
      <c r="G1126" s="7"/>
      <c r="H1126" s="7"/>
      <c r="I1126" s="7"/>
      <c r="J1126" s="7"/>
      <c r="K1126" s="7"/>
      <c r="L1126" s="7"/>
      <c r="M1126" s="6" t="s">
        <v>40</v>
      </c>
      <c r="N1126" s="7"/>
      <c r="O1126" s="6" t="s">
        <v>21029</v>
      </c>
      <c r="P1126" s="42"/>
      <c r="Q1126" s="43"/>
      <c r="R1126" s="50"/>
      <c r="S1126" s="51"/>
      <c r="T1126" s="7"/>
      <c r="U1126" s="7"/>
      <c r="V1126" s="7"/>
      <c r="W1126" s="7"/>
      <c r="X1126" s="7"/>
      <c r="Y1126" s="7"/>
      <c r="Z1126" s="7"/>
      <c r="AA1126" s="7"/>
      <c r="AB1126" s="7"/>
      <c r="AC1126" s="7"/>
      <c r="AD1126" s="7"/>
      <c r="AE1126" s="6" t="s">
        <v>12355</v>
      </c>
      <c r="AF1126" s="74"/>
      <c r="AG1126" s="7"/>
      <c r="AH1126" s="73" t="s">
        <v>21470</v>
      </c>
      <c r="AI1126" s="7"/>
      <c r="AJ1126" s="7"/>
      <c r="AK1126" s="7"/>
      <c r="AL1126" s="7"/>
      <c r="AM1126" s="6"/>
      <c r="AN1126" s="7"/>
      <c r="AO1126" s="7"/>
      <c r="AP1126" s="65">
        <v>30811.0</v>
      </c>
      <c r="AQ1126" s="6"/>
      <c r="AR1126" s="6"/>
      <c r="AS1126" s="6"/>
    </row>
    <row r="1127" ht="15.75" customHeight="1">
      <c r="A1127" s="6" t="s">
        <v>21471</v>
      </c>
      <c r="B1127" s="6" t="s">
        <v>21472</v>
      </c>
      <c r="C1127" s="7"/>
      <c r="D1127" s="7"/>
      <c r="E1127" s="7"/>
      <c r="F1127" s="7"/>
      <c r="G1127" s="7"/>
      <c r="H1127" s="7"/>
      <c r="I1127" s="7"/>
      <c r="J1127" s="7"/>
      <c r="K1127" s="7"/>
      <c r="L1127" s="7"/>
      <c r="M1127" s="6" t="s">
        <v>123</v>
      </c>
      <c r="N1127" s="7"/>
      <c r="O1127" s="6" t="s">
        <v>21029</v>
      </c>
      <c r="P1127" s="42"/>
      <c r="Q1127" s="43"/>
      <c r="R1127" s="50"/>
      <c r="S1127" s="51"/>
      <c r="T1127" s="7"/>
      <c r="U1127" s="7"/>
      <c r="V1127" s="7"/>
      <c r="W1127" s="7"/>
      <c r="X1127" s="7"/>
      <c r="Y1127" s="7"/>
      <c r="Z1127" s="7"/>
      <c r="AA1127" s="7"/>
      <c r="AB1127" s="7"/>
      <c r="AC1127" s="7"/>
      <c r="AD1127" s="7"/>
      <c r="AE1127" s="6" t="s">
        <v>12355</v>
      </c>
      <c r="AF1127" s="74"/>
      <c r="AG1127" s="7"/>
      <c r="AH1127" s="73" t="s">
        <v>21473</v>
      </c>
      <c r="AI1127" s="7"/>
      <c r="AJ1127" s="7"/>
      <c r="AK1127" s="7"/>
      <c r="AL1127" s="7"/>
      <c r="AM1127" s="6"/>
      <c r="AN1127" s="7"/>
      <c r="AO1127" s="7"/>
      <c r="AP1127" s="65">
        <v>30811.0</v>
      </c>
      <c r="AQ1127" s="6"/>
      <c r="AR1127" s="6"/>
      <c r="AS1127" s="6"/>
    </row>
    <row r="1128" ht="15.75" customHeight="1">
      <c r="A1128" s="6" t="s">
        <v>21474</v>
      </c>
      <c r="B1128" s="6" t="s">
        <v>799</v>
      </c>
      <c r="C1128" s="7"/>
      <c r="D1128" s="7"/>
      <c r="E1128" s="7"/>
      <c r="F1128" s="7"/>
      <c r="G1128" s="7"/>
      <c r="H1128" s="7"/>
      <c r="I1128" s="7"/>
      <c r="J1128" s="7"/>
      <c r="K1128" s="7"/>
      <c r="L1128" s="7"/>
      <c r="M1128" s="6" t="s">
        <v>71</v>
      </c>
      <c r="N1128" s="7"/>
      <c r="O1128" s="6" t="s">
        <v>21029</v>
      </c>
      <c r="P1128" s="42"/>
      <c r="Q1128" s="43"/>
      <c r="R1128" s="50"/>
      <c r="S1128" s="51"/>
      <c r="T1128" s="7"/>
      <c r="U1128" s="7"/>
      <c r="V1128" s="7"/>
      <c r="W1128" s="7"/>
      <c r="X1128" s="7"/>
      <c r="Y1128" s="7"/>
      <c r="Z1128" s="7"/>
      <c r="AA1128" s="7"/>
      <c r="AB1128" s="7"/>
      <c r="AC1128" s="7"/>
      <c r="AD1128" s="7"/>
      <c r="AE1128" s="6" t="s">
        <v>12355</v>
      </c>
      <c r="AF1128" s="74"/>
      <c r="AG1128" s="7"/>
      <c r="AH1128" s="73" t="s">
        <v>21475</v>
      </c>
      <c r="AI1128" s="7"/>
      <c r="AJ1128" s="7"/>
      <c r="AK1128" s="7"/>
      <c r="AL1128" s="7"/>
      <c r="AM1128" s="6"/>
      <c r="AN1128" s="7"/>
      <c r="AO1128" s="7"/>
      <c r="AP1128" s="65">
        <v>30811.0</v>
      </c>
      <c r="AQ1128" s="6"/>
      <c r="AR1128" s="6"/>
      <c r="AS1128" s="6"/>
    </row>
    <row r="1129" ht="15.75" customHeight="1">
      <c r="A1129" s="6" t="s">
        <v>11197</v>
      </c>
      <c r="B1129" s="6" t="s">
        <v>873</v>
      </c>
      <c r="C1129" s="7"/>
      <c r="D1129" s="7"/>
      <c r="E1129" s="7"/>
      <c r="F1129" s="7"/>
      <c r="G1129" s="7"/>
      <c r="H1129" s="7"/>
      <c r="I1129" s="7"/>
      <c r="J1129" s="7"/>
      <c r="K1129" s="7"/>
      <c r="L1129" s="7"/>
      <c r="M1129" s="6" t="s">
        <v>33</v>
      </c>
      <c r="N1129" s="7"/>
      <c r="O1129" s="6"/>
      <c r="P1129" s="42"/>
      <c r="Q1129" s="43"/>
      <c r="R1129" s="50"/>
      <c r="S1129" s="51"/>
      <c r="T1129" s="7"/>
      <c r="U1129" s="7"/>
      <c r="V1129" s="7"/>
      <c r="W1129" s="7"/>
      <c r="X1129" s="7"/>
      <c r="Y1129" s="7"/>
      <c r="Z1129" s="7"/>
      <c r="AA1129" s="7"/>
      <c r="AB1129" s="7"/>
      <c r="AC1129" s="7"/>
      <c r="AD1129" s="7"/>
      <c r="AE1129" s="6" t="s">
        <v>12355</v>
      </c>
      <c r="AF1129" s="74"/>
      <c r="AG1129" s="7"/>
      <c r="AH1129" s="73" t="s">
        <v>21476</v>
      </c>
      <c r="AI1129" s="7"/>
      <c r="AJ1129" s="7"/>
      <c r="AK1129" s="7"/>
      <c r="AL1129" s="7"/>
      <c r="AM1129" s="6"/>
      <c r="AN1129" s="7"/>
      <c r="AO1129" s="7"/>
      <c r="AP1129" s="65">
        <v>30811.0</v>
      </c>
      <c r="AQ1129" s="6"/>
      <c r="AR1129" s="6"/>
      <c r="AS1129" s="6"/>
    </row>
    <row r="1130" ht="15.75" customHeight="1">
      <c r="A1130" s="6" t="s">
        <v>11199</v>
      </c>
      <c r="B1130" s="6" t="s">
        <v>959</v>
      </c>
      <c r="C1130" s="7"/>
      <c r="D1130" s="7"/>
      <c r="E1130" s="7"/>
      <c r="F1130" s="7"/>
      <c r="G1130" s="7"/>
      <c r="H1130" s="7"/>
      <c r="I1130" s="7"/>
      <c r="J1130" s="7"/>
      <c r="K1130" s="7"/>
      <c r="L1130" s="7"/>
      <c r="M1130" s="6" t="s">
        <v>123</v>
      </c>
      <c r="N1130" s="7"/>
      <c r="O1130" s="6" t="s">
        <v>970</v>
      </c>
      <c r="P1130" s="42"/>
      <c r="Q1130" s="43"/>
      <c r="R1130" s="50"/>
      <c r="S1130" s="51"/>
      <c r="T1130" s="7"/>
      <c r="U1130" s="7"/>
      <c r="V1130" s="7"/>
      <c r="W1130" s="7"/>
      <c r="X1130" s="7"/>
      <c r="Y1130" s="7"/>
      <c r="Z1130" s="7"/>
      <c r="AA1130" s="7"/>
      <c r="AB1130" s="7"/>
      <c r="AC1130" s="7"/>
      <c r="AD1130" s="7"/>
      <c r="AE1130" s="6" t="s">
        <v>12355</v>
      </c>
      <c r="AF1130" s="74"/>
      <c r="AG1130" s="7"/>
      <c r="AH1130" s="73" t="s">
        <v>21477</v>
      </c>
      <c r="AI1130" s="7"/>
      <c r="AJ1130" s="7"/>
      <c r="AK1130" s="7"/>
      <c r="AL1130" s="7"/>
      <c r="AM1130" s="6"/>
      <c r="AN1130" s="7"/>
      <c r="AO1130" s="7"/>
      <c r="AP1130" s="65">
        <v>30811.0</v>
      </c>
      <c r="AQ1130" s="6"/>
      <c r="AR1130" s="6"/>
      <c r="AS1130" s="6"/>
    </row>
    <row r="1131" ht="15.75" customHeight="1">
      <c r="A1131" s="6" t="s">
        <v>21478</v>
      </c>
      <c r="B1131" s="6" t="s">
        <v>972</v>
      </c>
      <c r="C1131" s="7"/>
      <c r="D1131" s="7"/>
      <c r="E1131" s="7"/>
      <c r="F1131" s="7"/>
      <c r="G1131" s="7"/>
      <c r="H1131" s="7"/>
      <c r="I1131" s="7"/>
      <c r="J1131" s="7"/>
      <c r="K1131" s="7"/>
      <c r="L1131" s="7"/>
      <c r="M1131" s="6" t="s">
        <v>33</v>
      </c>
      <c r="N1131" s="7"/>
      <c r="O1131" s="6" t="s">
        <v>21029</v>
      </c>
      <c r="P1131" s="42"/>
      <c r="Q1131" s="43"/>
      <c r="R1131" s="50"/>
      <c r="S1131" s="51"/>
      <c r="T1131" s="7"/>
      <c r="U1131" s="7"/>
      <c r="V1131" s="7"/>
      <c r="W1131" s="7"/>
      <c r="X1131" s="7"/>
      <c r="Y1131" s="7"/>
      <c r="Z1131" s="7"/>
      <c r="AA1131" s="7"/>
      <c r="AB1131" s="7"/>
      <c r="AC1131" s="7"/>
      <c r="AD1131" s="7"/>
      <c r="AE1131" s="6" t="s">
        <v>12355</v>
      </c>
      <c r="AF1131" s="74"/>
      <c r="AG1131" s="7"/>
      <c r="AH1131" s="73" t="s">
        <v>21479</v>
      </c>
      <c r="AI1131" s="7"/>
      <c r="AJ1131" s="7"/>
      <c r="AK1131" s="7"/>
      <c r="AL1131" s="7"/>
      <c r="AM1131" s="6"/>
      <c r="AN1131" s="7"/>
      <c r="AO1131" s="7"/>
      <c r="AP1131" s="65">
        <v>30811.0</v>
      </c>
      <c r="AQ1131" s="6"/>
      <c r="AR1131" s="6"/>
      <c r="AS1131" s="6"/>
    </row>
    <row r="1132" ht="15.75" customHeight="1">
      <c r="A1132" s="6" t="s">
        <v>11201</v>
      </c>
      <c r="B1132" s="6" t="s">
        <v>21480</v>
      </c>
      <c r="C1132" s="7"/>
      <c r="D1132" s="7"/>
      <c r="E1132" s="7"/>
      <c r="F1132" s="7"/>
      <c r="G1132" s="7"/>
      <c r="H1132" s="7"/>
      <c r="I1132" s="7"/>
      <c r="J1132" s="7"/>
      <c r="K1132" s="7"/>
      <c r="L1132" s="7"/>
      <c r="M1132" s="6" t="s">
        <v>40</v>
      </c>
      <c r="N1132" s="7"/>
      <c r="O1132" s="6"/>
      <c r="P1132" s="42"/>
      <c r="Q1132" s="43"/>
      <c r="R1132" s="50"/>
      <c r="S1132" s="51"/>
      <c r="T1132" s="7"/>
      <c r="U1132" s="7"/>
      <c r="V1132" s="7"/>
      <c r="W1132" s="7"/>
      <c r="X1132" s="7"/>
      <c r="Y1132" s="7"/>
      <c r="Z1132" s="7"/>
      <c r="AA1132" s="7"/>
      <c r="AB1132" s="7"/>
      <c r="AC1132" s="7"/>
      <c r="AD1132" s="7"/>
      <c r="AE1132" s="6" t="s">
        <v>12355</v>
      </c>
      <c r="AF1132" s="74"/>
      <c r="AG1132" s="7"/>
      <c r="AH1132" s="73" t="s">
        <v>21481</v>
      </c>
      <c r="AI1132" s="7"/>
      <c r="AJ1132" s="7"/>
      <c r="AK1132" s="7"/>
      <c r="AL1132" s="7"/>
      <c r="AM1132" s="6"/>
      <c r="AN1132" s="7"/>
      <c r="AO1132" s="7"/>
      <c r="AP1132" s="65">
        <v>30811.0</v>
      </c>
      <c r="AQ1132" s="6"/>
      <c r="AR1132" s="6"/>
      <c r="AS1132" s="6"/>
    </row>
    <row r="1133" ht="15.75" customHeight="1">
      <c r="A1133" s="6" t="s">
        <v>21482</v>
      </c>
      <c r="B1133" s="6" t="s">
        <v>1104</v>
      </c>
      <c r="C1133" s="7"/>
      <c r="D1133" s="7"/>
      <c r="E1133" s="7"/>
      <c r="F1133" s="7"/>
      <c r="G1133" s="7"/>
      <c r="H1133" s="7"/>
      <c r="I1133" s="7"/>
      <c r="J1133" s="7"/>
      <c r="K1133" s="7"/>
      <c r="L1133" s="7"/>
      <c r="M1133" s="6" t="s">
        <v>40</v>
      </c>
      <c r="N1133" s="7"/>
      <c r="O1133" s="6" t="s">
        <v>1116</v>
      </c>
      <c r="P1133" s="42"/>
      <c r="Q1133" s="43"/>
      <c r="R1133" s="50"/>
      <c r="S1133" s="51"/>
      <c r="T1133" s="7"/>
      <c r="U1133" s="7"/>
      <c r="V1133" s="7"/>
      <c r="W1133" s="7"/>
      <c r="X1133" s="7"/>
      <c r="Y1133" s="7"/>
      <c r="Z1133" s="7"/>
      <c r="AA1133" s="7"/>
      <c r="AB1133" s="7"/>
      <c r="AC1133" s="7"/>
      <c r="AD1133" s="7"/>
      <c r="AE1133" s="6" t="s">
        <v>12355</v>
      </c>
      <c r="AF1133" s="74"/>
      <c r="AG1133" s="7"/>
      <c r="AH1133" s="73" t="s">
        <v>21483</v>
      </c>
      <c r="AI1133" s="7"/>
      <c r="AJ1133" s="7"/>
      <c r="AK1133" s="7"/>
      <c r="AL1133" s="7"/>
      <c r="AM1133" s="6"/>
      <c r="AN1133" s="7"/>
      <c r="AO1133" s="7"/>
      <c r="AP1133" s="65">
        <v>30811.0</v>
      </c>
      <c r="AQ1133" s="6"/>
      <c r="AR1133" s="6"/>
      <c r="AS1133" s="6"/>
    </row>
    <row r="1134" ht="15.75" customHeight="1">
      <c r="A1134" s="6" t="s">
        <v>11203</v>
      </c>
      <c r="B1134" s="6" t="s">
        <v>1104</v>
      </c>
      <c r="C1134" s="7"/>
      <c r="D1134" s="7"/>
      <c r="E1134" s="7"/>
      <c r="F1134" s="7"/>
      <c r="G1134" s="7"/>
      <c r="H1134" s="7"/>
      <c r="I1134" s="7"/>
      <c r="J1134" s="7"/>
      <c r="K1134" s="7"/>
      <c r="L1134" s="7"/>
      <c r="M1134" s="6" t="s">
        <v>40</v>
      </c>
      <c r="N1134" s="7"/>
      <c r="O1134" s="6" t="s">
        <v>21029</v>
      </c>
      <c r="P1134" s="42"/>
      <c r="Q1134" s="43"/>
      <c r="R1134" s="50"/>
      <c r="S1134" s="51"/>
      <c r="T1134" s="7"/>
      <c r="U1134" s="7"/>
      <c r="V1134" s="7"/>
      <c r="W1134" s="7"/>
      <c r="X1134" s="7"/>
      <c r="Y1134" s="7"/>
      <c r="Z1134" s="7"/>
      <c r="AA1134" s="7"/>
      <c r="AB1134" s="7"/>
      <c r="AC1134" s="7"/>
      <c r="AD1134" s="7"/>
      <c r="AE1134" s="6" t="s">
        <v>12355</v>
      </c>
      <c r="AF1134" s="74"/>
      <c r="AG1134" s="7"/>
      <c r="AH1134" s="73" t="s">
        <v>21484</v>
      </c>
      <c r="AI1134" s="7"/>
      <c r="AJ1134" s="7"/>
      <c r="AK1134" s="7"/>
      <c r="AL1134" s="7"/>
      <c r="AM1134" s="6"/>
      <c r="AN1134" s="7"/>
      <c r="AO1134" s="7"/>
      <c r="AP1134" s="65">
        <v>30811.0</v>
      </c>
      <c r="AQ1134" s="6"/>
      <c r="AR1134" s="6"/>
      <c r="AS1134" s="6"/>
    </row>
    <row r="1135" ht="15.75" customHeight="1">
      <c r="A1135" s="6" t="s">
        <v>11205</v>
      </c>
      <c r="B1135" s="6" t="s">
        <v>21485</v>
      </c>
      <c r="C1135" s="7"/>
      <c r="D1135" s="7"/>
      <c r="E1135" s="7"/>
      <c r="F1135" s="7"/>
      <c r="G1135" s="7"/>
      <c r="H1135" s="7"/>
      <c r="I1135" s="7"/>
      <c r="J1135" s="7"/>
      <c r="K1135" s="7"/>
      <c r="L1135" s="7"/>
      <c r="M1135" s="6" t="s">
        <v>40</v>
      </c>
      <c r="N1135" s="7"/>
      <c r="O1135" s="6" t="s">
        <v>1328</v>
      </c>
      <c r="P1135" s="42"/>
      <c r="Q1135" s="43"/>
      <c r="R1135" s="50"/>
      <c r="S1135" s="51"/>
      <c r="T1135" s="7"/>
      <c r="U1135" s="7"/>
      <c r="V1135" s="7"/>
      <c r="W1135" s="7"/>
      <c r="X1135" s="7"/>
      <c r="Y1135" s="7"/>
      <c r="Z1135" s="7"/>
      <c r="AA1135" s="7"/>
      <c r="AB1135" s="7"/>
      <c r="AC1135" s="7"/>
      <c r="AD1135" s="7"/>
      <c r="AE1135" s="6" t="s">
        <v>12355</v>
      </c>
      <c r="AF1135" s="74"/>
      <c r="AG1135" s="7"/>
      <c r="AH1135" s="73" t="s">
        <v>21486</v>
      </c>
      <c r="AI1135" s="7"/>
      <c r="AJ1135" s="7"/>
      <c r="AK1135" s="7"/>
      <c r="AL1135" s="7"/>
      <c r="AM1135" s="6"/>
      <c r="AN1135" s="7"/>
      <c r="AO1135" s="7"/>
      <c r="AP1135" s="65">
        <v>30811.0</v>
      </c>
      <c r="AQ1135" s="6"/>
      <c r="AR1135" s="6"/>
      <c r="AS1135" s="6"/>
    </row>
    <row r="1136" ht="15.75" customHeight="1">
      <c r="A1136" s="6" t="s">
        <v>21487</v>
      </c>
      <c r="B1136" s="6" t="s">
        <v>1357</v>
      </c>
      <c r="C1136" s="7"/>
      <c r="D1136" s="7"/>
      <c r="E1136" s="7"/>
      <c r="F1136" s="7"/>
      <c r="G1136" s="7"/>
      <c r="H1136" s="7"/>
      <c r="I1136" s="7"/>
      <c r="J1136" s="7"/>
      <c r="K1136" s="7"/>
      <c r="L1136" s="7"/>
      <c r="M1136" s="6" t="s">
        <v>71</v>
      </c>
      <c r="N1136" s="7"/>
      <c r="O1136" s="6" t="s">
        <v>21029</v>
      </c>
      <c r="P1136" s="42"/>
      <c r="Q1136" s="43"/>
      <c r="R1136" s="50"/>
      <c r="S1136" s="51"/>
      <c r="T1136" s="7"/>
      <c r="U1136" s="7"/>
      <c r="V1136" s="7"/>
      <c r="W1136" s="7"/>
      <c r="X1136" s="7"/>
      <c r="Y1136" s="7"/>
      <c r="Z1136" s="7"/>
      <c r="AA1136" s="7"/>
      <c r="AB1136" s="7"/>
      <c r="AC1136" s="7"/>
      <c r="AD1136" s="7"/>
      <c r="AE1136" s="6" t="s">
        <v>12355</v>
      </c>
      <c r="AF1136" s="74"/>
      <c r="AG1136" s="7"/>
      <c r="AH1136" s="73" t="s">
        <v>21488</v>
      </c>
      <c r="AI1136" s="7"/>
      <c r="AJ1136" s="7"/>
      <c r="AK1136" s="7"/>
      <c r="AL1136" s="7"/>
      <c r="AM1136" s="6"/>
      <c r="AN1136" s="7"/>
      <c r="AO1136" s="7"/>
      <c r="AP1136" s="65">
        <v>30811.0</v>
      </c>
      <c r="AQ1136" s="6"/>
      <c r="AR1136" s="6"/>
      <c r="AS1136" s="6"/>
    </row>
    <row r="1137" ht="15.75" customHeight="1">
      <c r="A1137" s="6" t="s">
        <v>11207</v>
      </c>
      <c r="B1137" s="6" t="s">
        <v>1368</v>
      </c>
      <c r="C1137" s="7"/>
      <c r="D1137" s="7"/>
      <c r="E1137" s="7"/>
      <c r="F1137" s="7"/>
      <c r="G1137" s="7"/>
      <c r="H1137" s="7"/>
      <c r="I1137" s="7"/>
      <c r="J1137" s="7"/>
      <c r="K1137" s="7"/>
      <c r="L1137" s="7"/>
      <c r="M1137" s="6" t="s">
        <v>40</v>
      </c>
      <c r="N1137" s="7"/>
      <c r="O1137" s="6" t="s">
        <v>1373</v>
      </c>
      <c r="P1137" s="42"/>
      <c r="Q1137" s="43"/>
      <c r="R1137" s="50"/>
      <c r="S1137" s="51"/>
      <c r="T1137" s="7"/>
      <c r="U1137" s="7"/>
      <c r="V1137" s="7"/>
      <c r="W1137" s="7"/>
      <c r="X1137" s="7"/>
      <c r="Y1137" s="7"/>
      <c r="Z1137" s="7"/>
      <c r="AA1137" s="7"/>
      <c r="AB1137" s="7"/>
      <c r="AC1137" s="7"/>
      <c r="AD1137" s="7"/>
      <c r="AE1137" s="6" t="s">
        <v>12355</v>
      </c>
      <c r="AF1137" s="74"/>
      <c r="AG1137" s="7"/>
      <c r="AH1137" s="73" t="s">
        <v>21489</v>
      </c>
      <c r="AI1137" s="7"/>
      <c r="AJ1137" s="7"/>
      <c r="AK1137" s="7"/>
      <c r="AL1137" s="7"/>
      <c r="AM1137" s="6"/>
      <c r="AN1137" s="7"/>
      <c r="AO1137" s="7"/>
      <c r="AP1137" s="65">
        <v>30811.0</v>
      </c>
      <c r="AQ1137" s="6"/>
      <c r="AR1137" s="6"/>
      <c r="AS1137" s="6"/>
    </row>
    <row r="1138" ht="15.75" customHeight="1">
      <c r="A1138" s="6" t="s">
        <v>11209</v>
      </c>
      <c r="B1138" s="6" t="s">
        <v>21490</v>
      </c>
      <c r="C1138" s="7"/>
      <c r="D1138" s="7"/>
      <c r="E1138" s="7"/>
      <c r="F1138" s="7"/>
      <c r="G1138" s="7"/>
      <c r="H1138" s="7"/>
      <c r="I1138" s="7"/>
      <c r="J1138" s="7"/>
      <c r="K1138" s="7"/>
      <c r="L1138" s="7"/>
      <c r="M1138" s="6" t="s">
        <v>123</v>
      </c>
      <c r="N1138" s="7"/>
      <c r="O1138" s="6" t="s">
        <v>1489</v>
      </c>
      <c r="P1138" s="42"/>
      <c r="Q1138" s="43"/>
      <c r="R1138" s="50"/>
      <c r="S1138" s="51"/>
      <c r="T1138" s="7"/>
      <c r="U1138" s="7"/>
      <c r="V1138" s="7"/>
      <c r="W1138" s="7"/>
      <c r="X1138" s="7"/>
      <c r="Y1138" s="7"/>
      <c r="Z1138" s="7"/>
      <c r="AA1138" s="7"/>
      <c r="AB1138" s="7"/>
      <c r="AC1138" s="7"/>
      <c r="AD1138" s="7"/>
      <c r="AE1138" s="6" t="s">
        <v>12355</v>
      </c>
      <c r="AF1138" s="74"/>
      <c r="AG1138" s="7"/>
      <c r="AH1138" s="73" t="s">
        <v>21491</v>
      </c>
      <c r="AI1138" s="7"/>
      <c r="AJ1138" s="7"/>
      <c r="AK1138" s="7"/>
      <c r="AL1138" s="7"/>
      <c r="AM1138" s="6"/>
      <c r="AN1138" s="7"/>
      <c r="AO1138" s="7"/>
      <c r="AP1138" s="65">
        <v>30811.0</v>
      </c>
      <c r="AQ1138" s="6"/>
      <c r="AR1138" s="6"/>
      <c r="AS1138" s="6"/>
    </row>
    <row r="1139" ht="15.75" customHeight="1">
      <c r="A1139" s="6" t="s">
        <v>11211</v>
      </c>
      <c r="B1139" s="6" t="s">
        <v>21492</v>
      </c>
      <c r="C1139" s="7"/>
      <c r="D1139" s="7"/>
      <c r="E1139" s="7"/>
      <c r="F1139" s="7"/>
      <c r="G1139" s="7"/>
      <c r="H1139" s="7"/>
      <c r="I1139" s="7"/>
      <c r="J1139" s="7"/>
      <c r="K1139" s="7"/>
      <c r="L1139" s="7"/>
      <c r="M1139" s="6" t="s">
        <v>33</v>
      </c>
      <c r="N1139" s="7"/>
      <c r="O1139" s="6" t="s">
        <v>1515</v>
      </c>
      <c r="P1139" s="42"/>
      <c r="Q1139" s="43"/>
      <c r="R1139" s="50"/>
      <c r="S1139" s="51"/>
      <c r="T1139" s="7"/>
      <c r="U1139" s="7"/>
      <c r="V1139" s="7"/>
      <c r="W1139" s="7"/>
      <c r="X1139" s="7"/>
      <c r="Y1139" s="7"/>
      <c r="Z1139" s="7"/>
      <c r="AA1139" s="7"/>
      <c r="AB1139" s="7"/>
      <c r="AC1139" s="7"/>
      <c r="AD1139" s="7"/>
      <c r="AE1139" s="6" t="s">
        <v>12355</v>
      </c>
      <c r="AF1139" s="74"/>
      <c r="AG1139" s="7"/>
      <c r="AH1139" s="73" t="s">
        <v>21493</v>
      </c>
      <c r="AI1139" s="7"/>
      <c r="AJ1139" s="7"/>
      <c r="AK1139" s="7"/>
      <c r="AL1139" s="7"/>
      <c r="AM1139" s="6"/>
      <c r="AN1139" s="7"/>
      <c r="AO1139" s="7"/>
      <c r="AP1139" s="65">
        <v>30811.0</v>
      </c>
      <c r="AQ1139" s="6"/>
      <c r="AR1139" s="6"/>
      <c r="AS1139" s="6"/>
    </row>
    <row r="1140" ht="15.75" customHeight="1">
      <c r="A1140" s="6" t="s">
        <v>11213</v>
      </c>
      <c r="B1140" s="6" t="s">
        <v>21494</v>
      </c>
      <c r="C1140" s="7"/>
      <c r="D1140" s="7"/>
      <c r="E1140" s="7"/>
      <c r="F1140" s="7"/>
      <c r="G1140" s="7"/>
      <c r="H1140" s="7"/>
      <c r="I1140" s="7"/>
      <c r="J1140" s="7"/>
      <c r="K1140" s="7"/>
      <c r="L1140" s="7"/>
      <c r="M1140" s="6" t="s">
        <v>123</v>
      </c>
      <c r="N1140" s="7"/>
      <c r="O1140" s="6" t="s">
        <v>1630</v>
      </c>
      <c r="P1140" s="42"/>
      <c r="Q1140" s="43"/>
      <c r="R1140" s="50"/>
      <c r="S1140" s="51"/>
      <c r="T1140" s="7"/>
      <c r="U1140" s="7"/>
      <c r="V1140" s="7"/>
      <c r="W1140" s="7"/>
      <c r="X1140" s="7"/>
      <c r="Y1140" s="7"/>
      <c r="Z1140" s="7"/>
      <c r="AA1140" s="7"/>
      <c r="AB1140" s="7"/>
      <c r="AC1140" s="7"/>
      <c r="AD1140" s="7"/>
      <c r="AE1140" s="6" t="s">
        <v>12355</v>
      </c>
      <c r="AF1140" s="74"/>
      <c r="AG1140" s="7"/>
      <c r="AH1140" s="73" t="s">
        <v>21495</v>
      </c>
      <c r="AI1140" s="7"/>
      <c r="AJ1140" s="7"/>
      <c r="AK1140" s="7"/>
      <c r="AL1140" s="7"/>
      <c r="AM1140" s="6"/>
      <c r="AN1140" s="7"/>
      <c r="AO1140" s="7"/>
      <c r="AP1140" s="65">
        <v>30811.0</v>
      </c>
      <c r="AQ1140" s="6"/>
      <c r="AR1140" s="6"/>
      <c r="AS1140" s="6"/>
    </row>
    <row r="1141" ht="15.75" customHeight="1">
      <c r="A1141" s="6" t="s">
        <v>11215</v>
      </c>
      <c r="B1141" s="6" t="s">
        <v>21496</v>
      </c>
      <c r="C1141" s="7"/>
      <c r="D1141" s="7"/>
      <c r="E1141" s="7"/>
      <c r="F1141" s="7"/>
      <c r="G1141" s="7"/>
      <c r="H1141" s="7"/>
      <c r="I1141" s="7"/>
      <c r="J1141" s="7"/>
      <c r="K1141" s="7"/>
      <c r="L1141" s="7"/>
      <c r="M1141" s="6" t="s">
        <v>123</v>
      </c>
      <c r="N1141" s="7"/>
      <c r="O1141" s="6"/>
      <c r="P1141" s="42"/>
      <c r="Q1141" s="43"/>
      <c r="R1141" s="50"/>
      <c r="S1141" s="51"/>
      <c r="T1141" s="7"/>
      <c r="U1141" s="7"/>
      <c r="V1141" s="7"/>
      <c r="W1141" s="7"/>
      <c r="X1141" s="7"/>
      <c r="Y1141" s="7"/>
      <c r="Z1141" s="7"/>
      <c r="AA1141" s="7"/>
      <c r="AB1141" s="7"/>
      <c r="AC1141" s="7"/>
      <c r="AD1141" s="7"/>
      <c r="AE1141" s="6" t="s">
        <v>12355</v>
      </c>
      <c r="AF1141" s="74"/>
      <c r="AG1141" s="7"/>
      <c r="AH1141" s="73" t="s">
        <v>21497</v>
      </c>
      <c r="AI1141" s="7"/>
      <c r="AJ1141" s="7"/>
      <c r="AK1141" s="7"/>
      <c r="AL1141" s="7"/>
      <c r="AM1141" s="6"/>
      <c r="AN1141" s="7"/>
      <c r="AO1141" s="7"/>
      <c r="AP1141" s="65">
        <v>30811.0</v>
      </c>
      <c r="AQ1141" s="6"/>
      <c r="AR1141" s="6"/>
      <c r="AS1141" s="6"/>
    </row>
    <row r="1142" ht="15.75" customHeight="1">
      <c r="A1142" s="6" t="s">
        <v>11217</v>
      </c>
      <c r="B1142" s="6" t="s">
        <v>2077</v>
      </c>
      <c r="C1142" s="7"/>
      <c r="D1142" s="7"/>
      <c r="E1142" s="7"/>
      <c r="F1142" s="7"/>
      <c r="G1142" s="7"/>
      <c r="H1142" s="7"/>
      <c r="I1142" s="7"/>
      <c r="J1142" s="7"/>
      <c r="K1142" s="7"/>
      <c r="L1142" s="7"/>
      <c r="M1142" s="6" t="s">
        <v>40</v>
      </c>
      <c r="N1142" s="7"/>
      <c r="O1142" s="6" t="s">
        <v>2088</v>
      </c>
      <c r="P1142" s="42"/>
      <c r="Q1142" s="43"/>
      <c r="R1142" s="50"/>
      <c r="S1142" s="51"/>
      <c r="T1142" s="7"/>
      <c r="U1142" s="7"/>
      <c r="V1142" s="7"/>
      <c r="W1142" s="7"/>
      <c r="X1142" s="7"/>
      <c r="Y1142" s="7"/>
      <c r="Z1142" s="7"/>
      <c r="AA1142" s="7"/>
      <c r="AB1142" s="7"/>
      <c r="AC1142" s="7"/>
      <c r="AD1142" s="7"/>
      <c r="AE1142" s="6" t="s">
        <v>12355</v>
      </c>
      <c r="AF1142" s="74"/>
      <c r="AG1142" s="7"/>
      <c r="AH1142" s="73" t="s">
        <v>21498</v>
      </c>
      <c r="AI1142" s="7"/>
      <c r="AJ1142" s="7"/>
      <c r="AK1142" s="7"/>
      <c r="AL1142" s="7"/>
      <c r="AM1142" s="6"/>
      <c r="AN1142" s="7"/>
      <c r="AO1142" s="7"/>
      <c r="AP1142" s="65">
        <v>30811.0</v>
      </c>
      <c r="AQ1142" s="6"/>
      <c r="AR1142" s="6"/>
      <c r="AS1142" s="6"/>
    </row>
    <row r="1143" ht="15.75" customHeight="1">
      <c r="A1143" s="6" t="s">
        <v>21499</v>
      </c>
      <c r="B1143" s="6" t="s">
        <v>2103</v>
      </c>
      <c r="C1143" s="7"/>
      <c r="D1143" s="7"/>
      <c r="E1143" s="7"/>
      <c r="F1143" s="7"/>
      <c r="G1143" s="7"/>
      <c r="H1143" s="7"/>
      <c r="I1143" s="7"/>
      <c r="J1143" s="7"/>
      <c r="K1143" s="7"/>
      <c r="L1143" s="7"/>
      <c r="M1143" s="6" t="s">
        <v>40</v>
      </c>
      <c r="N1143" s="7"/>
      <c r="O1143" s="6" t="s">
        <v>2112</v>
      </c>
      <c r="P1143" s="42"/>
      <c r="Q1143" s="43"/>
      <c r="R1143" s="50"/>
      <c r="S1143" s="51"/>
      <c r="T1143" s="7"/>
      <c r="U1143" s="7"/>
      <c r="V1143" s="7"/>
      <c r="W1143" s="7"/>
      <c r="X1143" s="7"/>
      <c r="Y1143" s="7"/>
      <c r="Z1143" s="7"/>
      <c r="AA1143" s="7"/>
      <c r="AB1143" s="7"/>
      <c r="AC1143" s="7"/>
      <c r="AD1143" s="7"/>
      <c r="AE1143" s="6" t="s">
        <v>12355</v>
      </c>
      <c r="AF1143" s="74"/>
      <c r="AG1143" s="7"/>
      <c r="AH1143" s="73" t="s">
        <v>21500</v>
      </c>
      <c r="AI1143" s="7"/>
      <c r="AJ1143" s="7"/>
      <c r="AK1143" s="7"/>
      <c r="AL1143" s="7"/>
      <c r="AM1143" s="6"/>
      <c r="AN1143" s="7"/>
      <c r="AO1143" s="7"/>
      <c r="AP1143" s="65">
        <v>30811.0</v>
      </c>
      <c r="AQ1143" s="6"/>
      <c r="AR1143" s="6"/>
      <c r="AS1143" s="6"/>
    </row>
    <row r="1144" ht="15.75" customHeight="1">
      <c r="A1144" s="6" t="s">
        <v>11219</v>
      </c>
      <c r="B1144" s="6" t="s">
        <v>2103</v>
      </c>
      <c r="C1144" s="7"/>
      <c r="D1144" s="7"/>
      <c r="E1144" s="7"/>
      <c r="F1144" s="7"/>
      <c r="G1144" s="7"/>
      <c r="H1144" s="7"/>
      <c r="I1144" s="7"/>
      <c r="J1144" s="7"/>
      <c r="K1144" s="7"/>
      <c r="L1144" s="7"/>
      <c r="M1144" s="6" t="s">
        <v>40</v>
      </c>
      <c r="N1144" s="7"/>
      <c r="O1144" s="6" t="s">
        <v>2121</v>
      </c>
      <c r="P1144" s="42"/>
      <c r="Q1144" s="43"/>
      <c r="R1144" s="50"/>
      <c r="S1144" s="51"/>
      <c r="T1144" s="7"/>
      <c r="U1144" s="7"/>
      <c r="V1144" s="7"/>
      <c r="W1144" s="7"/>
      <c r="X1144" s="7"/>
      <c r="Y1144" s="7"/>
      <c r="Z1144" s="7"/>
      <c r="AA1144" s="7"/>
      <c r="AB1144" s="7"/>
      <c r="AC1144" s="7"/>
      <c r="AD1144" s="7"/>
      <c r="AE1144" s="6" t="s">
        <v>12355</v>
      </c>
      <c r="AF1144" s="74"/>
      <c r="AG1144" s="7"/>
      <c r="AH1144" s="73" t="s">
        <v>21501</v>
      </c>
      <c r="AI1144" s="7"/>
      <c r="AJ1144" s="7"/>
      <c r="AK1144" s="7"/>
      <c r="AL1144" s="7"/>
      <c r="AM1144" s="6"/>
      <c r="AN1144" s="7"/>
      <c r="AO1144" s="7"/>
      <c r="AP1144" s="65">
        <v>30811.0</v>
      </c>
      <c r="AQ1144" s="6"/>
      <c r="AR1144" s="6"/>
      <c r="AS1144" s="6"/>
    </row>
    <row r="1145" ht="15.75" customHeight="1">
      <c r="A1145" s="6" t="s">
        <v>11221</v>
      </c>
      <c r="B1145" s="6" t="s">
        <v>21502</v>
      </c>
      <c r="C1145" s="7"/>
      <c r="D1145" s="7"/>
      <c r="E1145" s="7"/>
      <c r="F1145" s="7"/>
      <c r="G1145" s="7"/>
      <c r="H1145" s="7"/>
      <c r="I1145" s="7"/>
      <c r="J1145" s="7"/>
      <c r="K1145" s="7"/>
      <c r="L1145" s="7"/>
      <c r="M1145" s="6" t="s">
        <v>71</v>
      </c>
      <c r="N1145" s="7"/>
      <c r="O1145" s="6"/>
      <c r="P1145" s="42"/>
      <c r="Q1145" s="43"/>
      <c r="R1145" s="50"/>
      <c r="S1145" s="51"/>
      <c r="T1145" s="7"/>
      <c r="U1145" s="7"/>
      <c r="V1145" s="7"/>
      <c r="W1145" s="7"/>
      <c r="X1145" s="7"/>
      <c r="Y1145" s="7"/>
      <c r="Z1145" s="7"/>
      <c r="AA1145" s="7"/>
      <c r="AB1145" s="7"/>
      <c r="AC1145" s="7"/>
      <c r="AD1145" s="7"/>
      <c r="AE1145" s="6" t="s">
        <v>12355</v>
      </c>
      <c r="AF1145" s="74"/>
      <c r="AG1145" s="7"/>
      <c r="AH1145" s="73" t="s">
        <v>21503</v>
      </c>
      <c r="AI1145" s="7"/>
      <c r="AJ1145" s="7"/>
      <c r="AK1145" s="7"/>
      <c r="AL1145" s="7"/>
      <c r="AM1145" s="6"/>
      <c r="AN1145" s="7"/>
      <c r="AO1145" s="7"/>
      <c r="AP1145" s="65">
        <v>30811.0</v>
      </c>
      <c r="AQ1145" s="6"/>
      <c r="AR1145" s="6"/>
      <c r="AS1145" s="6"/>
    </row>
    <row r="1146" ht="15.75" customHeight="1">
      <c r="A1146" s="6" t="s">
        <v>11223</v>
      </c>
      <c r="B1146" s="6" t="s">
        <v>2318</v>
      </c>
      <c r="C1146" s="7"/>
      <c r="D1146" s="7"/>
      <c r="E1146" s="7"/>
      <c r="F1146" s="7"/>
      <c r="G1146" s="7"/>
      <c r="H1146" s="7"/>
      <c r="I1146" s="7"/>
      <c r="J1146" s="7"/>
      <c r="K1146" s="7"/>
      <c r="L1146" s="7"/>
      <c r="M1146" s="6" t="s">
        <v>71</v>
      </c>
      <c r="N1146" s="7"/>
      <c r="O1146" s="6" t="s">
        <v>2327</v>
      </c>
      <c r="P1146" s="42"/>
      <c r="Q1146" s="43"/>
      <c r="R1146" s="50"/>
      <c r="S1146" s="51"/>
      <c r="T1146" s="7"/>
      <c r="U1146" s="7"/>
      <c r="V1146" s="7"/>
      <c r="W1146" s="7"/>
      <c r="X1146" s="7"/>
      <c r="Y1146" s="7"/>
      <c r="Z1146" s="7"/>
      <c r="AA1146" s="7"/>
      <c r="AB1146" s="7"/>
      <c r="AC1146" s="7"/>
      <c r="AD1146" s="7"/>
      <c r="AE1146" s="6" t="s">
        <v>12355</v>
      </c>
      <c r="AF1146" s="74"/>
      <c r="AG1146" s="7"/>
      <c r="AH1146" s="73" t="s">
        <v>21504</v>
      </c>
      <c r="AI1146" s="7"/>
      <c r="AJ1146" s="7"/>
      <c r="AK1146" s="7"/>
      <c r="AL1146" s="7"/>
      <c r="AM1146" s="6"/>
      <c r="AN1146" s="7"/>
      <c r="AO1146" s="7"/>
      <c r="AP1146" s="65">
        <v>30811.0</v>
      </c>
      <c r="AQ1146" s="6"/>
      <c r="AR1146" s="6"/>
      <c r="AS1146" s="6"/>
    </row>
    <row r="1147" ht="15.75" customHeight="1">
      <c r="A1147" s="6" t="s">
        <v>11225</v>
      </c>
      <c r="B1147" s="6" t="s">
        <v>2373</v>
      </c>
      <c r="C1147" s="7"/>
      <c r="D1147" s="7"/>
      <c r="E1147" s="7"/>
      <c r="F1147" s="7"/>
      <c r="G1147" s="7"/>
      <c r="H1147" s="7"/>
      <c r="I1147" s="7"/>
      <c r="J1147" s="7"/>
      <c r="K1147" s="7"/>
      <c r="L1147" s="7"/>
      <c r="M1147" s="6" t="s">
        <v>123</v>
      </c>
      <c r="N1147" s="7"/>
      <c r="O1147" s="6" t="s">
        <v>2383</v>
      </c>
      <c r="P1147" s="42"/>
      <c r="Q1147" s="43"/>
      <c r="R1147" s="50"/>
      <c r="S1147" s="51"/>
      <c r="T1147" s="7"/>
      <c r="U1147" s="7"/>
      <c r="V1147" s="7"/>
      <c r="W1147" s="7"/>
      <c r="X1147" s="7"/>
      <c r="Y1147" s="7"/>
      <c r="Z1147" s="7"/>
      <c r="AA1147" s="7"/>
      <c r="AB1147" s="7"/>
      <c r="AC1147" s="7"/>
      <c r="AD1147" s="7"/>
      <c r="AE1147" s="6" t="s">
        <v>12355</v>
      </c>
      <c r="AF1147" s="74"/>
      <c r="AG1147" s="7"/>
      <c r="AH1147" s="73" t="s">
        <v>21505</v>
      </c>
      <c r="AI1147" s="7"/>
      <c r="AJ1147" s="7"/>
      <c r="AK1147" s="7"/>
      <c r="AL1147" s="7"/>
      <c r="AM1147" s="6"/>
      <c r="AN1147" s="7"/>
      <c r="AO1147" s="7"/>
      <c r="AP1147" s="65">
        <v>30811.0</v>
      </c>
      <c r="AQ1147" s="6"/>
      <c r="AR1147" s="6"/>
      <c r="AS1147" s="6"/>
    </row>
    <row r="1148" ht="15.75" customHeight="1">
      <c r="A1148" s="6" t="s">
        <v>11227</v>
      </c>
      <c r="B1148" s="6" t="s">
        <v>2539</v>
      </c>
      <c r="C1148" s="7"/>
      <c r="D1148" s="7"/>
      <c r="E1148" s="7"/>
      <c r="F1148" s="7"/>
      <c r="G1148" s="7"/>
      <c r="H1148" s="7"/>
      <c r="I1148" s="7"/>
      <c r="J1148" s="7"/>
      <c r="K1148" s="7"/>
      <c r="L1148" s="7"/>
      <c r="M1148" s="6" t="s">
        <v>71</v>
      </c>
      <c r="N1148" s="7"/>
      <c r="O1148" s="6" t="s">
        <v>2544</v>
      </c>
      <c r="P1148" s="42"/>
      <c r="Q1148" s="43"/>
      <c r="R1148" s="50"/>
      <c r="S1148" s="51"/>
      <c r="T1148" s="7"/>
      <c r="U1148" s="7"/>
      <c r="V1148" s="7"/>
      <c r="W1148" s="7"/>
      <c r="X1148" s="7"/>
      <c r="Y1148" s="7"/>
      <c r="Z1148" s="7"/>
      <c r="AA1148" s="7"/>
      <c r="AB1148" s="7"/>
      <c r="AC1148" s="7"/>
      <c r="AD1148" s="7"/>
      <c r="AE1148" s="6" t="s">
        <v>12355</v>
      </c>
      <c r="AF1148" s="74"/>
      <c r="AG1148" s="7"/>
      <c r="AH1148" s="73" t="s">
        <v>21506</v>
      </c>
      <c r="AI1148" s="7"/>
      <c r="AJ1148" s="7"/>
      <c r="AK1148" s="7"/>
      <c r="AL1148" s="7"/>
      <c r="AM1148" s="6"/>
      <c r="AN1148" s="7"/>
      <c r="AO1148" s="7"/>
      <c r="AP1148" s="65">
        <v>30811.0</v>
      </c>
      <c r="AQ1148" s="6"/>
      <c r="AR1148" s="6"/>
      <c r="AS1148" s="6"/>
    </row>
    <row r="1149" ht="15.75" customHeight="1">
      <c r="A1149" s="6" t="s">
        <v>21507</v>
      </c>
      <c r="B1149" s="6" t="s">
        <v>2624</v>
      </c>
      <c r="C1149" s="7"/>
      <c r="D1149" s="7"/>
      <c r="E1149" s="7"/>
      <c r="F1149" s="7"/>
      <c r="G1149" s="7"/>
      <c r="H1149" s="7"/>
      <c r="I1149" s="7"/>
      <c r="J1149" s="7"/>
      <c r="K1149" s="7"/>
      <c r="L1149" s="7"/>
      <c r="M1149" s="6" t="s">
        <v>71</v>
      </c>
      <c r="N1149" s="7"/>
      <c r="O1149" s="6" t="s">
        <v>21029</v>
      </c>
      <c r="P1149" s="42"/>
      <c r="Q1149" s="43"/>
      <c r="R1149" s="50"/>
      <c r="S1149" s="51"/>
      <c r="T1149" s="7"/>
      <c r="U1149" s="7"/>
      <c r="V1149" s="7"/>
      <c r="W1149" s="7"/>
      <c r="X1149" s="7"/>
      <c r="Y1149" s="7"/>
      <c r="Z1149" s="7"/>
      <c r="AA1149" s="7"/>
      <c r="AB1149" s="7"/>
      <c r="AC1149" s="7"/>
      <c r="AD1149" s="7"/>
      <c r="AE1149" s="6" t="s">
        <v>12355</v>
      </c>
      <c r="AF1149" s="74"/>
      <c r="AG1149" s="7"/>
      <c r="AH1149" s="73" t="s">
        <v>21508</v>
      </c>
      <c r="AI1149" s="7"/>
      <c r="AJ1149" s="7"/>
      <c r="AK1149" s="7"/>
      <c r="AL1149" s="7"/>
      <c r="AM1149" s="6"/>
      <c r="AN1149" s="7"/>
      <c r="AO1149" s="7"/>
      <c r="AP1149" s="65">
        <v>30811.0</v>
      </c>
      <c r="AQ1149" s="6"/>
      <c r="AR1149" s="6"/>
      <c r="AS1149" s="6"/>
    </row>
    <row r="1150" ht="15.75" customHeight="1">
      <c r="A1150" s="6" t="s">
        <v>11229</v>
      </c>
      <c r="B1150" s="6" t="s">
        <v>21509</v>
      </c>
      <c r="C1150" s="7"/>
      <c r="D1150" s="7"/>
      <c r="E1150" s="7"/>
      <c r="F1150" s="7"/>
      <c r="G1150" s="7"/>
      <c r="H1150" s="7"/>
      <c r="I1150" s="7"/>
      <c r="J1150" s="7"/>
      <c r="K1150" s="7"/>
      <c r="L1150" s="7"/>
      <c r="M1150" s="6" t="s">
        <v>40</v>
      </c>
      <c r="N1150" s="7"/>
      <c r="O1150" s="6" t="s">
        <v>2660</v>
      </c>
      <c r="P1150" s="42"/>
      <c r="Q1150" s="43"/>
      <c r="R1150" s="50"/>
      <c r="S1150" s="51"/>
      <c r="T1150" s="7"/>
      <c r="U1150" s="7"/>
      <c r="V1150" s="7"/>
      <c r="W1150" s="7"/>
      <c r="X1150" s="7"/>
      <c r="Y1150" s="7"/>
      <c r="Z1150" s="7"/>
      <c r="AA1150" s="7"/>
      <c r="AB1150" s="7"/>
      <c r="AC1150" s="7"/>
      <c r="AD1150" s="7"/>
      <c r="AE1150" s="6" t="s">
        <v>12355</v>
      </c>
      <c r="AF1150" s="74"/>
      <c r="AG1150" s="7"/>
      <c r="AH1150" s="73" t="s">
        <v>21510</v>
      </c>
      <c r="AI1150" s="7"/>
      <c r="AJ1150" s="7"/>
      <c r="AK1150" s="7"/>
      <c r="AL1150" s="7"/>
      <c r="AM1150" s="6"/>
      <c r="AN1150" s="7"/>
      <c r="AO1150" s="7"/>
      <c r="AP1150" s="65">
        <v>30811.0</v>
      </c>
      <c r="AQ1150" s="6"/>
      <c r="AR1150" s="6"/>
      <c r="AS1150" s="6"/>
    </row>
    <row r="1151" ht="15.75" customHeight="1">
      <c r="A1151" s="6" t="s">
        <v>11231</v>
      </c>
      <c r="B1151" s="6" t="s">
        <v>21511</v>
      </c>
      <c r="C1151" s="7"/>
      <c r="D1151" s="7"/>
      <c r="E1151" s="7"/>
      <c r="F1151" s="7"/>
      <c r="G1151" s="7"/>
      <c r="H1151" s="7"/>
      <c r="I1151" s="7"/>
      <c r="J1151" s="7"/>
      <c r="K1151" s="7"/>
      <c r="L1151" s="7"/>
      <c r="M1151" s="6" t="s">
        <v>40</v>
      </c>
      <c r="N1151" s="7"/>
      <c r="O1151" s="6"/>
      <c r="P1151" s="42"/>
      <c r="Q1151" s="43"/>
      <c r="R1151" s="50"/>
      <c r="S1151" s="51"/>
      <c r="T1151" s="7"/>
      <c r="U1151" s="7"/>
      <c r="V1151" s="7"/>
      <c r="W1151" s="7"/>
      <c r="X1151" s="7"/>
      <c r="Y1151" s="7"/>
      <c r="Z1151" s="7"/>
      <c r="AA1151" s="7"/>
      <c r="AB1151" s="7"/>
      <c r="AC1151" s="7"/>
      <c r="AD1151" s="7"/>
      <c r="AE1151" s="6" t="s">
        <v>12355</v>
      </c>
      <c r="AF1151" s="74"/>
      <c r="AG1151" s="7"/>
      <c r="AH1151" s="73" t="s">
        <v>21512</v>
      </c>
      <c r="AI1151" s="7"/>
      <c r="AJ1151" s="7"/>
      <c r="AK1151" s="7"/>
      <c r="AL1151" s="7"/>
      <c r="AM1151" s="6"/>
      <c r="AN1151" s="7"/>
      <c r="AO1151" s="7"/>
      <c r="AP1151" s="65">
        <v>30811.0</v>
      </c>
      <c r="AQ1151" s="6"/>
      <c r="AR1151" s="6"/>
      <c r="AS1151" s="6"/>
    </row>
    <row r="1152" ht="15.75" customHeight="1">
      <c r="A1152" s="6" t="s">
        <v>11233</v>
      </c>
      <c r="B1152" s="6" t="s">
        <v>2670</v>
      </c>
      <c r="C1152" s="7"/>
      <c r="D1152" s="7"/>
      <c r="E1152" s="7"/>
      <c r="F1152" s="7"/>
      <c r="G1152" s="7"/>
      <c r="H1152" s="7"/>
      <c r="I1152" s="7"/>
      <c r="J1152" s="7"/>
      <c r="K1152" s="7"/>
      <c r="L1152" s="7"/>
      <c r="M1152" s="6" t="s">
        <v>123</v>
      </c>
      <c r="N1152" s="7"/>
      <c r="O1152" s="6" t="s">
        <v>2677</v>
      </c>
      <c r="P1152" s="42"/>
      <c r="Q1152" s="43"/>
      <c r="R1152" s="50"/>
      <c r="S1152" s="51"/>
      <c r="T1152" s="7"/>
      <c r="U1152" s="7"/>
      <c r="V1152" s="7"/>
      <c r="W1152" s="7"/>
      <c r="X1152" s="7"/>
      <c r="Y1152" s="7"/>
      <c r="Z1152" s="7"/>
      <c r="AA1152" s="7"/>
      <c r="AB1152" s="7"/>
      <c r="AC1152" s="7"/>
      <c r="AD1152" s="7"/>
      <c r="AE1152" s="6" t="s">
        <v>12355</v>
      </c>
      <c r="AF1152" s="74"/>
      <c r="AG1152" s="7"/>
      <c r="AH1152" s="73" t="s">
        <v>21513</v>
      </c>
      <c r="AI1152" s="7"/>
      <c r="AJ1152" s="7"/>
      <c r="AK1152" s="7"/>
      <c r="AL1152" s="7"/>
      <c r="AM1152" s="6"/>
      <c r="AN1152" s="7"/>
      <c r="AO1152" s="7"/>
      <c r="AP1152" s="65">
        <v>30811.0</v>
      </c>
      <c r="AQ1152" s="6"/>
      <c r="AR1152" s="6"/>
      <c r="AS1152" s="6"/>
    </row>
    <row r="1153" ht="15.75" customHeight="1">
      <c r="A1153" s="6" t="s">
        <v>11235</v>
      </c>
      <c r="B1153" s="6" t="s">
        <v>2700</v>
      </c>
      <c r="C1153" s="7"/>
      <c r="D1153" s="7"/>
      <c r="E1153" s="7"/>
      <c r="F1153" s="7"/>
      <c r="G1153" s="7"/>
      <c r="H1153" s="7"/>
      <c r="I1153" s="7"/>
      <c r="J1153" s="7"/>
      <c r="K1153" s="7"/>
      <c r="L1153" s="7"/>
      <c r="M1153" s="6" t="s">
        <v>71</v>
      </c>
      <c r="N1153" s="7"/>
      <c r="O1153" s="6" t="s">
        <v>2707</v>
      </c>
      <c r="P1153" s="42"/>
      <c r="Q1153" s="43"/>
      <c r="R1153" s="50"/>
      <c r="S1153" s="51"/>
      <c r="T1153" s="7"/>
      <c r="U1153" s="7"/>
      <c r="V1153" s="7"/>
      <c r="W1153" s="7"/>
      <c r="X1153" s="7"/>
      <c r="Y1153" s="7"/>
      <c r="Z1153" s="7"/>
      <c r="AA1153" s="7"/>
      <c r="AB1153" s="7"/>
      <c r="AC1153" s="7"/>
      <c r="AD1153" s="7"/>
      <c r="AE1153" s="6" t="s">
        <v>12355</v>
      </c>
      <c r="AF1153" s="74"/>
      <c r="AG1153" s="7"/>
      <c r="AH1153" s="73" t="s">
        <v>21514</v>
      </c>
      <c r="AI1153" s="7"/>
      <c r="AJ1153" s="7"/>
      <c r="AK1153" s="7"/>
      <c r="AL1153" s="7"/>
      <c r="AM1153" s="6"/>
      <c r="AN1153" s="7"/>
      <c r="AO1153" s="7"/>
      <c r="AP1153" s="65">
        <v>30811.0</v>
      </c>
      <c r="AQ1153" s="6"/>
      <c r="AR1153" s="6"/>
      <c r="AS1153" s="6"/>
    </row>
    <row r="1154" ht="15.75" customHeight="1">
      <c r="A1154" s="6" t="s">
        <v>21515</v>
      </c>
      <c r="B1154" s="6" t="s">
        <v>2727</v>
      </c>
      <c r="C1154" s="7"/>
      <c r="D1154" s="7"/>
      <c r="E1154" s="7"/>
      <c r="F1154" s="7"/>
      <c r="G1154" s="7"/>
      <c r="H1154" s="7"/>
      <c r="I1154" s="7"/>
      <c r="J1154" s="7"/>
      <c r="K1154" s="7"/>
      <c r="L1154" s="7"/>
      <c r="M1154" s="6" t="s">
        <v>71</v>
      </c>
      <c r="N1154" s="7"/>
      <c r="O1154" s="6" t="s">
        <v>21029</v>
      </c>
      <c r="P1154" s="42"/>
      <c r="Q1154" s="43"/>
      <c r="R1154" s="50"/>
      <c r="S1154" s="51"/>
      <c r="T1154" s="7"/>
      <c r="U1154" s="7"/>
      <c r="V1154" s="7"/>
      <c r="W1154" s="7"/>
      <c r="X1154" s="7"/>
      <c r="Y1154" s="7"/>
      <c r="Z1154" s="7"/>
      <c r="AA1154" s="7"/>
      <c r="AB1154" s="7"/>
      <c r="AC1154" s="7"/>
      <c r="AD1154" s="7"/>
      <c r="AE1154" s="6" t="s">
        <v>12355</v>
      </c>
      <c r="AF1154" s="74"/>
      <c r="AG1154" s="7"/>
      <c r="AH1154" s="73" t="s">
        <v>21516</v>
      </c>
      <c r="AI1154" s="7"/>
      <c r="AJ1154" s="7"/>
      <c r="AK1154" s="7"/>
      <c r="AL1154" s="7"/>
      <c r="AM1154" s="6"/>
      <c r="AN1154" s="7"/>
      <c r="AO1154" s="7"/>
      <c r="AP1154" s="65">
        <v>30811.0</v>
      </c>
      <c r="AQ1154" s="6"/>
      <c r="AR1154" s="6"/>
      <c r="AS1154" s="6"/>
    </row>
    <row r="1155" ht="15.75" customHeight="1">
      <c r="A1155" s="6" t="s">
        <v>11237</v>
      </c>
      <c r="B1155" s="6" t="s">
        <v>21517</v>
      </c>
      <c r="C1155" s="7"/>
      <c r="D1155" s="7"/>
      <c r="E1155" s="7"/>
      <c r="F1155" s="7"/>
      <c r="G1155" s="7"/>
      <c r="H1155" s="7"/>
      <c r="I1155" s="7"/>
      <c r="J1155" s="7"/>
      <c r="K1155" s="7"/>
      <c r="L1155" s="7"/>
      <c r="M1155" s="6" t="s">
        <v>71</v>
      </c>
      <c r="N1155" s="7"/>
      <c r="O1155" s="6"/>
      <c r="P1155" s="42"/>
      <c r="Q1155" s="43"/>
      <c r="R1155" s="50"/>
      <c r="S1155" s="51"/>
      <c r="T1155" s="7"/>
      <c r="U1155" s="7"/>
      <c r="V1155" s="7"/>
      <c r="W1155" s="7"/>
      <c r="X1155" s="7"/>
      <c r="Y1155" s="7"/>
      <c r="Z1155" s="7"/>
      <c r="AA1155" s="7"/>
      <c r="AB1155" s="7"/>
      <c r="AC1155" s="7"/>
      <c r="AD1155" s="7"/>
      <c r="AE1155" s="6" t="s">
        <v>12355</v>
      </c>
      <c r="AF1155" s="74"/>
      <c r="AG1155" s="7"/>
      <c r="AH1155" s="73" t="s">
        <v>21518</v>
      </c>
      <c r="AI1155" s="7"/>
      <c r="AJ1155" s="7"/>
      <c r="AK1155" s="7"/>
      <c r="AL1155" s="7"/>
      <c r="AM1155" s="6"/>
      <c r="AN1155" s="7"/>
      <c r="AO1155" s="7"/>
      <c r="AP1155" s="65">
        <v>30811.0</v>
      </c>
      <c r="AQ1155" s="6"/>
      <c r="AR1155" s="6"/>
      <c r="AS1155" s="6"/>
    </row>
    <row r="1156" ht="15.75" customHeight="1">
      <c r="A1156" s="6" t="s">
        <v>11239</v>
      </c>
      <c r="B1156" s="6" t="s">
        <v>2838</v>
      </c>
      <c r="C1156" s="7"/>
      <c r="D1156" s="7"/>
      <c r="E1156" s="7"/>
      <c r="F1156" s="7"/>
      <c r="G1156" s="7"/>
      <c r="H1156" s="7"/>
      <c r="I1156" s="7"/>
      <c r="J1156" s="7"/>
      <c r="K1156" s="7"/>
      <c r="L1156" s="7"/>
      <c r="M1156" s="6" t="s">
        <v>123</v>
      </c>
      <c r="N1156" s="7"/>
      <c r="O1156" s="6" t="s">
        <v>2846</v>
      </c>
      <c r="P1156" s="42"/>
      <c r="Q1156" s="43"/>
      <c r="R1156" s="50"/>
      <c r="S1156" s="51"/>
      <c r="T1156" s="7"/>
      <c r="U1156" s="7"/>
      <c r="V1156" s="7"/>
      <c r="W1156" s="7"/>
      <c r="X1156" s="7"/>
      <c r="Y1156" s="7"/>
      <c r="Z1156" s="7"/>
      <c r="AA1156" s="7"/>
      <c r="AB1156" s="7"/>
      <c r="AC1156" s="7"/>
      <c r="AD1156" s="7"/>
      <c r="AE1156" s="6" t="s">
        <v>12355</v>
      </c>
      <c r="AF1156" s="74"/>
      <c r="AG1156" s="7"/>
      <c r="AH1156" s="73" t="s">
        <v>21519</v>
      </c>
      <c r="AI1156" s="7"/>
      <c r="AJ1156" s="7"/>
      <c r="AK1156" s="7"/>
      <c r="AL1156" s="7"/>
      <c r="AM1156" s="6"/>
      <c r="AN1156" s="7"/>
      <c r="AO1156" s="7"/>
      <c r="AP1156" s="65">
        <v>30811.0</v>
      </c>
      <c r="AQ1156" s="6"/>
      <c r="AR1156" s="6"/>
      <c r="AS1156" s="6"/>
    </row>
    <row r="1157" ht="15.75" customHeight="1">
      <c r="A1157" s="6" t="s">
        <v>11241</v>
      </c>
      <c r="B1157" s="6" t="s">
        <v>2959</v>
      </c>
      <c r="C1157" s="7"/>
      <c r="D1157" s="7"/>
      <c r="E1157" s="7"/>
      <c r="F1157" s="7"/>
      <c r="G1157" s="7"/>
      <c r="H1157" s="7"/>
      <c r="I1157" s="7"/>
      <c r="J1157" s="7"/>
      <c r="K1157" s="7"/>
      <c r="L1157" s="7"/>
      <c r="M1157" s="6" t="s">
        <v>71</v>
      </c>
      <c r="N1157" s="7"/>
      <c r="O1157" s="6" t="s">
        <v>2965</v>
      </c>
      <c r="P1157" s="42"/>
      <c r="Q1157" s="43"/>
      <c r="R1157" s="50"/>
      <c r="S1157" s="51"/>
      <c r="T1157" s="7"/>
      <c r="U1157" s="7"/>
      <c r="V1157" s="7"/>
      <c r="W1157" s="7"/>
      <c r="X1157" s="7"/>
      <c r="Y1157" s="7"/>
      <c r="Z1157" s="7"/>
      <c r="AA1157" s="7"/>
      <c r="AB1157" s="7"/>
      <c r="AC1157" s="7"/>
      <c r="AD1157" s="7"/>
      <c r="AE1157" s="6" t="s">
        <v>12355</v>
      </c>
      <c r="AF1157" s="74"/>
      <c r="AG1157" s="7"/>
      <c r="AH1157" s="73" t="s">
        <v>21520</v>
      </c>
      <c r="AI1157" s="7"/>
      <c r="AJ1157" s="7"/>
      <c r="AK1157" s="7"/>
      <c r="AL1157" s="7"/>
      <c r="AM1157" s="6"/>
      <c r="AN1157" s="7"/>
      <c r="AO1157" s="7"/>
      <c r="AP1157" s="65">
        <v>30811.0</v>
      </c>
      <c r="AQ1157" s="6"/>
      <c r="AR1157" s="6"/>
      <c r="AS1157" s="6"/>
    </row>
    <row r="1158" ht="15.75" customHeight="1">
      <c r="A1158" s="6" t="s">
        <v>21521</v>
      </c>
      <c r="B1158" s="6" t="s">
        <v>21522</v>
      </c>
      <c r="C1158" s="7"/>
      <c r="D1158" s="7"/>
      <c r="E1158" s="7"/>
      <c r="F1158" s="7"/>
      <c r="G1158" s="7"/>
      <c r="H1158" s="7"/>
      <c r="I1158" s="7"/>
      <c r="J1158" s="7"/>
      <c r="K1158" s="7"/>
      <c r="L1158" s="7"/>
      <c r="M1158" s="6" t="s">
        <v>123</v>
      </c>
      <c r="N1158" s="7"/>
      <c r="O1158" s="6" t="s">
        <v>21029</v>
      </c>
      <c r="P1158" s="42"/>
      <c r="Q1158" s="43"/>
      <c r="R1158" s="50"/>
      <c r="S1158" s="51"/>
      <c r="T1158" s="7"/>
      <c r="U1158" s="7"/>
      <c r="V1158" s="7"/>
      <c r="W1158" s="7"/>
      <c r="X1158" s="7"/>
      <c r="Y1158" s="7"/>
      <c r="Z1158" s="7"/>
      <c r="AA1158" s="7"/>
      <c r="AB1158" s="7"/>
      <c r="AC1158" s="7"/>
      <c r="AD1158" s="7"/>
      <c r="AE1158" s="6" t="s">
        <v>12355</v>
      </c>
      <c r="AF1158" s="74"/>
      <c r="AG1158" s="7"/>
      <c r="AH1158" s="73" t="s">
        <v>21523</v>
      </c>
      <c r="AI1158" s="7"/>
      <c r="AJ1158" s="7"/>
      <c r="AK1158" s="7"/>
      <c r="AL1158" s="7"/>
      <c r="AM1158" s="6"/>
      <c r="AN1158" s="7"/>
      <c r="AO1158" s="7"/>
      <c r="AP1158" s="65">
        <v>30811.0</v>
      </c>
      <c r="AQ1158" s="6"/>
      <c r="AR1158" s="6"/>
      <c r="AS1158" s="6"/>
    </row>
    <row r="1159" ht="15.75" customHeight="1">
      <c r="A1159" s="6" t="s">
        <v>11243</v>
      </c>
      <c r="B1159" s="6" t="s">
        <v>3137</v>
      </c>
      <c r="C1159" s="7"/>
      <c r="D1159" s="7"/>
      <c r="E1159" s="7"/>
      <c r="F1159" s="7"/>
      <c r="G1159" s="7"/>
      <c r="H1159" s="7"/>
      <c r="I1159" s="7"/>
      <c r="J1159" s="7"/>
      <c r="K1159" s="7"/>
      <c r="L1159" s="7"/>
      <c r="M1159" s="6" t="s">
        <v>40</v>
      </c>
      <c r="N1159" s="7"/>
      <c r="O1159" s="6" t="s">
        <v>3142</v>
      </c>
      <c r="P1159" s="42"/>
      <c r="Q1159" s="43"/>
      <c r="R1159" s="50"/>
      <c r="S1159" s="51"/>
      <c r="T1159" s="7"/>
      <c r="U1159" s="7"/>
      <c r="V1159" s="7"/>
      <c r="W1159" s="7"/>
      <c r="X1159" s="7"/>
      <c r="Y1159" s="7"/>
      <c r="Z1159" s="7"/>
      <c r="AA1159" s="7"/>
      <c r="AB1159" s="7"/>
      <c r="AC1159" s="7"/>
      <c r="AD1159" s="7"/>
      <c r="AE1159" s="6" t="s">
        <v>12355</v>
      </c>
      <c r="AF1159" s="74"/>
      <c r="AG1159" s="7"/>
      <c r="AH1159" s="73" t="s">
        <v>21524</v>
      </c>
      <c r="AI1159" s="7"/>
      <c r="AJ1159" s="7"/>
      <c r="AK1159" s="7"/>
      <c r="AL1159" s="7"/>
      <c r="AM1159" s="6"/>
      <c r="AN1159" s="7"/>
      <c r="AO1159" s="7"/>
      <c r="AP1159" s="65">
        <v>30811.0</v>
      </c>
      <c r="AQ1159" s="6"/>
      <c r="AR1159" s="6"/>
      <c r="AS1159" s="6"/>
    </row>
    <row r="1160" ht="15.75" customHeight="1">
      <c r="A1160" s="6" t="s">
        <v>11245</v>
      </c>
      <c r="B1160" s="6" t="s">
        <v>3143</v>
      </c>
      <c r="C1160" s="7"/>
      <c r="D1160" s="7"/>
      <c r="E1160" s="7"/>
      <c r="F1160" s="7"/>
      <c r="G1160" s="7"/>
      <c r="H1160" s="7"/>
      <c r="I1160" s="7"/>
      <c r="J1160" s="7"/>
      <c r="K1160" s="7"/>
      <c r="L1160" s="7"/>
      <c r="M1160" s="6" t="s">
        <v>40</v>
      </c>
      <c r="N1160" s="7"/>
      <c r="O1160" s="6" t="s">
        <v>3149</v>
      </c>
      <c r="P1160" s="42"/>
      <c r="Q1160" s="43"/>
      <c r="R1160" s="50"/>
      <c r="S1160" s="51"/>
      <c r="T1160" s="7"/>
      <c r="U1160" s="7"/>
      <c r="V1160" s="7"/>
      <c r="W1160" s="7"/>
      <c r="X1160" s="7"/>
      <c r="Y1160" s="7"/>
      <c r="Z1160" s="7"/>
      <c r="AA1160" s="7"/>
      <c r="AB1160" s="7"/>
      <c r="AC1160" s="7"/>
      <c r="AD1160" s="7"/>
      <c r="AE1160" s="6" t="s">
        <v>12355</v>
      </c>
      <c r="AF1160" s="74"/>
      <c r="AG1160" s="7"/>
      <c r="AH1160" s="73" t="s">
        <v>21525</v>
      </c>
      <c r="AI1160" s="7"/>
      <c r="AJ1160" s="7"/>
      <c r="AK1160" s="7"/>
      <c r="AL1160" s="7"/>
      <c r="AM1160" s="6"/>
      <c r="AN1160" s="7"/>
      <c r="AO1160" s="7"/>
      <c r="AP1160" s="65">
        <v>30811.0</v>
      </c>
      <c r="AQ1160" s="6"/>
      <c r="AR1160" s="6"/>
      <c r="AS1160" s="6"/>
    </row>
    <row r="1161" ht="15.75" customHeight="1">
      <c r="A1161" s="6" t="s">
        <v>11247</v>
      </c>
      <c r="B1161" s="6" t="s">
        <v>3151</v>
      </c>
      <c r="C1161" s="7"/>
      <c r="D1161" s="7"/>
      <c r="E1161" s="7"/>
      <c r="F1161" s="7"/>
      <c r="G1161" s="7"/>
      <c r="H1161" s="7"/>
      <c r="I1161" s="7"/>
      <c r="J1161" s="7"/>
      <c r="K1161" s="7"/>
      <c r="L1161" s="7"/>
      <c r="M1161" s="6" t="s">
        <v>40</v>
      </c>
      <c r="N1161" s="7"/>
      <c r="O1161" s="6" t="s">
        <v>3156</v>
      </c>
      <c r="P1161" s="42"/>
      <c r="Q1161" s="43"/>
      <c r="R1161" s="50"/>
      <c r="S1161" s="51"/>
      <c r="T1161" s="7"/>
      <c r="U1161" s="7"/>
      <c r="V1161" s="7"/>
      <c r="W1161" s="7"/>
      <c r="X1161" s="7"/>
      <c r="Y1161" s="7"/>
      <c r="Z1161" s="7"/>
      <c r="AA1161" s="7"/>
      <c r="AB1161" s="7"/>
      <c r="AC1161" s="7"/>
      <c r="AD1161" s="7"/>
      <c r="AE1161" s="6" t="s">
        <v>12355</v>
      </c>
      <c r="AF1161" s="74"/>
      <c r="AG1161" s="7"/>
      <c r="AH1161" s="73" t="s">
        <v>21526</v>
      </c>
      <c r="AI1161" s="7"/>
      <c r="AJ1161" s="7"/>
      <c r="AK1161" s="7"/>
      <c r="AL1161" s="7"/>
      <c r="AM1161" s="6"/>
      <c r="AN1161" s="7"/>
      <c r="AO1161" s="7"/>
      <c r="AP1161" s="65">
        <v>30811.0</v>
      </c>
      <c r="AQ1161" s="6"/>
      <c r="AR1161" s="6"/>
      <c r="AS1161" s="6"/>
    </row>
    <row r="1162" ht="15.75" customHeight="1">
      <c r="A1162" s="6" t="s">
        <v>11249</v>
      </c>
      <c r="B1162" s="6" t="s">
        <v>3177</v>
      </c>
      <c r="C1162" s="7"/>
      <c r="D1162" s="7"/>
      <c r="E1162" s="7"/>
      <c r="F1162" s="7"/>
      <c r="G1162" s="7"/>
      <c r="H1162" s="7"/>
      <c r="I1162" s="7"/>
      <c r="J1162" s="7"/>
      <c r="K1162" s="7"/>
      <c r="L1162" s="7"/>
      <c r="M1162" s="6" t="s">
        <v>123</v>
      </c>
      <c r="N1162" s="7"/>
      <c r="O1162" s="6" t="s">
        <v>3183</v>
      </c>
      <c r="P1162" s="42"/>
      <c r="Q1162" s="43"/>
      <c r="R1162" s="50"/>
      <c r="S1162" s="51"/>
      <c r="T1162" s="7"/>
      <c r="U1162" s="7"/>
      <c r="V1162" s="7"/>
      <c r="W1162" s="7"/>
      <c r="X1162" s="7"/>
      <c r="Y1162" s="7"/>
      <c r="Z1162" s="7"/>
      <c r="AA1162" s="7"/>
      <c r="AB1162" s="7"/>
      <c r="AC1162" s="7"/>
      <c r="AD1162" s="7"/>
      <c r="AE1162" s="6" t="s">
        <v>12355</v>
      </c>
      <c r="AF1162" s="74"/>
      <c r="AG1162" s="7"/>
      <c r="AH1162" s="73" t="s">
        <v>21527</v>
      </c>
      <c r="AI1162" s="7"/>
      <c r="AJ1162" s="7"/>
      <c r="AK1162" s="7"/>
      <c r="AL1162" s="7"/>
      <c r="AM1162" s="6"/>
      <c r="AN1162" s="7"/>
      <c r="AO1162" s="7"/>
      <c r="AP1162" s="65">
        <v>30811.0</v>
      </c>
      <c r="AQ1162" s="6"/>
      <c r="AR1162" s="6"/>
      <c r="AS1162" s="6"/>
    </row>
    <row r="1163" ht="15.75" customHeight="1">
      <c r="A1163" s="6" t="s">
        <v>11251</v>
      </c>
      <c r="B1163" s="6" t="s">
        <v>3304</v>
      </c>
      <c r="C1163" s="7"/>
      <c r="D1163" s="7"/>
      <c r="E1163" s="7"/>
      <c r="F1163" s="7"/>
      <c r="G1163" s="7"/>
      <c r="H1163" s="7"/>
      <c r="I1163" s="7"/>
      <c r="J1163" s="7"/>
      <c r="K1163" s="7"/>
      <c r="L1163" s="7"/>
      <c r="M1163" s="6" t="s">
        <v>33</v>
      </c>
      <c r="N1163" s="7"/>
      <c r="O1163" s="6" t="s">
        <v>3312</v>
      </c>
      <c r="P1163" s="42"/>
      <c r="Q1163" s="43"/>
      <c r="R1163" s="50"/>
      <c r="S1163" s="51"/>
      <c r="T1163" s="7"/>
      <c r="U1163" s="7"/>
      <c r="V1163" s="7"/>
      <c r="W1163" s="7"/>
      <c r="X1163" s="7"/>
      <c r="Y1163" s="7"/>
      <c r="Z1163" s="7"/>
      <c r="AA1163" s="7"/>
      <c r="AB1163" s="7"/>
      <c r="AC1163" s="7"/>
      <c r="AD1163" s="7"/>
      <c r="AE1163" s="6" t="s">
        <v>12355</v>
      </c>
      <c r="AF1163" s="74"/>
      <c r="AG1163" s="7"/>
      <c r="AH1163" s="73" t="s">
        <v>21528</v>
      </c>
      <c r="AI1163" s="7"/>
      <c r="AJ1163" s="7"/>
      <c r="AK1163" s="7"/>
      <c r="AL1163" s="7"/>
      <c r="AM1163" s="6"/>
      <c r="AN1163" s="7"/>
      <c r="AO1163" s="7"/>
      <c r="AP1163" s="65">
        <v>30811.0</v>
      </c>
      <c r="AQ1163" s="6"/>
      <c r="AR1163" s="6"/>
      <c r="AS1163" s="6"/>
    </row>
    <row r="1164" ht="15.75" customHeight="1">
      <c r="A1164" s="6" t="s">
        <v>11253</v>
      </c>
      <c r="B1164" s="6" t="s">
        <v>21529</v>
      </c>
      <c r="C1164" s="7"/>
      <c r="D1164" s="7"/>
      <c r="E1164" s="7"/>
      <c r="F1164" s="7"/>
      <c r="G1164" s="7"/>
      <c r="H1164" s="7"/>
      <c r="I1164" s="7"/>
      <c r="J1164" s="7"/>
      <c r="K1164" s="7"/>
      <c r="L1164" s="7"/>
      <c r="M1164" s="6" t="s">
        <v>40</v>
      </c>
      <c r="N1164" s="7"/>
      <c r="O1164" s="6"/>
      <c r="P1164" s="42"/>
      <c r="Q1164" s="43"/>
      <c r="R1164" s="50"/>
      <c r="S1164" s="51"/>
      <c r="T1164" s="7"/>
      <c r="U1164" s="7"/>
      <c r="V1164" s="7"/>
      <c r="W1164" s="7"/>
      <c r="X1164" s="7"/>
      <c r="Y1164" s="7"/>
      <c r="Z1164" s="7"/>
      <c r="AA1164" s="7"/>
      <c r="AB1164" s="7"/>
      <c r="AC1164" s="7"/>
      <c r="AD1164" s="7"/>
      <c r="AE1164" s="6" t="s">
        <v>12355</v>
      </c>
      <c r="AF1164" s="74"/>
      <c r="AG1164" s="7"/>
      <c r="AH1164" s="73" t="s">
        <v>21530</v>
      </c>
      <c r="AI1164" s="7"/>
      <c r="AJ1164" s="7"/>
      <c r="AK1164" s="7"/>
      <c r="AL1164" s="7"/>
      <c r="AM1164" s="6"/>
      <c r="AN1164" s="7"/>
      <c r="AO1164" s="7"/>
      <c r="AP1164" s="65">
        <v>30811.0</v>
      </c>
      <c r="AQ1164" s="6"/>
      <c r="AR1164" s="6"/>
      <c r="AS1164" s="6"/>
    </row>
    <row r="1165" ht="15.75" customHeight="1">
      <c r="A1165" s="6" t="s">
        <v>11255</v>
      </c>
      <c r="B1165" s="6" t="s">
        <v>3429</v>
      </c>
      <c r="C1165" s="7"/>
      <c r="D1165" s="7"/>
      <c r="E1165" s="7"/>
      <c r="F1165" s="7"/>
      <c r="G1165" s="7"/>
      <c r="H1165" s="7"/>
      <c r="I1165" s="7"/>
      <c r="J1165" s="7"/>
      <c r="K1165" s="7"/>
      <c r="L1165" s="7"/>
      <c r="M1165" s="6" t="s">
        <v>40</v>
      </c>
      <c r="N1165" s="7"/>
      <c r="O1165" s="6" t="s">
        <v>3435</v>
      </c>
      <c r="P1165" s="42"/>
      <c r="Q1165" s="43"/>
      <c r="R1165" s="50"/>
      <c r="S1165" s="51"/>
      <c r="T1165" s="7"/>
      <c r="U1165" s="7"/>
      <c r="V1165" s="7"/>
      <c r="W1165" s="7"/>
      <c r="X1165" s="7"/>
      <c r="Y1165" s="7"/>
      <c r="Z1165" s="7"/>
      <c r="AA1165" s="7"/>
      <c r="AB1165" s="7"/>
      <c r="AC1165" s="7"/>
      <c r="AD1165" s="7"/>
      <c r="AE1165" s="6" t="s">
        <v>12355</v>
      </c>
      <c r="AF1165" s="74"/>
      <c r="AG1165" s="7"/>
      <c r="AH1165" s="73" t="s">
        <v>21531</v>
      </c>
      <c r="AI1165" s="7"/>
      <c r="AJ1165" s="7"/>
      <c r="AK1165" s="7"/>
      <c r="AL1165" s="7"/>
      <c r="AM1165" s="6"/>
      <c r="AN1165" s="7"/>
      <c r="AO1165" s="7"/>
      <c r="AP1165" s="65">
        <v>30811.0</v>
      </c>
      <c r="AQ1165" s="6"/>
      <c r="AR1165" s="6"/>
      <c r="AS1165" s="6"/>
    </row>
    <row r="1166" ht="15.75" customHeight="1">
      <c r="A1166" s="6" t="s">
        <v>21532</v>
      </c>
      <c r="B1166" s="6" t="s">
        <v>3623</v>
      </c>
      <c r="C1166" s="7"/>
      <c r="D1166" s="7"/>
      <c r="E1166" s="7"/>
      <c r="F1166" s="7"/>
      <c r="G1166" s="7"/>
      <c r="H1166" s="7"/>
      <c r="I1166" s="7"/>
      <c r="J1166" s="7"/>
      <c r="K1166" s="7"/>
      <c r="L1166" s="7"/>
      <c r="M1166" s="6" t="s">
        <v>40</v>
      </c>
      <c r="N1166" s="7"/>
      <c r="O1166" s="6" t="s">
        <v>21029</v>
      </c>
      <c r="P1166" s="42"/>
      <c r="Q1166" s="43"/>
      <c r="R1166" s="50"/>
      <c r="S1166" s="51"/>
      <c r="T1166" s="7"/>
      <c r="U1166" s="7"/>
      <c r="V1166" s="7"/>
      <c r="W1166" s="7"/>
      <c r="X1166" s="7"/>
      <c r="Y1166" s="7"/>
      <c r="Z1166" s="7"/>
      <c r="AA1166" s="7"/>
      <c r="AB1166" s="7"/>
      <c r="AC1166" s="7"/>
      <c r="AD1166" s="7"/>
      <c r="AE1166" s="6" t="s">
        <v>12355</v>
      </c>
      <c r="AF1166" s="74"/>
      <c r="AG1166" s="7"/>
      <c r="AH1166" s="73" t="s">
        <v>21533</v>
      </c>
      <c r="AI1166" s="7"/>
      <c r="AJ1166" s="7"/>
      <c r="AK1166" s="7"/>
      <c r="AL1166" s="7"/>
      <c r="AM1166" s="6"/>
      <c r="AN1166" s="7"/>
      <c r="AO1166" s="7"/>
      <c r="AP1166" s="65">
        <v>30811.0</v>
      </c>
      <c r="AQ1166" s="6"/>
      <c r="AR1166" s="6"/>
      <c r="AS1166" s="6"/>
    </row>
    <row r="1167" ht="15.75" customHeight="1">
      <c r="A1167" s="6" t="s">
        <v>11257</v>
      </c>
      <c r="B1167" s="6" t="s">
        <v>21534</v>
      </c>
      <c r="C1167" s="7"/>
      <c r="D1167" s="7"/>
      <c r="E1167" s="7"/>
      <c r="F1167" s="7"/>
      <c r="G1167" s="7"/>
      <c r="H1167" s="7"/>
      <c r="I1167" s="7"/>
      <c r="J1167" s="7"/>
      <c r="K1167" s="7"/>
      <c r="L1167" s="7"/>
      <c r="M1167" s="6" t="s">
        <v>123</v>
      </c>
      <c r="N1167" s="7"/>
      <c r="O1167" s="6" t="s">
        <v>3916</v>
      </c>
      <c r="P1167" s="42"/>
      <c r="Q1167" s="43"/>
      <c r="R1167" s="50"/>
      <c r="S1167" s="51"/>
      <c r="T1167" s="7"/>
      <c r="U1167" s="7"/>
      <c r="V1167" s="7"/>
      <c r="W1167" s="7"/>
      <c r="X1167" s="7"/>
      <c r="Y1167" s="7"/>
      <c r="Z1167" s="7"/>
      <c r="AA1167" s="7"/>
      <c r="AB1167" s="7"/>
      <c r="AC1167" s="7"/>
      <c r="AD1167" s="7"/>
      <c r="AE1167" s="6" t="s">
        <v>12355</v>
      </c>
      <c r="AF1167" s="74"/>
      <c r="AG1167" s="7"/>
      <c r="AH1167" s="73" t="s">
        <v>21535</v>
      </c>
      <c r="AI1167" s="7"/>
      <c r="AJ1167" s="7"/>
      <c r="AK1167" s="7"/>
      <c r="AL1167" s="7"/>
      <c r="AM1167" s="6"/>
      <c r="AN1167" s="7"/>
      <c r="AO1167" s="7"/>
      <c r="AP1167" s="65">
        <v>30811.0</v>
      </c>
      <c r="AQ1167" s="6"/>
      <c r="AR1167" s="6"/>
      <c r="AS1167" s="6"/>
    </row>
    <row r="1168" ht="15.75" customHeight="1">
      <c r="A1168" s="6" t="s">
        <v>21536</v>
      </c>
      <c r="B1168" s="6" t="s">
        <v>4021</v>
      </c>
      <c r="C1168" s="7"/>
      <c r="D1168" s="7"/>
      <c r="E1168" s="7"/>
      <c r="F1168" s="7"/>
      <c r="G1168" s="7"/>
      <c r="H1168" s="7"/>
      <c r="I1168" s="7"/>
      <c r="J1168" s="7"/>
      <c r="K1168" s="7"/>
      <c r="L1168" s="7"/>
      <c r="M1168" s="6" t="s">
        <v>71</v>
      </c>
      <c r="N1168" s="7"/>
      <c r="O1168" s="6" t="s">
        <v>21029</v>
      </c>
      <c r="P1168" s="42"/>
      <c r="Q1168" s="43"/>
      <c r="R1168" s="50"/>
      <c r="S1168" s="51"/>
      <c r="T1168" s="7"/>
      <c r="U1168" s="7"/>
      <c r="V1168" s="7"/>
      <c r="W1168" s="7"/>
      <c r="X1168" s="7"/>
      <c r="Y1168" s="7"/>
      <c r="Z1168" s="7"/>
      <c r="AA1168" s="7"/>
      <c r="AB1168" s="7"/>
      <c r="AC1168" s="7"/>
      <c r="AD1168" s="7"/>
      <c r="AE1168" s="6" t="s">
        <v>12355</v>
      </c>
      <c r="AF1168" s="74"/>
      <c r="AG1168" s="7"/>
      <c r="AH1168" s="73" t="s">
        <v>21537</v>
      </c>
      <c r="AI1168" s="7"/>
      <c r="AJ1168" s="7"/>
      <c r="AK1168" s="7"/>
      <c r="AL1168" s="7"/>
      <c r="AM1168" s="6"/>
      <c r="AN1168" s="7"/>
      <c r="AO1168" s="7"/>
      <c r="AP1168" s="65">
        <v>30811.0</v>
      </c>
      <c r="AQ1168" s="6"/>
      <c r="AR1168" s="6"/>
      <c r="AS1168" s="6"/>
    </row>
    <row r="1169" ht="15.75" customHeight="1">
      <c r="A1169" s="6" t="s">
        <v>11259</v>
      </c>
      <c r="B1169" s="6" t="s">
        <v>4112</v>
      </c>
      <c r="C1169" s="7"/>
      <c r="D1169" s="7"/>
      <c r="E1169" s="7"/>
      <c r="F1169" s="7"/>
      <c r="G1169" s="7"/>
      <c r="H1169" s="7"/>
      <c r="I1169" s="7"/>
      <c r="J1169" s="7"/>
      <c r="K1169" s="7"/>
      <c r="L1169" s="7"/>
      <c r="M1169" s="6" t="s">
        <v>123</v>
      </c>
      <c r="N1169" s="7"/>
      <c r="O1169" s="6" t="s">
        <v>4119</v>
      </c>
      <c r="P1169" s="42"/>
      <c r="Q1169" s="43"/>
      <c r="R1169" s="50"/>
      <c r="S1169" s="51"/>
      <c r="T1169" s="7"/>
      <c r="U1169" s="7"/>
      <c r="V1169" s="7"/>
      <c r="W1169" s="7"/>
      <c r="X1169" s="7"/>
      <c r="Y1169" s="7"/>
      <c r="Z1169" s="7"/>
      <c r="AA1169" s="7"/>
      <c r="AB1169" s="7"/>
      <c r="AC1169" s="7"/>
      <c r="AD1169" s="7"/>
      <c r="AE1169" s="6" t="s">
        <v>12355</v>
      </c>
      <c r="AF1169" s="74"/>
      <c r="AG1169" s="7"/>
      <c r="AH1169" s="73" t="s">
        <v>21538</v>
      </c>
      <c r="AI1169" s="7"/>
      <c r="AJ1169" s="7"/>
      <c r="AK1169" s="7"/>
      <c r="AL1169" s="7"/>
      <c r="AM1169" s="6"/>
      <c r="AN1169" s="7"/>
      <c r="AO1169" s="7"/>
      <c r="AP1169" s="65">
        <v>30811.0</v>
      </c>
      <c r="AQ1169" s="6"/>
      <c r="AR1169" s="6"/>
      <c r="AS1169" s="6"/>
    </row>
    <row r="1170" ht="15.75" customHeight="1">
      <c r="A1170" s="6" t="s">
        <v>11261</v>
      </c>
      <c r="B1170" s="6" t="s">
        <v>21539</v>
      </c>
      <c r="C1170" s="7"/>
      <c r="D1170" s="7"/>
      <c r="E1170" s="7"/>
      <c r="F1170" s="7"/>
      <c r="G1170" s="7"/>
      <c r="H1170" s="7"/>
      <c r="I1170" s="7"/>
      <c r="J1170" s="7"/>
      <c r="K1170" s="7"/>
      <c r="L1170" s="7"/>
      <c r="M1170" s="6" t="s">
        <v>71</v>
      </c>
      <c r="N1170" s="7"/>
      <c r="O1170" s="6"/>
      <c r="P1170" s="42"/>
      <c r="Q1170" s="43"/>
      <c r="R1170" s="50"/>
      <c r="S1170" s="51"/>
      <c r="T1170" s="7"/>
      <c r="U1170" s="7"/>
      <c r="V1170" s="7"/>
      <c r="W1170" s="7"/>
      <c r="X1170" s="7"/>
      <c r="Y1170" s="7"/>
      <c r="Z1170" s="7"/>
      <c r="AA1170" s="7"/>
      <c r="AB1170" s="7"/>
      <c r="AC1170" s="7"/>
      <c r="AD1170" s="7"/>
      <c r="AE1170" s="6" t="s">
        <v>12355</v>
      </c>
      <c r="AF1170" s="74"/>
      <c r="AG1170" s="7"/>
      <c r="AH1170" s="73" t="s">
        <v>21540</v>
      </c>
      <c r="AI1170" s="7"/>
      <c r="AJ1170" s="7"/>
      <c r="AK1170" s="7"/>
      <c r="AL1170" s="7"/>
      <c r="AM1170" s="6"/>
      <c r="AN1170" s="7"/>
      <c r="AO1170" s="7"/>
      <c r="AP1170" s="65">
        <v>30811.0</v>
      </c>
      <c r="AQ1170" s="6"/>
      <c r="AR1170" s="6"/>
      <c r="AS1170" s="6"/>
    </row>
    <row r="1171" ht="15.75" customHeight="1">
      <c r="A1171" s="6" t="s">
        <v>21541</v>
      </c>
      <c r="B1171" s="6" t="s">
        <v>21542</v>
      </c>
      <c r="C1171" s="7"/>
      <c r="D1171" s="7"/>
      <c r="E1171" s="7"/>
      <c r="F1171" s="7"/>
      <c r="G1171" s="7"/>
      <c r="H1171" s="7"/>
      <c r="I1171" s="7"/>
      <c r="J1171" s="7"/>
      <c r="K1171" s="7"/>
      <c r="L1171" s="7"/>
      <c r="M1171" s="6" t="s">
        <v>40</v>
      </c>
      <c r="N1171" s="7"/>
      <c r="O1171" s="6" t="s">
        <v>21029</v>
      </c>
      <c r="P1171" s="42"/>
      <c r="Q1171" s="43"/>
      <c r="R1171" s="50"/>
      <c r="S1171" s="51"/>
      <c r="T1171" s="7"/>
      <c r="U1171" s="7"/>
      <c r="V1171" s="7"/>
      <c r="W1171" s="7"/>
      <c r="X1171" s="7"/>
      <c r="Y1171" s="7"/>
      <c r="Z1171" s="7"/>
      <c r="AA1171" s="7"/>
      <c r="AB1171" s="7"/>
      <c r="AC1171" s="7"/>
      <c r="AD1171" s="7"/>
      <c r="AE1171" s="6" t="s">
        <v>12355</v>
      </c>
      <c r="AF1171" s="74"/>
      <c r="AG1171" s="7"/>
      <c r="AH1171" s="73" t="s">
        <v>21543</v>
      </c>
      <c r="AI1171" s="7"/>
      <c r="AJ1171" s="7"/>
      <c r="AK1171" s="7"/>
      <c r="AL1171" s="7"/>
      <c r="AM1171" s="6"/>
      <c r="AN1171" s="7"/>
      <c r="AO1171" s="7"/>
      <c r="AP1171" s="65">
        <v>30811.0</v>
      </c>
      <c r="AQ1171" s="6"/>
      <c r="AR1171" s="6"/>
      <c r="AS1171" s="6"/>
    </row>
    <row r="1172" ht="15.75" customHeight="1">
      <c r="A1172" s="6" t="s">
        <v>21544</v>
      </c>
      <c r="B1172" s="6" t="s">
        <v>4232</v>
      </c>
      <c r="C1172" s="7"/>
      <c r="D1172" s="7"/>
      <c r="E1172" s="7"/>
      <c r="F1172" s="7"/>
      <c r="G1172" s="7"/>
      <c r="H1172" s="7"/>
      <c r="I1172" s="7"/>
      <c r="J1172" s="7"/>
      <c r="K1172" s="7"/>
      <c r="L1172" s="7"/>
      <c r="M1172" s="6" t="s">
        <v>40</v>
      </c>
      <c r="N1172" s="7"/>
      <c r="O1172" s="6" t="s">
        <v>21029</v>
      </c>
      <c r="P1172" s="42"/>
      <c r="Q1172" s="43"/>
      <c r="R1172" s="50"/>
      <c r="S1172" s="51"/>
      <c r="T1172" s="7"/>
      <c r="U1172" s="7"/>
      <c r="V1172" s="7"/>
      <c r="W1172" s="7"/>
      <c r="X1172" s="7"/>
      <c r="Y1172" s="7"/>
      <c r="Z1172" s="7"/>
      <c r="AA1172" s="7"/>
      <c r="AB1172" s="7"/>
      <c r="AC1172" s="7"/>
      <c r="AD1172" s="7"/>
      <c r="AE1172" s="6" t="s">
        <v>12355</v>
      </c>
      <c r="AF1172" s="74"/>
      <c r="AG1172" s="7"/>
      <c r="AH1172" s="73" t="s">
        <v>21545</v>
      </c>
      <c r="AI1172" s="7"/>
      <c r="AJ1172" s="7"/>
      <c r="AK1172" s="7"/>
      <c r="AL1172" s="7"/>
      <c r="AM1172" s="6"/>
      <c r="AN1172" s="7"/>
      <c r="AO1172" s="7"/>
      <c r="AP1172" s="65">
        <v>30811.0</v>
      </c>
      <c r="AQ1172" s="6"/>
      <c r="AR1172" s="6"/>
      <c r="AS1172" s="6"/>
    </row>
    <row r="1173" ht="15.75" customHeight="1">
      <c r="A1173" s="6" t="s">
        <v>21546</v>
      </c>
      <c r="B1173" s="6" t="s">
        <v>4238</v>
      </c>
      <c r="C1173" s="7"/>
      <c r="D1173" s="7"/>
      <c r="E1173" s="7"/>
      <c r="F1173" s="7"/>
      <c r="G1173" s="7"/>
      <c r="H1173" s="7"/>
      <c r="I1173" s="7"/>
      <c r="J1173" s="7"/>
      <c r="K1173" s="7"/>
      <c r="L1173" s="7"/>
      <c r="M1173" s="6" t="s">
        <v>123</v>
      </c>
      <c r="N1173" s="7"/>
      <c r="O1173" s="6" t="s">
        <v>4247</v>
      </c>
      <c r="P1173" s="42"/>
      <c r="Q1173" s="43"/>
      <c r="R1173" s="50"/>
      <c r="S1173" s="51"/>
      <c r="T1173" s="7"/>
      <c r="U1173" s="7"/>
      <c r="V1173" s="7"/>
      <c r="W1173" s="7"/>
      <c r="X1173" s="7"/>
      <c r="Y1173" s="7"/>
      <c r="Z1173" s="7"/>
      <c r="AA1173" s="7"/>
      <c r="AB1173" s="7"/>
      <c r="AC1173" s="7"/>
      <c r="AD1173" s="7"/>
      <c r="AE1173" s="6" t="s">
        <v>12355</v>
      </c>
      <c r="AF1173" s="74"/>
      <c r="AG1173" s="7"/>
      <c r="AH1173" s="73" t="s">
        <v>21547</v>
      </c>
      <c r="AI1173" s="7"/>
      <c r="AJ1173" s="7"/>
      <c r="AK1173" s="7"/>
      <c r="AL1173" s="7"/>
      <c r="AM1173" s="6"/>
      <c r="AN1173" s="7"/>
      <c r="AO1173" s="7"/>
      <c r="AP1173" s="65">
        <v>30811.0</v>
      </c>
      <c r="AQ1173" s="6"/>
      <c r="AR1173" s="6"/>
      <c r="AS1173" s="6"/>
    </row>
    <row r="1174" ht="15.75" customHeight="1">
      <c r="A1174" s="6" t="s">
        <v>21548</v>
      </c>
      <c r="B1174" s="6" t="s">
        <v>4238</v>
      </c>
      <c r="C1174" s="7"/>
      <c r="D1174" s="7"/>
      <c r="E1174" s="7"/>
      <c r="F1174" s="7"/>
      <c r="G1174" s="7"/>
      <c r="H1174" s="7"/>
      <c r="I1174" s="7"/>
      <c r="J1174" s="7"/>
      <c r="K1174" s="7"/>
      <c r="L1174" s="7"/>
      <c r="M1174" s="6" t="s">
        <v>123</v>
      </c>
      <c r="N1174" s="7"/>
      <c r="O1174" s="6" t="s">
        <v>4247</v>
      </c>
      <c r="P1174" s="42"/>
      <c r="Q1174" s="43"/>
      <c r="R1174" s="50"/>
      <c r="S1174" s="51"/>
      <c r="T1174" s="7"/>
      <c r="U1174" s="7"/>
      <c r="V1174" s="7"/>
      <c r="W1174" s="7"/>
      <c r="X1174" s="7"/>
      <c r="Y1174" s="7"/>
      <c r="Z1174" s="7"/>
      <c r="AA1174" s="7"/>
      <c r="AB1174" s="7"/>
      <c r="AC1174" s="7"/>
      <c r="AD1174" s="7"/>
      <c r="AE1174" s="6" t="s">
        <v>12355</v>
      </c>
      <c r="AF1174" s="74"/>
      <c r="AG1174" s="7"/>
      <c r="AH1174" s="73" t="s">
        <v>21549</v>
      </c>
      <c r="AI1174" s="7"/>
      <c r="AJ1174" s="7"/>
      <c r="AK1174" s="7"/>
      <c r="AL1174" s="7"/>
      <c r="AM1174" s="6"/>
      <c r="AN1174" s="7"/>
      <c r="AO1174" s="7"/>
      <c r="AP1174" s="65">
        <v>30811.0</v>
      </c>
      <c r="AQ1174" s="6"/>
      <c r="AR1174" s="6"/>
      <c r="AS1174" s="6"/>
    </row>
    <row r="1175" ht="15.75" customHeight="1">
      <c r="A1175" s="6" t="s">
        <v>11265</v>
      </c>
      <c r="B1175" s="6" t="s">
        <v>4238</v>
      </c>
      <c r="C1175" s="7"/>
      <c r="D1175" s="7"/>
      <c r="E1175" s="7"/>
      <c r="F1175" s="7"/>
      <c r="G1175" s="7"/>
      <c r="H1175" s="7"/>
      <c r="I1175" s="7"/>
      <c r="J1175" s="7"/>
      <c r="K1175" s="7"/>
      <c r="L1175" s="7"/>
      <c r="M1175" s="6" t="s">
        <v>123</v>
      </c>
      <c r="N1175" s="7"/>
      <c r="O1175" s="6" t="s">
        <v>4247</v>
      </c>
      <c r="P1175" s="42"/>
      <c r="Q1175" s="43"/>
      <c r="R1175" s="50"/>
      <c r="S1175" s="51"/>
      <c r="T1175" s="7"/>
      <c r="U1175" s="7"/>
      <c r="V1175" s="7"/>
      <c r="W1175" s="7"/>
      <c r="X1175" s="7"/>
      <c r="Y1175" s="7"/>
      <c r="Z1175" s="7"/>
      <c r="AA1175" s="7"/>
      <c r="AB1175" s="7"/>
      <c r="AC1175" s="7"/>
      <c r="AD1175" s="7"/>
      <c r="AE1175" s="6" t="s">
        <v>12355</v>
      </c>
      <c r="AF1175" s="74"/>
      <c r="AG1175" s="7"/>
      <c r="AH1175" s="73" t="s">
        <v>21550</v>
      </c>
      <c r="AI1175" s="7"/>
      <c r="AJ1175" s="7"/>
      <c r="AK1175" s="7"/>
      <c r="AL1175" s="7"/>
      <c r="AM1175" s="6"/>
      <c r="AN1175" s="7"/>
      <c r="AO1175" s="7"/>
      <c r="AP1175" s="65">
        <v>30811.0</v>
      </c>
      <c r="AQ1175" s="6"/>
      <c r="AR1175" s="6"/>
      <c r="AS1175" s="6"/>
    </row>
    <row r="1176" ht="15.75" customHeight="1">
      <c r="A1176" s="6" t="s">
        <v>11267</v>
      </c>
      <c r="B1176" s="6" t="s">
        <v>4484</v>
      </c>
      <c r="C1176" s="7"/>
      <c r="D1176" s="7"/>
      <c r="E1176" s="7"/>
      <c r="F1176" s="7"/>
      <c r="G1176" s="7"/>
      <c r="H1176" s="7"/>
      <c r="I1176" s="7"/>
      <c r="J1176" s="7"/>
      <c r="K1176" s="7"/>
      <c r="L1176" s="7"/>
      <c r="M1176" s="6" t="s">
        <v>40</v>
      </c>
      <c r="N1176" s="7"/>
      <c r="O1176" s="6" t="s">
        <v>4491</v>
      </c>
      <c r="P1176" s="42"/>
      <c r="Q1176" s="43"/>
      <c r="R1176" s="50"/>
      <c r="S1176" s="51"/>
      <c r="T1176" s="7"/>
      <c r="U1176" s="7"/>
      <c r="V1176" s="7"/>
      <c r="W1176" s="7"/>
      <c r="X1176" s="7"/>
      <c r="Y1176" s="7"/>
      <c r="Z1176" s="7"/>
      <c r="AA1176" s="7"/>
      <c r="AB1176" s="7"/>
      <c r="AC1176" s="7"/>
      <c r="AD1176" s="7"/>
      <c r="AE1176" s="6" t="s">
        <v>12355</v>
      </c>
      <c r="AF1176" s="74"/>
      <c r="AG1176" s="7"/>
      <c r="AH1176" s="73" t="s">
        <v>21551</v>
      </c>
      <c r="AI1176" s="7"/>
      <c r="AJ1176" s="7"/>
      <c r="AK1176" s="7"/>
      <c r="AL1176" s="7"/>
      <c r="AM1176" s="6"/>
      <c r="AN1176" s="7"/>
      <c r="AO1176" s="7"/>
      <c r="AP1176" s="65">
        <v>30811.0</v>
      </c>
      <c r="AQ1176" s="6"/>
      <c r="AR1176" s="6"/>
      <c r="AS1176" s="6"/>
    </row>
    <row r="1177" ht="15.75" customHeight="1">
      <c r="A1177" s="6" t="s">
        <v>11269</v>
      </c>
      <c r="B1177" s="6" t="s">
        <v>4608</v>
      </c>
      <c r="C1177" s="7"/>
      <c r="D1177" s="7"/>
      <c r="E1177" s="7"/>
      <c r="F1177" s="7"/>
      <c r="G1177" s="7"/>
      <c r="H1177" s="7"/>
      <c r="I1177" s="7"/>
      <c r="J1177" s="7"/>
      <c r="K1177" s="7"/>
      <c r="L1177" s="7"/>
      <c r="M1177" s="6" t="s">
        <v>40</v>
      </c>
      <c r="N1177" s="7"/>
      <c r="O1177" s="6" t="s">
        <v>4614</v>
      </c>
      <c r="P1177" s="42"/>
      <c r="Q1177" s="43"/>
      <c r="R1177" s="50"/>
      <c r="S1177" s="51"/>
      <c r="T1177" s="7"/>
      <c r="U1177" s="7"/>
      <c r="V1177" s="7"/>
      <c r="W1177" s="7"/>
      <c r="X1177" s="7"/>
      <c r="Y1177" s="7"/>
      <c r="Z1177" s="7"/>
      <c r="AA1177" s="7"/>
      <c r="AB1177" s="7"/>
      <c r="AC1177" s="7"/>
      <c r="AD1177" s="7"/>
      <c r="AE1177" s="6" t="s">
        <v>12355</v>
      </c>
      <c r="AF1177" s="74"/>
      <c r="AG1177" s="7"/>
      <c r="AH1177" s="73" t="s">
        <v>21552</v>
      </c>
      <c r="AI1177" s="7"/>
      <c r="AJ1177" s="7"/>
      <c r="AK1177" s="7"/>
      <c r="AL1177" s="7"/>
      <c r="AM1177" s="6"/>
      <c r="AN1177" s="7"/>
      <c r="AO1177" s="7"/>
      <c r="AP1177" s="65">
        <v>30811.0</v>
      </c>
      <c r="AQ1177" s="6"/>
      <c r="AR1177" s="6"/>
      <c r="AS1177" s="6"/>
    </row>
    <row r="1178" ht="15.75" customHeight="1">
      <c r="A1178" s="6" t="s">
        <v>11263</v>
      </c>
      <c r="B1178" s="6" t="s">
        <v>21553</v>
      </c>
      <c r="C1178" s="7"/>
      <c r="D1178" s="7"/>
      <c r="E1178" s="7"/>
      <c r="F1178" s="7"/>
      <c r="G1178" s="7"/>
      <c r="H1178" s="7"/>
      <c r="I1178" s="7"/>
      <c r="J1178" s="7"/>
      <c r="K1178" s="7"/>
      <c r="L1178" s="7"/>
      <c r="M1178" s="6" t="s">
        <v>123</v>
      </c>
      <c r="N1178" s="7"/>
      <c r="O1178" s="6" t="s">
        <v>4637</v>
      </c>
      <c r="P1178" s="42"/>
      <c r="Q1178" s="43"/>
      <c r="R1178" s="50"/>
      <c r="S1178" s="51"/>
      <c r="T1178" s="7"/>
      <c r="U1178" s="7"/>
      <c r="V1178" s="7"/>
      <c r="W1178" s="7"/>
      <c r="X1178" s="7"/>
      <c r="Y1178" s="7"/>
      <c r="Z1178" s="7"/>
      <c r="AA1178" s="7"/>
      <c r="AB1178" s="7"/>
      <c r="AC1178" s="7"/>
      <c r="AD1178" s="7"/>
      <c r="AE1178" s="6" t="s">
        <v>12355</v>
      </c>
      <c r="AF1178" s="74"/>
      <c r="AG1178" s="7"/>
      <c r="AH1178" s="73" t="s">
        <v>21554</v>
      </c>
      <c r="AI1178" s="7"/>
      <c r="AJ1178" s="7"/>
      <c r="AK1178" s="7"/>
      <c r="AL1178" s="7"/>
      <c r="AM1178" s="6"/>
      <c r="AN1178" s="7"/>
      <c r="AO1178" s="7"/>
      <c r="AP1178" s="65">
        <v>30811.0</v>
      </c>
      <c r="AQ1178" s="6"/>
      <c r="AR1178" s="6"/>
      <c r="AS1178" s="6"/>
    </row>
    <row r="1179" ht="15.75" customHeight="1">
      <c r="A1179" s="6" t="s">
        <v>11271</v>
      </c>
      <c r="B1179" s="6" t="s">
        <v>21555</v>
      </c>
      <c r="C1179" s="7"/>
      <c r="D1179" s="7"/>
      <c r="E1179" s="7"/>
      <c r="F1179" s="7"/>
      <c r="G1179" s="7"/>
      <c r="H1179" s="7"/>
      <c r="I1179" s="7"/>
      <c r="J1179" s="7"/>
      <c r="K1179" s="7"/>
      <c r="L1179" s="7"/>
      <c r="M1179" s="6" t="s">
        <v>123</v>
      </c>
      <c r="N1179" s="7"/>
      <c r="O1179" s="6"/>
      <c r="P1179" s="42"/>
      <c r="Q1179" s="43"/>
      <c r="R1179" s="50"/>
      <c r="S1179" s="51"/>
      <c r="T1179" s="7"/>
      <c r="U1179" s="7"/>
      <c r="V1179" s="7"/>
      <c r="W1179" s="7"/>
      <c r="X1179" s="7"/>
      <c r="Y1179" s="7"/>
      <c r="Z1179" s="7"/>
      <c r="AA1179" s="7"/>
      <c r="AB1179" s="7"/>
      <c r="AC1179" s="7"/>
      <c r="AD1179" s="7"/>
      <c r="AE1179" s="6" t="s">
        <v>12355</v>
      </c>
      <c r="AF1179" s="74"/>
      <c r="AG1179" s="7"/>
      <c r="AH1179" s="73" t="s">
        <v>21556</v>
      </c>
      <c r="AI1179" s="7"/>
      <c r="AJ1179" s="7"/>
      <c r="AK1179" s="7"/>
      <c r="AL1179" s="7"/>
      <c r="AM1179" s="6"/>
      <c r="AN1179" s="7"/>
      <c r="AO1179" s="7"/>
      <c r="AP1179" s="65">
        <v>30811.0</v>
      </c>
      <c r="AQ1179" s="6"/>
      <c r="AR1179" s="6"/>
      <c r="AS1179" s="6"/>
    </row>
    <row r="1180" ht="15.75" customHeight="1">
      <c r="A1180" s="6" t="s">
        <v>11273</v>
      </c>
      <c r="B1180" s="6" t="s">
        <v>21557</v>
      </c>
      <c r="C1180" s="7"/>
      <c r="D1180" s="7"/>
      <c r="E1180" s="7"/>
      <c r="F1180" s="7"/>
      <c r="G1180" s="7"/>
      <c r="H1180" s="7"/>
      <c r="I1180" s="7"/>
      <c r="J1180" s="7"/>
      <c r="K1180" s="7"/>
      <c r="L1180" s="7"/>
      <c r="M1180" s="6" t="s">
        <v>71</v>
      </c>
      <c r="N1180" s="7"/>
      <c r="O1180" s="6" t="s">
        <v>4756</v>
      </c>
      <c r="P1180" s="42"/>
      <c r="Q1180" s="43"/>
      <c r="R1180" s="50"/>
      <c r="S1180" s="51"/>
      <c r="T1180" s="7"/>
      <c r="U1180" s="7"/>
      <c r="V1180" s="7"/>
      <c r="W1180" s="7"/>
      <c r="X1180" s="7"/>
      <c r="Y1180" s="7"/>
      <c r="Z1180" s="7"/>
      <c r="AA1180" s="7"/>
      <c r="AB1180" s="7"/>
      <c r="AC1180" s="7"/>
      <c r="AD1180" s="7"/>
      <c r="AE1180" s="6" t="s">
        <v>12355</v>
      </c>
      <c r="AF1180" s="74"/>
      <c r="AG1180" s="7"/>
      <c r="AH1180" s="73" t="s">
        <v>21558</v>
      </c>
      <c r="AI1180" s="7"/>
      <c r="AJ1180" s="7"/>
      <c r="AK1180" s="7"/>
      <c r="AL1180" s="7"/>
      <c r="AM1180" s="6"/>
      <c r="AN1180" s="7"/>
      <c r="AO1180" s="7"/>
      <c r="AP1180" s="65">
        <v>30811.0</v>
      </c>
      <c r="AQ1180" s="6"/>
      <c r="AR1180" s="6"/>
      <c r="AS1180" s="6"/>
    </row>
    <row r="1181" ht="15.75" customHeight="1">
      <c r="A1181" s="6" t="s">
        <v>11275</v>
      </c>
      <c r="B1181" s="6" t="s">
        <v>21559</v>
      </c>
      <c r="C1181" s="7"/>
      <c r="D1181" s="7"/>
      <c r="E1181" s="7"/>
      <c r="F1181" s="7"/>
      <c r="G1181" s="7"/>
      <c r="H1181" s="7"/>
      <c r="I1181" s="7"/>
      <c r="J1181" s="7"/>
      <c r="K1181" s="7"/>
      <c r="L1181" s="7"/>
      <c r="M1181" s="6" t="s">
        <v>33</v>
      </c>
      <c r="N1181" s="7"/>
      <c r="O1181" s="6" t="s">
        <v>4819</v>
      </c>
      <c r="P1181" s="42"/>
      <c r="Q1181" s="43"/>
      <c r="R1181" s="50"/>
      <c r="S1181" s="51"/>
      <c r="T1181" s="7"/>
      <c r="U1181" s="7"/>
      <c r="V1181" s="7"/>
      <c r="W1181" s="7"/>
      <c r="X1181" s="7"/>
      <c r="Y1181" s="7"/>
      <c r="Z1181" s="7"/>
      <c r="AA1181" s="7"/>
      <c r="AB1181" s="7"/>
      <c r="AC1181" s="7"/>
      <c r="AD1181" s="7"/>
      <c r="AE1181" s="6" t="s">
        <v>12355</v>
      </c>
      <c r="AF1181" s="74"/>
      <c r="AG1181" s="7"/>
      <c r="AH1181" s="73" t="s">
        <v>21560</v>
      </c>
      <c r="AI1181" s="7"/>
      <c r="AJ1181" s="7"/>
      <c r="AK1181" s="7"/>
      <c r="AL1181" s="7"/>
      <c r="AM1181" s="6"/>
      <c r="AN1181" s="7"/>
      <c r="AO1181" s="7"/>
      <c r="AP1181" s="65">
        <v>30811.0</v>
      </c>
      <c r="AQ1181" s="6"/>
      <c r="AR1181" s="6"/>
      <c r="AS1181" s="6"/>
    </row>
    <row r="1182" ht="15.75" customHeight="1">
      <c r="A1182" s="6" t="s">
        <v>11277</v>
      </c>
      <c r="B1182" s="6" t="s">
        <v>4899</v>
      </c>
      <c r="C1182" s="7"/>
      <c r="D1182" s="7"/>
      <c r="E1182" s="7"/>
      <c r="F1182" s="7"/>
      <c r="G1182" s="7"/>
      <c r="H1182" s="7"/>
      <c r="I1182" s="7"/>
      <c r="J1182" s="7"/>
      <c r="K1182" s="7"/>
      <c r="L1182" s="7"/>
      <c r="M1182" s="6" t="s">
        <v>40</v>
      </c>
      <c r="N1182" s="7"/>
      <c r="O1182" s="6" t="s">
        <v>4904</v>
      </c>
      <c r="P1182" s="42"/>
      <c r="Q1182" s="43"/>
      <c r="R1182" s="50"/>
      <c r="S1182" s="51"/>
      <c r="T1182" s="7"/>
      <c r="U1182" s="7"/>
      <c r="V1182" s="7"/>
      <c r="W1182" s="7"/>
      <c r="X1182" s="7"/>
      <c r="Y1182" s="7"/>
      <c r="Z1182" s="7"/>
      <c r="AA1182" s="7"/>
      <c r="AB1182" s="7"/>
      <c r="AC1182" s="7"/>
      <c r="AD1182" s="7"/>
      <c r="AE1182" s="6" t="s">
        <v>12355</v>
      </c>
      <c r="AF1182" s="74"/>
      <c r="AG1182" s="7"/>
      <c r="AH1182" s="73" t="s">
        <v>21561</v>
      </c>
      <c r="AI1182" s="7"/>
      <c r="AJ1182" s="7"/>
      <c r="AK1182" s="7"/>
      <c r="AL1182" s="7"/>
      <c r="AM1182" s="6"/>
      <c r="AN1182" s="7"/>
      <c r="AO1182" s="7"/>
      <c r="AP1182" s="65">
        <v>30811.0</v>
      </c>
      <c r="AQ1182" s="6"/>
      <c r="AR1182" s="6"/>
      <c r="AS1182" s="6"/>
    </row>
    <row r="1183" ht="15.75" customHeight="1">
      <c r="A1183" s="6" t="s">
        <v>11279</v>
      </c>
      <c r="B1183" s="6" t="s">
        <v>21562</v>
      </c>
      <c r="C1183" s="7"/>
      <c r="D1183" s="7"/>
      <c r="E1183" s="7"/>
      <c r="F1183" s="7"/>
      <c r="G1183" s="7"/>
      <c r="H1183" s="7"/>
      <c r="I1183" s="7"/>
      <c r="J1183" s="7"/>
      <c r="K1183" s="7"/>
      <c r="L1183" s="7"/>
      <c r="M1183" s="6" t="s">
        <v>40</v>
      </c>
      <c r="N1183" s="7"/>
      <c r="O1183" s="6" t="s">
        <v>4911</v>
      </c>
      <c r="P1183" s="42"/>
      <c r="Q1183" s="43"/>
      <c r="R1183" s="50"/>
      <c r="S1183" s="51"/>
      <c r="T1183" s="7"/>
      <c r="U1183" s="7"/>
      <c r="V1183" s="7"/>
      <c r="W1183" s="7"/>
      <c r="X1183" s="7"/>
      <c r="Y1183" s="7"/>
      <c r="Z1183" s="7"/>
      <c r="AA1183" s="7"/>
      <c r="AB1183" s="7"/>
      <c r="AC1183" s="7"/>
      <c r="AD1183" s="7"/>
      <c r="AE1183" s="6" t="s">
        <v>12355</v>
      </c>
      <c r="AF1183" s="74"/>
      <c r="AG1183" s="7"/>
      <c r="AH1183" s="73" t="s">
        <v>21563</v>
      </c>
      <c r="AI1183" s="7"/>
      <c r="AJ1183" s="7"/>
      <c r="AK1183" s="7"/>
      <c r="AL1183" s="7"/>
      <c r="AM1183" s="6"/>
      <c r="AN1183" s="7"/>
      <c r="AO1183" s="7"/>
      <c r="AP1183" s="65">
        <v>30811.0</v>
      </c>
      <c r="AQ1183" s="6"/>
      <c r="AR1183" s="6"/>
      <c r="AS1183" s="6"/>
    </row>
    <row r="1184" ht="15.75" customHeight="1">
      <c r="A1184" s="6" t="s">
        <v>11281</v>
      </c>
      <c r="B1184" s="6" t="s">
        <v>5051</v>
      </c>
      <c r="C1184" s="7"/>
      <c r="D1184" s="7"/>
      <c r="E1184" s="7"/>
      <c r="F1184" s="7"/>
      <c r="G1184" s="7"/>
      <c r="H1184" s="7"/>
      <c r="I1184" s="7"/>
      <c r="J1184" s="7"/>
      <c r="K1184" s="7"/>
      <c r="L1184" s="7"/>
      <c r="M1184" s="6" t="s">
        <v>40</v>
      </c>
      <c r="N1184" s="7"/>
      <c r="O1184" s="6" t="s">
        <v>5056</v>
      </c>
      <c r="P1184" s="42"/>
      <c r="Q1184" s="43"/>
      <c r="R1184" s="50"/>
      <c r="S1184" s="51"/>
      <c r="T1184" s="7"/>
      <c r="U1184" s="7"/>
      <c r="V1184" s="7"/>
      <c r="W1184" s="7"/>
      <c r="X1184" s="7"/>
      <c r="Y1184" s="7"/>
      <c r="Z1184" s="7"/>
      <c r="AA1184" s="7"/>
      <c r="AB1184" s="7"/>
      <c r="AC1184" s="7"/>
      <c r="AD1184" s="7"/>
      <c r="AE1184" s="6" t="s">
        <v>12355</v>
      </c>
      <c r="AF1184" s="74"/>
      <c r="AG1184" s="7"/>
      <c r="AH1184" s="73" t="s">
        <v>21564</v>
      </c>
      <c r="AI1184" s="7"/>
      <c r="AJ1184" s="7"/>
      <c r="AK1184" s="7"/>
      <c r="AL1184" s="7"/>
      <c r="AM1184" s="6"/>
      <c r="AN1184" s="7"/>
      <c r="AO1184" s="7"/>
      <c r="AP1184" s="65">
        <v>30811.0</v>
      </c>
      <c r="AQ1184" s="6"/>
      <c r="AR1184" s="6"/>
      <c r="AS1184" s="6"/>
    </row>
    <row r="1185" ht="15.75" customHeight="1">
      <c r="A1185" s="6" t="s">
        <v>11283</v>
      </c>
      <c r="B1185" s="6" t="s">
        <v>5190</v>
      </c>
      <c r="C1185" s="7"/>
      <c r="D1185" s="7"/>
      <c r="E1185" s="7"/>
      <c r="F1185" s="7"/>
      <c r="G1185" s="7"/>
      <c r="H1185" s="7"/>
      <c r="I1185" s="7"/>
      <c r="J1185" s="7"/>
      <c r="K1185" s="7"/>
      <c r="L1185" s="7"/>
      <c r="M1185" s="6" t="s">
        <v>71</v>
      </c>
      <c r="N1185" s="7"/>
      <c r="O1185" s="6" t="s">
        <v>5196</v>
      </c>
      <c r="P1185" s="42"/>
      <c r="Q1185" s="43"/>
      <c r="R1185" s="50"/>
      <c r="S1185" s="51"/>
      <c r="T1185" s="7"/>
      <c r="U1185" s="7"/>
      <c r="V1185" s="7"/>
      <c r="W1185" s="7"/>
      <c r="X1185" s="7"/>
      <c r="Y1185" s="7"/>
      <c r="Z1185" s="7"/>
      <c r="AA1185" s="7"/>
      <c r="AB1185" s="7"/>
      <c r="AC1185" s="7"/>
      <c r="AD1185" s="7"/>
      <c r="AE1185" s="6" t="s">
        <v>12355</v>
      </c>
      <c r="AF1185" s="74"/>
      <c r="AG1185" s="7"/>
      <c r="AH1185" s="73" t="s">
        <v>21565</v>
      </c>
      <c r="AI1185" s="7"/>
      <c r="AJ1185" s="7"/>
      <c r="AK1185" s="7"/>
      <c r="AL1185" s="7"/>
      <c r="AM1185" s="6"/>
      <c r="AN1185" s="7"/>
      <c r="AO1185" s="7"/>
      <c r="AP1185" s="65">
        <v>30811.0</v>
      </c>
      <c r="AQ1185" s="6"/>
      <c r="AR1185" s="6"/>
      <c r="AS1185" s="6"/>
    </row>
    <row r="1186" ht="15.75" customHeight="1">
      <c r="A1186" s="6" t="s">
        <v>21566</v>
      </c>
      <c r="B1186" s="6" t="s">
        <v>5202</v>
      </c>
      <c r="C1186" s="7"/>
      <c r="D1186" s="7"/>
      <c r="E1186" s="7"/>
      <c r="F1186" s="7"/>
      <c r="G1186" s="7"/>
      <c r="H1186" s="7"/>
      <c r="I1186" s="7"/>
      <c r="J1186" s="7"/>
      <c r="K1186" s="7"/>
      <c r="L1186" s="7"/>
      <c r="M1186" s="6" t="s">
        <v>71</v>
      </c>
      <c r="N1186" s="7"/>
      <c r="O1186" s="6" t="s">
        <v>21029</v>
      </c>
      <c r="P1186" s="42"/>
      <c r="Q1186" s="43"/>
      <c r="R1186" s="50"/>
      <c r="S1186" s="51"/>
      <c r="T1186" s="7"/>
      <c r="U1186" s="7"/>
      <c r="V1186" s="7"/>
      <c r="W1186" s="7"/>
      <c r="X1186" s="7"/>
      <c r="Y1186" s="7"/>
      <c r="Z1186" s="7"/>
      <c r="AA1186" s="7"/>
      <c r="AB1186" s="7"/>
      <c r="AC1186" s="7"/>
      <c r="AD1186" s="7"/>
      <c r="AE1186" s="6" t="s">
        <v>12355</v>
      </c>
      <c r="AF1186" s="74"/>
      <c r="AG1186" s="7"/>
      <c r="AH1186" s="73" t="s">
        <v>21567</v>
      </c>
      <c r="AI1186" s="7"/>
      <c r="AJ1186" s="7"/>
      <c r="AK1186" s="7"/>
      <c r="AL1186" s="7"/>
      <c r="AM1186" s="6"/>
      <c r="AN1186" s="7"/>
      <c r="AO1186" s="7"/>
      <c r="AP1186" s="65">
        <v>30811.0</v>
      </c>
      <c r="AQ1186" s="6"/>
      <c r="AR1186" s="6"/>
      <c r="AS1186" s="6"/>
    </row>
    <row r="1187" ht="15.75" customHeight="1">
      <c r="A1187" s="6" t="s">
        <v>11286</v>
      </c>
      <c r="B1187" s="6" t="s">
        <v>21568</v>
      </c>
      <c r="C1187" s="7"/>
      <c r="D1187" s="7"/>
      <c r="E1187" s="7"/>
      <c r="F1187" s="7"/>
      <c r="G1187" s="7"/>
      <c r="H1187" s="7"/>
      <c r="I1187" s="7"/>
      <c r="J1187" s="7"/>
      <c r="K1187" s="7"/>
      <c r="L1187" s="7"/>
      <c r="M1187" s="6" t="s">
        <v>71</v>
      </c>
      <c r="N1187" s="7"/>
      <c r="O1187" s="6" t="s">
        <v>6488</v>
      </c>
      <c r="P1187" s="42"/>
      <c r="Q1187" s="43"/>
      <c r="R1187" s="50"/>
      <c r="S1187" s="51"/>
      <c r="T1187" s="7"/>
      <c r="U1187" s="7"/>
      <c r="V1187" s="7"/>
      <c r="W1187" s="7"/>
      <c r="X1187" s="7"/>
      <c r="Y1187" s="7"/>
      <c r="Z1187" s="7"/>
      <c r="AA1187" s="7"/>
      <c r="AB1187" s="7"/>
      <c r="AC1187" s="7"/>
      <c r="AD1187" s="7"/>
      <c r="AE1187" s="6" t="s">
        <v>12355</v>
      </c>
      <c r="AF1187" s="74"/>
      <c r="AG1187" s="7"/>
      <c r="AH1187" s="73" t="s">
        <v>21569</v>
      </c>
      <c r="AI1187" s="7"/>
      <c r="AJ1187" s="7"/>
      <c r="AK1187" s="7"/>
      <c r="AL1187" s="7"/>
      <c r="AM1187" s="6"/>
      <c r="AN1187" s="7"/>
      <c r="AO1187" s="7"/>
      <c r="AP1187" s="65">
        <v>30811.0</v>
      </c>
      <c r="AQ1187" s="6"/>
      <c r="AR1187" s="6"/>
      <c r="AS1187" s="6"/>
    </row>
    <row r="1188" ht="15.75" customHeight="1">
      <c r="A1188" s="6" t="s">
        <v>11288</v>
      </c>
      <c r="B1188" s="6" t="s">
        <v>21570</v>
      </c>
      <c r="C1188" s="7"/>
      <c r="D1188" s="7"/>
      <c r="E1188" s="7"/>
      <c r="F1188" s="7"/>
      <c r="G1188" s="7"/>
      <c r="H1188" s="7"/>
      <c r="I1188" s="7"/>
      <c r="J1188" s="7"/>
      <c r="K1188" s="7"/>
      <c r="L1188" s="7"/>
      <c r="M1188" s="6" t="s">
        <v>71</v>
      </c>
      <c r="N1188" s="7"/>
      <c r="O1188" s="6" t="s">
        <v>5298</v>
      </c>
      <c r="P1188" s="42"/>
      <c r="Q1188" s="43"/>
      <c r="R1188" s="50"/>
      <c r="S1188" s="51"/>
      <c r="T1188" s="7"/>
      <c r="U1188" s="7"/>
      <c r="V1188" s="7"/>
      <c r="W1188" s="7"/>
      <c r="X1188" s="7"/>
      <c r="Y1188" s="7"/>
      <c r="Z1188" s="7"/>
      <c r="AA1188" s="7"/>
      <c r="AB1188" s="7"/>
      <c r="AC1188" s="7"/>
      <c r="AD1188" s="7"/>
      <c r="AE1188" s="6" t="s">
        <v>12355</v>
      </c>
      <c r="AF1188" s="74"/>
      <c r="AG1188" s="7"/>
      <c r="AH1188" s="73" t="s">
        <v>21571</v>
      </c>
      <c r="AI1188" s="7"/>
      <c r="AJ1188" s="7"/>
      <c r="AK1188" s="7"/>
      <c r="AL1188" s="7"/>
      <c r="AM1188" s="6"/>
      <c r="AN1188" s="7"/>
      <c r="AO1188" s="7"/>
      <c r="AP1188" s="65">
        <v>30811.0</v>
      </c>
      <c r="AQ1188" s="6"/>
      <c r="AR1188" s="6"/>
      <c r="AS1188" s="6"/>
    </row>
    <row r="1189" ht="15.75" customHeight="1">
      <c r="A1189" s="6" t="s">
        <v>21572</v>
      </c>
      <c r="B1189" s="6" t="s">
        <v>5686</v>
      </c>
      <c r="C1189" s="7"/>
      <c r="D1189" s="7"/>
      <c r="E1189" s="7"/>
      <c r="F1189" s="7"/>
      <c r="G1189" s="7"/>
      <c r="H1189" s="7"/>
      <c r="I1189" s="7"/>
      <c r="J1189" s="7"/>
      <c r="K1189" s="7"/>
      <c r="L1189" s="7"/>
      <c r="M1189" s="6" t="s">
        <v>40</v>
      </c>
      <c r="N1189" s="7"/>
      <c r="O1189" s="6" t="s">
        <v>21029</v>
      </c>
      <c r="P1189" s="42"/>
      <c r="Q1189" s="43"/>
      <c r="R1189" s="50"/>
      <c r="S1189" s="51"/>
      <c r="T1189" s="7"/>
      <c r="U1189" s="7"/>
      <c r="V1189" s="7"/>
      <c r="W1189" s="7"/>
      <c r="X1189" s="7"/>
      <c r="Y1189" s="7"/>
      <c r="Z1189" s="7"/>
      <c r="AA1189" s="7"/>
      <c r="AB1189" s="7"/>
      <c r="AC1189" s="7"/>
      <c r="AD1189" s="7"/>
      <c r="AE1189" s="6" t="s">
        <v>12355</v>
      </c>
      <c r="AF1189" s="74"/>
      <c r="AG1189" s="7"/>
      <c r="AH1189" s="73" t="s">
        <v>21573</v>
      </c>
      <c r="AI1189" s="7"/>
      <c r="AJ1189" s="7"/>
      <c r="AK1189" s="7"/>
      <c r="AL1189" s="7"/>
      <c r="AM1189" s="6"/>
      <c r="AN1189" s="7"/>
      <c r="AO1189" s="7"/>
      <c r="AP1189" s="65">
        <v>30811.0</v>
      </c>
      <c r="AQ1189" s="6"/>
      <c r="AR1189" s="6"/>
      <c r="AS1189" s="6"/>
    </row>
    <row r="1190" ht="15.75" customHeight="1">
      <c r="A1190" s="6" t="s">
        <v>21574</v>
      </c>
      <c r="B1190" s="6" t="s">
        <v>5780</v>
      </c>
      <c r="C1190" s="7"/>
      <c r="D1190" s="7"/>
      <c r="E1190" s="7"/>
      <c r="F1190" s="7"/>
      <c r="G1190" s="7"/>
      <c r="H1190" s="7"/>
      <c r="I1190" s="7"/>
      <c r="J1190" s="7"/>
      <c r="K1190" s="7"/>
      <c r="L1190" s="7"/>
      <c r="M1190" s="6" t="s">
        <v>71</v>
      </c>
      <c r="N1190" s="7"/>
      <c r="O1190" s="6" t="s">
        <v>21029</v>
      </c>
      <c r="P1190" s="42"/>
      <c r="Q1190" s="43"/>
      <c r="R1190" s="50"/>
      <c r="S1190" s="51"/>
      <c r="T1190" s="7"/>
      <c r="U1190" s="7"/>
      <c r="V1190" s="7"/>
      <c r="W1190" s="7"/>
      <c r="X1190" s="7"/>
      <c r="Y1190" s="7"/>
      <c r="Z1190" s="7"/>
      <c r="AA1190" s="7"/>
      <c r="AB1190" s="7"/>
      <c r="AC1190" s="7"/>
      <c r="AD1190" s="7"/>
      <c r="AE1190" s="6" t="s">
        <v>12355</v>
      </c>
      <c r="AF1190" s="74"/>
      <c r="AG1190" s="7"/>
      <c r="AH1190" s="73" t="s">
        <v>21575</v>
      </c>
      <c r="AI1190" s="7"/>
      <c r="AJ1190" s="7"/>
      <c r="AK1190" s="7"/>
      <c r="AL1190" s="7"/>
      <c r="AM1190" s="6"/>
      <c r="AN1190" s="7"/>
      <c r="AO1190" s="7"/>
      <c r="AP1190" s="65">
        <v>30811.0</v>
      </c>
      <c r="AQ1190" s="6"/>
      <c r="AR1190" s="6"/>
      <c r="AS1190" s="6"/>
    </row>
    <row r="1191" ht="15.75" customHeight="1">
      <c r="A1191" s="6" t="s">
        <v>11290</v>
      </c>
      <c r="B1191" s="6" t="s">
        <v>21576</v>
      </c>
      <c r="C1191" s="7"/>
      <c r="D1191" s="7"/>
      <c r="E1191" s="7"/>
      <c r="F1191" s="7"/>
      <c r="G1191" s="7"/>
      <c r="H1191" s="7"/>
      <c r="I1191" s="7"/>
      <c r="J1191" s="7"/>
      <c r="K1191" s="7"/>
      <c r="L1191" s="7"/>
      <c r="M1191" s="6" t="s">
        <v>123</v>
      </c>
      <c r="N1191" s="7"/>
      <c r="O1191" s="6"/>
      <c r="P1191" s="42"/>
      <c r="Q1191" s="43"/>
      <c r="R1191" s="50"/>
      <c r="S1191" s="51"/>
      <c r="T1191" s="7"/>
      <c r="U1191" s="7"/>
      <c r="V1191" s="7"/>
      <c r="W1191" s="7"/>
      <c r="X1191" s="7"/>
      <c r="Y1191" s="7"/>
      <c r="Z1191" s="7"/>
      <c r="AA1191" s="7"/>
      <c r="AB1191" s="7"/>
      <c r="AC1191" s="7"/>
      <c r="AD1191" s="7"/>
      <c r="AE1191" s="6" t="s">
        <v>12355</v>
      </c>
      <c r="AF1191" s="74"/>
      <c r="AG1191" s="7"/>
      <c r="AH1191" s="73" t="s">
        <v>21577</v>
      </c>
      <c r="AI1191" s="7"/>
      <c r="AJ1191" s="7"/>
      <c r="AK1191" s="7"/>
      <c r="AL1191" s="7"/>
      <c r="AM1191" s="6"/>
      <c r="AN1191" s="7"/>
      <c r="AO1191" s="7"/>
      <c r="AP1191" s="65">
        <v>30811.0</v>
      </c>
      <c r="AQ1191" s="6"/>
      <c r="AR1191" s="6"/>
      <c r="AS1191" s="6"/>
    </row>
    <row r="1192" ht="15.75" customHeight="1">
      <c r="A1192" s="6" t="s">
        <v>11292</v>
      </c>
      <c r="B1192" s="6" t="s">
        <v>21578</v>
      </c>
      <c r="C1192" s="7"/>
      <c r="D1192" s="7"/>
      <c r="E1192" s="7"/>
      <c r="F1192" s="7"/>
      <c r="G1192" s="7"/>
      <c r="H1192" s="7"/>
      <c r="I1192" s="7"/>
      <c r="J1192" s="7"/>
      <c r="K1192" s="7"/>
      <c r="L1192" s="7"/>
      <c r="M1192" s="6" t="s">
        <v>71</v>
      </c>
      <c r="N1192" s="7"/>
      <c r="O1192" s="6"/>
      <c r="P1192" s="42"/>
      <c r="Q1192" s="43"/>
      <c r="R1192" s="50"/>
      <c r="S1192" s="51"/>
      <c r="T1192" s="7"/>
      <c r="U1192" s="7"/>
      <c r="V1192" s="7"/>
      <c r="W1192" s="7"/>
      <c r="X1192" s="7"/>
      <c r="Y1192" s="7"/>
      <c r="Z1192" s="7"/>
      <c r="AA1192" s="7"/>
      <c r="AB1192" s="7"/>
      <c r="AC1192" s="7"/>
      <c r="AD1192" s="7"/>
      <c r="AE1192" s="6" t="s">
        <v>12355</v>
      </c>
      <c r="AF1192" s="74"/>
      <c r="AG1192" s="7"/>
      <c r="AH1192" s="73" t="s">
        <v>21579</v>
      </c>
      <c r="AI1192" s="7"/>
      <c r="AJ1192" s="7"/>
      <c r="AK1192" s="7"/>
      <c r="AL1192" s="7"/>
      <c r="AM1192" s="6"/>
      <c r="AN1192" s="7"/>
      <c r="AO1192" s="7"/>
      <c r="AP1192" s="65">
        <v>30811.0</v>
      </c>
      <c r="AQ1192" s="6"/>
      <c r="AR1192" s="6"/>
      <c r="AS1192" s="6"/>
    </row>
    <row r="1193" ht="15.75" customHeight="1">
      <c r="A1193" s="6" t="s">
        <v>21580</v>
      </c>
      <c r="B1193" s="6" t="s">
        <v>21581</v>
      </c>
      <c r="C1193" s="7"/>
      <c r="D1193" s="7"/>
      <c r="E1193" s="7"/>
      <c r="F1193" s="7"/>
      <c r="G1193" s="7"/>
      <c r="H1193" s="7"/>
      <c r="I1193" s="7"/>
      <c r="J1193" s="7"/>
      <c r="K1193" s="7"/>
      <c r="L1193" s="7"/>
      <c r="M1193" s="6" t="s">
        <v>123</v>
      </c>
      <c r="N1193" s="7"/>
      <c r="O1193" s="6" t="s">
        <v>21029</v>
      </c>
      <c r="P1193" s="42"/>
      <c r="Q1193" s="43"/>
      <c r="R1193" s="50"/>
      <c r="S1193" s="51"/>
      <c r="T1193" s="7"/>
      <c r="U1193" s="7"/>
      <c r="V1193" s="7"/>
      <c r="W1193" s="7"/>
      <c r="X1193" s="7"/>
      <c r="Y1193" s="7"/>
      <c r="Z1193" s="7"/>
      <c r="AA1193" s="7"/>
      <c r="AB1193" s="7"/>
      <c r="AC1193" s="7"/>
      <c r="AD1193" s="7"/>
      <c r="AE1193" s="6" t="s">
        <v>12355</v>
      </c>
      <c r="AF1193" s="74"/>
      <c r="AG1193" s="7"/>
      <c r="AH1193" s="73" t="s">
        <v>21582</v>
      </c>
      <c r="AI1193" s="7"/>
      <c r="AJ1193" s="7"/>
      <c r="AK1193" s="7"/>
      <c r="AL1193" s="7"/>
      <c r="AM1193" s="6"/>
      <c r="AN1193" s="7"/>
      <c r="AO1193" s="7"/>
      <c r="AP1193" s="65">
        <v>30811.0</v>
      </c>
      <c r="AQ1193" s="6"/>
      <c r="AR1193" s="6"/>
      <c r="AS1193" s="6"/>
    </row>
    <row r="1194" ht="15.75" customHeight="1">
      <c r="A1194" s="6" t="s">
        <v>11294</v>
      </c>
      <c r="B1194" s="6" t="s">
        <v>21583</v>
      </c>
      <c r="C1194" s="7"/>
      <c r="D1194" s="7"/>
      <c r="E1194" s="7"/>
      <c r="F1194" s="7"/>
      <c r="G1194" s="7"/>
      <c r="H1194" s="7"/>
      <c r="I1194" s="7"/>
      <c r="J1194" s="7"/>
      <c r="K1194" s="7"/>
      <c r="L1194" s="7"/>
      <c r="M1194" s="6" t="s">
        <v>123</v>
      </c>
      <c r="N1194" s="7"/>
      <c r="O1194" s="6"/>
      <c r="P1194" s="42"/>
      <c r="Q1194" s="43"/>
      <c r="R1194" s="50"/>
      <c r="S1194" s="51"/>
      <c r="T1194" s="7"/>
      <c r="U1194" s="7"/>
      <c r="V1194" s="7"/>
      <c r="W1194" s="7"/>
      <c r="X1194" s="7"/>
      <c r="Y1194" s="7"/>
      <c r="Z1194" s="7"/>
      <c r="AA1194" s="7"/>
      <c r="AB1194" s="7"/>
      <c r="AC1194" s="7"/>
      <c r="AD1194" s="7"/>
      <c r="AE1194" s="6" t="s">
        <v>12355</v>
      </c>
      <c r="AF1194" s="74"/>
      <c r="AG1194" s="7"/>
      <c r="AH1194" s="73" t="s">
        <v>21584</v>
      </c>
      <c r="AI1194" s="7"/>
      <c r="AJ1194" s="7"/>
      <c r="AK1194" s="7"/>
      <c r="AL1194" s="7"/>
      <c r="AM1194" s="6"/>
      <c r="AN1194" s="7"/>
      <c r="AO1194" s="7"/>
      <c r="AP1194" s="65">
        <v>30811.0</v>
      </c>
      <c r="AQ1194" s="6"/>
      <c r="AR1194" s="6"/>
      <c r="AS1194" s="6"/>
    </row>
    <row r="1195" ht="15.75" customHeight="1">
      <c r="A1195" s="6" t="s">
        <v>11296</v>
      </c>
      <c r="B1195" s="6" t="s">
        <v>21585</v>
      </c>
      <c r="C1195" s="7"/>
      <c r="D1195" s="7"/>
      <c r="E1195" s="7"/>
      <c r="F1195" s="7"/>
      <c r="G1195" s="7"/>
      <c r="H1195" s="7"/>
      <c r="I1195" s="7"/>
      <c r="J1195" s="7"/>
      <c r="K1195" s="7"/>
      <c r="L1195" s="7"/>
      <c r="M1195" s="6" t="s">
        <v>123</v>
      </c>
      <c r="N1195" s="7"/>
      <c r="O1195" s="6"/>
      <c r="P1195" s="42"/>
      <c r="Q1195" s="43"/>
      <c r="R1195" s="50"/>
      <c r="S1195" s="51"/>
      <c r="T1195" s="7"/>
      <c r="U1195" s="7"/>
      <c r="V1195" s="7"/>
      <c r="W1195" s="7"/>
      <c r="X1195" s="7"/>
      <c r="Y1195" s="7"/>
      <c r="Z1195" s="7"/>
      <c r="AA1195" s="7"/>
      <c r="AB1195" s="7"/>
      <c r="AC1195" s="7"/>
      <c r="AD1195" s="7"/>
      <c r="AE1195" s="6" t="s">
        <v>12355</v>
      </c>
      <c r="AF1195" s="74"/>
      <c r="AG1195" s="7"/>
      <c r="AH1195" s="73" t="s">
        <v>21586</v>
      </c>
      <c r="AI1195" s="7"/>
      <c r="AJ1195" s="7"/>
      <c r="AK1195" s="7"/>
      <c r="AL1195" s="7"/>
      <c r="AM1195" s="6"/>
      <c r="AN1195" s="7"/>
      <c r="AO1195" s="7"/>
      <c r="AP1195" s="65">
        <v>30811.0</v>
      </c>
      <c r="AQ1195" s="6"/>
      <c r="AR1195" s="6"/>
      <c r="AS1195" s="6"/>
    </row>
    <row r="1196" ht="15.75" customHeight="1">
      <c r="A1196" s="6" t="s">
        <v>11298</v>
      </c>
      <c r="B1196" s="6" t="s">
        <v>6169</v>
      </c>
      <c r="C1196" s="7"/>
      <c r="D1196" s="7"/>
      <c r="E1196" s="7"/>
      <c r="F1196" s="7"/>
      <c r="G1196" s="7"/>
      <c r="H1196" s="7"/>
      <c r="I1196" s="7"/>
      <c r="J1196" s="7"/>
      <c r="K1196" s="7"/>
      <c r="L1196" s="7"/>
      <c r="M1196" s="6" t="s">
        <v>40</v>
      </c>
      <c r="N1196" s="7"/>
      <c r="O1196" s="6" t="s">
        <v>6174</v>
      </c>
      <c r="P1196" s="42"/>
      <c r="Q1196" s="43"/>
      <c r="R1196" s="50"/>
      <c r="S1196" s="51"/>
      <c r="T1196" s="7"/>
      <c r="U1196" s="7"/>
      <c r="V1196" s="7"/>
      <c r="W1196" s="7"/>
      <c r="X1196" s="7"/>
      <c r="Y1196" s="7"/>
      <c r="Z1196" s="7"/>
      <c r="AA1196" s="7"/>
      <c r="AB1196" s="7"/>
      <c r="AC1196" s="7"/>
      <c r="AD1196" s="7"/>
      <c r="AE1196" s="6" t="s">
        <v>12355</v>
      </c>
      <c r="AF1196" s="74"/>
      <c r="AG1196" s="7"/>
      <c r="AH1196" s="73" t="s">
        <v>21587</v>
      </c>
      <c r="AI1196" s="7"/>
      <c r="AJ1196" s="7"/>
      <c r="AK1196" s="7"/>
      <c r="AL1196" s="7"/>
      <c r="AM1196" s="6"/>
      <c r="AN1196" s="7"/>
      <c r="AO1196" s="7"/>
      <c r="AP1196" s="65">
        <v>30811.0</v>
      </c>
      <c r="AQ1196" s="6"/>
      <c r="AR1196" s="6"/>
      <c r="AS1196" s="6"/>
    </row>
    <row r="1197" ht="15.75" customHeight="1">
      <c r="A1197" s="6" t="s">
        <v>11300</v>
      </c>
      <c r="B1197" s="6" t="s">
        <v>21588</v>
      </c>
      <c r="C1197" s="7"/>
      <c r="D1197" s="7"/>
      <c r="E1197" s="7"/>
      <c r="F1197" s="7"/>
      <c r="G1197" s="7"/>
      <c r="H1197" s="7"/>
      <c r="I1197" s="7"/>
      <c r="J1197" s="7"/>
      <c r="K1197" s="7"/>
      <c r="L1197" s="7"/>
      <c r="M1197" s="6" t="s">
        <v>123</v>
      </c>
      <c r="N1197" s="7"/>
      <c r="O1197" s="6" t="s">
        <v>6291</v>
      </c>
      <c r="P1197" s="42"/>
      <c r="Q1197" s="43"/>
      <c r="R1197" s="50"/>
      <c r="S1197" s="51"/>
      <c r="T1197" s="7"/>
      <c r="U1197" s="7"/>
      <c r="V1197" s="7"/>
      <c r="W1197" s="7"/>
      <c r="X1197" s="7"/>
      <c r="Y1197" s="7"/>
      <c r="Z1197" s="7"/>
      <c r="AA1197" s="7"/>
      <c r="AB1197" s="7"/>
      <c r="AC1197" s="7"/>
      <c r="AD1197" s="7"/>
      <c r="AE1197" s="6" t="s">
        <v>12355</v>
      </c>
      <c r="AF1197" s="74"/>
      <c r="AG1197" s="7"/>
      <c r="AH1197" s="73" t="s">
        <v>21589</v>
      </c>
      <c r="AI1197" s="7"/>
      <c r="AJ1197" s="7"/>
      <c r="AK1197" s="7"/>
      <c r="AL1197" s="7"/>
      <c r="AM1197" s="6"/>
      <c r="AN1197" s="7"/>
      <c r="AO1197" s="7"/>
      <c r="AP1197" s="65">
        <v>30811.0</v>
      </c>
      <c r="AQ1197" s="6"/>
      <c r="AR1197" s="6"/>
      <c r="AS1197" s="6"/>
    </row>
    <row r="1198" ht="15.75" customHeight="1">
      <c r="A1198" s="6" t="s">
        <v>11302</v>
      </c>
      <c r="B1198" s="6" t="s">
        <v>6419</v>
      </c>
      <c r="C1198" s="7"/>
      <c r="D1198" s="7"/>
      <c r="E1198" s="7"/>
      <c r="F1198" s="7"/>
      <c r="G1198" s="7"/>
      <c r="H1198" s="7"/>
      <c r="I1198" s="7"/>
      <c r="J1198" s="7"/>
      <c r="K1198" s="7"/>
      <c r="L1198" s="7"/>
      <c r="M1198" s="6" t="s">
        <v>40</v>
      </c>
      <c r="N1198" s="7"/>
      <c r="O1198" s="6" t="s">
        <v>6424</v>
      </c>
      <c r="P1198" s="42"/>
      <c r="Q1198" s="43"/>
      <c r="R1198" s="50"/>
      <c r="S1198" s="51"/>
      <c r="T1198" s="7"/>
      <c r="U1198" s="7"/>
      <c r="V1198" s="7"/>
      <c r="W1198" s="7"/>
      <c r="X1198" s="7"/>
      <c r="Y1198" s="7"/>
      <c r="Z1198" s="7"/>
      <c r="AA1198" s="7"/>
      <c r="AB1198" s="7"/>
      <c r="AC1198" s="7"/>
      <c r="AD1198" s="7"/>
      <c r="AE1198" s="6" t="s">
        <v>12355</v>
      </c>
      <c r="AF1198" s="74"/>
      <c r="AG1198" s="7"/>
      <c r="AH1198" s="73" t="s">
        <v>21590</v>
      </c>
      <c r="AI1198" s="7"/>
      <c r="AJ1198" s="7"/>
      <c r="AK1198" s="7"/>
      <c r="AL1198" s="7"/>
      <c r="AM1198" s="6"/>
      <c r="AN1198" s="7"/>
      <c r="AO1198" s="7"/>
      <c r="AP1198" s="65">
        <v>30811.0</v>
      </c>
      <c r="AQ1198" s="6"/>
      <c r="AR1198" s="6"/>
      <c r="AS1198" s="6"/>
    </row>
    <row r="1199" ht="15.75" customHeight="1">
      <c r="A1199" s="6" t="s">
        <v>11304</v>
      </c>
      <c r="B1199" s="6" t="s">
        <v>6426</v>
      </c>
      <c r="C1199" s="7"/>
      <c r="D1199" s="7"/>
      <c r="E1199" s="7"/>
      <c r="F1199" s="7"/>
      <c r="G1199" s="7"/>
      <c r="H1199" s="7"/>
      <c r="I1199" s="7"/>
      <c r="J1199" s="7"/>
      <c r="K1199" s="7"/>
      <c r="L1199" s="7"/>
      <c r="M1199" s="6" t="s">
        <v>40</v>
      </c>
      <c r="N1199" s="7"/>
      <c r="O1199" s="6" t="s">
        <v>6431</v>
      </c>
      <c r="P1199" s="42"/>
      <c r="Q1199" s="43"/>
      <c r="R1199" s="50"/>
      <c r="S1199" s="51"/>
      <c r="T1199" s="7"/>
      <c r="U1199" s="7"/>
      <c r="V1199" s="7"/>
      <c r="W1199" s="7"/>
      <c r="X1199" s="7"/>
      <c r="Y1199" s="7"/>
      <c r="Z1199" s="7"/>
      <c r="AA1199" s="7"/>
      <c r="AB1199" s="7"/>
      <c r="AC1199" s="7"/>
      <c r="AD1199" s="7"/>
      <c r="AE1199" s="6" t="s">
        <v>12355</v>
      </c>
      <c r="AF1199" s="74"/>
      <c r="AG1199" s="7"/>
      <c r="AH1199" s="73" t="s">
        <v>21591</v>
      </c>
      <c r="AI1199" s="7"/>
      <c r="AJ1199" s="7"/>
      <c r="AK1199" s="7"/>
      <c r="AL1199" s="7"/>
      <c r="AM1199" s="6"/>
      <c r="AN1199" s="7"/>
      <c r="AO1199" s="7"/>
      <c r="AP1199" s="65">
        <v>30811.0</v>
      </c>
      <c r="AQ1199" s="6"/>
      <c r="AR1199" s="6"/>
      <c r="AS1199" s="6"/>
    </row>
    <row r="1200" ht="15.75" customHeight="1">
      <c r="A1200" s="6" t="s">
        <v>11306</v>
      </c>
      <c r="B1200" s="6" t="s">
        <v>21592</v>
      </c>
      <c r="C1200" s="7"/>
      <c r="D1200" s="7"/>
      <c r="E1200" s="7"/>
      <c r="F1200" s="7"/>
      <c r="G1200" s="7"/>
      <c r="H1200" s="7"/>
      <c r="I1200" s="7"/>
      <c r="J1200" s="7"/>
      <c r="K1200" s="7"/>
      <c r="L1200" s="7"/>
      <c r="M1200" s="6" t="s">
        <v>40</v>
      </c>
      <c r="N1200" s="7"/>
      <c r="O1200" s="6"/>
      <c r="P1200" s="42"/>
      <c r="Q1200" s="43"/>
      <c r="R1200" s="50"/>
      <c r="S1200" s="51"/>
      <c r="T1200" s="7"/>
      <c r="U1200" s="7"/>
      <c r="V1200" s="7"/>
      <c r="W1200" s="7"/>
      <c r="X1200" s="7"/>
      <c r="Y1200" s="7"/>
      <c r="Z1200" s="7"/>
      <c r="AA1200" s="7"/>
      <c r="AB1200" s="7"/>
      <c r="AC1200" s="7"/>
      <c r="AD1200" s="7"/>
      <c r="AE1200" s="6" t="s">
        <v>12355</v>
      </c>
      <c r="AF1200" s="74"/>
      <c r="AG1200" s="7"/>
      <c r="AH1200" s="73" t="s">
        <v>21593</v>
      </c>
      <c r="AI1200" s="7"/>
      <c r="AJ1200" s="7"/>
      <c r="AK1200" s="7"/>
      <c r="AL1200" s="7"/>
      <c r="AM1200" s="6"/>
      <c r="AN1200" s="7"/>
      <c r="AO1200" s="7"/>
      <c r="AP1200" s="65">
        <v>30811.0</v>
      </c>
      <c r="AQ1200" s="6"/>
      <c r="AR1200" s="6"/>
      <c r="AS1200" s="6"/>
    </row>
    <row r="1201" ht="15.75" customHeight="1">
      <c r="A1201" s="6" t="s">
        <v>11308</v>
      </c>
      <c r="B1201" s="6" t="s">
        <v>21594</v>
      </c>
      <c r="C1201" s="7"/>
      <c r="D1201" s="7"/>
      <c r="E1201" s="7"/>
      <c r="F1201" s="7"/>
      <c r="G1201" s="7"/>
      <c r="H1201" s="7"/>
      <c r="I1201" s="7"/>
      <c r="J1201" s="7"/>
      <c r="K1201" s="7"/>
      <c r="L1201" s="7"/>
      <c r="M1201" s="6" t="s">
        <v>123</v>
      </c>
      <c r="N1201" s="7"/>
      <c r="O1201" s="6"/>
      <c r="P1201" s="42"/>
      <c r="Q1201" s="43"/>
      <c r="R1201" s="50"/>
      <c r="S1201" s="51"/>
      <c r="T1201" s="7"/>
      <c r="U1201" s="7"/>
      <c r="V1201" s="7"/>
      <c r="W1201" s="7"/>
      <c r="X1201" s="7"/>
      <c r="Y1201" s="7"/>
      <c r="Z1201" s="7"/>
      <c r="AA1201" s="7"/>
      <c r="AB1201" s="7"/>
      <c r="AC1201" s="7"/>
      <c r="AD1201" s="7"/>
      <c r="AE1201" s="6" t="s">
        <v>12355</v>
      </c>
      <c r="AF1201" s="74"/>
      <c r="AG1201" s="7"/>
      <c r="AH1201" s="73" t="s">
        <v>21595</v>
      </c>
      <c r="AI1201" s="7"/>
      <c r="AJ1201" s="7"/>
      <c r="AK1201" s="7"/>
      <c r="AL1201" s="7"/>
      <c r="AM1201" s="6"/>
      <c r="AN1201" s="7"/>
      <c r="AO1201" s="7"/>
      <c r="AP1201" s="65">
        <v>30811.0</v>
      </c>
      <c r="AQ1201" s="6"/>
      <c r="AR1201" s="6"/>
      <c r="AS1201" s="6"/>
    </row>
    <row r="1202" ht="15.75" customHeight="1">
      <c r="A1202" s="6" t="s">
        <v>11310</v>
      </c>
      <c r="B1202" s="6" t="s">
        <v>21596</v>
      </c>
      <c r="C1202" s="7"/>
      <c r="D1202" s="7"/>
      <c r="E1202" s="7"/>
      <c r="F1202" s="7"/>
      <c r="G1202" s="7"/>
      <c r="H1202" s="7"/>
      <c r="I1202" s="7"/>
      <c r="J1202" s="7"/>
      <c r="K1202" s="7"/>
      <c r="L1202" s="7"/>
      <c r="M1202" s="6" t="s">
        <v>123</v>
      </c>
      <c r="N1202" s="7"/>
      <c r="O1202" s="6" t="s">
        <v>6581</v>
      </c>
      <c r="P1202" s="42"/>
      <c r="Q1202" s="43"/>
      <c r="R1202" s="50"/>
      <c r="S1202" s="51"/>
      <c r="T1202" s="7"/>
      <c r="U1202" s="7"/>
      <c r="V1202" s="7"/>
      <c r="W1202" s="7"/>
      <c r="X1202" s="7"/>
      <c r="Y1202" s="7"/>
      <c r="Z1202" s="7"/>
      <c r="AA1202" s="7"/>
      <c r="AB1202" s="7"/>
      <c r="AC1202" s="7"/>
      <c r="AD1202" s="7"/>
      <c r="AE1202" s="6" t="s">
        <v>12355</v>
      </c>
      <c r="AF1202" s="74"/>
      <c r="AG1202" s="7"/>
      <c r="AH1202" s="73" t="s">
        <v>21597</v>
      </c>
      <c r="AI1202" s="7"/>
      <c r="AJ1202" s="7"/>
      <c r="AK1202" s="7"/>
      <c r="AL1202" s="7"/>
      <c r="AM1202" s="6"/>
      <c r="AN1202" s="7"/>
      <c r="AO1202" s="7"/>
      <c r="AP1202" s="65">
        <v>30811.0</v>
      </c>
      <c r="AQ1202" s="6"/>
      <c r="AR1202" s="6"/>
      <c r="AS1202" s="6"/>
    </row>
    <row r="1203" ht="15.75" customHeight="1">
      <c r="A1203" s="6" t="s">
        <v>11312</v>
      </c>
      <c r="B1203" s="6" t="s">
        <v>21598</v>
      </c>
      <c r="C1203" s="7"/>
      <c r="D1203" s="7"/>
      <c r="E1203" s="7"/>
      <c r="F1203" s="7"/>
      <c r="G1203" s="7"/>
      <c r="H1203" s="7"/>
      <c r="I1203" s="7"/>
      <c r="J1203" s="7"/>
      <c r="K1203" s="7"/>
      <c r="L1203" s="7"/>
      <c r="M1203" s="6" t="s">
        <v>123</v>
      </c>
      <c r="N1203" s="7"/>
      <c r="O1203" s="6"/>
      <c r="P1203" s="42"/>
      <c r="Q1203" s="43"/>
      <c r="R1203" s="50"/>
      <c r="S1203" s="51"/>
      <c r="T1203" s="7"/>
      <c r="U1203" s="7"/>
      <c r="V1203" s="7"/>
      <c r="W1203" s="7"/>
      <c r="X1203" s="7"/>
      <c r="Y1203" s="7"/>
      <c r="Z1203" s="7"/>
      <c r="AA1203" s="7"/>
      <c r="AB1203" s="7"/>
      <c r="AC1203" s="7"/>
      <c r="AD1203" s="7"/>
      <c r="AE1203" s="6" t="s">
        <v>12355</v>
      </c>
      <c r="AF1203" s="74"/>
      <c r="AG1203" s="7"/>
      <c r="AH1203" s="73" t="s">
        <v>21599</v>
      </c>
      <c r="AI1203" s="7"/>
      <c r="AJ1203" s="7"/>
      <c r="AK1203" s="7"/>
      <c r="AL1203" s="7"/>
      <c r="AM1203" s="6"/>
      <c r="AN1203" s="7"/>
      <c r="AO1203" s="7"/>
      <c r="AP1203" s="65">
        <v>30811.0</v>
      </c>
      <c r="AQ1203" s="6"/>
      <c r="AR1203" s="6"/>
      <c r="AS1203" s="6"/>
    </row>
    <row r="1204" ht="15.75" customHeight="1">
      <c r="A1204" s="6" t="s">
        <v>11315</v>
      </c>
      <c r="B1204" s="6" t="s">
        <v>21600</v>
      </c>
      <c r="C1204" s="7"/>
      <c r="D1204" s="7"/>
      <c r="E1204" s="7"/>
      <c r="F1204" s="7"/>
      <c r="G1204" s="7"/>
      <c r="H1204" s="7"/>
      <c r="I1204" s="7"/>
      <c r="J1204" s="7"/>
      <c r="K1204" s="7"/>
      <c r="L1204" s="7"/>
      <c r="M1204" s="6" t="s">
        <v>33</v>
      </c>
      <c r="N1204" s="7"/>
      <c r="O1204" s="6" t="s">
        <v>6604</v>
      </c>
      <c r="P1204" s="42"/>
      <c r="Q1204" s="43"/>
      <c r="R1204" s="50"/>
      <c r="S1204" s="51"/>
      <c r="T1204" s="7"/>
      <c r="U1204" s="7"/>
      <c r="V1204" s="7"/>
      <c r="W1204" s="7"/>
      <c r="X1204" s="7"/>
      <c r="Y1204" s="7"/>
      <c r="Z1204" s="7"/>
      <c r="AA1204" s="7"/>
      <c r="AB1204" s="7"/>
      <c r="AC1204" s="7"/>
      <c r="AD1204" s="7"/>
      <c r="AE1204" s="6" t="s">
        <v>12355</v>
      </c>
      <c r="AF1204" s="74"/>
      <c r="AG1204" s="7"/>
      <c r="AH1204" s="73" t="s">
        <v>21601</v>
      </c>
      <c r="AI1204" s="7"/>
      <c r="AJ1204" s="7"/>
      <c r="AK1204" s="7"/>
      <c r="AL1204" s="7"/>
      <c r="AM1204" s="6"/>
      <c r="AN1204" s="7"/>
      <c r="AO1204" s="7"/>
      <c r="AP1204" s="65">
        <v>30811.0</v>
      </c>
      <c r="AQ1204" s="6"/>
      <c r="AR1204" s="6"/>
      <c r="AS1204" s="6"/>
    </row>
    <row r="1205" ht="15.75" customHeight="1">
      <c r="A1205" s="6" t="s">
        <v>11317</v>
      </c>
      <c r="B1205" s="6" t="s">
        <v>21602</v>
      </c>
      <c r="C1205" s="7"/>
      <c r="D1205" s="7"/>
      <c r="E1205" s="7"/>
      <c r="F1205" s="7"/>
      <c r="G1205" s="7"/>
      <c r="H1205" s="7"/>
      <c r="I1205" s="7"/>
      <c r="J1205" s="7"/>
      <c r="K1205" s="7"/>
      <c r="L1205" s="7"/>
      <c r="M1205" s="6" t="s">
        <v>123</v>
      </c>
      <c r="N1205" s="7"/>
      <c r="O1205" s="6"/>
      <c r="P1205" s="42"/>
      <c r="Q1205" s="43"/>
      <c r="R1205" s="50"/>
      <c r="S1205" s="51"/>
      <c r="T1205" s="7"/>
      <c r="U1205" s="7"/>
      <c r="V1205" s="7"/>
      <c r="W1205" s="7"/>
      <c r="X1205" s="7"/>
      <c r="Y1205" s="7"/>
      <c r="Z1205" s="7"/>
      <c r="AA1205" s="7"/>
      <c r="AB1205" s="7"/>
      <c r="AC1205" s="7"/>
      <c r="AD1205" s="7"/>
      <c r="AE1205" s="6" t="s">
        <v>12355</v>
      </c>
      <c r="AF1205" s="74"/>
      <c r="AG1205" s="7"/>
      <c r="AH1205" s="73" t="s">
        <v>21603</v>
      </c>
      <c r="AI1205" s="7"/>
      <c r="AJ1205" s="7"/>
      <c r="AK1205" s="7"/>
      <c r="AL1205" s="7"/>
      <c r="AM1205" s="6"/>
      <c r="AN1205" s="7"/>
      <c r="AO1205" s="7"/>
      <c r="AP1205" s="65">
        <v>30811.0</v>
      </c>
      <c r="AQ1205" s="6"/>
      <c r="AR1205" s="6"/>
      <c r="AS1205" s="6"/>
    </row>
    <row r="1206" ht="15.75" customHeight="1">
      <c r="A1206" s="6" t="s">
        <v>11319</v>
      </c>
      <c r="B1206" s="6" t="s">
        <v>6643</v>
      </c>
      <c r="C1206" s="7"/>
      <c r="D1206" s="7"/>
      <c r="E1206" s="7"/>
      <c r="F1206" s="7"/>
      <c r="G1206" s="7"/>
      <c r="H1206" s="7"/>
      <c r="I1206" s="7"/>
      <c r="J1206" s="7"/>
      <c r="K1206" s="7"/>
      <c r="L1206" s="7"/>
      <c r="M1206" s="6" t="s">
        <v>123</v>
      </c>
      <c r="N1206" s="7"/>
      <c r="O1206" s="6" t="s">
        <v>6652</v>
      </c>
      <c r="P1206" s="42"/>
      <c r="Q1206" s="43"/>
      <c r="R1206" s="50"/>
      <c r="S1206" s="51"/>
      <c r="T1206" s="7"/>
      <c r="U1206" s="7"/>
      <c r="V1206" s="7"/>
      <c r="W1206" s="7"/>
      <c r="X1206" s="7"/>
      <c r="Y1206" s="7"/>
      <c r="Z1206" s="7"/>
      <c r="AA1206" s="7"/>
      <c r="AB1206" s="7"/>
      <c r="AC1206" s="7"/>
      <c r="AD1206" s="7"/>
      <c r="AE1206" s="6" t="s">
        <v>12355</v>
      </c>
      <c r="AF1206" s="74"/>
      <c r="AG1206" s="7"/>
      <c r="AH1206" s="73" t="s">
        <v>21604</v>
      </c>
      <c r="AI1206" s="7"/>
      <c r="AJ1206" s="7"/>
      <c r="AK1206" s="7"/>
      <c r="AL1206" s="7"/>
      <c r="AM1206" s="6"/>
      <c r="AN1206" s="7"/>
      <c r="AO1206" s="7"/>
      <c r="AP1206" s="65">
        <v>30811.0</v>
      </c>
      <c r="AQ1206" s="6"/>
      <c r="AR1206" s="6"/>
      <c r="AS1206" s="6"/>
    </row>
    <row r="1207" ht="15.75" customHeight="1">
      <c r="A1207" s="6" t="s">
        <v>11321</v>
      </c>
      <c r="B1207" s="6" t="s">
        <v>6821</v>
      </c>
      <c r="C1207" s="7"/>
      <c r="D1207" s="7"/>
      <c r="E1207" s="7"/>
      <c r="F1207" s="7"/>
      <c r="G1207" s="7"/>
      <c r="H1207" s="7"/>
      <c r="I1207" s="7"/>
      <c r="J1207" s="7"/>
      <c r="K1207" s="7"/>
      <c r="L1207" s="7"/>
      <c r="M1207" s="6" t="s">
        <v>71</v>
      </c>
      <c r="N1207" s="7"/>
      <c r="O1207" s="6" t="s">
        <v>6830</v>
      </c>
      <c r="P1207" s="42"/>
      <c r="Q1207" s="43"/>
      <c r="R1207" s="50"/>
      <c r="S1207" s="51"/>
      <c r="T1207" s="7"/>
      <c r="U1207" s="7"/>
      <c r="V1207" s="7"/>
      <c r="W1207" s="7"/>
      <c r="X1207" s="7"/>
      <c r="Y1207" s="7"/>
      <c r="Z1207" s="7"/>
      <c r="AA1207" s="7"/>
      <c r="AB1207" s="7"/>
      <c r="AC1207" s="7"/>
      <c r="AD1207" s="7"/>
      <c r="AE1207" s="6" t="s">
        <v>12355</v>
      </c>
      <c r="AF1207" s="74"/>
      <c r="AG1207" s="7"/>
      <c r="AH1207" s="73" t="s">
        <v>21605</v>
      </c>
      <c r="AI1207" s="7"/>
      <c r="AJ1207" s="7"/>
      <c r="AK1207" s="7"/>
      <c r="AL1207" s="7"/>
      <c r="AM1207" s="6"/>
      <c r="AN1207" s="7"/>
      <c r="AO1207" s="7"/>
      <c r="AP1207" s="65">
        <v>30811.0</v>
      </c>
      <c r="AQ1207" s="6"/>
      <c r="AR1207" s="6"/>
      <c r="AS1207" s="6"/>
    </row>
    <row r="1208" ht="15.75" customHeight="1">
      <c r="A1208" s="6" t="s">
        <v>11323</v>
      </c>
      <c r="B1208" s="6" t="s">
        <v>6919</v>
      </c>
      <c r="C1208" s="7"/>
      <c r="D1208" s="7"/>
      <c r="E1208" s="7"/>
      <c r="F1208" s="7"/>
      <c r="G1208" s="7"/>
      <c r="H1208" s="7"/>
      <c r="I1208" s="7"/>
      <c r="J1208" s="7"/>
      <c r="K1208" s="7"/>
      <c r="L1208" s="7"/>
      <c r="M1208" s="6" t="s">
        <v>71</v>
      </c>
      <c r="N1208" s="7"/>
      <c r="O1208" s="6" t="s">
        <v>6927</v>
      </c>
      <c r="P1208" s="42"/>
      <c r="Q1208" s="43"/>
      <c r="R1208" s="50"/>
      <c r="S1208" s="51"/>
      <c r="T1208" s="7"/>
      <c r="U1208" s="7"/>
      <c r="V1208" s="7"/>
      <c r="W1208" s="7"/>
      <c r="X1208" s="7"/>
      <c r="Y1208" s="7"/>
      <c r="Z1208" s="7"/>
      <c r="AA1208" s="7"/>
      <c r="AB1208" s="7"/>
      <c r="AC1208" s="7"/>
      <c r="AD1208" s="7"/>
      <c r="AE1208" s="6" t="s">
        <v>12355</v>
      </c>
      <c r="AF1208" s="74"/>
      <c r="AG1208" s="7"/>
      <c r="AH1208" s="73" t="s">
        <v>21606</v>
      </c>
      <c r="AI1208" s="7"/>
      <c r="AJ1208" s="7"/>
      <c r="AK1208" s="7"/>
      <c r="AL1208" s="7"/>
      <c r="AM1208" s="6"/>
      <c r="AN1208" s="7"/>
      <c r="AO1208" s="7"/>
      <c r="AP1208" s="65">
        <v>30811.0</v>
      </c>
      <c r="AQ1208" s="6"/>
      <c r="AR1208" s="6"/>
      <c r="AS1208" s="6"/>
    </row>
    <row r="1209" ht="15.75" customHeight="1">
      <c r="A1209" s="6" t="s">
        <v>21607</v>
      </c>
      <c r="B1209" s="6" t="s">
        <v>21608</v>
      </c>
      <c r="C1209" s="7"/>
      <c r="D1209" s="7"/>
      <c r="E1209" s="7"/>
      <c r="F1209" s="7"/>
      <c r="G1209" s="7"/>
      <c r="H1209" s="7"/>
      <c r="I1209" s="7"/>
      <c r="J1209" s="7"/>
      <c r="K1209" s="7"/>
      <c r="L1209" s="7"/>
      <c r="M1209" s="6" t="s">
        <v>33</v>
      </c>
      <c r="N1209" s="7"/>
      <c r="O1209" s="6" t="s">
        <v>21029</v>
      </c>
      <c r="P1209" s="42"/>
      <c r="Q1209" s="43"/>
      <c r="R1209" s="50"/>
      <c r="S1209" s="51"/>
      <c r="T1209" s="7"/>
      <c r="U1209" s="7"/>
      <c r="V1209" s="7"/>
      <c r="W1209" s="7"/>
      <c r="X1209" s="7"/>
      <c r="Y1209" s="7"/>
      <c r="Z1209" s="7"/>
      <c r="AA1209" s="7"/>
      <c r="AB1209" s="7"/>
      <c r="AC1209" s="7"/>
      <c r="AD1209" s="7"/>
      <c r="AE1209" s="6" t="s">
        <v>12355</v>
      </c>
      <c r="AF1209" s="74"/>
      <c r="AG1209" s="7"/>
      <c r="AH1209" s="73" t="s">
        <v>21609</v>
      </c>
      <c r="AI1209" s="7"/>
      <c r="AJ1209" s="7"/>
      <c r="AK1209" s="7"/>
      <c r="AL1209" s="7"/>
      <c r="AM1209" s="6"/>
      <c r="AN1209" s="7"/>
      <c r="AO1209" s="7"/>
      <c r="AP1209" s="65">
        <v>30811.0</v>
      </c>
      <c r="AQ1209" s="6"/>
      <c r="AR1209" s="6"/>
      <c r="AS1209" s="6"/>
    </row>
    <row r="1210" ht="15.75" customHeight="1">
      <c r="A1210" s="6" t="s">
        <v>11325</v>
      </c>
      <c r="B1210" s="6" t="s">
        <v>21610</v>
      </c>
      <c r="C1210" s="7"/>
      <c r="D1210" s="7"/>
      <c r="E1210" s="7"/>
      <c r="F1210" s="7"/>
      <c r="G1210" s="7"/>
      <c r="H1210" s="7"/>
      <c r="I1210" s="7"/>
      <c r="J1210" s="7"/>
      <c r="K1210" s="7"/>
      <c r="L1210" s="7"/>
      <c r="M1210" s="6" t="s">
        <v>123</v>
      </c>
      <c r="N1210" s="7"/>
      <c r="O1210" s="6"/>
      <c r="P1210" s="42"/>
      <c r="Q1210" s="43"/>
      <c r="R1210" s="50"/>
      <c r="S1210" s="51"/>
      <c r="T1210" s="7"/>
      <c r="U1210" s="7"/>
      <c r="V1210" s="7"/>
      <c r="W1210" s="7"/>
      <c r="X1210" s="7"/>
      <c r="Y1210" s="7"/>
      <c r="Z1210" s="7"/>
      <c r="AA1210" s="7"/>
      <c r="AB1210" s="7"/>
      <c r="AC1210" s="7"/>
      <c r="AD1210" s="7"/>
      <c r="AE1210" s="6" t="s">
        <v>12355</v>
      </c>
      <c r="AF1210" s="74"/>
      <c r="AG1210" s="7"/>
      <c r="AH1210" s="73" t="s">
        <v>21611</v>
      </c>
      <c r="AI1210" s="7"/>
      <c r="AJ1210" s="7"/>
      <c r="AK1210" s="7"/>
      <c r="AL1210" s="7"/>
      <c r="AM1210" s="6"/>
      <c r="AN1210" s="7"/>
      <c r="AO1210" s="7"/>
      <c r="AP1210" s="65">
        <v>30811.0</v>
      </c>
      <c r="AQ1210" s="6"/>
      <c r="AR1210" s="6"/>
      <c r="AS1210" s="6"/>
    </row>
    <row r="1211" ht="15.75" customHeight="1">
      <c r="A1211" s="6" t="s">
        <v>11327</v>
      </c>
      <c r="B1211" s="6" t="s">
        <v>7112</v>
      </c>
      <c r="C1211" s="7"/>
      <c r="D1211" s="7"/>
      <c r="E1211" s="7"/>
      <c r="F1211" s="7"/>
      <c r="G1211" s="7"/>
      <c r="H1211" s="7"/>
      <c r="I1211" s="7"/>
      <c r="J1211" s="7"/>
      <c r="K1211" s="7"/>
      <c r="L1211" s="7"/>
      <c r="M1211" s="6" t="s">
        <v>123</v>
      </c>
      <c r="N1211" s="7"/>
      <c r="O1211" s="6" t="s">
        <v>7119</v>
      </c>
      <c r="P1211" s="42"/>
      <c r="Q1211" s="43"/>
      <c r="R1211" s="50"/>
      <c r="S1211" s="51"/>
      <c r="T1211" s="7"/>
      <c r="U1211" s="7"/>
      <c r="V1211" s="7"/>
      <c r="W1211" s="7"/>
      <c r="X1211" s="7"/>
      <c r="Y1211" s="7"/>
      <c r="Z1211" s="7"/>
      <c r="AA1211" s="7"/>
      <c r="AB1211" s="7"/>
      <c r="AC1211" s="7"/>
      <c r="AD1211" s="7"/>
      <c r="AE1211" s="6" t="s">
        <v>12355</v>
      </c>
      <c r="AF1211" s="74"/>
      <c r="AG1211" s="7"/>
      <c r="AH1211" s="73" t="s">
        <v>21612</v>
      </c>
      <c r="AI1211" s="7"/>
      <c r="AJ1211" s="7"/>
      <c r="AK1211" s="7"/>
      <c r="AL1211" s="7"/>
      <c r="AM1211" s="6"/>
      <c r="AN1211" s="7"/>
      <c r="AO1211" s="7"/>
      <c r="AP1211" s="65">
        <v>30811.0</v>
      </c>
      <c r="AQ1211" s="6"/>
      <c r="AR1211" s="6"/>
      <c r="AS1211" s="6"/>
    </row>
    <row r="1212" ht="15.75" customHeight="1">
      <c r="A1212" s="6" t="s">
        <v>11329</v>
      </c>
      <c r="B1212" s="6" t="s">
        <v>21613</v>
      </c>
      <c r="C1212" s="7"/>
      <c r="D1212" s="7"/>
      <c r="E1212" s="7"/>
      <c r="F1212" s="7"/>
      <c r="G1212" s="7"/>
      <c r="H1212" s="7"/>
      <c r="I1212" s="7"/>
      <c r="J1212" s="7"/>
      <c r="K1212" s="7"/>
      <c r="L1212" s="7"/>
      <c r="M1212" s="6" t="s">
        <v>71</v>
      </c>
      <c r="N1212" s="7"/>
      <c r="O1212" s="6" t="s">
        <v>7266</v>
      </c>
      <c r="P1212" s="42"/>
      <c r="Q1212" s="43"/>
      <c r="R1212" s="50"/>
      <c r="S1212" s="51"/>
      <c r="T1212" s="7"/>
      <c r="U1212" s="7"/>
      <c r="V1212" s="7"/>
      <c r="W1212" s="7"/>
      <c r="X1212" s="7"/>
      <c r="Y1212" s="7"/>
      <c r="Z1212" s="7"/>
      <c r="AA1212" s="7"/>
      <c r="AB1212" s="7"/>
      <c r="AC1212" s="7"/>
      <c r="AD1212" s="7"/>
      <c r="AE1212" s="6" t="s">
        <v>12355</v>
      </c>
      <c r="AF1212" s="74"/>
      <c r="AG1212" s="7"/>
      <c r="AH1212" s="73" t="s">
        <v>21614</v>
      </c>
      <c r="AI1212" s="7"/>
      <c r="AJ1212" s="7"/>
      <c r="AK1212" s="7"/>
      <c r="AL1212" s="7"/>
      <c r="AM1212" s="6"/>
      <c r="AN1212" s="7"/>
      <c r="AO1212" s="7"/>
      <c r="AP1212" s="65">
        <v>30811.0</v>
      </c>
      <c r="AQ1212" s="6"/>
      <c r="AR1212" s="6"/>
      <c r="AS1212" s="6"/>
    </row>
    <row r="1213" ht="15.75" customHeight="1">
      <c r="A1213" s="6" t="s">
        <v>11331</v>
      </c>
      <c r="B1213" s="6" t="s">
        <v>21615</v>
      </c>
      <c r="C1213" s="7"/>
      <c r="D1213" s="7"/>
      <c r="E1213" s="7"/>
      <c r="F1213" s="7"/>
      <c r="G1213" s="7"/>
      <c r="H1213" s="7"/>
      <c r="I1213" s="7"/>
      <c r="J1213" s="7"/>
      <c r="K1213" s="7"/>
      <c r="L1213" s="7"/>
      <c r="M1213" s="6" t="s">
        <v>33</v>
      </c>
      <c r="N1213" s="7"/>
      <c r="O1213" s="6" t="s">
        <v>7276</v>
      </c>
      <c r="P1213" s="42"/>
      <c r="Q1213" s="43"/>
      <c r="R1213" s="50"/>
      <c r="S1213" s="51"/>
      <c r="T1213" s="7"/>
      <c r="U1213" s="7"/>
      <c r="V1213" s="7"/>
      <c r="W1213" s="7"/>
      <c r="X1213" s="7"/>
      <c r="Y1213" s="7"/>
      <c r="Z1213" s="7"/>
      <c r="AA1213" s="7"/>
      <c r="AB1213" s="7"/>
      <c r="AC1213" s="7"/>
      <c r="AD1213" s="7"/>
      <c r="AE1213" s="6" t="s">
        <v>12355</v>
      </c>
      <c r="AF1213" s="74"/>
      <c r="AG1213" s="7"/>
      <c r="AH1213" s="73" t="s">
        <v>21616</v>
      </c>
      <c r="AI1213" s="7"/>
      <c r="AJ1213" s="7"/>
      <c r="AK1213" s="7"/>
      <c r="AL1213" s="7"/>
      <c r="AM1213" s="6"/>
      <c r="AN1213" s="7"/>
      <c r="AO1213" s="7"/>
      <c r="AP1213" s="65">
        <v>30811.0</v>
      </c>
      <c r="AQ1213" s="6"/>
      <c r="AR1213" s="6"/>
      <c r="AS1213" s="6"/>
    </row>
    <row r="1214" ht="15.75" customHeight="1">
      <c r="A1214" s="6" t="s">
        <v>11333</v>
      </c>
      <c r="B1214" s="6" t="s">
        <v>21168</v>
      </c>
      <c r="C1214" s="7"/>
      <c r="D1214" s="7"/>
      <c r="E1214" s="7"/>
      <c r="F1214" s="7"/>
      <c r="G1214" s="7"/>
      <c r="H1214" s="7"/>
      <c r="I1214" s="7"/>
      <c r="J1214" s="7"/>
      <c r="K1214" s="7"/>
      <c r="L1214" s="7"/>
      <c r="M1214" s="6" t="s">
        <v>71</v>
      </c>
      <c r="N1214" s="7"/>
      <c r="O1214" s="6" t="s">
        <v>7285</v>
      </c>
      <c r="P1214" s="42"/>
      <c r="Q1214" s="43"/>
      <c r="R1214" s="50"/>
      <c r="S1214" s="51"/>
      <c r="T1214" s="7"/>
      <c r="U1214" s="7"/>
      <c r="V1214" s="7"/>
      <c r="W1214" s="7"/>
      <c r="X1214" s="7"/>
      <c r="Y1214" s="7"/>
      <c r="Z1214" s="7"/>
      <c r="AA1214" s="7"/>
      <c r="AB1214" s="7"/>
      <c r="AC1214" s="7"/>
      <c r="AD1214" s="7"/>
      <c r="AE1214" s="6" t="s">
        <v>12355</v>
      </c>
      <c r="AF1214" s="74"/>
      <c r="AG1214" s="7"/>
      <c r="AH1214" s="73" t="s">
        <v>21617</v>
      </c>
      <c r="AI1214" s="7"/>
      <c r="AJ1214" s="7"/>
      <c r="AK1214" s="7"/>
      <c r="AL1214" s="7"/>
      <c r="AM1214" s="6"/>
      <c r="AN1214" s="7"/>
      <c r="AO1214" s="7"/>
      <c r="AP1214" s="65">
        <v>30811.0</v>
      </c>
      <c r="AQ1214" s="6"/>
      <c r="AR1214" s="6"/>
      <c r="AS1214" s="6"/>
    </row>
    <row r="1215" ht="15.75" customHeight="1">
      <c r="A1215" s="6" t="s">
        <v>11335</v>
      </c>
      <c r="B1215" s="6" t="s">
        <v>21618</v>
      </c>
      <c r="C1215" s="7"/>
      <c r="D1215" s="7"/>
      <c r="E1215" s="7"/>
      <c r="F1215" s="7"/>
      <c r="G1215" s="7"/>
      <c r="H1215" s="7"/>
      <c r="I1215" s="7"/>
      <c r="J1215" s="7"/>
      <c r="K1215" s="7"/>
      <c r="L1215" s="7"/>
      <c r="M1215" s="6" t="s">
        <v>123</v>
      </c>
      <c r="N1215" s="7"/>
      <c r="O1215" s="6"/>
      <c r="P1215" s="42"/>
      <c r="Q1215" s="43"/>
      <c r="R1215" s="50"/>
      <c r="S1215" s="51"/>
      <c r="T1215" s="7"/>
      <c r="U1215" s="7"/>
      <c r="V1215" s="7"/>
      <c r="W1215" s="7"/>
      <c r="X1215" s="7"/>
      <c r="Y1215" s="7"/>
      <c r="Z1215" s="7"/>
      <c r="AA1215" s="7"/>
      <c r="AB1215" s="7"/>
      <c r="AC1215" s="7"/>
      <c r="AD1215" s="7"/>
      <c r="AE1215" s="6" t="s">
        <v>12355</v>
      </c>
      <c r="AF1215" s="74"/>
      <c r="AG1215" s="7"/>
      <c r="AH1215" s="73" t="s">
        <v>21619</v>
      </c>
      <c r="AI1215" s="7"/>
      <c r="AJ1215" s="7"/>
      <c r="AK1215" s="7"/>
      <c r="AL1215" s="7"/>
      <c r="AM1215" s="6"/>
      <c r="AN1215" s="7"/>
      <c r="AO1215" s="7"/>
      <c r="AP1215" s="65">
        <v>30811.0</v>
      </c>
      <c r="AQ1215" s="6"/>
      <c r="AR1215" s="6"/>
      <c r="AS1215" s="6"/>
    </row>
    <row r="1216" ht="15.75" customHeight="1">
      <c r="A1216" s="6" t="s">
        <v>11337</v>
      </c>
      <c r="B1216" s="6" t="s">
        <v>7290</v>
      </c>
      <c r="C1216" s="7"/>
      <c r="D1216" s="7"/>
      <c r="E1216" s="7"/>
      <c r="F1216" s="7"/>
      <c r="G1216" s="7"/>
      <c r="H1216" s="7"/>
      <c r="I1216" s="7"/>
      <c r="J1216" s="7"/>
      <c r="K1216" s="7"/>
      <c r="L1216" s="7"/>
      <c r="M1216" s="6" t="s">
        <v>123</v>
      </c>
      <c r="N1216" s="7"/>
      <c r="O1216" s="6" t="s">
        <v>7296</v>
      </c>
      <c r="P1216" s="42"/>
      <c r="Q1216" s="43"/>
      <c r="R1216" s="50"/>
      <c r="S1216" s="51"/>
      <c r="T1216" s="7"/>
      <c r="U1216" s="7"/>
      <c r="V1216" s="7"/>
      <c r="W1216" s="7"/>
      <c r="X1216" s="7"/>
      <c r="Y1216" s="7"/>
      <c r="Z1216" s="7"/>
      <c r="AA1216" s="7"/>
      <c r="AB1216" s="7"/>
      <c r="AC1216" s="7"/>
      <c r="AD1216" s="7"/>
      <c r="AE1216" s="6" t="s">
        <v>12355</v>
      </c>
      <c r="AF1216" s="74"/>
      <c r="AG1216" s="7"/>
      <c r="AH1216" s="73" t="s">
        <v>21620</v>
      </c>
      <c r="AI1216" s="7"/>
      <c r="AJ1216" s="7"/>
      <c r="AK1216" s="7"/>
      <c r="AL1216" s="7"/>
      <c r="AM1216" s="6"/>
      <c r="AN1216" s="7"/>
      <c r="AO1216" s="7"/>
      <c r="AP1216" s="65">
        <v>30811.0</v>
      </c>
      <c r="AQ1216" s="6"/>
      <c r="AR1216" s="6"/>
      <c r="AS1216" s="6"/>
    </row>
    <row r="1217" ht="15.75" customHeight="1">
      <c r="A1217" s="6" t="s">
        <v>11339</v>
      </c>
      <c r="B1217" s="6" t="s">
        <v>7460</v>
      </c>
      <c r="C1217" s="7"/>
      <c r="D1217" s="7"/>
      <c r="E1217" s="7"/>
      <c r="F1217" s="7"/>
      <c r="G1217" s="7"/>
      <c r="H1217" s="7"/>
      <c r="I1217" s="7"/>
      <c r="J1217" s="7"/>
      <c r="K1217" s="7"/>
      <c r="L1217" s="7"/>
      <c r="M1217" s="6" t="s">
        <v>71</v>
      </c>
      <c r="N1217" s="7"/>
      <c r="O1217" s="6" t="s">
        <v>7466</v>
      </c>
      <c r="P1217" s="42"/>
      <c r="Q1217" s="43"/>
      <c r="R1217" s="50"/>
      <c r="S1217" s="51"/>
      <c r="T1217" s="7"/>
      <c r="U1217" s="7"/>
      <c r="V1217" s="7"/>
      <c r="W1217" s="7"/>
      <c r="X1217" s="7"/>
      <c r="Y1217" s="7"/>
      <c r="Z1217" s="7"/>
      <c r="AA1217" s="7"/>
      <c r="AB1217" s="7"/>
      <c r="AC1217" s="7"/>
      <c r="AD1217" s="7"/>
      <c r="AE1217" s="6" t="s">
        <v>12355</v>
      </c>
      <c r="AF1217" s="74"/>
      <c r="AG1217" s="7"/>
      <c r="AH1217" s="73" t="s">
        <v>21621</v>
      </c>
      <c r="AI1217" s="7"/>
      <c r="AJ1217" s="7"/>
      <c r="AK1217" s="7"/>
      <c r="AL1217" s="7"/>
      <c r="AM1217" s="6"/>
      <c r="AN1217" s="7"/>
      <c r="AO1217" s="7"/>
      <c r="AP1217" s="65">
        <v>30811.0</v>
      </c>
      <c r="AQ1217" s="6"/>
      <c r="AR1217" s="6"/>
      <c r="AS1217" s="6"/>
    </row>
    <row r="1218" ht="15.75" customHeight="1">
      <c r="A1218" s="6" t="s">
        <v>11341</v>
      </c>
      <c r="B1218" s="6" t="s">
        <v>21622</v>
      </c>
      <c r="C1218" s="7"/>
      <c r="D1218" s="7"/>
      <c r="E1218" s="7"/>
      <c r="F1218" s="7"/>
      <c r="G1218" s="7"/>
      <c r="H1218" s="7"/>
      <c r="I1218" s="7"/>
      <c r="J1218" s="7"/>
      <c r="K1218" s="7"/>
      <c r="L1218" s="7"/>
      <c r="M1218" s="6" t="s">
        <v>123</v>
      </c>
      <c r="N1218" s="7"/>
      <c r="O1218" s="6"/>
      <c r="P1218" s="42"/>
      <c r="Q1218" s="43"/>
      <c r="R1218" s="50"/>
      <c r="S1218" s="51"/>
      <c r="T1218" s="7"/>
      <c r="U1218" s="7"/>
      <c r="V1218" s="7"/>
      <c r="W1218" s="7"/>
      <c r="X1218" s="7"/>
      <c r="Y1218" s="7"/>
      <c r="Z1218" s="7"/>
      <c r="AA1218" s="7"/>
      <c r="AB1218" s="7"/>
      <c r="AC1218" s="7"/>
      <c r="AD1218" s="7"/>
      <c r="AE1218" s="6" t="s">
        <v>12355</v>
      </c>
      <c r="AF1218" s="74"/>
      <c r="AG1218" s="7"/>
      <c r="AH1218" s="73" t="s">
        <v>21623</v>
      </c>
      <c r="AI1218" s="7"/>
      <c r="AJ1218" s="7"/>
      <c r="AK1218" s="7"/>
      <c r="AL1218" s="7"/>
      <c r="AM1218" s="6"/>
      <c r="AN1218" s="7"/>
      <c r="AO1218" s="7"/>
      <c r="AP1218" s="65">
        <v>30811.0</v>
      </c>
      <c r="AQ1218" s="6"/>
      <c r="AR1218" s="6"/>
      <c r="AS1218" s="6"/>
    </row>
    <row r="1219" ht="15.75" customHeight="1">
      <c r="A1219" s="6" t="s">
        <v>11343</v>
      </c>
      <c r="B1219" s="6" t="s">
        <v>7505</v>
      </c>
      <c r="C1219" s="7"/>
      <c r="D1219" s="7"/>
      <c r="E1219" s="7"/>
      <c r="F1219" s="7"/>
      <c r="G1219" s="7"/>
      <c r="H1219" s="7"/>
      <c r="I1219" s="7"/>
      <c r="J1219" s="7"/>
      <c r="K1219" s="7"/>
      <c r="L1219" s="7"/>
      <c r="M1219" s="6" t="s">
        <v>123</v>
      </c>
      <c r="N1219" s="7"/>
      <c r="O1219" s="6" t="s">
        <v>7509</v>
      </c>
      <c r="P1219" s="42"/>
      <c r="Q1219" s="43"/>
      <c r="R1219" s="50"/>
      <c r="S1219" s="51"/>
      <c r="T1219" s="7"/>
      <c r="U1219" s="7"/>
      <c r="V1219" s="7"/>
      <c r="W1219" s="7"/>
      <c r="X1219" s="7"/>
      <c r="Y1219" s="7"/>
      <c r="Z1219" s="7"/>
      <c r="AA1219" s="7"/>
      <c r="AB1219" s="7"/>
      <c r="AC1219" s="7"/>
      <c r="AD1219" s="7"/>
      <c r="AE1219" s="6" t="s">
        <v>12355</v>
      </c>
      <c r="AF1219" s="74"/>
      <c r="AG1219" s="7"/>
      <c r="AH1219" s="73" t="s">
        <v>21624</v>
      </c>
      <c r="AI1219" s="7"/>
      <c r="AJ1219" s="7"/>
      <c r="AK1219" s="7"/>
      <c r="AL1219" s="7"/>
      <c r="AM1219" s="6"/>
      <c r="AN1219" s="7"/>
      <c r="AO1219" s="7"/>
      <c r="AP1219" s="65">
        <v>30811.0</v>
      </c>
      <c r="AQ1219" s="6"/>
      <c r="AR1219" s="6"/>
      <c r="AS1219" s="6"/>
    </row>
    <row r="1220" ht="15.75" customHeight="1">
      <c r="A1220" s="6" t="s">
        <v>11345</v>
      </c>
      <c r="B1220" s="6" t="s">
        <v>7652</v>
      </c>
      <c r="C1220" s="7"/>
      <c r="D1220" s="7"/>
      <c r="E1220" s="7"/>
      <c r="F1220" s="7"/>
      <c r="G1220" s="7"/>
      <c r="H1220" s="7"/>
      <c r="I1220" s="7"/>
      <c r="J1220" s="7"/>
      <c r="K1220" s="7"/>
      <c r="L1220" s="7"/>
      <c r="M1220" s="6" t="s">
        <v>71</v>
      </c>
      <c r="N1220" s="7"/>
      <c r="O1220" s="6" t="s">
        <v>7661</v>
      </c>
      <c r="P1220" s="42"/>
      <c r="Q1220" s="43"/>
      <c r="R1220" s="50"/>
      <c r="S1220" s="51"/>
      <c r="T1220" s="7"/>
      <c r="U1220" s="7"/>
      <c r="V1220" s="7"/>
      <c r="W1220" s="7"/>
      <c r="X1220" s="7"/>
      <c r="Y1220" s="7"/>
      <c r="Z1220" s="7"/>
      <c r="AA1220" s="7"/>
      <c r="AB1220" s="7"/>
      <c r="AC1220" s="7"/>
      <c r="AD1220" s="7"/>
      <c r="AE1220" s="6" t="s">
        <v>12355</v>
      </c>
      <c r="AF1220" s="74"/>
      <c r="AG1220" s="7"/>
      <c r="AH1220" s="73" t="s">
        <v>21625</v>
      </c>
      <c r="AI1220" s="7"/>
      <c r="AJ1220" s="7"/>
      <c r="AK1220" s="7"/>
      <c r="AL1220" s="7"/>
      <c r="AM1220" s="6"/>
      <c r="AN1220" s="7"/>
      <c r="AO1220" s="7"/>
      <c r="AP1220" s="65">
        <v>30811.0</v>
      </c>
      <c r="AQ1220" s="6"/>
      <c r="AR1220" s="6"/>
      <c r="AS1220" s="6"/>
    </row>
    <row r="1221" ht="15.75" customHeight="1">
      <c r="A1221" s="6" t="s">
        <v>11347</v>
      </c>
      <c r="B1221" s="6" t="s">
        <v>7749</v>
      </c>
      <c r="C1221" s="7"/>
      <c r="D1221" s="7"/>
      <c r="E1221" s="7"/>
      <c r="F1221" s="7"/>
      <c r="G1221" s="7"/>
      <c r="H1221" s="7"/>
      <c r="I1221" s="7"/>
      <c r="J1221" s="7"/>
      <c r="K1221" s="7"/>
      <c r="L1221" s="7"/>
      <c r="M1221" s="6" t="s">
        <v>33</v>
      </c>
      <c r="N1221" s="7"/>
      <c r="O1221" s="6" t="s">
        <v>7757</v>
      </c>
      <c r="P1221" s="42"/>
      <c r="Q1221" s="43"/>
      <c r="R1221" s="50"/>
      <c r="S1221" s="51"/>
      <c r="T1221" s="7"/>
      <c r="U1221" s="7"/>
      <c r="V1221" s="7"/>
      <c r="W1221" s="7"/>
      <c r="X1221" s="7"/>
      <c r="Y1221" s="7"/>
      <c r="Z1221" s="7"/>
      <c r="AA1221" s="7"/>
      <c r="AB1221" s="7"/>
      <c r="AC1221" s="7"/>
      <c r="AD1221" s="7"/>
      <c r="AE1221" s="6" t="s">
        <v>12355</v>
      </c>
      <c r="AF1221" s="74"/>
      <c r="AG1221" s="7"/>
      <c r="AH1221" s="73" t="s">
        <v>21626</v>
      </c>
      <c r="AI1221" s="7"/>
      <c r="AJ1221" s="7"/>
      <c r="AK1221" s="7"/>
      <c r="AL1221" s="7"/>
      <c r="AM1221" s="6"/>
      <c r="AN1221" s="7"/>
      <c r="AO1221" s="7"/>
      <c r="AP1221" s="65">
        <v>30811.0</v>
      </c>
      <c r="AQ1221" s="6"/>
      <c r="AR1221" s="6"/>
      <c r="AS1221" s="6"/>
    </row>
    <row r="1222" ht="15.75" customHeight="1">
      <c r="A1222" s="6" t="s">
        <v>11349</v>
      </c>
      <c r="B1222" s="6" t="s">
        <v>7862</v>
      </c>
      <c r="C1222" s="7"/>
      <c r="D1222" s="7"/>
      <c r="E1222" s="7"/>
      <c r="F1222" s="7"/>
      <c r="G1222" s="7"/>
      <c r="H1222" s="7"/>
      <c r="I1222" s="7"/>
      <c r="J1222" s="7"/>
      <c r="K1222" s="7"/>
      <c r="L1222" s="7"/>
      <c r="M1222" s="6" t="s">
        <v>123</v>
      </c>
      <c r="N1222" s="7"/>
      <c r="O1222" s="6" t="s">
        <v>970</v>
      </c>
      <c r="P1222" s="42"/>
      <c r="Q1222" s="43"/>
      <c r="R1222" s="50"/>
      <c r="S1222" s="51"/>
      <c r="T1222" s="7"/>
      <c r="U1222" s="7"/>
      <c r="V1222" s="7"/>
      <c r="W1222" s="7"/>
      <c r="X1222" s="7"/>
      <c r="Y1222" s="7"/>
      <c r="Z1222" s="7"/>
      <c r="AA1222" s="7"/>
      <c r="AB1222" s="7"/>
      <c r="AC1222" s="7"/>
      <c r="AD1222" s="7"/>
      <c r="AE1222" s="6" t="s">
        <v>12355</v>
      </c>
      <c r="AF1222" s="74"/>
      <c r="AG1222" s="7"/>
      <c r="AH1222" s="73" t="s">
        <v>21627</v>
      </c>
      <c r="AI1222" s="7"/>
      <c r="AJ1222" s="7"/>
      <c r="AK1222" s="7"/>
      <c r="AL1222" s="7"/>
      <c r="AM1222" s="6"/>
      <c r="AN1222" s="7"/>
      <c r="AO1222" s="7"/>
      <c r="AP1222" s="65">
        <v>30811.0</v>
      </c>
      <c r="AQ1222" s="6"/>
      <c r="AR1222" s="6"/>
      <c r="AS1222" s="6"/>
    </row>
    <row r="1223" ht="15.75" customHeight="1">
      <c r="A1223" s="6" t="s">
        <v>11351</v>
      </c>
      <c r="B1223" s="6" t="s">
        <v>21628</v>
      </c>
      <c r="C1223" s="7"/>
      <c r="D1223" s="7"/>
      <c r="E1223" s="7"/>
      <c r="F1223" s="7"/>
      <c r="G1223" s="7"/>
      <c r="H1223" s="7"/>
      <c r="I1223" s="7"/>
      <c r="J1223" s="7"/>
      <c r="K1223" s="7"/>
      <c r="L1223" s="7"/>
      <c r="M1223" s="6" t="s">
        <v>123</v>
      </c>
      <c r="N1223" s="7"/>
      <c r="O1223" s="6" t="s">
        <v>7952</v>
      </c>
      <c r="P1223" s="42"/>
      <c r="Q1223" s="43"/>
      <c r="R1223" s="50"/>
      <c r="S1223" s="51"/>
      <c r="T1223" s="7"/>
      <c r="U1223" s="7"/>
      <c r="V1223" s="7"/>
      <c r="W1223" s="7"/>
      <c r="X1223" s="7"/>
      <c r="Y1223" s="7"/>
      <c r="Z1223" s="7"/>
      <c r="AA1223" s="7"/>
      <c r="AB1223" s="7"/>
      <c r="AC1223" s="7"/>
      <c r="AD1223" s="7"/>
      <c r="AE1223" s="6" t="s">
        <v>12355</v>
      </c>
      <c r="AF1223" s="74"/>
      <c r="AG1223" s="7"/>
      <c r="AH1223" s="73" t="s">
        <v>21629</v>
      </c>
      <c r="AI1223" s="7"/>
      <c r="AJ1223" s="7"/>
      <c r="AK1223" s="7"/>
      <c r="AL1223" s="7"/>
      <c r="AM1223" s="6"/>
      <c r="AN1223" s="7"/>
      <c r="AO1223" s="7"/>
      <c r="AP1223" s="65">
        <v>30811.0</v>
      </c>
      <c r="AQ1223" s="6"/>
      <c r="AR1223" s="6"/>
      <c r="AS1223" s="6"/>
    </row>
    <row r="1224" ht="15.75" customHeight="1">
      <c r="A1224" s="6" t="s">
        <v>11353</v>
      </c>
      <c r="B1224" s="6" t="s">
        <v>21630</v>
      </c>
      <c r="C1224" s="7"/>
      <c r="D1224" s="7"/>
      <c r="E1224" s="7"/>
      <c r="F1224" s="7"/>
      <c r="G1224" s="7"/>
      <c r="H1224" s="7"/>
      <c r="I1224" s="7"/>
      <c r="J1224" s="7"/>
      <c r="K1224" s="7"/>
      <c r="L1224" s="7"/>
      <c r="M1224" s="6" t="s">
        <v>123</v>
      </c>
      <c r="N1224" s="7"/>
      <c r="O1224" s="6"/>
      <c r="P1224" s="42"/>
      <c r="Q1224" s="43"/>
      <c r="R1224" s="50"/>
      <c r="S1224" s="51"/>
      <c r="T1224" s="7"/>
      <c r="U1224" s="7"/>
      <c r="V1224" s="7"/>
      <c r="W1224" s="7"/>
      <c r="X1224" s="7"/>
      <c r="Y1224" s="7"/>
      <c r="Z1224" s="7"/>
      <c r="AA1224" s="7"/>
      <c r="AB1224" s="7"/>
      <c r="AC1224" s="7"/>
      <c r="AD1224" s="7"/>
      <c r="AE1224" s="6" t="s">
        <v>12355</v>
      </c>
      <c r="AF1224" s="74"/>
      <c r="AG1224" s="7"/>
      <c r="AH1224" s="73" t="s">
        <v>21631</v>
      </c>
      <c r="AI1224" s="7"/>
      <c r="AJ1224" s="7"/>
      <c r="AK1224" s="7"/>
      <c r="AL1224" s="7"/>
      <c r="AM1224" s="6"/>
      <c r="AN1224" s="7"/>
      <c r="AO1224" s="7"/>
      <c r="AP1224" s="65">
        <v>30811.0</v>
      </c>
      <c r="AQ1224" s="6"/>
      <c r="AR1224" s="6"/>
      <c r="AS1224" s="6"/>
    </row>
    <row r="1225" ht="15.75" customHeight="1">
      <c r="A1225" s="7"/>
      <c r="B1225" s="7"/>
      <c r="C1225" s="7"/>
      <c r="D1225" s="7"/>
      <c r="E1225" s="7"/>
      <c r="F1225" s="7"/>
      <c r="G1225" s="7"/>
      <c r="H1225" s="7"/>
      <c r="I1225" s="7"/>
      <c r="J1225" s="7"/>
      <c r="K1225" s="7"/>
      <c r="L1225" s="7"/>
      <c r="M1225" s="6"/>
      <c r="N1225" s="7"/>
      <c r="O1225" s="7"/>
      <c r="P1225" s="42"/>
      <c r="Q1225" s="50"/>
      <c r="R1225" s="50"/>
      <c r="S1225" s="51"/>
      <c r="T1225" s="7"/>
      <c r="U1225" s="7"/>
      <c r="V1225" s="7"/>
      <c r="W1225" s="6"/>
      <c r="X1225" s="7"/>
      <c r="Y1225" s="7"/>
      <c r="Z1225" s="7"/>
      <c r="AA1225" s="7"/>
      <c r="AB1225" s="7"/>
      <c r="AC1225" s="7"/>
      <c r="AD1225" s="7"/>
      <c r="AE1225" s="6"/>
      <c r="AF1225" s="74"/>
      <c r="AG1225" s="7"/>
      <c r="AH1225" s="46"/>
      <c r="AI1225" s="7"/>
      <c r="AJ1225" s="7"/>
      <c r="AK1225" s="7"/>
      <c r="AL1225" s="7"/>
      <c r="AM1225" s="7"/>
      <c r="AN1225" s="6"/>
      <c r="AO1225" s="7"/>
      <c r="AP1225" s="7"/>
      <c r="AQ1225" s="6"/>
      <c r="AR1225" s="6"/>
      <c r="AS1225" s="6"/>
    </row>
    <row r="1226" ht="15.75" customHeight="1">
      <c r="A1226" s="7" t="s">
        <v>10130</v>
      </c>
      <c r="B1226" s="7" t="s">
        <v>10131</v>
      </c>
      <c r="C1226" s="7" t="s">
        <v>58</v>
      </c>
      <c r="D1226" s="7" t="s">
        <v>453</v>
      </c>
      <c r="E1226" s="7" t="s">
        <v>454</v>
      </c>
      <c r="F1226" s="7">
        <v>6.0</v>
      </c>
      <c r="G1226" s="7"/>
      <c r="H1226" s="7"/>
      <c r="I1226" s="7"/>
      <c r="J1226" s="7">
        <v>1.0</v>
      </c>
      <c r="K1226" s="7" t="s">
        <v>21632</v>
      </c>
      <c r="L1226" s="7">
        <v>97414.0</v>
      </c>
      <c r="M1226" s="7" t="s">
        <v>40</v>
      </c>
      <c r="N1226" s="7"/>
      <c r="O1226" s="6" t="s">
        <v>21633</v>
      </c>
      <c r="P1226" s="42" t="s">
        <v>10134</v>
      </c>
      <c r="Q1226" s="43" t="s">
        <v>19409</v>
      </c>
      <c r="R1226" s="50" t="s">
        <v>12350</v>
      </c>
      <c r="S1226" s="47" t="s">
        <v>10133</v>
      </c>
      <c r="T1226" s="6" t="s">
        <v>21634</v>
      </c>
      <c r="U1226" s="6" t="s">
        <v>21635</v>
      </c>
      <c r="V1226" s="6" t="s">
        <v>21636</v>
      </c>
      <c r="W1226" s="6" t="s">
        <v>21637</v>
      </c>
      <c r="X1226" s="6" t="s">
        <v>21638</v>
      </c>
      <c r="Y1226" s="6" t="s">
        <v>377</v>
      </c>
      <c r="Z1226" s="6" t="s">
        <v>592</v>
      </c>
      <c r="AA1226" s="7"/>
      <c r="AB1226" s="7"/>
      <c r="AC1226" s="6">
        <v>4.50613286E8</v>
      </c>
      <c r="AD1226" s="6">
        <v>4.50613286E8</v>
      </c>
      <c r="AE1226" s="6" t="s">
        <v>401</v>
      </c>
      <c r="AF1226" s="74"/>
      <c r="AG1226" s="7" t="s">
        <v>19416</v>
      </c>
      <c r="AH1226" s="46" t="s">
        <v>21639</v>
      </c>
      <c r="AI1226" s="7"/>
      <c r="AJ1226" s="6" t="s">
        <v>21640</v>
      </c>
      <c r="AK1226" s="7" t="b">
        <v>0</v>
      </c>
      <c r="AL1226" s="7" t="b">
        <v>0</v>
      </c>
      <c r="AM1226" s="6" t="s">
        <v>21641</v>
      </c>
      <c r="AN1226" s="6" t="s">
        <v>10130</v>
      </c>
      <c r="AO1226" s="7"/>
      <c r="AP1226" s="7"/>
      <c r="AQ1226" s="6" t="b">
        <v>0</v>
      </c>
      <c r="AR1226" s="6" t="s">
        <v>21642</v>
      </c>
      <c r="AS1226" s="48" t="s">
        <v>12303</v>
      </c>
    </row>
    <row r="1227" ht="15.75" customHeight="1">
      <c r="A1227" s="7" t="s">
        <v>10151</v>
      </c>
      <c r="B1227" s="7" t="s">
        <v>10152</v>
      </c>
      <c r="C1227" s="7" t="s">
        <v>58</v>
      </c>
      <c r="D1227" s="7" t="s">
        <v>59</v>
      </c>
      <c r="E1227" s="7" t="s">
        <v>346</v>
      </c>
      <c r="F1227" s="7">
        <v>10.0</v>
      </c>
      <c r="G1227" s="7"/>
      <c r="H1227" s="7"/>
      <c r="I1227" s="7"/>
      <c r="J1227" s="7">
        <v>15.0</v>
      </c>
      <c r="K1227" s="7" t="s">
        <v>21643</v>
      </c>
      <c r="L1227" s="7">
        <v>97414.0</v>
      </c>
      <c r="M1227" s="7" t="s">
        <v>40</v>
      </c>
      <c r="N1227" s="7"/>
      <c r="O1227" s="7" t="s">
        <v>10158</v>
      </c>
      <c r="P1227" s="42" t="s">
        <v>10154</v>
      </c>
      <c r="Q1227" s="43" t="s">
        <v>21644</v>
      </c>
      <c r="R1227" s="50" t="s">
        <v>12350</v>
      </c>
      <c r="S1227" s="51"/>
      <c r="T1227" s="7"/>
      <c r="U1227" s="7"/>
      <c r="V1227" s="7"/>
      <c r="W1227" s="7"/>
      <c r="X1227" s="7"/>
      <c r="Y1227" s="7"/>
      <c r="Z1227" s="7"/>
      <c r="AA1227" s="7"/>
      <c r="AB1227" s="7"/>
      <c r="AC1227" s="7"/>
      <c r="AD1227" s="7"/>
      <c r="AE1227" s="6" t="s">
        <v>12355</v>
      </c>
      <c r="AF1227" s="74"/>
      <c r="AG1227" s="7" t="s">
        <v>21645</v>
      </c>
      <c r="AH1227" s="46" t="s">
        <v>21646</v>
      </c>
      <c r="AI1227" s="7"/>
      <c r="AJ1227" s="7"/>
      <c r="AK1227" s="7" t="b">
        <v>0</v>
      </c>
      <c r="AL1227" s="7" t="b">
        <v>0</v>
      </c>
      <c r="AM1227" s="6" t="s">
        <v>21647</v>
      </c>
      <c r="AN1227" s="6" t="s">
        <v>10151</v>
      </c>
      <c r="AO1227" s="7"/>
      <c r="AP1227" s="7"/>
      <c r="AQ1227" s="6" t="b">
        <v>0</v>
      </c>
      <c r="AR1227" s="6"/>
      <c r="AS1227" s="48" t="s">
        <v>12303</v>
      </c>
    </row>
    <row r="1228" ht="15.75" customHeight="1">
      <c r="P1228" s="53"/>
      <c r="Q1228" s="43"/>
      <c r="R1228" s="50"/>
      <c r="S1228" s="54"/>
      <c r="AF1228" s="60"/>
      <c r="AP1228" s="61"/>
    </row>
    <row r="1229" ht="15.75" customHeight="1">
      <c r="A1229" s="7" t="s">
        <v>8621</v>
      </c>
      <c r="B1229" s="7" t="s">
        <v>8622</v>
      </c>
      <c r="C1229" s="7" t="s">
        <v>58</v>
      </c>
      <c r="D1229" s="7" t="s">
        <v>59</v>
      </c>
      <c r="E1229" s="7" t="s">
        <v>374</v>
      </c>
      <c r="F1229" s="7">
        <v>2.0</v>
      </c>
      <c r="G1229" s="7" t="s">
        <v>375</v>
      </c>
      <c r="H1229" s="7"/>
      <c r="I1229" s="7"/>
      <c r="J1229" s="41" t="s">
        <v>21648</v>
      </c>
      <c r="K1229" s="7" t="s">
        <v>12940</v>
      </c>
      <c r="L1229" s="7">
        <v>97480.0</v>
      </c>
      <c r="M1229" s="7" t="s">
        <v>123</v>
      </c>
      <c r="N1229" s="7" t="s">
        <v>206</v>
      </c>
      <c r="O1229" s="6" t="s">
        <v>21649</v>
      </c>
      <c r="P1229" s="42" t="s">
        <v>8628</v>
      </c>
      <c r="Q1229" s="43" t="s">
        <v>21650</v>
      </c>
      <c r="R1229" s="50"/>
      <c r="S1229" s="47" t="s">
        <v>8624</v>
      </c>
      <c r="T1229" s="7" t="s">
        <v>8629</v>
      </c>
      <c r="U1229" s="6" t="s">
        <v>21651</v>
      </c>
      <c r="V1229" s="6" t="s">
        <v>21652</v>
      </c>
      <c r="W1229" s="7" t="s">
        <v>8626</v>
      </c>
      <c r="X1229" s="7" t="s">
        <v>8613</v>
      </c>
      <c r="Y1229" s="7" t="s">
        <v>377</v>
      </c>
      <c r="Z1229" s="6" t="s">
        <v>19609</v>
      </c>
      <c r="AA1229" s="7" t="s">
        <v>3806</v>
      </c>
      <c r="AB1229" s="7" t="s">
        <v>1590</v>
      </c>
      <c r="AC1229" s="7">
        <v>8.4105402600015E13</v>
      </c>
      <c r="AD1229" s="7">
        <v>8.41054026E8</v>
      </c>
      <c r="AE1229" s="6" t="s">
        <v>401</v>
      </c>
      <c r="AF1229" s="45">
        <v>45435.70680555556</v>
      </c>
      <c r="AG1229" s="7" t="s">
        <v>21653</v>
      </c>
      <c r="AH1229" s="46" t="s">
        <v>21654</v>
      </c>
      <c r="AI1229" s="7"/>
      <c r="AJ1229" s="7"/>
      <c r="AK1229" s="7" t="b">
        <v>0</v>
      </c>
      <c r="AL1229" s="7" t="b">
        <v>0</v>
      </c>
      <c r="AM1229" s="6" t="s">
        <v>8634</v>
      </c>
      <c r="AN1229" s="6" t="s">
        <v>8621</v>
      </c>
      <c r="AO1229" s="7"/>
      <c r="AP1229" s="7"/>
      <c r="AQ1229" s="6" t="b">
        <v>0</v>
      </c>
      <c r="AR1229" s="6"/>
      <c r="AS1229" s="6"/>
    </row>
    <row r="1230" ht="15.75" customHeight="1">
      <c r="A1230" s="7" t="s">
        <v>9478</v>
      </c>
      <c r="B1230" s="7" t="s">
        <v>9479</v>
      </c>
      <c r="C1230" s="7" t="s">
        <v>58</v>
      </c>
      <c r="D1230" s="7" t="s">
        <v>59</v>
      </c>
      <c r="E1230" s="7"/>
      <c r="F1230" s="7">
        <v>4.0</v>
      </c>
      <c r="G1230" s="7"/>
      <c r="H1230" s="7"/>
      <c r="I1230" s="7"/>
      <c r="J1230" s="41" t="s">
        <v>12445</v>
      </c>
      <c r="K1230" s="7" t="s">
        <v>21655</v>
      </c>
      <c r="L1230" s="7">
        <v>97480.0</v>
      </c>
      <c r="M1230" s="7" t="s">
        <v>123</v>
      </c>
      <c r="N1230" s="7" t="s">
        <v>206</v>
      </c>
      <c r="O1230" s="7" t="s">
        <v>9488</v>
      </c>
      <c r="P1230" s="42" t="s">
        <v>9483</v>
      </c>
      <c r="Q1230" s="43" t="s">
        <v>21656</v>
      </c>
      <c r="R1230" s="50"/>
      <c r="S1230" s="51"/>
      <c r="T1230" s="7" t="s">
        <v>9485</v>
      </c>
      <c r="U1230" s="7" t="s">
        <v>9484</v>
      </c>
      <c r="V1230" s="7"/>
      <c r="W1230" s="6" t="s">
        <v>21657</v>
      </c>
      <c r="X1230" s="7" t="s">
        <v>9482</v>
      </c>
      <c r="Y1230" s="7" t="s">
        <v>4973</v>
      </c>
      <c r="Z1230" s="7" t="s">
        <v>5551</v>
      </c>
      <c r="AA1230" s="7" t="s">
        <v>3270</v>
      </c>
      <c r="AB1230" s="7" t="s">
        <v>1590</v>
      </c>
      <c r="AC1230" s="7"/>
      <c r="AD1230" s="7"/>
      <c r="AE1230" s="6" t="s">
        <v>12355</v>
      </c>
      <c r="AF1230" s="45">
        <v>45754.42040509259</v>
      </c>
      <c r="AG1230" s="7" t="s">
        <v>21658</v>
      </c>
      <c r="AH1230" s="46" t="s">
        <v>21659</v>
      </c>
      <c r="AI1230" s="7"/>
      <c r="AJ1230" s="6" t="s">
        <v>21660</v>
      </c>
      <c r="AK1230" s="7" t="b">
        <v>0</v>
      </c>
      <c r="AL1230" s="7" t="b">
        <v>0</v>
      </c>
      <c r="AM1230" s="6" t="s">
        <v>9489</v>
      </c>
      <c r="AN1230" s="6" t="s">
        <v>9478</v>
      </c>
      <c r="AO1230" s="7"/>
      <c r="AP1230" s="7"/>
      <c r="AQ1230" s="6" t="b">
        <v>0</v>
      </c>
      <c r="AR1230" s="6"/>
      <c r="AS1230" s="6"/>
    </row>
    <row r="1231" ht="15.75" customHeight="1">
      <c r="A1231" s="7" t="s">
        <v>9619</v>
      </c>
      <c r="B1231" s="7" t="s">
        <v>21661</v>
      </c>
      <c r="C1231" s="7" t="s">
        <v>58</v>
      </c>
      <c r="D1231" s="7" t="s">
        <v>59</v>
      </c>
      <c r="E1231" s="7"/>
      <c r="F1231" s="7">
        <v>4.0</v>
      </c>
      <c r="G1231" s="7"/>
      <c r="H1231" s="7"/>
      <c r="I1231" s="7"/>
      <c r="J1231" s="7">
        <v>9.0</v>
      </c>
      <c r="K1231" s="7" t="s">
        <v>13584</v>
      </c>
      <c r="L1231" s="7">
        <v>97480.0</v>
      </c>
      <c r="M1231" s="7" t="s">
        <v>123</v>
      </c>
      <c r="N1231" s="7" t="s">
        <v>206</v>
      </c>
      <c r="O1231" s="6" t="s">
        <v>21662</v>
      </c>
      <c r="P1231" s="42" t="s">
        <v>9622</v>
      </c>
      <c r="Q1231" s="43" t="s">
        <v>21663</v>
      </c>
      <c r="R1231" s="50"/>
      <c r="S1231" s="51"/>
      <c r="T1231" s="7"/>
      <c r="U1231" s="7"/>
      <c r="V1231" s="7"/>
      <c r="W1231" s="7"/>
      <c r="X1231" s="7"/>
      <c r="Y1231" s="7"/>
      <c r="Z1231" s="7"/>
      <c r="AA1231" s="7"/>
      <c r="AB1231" s="7"/>
      <c r="AC1231" s="7"/>
      <c r="AD1231" s="7"/>
      <c r="AE1231" s="6" t="s">
        <v>401</v>
      </c>
      <c r="AF1231" s="74"/>
      <c r="AG1231" s="7" t="s">
        <v>21664</v>
      </c>
      <c r="AH1231" s="75" t="s">
        <v>21665</v>
      </c>
      <c r="AI1231" s="7"/>
      <c r="AJ1231" s="7"/>
      <c r="AK1231" s="7" t="b">
        <v>0</v>
      </c>
      <c r="AL1231" s="7" t="b">
        <v>0</v>
      </c>
      <c r="AM1231" s="6" t="s">
        <v>9625</v>
      </c>
      <c r="AN1231" s="7"/>
      <c r="AO1231" s="7"/>
      <c r="AP1231" s="7"/>
      <c r="AQ1231" s="6" t="b">
        <v>0</v>
      </c>
      <c r="AR1231" s="6"/>
      <c r="AS1231" s="6"/>
    </row>
    <row r="1232" ht="15.75" customHeight="1">
      <c r="A1232" s="7" t="s">
        <v>9827</v>
      </c>
      <c r="B1232" s="7" t="s">
        <v>9828</v>
      </c>
      <c r="C1232" s="7" t="s">
        <v>58</v>
      </c>
      <c r="D1232" s="7" t="s">
        <v>453</v>
      </c>
      <c r="E1232" s="7" t="s">
        <v>454</v>
      </c>
      <c r="F1232" s="7">
        <v>4.0</v>
      </c>
      <c r="G1232" s="7"/>
      <c r="H1232" s="7"/>
      <c r="I1232" s="7"/>
      <c r="J1232" s="7">
        <v>12.0</v>
      </c>
      <c r="K1232" s="7" t="s">
        <v>21666</v>
      </c>
      <c r="L1232" s="7">
        <v>97480.0</v>
      </c>
      <c r="M1232" s="7" t="s">
        <v>123</v>
      </c>
      <c r="N1232" s="7" t="s">
        <v>8325</v>
      </c>
      <c r="O1232" s="6" t="s">
        <v>21667</v>
      </c>
      <c r="P1232" s="42" t="s">
        <v>9830</v>
      </c>
      <c r="Q1232" s="49" t="s">
        <v>21668</v>
      </c>
      <c r="R1232" s="50"/>
      <c r="S1232" s="51"/>
      <c r="T1232" s="6" t="s">
        <v>21669</v>
      </c>
      <c r="U1232" s="6" t="s">
        <v>21670</v>
      </c>
      <c r="V1232" s="7"/>
      <c r="W1232" s="6" t="s">
        <v>21671</v>
      </c>
      <c r="X1232" s="6" t="s">
        <v>21672</v>
      </c>
      <c r="Y1232" s="6" t="s">
        <v>13360</v>
      </c>
      <c r="Z1232" s="6" t="s">
        <v>424</v>
      </c>
      <c r="AA1232" s="7"/>
      <c r="AB1232" s="7"/>
      <c r="AC1232" s="7"/>
      <c r="AD1232" s="7"/>
      <c r="AE1232" s="6" t="s">
        <v>401</v>
      </c>
      <c r="AF1232" s="45">
        <v>45925.377604166664</v>
      </c>
      <c r="AG1232" s="7" t="s">
        <v>21673</v>
      </c>
      <c r="AH1232" s="46" t="s">
        <v>21674</v>
      </c>
      <c r="AI1232" s="7"/>
      <c r="AJ1232" s="6" t="s">
        <v>21675</v>
      </c>
      <c r="AK1232" s="7" t="b">
        <v>0</v>
      </c>
      <c r="AL1232" s="7" t="b">
        <v>0</v>
      </c>
      <c r="AM1232" s="6" t="s">
        <v>9833</v>
      </c>
      <c r="AN1232" s="6" t="s">
        <v>9827</v>
      </c>
      <c r="AO1232" s="7"/>
      <c r="AP1232" s="7"/>
      <c r="AQ1232" s="6" t="b">
        <v>0</v>
      </c>
      <c r="AR1232" s="6"/>
      <c r="AS1232" s="6"/>
    </row>
    <row r="1233" ht="15.75" customHeight="1">
      <c r="A1233" s="7" t="s">
        <v>9940</v>
      </c>
      <c r="B1233" s="7" t="s">
        <v>21676</v>
      </c>
      <c r="C1233" s="7" t="s">
        <v>58</v>
      </c>
      <c r="D1233" s="7" t="s">
        <v>59</v>
      </c>
      <c r="E1233" s="7" t="s">
        <v>346</v>
      </c>
      <c r="F1233" s="7">
        <v>6.0</v>
      </c>
      <c r="G1233" s="7"/>
      <c r="H1233" s="7"/>
      <c r="I1233" s="7"/>
      <c r="J1233" s="7">
        <v>82.0</v>
      </c>
      <c r="K1233" s="7" t="s">
        <v>15512</v>
      </c>
      <c r="L1233" s="7">
        <v>97480.0</v>
      </c>
      <c r="M1233" s="7" t="s">
        <v>123</v>
      </c>
      <c r="N1233" s="7"/>
      <c r="O1233" s="6" t="s">
        <v>21677</v>
      </c>
      <c r="P1233" s="42" t="s">
        <v>9943</v>
      </c>
      <c r="Q1233" s="43" t="s">
        <v>15514</v>
      </c>
      <c r="R1233" s="50"/>
      <c r="S1233" s="51"/>
      <c r="T1233" s="7"/>
      <c r="U1233" s="7"/>
      <c r="V1233" s="7"/>
      <c r="W1233" s="6" t="s">
        <v>21678</v>
      </c>
      <c r="X1233" s="7"/>
      <c r="Y1233" s="7" t="s">
        <v>377</v>
      </c>
      <c r="Z1233" s="7" t="s">
        <v>353</v>
      </c>
      <c r="AA1233" s="7"/>
      <c r="AB1233" s="7"/>
      <c r="AC1233" s="7">
        <v>4.9431483400024E13</v>
      </c>
      <c r="AD1233" s="7">
        <v>4.94314834E8</v>
      </c>
      <c r="AE1233" s="6" t="s">
        <v>401</v>
      </c>
      <c r="AF1233" s="74"/>
      <c r="AG1233" s="7" t="s">
        <v>15515</v>
      </c>
      <c r="AH1233" s="75" t="s">
        <v>21679</v>
      </c>
      <c r="AI1233" s="7"/>
      <c r="AJ1233" s="7"/>
      <c r="AK1233" s="7" t="b">
        <v>0</v>
      </c>
      <c r="AL1233" s="7" t="b">
        <v>0</v>
      </c>
      <c r="AM1233" s="6" t="s">
        <v>9945</v>
      </c>
      <c r="AN1233" s="7"/>
      <c r="AO1233" s="7"/>
      <c r="AP1233" s="7"/>
      <c r="AQ1233" s="6" t="b">
        <v>0</v>
      </c>
      <c r="AR1233" s="6"/>
      <c r="AS1233" s="6" t="s">
        <v>12303</v>
      </c>
    </row>
    <row r="1234" ht="15.75" customHeight="1">
      <c r="A1234" s="7" t="s">
        <v>10180</v>
      </c>
      <c r="B1234" s="7" t="s">
        <v>21680</v>
      </c>
      <c r="C1234" s="7" t="s">
        <v>58</v>
      </c>
      <c r="D1234" s="7" t="s">
        <v>59</v>
      </c>
      <c r="E1234" s="7" t="s">
        <v>346</v>
      </c>
      <c r="F1234" s="7">
        <v>6.0</v>
      </c>
      <c r="G1234" s="7" t="s">
        <v>455</v>
      </c>
      <c r="H1234" s="7"/>
      <c r="I1234" s="7"/>
      <c r="J1234" s="7">
        <v>174.0</v>
      </c>
      <c r="K1234" s="7" t="s">
        <v>21681</v>
      </c>
      <c r="L1234" s="7">
        <v>97480.0</v>
      </c>
      <c r="M1234" s="7" t="s">
        <v>123</v>
      </c>
      <c r="N1234" s="7"/>
      <c r="O1234" s="6" t="s">
        <v>21682</v>
      </c>
      <c r="P1234" s="42" t="s">
        <v>10183</v>
      </c>
      <c r="Q1234" s="43" t="s">
        <v>21683</v>
      </c>
      <c r="R1234" s="50" t="s">
        <v>12350</v>
      </c>
      <c r="S1234" s="51"/>
      <c r="T1234" s="7" t="s">
        <v>10184</v>
      </c>
      <c r="U1234" s="7"/>
      <c r="V1234" s="7"/>
      <c r="W1234" s="7"/>
      <c r="X1234" s="7"/>
      <c r="Y1234" s="7" t="s">
        <v>377</v>
      </c>
      <c r="Z1234" s="7" t="s">
        <v>353</v>
      </c>
      <c r="AA1234" s="7"/>
      <c r="AB1234" s="7"/>
      <c r="AC1234" s="6">
        <v>5.182715980003E13</v>
      </c>
      <c r="AD1234" s="6">
        <v>5.18271598E8</v>
      </c>
      <c r="AE1234" s="6" t="s">
        <v>401</v>
      </c>
      <c r="AF1234" s="45">
        <v>45995.41394675926</v>
      </c>
      <c r="AG1234" s="7" t="s">
        <v>21684</v>
      </c>
      <c r="AH1234" s="46" t="s">
        <v>21685</v>
      </c>
      <c r="AI1234" s="7"/>
      <c r="AJ1234" s="6" t="s">
        <v>21686</v>
      </c>
      <c r="AK1234" s="7" t="b">
        <v>0</v>
      </c>
      <c r="AL1234" s="7" t="b">
        <v>0</v>
      </c>
      <c r="AM1234" s="6" t="s">
        <v>10189</v>
      </c>
      <c r="AN1234" s="6" t="s">
        <v>10180</v>
      </c>
      <c r="AO1234" s="7"/>
      <c r="AP1234" s="7"/>
      <c r="AQ1234" s="6" t="b">
        <v>0</v>
      </c>
      <c r="AR1234" s="6"/>
      <c r="AS1234" s="6"/>
    </row>
    <row r="1235" ht="15.75" customHeight="1">
      <c r="A1235" s="7" t="s">
        <v>9911</v>
      </c>
      <c r="B1235" s="7" t="s">
        <v>9912</v>
      </c>
      <c r="C1235" s="7" t="s">
        <v>58</v>
      </c>
      <c r="D1235" s="7" t="s">
        <v>59</v>
      </c>
      <c r="E1235" s="7" t="s">
        <v>346</v>
      </c>
      <c r="F1235" s="7">
        <v>8.0</v>
      </c>
      <c r="G1235" s="7" t="s">
        <v>455</v>
      </c>
      <c r="H1235" s="7"/>
      <c r="I1235" s="7"/>
      <c r="J1235" s="6" t="s">
        <v>21687</v>
      </c>
      <c r="K1235" s="7" t="s">
        <v>16059</v>
      </c>
      <c r="L1235" s="7">
        <v>97480.0</v>
      </c>
      <c r="M1235" s="7" t="s">
        <v>123</v>
      </c>
      <c r="N1235" s="7" t="s">
        <v>8325</v>
      </c>
      <c r="O1235" s="6" t="s">
        <v>21688</v>
      </c>
      <c r="P1235" s="42" t="s">
        <v>9916</v>
      </c>
      <c r="Q1235" s="43" t="s">
        <v>21689</v>
      </c>
      <c r="R1235" s="50"/>
      <c r="S1235" s="51"/>
      <c r="T1235" s="7" t="s">
        <v>9917</v>
      </c>
      <c r="U1235" s="6" t="s">
        <v>21690</v>
      </c>
      <c r="V1235" s="7"/>
      <c r="W1235" s="6" t="s">
        <v>21691</v>
      </c>
      <c r="X1235" s="7" t="s">
        <v>9915</v>
      </c>
      <c r="Y1235" s="7" t="s">
        <v>1863</v>
      </c>
      <c r="Z1235" s="7" t="s">
        <v>592</v>
      </c>
      <c r="AA1235" s="7"/>
      <c r="AB1235" s="7"/>
      <c r="AC1235" s="6">
        <v>4.3909358400027E13</v>
      </c>
      <c r="AD1235" s="6">
        <v>4.39093584E8</v>
      </c>
      <c r="AE1235" s="6" t="s">
        <v>401</v>
      </c>
      <c r="AF1235" s="74"/>
      <c r="AG1235" s="7" t="s">
        <v>21692</v>
      </c>
      <c r="AH1235" s="46" t="s">
        <v>21693</v>
      </c>
      <c r="AI1235" s="7"/>
      <c r="AJ1235" s="7"/>
      <c r="AK1235" s="7" t="b">
        <v>0</v>
      </c>
      <c r="AL1235" s="7" t="b">
        <v>0</v>
      </c>
      <c r="AM1235" s="6" t="s">
        <v>21694</v>
      </c>
      <c r="AN1235" s="6" t="s">
        <v>9911</v>
      </c>
      <c r="AO1235" s="7"/>
      <c r="AP1235" s="7"/>
      <c r="AQ1235" s="6" t="b">
        <v>0</v>
      </c>
      <c r="AR1235" s="6" t="s">
        <v>21695</v>
      </c>
      <c r="AS1235" s="6"/>
    </row>
    <row r="1236" ht="15.75" customHeight="1">
      <c r="A1236" s="7" t="s">
        <v>9464</v>
      </c>
      <c r="B1236" s="7" t="s">
        <v>21696</v>
      </c>
      <c r="C1236" s="7" t="s">
        <v>58</v>
      </c>
      <c r="D1236" s="7" t="s">
        <v>59</v>
      </c>
      <c r="E1236" s="7" t="s">
        <v>346</v>
      </c>
      <c r="F1236" s="7">
        <v>12.0</v>
      </c>
      <c r="G1236" s="7" t="s">
        <v>664</v>
      </c>
      <c r="H1236" s="7"/>
      <c r="I1236" s="7"/>
      <c r="J1236" s="7">
        <v>72.0</v>
      </c>
      <c r="K1236" s="7" t="s">
        <v>21697</v>
      </c>
      <c r="L1236" s="7">
        <v>97480.0</v>
      </c>
      <c r="M1236" s="7" t="s">
        <v>123</v>
      </c>
      <c r="N1236" s="7"/>
      <c r="O1236" s="6" t="s">
        <v>21698</v>
      </c>
      <c r="P1236" s="42" t="s">
        <v>21699</v>
      </c>
      <c r="Q1236" s="43" t="s">
        <v>21700</v>
      </c>
      <c r="R1236" s="50"/>
      <c r="S1236" s="51"/>
      <c r="T1236" s="7" t="s">
        <v>9472</v>
      </c>
      <c r="U1236" s="7"/>
      <c r="V1236" s="7" t="s">
        <v>9473</v>
      </c>
      <c r="W1236" s="6" t="s">
        <v>21701</v>
      </c>
      <c r="X1236" s="7" t="s">
        <v>9469</v>
      </c>
      <c r="Y1236" s="7" t="s">
        <v>3816</v>
      </c>
      <c r="Z1236" s="7" t="s">
        <v>9333</v>
      </c>
      <c r="AA1236" s="7"/>
      <c r="AB1236" s="7"/>
      <c r="AC1236" s="7"/>
      <c r="AD1236" s="7"/>
      <c r="AE1236" s="6" t="s">
        <v>12355</v>
      </c>
      <c r="AF1236" s="45">
        <v>45679.397997685184</v>
      </c>
      <c r="AG1236" s="7" t="s">
        <v>21702</v>
      </c>
      <c r="AH1236" s="46" t="s">
        <v>21703</v>
      </c>
      <c r="AI1236" s="7"/>
      <c r="AJ1236" s="6" t="s">
        <v>21704</v>
      </c>
      <c r="AK1236" s="7" t="b">
        <v>0</v>
      </c>
      <c r="AL1236" s="7" t="b">
        <v>0</v>
      </c>
      <c r="AM1236" s="6" t="s">
        <v>21705</v>
      </c>
      <c r="AN1236" s="6" t="s">
        <v>9464</v>
      </c>
      <c r="AO1236" s="7"/>
      <c r="AP1236" s="7"/>
      <c r="AQ1236" s="6" t="b">
        <v>0</v>
      </c>
      <c r="AR1236" s="6"/>
      <c r="AS1236" s="6"/>
    </row>
    <row r="1237" ht="15.75" customHeight="1">
      <c r="A1237" s="7" t="s">
        <v>9657</v>
      </c>
      <c r="B1237" s="7" t="s">
        <v>21706</v>
      </c>
      <c r="C1237" s="7" t="s">
        <v>58</v>
      </c>
      <c r="D1237" s="7" t="s">
        <v>59</v>
      </c>
      <c r="E1237" s="7"/>
      <c r="F1237" s="7">
        <v>19.0</v>
      </c>
      <c r="G1237" s="7"/>
      <c r="H1237" s="7"/>
      <c r="I1237" s="7"/>
      <c r="J1237" s="7">
        <v>154.0</v>
      </c>
      <c r="K1237" s="7" t="s">
        <v>12511</v>
      </c>
      <c r="L1237" s="7">
        <v>97480.0</v>
      </c>
      <c r="M1237" s="7" t="s">
        <v>123</v>
      </c>
      <c r="N1237" s="7"/>
      <c r="O1237" s="6" t="s">
        <v>21707</v>
      </c>
      <c r="P1237" s="53" t="s">
        <v>21708</v>
      </c>
      <c r="Q1237" s="43" t="s">
        <v>21709</v>
      </c>
      <c r="R1237" s="50"/>
      <c r="S1237" s="51"/>
      <c r="T1237" s="7" t="s">
        <v>9660</v>
      </c>
      <c r="U1237" s="7"/>
      <c r="V1237" s="7" t="s">
        <v>9661</v>
      </c>
      <c r="W1237" s="7"/>
      <c r="X1237" s="7"/>
      <c r="Y1237" s="7" t="s">
        <v>377</v>
      </c>
      <c r="Z1237" s="7"/>
      <c r="AA1237" s="7"/>
      <c r="AB1237" s="7"/>
      <c r="AC1237" s="7"/>
      <c r="AD1237" s="7"/>
      <c r="AE1237" s="6" t="s">
        <v>401</v>
      </c>
      <c r="AF1237" s="45">
        <v>45377.45789351852</v>
      </c>
      <c r="AG1237" s="7" t="s">
        <v>21710</v>
      </c>
      <c r="AH1237" s="46" t="s">
        <v>21711</v>
      </c>
      <c r="AI1237" s="7"/>
      <c r="AJ1237" s="7"/>
      <c r="AK1237" s="7" t="b">
        <v>0</v>
      </c>
      <c r="AL1237" s="7" t="b">
        <v>0</v>
      </c>
      <c r="AM1237" s="6" t="s">
        <v>9665</v>
      </c>
      <c r="AN1237" s="6" t="s">
        <v>9657</v>
      </c>
      <c r="AO1237" s="7"/>
      <c r="AP1237" s="7"/>
      <c r="AQ1237" s="6" t="b">
        <v>0</v>
      </c>
      <c r="AR1237" s="6"/>
      <c r="AS1237" s="6" t="s">
        <v>12303</v>
      </c>
    </row>
    <row r="1238" ht="15.75" customHeight="1">
      <c r="A1238" s="9" t="s">
        <v>11362</v>
      </c>
      <c r="B1238" s="9" t="s">
        <v>21712</v>
      </c>
      <c r="C1238" s="9" t="s">
        <v>58</v>
      </c>
      <c r="D1238" s="9" t="s">
        <v>59</v>
      </c>
      <c r="E1238" s="9" t="s">
        <v>346</v>
      </c>
      <c r="F1238" s="9">
        <v>6.0</v>
      </c>
      <c r="G1238" s="9" t="s">
        <v>422</v>
      </c>
      <c r="H1238" s="9"/>
      <c r="I1238" s="9"/>
      <c r="J1238" s="9" t="s">
        <v>12708</v>
      </c>
      <c r="K1238" s="9" t="s">
        <v>21713</v>
      </c>
      <c r="L1238" s="9">
        <v>97414.0</v>
      </c>
      <c r="M1238" s="9" t="s">
        <v>40</v>
      </c>
      <c r="N1238" s="9" t="s">
        <v>12447</v>
      </c>
      <c r="O1238" s="9" t="s">
        <v>21714</v>
      </c>
      <c r="P1238" s="53" t="s">
        <v>21715</v>
      </c>
      <c r="Q1238" s="49" t="s">
        <v>21716</v>
      </c>
      <c r="R1238" s="50"/>
      <c r="S1238" s="59"/>
      <c r="T1238" s="9" t="s">
        <v>21717</v>
      </c>
      <c r="U1238" s="9" t="s">
        <v>21718</v>
      </c>
      <c r="V1238" s="9" t="s">
        <v>21719</v>
      </c>
      <c r="W1238" s="9" t="s">
        <v>21720</v>
      </c>
      <c r="X1238" s="9" t="s">
        <v>21721</v>
      </c>
      <c r="Y1238" s="9" t="s">
        <v>21722</v>
      </c>
      <c r="Z1238" s="9" t="s">
        <v>21723</v>
      </c>
      <c r="AC1238" s="9">
        <v>9.8434004200014E13</v>
      </c>
      <c r="AD1238" s="9">
        <v>9.84340042E8</v>
      </c>
      <c r="AE1238" s="9" t="s">
        <v>401</v>
      </c>
      <c r="AF1238" s="55">
        <v>45999.39806712963</v>
      </c>
      <c r="AG1238" s="9" t="s">
        <v>21724</v>
      </c>
      <c r="AH1238" s="9" t="s">
        <v>21725</v>
      </c>
      <c r="AJ1238" s="9" t="s">
        <v>21726</v>
      </c>
      <c r="AK1238" s="9" t="b">
        <v>0</v>
      </c>
      <c r="AL1238" s="9" t="b">
        <v>1</v>
      </c>
      <c r="AM1238" s="9" t="s">
        <v>21727</v>
      </c>
      <c r="AN1238" s="9" t="s">
        <v>11362</v>
      </c>
      <c r="AP1238" s="56">
        <v>45336.0</v>
      </c>
      <c r="AQ1238" s="9" t="b">
        <v>1</v>
      </c>
      <c r="AR1238" s="9"/>
    </row>
    <row r="1239" ht="15.75" customHeight="1">
      <c r="A1239" s="9" t="s">
        <v>11364</v>
      </c>
      <c r="B1239" s="9" t="s">
        <v>21728</v>
      </c>
      <c r="C1239" s="9" t="s">
        <v>58</v>
      </c>
      <c r="D1239" s="9" t="s">
        <v>59</v>
      </c>
      <c r="E1239" s="9"/>
      <c r="F1239" s="9"/>
      <c r="G1239" s="9"/>
      <c r="H1239" s="9"/>
      <c r="I1239" s="9"/>
      <c r="J1239" s="9" t="s">
        <v>21729</v>
      </c>
      <c r="K1239" s="9" t="s">
        <v>19246</v>
      </c>
      <c r="L1239" s="9">
        <v>97480.0</v>
      </c>
      <c r="M1239" s="9" t="s">
        <v>123</v>
      </c>
      <c r="N1239" s="9"/>
      <c r="O1239" s="9" t="s">
        <v>21730</v>
      </c>
      <c r="P1239" s="53"/>
      <c r="Q1239" s="43"/>
      <c r="R1239" s="50"/>
      <c r="S1239" s="59"/>
      <c r="T1239" s="9"/>
      <c r="U1239" s="9"/>
      <c r="V1239" s="9" t="s">
        <v>21731</v>
      </c>
      <c r="W1239" s="9"/>
      <c r="X1239" s="9"/>
      <c r="Y1239" s="9"/>
      <c r="Z1239" s="9"/>
      <c r="AC1239" s="9"/>
      <c r="AD1239" s="9"/>
      <c r="AE1239" s="9" t="s">
        <v>12355</v>
      </c>
      <c r="AF1239" s="55">
        <v>45355.629155092596</v>
      </c>
      <c r="AG1239" s="9" t="s">
        <v>12426</v>
      </c>
      <c r="AH1239" s="9" t="s">
        <v>21732</v>
      </c>
      <c r="AJ1239" s="9"/>
      <c r="AK1239" s="9"/>
      <c r="AL1239" s="9"/>
      <c r="AM1239" s="9"/>
      <c r="AN1239" s="9" t="s">
        <v>11364</v>
      </c>
      <c r="AP1239" s="56">
        <v>45345.0</v>
      </c>
      <c r="AQ1239" s="9" t="b">
        <v>0</v>
      </c>
      <c r="AR1239" s="9"/>
    </row>
    <row r="1240" ht="15.75" customHeight="1">
      <c r="A1240" s="9" t="s">
        <v>11366</v>
      </c>
      <c r="B1240" s="9" t="s">
        <v>21733</v>
      </c>
      <c r="C1240" s="9" t="s">
        <v>58</v>
      </c>
      <c r="D1240" s="9" t="s">
        <v>59</v>
      </c>
      <c r="E1240" s="9" t="s">
        <v>12384</v>
      </c>
      <c r="F1240" s="9">
        <v>4.0</v>
      </c>
      <c r="G1240" s="9" t="s">
        <v>455</v>
      </c>
      <c r="H1240" s="9"/>
      <c r="I1240" s="9"/>
      <c r="J1240" s="52" t="s">
        <v>15332</v>
      </c>
      <c r="K1240" s="9" t="s">
        <v>21734</v>
      </c>
      <c r="L1240" s="9">
        <v>97480.0</v>
      </c>
      <c r="M1240" s="9" t="s">
        <v>123</v>
      </c>
      <c r="N1240" s="9" t="s">
        <v>3556</v>
      </c>
      <c r="O1240" s="9" t="s">
        <v>21735</v>
      </c>
      <c r="P1240" s="53" t="s">
        <v>21736</v>
      </c>
      <c r="Q1240" s="49" t="s">
        <v>21737</v>
      </c>
      <c r="R1240" s="50"/>
      <c r="S1240" s="59"/>
      <c r="T1240" s="9" t="s">
        <v>21738</v>
      </c>
      <c r="U1240" s="9" t="s">
        <v>21739</v>
      </c>
      <c r="V1240" s="9" t="s">
        <v>21740</v>
      </c>
      <c r="W1240" s="9" t="s">
        <v>21741</v>
      </c>
      <c r="X1240" s="9" t="s">
        <v>21742</v>
      </c>
      <c r="Y1240" s="9" t="s">
        <v>19929</v>
      </c>
      <c r="Z1240" s="9" t="s">
        <v>592</v>
      </c>
      <c r="AC1240" s="9">
        <v>9.851212190001E13</v>
      </c>
      <c r="AD1240" s="9">
        <v>9.85121219E8</v>
      </c>
      <c r="AE1240" s="9" t="s">
        <v>12355</v>
      </c>
      <c r="AF1240" s="55">
        <v>45687.34921296296</v>
      </c>
      <c r="AG1240" s="9" t="s">
        <v>21743</v>
      </c>
      <c r="AH1240" s="9" t="s">
        <v>21744</v>
      </c>
      <c r="AJ1240" s="9" t="s">
        <v>21745</v>
      </c>
      <c r="AK1240" s="9" t="b">
        <v>0</v>
      </c>
      <c r="AL1240" s="9" t="b">
        <v>0</v>
      </c>
      <c r="AM1240" s="9" t="s">
        <v>21746</v>
      </c>
      <c r="AN1240" s="9" t="s">
        <v>11366</v>
      </c>
      <c r="AP1240" s="56">
        <v>45348.0</v>
      </c>
      <c r="AQ1240" s="9" t="b">
        <v>0</v>
      </c>
      <c r="AR1240" s="9" t="s">
        <v>21747</v>
      </c>
    </row>
    <row r="1241" ht="15.75" customHeight="1">
      <c r="A1241" s="9" t="s">
        <v>12125</v>
      </c>
      <c r="B1241" s="9" t="s">
        <v>21748</v>
      </c>
      <c r="C1241" s="9" t="s">
        <v>58</v>
      </c>
      <c r="D1241" s="9" t="s">
        <v>59</v>
      </c>
      <c r="E1241" s="9" t="s">
        <v>12384</v>
      </c>
      <c r="F1241" s="9">
        <v>5.0</v>
      </c>
      <c r="G1241" s="9"/>
      <c r="H1241" s="9"/>
      <c r="I1241" s="9"/>
      <c r="J1241" s="52" t="s">
        <v>12820</v>
      </c>
      <c r="K1241" s="9" t="s">
        <v>21749</v>
      </c>
      <c r="L1241" s="9">
        <v>97480.0</v>
      </c>
      <c r="M1241" s="9" t="s">
        <v>123</v>
      </c>
      <c r="N1241" s="9" t="s">
        <v>8259</v>
      </c>
      <c r="O1241" s="9" t="s">
        <v>21750</v>
      </c>
      <c r="P1241" s="53" t="s">
        <v>21751</v>
      </c>
      <c r="Q1241" s="49" t="s">
        <v>21752</v>
      </c>
      <c r="R1241" s="50"/>
      <c r="S1241" s="58" t="s">
        <v>21753</v>
      </c>
      <c r="T1241" s="9" t="s">
        <v>21754</v>
      </c>
      <c r="U1241" s="9" t="s">
        <v>21755</v>
      </c>
      <c r="V1241" s="9"/>
      <c r="W1241" s="9" t="s">
        <v>21756</v>
      </c>
      <c r="X1241" s="9"/>
      <c r="Y1241" s="9" t="s">
        <v>21757</v>
      </c>
      <c r="Z1241" s="9" t="s">
        <v>378</v>
      </c>
      <c r="AC1241" s="9">
        <v>9.8328680800016E13</v>
      </c>
      <c r="AD1241" s="9">
        <v>9.83286808E8</v>
      </c>
      <c r="AE1241" s="9" t="s">
        <v>12355</v>
      </c>
      <c r="AF1241" s="55">
        <v>46020.35502314815</v>
      </c>
      <c r="AG1241" s="9" t="s">
        <v>21758</v>
      </c>
      <c r="AH1241" s="9" t="s">
        <v>21759</v>
      </c>
      <c r="AJ1241" s="9" t="s">
        <v>21760</v>
      </c>
      <c r="AK1241" s="9" t="b">
        <v>0</v>
      </c>
      <c r="AL1241" s="9" t="b">
        <v>0</v>
      </c>
      <c r="AM1241" s="9" t="s">
        <v>21761</v>
      </c>
      <c r="AN1241" s="9" t="s">
        <v>12125</v>
      </c>
      <c r="AP1241" s="56">
        <v>45349.0</v>
      </c>
      <c r="AQ1241" s="9" t="b">
        <v>0</v>
      </c>
      <c r="AR1241" s="9" t="s">
        <v>21762</v>
      </c>
    </row>
    <row r="1242" ht="15.75" customHeight="1">
      <c r="A1242" s="9" t="s">
        <v>11955</v>
      </c>
      <c r="B1242" s="9" t="s">
        <v>21763</v>
      </c>
      <c r="C1242" s="9" t="s">
        <v>58</v>
      </c>
      <c r="D1242" s="9" t="s">
        <v>59</v>
      </c>
      <c r="E1242" s="9" t="s">
        <v>12384</v>
      </c>
      <c r="F1242" s="9">
        <v>10.0</v>
      </c>
      <c r="G1242" s="9"/>
      <c r="H1242" s="9"/>
      <c r="I1242" s="9"/>
      <c r="J1242" s="52" t="s">
        <v>19261</v>
      </c>
      <c r="K1242" s="9" t="s">
        <v>21764</v>
      </c>
      <c r="L1242" s="9">
        <v>97418.0</v>
      </c>
      <c r="M1242" s="9" t="s">
        <v>71</v>
      </c>
      <c r="N1242" s="9" t="s">
        <v>216</v>
      </c>
      <c r="O1242" s="9" t="s">
        <v>21765</v>
      </c>
      <c r="P1242" s="53" t="s">
        <v>21766</v>
      </c>
      <c r="Q1242" s="49" t="s">
        <v>21767</v>
      </c>
      <c r="R1242" s="50"/>
      <c r="S1242" s="59"/>
      <c r="T1242" s="9" t="s">
        <v>21768</v>
      </c>
      <c r="U1242" s="9" t="s">
        <v>21769</v>
      </c>
      <c r="V1242" s="9" t="s">
        <v>21770</v>
      </c>
      <c r="W1242" s="9" t="s">
        <v>21771</v>
      </c>
      <c r="X1242" s="9" t="s">
        <v>21772</v>
      </c>
      <c r="Y1242" s="9" t="s">
        <v>21773</v>
      </c>
      <c r="Z1242" s="9" t="s">
        <v>592</v>
      </c>
      <c r="AC1242" s="9">
        <v>3.4189434300027E13</v>
      </c>
      <c r="AD1242" s="9">
        <v>3.41894343E8</v>
      </c>
      <c r="AE1242" s="9" t="s">
        <v>12355</v>
      </c>
      <c r="AF1242" s="55">
        <v>45779.437685185185</v>
      </c>
      <c r="AG1242" s="9" t="s">
        <v>21774</v>
      </c>
      <c r="AH1242" s="9" t="s">
        <v>21775</v>
      </c>
      <c r="AJ1242" s="9" t="s">
        <v>21776</v>
      </c>
      <c r="AK1242" s="9" t="b">
        <v>0</v>
      </c>
      <c r="AL1242" s="9" t="b">
        <v>0</v>
      </c>
      <c r="AM1242" s="9" t="s">
        <v>21777</v>
      </c>
      <c r="AN1242" s="9" t="s">
        <v>11955</v>
      </c>
      <c r="AP1242" s="56">
        <v>45350.0</v>
      </c>
      <c r="AQ1242" s="9" t="b">
        <v>0</v>
      </c>
      <c r="AR1242" s="9"/>
    </row>
    <row r="1243" ht="15.75" customHeight="1">
      <c r="A1243" s="9" t="s">
        <v>12219</v>
      </c>
      <c r="B1243" s="9" t="s">
        <v>21778</v>
      </c>
      <c r="C1243" s="9" t="s">
        <v>58</v>
      </c>
      <c r="D1243" s="9" t="s">
        <v>59</v>
      </c>
      <c r="E1243" s="9" t="s">
        <v>346</v>
      </c>
      <c r="F1243" s="9">
        <v>10.0</v>
      </c>
      <c r="G1243" s="9" t="s">
        <v>422</v>
      </c>
      <c r="H1243" s="9"/>
      <c r="I1243" s="9"/>
      <c r="J1243" s="9" t="s">
        <v>21779</v>
      </c>
      <c r="K1243" s="9" t="s">
        <v>21780</v>
      </c>
      <c r="L1243" s="9">
        <v>97480.0</v>
      </c>
      <c r="M1243" s="9" t="s">
        <v>123</v>
      </c>
      <c r="N1243" s="9" t="s">
        <v>9209</v>
      </c>
      <c r="O1243" s="9" t="s">
        <v>21781</v>
      </c>
      <c r="P1243" s="53" t="s">
        <v>21782</v>
      </c>
      <c r="Q1243" s="49" t="s">
        <v>21783</v>
      </c>
      <c r="R1243" s="50"/>
      <c r="S1243" s="59"/>
      <c r="T1243" s="9" t="s">
        <v>21784</v>
      </c>
      <c r="U1243" s="9" t="s">
        <v>21785</v>
      </c>
      <c r="V1243" s="9" t="s">
        <v>21786</v>
      </c>
      <c r="W1243" s="9" t="s">
        <v>21787</v>
      </c>
      <c r="X1243" s="9" t="s">
        <v>21788</v>
      </c>
      <c r="Y1243" s="9" t="s">
        <v>9455</v>
      </c>
      <c r="Z1243" s="9" t="s">
        <v>353</v>
      </c>
      <c r="AC1243" s="9">
        <v>8.8481249600013E13</v>
      </c>
      <c r="AD1243" s="9">
        <v>8.84812496E8</v>
      </c>
      <c r="AE1243" s="9" t="s">
        <v>12355</v>
      </c>
      <c r="AF1243" s="55">
        <v>45692.430081018516</v>
      </c>
      <c r="AG1243" s="9" t="s">
        <v>21789</v>
      </c>
      <c r="AH1243" s="9" t="s">
        <v>21790</v>
      </c>
      <c r="AJ1243" s="9" t="s">
        <v>21791</v>
      </c>
      <c r="AK1243" s="9" t="b">
        <v>0</v>
      </c>
      <c r="AL1243" s="9" t="b">
        <v>0</v>
      </c>
      <c r="AM1243" s="9"/>
      <c r="AN1243" s="9" t="s">
        <v>12219</v>
      </c>
      <c r="AP1243" s="56">
        <v>45357.0</v>
      </c>
      <c r="AQ1243" s="9" t="b">
        <v>0</v>
      </c>
      <c r="AR1243" s="9"/>
    </row>
    <row r="1244" ht="15.75" customHeight="1">
      <c r="A1244" s="9" t="s">
        <v>11368</v>
      </c>
      <c r="B1244" s="9" t="s">
        <v>21792</v>
      </c>
      <c r="C1244" s="9" t="s">
        <v>1198</v>
      </c>
      <c r="D1244" s="9" t="s">
        <v>1644</v>
      </c>
      <c r="E1244" s="9" t="s">
        <v>1645</v>
      </c>
      <c r="F1244" s="9">
        <v>6.0</v>
      </c>
      <c r="G1244" s="9" t="s">
        <v>455</v>
      </c>
      <c r="H1244" s="9"/>
      <c r="I1244" s="9"/>
      <c r="J1244" s="52" t="s">
        <v>13876</v>
      </c>
      <c r="K1244" s="9" t="s">
        <v>13877</v>
      </c>
      <c r="L1244" s="9">
        <v>97480.0</v>
      </c>
      <c r="M1244" s="9" t="s">
        <v>123</v>
      </c>
      <c r="N1244" s="9" t="s">
        <v>9962</v>
      </c>
      <c r="O1244" s="9" t="s">
        <v>21793</v>
      </c>
      <c r="P1244" s="53" t="s">
        <v>13880</v>
      </c>
      <c r="Q1244" s="49" t="s">
        <v>13881</v>
      </c>
      <c r="R1244" s="50"/>
      <c r="S1244" s="58" t="s">
        <v>13882</v>
      </c>
      <c r="T1244" s="9" t="s">
        <v>21794</v>
      </c>
      <c r="U1244" s="9" t="s">
        <v>21795</v>
      </c>
      <c r="V1244" s="9" t="s">
        <v>21796</v>
      </c>
      <c r="W1244" s="9" t="s">
        <v>21797</v>
      </c>
      <c r="X1244" s="9" t="s">
        <v>21798</v>
      </c>
      <c r="Y1244" s="9" t="s">
        <v>21799</v>
      </c>
      <c r="Z1244" s="9" t="s">
        <v>424</v>
      </c>
      <c r="AC1244" s="9">
        <v>9.2247309500011E13</v>
      </c>
      <c r="AD1244" s="9">
        <v>9.22473095E8</v>
      </c>
      <c r="AE1244" s="9" t="s">
        <v>401</v>
      </c>
      <c r="AF1244" s="55">
        <v>45435.41056712963</v>
      </c>
      <c r="AG1244" s="9" t="s">
        <v>13889</v>
      </c>
      <c r="AH1244" s="9" t="s">
        <v>21800</v>
      </c>
      <c r="AJ1244" s="9" t="s">
        <v>21801</v>
      </c>
      <c r="AK1244" s="9" t="b">
        <v>0</v>
      </c>
      <c r="AL1244" s="9" t="b">
        <v>0</v>
      </c>
      <c r="AM1244" s="9"/>
      <c r="AN1244" s="9" t="s">
        <v>11368</v>
      </c>
      <c r="AP1244" s="56">
        <v>45358.0</v>
      </c>
      <c r="AQ1244" s="9" t="b">
        <v>0</v>
      </c>
      <c r="AR1244" s="9"/>
    </row>
    <row r="1245" ht="15.75" customHeight="1">
      <c r="A1245" s="9" t="s">
        <v>11371</v>
      </c>
      <c r="B1245" s="9" t="s">
        <v>21802</v>
      </c>
      <c r="C1245" s="9" t="s">
        <v>58</v>
      </c>
      <c r="D1245" s="9" t="s">
        <v>59</v>
      </c>
      <c r="E1245" s="9" t="s">
        <v>12384</v>
      </c>
      <c r="F1245" s="9">
        <v>9.0</v>
      </c>
      <c r="G1245" s="9" t="s">
        <v>455</v>
      </c>
      <c r="H1245" s="9"/>
      <c r="I1245" s="9"/>
      <c r="J1245" s="52" t="s">
        <v>21803</v>
      </c>
      <c r="K1245" s="9" t="s">
        <v>21804</v>
      </c>
      <c r="L1245" s="9">
        <v>97430.0</v>
      </c>
      <c r="M1245" s="9" t="s">
        <v>71</v>
      </c>
      <c r="N1245" s="9" t="s">
        <v>21805</v>
      </c>
      <c r="O1245" s="9" t="s">
        <v>21806</v>
      </c>
      <c r="P1245" s="53" t="s">
        <v>21807</v>
      </c>
      <c r="Q1245" s="49" t="s">
        <v>21808</v>
      </c>
      <c r="R1245" s="50"/>
      <c r="S1245" s="59"/>
      <c r="T1245" s="9" t="s">
        <v>21809</v>
      </c>
      <c r="U1245" s="9" t="s">
        <v>21810</v>
      </c>
      <c r="V1245" s="9" t="s">
        <v>21811</v>
      </c>
      <c r="W1245" s="9" t="s">
        <v>21812</v>
      </c>
      <c r="X1245" s="9" t="s">
        <v>21813</v>
      </c>
      <c r="Y1245" s="9" t="s">
        <v>21814</v>
      </c>
      <c r="Z1245" s="9" t="s">
        <v>353</v>
      </c>
      <c r="AC1245" s="9">
        <v>9.0924745400012E13</v>
      </c>
      <c r="AD1245" s="9">
        <v>9.09247454E8</v>
      </c>
      <c r="AE1245" s="9" t="s">
        <v>401</v>
      </c>
      <c r="AF1245" s="55">
        <v>45499.35236111111</v>
      </c>
      <c r="AG1245" s="9" t="s">
        <v>21815</v>
      </c>
      <c r="AH1245" s="9" t="s">
        <v>21816</v>
      </c>
      <c r="AJ1245" s="9" t="s">
        <v>21817</v>
      </c>
      <c r="AK1245" s="9" t="b">
        <v>0</v>
      </c>
      <c r="AL1245" s="9" t="b">
        <v>0</v>
      </c>
      <c r="AM1245" s="9" t="s">
        <v>21818</v>
      </c>
      <c r="AN1245" s="9" t="s">
        <v>11371</v>
      </c>
      <c r="AP1245" s="56">
        <v>45358.0</v>
      </c>
      <c r="AQ1245" s="9" t="b">
        <v>1</v>
      </c>
      <c r="AR1245" s="9"/>
    </row>
    <row r="1246" ht="15.75" customHeight="1">
      <c r="A1246" s="9" t="s">
        <v>11740</v>
      </c>
      <c r="B1246" s="9" t="s">
        <v>21819</v>
      </c>
      <c r="C1246" s="9" t="s">
        <v>58</v>
      </c>
      <c r="D1246" s="9" t="s">
        <v>59</v>
      </c>
      <c r="E1246" s="9" t="s">
        <v>12384</v>
      </c>
      <c r="F1246" s="9">
        <v>10.0</v>
      </c>
      <c r="G1246" s="9" t="s">
        <v>455</v>
      </c>
      <c r="H1246" s="9"/>
      <c r="I1246" s="9"/>
      <c r="J1246" s="52" t="s">
        <v>21820</v>
      </c>
      <c r="K1246" s="9" t="s">
        <v>21821</v>
      </c>
      <c r="L1246" s="9">
        <v>97430.0</v>
      </c>
      <c r="M1246" s="9" t="s">
        <v>71</v>
      </c>
      <c r="N1246" s="9" t="s">
        <v>9288</v>
      </c>
      <c r="O1246" s="9" t="s">
        <v>21822</v>
      </c>
      <c r="P1246" s="53" t="s">
        <v>21823</v>
      </c>
      <c r="Q1246" s="49" t="s">
        <v>21824</v>
      </c>
      <c r="R1246" s="50"/>
      <c r="S1246" s="58" t="s">
        <v>21825</v>
      </c>
      <c r="T1246" s="9" t="s">
        <v>21826</v>
      </c>
      <c r="U1246" s="9" t="s">
        <v>21827</v>
      </c>
      <c r="V1246" s="9" t="s">
        <v>21828</v>
      </c>
      <c r="W1246" s="9" t="s">
        <v>21829</v>
      </c>
      <c r="X1246" s="9" t="s">
        <v>4474</v>
      </c>
      <c r="Y1246" s="9" t="s">
        <v>21830</v>
      </c>
      <c r="Z1246" s="9" t="s">
        <v>353</v>
      </c>
      <c r="AC1246" s="9">
        <v>9.7848287500017E13</v>
      </c>
      <c r="AD1246" s="9">
        <v>9.78482875E8</v>
      </c>
      <c r="AE1246" s="9" t="s">
        <v>401</v>
      </c>
      <c r="AF1246" s="55">
        <v>45686.59307870371</v>
      </c>
      <c r="AG1246" s="9" t="s">
        <v>21831</v>
      </c>
      <c r="AH1246" s="9" t="s">
        <v>21832</v>
      </c>
      <c r="AJ1246" s="9" t="s">
        <v>21833</v>
      </c>
      <c r="AK1246" s="9" t="b">
        <v>0</v>
      </c>
      <c r="AL1246" s="9" t="b">
        <v>0</v>
      </c>
      <c r="AM1246" s="9" t="s">
        <v>21834</v>
      </c>
      <c r="AN1246" s="9" t="s">
        <v>11740</v>
      </c>
      <c r="AP1246" s="56">
        <v>45363.0</v>
      </c>
      <c r="AQ1246" s="9" t="b">
        <v>0</v>
      </c>
      <c r="AR1246" s="9" t="s">
        <v>21835</v>
      </c>
    </row>
    <row r="1247" ht="15.75" customHeight="1">
      <c r="A1247" s="9" t="s">
        <v>12104</v>
      </c>
      <c r="B1247" s="9" t="s">
        <v>21836</v>
      </c>
      <c r="C1247" s="9" t="s">
        <v>58</v>
      </c>
      <c r="D1247" s="9" t="s">
        <v>59</v>
      </c>
      <c r="E1247" s="9" t="s">
        <v>12384</v>
      </c>
      <c r="F1247" s="9">
        <v>13.0</v>
      </c>
      <c r="G1247" s="9" t="s">
        <v>455</v>
      </c>
      <c r="H1247" s="9"/>
      <c r="I1247" s="9"/>
      <c r="J1247" s="52" t="s">
        <v>19732</v>
      </c>
      <c r="K1247" s="9" t="s">
        <v>21837</v>
      </c>
      <c r="L1247" s="9">
        <v>97418.0</v>
      </c>
      <c r="M1247" s="9" t="s">
        <v>71</v>
      </c>
      <c r="N1247" s="9" t="s">
        <v>216</v>
      </c>
      <c r="O1247" s="9" t="s">
        <v>21838</v>
      </c>
      <c r="P1247" s="53" t="s">
        <v>21839</v>
      </c>
      <c r="Q1247" s="49" t="s">
        <v>21840</v>
      </c>
      <c r="R1247" s="50"/>
      <c r="S1247" s="59"/>
      <c r="T1247" s="9" t="s">
        <v>21841</v>
      </c>
      <c r="U1247" s="9" t="s">
        <v>21842</v>
      </c>
      <c r="V1247" s="9" t="s">
        <v>9494</v>
      </c>
      <c r="W1247" s="9" t="s">
        <v>21843</v>
      </c>
      <c r="X1247" s="9" t="s">
        <v>21844</v>
      </c>
      <c r="Y1247" s="9" t="s">
        <v>21845</v>
      </c>
      <c r="Z1247" s="9" t="s">
        <v>592</v>
      </c>
      <c r="AC1247" s="9">
        <v>4.3814403200028E13</v>
      </c>
      <c r="AD1247" s="9">
        <v>4.38144032E8</v>
      </c>
      <c r="AE1247" s="9" t="s">
        <v>401</v>
      </c>
      <c r="AF1247" s="55">
        <v>45498.62715277778</v>
      </c>
      <c r="AG1247" s="9" t="s">
        <v>21846</v>
      </c>
      <c r="AH1247" s="9" t="s">
        <v>21847</v>
      </c>
      <c r="AJ1247" s="9" t="s">
        <v>21848</v>
      </c>
      <c r="AK1247" s="9" t="b">
        <v>0</v>
      </c>
      <c r="AL1247" s="9" t="b">
        <v>0</v>
      </c>
      <c r="AM1247" s="9" t="s">
        <v>21849</v>
      </c>
      <c r="AN1247" s="9" t="s">
        <v>12104</v>
      </c>
      <c r="AP1247" s="56">
        <v>45365.0</v>
      </c>
      <c r="AQ1247" s="9" t="b">
        <v>1</v>
      </c>
      <c r="AR1247" s="9"/>
    </row>
    <row r="1248" ht="15.75" customHeight="1">
      <c r="A1248" s="9" t="s">
        <v>11373</v>
      </c>
      <c r="B1248" s="9" t="s">
        <v>21850</v>
      </c>
      <c r="C1248" s="9" t="s">
        <v>58</v>
      </c>
      <c r="D1248" s="9" t="s">
        <v>453</v>
      </c>
      <c r="E1248" s="9" t="s">
        <v>545</v>
      </c>
      <c r="F1248" s="9">
        <v>4.0</v>
      </c>
      <c r="G1248" s="9" t="s">
        <v>375</v>
      </c>
      <c r="H1248" s="9"/>
      <c r="I1248" s="9"/>
      <c r="J1248" s="52" t="s">
        <v>12528</v>
      </c>
      <c r="K1248" s="9" t="s">
        <v>18729</v>
      </c>
      <c r="L1248" s="9">
        <v>97442.0</v>
      </c>
      <c r="M1248" s="9" t="s">
        <v>33</v>
      </c>
      <c r="N1248" s="9" t="s">
        <v>15096</v>
      </c>
      <c r="O1248" s="9" t="s">
        <v>21851</v>
      </c>
      <c r="P1248" s="53" t="s">
        <v>21852</v>
      </c>
      <c r="Q1248" s="49" t="s">
        <v>21853</v>
      </c>
      <c r="R1248" s="50"/>
      <c r="S1248" s="59"/>
      <c r="T1248" s="9" t="s">
        <v>21854</v>
      </c>
      <c r="U1248" s="9" t="s">
        <v>21855</v>
      </c>
      <c r="V1248" s="9" t="s">
        <v>15096</v>
      </c>
      <c r="W1248" s="9" t="s">
        <v>21856</v>
      </c>
      <c r="X1248" s="9" t="s">
        <v>21857</v>
      </c>
      <c r="Y1248" s="9" t="s">
        <v>21858</v>
      </c>
      <c r="Z1248" s="9" t="s">
        <v>353</v>
      </c>
      <c r="AC1248" s="9">
        <v>5.0525775800027E13</v>
      </c>
      <c r="AD1248" s="9">
        <v>5.05257758E8</v>
      </c>
      <c r="AE1248" s="9" t="s">
        <v>401</v>
      </c>
      <c r="AF1248" s="55">
        <v>45502.63185185185</v>
      </c>
      <c r="AG1248" s="9" t="s">
        <v>21859</v>
      </c>
      <c r="AH1248" s="9" t="s">
        <v>21860</v>
      </c>
      <c r="AJ1248" s="9" t="s">
        <v>21861</v>
      </c>
      <c r="AK1248" s="9" t="b">
        <v>0</v>
      </c>
      <c r="AL1248" s="9" t="b">
        <v>0</v>
      </c>
      <c r="AM1248" s="9" t="s">
        <v>21862</v>
      </c>
      <c r="AN1248" s="9" t="s">
        <v>11373</v>
      </c>
      <c r="AP1248" s="56">
        <v>45369.0</v>
      </c>
      <c r="AQ1248" s="9" t="b">
        <v>0</v>
      </c>
      <c r="AR1248" s="9"/>
    </row>
    <row r="1249" ht="15.75" customHeight="1">
      <c r="A1249" s="9" t="s">
        <v>11826</v>
      </c>
      <c r="B1249" s="9" t="s">
        <v>21863</v>
      </c>
      <c r="C1249" s="9" t="s">
        <v>34</v>
      </c>
      <c r="D1249" s="9" t="s">
        <v>13467</v>
      </c>
      <c r="E1249" s="9" t="s">
        <v>21864</v>
      </c>
      <c r="F1249" s="9">
        <v>40.0</v>
      </c>
      <c r="G1249" s="9"/>
      <c r="H1249" s="9"/>
      <c r="I1249" s="9"/>
      <c r="J1249" s="52" t="s">
        <v>13645</v>
      </c>
      <c r="K1249" s="9" t="s">
        <v>21865</v>
      </c>
      <c r="L1249" s="9">
        <v>97480.0</v>
      </c>
      <c r="M1249" s="9" t="s">
        <v>123</v>
      </c>
      <c r="N1249" s="9" t="s">
        <v>206</v>
      </c>
      <c r="O1249" s="9" t="s">
        <v>21866</v>
      </c>
      <c r="P1249" s="53" t="s">
        <v>8614</v>
      </c>
      <c r="Q1249" s="49" t="s">
        <v>21867</v>
      </c>
      <c r="R1249" s="50"/>
      <c r="S1249" s="59"/>
      <c r="T1249" s="9" t="s">
        <v>21868</v>
      </c>
      <c r="U1249" s="9" t="s">
        <v>21869</v>
      </c>
      <c r="V1249" s="9" t="s">
        <v>21870</v>
      </c>
      <c r="W1249" s="9" t="s">
        <v>21871</v>
      </c>
      <c r="X1249" s="9" t="s">
        <v>21872</v>
      </c>
      <c r="Y1249" s="9" t="s">
        <v>2938</v>
      </c>
      <c r="Z1249" s="9" t="s">
        <v>592</v>
      </c>
      <c r="AC1249" s="9">
        <v>9.187145510001E13</v>
      </c>
      <c r="AD1249" s="9">
        <v>9.18714551E8</v>
      </c>
      <c r="AE1249" s="9" t="s">
        <v>401</v>
      </c>
      <c r="AF1249" s="55">
        <v>45370.640752314815</v>
      </c>
      <c r="AG1249" s="9" t="s">
        <v>15576</v>
      </c>
      <c r="AH1249" s="9" t="s">
        <v>21873</v>
      </c>
      <c r="AJ1249" s="9"/>
      <c r="AK1249" s="9" t="b">
        <v>1</v>
      </c>
      <c r="AL1249" s="9" t="b">
        <v>1</v>
      </c>
      <c r="AM1249" s="9"/>
      <c r="AN1249" s="9" t="s">
        <v>11826</v>
      </c>
      <c r="AP1249" s="56">
        <v>45370.0</v>
      </c>
      <c r="AQ1249" s="9" t="b">
        <v>0</v>
      </c>
      <c r="AR1249" s="9"/>
    </row>
    <row r="1250" ht="15.75" customHeight="1">
      <c r="A1250" s="9" t="s">
        <v>12071</v>
      </c>
      <c r="B1250" s="9" t="s">
        <v>21874</v>
      </c>
      <c r="C1250" s="9" t="s">
        <v>117</v>
      </c>
      <c r="D1250" s="9" t="s">
        <v>470</v>
      </c>
      <c r="E1250" s="9" t="s">
        <v>21875</v>
      </c>
      <c r="F1250" s="9">
        <v>8.0</v>
      </c>
      <c r="G1250" s="9" t="s">
        <v>455</v>
      </c>
      <c r="H1250" s="9"/>
      <c r="I1250" s="9"/>
      <c r="J1250" s="52" t="s">
        <v>18205</v>
      </c>
      <c r="K1250" s="9" t="s">
        <v>21876</v>
      </c>
      <c r="L1250" s="9">
        <v>97418.0</v>
      </c>
      <c r="M1250" s="9" t="s">
        <v>71</v>
      </c>
      <c r="N1250" s="9" t="s">
        <v>216</v>
      </c>
      <c r="O1250" s="9" t="s">
        <v>21877</v>
      </c>
      <c r="P1250" s="53" t="s">
        <v>21878</v>
      </c>
      <c r="Q1250" s="49" t="s">
        <v>21879</v>
      </c>
      <c r="R1250" s="50"/>
      <c r="S1250" s="58" t="s">
        <v>21880</v>
      </c>
      <c r="T1250" s="9" t="s">
        <v>21881</v>
      </c>
      <c r="U1250" s="9" t="s">
        <v>21882</v>
      </c>
      <c r="V1250" s="9" t="s">
        <v>9494</v>
      </c>
      <c r="W1250" s="9" t="s">
        <v>21883</v>
      </c>
      <c r="X1250" s="9"/>
      <c r="Y1250" s="9" t="s">
        <v>8930</v>
      </c>
      <c r="Z1250" s="9" t="s">
        <v>353</v>
      </c>
      <c r="AC1250" s="9">
        <v>7.9504729900024E13</v>
      </c>
      <c r="AD1250" s="9">
        <v>7.95047299E8</v>
      </c>
      <c r="AE1250" s="9" t="s">
        <v>401</v>
      </c>
      <c r="AF1250" s="55">
        <v>46045.47209490741</v>
      </c>
      <c r="AG1250" s="9" t="s">
        <v>21884</v>
      </c>
      <c r="AH1250" s="9" t="s">
        <v>21885</v>
      </c>
      <c r="AJ1250" s="9" t="s">
        <v>21886</v>
      </c>
      <c r="AK1250" s="9"/>
      <c r="AL1250" s="9"/>
      <c r="AM1250" s="9"/>
      <c r="AN1250" s="9" t="s">
        <v>12071</v>
      </c>
      <c r="AP1250" s="56">
        <v>45373.0</v>
      </c>
      <c r="AQ1250" s="9" t="b">
        <v>1</v>
      </c>
      <c r="AR1250" s="9"/>
    </row>
    <row r="1251" ht="15.75" customHeight="1">
      <c r="A1251" s="9" t="s">
        <v>11664</v>
      </c>
      <c r="B1251" s="9" t="s">
        <v>21887</v>
      </c>
      <c r="C1251" s="9" t="s">
        <v>58</v>
      </c>
      <c r="D1251" s="9" t="s">
        <v>59</v>
      </c>
      <c r="E1251" s="9" t="s">
        <v>545</v>
      </c>
      <c r="F1251" s="9">
        <v>4.0</v>
      </c>
      <c r="G1251" s="9" t="s">
        <v>422</v>
      </c>
      <c r="H1251" s="9"/>
      <c r="I1251" s="9"/>
      <c r="J1251" s="9" t="s">
        <v>21888</v>
      </c>
      <c r="K1251" s="9" t="s">
        <v>21889</v>
      </c>
      <c r="L1251" s="9">
        <v>97414.0</v>
      </c>
      <c r="M1251" s="9" t="s">
        <v>40</v>
      </c>
      <c r="N1251" s="9" t="s">
        <v>1860</v>
      </c>
      <c r="O1251" s="9" t="s">
        <v>21890</v>
      </c>
      <c r="P1251" s="53" t="s">
        <v>21891</v>
      </c>
      <c r="Q1251" s="49" t="s">
        <v>21892</v>
      </c>
      <c r="R1251" s="50"/>
      <c r="S1251" s="59"/>
      <c r="T1251" s="9" t="s">
        <v>21893</v>
      </c>
      <c r="U1251" s="9" t="s">
        <v>21894</v>
      </c>
      <c r="V1251" s="9" t="s">
        <v>21895</v>
      </c>
      <c r="W1251" s="9" t="s">
        <v>21896</v>
      </c>
      <c r="X1251" s="9" t="s">
        <v>21897</v>
      </c>
      <c r="Y1251" s="9" t="s">
        <v>12624</v>
      </c>
      <c r="Z1251" s="9" t="s">
        <v>353</v>
      </c>
      <c r="AC1251" s="9">
        <v>9.2483921000011E13</v>
      </c>
      <c r="AD1251" s="9">
        <v>9.2483921E8</v>
      </c>
      <c r="AE1251" s="9" t="s">
        <v>401</v>
      </c>
      <c r="AF1251" s="55">
        <v>45440.621875</v>
      </c>
      <c r="AG1251" s="9" t="s">
        <v>21898</v>
      </c>
      <c r="AH1251" s="9" t="s">
        <v>21899</v>
      </c>
      <c r="AJ1251" s="9" t="s">
        <v>21900</v>
      </c>
      <c r="AK1251" s="9" t="b">
        <v>0</v>
      </c>
      <c r="AL1251" s="9" t="b">
        <v>0</v>
      </c>
      <c r="AM1251" s="9" t="s">
        <v>21901</v>
      </c>
      <c r="AN1251" s="9" t="s">
        <v>11664</v>
      </c>
      <c r="AP1251" s="56">
        <v>45376.0</v>
      </c>
      <c r="AQ1251" s="9" t="b">
        <v>0</v>
      </c>
      <c r="AR1251" s="9"/>
    </row>
    <row r="1252" ht="15.75" customHeight="1">
      <c r="A1252" s="9" t="s">
        <v>11682</v>
      </c>
      <c r="B1252" s="9" t="s">
        <v>21902</v>
      </c>
      <c r="C1252" s="9" t="s">
        <v>58</v>
      </c>
      <c r="D1252" s="9" t="s">
        <v>59</v>
      </c>
      <c r="E1252" s="9" t="s">
        <v>545</v>
      </c>
      <c r="F1252" s="9">
        <v>4.0</v>
      </c>
      <c r="G1252" s="9" t="s">
        <v>422</v>
      </c>
      <c r="H1252" s="9" t="s">
        <v>2716</v>
      </c>
      <c r="I1252" s="9"/>
      <c r="J1252" s="9" t="s">
        <v>21903</v>
      </c>
      <c r="K1252" s="9" t="s">
        <v>21904</v>
      </c>
      <c r="L1252" s="9">
        <v>97414.0</v>
      </c>
      <c r="M1252" s="9" t="s">
        <v>40</v>
      </c>
      <c r="N1252" s="9" t="s">
        <v>16720</v>
      </c>
      <c r="O1252" s="9" t="s">
        <v>21905</v>
      </c>
      <c r="P1252" s="53" t="s">
        <v>21906</v>
      </c>
      <c r="Q1252" s="49" t="s">
        <v>21907</v>
      </c>
      <c r="R1252" s="50"/>
      <c r="S1252" s="59"/>
      <c r="T1252" s="9" t="s">
        <v>21908</v>
      </c>
      <c r="U1252" s="9" t="s">
        <v>21909</v>
      </c>
      <c r="V1252" s="9" t="s">
        <v>40</v>
      </c>
      <c r="W1252" s="9" t="s">
        <v>21910</v>
      </c>
      <c r="X1252" s="9" t="s">
        <v>21911</v>
      </c>
      <c r="Y1252" s="9" t="s">
        <v>21814</v>
      </c>
      <c r="Z1252" s="9" t="s">
        <v>592</v>
      </c>
      <c r="AC1252" s="9">
        <v>8.301993860002E13</v>
      </c>
      <c r="AD1252" s="9">
        <v>8.30199386E8</v>
      </c>
      <c r="AE1252" s="9" t="s">
        <v>401</v>
      </c>
      <c r="AF1252" s="55">
        <v>45644.35917824074</v>
      </c>
      <c r="AG1252" s="9" t="s">
        <v>21912</v>
      </c>
      <c r="AH1252" s="9" t="s">
        <v>21913</v>
      </c>
      <c r="AJ1252" s="9" t="s">
        <v>21914</v>
      </c>
      <c r="AK1252" s="9" t="b">
        <v>0</v>
      </c>
      <c r="AL1252" s="9" t="b">
        <v>0</v>
      </c>
      <c r="AM1252" s="9" t="s">
        <v>21915</v>
      </c>
      <c r="AN1252" s="9" t="s">
        <v>11682</v>
      </c>
      <c r="AP1252" s="56">
        <v>45377.0</v>
      </c>
      <c r="AQ1252" s="9" t="b">
        <v>0</v>
      </c>
      <c r="AR1252" s="9"/>
    </row>
    <row r="1253" ht="15.75" customHeight="1">
      <c r="A1253" s="9" t="s">
        <v>11375</v>
      </c>
      <c r="B1253" s="9" t="s">
        <v>21916</v>
      </c>
      <c r="C1253" s="9" t="s">
        <v>117</v>
      </c>
      <c r="D1253" s="9" t="s">
        <v>197</v>
      </c>
      <c r="E1253" s="9" t="s">
        <v>21917</v>
      </c>
      <c r="F1253" s="9"/>
      <c r="G1253" s="9" t="s">
        <v>422</v>
      </c>
      <c r="H1253" s="9"/>
      <c r="I1253" s="9"/>
      <c r="J1253" s="52" t="s">
        <v>18205</v>
      </c>
      <c r="K1253" s="9" t="s">
        <v>21918</v>
      </c>
      <c r="L1253" s="9">
        <v>97414.0</v>
      </c>
      <c r="M1253" s="9" t="s">
        <v>40</v>
      </c>
      <c r="N1253" s="9" t="s">
        <v>12447</v>
      </c>
      <c r="O1253" s="9" t="s">
        <v>21919</v>
      </c>
      <c r="P1253" s="53" t="s">
        <v>21920</v>
      </c>
      <c r="Q1253" s="49" t="s">
        <v>21921</v>
      </c>
      <c r="R1253" s="50"/>
      <c r="S1253" s="59"/>
      <c r="T1253" s="9" t="s">
        <v>21922</v>
      </c>
      <c r="U1253" s="9" t="s">
        <v>21923</v>
      </c>
      <c r="V1253" s="9" t="s">
        <v>21924</v>
      </c>
      <c r="W1253" s="9" t="s">
        <v>21925</v>
      </c>
      <c r="X1253" s="9" t="s">
        <v>1534</v>
      </c>
      <c r="Y1253" s="9" t="s">
        <v>377</v>
      </c>
      <c r="Z1253" s="9" t="s">
        <v>353</v>
      </c>
      <c r="AC1253" s="9">
        <v>9.833513210001E13</v>
      </c>
      <c r="AD1253" s="9">
        <v>9.83351321E8</v>
      </c>
      <c r="AE1253" s="9" t="s">
        <v>401</v>
      </c>
      <c r="AF1253" s="55">
        <v>45580.644224537034</v>
      </c>
      <c r="AG1253" s="9" t="s">
        <v>21926</v>
      </c>
      <c r="AH1253" s="9" t="s">
        <v>21927</v>
      </c>
      <c r="AJ1253" s="9" t="s">
        <v>21928</v>
      </c>
      <c r="AK1253" s="9" t="b">
        <v>1</v>
      </c>
      <c r="AL1253" s="9" t="b">
        <v>0</v>
      </c>
      <c r="AM1253" s="9"/>
      <c r="AN1253" s="9" t="s">
        <v>11375</v>
      </c>
      <c r="AP1253" s="56">
        <v>45385.0</v>
      </c>
      <c r="AQ1253" s="9" t="b">
        <v>1</v>
      </c>
      <c r="AR1253" s="9" t="s">
        <v>21929</v>
      </c>
    </row>
    <row r="1254" ht="15.75" customHeight="1">
      <c r="A1254" s="9" t="s">
        <v>11377</v>
      </c>
      <c r="B1254" s="9" t="s">
        <v>21930</v>
      </c>
      <c r="C1254" s="9" t="s">
        <v>58</v>
      </c>
      <c r="D1254" s="9" t="s">
        <v>59</v>
      </c>
      <c r="E1254" s="9" t="s">
        <v>12384</v>
      </c>
      <c r="F1254" s="9">
        <v>4.0</v>
      </c>
      <c r="G1254" s="9" t="s">
        <v>455</v>
      </c>
      <c r="H1254" s="9"/>
      <c r="I1254" s="9"/>
      <c r="J1254" s="52" t="s">
        <v>17956</v>
      </c>
      <c r="K1254" s="9" t="s">
        <v>14889</v>
      </c>
      <c r="L1254" s="9">
        <v>97480.0</v>
      </c>
      <c r="M1254" s="9" t="s">
        <v>123</v>
      </c>
      <c r="N1254" s="9" t="s">
        <v>8395</v>
      </c>
      <c r="O1254" s="9" t="s">
        <v>21931</v>
      </c>
      <c r="P1254" s="53" t="s">
        <v>21932</v>
      </c>
      <c r="Q1254" s="49" t="s">
        <v>21933</v>
      </c>
      <c r="R1254" s="50"/>
      <c r="S1254" s="58" t="s">
        <v>21934</v>
      </c>
      <c r="T1254" s="9" t="s">
        <v>21935</v>
      </c>
      <c r="U1254" s="9" t="s">
        <v>21936</v>
      </c>
      <c r="V1254" s="9" t="s">
        <v>21937</v>
      </c>
      <c r="W1254" s="9" t="s">
        <v>21938</v>
      </c>
      <c r="X1254" s="9" t="s">
        <v>21939</v>
      </c>
      <c r="Y1254" s="9" t="s">
        <v>21845</v>
      </c>
      <c r="Z1254" s="9" t="s">
        <v>424</v>
      </c>
      <c r="AC1254" s="9">
        <v>9.8476136100018E13</v>
      </c>
      <c r="AD1254" s="9">
        <v>9.84761361E8</v>
      </c>
      <c r="AE1254" s="9" t="s">
        <v>12355</v>
      </c>
      <c r="AF1254" s="55">
        <v>45749.603159722225</v>
      </c>
      <c r="AG1254" s="9" t="s">
        <v>21940</v>
      </c>
      <c r="AH1254" s="9" t="s">
        <v>21941</v>
      </c>
      <c r="AJ1254" s="9" t="s">
        <v>21942</v>
      </c>
      <c r="AK1254" s="9" t="b">
        <v>0</v>
      </c>
      <c r="AL1254" s="9" t="b">
        <v>1</v>
      </c>
      <c r="AM1254" s="9" t="s">
        <v>21943</v>
      </c>
      <c r="AN1254" s="9" t="s">
        <v>11377</v>
      </c>
      <c r="AP1254" s="56">
        <v>45386.0</v>
      </c>
      <c r="AQ1254" s="9" t="b">
        <v>0</v>
      </c>
      <c r="AR1254" s="9" t="s">
        <v>21944</v>
      </c>
    </row>
    <row r="1255" ht="15.75" customHeight="1">
      <c r="A1255" s="9" t="s">
        <v>11379</v>
      </c>
      <c r="B1255" s="9" t="s">
        <v>21945</v>
      </c>
      <c r="C1255" s="9" t="s">
        <v>58</v>
      </c>
      <c r="D1255" s="9" t="s">
        <v>59</v>
      </c>
      <c r="E1255" s="9" t="s">
        <v>346</v>
      </c>
      <c r="F1255" s="9">
        <v>6.0</v>
      </c>
      <c r="G1255" s="9" t="s">
        <v>375</v>
      </c>
      <c r="H1255" s="9"/>
      <c r="I1255" s="9"/>
      <c r="J1255" s="9" t="s">
        <v>21946</v>
      </c>
      <c r="K1255" s="9" t="s">
        <v>21947</v>
      </c>
      <c r="L1255" s="9">
        <v>97480.0</v>
      </c>
      <c r="M1255" s="9" t="s">
        <v>123</v>
      </c>
      <c r="N1255" s="9" t="s">
        <v>8325</v>
      </c>
      <c r="O1255" s="9" t="s">
        <v>21948</v>
      </c>
      <c r="P1255" s="53" t="s">
        <v>21949</v>
      </c>
      <c r="Q1255" s="49" t="s">
        <v>21950</v>
      </c>
      <c r="R1255" s="50"/>
      <c r="S1255" s="59"/>
      <c r="T1255" s="9" t="s">
        <v>21951</v>
      </c>
      <c r="U1255" s="9" t="s">
        <v>21945</v>
      </c>
      <c r="V1255" s="9" t="s">
        <v>21952</v>
      </c>
      <c r="W1255" s="9" t="s">
        <v>21953</v>
      </c>
      <c r="X1255" s="9" t="s">
        <v>21954</v>
      </c>
      <c r="Y1255" s="9" t="s">
        <v>21722</v>
      </c>
      <c r="Z1255" s="9" t="s">
        <v>592</v>
      </c>
      <c r="AC1255" s="9">
        <v>9.0269820800011E13</v>
      </c>
      <c r="AD1255" s="9">
        <v>9.02698208E8</v>
      </c>
      <c r="AE1255" s="9" t="s">
        <v>401</v>
      </c>
      <c r="AF1255" s="55">
        <v>45443.63025462963</v>
      </c>
      <c r="AG1255" s="9" t="s">
        <v>21955</v>
      </c>
      <c r="AH1255" s="9" t="s">
        <v>21956</v>
      </c>
      <c r="AJ1255" s="9" t="s">
        <v>21957</v>
      </c>
      <c r="AK1255" s="9" t="b">
        <v>0</v>
      </c>
      <c r="AL1255" s="9" t="b">
        <v>1</v>
      </c>
      <c r="AM1255" s="9" t="s">
        <v>21958</v>
      </c>
      <c r="AN1255" s="9" t="s">
        <v>11379</v>
      </c>
      <c r="AP1255" s="56">
        <v>45386.0</v>
      </c>
      <c r="AQ1255" s="9" t="b">
        <v>0</v>
      </c>
      <c r="AR1255" s="9"/>
    </row>
    <row r="1256" ht="15.75" customHeight="1">
      <c r="A1256" s="9" t="s">
        <v>11381</v>
      </c>
      <c r="B1256" s="9" t="s">
        <v>21959</v>
      </c>
      <c r="C1256" s="9" t="s">
        <v>58</v>
      </c>
      <c r="D1256" s="9" t="s">
        <v>59</v>
      </c>
      <c r="E1256" s="9" t="s">
        <v>12384</v>
      </c>
      <c r="F1256" s="9">
        <v>8.0</v>
      </c>
      <c r="G1256" s="9" t="s">
        <v>455</v>
      </c>
      <c r="H1256" s="9"/>
      <c r="I1256" s="9"/>
      <c r="J1256" s="52" t="s">
        <v>14516</v>
      </c>
      <c r="K1256" s="9" t="s">
        <v>12616</v>
      </c>
      <c r="L1256" s="9">
        <v>97480.0</v>
      </c>
      <c r="M1256" s="9" t="s">
        <v>123</v>
      </c>
      <c r="N1256" s="9" t="s">
        <v>4456</v>
      </c>
      <c r="O1256" s="9" t="s">
        <v>21960</v>
      </c>
      <c r="P1256" s="53" t="s">
        <v>21961</v>
      </c>
      <c r="Q1256" s="49" t="s">
        <v>21962</v>
      </c>
      <c r="R1256" s="50"/>
      <c r="S1256" s="58" t="s">
        <v>21963</v>
      </c>
      <c r="T1256" s="9" t="s">
        <v>21964</v>
      </c>
      <c r="U1256" s="9" t="s">
        <v>21965</v>
      </c>
      <c r="V1256" s="9" t="s">
        <v>21966</v>
      </c>
      <c r="W1256" s="9" t="s">
        <v>21967</v>
      </c>
      <c r="X1256" s="9" t="s">
        <v>21968</v>
      </c>
      <c r="Y1256" s="9" t="s">
        <v>21969</v>
      </c>
      <c r="Z1256" s="9" t="s">
        <v>353</v>
      </c>
      <c r="AC1256" s="9">
        <v>9.12335098E8</v>
      </c>
      <c r="AD1256" s="9">
        <v>9.12335098E8</v>
      </c>
      <c r="AE1256" s="9" t="s">
        <v>12355</v>
      </c>
      <c r="AF1256" s="55">
        <v>45638.55594907407</v>
      </c>
      <c r="AG1256" s="9" t="s">
        <v>21970</v>
      </c>
      <c r="AH1256" s="9" t="s">
        <v>21971</v>
      </c>
      <c r="AJ1256" s="9" t="s">
        <v>21972</v>
      </c>
      <c r="AK1256" s="9" t="b">
        <v>0</v>
      </c>
      <c r="AL1256" s="9" t="b">
        <v>0</v>
      </c>
      <c r="AM1256" s="9"/>
      <c r="AN1256" s="9" t="s">
        <v>11381</v>
      </c>
      <c r="AP1256" s="56">
        <v>45387.0</v>
      </c>
      <c r="AQ1256" s="9" t="b">
        <v>0</v>
      </c>
      <c r="AR1256" s="9"/>
    </row>
    <row r="1257" ht="15.75" customHeight="1">
      <c r="A1257" s="9" t="s">
        <v>11383</v>
      </c>
      <c r="B1257" s="9" t="s">
        <v>21973</v>
      </c>
      <c r="C1257" s="9" t="s">
        <v>58</v>
      </c>
      <c r="D1257" s="9" t="s">
        <v>59</v>
      </c>
      <c r="E1257" s="9" t="s">
        <v>12384</v>
      </c>
      <c r="F1257" s="9">
        <v>6.0</v>
      </c>
      <c r="G1257" s="9" t="s">
        <v>455</v>
      </c>
      <c r="H1257" s="9"/>
      <c r="I1257" s="9"/>
      <c r="J1257" s="9" t="s">
        <v>21974</v>
      </c>
      <c r="K1257" s="9" t="s">
        <v>21975</v>
      </c>
      <c r="L1257" s="9">
        <v>97480.0</v>
      </c>
      <c r="M1257" s="9" t="s">
        <v>123</v>
      </c>
      <c r="N1257" s="9" t="s">
        <v>4456</v>
      </c>
      <c r="O1257" s="9" t="s">
        <v>21976</v>
      </c>
      <c r="P1257" s="53" t="s">
        <v>21961</v>
      </c>
      <c r="Q1257" s="49" t="s">
        <v>21962</v>
      </c>
      <c r="R1257" s="50"/>
      <c r="S1257" s="58" t="s">
        <v>21977</v>
      </c>
      <c r="T1257" s="9" t="s">
        <v>21978</v>
      </c>
      <c r="U1257" s="9" t="s">
        <v>21979</v>
      </c>
      <c r="V1257" s="9" t="s">
        <v>4456</v>
      </c>
      <c r="W1257" s="9" t="s">
        <v>21980</v>
      </c>
      <c r="X1257" s="9" t="s">
        <v>21981</v>
      </c>
      <c r="Y1257" s="9" t="s">
        <v>21982</v>
      </c>
      <c r="Z1257" s="9" t="s">
        <v>353</v>
      </c>
      <c r="AC1257" s="9">
        <v>9.12335098E8</v>
      </c>
      <c r="AD1257" s="9">
        <v>9.12335098E8</v>
      </c>
      <c r="AE1257" s="9" t="s">
        <v>12355</v>
      </c>
      <c r="AF1257" s="55">
        <v>45434.77376157408</v>
      </c>
      <c r="AG1257" s="9" t="s">
        <v>21983</v>
      </c>
      <c r="AH1257" s="9" t="s">
        <v>21984</v>
      </c>
      <c r="AJ1257" s="9" t="s">
        <v>21985</v>
      </c>
      <c r="AK1257" s="9"/>
      <c r="AL1257" s="9" t="b">
        <v>0</v>
      </c>
      <c r="AM1257" s="9"/>
      <c r="AN1257" s="9" t="s">
        <v>11383</v>
      </c>
      <c r="AP1257" s="56">
        <v>45390.0</v>
      </c>
      <c r="AQ1257" s="9" t="b">
        <v>0</v>
      </c>
      <c r="AR1257" s="9"/>
    </row>
    <row r="1258" ht="15.75" customHeight="1">
      <c r="A1258" s="9" t="s">
        <v>11385</v>
      </c>
      <c r="B1258" s="9" t="s">
        <v>21986</v>
      </c>
      <c r="C1258" s="9" t="s">
        <v>58</v>
      </c>
      <c r="D1258" s="9" t="s">
        <v>453</v>
      </c>
      <c r="E1258" s="9" t="s">
        <v>21987</v>
      </c>
      <c r="F1258" s="9">
        <v>14.0</v>
      </c>
      <c r="G1258" s="9" t="s">
        <v>9780</v>
      </c>
      <c r="H1258" s="9"/>
      <c r="I1258" s="9" t="s">
        <v>578</v>
      </c>
      <c r="J1258" s="52" t="s">
        <v>12820</v>
      </c>
      <c r="K1258" s="9" t="s">
        <v>21988</v>
      </c>
      <c r="L1258" s="9">
        <v>97418.0</v>
      </c>
      <c r="M1258" s="9" t="s">
        <v>71</v>
      </c>
      <c r="N1258" s="9" t="s">
        <v>216</v>
      </c>
      <c r="O1258" s="9" t="s">
        <v>21989</v>
      </c>
      <c r="P1258" s="53" t="s">
        <v>21990</v>
      </c>
      <c r="Q1258" s="49" t="s">
        <v>21991</v>
      </c>
      <c r="R1258" s="50"/>
      <c r="S1258" s="58" t="s">
        <v>21992</v>
      </c>
      <c r="T1258" s="9" t="s">
        <v>21993</v>
      </c>
      <c r="U1258" s="9" t="s">
        <v>21994</v>
      </c>
      <c r="V1258" s="9" t="s">
        <v>21995</v>
      </c>
      <c r="W1258" s="9" t="s">
        <v>21996</v>
      </c>
      <c r="X1258" s="9" t="s">
        <v>21997</v>
      </c>
      <c r="Y1258" s="9" t="s">
        <v>21998</v>
      </c>
      <c r="Z1258" s="9" t="s">
        <v>440</v>
      </c>
      <c r="AC1258" s="9">
        <v>8.9215050900024E13</v>
      </c>
      <c r="AD1258" s="9">
        <v>8.92150509E8</v>
      </c>
      <c r="AE1258" s="9" t="s">
        <v>401</v>
      </c>
      <c r="AF1258" s="55">
        <v>45533.46840277778</v>
      </c>
      <c r="AG1258" s="9" t="s">
        <v>21999</v>
      </c>
      <c r="AH1258" s="9" t="s">
        <v>22000</v>
      </c>
      <c r="AJ1258" s="9" t="s">
        <v>22001</v>
      </c>
      <c r="AK1258" s="9" t="b">
        <v>0</v>
      </c>
      <c r="AL1258" s="9" t="b">
        <v>0</v>
      </c>
      <c r="AM1258" s="9" t="s">
        <v>22002</v>
      </c>
      <c r="AN1258" s="9" t="s">
        <v>11385</v>
      </c>
      <c r="AP1258" s="56">
        <v>45390.0</v>
      </c>
      <c r="AQ1258" s="9" t="b">
        <v>0</v>
      </c>
      <c r="AR1258" s="9" t="s">
        <v>22003</v>
      </c>
    </row>
    <row r="1259" ht="15.75" customHeight="1">
      <c r="A1259" s="9" t="s">
        <v>11387</v>
      </c>
      <c r="B1259" s="9" t="s">
        <v>22004</v>
      </c>
      <c r="C1259" s="9" t="s">
        <v>58</v>
      </c>
      <c r="D1259" s="9" t="s">
        <v>59</v>
      </c>
      <c r="E1259" s="9" t="s">
        <v>12384</v>
      </c>
      <c r="F1259" s="9">
        <v>6.0</v>
      </c>
      <c r="G1259" s="9" t="s">
        <v>455</v>
      </c>
      <c r="H1259" s="9"/>
      <c r="I1259" s="9"/>
      <c r="J1259" s="9" t="s">
        <v>22005</v>
      </c>
      <c r="K1259" s="9" t="s">
        <v>22006</v>
      </c>
      <c r="L1259" s="9">
        <v>97418.0</v>
      </c>
      <c r="M1259" s="9" t="s">
        <v>71</v>
      </c>
      <c r="N1259" s="9" t="s">
        <v>22007</v>
      </c>
      <c r="O1259" s="9" t="s">
        <v>22008</v>
      </c>
      <c r="P1259" s="53" t="s">
        <v>22009</v>
      </c>
      <c r="Q1259" s="49" t="s">
        <v>22010</v>
      </c>
      <c r="R1259" s="50"/>
      <c r="S1259" s="59"/>
      <c r="T1259" s="9" t="s">
        <v>22011</v>
      </c>
      <c r="U1259" s="9" t="s">
        <v>22012</v>
      </c>
      <c r="V1259" s="9" t="s">
        <v>22013</v>
      </c>
      <c r="W1259" s="9" t="s">
        <v>22014</v>
      </c>
      <c r="X1259" s="9" t="s">
        <v>22015</v>
      </c>
      <c r="Y1259" s="9" t="s">
        <v>22016</v>
      </c>
      <c r="Z1259" s="9" t="s">
        <v>353</v>
      </c>
      <c r="AC1259" s="9">
        <v>8.8113711100012E13</v>
      </c>
      <c r="AD1259" s="9">
        <v>8.81137111E8</v>
      </c>
      <c r="AE1259" s="9" t="s">
        <v>401</v>
      </c>
      <c r="AF1259" s="55">
        <v>45469.36670138889</v>
      </c>
      <c r="AG1259" s="9" t="s">
        <v>22017</v>
      </c>
      <c r="AH1259" s="9" t="s">
        <v>22018</v>
      </c>
      <c r="AJ1259" s="9" t="s">
        <v>22019</v>
      </c>
      <c r="AK1259" s="9" t="b">
        <v>0</v>
      </c>
      <c r="AL1259" s="9" t="b">
        <v>0</v>
      </c>
      <c r="AM1259" s="9" t="s">
        <v>22020</v>
      </c>
      <c r="AN1259" s="9" t="s">
        <v>11387</v>
      </c>
      <c r="AP1259" s="56">
        <v>45407.0</v>
      </c>
      <c r="AQ1259" s="9" t="b">
        <v>1</v>
      </c>
      <c r="AR1259" s="9"/>
    </row>
    <row r="1260" ht="15.75" customHeight="1">
      <c r="A1260" s="9" t="s">
        <v>11389</v>
      </c>
      <c r="B1260" s="9" t="s">
        <v>22021</v>
      </c>
      <c r="C1260" s="9" t="s">
        <v>58</v>
      </c>
      <c r="D1260" s="9" t="s">
        <v>59</v>
      </c>
      <c r="E1260" s="9" t="s">
        <v>12384</v>
      </c>
      <c r="F1260" s="9">
        <v>4.0</v>
      </c>
      <c r="G1260" s="9" t="s">
        <v>664</v>
      </c>
      <c r="H1260" s="9" t="s">
        <v>2716</v>
      </c>
      <c r="I1260" s="9"/>
      <c r="J1260" s="52" t="s">
        <v>14790</v>
      </c>
      <c r="K1260" s="9" t="s">
        <v>22022</v>
      </c>
      <c r="L1260" s="9">
        <v>97430.0</v>
      </c>
      <c r="M1260" s="9" t="s">
        <v>71</v>
      </c>
      <c r="N1260" s="9" t="s">
        <v>12698</v>
      </c>
      <c r="O1260" s="9" t="s">
        <v>22023</v>
      </c>
      <c r="P1260" s="53" t="s">
        <v>22024</v>
      </c>
      <c r="Q1260" s="49" t="s">
        <v>22025</v>
      </c>
      <c r="R1260" s="50"/>
      <c r="S1260" s="59"/>
      <c r="T1260" s="9" t="s">
        <v>22026</v>
      </c>
      <c r="U1260" s="9" t="s">
        <v>22027</v>
      </c>
      <c r="V1260" s="9" t="s">
        <v>22028</v>
      </c>
      <c r="W1260" s="9" t="s">
        <v>22029</v>
      </c>
      <c r="X1260" s="9" t="s">
        <v>22030</v>
      </c>
      <c r="Y1260" s="9" t="s">
        <v>22031</v>
      </c>
      <c r="Z1260" s="9" t="s">
        <v>592</v>
      </c>
      <c r="AC1260" s="9">
        <v>9.2535257700017E13</v>
      </c>
      <c r="AD1260" s="9">
        <v>9.25352577E8</v>
      </c>
      <c r="AE1260" s="9" t="s">
        <v>401</v>
      </c>
      <c r="AF1260" s="55">
        <v>45505.40555555555</v>
      </c>
      <c r="AG1260" s="9" t="s">
        <v>22032</v>
      </c>
      <c r="AH1260" s="9" t="s">
        <v>22033</v>
      </c>
      <c r="AJ1260" s="9" t="s">
        <v>22034</v>
      </c>
      <c r="AK1260" s="9" t="b">
        <v>1</v>
      </c>
      <c r="AL1260" s="9" t="b">
        <v>0</v>
      </c>
      <c r="AM1260" s="9" t="s">
        <v>22035</v>
      </c>
      <c r="AN1260" s="9" t="s">
        <v>11389</v>
      </c>
      <c r="AP1260" s="56">
        <v>45407.0</v>
      </c>
      <c r="AQ1260" s="9" t="b">
        <v>0</v>
      </c>
      <c r="AR1260" s="9"/>
    </row>
    <row r="1261" ht="15.75" customHeight="1">
      <c r="A1261" s="9" t="s">
        <v>11392</v>
      </c>
      <c r="B1261" s="9" t="s">
        <v>22036</v>
      </c>
      <c r="C1261" s="9" t="s">
        <v>58</v>
      </c>
      <c r="D1261" s="9" t="s">
        <v>59</v>
      </c>
      <c r="E1261" s="9" t="s">
        <v>12384</v>
      </c>
      <c r="F1261" s="9">
        <v>6.0</v>
      </c>
      <c r="G1261" s="9" t="s">
        <v>455</v>
      </c>
      <c r="H1261" s="9"/>
      <c r="I1261" s="9"/>
      <c r="J1261" s="9" t="s">
        <v>22037</v>
      </c>
      <c r="K1261" s="9" t="s">
        <v>22038</v>
      </c>
      <c r="L1261" s="9">
        <v>97430.0</v>
      </c>
      <c r="M1261" s="9" t="s">
        <v>71</v>
      </c>
      <c r="N1261" s="9" t="s">
        <v>9050</v>
      </c>
      <c r="O1261" s="9" t="s">
        <v>22039</v>
      </c>
      <c r="P1261" s="53" t="s">
        <v>22040</v>
      </c>
      <c r="Q1261" s="49" t="s">
        <v>22041</v>
      </c>
      <c r="R1261" s="50"/>
      <c r="S1261" s="59"/>
      <c r="T1261" s="9" t="s">
        <v>22042</v>
      </c>
      <c r="U1261" s="9" t="s">
        <v>22043</v>
      </c>
      <c r="V1261" s="9" t="s">
        <v>12698</v>
      </c>
      <c r="W1261" s="9" t="s">
        <v>22044</v>
      </c>
      <c r="X1261" s="9" t="s">
        <v>5984</v>
      </c>
      <c r="Y1261" s="9" t="s">
        <v>18042</v>
      </c>
      <c r="Z1261" s="9" t="s">
        <v>353</v>
      </c>
      <c r="AC1261" s="9">
        <v>5.2873515200027E13</v>
      </c>
      <c r="AD1261" s="9">
        <v>5.28735152E8</v>
      </c>
      <c r="AE1261" s="9" t="s">
        <v>401</v>
      </c>
      <c r="AF1261" s="55">
        <v>45533.496099537035</v>
      </c>
      <c r="AG1261" s="9" t="s">
        <v>22045</v>
      </c>
      <c r="AH1261" s="9" t="s">
        <v>22046</v>
      </c>
      <c r="AJ1261" s="9" t="s">
        <v>22047</v>
      </c>
      <c r="AK1261" s="9" t="b">
        <v>0</v>
      </c>
      <c r="AL1261" s="9" t="b">
        <v>0</v>
      </c>
      <c r="AM1261" s="9" t="s">
        <v>22048</v>
      </c>
      <c r="AN1261" s="9" t="s">
        <v>11392</v>
      </c>
      <c r="AP1261" s="56">
        <v>45407.0</v>
      </c>
      <c r="AQ1261" s="9" t="b">
        <v>0</v>
      </c>
      <c r="AR1261" s="9"/>
    </row>
    <row r="1262" ht="15.75" customHeight="1">
      <c r="A1262" s="9" t="s">
        <v>11394</v>
      </c>
      <c r="B1262" s="9" t="s">
        <v>22049</v>
      </c>
      <c r="C1262" s="9" t="s">
        <v>58</v>
      </c>
      <c r="D1262" s="9" t="s">
        <v>59</v>
      </c>
      <c r="E1262" s="9" t="s">
        <v>12384</v>
      </c>
      <c r="F1262" s="9">
        <v>10.0</v>
      </c>
      <c r="G1262" s="9" t="s">
        <v>455</v>
      </c>
      <c r="H1262" s="9"/>
      <c r="I1262" s="9"/>
      <c r="J1262" s="52" t="s">
        <v>22050</v>
      </c>
      <c r="K1262" s="9" t="s">
        <v>20814</v>
      </c>
      <c r="L1262" s="9">
        <v>97418.0</v>
      </c>
      <c r="M1262" s="9" t="s">
        <v>71</v>
      </c>
      <c r="N1262" s="9" t="s">
        <v>9494</v>
      </c>
      <c r="O1262" s="9" t="s">
        <v>22051</v>
      </c>
      <c r="P1262" s="53" t="s">
        <v>22052</v>
      </c>
      <c r="Q1262" s="43"/>
      <c r="R1262" s="50"/>
      <c r="S1262" s="58" t="s">
        <v>22053</v>
      </c>
      <c r="T1262" s="9" t="s">
        <v>22054</v>
      </c>
      <c r="U1262" s="9" t="s">
        <v>22055</v>
      </c>
      <c r="V1262" s="9" t="s">
        <v>22056</v>
      </c>
      <c r="W1262" s="9" t="s">
        <v>22057</v>
      </c>
      <c r="X1262" s="9" t="s">
        <v>22058</v>
      </c>
      <c r="Y1262" s="9" t="s">
        <v>22059</v>
      </c>
      <c r="Z1262" s="9" t="s">
        <v>378</v>
      </c>
      <c r="AC1262" s="9">
        <v>9.8371155700014E13</v>
      </c>
      <c r="AD1262" s="9">
        <v>9.83711557E8</v>
      </c>
      <c r="AE1262" s="9" t="s">
        <v>401</v>
      </c>
      <c r="AF1262" s="55">
        <v>45510.641539351855</v>
      </c>
      <c r="AG1262" s="9" t="s">
        <v>22060</v>
      </c>
      <c r="AH1262" s="9" t="s">
        <v>22061</v>
      </c>
      <c r="AJ1262" s="9" t="s">
        <v>22062</v>
      </c>
      <c r="AK1262" s="9" t="b">
        <v>0</v>
      </c>
      <c r="AL1262" s="9" t="b">
        <v>0</v>
      </c>
      <c r="AM1262" s="9"/>
      <c r="AN1262" s="9" t="s">
        <v>11394</v>
      </c>
      <c r="AP1262" s="56">
        <v>45411.0</v>
      </c>
      <c r="AQ1262" s="9" t="b">
        <v>0</v>
      </c>
      <c r="AR1262" s="9"/>
    </row>
    <row r="1263" ht="15.75" customHeight="1">
      <c r="A1263" s="9" t="s">
        <v>11396</v>
      </c>
      <c r="B1263" s="9" t="s">
        <v>22063</v>
      </c>
      <c r="C1263" s="9" t="s">
        <v>58</v>
      </c>
      <c r="D1263" s="9" t="s">
        <v>59</v>
      </c>
      <c r="E1263" s="9" t="s">
        <v>12384</v>
      </c>
      <c r="F1263" s="9">
        <v>6.0</v>
      </c>
      <c r="G1263" s="9" t="s">
        <v>455</v>
      </c>
      <c r="H1263" s="9"/>
      <c r="I1263" s="9"/>
      <c r="J1263" s="9" t="s">
        <v>22064</v>
      </c>
      <c r="K1263" s="9" t="s">
        <v>16400</v>
      </c>
      <c r="L1263" s="9">
        <v>97430.0</v>
      </c>
      <c r="M1263" s="9" t="s">
        <v>71</v>
      </c>
      <c r="N1263" s="9"/>
      <c r="O1263" s="9" t="s">
        <v>22065</v>
      </c>
      <c r="P1263" s="53" t="s">
        <v>22066</v>
      </c>
      <c r="Q1263" s="49" t="s">
        <v>22067</v>
      </c>
      <c r="R1263" s="50"/>
      <c r="S1263" s="59"/>
      <c r="T1263" s="9" t="s">
        <v>22068</v>
      </c>
      <c r="U1263" s="9" t="s">
        <v>22069</v>
      </c>
      <c r="V1263" s="9" t="s">
        <v>22070</v>
      </c>
      <c r="W1263" s="9" t="s">
        <v>22071</v>
      </c>
      <c r="X1263" s="9" t="s">
        <v>22072</v>
      </c>
      <c r="Y1263" s="9" t="s">
        <v>9455</v>
      </c>
      <c r="Z1263" s="9" t="s">
        <v>353</v>
      </c>
      <c r="AC1263" s="9"/>
      <c r="AD1263" s="9"/>
      <c r="AE1263" s="9" t="s">
        <v>401</v>
      </c>
      <c r="AF1263" s="55">
        <v>45448.40945601852</v>
      </c>
      <c r="AG1263" s="9" t="s">
        <v>22073</v>
      </c>
      <c r="AH1263" s="9" t="s">
        <v>22074</v>
      </c>
      <c r="AJ1263" s="9" t="s">
        <v>22075</v>
      </c>
      <c r="AK1263" s="9" t="b">
        <v>0</v>
      </c>
      <c r="AL1263" s="9" t="b">
        <v>0</v>
      </c>
      <c r="AM1263" s="9"/>
      <c r="AN1263" s="9" t="s">
        <v>11396</v>
      </c>
      <c r="AP1263" s="56">
        <v>45415.0</v>
      </c>
      <c r="AQ1263" s="9" t="b">
        <v>0</v>
      </c>
      <c r="AR1263" s="9"/>
    </row>
    <row r="1264" ht="15.75" customHeight="1">
      <c r="A1264" s="9" t="s">
        <v>11398</v>
      </c>
      <c r="B1264" s="9" t="s">
        <v>22076</v>
      </c>
      <c r="C1264" s="9" t="s">
        <v>58</v>
      </c>
      <c r="D1264" s="9" t="s">
        <v>59</v>
      </c>
      <c r="E1264" s="9" t="s">
        <v>374</v>
      </c>
      <c r="F1264" s="9">
        <v>4.0</v>
      </c>
      <c r="G1264" s="9" t="s">
        <v>455</v>
      </c>
      <c r="H1264" s="9"/>
      <c r="I1264" s="9"/>
      <c r="J1264" s="52" t="s">
        <v>22077</v>
      </c>
      <c r="K1264" s="9" t="s">
        <v>18143</v>
      </c>
      <c r="L1264" s="9">
        <v>97430.0</v>
      </c>
      <c r="M1264" s="9" t="s">
        <v>71</v>
      </c>
      <c r="N1264" s="9" t="s">
        <v>3501</v>
      </c>
      <c r="O1264" s="9" t="s">
        <v>22078</v>
      </c>
      <c r="P1264" s="53" t="s">
        <v>22079</v>
      </c>
      <c r="Q1264" s="49" t="s">
        <v>22080</v>
      </c>
      <c r="R1264" s="50"/>
      <c r="S1264" s="59"/>
      <c r="T1264" s="9" t="s">
        <v>22081</v>
      </c>
      <c r="U1264" s="9" t="s">
        <v>22082</v>
      </c>
      <c r="V1264" s="9" t="s">
        <v>22083</v>
      </c>
      <c r="W1264" s="9" t="s">
        <v>22084</v>
      </c>
      <c r="X1264" s="9" t="s">
        <v>22085</v>
      </c>
      <c r="Y1264" s="9" t="s">
        <v>22086</v>
      </c>
      <c r="Z1264" s="9" t="s">
        <v>592</v>
      </c>
      <c r="AC1264" s="9">
        <v>4.2004729200057E13</v>
      </c>
      <c r="AD1264" s="9">
        <v>4.20047292E8</v>
      </c>
      <c r="AE1264" s="9" t="s">
        <v>401</v>
      </c>
      <c r="AF1264" s="55">
        <v>45441.388032407405</v>
      </c>
      <c r="AG1264" s="9" t="s">
        <v>22087</v>
      </c>
      <c r="AH1264" s="9" t="s">
        <v>22088</v>
      </c>
      <c r="AJ1264" s="9" t="s">
        <v>22089</v>
      </c>
      <c r="AK1264" s="9" t="b">
        <v>1</v>
      </c>
      <c r="AL1264" s="9" t="b">
        <v>0</v>
      </c>
      <c r="AM1264" s="9" t="s">
        <v>22090</v>
      </c>
      <c r="AN1264" s="9" t="s">
        <v>11398</v>
      </c>
      <c r="AP1264" s="56">
        <v>45426.0</v>
      </c>
      <c r="AQ1264" s="9" t="b">
        <v>0</v>
      </c>
      <c r="AR1264" s="9" t="s">
        <v>22091</v>
      </c>
    </row>
    <row r="1265" ht="15.75" customHeight="1">
      <c r="A1265" s="9" t="s">
        <v>11400</v>
      </c>
      <c r="B1265" s="9" t="s">
        <v>22092</v>
      </c>
      <c r="C1265" s="9" t="s">
        <v>58</v>
      </c>
      <c r="D1265" s="9" t="s">
        <v>453</v>
      </c>
      <c r="E1265" s="9" t="s">
        <v>454</v>
      </c>
      <c r="F1265" s="9">
        <v>6.0</v>
      </c>
      <c r="G1265" s="9" t="s">
        <v>375</v>
      </c>
      <c r="H1265" s="9"/>
      <c r="I1265" s="9"/>
      <c r="J1265" s="9" t="s">
        <v>22093</v>
      </c>
      <c r="K1265" s="9" t="s">
        <v>17205</v>
      </c>
      <c r="L1265" s="9">
        <v>97442.0</v>
      </c>
      <c r="M1265" s="9" t="s">
        <v>33</v>
      </c>
      <c r="N1265" s="9" t="s">
        <v>15034</v>
      </c>
      <c r="O1265" s="9" t="s">
        <v>22094</v>
      </c>
      <c r="P1265" s="53" t="s">
        <v>22095</v>
      </c>
      <c r="Q1265" s="49" t="s">
        <v>22096</v>
      </c>
      <c r="R1265" s="50"/>
      <c r="S1265" s="58" t="s">
        <v>22097</v>
      </c>
      <c r="T1265" s="9" t="s">
        <v>22098</v>
      </c>
      <c r="U1265" s="9" t="s">
        <v>22099</v>
      </c>
      <c r="V1265" s="9" t="s">
        <v>22100</v>
      </c>
      <c r="W1265" s="9" t="s">
        <v>22101</v>
      </c>
      <c r="X1265" s="9" t="s">
        <v>22102</v>
      </c>
      <c r="Y1265" s="9" t="s">
        <v>22103</v>
      </c>
      <c r="Z1265" s="9" t="s">
        <v>378</v>
      </c>
      <c r="AC1265" s="9">
        <v>9.2532978100015E13</v>
      </c>
      <c r="AD1265" s="9">
        <v>9.25329781E8</v>
      </c>
      <c r="AE1265" s="9" t="s">
        <v>401</v>
      </c>
      <c r="AF1265" s="55">
        <v>45513.46680555555</v>
      </c>
      <c r="AG1265" s="9" t="s">
        <v>22104</v>
      </c>
      <c r="AH1265" s="9" t="s">
        <v>22105</v>
      </c>
      <c r="AJ1265" s="9" t="s">
        <v>22106</v>
      </c>
      <c r="AK1265" s="9" t="b">
        <v>0</v>
      </c>
      <c r="AL1265" s="9" t="b">
        <v>0</v>
      </c>
      <c r="AM1265" s="9" t="s">
        <v>22107</v>
      </c>
      <c r="AN1265" s="9" t="s">
        <v>11400</v>
      </c>
      <c r="AP1265" s="56">
        <v>45434.0</v>
      </c>
      <c r="AQ1265" s="9" t="b">
        <v>1</v>
      </c>
      <c r="AR1265" s="9"/>
    </row>
    <row r="1266" ht="15.75" customHeight="1">
      <c r="A1266" s="9" t="s">
        <v>11402</v>
      </c>
      <c r="B1266" s="9" t="s">
        <v>22108</v>
      </c>
      <c r="C1266" s="9" t="s">
        <v>58</v>
      </c>
      <c r="D1266" s="9" t="s">
        <v>59</v>
      </c>
      <c r="E1266" s="9" t="s">
        <v>12384</v>
      </c>
      <c r="F1266" s="9">
        <v>9.0</v>
      </c>
      <c r="G1266" s="9"/>
      <c r="H1266" s="9"/>
      <c r="I1266" s="9"/>
      <c r="J1266" s="9" t="s">
        <v>22109</v>
      </c>
      <c r="K1266" s="9" t="s">
        <v>22110</v>
      </c>
      <c r="L1266" s="9">
        <v>97414.0</v>
      </c>
      <c r="M1266" s="9" t="s">
        <v>40</v>
      </c>
      <c r="N1266" s="9"/>
      <c r="O1266" s="9" t="s">
        <v>22111</v>
      </c>
      <c r="P1266" s="53" t="s">
        <v>22112</v>
      </c>
      <c r="Q1266" s="49" t="s">
        <v>22113</v>
      </c>
      <c r="R1266" s="50"/>
      <c r="S1266" s="58" t="s">
        <v>22114</v>
      </c>
      <c r="T1266" s="9" t="s">
        <v>22115</v>
      </c>
      <c r="U1266" s="9" t="s">
        <v>22116</v>
      </c>
      <c r="V1266" s="9" t="s">
        <v>22117</v>
      </c>
      <c r="W1266" s="9" t="s">
        <v>22118</v>
      </c>
      <c r="X1266" s="9" t="s">
        <v>22119</v>
      </c>
      <c r="Y1266" s="9" t="s">
        <v>4368</v>
      </c>
      <c r="Z1266" s="9" t="s">
        <v>378</v>
      </c>
      <c r="AC1266" s="9"/>
      <c r="AD1266" s="9"/>
      <c r="AE1266" s="9" t="s">
        <v>401</v>
      </c>
      <c r="AF1266" s="55">
        <v>45733.47615740741</v>
      </c>
      <c r="AG1266" s="9" t="s">
        <v>22120</v>
      </c>
      <c r="AH1266" s="9" t="s">
        <v>22121</v>
      </c>
      <c r="AJ1266" s="9" t="s">
        <v>22122</v>
      </c>
      <c r="AK1266" s="9" t="b">
        <v>0</v>
      </c>
      <c r="AL1266" s="9" t="b">
        <v>0</v>
      </c>
      <c r="AM1266" s="9" t="s">
        <v>22123</v>
      </c>
      <c r="AN1266" s="9" t="s">
        <v>11402</v>
      </c>
      <c r="AP1266" s="56">
        <v>45442.0</v>
      </c>
      <c r="AQ1266" s="9" t="b">
        <v>0</v>
      </c>
      <c r="AR1266" s="9" t="s">
        <v>22124</v>
      </c>
    </row>
    <row r="1267" ht="15.75" customHeight="1">
      <c r="A1267" s="9" t="s">
        <v>11404</v>
      </c>
      <c r="B1267" s="9" t="s">
        <v>12719</v>
      </c>
      <c r="C1267" s="9" t="s">
        <v>34</v>
      </c>
      <c r="D1267" s="9" t="s">
        <v>485</v>
      </c>
      <c r="E1267" s="9" t="s">
        <v>486</v>
      </c>
      <c r="F1267" s="9">
        <v>8.0</v>
      </c>
      <c r="G1267" s="9" t="s">
        <v>455</v>
      </c>
      <c r="H1267" s="9"/>
      <c r="I1267" s="9"/>
      <c r="J1267" s="52" t="s">
        <v>12720</v>
      </c>
      <c r="K1267" s="9" t="s">
        <v>22125</v>
      </c>
      <c r="L1267" s="9">
        <v>97480.0</v>
      </c>
      <c r="M1267" s="9" t="s">
        <v>123</v>
      </c>
      <c r="N1267" s="9" t="s">
        <v>8325</v>
      </c>
      <c r="O1267" s="9" t="s">
        <v>22126</v>
      </c>
      <c r="P1267" s="53" t="s">
        <v>12723</v>
      </c>
      <c r="Q1267" s="49" t="s">
        <v>12724</v>
      </c>
      <c r="R1267" s="50"/>
      <c r="S1267" s="59"/>
      <c r="T1267" s="9" t="s">
        <v>22127</v>
      </c>
      <c r="U1267" s="9" t="s">
        <v>22128</v>
      </c>
      <c r="V1267" s="9" t="s">
        <v>22129</v>
      </c>
      <c r="W1267" s="9" t="s">
        <v>22130</v>
      </c>
      <c r="X1267" s="9" t="s">
        <v>22131</v>
      </c>
      <c r="Y1267" s="9" t="s">
        <v>4368</v>
      </c>
      <c r="Z1267" s="9" t="s">
        <v>378</v>
      </c>
      <c r="AC1267" s="9">
        <v>9.5210799300018E13</v>
      </c>
      <c r="AD1267" s="9">
        <v>9.52107993E8</v>
      </c>
      <c r="AE1267" s="9" t="s">
        <v>401</v>
      </c>
      <c r="AF1267" s="55">
        <v>45447.57769675926</v>
      </c>
      <c r="AG1267" s="9" t="s">
        <v>12730</v>
      </c>
      <c r="AH1267" s="9" t="s">
        <v>22132</v>
      </c>
      <c r="AJ1267" s="9" t="s">
        <v>22133</v>
      </c>
      <c r="AK1267" s="9" t="b">
        <v>0</v>
      </c>
      <c r="AL1267" s="9" t="b">
        <v>0</v>
      </c>
      <c r="AM1267" s="9"/>
      <c r="AN1267" s="9" t="s">
        <v>11404</v>
      </c>
      <c r="AP1267" s="56">
        <v>45442.0</v>
      </c>
      <c r="AQ1267" s="9" t="b">
        <v>0</v>
      </c>
      <c r="AR1267" s="9"/>
    </row>
    <row r="1268" ht="15.75" customHeight="1">
      <c r="A1268" s="9" t="s">
        <v>11406</v>
      </c>
      <c r="B1268" s="9" t="s">
        <v>22134</v>
      </c>
      <c r="C1268" s="9" t="s">
        <v>58</v>
      </c>
      <c r="D1268" s="9" t="s">
        <v>59</v>
      </c>
      <c r="E1268" s="9" t="s">
        <v>346</v>
      </c>
      <c r="F1268" s="9">
        <v>6.0</v>
      </c>
      <c r="G1268" s="9"/>
      <c r="H1268" s="9" t="s">
        <v>395</v>
      </c>
      <c r="I1268" s="9"/>
      <c r="J1268" s="52" t="s">
        <v>13859</v>
      </c>
      <c r="K1268" s="9" t="s">
        <v>22135</v>
      </c>
      <c r="L1268" s="9">
        <v>97480.0</v>
      </c>
      <c r="M1268" s="9" t="s">
        <v>123</v>
      </c>
      <c r="N1268" s="9" t="s">
        <v>3556</v>
      </c>
      <c r="O1268" s="9" t="s">
        <v>22136</v>
      </c>
      <c r="P1268" s="53" t="s">
        <v>22137</v>
      </c>
      <c r="Q1268" s="49" t="s">
        <v>22138</v>
      </c>
      <c r="R1268" s="50"/>
      <c r="S1268" s="59"/>
      <c r="T1268" s="9" t="s">
        <v>22139</v>
      </c>
      <c r="U1268" s="9" t="s">
        <v>22140</v>
      </c>
      <c r="V1268" s="9" t="s">
        <v>22141</v>
      </c>
      <c r="W1268" s="9" t="s">
        <v>22142</v>
      </c>
      <c r="X1268" s="9" t="s">
        <v>22143</v>
      </c>
      <c r="Y1268" s="9" t="s">
        <v>9455</v>
      </c>
      <c r="Z1268" s="9" t="s">
        <v>592</v>
      </c>
      <c r="AC1268" s="9">
        <v>9.8090880000017E13</v>
      </c>
      <c r="AD1268" s="9">
        <v>9.809088E8</v>
      </c>
      <c r="AE1268" s="9" t="s">
        <v>401</v>
      </c>
      <c r="AF1268" s="55">
        <v>45793.57743055555</v>
      </c>
      <c r="AG1268" s="9" t="s">
        <v>22144</v>
      </c>
      <c r="AH1268" s="9" t="s">
        <v>22145</v>
      </c>
      <c r="AJ1268" s="9" t="s">
        <v>22146</v>
      </c>
      <c r="AK1268" s="9" t="b">
        <v>0</v>
      </c>
      <c r="AL1268" s="9" t="b">
        <v>0</v>
      </c>
      <c r="AM1268" s="9" t="s">
        <v>22147</v>
      </c>
      <c r="AN1268" s="9" t="s">
        <v>11406</v>
      </c>
      <c r="AP1268" s="56">
        <v>45449.0</v>
      </c>
      <c r="AQ1268" s="9" t="b">
        <v>0</v>
      </c>
      <c r="AR1268" s="9"/>
    </row>
    <row r="1269" ht="15.75" customHeight="1">
      <c r="A1269" s="9" t="s">
        <v>260</v>
      </c>
      <c r="B1269" s="9" t="s">
        <v>22148</v>
      </c>
      <c r="C1269" s="9" t="s">
        <v>34</v>
      </c>
      <c r="D1269" s="9" t="s">
        <v>678</v>
      </c>
      <c r="E1269" s="9" t="s">
        <v>22149</v>
      </c>
      <c r="F1269" s="9">
        <v>5.0</v>
      </c>
      <c r="G1269" s="9"/>
      <c r="H1269" s="9"/>
      <c r="I1269" s="9"/>
      <c r="J1269" s="52" t="s">
        <v>16355</v>
      </c>
      <c r="K1269" s="9" t="s">
        <v>22150</v>
      </c>
      <c r="L1269" s="9">
        <v>97414.0</v>
      </c>
      <c r="M1269" s="9" t="s">
        <v>40</v>
      </c>
      <c r="N1269" s="9" t="s">
        <v>16720</v>
      </c>
      <c r="O1269" s="9" t="s">
        <v>22151</v>
      </c>
      <c r="P1269" s="53" t="s">
        <v>22152</v>
      </c>
      <c r="Q1269" s="49" t="s">
        <v>22153</v>
      </c>
      <c r="R1269" s="50"/>
      <c r="S1269" s="59"/>
      <c r="T1269" s="9" t="s">
        <v>22154</v>
      </c>
      <c r="U1269" s="9" t="s">
        <v>22155</v>
      </c>
      <c r="V1269" s="9" t="s">
        <v>22156</v>
      </c>
      <c r="W1269" s="9" t="s">
        <v>22157</v>
      </c>
      <c r="X1269" s="9" t="s">
        <v>22158</v>
      </c>
      <c r="Y1269" s="9" t="s">
        <v>1076</v>
      </c>
      <c r="Z1269" s="9" t="s">
        <v>592</v>
      </c>
      <c r="AC1269" s="9">
        <v>8.1196084800018E13</v>
      </c>
      <c r="AD1269" s="9">
        <v>8.11960848E8</v>
      </c>
      <c r="AE1269" s="9" t="s">
        <v>401</v>
      </c>
      <c r="AF1269" s="55">
        <v>45516.443715277775</v>
      </c>
      <c r="AG1269" s="9" t="s">
        <v>22159</v>
      </c>
      <c r="AH1269" s="9" t="s">
        <v>22160</v>
      </c>
      <c r="AJ1269" s="9" t="s">
        <v>22161</v>
      </c>
      <c r="AK1269" s="9" t="b">
        <v>1</v>
      </c>
      <c r="AL1269" s="9" t="b">
        <v>1</v>
      </c>
      <c r="AM1269" s="9"/>
      <c r="AN1269" s="9" t="s">
        <v>260</v>
      </c>
      <c r="AP1269" s="56">
        <v>45449.0</v>
      </c>
      <c r="AQ1269" s="9" t="b">
        <v>0</v>
      </c>
      <c r="AR1269" s="9"/>
    </row>
    <row r="1270" ht="15.75" customHeight="1">
      <c r="A1270" s="9" t="s">
        <v>11409</v>
      </c>
      <c r="B1270" s="9" t="s">
        <v>22162</v>
      </c>
      <c r="C1270" s="9" t="s">
        <v>117</v>
      </c>
      <c r="D1270" s="9" t="s">
        <v>1549</v>
      </c>
      <c r="E1270" s="9" t="s">
        <v>17555</v>
      </c>
      <c r="F1270" s="9"/>
      <c r="G1270" s="9" t="s">
        <v>455</v>
      </c>
      <c r="H1270" s="9"/>
      <c r="I1270" s="9"/>
      <c r="J1270" s="52" t="s">
        <v>22163</v>
      </c>
      <c r="K1270" s="9" t="s">
        <v>22164</v>
      </c>
      <c r="L1270" s="9">
        <v>97418.0</v>
      </c>
      <c r="M1270" s="9" t="s">
        <v>71</v>
      </c>
      <c r="N1270" s="9" t="s">
        <v>172</v>
      </c>
      <c r="O1270" s="9" t="s">
        <v>22165</v>
      </c>
      <c r="P1270" s="53" t="s">
        <v>22166</v>
      </c>
      <c r="Q1270" s="49" t="s">
        <v>22167</v>
      </c>
      <c r="R1270" s="50"/>
      <c r="S1270" s="59"/>
      <c r="T1270" s="9" t="s">
        <v>22168</v>
      </c>
      <c r="U1270" s="9" t="s">
        <v>22169</v>
      </c>
      <c r="V1270" s="9" t="s">
        <v>22170</v>
      </c>
      <c r="W1270" s="9" t="s">
        <v>22171</v>
      </c>
      <c r="X1270" s="9" t="s">
        <v>12339</v>
      </c>
      <c r="Y1270" s="9" t="s">
        <v>4368</v>
      </c>
      <c r="Z1270" s="9" t="s">
        <v>1508</v>
      </c>
      <c r="AC1270" s="9"/>
      <c r="AD1270" s="9"/>
      <c r="AE1270" s="9" t="s">
        <v>401</v>
      </c>
      <c r="AF1270" s="55">
        <v>45679.42512731482</v>
      </c>
      <c r="AG1270" s="52" t="s">
        <v>22172</v>
      </c>
      <c r="AH1270" s="9" t="s">
        <v>22173</v>
      </c>
      <c r="AJ1270" s="9" t="s">
        <v>22174</v>
      </c>
      <c r="AK1270" s="9" t="b">
        <v>0</v>
      </c>
      <c r="AL1270" s="9" t="b">
        <v>0</v>
      </c>
      <c r="AM1270" s="9"/>
      <c r="AN1270" s="9" t="s">
        <v>11409</v>
      </c>
      <c r="AP1270" s="56">
        <v>45453.0</v>
      </c>
      <c r="AQ1270" s="9" t="b">
        <v>0</v>
      </c>
      <c r="AR1270" s="9"/>
    </row>
    <row r="1271" ht="15.75" customHeight="1">
      <c r="A1271" s="9" t="s">
        <v>11411</v>
      </c>
      <c r="B1271" s="9" t="s">
        <v>22175</v>
      </c>
      <c r="C1271" s="9" t="s">
        <v>58</v>
      </c>
      <c r="D1271" s="9" t="s">
        <v>59</v>
      </c>
      <c r="E1271" s="9" t="s">
        <v>346</v>
      </c>
      <c r="F1271" s="9">
        <v>6.0</v>
      </c>
      <c r="G1271" s="9"/>
      <c r="H1271" s="9" t="s">
        <v>395</v>
      </c>
      <c r="I1271" s="9"/>
      <c r="J1271" s="52" t="s">
        <v>22176</v>
      </c>
      <c r="K1271" s="9" t="s">
        <v>22177</v>
      </c>
      <c r="L1271" s="9">
        <v>97430.0</v>
      </c>
      <c r="M1271" s="9" t="s">
        <v>71</v>
      </c>
      <c r="N1271" s="9"/>
      <c r="O1271" s="9" t="s">
        <v>22178</v>
      </c>
      <c r="P1271" s="53" t="s">
        <v>22179</v>
      </c>
      <c r="Q1271" s="49" t="s">
        <v>22180</v>
      </c>
      <c r="R1271" s="50"/>
      <c r="S1271" s="58" t="s">
        <v>22181</v>
      </c>
      <c r="T1271" s="9" t="s">
        <v>22182</v>
      </c>
      <c r="U1271" s="9" t="s">
        <v>22183</v>
      </c>
      <c r="V1271" s="9"/>
      <c r="W1271" s="9" t="s">
        <v>22184</v>
      </c>
      <c r="X1271" s="9" t="s">
        <v>22185</v>
      </c>
      <c r="Y1271" s="9"/>
      <c r="Z1271" s="9" t="s">
        <v>378</v>
      </c>
      <c r="AC1271" s="9"/>
      <c r="AD1271" s="9"/>
      <c r="AE1271" s="9" t="s">
        <v>401</v>
      </c>
      <c r="AF1271" s="55">
        <v>45982.3722337963</v>
      </c>
      <c r="AG1271" s="9" t="s">
        <v>22186</v>
      </c>
      <c r="AH1271" s="9" t="s">
        <v>22187</v>
      </c>
      <c r="AJ1271" s="9" t="s">
        <v>22188</v>
      </c>
      <c r="AK1271" s="9" t="b">
        <v>0</v>
      </c>
      <c r="AL1271" s="9" t="b">
        <v>0</v>
      </c>
      <c r="AM1271" s="9" t="s">
        <v>22189</v>
      </c>
      <c r="AN1271" s="9" t="s">
        <v>11411</v>
      </c>
      <c r="AP1271" s="56">
        <v>45454.0</v>
      </c>
      <c r="AQ1271" s="9" t="b">
        <v>0</v>
      </c>
      <c r="AR1271" s="9" t="s">
        <v>22190</v>
      </c>
    </row>
    <row r="1272" ht="15.75" customHeight="1">
      <c r="A1272" s="9" t="s">
        <v>11415</v>
      </c>
      <c r="B1272" s="9" t="s">
        <v>22191</v>
      </c>
      <c r="C1272" s="9" t="s">
        <v>58</v>
      </c>
      <c r="D1272" s="9" t="s">
        <v>59</v>
      </c>
      <c r="E1272" s="9" t="s">
        <v>12384</v>
      </c>
      <c r="F1272" s="9">
        <v>6.0</v>
      </c>
      <c r="G1272" s="9"/>
      <c r="H1272" s="9" t="s">
        <v>395</v>
      </c>
      <c r="I1272" s="9"/>
      <c r="J1272" s="52" t="s">
        <v>13859</v>
      </c>
      <c r="K1272" s="9" t="s">
        <v>22135</v>
      </c>
      <c r="L1272" s="9">
        <v>97480.0</v>
      </c>
      <c r="M1272" s="9" t="s">
        <v>123</v>
      </c>
      <c r="N1272" s="9"/>
      <c r="O1272" s="9" t="s">
        <v>22136</v>
      </c>
      <c r="P1272" s="53" t="s">
        <v>22137</v>
      </c>
      <c r="Q1272" s="49" t="s">
        <v>22138</v>
      </c>
      <c r="R1272" s="50"/>
      <c r="S1272" s="59"/>
      <c r="T1272" s="9" t="s">
        <v>22192</v>
      </c>
      <c r="U1272" s="9" t="s">
        <v>22191</v>
      </c>
      <c r="V1272" s="9" t="s">
        <v>22141</v>
      </c>
      <c r="W1272" s="9" t="s">
        <v>22193</v>
      </c>
      <c r="X1272" s="9" t="s">
        <v>22194</v>
      </c>
      <c r="Y1272" s="9" t="s">
        <v>9455</v>
      </c>
      <c r="Z1272" s="9" t="s">
        <v>592</v>
      </c>
      <c r="AC1272" s="9">
        <v>9.8090880000017E13</v>
      </c>
      <c r="AD1272" s="9">
        <v>9.809088E8</v>
      </c>
      <c r="AE1272" s="9" t="s">
        <v>401</v>
      </c>
      <c r="AF1272" s="55">
        <v>45793.57678240741</v>
      </c>
      <c r="AG1272" s="9" t="s">
        <v>22144</v>
      </c>
      <c r="AH1272" s="9" t="s">
        <v>22195</v>
      </c>
      <c r="AJ1272" s="9" t="s">
        <v>22196</v>
      </c>
      <c r="AK1272" s="9"/>
      <c r="AL1272" s="9" t="b">
        <v>0</v>
      </c>
      <c r="AM1272" s="9" t="s">
        <v>22197</v>
      </c>
      <c r="AN1272" s="9" t="s">
        <v>11415</v>
      </c>
      <c r="AP1272" s="56">
        <v>45456.0</v>
      </c>
      <c r="AQ1272" s="9" t="b">
        <v>0</v>
      </c>
      <c r="AR1272" s="9"/>
    </row>
    <row r="1273" ht="15.75" customHeight="1">
      <c r="A1273" s="9" t="s">
        <v>11417</v>
      </c>
      <c r="B1273" s="9" t="s">
        <v>22198</v>
      </c>
      <c r="C1273" s="9" t="s">
        <v>58</v>
      </c>
      <c r="D1273" s="9" t="s">
        <v>59</v>
      </c>
      <c r="E1273" s="9" t="s">
        <v>12384</v>
      </c>
      <c r="F1273" s="9">
        <v>4.0</v>
      </c>
      <c r="G1273" s="9" t="s">
        <v>422</v>
      </c>
      <c r="H1273" s="9" t="s">
        <v>2716</v>
      </c>
      <c r="I1273" s="9"/>
      <c r="J1273" s="9" t="s">
        <v>22199</v>
      </c>
      <c r="K1273" s="9" t="s">
        <v>20543</v>
      </c>
      <c r="L1273" s="9">
        <v>97414.0</v>
      </c>
      <c r="M1273" s="9" t="s">
        <v>40</v>
      </c>
      <c r="N1273" s="9" t="s">
        <v>40</v>
      </c>
      <c r="O1273" s="9" t="s">
        <v>22200</v>
      </c>
      <c r="P1273" s="53" t="s">
        <v>22201</v>
      </c>
      <c r="Q1273" s="49" t="s">
        <v>22202</v>
      </c>
      <c r="R1273" s="50"/>
      <c r="S1273" s="59"/>
      <c r="T1273" s="9" t="s">
        <v>22203</v>
      </c>
      <c r="U1273" s="9" t="s">
        <v>22204</v>
      </c>
      <c r="V1273" s="9" t="s">
        <v>22205</v>
      </c>
      <c r="W1273" s="9" t="s">
        <v>22206</v>
      </c>
      <c r="X1273" s="9" t="s">
        <v>20685</v>
      </c>
      <c r="Y1273" s="9" t="s">
        <v>12624</v>
      </c>
      <c r="Z1273" s="9" t="s">
        <v>592</v>
      </c>
      <c r="AC1273" s="9">
        <v>3.8116042300053E13</v>
      </c>
      <c r="AD1273" s="9">
        <v>3.81160423E8</v>
      </c>
      <c r="AE1273" s="9" t="s">
        <v>12355</v>
      </c>
      <c r="AF1273" s="55">
        <v>45894.34128472222</v>
      </c>
      <c r="AG1273" s="9" t="s">
        <v>13022</v>
      </c>
      <c r="AH1273" s="9" t="s">
        <v>22207</v>
      </c>
      <c r="AJ1273" s="9" t="s">
        <v>22208</v>
      </c>
      <c r="AK1273" s="9" t="b">
        <v>0</v>
      </c>
      <c r="AL1273" s="9" t="b">
        <v>0</v>
      </c>
      <c r="AM1273" s="9" t="s">
        <v>22209</v>
      </c>
      <c r="AN1273" s="9" t="s">
        <v>11417</v>
      </c>
      <c r="AP1273" s="56">
        <v>45460.0</v>
      </c>
      <c r="AQ1273" s="9" t="b">
        <v>1</v>
      </c>
      <c r="AR1273" s="9" t="s">
        <v>15655</v>
      </c>
    </row>
    <row r="1274" ht="15.75" customHeight="1">
      <c r="A1274" s="9" t="s">
        <v>11419</v>
      </c>
      <c r="B1274" s="9" t="s">
        <v>22210</v>
      </c>
      <c r="C1274" s="9" t="s">
        <v>58</v>
      </c>
      <c r="D1274" s="9" t="s">
        <v>59</v>
      </c>
      <c r="E1274" s="9" t="s">
        <v>374</v>
      </c>
      <c r="F1274" s="9">
        <v>6.0</v>
      </c>
      <c r="G1274" s="9"/>
      <c r="H1274" s="9"/>
      <c r="I1274" s="9"/>
      <c r="J1274" s="9" t="s">
        <v>22211</v>
      </c>
      <c r="K1274" s="9" t="s">
        <v>22212</v>
      </c>
      <c r="L1274" s="9">
        <v>97430.0</v>
      </c>
      <c r="M1274" s="9" t="s">
        <v>71</v>
      </c>
      <c r="N1274" s="9"/>
      <c r="O1274" s="9" t="s">
        <v>22213</v>
      </c>
      <c r="P1274" s="53" t="s">
        <v>18167</v>
      </c>
      <c r="Q1274" s="49" t="s">
        <v>22214</v>
      </c>
      <c r="R1274" s="50"/>
      <c r="S1274" s="59"/>
      <c r="T1274" s="9" t="s">
        <v>22215</v>
      </c>
      <c r="U1274" s="9" t="s">
        <v>22216</v>
      </c>
      <c r="V1274" s="9"/>
      <c r="W1274" s="9" t="s">
        <v>22217</v>
      </c>
      <c r="X1274" s="9" t="s">
        <v>22218</v>
      </c>
      <c r="Y1274" s="9" t="s">
        <v>12669</v>
      </c>
      <c r="Z1274" s="9" t="s">
        <v>378</v>
      </c>
      <c r="AC1274" s="9">
        <v>8.4366643900024E13</v>
      </c>
      <c r="AD1274" s="9">
        <v>8.43666439E8</v>
      </c>
      <c r="AE1274" s="9" t="s">
        <v>401</v>
      </c>
      <c r="AF1274" s="55">
        <v>45782.63166666667</v>
      </c>
      <c r="AG1274" s="9" t="s">
        <v>18174</v>
      </c>
      <c r="AH1274" s="9" t="s">
        <v>22219</v>
      </c>
      <c r="AJ1274" s="9" t="s">
        <v>22220</v>
      </c>
      <c r="AK1274" s="9" t="b">
        <v>0</v>
      </c>
      <c r="AL1274" s="9" t="b">
        <v>0</v>
      </c>
      <c r="AM1274" s="9" t="s">
        <v>22221</v>
      </c>
      <c r="AN1274" s="9" t="s">
        <v>11419</v>
      </c>
      <c r="AP1274" s="56">
        <v>45460.0</v>
      </c>
      <c r="AQ1274" s="9" t="b">
        <v>0</v>
      </c>
      <c r="AR1274" s="9"/>
    </row>
    <row r="1275" ht="15.75" customHeight="1">
      <c r="A1275" s="9" t="s">
        <v>11421</v>
      </c>
      <c r="B1275" s="9" t="s">
        <v>22222</v>
      </c>
      <c r="C1275" s="9" t="s">
        <v>58</v>
      </c>
      <c r="D1275" s="9" t="s">
        <v>59</v>
      </c>
      <c r="E1275" s="9" t="s">
        <v>12384</v>
      </c>
      <c r="F1275" s="9">
        <v>8.0</v>
      </c>
      <c r="G1275" s="9" t="s">
        <v>22223</v>
      </c>
      <c r="H1275" s="9"/>
      <c r="I1275" s="9"/>
      <c r="J1275" s="52" t="s">
        <v>12820</v>
      </c>
      <c r="K1275" s="9" t="s">
        <v>22224</v>
      </c>
      <c r="L1275" s="9">
        <v>97430.0</v>
      </c>
      <c r="M1275" s="9" t="s">
        <v>71</v>
      </c>
      <c r="N1275" s="9" t="s">
        <v>12685</v>
      </c>
      <c r="O1275" s="9" t="s">
        <v>22225</v>
      </c>
      <c r="P1275" s="53" t="s">
        <v>22226</v>
      </c>
      <c r="Q1275" s="49" t="s">
        <v>22227</v>
      </c>
      <c r="R1275" s="50"/>
      <c r="S1275" s="59"/>
      <c r="T1275" s="9" t="s">
        <v>22228</v>
      </c>
      <c r="U1275" s="9" t="s">
        <v>22229</v>
      </c>
      <c r="V1275" s="9" t="s">
        <v>22230</v>
      </c>
      <c r="W1275" s="9" t="s">
        <v>22231</v>
      </c>
      <c r="X1275" s="9" t="s">
        <v>22232</v>
      </c>
      <c r="Y1275" s="9" t="s">
        <v>4368</v>
      </c>
      <c r="Z1275" s="9" t="s">
        <v>353</v>
      </c>
      <c r="AC1275" s="9">
        <v>3.9378428500016E13</v>
      </c>
      <c r="AD1275" s="9">
        <v>3.93784285E8</v>
      </c>
      <c r="AE1275" s="9" t="s">
        <v>401</v>
      </c>
      <c r="AF1275" s="55">
        <v>45701.42524305556</v>
      </c>
      <c r="AG1275" s="9" t="s">
        <v>22233</v>
      </c>
      <c r="AH1275" s="9" t="s">
        <v>22234</v>
      </c>
      <c r="AJ1275" s="9"/>
      <c r="AK1275" s="9" t="b">
        <v>0</v>
      </c>
      <c r="AL1275" s="9" t="b">
        <v>0</v>
      </c>
      <c r="AM1275" s="9" t="s">
        <v>22235</v>
      </c>
      <c r="AN1275" s="9" t="s">
        <v>11421</v>
      </c>
      <c r="AP1275" s="56">
        <v>45460.0</v>
      </c>
      <c r="AQ1275" s="9" t="b">
        <v>0</v>
      </c>
      <c r="AR1275" s="9"/>
    </row>
    <row r="1276" ht="15.75" customHeight="1">
      <c r="A1276" s="9" t="s">
        <v>11423</v>
      </c>
      <c r="B1276" s="9" t="s">
        <v>22236</v>
      </c>
      <c r="C1276" s="9" t="s">
        <v>117</v>
      </c>
      <c r="D1276" s="9" t="s">
        <v>470</v>
      </c>
      <c r="E1276" s="9" t="s">
        <v>22237</v>
      </c>
      <c r="F1276" s="9">
        <v>8.0</v>
      </c>
      <c r="G1276" s="9" t="s">
        <v>4427</v>
      </c>
      <c r="H1276" s="9"/>
      <c r="I1276" s="9"/>
      <c r="J1276" s="9" t="s">
        <v>22238</v>
      </c>
      <c r="K1276" s="9" t="s">
        <v>22239</v>
      </c>
      <c r="L1276" s="9">
        <v>97418.0</v>
      </c>
      <c r="M1276" s="9" t="s">
        <v>71</v>
      </c>
      <c r="N1276" s="9" t="s">
        <v>216</v>
      </c>
      <c r="O1276" s="9" t="s">
        <v>22240</v>
      </c>
      <c r="P1276" s="53" t="s">
        <v>22241</v>
      </c>
      <c r="Q1276" s="49" t="s">
        <v>22242</v>
      </c>
      <c r="R1276" s="50"/>
      <c r="S1276" s="58" t="s">
        <v>22243</v>
      </c>
      <c r="T1276" s="9" t="s">
        <v>22244</v>
      </c>
      <c r="U1276" s="9" t="s">
        <v>22245</v>
      </c>
      <c r="V1276" s="9" t="s">
        <v>22246</v>
      </c>
      <c r="W1276" s="9" t="s">
        <v>22247</v>
      </c>
      <c r="X1276" s="9" t="s">
        <v>22248</v>
      </c>
      <c r="Y1276" s="9" t="s">
        <v>22249</v>
      </c>
      <c r="Z1276" s="9" t="s">
        <v>378</v>
      </c>
      <c r="AC1276" s="9">
        <v>7.920003580002E13</v>
      </c>
      <c r="AD1276" s="9">
        <v>7.92000358E8</v>
      </c>
      <c r="AE1276" s="9" t="s">
        <v>401</v>
      </c>
      <c r="AF1276" s="55">
        <v>45461.449016203704</v>
      </c>
      <c r="AG1276" s="9" t="s">
        <v>22250</v>
      </c>
      <c r="AH1276" s="9" t="s">
        <v>22251</v>
      </c>
      <c r="AJ1276" s="9" t="s">
        <v>22252</v>
      </c>
      <c r="AK1276" s="9" t="b">
        <v>0</v>
      </c>
      <c r="AL1276" s="9" t="b">
        <v>0</v>
      </c>
      <c r="AM1276" s="9"/>
      <c r="AN1276" s="9" t="s">
        <v>11423</v>
      </c>
      <c r="AP1276" s="56">
        <v>45460.0</v>
      </c>
      <c r="AQ1276" s="9" t="b">
        <v>1</v>
      </c>
      <c r="AR1276" s="9" t="s">
        <v>22253</v>
      </c>
    </row>
    <row r="1277" ht="15.75" customHeight="1">
      <c r="A1277" s="9" t="s">
        <v>11425</v>
      </c>
      <c r="B1277" s="9" t="s">
        <v>22254</v>
      </c>
      <c r="C1277" s="9" t="s">
        <v>58</v>
      </c>
      <c r="D1277" s="9" t="s">
        <v>59</v>
      </c>
      <c r="E1277" s="9" t="s">
        <v>374</v>
      </c>
      <c r="F1277" s="9">
        <v>4.0</v>
      </c>
      <c r="G1277" s="9" t="s">
        <v>455</v>
      </c>
      <c r="H1277" s="9" t="s">
        <v>2716</v>
      </c>
      <c r="I1277" s="9"/>
      <c r="J1277" s="52" t="s">
        <v>22255</v>
      </c>
      <c r="K1277" s="9" t="s">
        <v>22256</v>
      </c>
      <c r="L1277" s="9">
        <v>97430.0</v>
      </c>
      <c r="M1277" s="9" t="s">
        <v>71</v>
      </c>
      <c r="N1277" s="9" t="s">
        <v>3501</v>
      </c>
      <c r="O1277" s="9" t="s">
        <v>22257</v>
      </c>
      <c r="P1277" s="53" t="s">
        <v>3505</v>
      </c>
      <c r="Q1277" s="49" t="s">
        <v>16330</v>
      </c>
      <c r="R1277" s="50"/>
      <c r="S1277" s="58" t="s">
        <v>22258</v>
      </c>
      <c r="T1277" s="9" t="s">
        <v>22259</v>
      </c>
      <c r="U1277" s="9" t="s">
        <v>20894</v>
      </c>
      <c r="V1277" s="9" t="s">
        <v>22260</v>
      </c>
      <c r="W1277" s="9" t="s">
        <v>22261</v>
      </c>
      <c r="X1277" s="9" t="s">
        <v>22262</v>
      </c>
      <c r="Y1277" s="9" t="s">
        <v>20442</v>
      </c>
      <c r="Z1277" s="9" t="s">
        <v>353</v>
      </c>
      <c r="AC1277" s="9">
        <v>8.4111528000015E13</v>
      </c>
      <c r="AD1277" s="9">
        <v>8.4111528E8</v>
      </c>
      <c r="AE1277" s="9" t="s">
        <v>401</v>
      </c>
      <c r="AF1277" s="55">
        <v>45462.46543981481</v>
      </c>
      <c r="AG1277" s="9" t="s">
        <v>16334</v>
      </c>
      <c r="AH1277" s="9" t="s">
        <v>22263</v>
      </c>
      <c r="AJ1277" s="9" t="s">
        <v>22264</v>
      </c>
      <c r="AK1277" s="9" t="b">
        <v>0</v>
      </c>
      <c r="AL1277" s="9" t="b">
        <v>0</v>
      </c>
      <c r="AM1277" s="9" t="s">
        <v>3512</v>
      </c>
      <c r="AN1277" s="9" t="s">
        <v>11425</v>
      </c>
      <c r="AP1277" s="56">
        <v>45461.0</v>
      </c>
      <c r="AQ1277" s="9" t="b">
        <v>1</v>
      </c>
      <c r="AR1277" s="9"/>
    </row>
    <row r="1278" ht="15.75" customHeight="1">
      <c r="A1278" s="9" t="s">
        <v>11427</v>
      </c>
      <c r="B1278" s="9" t="s">
        <v>22265</v>
      </c>
      <c r="C1278" s="9" t="s">
        <v>34</v>
      </c>
      <c r="D1278" s="9" t="s">
        <v>622</v>
      </c>
      <c r="E1278" s="9" t="s">
        <v>1127</v>
      </c>
      <c r="F1278" s="9">
        <v>50.0</v>
      </c>
      <c r="G1278" s="9" t="s">
        <v>422</v>
      </c>
      <c r="H1278" s="9"/>
      <c r="I1278" s="9" t="s">
        <v>19100</v>
      </c>
      <c r="J1278" s="52" t="s">
        <v>22266</v>
      </c>
      <c r="K1278" s="9" t="s">
        <v>22267</v>
      </c>
      <c r="L1278" s="9">
        <v>97414.0</v>
      </c>
      <c r="M1278" s="9" t="s">
        <v>40</v>
      </c>
      <c r="N1278" s="9" t="s">
        <v>1860</v>
      </c>
      <c r="O1278" s="9" t="s">
        <v>22268</v>
      </c>
      <c r="P1278" s="53" t="s">
        <v>19093</v>
      </c>
      <c r="Q1278" s="49" t="s">
        <v>19094</v>
      </c>
      <c r="R1278" s="50"/>
      <c r="S1278" s="58" t="s">
        <v>22269</v>
      </c>
      <c r="T1278" s="9" t="s">
        <v>22270</v>
      </c>
      <c r="U1278" s="9" t="s">
        <v>22271</v>
      </c>
      <c r="V1278" s="9" t="s">
        <v>3167</v>
      </c>
      <c r="W1278" s="9" t="s">
        <v>22272</v>
      </c>
      <c r="X1278" s="9" t="s">
        <v>22273</v>
      </c>
      <c r="Y1278" s="9" t="s">
        <v>1076</v>
      </c>
      <c r="Z1278" s="9" t="s">
        <v>592</v>
      </c>
      <c r="AC1278" s="9">
        <v>8.4051265100026E13</v>
      </c>
      <c r="AD1278" s="9">
        <v>8.40512651E8</v>
      </c>
      <c r="AE1278" s="9" t="s">
        <v>401</v>
      </c>
      <c r="AF1278" s="55">
        <v>46001.393009259256</v>
      </c>
      <c r="AG1278" s="9" t="s">
        <v>22274</v>
      </c>
      <c r="AH1278" s="9" t="s">
        <v>22275</v>
      </c>
      <c r="AJ1278" s="9" t="s">
        <v>22276</v>
      </c>
      <c r="AK1278" s="9" t="b">
        <v>1</v>
      </c>
      <c r="AL1278" s="9" t="b">
        <v>0</v>
      </c>
      <c r="AM1278" s="9"/>
      <c r="AN1278" s="9" t="s">
        <v>11427</v>
      </c>
      <c r="AP1278" s="56">
        <v>45462.0</v>
      </c>
      <c r="AQ1278" s="9" t="b">
        <v>1</v>
      </c>
      <c r="AR1278" s="9"/>
    </row>
    <row r="1279" ht="15.75" customHeight="1">
      <c r="A1279" s="9" t="s">
        <v>11429</v>
      </c>
      <c r="B1279" s="9" t="s">
        <v>22277</v>
      </c>
      <c r="C1279" s="9" t="s">
        <v>117</v>
      </c>
      <c r="D1279" s="9" t="s">
        <v>1549</v>
      </c>
      <c r="E1279" s="9" t="s">
        <v>1550</v>
      </c>
      <c r="F1279" s="9">
        <v>10.0</v>
      </c>
      <c r="G1279" s="9" t="s">
        <v>422</v>
      </c>
      <c r="H1279" s="9"/>
      <c r="I1279" s="9" t="s">
        <v>19090</v>
      </c>
      <c r="J1279" s="52" t="s">
        <v>22266</v>
      </c>
      <c r="K1279" s="9" t="s">
        <v>14666</v>
      </c>
      <c r="L1279" s="9">
        <v>97414.0</v>
      </c>
      <c r="M1279" s="9" t="s">
        <v>40</v>
      </c>
      <c r="N1279" s="9" t="s">
        <v>1860</v>
      </c>
      <c r="O1279" s="9" t="s">
        <v>22278</v>
      </c>
      <c r="P1279" s="53" t="s">
        <v>19093</v>
      </c>
      <c r="Q1279" s="49" t="s">
        <v>19094</v>
      </c>
      <c r="R1279" s="50"/>
      <c r="S1279" s="58" t="s">
        <v>22279</v>
      </c>
      <c r="T1279" s="9" t="s">
        <v>22280</v>
      </c>
      <c r="U1279" s="9" t="s">
        <v>22281</v>
      </c>
      <c r="V1279" s="9" t="s">
        <v>3167</v>
      </c>
      <c r="W1279" s="9" t="s">
        <v>22282</v>
      </c>
      <c r="X1279" s="9" t="s">
        <v>22283</v>
      </c>
      <c r="Y1279" s="9" t="s">
        <v>974</v>
      </c>
      <c r="Z1279" s="9" t="s">
        <v>22284</v>
      </c>
      <c r="AC1279" s="9">
        <v>8.4051265100026E13</v>
      </c>
      <c r="AD1279" s="9">
        <v>8.40512651E8</v>
      </c>
      <c r="AE1279" s="9" t="s">
        <v>401</v>
      </c>
      <c r="AF1279" s="55">
        <v>46001.41579861111</v>
      </c>
      <c r="AG1279" s="9" t="s">
        <v>22274</v>
      </c>
      <c r="AH1279" s="9" t="s">
        <v>22285</v>
      </c>
      <c r="AJ1279" s="9" t="s">
        <v>22286</v>
      </c>
      <c r="AK1279" s="9" t="b">
        <v>1</v>
      </c>
      <c r="AL1279" s="9" t="b">
        <v>0</v>
      </c>
      <c r="AM1279" s="9"/>
      <c r="AN1279" s="9" t="s">
        <v>11429</v>
      </c>
      <c r="AP1279" s="56">
        <v>45471.0</v>
      </c>
      <c r="AQ1279" s="9" t="b">
        <v>0</v>
      </c>
      <c r="AR1279" s="9"/>
    </row>
    <row r="1280" ht="15.75" customHeight="1">
      <c r="A1280" s="9" t="s">
        <v>11431</v>
      </c>
      <c r="B1280" s="9" t="s">
        <v>22287</v>
      </c>
      <c r="C1280" s="9" t="s">
        <v>58</v>
      </c>
      <c r="D1280" s="9" t="s">
        <v>59</v>
      </c>
      <c r="E1280" s="9" t="s">
        <v>12384</v>
      </c>
      <c r="F1280" s="9">
        <v>6.0</v>
      </c>
      <c r="G1280" s="9" t="s">
        <v>455</v>
      </c>
      <c r="H1280" s="9"/>
      <c r="I1280" s="9"/>
      <c r="J1280" s="52" t="s">
        <v>22288</v>
      </c>
      <c r="K1280" s="9" t="s">
        <v>22289</v>
      </c>
      <c r="L1280" s="9">
        <v>97430.0</v>
      </c>
      <c r="M1280" s="9" t="s">
        <v>71</v>
      </c>
      <c r="N1280" s="9" t="s">
        <v>12373</v>
      </c>
      <c r="O1280" s="9" t="s">
        <v>22290</v>
      </c>
      <c r="P1280" s="53" t="s">
        <v>22291</v>
      </c>
      <c r="Q1280" s="49" t="s">
        <v>22292</v>
      </c>
      <c r="R1280" s="50"/>
      <c r="S1280" s="59"/>
      <c r="T1280" s="9" t="s">
        <v>22293</v>
      </c>
      <c r="U1280" s="9" t="s">
        <v>22294</v>
      </c>
      <c r="V1280" s="9" t="s">
        <v>22295</v>
      </c>
      <c r="W1280" s="9"/>
      <c r="X1280" s="9"/>
      <c r="Y1280" s="9" t="s">
        <v>22296</v>
      </c>
      <c r="Z1280" s="9" t="s">
        <v>424</v>
      </c>
      <c r="AC1280" s="9">
        <v>9.2886671400027E13</v>
      </c>
      <c r="AD1280" s="9">
        <v>9.28866714E8</v>
      </c>
      <c r="AE1280" s="9" t="s">
        <v>401</v>
      </c>
      <c r="AF1280" s="55">
        <v>45492.595555555556</v>
      </c>
      <c r="AG1280" s="9" t="s">
        <v>22297</v>
      </c>
      <c r="AH1280" s="9" t="s">
        <v>22298</v>
      </c>
      <c r="AJ1280" s="9" t="s">
        <v>22299</v>
      </c>
      <c r="AK1280" s="9" t="b">
        <v>0</v>
      </c>
      <c r="AL1280" s="9" t="b">
        <v>0</v>
      </c>
      <c r="AM1280" s="9"/>
      <c r="AN1280" s="9" t="s">
        <v>11431</v>
      </c>
      <c r="AP1280" s="56">
        <v>45490.0</v>
      </c>
      <c r="AQ1280" s="9" t="b">
        <v>0</v>
      </c>
      <c r="AR1280" s="9"/>
    </row>
    <row r="1281" ht="15.75" customHeight="1">
      <c r="A1281" s="9" t="s">
        <v>11433</v>
      </c>
      <c r="B1281" s="9" t="s">
        <v>22300</v>
      </c>
      <c r="C1281" s="9" t="s">
        <v>117</v>
      </c>
      <c r="D1281" s="9" t="s">
        <v>197</v>
      </c>
      <c r="E1281" s="9" t="s">
        <v>559</v>
      </c>
      <c r="F1281" s="9"/>
      <c r="G1281" s="9" t="s">
        <v>375</v>
      </c>
      <c r="H1281" s="9"/>
      <c r="I1281" s="9"/>
      <c r="J1281" s="52" t="s">
        <v>18695</v>
      </c>
      <c r="K1281" s="9" t="s">
        <v>12905</v>
      </c>
      <c r="L1281" s="9">
        <v>97480.0</v>
      </c>
      <c r="M1281" s="9" t="s">
        <v>123</v>
      </c>
      <c r="N1281" s="9" t="s">
        <v>206</v>
      </c>
      <c r="O1281" s="9" t="s">
        <v>22301</v>
      </c>
      <c r="P1281" s="53" t="s">
        <v>22302</v>
      </c>
      <c r="Q1281" s="49" t="s">
        <v>22303</v>
      </c>
      <c r="R1281" s="50"/>
      <c r="S1281" s="58" t="s">
        <v>22304</v>
      </c>
      <c r="T1281" s="9" t="s">
        <v>22305</v>
      </c>
      <c r="U1281" s="9" t="s">
        <v>22300</v>
      </c>
      <c r="V1281" s="9" t="s">
        <v>22306</v>
      </c>
      <c r="W1281" s="9" t="s">
        <v>22307</v>
      </c>
      <c r="X1281" s="9" t="s">
        <v>12378</v>
      </c>
      <c r="Y1281" s="9" t="s">
        <v>22308</v>
      </c>
      <c r="Z1281" s="9" t="s">
        <v>353</v>
      </c>
      <c r="AC1281" s="9">
        <v>9.4752774300019E13</v>
      </c>
      <c r="AD1281" s="9">
        <v>9.47527743E8</v>
      </c>
      <c r="AE1281" s="9" t="s">
        <v>401</v>
      </c>
      <c r="AF1281" s="55">
        <v>45491.54717592592</v>
      </c>
      <c r="AG1281" s="9" t="s">
        <v>22309</v>
      </c>
      <c r="AH1281" s="9" t="s">
        <v>22310</v>
      </c>
      <c r="AJ1281" s="9"/>
      <c r="AK1281" s="9" t="b">
        <v>0</v>
      </c>
      <c r="AL1281" s="9" t="b">
        <v>0</v>
      </c>
      <c r="AM1281" s="9"/>
      <c r="AN1281" s="9" t="s">
        <v>11433</v>
      </c>
      <c r="AP1281" s="56">
        <v>45491.0</v>
      </c>
      <c r="AQ1281" s="9" t="b">
        <v>0</v>
      </c>
      <c r="AR1281" s="9"/>
    </row>
    <row r="1282" ht="15.75" customHeight="1">
      <c r="A1282" s="9" t="s">
        <v>11435</v>
      </c>
      <c r="B1282" s="9" t="s">
        <v>22311</v>
      </c>
      <c r="C1282" s="9" t="s">
        <v>58</v>
      </c>
      <c r="D1282" s="9" t="s">
        <v>59</v>
      </c>
      <c r="E1282" s="9" t="s">
        <v>12384</v>
      </c>
      <c r="F1282" s="9">
        <v>4.0</v>
      </c>
      <c r="G1282" s="9" t="s">
        <v>664</v>
      </c>
      <c r="H1282" s="9"/>
      <c r="I1282" s="9"/>
      <c r="J1282" s="9" t="s">
        <v>22312</v>
      </c>
      <c r="K1282" s="9" t="s">
        <v>22313</v>
      </c>
      <c r="L1282" s="9">
        <v>97480.0</v>
      </c>
      <c r="M1282" s="9" t="s">
        <v>123</v>
      </c>
      <c r="N1282" s="9" t="s">
        <v>12446</v>
      </c>
      <c r="O1282" s="9" t="s">
        <v>22314</v>
      </c>
      <c r="P1282" s="53" t="s">
        <v>22315</v>
      </c>
      <c r="Q1282" s="49" t="s">
        <v>22316</v>
      </c>
      <c r="R1282" s="50"/>
      <c r="S1282" s="59"/>
      <c r="T1282" s="9" t="s">
        <v>22317</v>
      </c>
      <c r="U1282" s="9" t="s">
        <v>22318</v>
      </c>
      <c r="V1282" s="9" t="s">
        <v>22319</v>
      </c>
      <c r="W1282" s="9" t="s">
        <v>22320</v>
      </c>
      <c r="X1282" s="9" t="s">
        <v>22321</v>
      </c>
      <c r="Y1282" s="9" t="s">
        <v>377</v>
      </c>
      <c r="Z1282" s="9" t="s">
        <v>353</v>
      </c>
      <c r="AC1282" s="9">
        <v>9.2846795000012E13</v>
      </c>
      <c r="AD1282" s="9">
        <v>9.2846795E8</v>
      </c>
      <c r="AE1282" s="9" t="s">
        <v>401</v>
      </c>
      <c r="AF1282" s="55">
        <v>45511.63829861111</v>
      </c>
      <c r="AG1282" s="9" t="s">
        <v>22322</v>
      </c>
      <c r="AH1282" s="9" t="s">
        <v>22323</v>
      </c>
      <c r="AJ1282" s="9" t="s">
        <v>22324</v>
      </c>
      <c r="AK1282" s="9" t="b">
        <v>0</v>
      </c>
      <c r="AL1282" s="9" t="b">
        <v>0</v>
      </c>
      <c r="AM1282" s="9" t="s">
        <v>22325</v>
      </c>
      <c r="AN1282" s="9" t="s">
        <v>11435</v>
      </c>
      <c r="AP1282" s="56">
        <v>45509.0</v>
      </c>
      <c r="AQ1282" s="9" t="b">
        <v>0</v>
      </c>
      <c r="AR1282" s="9"/>
    </row>
    <row r="1283" ht="15.75" customHeight="1">
      <c r="A1283" s="9" t="s">
        <v>11437</v>
      </c>
      <c r="B1283" s="9" t="s">
        <v>22326</v>
      </c>
      <c r="C1283" s="9" t="s">
        <v>117</v>
      </c>
      <c r="D1283" s="9" t="s">
        <v>197</v>
      </c>
      <c r="E1283" s="9" t="s">
        <v>559</v>
      </c>
      <c r="F1283" s="9"/>
      <c r="G1283" s="9" t="s">
        <v>422</v>
      </c>
      <c r="H1283" s="9"/>
      <c r="I1283" s="9"/>
      <c r="J1283" s="9" t="s">
        <v>22327</v>
      </c>
      <c r="K1283" s="9" t="s">
        <v>21975</v>
      </c>
      <c r="L1283" s="9">
        <v>97414.0</v>
      </c>
      <c r="M1283" s="9" t="s">
        <v>40</v>
      </c>
      <c r="N1283" s="9" t="s">
        <v>40</v>
      </c>
      <c r="O1283" s="9" t="s">
        <v>22328</v>
      </c>
      <c r="P1283" s="53" t="s">
        <v>22329</v>
      </c>
      <c r="Q1283" s="49" t="s">
        <v>22330</v>
      </c>
      <c r="R1283" s="50"/>
      <c r="S1283" s="59"/>
      <c r="T1283" s="9" t="s">
        <v>22331</v>
      </c>
      <c r="U1283" s="9" t="s">
        <v>22332</v>
      </c>
      <c r="V1283" s="9" t="s">
        <v>22333</v>
      </c>
      <c r="W1283" s="9" t="s">
        <v>22334</v>
      </c>
      <c r="X1283" s="9" t="s">
        <v>22335</v>
      </c>
      <c r="Y1283" s="9" t="s">
        <v>12461</v>
      </c>
      <c r="Z1283" s="9" t="s">
        <v>378</v>
      </c>
      <c r="AC1283" s="9">
        <v>8.1196084800018E13</v>
      </c>
      <c r="AD1283" s="9">
        <v>8.11960848E8</v>
      </c>
      <c r="AE1283" s="9" t="s">
        <v>401</v>
      </c>
      <c r="AF1283" s="55">
        <v>45516.55268518518</v>
      </c>
      <c r="AG1283" s="9" t="s">
        <v>22336</v>
      </c>
      <c r="AH1283" s="9" t="s">
        <v>22337</v>
      </c>
      <c r="AJ1283" s="9" t="s">
        <v>22338</v>
      </c>
      <c r="AK1283" s="9" t="b">
        <v>0</v>
      </c>
      <c r="AL1283" s="9" t="b">
        <v>0</v>
      </c>
      <c r="AM1283" s="9"/>
      <c r="AN1283" s="9" t="s">
        <v>11437</v>
      </c>
      <c r="AP1283" s="56">
        <v>45512.0</v>
      </c>
      <c r="AQ1283" s="9" t="b">
        <v>0</v>
      </c>
      <c r="AR1283" s="9"/>
    </row>
    <row r="1284" ht="15.75" customHeight="1">
      <c r="A1284" s="9" t="s">
        <v>11439</v>
      </c>
      <c r="B1284" s="9" t="s">
        <v>22339</v>
      </c>
      <c r="C1284" s="9" t="s">
        <v>58</v>
      </c>
      <c r="D1284" s="9" t="s">
        <v>59</v>
      </c>
      <c r="E1284" s="9" t="s">
        <v>12384</v>
      </c>
      <c r="F1284" s="9">
        <v>4.0</v>
      </c>
      <c r="G1284" s="9"/>
      <c r="H1284" s="9"/>
      <c r="I1284" s="9"/>
      <c r="J1284" s="52" t="s">
        <v>22340</v>
      </c>
      <c r="K1284" s="9" t="s">
        <v>16821</v>
      </c>
      <c r="L1284" s="9">
        <v>97480.0</v>
      </c>
      <c r="M1284" s="9" t="s">
        <v>123</v>
      </c>
      <c r="N1284" s="9"/>
      <c r="O1284" s="9" t="s">
        <v>22341</v>
      </c>
      <c r="P1284" s="53" t="s">
        <v>22342</v>
      </c>
      <c r="Q1284" s="49" t="s">
        <v>22343</v>
      </c>
      <c r="R1284" s="50"/>
      <c r="S1284" s="59"/>
      <c r="T1284" s="9" t="s">
        <v>22344</v>
      </c>
      <c r="U1284" s="9"/>
      <c r="V1284" s="9"/>
      <c r="W1284" s="9" t="s">
        <v>22345</v>
      </c>
      <c r="X1284" s="9"/>
      <c r="Y1284" s="9" t="s">
        <v>13978</v>
      </c>
      <c r="Z1284" s="9" t="s">
        <v>353</v>
      </c>
      <c r="AC1284" s="9">
        <v>9.8268637000015E13</v>
      </c>
      <c r="AD1284" s="9">
        <v>9.8268637E8</v>
      </c>
      <c r="AE1284" s="9" t="s">
        <v>401</v>
      </c>
      <c r="AF1284" s="55">
        <v>45518.630636574075</v>
      </c>
      <c r="AG1284" s="9" t="s">
        <v>22346</v>
      </c>
      <c r="AH1284" s="9" t="s">
        <v>22347</v>
      </c>
      <c r="AJ1284" s="9"/>
      <c r="AK1284" s="9"/>
      <c r="AL1284" s="9" t="b">
        <v>0</v>
      </c>
      <c r="AM1284" s="9" t="s">
        <v>22348</v>
      </c>
      <c r="AN1284" s="9" t="s">
        <v>11439</v>
      </c>
      <c r="AP1284" s="56">
        <v>45518.0</v>
      </c>
      <c r="AQ1284" s="9" t="b">
        <v>0</v>
      </c>
      <c r="AR1284" s="9"/>
    </row>
    <row r="1285" ht="15.75" customHeight="1">
      <c r="A1285" s="9" t="s">
        <v>11441</v>
      </c>
      <c r="B1285" s="9" t="s">
        <v>22349</v>
      </c>
      <c r="C1285" s="9" t="s">
        <v>822</v>
      </c>
      <c r="D1285" s="9" t="s">
        <v>1405</v>
      </c>
      <c r="E1285" s="9" t="s">
        <v>1406</v>
      </c>
      <c r="F1285" s="9"/>
      <c r="G1285" s="9" t="s">
        <v>664</v>
      </c>
      <c r="H1285" s="9"/>
      <c r="I1285" s="9"/>
      <c r="J1285" s="52" t="s">
        <v>22350</v>
      </c>
      <c r="K1285" s="9" t="s">
        <v>22351</v>
      </c>
      <c r="L1285" s="9">
        <v>97480.0</v>
      </c>
      <c r="M1285" s="9" t="s">
        <v>123</v>
      </c>
      <c r="N1285" s="9" t="s">
        <v>12446</v>
      </c>
      <c r="O1285" s="9" t="s">
        <v>22352</v>
      </c>
      <c r="P1285" s="53" t="s">
        <v>22353</v>
      </c>
      <c r="Q1285" s="49" t="s">
        <v>22354</v>
      </c>
      <c r="R1285" s="50"/>
      <c r="S1285" s="59"/>
      <c r="T1285" s="9" t="s">
        <v>22355</v>
      </c>
      <c r="U1285" s="9" t="s">
        <v>22356</v>
      </c>
      <c r="V1285" s="9" t="s">
        <v>22357</v>
      </c>
      <c r="W1285" s="9" t="s">
        <v>22358</v>
      </c>
      <c r="X1285" s="9" t="s">
        <v>1534</v>
      </c>
      <c r="Y1285" s="9" t="s">
        <v>21858</v>
      </c>
      <c r="Z1285" s="9" t="s">
        <v>353</v>
      </c>
      <c r="AC1285" s="9">
        <v>9.876859710001E13</v>
      </c>
      <c r="AD1285" s="9">
        <v>9.87685971E8</v>
      </c>
      <c r="AE1285" s="9" t="s">
        <v>401</v>
      </c>
      <c r="AF1285" s="55">
        <v>46006.42637731481</v>
      </c>
      <c r="AG1285" s="9" t="s">
        <v>22359</v>
      </c>
      <c r="AH1285" s="9" t="s">
        <v>22360</v>
      </c>
      <c r="AJ1285" s="9" t="s">
        <v>22361</v>
      </c>
      <c r="AK1285" s="9" t="b">
        <v>0</v>
      </c>
      <c r="AL1285" s="9" t="b">
        <v>0</v>
      </c>
      <c r="AM1285" s="9"/>
      <c r="AN1285" s="9" t="s">
        <v>11441</v>
      </c>
      <c r="AP1285" s="56">
        <v>45520.0</v>
      </c>
      <c r="AQ1285" s="9" t="b">
        <v>0</v>
      </c>
      <c r="AR1285" s="9"/>
    </row>
    <row r="1286" ht="15.75" customHeight="1">
      <c r="A1286" s="9" t="s">
        <v>11443</v>
      </c>
      <c r="B1286" s="9" t="s">
        <v>22362</v>
      </c>
      <c r="C1286" s="9" t="s">
        <v>58</v>
      </c>
      <c r="D1286" s="9" t="s">
        <v>59</v>
      </c>
      <c r="E1286" s="9" t="s">
        <v>12384</v>
      </c>
      <c r="F1286" s="9">
        <v>3.0</v>
      </c>
      <c r="G1286" s="9" t="s">
        <v>455</v>
      </c>
      <c r="H1286" s="9"/>
      <c r="I1286" s="9"/>
      <c r="J1286" s="9" t="s">
        <v>22363</v>
      </c>
      <c r="K1286" s="9" t="s">
        <v>22364</v>
      </c>
      <c r="L1286" s="9">
        <v>97430.0</v>
      </c>
      <c r="M1286" s="9" t="s">
        <v>71</v>
      </c>
      <c r="N1286" s="9" t="s">
        <v>12373</v>
      </c>
      <c r="O1286" s="9" t="s">
        <v>22365</v>
      </c>
      <c r="P1286" s="53" t="s">
        <v>22366</v>
      </c>
      <c r="Q1286" s="49" t="s">
        <v>22367</v>
      </c>
      <c r="R1286" s="50"/>
      <c r="S1286" s="59"/>
      <c r="T1286" s="9" t="s">
        <v>22368</v>
      </c>
      <c r="U1286" s="9" t="s">
        <v>22369</v>
      </c>
      <c r="V1286" s="9" t="s">
        <v>12373</v>
      </c>
      <c r="W1286" s="9" t="s">
        <v>22370</v>
      </c>
      <c r="X1286" s="9" t="s">
        <v>14825</v>
      </c>
      <c r="Y1286" s="9" t="s">
        <v>22371</v>
      </c>
      <c r="Z1286" s="9" t="s">
        <v>592</v>
      </c>
      <c r="AC1286" s="9">
        <v>8.0371072200023E13</v>
      </c>
      <c r="AD1286" s="9">
        <v>8.03710722E8</v>
      </c>
      <c r="AE1286" s="9" t="s">
        <v>401</v>
      </c>
      <c r="AF1286" s="55">
        <v>45532.44501157408</v>
      </c>
      <c r="AG1286" s="9" t="s">
        <v>22372</v>
      </c>
      <c r="AH1286" s="9" t="s">
        <v>22373</v>
      </c>
      <c r="AJ1286" s="9" t="s">
        <v>22374</v>
      </c>
      <c r="AK1286" s="9" t="b">
        <v>1</v>
      </c>
      <c r="AL1286" s="9" t="b">
        <v>1</v>
      </c>
      <c r="AM1286" s="9" t="s">
        <v>22375</v>
      </c>
      <c r="AN1286" s="9" t="s">
        <v>11443</v>
      </c>
      <c r="AP1286" s="56">
        <v>45530.0</v>
      </c>
      <c r="AQ1286" s="9" t="b">
        <v>0</v>
      </c>
      <c r="AR1286" s="9"/>
    </row>
    <row r="1287" ht="15.75" customHeight="1">
      <c r="A1287" s="9" t="s">
        <v>11445</v>
      </c>
      <c r="B1287" s="9" t="s">
        <v>22376</v>
      </c>
      <c r="C1287" s="9" t="s">
        <v>117</v>
      </c>
      <c r="D1287" s="9" t="s">
        <v>1792</v>
      </c>
      <c r="E1287" s="9" t="s">
        <v>22377</v>
      </c>
      <c r="F1287" s="9">
        <v>4.0</v>
      </c>
      <c r="G1287" s="9" t="s">
        <v>375</v>
      </c>
      <c r="H1287" s="9"/>
      <c r="I1287" s="9"/>
      <c r="J1287" s="52" t="s">
        <v>14790</v>
      </c>
      <c r="K1287" s="9" t="s">
        <v>22378</v>
      </c>
      <c r="L1287" s="9">
        <v>97480.0</v>
      </c>
      <c r="M1287" s="9" t="s">
        <v>123</v>
      </c>
      <c r="N1287" s="9" t="s">
        <v>206</v>
      </c>
      <c r="O1287" s="9" t="s">
        <v>22379</v>
      </c>
      <c r="P1287" s="53" t="s">
        <v>22380</v>
      </c>
      <c r="Q1287" s="49" t="s">
        <v>22381</v>
      </c>
      <c r="R1287" s="50"/>
      <c r="S1287" s="59"/>
      <c r="T1287" s="9" t="s">
        <v>22382</v>
      </c>
      <c r="U1287" s="9" t="s">
        <v>22383</v>
      </c>
      <c r="V1287" s="9" t="s">
        <v>22384</v>
      </c>
      <c r="W1287" s="9" t="s">
        <v>22385</v>
      </c>
      <c r="X1287" s="9" t="s">
        <v>22386</v>
      </c>
      <c r="Y1287" s="9" t="s">
        <v>377</v>
      </c>
      <c r="Z1287" s="9" t="s">
        <v>592</v>
      </c>
      <c r="AC1287" s="9">
        <v>9.2782346800016E13</v>
      </c>
      <c r="AD1287" s="9">
        <v>9.27823468E8</v>
      </c>
      <c r="AE1287" s="9" t="s">
        <v>401</v>
      </c>
      <c r="AF1287" s="55">
        <v>45946.414872685185</v>
      </c>
      <c r="AG1287" s="9" t="s">
        <v>22387</v>
      </c>
      <c r="AH1287" s="9" t="s">
        <v>22388</v>
      </c>
      <c r="AJ1287" s="9" t="s">
        <v>22389</v>
      </c>
      <c r="AK1287" s="9" t="b">
        <v>1</v>
      </c>
      <c r="AL1287" s="9" t="b">
        <v>1</v>
      </c>
      <c r="AM1287" s="9"/>
      <c r="AN1287" s="9" t="s">
        <v>11445</v>
      </c>
      <c r="AP1287" s="56">
        <v>45534.0</v>
      </c>
      <c r="AQ1287" s="9" t="b">
        <v>0</v>
      </c>
      <c r="AR1287" s="9" t="s">
        <v>22390</v>
      </c>
    </row>
    <row r="1288" ht="15.75" customHeight="1">
      <c r="A1288" s="9" t="s">
        <v>11448</v>
      </c>
      <c r="B1288" s="9" t="s">
        <v>22391</v>
      </c>
      <c r="C1288" s="9" t="s">
        <v>117</v>
      </c>
      <c r="D1288" s="9" t="s">
        <v>197</v>
      </c>
      <c r="E1288" s="9" t="s">
        <v>14250</v>
      </c>
      <c r="F1288" s="9"/>
      <c r="G1288" s="9" t="s">
        <v>422</v>
      </c>
      <c r="H1288" s="9"/>
      <c r="I1288" s="9"/>
      <c r="J1288" s="52" t="s">
        <v>19234</v>
      </c>
      <c r="K1288" s="9" t="s">
        <v>22392</v>
      </c>
      <c r="L1288" s="9">
        <v>97414.0</v>
      </c>
      <c r="M1288" s="9" t="s">
        <v>40</v>
      </c>
      <c r="N1288" s="9" t="s">
        <v>12822</v>
      </c>
      <c r="O1288" s="9" t="s">
        <v>22393</v>
      </c>
      <c r="P1288" s="53" t="s">
        <v>22394</v>
      </c>
      <c r="Q1288" s="49" t="s">
        <v>22395</v>
      </c>
      <c r="R1288" s="50"/>
      <c r="S1288" s="59"/>
      <c r="T1288" s="9" t="s">
        <v>22396</v>
      </c>
      <c r="U1288" s="9" t="s">
        <v>22391</v>
      </c>
      <c r="V1288" s="9" t="s">
        <v>22397</v>
      </c>
      <c r="W1288" s="9" t="s">
        <v>14260</v>
      </c>
      <c r="X1288" s="9" t="s">
        <v>22398</v>
      </c>
      <c r="Y1288" s="9" t="s">
        <v>4368</v>
      </c>
      <c r="Z1288" s="9" t="s">
        <v>353</v>
      </c>
      <c r="AC1288" s="9">
        <v>9.1046819800015E13</v>
      </c>
      <c r="AD1288" s="9">
        <v>9.10468198E8</v>
      </c>
      <c r="AE1288" s="9" t="s">
        <v>401</v>
      </c>
      <c r="AF1288" s="55">
        <v>45786.568449074075</v>
      </c>
      <c r="AG1288" s="9" t="s">
        <v>22399</v>
      </c>
      <c r="AH1288" s="9" t="s">
        <v>22400</v>
      </c>
      <c r="AJ1288" s="9" t="s">
        <v>22401</v>
      </c>
      <c r="AK1288" s="9" t="b">
        <v>0</v>
      </c>
      <c r="AL1288" s="9" t="b">
        <v>0</v>
      </c>
      <c r="AM1288" s="9"/>
      <c r="AN1288" s="9" t="s">
        <v>11448</v>
      </c>
      <c r="AP1288" s="56">
        <v>45537.0</v>
      </c>
      <c r="AQ1288" s="9" t="b">
        <v>1</v>
      </c>
      <c r="AR1288" s="9"/>
    </row>
    <row r="1289" ht="15.75" customHeight="1">
      <c r="A1289" s="9" t="s">
        <v>11450</v>
      </c>
      <c r="B1289" s="9" t="s">
        <v>22402</v>
      </c>
      <c r="C1289" s="9" t="s">
        <v>117</v>
      </c>
      <c r="D1289" s="9" t="s">
        <v>1405</v>
      </c>
      <c r="E1289" s="9" t="s">
        <v>1406</v>
      </c>
      <c r="F1289" s="9"/>
      <c r="G1289" s="9" t="s">
        <v>455</v>
      </c>
      <c r="H1289" s="9"/>
      <c r="I1289" s="9"/>
      <c r="J1289" s="52" t="s">
        <v>15167</v>
      </c>
      <c r="K1289" s="9" t="s">
        <v>22403</v>
      </c>
      <c r="L1289" s="9">
        <v>97480.0</v>
      </c>
      <c r="M1289" s="9" t="s">
        <v>123</v>
      </c>
      <c r="N1289" s="9" t="s">
        <v>8395</v>
      </c>
      <c r="O1289" s="9" t="s">
        <v>22404</v>
      </c>
      <c r="P1289" s="53" t="s">
        <v>22405</v>
      </c>
      <c r="Q1289" s="49" t="s">
        <v>22406</v>
      </c>
      <c r="R1289" s="50"/>
      <c r="S1289" s="59"/>
      <c r="T1289" s="9" t="s">
        <v>22407</v>
      </c>
      <c r="U1289" s="9" t="s">
        <v>22408</v>
      </c>
      <c r="V1289" s="9" t="s">
        <v>22409</v>
      </c>
      <c r="W1289" s="9" t="s">
        <v>14260</v>
      </c>
      <c r="X1289" s="9" t="s">
        <v>1534</v>
      </c>
      <c r="Y1289" s="9" t="s">
        <v>5317</v>
      </c>
      <c r="Z1289" s="9" t="s">
        <v>592</v>
      </c>
      <c r="AC1289" s="9">
        <v>5.3450320600037E13</v>
      </c>
      <c r="AD1289" s="9">
        <v>5.34503206E8</v>
      </c>
      <c r="AE1289" s="9" t="s">
        <v>401</v>
      </c>
      <c r="AF1289" s="55">
        <v>45541.553090277775</v>
      </c>
      <c r="AG1289" s="9" t="s">
        <v>22410</v>
      </c>
      <c r="AH1289" s="9" t="s">
        <v>22411</v>
      </c>
      <c r="AJ1289" s="9" t="s">
        <v>22412</v>
      </c>
      <c r="AK1289" s="9" t="b">
        <v>0</v>
      </c>
      <c r="AL1289" s="9" t="b">
        <v>0</v>
      </c>
      <c r="AM1289" s="9"/>
      <c r="AN1289" s="9" t="s">
        <v>11450</v>
      </c>
      <c r="AP1289" s="56">
        <v>45540.0</v>
      </c>
      <c r="AQ1289" s="9" t="b">
        <v>0</v>
      </c>
      <c r="AR1289" s="9"/>
    </row>
    <row r="1290" ht="15.75" customHeight="1">
      <c r="A1290" s="9" t="s">
        <v>11452</v>
      </c>
      <c r="B1290" s="9" t="s">
        <v>22413</v>
      </c>
      <c r="C1290" s="9" t="s">
        <v>58</v>
      </c>
      <c r="D1290" s="9" t="s">
        <v>59</v>
      </c>
      <c r="E1290" s="9" t="s">
        <v>374</v>
      </c>
      <c r="F1290" s="9">
        <v>14.0</v>
      </c>
      <c r="G1290" s="9" t="s">
        <v>455</v>
      </c>
      <c r="H1290" s="9"/>
      <c r="I1290" s="9"/>
      <c r="J1290" s="52" t="s">
        <v>22414</v>
      </c>
      <c r="K1290" s="9" t="s">
        <v>22415</v>
      </c>
      <c r="L1290" s="9">
        <v>97430.0</v>
      </c>
      <c r="M1290" s="9" t="s">
        <v>71</v>
      </c>
      <c r="N1290" s="9" t="s">
        <v>14126</v>
      </c>
      <c r="O1290" s="9" t="s">
        <v>22416</v>
      </c>
      <c r="P1290" s="53" t="s">
        <v>22417</v>
      </c>
      <c r="Q1290" s="49" t="s">
        <v>22418</v>
      </c>
      <c r="R1290" s="50"/>
      <c r="S1290" s="59"/>
      <c r="T1290" s="9" t="s">
        <v>22419</v>
      </c>
      <c r="U1290" s="9" t="s">
        <v>22420</v>
      </c>
      <c r="V1290" s="9" t="s">
        <v>22421</v>
      </c>
      <c r="W1290" s="9" t="s">
        <v>22422</v>
      </c>
      <c r="X1290" s="9" t="s">
        <v>22423</v>
      </c>
      <c r="Y1290" s="9" t="s">
        <v>12831</v>
      </c>
      <c r="Z1290" s="9" t="s">
        <v>592</v>
      </c>
      <c r="AC1290" s="9">
        <v>9.5253371900011E13</v>
      </c>
      <c r="AD1290" s="9">
        <v>9.52533719E8</v>
      </c>
      <c r="AE1290" s="9" t="s">
        <v>401</v>
      </c>
      <c r="AF1290" s="55">
        <v>45548.558587962965</v>
      </c>
      <c r="AG1290" s="9" t="s">
        <v>22424</v>
      </c>
      <c r="AH1290" s="9" t="s">
        <v>22425</v>
      </c>
      <c r="AJ1290" s="9" t="s">
        <v>22426</v>
      </c>
      <c r="AK1290" s="9" t="b">
        <v>0</v>
      </c>
      <c r="AL1290" s="9" t="b">
        <v>0</v>
      </c>
      <c r="AM1290" s="9" t="s">
        <v>22427</v>
      </c>
      <c r="AN1290" s="9" t="s">
        <v>11452</v>
      </c>
      <c r="AP1290" s="56">
        <v>45544.0</v>
      </c>
      <c r="AQ1290" s="9" t="b">
        <v>0</v>
      </c>
      <c r="AR1290" s="9" t="s">
        <v>22428</v>
      </c>
    </row>
    <row r="1291" ht="15.75" customHeight="1">
      <c r="A1291" s="9" t="s">
        <v>11454</v>
      </c>
      <c r="B1291" s="9" t="s">
        <v>22429</v>
      </c>
      <c r="C1291" s="9" t="s">
        <v>58</v>
      </c>
      <c r="D1291" s="9" t="s">
        <v>59</v>
      </c>
      <c r="E1291" s="9" t="s">
        <v>12384</v>
      </c>
      <c r="F1291" s="9">
        <v>6.0</v>
      </c>
      <c r="G1291" s="9" t="s">
        <v>455</v>
      </c>
      <c r="H1291" s="9"/>
      <c r="I1291" s="9"/>
      <c r="J1291" s="9" t="s">
        <v>22430</v>
      </c>
      <c r="K1291" s="9" t="s">
        <v>22431</v>
      </c>
      <c r="L1291" s="9">
        <v>97430.0</v>
      </c>
      <c r="M1291" s="9" t="s">
        <v>71</v>
      </c>
      <c r="N1291" s="9" t="s">
        <v>8411</v>
      </c>
      <c r="O1291" s="9" t="s">
        <v>22432</v>
      </c>
      <c r="P1291" s="53" t="s">
        <v>22433</v>
      </c>
      <c r="Q1291" s="49" t="s">
        <v>22434</v>
      </c>
      <c r="R1291" s="50"/>
      <c r="S1291" s="59"/>
      <c r="T1291" s="9" t="s">
        <v>22435</v>
      </c>
      <c r="U1291" s="9" t="s">
        <v>22429</v>
      </c>
      <c r="V1291" s="9" t="s">
        <v>22436</v>
      </c>
      <c r="W1291" s="9" t="s">
        <v>22437</v>
      </c>
      <c r="X1291" s="9" t="s">
        <v>22438</v>
      </c>
      <c r="Y1291" s="9" t="s">
        <v>18042</v>
      </c>
      <c r="Z1291" s="9" t="s">
        <v>353</v>
      </c>
      <c r="AC1291" s="9">
        <v>5.2536498000025E13</v>
      </c>
      <c r="AD1291" s="9">
        <v>5.2536498E8</v>
      </c>
      <c r="AE1291" s="9" t="s">
        <v>401</v>
      </c>
      <c r="AF1291" s="55">
        <v>45622.59826388889</v>
      </c>
      <c r="AG1291" s="9" t="s">
        <v>22439</v>
      </c>
      <c r="AH1291" s="9" t="s">
        <v>22440</v>
      </c>
      <c r="AJ1291" s="9" t="s">
        <v>22441</v>
      </c>
      <c r="AK1291" s="9" t="b">
        <v>0</v>
      </c>
      <c r="AL1291" s="9" t="b">
        <v>0</v>
      </c>
      <c r="AM1291" s="9" t="s">
        <v>22442</v>
      </c>
      <c r="AN1291" s="9" t="s">
        <v>11454</v>
      </c>
      <c r="AP1291" s="56">
        <v>45551.0</v>
      </c>
      <c r="AQ1291" s="9" t="b">
        <v>0</v>
      </c>
      <c r="AR1291" s="9"/>
    </row>
    <row r="1292" ht="15.75" customHeight="1">
      <c r="A1292" s="9" t="s">
        <v>11456</v>
      </c>
      <c r="B1292" s="9" t="s">
        <v>22443</v>
      </c>
      <c r="C1292" s="9" t="s">
        <v>58</v>
      </c>
      <c r="D1292" s="9" t="s">
        <v>59</v>
      </c>
      <c r="E1292" s="9" t="s">
        <v>12384</v>
      </c>
      <c r="F1292" s="9">
        <v>4.0</v>
      </c>
      <c r="G1292" s="9" t="s">
        <v>455</v>
      </c>
      <c r="H1292" s="9"/>
      <c r="I1292" s="9"/>
      <c r="J1292" s="9" t="s">
        <v>21888</v>
      </c>
      <c r="K1292" s="9" t="s">
        <v>22444</v>
      </c>
      <c r="L1292" s="9">
        <v>97442.0</v>
      </c>
      <c r="M1292" s="9" t="s">
        <v>33</v>
      </c>
      <c r="N1292" s="9" t="s">
        <v>16067</v>
      </c>
      <c r="O1292" s="9" t="s">
        <v>22445</v>
      </c>
      <c r="P1292" s="53" t="s">
        <v>22446</v>
      </c>
      <c r="Q1292" s="49" t="s">
        <v>22447</v>
      </c>
      <c r="R1292" s="50"/>
      <c r="S1292" s="59"/>
      <c r="T1292" s="9" t="s">
        <v>22448</v>
      </c>
      <c r="U1292" s="9" t="s">
        <v>22449</v>
      </c>
      <c r="V1292" s="9" t="s">
        <v>22450</v>
      </c>
      <c r="W1292" s="9" t="s">
        <v>22451</v>
      </c>
      <c r="X1292" s="9" t="s">
        <v>22452</v>
      </c>
      <c r="Y1292" s="9" t="s">
        <v>22453</v>
      </c>
      <c r="Z1292" s="9" t="s">
        <v>353</v>
      </c>
      <c r="AC1292" s="9">
        <v>8.4783352200018E13</v>
      </c>
      <c r="AD1292" s="9">
        <v>8.47833522E8</v>
      </c>
      <c r="AE1292" s="9" t="s">
        <v>12355</v>
      </c>
      <c r="AF1292" s="55">
        <v>46003.49172453704</v>
      </c>
      <c r="AG1292" s="9" t="s">
        <v>22454</v>
      </c>
      <c r="AH1292" s="9" t="s">
        <v>22455</v>
      </c>
      <c r="AJ1292" s="9" t="s">
        <v>22456</v>
      </c>
      <c r="AK1292" s="9" t="b">
        <v>1</v>
      </c>
      <c r="AL1292" s="9" t="b">
        <v>0</v>
      </c>
      <c r="AM1292" s="9" t="s">
        <v>22457</v>
      </c>
      <c r="AN1292" s="9" t="s">
        <v>11456</v>
      </c>
      <c r="AP1292" s="56">
        <v>45558.0</v>
      </c>
      <c r="AQ1292" s="9" t="b">
        <v>0</v>
      </c>
      <c r="AR1292" s="9"/>
    </row>
    <row r="1293" ht="15.75" customHeight="1">
      <c r="A1293" s="9" t="s">
        <v>11458</v>
      </c>
      <c r="B1293" s="9" t="s">
        <v>22458</v>
      </c>
      <c r="C1293" s="9" t="s">
        <v>58</v>
      </c>
      <c r="D1293" s="9" t="s">
        <v>59</v>
      </c>
      <c r="E1293" s="9" t="s">
        <v>346</v>
      </c>
      <c r="F1293" s="9">
        <v>6.0</v>
      </c>
      <c r="G1293" s="9" t="s">
        <v>375</v>
      </c>
      <c r="H1293" s="9" t="s">
        <v>2716</v>
      </c>
      <c r="I1293" s="9"/>
      <c r="J1293" s="52" t="s">
        <v>22459</v>
      </c>
      <c r="K1293" s="9" t="s">
        <v>22460</v>
      </c>
      <c r="L1293" s="9">
        <v>97442.0</v>
      </c>
      <c r="M1293" s="9" t="s">
        <v>33</v>
      </c>
      <c r="N1293" s="9" t="s">
        <v>22461</v>
      </c>
      <c r="O1293" s="9" t="s">
        <v>22462</v>
      </c>
      <c r="P1293" s="53" t="s">
        <v>15154</v>
      </c>
      <c r="Q1293" s="49" t="s">
        <v>15155</v>
      </c>
      <c r="R1293" s="50"/>
      <c r="S1293" s="59"/>
      <c r="T1293" s="9" t="s">
        <v>22463</v>
      </c>
      <c r="U1293" s="9" t="s">
        <v>22464</v>
      </c>
      <c r="V1293" s="9" t="s">
        <v>22465</v>
      </c>
      <c r="W1293" s="9" t="s">
        <v>22466</v>
      </c>
      <c r="X1293" s="9" t="s">
        <v>22467</v>
      </c>
      <c r="Y1293" s="9" t="s">
        <v>22453</v>
      </c>
      <c r="Z1293" s="9" t="s">
        <v>4369</v>
      </c>
      <c r="AC1293" s="9">
        <v>9.5220499800019E13</v>
      </c>
      <c r="AD1293" s="9">
        <v>9.52204998E8</v>
      </c>
      <c r="AE1293" s="9" t="s">
        <v>401</v>
      </c>
      <c r="AF1293" s="55">
        <v>45594.378796296296</v>
      </c>
      <c r="AG1293" s="9" t="s">
        <v>15162</v>
      </c>
      <c r="AH1293" s="9" t="s">
        <v>22468</v>
      </c>
      <c r="AJ1293" s="9" t="s">
        <v>22469</v>
      </c>
      <c r="AK1293" s="9" t="b">
        <v>0</v>
      </c>
      <c r="AL1293" s="9" t="b">
        <v>0</v>
      </c>
      <c r="AM1293" s="9" t="s">
        <v>22470</v>
      </c>
      <c r="AN1293" s="9" t="s">
        <v>11458</v>
      </c>
      <c r="AP1293" s="56">
        <v>45559.0</v>
      </c>
      <c r="AQ1293" s="9" t="b">
        <v>0</v>
      </c>
      <c r="AR1293" s="9"/>
    </row>
    <row r="1294" ht="15.75" customHeight="1">
      <c r="A1294" s="9" t="s">
        <v>11460</v>
      </c>
      <c r="B1294" s="9" t="s">
        <v>22471</v>
      </c>
      <c r="C1294" s="9" t="s">
        <v>117</v>
      </c>
      <c r="D1294" s="9" t="s">
        <v>1405</v>
      </c>
      <c r="E1294" s="9" t="s">
        <v>12259</v>
      </c>
      <c r="F1294" s="9"/>
      <c r="G1294" s="9"/>
      <c r="H1294" s="9"/>
      <c r="I1294" s="9"/>
      <c r="J1294" s="9" t="s">
        <v>22472</v>
      </c>
      <c r="K1294" s="9" t="s">
        <v>22473</v>
      </c>
      <c r="L1294" s="9">
        <v>97430.0</v>
      </c>
      <c r="M1294" s="9" t="s">
        <v>71</v>
      </c>
      <c r="N1294" s="9"/>
      <c r="O1294" s="9" t="s">
        <v>22474</v>
      </c>
      <c r="P1294" s="53" t="s">
        <v>22475</v>
      </c>
      <c r="Q1294" s="49" t="s">
        <v>22476</v>
      </c>
      <c r="R1294" s="50"/>
      <c r="S1294" s="59"/>
      <c r="T1294" s="9" t="s">
        <v>22477</v>
      </c>
      <c r="U1294" s="9" t="s">
        <v>22478</v>
      </c>
      <c r="V1294" s="9" t="s">
        <v>22479</v>
      </c>
      <c r="W1294" s="9" t="s">
        <v>22480</v>
      </c>
      <c r="X1294" s="9" t="s">
        <v>22481</v>
      </c>
      <c r="Y1294" s="9" t="s">
        <v>5317</v>
      </c>
      <c r="Z1294" s="9" t="s">
        <v>353</v>
      </c>
      <c r="AC1294" s="9">
        <v>9.223906610001E13</v>
      </c>
      <c r="AD1294" s="9">
        <v>9.22390661E8</v>
      </c>
      <c r="AE1294" s="9" t="s">
        <v>401</v>
      </c>
      <c r="AF1294" s="55">
        <v>45573.55459490741</v>
      </c>
      <c r="AG1294" s="9" t="s">
        <v>22482</v>
      </c>
      <c r="AH1294" s="9" t="s">
        <v>22483</v>
      </c>
      <c r="AJ1294" s="9" t="s">
        <v>22484</v>
      </c>
      <c r="AK1294" s="9" t="b">
        <v>1</v>
      </c>
      <c r="AL1294" s="9" t="b">
        <v>0</v>
      </c>
      <c r="AM1294" s="9"/>
      <c r="AN1294" s="9" t="s">
        <v>11460</v>
      </c>
      <c r="AP1294" s="56">
        <v>45566.0</v>
      </c>
      <c r="AQ1294" s="9" t="b">
        <v>0</v>
      </c>
      <c r="AR1294" s="9"/>
    </row>
    <row r="1295" ht="15.75" customHeight="1">
      <c r="A1295" s="9" t="s">
        <v>11462</v>
      </c>
      <c r="B1295" s="9" t="s">
        <v>22485</v>
      </c>
      <c r="C1295" s="9" t="s">
        <v>58</v>
      </c>
      <c r="D1295" s="9" t="s">
        <v>59</v>
      </c>
      <c r="E1295" s="9" t="s">
        <v>346</v>
      </c>
      <c r="F1295" s="9">
        <v>4.0</v>
      </c>
      <c r="G1295" s="9"/>
      <c r="H1295" s="9"/>
      <c r="I1295" s="9"/>
      <c r="J1295" s="9" t="s">
        <v>22486</v>
      </c>
      <c r="K1295" s="9" t="s">
        <v>22487</v>
      </c>
      <c r="L1295" s="9">
        <v>97480.0</v>
      </c>
      <c r="M1295" s="9" t="s">
        <v>123</v>
      </c>
      <c r="N1295" s="9" t="s">
        <v>206</v>
      </c>
      <c r="O1295" s="9" t="s">
        <v>22488</v>
      </c>
      <c r="P1295" s="53" t="s">
        <v>22489</v>
      </c>
      <c r="Q1295" s="49" t="s">
        <v>22490</v>
      </c>
      <c r="R1295" s="50"/>
      <c r="S1295" s="59"/>
      <c r="T1295" s="9" t="s">
        <v>22491</v>
      </c>
      <c r="U1295" s="9" t="s">
        <v>22492</v>
      </c>
      <c r="V1295" s="9" t="s">
        <v>22493</v>
      </c>
      <c r="W1295" s="9" t="s">
        <v>22494</v>
      </c>
      <c r="X1295" s="9" t="s">
        <v>22495</v>
      </c>
      <c r="Y1295" s="9" t="s">
        <v>22496</v>
      </c>
      <c r="Z1295" s="9" t="s">
        <v>378</v>
      </c>
      <c r="AC1295" s="9">
        <v>9.3407844500012E13</v>
      </c>
      <c r="AD1295" s="9">
        <v>9.34078445E8</v>
      </c>
      <c r="AE1295" s="9" t="s">
        <v>401</v>
      </c>
      <c r="AF1295" s="55">
        <v>45677.296944444446</v>
      </c>
      <c r="AG1295" s="9" t="s">
        <v>22497</v>
      </c>
      <c r="AH1295" s="9" t="s">
        <v>22498</v>
      </c>
      <c r="AJ1295" s="9" t="s">
        <v>22499</v>
      </c>
      <c r="AK1295" s="9" t="b">
        <v>0</v>
      </c>
      <c r="AL1295" s="9" t="b">
        <v>0</v>
      </c>
      <c r="AM1295" s="9" t="s">
        <v>22500</v>
      </c>
      <c r="AN1295" s="9" t="s">
        <v>11462</v>
      </c>
      <c r="AP1295" s="56">
        <v>45588.0</v>
      </c>
      <c r="AQ1295" s="9" t="b">
        <v>0</v>
      </c>
      <c r="AR1295" s="9" t="s">
        <v>22501</v>
      </c>
    </row>
    <row r="1296" ht="15.75" customHeight="1">
      <c r="A1296" s="9" t="s">
        <v>11464</v>
      </c>
      <c r="B1296" s="9" t="s">
        <v>22502</v>
      </c>
      <c r="C1296" s="9" t="s">
        <v>822</v>
      </c>
      <c r="D1296" s="9" t="s">
        <v>1805</v>
      </c>
      <c r="E1296" s="9" t="s">
        <v>1806</v>
      </c>
      <c r="F1296" s="9"/>
      <c r="G1296" s="9"/>
      <c r="H1296" s="9"/>
      <c r="I1296" s="9"/>
      <c r="J1296" s="52" t="s">
        <v>22503</v>
      </c>
      <c r="K1296" s="9" t="s">
        <v>16029</v>
      </c>
      <c r="L1296" s="9">
        <v>97414.0</v>
      </c>
      <c r="M1296" s="9" t="s">
        <v>40</v>
      </c>
      <c r="N1296" s="9" t="s">
        <v>12822</v>
      </c>
      <c r="O1296" s="9" t="s">
        <v>22504</v>
      </c>
      <c r="P1296" s="53" t="s">
        <v>22505</v>
      </c>
      <c r="Q1296" s="49" t="s">
        <v>22506</v>
      </c>
      <c r="R1296" s="50"/>
      <c r="S1296" s="58" t="s">
        <v>22507</v>
      </c>
      <c r="T1296" s="9" t="s">
        <v>22508</v>
      </c>
      <c r="U1296" s="9" t="s">
        <v>22509</v>
      </c>
      <c r="V1296" s="9" t="s">
        <v>22510</v>
      </c>
      <c r="W1296" s="9" t="s">
        <v>22511</v>
      </c>
      <c r="X1296" s="9"/>
      <c r="Y1296" s="9" t="s">
        <v>1863</v>
      </c>
      <c r="Z1296" s="9" t="s">
        <v>424</v>
      </c>
      <c r="AC1296" s="9">
        <v>9.0804839000011E13</v>
      </c>
      <c r="AD1296" s="9">
        <v>9.0804839E8</v>
      </c>
      <c r="AE1296" s="9" t="s">
        <v>401</v>
      </c>
      <c r="AF1296" s="55">
        <v>46041.36048611111</v>
      </c>
      <c r="AG1296" s="9" t="s">
        <v>22512</v>
      </c>
      <c r="AH1296" s="9" t="s">
        <v>22513</v>
      </c>
      <c r="AJ1296" s="9" t="s">
        <v>22514</v>
      </c>
      <c r="AK1296" s="9" t="b">
        <v>1</v>
      </c>
      <c r="AL1296" s="9" t="b">
        <v>1</v>
      </c>
      <c r="AM1296" s="9"/>
      <c r="AN1296" s="9" t="s">
        <v>11464</v>
      </c>
      <c r="AP1296" s="56">
        <v>45588.0</v>
      </c>
      <c r="AQ1296" s="9" t="b">
        <v>1</v>
      </c>
      <c r="AR1296" s="9" t="s">
        <v>22515</v>
      </c>
    </row>
    <row r="1297" ht="15.75" customHeight="1">
      <c r="A1297" s="9" t="s">
        <v>11466</v>
      </c>
      <c r="B1297" s="9" t="s">
        <v>22516</v>
      </c>
      <c r="C1297" s="9" t="s">
        <v>117</v>
      </c>
      <c r="D1297" s="9" t="s">
        <v>197</v>
      </c>
      <c r="E1297" s="9" t="s">
        <v>559</v>
      </c>
      <c r="F1297" s="9"/>
      <c r="G1297" s="9" t="s">
        <v>422</v>
      </c>
      <c r="H1297" s="9"/>
      <c r="I1297" s="9"/>
      <c r="J1297" s="52" t="s">
        <v>12345</v>
      </c>
      <c r="K1297" s="9" t="s">
        <v>14666</v>
      </c>
      <c r="L1297" s="9">
        <v>97414.0</v>
      </c>
      <c r="M1297" s="9" t="s">
        <v>40</v>
      </c>
      <c r="N1297" s="9" t="s">
        <v>1860</v>
      </c>
      <c r="O1297" s="9" t="s">
        <v>22517</v>
      </c>
      <c r="P1297" s="53" t="s">
        <v>22518</v>
      </c>
      <c r="Q1297" s="49" t="s">
        <v>22519</v>
      </c>
      <c r="R1297" s="50"/>
      <c r="S1297" s="59"/>
      <c r="T1297" s="9" t="s">
        <v>22520</v>
      </c>
      <c r="U1297" s="9"/>
      <c r="V1297" s="9" t="s">
        <v>22521</v>
      </c>
      <c r="W1297" s="9"/>
      <c r="X1297" s="9"/>
      <c r="Y1297" s="9" t="s">
        <v>377</v>
      </c>
      <c r="Z1297" s="9" t="s">
        <v>592</v>
      </c>
      <c r="AC1297" s="9">
        <v>9.81735947E8</v>
      </c>
      <c r="AD1297" s="9">
        <v>9.81735947E8</v>
      </c>
      <c r="AE1297" s="9" t="s">
        <v>401</v>
      </c>
      <c r="AF1297" s="55">
        <v>45617.49159722222</v>
      </c>
      <c r="AG1297" s="52" t="s">
        <v>22522</v>
      </c>
      <c r="AH1297" s="9" t="s">
        <v>22523</v>
      </c>
      <c r="AJ1297" s="9"/>
      <c r="AK1297" s="9" t="b">
        <v>0</v>
      </c>
      <c r="AL1297" s="9" t="b">
        <v>0</v>
      </c>
      <c r="AM1297" s="9"/>
      <c r="AN1297" s="9" t="s">
        <v>11466</v>
      </c>
      <c r="AP1297" s="56">
        <v>45594.0</v>
      </c>
      <c r="AQ1297" s="9" t="b">
        <v>0</v>
      </c>
      <c r="AR1297" s="9"/>
    </row>
    <row r="1298" ht="15.75" customHeight="1">
      <c r="A1298" s="9" t="s">
        <v>11468</v>
      </c>
      <c r="B1298" s="9" t="s">
        <v>22524</v>
      </c>
      <c r="C1298" s="9" t="s">
        <v>34</v>
      </c>
      <c r="D1298" s="9" t="s">
        <v>678</v>
      </c>
      <c r="E1298" s="9" t="s">
        <v>15916</v>
      </c>
      <c r="F1298" s="9">
        <v>20.0</v>
      </c>
      <c r="G1298" s="9"/>
      <c r="H1298" s="9"/>
      <c r="I1298" s="9"/>
      <c r="J1298" s="52" t="s">
        <v>12445</v>
      </c>
      <c r="K1298" s="9" t="s">
        <v>22525</v>
      </c>
      <c r="L1298" s="9">
        <v>97442.0</v>
      </c>
      <c r="M1298" s="9" t="s">
        <v>33</v>
      </c>
      <c r="N1298" s="9" t="s">
        <v>15582</v>
      </c>
      <c r="O1298" s="9" t="s">
        <v>22526</v>
      </c>
      <c r="P1298" s="53" t="s">
        <v>22527</v>
      </c>
      <c r="Q1298" s="49" t="s">
        <v>22528</v>
      </c>
      <c r="R1298" s="50"/>
      <c r="S1298" s="59"/>
      <c r="T1298" s="9" t="s">
        <v>22529</v>
      </c>
      <c r="U1298" s="9" t="s">
        <v>22530</v>
      </c>
      <c r="V1298" s="9"/>
      <c r="W1298" s="9" t="s">
        <v>22531</v>
      </c>
      <c r="X1298" s="9" t="s">
        <v>22532</v>
      </c>
      <c r="Y1298" s="9" t="s">
        <v>1076</v>
      </c>
      <c r="Z1298" s="9" t="s">
        <v>353</v>
      </c>
      <c r="AC1298" s="9">
        <v>9.333053360001E13</v>
      </c>
      <c r="AD1298" s="9">
        <v>9.33305336E8</v>
      </c>
      <c r="AE1298" s="9" t="s">
        <v>401</v>
      </c>
      <c r="AF1298" s="55">
        <v>45611.385092592594</v>
      </c>
      <c r="AG1298" s="9" t="s">
        <v>22533</v>
      </c>
      <c r="AH1298" s="9" t="s">
        <v>22534</v>
      </c>
      <c r="AJ1298" s="9" t="s">
        <v>22535</v>
      </c>
      <c r="AK1298" s="9" t="b">
        <v>1</v>
      </c>
      <c r="AL1298" s="9" t="b">
        <v>1</v>
      </c>
      <c r="AM1298" s="9"/>
      <c r="AN1298" s="9" t="s">
        <v>11468</v>
      </c>
      <c r="AP1298" s="56">
        <v>45600.0</v>
      </c>
      <c r="AQ1298" s="9" t="b">
        <v>0</v>
      </c>
      <c r="AR1298" s="9"/>
    </row>
    <row r="1299" ht="15.75" customHeight="1">
      <c r="A1299" s="9" t="s">
        <v>11470</v>
      </c>
      <c r="B1299" s="9" t="s">
        <v>22536</v>
      </c>
      <c r="C1299" s="9" t="s">
        <v>58</v>
      </c>
      <c r="D1299" s="9" t="s">
        <v>59</v>
      </c>
      <c r="E1299" s="9" t="s">
        <v>346</v>
      </c>
      <c r="F1299" s="9">
        <v>8.0</v>
      </c>
      <c r="G1299" s="9"/>
      <c r="H1299" s="9" t="s">
        <v>22537</v>
      </c>
      <c r="I1299" s="9" t="s">
        <v>751</v>
      </c>
      <c r="J1299" s="52" t="s">
        <v>18695</v>
      </c>
      <c r="K1299" s="9" t="s">
        <v>22538</v>
      </c>
      <c r="L1299" s="9">
        <v>97480.0</v>
      </c>
      <c r="M1299" s="9" t="s">
        <v>123</v>
      </c>
      <c r="N1299" s="9" t="s">
        <v>8259</v>
      </c>
      <c r="O1299" s="9" t="s">
        <v>22539</v>
      </c>
      <c r="P1299" s="53" t="s">
        <v>22540</v>
      </c>
      <c r="Q1299" s="49" t="s">
        <v>22541</v>
      </c>
      <c r="R1299" s="50"/>
      <c r="S1299" s="58" t="s">
        <v>22542</v>
      </c>
      <c r="T1299" s="9" t="s">
        <v>22543</v>
      </c>
      <c r="U1299" s="9" t="s">
        <v>22544</v>
      </c>
      <c r="V1299" s="9" t="s">
        <v>22545</v>
      </c>
      <c r="W1299" s="9" t="s">
        <v>22546</v>
      </c>
      <c r="X1299" s="9" t="s">
        <v>22547</v>
      </c>
      <c r="Y1299" s="9" t="s">
        <v>22548</v>
      </c>
      <c r="Z1299" s="9" t="s">
        <v>378</v>
      </c>
      <c r="AC1299" s="9">
        <v>8.9004319300014E13</v>
      </c>
      <c r="AD1299" s="9">
        <v>8.90043193E8</v>
      </c>
      <c r="AE1299" s="9" t="s">
        <v>401</v>
      </c>
      <c r="AF1299" s="55">
        <v>45609.62850694444</v>
      </c>
      <c r="AG1299" s="9" t="s">
        <v>22549</v>
      </c>
      <c r="AH1299" s="9" t="s">
        <v>22550</v>
      </c>
      <c r="AJ1299" s="9" t="s">
        <v>22551</v>
      </c>
      <c r="AK1299" s="9" t="b">
        <v>1</v>
      </c>
      <c r="AL1299" s="9" t="b">
        <v>0</v>
      </c>
      <c r="AM1299" s="9"/>
      <c r="AN1299" s="9" t="s">
        <v>11470</v>
      </c>
      <c r="AP1299" s="56">
        <v>45600.0</v>
      </c>
      <c r="AQ1299" s="9" t="b">
        <v>0</v>
      </c>
      <c r="AR1299" s="9"/>
    </row>
    <row r="1300" ht="15.75" customHeight="1">
      <c r="A1300" s="9" t="s">
        <v>11472</v>
      </c>
      <c r="B1300" s="9" t="s">
        <v>22552</v>
      </c>
      <c r="C1300" s="9" t="s">
        <v>58</v>
      </c>
      <c r="D1300" s="9" t="s">
        <v>453</v>
      </c>
      <c r="E1300" s="9" t="s">
        <v>454</v>
      </c>
      <c r="F1300" s="9">
        <v>8.0</v>
      </c>
      <c r="G1300" s="9" t="s">
        <v>422</v>
      </c>
      <c r="H1300" s="9"/>
      <c r="I1300" s="9"/>
      <c r="J1300" s="9" t="s">
        <v>22553</v>
      </c>
      <c r="K1300" s="9" t="s">
        <v>12977</v>
      </c>
      <c r="L1300" s="9">
        <v>97414.0</v>
      </c>
      <c r="M1300" s="9" t="s">
        <v>40</v>
      </c>
      <c r="N1300" s="9" t="s">
        <v>12822</v>
      </c>
      <c r="O1300" s="9" t="s">
        <v>22554</v>
      </c>
      <c r="P1300" s="53" t="s">
        <v>22555</v>
      </c>
      <c r="Q1300" s="49" t="s">
        <v>22556</v>
      </c>
      <c r="R1300" s="50"/>
      <c r="S1300" s="59"/>
      <c r="T1300" s="9" t="s">
        <v>22557</v>
      </c>
      <c r="U1300" s="9" t="s">
        <v>22558</v>
      </c>
      <c r="V1300" s="9"/>
      <c r="W1300" s="9" t="s">
        <v>22559</v>
      </c>
      <c r="X1300" s="9" t="s">
        <v>22560</v>
      </c>
      <c r="Y1300" s="9" t="s">
        <v>499</v>
      </c>
      <c r="Z1300" s="9" t="s">
        <v>22561</v>
      </c>
      <c r="AC1300" s="9"/>
      <c r="AD1300" s="9"/>
      <c r="AE1300" s="9" t="s">
        <v>401</v>
      </c>
      <c r="AF1300" s="55">
        <v>45828.383622685185</v>
      </c>
      <c r="AG1300" s="9" t="s">
        <v>22562</v>
      </c>
      <c r="AH1300" s="9" t="s">
        <v>22563</v>
      </c>
      <c r="AJ1300" s="9" t="s">
        <v>22564</v>
      </c>
      <c r="AK1300" s="9" t="b">
        <v>0</v>
      </c>
      <c r="AL1300" s="9" t="b">
        <v>0</v>
      </c>
      <c r="AM1300" s="9"/>
      <c r="AN1300" s="9" t="s">
        <v>11472</v>
      </c>
      <c r="AP1300" s="56">
        <v>45610.0</v>
      </c>
      <c r="AQ1300" s="9" t="b">
        <v>0</v>
      </c>
      <c r="AR1300" s="9" t="s">
        <v>22565</v>
      </c>
    </row>
    <row r="1301" ht="15.75" customHeight="1">
      <c r="A1301" s="9" t="s">
        <v>11474</v>
      </c>
      <c r="B1301" s="9" t="s">
        <v>22566</v>
      </c>
      <c r="C1301" s="9" t="s">
        <v>58</v>
      </c>
      <c r="D1301" s="9" t="s">
        <v>59</v>
      </c>
      <c r="E1301" s="9" t="s">
        <v>374</v>
      </c>
      <c r="F1301" s="9">
        <v>5.0</v>
      </c>
      <c r="G1301" s="9"/>
      <c r="H1301" s="9"/>
      <c r="I1301" s="9"/>
      <c r="J1301" s="9" t="s">
        <v>22567</v>
      </c>
      <c r="K1301" s="9" t="s">
        <v>22568</v>
      </c>
      <c r="L1301" s="9">
        <v>97430.0</v>
      </c>
      <c r="M1301" s="9" t="s">
        <v>71</v>
      </c>
      <c r="N1301" s="9" t="s">
        <v>12373</v>
      </c>
      <c r="O1301" s="9" t="s">
        <v>22569</v>
      </c>
      <c r="P1301" s="53" t="s">
        <v>22570</v>
      </c>
      <c r="Q1301" s="49" t="s">
        <v>22571</v>
      </c>
      <c r="R1301" s="50"/>
      <c r="S1301" s="59"/>
      <c r="T1301" s="9" t="s">
        <v>22572</v>
      </c>
      <c r="U1301" s="9" t="s">
        <v>22573</v>
      </c>
      <c r="V1301" s="9"/>
      <c r="W1301" s="9" t="s">
        <v>22574</v>
      </c>
      <c r="X1301" s="9" t="s">
        <v>22575</v>
      </c>
      <c r="Y1301" s="9" t="s">
        <v>9455</v>
      </c>
      <c r="Z1301" s="9" t="s">
        <v>353</v>
      </c>
      <c r="AC1301" s="9">
        <v>9.3173383600015E13</v>
      </c>
      <c r="AD1301" s="9">
        <v>9.31733836E8</v>
      </c>
      <c r="AE1301" s="9" t="s">
        <v>401</v>
      </c>
      <c r="AF1301" s="55">
        <v>45611.62715277778</v>
      </c>
      <c r="AG1301" s="9" t="s">
        <v>22576</v>
      </c>
      <c r="AH1301" s="9" t="s">
        <v>22577</v>
      </c>
      <c r="AJ1301" s="9"/>
      <c r="AK1301" s="9" t="b">
        <v>0</v>
      </c>
      <c r="AL1301" s="9" t="b">
        <v>0</v>
      </c>
      <c r="AM1301" s="9"/>
      <c r="AN1301" s="9" t="s">
        <v>11474</v>
      </c>
      <c r="AP1301" s="56">
        <v>45611.0</v>
      </c>
      <c r="AQ1301" s="9" t="b">
        <v>0</v>
      </c>
      <c r="AR1301" s="9"/>
    </row>
    <row r="1302" ht="15.75" customHeight="1">
      <c r="A1302" s="9" t="s">
        <v>11476</v>
      </c>
      <c r="B1302" s="9" t="s">
        <v>22578</v>
      </c>
      <c r="C1302" s="9" t="s">
        <v>58</v>
      </c>
      <c r="D1302" s="9" t="s">
        <v>59</v>
      </c>
      <c r="E1302" s="9" t="s">
        <v>545</v>
      </c>
      <c r="F1302" s="9">
        <v>3.0</v>
      </c>
      <c r="G1302" s="9" t="s">
        <v>455</v>
      </c>
      <c r="H1302" s="9"/>
      <c r="I1302" s="9"/>
      <c r="J1302" s="52" t="s">
        <v>13151</v>
      </c>
      <c r="K1302" s="9" t="s">
        <v>22579</v>
      </c>
      <c r="L1302" s="9">
        <v>97430.0</v>
      </c>
      <c r="M1302" s="9" t="s">
        <v>71</v>
      </c>
      <c r="N1302" s="9" t="s">
        <v>12373</v>
      </c>
      <c r="O1302" s="9" t="s">
        <v>22580</v>
      </c>
      <c r="P1302" s="53" t="s">
        <v>22581</v>
      </c>
      <c r="Q1302" s="49" t="s">
        <v>22582</v>
      </c>
      <c r="R1302" s="50"/>
      <c r="S1302" s="58" t="s">
        <v>22583</v>
      </c>
      <c r="T1302" s="9" t="s">
        <v>22584</v>
      </c>
      <c r="U1302" s="9" t="s">
        <v>22585</v>
      </c>
      <c r="V1302" s="9" t="s">
        <v>22586</v>
      </c>
      <c r="W1302" s="9" t="s">
        <v>22587</v>
      </c>
      <c r="X1302" s="9" t="s">
        <v>22588</v>
      </c>
      <c r="Y1302" s="9" t="s">
        <v>22589</v>
      </c>
      <c r="Z1302" s="9" t="s">
        <v>353</v>
      </c>
      <c r="AC1302" s="9">
        <v>9.27856088E8</v>
      </c>
      <c r="AD1302" s="9">
        <v>9.27856088E8</v>
      </c>
      <c r="AE1302" s="9" t="s">
        <v>401</v>
      </c>
      <c r="AF1302" s="55">
        <v>45628.462800925925</v>
      </c>
      <c r="AG1302" s="9" t="s">
        <v>22590</v>
      </c>
      <c r="AH1302" s="9" t="s">
        <v>22591</v>
      </c>
      <c r="AJ1302" s="9" t="s">
        <v>22592</v>
      </c>
      <c r="AK1302" s="9" t="b">
        <v>0</v>
      </c>
      <c r="AL1302" s="9" t="b">
        <v>0</v>
      </c>
      <c r="AM1302" s="9" t="s">
        <v>22593</v>
      </c>
      <c r="AN1302" s="9" t="s">
        <v>11476</v>
      </c>
      <c r="AP1302" s="56">
        <v>45614.0</v>
      </c>
      <c r="AQ1302" s="9" t="b">
        <v>0</v>
      </c>
      <c r="AR1302" s="9"/>
    </row>
    <row r="1303" ht="15.75" customHeight="1">
      <c r="A1303" s="9" t="s">
        <v>11478</v>
      </c>
      <c r="B1303" s="9" t="s">
        <v>22594</v>
      </c>
      <c r="C1303" s="9" t="s">
        <v>58</v>
      </c>
      <c r="D1303" s="9" t="s">
        <v>453</v>
      </c>
      <c r="E1303" s="9" t="s">
        <v>22595</v>
      </c>
      <c r="F1303" s="9">
        <v>2.0</v>
      </c>
      <c r="G1303" s="9" t="s">
        <v>455</v>
      </c>
      <c r="H1303" s="9"/>
      <c r="I1303" s="9"/>
      <c r="J1303" s="52" t="s">
        <v>15094</v>
      </c>
      <c r="K1303" s="9" t="s">
        <v>22596</v>
      </c>
      <c r="L1303" s="9">
        <v>97442.0</v>
      </c>
      <c r="M1303" s="9" t="s">
        <v>33</v>
      </c>
      <c r="N1303" s="9" t="s">
        <v>14526</v>
      </c>
      <c r="O1303" s="9" t="s">
        <v>22597</v>
      </c>
      <c r="P1303" s="53" t="s">
        <v>16069</v>
      </c>
      <c r="Q1303" s="49" t="s">
        <v>16070</v>
      </c>
      <c r="R1303" s="50"/>
      <c r="S1303" s="59"/>
      <c r="T1303" s="9" t="s">
        <v>22598</v>
      </c>
      <c r="U1303" s="9" t="s">
        <v>22594</v>
      </c>
      <c r="V1303" s="9"/>
      <c r="W1303" s="9" t="s">
        <v>22599</v>
      </c>
      <c r="X1303" s="9" t="s">
        <v>22600</v>
      </c>
      <c r="Y1303" s="9" t="s">
        <v>18042</v>
      </c>
      <c r="Z1303" s="9" t="s">
        <v>353</v>
      </c>
      <c r="AC1303" s="9">
        <v>7.947228840001E13</v>
      </c>
      <c r="AD1303" s="9">
        <v>7.94722884E8</v>
      </c>
      <c r="AE1303" s="9" t="s">
        <v>401</v>
      </c>
      <c r="AF1303" s="55">
        <v>45614.549375</v>
      </c>
      <c r="AG1303" s="9" t="s">
        <v>16076</v>
      </c>
      <c r="AH1303" s="9" t="s">
        <v>22601</v>
      </c>
      <c r="AJ1303" s="9" t="s">
        <v>22602</v>
      </c>
      <c r="AK1303" s="9" t="b">
        <v>0</v>
      </c>
      <c r="AL1303" s="9" t="b">
        <v>0</v>
      </c>
      <c r="AM1303" s="9" t="s">
        <v>22603</v>
      </c>
      <c r="AN1303" s="9" t="s">
        <v>11478</v>
      </c>
      <c r="AP1303" s="56">
        <v>45614.0</v>
      </c>
      <c r="AQ1303" s="9" t="b">
        <v>0</v>
      </c>
      <c r="AR1303" s="9"/>
    </row>
    <row r="1304" ht="15.75" customHeight="1">
      <c r="A1304" s="9" t="s">
        <v>11480</v>
      </c>
      <c r="B1304" s="9" t="s">
        <v>22604</v>
      </c>
      <c r="C1304" s="9" t="s">
        <v>58</v>
      </c>
      <c r="D1304" s="9" t="s">
        <v>59</v>
      </c>
      <c r="E1304" s="9" t="s">
        <v>346</v>
      </c>
      <c r="F1304" s="9">
        <v>4.0</v>
      </c>
      <c r="G1304" s="9"/>
      <c r="H1304" s="9" t="s">
        <v>2716</v>
      </c>
      <c r="I1304" s="9"/>
      <c r="J1304" s="9" t="s">
        <v>22605</v>
      </c>
      <c r="K1304" s="9" t="s">
        <v>22606</v>
      </c>
      <c r="L1304" s="9">
        <v>97430.0</v>
      </c>
      <c r="M1304" s="9" t="s">
        <v>71</v>
      </c>
      <c r="N1304" s="9"/>
      <c r="O1304" s="9" t="s">
        <v>22607</v>
      </c>
      <c r="P1304" s="53" t="s">
        <v>22608</v>
      </c>
      <c r="Q1304" s="49" t="s">
        <v>22609</v>
      </c>
      <c r="R1304" s="50"/>
      <c r="S1304" s="58" t="s">
        <v>22610</v>
      </c>
      <c r="T1304" s="9"/>
      <c r="U1304" s="9" t="s">
        <v>22611</v>
      </c>
      <c r="V1304" s="9"/>
      <c r="W1304" s="9" t="s">
        <v>22612</v>
      </c>
      <c r="X1304" s="9"/>
      <c r="Y1304" s="9"/>
      <c r="Z1304" s="9" t="s">
        <v>353</v>
      </c>
      <c r="AC1304" s="9">
        <v>8.3134998000027E13</v>
      </c>
      <c r="AD1304" s="9">
        <v>8.3134998E8</v>
      </c>
      <c r="AE1304" s="9" t="s">
        <v>401</v>
      </c>
      <c r="AF1304" s="55">
        <v>45673.60855324074</v>
      </c>
      <c r="AG1304" s="9" t="s">
        <v>19371</v>
      </c>
      <c r="AH1304" s="9" t="s">
        <v>22613</v>
      </c>
      <c r="AJ1304" s="9" t="s">
        <v>22614</v>
      </c>
      <c r="AK1304" s="9" t="b">
        <v>0</v>
      </c>
      <c r="AL1304" s="9" t="b">
        <v>0</v>
      </c>
      <c r="AM1304" s="9" t="s">
        <v>22615</v>
      </c>
      <c r="AN1304" s="9" t="s">
        <v>11480</v>
      </c>
      <c r="AP1304" s="56">
        <v>45614.0</v>
      </c>
      <c r="AQ1304" s="9" t="b">
        <v>0</v>
      </c>
      <c r="AR1304" s="9"/>
    </row>
    <row r="1305" ht="15.75" customHeight="1">
      <c r="A1305" s="9" t="s">
        <v>11482</v>
      </c>
      <c r="B1305" s="9" t="s">
        <v>22616</v>
      </c>
      <c r="C1305" s="9" t="s">
        <v>58</v>
      </c>
      <c r="D1305" s="9" t="s">
        <v>59</v>
      </c>
      <c r="E1305" s="9" t="s">
        <v>346</v>
      </c>
      <c r="F1305" s="9">
        <v>7.0</v>
      </c>
      <c r="G1305" s="9" t="s">
        <v>455</v>
      </c>
      <c r="H1305" s="9" t="s">
        <v>5667</v>
      </c>
      <c r="I1305" s="9"/>
      <c r="J1305" s="52" t="s">
        <v>13183</v>
      </c>
      <c r="K1305" s="9" t="s">
        <v>22617</v>
      </c>
      <c r="L1305" s="9">
        <v>97480.0</v>
      </c>
      <c r="M1305" s="9" t="s">
        <v>123</v>
      </c>
      <c r="N1305" s="9" t="s">
        <v>9962</v>
      </c>
      <c r="O1305" s="9" t="s">
        <v>22618</v>
      </c>
      <c r="P1305" s="53" t="s">
        <v>22619</v>
      </c>
      <c r="Q1305" s="49" t="s">
        <v>22620</v>
      </c>
      <c r="R1305" s="50"/>
      <c r="S1305" s="59"/>
      <c r="T1305" s="9" t="s">
        <v>22621</v>
      </c>
      <c r="U1305" s="9" t="s">
        <v>22622</v>
      </c>
      <c r="V1305" s="9" t="s">
        <v>9962</v>
      </c>
      <c r="W1305" s="9" t="s">
        <v>22623</v>
      </c>
      <c r="X1305" s="9" t="s">
        <v>22624</v>
      </c>
      <c r="Y1305" s="9" t="s">
        <v>22625</v>
      </c>
      <c r="Z1305" s="9" t="s">
        <v>353</v>
      </c>
      <c r="AC1305" s="9">
        <v>9.2855682800012E13</v>
      </c>
      <c r="AD1305" s="9">
        <v>9.28556828E8</v>
      </c>
      <c r="AE1305" s="9" t="s">
        <v>401</v>
      </c>
      <c r="AF1305" s="55">
        <v>45615.40222222222</v>
      </c>
      <c r="AG1305" s="9" t="s">
        <v>22626</v>
      </c>
      <c r="AH1305" s="9" t="s">
        <v>22627</v>
      </c>
      <c r="AJ1305" s="9" t="s">
        <v>22628</v>
      </c>
      <c r="AK1305" s="9" t="b">
        <v>0</v>
      </c>
      <c r="AL1305" s="9" t="b">
        <v>0</v>
      </c>
      <c r="AM1305" s="9" t="s">
        <v>22629</v>
      </c>
      <c r="AN1305" s="9" t="s">
        <v>11482</v>
      </c>
      <c r="AP1305" s="56">
        <v>45614.0</v>
      </c>
      <c r="AQ1305" s="9" t="b">
        <v>0</v>
      </c>
      <c r="AR1305" s="9"/>
    </row>
    <row r="1306" ht="15.75" customHeight="1">
      <c r="A1306" s="9" t="s">
        <v>11484</v>
      </c>
      <c r="B1306" s="9" t="s">
        <v>22630</v>
      </c>
      <c r="C1306" s="9" t="s">
        <v>58</v>
      </c>
      <c r="D1306" s="9" t="s">
        <v>59</v>
      </c>
      <c r="E1306" s="9" t="s">
        <v>12384</v>
      </c>
      <c r="F1306" s="9">
        <v>4.0</v>
      </c>
      <c r="G1306" s="9" t="s">
        <v>455</v>
      </c>
      <c r="H1306" s="9"/>
      <c r="I1306" s="9"/>
      <c r="J1306" s="52" t="s">
        <v>18179</v>
      </c>
      <c r="K1306" s="9" t="s">
        <v>22631</v>
      </c>
      <c r="L1306" s="9">
        <v>97418.0</v>
      </c>
      <c r="M1306" s="9" t="s">
        <v>71</v>
      </c>
      <c r="N1306" s="9" t="s">
        <v>216</v>
      </c>
      <c r="O1306" s="9" t="s">
        <v>22632</v>
      </c>
      <c r="P1306" s="53" t="s">
        <v>22633</v>
      </c>
      <c r="Q1306" s="49" t="s">
        <v>22634</v>
      </c>
      <c r="R1306" s="50"/>
      <c r="S1306" s="59"/>
      <c r="T1306" s="9" t="s">
        <v>22635</v>
      </c>
      <c r="U1306" s="9" t="s">
        <v>22636</v>
      </c>
      <c r="V1306" s="9" t="s">
        <v>22637</v>
      </c>
      <c r="W1306" s="9"/>
      <c r="X1306" s="9" t="s">
        <v>22638</v>
      </c>
      <c r="Y1306" s="9"/>
      <c r="Z1306" s="9" t="s">
        <v>353</v>
      </c>
      <c r="AC1306" s="9">
        <v>8.2042103000017E13</v>
      </c>
      <c r="AD1306" s="9">
        <v>8.2042103E8</v>
      </c>
      <c r="AE1306" s="9" t="s">
        <v>401</v>
      </c>
      <c r="AF1306" s="55">
        <v>45799.385462962964</v>
      </c>
      <c r="AG1306" s="9" t="s">
        <v>22639</v>
      </c>
      <c r="AH1306" s="9" t="s">
        <v>22640</v>
      </c>
      <c r="AJ1306" s="9" t="s">
        <v>22641</v>
      </c>
      <c r="AK1306" s="9" t="b">
        <v>0</v>
      </c>
      <c r="AL1306" s="9"/>
      <c r="AM1306" s="9" t="s">
        <v>22642</v>
      </c>
      <c r="AN1306" s="9" t="s">
        <v>11484</v>
      </c>
      <c r="AP1306" s="56">
        <v>45615.0</v>
      </c>
      <c r="AQ1306" s="9" t="b">
        <v>0</v>
      </c>
      <c r="AR1306" s="9"/>
    </row>
    <row r="1307" ht="15.75" customHeight="1">
      <c r="A1307" s="9" t="s">
        <v>11486</v>
      </c>
      <c r="B1307" s="9" t="s">
        <v>22643</v>
      </c>
      <c r="C1307" s="9" t="s">
        <v>58</v>
      </c>
      <c r="D1307" s="9" t="s">
        <v>59</v>
      </c>
      <c r="E1307" s="9" t="s">
        <v>12384</v>
      </c>
      <c r="F1307" s="9">
        <v>4.0</v>
      </c>
      <c r="G1307" s="9" t="s">
        <v>10047</v>
      </c>
      <c r="H1307" s="9"/>
      <c r="I1307" s="9"/>
      <c r="J1307" s="52" t="s">
        <v>14338</v>
      </c>
      <c r="K1307" s="9" t="s">
        <v>22644</v>
      </c>
      <c r="L1307" s="9">
        <v>97430.0</v>
      </c>
      <c r="M1307" s="9" t="s">
        <v>71</v>
      </c>
      <c r="N1307" s="9" t="s">
        <v>3501</v>
      </c>
      <c r="O1307" s="9" t="s">
        <v>22645</v>
      </c>
      <c r="P1307" s="53" t="s">
        <v>22646</v>
      </c>
      <c r="Q1307" s="49" t="s">
        <v>22647</v>
      </c>
      <c r="R1307" s="50"/>
      <c r="S1307" s="59"/>
      <c r="T1307" s="9" t="s">
        <v>22648</v>
      </c>
      <c r="U1307" s="9" t="s">
        <v>22643</v>
      </c>
      <c r="V1307" s="9" t="s">
        <v>3501</v>
      </c>
      <c r="W1307" s="9" t="s">
        <v>22649</v>
      </c>
      <c r="X1307" s="9" t="s">
        <v>22650</v>
      </c>
      <c r="Y1307" s="9" t="s">
        <v>2390</v>
      </c>
      <c r="Z1307" s="9" t="s">
        <v>353</v>
      </c>
      <c r="AC1307" s="9">
        <v>9.7857116400018E13</v>
      </c>
      <c r="AD1307" s="9">
        <v>9.78571164E8</v>
      </c>
      <c r="AE1307" s="9" t="s">
        <v>401</v>
      </c>
      <c r="AF1307" s="55">
        <v>45637.48679398148</v>
      </c>
      <c r="AG1307" s="9" t="s">
        <v>22651</v>
      </c>
      <c r="AH1307" s="9" t="s">
        <v>22652</v>
      </c>
      <c r="AJ1307" s="9"/>
      <c r="AK1307" s="9"/>
      <c r="AL1307" s="9"/>
      <c r="AM1307" s="9" t="s">
        <v>22653</v>
      </c>
      <c r="AN1307" s="9" t="s">
        <v>11486</v>
      </c>
      <c r="AP1307" s="56">
        <v>45615.0</v>
      </c>
      <c r="AQ1307" s="9" t="b">
        <v>0</v>
      </c>
      <c r="AR1307" s="9"/>
    </row>
    <row r="1308" ht="15.75" customHeight="1">
      <c r="A1308" s="9" t="s">
        <v>11494</v>
      </c>
      <c r="B1308" s="9" t="s">
        <v>22654</v>
      </c>
      <c r="C1308" s="9" t="s">
        <v>58</v>
      </c>
      <c r="D1308" s="9" t="s">
        <v>59</v>
      </c>
      <c r="E1308" s="9" t="s">
        <v>346</v>
      </c>
      <c r="F1308" s="9">
        <v>6.0</v>
      </c>
      <c r="G1308" s="9" t="s">
        <v>455</v>
      </c>
      <c r="H1308" s="9" t="s">
        <v>395</v>
      </c>
      <c r="I1308" s="9"/>
      <c r="J1308" s="9" t="s">
        <v>22655</v>
      </c>
      <c r="K1308" s="9" t="s">
        <v>13877</v>
      </c>
      <c r="L1308" s="9">
        <v>97480.0</v>
      </c>
      <c r="M1308" s="9" t="s">
        <v>123</v>
      </c>
      <c r="N1308" s="9" t="s">
        <v>9962</v>
      </c>
      <c r="O1308" s="9" t="s">
        <v>22656</v>
      </c>
      <c r="P1308" s="53" t="s">
        <v>22657</v>
      </c>
      <c r="Q1308" s="49" t="s">
        <v>22658</v>
      </c>
      <c r="R1308" s="50"/>
      <c r="S1308" s="59"/>
      <c r="T1308" s="9" t="s">
        <v>22659</v>
      </c>
      <c r="U1308" s="9" t="s">
        <v>22660</v>
      </c>
      <c r="V1308" s="9" t="s">
        <v>13877</v>
      </c>
      <c r="W1308" s="9" t="s">
        <v>22661</v>
      </c>
      <c r="X1308" s="9" t="s">
        <v>22662</v>
      </c>
      <c r="Y1308" s="9" t="s">
        <v>12624</v>
      </c>
      <c r="Z1308" s="9" t="s">
        <v>353</v>
      </c>
      <c r="AC1308" s="9">
        <v>4.85277883E8</v>
      </c>
      <c r="AD1308" s="9">
        <v>4.85277883E8</v>
      </c>
      <c r="AE1308" s="9" t="s">
        <v>401</v>
      </c>
      <c r="AF1308" s="55">
        <v>45818.35025462963</v>
      </c>
      <c r="AG1308" s="9" t="s">
        <v>22663</v>
      </c>
      <c r="AH1308" s="9" t="s">
        <v>22664</v>
      </c>
      <c r="AJ1308" s="9" t="s">
        <v>22665</v>
      </c>
      <c r="AK1308" s="9" t="b">
        <v>1</v>
      </c>
      <c r="AL1308" s="9" t="b">
        <v>0</v>
      </c>
      <c r="AM1308" s="9" t="s">
        <v>22666</v>
      </c>
      <c r="AN1308" s="9" t="s">
        <v>11494</v>
      </c>
      <c r="AP1308" s="56">
        <v>45617.0</v>
      </c>
      <c r="AQ1308" s="9" t="b">
        <v>0</v>
      </c>
      <c r="AR1308" s="9"/>
    </row>
    <row r="1309" ht="15.75" customHeight="1">
      <c r="A1309" s="9" t="s">
        <v>11496</v>
      </c>
      <c r="B1309" s="9" t="s">
        <v>22667</v>
      </c>
      <c r="C1309" s="9" t="s">
        <v>58</v>
      </c>
      <c r="D1309" s="9" t="s">
        <v>59</v>
      </c>
      <c r="E1309" s="9" t="s">
        <v>12384</v>
      </c>
      <c r="F1309" s="9">
        <v>6.0</v>
      </c>
      <c r="G1309" s="9" t="s">
        <v>375</v>
      </c>
      <c r="H1309" s="9"/>
      <c r="I1309" s="9"/>
      <c r="J1309" s="52" t="s">
        <v>12925</v>
      </c>
      <c r="K1309" s="9" t="s">
        <v>22668</v>
      </c>
      <c r="L1309" s="9">
        <v>97442.0</v>
      </c>
      <c r="M1309" s="9" t="s">
        <v>33</v>
      </c>
      <c r="N1309" s="9" t="s">
        <v>15096</v>
      </c>
      <c r="O1309" s="9" t="s">
        <v>22669</v>
      </c>
      <c r="P1309" s="53" t="s">
        <v>22670</v>
      </c>
      <c r="Q1309" s="49" t="s">
        <v>22671</v>
      </c>
      <c r="R1309" s="50"/>
      <c r="S1309" s="59"/>
      <c r="T1309" s="9" t="s">
        <v>22672</v>
      </c>
      <c r="U1309" s="9" t="s">
        <v>22673</v>
      </c>
      <c r="V1309" s="9" t="s">
        <v>15096</v>
      </c>
      <c r="W1309" s="9" t="s">
        <v>22674</v>
      </c>
      <c r="X1309" s="9" t="s">
        <v>22675</v>
      </c>
      <c r="Y1309" s="9" t="s">
        <v>21814</v>
      </c>
      <c r="Z1309" s="9" t="s">
        <v>353</v>
      </c>
      <c r="AC1309" s="9"/>
      <c r="AD1309" s="9"/>
      <c r="AE1309" s="9" t="s">
        <v>401</v>
      </c>
      <c r="AF1309" s="55">
        <v>45736.65797453704</v>
      </c>
      <c r="AG1309" s="9" t="s">
        <v>22676</v>
      </c>
      <c r="AH1309" s="52" t="s">
        <v>22677</v>
      </c>
      <c r="AJ1309" s="9" t="s">
        <v>22678</v>
      </c>
      <c r="AK1309" s="9" t="b">
        <v>0</v>
      </c>
      <c r="AL1309" s="9" t="b">
        <v>0</v>
      </c>
      <c r="AM1309" s="9" t="s">
        <v>22679</v>
      </c>
      <c r="AN1309" s="9" t="s">
        <v>11496</v>
      </c>
      <c r="AP1309" s="56">
        <v>45618.0</v>
      </c>
      <c r="AQ1309" s="9" t="b">
        <v>0</v>
      </c>
      <c r="AR1309" s="9"/>
    </row>
    <row r="1310" ht="15.75" customHeight="1">
      <c r="A1310" s="9" t="s">
        <v>11498</v>
      </c>
      <c r="B1310" s="9" t="s">
        <v>22680</v>
      </c>
      <c r="C1310" s="9" t="s">
        <v>58</v>
      </c>
      <c r="D1310" s="9" t="s">
        <v>59</v>
      </c>
      <c r="E1310" s="9" t="s">
        <v>12384</v>
      </c>
      <c r="F1310" s="9">
        <v>12.0</v>
      </c>
      <c r="G1310" s="9" t="s">
        <v>422</v>
      </c>
      <c r="H1310" s="9"/>
      <c r="I1310" s="9"/>
      <c r="J1310" s="52" t="s">
        <v>22681</v>
      </c>
      <c r="K1310" s="9" t="s">
        <v>12977</v>
      </c>
      <c r="L1310" s="9">
        <v>97414.0</v>
      </c>
      <c r="M1310" s="9" t="s">
        <v>40</v>
      </c>
      <c r="N1310" s="9" t="s">
        <v>12822</v>
      </c>
      <c r="O1310" s="9" t="s">
        <v>22682</v>
      </c>
      <c r="P1310" s="53" t="s">
        <v>22683</v>
      </c>
      <c r="Q1310" s="49" t="s">
        <v>22684</v>
      </c>
      <c r="R1310" s="50"/>
      <c r="S1310" s="58" t="s">
        <v>22685</v>
      </c>
      <c r="T1310" s="9" t="s">
        <v>22686</v>
      </c>
      <c r="U1310" s="9" t="s">
        <v>22687</v>
      </c>
      <c r="V1310" s="9"/>
      <c r="W1310" s="9" t="s">
        <v>22688</v>
      </c>
      <c r="X1310" s="9" t="s">
        <v>22689</v>
      </c>
      <c r="Y1310" s="9" t="s">
        <v>22548</v>
      </c>
      <c r="Z1310" s="9" t="s">
        <v>353</v>
      </c>
      <c r="AC1310" s="9">
        <v>9.3189966000019E13</v>
      </c>
      <c r="AD1310" s="9">
        <v>9.3189966E8</v>
      </c>
      <c r="AE1310" s="9" t="s">
        <v>401</v>
      </c>
      <c r="AF1310" s="55">
        <v>45688.63462962963</v>
      </c>
      <c r="AG1310" s="52" t="s">
        <v>22690</v>
      </c>
      <c r="AH1310" s="9" t="s">
        <v>22691</v>
      </c>
      <c r="AJ1310" s="9" t="s">
        <v>22692</v>
      </c>
      <c r="AK1310" s="9" t="b">
        <v>1</v>
      </c>
      <c r="AL1310" s="9" t="b">
        <v>0</v>
      </c>
      <c r="AM1310" s="9" t="s">
        <v>22693</v>
      </c>
      <c r="AN1310" s="9" t="s">
        <v>11498</v>
      </c>
      <c r="AP1310" s="56">
        <v>45623.0</v>
      </c>
      <c r="AQ1310" s="9" t="b">
        <v>0</v>
      </c>
      <c r="AR1310" s="9" t="s">
        <v>22694</v>
      </c>
    </row>
    <row r="1311" ht="15.75" customHeight="1">
      <c r="A1311" s="9" t="s">
        <v>11489</v>
      </c>
      <c r="B1311" s="9" t="s">
        <v>22695</v>
      </c>
      <c r="C1311" s="9" t="s">
        <v>58</v>
      </c>
      <c r="D1311" s="9" t="s">
        <v>59</v>
      </c>
      <c r="E1311" s="9" t="s">
        <v>9804</v>
      </c>
      <c r="F1311" s="9">
        <v>3.0</v>
      </c>
      <c r="G1311" s="9" t="s">
        <v>422</v>
      </c>
      <c r="H1311" s="9" t="s">
        <v>355</v>
      </c>
      <c r="I1311" s="9"/>
      <c r="J1311" s="9" t="s">
        <v>22696</v>
      </c>
      <c r="K1311" s="9" t="s">
        <v>22697</v>
      </c>
      <c r="L1311" s="9">
        <v>97414.0</v>
      </c>
      <c r="M1311" s="9" t="s">
        <v>40</v>
      </c>
      <c r="N1311" s="9" t="s">
        <v>40</v>
      </c>
      <c r="O1311" s="9" t="s">
        <v>22698</v>
      </c>
      <c r="P1311" s="53" t="s">
        <v>22699</v>
      </c>
      <c r="Q1311" s="49" t="s">
        <v>22700</v>
      </c>
      <c r="R1311" s="50"/>
      <c r="S1311" s="59"/>
      <c r="T1311" s="9" t="s">
        <v>22701</v>
      </c>
      <c r="U1311" s="9" t="s">
        <v>22702</v>
      </c>
      <c r="V1311" s="9" t="s">
        <v>22703</v>
      </c>
      <c r="W1311" s="9" t="s">
        <v>22704</v>
      </c>
      <c r="X1311" s="9" t="s">
        <v>22705</v>
      </c>
      <c r="Y1311" s="9" t="s">
        <v>21814</v>
      </c>
      <c r="Z1311" s="9" t="s">
        <v>378</v>
      </c>
      <c r="AC1311" s="9">
        <v>9.80668743E8</v>
      </c>
      <c r="AD1311" s="9">
        <v>9.80668743E8</v>
      </c>
      <c r="AE1311" s="9" t="s">
        <v>401</v>
      </c>
      <c r="AF1311" s="55">
        <v>45631.61934027778</v>
      </c>
      <c r="AG1311" s="9" t="s">
        <v>16595</v>
      </c>
      <c r="AH1311" s="9" t="s">
        <v>22706</v>
      </c>
      <c r="AJ1311" s="9" t="s">
        <v>22707</v>
      </c>
      <c r="AK1311" s="9" t="b">
        <v>0</v>
      </c>
      <c r="AL1311" s="9" t="b">
        <v>0</v>
      </c>
      <c r="AM1311" s="9" t="s">
        <v>22708</v>
      </c>
      <c r="AN1311" s="9" t="s">
        <v>11489</v>
      </c>
      <c r="AP1311" s="56">
        <v>45623.0</v>
      </c>
      <c r="AQ1311" s="9" t="b">
        <v>0</v>
      </c>
      <c r="AR1311" s="9"/>
    </row>
    <row r="1312" ht="15.75" customHeight="1">
      <c r="A1312" s="9" t="s">
        <v>11501</v>
      </c>
      <c r="B1312" s="9" t="s">
        <v>22709</v>
      </c>
      <c r="C1312" s="9" t="s">
        <v>117</v>
      </c>
      <c r="D1312" s="9" t="s">
        <v>1792</v>
      </c>
      <c r="E1312" s="9" t="s">
        <v>22377</v>
      </c>
      <c r="F1312" s="9">
        <v>12.0</v>
      </c>
      <c r="G1312" s="9" t="s">
        <v>422</v>
      </c>
      <c r="H1312" s="9"/>
      <c r="I1312" s="9"/>
      <c r="J1312" s="9" t="s">
        <v>22710</v>
      </c>
      <c r="K1312" s="9" t="s">
        <v>21975</v>
      </c>
      <c r="L1312" s="9">
        <v>97414.0</v>
      </c>
      <c r="M1312" s="9" t="s">
        <v>40</v>
      </c>
      <c r="N1312" s="9" t="s">
        <v>12447</v>
      </c>
      <c r="O1312" s="9" t="s">
        <v>22711</v>
      </c>
      <c r="P1312" s="53" t="s">
        <v>22712</v>
      </c>
      <c r="Q1312" s="49" t="s">
        <v>22713</v>
      </c>
      <c r="R1312" s="50"/>
      <c r="S1312" s="58" t="s">
        <v>22714</v>
      </c>
      <c r="T1312" s="9" t="s">
        <v>22715</v>
      </c>
      <c r="U1312" s="9" t="s">
        <v>22716</v>
      </c>
      <c r="V1312" s="9" t="s">
        <v>22717</v>
      </c>
      <c r="W1312" s="9" t="s">
        <v>22718</v>
      </c>
      <c r="X1312" s="9" t="s">
        <v>21897</v>
      </c>
      <c r="Y1312" s="9" t="s">
        <v>21858</v>
      </c>
      <c r="Z1312" s="9" t="s">
        <v>353</v>
      </c>
      <c r="AC1312" s="9">
        <v>9.1905613500024E13</v>
      </c>
      <c r="AD1312" s="9">
        <v>9.19056135E8</v>
      </c>
      <c r="AE1312" s="9" t="s">
        <v>401</v>
      </c>
      <c r="AF1312" s="55">
        <v>45693.406956018516</v>
      </c>
      <c r="AG1312" s="9" t="s">
        <v>22719</v>
      </c>
      <c r="AH1312" s="9" t="s">
        <v>22720</v>
      </c>
      <c r="AJ1312" s="9" t="s">
        <v>22721</v>
      </c>
      <c r="AK1312" s="9" t="b">
        <v>1</v>
      </c>
      <c r="AL1312" s="9" t="b">
        <v>0</v>
      </c>
      <c r="AM1312" s="9"/>
      <c r="AN1312" s="9" t="s">
        <v>11501</v>
      </c>
      <c r="AP1312" s="56">
        <v>45639.0</v>
      </c>
      <c r="AQ1312" s="9" t="b">
        <v>0</v>
      </c>
      <c r="AR1312" s="9"/>
    </row>
    <row r="1313" ht="15.75" customHeight="1">
      <c r="A1313" s="9" t="s">
        <v>11503</v>
      </c>
      <c r="B1313" s="9" t="s">
        <v>22722</v>
      </c>
      <c r="C1313" s="9" t="s">
        <v>822</v>
      </c>
      <c r="D1313" s="9" t="s">
        <v>4826</v>
      </c>
      <c r="E1313" s="9" t="s">
        <v>559</v>
      </c>
      <c r="F1313" s="9">
        <v>5.0</v>
      </c>
      <c r="G1313" s="9" t="s">
        <v>422</v>
      </c>
      <c r="H1313" s="9"/>
      <c r="I1313" s="9"/>
      <c r="J1313" s="52" t="s">
        <v>19234</v>
      </c>
      <c r="K1313" s="9" t="s">
        <v>21918</v>
      </c>
      <c r="L1313" s="9">
        <v>97414.0</v>
      </c>
      <c r="M1313" s="9" t="s">
        <v>40</v>
      </c>
      <c r="N1313" s="9" t="s">
        <v>12447</v>
      </c>
      <c r="O1313" s="9" t="s">
        <v>22723</v>
      </c>
      <c r="P1313" s="53" t="s">
        <v>22724</v>
      </c>
      <c r="Q1313" s="49" t="s">
        <v>22725</v>
      </c>
      <c r="R1313" s="50"/>
      <c r="S1313" s="58" t="s">
        <v>22726</v>
      </c>
      <c r="T1313" s="9" t="s">
        <v>22727</v>
      </c>
      <c r="U1313" s="9" t="s">
        <v>22728</v>
      </c>
      <c r="V1313" s="9" t="s">
        <v>22729</v>
      </c>
      <c r="W1313" s="9" t="s">
        <v>22730</v>
      </c>
      <c r="X1313" s="9"/>
      <c r="Y1313" s="9" t="s">
        <v>12461</v>
      </c>
      <c r="Z1313" s="9" t="s">
        <v>378</v>
      </c>
      <c r="AC1313" s="9">
        <v>9.1883131400011E13</v>
      </c>
      <c r="AD1313" s="9">
        <v>9.18831314E8</v>
      </c>
      <c r="AE1313" s="9" t="s">
        <v>401</v>
      </c>
      <c r="AF1313" s="55">
        <v>45667.396840277775</v>
      </c>
      <c r="AG1313" s="9" t="s">
        <v>22731</v>
      </c>
      <c r="AH1313" s="9" t="s">
        <v>22732</v>
      </c>
      <c r="AJ1313" s="9" t="s">
        <v>22733</v>
      </c>
      <c r="AK1313" s="9" t="b">
        <v>1</v>
      </c>
      <c r="AL1313" s="9" t="b">
        <v>0</v>
      </c>
      <c r="AM1313" s="9"/>
      <c r="AN1313" s="9" t="s">
        <v>11503</v>
      </c>
      <c r="AP1313" s="56">
        <v>45642.0</v>
      </c>
      <c r="AQ1313" s="9" t="b">
        <v>0</v>
      </c>
      <c r="AR1313" s="9"/>
    </row>
    <row r="1314" ht="15.75" customHeight="1">
      <c r="A1314" s="9" t="s">
        <v>11505</v>
      </c>
      <c r="B1314" s="9" t="s">
        <v>22734</v>
      </c>
      <c r="C1314" s="9" t="s">
        <v>58</v>
      </c>
      <c r="D1314" s="9" t="s">
        <v>59</v>
      </c>
      <c r="E1314" s="9" t="s">
        <v>12384</v>
      </c>
      <c r="F1314" s="9">
        <v>6.0</v>
      </c>
      <c r="G1314" s="9" t="s">
        <v>664</v>
      </c>
      <c r="H1314" s="9"/>
      <c r="I1314" s="9"/>
      <c r="J1314" s="52" t="s">
        <v>14181</v>
      </c>
      <c r="K1314" s="9" t="s">
        <v>22735</v>
      </c>
      <c r="L1314" s="9">
        <v>97430.0</v>
      </c>
      <c r="M1314" s="9" t="s">
        <v>71</v>
      </c>
      <c r="N1314" s="9" t="s">
        <v>12447</v>
      </c>
      <c r="O1314" s="9" t="s">
        <v>22736</v>
      </c>
      <c r="P1314" s="53" t="s">
        <v>22737</v>
      </c>
      <c r="Q1314" s="49" t="s">
        <v>22738</v>
      </c>
      <c r="R1314" s="50"/>
      <c r="S1314" s="59"/>
      <c r="T1314" s="9" t="s">
        <v>22739</v>
      </c>
      <c r="U1314" s="9" t="s">
        <v>22740</v>
      </c>
      <c r="V1314" s="9"/>
      <c r="W1314" s="9" t="s">
        <v>22741</v>
      </c>
      <c r="X1314" s="9" t="s">
        <v>22742</v>
      </c>
      <c r="Y1314" s="9" t="s">
        <v>22743</v>
      </c>
      <c r="Z1314" s="9" t="s">
        <v>353</v>
      </c>
      <c r="AC1314" s="9">
        <v>9.8087038000014E13</v>
      </c>
      <c r="AD1314" s="9">
        <v>9.8087038E8</v>
      </c>
      <c r="AE1314" s="9" t="s">
        <v>401</v>
      </c>
      <c r="AF1314" s="55">
        <v>45677.42894675926</v>
      </c>
      <c r="AG1314" s="9" t="s">
        <v>22744</v>
      </c>
      <c r="AH1314" s="9" t="s">
        <v>22745</v>
      </c>
      <c r="AJ1314" s="9" t="s">
        <v>22746</v>
      </c>
      <c r="AK1314" s="9"/>
      <c r="AL1314" s="9" t="b">
        <v>0</v>
      </c>
      <c r="AM1314" s="9"/>
      <c r="AN1314" s="9" t="s">
        <v>11505</v>
      </c>
      <c r="AP1314" s="56">
        <v>45653.0</v>
      </c>
      <c r="AQ1314" s="9" t="b">
        <v>0</v>
      </c>
      <c r="AR1314" s="9"/>
    </row>
    <row r="1315" ht="15.75" customHeight="1">
      <c r="A1315" s="9" t="s">
        <v>11507</v>
      </c>
      <c r="B1315" s="9" t="s">
        <v>22747</v>
      </c>
      <c r="C1315" s="9" t="s">
        <v>822</v>
      </c>
      <c r="D1315" s="9" t="s">
        <v>4789</v>
      </c>
      <c r="E1315" s="9" t="s">
        <v>17143</v>
      </c>
      <c r="F1315" s="9">
        <v>6.0</v>
      </c>
      <c r="G1315" s="9" t="s">
        <v>455</v>
      </c>
      <c r="H1315" s="9"/>
      <c r="I1315" s="9"/>
      <c r="J1315" s="52" t="s">
        <v>22350</v>
      </c>
      <c r="K1315" s="9" t="s">
        <v>17978</v>
      </c>
      <c r="L1315" s="9">
        <v>97442.0</v>
      </c>
      <c r="M1315" s="9" t="s">
        <v>33</v>
      </c>
      <c r="N1315" s="9" t="s">
        <v>16067</v>
      </c>
      <c r="O1315" s="9" t="s">
        <v>22748</v>
      </c>
      <c r="P1315" s="53" t="s">
        <v>22749</v>
      </c>
      <c r="Q1315" s="49" t="s">
        <v>22750</v>
      </c>
      <c r="R1315" s="50"/>
      <c r="S1315" s="59"/>
      <c r="T1315" s="9" t="s">
        <v>22751</v>
      </c>
      <c r="U1315" s="9" t="s">
        <v>22752</v>
      </c>
      <c r="V1315" s="9" t="s">
        <v>22753</v>
      </c>
      <c r="W1315" s="9" t="s">
        <v>22754</v>
      </c>
      <c r="X1315" s="9" t="s">
        <v>22755</v>
      </c>
      <c r="Y1315" s="9" t="s">
        <v>9455</v>
      </c>
      <c r="Z1315" s="9" t="s">
        <v>353</v>
      </c>
      <c r="AC1315" s="9">
        <v>4.9198386200047E13</v>
      </c>
      <c r="AD1315" s="9">
        <v>4.91983862E8</v>
      </c>
      <c r="AE1315" s="9" t="s">
        <v>401</v>
      </c>
      <c r="AF1315" s="55">
        <v>45679.2634375</v>
      </c>
      <c r="AG1315" s="9" t="s">
        <v>22756</v>
      </c>
      <c r="AH1315" s="9" t="s">
        <v>22757</v>
      </c>
      <c r="AJ1315" s="9" t="s">
        <v>22758</v>
      </c>
      <c r="AK1315" s="9" t="b">
        <v>0</v>
      </c>
      <c r="AL1315" s="9" t="b">
        <v>0</v>
      </c>
      <c r="AM1315" s="9"/>
      <c r="AN1315" s="9" t="s">
        <v>11507</v>
      </c>
      <c r="AP1315" s="56">
        <v>45656.0</v>
      </c>
      <c r="AQ1315" s="9" t="b">
        <v>0</v>
      </c>
      <c r="AR1315" s="9" t="s">
        <v>22759</v>
      </c>
    </row>
    <row r="1316" ht="15.75" customHeight="1">
      <c r="A1316" s="9" t="s">
        <v>11509</v>
      </c>
      <c r="B1316" s="9" t="s">
        <v>22760</v>
      </c>
      <c r="C1316" s="9" t="s">
        <v>58</v>
      </c>
      <c r="D1316" s="9" t="s">
        <v>59</v>
      </c>
      <c r="E1316" s="9" t="s">
        <v>12384</v>
      </c>
      <c r="F1316" s="9">
        <v>8.0</v>
      </c>
      <c r="G1316" s="9" t="s">
        <v>664</v>
      </c>
      <c r="H1316" s="9"/>
      <c r="I1316" s="9"/>
      <c r="J1316" s="9" t="s">
        <v>14738</v>
      </c>
      <c r="K1316" s="9" t="s">
        <v>22761</v>
      </c>
      <c r="L1316" s="9">
        <v>97430.0</v>
      </c>
      <c r="M1316" s="9" t="s">
        <v>71</v>
      </c>
      <c r="N1316" s="9" t="s">
        <v>12447</v>
      </c>
      <c r="O1316" s="9" t="s">
        <v>22762</v>
      </c>
      <c r="P1316" s="53" t="s">
        <v>22763</v>
      </c>
      <c r="Q1316" s="49" t="s">
        <v>22764</v>
      </c>
      <c r="R1316" s="50"/>
      <c r="S1316" s="58" t="s">
        <v>22765</v>
      </c>
      <c r="T1316" s="9" t="s">
        <v>22766</v>
      </c>
      <c r="U1316" s="9" t="s">
        <v>22767</v>
      </c>
      <c r="V1316" s="9" t="s">
        <v>22768</v>
      </c>
      <c r="W1316" s="9" t="s">
        <v>22769</v>
      </c>
      <c r="X1316" s="9" t="s">
        <v>22770</v>
      </c>
      <c r="Y1316" s="9" t="s">
        <v>21814</v>
      </c>
      <c r="Z1316" s="9" t="s">
        <v>353</v>
      </c>
      <c r="AC1316" s="9">
        <v>9.3920392300015E13</v>
      </c>
      <c r="AD1316" s="9">
        <v>9.39203923E8</v>
      </c>
      <c r="AE1316" s="9" t="s">
        <v>401</v>
      </c>
      <c r="AF1316" s="55">
        <v>45723.44064814815</v>
      </c>
      <c r="AG1316" s="9" t="s">
        <v>22771</v>
      </c>
      <c r="AH1316" s="9" t="s">
        <v>22772</v>
      </c>
      <c r="AJ1316" s="9" t="s">
        <v>22773</v>
      </c>
      <c r="AK1316" s="9" t="b">
        <v>0</v>
      </c>
      <c r="AL1316" s="9" t="b">
        <v>0</v>
      </c>
      <c r="AM1316" s="9" t="s">
        <v>22774</v>
      </c>
      <c r="AN1316" s="9" t="s">
        <v>11509</v>
      </c>
      <c r="AP1316" s="56">
        <v>45660.0</v>
      </c>
      <c r="AQ1316" s="9" t="b">
        <v>1</v>
      </c>
      <c r="AR1316" s="9"/>
    </row>
    <row r="1317" ht="15.75" customHeight="1">
      <c r="A1317" s="9" t="s">
        <v>247</v>
      </c>
      <c r="B1317" s="9" t="s">
        <v>22775</v>
      </c>
      <c r="C1317" s="9" t="s">
        <v>58</v>
      </c>
      <c r="D1317" s="9" t="s">
        <v>59</v>
      </c>
      <c r="E1317" s="9" t="s">
        <v>12384</v>
      </c>
      <c r="F1317" s="9">
        <v>8.0</v>
      </c>
      <c r="G1317" s="9" t="s">
        <v>455</v>
      </c>
      <c r="H1317" s="9"/>
      <c r="I1317" s="9"/>
      <c r="J1317" s="52" t="s">
        <v>22776</v>
      </c>
      <c r="K1317" s="9" t="s">
        <v>14566</v>
      </c>
      <c r="L1317" s="9">
        <v>97442.0</v>
      </c>
      <c r="M1317" s="9" t="s">
        <v>33</v>
      </c>
      <c r="N1317" s="9" t="s">
        <v>15034</v>
      </c>
      <c r="O1317" s="9" t="s">
        <v>22777</v>
      </c>
      <c r="P1317" s="53" t="s">
        <v>22778</v>
      </c>
      <c r="Q1317" s="49" t="s">
        <v>22779</v>
      </c>
      <c r="R1317" s="50"/>
      <c r="S1317" s="59"/>
      <c r="T1317" s="9" t="s">
        <v>22780</v>
      </c>
      <c r="U1317" s="9" t="s">
        <v>22781</v>
      </c>
      <c r="V1317" s="9" t="s">
        <v>17205</v>
      </c>
      <c r="W1317" s="9" t="s">
        <v>22782</v>
      </c>
      <c r="X1317" s="9" t="s">
        <v>22783</v>
      </c>
      <c r="Y1317" s="9" t="s">
        <v>12624</v>
      </c>
      <c r="Z1317" s="9" t="s">
        <v>592</v>
      </c>
      <c r="AC1317" s="9">
        <v>8.0828518300055E13</v>
      </c>
      <c r="AD1317" s="9">
        <v>8.08285183E8</v>
      </c>
      <c r="AE1317" s="9" t="s">
        <v>401</v>
      </c>
      <c r="AF1317" s="55">
        <v>46048.36373842593</v>
      </c>
      <c r="AG1317" s="9" t="s">
        <v>22784</v>
      </c>
      <c r="AH1317" s="9" t="s">
        <v>22785</v>
      </c>
      <c r="AJ1317" s="9" t="s">
        <v>22786</v>
      </c>
      <c r="AK1317" s="9" t="b">
        <v>0</v>
      </c>
      <c r="AL1317" s="9" t="b">
        <v>0</v>
      </c>
      <c r="AM1317" s="9" t="s">
        <v>22787</v>
      </c>
      <c r="AN1317" s="9" t="s">
        <v>247</v>
      </c>
      <c r="AP1317" s="56">
        <v>45670.0</v>
      </c>
      <c r="AQ1317" s="9" t="b">
        <v>0</v>
      </c>
      <c r="AR1317" s="9"/>
    </row>
    <row r="1318" ht="15.75" customHeight="1">
      <c r="A1318" s="9" t="s">
        <v>11516</v>
      </c>
      <c r="B1318" s="9" t="s">
        <v>22788</v>
      </c>
      <c r="C1318" s="9" t="s">
        <v>58</v>
      </c>
      <c r="D1318" s="9" t="s">
        <v>59</v>
      </c>
      <c r="E1318" s="9" t="s">
        <v>12384</v>
      </c>
      <c r="F1318" s="9">
        <v>3.0</v>
      </c>
      <c r="G1318" s="9" t="s">
        <v>422</v>
      </c>
      <c r="H1318" s="9"/>
      <c r="I1318" s="9"/>
      <c r="J1318" s="9" t="s">
        <v>22789</v>
      </c>
      <c r="K1318" s="9" t="s">
        <v>22790</v>
      </c>
      <c r="L1318" s="9">
        <v>97414.0</v>
      </c>
      <c r="M1318" s="9" t="s">
        <v>40</v>
      </c>
      <c r="N1318" s="9" t="s">
        <v>1860</v>
      </c>
      <c r="O1318" s="9" t="s">
        <v>22791</v>
      </c>
      <c r="P1318" s="53" t="s">
        <v>22792</v>
      </c>
      <c r="Q1318" s="49" t="s">
        <v>22793</v>
      </c>
      <c r="R1318" s="50"/>
      <c r="S1318" s="59"/>
      <c r="T1318" s="9" t="s">
        <v>22794</v>
      </c>
      <c r="U1318" s="9" t="s">
        <v>22795</v>
      </c>
      <c r="V1318" s="9" t="s">
        <v>1860</v>
      </c>
      <c r="W1318" s="9" t="s">
        <v>22796</v>
      </c>
      <c r="X1318" s="9" t="s">
        <v>22797</v>
      </c>
      <c r="Y1318" s="9" t="s">
        <v>12669</v>
      </c>
      <c r="Z1318" s="9" t="s">
        <v>353</v>
      </c>
      <c r="AC1318" s="9">
        <v>9.3787342E8</v>
      </c>
      <c r="AD1318" s="9">
        <v>9.3787342E8</v>
      </c>
      <c r="AE1318" s="9" t="s">
        <v>401</v>
      </c>
      <c r="AF1318" s="55">
        <v>45671.409953703704</v>
      </c>
      <c r="AG1318" s="9" t="s">
        <v>22798</v>
      </c>
      <c r="AH1318" s="9" t="s">
        <v>22799</v>
      </c>
      <c r="AJ1318" s="9" t="s">
        <v>22800</v>
      </c>
      <c r="AK1318" s="9" t="b">
        <v>1</v>
      </c>
      <c r="AL1318" s="9" t="b">
        <v>0</v>
      </c>
      <c r="AM1318" s="9" t="s">
        <v>22801</v>
      </c>
      <c r="AN1318" s="9" t="s">
        <v>11516</v>
      </c>
      <c r="AP1318" s="56">
        <v>45670.0</v>
      </c>
      <c r="AQ1318" s="9" t="b">
        <v>0</v>
      </c>
      <c r="AR1318" s="9"/>
    </row>
    <row r="1319" ht="15.75" customHeight="1">
      <c r="A1319" s="9" t="s">
        <v>11518</v>
      </c>
      <c r="B1319" s="9" t="s">
        <v>22802</v>
      </c>
      <c r="C1319" s="9" t="s">
        <v>117</v>
      </c>
      <c r="D1319" s="9" t="s">
        <v>1792</v>
      </c>
      <c r="E1319" s="9" t="s">
        <v>22803</v>
      </c>
      <c r="F1319" s="9">
        <v>10.0</v>
      </c>
      <c r="G1319" s="9" t="s">
        <v>455</v>
      </c>
      <c r="H1319" s="9"/>
      <c r="I1319" s="9"/>
      <c r="J1319" s="52" t="s">
        <v>13645</v>
      </c>
      <c r="K1319" s="9" t="s">
        <v>22804</v>
      </c>
      <c r="L1319" s="9">
        <v>97430.0</v>
      </c>
      <c r="M1319" s="9" t="s">
        <v>71</v>
      </c>
      <c r="N1319" s="9" t="s">
        <v>12373</v>
      </c>
      <c r="O1319" s="9" t="s">
        <v>22805</v>
      </c>
      <c r="P1319" s="53" t="s">
        <v>22806</v>
      </c>
      <c r="Q1319" s="49" t="s">
        <v>22807</v>
      </c>
      <c r="R1319" s="50"/>
      <c r="S1319" s="58" t="s">
        <v>22808</v>
      </c>
      <c r="T1319" s="9" t="s">
        <v>22809</v>
      </c>
      <c r="U1319" s="9" t="s">
        <v>22810</v>
      </c>
      <c r="V1319" s="9" t="s">
        <v>22811</v>
      </c>
      <c r="W1319" s="9" t="s">
        <v>14108</v>
      </c>
      <c r="X1319" s="9" t="s">
        <v>22398</v>
      </c>
      <c r="Y1319" s="9" t="s">
        <v>4973</v>
      </c>
      <c r="Z1319" s="9" t="s">
        <v>353</v>
      </c>
      <c r="AC1319" s="9">
        <v>9.0237205100018E13</v>
      </c>
      <c r="AD1319" s="9">
        <v>9.02372051E8</v>
      </c>
      <c r="AE1319" s="9" t="s">
        <v>401</v>
      </c>
      <c r="AF1319" s="55">
        <v>45680.462905092594</v>
      </c>
      <c r="AG1319" s="9" t="s">
        <v>22812</v>
      </c>
      <c r="AH1319" s="9" t="s">
        <v>22813</v>
      </c>
      <c r="AJ1319" s="9" t="s">
        <v>22814</v>
      </c>
      <c r="AK1319" s="9" t="b">
        <v>0</v>
      </c>
      <c r="AL1319" s="9" t="b">
        <v>0</v>
      </c>
      <c r="AM1319" s="9"/>
      <c r="AN1319" s="9" t="s">
        <v>11518</v>
      </c>
      <c r="AP1319" s="56">
        <v>45677.0</v>
      </c>
      <c r="AQ1319" s="9" t="b">
        <v>0</v>
      </c>
      <c r="AR1319" s="9"/>
    </row>
    <row r="1320" ht="15.75" customHeight="1">
      <c r="A1320" s="9" t="s">
        <v>11520</v>
      </c>
      <c r="B1320" s="9" t="s">
        <v>22815</v>
      </c>
      <c r="C1320" s="9" t="s">
        <v>117</v>
      </c>
      <c r="D1320" s="9" t="s">
        <v>1549</v>
      </c>
      <c r="E1320" s="9" t="s">
        <v>16082</v>
      </c>
      <c r="F1320" s="9">
        <v>3.0</v>
      </c>
      <c r="G1320" s="9" t="s">
        <v>455</v>
      </c>
      <c r="H1320" s="9"/>
      <c r="I1320" s="9"/>
      <c r="J1320" s="9" t="s">
        <v>22816</v>
      </c>
      <c r="K1320" s="9" t="s">
        <v>22817</v>
      </c>
      <c r="L1320" s="9">
        <v>97430.0</v>
      </c>
      <c r="M1320" s="9" t="s">
        <v>71</v>
      </c>
      <c r="N1320" s="9"/>
      <c r="O1320" s="9" t="s">
        <v>22818</v>
      </c>
      <c r="P1320" s="53" t="s">
        <v>22819</v>
      </c>
      <c r="Q1320" s="49" t="s">
        <v>22820</v>
      </c>
      <c r="R1320" s="50"/>
      <c r="S1320" s="58" t="s">
        <v>22821</v>
      </c>
      <c r="T1320" s="9" t="s">
        <v>22822</v>
      </c>
      <c r="U1320" s="9" t="s">
        <v>22823</v>
      </c>
      <c r="V1320" s="9" t="s">
        <v>22824</v>
      </c>
      <c r="W1320" s="9"/>
      <c r="X1320" s="9"/>
      <c r="Y1320" s="9" t="s">
        <v>22825</v>
      </c>
      <c r="Z1320" s="9" t="s">
        <v>353</v>
      </c>
      <c r="AC1320" s="9">
        <v>9.2050325700015E13</v>
      </c>
      <c r="AD1320" s="9">
        <v>9.20503257E8</v>
      </c>
      <c r="AE1320" s="9" t="s">
        <v>401</v>
      </c>
      <c r="AF1320" s="55">
        <v>45707.48709490741</v>
      </c>
      <c r="AG1320" s="9" t="s">
        <v>22826</v>
      </c>
      <c r="AH1320" s="9" t="s">
        <v>22827</v>
      </c>
      <c r="AJ1320" s="9" t="s">
        <v>22828</v>
      </c>
      <c r="AK1320" s="9" t="b">
        <v>1</v>
      </c>
      <c r="AL1320" s="9" t="b">
        <v>0</v>
      </c>
      <c r="AM1320" s="9"/>
      <c r="AN1320" s="9" t="s">
        <v>11520</v>
      </c>
      <c r="AP1320" s="56">
        <v>45679.0</v>
      </c>
      <c r="AQ1320" s="9" t="b">
        <v>0</v>
      </c>
      <c r="AR1320" s="9"/>
    </row>
    <row r="1321" ht="15.75" customHeight="1">
      <c r="A1321" s="9" t="s">
        <v>11522</v>
      </c>
      <c r="B1321" s="9" t="s">
        <v>22829</v>
      </c>
      <c r="C1321" s="9" t="s">
        <v>58</v>
      </c>
      <c r="D1321" s="9" t="s">
        <v>59</v>
      </c>
      <c r="E1321" s="9" t="s">
        <v>346</v>
      </c>
      <c r="F1321" s="9">
        <v>6.0</v>
      </c>
      <c r="G1321" s="9" t="s">
        <v>455</v>
      </c>
      <c r="H1321" s="9"/>
      <c r="I1321" s="9"/>
      <c r="J1321" s="52" t="s">
        <v>14790</v>
      </c>
      <c r="K1321" s="9" t="s">
        <v>22830</v>
      </c>
      <c r="L1321" s="9">
        <v>97430.0</v>
      </c>
      <c r="M1321" s="9" t="s">
        <v>71</v>
      </c>
      <c r="N1321" s="9" t="s">
        <v>9050</v>
      </c>
      <c r="O1321" s="9" t="s">
        <v>22831</v>
      </c>
      <c r="P1321" s="53" t="s">
        <v>22832</v>
      </c>
      <c r="Q1321" s="49" t="s">
        <v>22833</v>
      </c>
      <c r="R1321" s="50"/>
      <c r="S1321" s="59"/>
      <c r="T1321" s="9" t="s">
        <v>22834</v>
      </c>
      <c r="U1321" s="9" t="s">
        <v>22835</v>
      </c>
      <c r="V1321" s="9"/>
      <c r="W1321" s="9" t="s">
        <v>22836</v>
      </c>
      <c r="X1321" s="9" t="s">
        <v>14689</v>
      </c>
      <c r="Y1321" s="9" t="s">
        <v>22837</v>
      </c>
      <c r="Z1321" s="9" t="s">
        <v>353</v>
      </c>
      <c r="AC1321" s="9">
        <v>9.7997947300027E13</v>
      </c>
      <c r="AD1321" s="9">
        <v>9.79979473E8</v>
      </c>
      <c r="AE1321" s="9" t="s">
        <v>401</v>
      </c>
      <c r="AF1321" s="55">
        <v>45684.22505787037</v>
      </c>
      <c r="AG1321" s="9" t="s">
        <v>22838</v>
      </c>
      <c r="AH1321" s="9" t="s">
        <v>22839</v>
      </c>
      <c r="AJ1321" s="9" t="s">
        <v>22840</v>
      </c>
      <c r="AK1321" s="9" t="b">
        <v>0</v>
      </c>
      <c r="AL1321" s="9" t="b">
        <v>0</v>
      </c>
      <c r="AM1321" s="9" t="s">
        <v>22841</v>
      </c>
      <c r="AN1321" s="9" t="s">
        <v>11522</v>
      </c>
      <c r="AP1321" s="56">
        <v>45679.0</v>
      </c>
      <c r="AQ1321" s="9" t="b">
        <v>0</v>
      </c>
      <c r="AR1321" s="9"/>
    </row>
    <row r="1322" ht="15.75" customHeight="1">
      <c r="A1322" s="52" t="s">
        <v>22842</v>
      </c>
      <c r="B1322" s="9" t="s">
        <v>22843</v>
      </c>
      <c r="C1322" s="9" t="s">
        <v>58</v>
      </c>
      <c r="D1322" s="9" t="s">
        <v>59</v>
      </c>
      <c r="E1322" s="9" t="s">
        <v>545</v>
      </c>
      <c r="F1322" s="9">
        <v>4.0</v>
      </c>
      <c r="G1322" s="9" t="s">
        <v>375</v>
      </c>
      <c r="H1322" s="9"/>
      <c r="I1322" s="9"/>
      <c r="J1322" s="9" t="s">
        <v>22844</v>
      </c>
      <c r="K1322" s="9" t="s">
        <v>14363</v>
      </c>
      <c r="L1322" s="9">
        <v>97480.0</v>
      </c>
      <c r="M1322" s="9" t="s">
        <v>123</v>
      </c>
      <c r="N1322" s="9" t="s">
        <v>206</v>
      </c>
      <c r="O1322" s="9" t="s">
        <v>22845</v>
      </c>
      <c r="P1322" s="53" t="s">
        <v>22846</v>
      </c>
      <c r="Q1322" s="49" t="s">
        <v>22847</v>
      </c>
      <c r="R1322" s="50"/>
      <c r="S1322" s="59"/>
      <c r="T1322" s="9" t="s">
        <v>22848</v>
      </c>
      <c r="U1322" s="9" t="s">
        <v>22849</v>
      </c>
      <c r="V1322" s="9" t="s">
        <v>22850</v>
      </c>
      <c r="W1322" s="9" t="s">
        <v>22851</v>
      </c>
      <c r="X1322" s="9" t="s">
        <v>22852</v>
      </c>
      <c r="Y1322" s="9" t="s">
        <v>22371</v>
      </c>
      <c r="Z1322" s="9" t="s">
        <v>592</v>
      </c>
      <c r="AC1322" s="9">
        <v>9.84100529E8</v>
      </c>
      <c r="AD1322" s="9">
        <v>9.84100529E8</v>
      </c>
      <c r="AE1322" s="9" t="s">
        <v>401</v>
      </c>
      <c r="AF1322" s="55">
        <v>45722.572743055556</v>
      </c>
      <c r="AG1322" s="9" t="s">
        <v>22853</v>
      </c>
      <c r="AH1322" s="9" t="s">
        <v>22854</v>
      </c>
      <c r="AJ1322" s="9" t="s">
        <v>22855</v>
      </c>
      <c r="AK1322" s="9" t="b">
        <v>0</v>
      </c>
      <c r="AL1322" s="9" t="b">
        <v>0</v>
      </c>
      <c r="AM1322" s="9" t="s">
        <v>22856</v>
      </c>
      <c r="AN1322" s="52" t="s">
        <v>22842</v>
      </c>
      <c r="AP1322" s="56">
        <v>45684.0</v>
      </c>
      <c r="AQ1322" s="9" t="b">
        <v>0</v>
      </c>
      <c r="AR1322" s="9"/>
    </row>
    <row r="1323" ht="15.75" customHeight="1">
      <c r="A1323" s="9" t="s">
        <v>11528</v>
      </c>
      <c r="B1323" s="9" t="s">
        <v>22857</v>
      </c>
      <c r="C1323" s="9" t="s">
        <v>58</v>
      </c>
      <c r="D1323" s="9" t="s">
        <v>59</v>
      </c>
      <c r="E1323" s="9" t="s">
        <v>374</v>
      </c>
      <c r="F1323" s="9">
        <v>6.0</v>
      </c>
      <c r="G1323" s="9" t="s">
        <v>375</v>
      </c>
      <c r="H1323" s="9"/>
      <c r="I1323" s="9"/>
      <c r="J1323" s="9" t="s">
        <v>22858</v>
      </c>
      <c r="K1323" s="9" t="s">
        <v>14363</v>
      </c>
      <c r="L1323" s="9">
        <v>97480.0</v>
      </c>
      <c r="M1323" s="9" t="s">
        <v>123</v>
      </c>
      <c r="N1323" s="9" t="s">
        <v>206</v>
      </c>
      <c r="O1323" s="9" t="s">
        <v>22859</v>
      </c>
      <c r="P1323" s="53" t="s">
        <v>22846</v>
      </c>
      <c r="Q1323" s="49" t="s">
        <v>22847</v>
      </c>
      <c r="R1323" s="50"/>
      <c r="S1323" s="59"/>
      <c r="T1323" s="9" t="s">
        <v>22860</v>
      </c>
      <c r="U1323" s="9" t="s">
        <v>22861</v>
      </c>
      <c r="V1323" s="9" t="s">
        <v>22862</v>
      </c>
      <c r="W1323" s="9" t="s">
        <v>22863</v>
      </c>
      <c r="X1323" s="9" t="s">
        <v>22864</v>
      </c>
      <c r="Y1323" s="9" t="s">
        <v>22371</v>
      </c>
      <c r="Z1323" s="9" t="s">
        <v>592</v>
      </c>
      <c r="AC1323" s="9">
        <v>9.84100529E8</v>
      </c>
      <c r="AD1323" s="9">
        <v>9.84100529E8</v>
      </c>
      <c r="AE1323" s="9" t="s">
        <v>401</v>
      </c>
      <c r="AF1323" s="55">
        <v>45891.471655092595</v>
      </c>
      <c r="AG1323" s="9" t="s">
        <v>22853</v>
      </c>
      <c r="AH1323" s="9" t="s">
        <v>22865</v>
      </c>
      <c r="AJ1323" s="9" t="s">
        <v>22866</v>
      </c>
      <c r="AK1323" s="9" t="b">
        <v>0</v>
      </c>
      <c r="AL1323" s="9" t="b">
        <v>0</v>
      </c>
      <c r="AM1323" s="9" t="s">
        <v>22867</v>
      </c>
      <c r="AN1323" s="9" t="s">
        <v>11528</v>
      </c>
      <c r="AP1323" s="56">
        <v>45684.0</v>
      </c>
      <c r="AQ1323" s="9" t="b">
        <v>0</v>
      </c>
      <c r="AR1323" s="9"/>
    </row>
    <row r="1324" ht="15.75" customHeight="1">
      <c r="A1324" s="9" t="s">
        <v>11530</v>
      </c>
      <c r="B1324" s="9" t="s">
        <v>22868</v>
      </c>
      <c r="C1324" s="9" t="s">
        <v>58</v>
      </c>
      <c r="D1324" s="9" t="s">
        <v>59</v>
      </c>
      <c r="E1324" s="9" t="s">
        <v>346</v>
      </c>
      <c r="F1324" s="9">
        <v>6.0</v>
      </c>
      <c r="G1324" s="9"/>
      <c r="H1324" s="9" t="s">
        <v>2716</v>
      </c>
      <c r="I1324" s="9"/>
      <c r="J1324" s="52" t="s">
        <v>13151</v>
      </c>
      <c r="K1324" s="9" t="s">
        <v>22869</v>
      </c>
      <c r="L1324" s="9">
        <v>97480.0</v>
      </c>
      <c r="M1324" s="9" t="s">
        <v>123</v>
      </c>
      <c r="N1324" s="9" t="s">
        <v>8325</v>
      </c>
      <c r="O1324" s="9" t="s">
        <v>22870</v>
      </c>
      <c r="P1324" s="53" t="s">
        <v>22871</v>
      </c>
      <c r="Q1324" s="49" t="s">
        <v>22872</v>
      </c>
      <c r="R1324" s="50"/>
      <c r="S1324" s="59"/>
      <c r="T1324" s="9" t="s">
        <v>22873</v>
      </c>
      <c r="U1324" s="9" t="s">
        <v>22874</v>
      </c>
      <c r="V1324" s="9" t="s">
        <v>22875</v>
      </c>
      <c r="W1324" s="9" t="s">
        <v>22876</v>
      </c>
      <c r="X1324" s="9" t="s">
        <v>22877</v>
      </c>
      <c r="Y1324" s="9" t="s">
        <v>21814</v>
      </c>
      <c r="Z1324" s="9" t="s">
        <v>3296</v>
      </c>
      <c r="AC1324" s="9">
        <v>7.917264740002E13</v>
      </c>
      <c r="AD1324" s="9">
        <v>7.91726474E8</v>
      </c>
      <c r="AE1324" s="9" t="s">
        <v>401</v>
      </c>
      <c r="AF1324" s="55">
        <v>45691.589849537035</v>
      </c>
      <c r="AG1324" s="9" t="s">
        <v>22878</v>
      </c>
      <c r="AH1324" s="9" t="s">
        <v>22879</v>
      </c>
      <c r="AJ1324" s="9" t="s">
        <v>22880</v>
      </c>
      <c r="AK1324" s="9" t="b">
        <v>1</v>
      </c>
      <c r="AL1324" s="9"/>
      <c r="AM1324" s="9" t="s">
        <v>22881</v>
      </c>
      <c r="AN1324" s="9" t="s">
        <v>11530</v>
      </c>
      <c r="AP1324" s="56">
        <v>45685.0</v>
      </c>
      <c r="AQ1324" s="9" t="b">
        <v>0</v>
      </c>
      <c r="AR1324" s="9"/>
    </row>
    <row r="1325" ht="15.75" customHeight="1">
      <c r="A1325" s="9" t="s">
        <v>11532</v>
      </c>
      <c r="B1325" s="9" t="s">
        <v>22882</v>
      </c>
      <c r="C1325" s="9" t="s">
        <v>58</v>
      </c>
      <c r="D1325" s="9" t="s">
        <v>59</v>
      </c>
      <c r="E1325" s="9" t="s">
        <v>12384</v>
      </c>
      <c r="F1325" s="9">
        <v>2.0</v>
      </c>
      <c r="G1325" s="9" t="s">
        <v>455</v>
      </c>
      <c r="H1325" s="9"/>
      <c r="I1325" s="9"/>
      <c r="J1325" s="52" t="s">
        <v>22883</v>
      </c>
      <c r="K1325" s="9" t="s">
        <v>22884</v>
      </c>
      <c r="L1325" s="9">
        <v>97430.0</v>
      </c>
      <c r="M1325" s="9" t="s">
        <v>71</v>
      </c>
      <c r="N1325" s="9" t="s">
        <v>9342</v>
      </c>
      <c r="O1325" s="9" t="s">
        <v>22885</v>
      </c>
      <c r="P1325" s="53" t="s">
        <v>22886</v>
      </c>
      <c r="Q1325" s="49" t="s">
        <v>22887</v>
      </c>
      <c r="R1325" s="50"/>
      <c r="S1325" s="59"/>
      <c r="T1325" s="9" t="s">
        <v>22888</v>
      </c>
      <c r="U1325" s="9" t="s">
        <v>22889</v>
      </c>
      <c r="V1325" s="9" t="s">
        <v>9342</v>
      </c>
      <c r="W1325" s="9" t="s">
        <v>22890</v>
      </c>
      <c r="X1325" s="9" t="s">
        <v>22891</v>
      </c>
      <c r="Y1325" s="9" t="s">
        <v>22892</v>
      </c>
      <c r="Z1325" s="9" t="s">
        <v>378</v>
      </c>
      <c r="AC1325" s="9">
        <v>9.3844948500011E13</v>
      </c>
      <c r="AD1325" s="9">
        <v>9.38449485E8</v>
      </c>
      <c r="AE1325" s="9" t="s">
        <v>401</v>
      </c>
      <c r="AF1325" s="55">
        <v>45786.56481481482</v>
      </c>
      <c r="AG1325" s="9" t="s">
        <v>22893</v>
      </c>
      <c r="AH1325" s="9" t="s">
        <v>22894</v>
      </c>
      <c r="AJ1325" s="9" t="s">
        <v>22895</v>
      </c>
      <c r="AK1325" s="9" t="b">
        <v>0</v>
      </c>
      <c r="AL1325" s="9" t="b">
        <v>1</v>
      </c>
      <c r="AM1325" s="9" t="s">
        <v>22896</v>
      </c>
      <c r="AN1325" s="9" t="s">
        <v>11532</v>
      </c>
      <c r="AP1325" s="56">
        <v>45691.0</v>
      </c>
      <c r="AQ1325" s="9" t="b">
        <v>1</v>
      </c>
      <c r="AR1325" s="9"/>
    </row>
    <row r="1326" ht="15.75" customHeight="1">
      <c r="A1326" s="9" t="s">
        <v>11534</v>
      </c>
      <c r="B1326" s="9" t="s">
        <v>22897</v>
      </c>
      <c r="C1326" s="9" t="s">
        <v>58</v>
      </c>
      <c r="D1326" s="9" t="s">
        <v>59</v>
      </c>
      <c r="E1326" s="9" t="s">
        <v>346</v>
      </c>
      <c r="F1326" s="9">
        <v>8.0</v>
      </c>
      <c r="G1326" s="9" t="s">
        <v>664</v>
      </c>
      <c r="H1326" s="9"/>
      <c r="I1326" s="9"/>
      <c r="J1326" s="52" t="s">
        <v>14181</v>
      </c>
      <c r="K1326" s="9" t="s">
        <v>22898</v>
      </c>
      <c r="L1326" s="9">
        <v>97442.0</v>
      </c>
      <c r="M1326" s="9" t="s">
        <v>33</v>
      </c>
      <c r="N1326" s="9" t="s">
        <v>224</v>
      </c>
      <c r="O1326" s="9" t="s">
        <v>22899</v>
      </c>
      <c r="P1326" s="53" t="s">
        <v>22900</v>
      </c>
      <c r="Q1326" s="49" t="s">
        <v>22901</v>
      </c>
      <c r="R1326" s="50"/>
      <c r="S1326" s="59"/>
      <c r="T1326" s="9" t="s">
        <v>22902</v>
      </c>
      <c r="U1326" s="9" t="s">
        <v>22903</v>
      </c>
      <c r="V1326" s="9" t="s">
        <v>22904</v>
      </c>
      <c r="W1326" s="9" t="s">
        <v>22905</v>
      </c>
      <c r="X1326" s="9" t="s">
        <v>22906</v>
      </c>
      <c r="Y1326" s="9" t="s">
        <v>22371</v>
      </c>
      <c r="Z1326" s="9" t="s">
        <v>424</v>
      </c>
      <c r="AC1326" s="9">
        <v>9.8774162600012E13</v>
      </c>
      <c r="AD1326" s="9">
        <v>9.87741626E8</v>
      </c>
      <c r="AE1326" s="9" t="s">
        <v>401</v>
      </c>
      <c r="AF1326" s="55">
        <v>45770.48267361111</v>
      </c>
      <c r="AG1326" s="9" t="s">
        <v>22907</v>
      </c>
      <c r="AH1326" s="9" t="s">
        <v>22908</v>
      </c>
      <c r="AJ1326" s="9" t="s">
        <v>22909</v>
      </c>
      <c r="AK1326" s="9" t="b">
        <v>1</v>
      </c>
      <c r="AL1326" s="9" t="b">
        <v>1</v>
      </c>
      <c r="AM1326" s="9" t="s">
        <v>22910</v>
      </c>
      <c r="AN1326" s="9" t="s">
        <v>11534</v>
      </c>
      <c r="AP1326" s="56">
        <v>45691.0</v>
      </c>
      <c r="AQ1326" s="9" t="b">
        <v>0</v>
      </c>
      <c r="AR1326" s="9"/>
    </row>
    <row r="1327" ht="15.75" customHeight="1">
      <c r="A1327" s="9" t="s">
        <v>11524</v>
      </c>
      <c r="B1327" s="9" t="s">
        <v>22911</v>
      </c>
      <c r="C1327" s="9" t="s">
        <v>58</v>
      </c>
      <c r="D1327" s="9" t="s">
        <v>59</v>
      </c>
      <c r="E1327" s="9" t="s">
        <v>454</v>
      </c>
      <c r="F1327" s="9">
        <v>4.0</v>
      </c>
      <c r="G1327" s="9" t="s">
        <v>422</v>
      </c>
      <c r="H1327" s="9"/>
      <c r="I1327" s="9"/>
      <c r="J1327" s="52" t="s">
        <v>14181</v>
      </c>
      <c r="K1327" s="9" t="s">
        <v>22912</v>
      </c>
      <c r="L1327" s="9">
        <v>97414.0</v>
      </c>
      <c r="M1327" s="9" t="s">
        <v>40</v>
      </c>
      <c r="N1327" s="9" t="s">
        <v>16720</v>
      </c>
      <c r="O1327" s="9" t="s">
        <v>22913</v>
      </c>
      <c r="P1327" s="53" t="s">
        <v>22914</v>
      </c>
      <c r="Q1327" s="49" t="s">
        <v>22915</v>
      </c>
      <c r="R1327" s="50"/>
      <c r="S1327" s="59"/>
      <c r="T1327" s="9" t="s">
        <v>22916</v>
      </c>
      <c r="U1327" s="9" t="s">
        <v>22917</v>
      </c>
      <c r="V1327" s="9" t="s">
        <v>22918</v>
      </c>
      <c r="W1327" s="9" t="s">
        <v>22919</v>
      </c>
      <c r="X1327" s="9" t="s">
        <v>22920</v>
      </c>
      <c r="Y1327" s="9" t="s">
        <v>4368</v>
      </c>
      <c r="Z1327" s="9" t="s">
        <v>353</v>
      </c>
      <c r="AC1327" s="9">
        <v>9.3477313600015E13</v>
      </c>
      <c r="AD1327" s="9">
        <v>9.34773136E8</v>
      </c>
      <c r="AE1327" s="9" t="s">
        <v>401</v>
      </c>
      <c r="AF1327" s="55">
        <v>45786.56575231482</v>
      </c>
      <c r="AG1327" s="9" t="s">
        <v>22921</v>
      </c>
      <c r="AH1327" s="9" t="s">
        <v>22922</v>
      </c>
      <c r="AJ1327" s="9" t="s">
        <v>22923</v>
      </c>
      <c r="AK1327" s="9" t="b">
        <v>1</v>
      </c>
      <c r="AL1327" s="9" t="b">
        <v>0</v>
      </c>
      <c r="AM1327" s="9" t="s">
        <v>22924</v>
      </c>
      <c r="AN1327" s="9" t="s">
        <v>11524</v>
      </c>
      <c r="AP1327" s="56">
        <v>45692.0</v>
      </c>
      <c r="AQ1327" s="9" t="b">
        <v>1</v>
      </c>
      <c r="AR1327" s="9"/>
    </row>
    <row r="1328" ht="15.75" customHeight="1">
      <c r="A1328" s="9" t="s">
        <v>11537</v>
      </c>
      <c r="B1328" s="9" t="s">
        <v>22925</v>
      </c>
      <c r="C1328" s="9" t="s">
        <v>117</v>
      </c>
      <c r="D1328" s="9" t="s">
        <v>1792</v>
      </c>
      <c r="E1328" s="9" t="s">
        <v>921</v>
      </c>
      <c r="F1328" s="9">
        <v>20.0</v>
      </c>
      <c r="G1328" s="9" t="s">
        <v>455</v>
      </c>
      <c r="H1328" s="9"/>
      <c r="I1328" s="9"/>
      <c r="J1328" s="9" t="s">
        <v>22926</v>
      </c>
      <c r="K1328" s="9" t="s">
        <v>22927</v>
      </c>
      <c r="L1328" s="9">
        <v>97480.0</v>
      </c>
      <c r="M1328" s="9" t="s">
        <v>123</v>
      </c>
      <c r="N1328" s="9" t="s">
        <v>8747</v>
      </c>
      <c r="O1328" s="9" t="s">
        <v>22928</v>
      </c>
      <c r="P1328" s="53" t="s">
        <v>22929</v>
      </c>
      <c r="Q1328" s="49" t="s">
        <v>22930</v>
      </c>
      <c r="R1328" s="50"/>
      <c r="S1328" s="58" t="s">
        <v>22931</v>
      </c>
      <c r="T1328" s="9" t="s">
        <v>22932</v>
      </c>
      <c r="U1328" s="9" t="s">
        <v>22933</v>
      </c>
      <c r="V1328" s="9" t="s">
        <v>22934</v>
      </c>
      <c r="W1328" s="9" t="s">
        <v>22935</v>
      </c>
      <c r="X1328" s="9" t="s">
        <v>16377</v>
      </c>
      <c r="Y1328" s="9" t="s">
        <v>22936</v>
      </c>
      <c r="Z1328" s="9" t="s">
        <v>786</v>
      </c>
      <c r="AC1328" s="9">
        <v>9.0539629700012E13</v>
      </c>
      <c r="AD1328" s="9">
        <v>9.05396297E8</v>
      </c>
      <c r="AE1328" s="9" t="s">
        <v>401</v>
      </c>
      <c r="AF1328" s="55">
        <v>45770.43733796296</v>
      </c>
      <c r="AG1328" s="9" t="s">
        <v>22937</v>
      </c>
      <c r="AH1328" s="9" t="s">
        <v>22938</v>
      </c>
      <c r="AJ1328" s="9" t="s">
        <v>22939</v>
      </c>
      <c r="AK1328" s="9" t="b">
        <v>0</v>
      </c>
      <c r="AL1328" s="9" t="b">
        <v>0</v>
      </c>
      <c r="AM1328" s="9"/>
      <c r="AN1328" s="9" t="s">
        <v>11537</v>
      </c>
      <c r="AP1328" s="56">
        <v>45698.0</v>
      </c>
      <c r="AQ1328" s="9" t="b">
        <v>0</v>
      </c>
      <c r="AR1328" s="9"/>
    </row>
    <row r="1329" ht="15.75" customHeight="1">
      <c r="A1329" s="9" t="s">
        <v>11539</v>
      </c>
      <c r="B1329" s="9" t="s">
        <v>22940</v>
      </c>
      <c r="C1329" s="9" t="s">
        <v>58</v>
      </c>
      <c r="D1329" s="9" t="s">
        <v>59</v>
      </c>
      <c r="E1329" s="9" t="s">
        <v>545</v>
      </c>
      <c r="F1329" s="9">
        <v>15.0</v>
      </c>
      <c r="G1329" s="9" t="s">
        <v>422</v>
      </c>
      <c r="H1329" s="9"/>
      <c r="I1329" s="9"/>
      <c r="J1329" s="52" t="s">
        <v>12345</v>
      </c>
      <c r="K1329" s="9" t="s">
        <v>22941</v>
      </c>
      <c r="L1329" s="9">
        <v>97418.0</v>
      </c>
      <c r="M1329" s="9" t="s">
        <v>71</v>
      </c>
      <c r="N1329" s="9" t="s">
        <v>13029</v>
      </c>
      <c r="O1329" s="9" t="s">
        <v>22942</v>
      </c>
      <c r="P1329" s="53" t="s">
        <v>22943</v>
      </c>
      <c r="Q1329" s="49" t="s">
        <v>22944</v>
      </c>
      <c r="R1329" s="50"/>
      <c r="S1329" s="58" t="s">
        <v>22945</v>
      </c>
      <c r="T1329" s="9" t="s">
        <v>22946</v>
      </c>
      <c r="U1329" s="9" t="s">
        <v>22947</v>
      </c>
      <c r="V1329" s="9" t="s">
        <v>22948</v>
      </c>
      <c r="W1329" s="9" t="s">
        <v>22949</v>
      </c>
      <c r="X1329" s="9" t="s">
        <v>22950</v>
      </c>
      <c r="Y1329" s="9" t="s">
        <v>18724</v>
      </c>
      <c r="Z1329" s="9" t="s">
        <v>353</v>
      </c>
      <c r="AC1329" s="9">
        <v>4.825553310004E13</v>
      </c>
      <c r="AD1329" s="9">
        <v>4.82555331E8</v>
      </c>
      <c r="AE1329" s="9" t="s">
        <v>401</v>
      </c>
      <c r="AF1329" s="55">
        <v>45770.499756944446</v>
      </c>
      <c r="AG1329" s="9" t="s">
        <v>22951</v>
      </c>
      <c r="AH1329" s="9" t="s">
        <v>22952</v>
      </c>
      <c r="AJ1329" s="9" t="s">
        <v>22953</v>
      </c>
      <c r="AK1329" s="9" t="b">
        <v>0</v>
      </c>
      <c r="AL1329" s="9" t="b">
        <v>0</v>
      </c>
      <c r="AM1329" s="9" t="s">
        <v>22954</v>
      </c>
      <c r="AN1329" s="9" t="s">
        <v>11539</v>
      </c>
      <c r="AP1329" s="56">
        <v>45735.0</v>
      </c>
      <c r="AQ1329" s="9" t="b">
        <v>0</v>
      </c>
      <c r="AR1329" s="9"/>
    </row>
    <row r="1330" ht="15.75" customHeight="1">
      <c r="A1330" s="9" t="s">
        <v>11541</v>
      </c>
      <c r="B1330" s="9" t="s">
        <v>22955</v>
      </c>
      <c r="C1330" s="9" t="s">
        <v>1198</v>
      </c>
      <c r="D1330" s="9" t="s">
        <v>1644</v>
      </c>
      <c r="E1330" s="9" t="s">
        <v>9717</v>
      </c>
      <c r="F1330" s="9">
        <v>8.0</v>
      </c>
      <c r="G1330" s="9" t="s">
        <v>375</v>
      </c>
      <c r="H1330" s="9"/>
      <c r="I1330" s="9" t="s">
        <v>597</v>
      </c>
      <c r="J1330" s="52" t="s">
        <v>3725</v>
      </c>
      <c r="K1330" s="9" t="s">
        <v>22956</v>
      </c>
      <c r="L1330" s="9">
        <v>97442.0</v>
      </c>
      <c r="M1330" s="9" t="s">
        <v>33</v>
      </c>
      <c r="N1330" s="9" t="s">
        <v>224</v>
      </c>
      <c r="O1330" s="9" t="s">
        <v>22957</v>
      </c>
      <c r="P1330" s="53" t="s">
        <v>22958</v>
      </c>
      <c r="Q1330" s="49" t="s">
        <v>22959</v>
      </c>
      <c r="R1330" s="50"/>
      <c r="S1330" s="58" t="s">
        <v>22960</v>
      </c>
      <c r="T1330" s="9" t="s">
        <v>22961</v>
      </c>
      <c r="U1330" s="9" t="s">
        <v>22962</v>
      </c>
      <c r="V1330" s="9"/>
      <c r="W1330" s="9" t="s">
        <v>22963</v>
      </c>
      <c r="X1330" s="9" t="s">
        <v>1534</v>
      </c>
      <c r="Y1330" s="9" t="s">
        <v>21858</v>
      </c>
      <c r="Z1330" s="9" t="s">
        <v>22964</v>
      </c>
      <c r="AC1330" s="9">
        <v>9.4909928700011E13</v>
      </c>
      <c r="AD1330" s="9">
        <v>9.49099287E8</v>
      </c>
      <c r="AE1330" s="9" t="s">
        <v>401</v>
      </c>
      <c r="AF1330" s="55">
        <v>45736.39983796296</v>
      </c>
      <c r="AG1330" s="9" t="s">
        <v>22965</v>
      </c>
      <c r="AH1330" s="9" t="s">
        <v>22966</v>
      </c>
      <c r="AJ1330" s="9" t="s">
        <v>22967</v>
      </c>
      <c r="AK1330" s="9" t="b">
        <v>0</v>
      </c>
      <c r="AL1330" s="9" t="b">
        <v>1</v>
      </c>
      <c r="AM1330" s="9"/>
      <c r="AN1330" s="9" t="s">
        <v>11541</v>
      </c>
      <c r="AP1330" s="56">
        <v>45735.0</v>
      </c>
      <c r="AQ1330" s="9" t="b">
        <v>1</v>
      </c>
      <c r="AR1330" s="9" t="s">
        <v>22968</v>
      </c>
    </row>
    <row r="1331" ht="15.75" customHeight="1">
      <c r="A1331" s="9" t="s">
        <v>11543</v>
      </c>
      <c r="B1331" s="9" t="s">
        <v>22969</v>
      </c>
      <c r="C1331" s="9" t="s">
        <v>58</v>
      </c>
      <c r="D1331" s="9" t="s">
        <v>59</v>
      </c>
      <c r="E1331" s="9" t="s">
        <v>12384</v>
      </c>
      <c r="F1331" s="9">
        <v>7.0</v>
      </c>
      <c r="G1331" s="9" t="s">
        <v>455</v>
      </c>
      <c r="H1331" s="9"/>
      <c r="I1331" s="9"/>
      <c r="J1331" s="52" t="s">
        <v>15332</v>
      </c>
      <c r="K1331" s="9" t="s">
        <v>22970</v>
      </c>
      <c r="L1331" s="9">
        <v>97430.0</v>
      </c>
      <c r="M1331" s="9" t="s">
        <v>71</v>
      </c>
      <c r="N1331" s="9" t="s">
        <v>8422</v>
      </c>
      <c r="O1331" s="9" t="s">
        <v>22971</v>
      </c>
      <c r="P1331" s="53" t="s">
        <v>22972</v>
      </c>
      <c r="Q1331" s="49" t="s">
        <v>22973</v>
      </c>
      <c r="R1331" s="50"/>
      <c r="S1331" s="59"/>
      <c r="T1331" s="9" t="s">
        <v>22974</v>
      </c>
      <c r="U1331" s="9" t="s">
        <v>22975</v>
      </c>
      <c r="V1331" s="9" t="s">
        <v>22976</v>
      </c>
      <c r="W1331" s="9" t="s">
        <v>22977</v>
      </c>
      <c r="X1331" s="9" t="s">
        <v>22978</v>
      </c>
      <c r="Y1331" s="9" t="s">
        <v>9455</v>
      </c>
      <c r="Z1331" s="9" t="s">
        <v>353</v>
      </c>
      <c r="AC1331" s="9">
        <v>8.9017763700018E13</v>
      </c>
      <c r="AD1331" s="9">
        <v>8.90177637E8</v>
      </c>
      <c r="AE1331" s="9" t="s">
        <v>401</v>
      </c>
      <c r="AF1331" s="55">
        <v>45756.64318287037</v>
      </c>
      <c r="AG1331" s="9" t="s">
        <v>22979</v>
      </c>
      <c r="AH1331" s="9" t="s">
        <v>22980</v>
      </c>
      <c r="AJ1331" s="9" t="s">
        <v>22981</v>
      </c>
      <c r="AK1331" s="9" t="b">
        <v>0</v>
      </c>
      <c r="AL1331" s="9" t="b">
        <v>0</v>
      </c>
      <c r="AM1331" s="9" t="s">
        <v>22982</v>
      </c>
      <c r="AN1331" s="9" t="s">
        <v>11543</v>
      </c>
      <c r="AP1331" s="56">
        <v>45736.0</v>
      </c>
      <c r="AQ1331" s="9" t="b">
        <v>0</v>
      </c>
      <c r="AR1331" s="9"/>
    </row>
    <row r="1332" ht="15.75" customHeight="1">
      <c r="A1332" s="9" t="s">
        <v>11547</v>
      </c>
      <c r="B1332" s="9" t="s">
        <v>22983</v>
      </c>
      <c r="C1332" s="9" t="s">
        <v>58</v>
      </c>
      <c r="D1332" s="9" t="s">
        <v>59</v>
      </c>
      <c r="E1332" s="9" t="s">
        <v>12384</v>
      </c>
      <c r="F1332" s="9">
        <v>10.0</v>
      </c>
      <c r="G1332" s="9" t="s">
        <v>455</v>
      </c>
      <c r="H1332" s="9" t="s">
        <v>2716</v>
      </c>
      <c r="I1332" s="9"/>
      <c r="J1332" s="52" t="s">
        <v>13073</v>
      </c>
      <c r="K1332" s="9" t="s">
        <v>22984</v>
      </c>
      <c r="L1332" s="9">
        <v>97480.0</v>
      </c>
      <c r="M1332" s="9" t="s">
        <v>123</v>
      </c>
      <c r="N1332" s="9" t="s">
        <v>8259</v>
      </c>
      <c r="O1332" s="9" t="s">
        <v>22985</v>
      </c>
      <c r="P1332" s="53" t="s">
        <v>22986</v>
      </c>
      <c r="Q1332" s="49" t="s">
        <v>22987</v>
      </c>
      <c r="R1332" s="50"/>
      <c r="S1332" s="58" t="s">
        <v>22988</v>
      </c>
      <c r="T1332" s="9" t="s">
        <v>22989</v>
      </c>
      <c r="U1332" s="9" t="s">
        <v>22990</v>
      </c>
      <c r="V1332" s="9" t="s">
        <v>22991</v>
      </c>
      <c r="W1332" s="9" t="s">
        <v>22992</v>
      </c>
      <c r="X1332" s="9" t="s">
        <v>1296</v>
      </c>
      <c r="Y1332" s="9" t="s">
        <v>12624</v>
      </c>
      <c r="Z1332" s="9" t="s">
        <v>353</v>
      </c>
      <c r="AC1332" s="9">
        <v>7.5347314900023E13</v>
      </c>
      <c r="AD1332" s="9">
        <v>7.53473149E8</v>
      </c>
      <c r="AE1332" s="9" t="s">
        <v>401</v>
      </c>
      <c r="AF1332" s="55">
        <v>45820.407002314816</v>
      </c>
      <c r="AG1332" s="9" t="s">
        <v>22993</v>
      </c>
      <c r="AH1332" s="9" t="s">
        <v>22994</v>
      </c>
      <c r="AJ1332" s="9" t="s">
        <v>22995</v>
      </c>
      <c r="AK1332" s="9" t="b">
        <v>1</v>
      </c>
      <c r="AL1332" s="9" t="b">
        <v>0</v>
      </c>
      <c r="AM1332" s="9" t="s">
        <v>22996</v>
      </c>
      <c r="AN1332" s="9" t="s">
        <v>11547</v>
      </c>
      <c r="AP1332" s="56">
        <v>45740.0</v>
      </c>
      <c r="AQ1332" s="9" t="b">
        <v>1</v>
      </c>
      <c r="AR1332" s="9"/>
    </row>
    <row r="1333" ht="15.75" customHeight="1">
      <c r="A1333" s="9" t="s">
        <v>11549</v>
      </c>
      <c r="B1333" s="9" t="s">
        <v>22997</v>
      </c>
      <c r="C1333" s="9" t="s">
        <v>58</v>
      </c>
      <c r="D1333" s="9" t="s">
        <v>59</v>
      </c>
      <c r="E1333" s="9" t="s">
        <v>12384</v>
      </c>
      <c r="F1333" s="9">
        <v>14.0</v>
      </c>
      <c r="G1333" s="9" t="s">
        <v>375</v>
      </c>
      <c r="H1333" s="9" t="s">
        <v>2716</v>
      </c>
      <c r="I1333" s="9"/>
      <c r="J1333" s="52" t="s">
        <v>22998</v>
      </c>
      <c r="K1333" s="9" t="s">
        <v>22999</v>
      </c>
      <c r="L1333" s="9">
        <v>97480.0</v>
      </c>
      <c r="M1333" s="9" t="s">
        <v>123</v>
      </c>
      <c r="N1333" s="9" t="s">
        <v>8325</v>
      </c>
      <c r="O1333" s="9" t="s">
        <v>23000</v>
      </c>
      <c r="P1333" s="53" t="s">
        <v>22986</v>
      </c>
      <c r="Q1333" s="49" t="s">
        <v>22987</v>
      </c>
      <c r="R1333" s="50"/>
      <c r="S1333" s="58" t="s">
        <v>23001</v>
      </c>
      <c r="T1333" s="9" t="s">
        <v>23002</v>
      </c>
      <c r="U1333" s="9" t="s">
        <v>23003</v>
      </c>
      <c r="V1333" s="9" t="s">
        <v>23004</v>
      </c>
      <c r="W1333" s="9" t="s">
        <v>23005</v>
      </c>
      <c r="X1333" s="9" t="s">
        <v>23006</v>
      </c>
      <c r="Y1333" s="9" t="s">
        <v>12624</v>
      </c>
      <c r="Z1333" s="9" t="s">
        <v>353</v>
      </c>
      <c r="AC1333" s="9">
        <v>7.5347314900023E13</v>
      </c>
      <c r="AD1333" s="9">
        <v>7.53473149E8</v>
      </c>
      <c r="AE1333" s="9" t="s">
        <v>401</v>
      </c>
      <c r="AF1333" s="55">
        <v>45820.40861111111</v>
      </c>
      <c r="AG1333" s="9" t="s">
        <v>22993</v>
      </c>
      <c r="AH1333" s="9" t="s">
        <v>23007</v>
      </c>
      <c r="AJ1333" s="9" t="s">
        <v>23008</v>
      </c>
      <c r="AK1333" s="9"/>
      <c r="AL1333" s="9" t="b">
        <v>0</v>
      </c>
      <c r="AM1333" s="9" t="s">
        <v>23009</v>
      </c>
      <c r="AN1333" s="9" t="s">
        <v>11549</v>
      </c>
      <c r="AP1333" s="56">
        <v>45740.0</v>
      </c>
      <c r="AQ1333" s="9" t="b">
        <v>1</v>
      </c>
      <c r="AR1333" s="9"/>
    </row>
    <row r="1334" ht="15.75" customHeight="1">
      <c r="A1334" s="9" t="s">
        <v>11551</v>
      </c>
      <c r="B1334" s="9" t="s">
        <v>23010</v>
      </c>
      <c r="C1334" s="9" t="s">
        <v>58</v>
      </c>
      <c r="D1334" s="9" t="s">
        <v>59</v>
      </c>
      <c r="E1334" s="9" t="s">
        <v>346</v>
      </c>
      <c r="F1334" s="9">
        <v>4.0</v>
      </c>
      <c r="G1334" s="9"/>
      <c r="H1334" s="9" t="s">
        <v>2716</v>
      </c>
      <c r="I1334" s="9"/>
      <c r="J1334" s="52" t="s">
        <v>12345</v>
      </c>
      <c r="K1334" s="9" t="s">
        <v>23011</v>
      </c>
      <c r="L1334" s="9">
        <v>97480.0</v>
      </c>
      <c r="M1334" s="9" t="s">
        <v>123</v>
      </c>
      <c r="N1334" s="9" t="s">
        <v>3556</v>
      </c>
      <c r="O1334" s="9" t="s">
        <v>23012</v>
      </c>
      <c r="P1334" s="53" t="s">
        <v>23013</v>
      </c>
      <c r="Q1334" s="49" t="s">
        <v>23014</v>
      </c>
      <c r="R1334" s="50"/>
      <c r="S1334" s="59"/>
      <c r="T1334" s="9" t="s">
        <v>23015</v>
      </c>
      <c r="U1334" s="9" t="s">
        <v>23016</v>
      </c>
      <c r="V1334" s="9"/>
      <c r="W1334" s="9" t="s">
        <v>23017</v>
      </c>
      <c r="X1334" s="9"/>
      <c r="Y1334" s="9" t="s">
        <v>12669</v>
      </c>
      <c r="Z1334" s="9" t="s">
        <v>378</v>
      </c>
      <c r="AC1334" s="9">
        <v>9.4233134900012E13</v>
      </c>
      <c r="AD1334" s="9">
        <v>9.42331349E8</v>
      </c>
      <c r="AE1334" s="9" t="s">
        <v>401</v>
      </c>
      <c r="AF1334" s="55">
        <v>45810.43840277778</v>
      </c>
      <c r="AG1334" s="9" t="s">
        <v>23018</v>
      </c>
      <c r="AH1334" s="9" t="s">
        <v>23019</v>
      </c>
      <c r="AJ1334" s="9" t="s">
        <v>23020</v>
      </c>
      <c r="AK1334" s="9" t="b">
        <v>0</v>
      </c>
      <c r="AL1334" s="9" t="b">
        <v>0</v>
      </c>
      <c r="AM1334" s="9" t="s">
        <v>23021</v>
      </c>
      <c r="AN1334" s="9" t="s">
        <v>11551</v>
      </c>
      <c r="AP1334" s="56">
        <v>45750.0</v>
      </c>
      <c r="AQ1334" s="9" t="b">
        <v>0</v>
      </c>
      <c r="AR1334" s="9"/>
    </row>
    <row r="1335" ht="15.75" customHeight="1">
      <c r="A1335" s="9" t="s">
        <v>11553</v>
      </c>
      <c r="B1335" s="9" t="s">
        <v>23022</v>
      </c>
      <c r="C1335" s="9" t="s">
        <v>117</v>
      </c>
      <c r="D1335" s="9" t="s">
        <v>197</v>
      </c>
      <c r="E1335" s="9" t="s">
        <v>18435</v>
      </c>
      <c r="F1335" s="9"/>
      <c r="G1335" s="9" t="s">
        <v>455</v>
      </c>
      <c r="H1335" s="9"/>
      <c r="I1335" s="9"/>
      <c r="J1335" s="52" t="s">
        <v>14181</v>
      </c>
      <c r="K1335" s="9" t="s">
        <v>23023</v>
      </c>
      <c r="L1335" s="9">
        <v>97430.0</v>
      </c>
      <c r="M1335" s="9" t="s">
        <v>71</v>
      </c>
      <c r="N1335" s="9" t="s">
        <v>15538</v>
      </c>
      <c r="O1335" s="9" t="s">
        <v>23024</v>
      </c>
      <c r="P1335" s="53" t="s">
        <v>23025</v>
      </c>
      <c r="Q1335" s="49" t="s">
        <v>23026</v>
      </c>
      <c r="R1335" s="50"/>
      <c r="S1335" s="59"/>
      <c r="T1335" s="9" t="s">
        <v>23027</v>
      </c>
      <c r="U1335" s="9" t="s">
        <v>23028</v>
      </c>
      <c r="V1335" s="9" t="s">
        <v>23029</v>
      </c>
      <c r="W1335" s="9"/>
      <c r="X1335" s="9"/>
      <c r="Y1335" s="9"/>
      <c r="Z1335" s="9" t="s">
        <v>378</v>
      </c>
      <c r="AC1335" s="9">
        <v>8.1893753400027E13</v>
      </c>
      <c r="AD1335" s="9">
        <v>8.18937534E8</v>
      </c>
      <c r="AE1335" s="9" t="s">
        <v>401</v>
      </c>
      <c r="AF1335" s="55">
        <v>46045.3462037037</v>
      </c>
      <c r="AG1335" s="9" t="s">
        <v>23030</v>
      </c>
      <c r="AH1335" s="9" t="s">
        <v>23031</v>
      </c>
      <c r="AJ1335" s="9" t="s">
        <v>23032</v>
      </c>
      <c r="AK1335" s="9"/>
      <c r="AL1335" s="9" t="b">
        <v>0</v>
      </c>
      <c r="AM1335" s="9"/>
      <c r="AN1335" s="9" t="s">
        <v>11553</v>
      </c>
      <c r="AP1335" s="56">
        <v>45755.0</v>
      </c>
      <c r="AQ1335" s="9" t="b">
        <v>0</v>
      </c>
      <c r="AR1335" s="9"/>
    </row>
    <row r="1336" ht="15.75" customHeight="1">
      <c r="A1336" s="9" t="s">
        <v>11556</v>
      </c>
      <c r="B1336" s="9" t="s">
        <v>23033</v>
      </c>
      <c r="C1336" s="9" t="s">
        <v>822</v>
      </c>
      <c r="D1336" s="9" t="s">
        <v>4826</v>
      </c>
      <c r="E1336" s="9" t="s">
        <v>23034</v>
      </c>
      <c r="F1336" s="9"/>
      <c r="G1336" s="9" t="s">
        <v>422</v>
      </c>
      <c r="H1336" s="9"/>
      <c r="I1336" s="9"/>
      <c r="J1336" s="52" t="s">
        <v>12445</v>
      </c>
      <c r="K1336" s="9" t="s">
        <v>23035</v>
      </c>
      <c r="L1336" s="9">
        <v>97414.0</v>
      </c>
      <c r="M1336" s="9" t="s">
        <v>40</v>
      </c>
      <c r="N1336" s="9" t="s">
        <v>40</v>
      </c>
      <c r="O1336" s="9" t="s">
        <v>23036</v>
      </c>
      <c r="P1336" s="53" t="s">
        <v>23037</v>
      </c>
      <c r="Q1336" s="49" t="s">
        <v>23038</v>
      </c>
      <c r="R1336" s="50"/>
      <c r="S1336" s="59"/>
      <c r="T1336" s="9" t="s">
        <v>23039</v>
      </c>
      <c r="U1336" s="9" t="s">
        <v>23040</v>
      </c>
      <c r="V1336" s="9" t="s">
        <v>23041</v>
      </c>
      <c r="W1336" s="9" t="s">
        <v>23042</v>
      </c>
      <c r="X1336" s="9" t="s">
        <v>23043</v>
      </c>
      <c r="Y1336" s="9" t="s">
        <v>8231</v>
      </c>
      <c r="Z1336" s="9" t="s">
        <v>353</v>
      </c>
      <c r="AC1336" s="9">
        <v>7.5336349800019E13</v>
      </c>
      <c r="AD1336" s="9">
        <v>7.53363498E8</v>
      </c>
      <c r="AE1336" s="9" t="s">
        <v>401</v>
      </c>
      <c r="AF1336" s="55">
        <v>46073.44829861111</v>
      </c>
      <c r="AG1336" s="9" t="s">
        <v>23044</v>
      </c>
      <c r="AH1336" s="9" t="s">
        <v>23045</v>
      </c>
      <c r="AJ1336" s="9" t="s">
        <v>23046</v>
      </c>
      <c r="AK1336" s="9" t="b">
        <v>0</v>
      </c>
      <c r="AL1336" s="9" t="b">
        <v>0</v>
      </c>
      <c r="AM1336" s="9"/>
      <c r="AN1336" s="9" t="s">
        <v>11556</v>
      </c>
      <c r="AP1336" s="56">
        <v>45758.0</v>
      </c>
      <c r="AQ1336" s="9" t="b">
        <v>0</v>
      </c>
      <c r="AR1336" s="9"/>
    </row>
    <row r="1337" ht="15.75" customHeight="1">
      <c r="A1337" s="9" t="s">
        <v>11558</v>
      </c>
      <c r="B1337" s="9" t="s">
        <v>23047</v>
      </c>
      <c r="C1337" s="9" t="s">
        <v>34</v>
      </c>
      <c r="D1337" s="9" t="s">
        <v>678</v>
      </c>
      <c r="E1337" s="9" t="s">
        <v>5508</v>
      </c>
      <c r="F1337" s="9"/>
      <c r="G1337" s="9" t="s">
        <v>422</v>
      </c>
      <c r="H1337" s="9"/>
      <c r="I1337" s="9"/>
      <c r="J1337" s="52" t="s">
        <v>12345</v>
      </c>
      <c r="K1337" s="9" t="s">
        <v>23048</v>
      </c>
      <c r="L1337" s="9">
        <v>97414.0</v>
      </c>
      <c r="M1337" s="9" t="s">
        <v>40</v>
      </c>
      <c r="N1337" s="9" t="s">
        <v>40</v>
      </c>
      <c r="O1337" s="9" t="s">
        <v>23049</v>
      </c>
      <c r="P1337" s="53" t="s">
        <v>23050</v>
      </c>
      <c r="Q1337" s="49" t="s">
        <v>23051</v>
      </c>
      <c r="R1337" s="50"/>
      <c r="S1337" s="58" t="s">
        <v>23052</v>
      </c>
      <c r="T1337" s="9" t="s">
        <v>23053</v>
      </c>
      <c r="U1337" s="9" t="s">
        <v>23054</v>
      </c>
      <c r="V1337" s="9" t="s">
        <v>23055</v>
      </c>
      <c r="W1337" s="9" t="s">
        <v>23056</v>
      </c>
      <c r="X1337" s="9" t="s">
        <v>23057</v>
      </c>
      <c r="Y1337" s="9" t="s">
        <v>5317</v>
      </c>
      <c r="Z1337" s="9" t="s">
        <v>353</v>
      </c>
      <c r="AC1337" s="9">
        <v>7.5278371200025E13</v>
      </c>
      <c r="AD1337" s="9">
        <v>7.52783712E8</v>
      </c>
      <c r="AE1337" s="9" t="s">
        <v>401</v>
      </c>
      <c r="AF1337" s="55">
        <v>45761.64041666667</v>
      </c>
      <c r="AG1337" s="9" t="s">
        <v>23058</v>
      </c>
      <c r="AH1337" s="9" t="s">
        <v>23059</v>
      </c>
      <c r="AJ1337" s="9" t="s">
        <v>23060</v>
      </c>
      <c r="AK1337" s="9" t="b">
        <v>0</v>
      </c>
      <c r="AL1337" s="9" t="b">
        <v>0</v>
      </c>
      <c r="AM1337" s="9"/>
      <c r="AN1337" s="9" t="s">
        <v>11558</v>
      </c>
      <c r="AP1337" s="56">
        <v>45761.0</v>
      </c>
      <c r="AQ1337" s="9" t="b">
        <v>0</v>
      </c>
      <c r="AR1337" s="9"/>
    </row>
    <row r="1338" ht="15.75" customHeight="1">
      <c r="A1338" s="9" t="s">
        <v>11560</v>
      </c>
      <c r="B1338" s="9" t="s">
        <v>23061</v>
      </c>
      <c r="C1338" s="9" t="s">
        <v>1198</v>
      </c>
      <c r="D1338" s="9" t="s">
        <v>6960</v>
      </c>
      <c r="E1338" s="9" t="s">
        <v>23062</v>
      </c>
      <c r="F1338" s="9">
        <v>4.0</v>
      </c>
      <c r="G1338" s="9" t="s">
        <v>664</v>
      </c>
      <c r="H1338" s="9"/>
      <c r="I1338" s="9"/>
      <c r="J1338" s="52" t="s">
        <v>18092</v>
      </c>
      <c r="K1338" s="9" t="s">
        <v>23063</v>
      </c>
      <c r="L1338" s="9">
        <v>97430.0</v>
      </c>
      <c r="M1338" s="9" t="s">
        <v>71</v>
      </c>
      <c r="N1338" s="9" t="s">
        <v>12447</v>
      </c>
      <c r="O1338" s="9" t="s">
        <v>23064</v>
      </c>
      <c r="P1338" s="53" t="s">
        <v>23065</v>
      </c>
      <c r="Q1338" s="49" t="s">
        <v>23066</v>
      </c>
      <c r="R1338" s="50"/>
      <c r="S1338" s="58" t="s">
        <v>23067</v>
      </c>
      <c r="T1338" s="9" t="s">
        <v>23068</v>
      </c>
      <c r="U1338" s="9" t="s">
        <v>23069</v>
      </c>
      <c r="V1338" s="9" t="s">
        <v>23070</v>
      </c>
      <c r="W1338" s="9" t="s">
        <v>23071</v>
      </c>
      <c r="X1338" s="9" t="s">
        <v>23072</v>
      </c>
      <c r="Y1338" s="9" t="s">
        <v>9455</v>
      </c>
      <c r="Z1338" s="9" t="s">
        <v>12479</v>
      </c>
      <c r="AC1338" s="9">
        <v>9.2899111600015E13</v>
      </c>
      <c r="AD1338" s="9">
        <v>9.28991116E8</v>
      </c>
      <c r="AE1338" s="9" t="s">
        <v>401</v>
      </c>
      <c r="AF1338" s="55">
        <v>45786.565300925926</v>
      </c>
      <c r="AG1338" s="9" t="s">
        <v>23073</v>
      </c>
      <c r="AH1338" s="9" t="s">
        <v>23074</v>
      </c>
      <c r="AJ1338" s="9" t="s">
        <v>23075</v>
      </c>
      <c r="AK1338" s="9" t="b">
        <v>0</v>
      </c>
      <c r="AL1338" s="9" t="b">
        <v>0</v>
      </c>
      <c r="AM1338" s="9"/>
      <c r="AN1338" s="9" t="s">
        <v>11560</v>
      </c>
      <c r="AP1338" s="56">
        <v>45762.0</v>
      </c>
      <c r="AQ1338" s="9" t="b">
        <v>1</v>
      </c>
      <c r="AR1338" s="9"/>
    </row>
    <row r="1339" ht="15.75" customHeight="1">
      <c r="A1339" s="9" t="s">
        <v>11562</v>
      </c>
      <c r="B1339" s="9" t="s">
        <v>23076</v>
      </c>
      <c r="C1339" s="9" t="s">
        <v>117</v>
      </c>
      <c r="D1339" s="9" t="s">
        <v>1405</v>
      </c>
      <c r="E1339" s="9" t="s">
        <v>22377</v>
      </c>
      <c r="F1339" s="9"/>
      <c r="G1339" s="9" t="s">
        <v>422</v>
      </c>
      <c r="H1339" s="9"/>
      <c r="I1339" s="9"/>
      <c r="J1339" s="52" t="s">
        <v>12820</v>
      </c>
      <c r="K1339" s="9" t="s">
        <v>21975</v>
      </c>
      <c r="L1339" s="9">
        <v>97414.0</v>
      </c>
      <c r="M1339" s="9" t="s">
        <v>40</v>
      </c>
      <c r="N1339" s="9" t="s">
        <v>12447</v>
      </c>
      <c r="O1339" s="9" t="s">
        <v>23077</v>
      </c>
      <c r="P1339" s="53" t="s">
        <v>23078</v>
      </c>
      <c r="Q1339" s="49" t="s">
        <v>23079</v>
      </c>
      <c r="R1339" s="50"/>
      <c r="S1339" s="58" t="s">
        <v>23080</v>
      </c>
      <c r="T1339" s="9" t="s">
        <v>23081</v>
      </c>
      <c r="U1339" s="9" t="s">
        <v>23082</v>
      </c>
      <c r="V1339" s="9" t="s">
        <v>23083</v>
      </c>
      <c r="W1339" s="9" t="s">
        <v>23084</v>
      </c>
      <c r="X1339" s="9" t="s">
        <v>23085</v>
      </c>
      <c r="Y1339" s="9" t="s">
        <v>22496</v>
      </c>
      <c r="Z1339" s="9" t="s">
        <v>378</v>
      </c>
      <c r="AC1339" s="9">
        <v>8.8491923400028E13</v>
      </c>
      <c r="AD1339" s="9">
        <v>8.84919234E8</v>
      </c>
      <c r="AE1339" s="9" t="s">
        <v>401</v>
      </c>
      <c r="AF1339" s="55">
        <v>45764.43644675926</v>
      </c>
      <c r="AG1339" s="9" t="s">
        <v>23086</v>
      </c>
      <c r="AH1339" s="9" t="s">
        <v>23087</v>
      </c>
      <c r="AJ1339" s="9" t="s">
        <v>23088</v>
      </c>
      <c r="AK1339" s="9" t="b">
        <v>0</v>
      </c>
      <c r="AL1339" s="9" t="b">
        <v>0</v>
      </c>
      <c r="AM1339" s="9"/>
      <c r="AN1339" s="9" t="s">
        <v>11562</v>
      </c>
      <c r="AP1339" s="56">
        <v>45764.0</v>
      </c>
      <c r="AQ1339" s="9" t="b">
        <v>1</v>
      </c>
      <c r="AR1339" s="9"/>
    </row>
    <row r="1340" ht="15.75" customHeight="1">
      <c r="A1340" s="9" t="s">
        <v>11565</v>
      </c>
      <c r="B1340" s="9" t="s">
        <v>23089</v>
      </c>
      <c r="C1340" s="9" t="s">
        <v>822</v>
      </c>
      <c r="D1340" s="9" t="s">
        <v>1405</v>
      </c>
      <c r="E1340" s="9" t="s">
        <v>1406</v>
      </c>
      <c r="F1340" s="9"/>
      <c r="G1340" s="9" t="s">
        <v>422</v>
      </c>
      <c r="H1340" s="9"/>
      <c r="I1340" s="9"/>
      <c r="J1340" s="52" t="s">
        <v>23090</v>
      </c>
      <c r="K1340" s="9" t="s">
        <v>14666</v>
      </c>
      <c r="L1340" s="9">
        <v>97414.0</v>
      </c>
      <c r="M1340" s="9" t="s">
        <v>40</v>
      </c>
      <c r="N1340" s="9" t="s">
        <v>1860</v>
      </c>
      <c r="O1340" s="9" t="s">
        <v>23091</v>
      </c>
      <c r="P1340" s="53" t="s">
        <v>23092</v>
      </c>
      <c r="Q1340" s="49" t="s">
        <v>23093</v>
      </c>
      <c r="R1340" s="50"/>
      <c r="S1340" s="59"/>
      <c r="T1340" s="9" t="s">
        <v>23094</v>
      </c>
      <c r="U1340" s="9" t="s">
        <v>23095</v>
      </c>
      <c r="V1340" s="9" t="s">
        <v>23096</v>
      </c>
      <c r="W1340" s="9" t="s">
        <v>23097</v>
      </c>
      <c r="X1340" s="9" t="s">
        <v>14825</v>
      </c>
      <c r="Y1340" s="9" t="s">
        <v>2390</v>
      </c>
      <c r="Z1340" s="9" t="s">
        <v>353</v>
      </c>
      <c r="AC1340" s="9">
        <v>9.5144473600015E13</v>
      </c>
      <c r="AD1340" s="9">
        <v>9.51444736E8</v>
      </c>
      <c r="AE1340" s="9" t="s">
        <v>401</v>
      </c>
      <c r="AF1340" s="55">
        <v>45764.479375</v>
      </c>
      <c r="AG1340" s="9" t="s">
        <v>23098</v>
      </c>
      <c r="AH1340" s="9" t="s">
        <v>23099</v>
      </c>
      <c r="AJ1340" s="9"/>
      <c r="AK1340" s="9" t="b">
        <v>0</v>
      </c>
      <c r="AL1340" s="9" t="b">
        <v>0</v>
      </c>
      <c r="AM1340" s="9"/>
      <c r="AN1340" s="9" t="s">
        <v>11565</v>
      </c>
      <c r="AP1340" s="56">
        <v>45764.0</v>
      </c>
      <c r="AQ1340" s="9" t="b">
        <v>0</v>
      </c>
      <c r="AR1340" s="9"/>
    </row>
    <row r="1341" ht="15.75" customHeight="1">
      <c r="A1341" s="9" t="s">
        <v>11567</v>
      </c>
      <c r="B1341" s="9" t="s">
        <v>23100</v>
      </c>
      <c r="C1341" s="9" t="s">
        <v>58</v>
      </c>
      <c r="D1341" s="9" t="s">
        <v>59</v>
      </c>
      <c r="E1341" s="9" t="s">
        <v>12384</v>
      </c>
      <c r="F1341" s="9">
        <v>4.0</v>
      </c>
      <c r="G1341" s="9" t="s">
        <v>422</v>
      </c>
      <c r="H1341" s="9" t="s">
        <v>23101</v>
      </c>
      <c r="I1341" s="9" t="s">
        <v>578</v>
      </c>
      <c r="J1341" s="52" t="s">
        <v>14086</v>
      </c>
      <c r="K1341" s="9" t="s">
        <v>19937</v>
      </c>
      <c r="L1341" s="9">
        <v>97418.0</v>
      </c>
      <c r="M1341" s="9" t="s">
        <v>71</v>
      </c>
      <c r="N1341" s="9" t="s">
        <v>216</v>
      </c>
      <c r="O1341" s="9" t="s">
        <v>23102</v>
      </c>
      <c r="P1341" s="53" t="s">
        <v>23103</v>
      </c>
      <c r="Q1341" s="49" t="s">
        <v>23104</v>
      </c>
      <c r="R1341" s="50"/>
      <c r="S1341" s="59"/>
      <c r="T1341" s="9" t="s">
        <v>23105</v>
      </c>
      <c r="U1341" s="9" t="s">
        <v>23106</v>
      </c>
      <c r="V1341" s="9" t="s">
        <v>23107</v>
      </c>
      <c r="W1341" s="9" t="s">
        <v>23108</v>
      </c>
      <c r="X1341" s="9" t="s">
        <v>12597</v>
      </c>
      <c r="Y1341" s="9" t="s">
        <v>23109</v>
      </c>
      <c r="Z1341" s="9" t="s">
        <v>353</v>
      </c>
      <c r="AC1341" s="9">
        <v>9.3751140000023E13</v>
      </c>
      <c r="AD1341" s="9">
        <v>9.375114E8</v>
      </c>
      <c r="AE1341" s="9" t="s">
        <v>401</v>
      </c>
      <c r="AF1341" s="55">
        <v>45791.558657407404</v>
      </c>
      <c r="AG1341" s="9" t="s">
        <v>23110</v>
      </c>
      <c r="AH1341" s="9" t="s">
        <v>23111</v>
      </c>
      <c r="AJ1341" s="9" t="s">
        <v>23112</v>
      </c>
      <c r="AK1341" s="9" t="b">
        <v>0</v>
      </c>
      <c r="AL1341" s="9" t="b">
        <v>0</v>
      </c>
      <c r="AM1341" s="9" t="s">
        <v>23113</v>
      </c>
      <c r="AN1341" s="9" t="s">
        <v>11567</v>
      </c>
      <c r="AP1341" s="56">
        <v>45772.0</v>
      </c>
      <c r="AQ1341" s="9" t="b">
        <v>0</v>
      </c>
      <c r="AR1341" s="9"/>
    </row>
    <row r="1342" ht="15.75" customHeight="1">
      <c r="A1342" s="9" t="s">
        <v>11569</v>
      </c>
      <c r="B1342" s="9" t="s">
        <v>23114</v>
      </c>
      <c r="C1342" s="9" t="s">
        <v>58</v>
      </c>
      <c r="D1342" s="9" t="s">
        <v>59</v>
      </c>
      <c r="E1342" s="9" t="s">
        <v>12384</v>
      </c>
      <c r="F1342" s="9">
        <v>4.0</v>
      </c>
      <c r="G1342" s="9"/>
      <c r="H1342" s="9"/>
      <c r="I1342" s="9"/>
      <c r="J1342" s="52" t="s">
        <v>14465</v>
      </c>
      <c r="K1342" s="9" t="s">
        <v>23115</v>
      </c>
      <c r="L1342" s="9">
        <v>97418.0</v>
      </c>
      <c r="M1342" s="9" t="s">
        <v>71</v>
      </c>
      <c r="N1342" s="9"/>
      <c r="O1342" s="9" t="s">
        <v>23116</v>
      </c>
      <c r="P1342" s="53" t="s">
        <v>23117</v>
      </c>
      <c r="Q1342" s="49" t="s">
        <v>23118</v>
      </c>
      <c r="R1342" s="50"/>
      <c r="S1342" s="59"/>
      <c r="T1342" s="9"/>
      <c r="U1342" s="9"/>
      <c r="V1342" s="9"/>
      <c r="W1342" s="9"/>
      <c r="X1342" s="9"/>
      <c r="Y1342" s="9"/>
      <c r="Z1342" s="9" t="s">
        <v>592</v>
      </c>
      <c r="AC1342" s="9">
        <v>9.3398668900018E13</v>
      </c>
      <c r="AD1342" s="9">
        <v>9.33986689E8</v>
      </c>
      <c r="AE1342" s="9" t="s">
        <v>401</v>
      </c>
      <c r="AF1342" s="55">
        <v>45973.50803240741</v>
      </c>
      <c r="AG1342" s="9" t="s">
        <v>23119</v>
      </c>
      <c r="AH1342" s="9" t="s">
        <v>23120</v>
      </c>
      <c r="AJ1342" s="9"/>
      <c r="AK1342" s="9" t="b">
        <v>0</v>
      </c>
      <c r="AL1342" s="9" t="b">
        <v>0</v>
      </c>
      <c r="AM1342" s="9" t="s">
        <v>23121</v>
      </c>
      <c r="AN1342" s="9" t="s">
        <v>11569</v>
      </c>
      <c r="AP1342" s="56">
        <v>45772.0</v>
      </c>
      <c r="AQ1342" s="9" t="b">
        <v>0</v>
      </c>
      <c r="AR1342" s="9" t="s">
        <v>23122</v>
      </c>
    </row>
    <row r="1343" ht="15.75" customHeight="1">
      <c r="A1343" s="9" t="s">
        <v>11571</v>
      </c>
      <c r="B1343" s="9" t="s">
        <v>23123</v>
      </c>
      <c r="C1343" s="9" t="s">
        <v>34</v>
      </c>
      <c r="D1343" s="9" t="s">
        <v>622</v>
      </c>
      <c r="E1343" s="9" t="s">
        <v>622</v>
      </c>
      <c r="F1343" s="9"/>
      <c r="G1343" s="9" t="s">
        <v>375</v>
      </c>
      <c r="H1343" s="9"/>
      <c r="I1343" s="9"/>
      <c r="J1343" s="9" t="s">
        <v>12708</v>
      </c>
      <c r="K1343" s="9" t="s">
        <v>23124</v>
      </c>
      <c r="L1343" s="9">
        <v>97442.0</v>
      </c>
      <c r="M1343" s="9" t="s">
        <v>33</v>
      </c>
      <c r="N1343" s="9" t="s">
        <v>15034</v>
      </c>
      <c r="O1343" s="9" t="s">
        <v>23125</v>
      </c>
      <c r="P1343" s="53" t="s">
        <v>23126</v>
      </c>
      <c r="Q1343" s="49" t="s">
        <v>23127</v>
      </c>
      <c r="R1343" s="50"/>
      <c r="S1343" s="59"/>
      <c r="T1343" s="9" t="s">
        <v>23128</v>
      </c>
      <c r="U1343" s="9" t="s">
        <v>23129</v>
      </c>
      <c r="V1343" s="9" t="s">
        <v>23130</v>
      </c>
      <c r="W1343" s="9" t="s">
        <v>23131</v>
      </c>
      <c r="X1343" s="9" t="s">
        <v>23132</v>
      </c>
      <c r="Y1343" s="9" t="s">
        <v>23133</v>
      </c>
      <c r="Z1343" s="9" t="s">
        <v>353</v>
      </c>
      <c r="AC1343" s="9">
        <v>9.1985879500017E13</v>
      </c>
      <c r="AD1343" s="9">
        <v>9.19858795E8</v>
      </c>
      <c r="AE1343" s="9" t="s">
        <v>401</v>
      </c>
      <c r="AF1343" s="55">
        <v>45777.363912037035</v>
      </c>
      <c r="AG1343" s="9" t="s">
        <v>23134</v>
      </c>
      <c r="AH1343" s="9" t="s">
        <v>23135</v>
      </c>
      <c r="AJ1343" s="9"/>
      <c r="AK1343" s="9" t="b">
        <v>1</v>
      </c>
      <c r="AL1343" s="9" t="b">
        <v>0</v>
      </c>
      <c r="AM1343" s="9"/>
      <c r="AN1343" s="9" t="s">
        <v>11571</v>
      </c>
      <c r="AP1343" s="56">
        <v>45777.0</v>
      </c>
      <c r="AQ1343" s="9" t="b">
        <v>0</v>
      </c>
      <c r="AR1343" s="9"/>
    </row>
    <row r="1344" ht="15.75" customHeight="1">
      <c r="A1344" s="9" t="s">
        <v>259</v>
      </c>
      <c r="B1344" s="9" t="s">
        <v>23136</v>
      </c>
      <c r="C1344" s="9" t="s">
        <v>58</v>
      </c>
      <c r="D1344" s="9" t="s">
        <v>59</v>
      </c>
      <c r="E1344" s="9" t="s">
        <v>12384</v>
      </c>
      <c r="F1344" s="9">
        <v>4.0</v>
      </c>
      <c r="G1344" s="9" t="s">
        <v>422</v>
      </c>
      <c r="H1344" s="9"/>
      <c r="I1344" s="9"/>
      <c r="J1344" s="52" t="s">
        <v>12345</v>
      </c>
      <c r="K1344" s="9" t="s">
        <v>22392</v>
      </c>
      <c r="L1344" s="9">
        <v>97414.0</v>
      </c>
      <c r="M1344" s="9" t="s">
        <v>40</v>
      </c>
      <c r="N1344" s="9" t="s">
        <v>12822</v>
      </c>
      <c r="O1344" s="9" t="s">
        <v>23137</v>
      </c>
      <c r="P1344" s="53" t="s">
        <v>23138</v>
      </c>
      <c r="Q1344" s="49" t="s">
        <v>23139</v>
      </c>
      <c r="R1344" s="50"/>
      <c r="S1344" s="59"/>
      <c r="T1344" s="9" t="s">
        <v>23140</v>
      </c>
      <c r="U1344" s="9" t="s">
        <v>23136</v>
      </c>
      <c r="V1344" s="9" t="s">
        <v>23141</v>
      </c>
      <c r="W1344" s="9" t="s">
        <v>23142</v>
      </c>
      <c r="X1344" s="9" t="s">
        <v>23143</v>
      </c>
      <c r="Y1344" s="9" t="s">
        <v>14150</v>
      </c>
      <c r="Z1344" s="9" t="s">
        <v>353</v>
      </c>
      <c r="AC1344" s="9">
        <v>9.4350717800011E13</v>
      </c>
      <c r="AD1344" s="9">
        <v>9.43507178E8</v>
      </c>
      <c r="AE1344" s="9" t="s">
        <v>401</v>
      </c>
      <c r="AF1344" s="55">
        <v>45791.59210648148</v>
      </c>
      <c r="AG1344" s="9" t="s">
        <v>23144</v>
      </c>
      <c r="AH1344" s="9" t="s">
        <v>23145</v>
      </c>
      <c r="AJ1344" s="9" t="s">
        <v>23146</v>
      </c>
      <c r="AK1344" s="9" t="b">
        <v>0</v>
      </c>
      <c r="AL1344" s="9" t="b">
        <v>0</v>
      </c>
      <c r="AM1344" s="9" t="s">
        <v>23147</v>
      </c>
      <c r="AN1344" s="9" t="s">
        <v>259</v>
      </c>
      <c r="AP1344" s="56">
        <v>45779.0</v>
      </c>
      <c r="AQ1344" s="9" t="b">
        <v>0</v>
      </c>
      <c r="AR1344" s="9"/>
    </row>
    <row r="1345" ht="15.75" customHeight="1">
      <c r="A1345" s="9" t="s">
        <v>11574</v>
      </c>
      <c r="B1345" s="9" t="s">
        <v>21416</v>
      </c>
      <c r="C1345" s="9" t="s">
        <v>58</v>
      </c>
      <c r="D1345" s="9" t="s">
        <v>59</v>
      </c>
      <c r="E1345" s="9" t="s">
        <v>346</v>
      </c>
      <c r="F1345" s="9">
        <v>6.0</v>
      </c>
      <c r="G1345" s="9" t="s">
        <v>375</v>
      </c>
      <c r="H1345" s="9" t="s">
        <v>2716</v>
      </c>
      <c r="I1345" s="9"/>
      <c r="J1345" s="52" t="s">
        <v>16044</v>
      </c>
      <c r="K1345" s="9" t="s">
        <v>17501</v>
      </c>
      <c r="L1345" s="9">
        <v>97480.0</v>
      </c>
      <c r="M1345" s="9" t="s">
        <v>123</v>
      </c>
      <c r="N1345" s="9" t="s">
        <v>206</v>
      </c>
      <c r="O1345" s="9" t="s">
        <v>23148</v>
      </c>
      <c r="P1345" s="53" t="s">
        <v>23149</v>
      </c>
      <c r="Q1345" s="49" t="s">
        <v>23150</v>
      </c>
      <c r="R1345" s="50"/>
      <c r="S1345" s="59"/>
      <c r="T1345" s="9" t="s">
        <v>23151</v>
      </c>
      <c r="U1345" s="9" t="s">
        <v>21416</v>
      </c>
      <c r="V1345" s="9" t="s">
        <v>23152</v>
      </c>
      <c r="W1345" s="9" t="s">
        <v>23153</v>
      </c>
      <c r="X1345" s="9" t="s">
        <v>23154</v>
      </c>
      <c r="Y1345" s="9" t="s">
        <v>12669</v>
      </c>
      <c r="Z1345" s="9" t="s">
        <v>353</v>
      </c>
      <c r="AC1345" s="9">
        <v>8.4938128000015E13</v>
      </c>
      <c r="AD1345" s="9">
        <v>8.4938128E8</v>
      </c>
      <c r="AE1345" s="9" t="s">
        <v>401</v>
      </c>
      <c r="AF1345" s="55">
        <v>45936.402604166666</v>
      </c>
      <c r="AG1345" s="9" t="s">
        <v>23155</v>
      </c>
      <c r="AH1345" s="9" t="s">
        <v>23156</v>
      </c>
      <c r="AJ1345" s="9" t="s">
        <v>23157</v>
      </c>
      <c r="AK1345" s="9" t="b">
        <v>0</v>
      </c>
      <c r="AL1345" s="9" t="b">
        <v>0</v>
      </c>
      <c r="AM1345" s="9" t="s">
        <v>23158</v>
      </c>
      <c r="AN1345" s="9" t="s">
        <v>11574</v>
      </c>
      <c r="AP1345" s="56">
        <v>45782.0</v>
      </c>
      <c r="AQ1345" s="9" t="b">
        <v>0</v>
      </c>
      <c r="AR1345" s="9"/>
    </row>
    <row r="1346" ht="15.75" customHeight="1">
      <c r="A1346" s="9" t="s">
        <v>11576</v>
      </c>
      <c r="B1346" s="9" t="s">
        <v>23159</v>
      </c>
      <c r="C1346" s="9" t="s">
        <v>822</v>
      </c>
      <c r="D1346" s="9" t="s">
        <v>1805</v>
      </c>
      <c r="E1346" s="9" t="s">
        <v>13330</v>
      </c>
      <c r="F1346" s="9"/>
      <c r="G1346" s="9" t="s">
        <v>422</v>
      </c>
      <c r="H1346" s="9"/>
      <c r="I1346" s="9"/>
      <c r="J1346" s="52" t="s">
        <v>21803</v>
      </c>
      <c r="K1346" s="9" t="s">
        <v>23160</v>
      </c>
      <c r="L1346" s="9">
        <v>97414.0</v>
      </c>
      <c r="M1346" s="9" t="s">
        <v>40</v>
      </c>
      <c r="N1346" s="9" t="s">
        <v>12822</v>
      </c>
      <c r="O1346" s="9" t="s">
        <v>23161</v>
      </c>
      <c r="P1346" s="53" t="s">
        <v>23162</v>
      </c>
      <c r="Q1346" s="49" t="s">
        <v>23163</v>
      </c>
      <c r="R1346" s="50"/>
      <c r="S1346" s="59"/>
      <c r="T1346" s="9" t="s">
        <v>23164</v>
      </c>
      <c r="U1346" s="9" t="s">
        <v>23159</v>
      </c>
      <c r="V1346" s="9"/>
      <c r="W1346" s="9" t="s">
        <v>23165</v>
      </c>
      <c r="X1346" s="9" t="s">
        <v>23166</v>
      </c>
      <c r="Y1346" s="9" t="s">
        <v>2390</v>
      </c>
      <c r="Z1346" s="9" t="s">
        <v>353</v>
      </c>
      <c r="AC1346" s="9">
        <v>9.2292010300012E13</v>
      </c>
      <c r="AD1346" s="9">
        <v>9.22920103E8</v>
      </c>
      <c r="AE1346" s="9" t="s">
        <v>401</v>
      </c>
      <c r="AF1346" s="55">
        <v>45782.56858796296</v>
      </c>
      <c r="AG1346" s="9" t="s">
        <v>23167</v>
      </c>
      <c r="AH1346" s="9" t="s">
        <v>23168</v>
      </c>
      <c r="AJ1346" s="9"/>
      <c r="AK1346" s="9"/>
      <c r="AL1346" s="9" t="b">
        <v>0</v>
      </c>
      <c r="AM1346" s="9"/>
      <c r="AN1346" s="9" t="s">
        <v>11576</v>
      </c>
      <c r="AP1346" s="56">
        <v>45782.0</v>
      </c>
      <c r="AQ1346" s="9" t="b">
        <v>0</v>
      </c>
      <c r="AR1346" s="9"/>
    </row>
    <row r="1347" ht="15.75" customHeight="1">
      <c r="A1347" s="9" t="s">
        <v>11578</v>
      </c>
      <c r="B1347" s="9" t="s">
        <v>23169</v>
      </c>
      <c r="C1347" s="9" t="s">
        <v>58</v>
      </c>
      <c r="D1347" s="9" t="s">
        <v>59</v>
      </c>
      <c r="E1347" s="9" t="s">
        <v>12384</v>
      </c>
      <c r="F1347" s="9">
        <v>2.0</v>
      </c>
      <c r="G1347" s="9" t="s">
        <v>422</v>
      </c>
      <c r="H1347" s="9" t="s">
        <v>2716</v>
      </c>
      <c r="I1347" s="9"/>
      <c r="J1347" s="52" t="s">
        <v>14338</v>
      </c>
      <c r="K1347" s="9" t="s">
        <v>23170</v>
      </c>
      <c r="L1347" s="9">
        <v>97430.0</v>
      </c>
      <c r="M1347" s="9" t="s">
        <v>71</v>
      </c>
      <c r="N1347" s="9" t="s">
        <v>206</v>
      </c>
      <c r="O1347" s="9" t="s">
        <v>23171</v>
      </c>
      <c r="P1347" s="53" t="s">
        <v>23172</v>
      </c>
      <c r="Q1347" s="49" t="s">
        <v>23173</v>
      </c>
      <c r="R1347" s="50"/>
      <c r="S1347" s="59"/>
      <c r="T1347" s="9" t="s">
        <v>23174</v>
      </c>
      <c r="U1347" s="9" t="s">
        <v>23175</v>
      </c>
      <c r="V1347" s="9" t="s">
        <v>13982</v>
      </c>
      <c r="W1347" s="9" t="s">
        <v>23176</v>
      </c>
      <c r="X1347" s="9" t="s">
        <v>23177</v>
      </c>
      <c r="Y1347" s="9" t="s">
        <v>23178</v>
      </c>
      <c r="Z1347" s="9" t="s">
        <v>378</v>
      </c>
      <c r="AC1347" s="9">
        <v>9.422387000001E13</v>
      </c>
      <c r="AD1347" s="9">
        <v>9.422387E8</v>
      </c>
      <c r="AE1347" s="9" t="s">
        <v>401</v>
      </c>
      <c r="AF1347" s="55">
        <v>45803.41993055555</v>
      </c>
      <c r="AG1347" s="9" t="s">
        <v>23179</v>
      </c>
      <c r="AH1347" s="9" t="s">
        <v>23180</v>
      </c>
      <c r="AJ1347" s="9"/>
      <c r="AK1347" s="9" t="b">
        <v>0</v>
      </c>
      <c r="AL1347" s="9" t="b">
        <v>0</v>
      </c>
      <c r="AM1347" s="9" t="s">
        <v>23181</v>
      </c>
      <c r="AN1347" s="9" t="s">
        <v>11578</v>
      </c>
      <c r="AP1347" s="56">
        <v>45783.0</v>
      </c>
      <c r="AQ1347" s="9" t="b">
        <v>0</v>
      </c>
      <c r="AR1347" s="9"/>
    </row>
    <row r="1348" ht="15.75" customHeight="1">
      <c r="A1348" s="9" t="s">
        <v>11583</v>
      </c>
      <c r="B1348" s="9" t="s">
        <v>23182</v>
      </c>
      <c r="C1348" s="9" t="s">
        <v>58</v>
      </c>
      <c r="D1348" s="9" t="s">
        <v>59</v>
      </c>
      <c r="E1348" s="9" t="s">
        <v>12384</v>
      </c>
      <c r="F1348" s="9">
        <v>6.0</v>
      </c>
      <c r="G1348" s="9" t="s">
        <v>455</v>
      </c>
      <c r="H1348" s="9" t="s">
        <v>2716</v>
      </c>
      <c r="I1348" s="9"/>
      <c r="J1348" s="9" t="s">
        <v>23183</v>
      </c>
      <c r="K1348" s="9" t="s">
        <v>23184</v>
      </c>
      <c r="L1348" s="9">
        <v>97430.0</v>
      </c>
      <c r="M1348" s="9" t="s">
        <v>71</v>
      </c>
      <c r="N1348" s="9" t="s">
        <v>12373</v>
      </c>
      <c r="O1348" s="9" t="s">
        <v>23185</v>
      </c>
      <c r="P1348" s="53" t="s">
        <v>23186</v>
      </c>
      <c r="Q1348" s="49" t="s">
        <v>23187</v>
      </c>
      <c r="R1348" s="50"/>
      <c r="S1348" s="59"/>
      <c r="T1348" s="9" t="s">
        <v>23188</v>
      </c>
      <c r="U1348" s="9" t="s">
        <v>23189</v>
      </c>
      <c r="V1348" s="9" t="s">
        <v>23190</v>
      </c>
      <c r="W1348" s="9" t="s">
        <v>23191</v>
      </c>
      <c r="X1348" s="9" t="s">
        <v>23192</v>
      </c>
      <c r="Y1348" s="9" t="s">
        <v>23193</v>
      </c>
      <c r="Z1348" s="9" t="s">
        <v>1508</v>
      </c>
      <c r="AC1348" s="9">
        <v>3.9942478700022E13</v>
      </c>
      <c r="AD1348" s="9">
        <v>3.99424787E8</v>
      </c>
      <c r="AE1348" s="9" t="s">
        <v>401</v>
      </c>
      <c r="AF1348" s="55">
        <v>45791.602326388886</v>
      </c>
      <c r="AG1348" s="9" t="s">
        <v>23194</v>
      </c>
      <c r="AH1348" s="9" t="s">
        <v>23195</v>
      </c>
      <c r="AJ1348" s="9" t="s">
        <v>23196</v>
      </c>
      <c r="AK1348" s="9" t="b">
        <v>0</v>
      </c>
      <c r="AL1348" s="9" t="b">
        <v>1</v>
      </c>
      <c r="AM1348" s="9" t="s">
        <v>23197</v>
      </c>
      <c r="AN1348" s="9" t="s">
        <v>11583</v>
      </c>
      <c r="AP1348" s="56">
        <v>45786.0</v>
      </c>
      <c r="AQ1348" s="9" t="b">
        <v>0</v>
      </c>
      <c r="AR1348" s="9"/>
    </row>
    <row r="1349" ht="15.75" customHeight="1">
      <c r="A1349" s="9" t="s">
        <v>11585</v>
      </c>
      <c r="B1349" s="9" t="s">
        <v>23198</v>
      </c>
      <c r="C1349" s="9" t="s">
        <v>117</v>
      </c>
      <c r="D1349" s="9" t="s">
        <v>1908</v>
      </c>
      <c r="E1349" s="9" t="s">
        <v>1909</v>
      </c>
      <c r="F1349" s="9"/>
      <c r="G1349" s="9" t="s">
        <v>455</v>
      </c>
      <c r="H1349" s="9"/>
      <c r="I1349" s="9"/>
      <c r="J1349" s="52" t="s">
        <v>13073</v>
      </c>
      <c r="K1349" s="9" t="s">
        <v>23199</v>
      </c>
      <c r="L1349" s="9">
        <v>97480.0</v>
      </c>
      <c r="M1349" s="9" t="s">
        <v>123</v>
      </c>
      <c r="N1349" s="9" t="s">
        <v>4456</v>
      </c>
      <c r="O1349" s="9" t="s">
        <v>23200</v>
      </c>
      <c r="P1349" s="53" t="s">
        <v>23201</v>
      </c>
      <c r="Q1349" s="49" t="s">
        <v>23202</v>
      </c>
      <c r="R1349" s="50"/>
      <c r="S1349" s="59"/>
      <c r="T1349" s="9" t="s">
        <v>23203</v>
      </c>
      <c r="U1349" s="9" t="s">
        <v>23204</v>
      </c>
      <c r="V1349" s="9" t="s">
        <v>23205</v>
      </c>
      <c r="W1349" s="9" t="s">
        <v>23206</v>
      </c>
      <c r="X1349" s="9" t="s">
        <v>23207</v>
      </c>
      <c r="Y1349" s="9" t="s">
        <v>12461</v>
      </c>
      <c r="Z1349" s="9" t="s">
        <v>378</v>
      </c>
      <c r="AC1349" s="9">
        <v>9.3966152600011E13</v>
      </c>
      <c r="AD1349" s="9">
        <v>9.39661526E8</v>
      </c>
      <c r="AE1349" s="9" t="s">
        <v>401</v>
      </c>
      <c r="AF1349" s="55">
        <v>45789.47143518519</v>
      </c>
      <c r="AG1349" s="9" t="s">
        <v>23208</v>
      </c>
      <c r="AH1349" s="52" t="s">
        <v>23209</v>
      </c>
      <c r="AJ1349" s="9" t="s">
        <v>23210</v>
      </c>
      <c r="AK1349" s="9" t="b">
        <v>0</v>
      </c>
      <c r="AL1349" s="9" t="b">
        <v>0</v>
      </c>
      <c r="AM1349" s="9"/>
      <c r="AN1349" s="9" t="s">
        <v>11585</v>
      </c>
      <c r="AP1349" s="56">
        <v>45786.0</v>
      </c>
      <c r="AQ1349" s="9" t="b">
        <v>0</v>
      </c>
      <c r="AR1349" s="9"/>
    </row>
    <row r="1350" ht="15.75" customHeight="1">
      <c r="A1350" s="9" t="s">
        <v>11587</v>
      </c>
      <c r="B1350" s="9" t="s">
        <v>23211</v>
      </c>
      <c r="C1350" s="9" t="s">
        <v>58</v>
      </c>
      <c r="D1350" s="9" t="s">
        <v>59</v>
      </c>
      <c r="E1350" s="9" t="s">
        <v>346</v>
      </c>
      <c r="F1350" s="9">
        <v>7.0</v>
      </c>
      <c r="G1350" s="9"/>
      <c r="H1350" s="9"/>
      <c r="I1350" s="9"/>
      <c r="J1350" s="52" t="s">
        <v>12331</v>
      </c>
      <c r="K1350" s="9" t="s">
        <v>20013</v>
      </c>
      <c r="L1350" s="9">
        <v>97480.0</v>
      </c>
      <c r="M1350" s="9" t="s">
        <v>123</v>
      </c>
      <c r="N1350" s="9" t="s">
        <v>206</v>
      </c>
      <c r="O1350" s="9" t="s">
        <v>23212</v>
      </c>
      <c r="P1350" s="53" t="s">
        <v>23213</v>
      </c>
      <c r="Q1350" s="49" t="s">
        <v>23214</v>
      </c>
      <c r="R1350" s="50"/>
      <c r="S1350" s="58" t="s">
        <v>23215</v>
      </c>
      <c r="T1350" s="9" t="s">
        <v>23216</v>
      </c>
      <c r="U1350" s="9" t="s">
        <v>23217</v>
      </c>
      <c r="V1350" s="9"/>
      <c r="W1350" s="9" t="s">
        <v>23218</v>
      </c>
      <c r="X1350" s="9" t="s">
        <v>23219</v>
      </c>
      <c r="Y1350" s="9" t="s">
        <v>14150</v>
      </c>
      <c r="Z1350" s="9" t="s">
        <v>378</v>
      </c>
      <c r="AC1350" s="9">
        <v>9.4423649600013E13</v>
      </c>
      <c r="AD1350" s="9">
        <v>9.44236496E8</v>
      </c>
      <c r="AE1350" s="9" t="s">
        <v>401</v>
      </c>
      <c r="AF1350" s="55">
        <v>46017.59894675926</v>
      </c>
      <c r="AG1350" s="9" t="s">
        <v>23220</v>
      </c>
      <c r="AH1350" s="9" t="s">
        <v>23221</v>
      </c>
      <c r="AJ1350" s="9" t="s">
        <v>23222</v>
      </c>
      <c r="AK1350" s="9" t="b">
        <v>0</v>
      </c>
      <c r="AL1350" s="9" t="b">
        <v>0</v>
      </c>
      <c r="AM1350" s="9" t="s">
        <v>23223</v>
      </c>
      <c r="AN1350" s="9" t="s">
        <v>11587</v>
      </c>
      <c r="AP1350" s="56">
        <v>45810.0</v>
      </c>
      <c r="AQ1350" s="9" t="b">
        <v>0</v>
      </c>
      <c r="AR1350" s="9" t="s">
        <v>23224</v>
      </c>
    </row>
    <row r="1351" ht="15.75" customHeight="1">
      <c r="A1351" s="9" t="s">
        <v>11589</v>
      </c>
      <c r="B1351" s="9" t="s">
        <v>23225</v>
      </c>
      <c r="C1351" s="9" t="s">
        <v>58</v>
      </c>
      <c r="D1351" s="9" t="s">
        <v>59</v>
      </c>
      <c r="E1351" s="9" t="s">
        <v>12384</v>
      </c>
      <c r="F1351" s="9">
        <v>3.0</v>
      </c>
      <c r="G1351" s="9" t="s">
        <v>455</v>
      </c>
      <c r="H1351" s="9"/>
      <c r="I1351" s="9"/>
      <c r="J1351" s="9" t="s">
        <v>23226</v>
      </c>
      <c r="K1351" s="9" t="s">
        <v>23227</v>
      </c>
      <c r="L1351" s="9">
        <v>97430.0</v>
      </c>
      <c r="M1351" s="9" t="s">
        <v>71</v>
      </c>
      <c r="N1351" s="9" t="s">
        <v>15538</v>
      </c>
      <c r="O1351" s="9" t="s">
        <v>23228</v>
      </c>
      <c r="P1351" s="53" t="s">
        <v>23229</v>
      </c>
      <c r="Q1351" s="49" t="s">
        <v>23230</v>
      </c>
      <c r="R1351" s="50"/>
      <c r="S1351" s="59"/>
      <c r="T1351" s="9" t="s">
        <v>23231</v>
      </c>
      <c r="U1351" s="9" t="s">
        <v>23232</v>
      </c>
      <c r="V1351" s="9" t="s">
        <v>23233</v>
      </c>
      <c r="W1351" s="9" t="s">
        <v>23234</v>
      </c>
      <c r="X1351" s="9" t="s">
        <v>22547</v>
      </c>
      <c r="Y1351" s="9" t="s">
        <v>23235</v>
      </c>
      <c r="Z1351" s="9" t="s">
        <v>592</v>
      </c>
      <c r="AC1351" s="9">
        <v>8.9239823100019E13</v>
      </c>
      <c r="AD1351" s="9">
        <v>8.92398231E8</v>
      </c>
      <c r="AE1351" s="9" t="s">
        <v>401</v>
      </c>
      <c r="AF1351" s="55">
        <v>45812.35383101852</v>
      </c>
      <c r="AG1351" s="9" t="s">
        <v>23236</v>
      </c>
      <c r="AH1351" s="9" t="s">
        <v>23237</v>
      </c>
      <c r="AJ1351" s="9" t="s">
        <v>23238</v>
      </c>
      <c r="AK1351" s="9" t="b">
        <v>0</v>
      </c>
      <c r="AL1351" s="9" t="b">
        <v>0</v>
      </c>
      <c r="AM1351" s="9"/>
      <c r="AN1351" s="9" t="s">
        <v>11589</v>
      </c>
      <c r="AP1351" s="56">
        <v>45810.0</v>
      </c>
      <c r="AQ1351" s="9" t="b">
        <v>0</v>
      </c>
      <c r="AR1351" s="9"/>
    </row>
    <row r="1352" ht="15.75" customHeight="1">
      <c r="A1352" s="9" t="s">
        <v>11580</v>
      </c>
      <c r="B1352" s="9" t="s">
        <v>23239</v>
      </c>
      <c r="C1352" s="9" t="s">
        <v>58</v>
      </c>
      <c r="D1352" s="9" t="s">
        <v>59</v>
      </c>
      <c r="E1352" s="9" t="s">
        <v>12384</v>
      </c>
      <c r="F1352" s="9">
        <v>8.0</v>
      </c>
      <c r="G1352" s="9" t="s">
        <v>455</v>
      </c>
      <c r="H1352" s="9" t="s">
        <v>17744</v>
      </c>
      <c r="I1352" s="9"/>
      <c r="J1352" s="52" t="s">
        <v>14181</v>
      </c>
      <c r="K1352" s="9" t="s">
        <v>23240</v>
      </c>
      <c r="L1352" s="9">
        <v>97430.0</v>
      </c>
      <c r="M1352" s="9" t="s">
        <v>71</v>
      </c>
      <c r="N1352" s="9" t="s">
        <v>13058</v>
      </c>
      <c r="O1352" s="9" t="s">
        <v>23241</v>
      </c>
      <c r="P1352" s="53" t="s">
        <v>23242</v>
      </c>
      <c r="Q1352" s="49" t="s">
        <v>23243</v>
      </c>
      <c r="R1352" s="50"/>
      <c r="S1352" s="59"/>
      <c r="T1352" s="9" t="s">
        <v>23244</v>
      </c>
      <c r="U1352" s="9"/>
      <c r="V1352" s="9"/>
      <c r="W1352" s="9" t="s">
        <v>23245</v>
      </c>
      <c r="X1352" s="9" t="s">
        <v>17921</v>
      </c>
      <c r="Y1352" s="9" t="s">
        <v>5317</v>
      </c>
      <c r="Z1352" s="9" t="s">
        <v>353</v>
      </c>
      <c r="AC1352" s="9">
        <v>5.1936154700051E13</v>
      </c>
      <c r="AD1352" s="9">
        <v>5.19361547E8</v>
      </c>
      <c r="AE1352" s="9" t="s">
        <v>401</v>
      </c>
      <c r="AF1352" s="55">
        <v>45824.44390046296</v>
      </c>
      <c r="AG1352" s="9" t="s">
        <v>23246</v>
      </c>
      <c r="AH1352" s="9" t="s">
        <v>23247</v>
      </c>
      <c r="AJ1352" s="9" t="s">
        <v>23248</v>
      </c>
      <c r="AK1352" s="9"/>
      <c r="AL1352" s="9"/>
      <c r="AM1352" s="9" t="s">
        <v>23249</v>
      </c>
      <c r="AN1352" s="9" t="s">
        <v>11580</v>
      </c>
      <c r="AP1352" s="56">
        <v>45812.0</v>
      </c>
      <c r="AQ1352" s="9" t="b">
        <v>0</v>
      </c>
      <c r="AR1352" s="9"/>
    </row>
    <row r="1353" ht="15.75" customHeight="1">
      <c r="A1353" s="9" t="s">
        <v>10230</v>
      </c>
      <c r="B1353" s="9" t="s">
        <v>23250</v>
      </c>
      <c r="C1353" s="9" t="s">
        <v>822</v>
      </c>
      <c r="D1353" s="9" t="s">
        <v>14010</v>
      </c>
      <c r="E1353" s="9" t="s">
        <v>14751</v>
      </c>
      <c r="F1353" s="9"/>
      <c r="G1353" s="9" t="s">
        <v>455</v>
      </c>
      <c r="H1353" s="9"/>
      <c r="I1353" s="9"/>
      <c r="J1353" s="52" t="s">
        <v>18205</v>
      </c>
      <c r="K1353" s="9" t="s">
        <v>23251</v>
      </c>
      <c r="L1353" s="9">
        <v>97418.0</v>
      </c>
      <c r="M1353" s="9" t="s">
        <v>71</v>
      </c>
      <c r="N1353" s="9" t="s">
        <v>17114</v>
      </c>
      <c r="O1353" s="9" t="s">
        <v>23252</v>
      </c>
      <c r="P1353" s="53" t="s">
        <v>23253</v>
      </c>
      <c r="Q1353" s="49" t="s">
        <v>23254</v>
      </c>
      <c r="R1353" s="50"/>
      <c r="S1353" s="59"/>
      <c r="T1353" s="9" t="s">
        <v>23255</v>
      </c>
      <c r="U1353" s="9" t="s">
        <v>23256</v>
      </c>
      <c r="V1353" s="9" t="s">
        <v>23257</v>
      </c>
      <c r="W1353" s="9" t="s">
        <v>23258</v>
      </c>
      <c r="X1353" s="9" t="s">
        <v>609</v>
      </c>
      <c r="Y1353" s="9" t="s">
        <v>1076</v>
      </c>
      <c r="Z1353" s="9" t="s">
        <v>353</v>
      </c>
      <c r="AC1353" s="9">
        <v>8.9975860100012E13</v>
      </c>
      <c r="AD1353" s="9">
        <v>8.99758601E8</v>
      </c>
      <c r="AE1353" s="9" t="s">
        <v>401</v>
      </c>
      <c r="AF1353" s="55">
        <v>45826.32400462963</v>
      </c>
      <c r="AG1353" s="9" t="s">
        <v>23259</v>
      </c>
      <c r="AH1353" s="9" t="s">
        <v>23260</v>
      </c>
      <c r="AJ1353" s="9" t="s">
        <v>23261</v>
      </c>
      <c r="AK1353" s="9" t="b">
        <v>0</v>
      </c>
      <c r="AL1353" s="9" t="b">
        <v>0</v>
      </c>
      <c r="AM1353" s="9"/>
      <c r="AN1353" s="9" t="s">
        <v>10230</v>
      </c>
      <c r="AP1353" s="56">
        <v>45818.0</v>
      </c>
      <c r="AQ1353" s="9" t="b">
        <v>0</v>
      </c>
      <c r="AR1353" s="9"/>
    </row>
    <row r="1354" ht="15.75" customHeight="1">
      <c r="A1354" s="9" t="s">
        <v>23262</v>
      </c>
      <c r="B1354" s="9" t="s">
        <v>23263</v>
      </c>
      <c r="C1354" s="9" t="s">
        <v>822</v>
      </c>
      <c r="D1354" s="9" t="s">
        <v>1405</v>
      </c>
      <c r="E1354" s="9" t="s">
        <v>22377</v>
      </c>
      <c r="F1354" s="9"/>
      <c r="G1354" s="9"/>
      <c r="H1354" s="9"/>
      <c r="I1354" s="9"/>
      <c r="J1354" s="52" t="s">
        <v>13859</v>
      </c>
      <c r="K1354" s="9" t="s">
        <v>23264</v>
      </c>
      <c r="L1354" s="9">
        <v>97430.0</v>
      </c>
      <c r="M1354" s="9" t="s">
        <v>71</v>
      </c>
      <c r="N1354" s="9" t="s">
        <v>8411</v>
      </c>
      <c r="O1354" s="9" t="s">
        <v>23265</v>
      </c>
      <c r="P1354" s="53" t="s">
        <v>23266</v>
      </c>
      <c r="Q1354" s="49" t="s">
        <v>23267</v>
      </c>
      <c r="R1354" s="50"/>
      <c r="S1354" s="58" t="s">
        <v>23268</v>
      </c>
      <c r="T1354" s="9" t="s">
        <v>23269</v>
      </c>
      <c r="U1354" s="9" t="s">
        <v>23270</v>
      </c>
      <c r="V1354" s="9"/>
      <c r="W1354" s="9"/>
      <c r="X1354" s="9"/>
      <c r="Y1354" s="9"/>
      <c r="Z1354" s="9" t="s">
        <v>353</v>
      </c>
      <c r="AC1354" s="9">
        <v>8.14271953E8</v>
      </c>
      <c r="AD1354" s="9">
        <v>8.14271953E8</v>
      </c>
      <c r="AE1354" s="9" t="s">
        <v>401</v>
      </c>
      <c r="AF1354" s="55">
        <v>45819.49118055555</v>
      </c>
      <c r="AG1354" s="9" t="s">
        <v>23271</v>
      </c>
      <c r="AH1354" s="9" t="s">
        <v>23272</v>
      </c>
      <c r="AJ1354" s="9"/>
      <c r="AK1354" s="9"/>
      <c r="AL1354" s="9"/>
      <c r="AM1354" s="9"/>
      <c r="AN1354" s="9" t="s">
        <v>23262</v>
      </c>
      <c r="AP1354" s="56">
        <v>45819.0</v>
      </c>
      <c r="AQ1354" s="9" t="b">
        <v>0</v>
      </c>
      <c r="AR1354" s="9"/>
    </row>
    <row r="1355" ht="15.75" customHeight="1">
      <c r="A1355" s="9" t="s">
        <v>23273</v>
      </c>
      <c r="B1355" s="9" t="s">
        <v>23274</v>
      </c>
      <c r="C1355" s="9" t="s">
        <v>58</v>
      </c>
      <c r="D1355" s="9" t="s">
        <v>59</v>
      </c>
      <c r="E1355" s="9" t="s">
        <v>12384</v>
      </c>
      <c r="F1355" s="9">
        <v>7.0</v>
      </c>
      <c r="G1355" s="9" t="s">
        <v>455</v>
      </c>
      <c r="H1355" s="9"/>
      <c r="I1355" s="9"/>
      <c r="J1355" s="9" t="s">
        <v>13739</v>
      </c>
      <c r="K1355" s="9" t="s">
        <v>23275</v>
      </c>
      <c r="L1355" s="9">
        <v>97430.0</v>
      </c>
      <c r="M1355" s="9" t="s">
        <v>71</v>
      </c>
      <c r="N1355" s="9" t="s">
        <v>13851</v>
      </c>
      <c r="O1355" s="9" t="s">
        <v>23276</v>
      </c>
      <c r="P1355" s="53" t="s">
        <v>23277</v>
      </c>
      <c r="Q1355" s="49" t="s">
        <v>23278</v>
      </c>
      <c r="R1355" s="50"/>
      <c r="S1355" s="59"/>
      <c r="T1355" s="9" t="s">
        <v>23279</v>
      </c>
      <c r="U1355" s="9" t="s">
        <v>23274</v>
      </c>
      <c r="V1355" s="9" t="s">
        <v>23280</v>
      </c>
      <c r="W1355" s="9" t="s">
        <v>23281</v>
      </c>
      <c r="X1355" s="9" t="s">
        <v>23282</v>
      </c>
      <c r="Y1355" s="9" t="s">
        <v>23283</v>
      </c>
      <c r="Z1355" s="9" t="s">
        <v>378</v>
      </c>
      <c r="AC1355" s="9">
        <v>9.4410820800017E13</v>
      </c>
      <c r="AD1355" s="9">
        <v>9.44108208E8</v>
      </c>
      <c r="AE1355" s="9" t="s">
        <v>401</v>
      </c>
      <c r="AF1355" s="55">
        <v>45875.495787037034</v>
      </c>
      <c r="AG1355" s="9" t="s">
        <v>23284</v>
      </c>
      <c r="AH1355" s="9" t="s">
        <v>23285</v>
      </c>
      <c r="AJ1355" s="9" t="s">
        <v>23286</v>
      </c>
      <c r="AK1355" s="9" t="b">
        <v>0</v>
      </c>
      <c r="AL1355" s="9" t="b">
        <v>0</v>
      </c>
      <c r="AM1355" s="9" t="s">
        <v>23287</v>
      </c>
      <c r="AN1355" s="9" t="s">
        <v>23273</v>
      </c>
      <c r="AP1355" s="56">
        <v>45826.0</v>
      </c>
      <c r="AQ1355" s="9" t="b">
        <v>0</v>
      </c>
      <c r="AR1355" s="9"/>
    </row>
    <row r="1356" ht="15.75" customHeight="1">
      <c r="A1356" s="9" t="s">
        <v>23288</v>
      </c>
      <c r="B1356" s="9" t="s">
        <v>23289</v>
      </c>
      <c r="C1356" s="9" t="s">
        <v>58</v>
      </c>
      <c r="D1356" s="9" t="s">
        <v>59</v>
      </c>
      <c r="E1356" s="9" t="s">
        <v>545</v>
      </c>
      <c r="F1356" s="9">
        <v>4.0</v>
      </c>
      <c r="G1356" s="9" t="s">
        <v>10047</v>
      </c>
      <c r="H1356" s="9"/>
      <c r="I1356" s="9"/>
      <c r="J1356" s="52" t="s">
        <v>17436</v>
      </c>
      <c r="K1356" s="9" t="s">
        <v>23290</v>
      </c>
      <c r="L1356" s="9">
        <v>97430.0</v>
      </c>
      <c r="M1356" s="9" t="s">
        <v>71</v>
      </c>
      <c r="N1356" s="9" t="s">
        <v>13851</v>
      </c>
      <c r="O1356" s="9" t="s">
        <v>23291</v>
      </c>
      <c r="P1356" s="53" t="s">
        <v>23292</v>
      </c>
      <c r="Q1356" s="49" t="s">
        <v>23293</v>
      </c>
      <c r="R1356" s="50"/>
      <c r="S1356" s="59"/>
      <c r="T1356" s="9" t="s">
        <v>23294</v>
      </c>
      <c r="U1356" s="9" t="s">
        <v>23295</v>
      </c>
      <c r="V1356" s="9"/>
      <c r="W1356" s="9" t="s">
        <v>23296</v>
      </c>
      <c r="X1356" s="9" t="s">
        <v>23297</v>
      </c>
      <c r="Y1356" s="9" t="s">
        <v>12669</v>
      </c>
      <c r="Z1356" s="9" t="s">
        <v>378</v>
      </c>
      <c r="AC1356" s="9">
        <v>8.4811955800015E13</v>
      </c>
      <c r="AD1356" s="9">
        <v>8.48119558E8</v>
      </c>
      <c r="AE1356" s="9" t="s">
        <v>401</v>
      </c>
      <c r="AF1356" s="55">
        <v>45936.441041666665</v>
      </c>
      <c r="AG1356" s="9" t="s">
        <v>23298</v>
      </c>
      <c r="AH1356" s="9" t="s">
        <v>23299</v>
      </c>
      <c r="AJ1356" s="9" t="s">
        <v>23300</v>
      </c>
      <c r="AK1356" s="9" t="b">
        <v>0</v>
      </c>
      <c r="AL1356" s="9" t="b">
        <v>0</v>
      </c>
      <c r="AM1356" s="9" t="s">
        <v>23301</v>
      </c>
      <c r="AN1356" s="9" t="s">
        <v>23288</v>
      </c>
      <c r="AP1356" s="56">
        <v>45846.0</v>
      </c>
      <c r="AQ1356" s="9" t="b">
        <v>0</v>
      </c>
      <c r="AR1356" s="9"/>
    </row>
    <row r="1357" ht="15.75" customHeight="1">
      <c r="A1357" s="9" t="s">
        <v>23302</v>
      </c>
      <c r="B1357" s="9" t="s">
        <v>23303</v>
      </c>
      <c r="C1357" s="9" t="s">
        <v>58</v>
      </c>
      <c r="D1357" s="9" t="s">
        <v>59</v>
      </c>
      <c r="E1357" s="9" t="s">
        <v>12384</v>
      </c>
      <c r="F1357" s="9">
        <v>6.0</v>
      </c>
      <c r="G1357" s="9" t="s">
        <v>422</v>
      </c>
      <c r="H1357" s="9" t="s">
        <v>2716</v>
      </c>
      <c r="I1357" s="9"/>
      <c r="J1357" s="52" t="s">
        <v>12925</v>
      </c>
      <c r="K1357" s="9" t="s">
        <v>23304</v>
      </c>
      <c r="L1357" s="9">
        <v>97414.0</v>
      </c>
      <c r="M1357" s="9" t="s">
        <v>40</v>
      </c>
      <c r="N1357" s="9" t="s">
        <v>1860</v>
      </c>
      <c r="O1357" s="9" t="s">
        <v>23305</v>
      </c>
      <c r="P1357" s="53" t="s">
        <v>23306</v>
      </c>
      <c r="Q1357" s="49" t="s">
        <v>23307</v>
      </c>
      <c r="R1357" s="50"/>
      <c r="S1357" s="59"/>
      <c r="T1357" s="9" t="s">
        <v>23308</v>
      </c>
      <c r="U1357" s="9" t="s">
        <v>23309</v>
      </c>
      <c r="V1357" s="9" t="s">
        <v>23310</v>
      </c>
      <c r="W1357" s="9" t="s">
        <v>23311</v>
      </c>
      <c r="X1357" s="9" t="s">
        <v>22015</v>
      </c>
      <c r="Y1357" s="9" t="s">
        <v>14150</v>
      </c>
      <c r="Z1357" s="9" t="s">
        <v>353</v>
      </c>
      <c r="AC1357" s="9"/>
      <c r="AD1357" s="9"/>
      <c r="AE1357" s="9" t="s">
        <v>401</v>
      </c>
      <c r="AF1357" s="55">
        <v>46042.37672453704</v>
      </c>
      <c r="AG1357" s="9" t="s">
        <v>23312</v>
      </c>
      <c r="AH1357" s="9" t="s">
        <v>23313</v>
      </c>
      <c r="AJ1357" s="9" t="s">
        <v>23314</v>
      </c>
      <c r="AK1357" s="9" t="b">
        <v>0</v>
      </c>
      <c r="AL1357" s="9" t="b">
        <v>0</v>
      </c>
      <c r="AM1357" s="9" t="s">
        <v>23315</v>
      </c>
      <c r="AN1357" s="9" t="s">
        <v>23302</v>
      </c>
      <c r="AP1357" s="56">
        <v>45848.0</v>
      </c>
      <c r="AQ1357" s="9" t="b">
        <v>0</v>
      </c>
      <c r="AR1357" s="9" t="s">
        <v>23316</v>
      </c>
    </row>
    <row r="1358" ht="15.75" customHeight="1">
      <c r="A1358" s="9" t="s">
        <v>23317</v>
      </c>
      <c r="B1358" s="9" t="s">
        <v>23318</v>
      </c>
      <c r="C1358" s="9" t="s">
        <v>34</v>
      </c>
      <c r="D1358" s="9" t="s">
        <v>678</v>
      </c>
      <c r="E1358" s="9" t="s">
        <v>14114</v>
      </c>
      <c r="F1358" s="9"/>
      <c r="G1358" s="9" t="s">
        <v>455</v>
      </c>
      <c r="H1358" s="9"/>
      <c r="I1358" s="9"/>
      <c r="J1358" s="52" t="s">
        <v>13331</v>
      </c>
      <c r="K1358" s="9" t="s">
        <v>23319</v>
      </c>
      <c r="L1358" s="9">
        <v>97430.0</v>
      </c>
      <c r="M1358" s="9" t="s">
        <v>71</v>
      </c>
      <c r="N1358" s="9" t="s">
        <v>9050</v>
      </c>
      <c r="O1358" s="9" t="s">
        <v>23320</v>
      </c>
      <c r="P1358" s="53" t="s">
        <v>23321</v>
      </c>
      <c r="Q1358" s="49" t="s">
        <v>23322</v>
      </c>
      <c r="R1358" s="50"/>
      <c r="S1358" s="58" t="s">
        <v>23323</v>
      </c>
      <c r="T1358" s="9" t="s">
        <v>23324</v>
      </c>
      <c r="U1358" s="9" t="s">
        <v>23325</v>
      </c>
      <c r="V1358" s="9" t="s">
        <v>23326</v>
      </c>
      <c r="W1358" s="9" t="s">
        <v>23327</v>
      </c>
      <c r="X1358" s="9"/>
      <c r="Y1358" s="9" t="s">
        <v>1076</v>
      </c>
      <c r="Z1358" s="9" t="s">
        <v>353</v>
      </c>
      <c r="AC1358" s="9"/>
      <c r="AD1358" s="9"/>
      <c r="AE1358" s="9" t="s">
        <v>401</v>
      </c>
      <c r="AF1358" s="55">
        <v>45896.64371527778</v>
      </c>
      <c r="AG1358" s="9" t="s">
        <v>23328</v>
      </c>
      <c r="AH1358" s="9" t="s">
        <v>23329</v>
      </c>
      <c r="AJ1358" s="9" t="s">
        <v>23330</v>
      </c>
      <c r="AK1358" s="9" t="b">
        <v>0</v>
      </c>
      <c r="AL1358" s="9" t="b">
        <v>0</v>
      </c>
      <c r="AM1358" s="9"/>
      <c r="AN1358" s="9" t="s">
        <v>23317</v>
      </c>
      <c r="AP1358" s="56">
        <v>45855.0</v>
      </c>
      <c r="AQ1358" s="9" t="b">
        <v>0</v>
      </c>
      <c r="AR1358" s="9"/>
    </row>
    <row r="1359" ht="15.75" customHeight="1">
      <c r="A1359" s="9" t="s">
        <v>258</v>
      </c>
      <c r="B1359" s="9" t="s">
        <v>23331</v>
      </c>
      <c r="C1359" s="9" t="s">
        <v>822</v>
      </c>
      <c r="D1359" s="9" t="s">
        <v>823</v>
      </c>
      <c r="E1359" s="9" t="s">
        <v>559</v>
      </c>
      <c r="F1359" s="9">
        <v>40.0</v>
      </c>
      <c r="G1359" s="9" t="s">
        <v>455</v>
      </c>
      <c r="H1359" s="9"/>
      <c r="I1359" s="9"/>
      <c r="J1359" s="52" t="s">
        <v>13073</v>
      </c>
      <c r="K1359" s="9" t="s">
        <v>23332</v>
      </c>
      <c r="L1359" s="9">
        <v>97418.0</v>
      </c>
      <c r="M1359" s="9" t="s">
        <v>71</v>
      </c>
      <c r="N1359" s="9" t="s">
        <v>216</v>
      </c>
      <c r="O1359" s="9" t="s">
        <v>23333</v>
      </c>
      <c r="P1359" s="53" t="s">
        <v>23334</v>
      </c>
      <c r="Q1359" s="49" t="s">
        <v>23335</v>
      </c>
      <c r="R1359" s="50"/>
      <c r="S1359" s="59"/>
      <c r="T1359" s="9" t="s">
        <v>23336</v>
      </c>
      <c r="U1359" s="9" t="s">
        <v>23337</v>
      </c>
      <c r="V1359" s="9" t="s">
        <v>23338</v>
      </c>
      <c r="W1359" s="9" t="s">
        <v>14108</v>
      </c>
      <c r="X1359" s="9" t="s">
        <v>2714</v>
      </c>
      <c r="Y1359" s="9" t="s">
        <v>10095</v>
      </c>
      <c r="Z1359" s="9" t="s">
        <v>353</v>
      </c>
      <c r="AC1359" s="9">
        <v>8.1196084800034E13</v>
      </c>
      <c r="AD1359" s="9">
        <v>8.11960848E8</v>
      </c>
      <c r="AE1359" s="9" t="s">
        <v>401</v>
      </c>
      <c r="AF1359" s="55">
        <v>45896.64418981481</v>
      </c>
      <c r="AG1359" s="9" t="s">
        <v>23339</v>
      </c>
      <c r="AH1359" s="9" t="s">
        <v>23340</v>
      </c>
      <c r="AJ1359" s="9" t="s">
        <v>23341</v>
      </c>
      <c r="AK1359" s="9" t="b">
        <v>0</v>
      </c>
      <c r="AL1359" s="9" t="b">
        <v>0</v>
      </c>
      <c r="AM1359" s="9"/>
      <c r="AN1359" s="9" t="s">
        <v>258</v>
      </c>
      <c r="AP1359" s="56">
        <v>45859.0</v>
      </c>
      <c r="AQ1359" s="9" t="b">
        <v>0</v>
      </c>
      <c r="AR1359" s="9"/>
    </row>
    <row r="1360" ht="15.75" customHeight="1">
      <c r="A1360" s="9" t="s">
        <v>23342</v>
      </c>
      <c r="B1360" s="9" t="s">
        <v>23343</v>
      </c>
      <c r="C1360" s="9" t="s">
        <v>1198</v>
      </c>
      <c r="D1360" s="9" t="s">
        <v>1644</v>
      </c>
      <c r="E1360" s="9" t="s">
        <v>1200</v>
      </c>
      <c r="F1360" s="9">
        <v>4.0</v>
      </c>
      <c r="G1360" s="9" t="s">
        <v>455</v>
      </c>
      <c r="H1360" s="9"/>
      <c r="I1360" s="9" t="s">
        <v>597</v>
      </c>
      <c r="J1360" s="52" t="s">
        <v>21803</v>
      </c>
      <c r="K1360" s="9" t="s">
        <v>23344</v>
      </c>
      <c r="L1360" s="9">
        <v>97442.0</v>
      </c>
      <c r="M1360" s="9" t="s">
        <v>33</v>
      </c>
      <c r="N1360" s="9" t="s">
        <v>23345</v>
      </c>
      <c r="O1360" s="9" t="s">
        <v>23346</v>
      </c>
      <c r="P1360" s="53" t="s">
        <v>23347</v>
      </c>
      <c r="Q1360" s="49" t="s">
        <v>23348</v>
      </c>
      <c r="R1360" s="50"/>
      <c r="S1360" s="58" t="s">
        <v>23349</v>
      </c>
      <c r="T1360" s="9" t="s">
        <v>23350</v>
      </c>
      <c r="U1360" s="9" t="s">
        <v>23351</v>
      </c>
      <c r="V1360" s="9" t="s">
        <v>23352</v>
      </c>
      <c r="W1360" s="9" t="s">
        <v>23353</v>
      </c>
      <c r="X1360" s="9" t="s">
        <v>23354</v>
      </c>
      <c r="Y1360" s="9" t="s">
        <v>23355</v>
      </c>
      <c r="Z1360" s="9" t="s">
        <v>353</v>
      </c>
      <c r="AC1360" s="9">
        <v>9.2103264500019E13</v>
      </c>
      <c r="AD1360" s="9">
        <v>9.21032645E8</v>
      </c>
      <c r="AE1360" s="9" t="s">
        <v>401</v>
      </c>
      <c r="AF1360" s="55">
        <v>45896.64467592593</v>
      </c>
      <c r="AG1360" s="9" t="s">
        <v>23356</v>
      </c>
      <c r="AH1360" s="9" t="s">
        <v>23357</v>
      </c>
      <c r="AJ1360" s="9" t="s">
        <v>23358</v>
      </c>
      <c r="AK1360" s="9" t="b">
        <v>0</v>
      </c>
      <c r="AL1360" s="9" t="b">
        <v>0</v>
      </c>
      <c r="AM1360" s="9"/>
      <c r="AN1360" s="9" t="s">
        <v>23342</v>
      </c>
      <c r="AP1360" s="56">
        <v>45866.0</v>
      </c>
      <c r="AQ1360" s="9" t="b">
        <v>0</v>
      </c>
      <c r="AR1360" s="9" t="s">
        <v>23359</v>
      </c>
    </row>
    <row r="1361" ht="15.75" customHeight="1">
      <c r="A1361" s="9" t="s">
        <v>23360</v>
      </c>
      <c r="B1361" s="9" t="s">
        <v>23361</v>
      </c>
      <c r="C1361" s="9" t="s">
        <v>117</v>
      </c>
      <c r="D1361" s="9" t="s">
        <v>15300</v>
      </c>
      <c r="E1361" s="9" t="s">
        <v>1806</v>
      </c>
      <c r="F1361" s="9">
        <v>5.0</v>
      </c>
      <c r="G1361" s="9" t="s">
        <v>664</v>
      </c>
      <c r="H1361" s="9"/>
      <c r="I1361" s="9"/>
      <c r="J1361" s="52" t="s">
        <v>23362</v>
      </c>
      <c r="K1361" s="9" t="s">
        <v>15946</v>
      </c>
      <c r="L1361" s="9">
        <v>97430.0</v>
      </c>
      <c r="M1361" s="9" t="s">
        <v>71</v>
      </c>
      <c r="N1361" s="9" t="s">
        <v>12447</v>
      </c>
      <c r="O1361" s="9" t="s">
        <v>23363</v>
      </c>
      <c r="P1361" s="53" t="s">
        <v>23364</v>
      </c>
      <c r="Q1361" s="49" t="s">
        <v>23365</v>
      </c>
      <c r="R1361" s="50"/>
      <c r="S1361" s="59"/>
      <c r="T1361" s="9" t="s">
        <v>23366</v>
      </c>
      <c r="U1361" s="9" t="s">
        <v>23367</v>
      </c>
      <c r="V1361" s="9" t="s">
        <v>12698</v>
      </c>
      <c r="W1361" s="9" t="s">
        <v>23368</v>
      </c>
      <c r="X1361" s="9" t="s">
        <v>1296</v>
      </c>
      <c r="Y1361" s="9" t="s">
        <v>9455</v>
      </c>
      <c r="Z1361" s="9" t="s">
        <v>6983</v>
      </c>
      <c r="AC1361" s="9">
        <v>4.1344847300053E13</v>
      </c>
      <c r="AD1361" s="9">
        <v>4.13448473E8</v>
      </c>
      <c r="AE1361" s="9" t="s">
        <v>401</v>
      </c>
      <c r="AF1361" s="55">
        <v>46042.614652777775</v>
      </c>
      <c r="AG1361" s="9" t="s">
        <v>23369</v>
      </c>
      <c r="AH1361" s="9" t="s">
        <v>23370</v>
      </c>
      <c r="AJ1361" s="9" t="s">
        <v>23371</v>
      </c>
      <c r="AK1361" s="9" t="b">
        <v>0</v>
      </c>
      <c r="AL1361" s="9" t="b">
        <v>0</v>
      </c>
      <c r="AM1361" s="9"/>
      <c r="AN1361" s="9" t="s">
        <v>23360</v>
      </c>
      <c r="AP1361" s="56">
        <v>45866.0</v>
      </c>
      <c r="AQ1361" s="9" t="b">
        <v>0</v>
      </c>
      <c r="AR1361" s="9" t="s">
        <v>23372</v>
      </c>
    </row>
    <row r="1362" ht="15.75" customHeight="1">
      <c r="A1362" s="9" t="s">
        <v>23373</v>
      </c>
      <c r="B1362" s="9" t="s">
        <v>23374</v>
      </c>
      <c r="C1362" s="9" t="s">
        <v>58</v>
      </c>
      <c r="D1362" s="9" t="s">
        <v>59</v>
      </c>
      <c r="E1362" s="9"/>
      <c r="F1362" s="9">
        <v>2.0</v>
      </c>
      <c r="G1362" s="9" t="s">
        <v>455</v>
      </c>
      <c r="H1362" s="9" t="s">
        <v>23375</v>
      </c>
      <c r="I1362" s="9"/>
      <c r="J1362" s="9" t="s">
        <v>23376</v>
      </c>
      <c r="K1362" s="9" t="s">
        <v>23377</v>
      </c>
      <c r="L1362" s="9">
        <v>97418.0</v>
      </c>
      <c r="M1362" s="9" t="s">
        <v>71</v>
      </c>
      <c r="N1362" s="9" t="s">
        <v>216</v>
      </c>
      <c r="O1362" s="9" t="s">
        <v>23378</v>
      </c>
      <c r="P1362" s="53" t="s">
        <v>13031</v>
      </c>
      <c r="Q1362" s="49" t="s">
        <v>23379</v>
      </c>
      <c r="R1362" s="50"/>
      <c r="S1362" s="59"/>
      <c r="T1362" s="9" t="s">
        <v>23380</v>
      </c>
      <c r="U1362" s="9" t="s">
        <v>23374</v>
      </c>
      <c r="V1362" s="9" t="s">
        <v>23381</v>
      </c>
      <c r="W1362" s="9" t="s">
        <v>23382</v>
      </c>
      <c r="X1362" s="9" t="s">
        <v>23383</v>
      </c>
      <c r="Y1362" s="9" t="s">
        <v>23384</v>
      </c>
      <c r="Z1362" s="9" t="s">
        <v>353</v>
      </c>
      <c r="AC1362" s="9">
        <v>8.5084821900034E13</v>
      </c>
      <c r="AD1362" s="9">
        <v>8.50848219E8</v>
      </c>
      <c r="AE1362" s="9" t="s">
        <v>401</v>
      </c>
      <c r="AF1362" s="55">
        <v>45933.383252314816</v>
      </c>
      <c r="AG1362" s="9" t="s">
        <v>13038</v>
      </c>
      <c r="AH1362" s="9" t="s">
        <v>23385</v>
      </c>
      <c r="AJ1362" s="9" t="s">
        <v>23386</v>
      </c>
      <c r="AK1362" s="9" t="b">
        <v>0</v>
      </c>
      <c r="AL1362" s="9" t="b">
        <v>0</v>
      </c>
      <c r="AM1362" s="9"/>
      <c r="AN1362" s="9" t="s">
        <v>23373</v>
      </c>
      <c r="AP1362" s="56">
        <v>45876.0</v>
      </c>
      <c r="AQ1362" s="9" t="b">
        <v>0</v>
      </c>
      <c r="AR1362" s="9"/>
    </row>
    <row r="1363" ht="15.75" customHeight="1">
      <c r="A1363" s="9" t="s">
        <v>23387</v>
      </c>
      <c r="B1363" s="9" t="s">
        <v>23388</v>
      </c>
      <c r="C1363" s="9" t="s">
        <v>58</v>
      </c>
      <c r="D1363" s="9" t="s">
        <v>59</v>
      </c>
      <c r="E1363" s="9"/>
      <c r="F1363" s="9">
        <v>2.0</v>
      </c>
      <c r="G1363" s="9" t="s">
        <v>455</v>
      </c>
      <c r="H1363" s="9" t="s">
        <v>23375</v>
      </c>
      <c r="I1363" s="9"/>
      <c r="J1363" s="9" t="s">
        <v>23389</v>
      </c>
      <c r="K1363" s="9" t="s">
        <v>23390</v>
      </c>
      <c r="L1363" s="9">
        <v>97418.0</v>
      </c>
      <c r="M1363" s="9" t="s">
        <v>71</v>
      </c>
      <c r="N1363" s="9" t="s">
        <v>216</v>
      </c>
      <c r="O1363" s="9" t="s">
        <v>23378</v>
      </c>
      <c r="P1363" s="53" t="s">
        <v>13031</v>
      </c>
      <c r="Q1363" s="49" t="s">
        <v>23379</v>
      </c>
      <c r="R1363" s="50"/>
      <c r="S1363" s="59"/>
      <c r="T1363" s="9" t="s">
        <v>23380</v>
      </c>
      <c r="U1363" s="9" t="s">
        <v>23388</v>
      </c>
      <c r="V1363" s="9" t="s">
        <v>23381</v>
      </c>
      <c r="W1363" s="9" t="s">
        <v>23391</v>
      </c>
      <c r="X1363" s="9" t="s">
        <v>23383</v>
      </c>
      <c r="Y1363" s="9" t="s">
        <v>22371</v>
      </c>
      <c r="Z1363" s="9" t="s">
        <v>353</v>
      </c>
      <c r="AC1363" s="9">
        <v>8.5084821900034E13</v>
      </c>
      <c r="AD1363" s="9">
        <v>8.50848219E8</v>
      </c>
      <c r="AE1363" s="9" t="s">
        <v>401</v>
      </c>
      <c r="AF1363" s="55">
        <v>45933.39278935185</v>
      </c>
      <c r="AG1363" s="9" t="s">
        <v>13038</v>
      </c>
      <c r="AH1363" s="9" t="s">
        <v>23392</v>
      </c>
      <c r="AJ1363" s="9" t="s">
        <v>23393</v>
      </c>
      <c r="AK1363" s="9" t="b">
        <v>0</v>
      </c>
      <c r="AL1363" s="9" t="b">
        <v>0</v>
      </c>
      <c r="AM1363" s="9"/>
      <c r="AN1363" s="9" t="s">
        <v>23387</v>
      </c>
      <c r="AP1363" s="56">
        <v>45876.0</v>
      </c>
      <c r="AQ1363" s="9" t="b">
        <v>0</v>
      </c>
      <c r="AR1363" s="9"/>
    </row>
    <row r="1364" ht="15.75" customHeight="1">
      <c r="A1364" s="9" t="s">
        <v>23394</v>
      </c>
      <c r="B1364" s="9" t="s">
        <v>23395</v>
      </c>
      <c r="C1364" s="9" t="s">
        <v>58</v>
      </c>
      <c r="D1364" s="9" t="s">
        <v>453</v>
      </c>
      <c r="E1364" s="9" t="s">
        <v>454</v>
      </c>
      <c r="F1364" s="9">
        <v>15.0</v>
      </c>
      <c r="G1364" s="9" t="s">
        <v>455</v>
      </c>
      <c r="H1364" s="9" t="s">
        <v>574</v>
      </c>
      <c r="I1364" s="9" t="s">
        <v>578</v>
      </c>
      <c r="J1364" s="52" t="s">
        <v>13027</v>
      </c>
      <c r="K1364" s="9" t="s">
        <v>23396</v>
      </c>
      <c r="L1364" s="9">
        <v>97418.0</v>
      </c>
      <c r="M1364" s="9" t="s">
        <v>71</v>
      </c>
      <c r="N1364" s="9" t="s">
        <v>216</v>
      </c>
      <c r="O1364" s="9" t="s">
        <v>23378</v>
      </c>
      <c r="P1364" s="53" t="s">
        <v>13031</v>
      </c>
      <c r="Q1364" s="49" t="s">
        <v>23397</v>
      </c>
      <c r="R1364" s="50"/>
      <c r="S1364" s="59"/>
      <c r="T1364" s="9" t="s">
        <v>23398</v>
      </c>
      <c r="U1364" s="9" t="s">
        <v>23395</v>
      </c>
      <c r="V1364" s="9"/>
      <c r="W1364" s="9" t="s">
        <v>23399</v>
      </c>
      <c r="X1364" s="9" t="s">
        <v>23400</v>
      </c>
      <c r="Y1364" s="9" t="s">
        <v>22371</v>
      </c>
      <c r="Z1364" s="9" t="s">
        <v>592</v>
      </c>
      <c r="AC1364" s="9">
        <v>8.5084821900034E13</v>
      </c>
      <c r="AD1364" s="9">
        <v>8.50848219E8</v>
      </c>
      <c r="AE1364" s="9" t="s">
        <v>401</v>
      </c>
      <c r="AF1364" s="55">
        <v>45933.405335648145</v>
      </c>
      <c r="AG1364" s="9" t="s">
        <v>13038</v>
      </c>
      <c r="AH1364" s="9" t="s">
        <v>23401</v>
      </c>
      <c r="AJ1364" s="9" t="s">
        <v>23402</v>
      </c>
      <c r="AK1364" s="9" t="b">
        <v>0</v>
      </c>
      <c r="AL1364" s="9" t="b">
        <v>0</v>
      </c>
      <c r="AM1364" s="9"/>
      <c r="AN1364" s="9" t="s">
        <v>23394</v>
      </c>
      <c r="AP1364" s="56">
        <v>45877.0</v>
      </c>
      <c r="AQ1364" s="9" t="b">
        <v>1</v>
      </c>
      <c r="AR1364" s="9"/>
    </row>
    <row r="1365" ht="15.75" customHeight="1">
      <c r="A1365" s="9" t="s">
        <v>23403</v>
      </c>
      <c r="B1365" s="9" t="s">
        <v>23404</v>
      </c>
      <c r="C1365" s="9" t="s">
        <v>58</v>
      </c>
      <c r="D1365" s="9" t="s">
        <v>59</v>
      </c>
      <c r="E1365" s="9"/>
      <c r="F1365" s="9">
        <v>4.0</v>
      </c>
      <c r="G1365" s="9"/>
      <c r="H1365" s="9"/>
      <c r="I1365" s="9"/>
      <c r="J1365" s="52" t="s">
        <v>13151</v>
      </c>
      <c r="K1365" s="9" t="s">
        <v>23405</v>
      </c>
      <c r="L1365" s="9">
        <v>97480.0</v>
      </c>
      <c r="M1365" s="9" t="s">
        <v>123</v>
      </c>
      <c r="N1365" s="9" t="s">
        <v>8259</v>
      </c>
      <c r="O1365" s="9" t="s">
        <v>23406</v>
      </c>
      <c r="P1365" s="53" t="s">
        <v>23407</v>
      </c>
      <c r="Q1365" s="49" t="s">
        <v>23408</v>
      </c>
      <c r="R1365" s="50"/>
      <c r="S1365" s="59"/>
      <c r="T1365" s="9" t="s">
        <v>23409</v>
      </c>
      <c r="U1365" s="9" t="s">
        <v>23404</v>
      </c>
      <c r="V1365" s="9"/>
      <c r="W1365" s="9" t="s">
        <v>23410</v>
      </c>
      <c r="X1365" s="9" t="s">
        <v>23411</v>
      </c>
      <c r="Y1365" s="9" t="s">
        <v>13978</v>
      </c>
      <c r="Z1365" s="9" t="s">
        <v>353</v>
      </c>
      <c r="AC1365" s="9">
        <v>9.9017433600018E13</v>
      </c>
      <c r="AD1365" s="9">
        <v>9.90174336E8</v>
      </c>
      <c r="AE1365" s="9" t="s">
        <v>401</v>
      </c>
      <c r="AF1365" s="55">
        <v>46043.57135416667</v>
      </c>
      <c r="AG1365" s="9" t="s">
        <v>23412</v>
      </c>
      <c r="AH1365" s="9" t="s">
        <v>23413</v>
      </c>
      <c r="AJ1365" s="9" t="s">
        <v>23414</v>
      </c>
      <c r="AK1365" s="9" t="b">
        <v>0</v>
      </c>
      <c r="AL1365" s="9" t="b">
        <v>0</v>
      </c>
      <c r="AM1365" s="9" t="s">
        <v>23415</v>
      </c>
      <c r="AN1365" s="9" t="s">
        <v>23403</v>
      </c>
      <c r="AP1365" s="56">
        <v>45883.0</v>
      </c>
      <c r="AQ1365" s="9" t="b">
        <v>0</v>
      </c>
      <c r="AR1365" s="9"/>
    </row>
    <row r="1366" ht="15.75" customHeight="1">
      <c r="A1366" s="9" t="s">
        <v>23416</v>
      </c>
      <c r="B1366" s="9" t="s">
        <v>23417</v>
      </c>
      <c r="C1366" s="9" t="s">
        <v>58</v>
      </c>
      <c r="D1366" s="9" t="s">
        <v>59</v>
      </c>
      <c r="E1366" s="9" t="s">
        <v>545</v>
      </c>
      <c r="F1366" s="9">
        <v>4.0</v>
      </c>
      <c r="G1366" s="9"/>
      <c r="H1366" s="9"/>
      <c r="I1366" s="9"/>
      <c r="J1366" s="9" t="s">
        <v>16862</v>
      </c>
      <c r="K1366" s="9" t="s">
        <v>23405</v>
      </c>
      <c r="L1366" s="9">
        <v>97480.0</v>
      </c>
      <c r="M1366" s="9" t="s">
        <v>123</v>
      </c>
      <c r="N1366" s="9" t="s">
        <v>8259</v>
      </c>
      <c r="O1366" s="9" t="s">
        <v>23418</v>
      </c>
      <c r="P1366" s="53" t="s">
        <v>23419</v>
      </c>
      <c r="Q1366" s="49" t="s">
        <v>23420</v>
      </c>
      <c r="R1366" s="50"/>
      <c r="S1366" s="59"/>
      <c r="T1366" s="9" t="s">
        <v>23421</v>
      </c>
      <c r="U1366" s="9" t="s">
        <v>23422</v>
      </c>
      <c r="V1366" s="9" t="s">
        <v>23423</v>
      </c>
      <c r="W1366" s="9" t="s">
        <v>23424</v>
      </c>
      <c r="X1366" s="9" t="s">
        <v>23425</v>
      </c>
      <c r="Y1366" s="9" t="s">
        <v>12669</v>
      </c>
      <c r="Z1366" s="9" t="s">
        <v>353</v>
      </c>
      <c r="AC1366" s="9">
        <v>9.8974059200013E13</v>
      </c>
      <c r="AD1366" s="9">
        <v>9.89740592E8</v>
      </c>
      <c r="AE1366" s="9" t="s">
        <v>401</v>
      </c>
      <c r="AF1366" s="55">
        <v>46043.499293981484</v>
      </c>
      <c r="AG1366" s="9" t="s">
        <v>23426</v>
      </c>
      <c r="AH1366" s="9" t="s">
        <v>23427</v>
      </c>
      <c r="AJ1366" s="9" t="s">
        <v>23428</v>
      </c>
      <c r="AK1366" s="9" t="b">
        <v>0</v>
      </c>
      <c r="AL1366" s="9" t="b">
        <v>0</v>
      </c>
      <c r="AM1366" s="9" t="s">
        <v>23429</v>
      </c>
      <c r="AN1366" s="9" t="s">
        <v>23416</v>
      </c>
      <c r="AP1366" s="56">
        <v>45883.0</v>
      </c>
      <c r="AQ1366" s="9" t="b">
        <v>0</v>
      </c>
      <c r="AR1366" s="9"/>
    </row>
    <row r="1367" ht="15.75" customHeight="1">
      <c r="A1367" s="9" t="s">
        <v>23430</v>
      </c>
      <c r="B1367" s="9" t="s">
        <v>23431</v>
      </c>
      <c r="C1367" s="9" t="s">
        <v>1198</v>
      </c>
      <c r="D1367" s="9" t="s">
        <v>6960</v>
      </c>
      <c r="E1367" s="9"/>
      <c r="F1367" s="9"/>
      <c r="G1367" s="9" t="s">
        <v>10047</v>
      </c>
      <c r="H1367" s="9"/>
      <c r="I1367" s="9"/>
      <c r="J1367" s="52" t="s">
        <v>15500</v>
      </c>
      <c r="K1367" s="9" t="s">
        <v>23432</v>
      </c>
      <c r="L1367" s="9">
        <v>97414.0</v>
      </c>
      <c r="M1367" s="9" t="s">
        <v>40</v>
      </c>
      <c r="N1367" s="9" t="s">
        <v>12447</v>
      </c>
      <c r="O1367" s="9" t="s">
        <v>23433</v>
      </c>
      <c r="P1367" s="53" t="s">
        <v>23434</v>
      </c>
      <c r="Q1367" s="49" t="s">
        <v>23435</v>
      </c>
      <c r="R1367" s="50"/>
      <c r="S1367" s="59"/>
      <c r="T1367" s="9" t="s">
        <v>23436</v>
      </c>
      <c r="U1367" s="9" t="s">
        <v>23437</v>
      </c>
      <c r="V1367" s="9"/>
      <c r="W1367" s="9"/>
      <c r="X1367" s="9"/>
      <c r="Y1367" s="9"/>
      <c r="Z1367" s="9" t="s">
        <v>378</v>
      </c>
      <c r="AC1367" s="9">
        <v>9.337377440013E12</v>
      </c>
      <c r="AD1367" s="9">
        <v>9.33737744E8</v>
      </c>
      <c r="AE1367" s="9" t="s">
        <v>401</v>
      </c>
      <c r="AF1367" s="55">
        <v>45992.63211805555</v>
      </c>
      <c r="AG1367" s="9" t="s">
        <v>23438</v>
      </c>
      <c r="AH1367" s="9" t="s">
        <v>23439</v>
      </c>
      <c r="AJ1367" s="9" t="s">
        <v>23440</v>
      </c>
      <c r="AK1367" s="9" t="b">
        <v>0</v>
      </c>
      <c r="AL1367" s="9" t="b">
        <v>0</v>
      </c>
      <c r="AM1367" s="9"/>
      <c r="AN1367" s="9" t="s">
        <v>23430</v>
      </c>
      <c r="AP1367" s="56">
        <v>45889.0</v>
      </c>
      <c r="AQ1367" s="9" t="b">
        <v>1</v>
      </c>
      <c r="AR1367" s="9"/>
    </row>
    <row r="1368" ht="15.75" customHeight="1">
      <c r="A1368" s="9" t="s">
        <v>23441</v>
      </c>
      <c r="B1368" s="9" t="s">
        <v>23442</v>
      </c>
      <c r="C1368" s="9" t="s">
        <v>34</v>
      </c>
      <c r="D1368" s="9" t="s">
        <v>678</v>
      </c>
      <c r="E1368" s="9" t="s">
        <v>679</v>
      </c>
      <c r="F1368" s="9"/>
      <c r="G1368" s="9" t="s">
        <v>422</v>
      </c>
      <c r="H1368" s="9"/>
      <c r="I1368" s="9"/>
      <c r="J1368" s="52" t="s">
        <v>23443</v>
      </c>
      <c r="K1368" s="9" t="s">
        <v>14666</v>
      </c>
      <c r="L1368" s="9">
        <v>97414.0</v>
      </c>
      <c r="M1368" s="9" t="s">
        <v>40</v>
      </c>
      <c r="N1368" s="9" t="s">
        <v>1860</v>
      </c>
      <c r="O1368" s="9" t="s">
        <v>23444</v>
      </c>
      <c r="P1368" s="53" t="s">
        <v>23445</v>
      </c>
      <c r="Q1368" s="49" t="s">
        <v>23446</v>
      </c>
      <c r="R1368" s="50"/>
      <c r="S1368" s="59"/>
      <c r="T1368" s="9" t="s">
        <v>23447</v>
      </c>
      <c r="U1368" s="9" t="s">
        <v>23448</v>
      </c>
      <c r="V1368" s="9"/>
      <c r="W1368" s="9"/>
      <c r="X1368" s="9"/>
      <c r="Y1368" s="9"/>
      <c r="Z1368" s="9" t="s">
        <v>353</v>
      </c>
      <c r="AC1368" s="9">
        <v>8.1196084800034E13</v>
      </c>
      <c r="AD1368" s="9">
        <v>8.11960848E8</v>
      </c>
      <c r="AE1368" s="9" t="s">
        <v>401</v>
      </c>
      <c r="AF1368" s="55">
        <v>45901.61284722222</v>
      </c>
      <c r="AG1368" s="9" t="s">
        <v>23449</v>
      </c>
      <c r="AH1368" s="9" t="s">
        <v>23450</v>
      </c>
      <c r="AJ1368" s="9" t="s">
        <v>23451</v>
      </c>
      <c r="AK1368" s="9" t="b">
        <v>0</v>
      </c>
      <c r="AL1368" s="9" t="b">
        <v>0</v>
      </c>
      <c r="AM1368" s="9"/>
      <c r="AN1368" s="9" t="s">
        <v>23441</v>
      </c>
      <c r="AP1368" s="56">
        <v>45890.0</v>
      </c>
      <c r="AQ1368" s="9" t="b">
        <v>0</v>
      </c>
      <c r="AR1368" s="9"/>
    </row>
    <row r="1369" ht="15.75" customHeight="1">
      <c r="A1369" s="9" t="s">
        <v>23452</v>
      </c>
      <c r="B1369" s="9" t="s">
        <v>23453</v>
      </c>
      <c r="C1369" s="9" t="s">
        <v>822</v>
      </c>
      <c r="D1369" s="9" t="s">
        <v>1805</v>
      </c>
      <c r="E1369" s="9" t="s">
        <v>2684</v>
      </c>
      <c r="F1369" s="9"/>
      <c r="G1369" s="9"/>
      <c r="H1369" s="9"/>
      <c r="I1369" s="9"/>
      <c r="J1369" s="52" t="s">
        <v>23454</v>
      </c>
      <c r="K1369" s="9" t="s">
        <v>15537</v>
      </c>
      <c r="L1369" s="9">
        <v>97430.0</v>
      </c>
      <c r="M1369" s="9" t="s">
        <v>71</v>
      </c>
      <c r="N1369" s="9" t="s">
        <v>15538</v>
      </c>
      <c r="O1369" s="9" t="s">
        <v>23455</v>
      </c>
      <c r="P1369" s="53" t="s">
        <v>23456</v>
      </c>
      <c r="Q1369" s="49" t="s">
        <v>23457</v>
      </c>
      <c r="R1369" s="50"/>
      <c r="S1369" s="59"/>
      <c r="T1369" s="9" t="s">
        <v>23458</v>
      </c>
      <c r="U1369" s="9" t="s">
        <v>23459</v>
      </c>
      <c r="V1369" s="9"/>
      <c r="W1369" s="9"/>
      <c r="X1369" s="9"/>
      <c r="Y1369" s="9"/>
      <c r="Z1369" s="9"/>
      <c r="AC1369" s="9">
        <v>3.8959930900017E13</v>
      </c>
      <c r="AD1369" s="9">
        <v>3.89599309E8</v>
      </c>
      <c r="AE1369" s="9" t="s">
        <v>401</v>
      </c>
      <c r="AF1369" s="55">
        <v>45894.35711805556</v>
      </c>
      <c r="AG1369" s="9" t="s">
        <v>23460</v>
      </c>
      <c r="AH1369" s="9" t="s">
        <v>23461</v>
      </c>
      <c r="AJ1369" s="9" t="s">
        <v>23462</v>
      </c>
      <c r="AK1369" s="9"/>
      <c r="AL1369" s="9" t="b">
        <v>0</v>
      </c>
      <c r="AM1369" s="9"/>
      <c r="AN1369" s="9" t="s">
        <v>23452</v>
      </c>
      <c r="AP1369" s="56">
        <v>45890.0</v>
      </c>
      <c r="AQ1369" s="9" t="b">
        <v>0</v>
      </c>
      <c r="AR1369" s="9"/>
    </row>
    <row r="1370" ht="15.75" customHeight="1">
      <c r="A1370" s="9" t="s">
        <v>23463</v>
      </c>
      <c r="B1370" s="9" t="s">
        <v>23464</v>
      </c>
      <c r="C1370" s="9" t="s">
        <v>58</v>
      </c>
      <c r="D1370" s="9" t="s">
        <v>59</v>
      </c>
      <c r="E1370" s="9" t="s">
        <v>12384</v>
      </c>
      <c r="F1370" s="9">
        <v>6.0</v>
      </c>
      <c r="G1370" s="9" t="s">
        <v>375</v>
      </c>
      <c r="H1370" s="9"/>
      <c r="I1370" s="9"/>
      <c r="J1370" s="52" t="s">
        <v>17436</v>
      </c>
      <c r="K1370" s="9" t="s">
        <v>23465</v>
      </c>
      <c r="L1370" s="9">
        <v>97442.0</v>
      </c>
      <c r="M1370" s="9" t="s">
        <v>33</v>
      </c>
      <c r="N1370" s="9" t="s">
        <v>224</v>
      </c>
      <c r="O1370" s="9" t="s">
        <v>23466</v>
      </c>
      <c r="P1370" s="53" t="s">
        <v>23467</v>
      </c>
      <c r="Q1370" s="49" t="s">
        <v>23468</v>
      </c>
      <c r="R1370" s="50"/>
      <c r="S1370" s="59"/>
      <c r="T1370" s="9" t="s">
        <v>23469</v>
      </c>
      <c r="U1370" s="9" t="s">
        <v>23470</v>
      </c>
      <c r="V1370" s="9" t="s">
        <v>23471</v>
      </c>
      <c r="W1370" s="9" t="s">
        <v>23472</v>
      </c>
      <c r="X1370" s="9" t="s">
        <v>23473</v>
      </c>
      <c r="Y1370" s="9" t="s">
        <v>23474</v>
      </c>
      <c r="Z1370" s="9" t="s">
        <v>592</v>
      </c>
      <c r="AC1370" s="9">
        <v>9.4483160100017E13</v>
      </c>
      <c r="AD1370" s="9">
        <v>9.44831601E8</v>
      </c>
      <c r="AE1370" s="9" t="s">
        <v>401</v>
      </c>
      <c r="AF1370" s="55">
        <v>45905.39811342592</v>
      </c>
      <c r="AG1370" s="9" t="s">
        <v>23475</v>
      </c>
      <c r="AH1370" s="9" t="s">
        <v>23476</v>
      </c>
      <c r="AJ1370" s="9" t="s">
        <v>23477</v>
      </c>
      <c r="AK1370" s="9" t="b">
        <v>0</v>
      </c>
      <c r="AL1370" s="9" t="b">
        <v>0</v>
      </c>
      <c r="AM1370" s="9"/>
      <c r="AN1370" s="9" t="s">
        <v>23463</v>
      </c>
      <c r="AP1370" s="56">
        <v>45895.0</v>
      </c>
      <c r="AQ1370" s="9" t="b">
        <v>0</v>
      </c>
      <c r="AR1370" s="9"/>
    </row>
    <row r="1371" ht="15.75" customHeight="1">
      <c r="A1371" s="9" t="s">
        <v>23478</v>
      </c>
      <c r="B1371" s="9" t="s">
        <v>23479</v>
      </c>
      <c r="C1371" s="9" t="s">
        <v>117</v>
      </c>
      <c r="D1371" s="9" t="s">
        <v>15300</v>
      </c>
      <c r="E1371" s="9" t="s">
        <v>1806</v>
      </c>
      <c r="F1371" s="9"/>
      <c r="G1371" s="9" t="s">
        <v>422</v>
      </c>
      <c r="H1371" s="9"/>
      <c r="I1371" s="9"/>
      <c r="J1371" s="52" t="s">
        <v>14181</v>
      </c>
      <c r="K1371" s="9" t="s">
        <v>17408</v>
      </c>
      <c r="L1371" s="9">
        <v>97414.0</v>
      </c>
      <c r="M1371" s="9" t="s">
        <v>40</v>
      </c>
      <c r="N1371" s="9" t="s">
        <v>12447</v>
      </c>
      <c r="O1371" s="9" t="s">
        <v>23480</v>
      </c>
      <c r="P1371" s="53" t="s">
        <v>2772</v>
      </c>
      <c r="Q1371" s="49" t="s">
        <v>23481</v>
      </c>
      <c r="R1371" s="50"/>
      <c r="S1371" s="59"/>
      <c r="T1371" s="9" t="s">
        <v>23482</v>
      </c>
      <c r="U1371" s="9" t="s">
        <v>23483</v>
      </c>
      <c r="V1371" s="9"/>
      <c r="W1371" s="9" t="s">
        <v>23484</v>
      </c>
      <c r="X1371" s="9" t="s">
        <v>22015</v>
      </c>
      <c r="Y1371" s="9" t="s">
        <v>4368</v>
      </c>
      <c r="Z1371" s="9" t="s">
        <v>353</v>
      </c>
      <c r="AC1371" s="9">
        <v>4.1800734000015E13</v>
      </c>
      <c r="AD1371" s="9">
        <v>4.1800734E8</v>
      </c>
      <c r="AE1371" s="9" t="s">
        <v>401</v>
      </c>
      <c r="AF1371" s="55">
        <v>45982.37136574074</v>
      </c>
      <c r="AG1371" s="9" t="s">
        <v>20664</v>
      </c>
      <c r="AH1371" s="9" t="s">
        <v>23485</v>
      </c>
      <c r="AJ1371" s="9"/>
      <c r="AK1371" s="9" t="b">
        <v>1</v>
      </c>
      <c r="AL1371" s="9" t="b">
        <v>0</v>
      </c>
      <c r="AM1371" s="9"/>
      <c r="AN1371" s="9" t="s">
        <v>23478</v>
      </c>
      <c r="AP1371" s="56">
        <v>45908.0</v>
      </c>
      <c r="AQ1371" s="9" t="b">
        <v>0</v>
      </c>
      <c r="AR1371" s="9"/>
    </row>
    <row r="1372" ht="15.75" customHeight="1">
      <c r="A1372" s="9" t="s">
        <v>250</v>
      </c>
      <c r="B1372" s="9" t="s">
        <v>23486</v>
      </c>
      <c r="C1372" s="9" t="s">
        <v>822</v>
      </c>
      <c r="D1372" s="9" t="s">
        <v>1805</v>
      </c>
      <c r="E1372" s="9" t="s">
        <v>1806</v>
      </c>
      <c r="F1372" s="9">
        <v>12.0</v>
      </c>
      <c r="G1372" s="9" t="s">
        <v>455</v>
      </c>
      <c r="H1372" s="9"/>
      <c r="I1372" s="9"/>
      <c r="J1372" s="52" t="s">
        <v>12445</v>
      </c>
      <c r="K1372" s="9" t="s">
        <v>23487</v>
      </c>
      <c r="L1372" s="9">
        <v>97418.0</v>
      </c>
      <c r="M1372" s="9" t="s">
        <v>71</v>
      </c>
      <c r="N1372" s="9" t="s">
        <v>216</v>
      </c>
      <c r="O1372" s="9" t="s">
        <v>23488</v>
      </c>
      <c r="P1372" s="53" t="s">
        <v>23489</v>
      </c>
      <c r="Q1372" s="49" t="s">
        <v>23490</v>
      </c>
      <c r="R1372" s="50"/>
      <c r="S1372" s="58" t="s">
        <v>23491</v>
      </c>
      <c r="T1372" s="9" t="s">
        <v>23492</v>
      </c>
      <c r="U1372" s="9" t="s">
        <v>23493</v>
      </c>
      <c r="V1372" s="9" t="s">
        <v>23494</v>
      </c>
      <c r="W1372" s="9" t="s">
        <v>23495</v>
      </c>
      <c r="X1372" s="9" t="s">
        <v>23496</v>
      </c>
      <c r="Y1372" s="9"/>
      <c r="Z1372" s="9" t="s">
        <v>592</v>
      </c>
      <c r="AC1372" s="9">
        <v>9.8049404100018E13</v>
      </c>
      <c r="AD1372" s="9">
        <v>9.80494041E8</v>
      </c>
      <c r="AE1372" s="9" t="s">
        <v>401</v>
      </c>
      <c r="AF1372" s="55">
        <v>46073.462372685186</v>
      </c>
      <c r="AG1372" s="9" t="s">
        <v>23497</v>
      </c>
      <c r="AH1372" s="9" t="s">
        <v>23498</v>
      </c>
      <c r="AJ1372" s="9" t="s">
        <v>23499</v>
      </c>
      <c r="AK1372" s="9"/>
      <c r="AL1372" s="9" t="b">
        <v>0</v>
      </c>
      <c r="AM1372" s="9"/>
      <c r="AN1372" s="9" t="s">
        <v>250</v>
      </c>
      <c r="AP1372" s="56">
        <v>45908.0</v>
      </c>
      <c r="AQ1372" s="9" t="b">
        <v>1</v>
      </c>
      <c r="AR1372" s="9"/>
    </row>
    <row r="1373" ht="15.75" customHeight="1">
      <c r="A1373" s="9" t="s">
        <v>23500</v>
      </c>
      <c r="B1373" s="9" t="s">
        <v>23501</v>
      </c>
      <c r="C1373" s="9" t="s">
        <v>34</v>
      </c>
      <c r="D1373" s="9" t="s">
        <v>678</v>
      </c>
      <c r="E1373" s="9" t="s">
        <v>23502</v>
      </c>
      <c r="F1373" s="9"/>
      <c r="G1373" s="9" t="s">
        <v>455</v>
      </c>
      <c r="H1373" s="9"/>
      <c r="I1373" s="9"/>
      <c r="J1373" s="52" t="s">
        <v>20507</v>
      </c>
      <c r="K1373" s="9" t="s">
        <v>23503</v>
      </c>
      <c r="L1373" s="9">
        <v>97480.0</v>
      </c>
      <c r="M1373" s="9" t="s">
        <v>123</v>
      </c>
      <c r="N1373" s="9" t="s">
        <v>12446</v>
      </c>
      <c r="O1373" s="9" t="s">
        <v>23504</v>
      </c>
      <c r="P1373" s="53" t="s">
        <v>23505</v>
      </c>
      <c r="Q1373" s="49" t="s">
        <v>23506</v>
      </c>
      <c r="R1373" s="50"/>
      <c r="S1373" s="59"/>
      <c r="T1373" s="9" t="s">
        <v>23507</v>
      </c>
      <c r="U1373" s="9" t="s">
        <v>23508</v>
      </c>
      <c r="V1373" s="9" t="s">
        <v>23509</v>
      </c>
      <c r="W1373" s="9" t="s">
        <v>23510</v>
      </c>
      <c r="X1373" s="9" t="s">
        <v>23511</v>
      </c>
      <c r="Y1373" s="9" t="s">
        <v>2390</v>
      </c>
      <c r="Z1373" s="9" t="s">
        <v>353</v>
      </c>
      <c r="AC1373" s="9">
        <v>9.8825361300018E13</v>
      </c>
      <c r="AD1373" s="9">
        <v>9.88253613E8</v>
      </c>
      <c r="AE1373" s="9" t="s">
        <v>401</v>
      </c>
      <c r="AF1373" s="55">
        <v>45910.49652777778</v>
      </c>
      <c r="AG1373" s="9" t="s">
        <v>23512</v>
      </c>
      <c r="AH1373" s="9" t="s">
        <v>23513</v>
      </c>
      <c r="AJ1373" s="9" t="s">
        <v>23514</v>
      </c>
      <c r="AK1373" s="9" t="b">
        <v>1</v>
      </c>
      <c r="AL1373" s="9" t="b">
        <v>0</v>
      </c>
      <c r="AM1373" s="9"/>
      <c r="AN1373" s="9" t="s">
        <v>23500</v>
      </c>
      <c r="AP1373" s="56">
        <v>45910.0</v>
      </c>
      <c r="AQ1373" s="9" t="b">
        <v>0</v>
      </c>
      <c r="AR1373" s="9"/>
    </row>
    <row r="1374" ht="15.75" customHeight="1">
      <c r="A1374" s="9" t="s">
        <v>23515</v>
      </c>
      <c r="B1374" s="9" t="s">
        <v>23516</v>
      </c>
      <c r="C1374" s="9" t="s">
        <v>58</v>
      </c>
      <c r="D1374" s="9" t="s">
        <v>453</v>
      </c>
      <c r="E1374" s="9" t="s">
        <v>454</v>
      </c>
      <c r="F1374" s="9">
        <v>14.0</v>
      </c>
      <c r="G1374" s="9" t="s">
        <v>455</v>
      </c>
      <c r="H1374" s="9"/>
      <c r="I1374" s="9"/>
      <c r="J1374" s="9" t="s">
        <v>23517</v>
      </c>
      <c r="K1374" s="9" t="s">
        <v>23518</v>
      </c>
      <c r="L1374" s="9">
        <v>97418.0</v>
      </c>
      <c r="M1374" s="9" t="s">
        <v>71</v>
      </c>
      <c r="N1374" s="9" t="s">
        <v>14582</v>
      </c>
      <c r="O1374" s="9" t="s">
        <v>23519</v>
      </c>
      <c r="P1374" s="53" t="s">
        <v>23520</v>
      </c>
      <c r="Q1374" s="49" t="s">
        <v>23521</v>
      </c>
      <c r="R1374" s="50"/>
      <c r="S1374" s="59"/>
      <c r="T1374" s="9" t="s">
        <v>23522</v>
      </c>
      <c r="U1374" s="9" t="s">
        <v>23523</v>
      </c>
      <c r="V1374" s="9" t="s">
        <v>9525</v>
      </c>
      <c r="W1374" s="9" t="s">
        <v>23524</v>
      </c>
      <c r="X1374" s="9" t="s">
        <v>23525</v>
      </c>
      <c r="Y1374" s="9" t="s">
        <v>22103</v>
      </c>
      <c r="Z1374" s="9" t="s">
        <v>23526</v>
      </c>
      <c r="AC1374" s="9">
        <v>9.8931265700012E13</v>
      </c>
      <c r="AD1374" s="9">
        <v>9.89312657E8</v>
      </c>
      <c r="AE1374" s="9" t="s">
        <v>401</v>
      </c>
      <c r="AF1374" s="55">
        <v>45918.469143518516</v>
      </c>
      <c r="AG1374" s="9" t="s">
        <v>23527</v>
      </c>
      <c r="AH1374" s="9" t="s">
        <v>23528</v>
      </c>
      <c r="AJ1374" s="9" t="s">
        <v>23529</v>
      </c>
      <c r="AK1374" s="9" t="b">
        <v>0</v>
      </c>
      <c r="AL1374" s="9" t="b">
        <v>0</v>
      </c>
      <c r="AM1374" s="9" t="s">
        <v>18586</v>
      </c>
      <c r="AN1374" s="9" t="s">
        <v>23515</v>
      </c>
      <c r="AP1374" s="56">
        <v>45910.0</v>
      </c>
      <c r="AQ1374" s="9" t="b">
        <v>0</v>
      </c>
      <c r="AR1374" s="9" t="s">
        <v>23530</v>
      </c>
    </row>
    <row r="1375" ht="15.75" customHeight="1">
      <c r="A1375" s="9" t="s">
        <v>23531</v>
      </c>
      <c r="B1375" s="9" t="s">
        <v>23532</v>
      </c>
      <c r="C1375" s="9" t="s">
        <v>34</v>
      </c>
      <c r="D1375" s="9" t="s">
        <v>622</v>
      </c>
      <c r="E1375" s="9" t="s">
        <v>622</v>
      </c>
      <c r="F1375" s="9">
        <v>20.0</v>
      </c>
      <c r="G1375" s="9" t="s">
        <v>455</v>
      </c>
      <c r="H1375" s="9"/>
      <c r="I1375" s="9"/>
      <c r="J1375" s="9" t="s">
        <v>23517</v>
      </c>
      <c r="K1375" s="9" t="s">
        <v>18560</v>
      </c>
      <c r="L1375" s="9">
        <v>97418.0</v>
      </c>
      <c r="M1375" s="9" t="s">
        <v>71</v>
      </c>
      <c r="N1375" s="9" t="s">
        <v>216</v>
      </c>
      <c r="O1375" s="9" t="s">
        <v>23533</v>
      </c>
      <c r="P1375" s="53" t="s">
        <v>23520</v>
      </c>
      <c r="Q1375" s="49" t="s">
        <v>23521</v>
      </c>
      <c r="R1375" s="50"/>
      <c r="S1375" s="59"/>
      <c r="T1375" s="9" t="s">
        <v>23534</v>
      </c>
      <c r="U1375" s="9" t="s">
        <v>23535</v>
      </c>
      <c r="V1375" s="9" t="s">
        <v>23536</v>
      </c>
      <c r="W1375" s="9" t="s">
        <v>23537</v>
      </c>
      <c r="X1375" s="9" t="s">
        <v>23538</v>
      </c>
      <c r="Y1375" s="9" t="s">
        <v>21858</v>
      </c>
      <c r="Z1375" s="9" t="s">
        <v>23539</v>
      </c>
      <c r="AC1375" s="9">
        <v>9.8931265700012E13</v>
      </c>
      <c r="AD1375" s="9">
        <v>9.89312657E8</v>
      </c>
      <c r="AE1375" s="9" t="s">
        <v>401</v>
      </c>
      <c r="AF1375" s="55">
        <v>45918.479525462964</v>
      </c>
      <c r="AG1375" s="9" t="s">
        <v>23527</v>
      </c>
      <c r="AH1375" s="9" t="s">
        <v>23540</v>
      </c>
      <c r="AJ1375" s="9" t="s">
        <v>23541</v>
      </c>
      <c r="AK1375" s="9" t="b">
        <v>0</v>
      </c>
      <c r="AL1375" s="9" t="b">
        <v>0</v>
      </c>
      <c r="AM1375" s="9"/>
      <c r="AN1375" s="9" t="s">
        <v>23531</v>
      </c>
      <c r="AP1375" s="56">
        <v>45910.0</v>
      </c>
      <c r="AQ1375" s="9" t="b">
        <v>0</v>
      </c>
      <c r="AR1375" s="9" t="s">
        <v>23542</v>
      </c>
    </row>
    <row r="1376" ht="15.75" customHeight="1">
      <c r="A1376" s="9" t="s">
        <v>23543</v>
      </c>
      <c r="B1376" s="9" t="s">
        <v>23544</v>
      </c>
      <c r="C1376" s="9" t="s">
        <v>822</v>
      </c>
      <c r="D1376" s="9" t="s">
        <v>1805</v>
      </c>
      <c r="E1376" s="9" t="s">
        <v>1806</v>
      </c>
      <c r="F1376" s="9">
        <v>4.0</v>
      </c>
      <c r="G1376" s="9" t="s">
        <v>422</v>
      </c>
      <c r="H1376" s="9"/>
      <c r="I1376" s="9"/>
      <c r="J1376" s="52" t="s">
        <v>23362</v>
      </c>
      <c r="K1376" s="9" t="s">
        <v>23545</v>
      </c>
      <c r="L1376" s="9">
        <v>97414.0</v>
      </c>
      <c r="M1376" s="9" t="s">
        <v>40</v>
      </c>
      <c r="N1376" s="9" t="s">
        <v>40</v>
      </c>
      <c r="O1376" s="9" t="s">
        <v>23546</v>
      </c>
      <c r="P1376" s="53" t="s">
        <v>9265</v>
      </c>
      <c r="Q1376" s="49" t="s">
        <v>23547</v>
      </c>
      <c r="R1376" s="50"/>
      <c r="S1376" s="59"/>
      <c r="T1376" s="9" t="s">
        <v>23548</v>
      </c>
      <c r="U1376" s="9" t="s">
        <v>23549</v>
      </c>
      <c r="V1376" s="9" t="s">
        <v>23550</v>
      </c>
      <c r="W1376" s="9" t="s">
        <v>23551</v>
      </c>
      <c r="X1376" s="9" t="s">
        <v>23552</v>
      </c>
      <c r="Y1376" s="9" t="s">
        <v>9455</v>
      </c>
      <c r="Z1376" s="9" t="s">
        <v>592</v>
      </c>
      <c r="AC1376" s="9">
        <v>8.1924331200025E13</v>
      </c>
      <c r="AD1376" s="9">
        <v>8.19243312E8</v>
      </c>
      <c r="AE1376" s="9" t="s">
        <v>401</v>
      </c>
      <c r="AF1376" s="55">
        <v>45975.43625</v>
      </c>
      <c r="AG1376" s="9" t="s">
        <v>18981</v>
      </c>
      <c r="AH1376" s="9" t="s">
        <v>23553</v>
      </c>
      <c r="AJ1376" s="9" t="s">
        <v>23554</v>
      </c>
      <c r="AK1376" s="9" t="b">
        <v>0</v>
      </c>
      <c r="AL1376" s="9" t="b">
        <v>0</v>
      </c>
      <c r="AM1376" s="9"/>
      <c r="AN1376" s="9" t="s">
        <v>23543</v>
      </c>
      <c r="AP1376" s="56">
        <v>45910.0</v>
      </c>
      <c r="AQ1376" s="9" t="b">
        <v>0</v>
      </c>
      <c r="AR1376" s="9"/>
    </row>
    <row r="1377" ht="15.75" customHeight="1">
      <c r="A1377" s="9" t="s">
        <v>23555</v>
      </c>
      <c r="B1377" s="9" t="s">
        <v>23556</v>
      </c>
      <c r="C1377" s="9" t="s">
        <v>58</v>
      </c>
      <c r="D1377" s="9" t="s">
        <v>453</v>
      </c>
      <c r="E1377" s="9" t="s">
        <v>454</v>
      </c>
      <c r="F1377" s="9">
        <v>8.0</v>
      </c>
      <c r="G1377" s="9" t="s">
        <v>9780</v>
      </c>
      <c r="H1377" s="9"/>
      <c r="I1377" s="9"/>
      <c r="J1377" s="52" t="s">
        <v>12589</v>
      </c>
      <c r="K1377" s="9" t="s">
        <v>23557</v>
      </c>
      <c r="L1377" s="9">
        <v>97418.0</v>
      </c>
      <c r="M1377" s="9" t="s">
        <v>71</v>
      </c>
      <c r="N1377" s="9" t="s">
        <v>13029</v>
      </c>
      <c r="O1377" s="9" t="s">
        <v>23558</v>
      </c>
      <c r="P1377" s="53" t="s">
        <v>23559</v>
      </c>
      <c r="Q1377" s="49" t="s">
        <v>23560</v>
      </c>
      <c r="R1377" s="50"/>
      <c r="S1377" s="58" t="s">
        <v>23561</v>
      </c>
      <c r="T1377" s="9" t="s">
        <v>23562</v>
      </c>
      <c r="U1377" s="9" t="s">
        <v>23563</v>
      </c>
      <c r="V1377" s="9" t="s">
        <v>23564</v>
      </c>
      <c r="W1377" s="9" t="s">
        <v>23565</v>
      </c>
      <c r="X1377" s="9" t="s">
        <v>23566</v>
      </c>
      <c r="Y1377" s="9" t="s">
        <v>23567</v>
      </c>
      <c r="Z1377" s="9" t="s">
        <v>378</v>
      </c>
      <c r="AC1377" s="9">
        <v>9.1786783000015E13</v>
      </c>
      <c r="AD1377" s="9">
        <v>9.1786783E8</v>
      </c>
      <c r="AE1377" s="9" t="s">
        <v>401</v>
      </c>
      <c r="AF1377" s="55">
        <v>45975.42289351852</v>
      </c>
      <c r="AG1377" s="9" t="s">
        <v>23568</v>
      </c>
      <c r="AH1377" s="9" t="s">
        <v>23569</v>
      </c>
      <c r="AJ1377" s="9" t="s">
        <v>23570</v>
      </c>
      <c r="AK1377" s="9" t="b">
        <v>0</v>
      </c>
      <c r="AL1377" s="9" t="b">
        <v>0</v>
      </c>
      <c r="AM1377" s="9" t="s">
        <v>23571</v>
      </c>
      <c r="AN1377" s="9" t="s">
        <v>23555</v>
      </c>
      <c r="AP1377" s="56">
        <v>45911.0</v>
      </c>
      <c r="AQ1377" s="9" t="b">
        <v>0</v>
      </c>
      <c r="AR1377" s="9" t="s">
        <v>23572</v>
      </c>
    </row>
    <row r="1378" ht="15.75" customHeight="1">
      <c r="A1378" s="9" t="s">
        <v>23573</v>
      </c>
      <c r="B1378" s="9" t="s">
        <v>23574</v>
      </c>
      <c r="C1378" s="9" t="s">
        <v>822</v>
      </c>
      <c r="D1378" s="9" t="s">
        <v>823</v>
      </c>
      <c r="E1378" s="9" t="s">
        <v>559</v>
      </c>
      <c r="F1378" s="9"/>
      <c r="G1378" s="9" t="s">
        <v>9780</v>
      </c>
      <c r="H1378" s="9"/>
      <c r="I1378" s="9"/>
      <c r="J1378" s="9" t="s">
        <v>23575</v>
      </c>
      <c r="K1378" s="9" t="s">
        <v>18560</v>
      </c>
      <c r="L1378" s="9">
        <v>97418.0</v>
      </c>
      <c r="M1378" s="9" t="s">
        <v>71</v>
      </c>
      <c r="N1378" s="9" t="s">
        <v>9525</v>
      </c>
      <c r="O1378" s="9" t="s">
        <v>23576</v>
      </c>
      <c r="P1378" s="53" t="s">
        <v>23577</v>
      </c>
      <c r="Q1378" s="49" t="s">
        <v>23578</v>
      </c>
      <c r="R1378" s="50"/>
      <c r="S1378" s="58" t="s">
        <v>23579</v>
      </c>
      <c r="T1378" s="9" t="s">
        <v>23580</v>
      </c>
      <c r="U1378" s="9" t="s">
        <v>23574</v>
      </c>
      <c r="V1378" s="9" t="s">
        <v>23581</v>
      </c>
      <c r="W1378" s="9" t="s">
        <v>23582</v>
      </c>
      <c r="X1378" s="9" t="s">
        <v>23583</v>
      </c>
      <c r="Y1378" s="9" t="s">
        <v>1076</v>
      </c>
      <c r="Z1378" s="9" t="s">
        <v>353</v>
      </c>
      <c r="AC1378" s="9">
        <v>8.5301302700018E13</v>
      </c>
      <c r="AD1378" s="9">
        <v>8.53013027E8</v>
      </c>
      <c r="AE1378" s="9" t="s">
        <v>401</v>
      </c>
      <c r="AF1378" s="55">
        <v>45912.358148148145</v>
      </c>
      <c r="AG1378" s="9" t="s">
        <v>23584</v>
      </c>
      <c r="AH1378" s="9" t="s">
        <v>23585</v>
      </c>
      <c r="AJ1378" s="9" t="s">
        <v>23586</v>
      </c>
      <c r="AK1378" s="9" t="b">
        <v>0</v>
      </c>
      <c r="AL1378" s="9" t="b">
        <v>0</v>
      </c>
      <c r="AM1378" s="9"/>
      <c r="AN1378" s="9" t="s">
        <v>23573</v>
      </c>
      <c r="AP1378" s="56">
        <v>45911.0</v>
      </c>
      <c r="AQ1378" s="9" t="b">
        <v>0</v>
      </c>
      <c r="AR1378" s="9"/>
    </row>
    <row r="1379" ht="15.75" customHeight="1">
      <c r="A1379" s="9" t="s">
        <v>23587</v>
      </c>
      <c r="B1379" s="9" t="s">
        <v>23588</v>
      </c>
      <c r="C1379" s="9" t="s">
        <v>58</v>
      </c>
      <c r="D1379" s="9" t="s">
        <v>59</v>
      </c>
      <c r="E1379" s="9" t="s">
        <v>12384</v>
      </c>
      <c r="F1379" s="9">
        <v>14.0</v>
      </c>
      <c r="G1379" s="9" t="s">
        <v>9780</v>
      </c>
      <c r="H1379" s="9"/>
      <c r="I1379" s="9"/>
      <c r="J1379" s="52" t="s">
        <v>19234</v>
      </c>
      <c r="K1379" s="9" t="s">
        <v>23589</v>
      </c>
      <c r="L1379" s="9">
        <v>97418.0</v>
      </c>
      <c r="M1379" s="9" t="s">
        <v>71</v>
      </c>
      <c r="N1379" s="9" t="s">
        <v>13219</v>
      </c>
      <c r="O1379" s="9" t="s">
        <v>23590</v>
      </c>
      <c r="P1379" s="53" t="s">
        <v>23591</v>
      </c>
      <c r="Q1379" s="49" t="s">
        <v>23592</v>
      </c>
      <c r="R1379" s="50"/>
      <c r="S1379" s="59"/>
      <c r="T1379" s="9" t="s">
        <v>23593</v>
      </c>
      <c r="U1379" s="9" t="s">
        <v>23594</v>
      </c>
      <c r="V1379" s="9" t="s">
        <v>23595</v>
      </c>
      <c r="W1379" s="9" t="s">
        <v>23596</v>
      </c>
      <c r="X1379" s="9" t="s">
        <v>23597</v>
      </c>
      <c r="Y1379" s="9" t="s">
        <v>16773</v>
      </c>
      <c r="Z1379" s="9" t="s">
        <v>353</v>
      </c>
      <c r="AC1379" s="9">
        <v>5.3187516900017E13</v>
      </c>
      <c r="AD1379" s="9">
        <v>5.31875169E8</v>
      </c>
      <c r="AE1379" s="9" t="s">
        <v>401</v>
      </c>
      <c r="AF1379" s="55">
        <v>45933.61046296296</v>
      </c>
      <c r="AG1379" s="9" t="s">
        <v>23598</v>
      </c>
      <c r="AH1379" s="9" t="s">
        <v>23599</v>
      </c>
      <c r="AJ1379" s="9" t="s">
        <v>23600</v>
      </c>
      <c r="AK1379" s="9" t="b">
        <v>0</v>
      </c>
      <c r="AL1379" s="9" t="b">
        <v>0</v>
      </c>
      <c r="AM1379" s="9" t="s">
        <v>23601</v>
      </c>
      <c r="AN1379" s="9" t="s">
        <v>23587</v>
      </c>
      <c r="AP1379" s="56">
        <v>45915.0</v>
      </c>
      <c r="AQ1379" s="9" t="b">
        <v>0</v>
      </c>
      <c r="AR1379" s="9"/>
    </row>
    <row r="1380" ht="15.75" customHeight="1">
      <c r="A1380" s="9" t="s">
        <v>272</v>
      </c>
      <c r="B1380" s="9" t="s">
        <v>23602</v>
      </c>
      <c r="C1380" s="9" t="s">
        <v>58</v>
      </c>
      <c r="D1380" s="9" t="s">
        <v>59</v>
      </c>
      <c r="E1380" s="9" t="s">
        <v>12384</v>
      </c>
      <c r="F1380" s="9">
        <v>6.0</v>
      </c>
      <c r="G1380" s="9" t="s">
        <v>9243</v>
      </c>
      <c r="H1380" s="9"/>
      <c r="I1380" s="9"/>
      <c r="J1380" s="52" t="s">
        <v>19827</v>
      </c>
      <c r="K1380" s="9" t="s">
        <v>23603</v>
      </c>
      <c r="L1380" s="9">
        <v>97418.0</v>
      </c>
      <c r="M1380" s="9" t="s">
        <v>71</v>
      </c>
      <c r="N1380" s="9" t="s">
        <v>216</v>
      </c>
      <c r="O1380" s="9" t="s">
        <v>23604</v>
      </c>
      <c r="P1380" s="53" t="s">
        <v>23605</v>
      </c>
      <c r="Q1380" s="49" t="s">
        <v>23606</v>
      </c>
      <c r="R1380" s="50"/>
      <c r="S1380" s="59"/>
      <c r="T1380" s="9" t="s">
        <v>23607</v>
      </c>
      <c r="U1380" s="9" t="s">
        <v>23608</v>
      </c>
      <c r="V1380" s="9"/>
      <c r="W1380" s="9" t="s">
        <v>23609</v>
      </c>
      <c r="X1380" s="9" t="s">
        <v>23610</v>
      </c>
      <c r="Y1380" s="9" t="s">
        <v>20442</v>
      </c>
      <c r="Z1380" s="9" t="s">
        <v>353</v>
      </c>
      <c r="AC1380" s="9">
        <v>4.3342204500032E13</v>
      </c>
      <c r="AD1380" s="9">
        <v>4.33422045E8</v>
      </c>
      <c r="AE1380" s="9" t="s">
        <v>401</v>
      </c>
      <c r="AF1380" s="55">
        <v>45932.36231481482</v>
      </c>
      <c r="AG1380" s="9" t="s">
        <v>23611</v>
      </c>
      <c r="AH1380" s="9" t="s">
        <v>23612</v>
      </c>
      <c r="AJ1380" s="9" t="s">
        <v>23613</v>
      </c>
      <c r="AK1380" s="9" t="b">
        <v>0</v>
      </c>
      <c r="AL1380" s="9" t="b">
        <v>0</v>
      </c>
      <c r="AM1380" s="9" t="s">
        <v>23614</v>
      </c>
      <c r="AN1380" s="9" t="s">
        <v>272</v>
      </c>
      <c r="AP1380" s="56">
        <v>45918.0</v>
      </c>
      <c r="AQ1380" s="9" t="b">
        <v>0</v>
      </c>
      <c r="AR1380" s="9"/>
    </row>
    <row r="1381" ht="15.75" customHeight="1">
      <c r="A1381" s="9" t="s">
        <v>23615</v>
      </c>
      <c r="B1381" s="9" t="s">
        <v>23616</v>
      </c>
      <c r="C1381" s="9" t="s">
        <v>58</v>
      </c>
      <c r="D1381" s="9" t="s">
        <v>59</v>
      </c>
      <c r="E1381" s="9" t="s">
        <v>346</v>
      </c>
      <c r="F1381" s="9">
        <v>10.0</v>
      </c>
      <c r="G1381" s="9" t="s">
        <v>455</v>
      </c>
      <c r="H1381" s="9" t="s">
        <v>2716</v>
      </c>
      <c r="I1381" s="9"/>
      <c r="J1381" s="52" t="s">
        <v>12331</v>
      </c>
      <c r="K1381" s="9" t="s">
        <v>23617</v>
      </c>
      <c r="L1381" s="9">
        <v>97430.0</v>
      </c>
      <c r="M1381" s="9" t="s">
        <v>71</v>
      </c>
      <c r="N1381" s="9" t="s">
        <v>12698</v>
      </c>
      <c r="O1381" s="9" t="s">
        <v>23618</v>
      </c>
      <c r="P1381" s="53" t="s">
        <v>23619</v>
      </c>
      <c r="Q1381" s="49" t="s">
        <v>23620</v>
      </c>
      <c r="R1381" s="50"/>
      <c r="S1381" s="58" t="s">
        <v>23621</v>
      </c>
      <c r="T1381" s="9" t="s">
        <v>23622</v>
      </c>
      <c r="U1381" s="9" t="s">
        <v>23623</v>
      </c>
      <c r="V1381" s="9" t="s">
        <v>23624</v>
      </c>
      <c r="W1381" s="9" t="s">
        <v>23625</v>
      </c>
      <c r="X1381" s="9" t="s">
        <v>23626</v>
      </c>
      <c r="Y1381" s="9" t="s">
        <v>23627</v>
      </c>
      <c r="Z1381" s="9" t="s">
        <v>424</v>
      </c>
      <c r="AC1381" s="9">
        <v>9.3365699300013E13</v>
      </c>
      <c r="AD1381" s="9">
        <v>9.33656993E8</v>
      </c>
      <c r="AE1381" s="9" t="s">
        <v>401</v>
      </c>
      <c r="AF1381" s="55">
        <v>46063.39166666667</v>
      </c>
      <c r="AG1381" s="9" t="s">
        <v>23628</v>
      </c>
      <c r="AH1381" s="9" t="s">
        <v>23629</v>
      </c>
      <c r="AJ1381" s="9" t="s">
        <v>23630</v>
      </c>
      <c r="AK1381" s="9"/>
      <c r="AL1381" s="9" t="b">
        <v>1</v>
      </c>
      <c r="AM1381" s="9" t="s">
        <v>23631</v>
      </c>
      <c r="AN1381" s="9" t="s">
        <v>23615</v>
      </c>
      <c r="AP1381" s="56">
        <v>45931.0</v>
      </c>
      <c r="AQ1381" s="9" t="b">
        <v>0</v>
      </c>
      <c r="AR1381" s="9"/>
    </row>
    <row r="1382" ht="15.75" customHeight="1">
      <c r="A1382" s="9" t="s">
        <v>23632</v>
      </c>
      <c r="B1382" s="9" t="s">
        <v>23633</v>
      </c>
      <c r="C1382" s="9" t="s">
        <v>58</v>
      </c>
      <c r="D1382" s="9" t="s">
        <v>59</v>
      </c>
      <c r="E1382" s="9" t="s">
        <v>545</v>
      </c>
      <c r="F1382" s="9">
        <v>2.0</v>
      </c>
      <c r="G1382" s="9" t="s">
        <v>664</v>
      </c>
      <c r="H1382" s="9" t="s">
        <v>395</v>
      </c>
      <c r="I1382" s="9"/>
      <c r="J1382" s="52" t="s">
        <v>16161</v>
      </c>
      <c r="K1382" s="9" t="s">
        <v>23634</v>
      </c>
      <c r="L1382" s="9">
        <v>97430.0</v>
      </c>
      <c r="M1382" s="9" t="s">
        <v>71</v>
      </c>
      <c r="N1382" s="9" t="s">
        <v>12698</v>
      </c>
      <c r="O1382" s="9" t="s">
        <v>23635</v>
      </c>
      <c r="P1382" s="53" t="s">
        <v>23636</v>
      </c>
      <c r="Q1382" s="49" t="s">
        <v>23637</v>
      </c>
      <c r="R1382" s="50"/>
      <c r="S1382" s="59"/>
      <c r="T1382" s="9" t="s">
        <v>23638</v>
      </c>
      <c r="U1382" s="9" t="s">
        <v>23633</v>
      </c>
      <c r="V1382" s="9" t="s">
        <v>23639</v>
      </c>
      <c r="W1382" s="9" t="s">
        <v>23640</v>
      </c>
      <c r="X1382" s="9" t="s">
        <v>23641</v>
      </c>
      <c r="Y1382" s="9" t="s">
        <v>23642</v>
      </c>
      <c r="Z1382" s="9" t="s">
        <v>851</v>
      </c>
      <c r="AC1382" s="9">
        <v>9.1829133700015E13</v>
      </c>
      <c r="AD1382" s="9">
        <v>9.18291337E8</v>
      </c>
      <c r="AE1382" s="9" t="s">
        <v>401</v>
      </c>
      <c r="AF1382" s="55">
        <v>46099.40893518519</v>
      </c>
      <c r="AG1382" s="9" t="s">
        <v>23643</v>
      </c>
      <c r="AH1382" s="9" t="s">
        <v>23644</v>
      </c>
      <c r="AJ1382" s="8" t="s">
        <v>23645</v>
      </c>
      <c r="AK1382" s="9" t="b">
        <v>0</v>
      </c>
      <c r="AL1382" s="9" t="b">
        <v>0</v>
      </c>
      <c r="AM1382" s="9" t="s">
        <v>23646</v>
      </c>
      <c r="AN1382" s="9" t="s">
        <v>23632</v>
      </c>
      <c r="AP1382" s="56">
        <v>45932.0</v>
      </c>
      <c r="AQ1382" s="9" t="b">
        <v>0</v>
      </c>
      <c r="AR1382" s="9"/>
    </row>
    <row r="1383" ht="15.75" customHeight="1">
      <c r="A1383" s="9" t="s">
        <v>23647</v>
      </c>
      <c r="B1383" s="9" t="s">
        <v>23648</v>
      </c>
      <c r="C1383" s="9" t="s">
        <v>58</v>
      </c>
      <c r="D1383" s="9" t="s">
        <v>59</v>
      </c>
      <c r="E1383" s="9" t="s">
        <v>374</v>
      </c>
      <c r="F1383" s="9">
        <v>2.0</v>
      </c>
      <c r="G1383" s="9" t="s">
        <v>455</v>
      </c>
      <c r="H1383" s="9" t="s">
        <v>2716</v>
      </c>
      <c r="I1383" s="9"/>
      <c r="J1383" s="52" t="s">
        <v>23649</v>
      </c>
      <c r="K1383" s="9" t="s">
        <v>23650</v>
      </c>
      <c r="L1383" s="9">
        <v>97430.0</v>
      </c>
      <c r="M1383" s="9" t="s">
        <v>71</v>
      </c>
      <c r="N1383" s="9" t="s">
        <v>3501</v>
      </c>
      <c r="O1383" s="9" t="s">
        <v>23651</v>
      </c>
      <c r="P1383" s="53" t="s">
        <v>23652</v>
      </c>
      <c r="Q1383" s="49" t="s">
        <v>23653</v>
      </c>
      <c r="R1383" s="50"/>
      <c r="S1383" s="59"/>
      <c r="T1383" s="9" t="s">
        <v>23654</v>
      </c>
      <c r="U1383" s="9" t="s">
        <v>23655</v>
      </c>
      <c r="V1383" s="9" t="s">
        <v>23656</v>
      </c>
      <c r="W1383" s="9" t="s">
        <v>23657</v>
      </c>
      <c r="X1383" s="9" t="s">
        <v>23658</v>
      </c>
      <c r="Y1383" s="9" t="s">
        <v>23659</v>
      </c>
      <c r="Z1383" s="9" t="s">
        <v>353</v>
      </c>
      <c r="AC1383" s="9">
        <v>9.3122037000015E13</v>
      </c>
      <c r="AD1383" s="9">
        <v>9.3122037E8</v>
      </c>
      <c r="AE1383" s="9" t="s">
        <v>401</v>
      </c>
      <c r="AF1383" s="55">
        <v>45981.63506944444</v>
      </c>
      <c r="AG1383" s="9" t="s">
        <v>23660</v>
      </c>
      <c r="AH1383" s="9" t="s">
        <v>23661</v>
      </c>
      <c r="AJ1383" s="9" t="s">
        <v>23662</v>
      </c>
      <c r="AK1383" s="9" t="b">
        <v>1</v>
      </c>
      <c r="AL1383" s="9"/>
      <c r="AM1383" s="9" t="s">
        <v>23663</v>
      </c>
      <c r="AN1383" s="9" t="s">
        <v>23647</v>
      </c>
      <c r="AP1383" s="56">
        <v>45933.0</v>
      </c>
      <c r="AQ1383" s="9" t="b">
        <v>0</v>
      </c>
      <c r="AR1383" s="9" t="s">
        <v>23664</v>
      </c>
    </row>
    <row r="1384" ht="15.75" customHeight="1">
      <c r="A1384" s="9" t="s">
        <v>23665</v>
      </c>
      <c r="B1384" s="9" t="s">
        <v>23666</v>
      </c>
      <c r="C1384" s="9" t="s">
        <v>34</v>
      </c>
      <c r="D1384" s="9" t="s">
        <v>678</v>
      </c>
      <c r="E1384" s="9" t="s">
        <v>23667</v>
      </c>
      <c r="F1384" s="9"/>
      <c r="G1384" s="9" t="s">
        <v>455</v>
      </c>
      <c r="H1384" s="9"/>
      <c r="I1384" s="9"/>
      <c r="J1384" s="52" t="s">
        <v>13538</v>
      </c>
      <c r="K1384" s="9" t="s">
        <v>23668</v>
      </c>
      <c r="L1384" s="9">
        <v>97430.0</v>
      </c>
      <c r="M1384" s="9" t="s">
        <v>71</v>
      </c>
      <c r="N1384" s="9" t="s">
        <v>14126</v>
      </c>
      <c r="O1384" s="9" t="s">
        <v>23669</v>
      </c>
      <c r="P1384" s="53" t="s">
        <v>23670</v>
      </c>
      <c r="Q1384" s="49" t="s">
        <v>23671</v>
      </c>
      <c r="R1384" s="50"/>
      <c r="S1384" s="58" t="s">
        <v>23672</v>
      </c>
      <c r="T1384" s="9" t="s">
        <v>23673</v>
      </c>
      <c r="U1384" s="9" t="s">
        <v>23674</v>
      </c>
      <c r="V1384" s="9"/>
      <c r="W1384" s="9"/>
      <c r="X1384" s="9"/>
      <c r="Y1384" s="9" t="s">
        <v>22496</v>
      </c>
      <c r="Z1384" s="9" t="s">
        <v>378</v>
      </c>
      <c r="AC1384" s="9">
        <v>9.4885222300015E13</v>
      </c>
      <c r="AD1384" s="9">
        <v>9.48852223E8</v>
      </c>
      <c r="AE1384" s="9" t="s">
        <v>401</v>
      </c>
      <c r="AF1384" s="55">
        <v>45939.37798611111</v>
      </c>
      <c r="AG1384" s="9" t="s">
        <v>23675</v>
      </c>
      <c r="AH1384" s="9" t="s">
        <v>23676</v>
      </c>
      <c r="AJ1384" s="9"/>
      <c r="AK1384" s="9"/>
      <c r="AL1384" s="9"/>
      <c r="AM1384" s="9"/>
      <c r="AN1384" s="9" t="s">
        <v>23665</v>
      </c>
      <c r="AP1384" s="56">
        <v>45939.0</v>
      </c>
      <c r="AQ1384" s="9" t="b">
        <v>0</v>
      </c>
      <c r="AR1384" s="9"/>
    </row>
    <row r="1385" ht="15.75" customHeight="1">
      <c r="A1385" s="9" t="s">
        <v>23677</v>
      </c>
      <c r="B1385" s="9" t="s">
        <v>23678</v>
      </c>
      <c r="C1385" s="9" t="s">
        <v>58</v>
      </c>
      <c r="D1385" s="9" t="s">
        <v>453</v>
      </c>
      <c r="E1385" s="9" t="s">
        <v>13702</v>
      </c>
      <c r="F1385" s="9">
        <v>2.0</v>
      </c>
      <c r="G1385" s="9" t="s">
        <v>455</v>
      </c>
      <c r="H1385" s="9"/>
      <c r="I1385" s="9"/>
      <c r="J1385" s="52" t="s">
        <v>16355</v>
      </c>
      <c r="K1385" s="9" t="s">
        <v>23679</v>
      </c>
      <c r="L1385" s="9">
        <v>97414.0</v>
      </c>
      <c r="M1385" s="9" t="s">
        <v>40</v>
      </c>
      <c r="N1385" s="9" t="s">
        <v>40</v>
      </c>
      <c r="O1385" s="9" t="s">
        <v>23680</v>
      </c>
      <c r="P1385" s="53" t="s">
        <v>23681</v>
      </c>
      <c r="Q1385" s="49" t="s">
        <v>23682</v>
      </c>
      <c r="R1385" s="50"/>
      <c r="S1385" s="59"/>
      <c r="T1385" s="9" t="s">
        <v>23683</v>
      </c>
      <c r="U1385" s="9" t="s">
        <v>23684</v>
      </c>
      <c r="V1385" s="9"/>
      <c r="W1385" s="9" t="s">
        <v>23685</v>
      </c>
      <c r="X1385" s="9" t="s">
        <v>23686</v>
      </c>
      <c r="Y1385" s="9" t="s">
        <v>23687</v>
      </c>
      <c r="Z1385" s="9" t="s">
        <v>353</v>
      </c>
      <c r="AC1385" s="9">
        <v>9.4085133000016E13</v>
      </c>
      <c r="AD1385" s="9">
        <v>9.4085133E8</v>
      </c>
      <c r="AE1385" s="9" t="s">
        <v>401</v>
      </c>
      <c r="AF1385" s="55">
        <v>45988.42230324074</v>
      </c>
      <c r="AG1385" s="9" t="s">
        <v>23688</v>
      </c>
      <c r="AH1385" s="9" t="s">
        <v>23689</v>
      </c>
      <c r="AJ1385" s="9" t="s">
        <v>23690</v>
      </c>
      <c r="AK1385" s="9" t="b">
        <v>1</v>
      </c>
      <c r="AL1385" s="9" t="b">
        <v>0</v>
      </c>
      <c r="AM1385" s="9" t="s">
        <v>23691</v>
      </c>
      <c r="AN1385" s="9" t="s">
        <v>23677</v>
      </c>
      <c r="AP1385" s="56">
        <v>45944.0</v>
      </c>
      <c r="AQ1385" s="9" t="b">
        <v>0</v>
      </c>
      <c r="AR1385" s="9"/>
    </row>
    <row r="1386" ht="15.75" customHeight="1">
      <c r="A1386" s="9" t="s">
        <v>23692</v>
      </c>
      <c r="B1386" s="9" t="s">
        <v>23693</v>
      </c>
      <c r="C1386" s="9" t="s">
        <v>58</v>
      </c>
      <c r="D1386" s="9" t="s">
        <v>59</v>
      </c>
      <c r="E1386" s="9"/>
      <c r="F1386" s="9">
        <v>2.0</v>
      </c>
      <c r="G1386" s="9"/>
      <c r="H1386" s="9"/>
      <c r="I1386" s="9"/>
      <c r="J1386" s="9" t="s">
        <v>23694</v>
      </c>
      <c r="K1386" s="9" t="s">
        <v>23695</v>
      </c>
      <c r="L1386" s="9">
        <v>97480.0</v>
      </c>
      <c r="M1386" s="9" t="s">
        <v>123</v>
      </c>
      <c r="N1386" s="9" t="s">
        <v>9102</v>
      </c>
      <c r="O1386" s="9" t="s">
        <v>23696</v>
      </c>
      <c r="P1386" s="53" t="s">
        <v>23697</v>
      </c>
      <c r="Q1386" s="49" t="s">
        <v>23698</v>
      </c>
      <c r="R1386" s="50"/>
      <c r="S1386" s="59"/>
      <c r="T1386" s="9" t="s">
        <v>23699</v>
      </c>
      <c r="U1386" s="9" t="s">
        <v>23700</v>
      </c>
      <c r="V1386" s="9" t="s">
        <v>23701</v>
      </c>
      <c r="W1386" s="9" t="s">
        <v>23702</v>
      </c>
      <c r="X1386" s="9" t="s">
        <v>23703</v>
      </c>
      <c r="Y1386" s="9" t="s">
        <v>12669</v>
      </c>
      <c r="Z1386" s="9" t="s">
        <v>353</v>
      </c>
      <c r="AC1386" s="9">
        <v>9.9036825E8</v>
      </c>
      <c r="AD1386" s="9">
        <v>9.9036825E8</v>
      </c>
      <c r="AE1386" s="9" t="s">
        <v>401</v>
      </c>
      <c r="AF1386" s="55">
        <v>45946.460277777776</v>
      </c>
      <c r="AG1386" s="9" t="s">
        <v>23704</v>
      </c>
      <c r="AH1386" s="9" t="s">
        <v>23705</v>
      </c>
      <c r="AJ1386" s="9"/>
      <c r="AK1386" s="9" t="b">
        <v>0</v>
      </c>
      <c r="AL1386" s="9"/>
      <c r="AM1386" s="9"/>
      <c r="AN1386" s="9" t="s">
        <v>23692</v>
      </c>
      <c r="AP1386" s="56">
        <v>45946.0</v>
      </c>
      <c r="AQ1386" s="9" t="b">
        <v>0</v>
      </c>
      <c r="AR1386" s="9"/>
    </row>
    <row r="1387" ht="15.75" customHeight="1">
      <c r="A1387" s="9" t="s">
        <v>23706</v>
      </c>
      <c r="B1387" s="9" t="s">
        <v>23707</v>
      </c>
      <c r="C1387" s="9" t="s">
        <v>58</v>
      </c>
      <c r="D1387" s="9" t="s">
        <v>59</v>
      </c>
      <c r="E1387" s="9" t="s">
        <v>346</v>
      </c>
      <c r="F1387" s="9">
        <v>6.0</v>
      </c>
      <c r="G1387" s="9" t="s">
        <v>455</v>
      </c>
      <c r="H1387" s="9"/>
      <c r="I1387" s="9"/>
      <c r="J1387" s="9" t="s">
        <v>23708</v>
      </c>
      <c r="K1387" s="9" t="s">
        <v>12616</v>
      </c>
      <c r="L1387" s="9">
        <v>97480.0</v>
      </c>
      <c r="M1387" s="9" t="s">
        <v>123</v>
      </c>
      <c r="N1387" s="9" t="s">
        <v>4456</v>
      </c>
      <c r="O1387" s="9" t="s">
        <v>23709</v>
      </c>
      <c r="P1387" s="53" t="s">
        <v>23710</v>
      </c>
      <c r="Q1387" s="43"/>
      <c r="R1387" s="50"/>
      <c r="S1387" s="59"/>
      <c r="T1387" s="9" t="s">
        <v>23711</v>
      </c>
      <c r="U1387" s="9" t="s">
        <v>23712</v>
      </c>
      <c r="V1387" s="9"/>
      <c r="W1387" s="9" t="s">
        <v>23713</v>
      </c>
      <c r="X1387" s="9" t="s">
        <v>23714</v>
      </c>
      <c r="Y1387" s="9" t="s">
        <v>14150</v>
      </c>
      <c r="Z1387" s="9"/>
      <c r="AC1387" s="9">
        <v>9.898062780001E13</v>
      </c>
      <c r="AD1387" s="9">
        <v>9.89806278E8</v>
      </c>
      <c r="AE1387" s="9" t="s">
        <v>401</v>
      </c>
      <c r="AF1387" s="55">
        <v>45988.42491898148</v>
      </c>
      <c r="AG1387" s="9" t="s">
        <v>23715</v>
      </c>
      <c r="AH1387" s="9" t="s">
        <v>23716</v>
      </c>
      <c r="AJ1387" s="9" t="s">
        <v>23717</v>
      </c>
      <c r="AK1387" s="9" t="b">
        <v>0</v>
      </c>
      <c r="AL1387" s="9" t="b">
        <v>0</v>
      </c>
      <c r="AM1387" s="9" t="s">
        <v>23718</v>
      </c>
      <c r="AN1387" s="9" t="s">
        <v>23706</v>
      </c>
      <c r="AP1387" s="56">
        <v>45947.0</v>
      </c>
      <c r="AQ1387" s="9" t="b">
        <v>0</v>
      </c>
      <c r="AR1387" s="9" t="s">
        <v>23719</v>
      </c>
    </row>
    <row r="1388" ht="15.75" customHeight="1">
      <c r="A1388" s="9" t="s">
        <v>23720</v>
      </c>
      <c r="B1388" s="9" t="s">
        <v>23721</v>
      </c>
      <c r="C1388" s="9" t="s">
        <v>58</v>
      </c>
      <c r="D1388" s="9" t="s">
        <v>59</v>
      </c>
      <c r="E1388" s="9" t="s">
        <v>545</v>
      </c>
      <c r="F1388" s="9">
        <v>2.0</v>
      </c>
      <c r="G1388" s="9" t="s">
        <v>9780</v>
      </c>
      <c r="H1388" s="9"/>
      <c r="I1388" s="9"/>
      <c r="J1388" s="52" t="s">
        <v>23722</v>
      </c>
      <c r="K1388" s="9" t="s">
        <v>12977</v>
      </c>
      <c r="L1388" s="9">
        <v>97414.0</v>
      </c>
      <c r="M1388" s="9" t="s">
        <v>40</v>
      </c>
      <c r="N1388" s="9" t="s">
        <v>12822</v>
      </c>
      <c r="O1388" s="9" t="s">
        <v>23723</v>
      </c>
      <c r="P1388" s="53" t="s">
        <v>23724</v>
      </c>
      <c r="Q1388" s="49" t="s">
        <v>23725</v>
      </c>
      <c r="R1388" s="50"/>
      <c r="S1388" s="59"/>
      <c r="T1388" s="9" t="s">
        <v>23726</v>
      </c>
      <c r="U1388" s="9" t="s">
        <v>23727</v>
      </c>
      <c r="V1388" s="9" t="s">
        <v>23728</v>
      </c>
      <c r="W1388" s="9" t="s">
        <v>23729</v>
      </c>
      <c r="X1388" s="9" t="s">
        <v>23730</v>
      </c>
      <c r="Y1388" s="9" t="s">
        <v>2390</v>
      </c>
      <c r="Z1388" s="9" t="s">
        <v>353</v>
      </c>
      <c r="AC1388" s="9">
        <v>9.9201032200012E13</v>
      </c>
      <c r="AD1388" s="9">
        <v>9.92010322E8</v>
      </c>
      <c r="AE1388" s="9" t="s">
        <v>401</v>
      </c>
      <c r="AF1388" s="55">
        <v>45975.622199074074</v>
      </c>
      <c r="AG1388" s="9" t="s">
        <v>23731</v>
      </c>
      <c r="AH1388" s="9" t="s">
        <v>23732</v>
      </c>
      <c r="AJ1388" s="9" t="s">
        <v>23733</v>
      </c>
      <c r="AK1388" s="9" t="b">
        <v>0</v>
      </c>
      <c r="AL1388" s="9"/>
      <c r="AM1388" s="9"/>
      <c r="AN1388" s="9" t="s">
        <v>23720</v>
      </c>
      <c r="AP1388" s="56">
        <v>45957.0</v>
      </c>
      <c r="AQ1388" s="9" t="b">
        <v>0</v>
      </c>
      <c r="AR1388" s="9"/>
    </row>
    <row r="1389" ht="15.75" customHeight="1">
      <c r="A1389" s="9" t="s">
        <v>23734</v>
      </c>
      <c r="B1389" s="9" t="s">
        <v>23735</v>
      </c>
      <c r="C1389" s="9" t="s">
        <v>58</v>
      </c>
      <c r="D1389" s="9" t="s">
        <v>59</v>
      </c>
      <c r="E1389" s="9" t="s">
        <v>12384</v>
      </c>
      <c r="F1389" s="9">
        <v>6.0</v>
      </c>
      <c r="G1389" s="9" t="s">
        <v>455</v>
      </c>
      <c r="H1389" s="9"/>
      <c r="I1389" s="9"/>
      <c r="J1389" s="52" t="s">
        <v>15221</v>
      </c>
      <c r="K1389" s="9" t="s">
        <v>23736</v>
      </c>
      <c r="L1389" s="9">
        <v>97418.0</v>
      </c>
      <c r="M1389" s="9" t="s">
        <v>71</v>
      </c>
      <c r="N1389" s="9" t="s">
        <v>216</v>
      </c>
      <c r="O1389" s="9" t="s">
        <v>23737</v>
      </c>
      <c r="P1389" s="53" t="s">
        <v>23738</v>
      </c>
      <c r="Q1389" s="49" t="s">
        <v>23739</v>
      </c>
      <c r="R1389" s="50"/>
      <c r="S1389" s="59"/>
      <c r="T1389" s="9" t="s">
        <v>23740</v>
      </c>
      <c r="U1389" s="9" t="s">
        <v>23741</v>
      </c>
      <c r="V1389" s="9"/>
      <c r="W1389" s="9" t="s">
        <v>23742</v>
      </c>
      <c r="X1389" s="9" t="s">
        <v>23743</v>
      </c>
      <c r="Y1389" s="9" t="s">
        <v>23283</v>
      </c>
      <c r="Z1389" s="9" t="s">
        <v>353</v>
      </c>
      <c r="AC1389" s="9">
        <v>9.3845120000019E13</v>
      </c>
      <c r="AD1389" s="9">
        <v>9.384512E8</v>
      </c>
      <c r="AE1389" s="9" t="s">
        <v>401</v>
      </c>
      <c r="AF1389" s="55">
        <v>45988.401041666664</v>
      </c>
      <c r="AG1389" s="9" t="s">
        <v>23744</v>
      </c>
      <c r="AH1389" s="9" t="s">
        <v>23745</v>
      </c>
      <c r="AJ1389" s="9" t="s">
        <v>23746</v>
      </c>
      <c r="AK1389" s="9" t="b">
        <v>0</v>
      </c>
      <c r="AL1389" s="9" t="b">
        <v>0</v>
      </c>
      <c r="AM1389" s="9" t="s">
        <v>23747</v>
      </c>
      <c r="AN1389" s="9" t="s">
        <v>23734</v>
      </c>
      <c r="AP1389" s="56">
        <v>45966.0</v>
      </c>
      <c r="AQ1389" s="9" t="b">
        <v>0</v>
      </c>
      <c r="AR1389" s="9"/>
    </row>
    <row r="1390" ht="15.75" customHeight="1">
      <c r="A1390" s="9" t="s">
        <v>23748</v>
      </c>
      <c r="B1390" s="9" t="s">
        <v>23749</v>
      </c>
      <c r="C1390" s="9" t="s">
        <v>58</v>
      </c>
      <c r="D1390" s="9" t="s">
        <v>59</v>
      </c>
      <c r="E1390" s="9" t="s">
        <v>346</v>
      </c>
      <c r="F1390" s="9">
        <v>6.0</v>
      </c>
      <c r="G1390" s="9" t="s">
        <v>455</v>
      </c>
      <c r="H1390" s="9"/>
      <c r="I1390" s="9"/>
      <c r="J1390" s="9" t="s">
        <v>23750</v>
      </c>
      <c r="K1390" s="9" t="s">
        <v>23751</v>
      </c>
      <c r="L1390" s="9">
        <v>97430.0</v>
      </c>
      <c r="M1390" s="9" t="s">
        <v>71</v>
      </c>
      <c r="N1390" s="9" t="s">
        <v>12698</v>
      </c>
      <c r="O1390" s="9" t="s">
        <v>23752</v>
      </c>
      <c r="P1390" s="53" t="s">
        <v>23753</v>
      </c>
      <c r="Q1390" s="49" t="s">
        <v>23754</v>
      </c>
      <c r="R1390" s="50"/>
      <c r="S1390" s="59"/>
      <c r="T1390" s="9" t="s">
        <v>23755</v>
      </c>
      <c r="U1390" s="9" t="s">
        <v>23756</v>
      </c>
      <c r="V1390" s="9" t="s">
        <v>23757</v>
      </c>
      <c r="W1390" s="9" t="s">
        <v>23758</v>
      </c>
      <c r="X1390" s="9" t="s">
        <v>23759</v>
      </c>
      <c r="Y1390" s="9" t="s">
        <v>23760</v>
      </c>
      <c r="Z1390" s="9" t="s">
        <v>378</v>
      </c>
      <c r="AC1390" s="9">
        <v>8.0072874300033E13</v>
      </c>
      <c r="AD1390" s="9">
        <v>8.00728743E8</v>
      </c>
      <c r="AE1390" s="9" t="s">
        <v>401</v>
      </c>
      <c r="AF1390" s="55">
        <v>46071.649351851855</v>
      </c>
      <c r="AG1390" s="9" t="s">
        <v>23761</v>
      </c>
      <c r="AH1390" s="9" t="s">
        <v>23762</v>
      </c>
      <c r="AJ1390" s="9" t="s">
        <v>23763</v>
      </c>
      <c r="AK1390" s="9" t="b">
        <v>0</v>
      </c>
      <c r="AL1390" s="9" t="b">
        <v>1</v>
      </c>
      <c r="AM1390" s="9" t="s">
        <v>23764</v>
      </c>
      <c r="AN1390" s="9" t="s">
        <v>23748</v>
      </c>
      <c r="AP1390" s="56">
        <v>45966.0</v>
      </c>
      <c r="AQ1390" s="9" t="b">
        <v>0</v>
      </c>
      <c r="AR1390" s="9"/>
    </row>
    <row r="1391" ht="15.75" customHeight="1">
      <c r="A1391" s="9" t="s">
        <v>23765</v>
      </c>
      <c r="B1391" s="9" t="s">
        <v>23766</v>
      </c>
      <c r="C1391" s="9" t="s">
        <v>58</v>
      </c>
      <c r="D1391" s="9" t="s">
        <v>59</v>
      </c>
      <c r="E1391" s="9" t="s">
        <v>12384</v>
      </c>
      <c r="F1391" s="9">
        <v>6.0</v>
      </c>
      <c r="G1391" s="9" t="s">
        <v>455</v>
      </c>
      <c r="H1391" s="9"/>
      <c r="I1391" s="9"/>
      <c r="J1391" s="52" t="s">
        <v>14790</v>
      </c>
      <c r="K1391" s="9" t="s">
        <v>23767</v>
      </c>
      <c r="L1391" s="9">
        <v>97418.0</v>
      </c>
      <c r="M1391" s="9" t="s">
        <v>71</v>
      </c>
      <c r="N1391" s="9" t="s">
        <v>216</v>
      </c>
      <c r="O1391" s="9" t="s">
        <v>23768</v>
      </c>
      <c r="P1391" s="53" t="s">
        <v>23769</v>
      </c>
      <c r="Q1391" s="49" t="s">
        <v>23770</v>
      </c>
      <c r="R1391" s="50"/>
      <c r="S1391" s="59"/>
      <c r="T1391" s="9" t="s">
        <v>23771</v>
      </c>
      <c r="U1391" s="9" t="s">
        <v>23772</v>
      </c>
      <c r="V1391" s="9"/>
      <c r="W1391" s="9" t="s">
        <v>23773</v>
      </c>
      <c r="X1391" s="9" t="s">
        <v>23774</v>
      </c>
      <c r="Y1391" s="9" t="s">
        <v>18042</v>
      </c>
      <c r="Z1391" s="9" t="s">
        <v>592</v>
      </c>
      <c r="AC1391" s="9">
        <v>9.935865690001E13</v>
      </c>
      <c r="AD1391" s="9">
        <v>9.93586569E8</v>
      </c>
      <c r="AE1391" s="9" t="s">
        <v>401</v>
      </c>
      <c r="AF1391" s="55">
        <v>46078.39886574074</v>
      </c>
      <c r="AG1391" s="9" t="s">
        <v>23775</v>
      </c>
      <c r="AH1391" s="9" t="s">
        <v>23776</v>
      </c>
      <c r="AJ1391" s="9" t="s">
        <v>23777</v>
      </c>
      <c r="AK1391" s="9" t="b">
        <v>0</v>
      </c>
      <c r="AL1391" s="9" t="b">
        <v>0</v>
      </c>
      <c r="AM1391" s="9" t="s">
        <v>23778</v>
      </c>
      <c r="AN1391" s="9" t="s">
        <v>23765</v>
      </c>
      <c r="AP1391" s="56">
        <v>45975.0</v>
      </c>
      <c r="AQ1391" s="9" t="b">
        <v>0</v>
      </c>
      <c r="AR1391" s="9"/>
    </row>
    <row r="1392" ht="15.75" customHeight="1">
      <c r="A1392" s="9" t="s">
        <v>23779</v>
      </c>
      <c r="B1392" s="9" t="s">
        <v>23780</v>
      </c>
      <c r="C1392" s="9" t="s">
        <v>58</v>
      </c>
      <c r="D1392" s="9" t="s">
        <v>59</v>
      </c>
      <c r="E1392" s="9"/>
      <c r="F1392" s="9">
        <v>5.0</v>
      </c>
      <c r="G1392" s="9" t="s">
        <v>455</v>
      </c>
      <c r="H1392" s="9" t="s">
        <v>2716</v>
      </c>
      <c r="I1392" s="9"/>
      <c r="J1392" s="52" t="s">
        <v>14086</v>
      </c>
      <c r="K1392" s="9" t="s">
        <v>23781</v>
      </c>
      <c r="L1392" s="9">
        <v>97480.0</v>
      </c>
      <c r="M1392" s="9" t="s">
        <v>123</v>
      </c>
      <c r="N1392" s="9" t="s">
        <v>9209</v>
      </c>
      <c r="O1392" s="9" t="s">
        <v>23782</v>
      </c>
      <c r="P1392" s="53" t="s">
        <v>23783</v>
      </c>
      <c r="Q1392" s="49" t="s">
        <v>23784</v>
      </c>
      <c r="R1392" s="50"/>
      <c r="S1392" s="59"/>
      <c r="T1392" s="9" t="s">
        <v>23785</v>
      </c>
      <c r="U1392" s="9" t="s">
        <v>23786</v>
      </c>
      <c r="V1392" s="9"/>
      <c r="W1392" s="9" t="s">
        <v>23787</v>
      </c>
      <c r="X1392" s="9" t="s">
        <v>23788</v>
      </c>
      <c r="Y1392" s="9" t="s">
        <v>23789</v>
      </c>
      <c r="Z1392" s="9" t="s">
        <v>353</v>
      </c>
      <c r="AC1392" s="9">
        <v>9.9143406900019E13</v>
      </c>
      <c r="AD1392" s="9">
        <v>9.91434069E8</v>
      </c>
      <c r="AE1392" s="9" t="s">
        <v>401</v>
      </c>
      <c r="AF1392" s="55">
        <v>45988.40528935185</v>
      </c>
      <c r="AG1392" s="9" t="s">
        <v>23790</v>
      </c>
      <c r="AH1392" s="9" t="s">
        <v>23791</v>
      </c>
      <c r="AJ1392" s="9" t="s">
        <v>23792</v>
      </c>
      <c r="AK1392" s="9"/>
      <c r="AL1392" s="9" t="b">
        <v>0</v>
      </c>
      <c r="AM1392" s="9" t="s">
        <v>23793</v>
      </c>
      <c r="AN1392" s="9" t="s">
        <v>23779</v>
      </c>
      <c r="AP1392" s="56">
        <v>45975.0</v>
      </c>
      <c r="AQ1392" s="9" t="b">
        <v>0</v>
      </c>
      <c r="AR1392" s="9"/>
    </row>
    <row r="1393" ht="15.75" customHeight="1">
      <c r="A1393" s="9" t="s">
        <v>23794</v>
      </c>
      <c r="B1393" s="9" t="s">
        <v>23795</v>
      </c>
      <c r="C1393" s="9" t="s">
        <v>58</v>
      </c>
      <c r="D1393" s="9" t="s">
        <v>453</v>
      </c>
      <c r="E1393" s="9"/>
      <c r="F1393" s="9"/>
      <c r="G1393" s="9" t="s">
        <v>455</v>
      </c>
      <c r="H1393" s="9"/>
      <c r="I1393" s="9"/>
      <c r="J1393" s="52" t="s">
        <v>14287</v>
      </c>
      <c r="K1393" s="9" t="s">
        <v>23796</v>
      </c>
      <c r="L1393" s="9">
        <v>97480.0</v>
      </c>
      <c r="M1393" s="9" t="s">
        <v>123</v>
      </c>
      <c r="N1393" s="9" t="s">
        <v>8325</v>
      </c>
      <c r="O1393" s="9" t="s">
        <v>23797</v>
      </c>
      <c r="P1393" s="53" t="s">
        <v>23798</v>
      </c>
      <c r="Q1393" s="49" t="s">
        <v>23799</v>
      </c>
      <c r="R1393" s="50"/>
      <c r="S1393" s="58" t="s">
        <v>23800</v>
      </c>
      <c r="T1393" s="9"/>
      <c r="U1393" s="9"/>
      <c r="V1393" s="9"/>
      <c r="W1393" s="9"/>
      <c r="X1393" s="9"/>
      <c r="Y1393" s="9"/>
      <c r="Z1393" s="9" t="s">
        <v>353</v>
      </c>
      <c r="AC1393" s="9">
        <v>9.9185184100015E13</v>
      </c>
      <c r="AD1393" s="9">
        <v>9.91851841E8</v>
      </c>
      <c r="AE1393" s="9" t="s">
        <v>5287</v>
      </c>
      <c r="AF1393" s="55">
        <v>45978.440300925926</v>
      </c>
      <c r="AG1393" s="9" t="s">
        <v>23801</v>
      </c>
      <c r="AH1393" s="9" t="s">
        <v>23802</v>
      </c>
      <c r="AJ1393" s="9" t="s">
        <v>23803</v>
      </c>
      <c r="AK1393" s="9"/>
      <c r="AL1393" s="9"/>
      <c r="AM1393" s="9"/>
      <c r="AN1393" s="9" t="s">
        <v>23794</v>
      </c>
      <c r="AP1393" s="56">
        <v>45978.0</v>
      </c>
      <c r="AQ1393" s="9" t="b">
        <v>0</v>
      </c>
      <c r="AR1393" s="9"/>
    </row>
    <row r="1394" ht="15.75" customHeight="1">
      <c r="A1394" s="9" t="s">
        <v>23804</v>
      </c>
      <c r="B1394" s="9" t="s">
        <v>23795</v>
      </c>
      <c r="C1394" s="9" t="s">
        <v>58</v>
      </c>
      <c r="D1394" s="9" t="s">
        <v>453</v>
      </c>
      <c r="E1394" s="9" t="s">
        <v>12384</v>
      </c>
      <c r="F1394" s="9"/>
      <c r="G1394" s="9" t="s">
        <v>455</v>
      </c>
      <c r="H1394" s="9"/>
      <c r="I1394" s="9"/>
      <c r="J1394" s="52" t="s">
        <v>14287</v>
      </c>
      <c r="K1394" s="9" t="s">
        <v>23796</v>
      </c>
      <c r="L1394" s="9">
        <v>97480.0</v>
      </c>
      <c r="M1394" s="9" t="s">
        <v>123</v>
      </c>
      <c r="N1394" s="9" t="s">
        <v>8325</v>
      </c>
      <c r="O1394" s="9" t="s">
        <v>23805</v>
      </c>
      <c r="P1394" s="53" t="s">
        <v>19767</v>
      </c>
      <c r="Q1394" s="49" t="s">
        <v>23799</v>
      </c>
      <c r="R1394" s="50"/>
      <c r="S1394" s="59"/>
      <c r="T1394" s="9"/>
      <c r="U1394" s="9"/>
      <c r="V1394" s="9"/>
      <c r="W1394" s="9"/>
      <c r="X1394" s="9"/>
      <c r="Y1394" s="9"/>
      <c r="Z1394" s="9"/>
      <c r="AC1394" s="9">
        <v>9.9185184100015E13</v>
      </c>
      <c r="AD1394" s="9">
        <v>9.91851841E8</v>
      </c>
      <c r="AE1394" s="9" t="s">
        <v>5287</v>
      </c>
      <c r="AF1394" s="55">
        <v>45978.54987268519</v>
      </c>
      <c r="AG1394" s="9" t="s">
        <v>19772</v>
      </c>
      <c r="AH1394" s="9" t="s">
        <v>23806</v>
      </c>
      <c r="AJ1394" s="9" t="s">
        <v>23807</v>
      </c>
      <c r="AK1394" s="9"/>
      <c r="AL1394" s="9"/>
      <c r="AM1394" s="9"/>
      <c r="AN1394" s="9" t="s">
        <v>23804</v>
      </c>
      <c r="AP1394" s="56">
        <v>45978.0</v>
      </c>
      <c r="AQ1394" s="9" t="b">
        <v>0</v>
      </c>
      <c r="AR1394" s="9"/>
    </row>
    <row r="1395" ht="15.75" customHeight="1">
      <c r="A1395" s="9" t="s">
        <v>23808</v>
      </c>
      <c r="B1395" s="9" t="s">
        <v>23809</v>
      </c>
      <c r="C1395" s="9" t="s">
        <v>822</v>
      </c>
      <c r="D1395" s="9" t="s">
        <v>823</v>
      </c>
      <c r="E1395" s="9" t="s">
        <v>559</v>
      </c>
      <c r="F1395" s="9"/>
      <c r="G1395" s="9" t="s">
        <v>455</v>
      </c>
      <c r="H1395" s="9"/>
      <c r="I1395" s="9"/>
      <c r="J1395" s="9" t="s">
        <v>23810</v>
      </c>
      <c r="K1395" s="9" t="s">
        <v>18575</v>
      </c>
      <c r="L1395" s="9">
        <v>97418.0</v>
      </c>
      <c r="M1395" s="9" t="s">
        <v>71</v>
      </c>
      <c r="N1395" s="9" t="s">
        <v>216</v>
      </c>
      <c r="O1395" s="9" t="s">
        <v>23811</v>
      </c>
      <c r="P1395" s="53" t="s">
        <v>23812</v>
      </c>
      <c r="Q1395" s="49" t="s">
        <v>23118</v>
      </c>
      <c r="R1395" s="50"/>
      <c r="S1395" s="59"/>
      <c r="T1395" s="9" t="s">
        <v>23813</v>
      </c>
      <c r="U1395" s="9" t="s">
        <v>23814</v>
      </c>
      <c r="V1395" s="9"/>
      <c r="W1395" s="9"/>
      <c r="X1395" s="9"/>
      <c r="Y1395" s="9"/>
      <c r="Z1395" s="9" t="s">
        <v>353</v>
      </c>
      <c r="AC1395" s="9"/>
      <c r="AD1395" s="9"/>
      <c r="AE1395" s="9" t="s">
        <v>401</v>
      </c>
      <c r="AF1395" s="55">
        <v>45978.48709490741</v>
      </c>
      <c r="AG1395" s="6" t="s">
        <v>15666</v>
      </c>
      <c r="AH1395" s="9" t="s">
        <v>23815</v>
      </c>
      <c r="AJ1395" s="9"/>
      <c r="AK1395" s="9"/>
      <c r="AL1395" s="9"/>
      <c r="AM1395" s="9"/>
      <c r="AN1395" s="9" t="s">
        <v>23808</v>
      </c>
      <c r="AP1395" s="56">
        <v>45978.0</v>
      </c>
      <c r="AQ1395" s="9" t="b">
        <v>0</v>
      </c>
      <c r="AR1395" s="9"/>
    </row>
    <row r="1396" ht="15.75" customHeight="1">
      <c r="A1396" s="9" t="s">
        <v>23816</v>
      </c>
      <c r="B1396" s="9" t="s">
        <v>23817</v>
      </c>
      <c r="C1396" s="9" t="s">
        <v>117</v>
      </c>
      <c r="D1396" s="9" t="s">
        <v>1549</v>
      </c>
      <c r="E1396" s="9" t="s">
        <v>12864</v>
      </c>
      <c r="F1396" s="9">
        <v>2.0</v>
      </c>
      <c r="G1396" s="9" t="s">
        <v>455</v>
      </c>
      <c r="H1396" s="9"/>
      <c r="I1396" s="9"/>
      <c r="J1396" s="52" t="s">
        <v>13151</v>
      </c>
      <c r="K1396" s="9" t="s">
        <v>23818</v>
      </c>
      <c r="L1396" s="9">
        <v>97480.0</v>
      </c>
      <c r="M1396" s="9" t="s">
        <v>123</v>
      </c>
      <c r="N1396" s="9" t="s">
        <v>206</v>
      </c>
      <c r="O1396" s="9" t="s">
        <v>23819</v>
      </c>
      <c r="P1396" s="53" t="s">
        <v>23820</v>
      </c>
      <c r="Q1396" s="49" t="s">
        <v>23821</v>
      </c>
      <c r="R1396" s="50"/>
      <c r="S1396" s="58" t="s">
        <v>23822</v>
      </c>
      <c r="T1396" s="9" t="s">
        <v>23823</v>
      </c>
      <c r="U1396" s="9" t="s">
        <v>23824</v>
      </c>
      <c r="V1396" s="9"/>
      <c r="W1396" s="9" t="s">
        <v>23825</v>
      </c>
      <c r="X1396" s="9" t="s">
        <v>23826</v>
      </c>
      <c r="Y1396" s="9" t="s">
        <v>1863</v>
      </c>
      <c r="Z1396" s="9" t="s">
        <v>353</v>
      </c>
      <c r="AC1396" s="9">
        <v>4.9384021900031E13</v>
      </c>
      <c r="AD1396" s="9">
        <v>4.93840219E8</v>
      </c>
      <c r="AE1396" s="9" t="s">
        <v>401</v>
      </c>
      <c r="AF1396" s="55">
        <v>45980.65133101852</v>
      </c>
      <c r="AG1396" s="9" t="s">
        <v>23827</v>
      </c>
      <c r="AH1396" s="9" t="s">
        <v>23828</v>
      </c>
      <c r="AJ1396" s="9" t="s">
        <v>23829</v>
      </c>
      <c r="AK1396" s="9" t="b">
        <v>1</v>
      </c>
      <c r="AL1396" s="9"/>
      <c r="AM1396" s="9"/>
      <c r="AN1396" s="9" t="s">
        <v>23816</v>
      </c>
      <c r="AP1396" s="56">
        <v>45980.0</v>
      </c>
      <c r="AQ1396" s="9" t="b">
        <v>0</v>
      </c>
      <c r="AR1396" s="9"/>
    </row>
    <row r="1397" ht="15.75" customHeight="1">
      <c r="A1397" s="9" t="s">
        <v>23830</v>
      </c>
      <c r="B1397" s="9" t="s">
        <v>23831</v>
      </c>
      <c r="C1397" s="9" t="s">
        <v>58</v>
      </c>
      <c r="D1397" s="9" t="s">
        <v>59</v>
      </c>
      <c r="E1397" s="9" t="s">
        <v>346</v>
      </c>
      <c r="F1397" s="9">
        <v>14.0</v>
      </c>
      <c r="G1397" s="9" t="s">
        <v>9780</v>
      </c>
      <c r="H1397" s="9" t="s">
        <v>13594</v>
      </c>
      <c r="I1397" s="9" t="s">
        <v>578</v>
      </c>
      <c r="J1397" s="9" t="s">
        <v>23832</v>
      </c>
      <c r="K1397" s="9" t="s">
        <v>23833</v>
      </c>
      <c r="L1397" s="9">
        <v>97480.0</v>
      </c>
      <c r="M1397" s="9" t="s">
        <v>123</v>
      </c>
      <c r="N1397" s="9" t="s">
        <v>8383</v>
      </c>
      <c r="O1397" s="9" t="s">
        <v>23834</v>
      </c>
      <c r="P1397" s="53" t="s">
        <v>23835</v>
      </c>
      <c r="Q1397" s="49" t="s">
        <v>23836</v>
      </c>
      <c r="R1397" s="50"/>
      <c r="S1397" s="59"/>
      <c r="T1397" s="9" t="s">
        <v>23837</v>
      </c>
      <c r="U1397" s="9" t="s">
        <v>23838</v>
      </c>
      <c r="V1397" s="9" t="s">
        <v>23839</v>
      </c>
      <c r="W1397" s="9" t="s">
        <v>23840</v>
      </c>
      <c r="X1397" s="9" t="s">
        <v>23841</v>
      </c>
      <c r="Y1397" s="9" t="s">
        <v>23842</v>
      </c>
      <c r="Z1397" s="9" t="s">
        <v>440</v>
      </c>
      <c r="AC1397" s="9">
        <v>9.3496172300012E13</v>
      </c>
      <c r="AD1397" s="9">
        <v>9.34961723E8</v>
      </c>
      <c r="AE1397" s="9" t="s">
        <v>401</v>
      </c>
      <c r="AF1397" s="55">
        <v>45988.41206018518</v>
      </c>
      <c r="AG1397" s="9" t="s">
        <v>23843</v>
      </c>
      <c r="AH1397" s="9" t="s">
        <v>23844</v>
      </c>
      <c r="AJ1397" s="9" t="s">
        <v>23845</v>
      </c>
      <c r="AK1397" s="9" t="b">
        <v>1</v>
      </c>
      <c r="AL1397" s="9" t="b">
        <v>0</v>
      </c>
      <c r="AM1397" s="9" t="s">
        <v>23846</v>
      </c>
      <c r="AN1397" s="9" t="s">
        <v>23830</v>
      </c>
      <c r="AP1397" s="56">
        <v>45981.0</v>
      </c>
      <c r="AQ1397" s="9" t="b">
        <v>0</v>
      </c>
      <c r="AR1397" s="9"/>
    </row>
    <row r="1398" ht="15.75" customHeight="1">
      <c r="A1398" s="9" t="s">
        <v>23847</v>
      </c>
      <c r="B1398" s="9" t="s">
        <v>23848</v>
      </c>
      <c r="C1398" s="9" t="s">
        <v>58</v>
      </c>
      <c r="D1398" s="9" t="s">
        <v>1141</v>
      </c>
      <c r="E1398" s="9" t="s">
        <v>1414</v>
      </c>
      <c r="F1398" s="9">
        <v>20.0</v>
      </c>
      <c r="G1398" s="9" t="s">
        <v>455</v>
      </c>
      <c r="H1398" s="9"/>
      <c r="I1398" s="9"/>
      <c r="J1398" s="52" t="s">
        <v>13538</v>
      </c>
      <c r="K1398" s="9" t="s">
        <v>23849</v>
      </c>
      <c r="L1398" s="9">
        <v>97430.0</v>
      </c>
      <c r="M1398" s="9" t="s">
        <v>71</v>
      </c>
      <c r="N1398" s="9" t="s">
        <v>20025</v>
      </c>
      <c r="O1398" s="9" t="s">
        <v>23850</v>
      </c>
      <c r="P1398" s="53" t="s">
        <v>23851</v>
      </c>
      <c r="Q1398" s="49" t="s">
        <v>23852</v>
      </c>
      <c r="R1398" s="50"/>
      <c r="S1398" s="59"/>
      <c r="T1398" s="9" t="s">
        <v>23853</v>
      </c>
      <c r="U1398" s="9" t="s">
        <v>23854</v>
      </c>
      <c r="V1398" s="9" t="s">
        <v>23855</v>
      </c>
      <c r="W1398" s="9" t="s">
        <v>23856</v>
      </c>
      <c r="X1398" s="9" t="s">
        <v>23857</v>
      </c>
      <c r="Y1398" s="9" t="s">
        <v>23858</v>
      </c>
      <c r="Z1398" s="9" t="s">
        <v>353</v>
      </c>
      <c r="AC1398" s="9">
        <v>9.8330264700018E13</v>
      </c>
      <c r="AD1398" s="9">
        <v>9.83302647E8</v>
      </c>
      <c r="AE1398" s="9" t="s">
        <v>401</v>
      </c>
      <c r="AF1398" s="55">
        <v>46013.6240625</v>
      </c>
      <c r="AG1398" s="9" t="s">
        <v>13384</v>
      </c>
      <c r="AH1398" s="9" t="s">
        <v>23859</v>
      </c>
      <c r="AJ1398" s="9" t="s">
        <v>23860</v>
      </c>
      <c r="AK1398" s="9" t="b">
        <v>1</v>
      </c>
      <c r="AL1398" s="9" t="b">
        <v>0</v>
      </c>
      <c r="AM1398" s="9"/>
      <c r="AN1398" s="9" t="s">
        <v>23847</v>
      </c>
      <c r="AP1398" s="56">
        <v>45982.0</v>
      </c>
      <c r="AQ1398" s="9" t="b">
        <v>0</v>
      </c>
      <c r="AR1398" s="9" t="s">
        <v>23861</v>
      </c>
    </row>
    <row r="1399" ht="15.75" customHeight="1">
      <c r="A1399" s="9" t="s">
        <v>23862</v>
      </c>
      <c r="B1399" s="9" t="s">
        <v>23863</v>
      </c>
      <c r="C1399" s="9" t="s">
        <v>58</v>
      </c>
      <c r="D1399" s="9" t="s">
        <v>59</v>
      </c>
      <c r="E1399" s="9" t="s">
        <v>12384</v>
      </c>
      <c r="F1399" s="9">
        <v>4.0</v>
      </c>
      <c r="G1399" s="9" t="s">
        <v>455</v>
      </c>
      <c r="H1399" s="9"/>
      <c r="I1399" s="9"/>
      <c r="J1399" s="9" t="s">
        <v>23864</v>
      </c>
      <c r="K1399" s="9" t="s">
        <v>23865</v>
      </c>
      <c r="L1399" s="9">
        <v>97442.0</v>
      </c>
      <c r="M1399" s="9" t="s">
        <v>33</v>
      </c>
      <c r="N1399" s="9" t="s">
        <v>14526</v>
      </c>
      <c r="O1399" s="9" t="s">
        <v>23866</v>
      </c>
      <c r="P1399" s="53" t="s">
        <v>23867</v>
      </c>
      <c r="Q1399" s="49" t="s">
        <v>23868</v>
      </c>
      <c r="R1399" s="50"/>
      <c r="S1399" s="59"/>
      <c r="T1399" s="9" t="s">
        <v>23869</v>
      </c>
      <c r="U1399" s="9" t="s">
        <v>23870</v>
      </c>
      <c r="V1399" s="9" t="s">
        <v>23871</v>
      </c>
      <c r="W1399" s="9" t="s">
        <v>23872</v>
      </c>
      <c r="X1399" s="9" t="s">
        <v>23873</v>
      </c>
      <c r="Y1399" s="9" t="s">
        <v>12669</v>
      </c>
      <c r="Z1399" s="9" t="s">
        <v>378</v>
      </c>
      <c r="AC1399" s="9">
        <v>4.0419944000029E13</v>
      </c>
      <c r="AD1399" s="9">
        <v>4.0419944E8</v>
      </c>
      <c r="AE1399" s="9" t="s">
        <v>401</v>
      </c>
      <c r="AF1399" s="55">
        <v>45988.41363425926</v>
      </c>
      <c r="AG1399" s="9" t="s">
        <v>23874</v>
      </c>
      <c r="AH1399" s="9" t="s">
        <v>23875</v>
      </c>
      <c r="AJ1399" s="9" t="s">
        <v>23876</v>
      </c>
      <c r="AK1399" s="9" t="b">
        <v>0</v>
      </c>
      <c r="AL1399" s="9" t="b">
        <v>0</v>
      </c>
      <c r="AM1399" s="9" t="s">
        <v>23877</v>
      </c>
      <c r="AN1399" s="9" t="s">
        <v>23862</v>
      </c>
      <c r="AP1399" s="56">
        <v>45985.0</v>
      </c>
      <c r="AQ1399" s="9" t="b">
        <v>0</v>
      </c>
      <c r="AR1399" s="9"/>
    </row>
    <row r="1400" ht="15.75" customHeight="1">
      <c r="A1400" s="9" t="s">
        <v>23878</v>
      </c>
      <c r="B1400" s="9" t="s">
        <v>23879</v>
      </c>
      <c r="C1400" s="9" t="s">
        <v>58</v>
      </c>
      <c r="D1400" s="9" t="s">
        <v>59</v>
      </c>
      <c r="E1400" s="9" t="s">
        <v>12384</v>
      </c>
      <c r="F1400" s="9">
        <v>4.0</v>
      </c>
      <c r="G1400" s="9" t="s">
        <v>455</v>
      </c>
      <c r="H1400" s="9" t="s">
        <v>2716</v>
      </c>
      <c r="I1400" s="9"/>
      <c r="J1400" s="52" t="s">
        <v>14790</v>
      </c>
      <c r="K1400" s="9" t="s">
        <v>15581</v>
      </c>
      <c r="L1400" s="9">
        <v>97442.0</v>
      </c>
      <c r="M1400" s="9" t="s">
        <v>33</v>
      </c>
      <c r="N1400" s="9" t="s">
        <v>15582</v>
      </c>
      <c r="O1400" s="9" t="s">
        <v>23880</v>
      </c>
      <c r="P1400" s="53" t="s">
        <v>23881</v>
      </c>
      <c r="Q1400" s="49" t="s">
        <v>23882</v>
      </c>
      <c r="R1400" s="50"/>
      <c r="S1400" s="59"/>
      <c r="T1400" s="9" t="s">
        <v>23883</v>
      </c>
      <c r="U1400" s="9" t="s">
        <v>23884</v>
      </c>
      <c r="V1400" s="9" t="s">
        <v>23885</v>
      </c>
      <c r="W1400" s="9" t="s">
        <v>23886</v>
      </c>
      <c r="X1400" s="9" t="s">
        <v>23887</v>
      </c>
      <c r="Y1400" s="9" t="s">
        <v>22453</v>
      </c>
      <c r="Z1400" s="9" t="s">
        <v>424</v>
      </c>
      <c r="AC1400" s="9">
        <v>9.3779075600012E13</v>
      </c>
      <c r="AD1400" s="9">
        <v>9.37790756E8</v>
      </c>
      <c r="AE1400" s="9" t="s">
        <v>401</v>
      </c>
      <c r="AF1400" s="55">
        <v>45987.46275462963</v>
      </c>
      <c r="AG1400" s="9" t="s">
        <v>23888</v>
      </c>
      <c r="AH1400" s="9" t="s">
        <v>23889</v>
      </c>
      <c r="AJ1400" s="9" t="s">
        <v>23890</v>
      </c>
      <c r="AK1400" s="9" t="b">
        <v>0</v>
      </c>
      <c r="AL1400" s="9" t="b">
        <v>0</v>
      </c>
      <c r="AM1400" s="9" t="s">
        <v>23891</v>
      </c>
      <c r="AN1400" s="9" t="s">
        <v>23878</v>
      </c>
      <c r="AP1400" s="56">
        <v>45987.0</v>
      </c>
      <c r="AQ1400" s="9" t="b">
        <v>0</v>
      </c>
      <c r="AR1400" s="9"/>
    </row>
    <row r="1401" ht="15.75" customHeight="1">
      <c r="A1401" s="9" t="s">
        <v>257</v>
      </c>
      <c r="B1401" s="9" t="s">
        <v>23892</v>
      </c>
      <c r="C1401" s="9" t="s">
        <v>58</v>
      </c>
      <c r="D1401" s="9" t="s">
        <v>59</v>
      </c>
      <c r="E1401" s="9" t="s">
        <v>12384</v>
      </c>
      <c r="F1401" s="9">
        <v>6.0</v>
      </c>
      <c r="G1401" s="9" t="s">
        <v>455</v>
      </c>
      <c r="H1401" s="9"/>
      <c r="I1401" s="9"/>
      <c r="J1401" s="9" t="s">
        <v>23893</v>
      </c>
      <c r="K1401" s="9" t="s">
        <v>17145</v>
      </c>
      <c r="L1401" s="9">
        <v>97430.0</v>
      </c>
      <c r="M1401" s="9" t="s">
        <v>71</v>
      </c>
      <c r="N1401" s="9" t="s">
        <v>17102</v>
      </c>
      <c r="O1401" s="9" t="s">
        <v>23894</v>
      </c>
      <c r="P1401" s="53" t="s">
        <v>7159</v>
      </c>
      <c r="Q1401" s="49" t="s">
        <v>12307</v>
      </c>
      <c r="R1401" s="50"/>
      <c r="S1401" s="59"/>
      <c r="T1401" s="9" t="s">
        <v>23895</v>
      </c>
      <c r="U1401" s="9" t="s">
        <v>23896</v>
      </c>
      <c r="V1401" s="9"/>
      <c r="W1401" s="9" t="s">
        <v>23897</v>
      </c>
      <c r="X1401" s="9" t="s">
        <v>23898</v>
      </c>
      <c r="Y1401" s="9" t="s">
        <v>4368</v>
      </c>
      <c r="Z1401" s="9" t="s">
        <v>353</v>
      </c>
      <c r="AC1401" s="9">
        <v>4.3893782300021E13</v>
      </c>
      <c r="AD1401" s="9">
        <v>4.38937823E8</v>
      </c>
      <c r="AE1401" s="9" t="s">
        <v>401</v>
      </c>
      <c r="AF1401" s="55">
        <v>46071.45431712963</v>
      </c>
      <c r="AG1401" s="9" t="s">
        <v>12308</v>
      </c>
      <c r="AH1401" s="9" t="s">
        <v>23899</v>
      </c>
      <c r="AJ1401" s="9"/>
      <c r="AK1401" s="9" t="b">
        <v>1</v>
      </c>
      <c r="AL1401" s="9" t="b">
        <v>0</v>
      </c>
      <c r="AM1401" s="9" t="s">
        <v>23900</v>
      </c>
      <c r="AN1401" s="9" t="s">
        <v>257</v>
      </c>
      <c r="AP1401" s="56">
        <v>45993.0</v>
      </c>
      <c r="AQ1401" s="9" t="b">
        <v>0</v>
      </c>
      <c r="AR1401" s="9"/>
    </row>
    <row r="1402" ht="15.75" customHeight="1">
      <c r="A1402" s="9" t="s">
        <v>23901</v>
      </c>
      <c r="B1402" s="9" t="s">
        <v>23902</v>
      </c>
      <c r="C1402" s="9" t="s">
        <v>58</v>
      </c>
      <c r="D1402" s="9" t="s">
        <v>59</v>
      </c>
      <c r="E1402" s="9" t="s">
        <v>12384</v>
      </c>
      <c r="F1402" s="9">
        <v>2.0</v>
      </c>
      <c r="G1402" s="9" t="s">
        <v>455</v>
      </c>
      <c r="H1402" s="9"/>
      <c r="I1402" s="9"/>
      <c r="J1402" s="52" t="s">
        <v>17844</v>
      </c>
      <c r="K1402" s="9" t="s">
        <v>15581</v>
      </c>
      <c r="L1402" s="9">
        <v>97480.0</v>
      </c>
      <c r="M1402" s="9" t="s">
        <v>123</v>
      </c>
      <c r="N1402" s="9" t="s">
        <v>9209</v>
      </c>
      <c r="O1402" s="9" t="s">
        <v>23903</v>
      </c>
      <c r="P1402" s="53" t="s">
        <v>23904</v>
      </c>
      <c r="Q1402" s="49" t="s">
        <v>23905</v>
      </c>
      <c r="R1402" s="50"/>
      <c r="S1402" s="59"/>
      <c r="T1402" s="9" t="s">
        <v>23906</v>
      </c>
      <c r="U1402" s="9"/>
      <c r="V1402" s="9" t="s">
        <v>23907</v>
      </c>
      <c r="W1402" s="9" t="s">
        <v>23908</v>
      </c>
      <c r="X1402" s="9" t="s">
        <v>23166</v>
      </c>
      <c r="Y1402" s="9" t="s">
        <v>9455</v>
      </c>
      <c r="Z1402" s="9" t="s">
        <v>353</v>
      </c>
      <c r="AC1402" s="9">
        <v>4.5102816100029E13</v>
      </c>
      <c r="AD1402" s="9">
        <v>4.51028161E8</v>
      </c>
      <c r="AE1402" s="9" t="s">
        <v>401</v>
      </c>
      <c r="AF1402" s="55">
        <v>46003.414039351854</v>
      </c>
      <c r="AG1402" s="9" t="s">
        <v>23909</v>
      </c>
      <c r="AH1402" s="9" t="s">
        <v>23910</v>
      </c>
      <c r="AJ1402" s="9" t="s">
        <v>23911</v>
      </c>
      <c r="AK1402" s="9" t="b">
        <v>0</v>
      </c>
      <c r="AL1402" s="9" t="b">
        <v>0</v>
      </c>
      <c r="AM1402" s="9" t="s">
        <v>23912</v>
      </c>
      <c r="AN1402" s="9" t="s">
        <v>23901</v>
      </c>
      <c r="AP1402" s="56">
        <v>46002.0</v>
      </c>
      <c r="AQ1402" s="9" t="b">
        <v>0</v>
      </c>
      <c r="AR1402" s="9"/>
    </row>
    <row r="1403" ht="15.75" customHeight="1">
      <c r="A1403" s="9" t="s">
        <v>23913</v>
      </c>
      <c r="B1403" s="9" t="s">
        <v>23914</v>
      </c>
      <c r="C1403" s="9" t="s">
        <v>117</v>
      </c>
      <c r="D1403" s="9" t="s">
        <v>197</v>
      </c>
      <c r="E1403" s="9" t="s">
        <v>559</v>
      </c>
      <c r="F1403" s="9"/>
      <c r="G1403" s="9" t="s">
        <v>455</v>
      </c>
      <c r="H1403" s="9"/>
      <c r="I1403" s="9"/>
      <c r="J1403" s="52" t="s">
        <v>12528</v>
      </c>
      <c r="K1403" s="9" t="s">
        <v>23915</v>
      </c>
      <c r="L1403" s="9">
        <v>97480.0</v>
      </c>
      <c r="M1403" s="9" t="s">
        <v>123</v>
      </c>
      <c r="N1403" s="9" t="s">
        <v>12446</v>
      </c>
      <c r="O1403" s="9" t="s">
        <v>23916</v>
      </c>
      <c r="P1403" s="53" t="s">
        <v>23917</v>
      </c>
      <c r="Q1403" s="49" t="s">
        <v>23918</v>
      </c>
      <c r="R1403" s="50"/>
      <c r="S1403" s="58" t="s">
        <v>23919</v>
      </c>
      <c r="T1403" s="9" t="s">
        <v>23920</v>
      </c>
      <c r="U1403" s="9" t="s">
        <v>23921</v>
      </c>
      <c r="V1403" s="9" t="s">
        <v>23922</v>
      </c>
      <c r="W1403" s="9" t="s">
        <v>23923</v>
      </c>
      <c r="X1403" s="9" t="s">
        <v>23924</v>
      </c>
      <c r="Y1403" s="9" t="s">
        <v>22496</v>
      </c>
      <c r="Z1403" s="9" t="s">
        <v>353</v>
      </c>
      <c r="AC1403" s="9">
        <v>8.9923826500016E13</v>
      </c>
      <c r="AD1403" s="9">
        <v>8.99238265E8</v>
      </c>
      <c r="AE1403" s="9" t="s">
        <v>401</v>
      </c>
      <c r="AF1403" s="55">
        <v>46058.37373842593</v>
      </c>
      <c r="AG1403" s="9" t="s">
        <v>23925</v>
      </c>
      <c r="AH1403" s="9" t="s">
        <v>23926</v>
      </c>
      <c r="AJ1403" s="9" t="s">
        <v>23927</v>
      </c>
      <c r="AK1403" s="9" t="b">
        <v>0</v>
      </c>
      <c r="AL1403" s="9" t="b">
        <v>0</v>
      </c>
      <c r="AM1403" s="9"/>
      <c r="AN1403" s="9" t="s">
        <v>23913</v>
      </c>
      <c r="AP1403" s="56">
        <v>46029.0</v>
      </c>
      <c r="AQ1403" s="9" t="b">
        <v>0</v>
      </c>
      <c r="AR1403" s="9"/>
    </row>
    <row r="1404" ht="15.75" customHeight="1">
      <c r="A1404" s="9" t="s">
        <v>23928</v>
      </c>
      <c r="B1404" s="9" t="s">
        <v>23929</v>
      </c>
      <c r="C1404" s="9" t="s">
        <v>58</v>
      </c>
      <c r="D1404" s="9" t="s">
        <v>59</v>
      </c>
      <c r="E1404" s="9" t="s">
        <v>374</v>
      </c>
      <c r="F1404" s="9">
        <v>3.0</v>
      </c>
      <c r="G1404" s="9" t="s">
        <v>455</v>
      </c>
      <c r="H1404" s="9"/>
      <c r="I1404" s="9"/>
      <c r="J1404" s="52" t="s">
        <v>12630</v>
      </c>
      <c r="K1404" s="9" t="s">
        <v>23930</v>
      </c>
      <c r="L1404" s="9">
        <v>97430.0</v>
      </c>
      <c r="M1404" s="9" t="s">
        <v>71</v>
      </c>
      <c r="N1404" s="9" t="s">
        <v>13851</v>
      </c>
      <c r="O1404" s="9" t="s">
        <v>23931</v>
      </c>
      <c r="P1404" s="53" t="s">
        <v>23932</v>
      </c>
      <c r="Q1404" s="49" t="s">
        <v>23933</v>
      </c>
      <c r="R1404" s="50"/>
      <c r="S1404" s="59"/>
      <c r="T1404" s="9" t="s">
        <v>23934</v>
      </c>
      <c r="U1404" s="9" t="s">
        <v>23935</v>
      </c>
      <c r="V1404" s="9"/>
      <c r="W1404" s="9" t="s">
        <v>23936</v>
      </c>
      <c r="X1404" s="9" t="s">
        <v>23937</v>
      </c>
      <c r="Y1404" s="9" t="s">
        <v>23938</v>
      </c>
      <c r="Z1404" s="9" t="s">
        <v>378</v>
      </c>
      <c r="AC1404" s="9">
        <v>9.9386137600016E13</v>
      </c>
      <c r="AD1404" s="9">
        <v>9.93861376E8</v>
      </c>
      <c r="AE1404" s="9" t="s">
        <v>401</v>
      </c>
      <c r="AF1404" s="55">
        <v>46058.37813657407</v>
      </c>
      <c r="AG1404" s="9" t="s">
        <v>23939</v>
      </c>
      <c r="AH1404" s="9" t="s">
        <v>23940</v>
      </c>
      <c r="AJ1404" s="9" t="s">
        <v>23941</v>
      </c>
      <c r="AK1404" s="9" t="b">
        <v>1</v>
      </c>
      <c r="AL1404" s="9" t="b">
        <v>1</v>
      </c>
      <c r="AM1404" s="9"/>
      <c r="AN1404" s="9" t="s">
        <v>23928</v>
      </c>
      <c r="AP1404" s="56">
        <v>46029.0</v>
      </c>
      <c r="AQ1404" s="9" t="b">
        <v>0</v>
      </c>
      <c r="AR1404" s="9"/>
    </row>
    <row r="1405" ht="15.75" customHeight="1">
      <c r="A1405" s="9" t="s">
        <v>23942</v>
      </c>
      <c r="B1405" s="9" t="s">
        <v>23943</v>
      </c>
      <c r="C1405" s="9" t="s">
        <v>58</v>
      </c>
      <c r="D1405" s="9" t="s">
        <v>453</v>
      </c>
      <c r="E1405" s="9" t="s">
        <v>12384</v>
      </c>
      <c r="F1405" s="9">
        <v>10.0</v>
      </c>
      <c r="G1405" s="9" t="s">
        <v>455</v>
      </c>
      <c r="H1405" s="9"/>
      <c r="I1405" s="9"/>
      <c r="J1405" s="52" t="s">
        <v>18644</v>
      </c>
      <c r="K1405" s="9" t="s">
        <v>23944</v>
      </c>
      <c r="L1405" s="9">
        <v>97418.0</v>
      </c>
      <c r="M1405" s="9" t="s">
        <v>71</v>
      </c>
      <c r="N1405" s="9" t="s">
        <v>216</v>
      </c>
      <c r="O1405" s="9" t="s">
        <v>23945</v>
      </c>
      <c r="P1405" s="53" t="s">
        <v>23946</v>
      </c>
      <c r="Q1405" s="49" t="s">
        <v>23947</v>
      </c>
      <c r="R1405" s="50"/>
      <c r="S1405" s="59"/>
      <c r="T1405" s="9" t="s">
        <v>23948</v>
      </c>
      <c r="U1405" s="9" t="s">
        <v>23949</v>
      </c>
      <c r="V1405" s="9" t="s">
        <v>23950</v>
      </c>
      <c r="W1405" s="9" t="s">
        <v>23951</v>
      </c>
      <c r="X1405" s="9" t="s">
        <v>15939</v>
      </c>
      <c r="Y1405" s="9" t="s">
        <v>13684</v>
      </c>
      <c r="Z1405" s="9" t="s">
        <v>378</v>
      </c>
      <c r="AC1405" s="9">
        <v>8.775958920001E13</v>
      </c>
      <c r="AD1405" s="9">
        <v>8.77595892E8</v>
      </c>
      <c r="AE1405" s="9" t="s">
        <v>401</v>
      </c>
      <c r="AF1405" s="55">
        <v>46058.380625</v>
      </c>
      <c r="AG1405" s="9" t="s">
        <v>23952</v>
      </c>
      <c r="AH1405" s="9" t="s">
        <v>23953</v>
      </c>
      <c r="AJ1405" s="9" t="s">
        <v>23954</v>
      </c>
      <c r="AK1405" s="9" t="b">
        <v>0</v>
      </c>
      <c r="AL1405" s="9" t="b">
        <v>0</v>
      </c>
      <c r="AM1405" s="9" t="s">
        <v>23955</v>
      </c>
      <c r="AN1405" s="9" t="s">
        <v>23942</v>
      </c>
      <c r="AP1405" s="56">
        <v>46030.0</v>
      </c>
      <c r="AQ1405" s="9" t="b">
        <v>0</v>
      </c>
      <c r="AR1405" s="9"/>
    </row>
    <row r="1406" ht="15.75" customHeight="1">
      <c r="A1406" s="9" t="s">
        <v>23956</v>
      </c>
      <c r="B1406" s="9" t="s">
        <v>23957</v>
      </c>
      <c r="C1406" s="9" t="s">
        <v>58</v>
      </c>
      <c r="D1406" s="9" t="s">
        <v>59</v>
      </c>
      <c r="E1406" s="9" t="s">
        <v>12384</v>
      </c>
      <c r="F1406" s="9">
        <v>4.0</v>
      </c>
      <c r="G1406" s="9" t="s">
        <v>455</v>
      </c>
      <c r="H1406" s="9" t="s">
        <v>395</v>
      </c>
      <c r="I1406" s="9"/>
      <c r="J1406" s="52" t="s">
        <v>19879</v>
      </c>
      <c r="K1406" s="9" t="s">
        <v>23958</v>
      </c>
      <c r="L1406" s="9">
        <v>97430.0</v>
      </c>
      <c r="M1406" s="9" t="s">
        <v>71</v>
      </c>
      <c r="N1406" s="9" t="s">
        <v>12698</v>
      </c>
      <c r="O1406" s="9" t="s">
        <v>23959</v>
      </c>
      <c r="P1406" s="53" t="s">
        <v>23960</v>
      </c>
      <c r="Q1406" s="49" t="s">
        <v>23961</v>
      </c>
      <c r="R1406" s="50"/>
      <c r="S1406" s="59"/>
      <c r="T1406" s="9" t="s">
        <v>23962</v>
      </c>
      <c r="U1406" s="9" t="s">
        <v>23963</v>
      </c>
      <c r="V1406" s="9"/>
      <c r="W1406" s="9" t="s">
        <v>23964</v>
      </c>
      <c r="X1406" s="9" t="s">
        <v>23965</v>
      </c>
      <c r="Y1406" s="9" t="s">
        <v>18724</v>
      </c>
      <c r="Z1406" s="9" t="s">
        <v>378</v>
      </c>
      <c r="AC1406" s="9">
        <v>9.9023178900019E13</v>
      </c>
      <c r="AD1406" s="9">
        <v>9.90231789E8</v>
      </c>
      <c r="AE1406" s="9" t="s">
        <v>401</v>
      </c>
      <c r="AF1406" s="55">
        <v>46058.38355324074</v>
      </c>
      <c r="AG1406" s="9" t="s">
        <v>23966</v>
      </c>
      <c r="AH1406" s="9" t="s">
        <v>23967</v>
      </c>
      <c r="AJ1406" s="9" t="s">
        <v>23968</v>
      </c>
      <c r="AK1406" s="9" t="b">
        <v>1</v>
      </c>
      <c r="AL1406" s="9" t="b">
        <v>0</v>
      </c>
      <c r="AM1406" s="9" t="s">
        <v>23969</v>
      </c>
      <c r="AN1406" s="9" t="s">
        <v>23956</v>
      </c>
      <c r="AP1406" s="56">
        <v>46035.0</v>
      </c>
      <c r="AQ1406" s="9" t="b">
        <v>0</v>
      </c>
      <c r="AR1406" s="9"/>
    </row>
    <row r="1407" ht="15.75" customHeight="1">
      <c r="A1407" s="9" t="s">
        <v>23970</v>
      </c>
      <c r="B1407" s="9" t="s">
        <v>23971</v>
      </c>
      <c r="C1407" s="9" t="s">
        <v>117</v>
      </c>
      <c r="D1407" s="9" t="s">
        <v>1792</v>
      </c>
      <c r="E1407" s="9" t="s">
        <v>22377</v>
      </c>
      <c r="F1407" s="9"/>
      <c r="G1407" s="9" t="s">
        <v>455</v>
      </c>
      <c r="H1407" s="9"/>
      <c r="I1407" s="9"/>
      <c r="J1407" s="52" t="s">
        <v>22266</v>
      </c>
      <c r="K1407" s="9" t="s">
        <v>23972</v>
      </c>
      <c r="L1407" s="9">
        <v>97480.0</v>
      </c>
      <c r="M1407" s="9" t="s">
        <v>123</v>
      </c>
      <c r="N1407" s="9" t="s">
        <v>8373</v>
      </c>
      <c r="O1407" s="9" t="s">
        <v>23973</v>
      </c>
      <c r="P1407" s="53" t="s">
        <v>23974</v>
      </c>
      <c r="Q1407" s="49" t="s">
        <v>23975</v>
      </c>
      <c r="R1407" s="50"/>
      <c r="S1407" s="59"/>
      <c r="T1407" s="9" t="s">
        <v>23976</v>
      </c>
      <c r="U1407" s="9" t="s">
        <v>23977</v>
      </c>
      <c r="V1407" s="9" t="s">
        <v>23494</v>
      </c>
      <c r="W1407" s="9" t="s">
        <v>14108</v>
      </c>
      <c r="X1407" s="9" t="s">
        <v>23978</v>
      </c>
      <c r="Y1407" s="9" t="s">
        <v>4973</v>
      </c>
      <c r="Z1407" s="9" t="s">
        <v>353</v>
      </c>
      <c r="AC1407" s="9">
        <v>8.78206341E8</v>
      </c>
      <c r="AD1407" s="9">
        <v>8.78206341E8</v>
      </c>
      <c r="AE1407" s="9" t="s">
        <v>401</v>
      </c>
      <c r="AF1407" s="55">
        <v>46058.388402777775</v>
      </c>
      <c r="AG1407" s="9" t="s">
        <v>23979</v>
      </c>
      <c r="AH1407" s="9" t="s">
        <v>23980</v>
      </c>
      <c r="AJ1407" s="9" t="s">
        <v>23981</v>
      </c>
      <c r="AK1407" s="9" t="b">
        <v>1</v>
      </c>
      <c r="AL1407" s="9" t="b">
        <v>0</v>
      </c>
      <c r="AM1407" s="9"/>
      <c r="AN1407" s="9" t="s">
        <v>23970</v>
      </c>
      <c r="AP1407" s="56">
        <v>46035.0</v>
      </c>
      <c r="AQ1407" s="9" t="b">
        <v>0</v>
      </c>
      <c r="AR1407" s="9"/>
    </row>
    <row r="1408" ht="15.75" customHeight="1">
      <c r="A1408" s="9" t="s">
        <v>23982</v>
      </c>
      <c r="B1408" s="9" t="s">
        <v>23983</v>
      </c>
      <c r="C1408" s="9" t="s">
        <v>58</v>
      </c>
      <c r="D1408" s="9" t="s">
        <v>59</v>
      </c>
      <c r="E1408" s="9" t="s">
        <v>545</v>
      </c>
      <c r="F1408" s="9">
        <v>5.0</v>
      </c>
      <c r="G1408" s="9" t="s">
        <v>455</v>
      </c>
      <c r="H1408" s="9"/>
      <c r="I1408" s="9"/>
      <c r="J1408" s="9" t="s">
        <v>14072</v>
      </c>
      <c r="K1408" s="9" t="s">
        <v>23984</v>
      </c>
      <c r="L1408" s="9">
        <v>97414.0</v>
      </c>
      <c r="M1408" s="9" t="s">
        <v>40</v>
      </c>
      <c r="N1408" s="9" t="s">
        <v>23985</v>
      </c>
      <c r="O1408" s="9" t="s">
        <v>23986</v>
      </c>
      <c r="P1408" s="53" t="s">
        <v>23987</v>
      </c>
      <c r="Q1408" s="49" t="s">
        <v>23988</v>
      </c>
      <c r="R1408" s="50"/>
      <c r="S1408" s="59"/>
      <c r="T1408" s="9"/>
      <c r="U1408" s="9"/>
      <c r="V1408" s="9"/>
      <c r="W1408" s="9"/>
      <c r="X1408" s="9"/>
      <c r="Y1408" s="9"/>
      <c r="Z1408" s="9"/>
      <c r="AC1408" s="9">
        <v>9.4231155600016E13</v>
      </c>
      <c r="AD1408" s="9">
        <v>9.42311556E8</v>
      </c>
      <c r="AE1408" s="9" t="s">
        <v>401</v>
      </c>
      <c r="AF1408" s="55">
        <v>46058.38653935185</v>
      </c>
      <c r="AG1408" s="9" t="s">
        <v>23989</v>
      </c>
      <c r="AH1408" s="9" t="s">
        <v>23990</v>
      </c>
      <c r="AJ1408" s="9"/>
      <c r="AK1408" s="9"/>
      <c r="AL1408" s="9"/>
      <c r="AM1408" s="9" t="s">
        <v>23991</v>
      </c>
      <c r="AN1408" s="9" t="s">
        <v>23982</v>
      </c>
      <c r="AP1408" s="56">
        <v>46035.0</v>
      </c>
      <c r="AQ1408" s="9" t="b">
        <v>0</v>
      </c>
      <c r="AR1408" s="9"/>
    </row>
    <row r="1409" ht="15.75" customHeight="1">
      <c r="A1409" s="9" t="s">
        <v>23992</v>
      </c>
      <c r="B1409" s="9" t="s">
        <v>23993</v>
      </c>
      <c r="C1409" s="9" t="s">
        <v>34</v>
      </c>
      <c r="D1409" s="9" t="s">
        <v>678</v>
      </c>
      <c r="E1409" s="9" t="s">
        <v>23994</v>
      </c>
      <c r="F1409" s="9"/>
      <c r="G1409" s="9" t="s">
        <v>455</v>
      </c>
      <c r="H1409" s="9"/>
      <c r="I1409" s="9"/>
      <c r="J1409" s="52" t="s">
        <v>13151</v>
      </c>
      <c r="K1409" s="9" t="s">
        <v>13123</v>
      </c>
      <c r="L1409" s="9">
        <v>97430.0</v>
      </c>
      <c r="M1409" s="9" t="s">
        <v>71</v>
      </c>
      <c r="N1409" s="9" t="s">
        <v>12698</v>
      </c>
      <c r="O1409" s="9" t="s">
        <v>23995</v>
      </c>
      <c r="P1409" s="53" t="s">
        <v>23996</v>
      </c>
      <c r="Q1409" s="49" t="s">
        <v>23997</v>
      </c>
      <c r="R1409" s="50"/>
      <c r="S1409" s="59"/>
      <c r="T1409" s="9" t="s">
        <v>23998</v>
      </c>
      <c r="U1409" s="9" t="s">
        <v>23999</v>
      </c>
      <c r="V1409" s="9" t="s">
        <v>24000</v>
      </c>
      <c r="W1409" s="9" t="s">
        <v>24001</v>
      </c>
      <c r="X1409" s="9" t="s">
        <v>24002</v>
      </c>
      <c r="Y1409" s="9" t="s">
        <v>12461</v>
      </c>
      <c r="Z1409" s="9" t="s">
        <v>353</v>
      </c>
      <c r="AC1409" s="9">
        <v>8.1290020700034E13</v>
      </c>
      <c r="AD1409" s="9">
        <v>8.12900207E8</v>
      </c>
      <c r="AE1409" s="9" t="s">
        <v>401</v>
      </c>
      <c r="AF1409" s="55">
        <v>46058.390601851854</v>
      </c>
      <c r="AG1409" s="9" t="s">
        <v>24003</v>
      </c>
      <c r="AH1409" s="9" t="s">
        <v>24004</v>
      </c>
      <c r="AJ1409" s="9" t="s">
        <v>24005</v>
      </c>
      <c r="AK1409" s="9" t="b">
        <v>0</v>
      </c>
      <c r="AL1409" s="9" t="b">
        <v>0</v>
      </c>
      <c r="AM1409" s="9"/>
      <c r="AN1409" s="9" t="s">
        <v>23992</v>
      </c>
      <c r="AP1409" s="56">
        <v>46035.0</v>
      </c>
      <c r="AQ1409" s="9" t="b">
        <v>0</v>
      </c>
      <c r="AR1409" s="9"/>
    </row>
    <row r="1410" ht="15.75" customHeight="1">
      <c r="A1410" s="9" t="s">
        <v>24006</v>
      </c>
      <c r="B1410" s="9" t="s">
        <v>24007</v>
      </c>
      <c r="C1410" s="9" t="s">
        <v>58</v>
      </c>
      <c r="D1410" s="9" t="s">
        <v>59</v>
      </c>
      <c r="E1410" s="9" t="s">
        <v>9804</v>
      </c>
      <c r="F1410" s="9">
        <v>2.0</v>
      </c>
      <c r="G1410" s="9" t="s">
        <v>455</v>
      </c>
      <c r="H1410" s="9"/>
      <c r="I1410" s="9"/>
      <c r="J1410" s="9" t="s">
        <v>24008</v>
      </c>
      <c r="K1410" s="9" t="s">
        <v>24009</v>
      </c>
      <c r="L1410" s="9">
        <v>97430.0</v>
      </c>
      <c r="M1410" s="9" t="s">
        <v>71</v>
      </c>
      <c r="N1410" s="9" t="s">
        <v>3501</v>
      </c>
      <c r="O1410" s="9" t="s">
        <v>24010</v>
      </c>
      <c r="P1410" s="53" t="s">
        <v>24011</v>
      </c>
      <c r="Q1410" s="49" t="s">
        <v>24012</v>
      </c>
      <c r="R1410" s="50"/>
      <c r="S1410" s="59"/>
      <c r="T1410" s="9" t="s">
        <v>24013</v>
      </c>
      <c r="U1410" s="9" t="s">
        <v>24014</v>
      </c>
      <c r="V1410" s="9"/>
      <c r="W1410" s="9" t="s">
        <v>24015</v>
      </c>
      <c r="X1410" s="9" t="s">
        <v>24016</v>
      </c>
      <c r="Y1410" s="9" t="s">
        <v>22371</v>
      </c>
      <c r="Z1410" s="9" t="s">
        <v>378</v>
      </c>
      <c r="AC1410" s="9">
        <v>9.9978000000017E13</v>
      </c>
      <c r="AD1410" s="9">
        <v>9.9978E8</v>
      </c>
      <c r="AE1410" s="9" t="s">
        <v>401</v>
      </c>
      <c r="AF1410" s="55">
        <v>46058.39393518519</v>
      </c>
      <c r="AG1410" s="9" t="s">
        <v>24017</v>
      </c>
      <c r="AH1410" s="9" t="s">
        <v>24018</v>
      </c>
      <c r="AJ1410" s="9" t="s">
        <v>24019</v>
      </c>
      <c r="AK1410" s="9" t="b">
        <v>0</v>
      </c>
      <c r="AL1410" s="9" t="b">
        <v>0</v>
      </c>
      <c r="AM1410" s="9" t="s">
        <v>24020</v>
      </c>
      <c r="AN1410" s="9" t="s">
        <v>24006</v>
      </c>
      <c r="AP1410" s="56">
        <v>46048.0</v>
      </c>
      <c r="AQ1410" s="9" t="b">
        <v>0</v>
      </c>
      <c r="AR1410" s="9"/>
    </row>
    <row r="1411" ht="15.75" customHeight="1">
      <c r="A1411" s="9" t="s">
        <v>24021</v>
      </c>
      <c r="B1411" s="9" t="s">
        <v>24022</v>
      </c>
      <c r="C1411" s="9" t="s">
        <v>117</v>
      </c>
      <c r="D1411" s="9" t="s">
        <v>1549</v>
      </c>
      <c r="E1411" s="9" t="s">
        <v>24023</v>
      </c>
      <c r="F1411" s="9"/>
      <c r="G1411" s="9" t="s">
        <v>455</v>
      </c>
      <c r="H1411" s="9"/>
      <c r="I1411" s="9"/>
      <c r="J1411" s="9" t="s">
        <v>24024</v>
      </c>
      <c r="K1411" s="9" t="s">
        <v>24025</v>
      </c>
      <c r="L1411" s="9">
        <v>97430.0</v>
      </c>
      <c r="M1411" s="9" t="s">
        <v>71</v>
      </c>
      <c r="N1411" s="9" t="s">
        <v>3501</v>
      </c>
      <c r="O1411" s="9" t="s">
        <v>24026</v>
      </c>
      <c r="P1411" s="53" t="s">
        <v>24027</v>
      </c>
      <c r="Q1411" s="49" t="s">
        <v>24028</v>
      </c>
      <c r="R1411" s="50"/>
      <c r="S1411" s="58" t="s">
        <v>24029</v>
      </c>
      <c r="T1411" s="9" t="s">
        <v>24030</v>
      </c>
      <c r="U1411" s="9" t="s">
        <v>24031</v>
      </c>
      <c r="V1411" s="9" t="s">
        <v>24032</v>
      </c>
      <c r="W1411" s="9" t="s">
        <v>23825</v>
      </c>
      <c r="X1411" s="9" t="s">
        <v>24033</v>
      </c>
      <c r="Y1411" s="9" t="s">
        <v>24034</v>
      </c>
      <c r="Z1411" s="9" t="s">
        <v>378</v>
      </c>
      <c r="AC1411" s="9">
        <v>9.2839973200017E13</v>
      </c>
      <c r="AD1411" s="9">
        <v>9.28399732E8</v>
      </c>
      <c r="AE1411" s="9" t="s">
        <v>401</v>
      </c>
      <c r="AF1411" s="55">
        <v>46100.44869212963</v>
      </c>
      <c r="AG1411" s="9" t="s">
        <v>24035</v>
      </c>
      <c r="AH1411" s="9" t="s">
        <v>24036</v>
      </c>
      <c r="AJ1411" s="8" t="s">
        <v>24037</v>
      </c>
      <c r="AK1411" s="9"/>
      <c r="AL1411" s="9" t="b">
        <v>0</v>
      </c>
      <c r="AM1411" s="9"/>
      <c r="AN1411" s="9" t="s">
        <v>24021</v>
      </c>
      <c r="AP1411" s="56">
        <v>46048.0</v>
      </c>
      <c r="AQ1411" s="9" t="b">
        <v>0</v>
      </c>
      <c r="AR1411" s="9"/>
    </row>
    <row r="1412" ht="15.75" customHeight="1">
      <c r="A1412" s="9" t="s">
        <v>24038</v>
      </c>
      <c r="B1412" s="9" t="s">
        <v>24039</v>
      </c>
      <c r="C1412" s="9" t="s">
        <v>58</v>
      </c>
      <c r="D1412" s="9" t="s">
        <v>59</v>
      </c>
      <c r="E1412" s="9" t="s">
        <v>12384</v>
      </c>
      <c r="F1412" s="9">
        <v>7.0</v>
      </c>
      <c r="G1412" s="9" t="s">
        <v>455</v>
      </c>
      <c r="H1412" s="9" t="s">
        <v>2716</v>
      </c>
      <c r="I1412" s="9"/>
      <c r="J1412" s="52" t="s">
        <v>18682</v>
      </c>
      <c r="K1412" s="9" t="s">
        <v>24040</v>
      </c>
      <c r="L1412" s="9">
        <v>97418.0</v>
      </c>
      <c r="M1412" s="9" t="s">
        <v>71</v>
      </c>
      <c r="N1412" s="9" t="s">
        <v>172</v>
      </c>
      <c r="O1412" s="9" t="s">
        <v>24041</v>
      </c>
      <c r="P1412" s="53" t="s">
        <v>24042</v>
      </c>
      <c r="Q1412" s="49" t="s">
        <v>24043</v>
      </c>
      <c r="R1412" s="50"/>
      <c r="S1412" s="59"/>
      <c r="T1412" s="9" t="s">
        <v>24044</v>
      </c>
      <c r="U1412" s="9" t="s">
        <v>24045</v>
      </c>
      <c r="V1412" s="9" t="s">
        <v>24046</v>
      </c>
      <c r="W1412" s="9" t="s">
        <v>24047</v>
      </c>
      <c r="X1412" s="9" t="s">
        <v>24048</v>
      </c>
      <c r="Y1412" s="9" t="s">
        <v>24049</v>
      </c>
      <c r="Z1412" s="9" t="s">
        <v>424</v>
      </c>
      <c r="AC1412" s="9">
        <v>5.2959294100023E13</v>
      </c>
      <c r="AD1412" s="9">
        <v>5.29592941E8</v>
      </c>
      <c r="AE1412" s="9" t="s">
        <v>401</v>
      </c>
      <c r="AF1412" s="55">
        <v>46058.56957175926</v>
      </c>
      <c r="AG1412" s="9" t="s">
        <v>24050</v>
      </c>
      <c r="AH1412" s="9" t="s">
        <v>24051</v>
      </c>
      <c r="AJ1412" s="9" t="s">
        <v>24052</v>
      </c>
      <c r="AK1412" s="9" t="b">
        <v>0</v>
      </c>
      <c r="AL1412" s="9" t="b">
        <v>0</v>
      </c>
      <c r="AM1412" s="9"/>
      <c r="AN1412" s="9" t="s">
        <v>24038</v>
      </c>
      <c r="AP1412" s="56">
        <v>46048.0</v>
      </c>
      <c r="AQ1412" s="9" t="b">
        <v>0</v>
      </c>
      <c r="AR1412" s="9"/>
    </row>
    <row r="1413" ht="15.75" customHeight="1">
      <c r="A1413" s="9" t="s">
        <v>24053</v>
      </c>
      <c r="B1413" s="9" t="s">
        <v>24054</v>
      </c>
      <c r="C1413" s="9" t="s">
        <v>58</v>
      </c>
      <c r="D1413" s="9" t="s">
        <v>59</v>
      </c>
      <c r="E1413" s="9" t="s">
        <v>374</v>
      </c>
      <c r="F1413" s="9">
        <v>6.0</v>
      </c>
      <c r="G1413" s="9" t="s">
        <v>664</v>
      </c>
      <c r="H1413" s="9"/>
      <c r="I1413" s="9"/>
      <c r="J1413" s="52" t="s">
        <v>14181</v>
      </c>
      <c r="K1413" s="9" t="s">
        <v>24055</v>
      </c>
      <c r="L1413" s="9">
        <v>97430.0</v>
      </c>
      <c r="M1413" s="9" t="s">
        <v>71</v>
      </c>
      <c r="N1413" s="9" t="s">
        <v>12698</v>
      </c>
      <c r="O1413" s="9" t="s">
        <v>24056</v>
      </c>
      <c r="P1413" s="53" t="s">
        <v>24057</v>
      </c>
      <c r="Q1413" s="49" t="s">
        <v>24058</v>
      </c>
      <c r="R1413" s="50"/>
      <c r="S1413" s="59"/>
      <c r="T1413" s="9" t="s">
        <v>24059</v>
      </c>
      <c r="U1413" s="9" t="s">
        <v>24060</v>
      </c>
      <c r="V1413" s="9" t="s">
        <v>24061</v>
      </c>
      <c r="W1413" s="9" t="s">
        <v>24062</v>
      </c>
      <c r="X1413" s="9" t="s">
        <v>24063</v>
      </c>
      <c r="Y1413" s="9" t="s">
        <v>24064</v>
      </c>
      <c r="Z1413" s="9" t="s">
        <v>378</v>
      </c>
      <c r="AC1413" s="9">
        <v>9.4424870700019E13</v>
      </c>
      <c r="AD1413" s="9">
        <v>9.44248707E8</v>
      </c>
      <c r="AE1413" s="9" t="s">
        <v>401</v>
      </c>
      <c r="AF1413" s="55">
        <v>46058.598125</v>
      </c>
      <c r="AG1413" s="9" t="s">
        <v>24065</v>
      </c>
      <c r="AH1413" s="9" t="s">
        <v>24066</v>
      </c>
      <c r="AJ1413" s="9" t="s">
        <v>24067</v>
      </c>
      <c r="AK1413" s="9" t="b">
        <v>0</v>
      </c>
      <c r="AL1413" s="9" t="b">
        <v>0</v>
      </c>
      <c r="AM1413" s="9"/>
      <c r="AN1413" s="9" t="s">
        <v>24053</v>
      </c>
      <c r="AP1413" s="56">
        <v>46049.0</v>
      </c>
      <c r="AQ1413" s="9" t="b">
        <v>0</v>
      </c>
      <c r="AR1413" s="9" t="s">
        <v>24068</v>
      </c>
    </row>
    <row r="1414" ht="15.75" customHeight="1">
      <c r="A1414" s="9" t="s">
        <v>24069</v>
      </c>
      <c r="B1414" s="9" t="s">
        <v>24070</v>
      </c>
      <c r="C1414" s="9" t="s">
        <v>58</v>
      </c>
      <c r="D1414" s="9" t="s">
        <v>59</v>
      </c>
      <c r="E1414" s="9" t="s">
        <v>545</v>
      </c>
      <c r="F1414" s="9">
        <v>6.0</v>
      </c>
      <c r="G1414" s="9" t="s">
        <v>9780</v>
      </c>
      <c r="H1414" s="9"/>
      <c r="I1414" s="9"/>
      <c r="J1414" s="52" t="s">
        <v>20114</v>
      </c>
      <c r="K1414" s="9" t="s">
        <v>24071</v>
      </c>
      <c r="L1414" s="9">
        <v>97418.0</v>
      </c>
      <c r="M1414" s="9" t="s">
        <v>71</v>
      </c>
      <c r="N1414" s="9" t="s">
        <v>216</v>
      </c>
      <c r="O1414" s="9" t="s">
        <v>24072</v>
      </c>
      <c r="P1414" s="53" t="s">
        <v>24073</v>
      </c>
      <c r="Q1414" s="49" t="s">
        <v>24074</v>
      </c>
      <c r="R1414" s="50"/>
      <c r="S1414" s="59"/>
      <c r="T1414" s="9" t="s">
        <v>24075</v>
      </c>
      <c r="U1414" s="9" t="s">
        <v>24076</v>
      </c>
      <c r="V1414" s="9" t="s">
        <v>24077</v>
      </c>
      <c r="W1414" s="9" t="s">
        <v>24078</v>
      </c>
      <c r="X1414" s="9" t="s">
        <v>24079</v>
      </c>
      <c r="Y1414" s="9" t="s">
        <v>9455</v>
      </c>
      <c r="Z1414" s="9" t="s">
        <v>378</v>
      </c>
      <c r="AC1414" s="9">
        <v>4.3909627200026E13</v>
      </c>
      <c r="AD1414" s="9">
        <v>4.39096272E8</v>
      </c>
      <c r="AE1414" s="9" t="s">
        <v>401</v>
      </c>
      <c r="AF1414" s="55">
        <v>46072.472662037035</v>
      </c>
      <c r="AG1414" s="9" t="s">
        <v>24080</v>
      </c>
      <c r="AH1414" s="9" t="s">
        <v>24081</v>
      </c>
      <c r="AJ1414" s="9" t="s">
        <v>24082</v>
      </c>
      <c r="AK1414" s="9" t="b">
        <v>0</v>
      </c>
      <c r="AL1414" s="9" t="b">
        <v>0</v>
      </c>
      <c r="AM1414" s="9" t="s">
        <v>24083</v>
      </c>
      <c r="AN1414" s="9" t="s">
        <v>24069</v>
      </c>
      <c r="AP1414" s="56">
        <v>46051.0</v>
      </c>
      <c r="AQ1414" s="9" t="b">
        <v>0</v>
      </c>
      <c r="AR1414" s="9"/>
    </row>
    <row r="1415" ht="15.75" customHeight="1">
      <c r="A1415" s="9" t="s">
        <v>24084</v>
      </c>
      <c r="B1415" s="9" t="s">
        <v>24085</v>
      </c>
      <c r="C1415" s="9" t="s">
        <v>58</v>
      </c>
      <c r="D1415" s="9" t="s">
        <v>59</v>
      </c>
      <c r="E1415" s="9" t="s">
        <v>346</v>
      </c>
      <c r="F1415" s="9">
        <v>4.0</v>
      </c>
      <c r="G1415" s="9" t="s">
        <v>422</v>
      </c>
      <c r="H1415" s="9" t="s">
        <v>2716</v>
      </c>
      <c r="I1415" s="9"/>
      <c r="J1415" s="52" t="s">
        <v>13538</v>
      </c>
      <c r="K1415" s="9" t="s">
        <v>24086</v>
      </c>
      <c r="L1415" s="9">
        <v>97430.0</v>
      </c>
      <c r="M1415" s="9" t="s">
        <v>71</v>
      </c>
      <c r="N1415" s="9" t="s">
        <v>172</v>
      </c>
      <c r="O1415" s="9" t="s">
        <v>24087</v>
      </c>
      <c r="P1415" s="53" t="s">
        <v>24042</v>
      </c>
      <c r="Q1415" s="49" t="s">
        <v>24043</v>
      </c>
      <c r="R1415" s="50"/>
      <c r="S1415" s="59"/>
      <c r="T1415" s="9" t="s">
        <v>24088</v>
      </c>
      <c r="U1415" s="9" t="s">
        <v>24089</v>
      </c>
      <c r="V1415" s="9"/>
      <c r="W1415" s="9" t="s">
        <v>24090</v>
      </c>
      <c r="X1415" s="9" t="s">
        <v>24091</v>
      </c>
      <c r="Y1415" s="9" t="s">
        <v>24092</v>
      </c>
      <c r="Z1415" s="9" t="s">
        <v>424</v>
      </c>
      <c r="AC1415" s="9">
        <v>5.2959294100049E13</v>
      </c>
      <c r="AD1415" s="9">
        <v>5.29592941E8</v>
      </c>
      <c r="AE1415" s="9" t="s">
        <v>401</v>
      </c>
      <c r="AF1415" s="55">
        <v>46062.52496527778</v>
      </c>
      <c r="AG1415" s="9" t="s">
        <v>24093</v>
      </c>
      <c r="AH1415" s="9" t="s">
        <v>24094</v>
      </c>
      <c r="AJ1415" s="9" t="s">
        <v>24095</v>
      </c>
      <c r="AK1415" s="9" t="b">
        <v>0</v>
      </c>
      <c r="AL1415" s="9" t="b">
        <v>0</v>
      </c>
      <c r="AM1415" s="9" t="s">
        <v>24096</v>
      </c>
      <c r="AN1415" s="9" t="s">
        <v>24084</v>
      </c>
      <c r="AP1415" s="56">
        <v>46051.0</v>
      </c>
      <c r="AQ1415" s="9" t="b">
        <v>0</v>
      </c>
      <c r="AR1415" s="9"/>
    </row>
    <row r="1416" ht="15.75" customHeight="1">
      <c r="A1416" s="9" t="s">
        <v>24097</v>
      </c>
      <c r="B1416" s="9" t="s">
        <v>24098</v>
      </c>
      <c r="C1416" s="9" t="s">
        <v>58</v>
      </c>
      <c r="D1416" s="9" t="s">
        <v>453</v>
      </c>
      <c r="E1416" s="9" t="s">
        <v>12384</v>
      </c>
      <c r="F1416" s="9">
        <v>8.0</v>
      </c>
      <c r="G1416" s="9" t="s">
        <v>9780</v>
      </c>
      <c r="H1416" s="9"/>
      <c r="I1416" s="9"/>
      <c r="J1416" s="9" t="s">
        <v>16640</v>
      </c>
      <c r="K1416" s="9" t="s">
        <v>24099</v>
      </c>
      <c r="L1416" s="9">
        <v>97418.0</v>
      </c>
      <c r="M1416" s="9" t="s">
        <v>71</v>
      </c>
      <c r="N1416" s="9" t="s">
        <v>216</v>
      </c>
      <c r="O1416" s="9" t="s">
        <v>24100</v>
      </c>
      <c r="P1416" s="53" t="s">
        <v>24101</v>
      </c>
      <c r="Q1416" s="49" t="s">
        <v>24102</v>
      </c>
      <c r="R1416" s="50"/>
      <c r="S1416" s="59"/>
      <c r="T1416" s="9" t="s">
        <v>24103</v>
      </c>
      <c r="U1416" s="9" t="s">
        <v>24104</v>
      </c>
      <c r="V1416" s="9" t="s">
        <v>24105</v>
      </c>
      <c r="W1416" s="9" t="s">
        <v>24106</v>
      </c>
      <c r="X1416" s="9" t="s">
        <v>24107</v>
      </c>
      <c r="Y1416" s="9" t="s">
        <v>12478</v>
      </c>
      <c r="Z1416" s="9" t="s">
        <v>424</v>
      </c>
      <c r="AC1416" s="9">
        <v>9.5212620900016E13</v>
      </c>
      <c r="AD1416" s="9">
        <v>9.52126209E8</v>
      </c>
      <c r="AE1416" s="9" t="s">
        <v>401</v>
      </c>
      <c r="AF1416" s="55">
        <v>46069.466516203705</v>
      </c>
      <c r="AG1416" s="9" t="s">
        <v>24108</v>
      </c>
      <c r="AH1416" s="9" t="s">
        <v>24109</v>
      </c>
      <c r="AJ1416" s="9" t="s">
        <v>24110</v>
      </c>
      <c r="AK1416" s="9" t="b">
        <v>1</v>
      </c>
      <c r="AL1416" s="9" t="b">
        <v>0</v>
      </c>
      <c r="AM1416" s="9"/>
      <c r="AN1416" s="9" t="s">
        <v>24097</v>
      </c>
      <c r="AP1416" s="56">
        <v>46052.0</v>
      </c>
      <c r="AQ1416" s="9" t="b">
        <v>0</v>
      </c>
      <c r="AR1416" s="9"/>
    </row>
    <row r="1417" ht="15.75" customHeight="1">
      <c r="A1417" s="9" t="s">
        <v>24111</v>
      </c>
      <c r="B1417" s="9" t="s">
        <v>24112</v>
      </c>
      <c r="C1417" s="9" t="s">
        <v>58</v>
      </c>
      <c r="D1417" s="9" t="s">
        <v>59</v>
      </c>
      <c r="E1417" s="9" t="s">
        <v>12384</v>
      </c>
      <c r="F1417" s="9">
        <v>5.0</v>
      </c>
      <c r="G1417" s="9" t="s">
        <v>455</v>
      </c>
      <c r="H1417" s="9"/>
      <c r="I1417" s="9"/>
      <c r="J1417" s="9" t="s">
        <v>24113</v>
      </c>
      <c r="K1417" s="9" t="s">
        <v>24114</v>
      </c>
      <c r="L1417" s="9">
        <v>97430.0</v>
      </c>
      <c r="M1417" s="9" t="s">
        <v>71</v>
      </c>
      <c r="N1417" s="9" t="s">
        <v>21805</v>
      </c>
      <c r="O1417" s="9" t="s">
        <v>24115</v>
      </c>
      <c r="P1417" s="53" t="s">
        <v>24116</v>
      </c>
      <c r="Q1417" s="49" t="s">
        <v>24117</v>
      </c>
      <c r="R1417" s="50"/>
      <c r="S1417" s="58" t="s">
        <v>24118</v>
      </c>
      <c r="T1417" s="9" t="s">
        <v>24119</v>
      </c>
      <c r="U1417" s="9" t="s">
        <v>24120</v>
      </c>
      <c r="V1417" s="9" t="s">
        <v>24121</v>
      </c>
      <c r="W1417" s="9" t="s">
        <v>24122</v>
      </c>
      <c r="X1417" s="9" t="s">
        <v>24123</v>
      </c>
      <c r="Y1417" s="9"/>
      <c r="Z1417" s="9" t="s">
        <v>424</v>
      </c>
      <c r="AC1417" s="9">
        <v>9.2511909100021E13</v>
      </c>
      <c r="AD1417" s="9">
        <v>9.25119091E8</v>
      </c>
      <c r="AE1417" s="9" t="s">
        <v>401</v>
      </c>
      <c r="AF1417" s="55">
        <v>46072.50548611111</v>
      </c>
      <c r="AG1417" s="9" t="s">
        <v>24124</v>
      </c>
      <c r="AH1417" s="9" t="s">
        <v>24125</v>
      </c>
      <c r="AJ1417" s="9" t="s">
        <v>24126</v>
      </c>
      <c r="AK1417" s="9" t="b">
        <v>0</v>
      </c>
      <c r="AL1417" s="9" t="b">
        <v>0</v>
      </c>
      <c r="AM1417" s="9" t="s">
        <v>24127</v>
      </c>
      <c r="AN1417" s="9" t="s">
        <v>24111</v>
      </c>
      <c r="AP1417" s="56">
        <v>46063.0</v>
      </c>
      <c r="AQ1417" s="9" t="b">
        <v>0</v>
      </c>
      <c r="AR1417" s="9"/>
    </row>
    <row r="1418" ht="15.75" customHeight="1">
      <c r="A1418" s="9" t="s">
        <v>240</v>
      </c>
      <c r="B1418" s="9" t="s">
        <v>24128</v>
      </c>
      <c r="C1418" s="9" t="s">
        <v>58</v>
      </c>
      <c r="D1418" s="9" t="s">
        <v>59</v>
      </c>
      <c r="E1418" s="9" t="s">
        <v>12384</v>
      </c>
      <c r="F1418" s="9">
        <v>12.0</v>
      </c>
      <c r="G1418" s="9" t="s">
        <v>9780</v>
      </c>
      <c r="H1418" s="9"/>
      <c r="I1418" s="9"/>
      <c r="J1418" s="52" t="s">
        <v>24129</v>
      </c>
      <c r="K1418" s="9" t="s">
        <v>24130</v>
      </c>
      <c r="L1418" s="9">
        <v>97418.0</v>
      </c>
      <c r="M1418" s="9" t="s">
        <v>71</v>
      </c>
      <c r="N1418" s="9" t="s">
        <v>216</v>
      </c>
      <c r="O1418" s="9" t="s">
        <v>24131</v>
      </c>
      <c r="P1418" s="53" t="s">
        <v>24132</v>
      </c>
      <c r="Q1418" s="49" t="s">
        <v>24133</v>
      </c>
      <c r="R1418" s="50"/>
      <c r="S1418" s="59"/>
      <c r="T1418" s="9"/>
      <c r="U1418" s="9"/>
      <c r="V1418" s="9"/>
      <c r="W1418" s="9"/>
      <c r="X1418" s="9"/>
      <c r="Y1418" s="9"/>
      <c r="Z1418" s="9"/>
      <c r="AC1418" s="9"/>
      <c r="AD1418" s="9"/>
      <c r="AE1418" s="9" t="s">
        <v>401</v>
      </c>
      <c r="AF1418" s="55">
        <v>46092.63538194444</v>
      </c>
      <c r="AG1418" s="9" t="s">
        <v>241</v>
      </c>
      <c r="AH1418" s="9" t="s">
        <v>24134</v>
      </c>
      <c r="AJ1418" s="9"/>
      <c r="AK1418" s="9"/>
      <c r="AL1418" s="9"/>
      <c r="AM1418" s="9" t="s">
        <v>24135</v>
      </c>
      <c r="AN1418" s="9" t="s">
        <v>240</v>
      </c>
      <c r="AP1418" s="56">
        <v>46063.0</v>
      </c>
      <c r="AQ1418" s="9" t="b">
        <v>0</v>
      </c>
      <c r="AR1418" s="9"/>
    </row>
    <row r="1419" ht="15.75" customHeight="1">
      <c r="A1419" s="9" t="s">
        <v>24136</v>
      </c>
      <c r="B1419" s="9" t="s">
        <v>24137</v>
      </c>
      <c r="C1419" s="9" t="s">
        <v>117</v>
      </c>
      <c r="D1419" s="9" t="s">
        <v>197</v>
      </c>
      <c r="E1419" s="9" t="s">
        <v>559</v>
      </c>
      <c r="F1419" s="9">
        <v>10.0</v>
      </c>
      <c r="G1419" s="9" t="s">
        <v>455</v>
      </c>
      <c r="H1419" s="9"/>
      <c r="I1419" s="9"/>
      <c r="J1419" s="52" t="s">
        <v>24138</v>
      </c>
      <c r="K1419" s="9" t="s">
        <v>24139</v>
      </c>
      <c r="L1419" s="9">
        <v>97414.0</v>
      </c>
      <c r="M1419" s="9" t="s">
        <v>40</v>
      </c>
      <c r="N1419" s="9" t="s">
        <v>12822</v>
      </c>
      <c r="O1419" s="9" t="s">
        <v>24140</v>
      </c>
      <c r="P1419" s="53" t="s">
        <v>24141</v>
      </c>
      <c r="Q1419" s="49" t="s">
        <v>24142</v>
      </c>
      <c r="R1419" s="50"/>
      <c r="S1419" s="59"/>
      <c r="T1419" s="9" t="s">
        <v>24143</v>
      </c>
      <c r="U1419" s="9" t="s">
        <v>24144</v>
      </c>
      <c r="V1419" s="9" t="s">
        <v>24145</v>
      </c>
      <c r="W1419" s="9" t="s">
        <v>12961</v>
      </c>
      <c r="X1419" s="9" t="s">
        <v>15939</v>
      </c>
      <c r="Y1419" s="9" t="s">
        <v>4368</v>
      </c>
      <c r="Z1419" s="9" t="s">
        <v>378</v>
      </c>
      <c r="AC1419" s="9">
        <v>3.8408414100066E13</v>
      </c>
      <c r="AD1419" s="9">
        <v>3.84084141E8</v>
      </c>
      <c r="AE1419" s="9" t="s">
        <v>401</v>
      </c>
      <c r="AF1419" s="55">
        <v>46079.4921412037</v>
      </c>
      <c r="AG1419" s="9" t="s">
        <v>24146</v>
      </c>
      <c r="AH1419" s="9" t="s">
        <v>24147</v>
      </c>
      <c r="AJ1419" s="9" t="s">
        <v>24148</v>
      </c>
      <c r="AK1419" s="9" t="b">
        <v>0</v>
      </c>
      <c r="AL1419" s="9" t="b">
        <v>0</v>
      </c>
      <c r="AM1419" s="9"/>
      <c r="AN1419" s="9" t="s">
        <v>24136</v>
      </c>
      <c r="AP1419" s="56">
        <v>46064.0</v>
      </c>
      <c r="AQ1419" s="9" t="b">
        <v>0</v>
      </c>
      <c r="AR1419" s="9"/>
    </row>
    <row r="1420" ht="15.75" customHeight="1">
      <c r="A1420" s="9" t="s">
        <v>24149</v>
      </c>
      <c r="B1420" s="9" t="s">
        <v>24150</v>
      </c>
      <c r="C1420" s="9" t="s">
        <v>58</v>
      </c>
      <c r="D1420" s="9" t="s">
        <v>59</v>
      </c>
      <c r="E1420" s="9" t="s">
        <v>12384</v>
      </c>
      <c r="F1420" s="9">
        <v>4.0</v>
      </c>
      <c r="G1420" s="9" t="s">
        <v>455</v>
      </c>
      <c r="H1420" s="9"/>
      <c r="I1420" s="9"/>
      <c r="J1420" s="9" t="s">
        <v>24151</v>
      </c>
      <c r="K1420" s="9" t="s">
        <v>24152</v>
      </c>
      <c r="L1420" s="9">
        <v>97430.0</v>
      </c>
      <c r="M1420" s="9" t="s">
        <v>71</v>
      </c>
      <c r="N1420" s="9" t="s">
        <v>13851</v>
      </c>
      <c r="O1420" s="9" t="s">
        <v>24153</v>
      </c>
      <c r="P1420" s="53" t="s">
        <v>24154</v>
      </c>
      <c r="Q1420" s="49" t="s">
        <v>24155</v>
      </c>
      <c r="R1420" s="50"/>
      <c r="S1420" s="59"/>
      <c r="T1420" s="9"/>
      <c r="U1420" s="9"/>
      <c r="V1420" s="9"/>
      <c r="W1420" s="9" t="s">
        <v>24156</v>
      </c>
      <c r="X1420" s="9" t="s">
        <v>24157</v>
      </c>
      <c r="Y1420" s="9"/>
      <c r="Z1420" s="9" t="s">
        <v>1698</v>
      </c>
      <c r="AC1420" s="9">
        <v>9.9945135400016E13</v>
      </c>
      <c r="AD1420" s="9">
        <v>9.99451354E8</v>
      </c>
      <c r="AE1420" s="9" t="s">
        <v>401</v>
      </c>
      <c r="AF1420" s="55">
        <v>46092.62819444444</v>
      </c>
      <c r="AG1420" s="9" t="s">
        <v>24158</v>
      </c>
      <c r="AH1420" s="9" t="s">
        <v>24159</v>
      </c>
      <c r="AJ1420" s="9" t="s">
        <v>24160</v>
      </c>
      <c r="AK1420" s="9" t="b">
        <v>0</v>
      </c>
      <c r="AL1420" s="9" t="b">
        <v>0</v>
      </c>
      <c r="AM1420" s="9" t="s">
        <v>24161</v>
      </c>
      <c r="AN1420" s="9" t="s">
        <v>24149</v>
      </c>
      <c r="AP1420" s="56">
        <v>46069.0</v>
      </c>
      <c r="AQ1420" s="9" t="b">
        <v>0</v>
      </c>
      <c r="AR1420" s="9"/>
    </row>
    <row r="1421" ht="15.75" customHeight="1">
      <c r="A1421" s="9" t="s">
        <v>24162</v>
      </c>
      <c r="B1421" s="9" t="s">
        <v>24163</v>
      </c>
      <c r="C1421" s="9" t="s">
        <v>58</v>
      </c>
      <c r="D1421" s="9" t="s">
        <v>59</v>
      </c>
      <c r="E1421" s="9" t="s">
        <v>12384</v>
      </c>
      <c r="F1421" s="9">
        <v>8.0</v>
      </c>
      <c r="G1421" s="9" t="s">
        <v>455</v>
      </c>
      <c r="H1421" s="9"/>
      <c r="I1421" s="9"/>
      <c r="J1421" s="52" t="s">
        <v>24164</v>
      </c>
      <c r="K1421" s="9" t="s">
        <v>24165</v>
      </c>
      <c r="L1421" s="9">
        <v>97418.0</v>
      </c>
      <c r="M1421" s="9" t="s">
        <v>71</v>
      </c>
      <c r="N1421" s="9" t="s">
        <v>216</v>
      </c>
      <c r="O1421" s="9" t="s">
        <v>24166</v>
      </c>
      <c r="P1421" s="53" t="s">
        <v>24167</v>
      </c>
      <c r="Q1421" s="49" t="s">
        <v>24168</v>
      </c>
      <c r="R1421" s="50"/>
      <c r="S1421" s="59"/>
      <c r="T1421" s="9" t="s">
        <v>24169</v>
      </c>
      <c r="U1421" s="9" t="s">
        <v>24170</v>
      </c>
      <c r="V1421" s="9"/>
      <c r="W1421" s="9" t="s">
        <v>24171</v>
      </c>
      <c r="X1421" s="9" t="s">
        <v>24172</v>
      </c>
      <c r="Y1421" s="9" t="s">
        <v>24173</v>
      </c>
      <c r="Z1421" s="9" t="s">
        <v>424</v>
      </c>
      <c r="AC1421" s="9">
        <v>1.0073100900013E13</v>
      </c>
      <c r="AD1421" s="9">
        <v>1.00731009E8</v>
      </c>
      <c r="AE1421" s="9" t="s">
        <v>401</v>
      </c>
      <c r="AF1421" s="55">
        <v>46092.64695601852</v>
      </c>
      <c r="AG1421" s="9" t="s">
        <v>24174</v>
      </c>
      <c r="AH1421" s="9" t="s">
        <v>24175</v>
      </c>
      <c r="AJ1421" s="9" t="s">
        <v>24176</v>
      </c>
      <c r="AK1421" s="9" t="b">
        <v>0</v>
      </c>
      <c r="AL1421" s="9" t="b">
        <v>1</v>
      </c>
      <c r="AM1421" s="9" t="s">
        <v>24177</v>
      </c>
      <c r="AN1421" s="9" t="s">
        <v>24162</v>
      </c>
      <c r="AP1421" s="56">
        <v>46073.0</v>
      </c>
      <c r="AQ1421" s="9" t="b">
        <v>0</v>
      </c>
      <c r="AR1421" s="9"/>
    </row>
    <row r="1422" ht="15.75" customHeight="1">
      <c r="A1422" s="9" t="s">
        <v>24178</v>
      </c>
      <c r="B1422" s="9" t="s">
        <v>24179</v>
      </c>
      <c r="C1422" s="9" t="s">
        <v>822</v>
      </c>
      <c r="D1422" s="9" t="s">
        <v>1805</v>
      </c>
      <c r="E1422" s="9" t="s">
        <v>1806</v>
      </c>
      <c r="F1422" s="9"/>
      <c r="G1422" s="9" t="s">
        <v>455</v>
      </c>
      <c r="H1422" s="9"/>
      <c r="I1422" s="9"/>
      <c r="J1422" s="52" t="s">
        <v>19827</v>
      </c>
      <c r="K1422" s="9" t="s">
        <v>24180</v>
      </c>
      <c r="L1422" s="9">
        <v>97480.0</v>
      </c>
      <c r="M1422" s="9" t="s">
        <v>123</v>
      </c>
      <c r="N1422" s="9" t="s">
        <v>24181</v>
      </c>
      <c r="O1422" s="9" t="s">
        <v>24182</v>
      </c>
      <c r="P1422" s="53" t="s">
        <v>24183</v>
      </c>
      <c r="Q1422" s="49" t="s">
        <v>24184</v>
      </c>
      <c r="R1422" s="50"/>
      <c r="S1422" s="59"/>
      <c r="T1422" s="9" t="s">
        <v>24185</v>
      </c>
      <c r="U1422" s="9" t="s">
        <v>24186</v>
      </c>
      <c r="V1422" s="9"/>
      <c r="W1422" s="9" t="s">
        <v>22511</v>
      </c>
      <c r="X1422" s="9"/>
      <c r="Y1422" s="9"/>
      <c r="Z1422" s="9" t="s">
        <v>378</v>
      </c>
      <c r="AC1422" s="9">
        <v>9.0964334800016E13</v>
      </c>
      <c r="AD1422" s="9">
        <v>9.09643348E8</v>
      </c>
      <c r="AE1422" s="9" t="s">
        <v>401</v>
      </c>
      <c r="AF1422" s="55">
        <v>46085.34502314815</v>
      </c>
      <c r="AG1422" s="9" t="s">
        <v>24187</v>
      </c>
      <c r="AH1422" s="9" t="s">
        <v>24188</v>
      </c>
      <c r="AJ1422" s="9"/>
      <c r="AK1422" s="9"/>
      <c r="AL1422" s="9"/>
      <c r="AM1422" s="9"/>
      <c r="AN1422" s="9" t="s">
        <v>24178</v>
      </c>
      <c r="AP1422" s="56">
        <v>46073.0</v>
      </c>
      <c r="AQ1422" s="9" t="b">
        <v>0</v>
      </c>
      <c r="AR1422" s="9"/>
    </row>
    <row r="1423" ht="15.75" customHeight="1">
      <c r="A1423" s="9" t="s">
        <v>24189</v>
      </c>
      <c r="B1423" s="9" t="s">
        <v>24190</v>
      </c>
      <c r="C1423" s="9" t="s">
        <v>822</v>
      </c>
      <c r="D1423" s="9" t="s">
        <v>823</v>
      </c>
      <c r="E1423" s="9" t="s">
        <v>559</v>
      </c>
      <c r="F1423" s="9">
        <v>0.0</v>
      </c>
      <c r="G1423" s="9" t="s">
        <v>455</v>
      </c>
      <c r="H1423" s="9"/>
      <c r="I1423" s="9"/>
      <c r="J1423" s="52" t="s">
        <v>13933</v>
      </c>
      <c r="K1423" s="9" t="s">
        <v>24191</v>
      </c>
      <c r="L1423" s="9">
        <v>97480.0</v>
      </c>
      <c r="M1423" s="9" t="s">
        <v>123</v>
      </c>
      <c r="N1423" s="9" t="s">
        <v>9962</v>
      </c>
      <c r="O1423" s="9" t="s">
        <v>24192</v>
      </c>
      <c r="P1423" s="53" t="s">
        <v>24193</v>
      </c>
      <c r="Q1423" s="43"/>
      <c r="R1423" s="50"/>
      <c r="S1423" s="58" t="s">
        <v>24194</v>
      </c>
      <c r="T1423" s="9" t="s">
        <v>24195</v>
      </c>
      <c r="U1423" s="9" t="s">
        <v>24196</v>
      </c>
      <c r="V1423" s="9" t="s">
        <v>24197</v>
      </c>
      <c r="W1423" s="9" t="s">
        <v>24198</v>
      </c>
      <c r="X1423" s="9" t="s">
        <v>907</v>
      </c>
      <c r="Y1423" s="9" t="s">
        <v>22496</v>
      </c>
      <c r="Z1423" s="9" t="s">
        <v>353</v>
      </c>
      <c r="AC1423" s="9">
        <v>8.5255928500014E13</v>
      </c>
      <c r="AD1423" s="9">
        <v>8.52559285E8</v>
      </c>
      <c r="AE1423" s="9" t="s">
        <v>401</v>
      </c>
      <c r="AF1423" s="55">
        <v>46091.36074074074</v>
      </c>
      <c r="AG1423" s="9" t="s">
        <v>24199</v>
      </c>
      <c r="AH1423" s="9" t="s">
        <v>24200</v>
      </c>
      <c r="AJ1423" s="9" t="s">
        <v>24201</v>
      </c>
      <c r="AK1423" s="9" t="b">
        <v>0</v>
      </c>
      <c r="AL1423" s="9" t="b">
        <v>0</v>
      </c>
      <c r="AM1423" s="9"/>
      <c r="AN1423" s="9" t="s">
        <v>24189</v>
      </c>
      <c r="AP1423" s="56">
        <v>46078.0</v>
      </c>
      <c r="AQ1423" s="9" t="b">
        <v>0</v>
      </c>
      <c r="AR1423" s="9" t="s">
        <v>24202</v>
      </c>
    </row>
    <row r="1424" ht="15.75" customHeight="1">
      <c r="A1424" s="9" t="s">
        <v>274</v>
      </c>
      <c r="B1424" s="9" t="s">
        <v>24203</v>
      </c>
      <c r="C1424" s="9" t="s">
        <v>58</v>
      </c>
      <c r="D1424" s="9" t="s">
        <v>59</v>
      </c>
      <c r="E1424" s="9" t="s">
        <v>374</v>
      </c>
      <c r="F1424" s="9">
        <v>6.0</v>
      </c>
      <c r="G1424" s="9" t="s">
        <v>455</v>
      </c>
      <c r="H1424" s="9" t="s">
        <v>13594</v>
      </c>
      <c r="I1424" s="9" t="s">
        <v>578</v>
      </c>
      <c r="J1424" s="52" t="s">
        <v>12820</v>
      </c>
      <c r="K1424" s="9" t="s">
        <v>24204</v>
      </c>
      <c r="L1424" s="9">
        <v>97430.0</v>
      </c>
      <c r="M1424" s="9" t="s">
        <v>71</v>
      </c>
      <c r="N1424" s="9" t="s">
        <v>21805</v>
      </c>
      <c r="O1424" s="9" t="s">
        <v>24205</v>
      </c>
      <c r="P1424" s="53" t="s">
        <v>24206</v>
      </c>
      <c r="Q1424" s="49" t="s">
        <v>24207</v>
      </c>
      <c r="R1424" s="50"/>
      <c r="S1424" s="59"/>
      <c r="T1424" s="9" t="s">
        <v>24208</v>
      </c>
      <c r="U1424" s="9" t="s">
        <v>24209</v>
      </c>
      <c r="V1424" s="9" t="s">
        <v>24210</v>
      </c>
      <c r="W1424" s="9" t="s">
        <v>24211</v>
      </c>
      <c r="X1424" s="9" t="s">
        <v>24212</v>
      </c>
      <c r="Y1424" s="9" t="s">
        <v>5317</v>
      </c>
      <c r="Z1424" s="9" t="s">
        <v>378</v>
      </c>
      <c r="AC1424" s="9">
        <v>3.8443711700045E13</v>
      </c>
      <c r="AD1424" s="9">
        <v>3.84437117E8</v>
      </c>
      <c r="AE1424" s="9" t="s">
        <v>401</v>
      </c>
      <c r="AF1424" s="55">
        <v>46101.504328703704</v>
      </c>
      <c r="AG1424" s="52" t="s">
        <v>24213</v>
      </c>
      <c r="AH1424" s="9" t="s">
        <v>24214</v>
      </c>
      <c r="AJ1424" s="8" t="s">
        <v>24215</v>
      </c>
      <c r="AK1424" s="9" t="b">
        <v>0</v>
      </c>
      <c r="AL1424" s="9" t="b">
        <v>0</v>
      </c>
      <c r="AM1424" s="9"/>
      <c r="AN1424" s="9" t="s">
        <v>274</v>
      </c>
      <c r="AP1424" s="56">
        <v>46079.0</v>
      </c>
      <c r="AQ1424" s="9" t="b">
        <v>0</v>
      </c>
      <c r="AR1424" s="9"/>
    </row>
    <row r="1425" ht="15.75" customHeight="1">
      <c r="A1425" s="9" t="s">
        <v>24216</v>
      </c>
      <c r="B1425" s="9" t="s">
        <v>24217</v>
      </c>
      <c r="C1425" s="9" t="s">
        <v>58</v>
      </c>
      <c r="D1425" s="9" t="s">
        <v>59</v>
      </c>
      <c r="E1425" s="9" t="s">
        <v>12384</v>
      </c>
      <c r="F1425" s="9">
        <v>4.0</v>
      </c>
      <c r="G1425" s="9" t="s">
        <v>455</v>
      </c>
      <c r="H1425" s="9" t="s">
        <v>2716</v>
      </c>
      <c r="I1425" s="9"/>
      <c r="J1425" s="9" t="s">
        <v>24218</v>
      </c>
      <c r="K1425" s="9" t="s">
        <v>24219</v>
      </c>
      <c r="L1425" s="9">
        <v>97480.0</v>
      </c>
      <c r="M1425" s="9" t="s">
        <v>123</v>
      </c>
      <c r="N1425" s="9" t="s">
        <v>3556</v>
      </c>
      <c r="O1425" s="9" t="s">
        <v>24220</v>
      </c>
      <c r="P1425" s="53" t="s">
        <v>24221</v>
      </c>
      <c r="Q1425" s="49" t="s">
        <v>24222</v>
      </c>
      <c r="R1425" s="50"/>
      <c r="S1425" s="59"/>
      <c r="T1425" s="9" t="s">
        <v>24223</v>
      </c>
      <c r="U1425" s="9" t="s">
        <v>24224</v>
      </c>
      <c r="V1425" s="9" t="s">
        <v>24225</v>
      </c>
      <c r="W1425" s="9" t="s">
        <v>24226</v>
      </c>
      <c r="X1425" s="9" t="s">
        <v>24227</v>
      </c>
      <c r="Y1425" s="9" t="s">
        <v>369</v>
      </c>
      <c r="Z1425" s="9" t="s">
        <v>378</v>
      </c>
      <c r="AC1425" s="9">
        <v>1.0123690900012E13</v>
      </c>
      <c r="AD1425" s="9">
        <v>1.01236909E8</v>
      </c>
      <c r="AE1425" s="9" t="s">
        <v>401</v>
      </c>
      <c r="AF1425" s="55">
        <v>46080.417962962965</v>
      </c>
      <c r="AG1425" s="9" t="s">
        <v>24228</v>
      </c>
      <c r="AH1425" s="9" t="s">
        <v>24229</v>
      </c>
      <c r="AJ1425" s="9" t="s">
        <v>24230</v>
      </c>
      <c r="AK1425" s="9" t="b">
        <v>0</v>
      </c>
      <c r="AL1425" s="9" t="b">
        <v>0</v>
      </c>
      <c r="AM1425" s="9"/>
      <c r="AN1425" s="9" t="s">
        <v>24216</v>
      </c>
      <c r="AP1425" s="56">
        <v>46080.0</v>
      </c>
      <c r="AQ1425" s="9" t="b">
        <v>0</v>
      </c>
      <c r="AR1425" s="9"/>
    </row>
    <row r="1426" ht="15.75" customHeight="1">
      <c r="A1426" s="9" t="s">
        <v>24231</v>
      </c>
      <c r="B1426" s="9" t="s">
        <v>24232</v>
      </c>
      <c r="C1426" s="9" t="s">
        <v>58</v>
      </c>
      <c r="D1426" s="9" t="s">
        <v>59</v>
      </c>
      <c r="E1426" s="9" t="s">
        <v>346</v>
      </c>
      <c r="F1426" s="9">
        <v>4.0</v>
      </c>
      <c r="G1426" s="9" t="s">
        <v>455</v>
      </c>
      <c r="H1426" s="9" t="s">
        <v>395</v>
      </c>
      <c r="I1426" s="9" t="s">
        <v>578</v>
      </c>
      <c r="J1426" s="52" t="s">
        <v>14287</v>
      </c>
      <c r="K1426" s="9" t="s">
        <v>24233</v>
      </c>
      <c r="L1426" s="9">
        <v>97480.0</v>
      </c>
      <c r="M1426" s="9" t="s">
        <v>123</v>
      </c>
      <c r="N1426" s="9" t="s">
        <v>8325</v>
      </c>
      <c r="O1426" s="9" t="s">
        <v>24234</v>
      </c>
      <c r="P1426" s="53" t="s">
        <v>24235</v>
      </c>
      <c r="Q1426" s="49" t="s">
        <v>24236</v>
      </c>
      <c r="R1426" s="50"/>
      <c r="S1426" s="59"/>
      <c r="T1426" s="9" t="s">
        <v>24237</v>
      </c>
      <c r="U1426" s="9" t="s">
        <v>24238</v>
      </c>
      <c r="V1426" s="9"/>
      <c r="W1426" s="9" t="s">
        <v>24239</v>
      </c>
      <c r="X1426" s="9" t="s">
        <v>24240</v>
      </c>
      <c r="Y1426" s="9" t="s">
        <v>5317</v>
      </c>
      <c r="Z1426" s="9" t="s">
        <v>378</v>
      </c>
      <c r="AC1426" s="9">
        <v>9.4967012900012E13</v>
      </c>
      <c r="AD1426" s="9">
        <v>9.49670129E8</v>
      </c>
      <c r="AE1426" s="9" t="s">
        <v>401</v>
      </c>
      <c r="AF1426" s="55">
        <v>46091.58130787037</v>
      </c>
      <c r="AG1426" s="9" t="s">
        <v>24241</v>
      </c>
      <c r="AH1426" s="9" t="s">
        <v>24242</v>
      </c>
      <c r="AJ1426" s="9" t="s">
        <v>24243</v>
      </c>
      <c r="AK1426" s="9" t="b">
        <v>0</v>
      </c>
      <c r="AL1426" s="9" t="b">
        <v>0</v>
      </c>
      <c r="AM1426" s="9"/>
      <c r="AN1426" s="9" t="s">
        <v>24231</v>
      </c>
      <c r="AP1426" s="56">
        <v>46085.0</v>
      </c>
      <c r="AQ1426" s="9" t="b">
        <v>0</v>
      </c>
      <c r="AR1426" s="9"/>
    </row>
    <row r="1427" ht="15.75" customHeight="1">
      <c r="A1427" s="9" t="s">
        <v>24244</v>
      </c>
      <c r="B1427" s="9" t="s">
        <v>24245</v>
      </c>
      <c r="C1427" s="9" t="s">
        <v>58</v>
      </c>
      <c r="D1427" s="9" t="s">
        <v>59</v>
      </c>
      <c r="E1427" s="9" t="s">
        <v>346</v>
      </c>
      <c r="F1427" s="9">
        <v>4.0</v>
      </c>
      <c r="G1427" s="9" t="s">
        <v>455</v>
      </c>
      <c r="H1427" s="9" t="s">
        <v>395</v>
      </c>
      <c r="I1427" s="9" t="s">
        <v>578</v>
      </c>
      <c r="J1427" s="52" t="s">
        <v>14287</v>
      </c>
      <c r="K1427" s="9" t="s">
        <v>24246</v>
      </c>
      <c r="L1427" s="9">
        <v>97480.0</v>
      </c>
      <c r="M1427" s="9" t="s">
        <v>123</v>
      </c>
      <c r="N1427" s="9" t="s">
        <v>8325</v>
      </c>
      <c r="O1427" s="9" t="s">
        <v>24247</v>
      </c>
      <c r="P1427" s="53" t="s">
        <v>24235</v>
      </c>
      <c r="Q1427" s="49" t="s">
        <v>24236</v>
      </c>
      <c r="R1427" s="50"/>
      <c r="S1427" s="59"/>
      <c r="T1427" s="9" t="s">
        <v>24248</v>
      </c>
      <c r="U1427" s="9" t="s">
        <v>24249</v>
      </c>
      <c r="V1427" s="9"/>
      <c r="W1427" s="9" t="s">
        <v>24250</v>
      </c>
      <c r="X1427" s="9" t="s">
        <v>24251</v>
      </c>
      <c r="Y1427" s="9" t="s">
        <v>5317</v>
      </c>
      <c r="Z1427" s="9" t="s">
        <v>378</v>
      </c>
      <c r="AC1427" s="9">
        <v>9.4967012900012E13</v>
      </c>
      <c r="AD1427" s="9">
        <v>9.49670129E8</v>
      </c>
      <c r="AE1427" s="9" t="s">
        <v>401</v>
      </c>
      <c r="AF1427" s="55">
        <v>46090.37598379629</v>
      </c>
      <c r="AG1427" s="9" t="s">
        <v>24241</v>
      </c>
      <c r="AH1427" s="9" t="s">
        <v>24252</v>
      </c>
      <c r="AJ1427" s="9" t="s">
        <v>24253</v>
      </c>
      <c r="AK1427" s="9" t="b">
        <v>0</v>
      </c>
      <c r="AL1427" s="9" t="b">
        <v>0</v>
      </c>
      <c r="AM1427" s="9"/>
      <c r="AN1427" s="9" t="s">
        <v>24244</v>
      </c>
      <c r="AP1427" s="56">
        <v>46085.0</v>
      </c>
      <c r="AQ1427" s="9" t="b">
        <v>0</v>
      </c>
      <c r="AR1427" s="9"/>
    </row>
    <row r="1428" ht="15.75" customHeight="1">
      <c r="A1428" s="9" t="s">
        <v>24254</v>
      </c>
      <c r="B1428" s="9" t="s">
        <v>24255</v>
      </c>
      <c r="C1428" s="9" t="s">
        <v>822</v>
      </c>
      <c r="D1428" s="9" t="s">
        <v>4789</v>
      </c>
      <c r="E1428" s="9"/>
      <c r="F1428" s="9"/>
      <c r="G1428" s="9" t="s">
        <v>455</v>
      </c>
      <c r="H1428" s="9"/>
      <c r="I1428" s="9"/>
      <c r="J1428" s="52" t="s">
        <v>12445</v>
      </c>
      <c r="K1428" s="9" t="s">
        <v>24256</v>
      </c>
      <c r="L1428" s="9">
        <v>97480.0</v>
      </c>
      <c r="M1428" s="9" t="s">
        <v>123</v>
      </c>
      <c r="N1428" s="9" t="s">
        <v>7743</v>
      </c>
      <c r="O1428" s="9" t="s">
        <v>24257</v>
      </c>
      <c r="P1428" s="53" t="s">
        <v>24258</v>
      </c>
      <c r="Q1428" s="49" t="s">
        <v>14017</v>
      </c>
      <c r="R1428" s="50"/>
      <c r="S1428" s="58" t="s">
        <v>24259</v>
      </c>
      <c r="T1428" s="9" t="s">
        <v>24260</v>
      </c>
      <c r="U1428" s="9" t="s">
        <v>24255</v>
      </c>
      <c r="V1428" s="9"/>
      <c r="W1428" s="9"/>
      <c r="X1428" s="9"/>
      <c r="Y1428" s="9" t="s">
        <v>4368</v>
      </c>
      <c r="Z1428" s="9"/>
      <c r="AC1428" s="9">
        <v>9.2345764200018E13</v>
      </c>
      <c r="AD1428" s="9">
        <v>9.23457642E8</v>
      </c>
      <c r="AE1428" s="9" t="s">
        <v>401</v>
      </c>
      <c r="AF1428" s="55">
        <v>46100.42349537037</v>
      </c>
      <c r="AG1428" s="9" t="s">
        <v>14023</v>
      </c>
      <c r="AH1428" s="9" t="s">
        <v>24261</v>
      </c>
      <c r="AJ1428" s="9"/>
      <c r="AK1428" s="9" t="b">
        <v>0</v>
      </c>
      <c r="AL1428" s="9" t="b">
        <v>0</v>
      </c>
      <c r="AM1428" s="9"/>
      <c r="AN1428" s="9" t="s">
        <v>24254</v>
      </c>
      <c r="AP1428" s="56">
        <v>46085.0</v>
      </c>
      <c r="AQ1428" s="9" t="b">
        <v>0</v>
      </c>
      <c r="AR1428" s="9"/>
    </row>
    <row r="1429" ht="15.75" customHeight="1">
      <c r="A1429" s="9" t="s">
        <v>24262</v>
      </c>
      <c r="B1429" s="9" t="s">
        <v>24263</v>
      </c>
      <c r="C1429" s="9" t="s">
        <v>117</v>
      </c>
      <c r="D1429" s="9" t="s">
        <v>15300</v>
      </c>
      <c r="E1429" s="9" t="s">
        <v>24264</v>
      </c>
      <c r="F1429" s="9">
        <v>9.0</v>
      </c>
      <c r="G1429" s="9" t="s">
        <v>455</v>
      </c>
      <c r="H1429" s="9"/>
      <c r="I1429" s="9"/>
      <c r="J1429" s="52" t="s">
        <v>18644</v>
      </c>
      <c r="K1429" s="9" t="s">
        <v>23184</v>
      </c>
      <c r="L1429" s="9">
        <v>97430.0</v>
      </c>
      <c r="M1429" s="9" t="s">
        <v>71</v>
      </c>
      <c r="N1429" s="9" t="s">
        <v>12373</v>
      </c>
      <c r="O1429" s="9" t="s">
        <v>24265</v>
      </c>
      <c r="P1429" s="53" t="s">
        <v>24266</v>
      </c>
      <c r="Q1429" s="49" t="s">
        <v>24267</v>
      </c>
      <c r="R1429" s="50"/>
      <c r="S1429" s="59"/>
      <c r="T1429" s="9" t="s">
        <v>24268</v>
      </c>
      <c r="U1429" s="9" t="s">
        <v>24269</v>
      </c>
      <c r="V1429" s="9"/>
      <c r="W1429" s="9" t="s">
        <v>24270</v>
      </c>
      <c r="X1429" s="9" t="s">
        <v>24271</v>
      </c>
      <c r="Y1429" s="9"/>
      <c r="Z1429" s="9" t="s">
        <v>353</v>
      </c>
      <c r="AC1429" s="9"/>
      <c r="AD1429" s="9"/>
      <c r="AE1429" s="9" t="s">
        <v>401</v>
      </c>
      <c r="AF1429" s="55">
        <v>46091.376296296294</v>
      </c>
      <c r="AG1429" s="9" t="s">
        <v>24272</v>
      </c>
      <c r="AH1429" s="9" t="s">
        <v>24273</v>
      </c>
      <c r="AJ1429" s="9"/>
      <c r="AK1429" s="9"/>
      <c r="AL1429" s="9"/>
      <c r="AM1429" s="9"/>
      <c r="AN1429" s="9" t="s">
        <v>24262</v>
      </c>
      <c r="AP1429" s="56">
        <v>46091.0</v>
      </c>
      <c r="AQ1429" s="9" t="b">
        <v>0</v>
      </c>
      <c r="AR1429" s="9"/>
    </row>
    <row r="1430" ht="15.75" customHeight="1">
      <c r="A1430" s="9" t="s">
        <v>24274</v>
      </c>
      <c r="B1430" s="9" t="s">
        <v>24275</v>
      </c>
      <c r="C1430" s="9" t="s">
        <v>58</v>
      </c>
      <c r="D1430" s="9" t="s">
        <v>59</v>
      </c>
      <c r="E1430" s="9" t="s">
        <v>12384</v>
      </c>
      <c r="F1430" s="9">
        <v>6.0</v>
      </c>
      <c r="G1430" s="9" t="s">
        <v>455</v>
      </c>
      <c r="H1430" s="9"/>
      <c r="I1430" s="9"/>
      <c r="J1430" s="9" t="s">
        <v>24276</v>
      </c>
      <c r="K1430" s="9" t="s">
        <v>24277</v>
      </c>
      <c r="L1430" s="9">
        <v>97418.0</v>
      </c>
      <c r="M1430" s="9" t="s">
        <v>71</v>
      </c>
      <c r="N1430" s="9" t="s">
        <v>172</v>
      </c>
      <c r="O1430" s="9" t="s">
        <v>24278</v>
      </c>
      <c r="P1430" s="53" t="s">
        <v>24279</v>
      </c>
      <c r="Q1430" s="49" t="s">
        <v>24280</v>
      </c>
      <c r="R1430" s="50"/>
      <c r="S1430" s="59"/>
      <c r="T1430" s="9" t="s">
        <v>24281</v>
      </c>
      <c r="U1430" s="9" t="s">
        <v>24282</v>
      </c>
      <c r="V1430" s="9" t="s">
        <v>24283</v>
      </c>
      <c r="W1430" s="9" t="s">
        <v>24284</v>
      </c>
      <c r="X1430" s="9" t="s">
        <v>24285</v>
      </c>
      <c r="Y1430" s="9" t="s">
        <v>377</v>
      </c>
      <c r="Z1430" s="9" t="s">
        <v>378</v>
      </c>
      <c r="AC1430" s="9">
        <v>1.0074822700012E13</v>
      </c>
      <c r="AD1430" s="9">
        <v>1.00748227E8</v>
      </c>
      <c r="AE1430" s="9" t="s">
        <v>401</v>
      </c>
      <c r="AF1430" s="55">
        <v>46098.42716435185</v>
      </c>
      <c r="AG1430" s="9" t="s">
        <v>24286</v>
      </c>
      <c r="AH1430" s="9" t="s">
        <v>24287</v>
      </c>
      <c r="AJ1430" s="9" t="s">
        <v>24288</v>
      </c>
      <c r="AK1430" s="9" t="b">
        <v>1</v>
      </c>
      <c r="AL1430" s="9" t="b">
        <v>0</v>
      </c>
      <c r="AM1430" s="9" t="s">
        <v>24289</v>
      </c>
      <c r="AN1430" s="9" t="s">
        <v>24274</v>
      </c>
      <c r="AP1430" s="56">
        <v>46098.0</v>
      </c>
      <c r="AQ1430" s="9" t="b">
        <v>0</v>
      </c>
      <c r="AR1430" s="9"/>
    </row>
    <row r="1431" ht="15.75" customHeight="1">
      <c r="A1431" s="9" t="s">
        <v>24290</v>
      </c>
      <c r="B1431" s="9" t="s">
        <v>24291</v>
      </c>
      <c r="C1431" s="9" t="s">
        <v>58</v>
      </c>
      <c r="D1431" s="9" t="s">
        <v>59</v>
      </c>
      <c r="E1431" s="9" t="s">
        <v>545</v>
      </c>
      <c r="F1431" s="9">
        <v>4.0</v>
      </c>
      <c r="G1431" s="9" t="s">
        <v>664</v>
      </c>
      <c r="H1431" s="9"/>
      <c r="I1431" s="9"/>
      <c r="J1431" s="52" t="s">
        <v>14338</v>
      </c>
      <c r="K1431" s="9" t="s">
        <v>24292</v>
      </c>
      <c r="L1431" s="9">
        <v>97442.0</v>
      </c>
      <c r="M1431" s="9" t="s">
        <v>33</v>
      </c>
      <c r="N1431" s="9" t="s">
        <v>224</v>
      </c>
      <c r="O1431" s="9" t="s">
        <v>24293</v>
      </c>
      <c r="P1431" s="53" t="s">
        <v>24294</v>
      </c>
      <c r="Q1431" s="49" t="s">
        <v>24295</v>
      </c>
      <c r="R1431" s="50"/>
      <c r="S1431" s="59"/>
      <c r="T1431" s="9" t="s">
        <v>24296</v>
      </c>
      <c r="U1431" s="9" t="s">
        <v>24297</v>
      </c>
      <c r="V1431" s="9" t="s">
        <v>24298</v>
      </c>
      <c r="W1431" s="9" t="s">
        <v>24299</v>
      </c>
      <c r="X1431" s="9" t="s">
        <v>24300</v>
      </c>
      <c r="Y1431" s="9" t="s">
        <v>12831</v>
      </c>
      <c r="Z1431" s="9" t="s">
        <v>378</v>
      </c>
      <c r="AC1431" s="9">
        <v>8.8943119300032E13</v>
      </c>
      <c r="AD1431" s="9">
        <v>8.89431193E8</v>
      </c>
      <c r="AE1431" s="9" t="s">
        <v>401</v>
      </c>
      <c r="AF1431" s="55">
        <v>46100.57412037037</v>
      </c>
      <c r="AG1431" s="9" t="s">
        <v>24301</v>
      </c>
      <c r="AH1431" s="9" t="s">
        <v>24302</v>
      </c>
      <c r="AJ1431" s="9" t="s">
        <v>24303</v>
      </c>
      <c r="AK1431" s="9" t="b">
        <v>0</v>
      </c>
      <c r="AL1431" s="9" t="b">
        <v>1</v>
      </c>
      <c r="AM1431" s="9"/>
      <c r="AN1431" s="9" t="s">
        <v>24290</v>
      </c>
      <c r="AP1431" s="56">
        <v>46100.0</v>
      </c>
      <c r="AQ1431" s="9" t="b">
        <v>0</v>
      </c>
      <c r="AR1431" s="9"/>
    </row>
    <row r="1432" ht="15.75" customHeight="1">
      <c r="A1432" s="9" t="s">
        <v>24304</v>
      </c>
      <c r="B1432" s="9" t="s">
        <v>24305</v>
      </c>
      <c r="C1432" s="9" t="s">
        <v>117</v>
      </c>
      <c r="D1432" s="9" t="s">
        <v>1549</v>
      </c>
      <c r="E1432" s="9" t="s">
        <v>17555</v>
      </c>
      <c r="F1432" s="9"/>
      <c r="G1432" s="9" t="s">
        <v>455</v>
      </c>
      <c r="H1432" s="9"/>
      <c r="I1432" s="9"/>
      <c r="J1432" s="52" t="s">
        <v>21803</v>
      </c>
      <c r="K1432" s="9" t="s">
        <v>24306</v>
      </c>
      <c r="L1432" s="9">
        <v>97430.0</v>
      </c>
      <c r="M1432" s="9" t="s">
        <v>71</v>
      </c>
      <c r="N1432" s="9" t="s">
        <v>13851</v>
      </c>
      <c r="O1432" s="9" t="s">
        <v>24307</v>
      </c>
      <c r="P1432" s="53" t="s">
        <v>24308</v>
      </c>
      <c r="Q1432" s="49" t="s">
        <v>24309</v>
      </c>
      <c r="R1432" s="50"/>
      <c r="S1432" s="59"/>
      <c r="T1432" s="9" t="s">
        <v>24310</v>
      </c>
      <c r="U1432" s="9" t="s">
        <v>24311</v>
      </c>
      <c r="V1432" s="9" t="s">
        <v>24312</v>
      </c>
      <c r="W1432" s="9" t="s">
        <v>24313</v>
      </c>
      <c r="X1432" s="9" t="s">
        <v>24314</v>
      </c>
      <c r="Y1432" s="9" t="s">
        <v>21858</v>
      </c>
      <c r="Z1432" s="9" t="s">
        <v>378</v>
      </c>
      <c r="AC1432" s="9">
        <v>9.0525161700015E13</v>
      </c>
      <c r="AD1432" s="9">
        <v>9.05251617E8</v>
      </c>
      <c r="AE1432" s="9" t="s">
        <v>401</v>
      </c>
      <c r="AF1432" s="55">
        <v>46101.388125</v>
      </c>
      <c r="AG1432" s="9" t="s">
        <v>24315</v>
      </c>
      <c r="AH1432" s="9" t="s">
        <v>24316</v>
      </c>
      <c r="AJ1432" s="9" t="s">
        <v>24317</v>
      </c>
      <c r="AK1432" s="9" t="b">
        <v>0</v>
      </c>
      <c r="AL1432" s="9" t="b">
        <v>0</v>
      </c>
      <c r="AM1432" s="9"/>
      <c r="AN1432" s="9" t="s">
        <v>24304</v>
      </c>
      <c r="AP1432" s="56">
        <v>46101.0</v>
      </c>
      <c r="AQ1432" s="9" t="b">
        <v>0</v>
      </c>
      <c r="AR1432" s="9"/>
    </row>
  </sheetData>
  <autoFilter ref="$A$1:$AS$1390"/>
  <hyperlinks>
    <hyperlink r:id="rId1" ref="S2"/>
    <hyperlink r:id="rId2" ref="S9"/>
    <hyperlink r:id="rId3" ref="S11"/>
    <hyperlink r:id="rId4" ref="S22"/>
    <hyperlink r:id="rId5" location="page11212" ref="S42"/>
    <hyperlink r:id="rId6" ref="S43"/>
    <hyperlink r:id="rId7" ref="S49"/>
    <hyperlink r:id="rId8" ref="S51"/>
    <hyperlink r:id="rId9" ref="S61"/>
    <hyperlink r:id="rId10" ref="S67"/>
    <hyperlink r:id="rId11" ref="S69"/>
    <hyperlink r:id="rId12" ref="S70"/>
    <hyperlink r:id="rId13" ref="S81"/>
    <hyperlink r:id="rId14" ref="S86"/>
    <hyperlink r:id="rId15" ref="S89"/>
    <hyperlink r:id="rId16" ref="S92"/>
    <hyperlink r:id="rId17" ref="S98"/>
    <hyperlink r:id="rId18" ref="S100"/>
    <hyperlink r:id="rId19" ref="S101"/>
    <hyperlink r:id="rId20" ref="S104"/>
    <hyperlink r:id="rId21" ref="S111"/>
    <hyperlink r:id="rId22" ref="S126"/>
    <hyperlink r:id="rId23" ref="S142"/>
    <hyperlink r:id="rId24" ref="S143"/>
    <hyperlink r:id="rId25" ref="S145"/>
    <hyperlink r:id="rId26" ref="S146"/>
    <hyperlink r:id="rId27" ref="S156"/>
    <hyperlink r:id="rId28" ref="S161"/>
    <hyperlink r:id="rId29" ref="S171"/>
    <hyperlink r:id="rId30" ref="S175"/>
    <hyperlink r:id="rId31" ref="S179"/>
    <hyperlink r:id="rId32" ref="S180"/>
    <hyperlink r:id="rId33" ref="S185"/>
    <hyperlink r:id="rId34" ref="S187"/>
    <hyperlink r:id="rId35" ref="S189"/>
    <hyperlink r:id="rId36" ref="S193"/>
    <hyperlink r:id="rId37" ref="S224"/>
    <hyperlink r:id="rId38" ref="S226"/>
    <hyperlink r:id="rId39" ref="S236"/>
    <hyperlink r:id="rId40" ref="S237"/>
    <hyperlink r:id="rId41" ref="S240"/>
    <hyperlink r:id="rId42" ref="S241"/>
    <hyperlink r:id="rId43" ref="S243"/>
    <hyperlink r:id="rId44" ref="S249"/>
    <hyperlink r:id="rId45" ref="S254"/>
    <hyperlink r:id="rId46" ref="S256"/>
    <hyperlink r:id="rId47" ref="S266"/>
    <hyperlink r:id="rId48" ref="S267"/>
    <hyperlink r:id="rId49" ref="S272"/>
    <hyperlink r:id="rId50" ref="S273"/>
    <hyperlink r:id="rId51" ref="S274"/>
    <hyperlink r:id="rId52" ref="S279"/>
    <hyperlink r:id="rId53" ref="S280"/>
    <hyperlink r:id="rId54" ref="S292"/>
    <hyperlink r:id="rId55" ref="S294"/>
    <hyperlink r:id="rId56" ref="S295"/>
    <hyperlink r:id="rId57" ref="S296"/>
    <hyperlink r:id="rId58" ref="S297"/>
    <hyperlink r:id="rId59" ref="S300"/>
    <hyperlink r:id="rId60" ref="S302"/>
    <hyperlink r:id="rId61" ref="S305"/>
    <hyperlink r:id="rId62" ref="S307"/>
    <hyperlink r:id="rId63" ref="S322"/>
    <hyperlink r:id="rId64" ref="S323"/>
    <hyperlink r:id="rId65" ref="S324"/>
    <hyperlink r:id="rId66" ref="S332"/>
    <hyperlink r:id="rId67" ref="S335"/>
    <hyperlink r:id="rId68" ref="S336"/>
    <hyperlink r:id="rId69" ref="S338"/>
    <hyperlink r:id="rId70" ref="S344"/>
    <hyperlink r:id="rId71" ref="S351"/>
    <hyperlink r:id="rId72" ref="S355"/>
    <hyperlink r:id="rId73" ref="AJ357"/>
    <hyperlink r:id="rId74" ref="S360"/>
    <hyperlink r:id="rId75" ref="S363"/>
    <hyperlink r:id="rId76" ref="S371"/>
    <hyperlink r:id="rId77" ref="S373"/>
    <hyperlink r:id="rId78" ref="S375"/>
    <hyperlink r:id="rId79" ref="S381"/>
    <hyperlink r:id="rId80" location="content15-p" ref="S386"/>
    <hyperlink r:id="rId81" ref="S387"/>
    <hyperlink r:id="rId82" ref="S397"/>
    <hyperlink r:id="rId83" ref="S399"/>
    <hyperlink r:id="rId84" ref="S403"/>
    <hyperlink r:id="rId85" ref="S404"/>
    <hyperlink r:id="rId86" ref="S407"/>
    <hyperlink r:id="rId87" ref="S411"/>
    <hyperlink r:id="rId88" ref="S412"/>
    <hyperlink r:id="rId89" ref="S437"/>
    <hyperlink r:id="rId90" ref="S450"/>
    <hyperlink r:id="rId91" ref="S461"/>
    <hyperlink r:id="rId92" ref="S463"/>
    <hyperlink r:id="rId93" ref="S480"/>
    <hyperlink r:id="rId94" ref="V480"/>
    <hyperlink r:id="rId95" ref="S483"/>
    <hyperlink r:id="rId96" ref="S485"/>
    <hyperlink r:id="rId97" ref="S490"/>
    <hyperlink r:id="rId98" ref="S502"/>
    <hyperlink r:id="rId99" ref="S503"/>
    <hyperlink r:id="rId100" ref="S505"/>
    <hyperlink r:id="rId101" ref="S510"/>
    <hyperlink r:id="rId102" ref="S520"/>
    <hyperlink r:id="rId103" ref="S521"/>
    <hyperlink r:id="rId104" ref="S538"/>
    <hyperlink r:id="rId105" ref="S539"/>
    <hyperlink r:id="rId106" ref="S540"/>
    <hyperlink r:id="rId107" ref="S541"/>
    <hyperlink r:id="rId108" ref="S550"/>
    <hyperlink r:id="rId109" ref="S555"/>
    <hyperlink r:id="rId110" ref="S562"/>
    <hyperlink r:id="rId111" ref="S563"/>
    <hyperlink r:id="rId112" ref="S571"/>
    <hyperlink r:id="rId113" ref="S586"/>
    <hyperlink r:id="rId114" ref="S604"/>
    <hyperlink r:id="rId115" ref="S610"/>
    <hyperlink r:id="rId116" ref="S612"/>
    <hyperlink r:id="rId117" ref="S614"/>
    <hyperlink r:id="rId118" ref="S618"/>
    <hyperlink r:id="rId119" ref="S620"/>
    <hyperlink r:id="rId120" ref="S626"/>
    <hyperlink r:id="rId121" ref="S627"/>
    <hyperlink r:id="rId122" ref="S628"/>
    <hyperlink r:id="rId123" ref="S638"/>
    <hyperlink r:id="rId124" ref="S640"/>
    <hyperlink r:id="rId125" ref="S641"/>
    <hyperlink r:id="rId126" ref="AJ649"/>
    <hyperlink r:id="rId127" ref="S654"/>
    <hyperlink r:id="rId128" ref="S656"/>
    <hyperlink r:id="rId129" ref="S667"/>
    <hyperlink r:id="rId130" ref="S678"/>
    <hyperlink r:id="rId131" location=":~:text=LOCATION%20SAISONNIERE%20LE%20P'TIT%20PAILLE%20EN%20QUEUE,-%3F&amp;text=Pour%20vos%20moments%20de%20d%C3%A9tente,est%20de%2014%20personnes%20maximum." ref="S858"/>
    <hyperlink r:id="rId132" ref="S1241"/>
    <hyperlink r:id="rId133" ref="S1244"/>
    <hyperlink r:id="rId134" ref="S1246"/>
    <hyperlink r:id="rId135" ref="S1250"/>
    <hyperlink r:id="rId136" ref="S1254"/>
    <hyperlink r:id="rId137" ref="S1256"/>
    <hyperlink r:id="rId138" ref="S1257"/>
    <hyperlink r:id="rId139" ref="S1258"/>
    <hyperlink r:id="rId140" ref="S1262"/>
    <hyperlink r:id="rId141" ref="S1265"/>
    <hyperlink r:id="rId142" ref="S1266"/>
    <hyperlink r:id="rId143" ref="S1271"/>
    <hyperlink r:id="rId144" ref="S1276"/>
    <hyperlink r:id="rId145" ref="S1277"/>
    <hyperlink r:id="rId146" ref="S1278"/>
    <hyperlink r:id="rId147" ref="S1279"/>
    <hyperlink r:id="rId148" ref="S1281"/>
    <hyperlink r:id="rId149" ref="S1296"/>
    <hyperlink r:id="rId150" ref="S1299"/>
    <hyperlink r:id="rId151" ref="S1302"/>
    <hyperlink r:id="rId152" ref="S1304"/>
    <hyperlink r:id="rId153" ref="S1310"/>
    <hyperlink r:id="rId154" ref="S1312"/>
    <hyperlink r:id="rId155" ref="S1313"/>
    <hyperlink r:id="rId156" ref="S1316"/>
    <hyperlink r:id="rId157" ref="S1319"/>
    <hyperlink r:id="rId158" ref="S1320"/>
    <hyperlink r:id="rId159" ref="S1328"/>
    <hyperlink r:id="rId160" ref="S1329"/>
    <hyperlink r:id="rId161" ref="S1330"/>
    <hyperlink r:id="rId162" ref="S1332"/>
    <hyperlink r:id="rId163" ref="S1333"/>
    <hyperlink r:id="rId164" ref="S1337"/>
    <hyperlink r:id="rId165" ref="S1338"/>
    <hyperlink r:id="rId166" ref="S1339"/>
    <hyperlink r:id="rId167" ref="S1350"/>
    <hyperlink r:id="rId168" ref="S1354"/>
    <hyperlink r:id="rId169" ref="S1358"/>
    <hyperlink r:id="rId170" ref="S1360"/>
    <hyperlink r:id="rId171" ref="S1372"/>
    <hyperlink r:id="rId172" ref="S1377"/>
    <hyperlink r:id="rId173" ref="S1378"/>
    <hyperlink r:id="rId174" ref="S1381"/>
    <hyperlink r:id="rId175" ref="AJ1382"/>
    <hyperlink r:id="rId176" ref="S1384"/>
    <hyperlink r:id="rId177" ref="S1393"/>
    <hyperlink r:id="rId178" ref="S1396"/>
    <hyperlink r:id="rId179" ref="S1403"/>
    <hyperlink r:id="rId180" ref="S1411"/>
    <hyperlink r:id="rId181" ref="AJ1411"/>
    <hyperlink r:id="rId182" ref="S1417"/>
    <hyperlink r:id="rId183" ref="S1423"/>
    <hyperlink r:id="rId184" ref="AJ1424"/>
    <hyperlink r:id="rId185" ref="S1428"/>
  </hyperlinks>
  <drawing r:id="rId18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38"/>
  </cols>
  <sheetData>
    <row r="1">
      <c r="A1" s="9" t="s">
        <v>277</v>
      </c>
      <c r="B1" s="9" t="s">
        <v>9</v>
      </c>
      <c r="C1" s="9" t="s">
        <v>24318</v>
      </c>
    </row>
    <row r="2">
      <c r="A2" s="9" t="s">
        <v>24319</v>
      </c>
      <c r="B2" s="9" t="s">
        <v>24320</v>
      </c>
      <c r="C2" s="7" t="s">
        <v>639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31.38"/>
    <col customWidth="1" min="3" max="4" width="15.38"/>
    <col customWidth="1" min="5" max="6" width="19.13"/>
    <col customWidth="1" min="7" max="8" width="15.38"/>
    <col customWidth="1" min="9" max="9" width="23.75"/>
    <col customWidth="1" min="10" max="10" width="10.5"/>
    <col customWidth="1" min="11" max="11" width="12.13"/>
    <col customWidth="1" min="12" max="12" width="13.25"/>
    <col customWidth="1" min="13" max="15" width="23.13"/>
    <col customWidth="1" min="16" max="18" width="15.38"/>
    <col customWidth="1" min="19" max="19" width="23.13"/>
    <col customWidth="1" min="20" max="26" width="15.38"/>
  </cols>
  <sheetData>
    <row r="1" ht="15.75" customHeight="1">
      <c r="A1" s="77" t="s">
        <v>24321</v>
      </c>
      <c r="B1" s="77" t="s">
        <v>9</v>
      </c>
      <c r="C1" s="77" t="s">
        <v>10</v>
      </c>
      <c r="D1" s="77" t="s">
        <v>24322</v>
      </c>
      <c r="E1" s="77" t="s">
        <v>225</v>
      </c>
      <c r="F1" s="78" t="s">
        <v>24323</v>
      </c>
      <c r="G1" s="77" t="s">
        <v>24324</v>
      </c>
      <c r="H1" s="77" t="s">
        <v>24325</v>
      </c>
      <c r="I1" s="77" t="s">
        <v>24326</v>
      </c>
      <c r="J1" s="77" t="s">
        <v>12264</v>
      </c>
      <c r="K1" s="77" t="s">
        <v>12265</v>
      </c>
      <c r="L1" s="77" t="s">
        <v>12266</v>
      </c>
      <c r="M1" s="77" t="s">
        <v>12267</v>
      </c>
      <c r="N1" s="77" t="s">
        <v>293</v>
      </c>
      <c r="O1" s="79" t="s">
        <v>12275</v>
      </c>
      <c r="P1" s="77" t="s">
        <v>15</v>
      </c>
      <c r="Q1" s="77" t="s">
        <v>24327</v>
      </c>
      <c r="R1" s="77" t="s">
        <v>24328</v>
      </c>
      <c r="S1" s="80" t="s">
        <v>24329</v>
      </c>
      <c r="T1" s="80"/>
      <c r="U1" s="77"/>
      <c r="V1" s="77"/>
      <c r="W1" s="77"/>
      <c r="X1" s="77"/>
      <c r="Y1" s="77"/>
      <c r="Z1" s="77"/>
    </row>
    <row r="2" ht="15.75" customHeight="1">
      <c r="A2" s="81" t="s">
        <v>20124</v>
      </c>
      <c r="B2" s="81"/>
      <c r="C2" s="81"/>
      <c r="D2" s="81"/>
      <c r="E2" s="82" t="s">
        <v>5696</v>
      </c>
      <c r="F2" s="83" t="s">
        <v>20122</v>
      </c>
      <c r="G2" s="81"/>
      <c r="H2" s="84" t="b">
        <v>1</v>
      </c>
      <c r="I2" s="85">
        <v>1.0</v>
      </c>
      <c r="J2" s="86">
        <v>16.0</v>
      </c>
      <c r="K2" s="81" t="s">
        <v>24330</v>
      </c>
      <c r="L2" s="86">
        <v>97430.0</v>
      </c>
      <c r="M2" s="81" t="s">
        <v>71</v>
      </c>
      <c r="N2" s="81"/>
      <c r="O2" s="83" t="s">
        <v>5692</v>
      </c>
      <c r="P2" s="81"/>
      <c r="Q2" s="75" t="s">
        <v>24331</v>
      </c>
      <c r="R2" s="81"/>
      <c r="S2" s="87"/>
      <c r="T2" s="81"/>
      <c r="U2" s="81"/>
      <c r="V2" s="81"/>
      <c r="W2" s="81"/>
      <c r="X2" s="81"/>
      <c r="Y2" s="81"/>
      <c r="Z2" s="81"/>
    </row>
    <row r="3" ht="15.75" customHeight="1">
      <c r="A3" s="81" t="s">
        <v>13549</v>
      </c>
      <c r="B3" s="85" t="s">
        <v>24332</v>
      </c>
      <c r="C3" s="85" t="s">
        <v>24333</v>
      </c>
      <c r="D3" s="85" t="s">
        <v>24334</v>
      </c>
      <c r="E3" s="81" t="s">
        <v>13541</v>
      </c>
      <c r="F3" s="83" t="s">
        <v>13543</v>
      </c>
      <c r="G3" s="85" t="s">
        <v>24335</v>
      </c>
      <c r="H3" s="88" t="b">
        <v>1</v>
      </c>
      <c r="I3" s="85">
        <v>1.0</v>
      </c>
      <c r="J3" s="89" t="s">
        <v>19764</v>
      </c>
      <c r="K3" s="85" t="s">
        <v>24336</v>
      </c>
      <c r="L3" s="86">
        <v>97418.0</v>
      </c>
      <c r="M3" s="81" t="s">
        <v>216</v>
      </c>
      <c r="N3" s="81"/>
      <c r="O3" s="83" t="s">
        <v>7565</v>
      </c>
      <c r="P3" s="81"/>
      <c r="Q3" s="46" t="s">
        <v>24337</v>
      </c>
      <c r="R3" s="81"/>
      <c r="S3" s="87"/>
      <c r="T3" s="81"/>
      <c r="U3" s="81"/>
      <c r="V3" s="81"/>
      <c r="W3" s="81"/>
      <c r="X3" s="81"/>
      <c r="Y3" s="81"/>
      <c r="Z3" s="81"/>
    </row>
    <row r="4" ht="15.75" customHeight="1">
      <c r="A4" s="81" t="s">
        <v>17339</v>
      </c>
      <c r="B4" s="85" t="s">
        <v>24338</v>
      </c>
      <c r="C4" s="85" t="s">
        <v>24339</v>
      </c>
      <c r="D4" s="85" t="s">
        <v>24334</v>
      </c>
      <c r="E4" s="81" t="s">
        <v>5429</v>
      </c>
      <c r="F4" s="83" t="s">
        <v>24340</v>
      </c>
      <c r="G4" s="85" t="s">
        <v>24335</v>
      </c>
      <c r="H4" s="84" t="b">
        <v>1</v>
      </c>
      <c r="I4" s="85">
        <v>1.0</v>
      </c>
      <c r="J4" s="90" t="s">
        <v>17330</v>
      </c>
      <c r="K4" s="81" t="s">
        <v>17331</v>
      </c>
      <c r="L4" s="86">
        <v>97430.0</v>
      </c>
      <c r="M4" s="81" t="s">
        <v>71</v>
      </c>
      <c r="N4" s="81"/>
      <c r="O4" s="83" t="s">
        <v>5426</v>
      </c>
      <c r="P4" s="81"/>
      <c r="Q4" s="46" t="s">
        <v>24341</v>
      </c>
      <c r="R4" s="81"/>
      <c r="S4" s="87"/>
      <c r="T4" s="81"/>
      <c r="U4" s="81"/>
      <c r="V4" s="81"/>
      <c r="W4" s="81"/>
      <c r="X4" s="81"/>
      <c r="Y4" s="81"/>
      <c r="Z4" s="81"/>
    </row>
    <row r="5" ht="15.75" customHeight="1">
      <c r="A5" s="81" t="s">
        <v>13320</v>
      </c>
      <c r="B5" s="81"/>
      <c r="C5" s="81"/>
      <c r="D5" s="81"/>
      <c r="E5" s="81" t="s">
        <v>2549</v>
      </c>
      <c r="F5" s="83" t="s">
        <v>13315</v>
      </c>
      <c r="G5" s="81"/>
      <c r="H5" s="84" t="b">
        <v>1</v>
      </c>
      <c r="I5" s="81"/>
      <c r="J5" s="86">
        <v>325.0</v>
      </c>
      <c r="K5" s="81" t="s">
        <v>23063</v>
      </c>
      <c r="L5" s="86">
        <v>97430.0</v>
      </c>
      <c r="M5" s="81" t="s">
        <v>71</v>
      </c>
      <c r="N5" s="81"/>
      <c r="O5" s="83" t="s">
        <v>2545</v>
      </c>
      <c r="P5" s="81"/>
      <c r="Q5" s="75" t="s">
        <v>24342</v>
      </c>
      <c r="R5" s="81"/>
      <c r="S5" s="87"/>
      <c r="T5" s="81"/>
      <c r="U5" s="81"/>
      <c r="V5" s="81"/>
      <c r="W5" s="81"/>
      <c r="X5" s="81"/>
      <c r="Y5" s="81"/>
      <c r="Z5" s="81"/>
    </row>
    <row r="6" ht="15.75" customHeight="1">
      <c r="A6" s="81" t="s">
        <v>13517</v>
      </c>
      <c r="B6" s="85" t="s">
        <v>24343</v>
      </c>
      <c r="C6" s="85" t="s">
        <v>20</v>
      </c>
      <c r="D6" s="85" t="s">
        <v>24344</v>
      </c>
      <c r="E6" s="85" t="s">
        <v>24345</v>
      </c>
      <c r="F6" s="91" t="s">
        <v>24346</v>
      </c>
      <c r="G6" s="85" t="s">
        <v>24335</v>
      </c>
      <c r="H6" s="88" t="b">
        <v>1</v>
      </c>
      <c r="I6" s="85">
        <v>1.0</v>
      </c>
      <c r="J6" s="90" t="s">
        <v>13509</v>
      </c>
      <c r="K6" s="85" t="s">
        <v>13332</v>
      </c>
      <c r="L6" s="86">
        <v>97418.0</v>
      </c>
      <c r="M6" s="81" t="s">
        <v>216</v>
      </c>
      <c r="N6" s="81"/>
      <c r="O6" s="83" t="s">
        <v>7612</v>
      </c>
      <c r="P6" s="81"/>
      <c r="Q6" s="46" t="s">
        <v>24347</v>
      </c>
      <c r="R6" s="92">
        <v>23419.0</v>
      </c>
      <c r="S6" s="93" t="s">
        <v>24348</v>
      </c>
      <c r="T6" s="81"/>
      <c r="U6" s="81"/>
      <c r="V6" s="81"/>
      <c r="W6" s="81"/>
      <c r="X6" s="81"/>
      <c r="Y6" s="81"/>
      <c r="Z6" s="81"/>
    </row>
    <row r="7" ht="15.75" customHeight="1">
      <c r="A7" s="81" t="s">
        <v>14190</v>
      </c>
      <c r="B7" s="85" t="s">
        <v>24349</v>
      </c>
      <c r="C7" s="81"/>
      <c r="D7" s="85" t="s">
        <v>24334</v>
      </c>
      <c r="E7" s="85" t="s">
        <v>14184</v>
      </c>
      <c r="F7" s="91" t="s">
        <v>14185</v>
      </c>
      <c r="G7" s="81"/>
      <c r="H7" s="88" t="b">
        <v>1</v>
      </c>
      <c r="I7" s="85">
        <v>1.0</v>
      </c>
      <c r="J7" s="90" t="s">
        <v>14181</v>
      </c>
      <c r="K7" s="85" t="s">
        <v>14182</v>
      </c>
      <c r="L7" s="86">
        <v>97414.0</v>
      </c>
      <c r="M7" s="81" t="s">
        <v>40</v>
      </c>
      <c r="N7" s="81"/>
      <c r="O7" s="94" t="s">
        <v>24350</v>
      </c>
      <c r="P7" s="81"/>
      <c r="Q7" s="46" t="s">
        <v>24351</v>
      </c>
      <c r="R7" s="81"/>
      <c r="S7" s="87"/>
      <c r="T7" s="81"/>
      <c r="U7" s="81"/>
      <c r="V7" s="81"/>
      <c r="W7" s="81"/>
      <c r="X7" s="81"/>
      <c r="Y7" s="81"/>
      <c r="Z7" s="81"/>
    </row>
    <row r="8" ht="15.75" customHeight="1">
      <c r="A8" s="81" t="s">
        <v>12524</v>
      </c>
      <c r="B8" s="85" t="s">
        <v>24352</v>
      </c>
      <c r="C8" s="85" t="s">
        <v>24353</v>
      </c>
      <c r="D8" s="85" t="s">
        <v>24344</v>
      </c>
      <c r="E8" s="85" t="s">
        <v>12521</v>
      </c>
      <c r="F8" s="83" t="s">
        <v>12522</v>
      </c>
      <c r="G8" s="81"/>
      <c r="H8" s="84" t="b">
        <v>0</v>
      </c>
      <c r="I8" s="85">
        <v>1.0</v>
      </c>
      <c r="J8" s="86">
        <v>37.0</v>
      </c>
      <c r="K8" s="81" t="s">
        <v>20136</v>
      </c>
      <c r="L8" s="86">
        <v>97480.0</v>
      </c>
      <c r="M8" s="81" t="s">
        <v>123</v>
      </c>
      <c r="N8" s="81"/>
      <c r="O8" s="83" t="s">
        <v>6705</v>
      </c>
      <c r="P8" s="81"/>
      <c r="Q8" s="46" t="s">
        <v>24354</v>
      </c>
      <c r="R8" s="81"/>
      <c r="S8" s="87"/>
      <c r="T8" s="81"/>
      <c r="U8" s="81"/>
      <c r="V8" s="81"/>
      <c r="W8" s="81"/>
      <c r="X8" s="81"/>
      <c r="Y8" s="81"/>
      <c r="Z8" s="81"/>
    </row>
    <row r="9" ht="15.75" customHeight="1">
      <c r="A9" s="81" t="s">
        <v>19432</v>
      </c>
      <c r="B9" s="81"/>
      <c r="C9" s="81"/>
      <c r="D9" s="81"/>
      <c r="E9" s="81" t="s">
        <v>17602</v>
      </c>
      <c r="F9" s="83" t="s">
        <v>17604</v>
      </c>
      <c r="G9" s="81"/>
      <c r="H9" s="88" t="b">
        <v>1</v>
      </c>
      <c r="I9" s="81"/>
      <c r="J9" s="81"/>
      <c r="K9" s="81" t="s">
        <v>33</v>
      </c>
      <c r="L9" s="86">
        <v>97442.0</v>
      </c>
      <c r="M9" s="81" t="s">
        <v>33</v>
      </c>
      <c r="N9" s="81"/>
      <c r="O9" s="83" t="s">
        <v>7556</v>
      </c>
      <c r="P9" s="81"/>
      <c r="Q9" s="75" t="s">
        <v>24355</v>
      </c>
      <c r="R9" s="81"/>
      <c r="S9" s="87"/>
      <c r="T9" s="81"/>
      <c r="U9" s="81"/>
      <c r="V9" s="81"/>
      <c r="W9" s="81"/>
      <c r="X9" s="81"/>
      <c r="Y9" s="81"/>
      <c r="Z9" s="81"/>
    </row>
    <row r="10" ht="15.75" customHeight="1">
      <c r="A10" s="81" t="s">
        <v>13119</v>
      </c>
      <c r="B10" s="81"/>
      <c r="C10" s="81"/>
      <c r="D10" s="81"/>
      <c r="E10" s="81" t="s">
        <v>1634</v>
      </c>
      <c r="F10" s="83" t="s">
        <v>20138</v>
      </c>
      <c r="G10" s="81"/>
      <c r="H10" s="88" t="b">
        <v>1</v>
      </c>
      <c r="I10" s="81"/>
      <c r="J10" s="86">
        <v>65.0</v>
      </c>
      <c r="K10" s="81" t="s">
        <v>24356</v>
      </c>
      <c r="L10" s="86">
        <v>97430.0</v>
      </c>
      <c r="M10" s="81" t="s">
        <v>71</v>
      </c>
      <c r="N10" s="81"/>
      <c r="O10" s="83" t="s">
        <v>1631</v>
      </c>
      <c r="P10" s="81"/>
      <c r="Q10" s="75" t="s">
        <v>24357</v>
      </c>
      <c r="R10" s="81"/>
      <c r="S10" s="87"/>
      <c r="T10" s="81"/>
      <c r="U10" s="81"/>
      <c r="V10" s="81"/>
      <c r="W10" s="81"/>
      <c r="X10" s="81"/>
      <c r="Y10" s="81"/>
      <c r="Z10" s="81"/>
    </row>
    <row r="11" ht="15.75" customHeight="1">
      <c r="A11" s="81" t="s">
        <v>20139</v>
      </c>
      <c r="B11" s="95" t="s">
        <v>24358</v>
      </c>
      <c r="C11" s="95" t="s">
        <v>24359</v>
      </c>
      <c r="D11" s="95" t="s">
        <v>24344</v>
      </c>
      <c r="E11" s="81"/>
      <c r="F11" s="83" t="s">
        <v>20220</v>
      </c>
      <c r="G11" s="81"/>
      <c r="H11" s="88" t="b">
        <v>1</v>
      </c>
      <c r="I11" s="81"/>
      <c r="J11" s="81"/>
      <c r="K11" s="81" t="s">
        <v>20136</v>
      </c>
      <c r="L11" s="86">
        <v>97480.0</v>
      </c>
      <c r="M11" s="81" t="s">
        <v>123</v>
      </c>
      <c r="N11" s="81"/>
      <c r="O11" s="83" t="s">
        <v>6501</v>
      </c>
      <c r="P11" s="81"/>
      <c r="Q11" s="75" t="s">
        <v>24360</v>
      </c>
      <c r="R11" s="81"/>
      <c r="S11" s="87"/>
      <c r="T11" s="81"/>
      <c r="U11" s="81"/>
      <c r="V11" s="81"/>
      <c r="W11" s="81"/>
      <c r="X11" s="81"/>
      <c r="Y11" s="81"/>
      <c r="Z11" s="81"/>
    </row>
    <row r="12" ht="15.75" customHeight="1">
      <c r="A12" s="81" t="s">
        <v>20221</v>
      </c>
      <c r="B12" s="81"/>
      <c r="C12" s="81"/>
      <c r="D12" s="81"/>
      <c r="E12" s="81"/>
      <c r="F12" s="83" t="s">
        <v>18775</v>
      </c>
      <c r="G12" s="81"/>
      <c r="H12" s="88" t="b">
        <v>1</v>
      </c>
      <c r="I12" s="81"/>
      <c r="J12" s="81"/>
      <c r="K12" s="81" t="s">
        <v>20219</v>
      </c>
      <c r="L12" s="86">
        <v>97418.0</v>
      </c>
      <c r="M12" s="81" t="s">
        <v>216</v>
      </c>
      <c r="N12" s="81"/>
      <c r="O12" s="83" t="s">
        <v>4559</v>
      </c>
      <c r="P12" s="81"/>
      <c r="Q12" s="75" t="s">
        <v>24361</v>
      </c>
      <c r="R12" s="81"/>
      <c r="S12" s="87"/>
      <c r="T12" s="81"/>
      <c r="U12" s="81"/>
      <c r="V12" s="81"/>
      <c r="W12" s="81"/>
      <c r="X12" s="81"/>
      <c r="Y12" s="81"/>
      <c r="Z12" s="81"/>
    </row>
    <row r="13" ht="15.75" customHeight="1">
      <c r="A13" s="81" t="s">
        <v>18776</v>
      </c>
      <c r="B13" s="81"/>
      <c r="C13" s="81"/>
      <c r="D13" s="81"/>
      <c r="E13" s="81" t="s">
        <v>5489</v>
      </c>
      <c r="F13" s="83" t="s">
        <v>18050</v>
      </c>
      <c r="G13" s="81"/>
      <c r="H13" s="84" t="b">
        <v>1</v>
      </c>
      <c r="I13" s="81"/>
      <c r="J13" s="86">
        <v>15.0</v>
      </c>
      <c r="K13" s="81" t="s">
        <v>24362</v>
      </c>
      <c r="L13" s="86">
        <v>97480.0</v>
      </c>
      <c r="M13" s="81" t="s">
        <v>123</v>
      </c>
      <c r="N13" s="81" t="s">
        <v>206</v>
      </c>
      <c r="O13" s="83" t="s">
        <v>5484</v>
      </c>
      <c r="P13" s="81"/>
      <c r="Q13" s="75" t="s">
        <v>24363</v>
      </c>
      <c r="R13" s="81"/>
      <c r="S13" s="87"/>
      <c r="T13" s="81"/>
      <c r="U13" s="81"/>
      <c r="V13" s="81"/>
      <c r="W13" s="81"/>
      <c r="X13" s="81"/>
      <c r="Y13" s="81"/>
      <c r="Z13" s="81"/>
    </row>
    <row r="14" ht="15.75" customHeight="1">
      <c r="A14" s="81" t="s">
        <v>18058</v>
      </c>
      <c r="B14" s="85" t="s">
        <v>24364</v>
      </c>
      <c r="C14" s="85" t="s">
        <v>24365</v>
      </c>
      <c r="D14" s="85" t="s">
        <v>24334</v>
      </c>
      <c r="E14" s="81" t="s">
        <v>8996</v>
      </c>
      <c r="F14" s="91" t="s">
        <v>18050</v>
      </c>
      <c r="G14" s="85" t="s">
        <v>24335</v>
      </c>
      <c r="H14" s="84" t="b">
        <v>1</v>
      </c>
      <c r="I14" s="85">
        <v>1.0</v>
      </c>
      <c r="J14" s="90" t="s">
        <v>13933</v>
      </c>
      <c r="K14" s="85" t="s">
        <v>18048</v>
      </c>
      <c r="L14" s="86">
        <v>97414.0</v>
      </c>
      <c r="M14" s="81" t="s">
        <v>40</v>
      </c>
      <c r="N14" s="81"/>
      <c r="O14" s="83" t="s">
        <v>8993</v>
      </c>
      <c r="P14" s="85" t="s">
        <v>24366</v>
      </c>
      <c r="Q14" s="46" t="s">
        <v>24367</v>
      </c>
      <c r="R14" s="92">
        <v>27576.0</v>
      </c>
      <c r="S14" s="93" t="s">
        <v>24348</v>
      </c>
      <c r="T14" s="81"/>
      <c r="U14" s="81"/>
      <c r="V14" s="81"/>
      <c r="W14" s="81"/>
      <c r="X14" s="81"/>
      <c r="Y14" s="81"/>
      <c r="Z14" s="81"/>
    </row>
    <row r="15" ht="15.75" customHeight="1">
      <c r="A15" s="81" t="s">
        <v>14377</v>
      </c>
      <c r="B15" s="81"/>
      <c r="C15" s="81"/>
      <c r="D15" s="81"/>
      <c r="E15" s="81"/>
      <c r="F15" s="83" t="s">
        <v>18943</v>
      </c>
      <c r="G15" s="81"/>
      <c r="H15" s="88" t="b">
        <v>1</v>
      </c>
      <c r="I15" s="81"/>
      <c r="J15" s="86">
        <v>127.0</v>
      </c>
      <c r="K15" s="81" t="s">
        <v>24368</v>
      </c>
      <c r="L15" s="86">
        <v>97480.0</v>
      </c>
      <c r="M15" s="81" t="s">
        <v>123</v>
      </c>
      <c r="N15" s="81" t="s">
        <v>206</v>
      </c>
      <c r="O15" s="83" t="s">
        <v>7537</v>
      </c>
      <c r="P15" s="81"/>
      <c r="Q15" s="75" t="s">
        <v>24369</v>
      </c>
      <c r="R15" s="81"/>
      <c r="S15" s="87"/>
      <c r="T15" s="81"/>
      <c r="U15" s="81"/>
      <c r="V15" s="81"/>
      <c r="W15" s="81"/>
      <c r="X15" s="81"/>
      <c r="Y15" s="81"/>
      <c r="Z15" s="81"/>
    </row>
    <row r="16" ht="15.75" customHeight="1">
      <c r="A16" s="81" t="s">
        <v>18946</v>
      </c>
      <c r="B16" s="81"/>
      <c r="C16" s="81"/>
      <c r="D16" s="81"/>
      <c r="E16" s="81" t="s">
        <v>8694</v>
      </c>
      <c r="F16" s="83" t="s">
        <v>24370</v>
      </c>
      <c r="G16" s="81"/>
      <c r="H16" s="84" t="b">
        <v>1</v>
      </c>
      <c r="I16" s="81"/>
      <c r="J16" s="86">
        <v>107.0</v>
      </c>
      <c r="K16" s="81" t="s">
        <v>24371</v>
      </c>
      <c r="L16" s="86">
        <v>97430.0</v>
      </c>
      <c r="M16" s="81" t="s">
        <v>71</v>
      </c>
      <c r="N16" s="81"/>
      <c r="O16" s="83" t="s">
        <v>8689</v>
      </c>
      <c r="P16" s="81"/>
      <c r="Q16" s="75" t="s">
        <v>24372</v>
      </c>
      <c r="R16" s="81"/>
      <c r="S16" s="87"/>
      <c r="T16" s="81"/>
      <c r="U16" s="81"/>
      <c r="V16" s="81"/>
      <c r="W16" s="81"/>
      <c r="X16" s="81"/>
      <c r="Y16" s="81"/>
      <c r="Z16" s="81"/>
    </row>
    <row r="17" ht="15.75" customHeight="1">
      <c r="A17" s="81" t="s">
        <v>19252</v>
      </c>
      <c r="B17" s="85" t="s">
        <v>24373</v>
      </c>
      <c r="C17" s="85" t="s">
        <v>24374</v>
      </c>
      <c r="D17" s="85" t="s">
        <v>24334</v>
      </c>
      <c r="E17" s="82" t="s">
        <v>19248</v>
      </c>
      <c r="F17" s="91" t="s">
        <v>24370</v>
      </c>
      <c r="G17" s="81"/>
      <c r="H17" s="88" t="b">
        <v>1</v>
      </c>
      <c r="I17" s="81"/>
      <c r="J17" s="70" t="s">
        <v>19245</v>
      </c>
      <c r="K17" s="81" t="s">
        <v>19246</v>
      </c>
      <c r="L17" s="86">
        <v>97480.0</v>
      </c>
      <c r="M17" s="81" t="s">
        <v>123</v>
      </c>
      <c r="N17" s="81"/>
      <c r="O17" s="83" t="s">
        <v>2242</v>
      </c>
      <c r="P17" s="81"/>
      <c r="Q17" s="75" t="s">
        <v>24375</v>
      </c>
      <c r="R17" s="81"/>
      <c r="S17" s="87"/>
      <c r="T17" s="81"/>
      <c r="U17" s="81"/>
      <c r="V17" s="81"/>
      <c r="W17" s="81"/>
      <c r="X17" s="81"/>
      <c r="Y17" s="81"/>
      <c r="Z17" s="81"/>
    </row>
    <row r="18" ht="15.75" customHeight="1">
      <c r="A18" s="81" t="s">
        <v>12770</v>
      </c>
      <c r="B18" s="85" t="s">
        <v>24376</v>
      </c>
      <c r="C18" s="85" t="s">
        <v>24377</v>
      </c>
      <c r="D18" s="85" t="s">
        <v>24344</v>
      </c>
      <c r="E18" s="81"/>
      <c r="F18" s="83" t="s">
        <v>24378</v>
      </c>
      <c r="G18" s="81"/>
      <c r="H18" s="88" t="b">
        <v>1</v>
      </c>
      <c r="I18" s="81"/>
      <c r="J18" s="86">
        <v>251.0</v>
      </c>
      <c r="K18" s="81" t="s">
        <v>24379</v>
      </c>
      <c r="L18" s="86">
        <v>97430.0</v>
      </c>
      <c r="M18" s="81" t="s">
        <v>71</v>
      </c>
      <c r="N18" s="81" t="s">
        <v>9050</v>
      </c>
      <c r="O18" s="83" t="s">
        <v>7231</v>
      </c>
      <c r="P18" s="81"/>
      <c r="Q18" s="75" t="s">
        <v>24380</v>
      </c>
      <c r="R18" s="81"/>
      <c r="S18" s="87"/>
      <c r="T18" s="81"/>
      <c r="U18" s="81"/>
      <c r="V18" s="81"/>
      <c r="W18" s="81"/>
      <c r="X18" s="81"/>
      <c r="Y18" s="81"/>
      <c r="Z18" s="81"/>
    </row>
    <row r="19" ht="15.75" customHeight="1">
      <c r="A19" s="81" t="s">
        <v>19449</v>
      </c>
      <c r="B19" s="81"/>
      <c r="C19" s="81"/>
      <c r="D19" s="81"/>
      <c r="E19" s="81" t="s">
        <v>5243</v>
      </c>
      <c r="F19" s="83" t="s">
        <v>13624</v>
      </c>
      <c r="G19" s="81"/>
      <c r="H19" s="84" t="b">
        <v>1</v>
      </c>
      <c r="I19" s="81"/>
      <c r="J19" s="81"/>
      <c r="K19" s="81" t="s">
        <v>9494</v>
      </c>
      <c r="L19" s="86">
        <v>97418.0</v>
      </c>
      <c r="M19" s="81" t="s">
        <v>216</v>
      </c>
      <c r="N19" s="81"/>
      <c r="O19" s="83" t="s">
        <v>5240</v>
      </c>
      <c r="P19" s="81"/>
      <c r="Q19" s="75" t="s">
        <v>24381</v>
      </c>
      <c r="R19" s="81"/>
      <c r="S19" s="87"/>
      <c r="T19" s="81"/>
      <c r="U19" s="81"/>
      <c r="V19" s="81"/>
      <c r="W19" s="81"/>
      <c r="X19" s="81"/>
      <c r="Y19" s="81"/>
      <c r="Z19" s="81"/>
    </row>
    <row r="20" ht="15.75" customHeight="1">
      <c r="A20" s="81" t="s">
        <v>13628</v>
      </c>
      <c r="B20" s="81"/>
      <c r="C20" s="81"/>
      <c r="D20" s="81"/>
      <c r="E20" s="81" t="s">
        <v>13623</v>
      </c>
      <c r="F20" s="91" t="s">
        <v>13624</v>
      </c>
      <c r="G20" s="81"/>
      <c r="H20" s="88" t="b">
        <v>1</v>
      </c>
      <c r="I20" s="85">
        <v>1.0</v>
      </c>
      <c r="J20" s="86">
        <v>62.0</v>
      </c>
      <c r="K20" s="81" t="s">
        <v>24371</v>
      </c>
      <c r="L20" s="86">
        <v>97430.0</v>
      </c>
      <c r="M20" s="81" t="s">
        <v>71</v>
      </c>
      <c r="N20" s="81"/>
      <c r="O20" s="83" t="s">
        <v>7240</v>
      </c>
      <c r="P20" s="81"/>
      <c r="Q20" s="46" t="s">
        <v>24382</v>
      </c>
      <c r="R20" s="81"/>
      <c r="S20" s="87"/>
      <c r="T20" s="81"/>
      <c r="U20" s="81"/>
      <c r="V20" s="81"/>
      <c r="W20" s="81"/>
      <c r="X20" s="81"/>
      <c r="Y20" s="81"/>
      <c r="Z20" s="81"/>
    </row>
    <row r="21" ht="15.75" customHeight="1">
      <c r="A21" s="81" t="s">
        <v>20761</v>
      </c>
      <c r="B21" s="81"/>
      <c r="C21" s="81"/>
      <c r="D21" s="81"/>
      <c r="E21" s="81"/>
      <c r="F21" s="83" t="s">
        <v>24383</v>
      </c>
      <c r="G21" s="81"/>
      <c r="H21" s="88" t="b">
        <v>1</v>
      </c>
      <c r="I21" s="81"/>
      <c r="J21" s="86">
        <v>119.0</v>
      </c>
      <c r="K21" s="81" t="s">
        <v>20100</v>
      </c>
      <c r="L21" s="86">
        <v>97480.0</v>
      </c>
      <c r="M21" s="81" t="s">
        <v>123</v>
      </c>
      <c r="N21" s="81"/>
      <c r="O21" s="83" t="s">
        <v>8388</v>
      </c>
      <c r="P21" s="81"/>
      <c r="Q21" s="75" t="s">
        <v>24384</v>
      </c>
      <c r="R21" s="81"/>
      <c r="S21" s="87"/>
      <c r="T21" s="81"/>
      <c r="U21" s="81"/>
      <c r="V21" s="81"/>
      <c r="W21" s="81"/>
      <c r="X21" s="81"/>
      <c r="Y21" s="81"/>
      <c r="Z21" s="81"/>
    </row>
    <row r="22" ht="15.75" customHeight="1">
      <c r="A22" s="81" t="s">
        <v>12515</v>
      </c>
      <c r="B22" s="81"/>
      <c r="C22" s="81"/>
      <c r="D22" s="81"/>
      <c r="E22" s="81" t="s">
        <v>12513</v>
      </c>
      <c r="F22" s="83" t="s">
        <v>13527</v>
      </c>
      <c r="G22" s="81"/>
      <c r="H22" s="88" t="b">
        <v>1</v>
      </c>
      <c r="I22" s="81"/>
      <c r="J22" s="86">
        <v>57.0</v>
      </c>
      <c r="K22" s="81" t="s">
        <v>24385</v>
      </c>
      <c r="L22" s="86">
        <v>97480.0</v>
      </c>
      <c r="M22" s="81" t="s">
        <v>123</v>
      </c>
      <c r="N22" s="81"/>
      <c r="O22" s="83" t="s">
        <v>2876</v>
      </c>
      <c r="P22" s="81"/>
      <c r="Q22" s="75" t="s">
        <v>24386</v>
      </c>
      <c r="R22" s="81"/>
      <c r="S22" s="87"/>
      <c r="T22" s="81"/>
      <c r="U22" s="81"/>
      <c r="V22" s="81"/>
      <c r="W22" s="81"/>
      <c r="X22" s="81"/>
      <c r="Y22" s="81"/>
      <c r="Z22" s="81"/>
    </row>
    <row r="23" ht="15.75" customHeight="1">
      <c r="A23" s="81" t="s">
        <v>13533</v>
      </c>
      <c r="B23" s="85" t="s">
        <v>24387</v>
      </c>
      <c r="C23" s="85" t="s">
        <v>24388</v>
      </c>
      <c r="D23" s="85" t="s">
        <v>24334</v>
      </c>
      <c r="E23" s="81" t="s">
        <v>13525</v>
      </c>
      <c r="F23" s="91" t="s">
        <v>24389</v>
      </c>
      <c r="G23" s="85" t="s">
        <v>24390</v>
      </c>
      <c r="H23" s="88" t="b">
        <v>1</v>
      </c>
      <c r="I23" s="85">
        <v>1.0</v>
      </c>
      <c r="J23" s="86">
        <v>3.0</v>
      </c>
      <c r="K23" s="85" t="s">
        <v>16029</v>
      </c>
      <c r="L23" s="86">
        <v>97414.0</v>
      </c>
      <c r="M23" s="81" t="s">
        <v>40</v>
      </c>
      <c r="N23" s="81"/>
      <c r="O23" s="83" t="s">
        <v>9703</v>
      </c>
      <c r="P23" s="81"/>
      <c r="Q23" s="46" t="s">
        <v>24391</v>
      </c>
      <c r="R23" s="92">
        <v>27640.0</v>
      </c>
      <c r="S23" s="93" t="s">
        <v>24348</v>
      </c>
      <c r="T23" s="81"/>
      <c r="U23" s="81"/>
      <c r="V23" s="81"/>
      <c r="W23" s="81"/>
      <c r="X23" s="81"/>
      <c r="Y23" s="81"/>
      <c r="Z23" s="81"/>
    </row>
    <row r="24" ht="15.75" customHeight="1">
      <c r="A24" s="81" t="s">
        <v>20970</v>
      </c>
      <c r="B24" s="81"/>
      <c r="C24" s="81"/>
      <c r="D24" s="81"/>
      <c r="E24" s="81"/>
      <c r="F24" s="83" t="s">
        <v>24392</v>
      </c>
      <c r="G24" s="81"/>
      <c r="H24" s="88" t="b">
        <v>1</v>
      </c>
      <c r="I24" s="81"/>
      <c r="J24" s="86">
        <v>4.0</v>
      </c>
      <c r="K24" s="81" t="s">
        <v>24393</v>
      </c>
      <c r="L24" s="86">
        <v>97480.0</v>
      </c>
      <c r="M24" s="81" t="s">
        <v>123</v>
      </c>
      <c r="N24" s="81" t="s">
        <v>8325</v>
      </c>
      <c r="O24" s="83" t="s">
        <v>9757</v>
      </c>
      <c r="P24" s="81"/>
      <c r="Q24" s="75" t="s">
        <v>24394</v>
      </c>
      <c r="R24" s="81"/>
      <c r="S24" s="87"/>
      <c r="T24" s="81"/>
      <c r="U24" s="81"/>
      <c r="V24" s="81"/>
      <c r="W24" s="81"/>
      <c r="X24" s="81"/>
      <c r="Y24" s="81"/>
      <c r="Z24" s="81"/>
    </row>
    <row r="25" ht="15.75" customHeight="1">
      <c r="A25" s="81" t="s">
        <v>13735</v>
      </c>
      <c r="B25" s="85" t="s">
        <v>24395</v>
      </c>
      <c r="C25" s="85" t="s">
        <v>24396</v>
      </c>
      <c r="D25" s="85" t="s">
        <v>24334</v>
      </c>
      <c r="E25" s="85" t="s">
        <v>13727</v>
      </c>
      <c r="F25" s="91" t="s">
        <v>13728</v>
      </c>
      <c r="G25" s="85" t="s">
        <v>24335</v>
      </c>
      <c r="H25" s="88" t="b">
        <v>1</v>
      </c>
      <c r="I25" s="85">
        <v>1.0</v>
      </c>
      <c r="J25" s="86">
        <v>176.0</v>
      </c>
      <c r="K25" s="85" t="s">
        <v>24397</v>
      </c>
      <c r="L25" s="86">
        <v>97480.0</v>
      </c>
      <c r="M25" s="81" t="s">
        <v>123</v>
      </c>
      <c r="N25" s="81"/>
      <c r="O25" s="83" t="s">
        <v>9796</v>
      </c>
      <c r="P25" s="81"/>
      <c r="Q25" s="46" t="s">
        <v>24398</v>
      </c>
      <c r="R25" s="81"/>
      <c r="S25" s="93" t="s">
        <v>24348</v>
      </c>
      <c r="T25" s="81"/>
      <c r="U25" s="81"/>
      <c r="V25" s="81"/>
      <c r="W25" s="81"/>
      <c r="X25" s="81"/>
      <c r="Y25" s="81"/>
      <c r="Z25" s="81"/>
    </row>
    <row r="26" ht="15.75" customHeight="1">
      <c r="A26" s="81" t="s">
        <v>15532</v>
      </c>
      <c r="B26" s="81"/>
      <c r="C26" s="81"/>
      <c r="D26" s="81"/>
      <c r="E26" s="81"/>
      <c r="F26" s="83" t="s">
        <v>13115</v>
      </c>
      <c r="G26" s="81"/>
      <c r="H26" s="88" t="b">
        <v>1</v>
      </c>
      <c r="I26" s="81"/>
      <c r="J26" s="81"/>
      <c r="K26" s="81" t="s">
        <v>40</v>
      </c>
      <c r="L26" s="86">
        <v>97414.0</v>
      </c>
      <c r="M26" s="81" t="s">
        <v>40</v>
      </c>
      <c r="N26" s="81"/>
      <c r="O26" s="83" t="s">
        <v>9946</v>
      </c>
      <c r="P26" s="81"/>
      <c r="Q26" s="75" t="s">
        <v>24399</v>
      </c>
      <c r="R26" s="81"/>
      <c r="S26" s="87"/>
      <c r="T26" s="81"/>
      <c r="U26" s="81"/>
      <c r="V26" s="81"/>
      <c r="W26" s="81"/>
      <c r="X26" s="81"/>
      <c r="Y26" s="81"/>
      <c r="Z26" s="81"/>
    </row>
    <row r="27" ht="15.75" customHeight="1">
      <c r="A27" s="81" t="s">
        <v>14121</v>
      </c>
      <c r="B27" s="81"/>
      <c r="C27" s="81"/>
      <c r="D27" s="81"/>
      <c r="E27" s="81" t="s">
        <v>8990</v>
      </c>
      <c r="F27" s="83" t="s">
        <v>24400</v>
      </c>
      <c r="G27" s="81"/>
      <c r="H27" s="84" t="b">
        <v>0</v>
      </c>
      <c r="I27" s="85">
        <v>1.0</v>
      </c>
      <c r="J27" s="81" t="s">
        <v>14115</v>
      </c>
      <c r="K27" s="81" t="s">
        <v>24401</v>
      </c>
      <c r="L27" s="86">
        <v>97414.0</v>
      </c>
      <c r="M27" s="81" t="s">
        <v>40</v>
      </c>
      <c r="N27" s="81"/>
      <c r="O27" s="83" t="s">
        <v>8987</v>
      </c>
      <c r="P27" s="81"/>
      <c r="Q27" s="46" t="s">
        <v>24402</v>
      </c>
      <c r="R27" s="81"/>
      <c r="S27" s="87"/>
      <c r="T27" s="81"/>
      <c r="U27" s="81"/>
      <c r="V27" s="81"/>
      <c r="W27" s="81"/>
      <c r="X27" s="81"/>
      <c r="Y27" s="81"/>
      <c r="Z27" s="81"/>
    </row>
    <row r="28" ht="15.75" customHeight="1">
      <c r="A28" s="81" t="s">
        <v>24403</v>
      </c>
      <c r="B28" s="81" t="s">
        <v>24404</v>
      </c>
      <c r="C28" s="81" t="s">
        <v>24405</v>
      </c>
      <c r="D28" s="85" t="s">
        <v>24334</v>
      </c>
      <c r="E28" s="81" t="s">
        <v>8892</v>
      </c>
      <c r="F28" s="83" t="s">
        <v>24406</v>
      </c>
      <c r="G28" s="85" t="s">
        <v>24335</v>
      </c>
      <c r="H28" s="84" t="b">
        <v>1</v>
      </c>
      <c r="I28" s="85">
        <v>1.0</v>
      </c>
      <c r="J28" s="86">
        <v>232.0</v>
      </c>
      <c r="K28" s="81" t="s">
        <v>24407</v>
      </c>
      <c r="L28" s="86">
        <v>97430.0</v>
      </c>
      <c r="M28" s="81" t="s">
        <v>71</v>
      </c>
      <c r="N28" s="81"/>
      <c r="O28" s="94" t="s">
        <v>8889</v>
      </c>
      <c r="P28" s="81"/>
      <c r="Q28" s="46" t="s">
        <v>24408</v>
      </c>
      <c r="R28" s="81"/>
      <c r="S28" s="87"/>
      <c r="T28" s="81"/>
      <c r="U28" s="81"/>
      <c r="V28" s="81"/>
      <c r="W28" s="81"/>
      <c r="X28" s="81"/>
      <c r="Y28" s="81"/>
      <c r="Z28" s="81"/>
    </row>
    <row r="29" ht="15.75" customHeight="1">
      <c r="A29" s="81" t="s">
        <v>20905</v>
      </c>
      <c r="B29" s="81" t="s">
        <v>24409</v>
      </c>
      <c r="C29" s="81" t="s">
        <v>24410</v>
      </c>
      <c r="D29" s="81" t="s">
        <v>24344</v>
      </c>
      <c r="E29" s="81" t="s">
        <v>9444</v>
      </c>
      <c r="F29" s="83" t="s">
        <v>20900</v>
      </c>
      <c r="G29" s="81"/>
      <c r="H29" s="84" t="b">
        <v>1</v>
      </c>
      <c r="I29" s="81"/>
      <c r="J29" s="81"/>
      <c r="K29" s="81" t="s">
        <v>40</v>
      </c>
      <c r="L29" s="86">
        <v>97414.0</v>
      </c>
      <c r="M29" s="81" t="s">
        <v>40</v>
      </c>
      <c r="N29" s="81"/>
      <c r="O29" s="83" t="s">
        <v>9437</v>
      </c>
      <c r="P29" s="81"/>
      <c r="Q29" s="75" t="s">
        <v>24411</v>
      </c>
      <c r="R29" s="81"/>
      <c r="S29" s="87"/>
      <c r="T29" s="81"/>
      <c r="U29" s="81"/>
      <c r="V29" s="81"/>
      <c r="W29" s="81"/>
      <c r="X29" s="81"/>
      <c r="Y29" s="81"/>
      <c r="Z29" s="81"/>
    </row>
    <row r="30" ht="15.75" customHeight="1">
      <c r="A30" s="81" t="s">
        <v>24412</v>
      </c>
      <c r="B30" s="81" t="s">
        <v>24413</v>
      </c>
      <c r="C30" s="81" t="s">
        <v>24414</v>
      </c>
      <c r="D30" s="81" t="s">
        <v>24344</v>
      </c>
      <c r="E30" s="81" t="s">
        <v>632</v>
      </c>
      <c r="F30" s="83" t="s">
        <v>13187</v>
      </c>
      <c r="G30" s="81"/>
      <c r="H30" s="84" t="b">
        <v>1</v>
      </c>
      <c r="I30" s="85">
        <v>3.0</v>
      </c>
      <c r="J30" s="86">
        <v>37.0</v>
      </c>
      <c r="K30" s="81" t="s">
        <v>24415</v>
      </c>
      <c r="L30" s="86">
        <v>97418.0</v>
      </c>
      <c r="M30" s="81" t="s">
        <v>216</v>
      </c>
      <c r="N30" s="81"/>
      <c r="O30" s="94" t="s">
        <v>24416</v>
      </c>
      <c r="P30" s="81"/>
      <c r="Q30" s="46" t="s">
        <v>24417</v>
      </c>
      <c r="R30" s="81"/>
      <c r="S30" s="87"/>
      <c r="T30" s="81"/>
      <c r="U30" s="81"/>
      <c r="V30" s="81"/>
      <c r="W30" s="81"/>
      <c r="X30" s="81"/>
      <c r="Y30" s="81"/>
      <c r="Z30" s="81"/>
    </row>
    <row r="31" ht="15.75" customHeight="1">
      <c r="A31" s="81" t="s">
        <v>24418</v>
      </c>
      <c r="B31" s="81" t="s">
        <v>24413</v>
      </c>
      <c r="C31" s="81" t="s">
        <v>24419</v>
      </c>
      <c r="D31" s="85" t="s">
        <v>24334</v>
      </c>
      <c r="E31" s="81" t="s">
        <v>6756</v>
      </c>
      <c r="F31" s="83" t="s">
        <v>13187</v>
      </c>
      <c r="G31" s="85" t="s">
        <v>24420</v>
      </c>
      <c r="H31" s="84" t="b">
        <v>1</v>
      </c>
      <c r="I31" s="85">
        <v>0.0</v>
      </c>
      <c r="J31" s="89" t="s">
        <v>13183</v>
      </c>
      <c r="K31" s="85" t="s">
        <v>13184</v>
      </c>
      <c r="L31" s="86">
        <v>97418.0</v>
      </c>
      <c r="M31" s="81" t="s">
        <v>216</v>
      </c>
      <c r="N31" s="81"/>
      <c r="O31" s="83" t="s">
        <v>24421</v>
      </c>
      <c r="P31" s="81"/>
      <c r="Q31" s="46" t="s">
        <v>24422</v>
      </c>
      <c r="R31" s="92">
        <v>26390.0</v>
      </c>
      <c r="S31" s="93" t="s">
        <v>24348</v>
      </c>
      <c r="T31" s="81"/>
      <c r="U31" s="81"/>
      <c r="V31" s="81"/>
      <c r="W31" s="81"/>
      <c r="X31" s="81"/>
      <c r="Y31" s="81"/>
      <c r="Z31" s="81"/>
    </row>
    <row r="32" ht="15.75" customHeight="1">
      <c r="A32" s="81" t="s">
        <v>14929</v>
      </c>
      <c r="B32" s="81" t="s">
        <v>24423</v>
      </c>
      <c r="C32" s="81" t="s">
        <v>24424</v>
      </c>
      <c r="D32" s="81" t="s">
        <v>24344</v>
      </c>
      <c r="E32" s="81" t="s">
        <v>3735</v>
      </c>
      <c r="F32" s="83" t="s">
        <v>14927</v>
      </c>
      <c r="G32" s="81"/>
      <c r="H32" s="84" t="b">
        <v>1</v>
      </c>
      <c r="I32" s="81"/>
      <c r="J32" s="86">
        <v>1.0</v>
      </c>
      <c r="K32" s="81" t="s">
        <v>24425</v>
      </c>
      <c r="L32" s="86">
        <v>97480.0</v>
      </c>
      <c r="M32" s="81" t="s">
        <v>123</v>
      </c>
      <c r="N32" s="81"/>
      <c r="O32" s="83" t="s">
        <v>3744</v>
      </c>
      <c r="P32" s="81"/>
      <c r="Q32" s="75" t="s">
        <v>24426</v>
      </c>
      <c r="R32" s="81"/>
      <c r="S32" s="87"/>
      <c r="T32" s="81"/>
      <c r="U32" s="81"/>
      <c r="V32" s="81"/>
      <c r="W32" s="81"/>
      <c r="X32" s="81"/>
      <c r="Y32" s="81"/>
      <c r="Z32" s="81"/>
    </row>
    <row r="33" ht="15.75" customHeight="1">
      <c r="A33" s="81" t="s">
        <v>20946</v>
      </c>
      <c r="B33" s="81" t="s">
        <v>24427</v>
      </c>
      <c r="C33" s="81" t="s">
        <v>24428</v>
      </c>
      <c r="D33" s="81" t="s">
        <v>24344</v>
      </c>
      <c r="E33" s="81" t="s">
        <v>9651</v>
      </c>
      <c r="F33" s="83" t="s">
        <v>20945</v>
      </c>
      <c r="G33" s="81"/>
      <c r="H33" s="84" t="b">
        <v>1</v>
      </c>
      <c r="I33" s="81"/>
      <c r="J33" s="86">
        <v>20.0</v>
      </c>
      <c r="K33" s="81" t="s">
        <v>24429</v>
      </c>
      <c r="L33" s="86">
        <v>97418.0</v>
      </c>
      <c r="M33" s="81" t="s">
        <v>216</v>
      </c>
      <c r="N33" s="81"/>
      <c r="O33" s="83" t="s">
        <v>9648</v>
      </c>
      <c r="P33" s="81"/>
      <c r="Q33" s="75" t="s">
        <v>24430</v>
      </c>
      <c r="R33" s="81"/>
      <c r="S33" s="87"/>
      <c r="T33" s="81"/>
      <c r="U33" s="81"/>
      <c r="V33" s="81"/>
      <c r="W33" s="81"/>
      <c r="X33" s="81"/>
      <c r="Y33" s="81"/>
      <c r="Z33" s="81"/>
    </row>
    <row r="34" ht="15.75" customHeight="1">
      <c r="A34" s="81" t="s">
        <v>19467</v>
      </c>
      <c r="B34" s="81" t="s">
        <v>24431</v>
      </c>
      <c r="C34" s="81" t="s">
        <v>24432</v>
      </c>
      <c r="D34" s="81" t="s">
        <v>24344</v>
      </c>
      <c r="E34" s="81" t="s">
        <v>573</v>
      </c>
      <c r="F34" s="83" t="s">
        <v>19463</v>
      </c>
      <c r="G34" s="85" t="s">
        <v>24335</v>
      </c>
      <c r="H34" s="84" t="b">
        <v>1</v>
      </c>
      <c r="I34" s="81"/>
      <c r="J34" s="86">
        <v>154.0</v>
      </c>
      <c r="K34" s="81" t="s">
        <v>24433</v>
      </c>
      <c r="L34" s="86">
        <v>97418.0</v>
      </c>
      <c r="M34" s="81" t="s">
        <v>216</v>
      </c>
      <c r="N34" s="81"/>
      <c r="O34" s="83" t="s">
        <v>565</v>
      </c>
      <c r="P34" s="85" t="s">
        <v>24434</v>
      </c>
      <c r="Q34" s="75" t="s">
        <v>24435</v>
      </c>
      <c r="R34" s="96">
        <v>24799.0</v>
      </c>
      <c r="S34" s="93" t="s">
        <v>24348</v>
      </c>
      <c r="T34" s="81"/>
      <c r="U34" s="81"/>
      <c r="V34" s="81"/>
      <c r="W34" s="81"/>
      <c r="X34" s="81"/>
      <c r="Y34" s="81"/>
      <c r="Z34" s="81"/>
    </row>
    <row r="35" ht="15.75" customHeight="1">
      <c r="A35" s="81" t="s">
        <v>20997</v>
      </c>
      <c r="B35" s="81" t="s">
        <v>24436</v>
      </c>
      <c r="C35" s="81" t="s">
        <v>24437</v>
      </c>
      <c r="D35" s="85" t="s">
        <v>24334</v>
      </c>
      <c r="E35" s="81" t="s">
        <v>9998</v>
      </c>
      <c r="F35" s="83" t="s">
        <v>20995</v>
      </c>
      <c r="G35" s="81"/>
      <c r="H35" s="84" t="b">
        <v>1</v>
      </c>
      <c r="I35" s="81"/>
      <c r="J35" s="86">
        <v>135.0</v>
      </c>
      <c r="K35" s="81" t="s">
        <v>24385</v>
      </c>
      <c r="L35" s="86">
        <v>97480.0</v>
      </c>
      <c r="M35" s="81" t="s">
        <v>123</v>
      </c>
      <c r="N35" s="81"/>
      <c r="O35" s="83" t="s">
        <v>9993</v>
      </c>
      <c r="P35" s="81"/>
      <c r="Q35" s="75" t="s">
        <v>24438</v>
      </c>
      <c r="R35" s="81"/>
      <c r="S35" s="87"/>
      <c r="T35" s="81"/>
      <c r="U35" s="81"/>
      <c r="V35" s="81"/>
      <c r="W35" s="81"/>
      <c r="X35" s="81"/>
      <c r="Y35" s="81"/>
      <c r="Z35" s="81"/>
    </row>
    <row r="36" ht="15.75" customHeight="1">
      <c r="A36" s="81" t="s">
        <v>12760</v>
      </c>
      <c r="B36" s="81" t="s">
        <v>24439</v>
      </c>
      <c r="C36" s="81" t="s">
        <v>24440</v>
      </c>
      <c r="D36" s="81" t="s">
        <v>24344</v>
      </c>
      <c r="E36" s="81" t="s">
        <v>12755</v>
      </c>
      <c r="F36" s="83" t="s">
        <v>12757</v>
      </c>
      <c r="G36" s="81"/>
      <c r="H36" s="88" t="b">
        <v>1</v>
      </c>
      <c r="I36" s="81"/>
      <c r="J36" s="86">
        <v>9.0</v>
      </c>
      <c r="K36" s="81" t="s">
        <v>24441</v>
      </c>
      <c r="L36" s="86">
        <v>97430.0</v>
      </c>
      <c r="M36" s="81" t="s">
        <v>71</v>
      </c>
      <c r="N36" s="81"/>
      <c r="O36" s="83" t="s">
        <v>6071</v>
      </c>
      <c r="P36" s="81"/>
      <c r="Q36" s="75" t="s">
        <v>24442</v>
      </c>
      <c r="R36" s="81"/>
      <c r="S36" s="87"/>
      <c r="T36" s="81"/>
      <c r="U36" s="81"/>
      <c r="V36" s="81"/>
      <c r="W36" s="81"/>
      <c r="X36" s="81"/>
      <c r="Y36" s="81"/>
      <c r="Z36" s="81"/>
    </row>
    <row r="37" ht="15.75" customHeight="1">
      <c r="A37" s="81" t="s">
        <v>13263</v>
      </c>
      <c r="B37" s="81" t="s">
        <v>24443</v>
      </c>
      <c r="C37" s="81" t="s">
        <v>24444</v>
      </c>
      <c r="D37" s="81" t="s">
        <v>24344</v>
      </c>
      <c r="E37" s="81" t="s">
        <v>3893</v>
      </c>
      <c r="F37" s="83" t="s">
        <v>13260</v>
      </c>
      <c r="G37" s="81"/>
      <c r="H37" s="84" t="b">
        <v>1</v>
      </c>
      <c r="I37" s="85">
        <v>1.0</v>
      </c>
      <c r="J37" s="86">
        <v>186.0</v>
      </c>
      <c r="K37" s="81" t="s">
        <v>24445</v>
      </c>
      <c r="L37" s="86">
        <v>97430.0</v>
      </c>
      <c r="M37" s="81" t="s">
        <v>71</v>
      </c>
      <c r="N37" s="81"/>
      <c r="O37" s="83" t="s">
        <v>3889</v>
      </c>
      <c r="P37" s="81"/>
      <c r="Q37" s="46" t="s">
        <v>24446</v>
      </c>
      <c r="R37" s="81"/>
      <c r="S37" s="87"/>
      <c r="T37" s="81"/>
      <c r="U37" s="81"/>
      <c r="V37" s="81"/>
      <c r="W37" s="81"/>
      <c r="X37" s="81"/>
      <c r="Y37" s="81"/>
      <c r="Z37" s="81"/>
    </row>
    <row r="38" ht="15.75" customHeight="1">
      <c r="A38" s="81" t="s">
        <v>13109</v>
      </c>
      <c r="B38" s="81" t="s">
        <v>24447</v>
      </c>
      <c r="C38" s="81" t="s">
        <v>24448</v>
      </c>
      <c r="D38" s="81" t="s">
        <v>24344</v>
      </c>
      <c r="E38" s="81" t="s">
        <v>6052</v>
      </c>
      <c r="F38" s="83" t="s">
        <v>13105</v>
      </c>
      <c r="G38" s="81"/>
      <c r="H38" s="84" t="b">
        <v>1</v>
      </c>
      <c r="I38" s="85">
        <v>1.0</v>
      </c>
      <c r="J38" s="86">
        <v>136.0</v>
      </c>
      <c r="K38" s="81" t="s">
        <v>24449</v>
      </c>
      <c r="L38" s="86">
        <v>97430.0</v>
      </c>
      <c r="M38" s="81" t="s">
        <v>71</v>
      </c>
      <c r="N38" s="81"/>
      <c r="O38" s="83" t="s">
        <v>6049</v>
      </c>
      <c r="P38" s="81"/>
      <c r="Q38" s="46" t="s">
        <v>24450</v>
      </c>
      <c r="R38" s="81"/>
      <c r="S38" s="87"/>
      <c r="T38" s="81"/>
      <c r="U38" s="81"/>
      <c r="V38" s="81"/>
      <c r="W38" s="81"/>
      <c r="X38" s="81"/>
      <c r="Y38" s="81"/>
      <c r="Z38" s="81"/>
    </row>
    <row r="39" ht="15.75" customHeight="1">
      <c r="A39" s="81" t="s">
        <v>18262</v>
      </c>
      <c r="B39" s="81" t="s">
        <v>24451</v>
      </c>
      <c r="C39" s="81" t="s">
        <v>24452</v>
      </c>
      <c r="D39" s="85" t="s">
        <v>24334</v>
      </c>
      <c r="E39" s="85" t="s">
        <v>18259</v>
      </c>
      <c r="F39" s="83" t="s">
        <v>18260</v>
      </c>
      <c r="G39" s="81"/>
      <c r="H39" s="84" t="b">
        <v>1</v>
      </c>
      <c r="I39" s="85">
        <v>1.0</v>
      </c>
      <c r="J39" s="86">
        <v>212.0</v>
      </c>
      <c r="K39" s="81" t="s">
        <v>24453</v>
      </c>
      <c r="L39" s="86">
        <v>97430.0</v>
      </c>
      <c r="M39" s="81" t="s">
        <v>71</v>
      </c>
      <c r="N39" s="81"/>
      <c r="O39" s="83" t="s">
        <v>3793</v>
      </c>
      <c r="P39" s="81"/>
      <c r="Q39" s="75" t="s">
        <v>24454</v>
      </c>
      <c r="R39" s="81"/>
      <c r="S39" s="87"/>
      <c r="T39" s="81"/>
      <c r="U39" s="81"/>
      <c r="V39" s="81"/>
      <c r="W39" s="81"/>
      <c r="X39" s="81"/>
      <c r="Y39" s="81"/>
      <c r="Z39" s="81"/>
    </row>
    <row r="40" ht="15.75" customHeight="1">
      <c r="A40" s="81" t="s">
        <v>14921</v>
      </c>
      <c r="B40" s="81" t="s">
        <v>24455</v>
      </c>
      <c r="C40" s="81" t="s">
        <v>24456</v>
      </c>
      <c r="D40" s="81"/>
      <c r="E40" s="81" t="s">
        <v>473</v>
      </c>
      <c r="F40" s="83" t="s">
        <v>14917</v>
      </c>
      <c r="G40" s="85" t="s">
        <v>24335</v>
      </c>
      <c r="H40" s="84" t="b">
        <v>1</v>
      </c>
      <c r="I40" s="85">
        <v>1.0</v>
      </c>
      <c r="J40" s="86">
        <v>12.0</v>
      </c>
      <c r="K40" s="81" t="s">
        <v>24457</v>
      </c>
      <c r="L40" s="86">
        <v>97414.0</v>
      </c>
      <c r="M40" s="81" t="s">
        <v>40</v>
      </c>
      <c r="N40" s="81"/>
      <c r="O40" s="83" t="s">
        <v>465</v>
      </c>
      <c r="P40" s="85" t="s">
        <v>24458</v>
      </c>
      <c r="Q40" s="46" t="s">
        <v>24459</v>
      </c>
      <c r="R40" s="81"/>
      <c r="S40" s="93" t="s">
        <v>24460</v>
      </c>
      <c r="T40" s="81"/>
      <c r="U40" s="81"/>
      <c r="V40" s="81"/>
      <c r="W40" s="81"/>
      <c r="X40" s="81"/>
      <c r="Y40" s="81"/>
      <c r="Z40" s="81"/>
    </row>
    <row r="41" ht="15.75" customHeight="1">
      <c r="A41" s="81" t="s">
        <v>14521</v>
      </c>
      <c r="B41" s="81" t="s">
        <v>24461</v>
      </c>
      <c r="C41" s="81" t="s">
        <v>24462</v>
      </c>
      <c r="D41" s="85" t="s">
        <v>24334</v>
      </c>
      <c r="E41" s="81" t="s">
        <v>6769</v>
      </c>
      <c r="F41" s="83" t="s">
        <v>14519</v>
      </c>
      <c r="G41" s="85" t="s">
        <v>24335</v>
      </c>
      <c r="H41" s="84" t="b">
        <v>1</v>
      </c>
      <c r="I41" s="81"/>
      <c r="J41" s="89" t="s">
        <v>14516</v>
      </c>
      <c r="K41" s="81" t="s">
        <v>20322</v>
      </c>
      <c r="L41" s="86">
        <v>97418.0</v>
      </c>
      <c r="M41" s="81" t="s">
        <v>216</v>
      </c>
      <c r="N41" s="81"/>
      <c r="O41" s="83" t="s">
        <v>6764</v>
      </c>
      <c r="P41" s="81"/>
      <c r="Q41" s="75" t="s">
        <v>24463</v>
      </c>
      <c r="R41" s="81"/>
      <c r="S41" s="87"/>
      <c r="T41" s="81"/>
      <c r="U41" s="81"/>
      <c r="V41" s="81"/>
      <c r="W41" s="81"/>
      <c r="X41" s="81"/>
      <c r="Y41" s="81"/>
      <c r="Z41" s="81"/>
    </row>
    <row r="42" ht="15.75" customHeight="1">
      <c r="A42" s="81" t="s">
        <v>14673</v>
      </c>
      <c r="B42" s="85" t="s">
        <v>24464</v>
      </c>
      <c r="C42" s="81" t="s">
        <v>24465</v>
      </c>
      <c r="D42" s="85" t="s">
        <v>24334</v>
      </c>
      <c r="E42" s="81" t="s">
        <v>8239</v>
      </c>
      <c r="F42" s="91" t="s">
        <v>14668</v>
      </c>
      <c r="G42" s="81"/>
      <c r="H42" s="84" t="b">
        <v>1</v>
      </c>
      <c r="I42" s="85">
        <v>1.0</v>
      </c>
      <c r="J42" s="81"/>
      <c r="K42" s="81" t="s">
        <v>14666</v>
      </c>
      <c r="L42" s="86">
        <v>97414.0</v>
      </c>
      <c r="M42" s="81" t="s">
        <v>40</v>
      </c>
      <c r="N42" s="81"/>
      <c r="O42" s="83" t="s">
        <v>8236</v>
      </c>
      <c r="P42" s="81"/>
      <c r="Q42" s="75" t="s">
        <v>24466</v>
      </c>
      <c r="R42" s="81"/>
      <c r="S42" s="87"/>
      <c r="T42" s="81"/>
      <c r="U42" s="81"/>
      <c r="V42" s="81"/>
      <c r="W42" s="81"/>
      <c r="X42" s="81"/>
      <c r="Y42" s="81"/>
      <c r="Z42" s="81"/>
    </row>
    <row r="43" ht="15.75" customHeight="1">
      <c r="A43" s="81" t="s">
        <v>20993</v>
      </c>
      <c r="B43" s="81" t="s">
        <v>24467</v>
      </c>
      <c r="C43" s="81" t="s">
        <v>24468</v>
      </c>
      <c r="D43" s="81" t="s">
        <v>24344</v>
      </c>
      <c r="E43" s="81"/>
      <c r="F43" s="83" t="s">
        <v>20992</v>
      </c>
      <c r="G43" s="81"/>
      <c r="H43" s="88" t="b">
        <v>1</v>
      </c>
      <c r="I43" s="81"/>
      <c r="J43" s="86">
        <v>37.0</v>
      </c>
      <c r="K43" s="81" t="s">
        <v>24469</v>
      </c>
      <c r="L43" s="86">
        <v>97480.0</v>
      </c>
      <c r="M43" s="81" t="s">
        <v>123</v>
      </c>
      <c r="N43" s="81"/>
      <c r="O43" s="83" t="s">
        <v>9978</v>
      </c>
      <c r="P43" s="81"/>
      <c r="Q43" s="75" t="s">
        <v>24470</v>
      </c>
      <c r="R43" s="81"/>
      <c r="S43" s="87"/>
      <c r="T43" s="81"/>
      <c r="U43" s="81"/>
      <c r="V43" s="81"/>
      <c r="W43" s="81"/>
      <c r="X43" s="81"/>
      <c r="Y43" s="81"/>
      <c r="Z43" s="81"/>
    </row>
    <row r="44" ht="15.75" customHeight="1">
      <c r="A44" s="81" t="s">
        <v>19340</v>
      </c>
      <c r="B44" s="81" t="s">
        <v>24471</v>
      </c>
      <c r="C44" s="81" t="s">
        <v>24472</v>
      </c>
      <c r="D44" s="81" t="s">
        <v>24344</v>
      </c>
      <c r="E44" s="81"/>
      <c r="F44" s="83" t="s">
        <v>19339</v>
      </c>
      <c r="G44" s="81"/>
      <c r="H44" s="88" t="b">
        <v>1</v>
      </c>
      <c r="I44" s="81"/>
      <c r="J44" s="86">
        <v>68.0</v>
      </c>
      <c r="K44" s="81" t="s">
        <v>21975</v>
      </c>
      <c r="L44" s="86">
        <v>97430.0</v>
      </c>
      <c r="M44" s="81" t="s">
        <v>71</v>
      </c>
      <c r="N44" s="81"/>
      <c r="O44" s="83" t="s">
        <v>6197</v>
      </c>
      <c r="P44" s="81"/>
      <c r="Q44" s="75" t="s">
        <v>24473</v>
      </c>
      <c r="R44" s="81"/>
      <c r="S44" s="87"/>
      <c r="T44" s="81"/>
      <c r="U44" s="81"/>
      <c r="V44" s="81"/>
      <c r="W44" s="81"/>
      <c r="X44" s="81"/>
      <c r="Y44" s="81"/>
      <c r="Z44" s="81"/>
    </row>
    <row r="45" ht="15.75" customHeight="1">
      <c r="A45" s="81" t="s">
        <v>18757</v>
      </c>
      <c r="B45" s="81" t="s">
        <v>24474</v>
      </c>
      <c r="C45" s="81" t="s">
        <v>24475</v>
      </c>
      <c r="D45" s="81" t="s">
        <v>24344</v>
      </c>
      <c r="E45" s="81" t="s">
        <v>8033</v>
      </c>
      <c r="F45" s="83" t="s">
        <v>18755</v>
      </c>
      <c r="G45" s="81"/>
      <c r="H45" s="84" t="b">
        <v>1</v>
      </c>
      <c r="I45" s="81"/>
      <c r="J45" s="86">
        <v>93.0</v>
      </c>
      <c r="K45" s="81" t="s">
        <v>24476</v>
      </c>
      <c r="L45" s="86">
        <v>97430.0</v>
      </c>
      <c r="M45" s="81" t="s">
        <v>71</v>
      </c>
      <c r="N45" s="81" t="s">
        <v>3501</v>
      </c>
      <c r="O45" s="83" t="s">
        <v>8028</v>
      </c>
      <c r="P45" s="81"/>
      <c r="Q45" s="75" t="s">
        <v>24477</v>
      </c>
      <c r="R45" s="81"/>
      <c r="S45" s="87"/>
      <c r="T45" s="81"/>
      <c r="U45" s="81"/>
      <c r="V45" s="81"/>
      <c r="W45" s="81"/>
      <c r="X45" s="81"/>
      <c r="Y45" s="81"/>
      <c r="Z45" s="81"/>
    </row>
    <row r="46" ht="15.75" customHeight="1">
      <c r="A46" s="81" t="s">
        <v>12850</v>
      </c>
      <c r="B46" s="81" t="s">
        <v>24474</v>
      </c>
      <c r="C46" s="81" t="s">
        <v>24478</v>
      </c>
      <c r="D46" s="81" t="s">
        <v>24344</v>
      </c>
      <c r="E46" s="82" t="s">
        <v>9844</v>
      </c>
      <c r="F46" s="83" t="s">
        <v>12842</v>
      </c>
      <c r="G46" s="85" t="s">
        <v>24335</v>
      </c>
      <c r="H46" s="84" t="b">
        <v>1</v>
      </c>
      <c r="I46" s="85">
        <v>1.0</v>
      </c>
      <c r="J46" s="89" t="s">
        <v>12820</v>
      </c>
      <c r="K46" s="85" t="s">
        <v>24479</v>
      </c>
      <c r="L46" s="97">
        <v>97429.0</v>
      </c>
      <c r="M46" s="85" t="s">
        <v>24480</v>
      </c>
      <c r="N46" s="81"/>
      <c r="O46" s="94" t="s">
        <v>24481</v>
      </c>
      <c r="P46" s="85" t="s">
        <v>24482</v>
      </c>
      <c r="Q46" s="46" t="s">
        <v>24483</v>
      </c>
      <c r="R46" s="92">
        <v>30180.0</v>
      </c>
      <c r="S46" s="87"/>
      <c r="T46" s="81"/>
      <c r="U46" s="81"/>
      <c r="V46" s="81"/>
      <c r="W46" s="81"/>
      <c r="X46" s="81"/>
      <c r="Y46" s="81"/>
      <c r="Z46" s="81"/>
    </row>
    <row r="47" ht="15.75" customHeight="1">
      <c r="A47" s="81" t="s">
        <v>22274</v>
      </c>
      <c r="B47" s="85" t="s">
        <v>24484</v>
      </c>
      <c r="C47" s="85" t="s">
        <v>149</v>
      </c>
      <c r="D47" s="81" t="s">
        <v>24344</v>
      </c>
      <c r="E47" s="82" t="s">
        <v>19093</v>
      </c>
      <c r="F47" s="83" t="s">
        <v>24485</v>
      </c>
      <c r="G47" s="85"/>
      <c r="H47" s="84" t="b">
        <v>1</v>
      </c>
      <c r="I47" s="85">
        <v>3.0</v>
      </c>
      <c r="J47" s="86">
        <v>30.0</v>
      </c>
      <c r="K47" s="81" t="s">
        <v>14666</v>
      </c>
      <c r="L47" s="86">
        <v>97414.0</v>
      </c>
      <c r="M47" s="81" t="s">
        <v>40</v>
      </c>
      <c r="N47" s="81"/>
      <c r="O47" s="94" t="s">
        <v>24486</v>
      </c>
      <c r="P47" s="81"/>
      <c r="Q47" s="46" t="s">
        <v>24487</v>
      </c>
      <c r="R47" s="92">
        <v>26155.0</v>
      </c>
      <c r="S47" s="87"/>
      <c r="T47" s="81"/>
      <c r="U47" s="81"/>
      <c r="V47" s="81"/>
      <c r="W47" s="81"/>
      <c r="X47" s="81"/>
      <c r="Y47" s="81"/>
      <c r="Z47" s="81"/>
    </row>
    <row r="48" ht="15.75" customHeight="1">
      <c r="A48" s="81" t="s">
        <v>19486</v>
      </c>
      <c r="B48" s="81" t="s">
        <v>24488</v>
      </c>
      <c r="C48" s="81" t="s">
        <v>24489</v>
      </c>
      <c r="D48" s="85" t="s">
        <v>24334</v>
      </c>
      <c r="E48" s="81" t="s">
        <v>8739</v>
      </c>
      <c r="F48" s="83" t="s">
        <v>19485</v>
      </c>
      <c r="G48" s="81"/>
      <c r="H48" s="84" t="b">
        <v>1</v>
      </c>
      <c r="I48" s="81"/>
      <c r="J48" s="81"/>
      <c r="K48" s="81" t="s">
        <v>19484</v>
      </c>
      <c r="L48" s="86">
        <v>97430.0</v>
      </c>
      <c r="M48" s="81" t="s">
        <v>71</v>
      </c>
      <c r="N48" s="81"/>
      <c r="O48" s="83" t="s">
        <v>8736</v>
      </c>
      <c r="P48" s="81"/>
      <c r="Q48" s="75" t="s">
        <v>24490</v>
      </c>
      <c r="R48" s="81"/>
      <c r="S48" s="87"/>
      <c r="T48" s="81"/>
      <c r="U48" s="81"/>
      <c r="V48" s="81"/>
      <c r="W48" s="81"/>
      <c r="X48" s="81"/>
      <c r="Y48" s="81"/>
      <c r="Z48" s="81"/>
    </row>
    <row r="49" ht="15.75" customHeight="1">
      <c r="A49" s="81" t="s">
        <v>19830</v>
      </c>
      <c r="B49" s="81" t="s">
        <v>24491</v>
      </c>
      <c r="C49" s="81" t="s">
        <v>24492</v>
      </c>
      <c r="D49" s="81" t="s">
        <v>24344</v>
      </c>
      <c r="E49" s="81" t="s">
        <v>8365</v>
      </c>
      <c r="F49" s="83" t="s">
        <v>19829</v>
      </c>
      <c r="G49" s="81"/>
      <c r="H49" s="84" t="b">
        <v>1</v>
      </c>
      <c r="I49" s="81"/>
      <c r="J49" s="81"/>
      <c r="K49" s="81" t="s">
        <v>13982</v>
      </c>
      <c r="L49" s="86">
        <v>97480.0</v>
      </c>
      <c r="M49" s="81" t="s">
        <v>123</v>
      </c>
      <c r="N49" s="81"/>
      <c r="O49" s="83" t="s">
        <v>8361</v>
      </c>
      <c r="P49" s="81"/>
      <c r="Q49" s="75" t="s">
        <v>24493</v>
      </c>
      <c r="R49" s="81"/>
      <c r="S49" s="87"/>
      <c r="T49" s="81"/>
      <c r="U49" s="81"/>
      <c r="V49" s="81"/>
      <c r="W49" s="81"/>
      <c r="X49" s="81"/>
      <c r="Y49" s="81"/>
      <c r="Z49" s="81"/>
    </row>
    <row r="50" ht="15.75" customHeight="1">
      <c r="A50" s="81" t="s">
        <v>15018</v>
      </c>
      <c r="B50" s="81" t="s">
        <v>24494</v>
      </c>
      <c r="C50" s="81" t="s">
        <v>24495</v>
      </c>
      <c r="D50" s="81" t="s">
        <v>24344</v>
      </c>
      <c r="E50" s="81" t="s">
        <v>6684</v>
      </c>
      <c r="F50" s="83" t="s">
        <v>24496</v>
      </c>
      <c r="G50" s="85" t="s">
        <v>24335</v>
      </c>
      <c r="H50" s="84" t="b">
        <v>1</v>
      </c>
      <c r="I50" s="85">
        <v>1.0</v>
      </c>
      <c r="J50" s="86">
        <v>139.0</v>
      </c>
      <c r="K50" s="81" t="s">
        <v>24368</v>
      </c>
      <c r="L50" s="86">
        <v>97480.0</v>
      </c>
      <c r="M50" s="81" t="s">
        <v>123</v>
      </c>
      <c r="N50" s="81" t="s">
        <v>206</v>
      </c>
      <c r="O50" s="83" t="s">
        <v>6679</v>
      </c>
      <c r="P50" s="85" t="s">
        <v>24497</v>
      </c>
      <c r="Q50" s="46" t="s">
        <v>24498</v>
      </c>
      <c r="R50" s="92">
        <v>28004.0</v>
      </c>
      <c r="S50" s="93" t="s">
        <v>24348</v>
      </c>
      <c r="T50" s="81"/>
      <c r="U50" s="81"/>
      <c r="V50" s="81"/>
      <c r="W50" s="81"/>
      <c r="X50" s="81"/>
      <c r="Y50" s="81"/>
      <c r="Z50" s="81"/>
    </row>
    <row r="51" ht="15.75" customHeight="1">
      <c r="A51" s="81" t="s">
        <v>14726</v>
      </c>
      <c r="B51" s="81" t="s">
        <v>24499</v>
      </c>
      <c r="C51" s="81" t="s">
        <v>149</v>
      </c>
      <c r="D51" s="81" t="s">
        <v>24344</v>
      </c>
      <c r="E51" s="81" t="s">
        <v>8185</v>
      </c>
      <c r="F51" s="83" t="s">
        <v>14725</v>
      </c>
      <c r="G51" s="81"/>
      <c r="H51" s="84" t="b">
        <v>1</v>
      </c>
      <c r="I51" s="81"/>
      <c r="J51" s="86">
        <v>13.0</v>
      </c>
      <c r="K51" s="81" t="s">
        <v>23275</v>
      </c>
      <c r="L51" s="86">
        <v>97430.0</v>
      </c>
      <c r="M51" s="81" t="s">
        <v>71</v>
      </c>
      <c r="N51" s="81" t="s">
        <v>3501</v>
      </c>
      <c r="O51" s="83" t="s">
        <v>8179</v>
      </c>
      <c r="P51" s="81"/>
      <c r="Q51" s="75" t="s">
        <v>24500</v>
      </c>
      <c r="R51" s="81"/>
      <c r="S51" s="87"/>
      <c r="T51" s="81"/>
      <c r="U51" s="81"/>
      <c r="V51" s="81"/>
      <c r="W51" s="81"/>
      <c r="X51" s="81"/>
      <c r="Y51" s="81"/>
      <c r="Z51" s="81"/>
    </row>
    <row r="52" ht="15.75" customHeight="1">
      <c r="A52" s="81" t="s">
        <v>20541</v>
      </c>
      <c r="B52" s="81" t="s">
        <v>24501</v>
      </c>
      <c r="C52" s="81" t="s">
        <v>24502</v>
      </c>
      <c r="D52" s="85" t="s">
        <v>24334</v>
      </c>
      <c r="E52" s="81"/>
      <c r="F52" s="83" t="s">
        <v>20539</v>
      </c>
      <c r="G52" s="81"/>
      <c r="H52" s="88" t="b">
        <v>1</v>
      </c>
      <c r="I52" s="81"/>
      <c r="J52" s="86">
        <v>14.0</v>
      </c>
      <c r="K52" s="81" t="s">
        <v>24503</v>
      </c>
      <c r="L52" s="86">
        <v>97414.0</v>
      </c>
      <c r="M52" s="81" t="s">
        <v>40</v>
      </c>
      <c r="N52" s="81"/>
      <c r="O52" s="83" t="s">
        <v>4470</v>
      </c>
      <c r="P52" s="81"/>
      <c r="Q52" s="75" t="s">
        <v>24504</v>
      </c>
      <c r="R52" s="81"/>
      <c r="S52" s="87"/>
      <c r="T52" s="81"/>
      <c r="U52" s="81"/>
      <c r="V52" s="81"/>
      <c r="W52" s="81"/>
      <c r="X52" s="81"/>
      <c r="Y52" s="81"/>
      <c r="Z52" s="81"/>
    </row>
    <row r="53" ht="15.75" customHeight="1">
      <c r="A53" s="81" t="s">
        <v>14050</v>
      </c>
      <c r="B53" s="81" t="s">
        <v>24505</v>
      </c>
      <c r="C53" s="81" t="s">
        <v>24506</v>
      </c>
      <c r="D53" s="81" t="s">
        <v>24344</v>
      </c>
      <c r="E53" s="82" t="s">
        <v>14044</v>
      </c>
      <c r="F53" s="83" t="s">
        <v>24507</v>
      </c>
      <c r="G53" s="85" t="s">
        <v>24335</v>
      </c>
      <c r="H53" s="88" t="b">
        <v>1</v>
      </c>
      <c r="I53" s="81"/>
      <c r="J53" s="86">
        <v>108.0</v>
      </c>
      <c r="K53" s="81" t="s">
        <v>24508</v>
      </c>
      <c r="L53" s="86">
        <v>97430.0</v>
      </c>
      <c r="M53" s="81" t="s">
        <v>71</v>
      </c>
      <c r="N53" s="81"/>
      <c r="O53" s="83" t="s">
        <v>8224</v>
      </c>
      <c r="P53" s="81"/>
      <c r="Q53" s="75" t="s">
        <v>24509</v>
      </c>
      <c r="R53" s="92">
        <v>29623.0</v>
      </c>
      <c r="S53" s="93" t="s">
        <v>24348</v>
      </c>
      <c r="T53" s="81"/>
      <c r="U53" s="81"/>
      <c r="V53" s="81"/>
      <c r="W53" s="81"/>
      <c r="X53" s="81"/>
      <c r="Y53" s="81"/>
      <c r="Z53" s="81"/>
    </row>
    <row r="54" ht="15.75" customHeight="1">
      <c r="A54" s="81" t="s">
        <v>18615</v>
      </c>
      <c r="B54" s="81" t="s">
        <v>24510</v>
      </c>
      <c r="C54" s="81" t="s">
        <v>24511</v>
      </c>
      <c r="D54" s="81" t="s">
        <v>24344</v>
      </c>
      <c r="E54" s="81" t="s">
        <v>4003</v>
      </c>
      <c r="F54" s="83" t="s">
        <v>18611</v>
      </c>
      <c r="G54" s="85" t="s">
        <v>24420</v>
      </c>
      <c r="H54" s="84" t="b">
        <v>1</v>
      </c>
      <c r="I54" s="85">
        <v>1.0</v>
      </c>
      <c r="J54" s="86">
        <v>8.0</v>
      </c>
      <c r="K54" s="81" t="s">
        <v>14897</v>
      </c>
      <c r="L54" s="86">
        <v>97480.0</v>
      </c>
      <c r="M54" s="81" t="s">
        <v>123</v>
      </c>
      <c r="N54" s="81" t="s">
        <v>3556</v>
      </c>
      <c r="O54" s="83" t="s">
        <v>4000</v>
      </c>
      <c r="P54" s="85" t="s">
        <v>24512</v>
      </c>
      <c r="Q54" s="75" t="s">
        <v>24513</v>
      </c>
      <c r="R54" s="96">
        <v>22199.0</v>
      </c>
      <c r="S54" s="93" t="s">
        <v>24348</v>
      </c>
      <c r="T54" s="81"/>
      <c r="U54" s="81"/>
      <c r="V54" s="81"/>
      <c r="W54" s="81"/>
      <c r="X54" s="81"/>
      <c r="Y54" s="81"/>
      <c r="Z54" s="81"/>
    </row>
    <row r="55" ht="15.75" customHeight="1">
      <c r="A55" s="81" t="s">
        <v>20319</v>
      </c>
      <c r="B55" s="81" t="s">
        <v>24514</v>
      </c>
      <c r="C55" s="81" t="s">
        <v>24515</v>
      </c>
      <c r="D55" s="81" t="s">
        <v>24344</v>
      </c>
      <c r="E55" s="81" t="s">
        <v>5349</v>
      </c>
      <c r="F55" s="83" t="s">
        <v>20316</v>
      </c>
      <c r="G55" s="81"/>
      <c r="H55" s="84" t="b">
        <v>1</v>
      </c>
      <c r="I55" s="81"/>
      <c r="J55" s="86">
        <v>11.0</v>
      </c>
      <c r="K55" s="81" t="s">
        <v>24516</v>
      </c>
      <c r="L55" s="86">
        <v>97418.0</v>
      </c>
      <c r="M55" s="81" t="s">
        <v>216</v>
      </c>
      <c r="N55" s="81"/>
      <c r="O55" s="83" t="s">
        <v>5345</v>
      </c>
      <c r="P55" s="81"/>
      <c r="Q55" s="75" t="s">
        <v>24517</v>
      </c>
      <c r="R55" s="81"/>
      <c r="S55" s="87"/>
      <c r="T55" s="81"/>
      <c r="U55" s="81"/>
      <c r="V55" s="81"/>
      <c r="W55" s="81"/>
      <c r="X55" s="81"/>
      <c r="Y55" s="81"/>
      <c r="Z55" s="81"/>
    </row>
    <row r="56" ht="15.75" customHeight="1">
      <c r="A56" s="81" t="s">
        <v>20400</v>
      </c>
      <c r="B56" s="81" t="s">
        <v>24518</v>
      </c>
      <c r="C56" s="81" t="s">
        <v>24519</v>
      </c>
      <c r="D56" s="81" t="s">
        <v>24344</v>
      </c>
      <c r="E56" s="81" t="s">
        <v>812</v>
      </c>
      <c r="F56" s="83" t="s">
        <v>20394</v>
      </c>
      <c r="G56" s="85" t="s">
        <v>24420</v>
      </c>
      <c r="H56" s="84" t="b">
        <v>1</v>
      </c>
      <c r="I56" s="81"/>
      <c r="J56" s="86">
        <v>43.0</v>
      </c>
      <c r="K56" s="81" t="s">
        <v>24520</v>
      </c>
      <c r="L56" s="86">
        <v>97480.0</v>
      </c>
      <c r="M56" s="81" t="s">
        <v>123</v>
      </c>
      <c r="N56" s="81"/>
      <c r="O56" s="83" t="s">
        <v>808</v>
      </c>
      <c r="P56" s="81"/>
      <c r="Q56" s="46" t="s">
        <v>24521</v>
      </c>
      <c r="R56" s="92">
        <v>19299.0</v>
      </c>
      <c r="S56" s="93" t="s">
        <v>24348</v>
      </c>
      <c r="T56" s="81"/>
      <c r="U56" s="81"/>
      <c r="V56" s="81"/>
      <c r="W56" s="81"/>
      <c r="X56" s="81"/>
      <c r="Y56" s="81"/>
      <c r="Z56" s="81"/>
    </row>
    <row r="57" ht="15.75" customHeight="1">
      <c r="A57" s="81" t="s">
        <v>15860</v>
      </c>
      <c r="B57" s="85" t="s">
        <v>24522</v>
      </c>
      <c r="C57" s="85" t="s">
        <v>21</v>
      </c>
      <c r="D57" s="81" t="s">
        <v>24344</v>
      </c>
      <c r="E57" s="81" t="s">
        <v>1537</v>
      </c>
      <c r="F57" s="91" t="s">
        <v>15855</v>
      </c>
      <c r="G57" s="85" t="s">
        <v>24420</v>
      </c>
      <c r="H57" s="84" t="b">
        <v>1</v>
      </c>
      <c r="I57" s="85">
        <v>1.0</v>
      </c>
      <c r="J57" s="81"/>
      <c r="K57" s="81" t="s">
        <v>15733</v>
      </c>
      <c r="L57" s="86">
        <v>97442.0</v>
      </c>
      <c r="M57" s="81" t="s">
        <v>33</v>
      </c>
      <c r="N57" s="81"/>
      <c r="O57" s="83" t="s">
        <v>1530</v>
      </c>
      <c r="P57" s="85" t="s">
        <v>24523</v>
      </c>
      <c r="Q57" s="75" t="s">
        <v>24524</v>
      </c>
      <c r="R57" s="81"/>
      <c r="S57" s="87"/>
      <c r="T57" s="81"/>
      <c r="U57" s="81"/>
      <c r="V57" s="81"/>
      <c r="W57" s="81"/>
      <c r="X57" s="81"/>
      <c r="Y57" s="81"/>
      <c r="Z57" s="81"/>
    </row>
    <row r="58" ht="15.75" customHeight="1">
      <c r="A58" s="81" t="s">
        <v>14777</v>
      </c>
      <c r="B58" s="81" t="s">
        <v>24525</v>
      </c>
      <c r="C58" s="81" t="s">
        <v>24526</v>
      </c>
      <c r="D58" s="81" t="s">
        <v>24344</v>
      </c>
      <c r="E58" s="81" t="s">
        <v>8105</v>
      </c>
      <c r="F58" s="83" t="s">
        <v>24527</v>
      </c>
      <c r="G58" s="81"/>
      <c r="H58" s="84" t="b">
        <v>1</v>
      </c>
      <c r="I58" s="81"/>
      <c r="J58" s="81" t="s">
        <v>24528</v>
      </c>
      <c r="K58" s="81" t="s">
        <v>24529</v>
      </c>
      <c r="L58" s="86">
        <v>97480.0</v>
      </c>
      <c r="M58" s="81" t="s">
        <v>123</v>
      </c>
      <c r="N58" s="81" t="s">
        <v>206</v>
      </c>
      <c r="O58" s="83" t="s">
        <v>8100</v>
      </c>
      <c r="P58" s="81"/>
      <c r="Q58" s="75" t="s">
        <v>24530</v>
      </c>
      <c r="R58" s="81"/>
      <c r="S58" s="87"/>
      <c r="T58" s="81"/>
      <c r="U58" s="81"/>
      <c r="V58" s="81"/>
      <c r="W58" s="81"/>
      <c r="X58" s="81"/>
      <c r="Y58" s="81"/>
      <c r="Z58" s="81"/>
    </row>
    <row r="59" ht="15.75" customHeight="1">
      <c r="A59" s="81" t="s">
        <v>18201</v>
      </c>
      <c r="B59" s="81" t="s">
        <v>24531</v>
      </c>
      <c r="C59" s="81" t="s">
        <v>24489</v>
      </c>
      <c r="D59" s="85" t="s">
        <v>24334</v>
      </c>
      <c r="E59" s="81" t="s">
        <v>2819</v>
      </c>
      <c r="F59" s="83" t="s">
        <v>18195</v>
      </c>
      <c r="G59" s="85" t="s">
        <v>24335</v>
      </c>
      <c r="H59" s="84" t="b">
        <v>1</v>
      </c>
      <c r="I59" s="85">
        <v>1.0</v>
      </c>
      <c r="J59" s="86">
        <v>79.0</v>
      </c>
      <c r="K59" s="85" t="s">
        <v>17891</v>
      </c>
      <c r="L59" s="86">
        <v>97418.0</v>
      </c>
      <c r="M59" s="81" t="s">
        <v>216</v>
      </c>
      <c r="N59" s="81"/>
      <c r="O59" s="83" t="s">
        <v>2814</v>
      </c>
      <c r="P59" s="81"/>
      <c r="Q59" s="46" t="s">
        <v>24532</v>
      </c>
      <c r="R59" s="92">
        <v>14613.0</v>
      </c>
      <c r="S59" s="93" t="s">
        <v>24348</v>
      </c>
      <c r="T59" s="81"/>
      <c r="U59" s="81"/>
      <c r="V59" s="81"/>
      <c r="W59" s="81"/>
      <c r="X59" s="81"/>
      <c r="Y59" s="81"/>
      <c r="Z59" s="81"/>
    </row>
    <row r="60" ht="15.75" customHeight="1">
      <c r="A60" s="81" t="s">
        <v>18088</v>
      </c>
      <c r="B60" s="81" t="s">
        <v>24533</v>
      </c>
      <c r="C60" s="81" t="s">
        <v>24534</v>
      </c>
      <c r="D60" s="81"/>
      <c r="E60" s="81" t="s">
        <v>4525</v>
      </c>
      <c r="F60" s="83" t="s">
        <v>24535</v>
      </c>
      <c r="G60" s="81"/>
      <c r="H60" s="84" t="b">
        <v>1</v>
      </c>
      <c r="I60" s="81"/>
      <c r="J60" s="86">
        <v>193.0</v>
      </c>
      <c r="K60" s="81" t="s">
        <v>24536</v>
      </c>
      <c r="L60" s="86">
        <v>97480.0</v>
      </c>
      <c r="M60" s="81" t="s">
        <v>123</v>
      </c>
      <c r="N60" s="81"/>
      <c r="O60" s="83" t="s">
        <v>4521</v>
      </c>
      <c r="P60" s="81"/>
      <c r="Q60" s="75" t="s">
        <v>24537</v>
      </c>
      <c r="R60" s="81"/>
      <c r="S60" s="87"/>
      <c r="T60" s="81"/>
      <c r="U60" s="81"/>
      <c r="V60" s="81"/>
      <c r="W60" s="81"/>
      <c r="X60" s="81"/>
      <c r="Y60" s="81"/>
      <c r="Z60" s="81"/>
    </row>
    <row r="61" ht="15.75" customHeight="1">
      <c r="A61" s="81" t="s">
        <v>20955</v>
      </c>
      <c r="B61" s="81" t="s">
        <v>24538</v>
      </c>
      <c r="C61" s="81" t="s">
        <v>24539</v>
      </c>
      <c r="D61" s="81" t="s">
        <v>24344</v>
      </c>
      <c r="E61" s="81" t="s">
        <v>1699</v>
      </c>
      <c r="F61" s="83" t="s">
        <v>20954</v>
      </c>
      <c r="G61" s="81"/>
      <c r="H61" s="84" t="b">
        <v>1</v>
      </c>
      <c r="I61" s="81"/>
      <c r="J61" s="86">
        <v>2.0</v>
      </c>
      <c r="K61" s="81" t="s">
        <v>24540</v>
      </c>
      <c r="L61" s="86">
        <v>97480.0</v>
      </c>
      <c r="M61" s="81" t="s">
        <v>123</v>
      </c>
      <c r="N61" s="81"/>
      <c r="O61" s="83" t="s">
        <v>9708</v>
      </c>
      <c r="P61" s="81"/>
      <c r="Q61" s="75" t="s">
        <v>24541</v>
      </c>
      <c r="R61" s="81"/>
      <c r="S61" s="87"/>
      <c r="T61" s="81"/>
      <c r="U61" s="81"/>
      <c r="V61" s="81"/>
      <c r="W61" s="81"/>
      <c r="X61" s="81"/>
      <c r="Y61" s="81"/>
      <c r="Z61" s="81"/>
    </row>
    <row r="62" ht="15.75" customHeight="1">
      <c r="A62" s="81" t="s">
        <v>13842</v>
      </c>
      <c r="B62" s="81" t="s">
        <v>24542</v>
      </c>
      <c r="C62" s="81" t="s">
        <v>24543</v>
      </c>
      <c r="D62" s="81" t="s">
        <v>24344</v>
      </c>
      <c r="E62" s="81" t="s">
        <v>9813</v>
      </c>
      <c r="F62" s="91" t="s">
        <v>14138</v>
      </c>
      <c r="G62" s="81"/>
      <c r="H62" s="84" t="b">
        <v>1</v>
      </c>
      <c r="I62" s="85">
        <v>2.0</v>
      </c>
      <c r="J62" s="86">
        <v>8.0</v>
      </c>
      <c r="K62" s="81" t="s">
        <v>24544</v>
      </c>
      <c r="L62" s="86">
        <v>97480.0</v>
      </c>
      <c r="M62" s="81" t="s">
        <v>123</v>
      </c>
      <c r="N62" s="81"/>
      <c r="O62" s="83" t="s">
        <v>24545</v>
      </c>
      <c r="P62" s="81"/>
      <c r="Q62" s="46" t="s">
        <v>24546</v>
      </c>
      <c r="R62" s="81"/>
      <c r="S62" s="87"/>
      <c r="T62" s="81"/>
      <c r="U62" s="81"/>
      <c r="V62" s="81"/>
      <c r="W62" s="81"/>
      <c r="X62" s="81"/>
      <c r="Y62" s="81"/>
      <c r="Z62" s="81"/>
    </row>
    <row r="63" ht="15.75" customHeight="1">
      <c r="A63" s="81" t="s">
        <v>17187</v>
      </c>
      <c r="B63" s="81" t="s">
        <v>24533</v>
      </c>
      <c r="C63" s="81" t="s">
        <v>24547</v>
      </c>
      <c r="D63" s="81" t="s">
        <v>24344</v>
      </c>
      <c r="E63" s="81" t="s">
        <v>4430</v>
      </c>
      <c r="F63" s="83" t="s">
        <v>17184</v>
      </c>
      <c r="G63" s="81"/>
      <c r="H63" s="84" t="b">
        <v>1</v>
      </c>
      <c r="I63" s="85">
        <v>1.0</v>
      </c>
      <c r="J63" s="86">
        <v>80.0</v>
      </c>
      <c r="K63" s="81" t="s">
        <v>24548</v>
      </c>
      <c r="L63" s="86">
        <v>97442.0</v>
      </c>
      <c r="M63" s="81" t="s">
        <v>33</v>
      </c>
      <c r="N63" s="81"/>
      <c r="O63" s="83" t="s">
        <v>4423</v>
      </c>
      <c r="P63" s="85" t="s">
        <v>24549</v>
      </c>
      <c r="Q63" s="75" t="s">
        <v>24550</v>
      </c>
      <c r="R63" s="81"/>
      <c r="S63" s="87"/>
      <c r="T63" s="81"/>
      <c r="U63" s="81"/>
      <c r="V63" s="81"/>
      <c r="W63" s="81"/>
      <c r="X63" s="81"/>
      <c r="Y63" s="81"/>
      <c r="Z63" s="81"/>
    </row>
    <row r="64" ht="15.75" customHeight="1">
      <c r="A64" s="81" t="s">
        <v>18749</v>
      </c>
      <c r="B64" s="81" t="s">
        <v>24551</v>
      </c>
      <c r="C64" s="81" t="s">
        <v>24552</v>
      </c>
      <c r="D64" s="85" t="s">
        <v>24334</v>
      </c>
      <c r="E64" s="81" t="s">
        <v>4096</v>
      </c>
      <c r="F64" s="83" t="s">
        <v>18747</v>
      </c>
      <c r="G64" s="81"/>
      <c r="H64" s="84" t="b">
        <v>0</v>
      </c>
      <c r="I64" s="85">
        <v>0.0</v>
      </c>
      <c r="J64" s="81" t="s">
        <v>18744</v>
      </c>
      <c r="K64" s="81" t="s">
        <v>12977</v>
      </c>
      <c r="L64" s="86">
        <v>97414.0</v>
      </c>
      <c r="M64" s="81" t="s">
        <v>40</v>
      </c>
      <c r="N64" s="81"/>
      <c r="O64" s="83" t="s">
        <v>24553</v>
      </c>
      <c r="P64" s="81"/>
      <c r="Q64" s="75" t="s">
        <v>24554</v>
      </c>
      <c r="R64" s="81"/>
      <c r="S64" s="87"/>
      <c r="T64" s="81"/>
      <c r="U64" s="81"/>
      <c r="V64" s="81"/>
      <c r="W64" s="81"/>
      <c r="X64" s="81"/>
      <c r="Y64" s="81"/>
      <c r="Z64" s="81"/>
    </row>
    <row r="65" ht="15.75" customHeight="1">
      <c r="A65" s="81" t="s">
        <v>17110</v>
      </c>
      <c r="B65" s="81" t="s">
        <v>24555</v>
      </c>
      <c r="C65" s="81" t="s">
        <v>24556</v>
      </c>
      <c r="D65" s="85" t="s">
        <v>24334</v>
      </c>
      <c r="E65" s="81" t="s">
        <v>8836</v>
      </c>
      <c r="F65" s="83" t="s">
        <v>17105</v>
      </c>
      <c r="G65" s="81"/>
      <c r="H65" s="84" t="b">
        <v>1</v>
      </c>
      <c r="I65" s="85">
        <v>1.0</v>
      </c>
      <c r="J65" s="86">
        <v>286.0</v>
      </c>
      <c r="K65" s="81" t="s">
        <v>17131</v>
      </c>
      <c r="L65" s="86">
        <v>97430.0</v>
      </c>
      <c r="M65" s="81" t="s">
        <v>71</v>
      </c>
      <c r="N65" s="81"/>
      <c r="O65" s="83" t="s">
        <v>8833</v>
      </c>
      <c r="P65" s="85" t="s">
        <v>24557</v>
      </c>
      <c r="Q65" s="75" t="s">
        <v>24558</v>
      </c>
      <c r="R65" s="81"/>
      <c r="S65" s="87"/>
      <c r="T65" s="81"/>
      <c r="U65" s="81"/>
      <c r="V65" s="81"/>
      <c r="W65" s="81"/>
      <c r="X65" s="81"/>
      <c r="Y65" s="81"/>
      <c r="Z65" s="81"/>
    </row>
    <row r="66" ht="15.75" customHeight="1">
      <c r="A66" s="81" t="s">
        <v>19520</v>
      </c>
      <c r="B66" s="81" t="s">
        <v>24559</v>
      </c>
      <c r="C66" s="81" t="s">
        <v>24560</v>
      </c>
      <c r="D66" s="81" t="s">
        <v>24344</v>
      </c>
      <c r="E66" s="81" t="s">
        <v>922</v>
      </c>
      <c r="F66" s="83" t="s">
        <v>24561</v>
      </c>
      <c r="G66" s="81"/>
      <c r="H66" s="84" t="b">
        <v>1</v>
      </c>
      <c r="I66" s="81"/>
      <c r="J66" s="85" t="s">
        <v>19512</v>
      </c>
      <c r="K66" s="85" t="s">
        <v>16766</v>
      </c>
      <c r="L66" s="86">
        <v>97442.0</v>
      </c>
      <c r="M66" s="81" t="s">
        <v>33</v>
      </c>
      <c r="N66" s="81"/>
      <c r="O66" s="83" t="s">
        <v>8306</v>
      </c>
      <c r="P66" s="81"/>
      <c r="Q66" s="75" t="s">
        <v>24562</v>
      </c>
      <c r="R66" s="81"/>
      <c r="S66" s="87"/>
      <c r="T66" s="81"/>
      <c r="U66" s="81"/>
      <c r="V66" s="81"/>
      <c r="W66" s="81"/>
      <c r="X66" s="81"/>
      <c r="Y66" s="81"/>
      <c r="Z66" s="81"/>
    </row>
    <row r="67" ht="15.75" customHeight="1">
      <c r="A67" s="81" t="s">
        <v>13465</v>
      </c>
      <c r="B67" s="81" t="s">
        <v>24555</v>
      </c>
      <c r="C67" s="81" t="s">
        <v>24563</v>
      </c>
      <c r="D67" s="85" t="s">
        <v>24334</v>
      </c>
      <c r="E67" s="81" t="s">
        <v>9987</v>
      </c>
      <c r="F67" s="83" t="s">
        <v>13462</v>
      </c>
      <c r="G67" s="81"/>
      <c r="H67" s="84" t="b">
        <v>1</v>
      </c>
      <c r="I67" s="85">
        <v>1.0</v>
      </c>
      <c r="J67" s="86">
        <v>12.0</v>
      </c>
      <c r="K67" s="81" t="s">
        <v>24564</v>
      </c>
      <c r="L67" s="86">
        <v>97430.0</v>
      </c>
      <c r="M67" s="81" t="s">
        <v>71</v>
      </c>
      <c r="N67" s="81"/>
      <c r="O67" s="83" t="s">
        <v>9984</v>
      </c>
      <c r="P67" s="81"/>
      <c r="Q67" s="62" t="s">
        <v>24565</v>
      </c>
      <c r="R67" s="81"/>
      <c r="S67" s="87"/>
      <c r="T67" s="81"/>
      <c r="U67" s="81"/>
      <c r="V67" s="81"/>
      <c r="W67" s="81"/>
      <c r="X67" s="81"/>
      <c r="Y67" s="81"/>
      <c r="Z67" s="81"/>
    </row>
    <row r="68" ht="15.75" customHeight="1">
      <c r="A68" s="81" t="s">
        <v>13829</v>
      </c>
      <c r="B68" s="81" t="s">
        <v>24555</v>
      </c>
      <c r="C68" s="81" t="s">
        <v>24566</v>
      </c>
      <c r="D68" s="85" t="s">
        <v>24334</v>
      </c>
      <c r="E68" s="81" t="s">
        <v>8820</v>
      </c>
      <c r="F68" s="83" t="s">
        <v>13828</v>
      </c>
      <c r="G68" s="81"/>
      <c r="H68" s="84" t="b">
        <v>0</v>
      </c>
      <c r="I68" s="81"/>
      <c r="J68" s="86">
        <v>283.0</v>
      </c>
      <c r="K68" s="81" t="s">
        <v>17131</v>
      </c>
      <c r="L68" s="86">
        <v>97430.0</v>
      </c>
      <c r="M68" s="81" t="s">
        <v>71</v>
      </c>
      <c r="N68" s="81"/>
      <c r="O68" s="83" t="s">
        <v>8817</v>
      </c>
      <c r="P68" s="81"/>
      <c r="Q68" s="75" t="s">
        <v>24567</v>
      </c>
      <c r="R68" s="81"/>
      <c r="S68" s="87"/>
      <c r="T68" s="81"/>
      <c r="U68" s="81"/>
      <c r="V68" s="81"/>
      <c r="W68" s="81"/>
      <c r="X68" s="81"/>
      <c r="Y68" s="81"/>
      <c r="Z68" s="81"/>
    </row>
    <row r="69" ht="15.75" customHeight="1">
      <c r="A69" s="81" t="s">
        <v>21645</v>
      </c>
      <c r="B69" s="81" t="s">
        <v>24568</v>
      </c>
      <c r="C69" s="81" t="s">
        <v>24569</v>
      </c>
      <c r="D69" s="85" t="s">
        <v>24334</v>
      </c>
      <c r="E69" s="81" t="s">
        <v>10154</v>
      </c>
      <c r="F69" s="83" t="s">
        <v>21644</v>
      </c>
      <c r="G69" s="81"/>
      <c r="H69" s="84" t="b">
        <v>0</v>
      </c>
      <c r="I69" s="81"/>
      <c r="J69" s="86">
        <v>15.0</v>
      </c>
      <c r="K69" s="81" t="s">
        <v>24570</v>
      </c>
      <c r="L69" s="86">
        <v>97414.0</v>
      </c>
      <c r="M69" s="81" t="s">
        <v>40</v>
      </c>
      <c r="N69" s="81"/>
      <c r="O69" s="83" t="s">
        <v>10151</v>
      </c>
      <c r="P69" s="81"/>
      <c r="Q69" s="75" t="s">
        <v>24571</v>
      </c>
      <c r="R69" s="81"/>
      <c r="S69" s="87"/>
      <c r="T69" s="81"/>
      <c r="U69" s="81"/>
      <c r="V69" s="81"/>
      <c r="W69" s="81"/>
      <c r="X69" s="81"/>
      <c r="Y69" s="81"/>
      <c r="Z69" s="81"/>
    </row>
    <row r="70" ht="15.75" customHeight="1">
      <c r="A70" s="81" t="s">
        <v>20664</v>
      </c>
      <c r="B70" s="81" t="s">
        <v>24572</v>
      </c>
      <c r="C70" s="85" t="s">
        <v>24573</v>
      </c>
      <c r="D70" s="85" t="s">
        <v>24334</v>
      </c>
      <c r="E70" s="81" t="s">
        <v>2772</v>
      </c>
      <c r="F70" s="91" t="s">
        <v>23481</v>
      </c>
      <c r="G70" s="85" t="s">
        <v>24390</v>
      </c>
      <c r="H70" s="84" t="b">
        <v>1</v>
      </c>
      <c r="I70" s="85">
        <v>2.0</v>
      </c>
      <c r="J70" s="86">
        <v>6.0</v>
      </c>
      <c r="K70" s="81" t="s">
        <v>24574</v>
      </c>
      <c r="L70" s="86">
        <v>97414.0</v>
      </c>
      <c r="M70" s="81" t="s">
        <v>40</v>
      </c>
      <c r="N70" s="81"/>
      <c r="O70" s="94" t="s">
        <v>24575</v>
      </c>
      <c r="P70" s="81"/>
      <c r="Q70" s="46" t="s">
        <v>24576</v>
      </c>
      <c r="R70" s="81"/>
      <c r="S70" s="87"/>
      <c r="T70" s="81"/>
      <c r="U70" s="81"/>
      <c r="V70" s="81"/>
      <c r="W70" s="81"/>
      <c r="X70" s="81"/>
      <c r="Y70" s="81"/>
      <c r="Z70" s="81"/>
    </row>
    <row r="71" ht="15.75" customHeight="1">
      <c r="A71" s="81" t="s">
        <v>13642</v>
      </c>
      <c r="B71" s="81" t="s">
        <v>24533</v>
      </c>
      <c r="C71" s="81" t="s">
        <v>24577</v>
      </c>
      <c r="D71" s="81" t="s">
        <v>24344</v>
      </c>
      <c r="E71" s="81"/>
      <c r="F71" s="83" t="s">
        <v>13640</v>
      </c>
      <c r="G71" s="81"/>
      <c r="H71" s="88" t="b">
        <v>1</v>
      </c>
      <c r="I71" s="81"/>
      <c r="J71" s="81"/>
      <c r="K71" s="81" t="s">
        <v>20405</v>
      </c>
      <c r="L71" s="86">
        <v>97418.0</v>
      </c>
      <c r="M71" s="81" t="s">
        <v>216</v>
      </c>
      <c r="N71" s="81"/>
      <c r="O71" s="83" t="s">
        <v>5841</v>
      </c>
      <c r="P71" s="81"/>
      <c r="Q71" s="75" t="s">
        <v>24578</v>
      </c>
      <c r="R71" s="81"/>
      <c r="S71" s="87"/>
      <c r="T71" s="81"/>
      <c r="U71" s="81"/>
      <c r="V71" s="81"/>
      <c r="W71" s="81"/>
      <c r="X71" s="81"/>
      <c r="Y71" s="81"/>
      <c r="Z71" s="81"/>
    </row>
    <row r="72" ht="15.75" customHeight="1">
      <c r="A72" s="81" t="s">
        <v>15738</v>
      </c>
      <c r="B72" s="81" t="s">
        <v>24579</v>
      </c>
      <c r="C72" s="81" t="s">
        <v>24580</v>
      </c>
      <c r="D72" s="81" t="s">
        <v>24344</v>
      </c>
      <c r="E72" s="81" t="s">
        <v>1751</v>
      </c>
      <c r="F72" s="83" t="s">
        <v>15736</v>
      </c>
      <c r="G72" s="81"/>
      <c r="H72" s="84" t="b">
        <v>1</v>
      </c>
      <c r="I72" s="85">
        <v>1.0</v>
      </c>
      <c r="J72" s="86">
        <v>81.0</v>
      </c>
      <c r="K72" s="81" t="s">
        <v>17205</v>
      </c>
      <c r="L72" s="86">
        <v>97442.0</v>
      </c>
      <c r="M72" s="81" t="s">
        <v>33</v>
      </c>
      <c r="N72" s="81"/>
      <c r="O72" s="83" t="s">
        <v>1747</v>
      </c>
      <c r="P72" s="81"/>
      <c r="Q72" s="46" t="s">
        <v>24581</v>
      </c>
      <c r="R72" s="81"/>
      <c r="S72" s="87"/>
      <c r="T72" s="81"/>
      <c r="U72" s="81"/>
      <c r="V72" s="81"/>
      <c r="W72" s="81"/>
      <c r="X72" s="81"/>
      <c r="Y72" s="81"/>
      <c r="Z72" s="81"/>
    </row>
    <row r="73" ht="15.75" customHeight="1">
      <c r="A73" s="81" t="s">
        <v>21673</v>
      </c>
      <c r="B73" s="81" t="s">
        <v>24582</v>
      </c>
      <c r="C73" s="81" t="s">
        <v>24583</v>
      </c>
      <c r="D73" s="81" t="s">
        <v>24344</v>
      </c>
      <c r="E73" s="81" t="s">
        <v>9830</v>
      </c>
      <c r="F73" s="83" t="s">
        <v>24584</v>
      </c>
      <c r="G73" s="81"/>
      <c r="H73" s="84" t="b">
        <v>1</v>
      </c>
      <c r="I73" s="85">
        <v>1.0</v>
      </c>
      <c r="J73" s="86">
        <v>12.0</v>
      </c>
      <c r="K73" s="81" t="s">
        <v>24585</v>
      </c>
      <c r="L73" s="86">
        <v>97480.0</v>
      </c>
      <c r="M73" s="81" t="s">
        <v>123</v>
      </c>
      <c r="N73" s="81" t="s">
        <v>8325</v>
      </c>
      <c r="O73" s="83" t="s">
        <v>9827</v>
      </c>
      <c r="P73" s="81"/>
      <c r="Q73" s="46" t="s">
        <v>24586</v>
      </c>
      <c r="R73" s="81"/>
      <c r="S73" s="87"/>
      <c r="T73" s="81"/>
      <c r="U73" s="81"/>
      <c r="V73" s="81"/>
      <c r="W73" s="81"/>
      <c r="X73" s="81"/>
      <c r="Y73" s="81"/>
      <c r="Z73" s="81"/>
    </row>
    <row r="74" ht="15.75" customHeight="1">
      <c r="A74" s="81" t="s">
        <v>16676</v>
      </c>
      <c r="B74" s="81" t="s">
        <v>24587</v>
      </c>
      <c r="C74" s="81" t="s">
        <v>24588</v>
      </c>
      <c r="D74" s="81" t="s">
        <v>24344</v>
      </c>
      <c r="E74" s="81" t="s">
        <v>1004</v>
      </c>
      <c r="F74" s="91" t="s">
        <v>24589</v>
      </c>
      <c r="G74" s="81"/>
      <c r="H74" s="84" t="b">
        <v>1</v>
      </c>
      <c r="I74" s="85">
        <v>2.0</v>
      </c>
      <c r="J74" s="89" t="s">
        <v>14181</v>
      </c>
      <c r="K74" s="85" t="s">
        <v>24292</v>
      </c>
      <c r="L74" s="86">
        <v>97442.0</v>
      </c>
      <c r="M74" s="81" t="s">
        <v>33</v>
      </c>
      <c r="N74" s="81"/>
      <c r="O74" s="83" t="s">
        <v>24590</v>
      </c>
      <c r="P74" s="81"/>
      <c r="Q74" s="75" t="s">
        <v>24591</v>
      </c>
      <c r="R74" s="81"/>
      <c r="S74" s="87"/>
      <c r="T74" s="81"/>
      <c r="U74" s="81"/>
      <c r="V74" s="81"/>
      <c r="W74" s="81"/>
      <c r="X74" s="81"/>
      <c r="Y74" s="81"/>
      <c r="Z74" s="81"/>
    </row>
    <row r="75" ht="15.75" customHeight="1">
      <c r="A75" s="81" t="s">
        <v>15436</v>
      </c>
      <c r="B75" s="85" t="s">
        <v>24592</v>
      </c>
      <c r="C75" s="81" t="s">
        <v>24593</v>
      </c>
      <c r="D75" s="85" t="s">
        <v>24334</v>
      </c>
      <c r="E75" s="81" t="s">
        <v>7979</v>
      </c>
      <c r="F75" s="91" t="s">
        <v>15503</v>
      </c>
      <c r="G75" s="85" t="s">
        <v>24335</v>
      </c>
      <c r="H75" s="84" t="b">
        <v>1</v>
      </c>
      <c r="I75" s="85">
        <v>2.0</v>
      </c>
      <c r="J75" s="86">
        <v>53.0</v>
      </c>
      <c r="K75" s="81" t="s">
        <v>15501</v>
      </c>
      <c r="L75" s="86">
        <v>97414.0</v>
      </c>
      <c r="M75" s="81" t="s">
        <v>40</v>
      </c>
      <c r="N75" s="81"/>
      <c r="O75" s="94" t="s">
        <v>24594</v>
      </c>
      <c r="P75" s="81"/>
      <c r="Q75" s="46" t="s">
        <v>24595</v>
      </c>
      <c r="R75" s="92">
        <v>23567.0</v>
      </c>
      <c r="S75" s="87"/>
      <c r="T75" s="81"/>
      <c r="U75" s="81"/>
      <c r="V75" s="81"/>
      <c r="W75" s="81"/>
      <c r="X75" s="81"/>
      <c r="Y75" s="81"/>
      <c r="Z75" s="81"/>
    </row>
    <row r="76" ht="15.75" customHeight="1">
      <c r="A76" s="81" t="s">
        <v>20778</v>
      </c>
      <c r="B76" s="81"/>
      <c r="C76" s="81"/>
      <c r="D76" s="81"/>
      <c r="E76" s="81" t="s">
        <v>20775</v>
      </c>
      <c r="F76" s="83"/>
      <c r="G76" s="81"/>
      <c r="H76" s="88" t="b">
        <v>1</v>
      </c>
      <c r="I76" s="81"/>
      <c r="J76" s="81"/>
      <c r="K76" s="81"/>
      <c r="L76" s="81"/>
      <c r="M76" s="81"/>
      <c r="N76" s="81"/>
      <c r="O76" s="83" t="s">
        <v>8488</v>
      </c>
      <c r="P76" s="81"/>
      <c r="Q76" s="75" t="s">
        <v>24596</v>
      </c>
      <c r="R76" s="81"/>
      <c r="S76" s="87"/>
      <c r="T76" s="81"/>
      <c r="U76" s="81"/>
      <c r="V76" s="81"/>
      <c r="W76" s="81"/>
      <c r="X76" s="81"/>
      <c r="Y76" s="81"/>
      <c r="Z76" s="81"/>
    </row>
    <row r="77" ht="15.75" customHeight="1">
      <c r="A77" s="81" t="s">
        <v>12657</v>
      </c>
      <c r="B77" s="81" t="s">
        <v>24597</v>
      </c>
      <c r="C77" s="81"/>
      <c r="D77" s="81"/>
      <c r="E77" s="81" t="s">
        <v>7383</v>
      </c>
      <c r="F77" s="83" t="s">
        <v>12652</v>
      </c>
      <c r="G77" s="81"/>
      <c r="H77" s="84" t="b">
        <v>1</v>
      </c>
      <c r="I77" s="81"/>
      <c r="J77" s="86">
        <v>234.0</v>
      </c>
      <c r="K77" s="81" t="s">
        <v>24536</v>
      </c>
      <c r="L77" s="86">
        <v>97480.0</v>
      </c>
      <c r="M77" s="81" t="s">
        <v>123</v>
      </c>
      <c r="N77" s="81"/>
      <c r="O77" s="83" t="s">
        <v>7380</v>
      </c>
      <c r="P77" s="81"/>
      <c r="Q77" s="75" t="s">
        <v>24598</v>
      </c>
      <c r="R77" s="81"/>
      <c r="S77" s="87"/>
      <c r="T77" s="81"/>
      <c r="U77" s="81"/>
      <c r="V77" s="81"/>
      <c r="W77" s="81"/>
      <c r="X77" s="81"/>
      <c r="Y77" s="81"/>
      <c r="Z77" s="81"/>
    </row>
    <row r="78" ht="15.75" customHeight="1">
      <c r="A78" s="81" t="s">
        <v>14876</v>
      </c>
      <c r="B78" s="81" t="s">
        <v>24599</v>
      </c>
      <c r="C78" s="81" t="s">
        <v>24600</v>
      </c>
      <c r="D78" s="85" t="s">
        <v>24334</v>
      </c>
      <c r="E78" s="81" t="s">
        <v>9154</v>
      </c>
      <c r="F78" s="83" t="s">
        <v>14870</v>
      </c>
      <c r="G78" s="81"/>
      <c r="H78" s="84" t="b">
        <v>1</v>
      </c>
      <c r="I78" s="81"/>
      <c r="J78" s="86">
        <v>49.0</v>
      </c>
      <c r="K78" s="81" t="s">
        <v>24601</v>
      </c>
      <c r="L78" s="86">
        <v>97430.0</v>
      </c>
      <c r="M78" s="81" t="s">
        <v>71</v>
      </c>
      <c r="N78" s="81"/>
      <c r="O78" s="83" t="s">
        <v>9151</v>
      </c>
      <c r="P78" s="81"/>
      <c r="Q78" s="75" t="s">
        <v>24602</v>
      </c>
      <c r="R78" s="81"/>
      <c r="S78" s="87"/>
      <c r="T78" s="81"/>
      <c r="U78" s="81"/>
      <c r="V78" s="81"/>
      <c r="W78" s="81"/>
      <c r="X78" s="81"/>
      <c r="Y78" s="81"/>
      <c r="Z78" s="81"/>
    </row>
    <row r="79" ht="15.75" customHeight="1">
      <c r="A79" s="81" t="s">
        <v>20819</v>
      </c>
      <c r="B79" s="81" t="s">
        <v>24603</v>
      </c>
      <c r="C79" s="81" t="s">
        <v>24511</v>
      </c>
      <c r="D79" s="81" t="s">
        <v>24344</v>
      </c>
      <c r="E79" s="81" t="s">
        <v>8800</v>
      </c>
      <c r="F79" s="83" t="s">
        <v>20816</v>
      </c>
      <c r="G79" s="85" t="s">
        <v>24335</v>
      </c>
      <c r="H79" s="84" t="b">
        <v>1</v>
      </c>
      <c r="I79" s="85">
        <v>1.0</v>
      </c>
      <c r="J79" s="90" t="s">
        <v>12630</v>
      </c>
      <c r="K79" s="85" t="s">
        <v>24604</v>
      </c>
      <c r="L79" s="97">
        <v>97410.0</v>
      </c>
      <c r="M79" s="85" t="s">
        <v>24605</v>
      </c>
      <c r="N79" s="81"/>
      <c r="O79" s="83" t="s">
        <v>8795</v>
      </c>
      <c r="P79" s="81"/>
      <c r="Q79" s="46" t="s">
        <v>24606</v>
      </c>
      <c r="R79" s="92">
        <v>25018.0</v>
      </c>
      <c r="S79" s="93" t="s">
        <v>24460</v>
      </c>
      <c r="T79" s="81"/>
      <c r="U79" s="81"/>
      <c r="V79" s="81"/>
      <c r="W79" s="81"/>
      <c r="X79" s="81"/>
      <c r="Y79" s="81"/>
      <c r="Z79" s="81"/>
    </row>
    <row r="80" ht="15.75" customHeight="1">
      <c r="A80" s="81" t="s">
        <v>15039</v>
      </c>
      <c r="B80" s="81" t="s">
        <v>24597</v>
      </c>
      <c r="C80" s="81" t="s">
        <v>24452</v>
      </c>
      <c r="D80" s="85" t="s">
        <v>24334</v>
      </c>
      <c r="E80" s="81" t="s">
        <v>2950</v>
      </c>
      <c r="F80" s="83" t="s">
        <v>15036</v>
      </c>
      <c r="G80" s="81"/>
      <c r="H80" s="84" t="b">
        <v>1</v>
      </c>
      <c r="I80" s="81"/>
      <c r="J80" s="86">
        <v>1.0</v>
      </c>
      <c r="K80" s="81" t="s">
        <v>15839</v>
      </c>
      <c r="L80" s="86">
        <v>97442.0</v>
      </c>
      <c r="M80" s="81" t="s">
        <v>33</v>
      </c>
      <c r="N80" s="81"/>
      <c r="O80" s="83" t="s">
        <v>24607</v>
      </c>
      <c r="P80" s="81"/>
      <c r="Q80" s="75" t="s">
        <v>24608</v>
      </c>
      <c r="R80" s="81"/>
      <c r="S80" s="87"/>
      <c r="T80" s="81"/>
      <c r="U80" s="81"/>
      <c r="V80" s="81"/>
      <c r="W80" s="81"/>
      <c r="X80" s="81"/>
      <c r="Y80" s="81"/>
      <c r="Z80" s="81"/>
    </row>
    <row r="81" ht="15.75" customHeight="1">
      <c r="A81" s="81" t="s">
        <v>20345</v>
      </c>
      <c r="B81" s="81" t="s">
        <v>24609</v>
      </c>
      <c r="C81" s="81" t="s">
        <v>24610</v>
      </c>
      <c r="D81" s="81" t="s">
        <v>24344</v>
      </c>
      <c r="E81" s="81" t="s">
        <v>7914</v>
      </c>
      <c r="F81" s="83" t="s">
        <v>20343</v>
      </c>
      <c r="G81" s="81"/>
      <c r="H81" s="84" t="b">
        <v>1</v>
      </c>
      <c r="I81" s="81"/>
      <c r="J81" s="86">
        <v>376.0</v>
      </c>
      <c r="K81" s="81" t="s">
        <v>15537</v>
      </c>
      <c r="L81" s="86">
        <v>97430.0</v>
      </c>
      <c r="M81" s="81" t="s">
        <v>71</v>
      </c>
      <c r="N81" s="81"/>
      <c r="O81" s="83" t="s">
        <v>7909</v>
      </c>
      <c r="P81" s="81"/>
      <c r="Q81" s="75" t="s">
        <v>24611</v>
      </c>
      <c r="R81" s="81"/>
      <c r="S81" s="87"/>
      <c r="T81" s="81"/>
      <c r="U81" s="81"/>
      <c r="V81" s="81"/>
      <c r="W81" s="81"/>
      <c r="X81" s="81"/>
      <c r="Y81" s="81"/>
      <c r="Z81" s="81"/>
    </row>
    <row r="82" ht="15.75" customHeight="1">
      <c r="A82" s="81" t="s">
        <v>12545</v>
      </c>
      <c r="B82" s="81" t="s">
        <v>24597</v>
      </c>
      <c r="C82" s="81" t="s">
        <v>24612</v>
      </c>
      <c r="D82" s="81" t="s">
        <v>24344</v>
      </c>
      <c r="E82" s="81" t="s">
        <v>2499</v>
      </c>
      <c r="F82" s="83" t="s">
        <v>24613</v>
      </c>
      <c r="G82" s="81"/>
      <c r="H82" s="84" t="b">
        <v>1</v>
      </c>
      <c r="I82" s="85">
        <v>1.0</v>
      </c>
      <c r="J82" s="86">
        <v>194.0</v>
      </c>
      <c r="K82" s="81" t="s">
        <v>24614</v>
      </c>
      <c r="L82" s="86">
        <v>97480.0</v>
      </c>
      <c r="M82" s="81" t="s">
        <v>123</v>
      </c>
      <c r="N82" s="81"/>
      <c r="O82" s="83" t="s">
        <v>2496</v>
      </c>
      <c r="P82" s="81"/>
      <c r="Q82" s="46" t="s">
        <v>24615</v>
      </c>
      <c r="R82" s="81"/>
      <c r="S82" s="87"/>
      <c r="T82" s="81"/>
      <c r="U82" s="81"/>
      <c r="V82" s="81"/>
      <c r="W82" s="81"/>
      <c r="X82" s="81"/>
      <c r="Y82" s="81"/>
      <c r="Z82" s="81"/>
    </row>
    <row r="83" ht="15.75" customHeight="1">
      <c r="A83" s="81" t="s">
        <v>18762</v>
      </c>
      <c r="B83" s="81" t="s">
        <v>24616</v>
      </c>
      <c r="C83" s="81" t="s">
        <v>24617</v>
      </c>
      <c r="D83" s="81" t="s">
        <v>24344</v>
      </c>
      <c r="E83" s="81" t="s">
        <v>9851</v>
      </c>
      <c r="F83" s="83" t="s">
        <v>18761</v>
      </c>
      <c r="G83" s="81"/>
      <c r="H83" s="84" t="b">
        <v>1</v>
      </c>
      <c r="I83" s="81"/>
      <c r="J83" s="81"/>
      <c r="K83" s="81" t="s">
        <v>18760</v>
      </c>
      <c r="L83" s="86">
        <v>97442.0</v>
      </c>
      <c r="M83" s="81" t="s">
        <v>33</v>
      </c>
      <c r="N83" s="81"/>
      <c r="O83" s="83" t="s">
        <v>9847</v>
      </c>
      <c r="P83" s="81"/>
      <c r="Q83" s="75" t="s">
        <v>24618</v>
      </c>
      <c r="R83" s="81"/>
      <c r="S83" s="87"/>
      <c r="T83" s="81"/>
      <c r="U83" s="81"/>
      <c r="V83" s="81"/>
      <c r="W83" s="81"/>
      <c r="X83" s="81"/>
      <c r="Y83" s="81"/>
      <c r="Z83" s="81"/>
    </row>
    <row r="84" ht="15.75" customHeight="1">
      <c r="A84" s="81" t="s">
        <v>16315</v>
      </c>
      <c r="B84" s="81" t="s">
        <v>24619</v>
      </c>
      <c r="C84" s="81" t="s">
        <v>24620</v>
      </c>
      <c r="D84" s="81" t="s">
        <v>24344</v>
      </c>
      <c r="E84" s="82" t="s">
        <v>24621</v>
      </c>
      <c r="F84" s="83" t="s">
        <v>16312</v>
      </c>
      <c r="G84" s="85" t="s">
        <v>24335</v>
      </c>
      <c r="H84" s="84" t="b">
        <v>1</v>
      </c>
      <c r="I84" s="81"/>
      <c r="J84" s="85" t="s">
        <v>14770</v>
      </c>
      <c r="K84" s="85" t="s">
        <v>16309</v>
      </c>
      <c r="L84" s="86">
        <v>97414.0</v>
      </c>
      <c r="M84" s="81" t="s">
        <v>40</v>
      </c>
      <c r="N84" s="81"/>
      <c r="O84" s="94" t="s">
        <v>24622</v>
      </c>
      <c r="P84" s="81"/>
      <c r="Q84" s="75" t="s">
        <v>24623</v>
      </c>
      <c r="R84" s="92">
        <v>18443.0</v>
      </c>
      <c r="S84" s="87"/>
      <c r="T84" s="81"/>
      <c r="U84" s="81"/>
      <c r="V84" s="81"/>
      <c r="W84" s="81"/>
      <c r="X84" s="81"/>
      <c r="Y84" s="81"/>
      <c r="Z84" s="81"/>
    </row>
    <row r="85" ht="15.75" customHeight="1">
      <c r="A85" s="81" t="s">
        <v>18028</v>
      </c>
      <c r="B85" s="81" t="s">
        <v>24597</v>
      </c>
      <c r="C85" s="81" t="s">
        <v>24624</v>
      </c>
      <c r="D85" s="81" t="s">
        <v>24344</v>
      </c>
      <c r="E85" s="82" t="s">
        <v>18020</v>
      </c>
      <c r="F85" s="83" t="s">
        <v>24625</v>
      </c>
      <c r="G85" s="85" t="s">
        <v>24335</v>
      </c>
      <c r="H85" s="88" t="b">
        <v>1</v>
      </c>
      <c r="I85" s="81"/>
      <c r="J85" s="89" t="s">
        <v>12925</v>
      </c>
      <c r="K85" s="85" t="s">
        <v>24626</v>
      </c>
      <c r="L85" s="86">
        <v>97442.0</v>
      </c>
      <c r="M85" s="81" t="s">
        <v>33</v>
      </c>
      <c r="N85" s="81"/>
      <c r="O85" s="83" t="s">
        <v>6444</v>
      </c>
      <c r="P85" s="81"/>
      <c r="Q85" s="75" t="s">
        <v>24627</v>
      </c>
      <c r="R85" s="81"/>
      <c r="S85" s="87"/>
      <c r="T85" s="81"/>
      <c r="U85" s="81"/>
      <c r="V85" s="81"/>
      <c r="W85" s="81"/>
      <c r="X85" s="81"/>
      <c r="Y85" s="81"/>
      <c r="Z85" s="81"/>
    </row>
    <row r="86" ht="15.75" customHeight="1">
      <c r="A86" s="81" t="s">
        <v>20632</v>
      </c>
      <c r="B86" s="81" t="s">
        <v>24628</v>
      </c>
      <c r="C86" s="81" t="s">
        <v>24629</v>
      </c>
      <c r="D86" s="85" t="s">
        <v>24334</v>
      </c>
      <c r="E86" s="81" t="s">
        <v>1659</v>
      </c>
      <c r="F86" s="83" t="s">
        <v>20630</v>
      </c>
      <c r="G86" s="81"/>
      <c r="H86" s="84" t="b">
        <v>1</v>
      </c>
      <c r="I86" s="81"/>
      <c r="J86" s="81"/>
      <c r="K86" s="81" t="s">
        <v>20628</v>
      </c>
      <c r="L86" s="86">
        <v>97414.0</v>
      </c>
      <c r="M86" s="81" t="s">
        <v>40</v>
      </c>
      <c r="N86" s="81"/>
      <c r="O86" s="83" t="s">
        <v>1656</v>
      </c>
      <c r="P86" s="81"/>
      <c r="Q86" s="75" t="s">
        <v>24630</v>
      </c>
      <c r="R86" s="81"/>
      <c r="S86" s="87"/>
      <c r="T86" s="81"/>
      <c r="U86" s="81"/>
      <c r="V86" s="81"/>
      <c r="W86" s="81"/>
      <c r="X86" s="81"/>
      <c r="Y86" s="81"/>
      <c r="Z86" s="81"/>
    </row>
    <row r="87" ht="15.75" customHeight="1">
      <c r="A87" s="81" t="s">
        <v>20197</v>
      </c>
      <c r="B87" s="81" t="s">
        <v>24597</v>
      </c>
      <c r="C87" s="81" t="s">
        <v>24631</v>
      </c>
      <c r="D87" s="81" t="s">
        <v>24344</v>
      </c>
      <c r="E87" s="85" t="s">
        <v>20195</v>
      </c>
      <c r="F87" s="83" t="s">
        <v>20196</v>
      </c>
      <c r="G87" s="81"/>
      <c r="H87" s="84" t="b">
        <v>0</v>
      </c>
      <c r="I87" s="85">
        <v>1.0</v>
      </c>
      <c r="J87" s="86">
        <v>53.0</v>
      </c>
      <c r="K87" s="81" t="s">
        <v>20193</v>
      </c>
      <c r="L87" s="86">
        <v>97480.0</v>
      </c>
      <c r="M87" s="81" t="s">
        <v>123</v>
      </c>
      <c r="N87" s="81"/>
      <c r="O87" s="83" t="s">
        <v>5936</v>
      </c>
      <c r="P87" s="81"/>
      <c r="Q87" s="75" t="s">
        <v>24632</v>
      </c>
      <c r="R87" s="81"/>
      <c r="S87" s="87"/>
      <c r="T87" s="81"/>
      <c r="U87" s="81"/>
      <c r="V87" s="81"/>
      <c r="W87" s="81"/>
      <c r="X87" s="81"/>
      <c r="Y87" s="81"/>
      <c r="Z87" s="81"/>
    </row>
    <row r="88" ht="15.75" customHeight="1">
      <c r="A88" s="81" t="s">
        <v>16063</v>
      </c>
      <c r="B88" s="85" t="s">
        <v>24633</v>
      </c>
      <c r="C88" s="85" t="s">
        <v>24634</v>
      </c>
      <c r="D88" s="81" t="s">
        <v>24344</v>
      </c>
      <c r="E88" s="85" t="s">
        <v>16060</v>
      </c>
      <c r="F88" s="83" t="s">
        <v>16061</v>
      </c>
      <c r="G88" s="81"/>
      <c r="H88" s="84" t="b">
        <v>1</v>
      </c>
      <c r="I88" s="85">
        <v>2.0</v>
      </c>
      <c r="J88" s="86">
        <v>104.0</v>
      </c>
      <c r="K88" s="81" t="s">
        <v>22999</v>
      </c>
      <c r="L88" s="86">
        <v>97480.0</v>
      </c>
      <c r="M88" s="81" t="s">
        <v>123</v>
      </c>
      <c r="N88" s="81" t="s">
        <v>8325</v>
      </c>
      <c r="O88" s="83" t="s">
        <v>24635</v>
      </c>
      <c r="P88" s="81"/>
      <c r="Q88" s="46" t="s">
        <v>24636</v>
      </c>
      <c r="R88" s="81"/>
      <c r="S88" s="87"/>
      <c r="T88" s="81"/>
      <c r="U88" s="81"/>
      <c r="V88" s="81"/>
      <c r="W88" s="81"/>
      <c r="X88" s="81"/>
      <c r="Y88" s="81"/>
      <c r="Z88" s="81"/>
    </row>
    <row r="89" ht="15.75" customHeight="1">
      <c r="A89" s="81" t="s">
        <v>18121</v>
      </c>
      <c r="B89" s="81" t="s">
        <v>24637</v>
      </c>
      <c r="C89" s="81" t="s">
        <v>149</v>
      </c>
      <c r="D89" s="81" t="s">
        <v>24344</v>
      </c>
      <c r="E89" s="81" t="s">
        <v>1647</v>
      </c>
      <c r="F89" s="83" t="s">
        <v>18120</v>
      </c>
      <c r="G89" s="81"/>
      <c r="H89" s="84" t="b">
        <v>0</v>
      </c>
      <c r="I89" s="85">
        <v>0.0</v>
      </c>
      <c r="J89" s="86">
        <v>42.0</v>
      </c>
      <c r="K89" s="81" t="s">
        <v>24638</v>
      </c>
      <c r="L89" s="86">
        <v>97430.0</v>
      </c>
      <c r="M89" s="81" t="s">
        <v>71</v>
      </c>
      <c r="N89" s="81" t="s">
        <v>12373</v>
      </c>
      <c r="O89" s="83" t="s">
        <v>1640</v>
      </c>
      <c r="P89" s="81"/>
      <c r="Q89" s="75" t="s">
        <v>24639</v>
      </c>
      <c r="R89" s="81"/>
      <c r="S89" s="87"/>
      <c r="T89" s="81"/>
      <c r="U89" s="81"/>
      <c r="V89" s="81"/>
      <c r="W89" s="81"/>
      <c r="X89" s="81"/>
      <c r="Y89" s="81"/>
      <c r="Z89" s="81"/>
    </row>
    <row r="90" ht="15.75" customHeight="1">
      <c r="A90" s="81" t="s">
        <v>13846</v>
      </c>
      <c r="B90" s="81" t="s">
        <v>24597</v>
      </c>
      <c r="C90" s="81" t="s">
        <v>24640</v>
      </c>
      <c r="D90" s="81" t="s">
        <v>24344</v>
      </c>
      <c r="E90" s="81" t="s">
        <v>8534</v>
      </c>
      <c r="F90" s="83" t="s">
        <v>20790</v>
      </c>
      <c r="G90" s="81"/>
      <c r="H90" s="84" t="b">
        <v>1</v>
      </c>
      <c r="I90" s="81"/>
      <c r="J90" s="86">
        <v>2.0</v>
      </c>
      <c r="K90" s="81" t="s">
        <v>24641</v>
      </c>
      <c r="L90" s="86">
        <v>97418.0</v>
      </c>
      <c r="M90" s="81" t="s">
        <v>216</v>
      </c>
      <c r="N90" s="81"/>
      <c r="O90" s="83" t="s">
        <v>24642</v>
      </c>
      <c r="P90" s="81"/>
      <c r="Q90" s="75" t="s">
        <v>24643</v>
      </c>
      <c r="R90" s="81"/>
      <c r="S90" s="87"/>
      <c r="T90" s="81"/>
      <c r="U90" s="81"/>
      <c r="V90" s="81"/>
      <c r="W90" s="81"/>
      <c r="X90" s="81"/>
      <c r="Y90" s="81"/>
      <c r="Z90" s="81"/>
    </row>
    <row r="91" ht="15.75" customHeight="1">
      <c r="A91" s="81" t="s">
        <v>18472</v>
      </c>
      <c r="B91" s="81" t="s">
        <v>24644</v>
      </c>
      <c r="C91" s="81" t="s">
        <v>24645</v>
      </c>
      <c r="D91" s="81" t="s">
        <v>24344</v>
      </c>
      <c r="E91" s="81" t="s">
        <v>8527</v>
      </c>
      <c r="F91" s="98" t="s">
        <v>24646</v>
      </c>
      <c r="G91" s="81"/>
      <c r="H91" s="84" t="b">
        <v>1</v>
      </c>
      <c r="I91" s="81"/>
      <c r="J91" s="86">
        <v>13.0</v>
      </c>
      <c r="K91" s="81" t="s">
        <v>24647</v>
      </c>
      <c r="L91" s="86">
        <v>97414.0</v>
      </c>
      <c r="M91" s="81" t="s">
        <v>40</v>
      </c>
      <c r="N91" s="81"/>
      <c r="O91" s="83" t="s">
        <v>8522</v>
      </c>
      <c r="P91" s="81"/>
      <c r="Q91" s="75" t="s">
        <v>24648</v>
      </c>
      <c r="R91" s="81"/>
      <c r="S91" s="87"/>
      <c r="T91" s="81"/>
      <c r="U91" s="81"/>
      <c r="V91" s="81"/>
      <c r="W91" s="81"/>
      <c r="X91" s="81"/>
      <c r="Y91" s="81"/>
      <c r="Z91" s="81"/>
    </row>
    <row r="92" ht="15.75" customHeight="1">
      <c r="A92" s="81" t="s">
        <v>20810</v>
      </c>
      <c r="B92" s="81" t="s">
        <v>24649</v>
      </c>
      <c r="C92" s="81" t="s">
        <v>24650</v>
      </c>
      <c r="D92" s="81" t="s">
        <v>24344</v>
      </c>
      <c r="E92" s="81" t="s">
        <v>8768</v>
      </c>
      <c r="F92" s="83" t="s">
        <v>20808</v>
      </c>
      <c r="G92" s="81"/>
      <c r="H92" s="84" t="b">
        <v>1</v>
      </c>
      <c r="I92" s="81"/>
      <c r="J92" s="86">
        <v>11.0</v>
      </c>
      <c r="K92" s="81" t="s">
        <v>24651</v>
      </c>
      <c r="L92" s="86">
        <v>97414.0</v>
      </c>
      <c r="M92" s="81" t="s">
        <v>40</v>
      </c>
      <c r="N92" s="81"/>
      <c r="O92" s="83" t="s">
        <v>24652</v>
      </c>
      <c r="P92" s="81"/>
      <c r="Q92" s="75" t="s">
        <v>24653</v>
      </c>
      <c r="R92" s="81"/>
      <c r="S92" s="87"/>
      <c r="T92" s="81"/>
      <c r="U92" s="81"/>
      <c r="V92" s="81"/>
      <c r="W92" s="81"/>
      <c r="X92" s="81"/>
      <c r="Y92" s="81"/>
      <c r="Z92" s="81"/>
    </row>
    <row r="93" ht="15.75" customHeight="1">
      <c r="A93" s="81" t="s">
        <v>17583</v>
      </c>
      <c r="B93" s="81" t="s">
        <v>24654</v>
      </c>
      <c r="C93" s="81" t="s">
        <v>24462</v>
      </c>
      <c r="D93" s="85" t="s">
        <v>24334</v>
      </c>
      <c r="E93" s="81" t="s">
        <v>787</v>
      </c>
      <c r="F93" s="83" t="s">
        <v>17581</v>
      </c>
      <c r="G93" s="81"/>
      <c r="H93" s="84" t="b">
        <v>0</v>
      </c>
      <c r="I93" s="85">
        <v>0.0</v>
      </c>
      <c r="J93" s="86">
        <v>53.0</v>
      </c>
      <c r="K93" s="81" t="s">
        <v>17579</v>
      </c>
      <c r="L93" s="86">
        <v>97480.0</v>
      </c>
      <c r="M93" s="81" t="s">
        <v>123</v>
      </c>
      <c r="N93" s="81"/>
      <c r="O93" s="83" t="s">
        <v>780</v>
      </c>
      <c r="P93" s="81"/>
      <c r="Q93" s="75" t="s">
        <v>24655</v>
      </c>
      <c r="R93" s="81"/>
      <c r="S93" s="87"/>
      <c r="T93" s="81"/>
      <c r="U93" s="81"/>
      <c r="V93" s="81"/>
      <c r="W93" s="81"/>
      <c r="X93" s="81"/>
      <c r="Y93" s="81"/>
      <c r="Z93" s="81"/>
    </row>
    <row r="94" ht="15.75" customHeight="1">
      <c r="A94" s="81" t="s">
        <v>16451</v>
      </c>
      <c r="B94" s="81" t="s">
        <v>24656</v>
      </c>
      <c r="C94" s="81" t="s">
        <v>24657</v>
      </c>
      <c r="D94" s="85" t="s">
        <v>24334</v>
      </c>
      <c r="E94" s="81" t="s">
        <v>7486</v>
      </c>
      <c r="F94" s="83" t="s">
        <v>16448</v>
      </c>
      <c r="G94" s="81"/>
      <c r="H94" s="84" t="b">
        <v>1</v>
      </c>
      <c r="I94" s="85">
        <v>1.0</v>
      </c>
      <c r="J94" s="86">
        <v>15.0</v>
      </c>
      <c r="K94" s="81" t="s">
        <v>18729</v>
      </c>
      <c r="L94" s="86">
        <v>97480.0</v>
      </c>
      <c r="M94" s="81" t="s">
        <v>123</v>
      </c>
      <c r="N94" s="81"/>
      <c r="O94" s="83" t="s">
        <v>7483</v>
      </c>
      <c r="P94" s="85" t="s">
        <v>24658</v>
      </c>
      <c r="Q94" s="46" t="s">
        <v>24659</v>
      </c>
      <c r="R94" s="81"/>
      <c r="S94" s="87"/>
      <c r="T94" s="81"/>
      <c r="U94" s="81"/>
      <c r="V94" s="81"/>
      <c r="W94" s="81"/>
      <c r="X94" s="81"/>
      <c r="Y94" s="81"/>
      <c r="Z94" s="81"/>
    </row>
    <row r="95" ht="15.75" customHeight="1">
      <c r="A95" s="81" t="s">
        <v>12859</v>
      </c>
      <c r="B95" s="81" t="s">
        <v>24660</v>
      </c>
      <c r="C95" s="81" t="s">
        <v>24661</v>
      </c>
      <c r="D95" s="85" t="s">
        <v>24334</v>
      </c>
      <c r="E95" s="81" t="s">
        <v>6722</v>
      </c>
      <c r="F95" s="83" t="s">
        <v>12856</v>
      </c>
      <c r="G95" s="81"/>
      <c r="H95" s="84" t="b">
        <v>1</v>
      </c>
      <c r="I95" s="85">
        <v>1.0</v>
      </c>
      <c r="J95" s="86">
        <v>37.0</v>
      </c>
      <c r="K95" s="81" t="s">
        <v>24662</v>
      </c>
      <c r="L95" s="86">
        <v>97442.0</v>
      </c>
      <c r="M95" s="81" t="s">
        <v>33</v>
      </c>
      <c r="N95" s="81"/>
      <c r="O95" s="83" t="s">
        <v>6716</v>
      </c>
      <c r="P95" s="81"/>
      <c r="Q95" s="46" t="s">
        <v>24663</v>
      </c>
      <c r="R95" s="81"/>
      <c r="S95" s="87"/>
      <c r="T95" s="81"/>
      <c r="U95" s="81"/>
      <c r="V95" s="81"/>
      <c r="W95" s="81"/>
      <c r="X95" s="81"/>
      <c r="Y95" s="81"/>
      <c r="Z95" s="81"/>
    </row>
    <row r="96" ht="15.75" customHeight="1">
      <c r="A96" s="81" t="s">
        <v>16378</v>
      </c>
      <c r="B96" s="81" t="s">
        <v>24664</v>
      </c>
      <c r="C96" s="81" t="s">
        <v>24665</v>
      </c>
      <c r="D96" s="85" t="s">
        <v>24334</v>
      </c>
      <c r="E96" s="81" t="s">
        <v>9634</v>
      </c>
      <c r="F96" s="91" t="s">
        <v>24666</v>
      </c>
      <c r="G96" s="85" t="s">
        <v>24335</v>
      </c>
      <c r="H96" s="84" t="b">
        <v>1</v>
      </c>
      <c r="I96" s="85">
        <v>2.0</v>
      </c>
      <c r="J96" s="86">
        <v>38.0</v>
      </c>
      <c r="K96" s="81" t="s">
        <v>24667</v>
      </c>
      <c r="L96" s="86">
        <v>97430.0</v>
      </c>
      <c r="M96" s="81" t="s">
        <v>71</v>
      </c>
      <c r="N96" s="81"/>
      <c r="O96" s="83" t="s">
        <v>24668</v>
      </c>
      <c r="P96" s="85"/>
      <c r="Q96" s="75" t="s">
        <v>24669</v>
      </c>
      <c r="R96" s="96">
        <v>19693.0</v>
      </c>
      <c r="S96" s="93" t="s">
        <v>24460</v>
      </c>
      <c r="T96" s="81"/>
      <c r="U96" s="81"/>
      <c r="V96" s="81"/>
      <c r="W96" s="81"/>
      <c r="X96" s="81"/>
      <c r="Y96" s="81"/>
      <c r="Z96" s="81"/>
    </row>
    <row r="97" ht="15.75" customHeight="1">
      <c r="A97" s="81" t="s">
        <v>21653</v>
      </c>
      <c r="B97" s="81" t="s">
        <v>24670</v>
      </c>
      <c r="C97" s="81" t="s">
        <v>24671</v>
      </c>
      <c r="D97" s="85" t="s">
        <v>24334</v>
      </c>
      <c r="E97" s="81" t="s">
        <v>8628</v>
      </c>
      <c r="F97" s="83" t="s">
        <v>21650</v>
      </c>
      <c r="G97" s="81"/>
      <c r="H97" s="84" t="b">
        <v>1</v>
      </c>
      <c r="I97" s="85">
        <v>0.0</v>
      </c>
      <c r="J97" s="86">
        <v>108.0</v>
      </c>
      <c r="K97" s="81" t="s">
        <v>24368</v>
      </c>
      <c r="L97" s="86">
        <v>97480.0</v>
      </c>
      <c r="M97" s="81" t="s">
        <v>123</v>
      </c>
      <c r="N97" s="81" t="s">
        <v>206</v>
      </c>
      <c r="O97" s="94" t="s">
        <v>24672</v>
      </c>
      <c r="P97" s="81"/>
      <c r="Q97" s="75" t="s">
        <v>24673</v>
      </c>
      <c r="R97" s="81"/>
      <c r="S97" s="87"/>
      <c r="T97" s="81"/>
      <c r="U97" s="81"/>
      <c r="V97" s="81"/>
      <c r="W97" s="81"/>
      <c r="X97" s="81"/>
      <c r="Y97" s="81"/>
      <c r="Z97" s="81"/>
    </row>
    <row r="98" ht="15.75" customHeight="1">
      <c r="A98" s="81" t="s">
        <v>20263</v>
      </c>
      <c r="B98" s="81" t="s">
        <v>24674</v>
      </c>
      <c r="C98" s="81" t="s">
        <v>24675</v>
      </c>
      <c r="D98" s="81" t="s">
        <v>24344</v>
      </c>
      <c r="E98" s="81" t="s">
        <v>2213</v>
      </c>
      <c r="F98" s="83" t="s">
        <v>20262</v>
      </c>
      <c r="G98" s="81"/>
      <c r="H98" s="84" t="b">
        <v>1</v>
      </c>
      <c r="I98" s="81"/>
      <c r="J98" s="81"/>
      <c r="K98" s="81" t="s">
        <v>9494</v>
      </c>
      <c r="L98" s="86">
        <v>97418.0</v>
      </c>
      <c r="M98" s="81" t="s">
        <v>216</v>
      </c>
      <c r="N98" s="81"/>
      <c r="O98" s="83" t="s">
        <v>2210</v>
      </c>
      <c r="P98" s="81"/>
      <c r="Q98" s="75" t="s">
        <v>24676</v>
      </c>
      <c r="R98" s="81"/>
      <c r="S98" s="87"/>
      <c r="T98" s="81"/>
      <c r="U98" s="81"/>
      <c r="V98" s="81"/>
      <c r="W98" s="81"/>
      <c r="X98" s="81"/>
      <c r="Y98" s="81"/>
      <c r="Z98" s="81"/>
    </row>
    <row r="99" ht="15.75" customHeight="1">
      <c r="A99" s="81" t="s">
        <v>16987</v>
      </c>
      <c r="B99" s="81" t="s">
        <v>24677</v>
      </c>
      <c r="C99" s="81" t="s">
        <v>24678</v>
      </c>
      <c r="D99" s="81" t="s">
        <v>24344</v>
      </c>
      <c r="E99" s="81" t="s">
        <v>3350</v>
      </c>
      <c r="F99" s="83" t="s">
        <v>16982</v>
      </c>
      <c r="G99" s="81"/>
      <c r="H99" s="84" t="b">
        <v>1</v>
      </c>
      <c r="I99" s="85">
        <v>1.0</v>
      </c>
      <c r="J99" s="86">
        <v>28.0</v>
      </c>
      <c r="K99" s="81" t="s">
        <v>24679</v>
      </c>
      <c r="L99" s="86">
        <v>97418.0</v>
      </c>
      <c r="M99" s="81" t="s">
        <v>216</v>
      </c>
      <c r="N99" s="81"/>
      <c r="O99" s="83" t="s">
        <v>3346</v>
      </c>
      <c r="P99" s="81"/>
      <c r="Q99" s="46" t="s">
        <v>24680</v>
      </c>
      <c r="R99" s="81"/>
      <c r="S99" s="87"/>
      <c r="T99" s="81"/>
      <c r="U99" s="81"/>
      <c r="V99" s="81"/>
      <c r="W99" s="81"/>
      <c r="X99" s="81"/>
      <c r="Y99" s="81"/>
      <c r="Z99" s="81"/>
    </row>
    <row r="100" ht="15.75" customHeight="1">
      <c r="A100" s="81" t="s">
        <v>14893</v>
      </c>
      <c r="B100" s="81" t="s">
        <v>24681</v>
      </c>
      <c r="C100" s="81" t="s">
        <v>24682</v>
      </c>
      <c r="D100" s="85" t="s">
        <v>24334</v>
      </c>
      <c r="E100" s="81" t="s">
        <v>9554</v>
      </c>
      <c r="F100" s="83" t="s">
        <v>24683</v>
      </c>
      <c r="G100" s="81"/>
      <c r="H100" s="84" t="b">
        <v>1</v>
      </c>
      <c r="I100" s="81"/>
      <c r="J100" s="81"/>
      <c r="K100" s="81" t="s">
        <v>14889</v>
      </c>
      <c r="L100" s="86">
        <v>97480.0</v>
      </c>
      <c r="M100" s="81" t="s">
        <v>123</v>
      </c>
      <c r="N100" s="81"/>
      <c r="O100" s="83" t="s">
        <v>9551</v>
      </c>
      <c r="P100" s="81"/>
      <c r="Q100" s="75" t="s">
        <v>24684</v>
      </c>
      <c r="R100" s="81"/>
      <c r="S100" s="87"/>
      <c r="T100" s="81"/>
      <c r="U100" s="81"/>
      <c r="V100" s="81"/>
      <c r="W100" s="81"/>
      <c r="X100" s="81"/>
      <c r="Y100" s="81"/>
      <c r="Z100" s="81"/>
    </row>
    <row r="101" ht="15.75" customHeight="1">
      <c r="A101" s="81" t="s">
        <v>21684</v>
      </c>
      <c r="B101" s="81" t="s">
        <v>24685</v>
      </c>
      <c r="C101" s="81" t="s">
        <v>24686</v>
      </c>
      <c r="D101" s="85" t="s">
        <v>24334</v>
      </c>
      <c r="E101" s="81" t="s">
        <v>10183</v>
      </c>
      <c r="F101" s="83" t="s">
        <v>21683</v>
      </c>
      <c r="G101" s="81"/>
      <c r="H101" s="84" t="b">
        <v>1</v>
      </c>
      <c r="I101" s="85">
        <v>1.0</v>
      </c>
      <c r="J101" s="86">
        <v>174.0</v>
      </c>
      <c r="K101" s="81" t="s">
        <v>24687</v>
      </c>
      <c r="L101" s="86">
        <v>97480.0</v>
      </c>
      <c r="M101" s="81" t="s">
        <v>123</v>
      </c>
      <c r="N101" s="81"/>
      <c r="O101" s="83" t="s">
        <v>10180</v>
      </c>
      <c r="P101" s="81"/>
      <c r="Q101" s="46" t="s">
        <v>24688</v>
      </c>
      <c r="R101" s="81"/>
      <c r="S101" s="87"/>
      <c r="T101" s="81"/>
      <c r="U101" s="81"/>
      <c r="V101" s="81"/>
      <c r="W101" s="81"/>
      <c r="X101" s="81"/>
      <c r="Y101" s="81"/>
      <c r="Z101" s="81"/>
    </row>
    <row r="102" ht="15.75" customHeight="1">
      <c r="A102" s="81" t="s">
        <v>14283</v>
      </c>
      <c r="B102" s="81" t="s">
        <v>24689</v>
      </c>
      <c r="C102" s="81" t="s">
        <v>24690</v>
      </c>
      <c r="D102" s="85" t="s">
        <v>24334</v>
      </c>
      <c r="E102" s="81" t="s">
        <v>7930</v>
      </c>
      <c r="F102" s="83" t="s">
        <v>14281</v>
      </c>
      <c r="G102" s="81"/>
      <c r="H102" s="84" t="b">
        <v>1</v>
      </c>
      <c r="I102" s="85">
        <v>1.0</v>
      </c>
      <c r="J102" s="86">
        <v>95.0</v>
      </c>
      <c r="K102" s="81" t="s">
        <v>24691</v>
      </c>
      <c r="L102" s="86">
        <v>97430.0</v>
      </c>
      <c r="M102" s="81" t="s">
        <v>71</v>
      </c>
      <c r="N102" s="81"/>
      <c r="O102" s="83" t="s">
        <v>7925</v>
      </c>
      <c r="P102" s="85" t="s">
        <v>24692</v>
      </c>
      <c r="Q102" s="75" t="s">
        <v>24693</v>
      </c>
      <c r="R102" s="81"/>
      <c r="S102" s="87"/>
      <c r="T102" s="81"/>
      <c r="U102" s="81"/>
      <c r="V102" s="81"/>
      <c r="W102" s="81"/>
      <c r="X102" s="81"/>
      <c r="Y102" s="81"/>
      <c r="Z102" s="81"/>
    </row>
    <row r="103" ht="15.75" customHeight="1">
      <c r="A103" s="81" t="s">
        <v>17023</v>
      </c>
      <c r="B103" s="81" t="s">
        <v>24694</v>
      </c>
      <c r="C103" s="81" t="s">
        <v>24695</v>
      </c>
      <c r="D103" s="85" t="s">
        <v>24334</v>
      </c>
      <c r="E103" s="81" t="s">
        <v>3969</v>
      </c>
      <c r="F103" s="83" t="s">
        <v>17020</v>
      </c>
      <c r="G103" s="81"/>
      <c r="H103" s="84" t="b">
        <v>1</v>
      </c>
      <c r="I103" s="85">
        <v>2.0</v>
      </c>
      <c r="J103" s="81" t="s">
        <v>24696</v>
      </c>
      <c r="K103" s="81" t="s">
        <v>24697</v>
      </c>
      <c r="L103" s="86">
        <v>97430.0</v>
      </c>
      <c r="M103" s="81" t="s">
        <v>71</v>
      </c>
      <c r="N103" s="81"/>
      <c r="O103" s="83" t="s">
        <v>24698</v>
      </c>
      <c r="P103" s="81"/>
      <c r="Q103" s="46" t="s">
        <v>24699</v>
      </c>
      <c r="R103" s="81"/>
      <c r="S103" s="87"/>
      <c r="T103" s="81"/>
      <c r="U103" s="81"/>
      <c r="V103" s="81"/>
      <c r="W103" s="81"/>
      <c r="X103" s="81"/>
      <c r="Y103" s="81"/>
      <c r="Z103" s="81"/>
    </row>
    <row r="104" ht="15.75" customHeight="1">
      <c r="A104" s="81" t="s">
        <v>13967</v>
      </c>
      <c r="B104" s="85" t="s">
        <v>24700</v>
      </c>
      <c r="C104" s="81" t="s">
        <v>24701</v>
      </c>
      <c r="D104" s="85" t="s">
        <v>24334</v>
      </c>
      <c r="E104" s="81" t="s">
        <v>8861</v>
      </c>
      <c r="F104" s="83" t="s">
        <v>13963</v>
      </c>
      <c r="G104" s="85" t="s">
        <v>24335</v>
      </c>
      <c r="H104" s="84" t="b">
        <v>1</v>
      </c>
      <c r="I104" s="85">
        <v>1.0</v>
      </c>
      <c r="J104" s="86">
        <v>54.0</v>
      </c>
      <c r="K104" s="85" t="s">
        <v>13961</v>
      </c>
      <c r="L104" s="86">
        <v>97480.0</v>
      </c>
      <c r="M104" s="81" t="s">
        <v>123</v>
      </c>
      <c r="N104" s="81"/>
      <c r="O104" s="83" t="s">
        <v>8858</v>
      </c>
      <c r="P104" s="81"/>
      <c r="Q104" s="75" t="s">
        <v>24702</v>
      </c>
      <c r="R104" s="96">
        <v>19674.0</v>
      </c>
      <c r="S104" s="93" t="s">
        <v>24460</v>
      </c>
      <c r="T104" s="81"/>
      <c r="U104" s="81"/>
      <c r="V104" s="81"/>
      <c r="W104" s="81"/>
      <c r="X104" s="81"/>
      <c r="Y104" s="81"/>
      <c r="Z104" s="81"/>
    </row>
    <row r="105" ht="15.75" customHeight="1">
      <c r="A105" s="81" t="s">
        <v>18270</v>
      </c>
      <c r="B105" s="81" t="s">
        <v>24703</v>
      </c>
      <c r="C105" s="81" t="s">
        <v>24704</v>
      </c>
      <c r="D105" s="85" t="s">
        <v>24334</v>
      </c>
      <c r="E105" s="81" t="s">
        <v>394</v>
      </c>
      <c r="F105" s="83" t="s">
        <v>18268</v>
      </c>
      <c r="G105" s="81"/>
      <c r="H105" s="84" t="b">
        <v>1</v>
      </c>
      <c r="I105" s="81"/>
      <c r="J105" s="86">
        <v>31.0</v>
      </c>
      <c r="K105" s="81" t="s">
        <v>18266</v>
      </c>
      <c r="L105" s="86">
        <v>97480.0</v>
      </c>
      <c r="M105" s="81" t="s">
        <v>123</v>
      </c>
      <c r="N105" s="81"/>
      <c r="O105" s="83" t="s">
        <v>388</v>
      </c>
      <c r="P105" s="81"/>
      <c r="Q105" s="75" t="s">
        <v>24705</v>
      </c>
      <c r="R105" s="81"/>
      <c r="S105" s="87"/>
      <c r="T105" s="81"/>
      <c r="U105" s="81"/>
      <c r="V105" s="81"/>
      <c r="W105" s="81"/>
      <c r="X105" s="81"/>
      <c r="Y105" s="81"/>
      <c r="Z105" s="81"/>
    </row>
    <row r="106" ht="15.75" customHeight="1">
      <c r="A106" s="81" t="s">
        <v>18161</v>
      </c>
      <c r="B106" s="81" t="s">
        <v>24706</v>
      </c>
      <c r="C106" s="81" t="s">
        <v>24707</v>
      </c>
      <c r="D106" s="81" t="s">
        <v>24344</v>
      </c>
      <c r="E106" s="81" t="s">
        <v>9255</v>
      </c>
      <c r="F106" s="83" t="s">
        <v>18158</v>
      </c>
      <c r="G106" s="81"/>
      <c r="H106" s="84" t="b">
        <v>1</v>
      </c>
      <c r="I106" s="81"/>
      <c r="J106" s="86">
        <v>32.0</v>
      </c>
      <c r="K106" s="81" t="s">
        <v>24708</v>
      </c>
      <c r="L106" s="86">
        <v>97480.0</v>
      </c>
      <c r="M106" s="81" t="s">
        <v>123</v>
      </c>
      <c r="N106" s="81"/>
      <c r="O106" s="83" t="s">
        <v>9252</v>
      </c>
      <c r="P106" s="81"/>
      <c r="Q106" s="75" t="s">
        <v>24709</v>
      </c>
      <c r="R106" s="81"/>
      <c r="S106" s="87"/>
      <c r="T106" s="81"/>
      <c r="U106" s="81"/>
      <c r="V106" s="81"/>
      <c r="W106" s="81"/>
      <c r="X106" s="81"/>
      <c r="Y106" s="81"/>
      <c r="Z106" s="81"/>
    </row>
    <row r="107" ht="15.75" customHeight="1">
      <c r="A107" s="81" t="s">
        <v>16595</v>
      </c>
      <c r="B107" s="81" t="s">
        <v>24710</v>
      </c>
      <c r="C107" s="81" t="s">
        <v>24452</v>
      </c>
      <c r="D107" s="85" t="s">
        <v>24334</v>
      </c>
      <c r="E107" s="81" t="s">
        <v>8571</v>
      </c>
      <c r="F107" s="83" t="s">
        <v>16592</v>
      </c>
      <c r="G107" s="81"/>
      <c r="H107" s="84" t="b">
        <v>0</v>
      </c>
      <c r="I107" s="85">
        <v>1.0</v>
      </c>
      <c r="J107" s="97" t="s">
        <v>12708</v>
      </c>
      <c r="K107" s="85" t="s">
        <v>24711</v>
      </c>
      <c r="L107" s="86">
        <v>97414.0</v>
      </c>
      <c r="M107" s="81" t="s">
        <v>40</v>
      </c>
      <c r="N107" s="81"/>
      <c r="O107" s="94" t="s">
        <v>24712</v>
      </c>
      <c r="P107" s="81"/>
      <c r="Q107" s="46" t="s">
        <v>24713</v>
      </c>
      <c r="R107" s="81"/>
      <c r="S107" s="87"/>
      <c r="T107" s="81"/>
      <c r="U107" s="81"/>
      <c r="V107" s="81"/>
      <c r="W107" s="81"/>
      <c r="X107" s="81"/>
      <c r="Y107" s="81"/>
      <c r="Z107" s="81"/>
    </row>
    <row r="108" ht="15.75" customHeight="1">
      <c r="A108" s="81" t="s">
        <v>15075</v>
      </c>
      <c r="B108" s="85" t="s">
        <v>24714</v>
      </c>
      <c r="C108" s="85" t="s">
        <v>24715</v>
      </c>
      <c r="D108" s="85" t="s">
        <v>24334</v>
      </c>
      <c r="E108" s="81" t="s">
        <v>5928</v>
      </c>
      <c r="F108" s="83" t="s">
        <v>24716</v>
      </c>
      <c r="G108" s="85" t="s">
        <v>24420</v>
      </c>
      <c r="H108" s="84" t="b">
        <v>1</v>
      </c>
      <c r="I108" s="85">
        <v>1.0</v>
      </c>
      <c r="J108" s="90" t="s">
        <v>13933</v>
      </c>
      <c r="K108" s="81" t="s">
        <v>15073</v>
      </c>
      <c r="L108" s="86">
        <v>97430.0</v>
      </c>
      <c r="M108" s="81" t="s">
        <v>71</v>
      </c>
      <c r="N108" s="81"/>
      <c r="O108" s="83" t="s">
        <v>5924</v>
      </c>
      <c r="P108" s="85" t="s">
        <v>24717</v>
      </c>
      <c r="Q108" s="75" t="s">
        <v>24718</v>
      </c>
      <c r="R108" s="92">
        <v>27612.0</v>
      </c>
      <c r="S108" s="93" t="s">
        <v>24460</v>
      </c>
      <c r="T108" s="81"/>
      <c r="U108" s="81"/>
      <c r="V108" s="81"/>
      <c r="W108" s="81"/>
      <c r="X108" s="81"/>
      <c r="Y108" s="81"/>
      <c r="Z108" s="81"/>
    </row>
    <row r="109" ht="15.75" customHeight="1">
      <c r="A109" s="81" t="s">
        <v>14677</v>
      </c>
      <c r="B109" s="81" t="s">
        <v>24719</v>
      </c>
      <c r="C109" s="81" t="s">
        <v>24720</v>
      </c>
      <c r="D109" s="81" t="s">
        <v>24344</v>
      </c>
      <c r="E109" s="81" t="s">
        <v>9456</v>
      </c>
      <c r="F109" s="83" t="s">
        <v>24721</v>
      </c>
      <c r="G109" s="81"/>
      <c r="H109" s="84" t="b">
        <v>1</v>
      </c>
      <c r="I109" s="85">
        <v>1.0</v>
      </c>
      <c r="J109" s="86">
        <v>107.0</v>
      </c>
      <c r="K109" s="81" t="s">
        <v>24407</v>
      </c>
      <c r="L109" s="86">
        <v>97430.0</v>
      </c>
      <c r="M109" s="81" t="s">
        <v>71</v>
      </c>
      <c r="N109" s="81" t="s">
        <v>3501</v>
      </c>
      <c r="O109" s="83" t="s">
        <v>9450</v>
      </c>
      <c r="P109" s="81"/>
      <c r="Q109" s="46" t="s">
        <v>24722</v>
      </c>
      <c r="R109" s="81"/>
      <c r="S109" s="87"/>
      <c r="T109" s="81"/>
      <c r="U109" s="81"/>
      <c r="V109" s="81"/>
      <c r="W109" s="81"/>
      <c r="X109" s="81"/>
      <c r="Y109" s="81"/>
      <c r="Z109" s="81"/>
    </row>
    <row r="110" ht="15.75" customHeight="1">
      <c r="A110" s="81" t="s">
        <v>12496</v>
      </c>
      <c r="B110" s="81" t="s">
        <v>24723</v>
      </c>
      <c r="C110" s="81" t="s">
        <v>24724</v>
      </c>
      <c r="D110" s="81" t="s">
        <v>24344</v>
      </c>
      <c r="E110" s="85" t="s">
        <v>12493</v>
      </c>
      <c r="F110" s="83" t="s">
        <v>24725</v>
      </c>
      <c r="G110" s="81"/>
      <c r="H110" s="88" t="b">
        <v>1</v>
      </c>
      <c r="I110" s="85">
        <v>1.0</v>
      </c>
      <c r="J110" s="86">
        <v>218.0</v>
      </c>
      <c r="K110" s="81" t="s">
        <v>24726</v>
      </c>
      <c r="L110" s="86">
        <v>97480.0</v>
      </c>
      <c r="M110" s="81" t="s">
        <v>123</v>
      </c>
      <c r="N110" s="81"/>
      <c r="O110" s="83" t="s">
        <v>4887</v>
      </c>
      <c r="P110" s="81"/>
      <c r="Q110" s="46" t="s">
        <v>24727</v>
      </c>
      <c r="R110" s="81"/>
      <c r="S110" s="87"/>
      <c r="T110" s="81"/>
      <c r="U110" s="81"/>
      <c r="V110" s="81"/>
      <c r="W110" s="81"/>
      <c r="X110" s="81"/>
      <c r="Y110" s="81"/>
      <c r="Z110" s="81"/>
    </row>
    <row r="111" ht="15.75" customHeight="1">
      <c r="A111" s="81" t="s">
        <v>12488</v>
      </c>
      <c r="B111" s="81" t="s">
        <v>24728</v>
      </c>
      <c r="C111" s="81" t="s">
        <v>24729</v>
      </c>
      <c r="D111" s="85" t="s">
        <v>24334</v>
      </c>
      <c r="E111" s="81"/>
      <c r="F111" s="83" t="s">
        <v>24730</v>
      </c>
      <c r="G111" s="81"/>
      <c r="H111" s="88" t="b">
        <v>1</v>
      </c>
      <c r="I111" s="81"/>
      <c r="J111" s="86">
        <v>265.0</v>
      </c>
      <c r="K111" s="81" t="s">
        <v>19246</v>
      </c>
      <c r="L111" s="86">
        <v>97480.0</v>
      </c>
      <c r="M111" s="81" t="s">
        <v>123</v>
      </c>
      <c r="N111" s="81"/>
      <c r="O111" s="83" t="s">
        <v>7714</v>
      </c>
      <c r="P111" s="81"/>
      <c r="Q111" s="75" t="s">
        <v>24731</v>
      </c>
      <c r="R111" s="81"/>
      <c r="S111" s="87"/>
      <c r="T111" s="81"/>
      <c r="U111" s="81"/>
      <c r="V111" s="81"/>
      <c r="W111" s="81"/>
      <c r="X111" s="81"/>
      <c r="Y111" s="81"/>
      <c r="Z111" s="81"/>
    </row>
    <row r="112" ht="15.75" customHeight="1">
      <c r="A112" s="81" t="s">
        <v>12903</v>
      </c>
      <c r="B112" s="81" t="s">
        <v>24732</v>
      </c>
      <c r="C112" s="81" t="s">
        <v>24733</v>
      </c>
      <c r="D112" s="81" t="s">
        <v>24344</v>
      </c>
      <c r="E112" s="81" t="s">
        <v>9861</v>
      </c>
      <c r="F112" s="83" t="s">
        <v>12902</v>
      </c>
      <c r="G112" s="81"/>
      <c r="H112" s="84" t="b">
        <v>1</v>
      </c>
      <c r="I112" s="81"/>
      <c r="J112" s="86">
        <v>28.0</v>
      </c>
      <c r="K112" s="81" t="s">
        <v>24429</v>
      </c>
      <c r="L112" s="86">
        <v>97418.0</v>
      </c>
      <c r="M112" s="81" t="s">
        <v>216</v>
      </c>
      <c r="N112" s="81"/>
      <c r="O112" s="83" t="s">
        <v>9858</v>
      </c>
      <c r="P112" s="81"/>
      <c r="Q112" s="75" t="s">
        <v>24734</v>
      </c>
      <c r="R112" s="81"/>
      <c r="S112" s="87"/>
      <c r="T112" s="81"/>
      <c r="U112" s="81"/>
      <c r="V112" s="81"/>
      <c r="W112" s="81"/>
      <c r="X112" s="81"/>
      <c r="Y112" s="81"/>
      <c r="Z112" s="81"/>
    </row>
    <row r="113" ht="15.75" customHeight="1">
      <c r="A113" s="81" t="s">
        <v>24735</v>
      </c>
      <c r="B113" s="81" t="s">
        <v>24736</v>
      </c>
      <c r="C113" s="81" t="s">
        <v>24566</v>
      </c>
      <c r="D113" s="85" t="s">
        <v>24334</v>
      </c>
      <c r="E113" s="81" t="s">
        <v>1252</v>
      </c>
      <c r="F113" s="83" t="s">
        <v>18732</v>
      </c>
      <c r="G113" s="81"/>
      <c r="H113" s="84" t="b">
        <v>1</v>
      </c>
      <c r="I113" s="85">
        <v>1.0</v>
      </c>
      <c r="J113" s="86">
        <v>87.0</v>
      </c>
      <c r="K113" s="81" t="s">
        <v>24356</v>
      </c>
      <c r="L113" s="86">
        <v>97430.0</v>
      </c>
      <c r="M113" s="81" t="s">
        <v>71</v>
      </c>
      <c r="N113" s="81"/>
      <c r="O113" s="83" t="s">
        <v>1247</v>
      </c>
      <c r="P113" s="81"/>
      <c r="Q113" s="46" t="s">
        <v>24737</v>
      </c>
      <c r="R113" s="81"/>
      <c r="S113" s="87"/>
      <c r="T113" s="81"/>
      <c r="U113" s="81"/>
      <c r="V113" s="81"/>
      <c r="W113" s="81"/>
      <c r="X113" s="81"/>
      <c r="Y113" s="81"/>
      <c r="Z113" s="81"/>
    </row>
    <row r="114" ht="15.75" customHeight="1">
      <c r="A114" s="81" t="s">
        <v>12326</v>
      </c>
      <c r="B114" s="81" t="s">
        <v>24738</v>
      </c>
      <c r="C114" s="81" t="s">
        <v>24739</v>
      </c>
      <c r="D114" s="81" t="s">
        <v>24344</v>
      </c>
      <c r="E114" s="81" t="s">
        <v>12323</v>
      </c>
      <c r="F114" s="83" t="s">
        <v>24740</v>
      </c>
      <c r="G114" s="81"/>
      <c r="H114" s="88" t="b">
        <v>1</v>
      </c>
      <c r="I114" s="81"/>
      <c r="J114" s="86">
        <v>134.0</v>
      </c>
      <c r="K114" s="81" t="s">
        <v>20100</v>
      </c>
      <c r="L114" s="86">
        <v>97480.0</v>
      </c>
      <c r="M114" s="81" t="s">
        <v>123</v>
      </c>
      <c r="N114" s="81"/>
      <c r="O114" s="83" t="s">
        <v>6094</v>
      </c>
      <c r="P114" s="81"/>
      <c r="Q114" s="75" t="s">
        <v>24741</v>
      </c>
      <c r="R114" s="81"/>
      <c r="S114" s="87"/>
      <c r="T114" s="81"/>
      <c r="U114" s="81"/>
      <c r="V114" s="81"/>
      <c r="W114" s="81"/>
      <c r="X114" s="81"/>
      <c r="Y114" s="81"/>
      <c r="Z114" s="81"/>
    </row>
    <row r="115" ht="15.75" customHeight="1">
      <c r="A115" s="81" t="s">
        <v>13447</v>
      </c>
      <c r="B115" s="85" t="s">
        <v>24742</v>
      </c>
      <c r="C115" s="81" t="s">
        <v>24440</v>
      </c>
      <c r="D115" s="81" t="s">
        <v>24344</v>
      </c>
      <c r="E115" s="81" t="s">
        <v>7670</v>
      </c>
      <c r="F115" s="91" t="s">
        <v>24743</v>
      </c>
      <c r="G115" s="85" t="s">
        <v>24744</v>
      </c>
      <c r="H115" s="84" t="b">
        <v>1</v>
      </c>
      <c r="I115" s="85">
        <v>1.0</v>
      </c>
      <c r="J115" s="90" t="s">
        <v>13439</v>
      </c>
      <c r="K115" s="85" t="s">
        <v>24745</v>
      </c>
      <c r="L115" s="86">
        <v>97418.0</v>
      </c>
      <c r="M115" s="81" t="s">
        <v>216</v>
      </c>
      <c r="N115" s="81"/>
      <c r="O115" s="83" t="s">
        <v>7667</v>
      </c>
      <c r="P115" s="81"/>
      <c r="Q115" s="46" t="s">
        <v>24746</v>
      </c>
      <c r="R115" s="92">
        <v>33978.0</v>
      </c>
      <c r="S115" s="93" t="s">
        <v>24348</v>
      </c>
      <c r="T115" s="81"/>
      <c r="U115" s="81"/>
      <c r="V115" s="81"/>
      <c r="W115" s="81"/>
      <c r="X115" s="81"/>
      <c r="Y115" s="81"/>
      <c r="Z115" s="81"/>
    </row>
    <row r="116" ht="15.75" customHeight="1">
      <c r="A116" s="81" t="s">
        <v>20225</v>
      </c>
      <c r="B116" s="81" t="s">
        <v>24719</v>
      </c>
      <c r="C116" s="81" t="s">
        <v>24747</v>
      </c>
      <c r="D116" s="85" t="s">
        <v>24334</v>
      </c>
      <c r="E116" s="81"/>
      <c r="F116" s="83" t="s">
        <v>20224</v>
      </c>
      <c r="G116" s="81"/>
      <c r="H116" s="88" t="b">
        <v>1</v>
      </c>
      <c r="I116" s="81"/>
      <c r="J116" s="81"/>
      <c r="K116" s="81" t="s">
        <v>216</v>
      </c>
      <c r="L116" s="86">
        <v>97418.0</v>
      </c>
      <c r="M116" s="81" t="s">
        <v>216</v>
      </c>
      <c r="N116" s="81"/>
      <c r="O116" s="83" t="s">
        <v>2615</v>
      </c>
      <c r="P116" s="81"/>
      <c r="Q116" s="75" t="s">
        <v>24748</v>
      </c>
      <c r="R116" s="81"/>
      <c r="S116" s="87"/>
      <c r="T116" s="81"/>
      <c r="U116" s="81"/>
      <c r="V116" s="81"/>
      <c r="W116" s="81"/>
      <c r="X116" s="81"/>
      <c r="Y116" s="81"/>
      <c r="Z116" s="81"/>
    </row>
    <row r="117" ht="15.75" customHeight="1">
      <c r="A117" s="81" t="s">
        <v>16007</v>
      </c>
      <c r="B117" s="81" t="s">
        <v>24749</v>
      </c>
      <c r="C117" s="81" t="s">
        <v>24750</v>
      </c>
      <c r="D117" s="85" t="s">
        <v>24334</v>
      </c>
      <c r="E117" s="81" t="s">
        <v>5041</v>
      </c>
      <c r="F117" s="91" t="s">
        <v>16004</v>
      </c>
      <c r="G117" s="85" t="s">
        <v>24335</v>
      </c>
      <c r="H117" s="84" t="b">
        <v>1</v>
      </c>
      <c r="I117" s="85">
        <v>2.0</v>
      </c>
      <c r="J117" s="89" t="s">
        <v>12589</v>
      </c>
      <c r="K117" s="85" t="s">
        <v>24751</v>
      </c>
      <c r="L117" s="97">
        <v>97430.0</v>
      </c>
      <c r="M117" s="85" t="s">
        <v>71</v>
      </c>
      <c r="N117" s="81"/>
      <c r="O117" s="83" t="s">
        <v>24752</v>
      </c>
      <c r="P117" s="85" t="s">
        <v>24753</v>
      </c>
      <c r="Q117" s="75" t="s">
        <v>24754</v>
      </c>
      <c r="R117" s="92">
        <v>26728.0</v>
      </c>
      <c r="S117" s="93" t="s">
        <v>24460</v>
      </c>
      <c r="T117" s="81"/>
      <c r="U117" s="81"/>
      <c r="V117" s="81"/>
      <c r="W117" s="81"/>
      <c r="X117" s="81"/>
      <c r="Y117" s="81"/>
      <c r="Z117" s="81"/>
    </row>
    <row r="118" ht="15.75" customHeight="1">
      <c r="A118" s="81" t="s">
        <v>17376</v>
      </c>
      <c r="B118" s="85" t="s">
        <v>24755</v>
      </c>
      <c r="C118" s="81" t="s">
        <v>24462</v>
      </c>
      <c r="D118" s="85" t="s">
        <v>24334</v>
      </c>
      <c r="E118" s="81" t="s">
        <v>8561</v>
      </c>
      <c r="F118" s="83" t="s">
        <v>17371</v>
      </c>
      <c r="G118" s="81"/>
      <c r="H118" s="84" t="b">
        <v>1</v>
      </c>
      <c r="I118" s="85">
        <v>1.0</v>
      </c>
      <c r="J118" s="81"/>
      <c r="K118" s="81" t="s">
        <v>24165</v>
      </c>
      <c r="L118" s="86">
        <v>97418.0</v>
      </c>
      <c r="M118" s="81" t="s">
        <v>216</v>
      </c>
      <c r="N118" s="81"/>
      <c r="O118" s="83" t="s">
        <v>8558</v>
      </c>
      <c r="P118" s="81"/>
      <c r="Q118" s="46" t="s">
        <v>24756</v>
      </c>
      <c r="R118" s="81"/>
      <c r="S118" s="87"/>
      <c r="T118" s="81"/>
      <c r="U118" s="81"/>
      <c r="V118" s="81"/>
      <c r="W118" s="81"/>
      <c r="X118" s="81"/>
      <c r="Y118" s="81"/>
      <c r="Z118" s="81"/>
    </row>
    <row r="119" ht="15.75" customHeight="1">
      <c r="A119" s="81" t="s">
        <v>20658</v>
      </c>
      <c r="B119" s="81" t="s">
        <v>24757</v>
      </c>
      <c r="C119" s="81" t="s">
        <v>24758</v>
      </c>
      <c r="D119" s="85" t="s">
        <v>24334</v>
      </c>
      <c r="E119" s="81" t="s">
        <v>5266</v>
      </c>
      <c r="F119" s="83" t="s">
        <v>20656</v>
      </c>
      <c r="G119" s="81"/>
      <c r="H119" s="84" t="b">
        <v>1</v>
      </c>
      <c r="I119" s="81"/>
      <c r="J119" s="86">
        <v>109.0</v>
      </c>
      <c r="K119" s="81" t="s">
        <v>14252</v>
      </c>
      <c r="L119" s="86">
        <v>97414.0</v>
      </c>
      <c r="M119" s="81" t="s">
        <v>40</v>
      </c>
      <c r="N119" s="81"/>
      <c r="O119" s="83" t="s">
        <v>5260</v>
      </c>
      <c r="P119" s="81"/>
      <c r="Q119" s="75" t="s">
        <v>24759</v>
      </c>
      <c r="R119" s="81"/>
      <c r="S119" s="87"/>
      <c r="T119" s="81"/>
      <c r="U119" s="81"/>
      <c r="V119" s="81"/>
      <c r="W119" s="81"/>
      <c r="X119" s="81"/>
      <c r="Y119" s="81"/>
      <c r="Z119" s="81"/>
    </row>
    <row r="120" ht="15.75" customHeight="1">
      <c r="A120" s="81" t="s">
        <v>18461</v>
      </c>
      <c r="B120" s="85" t="s">
        <v>24760</v>
      </c>
      <c r="C120" s="85" t="s">
        <v>24761</v>
      </c>
      <c r="D120" s="81"/>
      <c r="E120" s="85" t="s">
        <v>24762</v>
      </c>
      <c r="F120" s="83" t="s">
        <v>24763</v>
      </c>
      <c r="G120" s="81"/>
      <c r="H120" s="84" t="b">
        <v>1</v>
      </c>
      <c r="I120" s="85">
        <v>0.0</v>
      </c>
      <c r="J120" s="90" t="s">
        <v>14181</v>
      </c>
      <c r="K120" s="85" t="s">
        <v>24764</v>
      </c>
      <c r="L120" s="86">
        <v>97418.0</v>
      </c>
      <c r="M120" s="81" t="s">
        <v>216</v>
      </c>
      <c r="N120" s="81"/>
      <c r="O120" s="94" t="s">
        <v>24765</v>
      </c>
      <c r="P120" s="81"/>
      <c r="Q120" s="46" t="s">
        <v>24766</v>
      </c>
      <c r="R120" s="81"/>
      <c r="S120" s="87"/>
      <c r="T120" s="81"/>
      <c r="U120" s="81"/>
      <c r="V120" s="81"/>
      <c r="W120" s="81"/>
      <c r="X120" s="81"/>
      <c r="Y120" s="81"/>
      <c r="Z120" s="81"/>
    </row>
    <row r="121" ht="15.75" customHeight="1">
      <c r="A121" s="81" t="s">
        <v>17922</v>
      </c>
      <c r="B121" s="81" t="s">
        <v>124</v>
      </c>
      <c r="C121" s="81" t="s">
        <v>24767</v>
      </c>
      <c r="D121" s="81" t="s">
        <v>24344</v>
      </c>
      <c r="E121" s="81" t="s">
        <v>8196</v>
      </c>
      <c r="F121" s="83" t="s">
        <v>17917</v>
      </c>
      <c r="G121" s="81" t="s">
        <v>24335</v>
      </c>
      <c r="H121" s="84" t="b">
        <v>1</v>
      </c>
      <c r="I121" s="81"/>
      <c r="J121" s="86">
        <v>176.0</v>
      </c>
      <c r="K121" s="81" t="s">
        <v>13877</v>
      </c>
      <c r="L121" s="86">
        <v>97480.0</v>
      </c>
      <c r="M121" s="81" t="s">
        <v>123</v>
      </c>
      <c r="N121" s="81"/>
      <c r="O121" s="83" t="s">
        <v>275</v>
      </c>
      <c r="P121" s="81"/>
      <c r="Q121" s="75" t="s">
        <v>24768</v>
      </c>
      <c r="R121" s="81"/>
      <c r="S121" s="87"/>
      <c r="T121" s="81"/>
      <c r="U121" s="81"/>
      <c r="V121" s="81"/>
      <c r="W121" s="81"/>
      <c r="X121" s="81"/>
      <c r="Y121" s="81"/>
      <c r="Z121" s="81"/>
    </row>
    <row r="122" ht="15.75" customHeight="1">
      <c r="A122" s="81" t="s">
        <v>20554</v>
      </c>
      <c r="B122" s="81" t="s">
        <v>24432</v>
      </c>
      <c r="C122" s="81" t="s">
        <v>24769</v>
      </c>
      <c r="D122" s="81" t="s">
        <v>24344</v>
      </c>
      <c r="E122" s="81" t="s">
        <v>5335</v>
      </c>
      <c r="F122" s="83" t="s">
        <v>20553</v>
      </c>
      <c r="G122" s="81"/>
      <c r="H122" s="84" t="b">
        <v>1</v>
      </c>
      <c r="I122" s="81"/>
      <c r="J122" s="86">
        <v>2.0</v>
      </c>
      <c r="K122" s="81" t="s">
        <v>24770</v>
      </c>
      <c r="L122" s="86">
        <v>97418.0</v>
      </c>
      <c r="M122" s="81" t="s">
        <v>216</v>
      </c>
      <c r="N122" s="81"/>
      <c r="O122" s="83" t="s">
        <v>5331</v>
      </c>
      <c r="P122" s="81"/>
      <c r="Q122" s="75" t="s">
        <v>24771</v>
      </c>
      <c r="R122" s="81"/>
      <c r="S122" s="87"/>
      <c r="T122" s="81"/>
      <c r="U122" s="81"/>
      <c r="V122" s="81"/>
      <c r="W122" s="81"/>
      <c r="X122" s="81"/>
      <c r="Y122" s="81"/>
      <c r="Z122" s="81"/>
    </row>
    <row r="123" ht="15.75" customHeight="1">
      <c r="A123" s="81" t="s">
        <v>20669</v>
      </c>
      <c r="B123" s="81" t="s">
        <v>24757</v>
      </c>
      <c r="C123" s="81" t="s">
        <v>24772</v>
      </c>
      <c r="D123" s="85" t="s">
        <v>24334</v>
      </c>
      <c r="E123" s="81" t="s">
        <v>2437</v>
      </c>
      <c r="F123" s="83" t="s">
        <v>20667</v>
      </c>
      <c r="G123" s="81"/>
      <c r="H123" s="84" t="b">
        <v>1</v>
      </c>
      <c r="I123" s="81"/>
      <c r="J123" s="86">
        <v>8.0</v>
      </c>
      <c r="K123" s="81" t="s">
        <v>24773</v>
      </c>
      <c r="L123" s="86">
        <v>97414.0</v>
      </c>
      <c r="M123" s="81" t="s">
        <v>40</v>
      </c>
      <c r="N123" s="81"/>
      <c r="O123" s="83" t="s">
        <v>2432</v>
      </c>
      <c r="P123" s="81"/>
      <c r="Q123" s="75" t="s">
        <v>24774</v>
      </c>
      <c r="R123" s="81"/>
      <c r="S123" s="87"/>
      <c r="T123" s="81"/>
      <c r="U123" s="81"/>
      <c r="V123" s="81"/>
      <c r="W123" s="81"/>
      <c r="X123" s="81"/>
      <c r="Y123" s="81"/>
      <c r="Z123" s="81"/>
    </row>
    <row r="124" ht="15.75" customHeight="1">
      <c r="A124" s="81" t="s">
        <v>14662</v>
      </c>
      <c r="B124" s="81" t="s">
        <v>24775</v>
      </c>
      <c r="C124" s="81" t="s">
        <v>21</v>
      </c>
      <c r="D124" s="81" t="s">
        <v>24344</v>
      </c>
      <c r="E124" s="81" t="s">
        <v>8412</v>
      </c>
      <c r="F124" s="91" t="s">
        <v>24776</v>
      </c>
      <c r="G124" s="81"/>
      <c r="H124" s="84" t="b">
        <v>1</v>
      </c>
      <c r="I124" s="85">
        <v>1.0</v>
      </c>
      <c r="J124" s="86">
        <v>77.0</v>
      </c>
      <c r="K124" s="81" t="s">
        <v>24777</v>
      </c>
      <c r="L124" s="86">
        <v>97430.0</v>
      </c>
      <c r="M124" s="81" t="s">
        <v>71</v>
      </c>
      <c r="N124" s="81"/>
      <c r="O124" s="83" t="s">
        <v>8408</v>
      </c>
      <c r="P124" s="81"/>
      <c r="Q124" s="46" t="s">
        <v>24778</v>
      </c>
      <c r="R124" s="81"/>
      <c r="S124" s="87"/>
      <c r="T124" s="81"/>
      <c r="U124" s="81"/>
      <c r="V124" s="81"/>
      <c r="W124" s="81"/>
      <c r="X124" s="81"/>
      <c r="Y124" s="81"/>
      <c r="Z124" s="81"/>
    </row>
    <row r="125" ht="15.75" customHeight="1">
      <c r="A125" s="81" t="s">
        <v>17852</v>
      </c>
      <c r="B125" s="81" t="s">
        <v>24779</v>
      </c>
      <c r="C125" s="81" t="s">
        <v>24645</v>
      </c>
      <c r="D125" s="81" t="s">
        <v>24344</v>
      </c>
      <c r="E125" s="81" t="s">
        <v>5364</v>
      </c>
      <c r="F125" s="83" t="s">
        <v>24780</v>
      </c>
      <c r="G125" s="81"/>
      <c r="H125" s="84" t="b">
        <v>1</v>
      </c>
      <c r="I125" s="85">
        <v>1.0</v>
      </c>
      <c r="J125" s="81"/>
      <c r="K125" s="81" t="s">
        <v>33</v>
      </c>
      <c r="L125" s="86">
        <v>97442.0</v>
      </c>
      <c r="M125" s="81" t="s">
        <v>33</v>
      </c>
      <c r="N125" s="81"/>
      <c r="O125" s="83" t="s">
        <v>5361</v>
      </c>
      <c r="P125" s="81"/>
      <c r="Q125" s="46" t="s">
        <v>24781</v>
      </c>
      <c r="R125" s="81"/>
      <c r="S125" s="87"/>
      <c r="T125" s="81"/>
      <c r="U125" s="81"/>
      <c r="V125" s="81"/>
      <c r="W125" s="81"/>
      <c r="X125" s="81"/>
      <c r="Y125" s="81"/>
      <c r="Z125" s="81"/>
    </row>
    <row r="126" ht="15.75" customHeight="1">
      <c r="A126" s="81" t="s">
        <v>17784</v>
      </c>
      <c r="B126" s="81" t="s">
        <v>24782</v>
      </c>
      <c r="C126" s="81" t="s">
        <v>24534</v>
      </c>
      <c r="D126" s="81"/>
      <c r="E126" s="81" t="s">
        <v>1923</v>
      </c>
      <c r="F126" s="83" t="s">
        <v>17780</v>
      </c>
      <c r="G126" s="81"/>
      <c r="H126" s="84" t="b">
        <v>1</v>
      </c>
      <c r="I126" s="81"/>
      <c r="J126" s="81"/>
      <c r="K126" s="81" t="s">
        <v>18125</v>
      </c>
      <c r="L126" s="86">
        <v>97442.0</v>
      </c>
      <c r="M126" s="81" t="s">
        <v>33</v>
      </c>
      <c r="N126" s="81"/>
      <c r="O126" s="83" t="s">
        <v>1919</v>
      </c>
      <c r="P126" s="81"/>
      <c r="Q126" s="75" t="s">
        <v>24783</v>
      </c>
      <c r="R126" s="81"/>
      <c r="S126" s="87"/>
      <c r="T126" s="81"/>
      <c r="U126" s="81"/>
      <c r="V126" s="81"/>
      <c r="W126" s="81"/>
      <c r="X126" s="81"/>
      <c r="Y126" s="81"/>
      <c r="Z126" s="81"/>
    </row>
    <row r="127" ht="15.75" customHeight="1">
      <c r="A127" s="81" t="s">
        <v>18857</v>
      </c>
      <c r="B127" s="81" t="s">
        <v>24782</v>
      </c>
      <c r="C127" s="81" t="s">
        <v>24784</v>
      </c>
      <c r="D127" s="85" t="s">
        <v>24334</v>
      </c>
      <c r="E127" s="81"/>
      <c r="F127" s="83" t="s">
        <v>18853</v>
      </c>
      <c r="G127" s="81"/>
      <c r="H127" s="88" t="b">
        <v>1</v>
      </c>
      <c r="I127" s="81"/>
      <c r="J127" s="86">
        <v>31.0</v>
      </c>
      <c r="K127" s="81" t="s">
        <v>14307</v>
      </c>
      <c r="L127" s="86">
        <v>97480.0</v>
      </c>
      <c r="M127" s="81" t="s">
        <v>123</v>
      </c>
      <c r="N127" s="81" t="s">
        <v>3556</v>
      </c>
      <c r="O127" s="83" t="s">
        <v>8284</v>
      </c>
      <c r="P127" s="81"/>
      <c r="Q127" s="75" t="s">
        <v>24785</v>
      </c>
      <c r="R127" s="81"/>
      <c r="S127" s="87"/>
      <c r="T127" s="81"/>
      <c r="U127" s="81"/>
      <c r="V127" s="81"/>
      <c r="W127" s="81"/>
      <c r="X127" s="81"/>
      <c r="Y127" s="81"/>
      <c r="Z127" s="81"/>
    </row>
    <row r="128" ht="15.75" customHeight="1">
      <c r="A128" s="81" t="s">
        <v>20108</v>
      </c>
      <c r="B128" s="81" t="s">
        <v>24786</v>
      </c>
      <c r="C128" s="81" t="s">
        <v>24577</v>
      </c>
      <c r="D128" s="81" t="s">
        <v>24344</v>
      </c>
      <c r="E128" s="81" t="s">
        <v>2924</v>
      </c>
      <c r="F128" s="83" t="s">
        <v>20107</v>
      </c>
      <c r="G128" s="81"/>
      <c r="H128" s="84" t="b">
        <v>1</v>
      </c>
      <c r="I128" s="81"/>
      <c r="J128" s="86">
        <v>41.0</v>
      </c>
      <c r="K128" s="81" t="s">
        <v>24407</v>
      </c>
      <c r="L128" s="86">
        <v>97430.0</v>
      </c>
      <c r="M128" s="81" t="s">
        <v>71</v>
      </c>
      <c r="N128" s="81" t="s">
        <v>3501</v>
      </c>
      <c r="O128" s="83" t="s">
        <v>2920</v>
      </c>
      <c r="P128" s="81"/>
      <c r="Q128" s="75" t="s">
        <v>24787</v>
      </c>
      <c r="R128" s="81"/>
      <c r="S128" s="87"/>
      <c r="T128" s="81"/>
      <c r="U128" s="81"/>
      <c r="V128" s="81"/>
      <c r="W128" s="81"/>
      <c r="X128" s="81"/>
      <c r="Y128" s="81"/>
      <c r="Z128" s="81"/>
    </row>
    <row r="129" ht="15.75" customHeight="1">
      <c r="A129" s="81" t="s">
        <v>14786</v>
      </c>
      <c r="B129" s="81" t="s">
        <v>24788</v>
      </c>
      <c r="C129" s="81" t="s">
        <v>24789</v>
      </c>
      <c r="D129" s="81" t="s">
        <v>24344</v>
      </c>
      <c r="E129" s="81" t="s">
        <v>8959</v>
      </c>
      <c r="F129" s="83" t="s">
        <v>24790</v>
      </c>
      <c r="G129" s="81"/>
      <c r="H129" s="84" t="b">
        <v>1</v>
      </c>
      <c r="I129" s="85">
        <v>1.0</v>
      </c>
      <c r="J129" s="81"/>
      <c r="K129" s="81" t="s">
        <v>8701</v>
      </c>
      <c r="L129" s="86">
        <v>97414.0</v>
      </c>
      <c r="M129" s="81" t="s">
        <v>40</v>
      </c>
      <c r="N129" s="81"/>
      <c r="O129" s="83" t="s">
        <v>8956</v>
      </c>
      <c r="P129" s="85" t="s">
        <v>24791</v>
      </c>
      <c r="Q129" s="75" t="s">
        <v>24792</v>
      </c>
      <c r="R129" s="81"/>
      <c r="S129" s="87"/>
      <c r="T129" s="81"/>
      <c r="U129" s="81"/>
      <c r="V129" s="81"/>
      <c r="W129" s="81"/>
      <c r="X129" s="81"/>
      <c r="Y129" s="81"/>
      <c r="Z129" s="81"/>
    </row>
    <row r="130" ht="15.75" customHeight="1">
      <c r="A130" s="81" t="s">
        <v>20376</v>
      </c>
      <c r="B130" s="81" t="s">
        <v>24793</v>
      </c>
      <c r="C130" s="81" t="s">
        <v>24794</v>
      </c>
      <c r="D130" s="85" t="s">
        <v>24334</v>
      </c>
      <c r="E130" s="81" t="s">
        <v>4258</v>
      </c>
      <c r="F130" s="83" t="s">
        <v>20373</v>
      </c>
      <c r="G130" s="85" t="s">
        <v>24335</v>
      </c>
      <c r="H130" s="84" t="b">
        <v>1</v>
      </c>
      <c r="I130" s="81"/>
      <c r="J130" s="90" t="s">
        <v>15221</v>
      </c>
      <c r="K130" s="85" t="s">
        <v>24795</v>
      </c>
      <c r="L130" s="86">
        <v>97418.0</v>
      </c>
      <c r="M130" s="81" t="s">
        <v>216</v>
      </c>
      <c r="N130" s="81"/>
      <c r="O130" s="83" t="s">
        <v>4253</v>
      </c>
      <c r="P130" s="81"/>
      <c r="Q130" s="75" t="s">
        <v>24796</v>
      </c>
      <c r="R130" s="81"/>
      <c r="S130" s="93" t="s">
        <v>24348</v>
      </c>
      <c r="T130" s="81"/>
      <c r="U130" s="81"/>
      <c r="V130" s="81"/>
      <c r="W130" s="81"/>
      <c r="X130" s="81"/>
      <c r="Y130" s="81"/>
      <c r="Z130" s="81"/>
    </row>
    <row r="131" ht="15.75" customHeight="1">
      <c r="A131" s="81" t="s">
        <v>19649</v>
      </c>
      <c r="B131" s="81" t="s">
        <v>24797</v>
      </c>
      <c r="C131" s="81"/>
      <c r="D131" s="81"/>
      <c r="E131" s="81" t="s">
        <v>19643</v>
      </c>
      <c r="F131" s="83" t="s">
        <v>24798</v>
      </c>
      <c r="G131" s="81"/>
      <c r="H131" s="88" t="b">
        <v>1</v>
      </c>
      <c r="I131" s="81"/>
      <c r="J131" s="86">
        <v>212.0</v>
      </c>
      <c r="K131" s="81" t="s">
        <v>23063</v>
      </c>
      <c r="L131" s="86">
        <v>97430.0</v>
      </c>
      <c r="M131" s="81" t="s">
        <v>71</v>
      </c>
      <c r="N131" s="81"/>
      <c r="O131" s="83" t="s">
        <v>1344</v>
      </c>
      <c r="P131" s="81"/>
      <c r="Q131" s="75" t="s">
        <v>24799</v>
      </c>
      <c r="R131" s="81"/>
      <c r="S131" s="87"/>
      <c r="T131" s="81"/>
      <c r="U131" s="81"/>
      <c r="V131" s="81"/>
      <c r="W131" s="81"/>
      <c r="X131" s="81"/>
      <c r="Y131" s="81"/>
      <c r="Z131" s="81"/>
    </row>
    <row r="132" ht="15.75" customHeight="1">
      <c r="A132" s="81" t="s">
        <v>18850</v>
      </c>
      <c r="B132" s="81" t="s">
        <v>24800</v>
      </c>
      <c r="C132" s="81" t="s">
        <v>24610</v>
      </c>
      <c r="D132" s="81" t="s">
        <v>24344</v>
      </c>
      <c r="E132" s="81" t="s">
        <v>3073</v>
      </c>
      <c r="F132" s="83" t="s">
        <v>18849</v>
      </c>
      <c r="G132" s="81"/>
      <c r="H132" s="84" t="b">
        <v>0</v>
      </c>
      <c r="I132" s="85">
        <v>0.0</v>
      </c>
      <c r="J132" s="81"/>
      <c r="K132" s="81"/>
      <c r="L132" s="86">
        <v>97480.0</v>
      </c>
      <c r="M132" s="81" t="s">
        <v>123</v>
      </c>
      <c r="N132" s="81"/>
      <c r="O132" s="83" t="s">
        <v>9698</v>
      </c>
      <c r="P132" s="81"/>
      <c r="Q132" s="75" t="s">
        <v>24801</v>
      </c>
      <c r="R132" s="81"/>
      <c r="S132" s="87"/>
      <c r="T132" s="81"/>
      <c r="U132" s="81"/>
      <c r="V132" s="81"/>
      <c r="W132" s="81"/>
      <c r="X132" s="81"/>
      <c r="Y132" s="81"/>
      <c r="Z132" s="81"/>
    </row>
    <row r="133" ht="15.75" customHeight="1">
      <c r="A133" s="81" t="s">
        <v>18135</v>
      </c>
      <c r="B133" s="81" t="s">
        <v>24802</v>
      </c>
      <c r="C133" s="81" t="s">
        <v>24612</v>
      </c>
      <c r="D133" s="81" t="s">
        <v>24344</v>
      </c>
      <c r="E133" s="81" t="s">
        <v>7414</v>
      </c>
      <c r="F133" s="83" t="s">
        <v>18128</v>
      </c>
      <c r="G133" s="85" t="s">
        <v>24335</v>
      </c>
      <c r="H133" s="84" t="b">
        <v>1</v>
      </c>
      <c r="I133" s="85">
        <v>2.0</v>
      </c>
      <c r="J133" s="86">
        <v>28.0</v>
      </c>
      <c r="K133" s="81" t="s">
        <v>24803</v>
      </c>
      <c r="L133" s="86">
        <v>97480.0</v>
      </c>
      <c r="M133" s="81" t="s">
        <v>123</v>
      </c>
      <c r="N133" s="81" t="s">
        <v>8325</v>
      </c>
      <c r="O133" s="94" t="s">
        <v>24804</v>
      </c>
      <c r="P133" s="85" t="s">
        <v>24805</v>
      </c>
      <c r="Q133" s="46" t="s">
        <v>24806</v>
      </c>
      <c r="R133" s="92">
        <v>27580.0</v>
      </c>
      <c r="S133" s="93" t="s">
        <v>24348</v>
      </c>
      <c r="T133" s="81"/>
      <c r="U133" s="81"/>
      <c r="V133" s="81"/>
      <c r="W133" s="81"/>
      <c r="X133" s="81"/>
      <c r="Y133" s="81"/>
      <c r="Z133" s="81"/>
    </row>
    <row r="134" ht="15.75" customHeight="1">
      <c r="A134" s="81" t="s">
        <v>19218</v>
      </c>
      <c r="B134" s="81" t="s">
        <v>24807</v>
      </c>
      <c r="C134" s="81" t="s">
        <v>24808</v>
      </c>
      <c r="D134" s="81" t="s">
        <v>24344</v>
      </c>
      <c r="E134" s="81" t="s">
        <v>19215</v>
      </c>
      <c r="F134" s="83" t="s">
        <v>19216</v>
      </c>
      <c r="G134" s="81"/>
      <c r="H134" s="84" t="b">
        <v>0</v>
      </c>
      <c r="I134" s="81"/>
      <c r="J134" s="86">
        <v>26.0</v>
      </c>
      <c r="K134" s="81" t="s">
        <v>24809</v>
      </c>
      <c r="L134" s="86">
        <v>97480.0</v>
      </c>
      <c r="M134" s="81" t="s">
        <v>123</v>
      </c>
      <c r="N134" s="81"/>
      <c r="O134" s="83" t="s">
        <v>6880</v>
      </c>
      <c r="P134" s="81"/>
      <c r="Q134" s="75" t="s">
        <v>24810</v>
      </c>
      <c r="R134" s="81"/>
      <c r="S134" s="87"/>
      <c r="T134" s="81"/>
      <c r="U134" s="81"/>
      <c r="V134" s="81"/>
      <c r="W134" s="81"/>
      <c r="X134" s="81"/>
      <c r="Y134" s="81"/>
      <c r="Z134" s="81"/>
    </row>
    <row r="135" ht="15.75" customHeight="1">
      <c r="A135" s="81" t="s">
        <v>17610</v>
      </c>
      <c r="B135" s="85" t="s">
        <v>24811</v>
      </c>
      <c r="C135" s="85" t="s">
        <v>24610</v>
      </c>
      <c r="D135" s="81" t="s">
        <v>24344</v>
      </c>
      <c r="E135" s="81" t="s">
        <v>17602</v>
      </c>
      <c r="F135" s="91" t="s">
        <v>17604</v>
      </c>
      <c r="G135" s="85" t="s">
        <v>24420</v>
      </c>
      <c r="H135" s="88" t="b">
        <v>1</v>
      </c>
      <c r="I135" s="85">
        <v>1.0</v>
      </c>
      <c r="J135" s="86">
        <v>57.0</v>
      </c>
      <c r="K135" s="81" t="s">
        <v>17205</v>
      </c>
      <c r="L135" s="86">
        <v>97442.0</v>
      </c>
      <c r="M135" s="81" t="s">
        <v>33</v>
      </c>
      <c r="N135" s="81"/>
      <c r="O135" s="83" t="s">
        <v>5249</v>
      </c>
      <c r="P135" s="81"/>
      <c r="Q135" s="46" t="s">
        <v>24812</v>
      </c>
      <c r="R135" s="81"/>
      <c r="S135" s="87"/>
      <c r="T135" s="81"/>
      <c r="U135" s="81"/>
      <c r="V135" s="81"/>
      <c r="W135" s="81"/>
      <c r="X135" s="81"/>
      <c r="Y135" s="81"/>
      <c r="Z135" s="81"/>
    </row>
    <row r="136" ht="15.75" customHeight="1">
      <c r="A136" s="81" t="s">
        <v>17797</v>
      </c>
      <c r="B136" s="81" t="s">
        <v>24800</v>
      </c>
      <c r="C136" s="81" t="s">
        <v>24813</v>
      </c>
      <c r="D136" s="81" t="s">
        <v>24344</v>
      </c>
      <c r="E136" s="81" t="s">
        <v>7893</v>
      </c>
      <c r="F136" s="83" t="s">
        <v>18074</v>
      </c>
      <c r="G136" s="81"/>
      <c r="H136" s="84" t="b">
        <v>1</v>
      </c>
      <c r="I136" s="85">
        <v>2.0</v>
      </c>
      <c r="J136" s="86">
        <v>112.0</v>
      </c>
      <c r="K136" s="81" t="s">
        <v>15839</v>
      </c>
      <c r="L136" s="86">
        <v>97442.0</v>
      </c>
      <c r="M136" s="81" t="s">
        <v>33</v>
      </c>
      <c r="N136" s="81"/>
      <c r="O136" s="94" t="s">
        <v>24814</v>
      </c>
      <c r="P136" s="81"/>
      <c r="Q136" s="46" t="s">
        <v>24815</v>
      </c>
      <c r="R136" s="81"/>
      <c r="S136" s="87"/>
      <c r="T136" s="81"/>
      <c r="U136" s="81"/>
      <c r="V136" s="81"/>
      <c r="W136" s="81"/>
      <c r="X136" s="81"/>
      <c r="Y136" s="81"/>
      <c r="Z136" s="81"/>
    </row>
    <row r="137" ht="15.75" customHeight="1">
      <c r="A137" s="81" t="s">
        <v>17729</v>
      </c>
      <c r="B137" s="81" t="s">
        <v>24807</v>
      </c>
      <c r="C137" s="81" t="s">
        <v>24816</v>
      </c>
      <c r="D137" s="85" t="s">
        <v>24334</v>
      </c>
      <c r="E137" s="82" t="s">
        <v>17723</v>
      </c>
      <c r="F137" s="83" t="s">
        <v>24817</v>
      </c>
      <c r="G137" s="81"/>
      <c r="H137" s="88" t="b">
        <v>1</v>
      </c>
      <c r="I137" s="85">
        <v>1.0</v>
      </c>
      <c r="J137" s="81" t="s">
        <v>24818</v>
      </c>
      <c r="K137" s="81" t="s">
        <v>24819</v>
      </c>
      <c r="L137" s="86">
        <v>97442.0</v>
      </c>
      <c r="M137" s="81" t="s">
        <v>33</v>
      </c>
      <c r="N137" s="81"/>
      <c r="O137" s="83" t="s">
        <v>5728</v>
      </c>
      <c r="P137" s="81"/>
      <c r="Q137" s="62" t="s">
        <v>24820</v>
      </c>
      <c r="R137" s="81"/>
      <c r="S137" s="87"/>
      <c r="T137" s="81"/>
      <c r="U137" s="81"/>
      <c r="V137" s="81"/>
      <c r="W137" s="81"/>
      <c r="X137" s="81"/>
      <c r="Y137" s="81"/>
      <c r="Z137" s="81"/>
    </row>
    <row r="138" ht="15.75" customHeight="1">
      <c r="A138" s="81" t="s">
        <v>17974</v>
      </c>
      <c r="B138" s="81" t="s">
        <v>24807</v>
      </c>
      <c r="C138" s="81" t="s">
        <v>24821</v>
      </c>
      <c r="D138" s="85" t="s">
        <v>24334</v>
      </c>
      <c r="E138" s="81" t="s">
        <v>6464</v>
      </c>
      <c r="F138" s="83" t="s">
        <v>17970</v>
      </c>
      <c r="G138" s="81"/>
      <c r="H138" s="84" t="b">
        <v>1</v>
      </c>
      <c r="I138" s="81"/>
      <c r="J138" s="81" t="s">
        <v>17966</v>
      </c>
      <c r="K138" s="81" t="s">
        <v>17978</v>
      </c>
      <c r="L138" s="86">
        <v>97442.0</v>
      </c>
      <c r="M138" s="81" t="s">
        <v>33</v>
      </c>
      <c r="N138" s="81" t="s">
        <v>16067</v>
      </c>
      <c r="O138" s="83" t="s">
        <v>24822</v>
      </c>
      <c r="P138" s="81"/>
      <c r="Q138" s="75" t="s">
        <v>24823</v>
      </c>
      <c r="R138" s="81"/>
      <c r="S138" s="87"/>
      <c r="T138" s="81"/>
      <c r="U138" s="81"/>
      <c r="V138" s="81"/>
      <c r="W138" s="81"/>
      <c r="X138" s="81"/>
      <c r="Y138" s="81"/>
      <c r="Z138" s="81"/>
    </row>
    <row r="139" ht="15.75" customHeight="1">
      <c r="A139" s="81" t="s">
        <v>16774</v>
      </c>
      <c r="B139" s="81" t="s">
        <v>24807</v>
      </c>
      <c r="C139" s="81" t="s">
        <v>24824</v>
      </c>
      <c r="D139" s="85" t="s">
        <v>24334</v>
      </c>
      <c r="E139" s="81" t="s">
        <v>6609</v>
      </c>
      <c r="F139" s="83" t="s">
        <v>16769</v>
      </c>
      <c r="G139" s="81"/>
      <c r="H139" s="84" t="b">
        <v>1</v>
      </c>
      <c r="I139" s="81"/>
      <c r="J139" s="86">
        <v>19.0</v>
      </c>
      <c r="K139" s="81" t="s">
        <v>17777</v>
      </c>
      <c r="L139" s="86">
        <v>97442.0</v>
      </c>
      <c r="M139" s="81" t="s">
        <v>33</v>
      </c>
      <c r="N139" s="81"/>
      <c r="O139" s="83" t="s">
        <v>6605</v>
      </c>
      <c r="P139" s="81"/>
      <c r="Q139" s="75" t="s">
        <v>24825</v>
      </c>
      <c r="R139" s="81"/>
      <c r="S139" s="87"/>
      <c r="T139" s="81"/>
      <c r="U139" s="81"/>
      <c r="V139" s="81"/>
      <c r="W139" s="81"/>
      <c r="X139" s="81"/>
      <c r="Y139" s="81"/>
      <c r="Z139" s="81"/>
    </row>
    <row r="140" ht="15.75" customHeight="1">
      <c r="A140" s="81" t="s">
        <v>19690</v>
      </c>
      <c r="B140" s="81" t="s">
        <v>24826</v>
      </c>
      <c r="C140" s="81" t="s">
        <v>24827</v>
      </c>
      <c r="D140" s="85" t="s">
        <v>24334</v>
      </c>
      <c r="E140" s="81" t="s">
        <v>4766</v>
      </c>
      <c r="F140" s="83" t="s">
        <v>19688</v>
      </c>
      <c r="G140" s="81"/>
      <c r="H140" s="84" t="b">
        <v>1</v>
      </c>
      <c r="I140" s="85">
        <v>1.0</v>
      </c>
      <c r="J140" s="86">
        <v>120.0</v>
      </c>
      <c r="K140" s="81" t="s">
        <v>24508</v>
      </c>
      <c r="L140" s="86">
        <v>97430.0</v>
      </c>
      <c r="M140" s="81" t="s">
        <v>71</v>
      </c>
      <c r="N140" s="81"/>
      <c r="O140" s="83" t="s">
        <v>4758</v>
      </c>
      <c r="P140" s="81"/>
      <c r="Q140" s="46" t="s">
        <v>24828</v>
      </c>
      <c r="R140" s="81"/>
      <c r="S140" s="87"/>
      <c r="T140" s="81"/>
      <c r="U140" s="81"/>
      <c r="V140" s="81"/>
      <c r="W140" s="81"/>
      <c r="X140" s="81"/>
      <c r="Y140" s="81"/>
      <c r="Z140" s="81"/>
    </row>
    <row r="141" ht="15.75" customHeight="1">
      <c r="A141" s="81" t="s">
        <v>15001</v>
      </c>
      <c r="B141" s="81" t="s">
        <v>24829</v>
      </c>
      <c r="C141" s="81" t="s">
        <v>24739</v>
      </c>
      <c r="D141" s="81" t="s">
        <v>24344</v>
      </c>
      <c r="E141" s="81" t="s">
        <v>10174</v>
      </c>
      <c r="F141" s="83" t="s">
        <v>14996</v>
      </c>
      <c r="G141" s="81"/>
      <c r="H141" s="84" t="b">
        <v>1</v>
      </c>
      <c r="I141" s="81"/>
      <c r="J141" s="81"/>
      <c r="K141" s="81" t="s">
        <v>9102</v>
      </c>
      <c r="L141" s="86">
        <v>97480.0</v>
      </c>
      <c r="M141" s="81" t="s">
        <v>123</v>
      </c>
      <c r="N141" s="81"/>
      <c r="O141" s="83" t="s">
        <v>10171</v>
      </c>
      <c r="P141" s="81"/>
      <c r="Q141" s="75" t="s">
        <v>24830</v>
      </c>
      <c r="R141" s="81"/>
      <c r="S141" s="87"/>
      <c r="T141" s="81"/>
      <c r="U141" s="81"/>
      <c r="V141" s="81"/>
      <c r="W141" s="81"/>
      <c r="X141" s="81"/>
      <c r="Y141" s="81"/>
      <c r="Z141" s="81"/>
    </row>
    <row r="142" ht="15.75" customHeight="1">
      <c r="A142" s="81" t="s">
        <v>20294</v>
      </c>
      <c r="B142" s="81" t="s">
        <v>24831</v>
      </c>
      <c r="C142" s="81" t="s">
        <v>149</v>
      </c>
      <c r="D142" s="81" t="s">
        <v>24344</v>
      </c>
      <c r="E142" s="81" t="s">
        <v>7682</v>
      </c>
      <c r="F142" s="83" t="s">
        <v>20293</v>
      </c>
      <c r="G142" s="81"/>
      <c r="H142" s="84" t="b">
        <v>1</v>
      </c>
      <c r="I142" s="81"/>
      <c r="J142" s="81"/>
      <c r="K142" s="81" t="s">
        <v>71</v>
      </c>
      <c r="L142" s="86">
        <v>97430.0</v>
      </c>
      <c r="M142" s="81" t="s">
        <v>71</v>
      </c>
      <c r="N142" s="81"/>
      <c r="O142" s="83" t="s">
        <v>7678</v>
      </c>
      <c r="P142" s="81"/>
      <c r="Q142" s="75" t="s">
        <v>24832</v>
      </c>
      <c r="R142" s="81"/>
      <c r="S142" s="87"/>
      <c r="T142" s="81"/>
      <c r="U142" s="81"/>
      <c r="V142" s="81"/>
      <c r="W142" s="81"/>
      <c r="X142" s="81"/>
      <c r="Y142" s="81"/>
      <c r="Z142" s="81"/>
    </row>
    <row r="143" ht="15.75" customHeight="1">
      <c r="A143" s="81" t="s">
        <v>12553</v>
      </c>
      <c r="B143" s="81" t="s">
        <v>24833</v>
      </c>
      <c r="C143" s="81" t="s">
        <v>24834</v>
      </c>
      <c r="D143" s="81" t="s">
        <v>24344</v>
      </c>
      <c r="E143" s="81" t="s">
        <v>3771</v>
      </c>
      <c r="F143" s="83" t="s">
        <v>12550</v>
      </c>
      <c r="G143" s="81"/>
      <c r="H143" s="84" t="b">
        <v>1</v>
      </c>
      <c r="I143" s="85">
        <v>2.0</v>
      </c>
      <c r="J143" s="86">
        <v>44.0</v>
      </c>
      <c r="K143" s="81" t="s">
        <v>24835</v>
      </c>
      <c r="L143" s="86">
        <v>97480.0</v>
      </c>
      <c r="M143" s="81" t="s">
        <v>123</v>
      </c>
      <c r="N143" s="81" t="s">
        <v>8373</v>
      </c>
      <c r="O143" s="83" t="s">
        <v>24836</v>
      </c>
      <c r="P143" s="81"/>
      <c r="Q143" s="46" t="s">
        <v>24837</v>
      </c>
      <c r="R143" s="81"/>
      <c r="S143" s="87"/>
      <c r="T143" s="81"/>
      <c r="U143" s="81"/>
      <c r="V143" s="81"/>
      <c r="W143" s="81"/>
      <c r="X143" s="81"/>
      <c r="Y143" s="81"/>
      <c r="Z143" s="81"/>
    </row>
    <row r="144" ht="15.75" customHeight="1">
      <c r="A144" s="81" t="s">
        <v>18981</v>
      </c>
      <c r="B144" s="81" t="s">
        <v>165</v>
      </c>
      <c r="C144" s="81" t="s">
        <v>24838</v>
      </c>
      <c r="D144" s="81" t="s">
        <v>24344</v>
      </c>
      <c r="E144" s="81" t="s">
        <v>9265</v>
      </c>
      <c r="F144" s="91" t="s">
        <v>23547</v>
      </c>
      <c r="G144" s="85" t="s">
        <v>24420</v>
      </c>
      <c r="H144" s="84" t="b">
        <v>1</v>
      </c>
      <c r="I144" s="85">
        <v>1.0</v>
      </c>
      <c r="J144" s="90" t="s">
        <v>23362</v>
      </c>
      <c r="K144" s="85" t="s">
        <v>23545</v>
      </c>
      <c r="L144" s="86">
        <v>97414.0</v>
      </c>
      <c r="M144" s="81" t="s">
        <v>40</v>
      </c>
      <c r="N144" s="81"/>
      <c r="O144" s="94" t="s">
        <v>24839</v>
      </c>
      <c r="P144" s="81"/>
      <c r="Q144" s="46" t="s">
        <v>24840</v>
      </c>
      <c r="R144" s="81"/>
      <c r="S144" s="87"/>
      <c r="T144" s="81"/>
      <c r="U144" s="81"/>
      <c r="V144" s="81"/>
      <c r="W144" s="81"/>
      <c r="X144" s="81"/>
      <c r="Y144" s="81"/>
      <c r="Z144" s="81"/>
    </row>
    <row r="145" ht="15.75" customHeight="1">
      <c r="A145" s="81"/>
      <c r="B145" s="81"/>
      <c r="C145" s="81"/>
      <c r="D145" s="85"/>
      <c r="E145" s="81"/>
      <c r="F145" s="83"/>
      <c r="G145" s="81"/>
      <c r="H145" s="84"/>
      <c r="I145" s="81"/>
      <c r="J145" s="86"/>
      <c r="K145" s="81"/>
      <c r="L145" s="86"/>
      <c r="M145" s="81"/>
      <c r="N145" s="81"/>
      <c r="O145" s="83"/>
      <c r="P145" s="81"/>
      <c r="Q145" s="75"/>
      <c r="R145" s="81"/>
      <c r="S145" s="87"/>
      <c r="T145" s="81"/>
      <c r="U145" s="81"/>
      <c r="V145" s="81"/>
      <c r="W145" s="81"/>
      <c r="X145" s="81"/>
      <c r="Y145" s="81"/>
      <c r="Z145" s="81"/>
    </row>
    <row r="146" ht="15.75" customHeight="1">
      <c r="A146" s="81" t="s">
        <v>12300</v>
      </c>
      <c r="B146" s="81" t="s">
        <v>165</v>
      </c>
      <c r="C146" s="81" t="s">
        <v>24841</v>
      </c>
      <c r="D146" s="85" t="s">
        <v>24334</v>
      </c>
      <c r="E146" s="81" t="s">
        <v>3833</v>
      </c>
      <c r="F146" s="83" t="s">
        <v>12297</v>
      </c>
      <c r="G146" s="81"/>
      <c r="H146" s="84" t="b">
        <v>1</v>
      </c>
      <c r="I146" s="85">
        <v>2.0</v>
      </c>
      <c r="J146" s="81"/>
      <c r="K146" s="81" t="s">
        <v>13539</v>
      </c>
      <c r="L146" s="86">
        <v>97418.0</v>
      </c>
      <c r="M146" s="81" t="s">
        <v>216</v>
      </c>
      <c r="N146" s="81"/>
      <c r="O146" s="83" t="s">
        <v>24842</v>
      </c>
      <c r="P146" s="81"/>
      <c r="Q146" s="46" t="s">
        <v>24843</v>
      </c>
      <c r="R146" s="81"/>
      <c r="S146" s="87"/>
      <c r="T146" s="81"/>
      <c r="U146" s="81"/>
      <c r="V146" s="81"/>
      <c r="W146" s="81"/>
      <c r="X146" s="81"/>
      <c r="Y146" s="81"/>
      <c r="Z146" s="81"/>
    </row>
    <row r="147" ht="15.75" customHeight="1">
      <c r="A147" s="81" t="s">
        <v>16570</v>
      </c>
      <c r="B147" s="81" t="s">
        <v>24844</v>
      </c>
      <c r="C147" s="81" t="s">
        <v>24845</v>
      </c>
      <c r="D147" s="85" t="s">
        <v>24334</v>
      </c>
      <c r="E147" s="81" t="s">
        <v>3188</v>
      </c>
      <c r="F147" s="83" t="s">
        <v>16569</v>
      </c>
      <c r="G147" s="81"/>
      <c r="H147" s="84" t="b">
        <v>1</v>
      </c>
      <c r="I147" s="81"/>
      <c r="J147" s="81"/>
      <c r="K147" s="81" t="s">
        <v>24846</v>
      </c>
      <c r="L147" s="86">
        <v>97430.0</v>
      </c>
      <c r="M147" s="81" t="s">
        <v>71</v>
      </c>
      <c r="N147" s="81"/>
      <c r="O147" s="83" t="s">
        <v>3185</v>
      </c>
      <c r="P147" s="81"/>
      <c r="Q147" s="75" t="s">
        <v>24847</v>
      </c>
      <c r="R147" s="81"/>
      <c r="S147" s="87"/>
      <c r="T147" s="81"/>
      <c r="U147" s="81"/>
      <c r="V147" s="81"/>
      <c r="W147" s="81"/>
      <c r="X147" s="81"/>
      <c r="Y147" s="81"/>
      <c r="Z147" s="81"/>
    </row>
    <row r="148" ht="15.75" customHeight="1">
      <c r="A148" s="81" t="s">
        <v>15236</v>
      </c>
      <c r="B148" s="81" t="s">
        <v>165</v>
      </c>
      <c r="C148" s="81" t="s">
        <v>24848</v>
      </c>
      <c r="D148" s="81" t="s">
        <v>24344</v>
      </c>
      <c r="E148" s="82" t="s">
        <v>15233</v>
      </c>
      <c r="F148" s="91" t="s">
        <v>15234</v>
      </c>
      <c r="G148" s="85" t="s">
        <v>24335</v>
      </c>
      <c r="H148" s="88" t="b">
        <v>1</v>
      </c>
      <c r="I148" s="85">
        <v>1.0</v>
      </c>
      <c r="J148" s="86">
        <v>8.0</v>
      </c>
      <c r="K148" s="85" t="s">
        <v>24849</v>
      </c>
      <c r="L148" s="86">
        <v>97414.0</v>
      </c>
      <c r="M148" s="81" t="s">
        <v>40</v>
      </c>
      <c r="N148" s="81"/>
      <c r="O148" s="83" t="s">
        <v>9502</v>
      </c>
      <c r="P148" s="81"/>
      <c r="Q148" s="46" t="s">
        <v>24850</v>
      </c>
      <c r="R148" s="81"/>
      <c r="S148" s="87"/>
      <c r="T148" s="81"/>
      <c r="U148" s="81"/>
      <c r="V148" s="81"/>
      <c r="W148" s="81"/>
      <c r="X148" s="81"/>
      <c r="Y148" s="81"/>
      <c r="Z148" s="81"/>
    </row>
    <row r="149" ht="15.75" customHeight="1">
      <c r="A149" s="81" t="s">
        <v>17618</v>
      </c>
      <c r="B149" s="81" t="s">
        <v>24851</v>
      </c>
      <c r="C149" s="81" t="s">
        <v>24852</v>
      </c>
      <c r="D149" s="81" t="s">
        <v>24344</v>
      </c>
      <c r="E149" s="81" t="s">
        <v>2199</v>
      </c>
      <c r="F149" s="83" t="s">
        <v>17616</v>
      </c>
      <c r="G149" s="81"/>
      <c r="H149" s="84" t="b">
        <v>0</v>
      </c>
      <c r="I149" s="85">
        <v>0.0</v>
      </c>
      <c r="J149" s="86">
        <v>36.0</v>
      </c>
      <c r="K149" s="81" t="s">
        <v>24853</v>
      </c>
      <c r="L149" s="86">
        <v>97414.0</v>
      </c>
      <c r="M149" s="81" t="s">
        <v>40</v>
      </c>
      <c r="N149" s="81"/>
      <c r="O149" s="83" t="s">
        <v>2193</v>
      </c>
      <c r="P149" s="81"/>
      <c r="Q149" s="75" t="s">
        <v>24854</v>
      </c>
      <c r="R149" s="81"/>
      <c r="S149" s="87"/>
      <c r="T149" s="81"/>
      <c r="U149" s="81"/>
      <c r="V149" s="81"/>
      <c r="W149" s="81"/>
      <c r="X149" s="81"/>
      <c r="Y149" s="81"/>
      <c r="Z149" s="81"/>
    </row>
    <row r="150" ht="15.75" customHeight="1">
      <c r="A150" s="81" t="s">
        <v>16417</v>
      </c>
      <c r="B150" s="81" t="s">
        <v>24855</v>
      </c>
      <c r="C150" s="81" t="s">
        <v>21</v>
      </c>
      <c r="D150" s="81" t="s">
        <v>24344</v>
      </c>
      <c r="E150" s="81" t="s">
        <v>3236</v>
      </c>
      <c r="F150" s="83" t="s">
        <v>16416</v>
      </c>
      <c r="G150" s="81"/>
      <c r="H150" s="84" t="b">
        <v>1</v>
      </c>
      <c r="I150" s="85">
        <v>1.0</v>
      </c>
      <c r="J150" s="86">
        <v>522.0</v>
      </c>
      <c r="K150" s="81" t="s">
        <v>21975</v>
      </c>
      <c r="L150" s="86">
        <v>97430.0</v>
      </c>
      <c r="M150" s="81" t="s">
        <v>71</v>
      </c>
      <c r="N150" s="81"/>
      <c r="O150" s="83" t="s">
        <v>3233</v>
      </c>
      <c r="P150" s="85" t="s">
        <v>24856</v>
      </c>
      <c r="Q150" s="46" t="s">
        <v>24857</v>
      </c>
      <c r="R150" s="81"/>
      <c r="S150" s="87"/>
      <c r="T150" s="81"/>
      <c r="U150" s="81"/>
      <c r="V150" s="81"/>
      <c r="W150" s="81"/>
      <c r="X150" s="81"/>
      <c r="Y150" s="81"/>
      <c r="Z150" s="81"/>
    </row>
    <row r="151" ht="15.75" customHeight="1">
      <c r="A151" s="81" t="s">
        <v>19736</v>
      </c>
      <c r="B151" s="81" t="s">
        <v>24858</v>
      </c>
      <c r="C151" s="81" t="s">
        <v>24859</v>
      </c>
      <c r="D151" s="85" t="s">
        <v>24334</v>
      </c>
      <c r="E151" s="81" t="s">
        <v>8968</v>
      </c>
      <c r="F151" s="83" t="s">
        <v>19735</v>
      </c>
      <c r="G151" s="81"/>
      <c r="H151" s="84" t="b">
        <v>1</v>
      </c>
      <c r="I151" s="81"/>
      <c r="J151" s="81"/>
      <c r="K151" s="81" t="s">
        <v>40</v>
      </c>
      <c r="L151" s="86">
        <v>97414.0</v>
      </c>
      <c r="M151" s="81" t="s">
        <v>40</v>
      </c>
      <c r="N151" s="81"/>
      <c r="O151" s="83" t="s">
        <v>8965</v>
      </c>
      <c r="P151" s="81"/>
      <c r="Q151" s="75" t="s">
        <v>24860</v>
      </c>
      <c r="R151" s="81"/>
      <c r="S151" s="87"/>
      <c r="T151" s="81"/>
      <c r="U151" s="81"/>
      <c r="V151" s="81"/>
      <c r="W151" s="81"/>
      <c r="X151" s="81"/>
      <c r="Y151" s="81"/>
      <c r="Z151" s="81"/>
    </row>
    <row r="152" ht="15.75" customHeight="1">
      <c r="A152" s="81" t="s">
        <v>20268</v>
      </c>
      <c r="B152" s="81" t="s">
        <v>24861</v>
      </c>
      <c r="C152" s="81" t="s">
        <v>24440</v>
      </c>
      <c r="D152" s="81" t="s">
        <v>24344</v>
      </c>
      <c r="E152" s="81" t="s">
        <v>8049</v>
      </c>
      <c r="F152" s="83" t="s">
        <v>20266</v>
      </c>
      <c r="G152" s="81"/>
      <c r="H152" s="84" t="b">
        <v>1</v>
      </c>
      <c r="I152" s="81"/>
      <c r="J152" s="86">
        <v>32.0</v>
      </c>
      <c r="K152" s="81" t="s">
        <v>24862</v>
      </c>
      <c r="L152" s="86">
        <v>97480.0</v>
      </c>
      <c r="M152" s="81" t="s">
        <v>123</v>
      </c>
      <c r="N152" s="81"/>
      <c r="O152" s="83" t="s">
        <v>8044</v>
      </c>
      <c r="P152" s="81"/>
      <c r="Q152" s="75" t="s">
        <v>24863</v>
      </c>
      <c r="R152" s="81"/>
      <c r="S152" s="87"/>
      <c r="T152" s="81"/>
      <c r="U152" s="81"/>
      <c r="V152" s="81"/>
      <c r="W152" s="81"/>
      <c r="X152" s="81"/>
      <c r="Y152" s="81"/>
      <c r="Z152" s="81"/>
    </row>
    <row r="153" ht="15.75" customHeight="1">
      <c r="A153" s="81" t="s">
        <v>18303</v>
      </c>
      <c r="B153" s="81" t="s">
        <v>24864</v>
      </c>
      <c r="C153" s="81" t="s">
        <v>24506</v>
      </c>
      <c r="D153" s="81" t="s">
        <v>24344</v>
      </c>
      <c r="E153" s="85" t="s">
        <v>9963</v>
      </c>
      <c r="F153" s="83" t="s">
        <v>16643</v>
      </c>
      <c r="G153" s="81"/>
      <c r="H153" s="84" t="b">
        <v>1</v>
      </c>
      <c r="I153" s="85">
        <v>1.0</v>
      </c>
      <c r="J153" s="81" t="s">
        <v>16640</v>
      </c>
      <c r="K153" s="81" t="s">
        <v>16641</v>
      </c>
      <c r="L153" s="86">
        <v>97480.0</v>
      </c>
      <c r="M153" s="81" t="s">
        <v>123</v>
      </c>
      <c r="N153" s="81" t="s">
        <v>206</v>
      </c>
      <c r="O153" s="83" t="s">
        <v>24865</v>
      </c>
      <c r="P153" s="81"/>
      <c r="Q153" s="75" t="s">
        <v>24866</v>
      </c>
      <c r="R153" s="81"/>
      <c r="S153" s="87"/>
      <c r="T153" s="81"/>
      <c r="U153" s="81"/>
      <c r="V153" s="81"/>
      <c r="W153" s="81"/>
      <c r="X153" s="81"/>
      <c r="Y153" s="81"/>
      <c r="Z153" s="81"/>
    </row>
    <row r="154" ht="15.75" customHeight="1">
      <c r="A154" s="81" t="s">
        <v>13941</v>
      </c>
      <c r="B154" s="81" t="s">
        <v>24867</v>
      </c>
      <c r="C154" s="81" t="s">
        <v>24868</v>
      </c>
      <c r="D154" s="85" t="s">
        <v>24334</v>
      </c>
      <c r="E154" s="81" t="s">
        <v>13935</v>
      </c>
      <c r="F154" s="83" t="s">
        <v>13936</v>
      </c>
      <c r="G154" s="81"/>
      <c r="H154" s="88" t="b">
        <v>1</v>
      </c>
      <c r="I154" s="81"/>
      <c r="J154" s="81"/>
      <c r="K154" s="81" t="s">
        <v>19614</v>
      </c>
      <c r="L154" s="86">
        <v>97480.0</v>
      </c>
      <c r="M154" s="81" t="s">
        <v>123</v>
      </c>
      <c r="N154" s="81"/>
      <c r="O154" s="83" t="s">
        <v>24869</v>
      </c>
      <c r="P154" s="81"/>
      <c r="Q154" s="75" t="s">
        <v>24870</v>
      </c>
      <c r="R154" s="81"/>
      <c r="S154" s="87"/>
      <c r="T154" s="81"/>
      <c r="U154" s="81"/>
      <c r="V154" s="81"/>
      <c r="W154" s="81"/>
      <c r="X154" s="81"/>
      <c r="Y154" s="81"/>
      <c r="Z154" s="81"/>
    </row>
    <row r="155" ht="15.75" customHeight="1">
      <c r="A155" s="81" t="s">
        <v>18361</v>
      </c>
      <c r="B155" s="81" t="s">
        <v>24871</v>
      </c>
      <c r="C155" s="81" t="s">
        <v>24872</v>
      </c>
      <c r="D155" s="81" t="s">
        <v>24344</v>
      </c>
      <c r="E155" s="81" t="s">
        <v>8649</v>
      </c>
      <c r="F155" s="91" t="s">
        <v>18357</v>
      </c>
      <c r="G155" s="81"/>
      <c r="H155" s="84" t="b">
        <v>1</v>
      </c>
      <c r="I155" s="85">
        <v>1.0</v>
      </c>
      <c r="J155" s="86">
        <v>170.0</v>
      </c>
      <c r="K155" s="81" t="s">
        <v>24873</v>
      </c>
      <c r="L155" s="86">
        <v>97418.0</v>
      </c>
      <c r="M155" s="81" t="s">
        <v>216</v>
      </c>
      <c r="N155" s="81"/>
      <c r="O155" s="83" t="s">
        <v>8644</v>
      </c>
      <c r="P155" s="81"/>
      <c r="Q155" s="46" t="s">
        <v>24874</v>
      </c>
      <c r="R155" s="81"/>
      <c r="S155" s="87"/>
      <c r="T155" s="81"/>
      <c r="U155" s="81"/>
      <c r="V155" s="81"/>
      <c r="W155" s="81"/>
      <c r="X155" s="81"/>
      <c r="Y155" s="81"/>
      <c r="Z155" s="81"/>
    </row>
    <row r="156" ht="15.75" customHeight="1">
      <c r="A156" s="81" t="s">
        <v>13371</v>
      </c>
      <c r="B156" s="81" t="s">
        <v>24875</v>
      </c>
      <c r="C156" s="81" t="s">
        <v>24876</v>
      </c>
      <c r="D156" s="81" t="s">
        <v>24344</v>
      </c>
      <c r="E156" s="81" t="s">
        <v>2224</v>
      </c>
      <c r="F156" s="83" t="s">
        <v>13369</v>
      </c>
      <c r="G156" s="81"/>
      <c r="H156" s="84" t="b">
        <v>1</v>
      </c>
      <c r="I156" s="81"/>
      <c r="J156" s="86">
        <v>10.0</v>
      </c>
      <c r="K156" s="81" t="s">
        <v>24877</v>
      </c>
      <c r="L156" s="86">
        <v>97480.0</v>
      </c>
      <c r="M156" s="81" t="s">
        <v>123</v>
      </c>
      <c r="N156" s="81"/>
      <c r="O156" s="83" t="s">
        <v>24878</v>
      </c>
      <c r="P156" s="81"/>
      <c r="Q156" s="75" t="s">
        <v>24879</v>
      </c>
      <c r="R156" s="81"/>
      <c r="S156" s="87"/>
      <c r="T156" s="81"/>
      <c r="U156" s="81"/>
      <c r="V156" s="81"/>
      <c r="W156" s="81"/>
      <c r="X156" s="81"/>
      <c r="Y156" s="81"/>
      <c r="Z156" s="81"/>
    </row>
    <row r="157" ht="15.75" customHeight="1">
      <c r="A157" s="81" t="s">
        <v>13476</v>
      </c>
      <c r="B157" s="81" t="s">
        <v>24880</v>
      </c>
      <c r="C157" s="81" t="s">
        <v>24881</v>
      </c>
      <c r="D157" s="85" t="s">
        <v>24334</v>
      </c>
      <c r="E157" s="81" t="s">
        <v>13469</v>
      </c>
      <c r="F157" s="83" t="s">
        <v>13471</v>
      </c>
      <c r="G157" s="81"/>
      <c r="H157" s="88" t="b">
        <v>1</v>
      </c>
      <c r="I157" s="85">
        <v>1.0</v>
      </c>
      <c r="J157" s="86">
        <v>9.0</v>
      </c>
      <c r="K157" s="81" t="s">
        <v>24708</v>
      </c>
      <c r="L157" s="86">
        <v>97480.0</v>
      </c>
      <c r="M157" s="81" t="s">
        <v>123</v>
      </c>
      <c r="N157" s="81"/>
      <c r="O157" s="83" t="s">
        <v>9199</v>
      </c>
      <c r="P157" s="81"/>
      <c r="Q157" s="46" t="s">
        <v>24882</v>
      </c>
      <c r="R157" s="81"/>
      <c r="S157" s="87"/>
      <c r="T157" s="81"/>
      <c r="U157" s="81"/>
      <c r="V157" s="81"/>
      <c r="W157" s="81"/>
      <c r="X157" s="81"/>
      <c r="Y157" s="81"/>
      <c r="Z157" s="81"/>
    </row>
    <row r="158" ht="15.75" customHeight="1">
      <c r="A158" s="81" t="s">
        <v>15999</v>
      </c>
      <c r="B158" s="81" t="s">
        <v>24883</v>
      </c>
      <c r="C158" s="81" t="s">
        <v>24884</v>
      </c>
      <c r="D158" s="85" t="s">
        <v>24334</v>
      </c>
      <c r="E158" s="81" t="s">
        <v>7993</v>
      </c>
      <c r="F158" s="91" t="s">
        <v>24885</v>
      </c>
      <c r="G158" s="81"/>
      <c r="H158" s="84" t="b">
        <v>1</v>
      </c>
      <c r="I158" s="85">
        <v>1.0</v>
      </c>
      <c r="J158" s="86">
        <v>29.0</v>
      </c>
      <c r="K158" s="81" t="s">
        <v>24886</v>
      </c>
      <c r="L158" s="86">
        <v>97414.0</v>
      </c>
      <c r="M158" s="81" t="s">
        <v>40</v>
      </c>
      <c r="N158" s="81"/>
      <c r="O158" s="83" t="s">
        <v>7988</v>
      </c>
      <c r="P158" s="81"/>
      <c r="Q158" s="75" t="s">
        <v>24887</v>
      </c>
      <c r="R158" s="81"/>
      <c r="S158" s="87"/>
      <c r="T158" s="81"/>
      <c r="U158" s="81"/>
      <c r="V158" s="81"/>
      <c r="W158" s="81"/>
      <c r="X158" s="81"/>
      <c r="Y158" s="81"/>
      <c r="Z158" s="81"/>
    </row>
    <row r="159" ht="15.75" customHeight="1">
      <c r="A159" s="81" t="s">
        <v>20843</v>
      </c>
      <c r="B159" s="81" t="s">
        <v>24888</v>
      </c>
      <c r="C159" s="81" t="s">
        <v>24889</v>
      </c>
      <c r="D159" s="81" t="s">
        <v>24344</v>
      </c>
      <c r="E159" s="81" t="s">
        <v>8913</v>
      </c>
      <c r="F159" s="83" t="s">
        <v>20841</v>
      </c>
      <c r="G159" s="81"/>
      <c r="H159" s="84" t="b">
        <v>1</v>
      </c>
      <c r="I159" s="85">
        <v>1.0</v>
      </c>
      <c r="J159" s="81"/>
      <c r="K159" s="81" t="s">
        <v>216</v>
      </c>
      <c r="L159" s="86">
        <v>97418.0</v>
      </c>
      <c r="M159" s="81" t="s">
        <v>216</v>
      </c>
      <c r="N159" s="81"/>
      <c r="O159" s="83" t="s">
        <v>8910</v>
      </c>
      <c r="P159" s="81"/>
      <c r="Q159" s="46" t="s">
        <v>24890</v>
      </c>
      <c r="R159" s="81"/>
      <c r="S159" s="87"/>
      <c r="T159" s="81"/>
      <c r="U159" s="81"/>
      <c r="V159" s="81"/>
      <c r="W159" s="81"/>
      <c r="X159" s="81"/>
      <c r="Y159" s="81"/>
      <c r="Z159" s="81"/>
    </row>
    <row r="160" ht="15.75" customHeight="1">
      <c r="A160" s="81" t="s">
        <v>12368</v>
      </c>
      <c r="B160" s="81" t="s">
        <v>24891</v>
      </c>
      <c r="C160" s="85" t="s">
        <v>24892</v>
      </c>
      <c r="D160" s="85" t="s">
        <v>24334</v>
      </c>
      <c r="E160" s="81" t="s">
        <v>3263</v>
      </c>
      <c r="F160" s="83" t="s">
        <v>12363</v>
      </c>
      <c r="G160" s="81"/>
      <c r="H160" s="84" t="b">
        <v>1</v>
      </c>
      <c r="I160" s="85">
        <v>1.0</v>
      </c>
      <c r="J160" s="86">
        <v>137.0</v>
      </c>
      <c r="K160" s="81" t="s">
        <v>12361</v>
      </c>
      <c r="L160" s="86">
        <v>97480.0</v>
      </c>
      <c r="M160" s="81" t="s">
        <v>123</v>
      </c>
      <c r="N160" s="81" t="s">
        <v>206</v>
      </c>
      <c r="O160" s="83" t="s">
        <v>3256</v>
      </c>
      <c r="P160" s="81"/>
      <c r="Q160" s="46" t="s">
        <v>24893</v>
      </c>
      <c r="R160" s="81"/>
      <c r="S160" s="87"/>
      <c r="T160" s="81"/>
      <c r="U160" s="81"/>
      <c r="V160" s="81"/>
      <c r="W160" s="81"/>
      <c r="X160" s="81"/>
      <c r="Y160" s="81"/>
      <c r="Z160" s="81"/>
    </row>
    <row r="161" ht="15.75" customHeight="1">
      <c r="A161" s="81" t="s">
        <v>20570</v>
      </c>
      <c r="B161" s="85" t="s">
        <v>24894</v>
      </c>
      <c r="C161" s="85" t="s">
        <v>24895</v>
      </c>
      <c r="D161" s="85" t="s">
        <v>24344</v>
      </c>
      <c r="E161" s="81" t="s">
        <v>3375</v>
      </c>
      <c r="F161" s="83" t="s">
        <v>20569</v>
      </c>
      <c r="G161" s="85" t="s">
        <v>24335</v>
      </c>
      <c r="H161" s="84" t="b">
        <v>1</v>
      </c>
      <c r="I161" s="81"/>
      <c r="J161" s="86">
        <v>16.0</v>
      </c>
      <c r="K161" s="81" t="s">
        <v>24896</v>
      </c>
      <c r="L161" s="86">
        <v>97414.0</v>
      </c>
      <c r="M161" s="81" t="s">
        <v>40</v>
      </c>
      <c r="N161" s="81"/>
      <c r="O161" s="83" t="s">
        <v>3368</v>
      </c>
      <c r="P161" s="81"/>
      <c r="Q161" s="75" t="s">
        <v>24897</v>
      </c>
      <c r="R161" s="81"/>
      <c r="S161" s="87"/>
      <c r="T161" s="81"/>
      <c r="U161" s="81"/>
      <c r="V161" s="81"/>
      <c r="W161" s="81"/>
      <c r="X161" s="81"/>
      <c r="Y161" s="81"/>
      <c r="Z161" s="81"/>
    </row>
    <row r="162" ht="15.75" customHeight="1">
      <c r="A162" s="81" t="s">
        <v>20279</v>
      </c>
      <c r="B162" s="85" t="s">
        <v>24700</v>
      </c>
      <c r="C162" s="85" t="s">
        <v>24898</v>
      </c>
      <c r="D162" s="81" t="s">
        <v>24344</v>
      </c>
      <c r="E162" s="81" t="s">
        <v>1202</v>
      </c>
      <c r="F162" s="91" t="s">
        <v>20278</v>
      </c>
      <c r="G162" s="85" t="s">
        <v>24420</v>
      </c>
      <c r="H162" s="84" t="b">
        <v>1</v>
      </c>
      <c r="I162" s="85">
        <v>1.0</v>
      </c>
      <c r="J162" s="90" t="s">
        <v>16176</v>
      </c>
      <c r="K162" s="81" t="s">
        <v>20277</v>
      </c>
      <c r="L162" s="86">
        <v>97418.0</v>
      </c>
      <c r="M162" s="81" t="s">
        <v>216</v>
      </c>
      <c r="N162" s="81"/>
      <c r="O162" s="83" t="s">
        <v>1195</v>
      </c>
      <c r="P162" s="81"/>
      <c r="Q162" s="75" t="s">
        <v>24899</v>
      </c>
      <c r="R162" s="81"/>
      <c r="S162" s="93" t="s">
        <v>24348</v>
      </c>
      <c r="T162" s="81"/>
      <c r="U162" s="81"/>
      <c r="V162" s="81"/>
      <c r="W162" s="81"/>
      <c r="X162" s="81"/>
      <c r="Y162" s="81"/>
      <c r="Z162" s="81"/>
    </row>
    <row r="163" ht="15.75" customHeight="1">
      <c r="A163" s="81" t="s">
        <v>18220</v>
      </c>
      <c r="B163" s="81" t="s">
        <v>24900</v>
      </c>
      <c r="C163" s="81" t="s">
        <v>24901</v>
      </c>
      <c r="D163" s="85" t="s">
        <v>24344</v>
      </c>
      <c r="E163" s="81" t="s">
        <v>3413</v>
      </c>
      <c r="F163" s="83" t="s">
        <v>24902</v>
      </c>
      <c r="G163" s="81"/>
      <c r="H163" s="84" t="b">
        <v>1</v>
      </c>
      <c r="I163" s="85">
        <v>1.0</v>
      </c>
      <c r="J163" s="86">
        <v>2.0</v>
      </c>
      <c r="K163" s="81" t="s">
        <v>24903</v>
      </c>
      <c r="L163" s="86">
        <v>97430.0</v>
      </c>
      <c r="M163" s="81" t="s">
        <v>71</v>
      </c>
      <c r="N163" s="81"/>
      <c r="O163" s="83" t="s">
        <v>3410</v>
      </c>
      <c r="P163" s="81"/>
      <c r="Q163" s="46" t="s">
        <v>24904</v>
      </c>
      <c r="R163" s="81"/>
      <c r="S163" s="87"/>
      <c r="T163" s="81"/>
      <c r="U163" s="81"/>
      <c r="V163" s="81"/>
      <c r="W163" s="81"/>
      <c r="X163" s="81"/>
      <c r="Y163" s="81"/>
      <c r="Z163" s="81"/>
    </row>
    <row r="164" ht="15.75" customHeight="1">
      <c r="A164" s="81" t="s">
        <v>20368</v>
      </c>
      <c r="B164" s="81" t="s">
        <v>24645</v>
      </c>
      <c r="C164" s="81" t="s">
        <v>24905</v>
      </c>
      <c r="D164" s="81" t="s">
        <v>24344</v>
      </c>
      <c r="E164" s="81" t="s">
        <v>7451</v>
      </c>
      <c r="F164" s="83" t="s">
        <v>20367</v>
      </c>
      <c r="G164" s="81"/>
      <c r="H164" s="84" t="b">
        <v>1</v>
      </c>
      <c r="I164" s="81"/>
      <c r="J164" s="86">
        <v>20.0</v>
      </c>
      <c r="K164" s="81" t="s">
        <v>24330</v>
      </c>
      <c r="L164" s="86">
        <v>97430.0</v>
      </c>
      <c r="M164" s="81" t="s">
        <v>71</v>
      </c>
      <c r="N164" s="81"/>
      <c r="O164" s="83" t="s">
        <v>7447</v>
      </c>
      <c r="P164" s="81"/>
      <c r="Q164" s="75" t="s">
        <v>24906</v>
      </c>
      <c r="R164" s="81"/>
      <c r="S164" s="87"/>
      <c r="T164" s="81"/>
      <c r="U164" s="81"/>
      <c r="V164" s="81"/>
      <c r="W164" s="81"/>
      <c r="X164" s="81"/>
      <c r="Y164" s="81"/>
      <c r="Z164" s="81"/>
    </row>
    <row r="165" ht="15.75" customHeight="1">
      <c r="A165" s="81" t="s">
        <v>19291</v>
      </c>
      <c r="B165" s="81" t="s">
        <v>24907</v>
      </c>
      <c r="C165" s="81" t="s">
        <v>24908</v>
      </c>
      <c r="D165" s="81" t="s">
        <v>24344</v>
      </c>
      <c r="E165" s="81" t="s">
        <v>989</v>
      </c>
      <c r="F165" s="91" t="s">
        <v>24909</v>
      </c>
      <c r="G165" s="81"/>
      <c r="H165" s="84" t="b">
        <v>1</v>
      </c>
      <c r="I165" s="85">
        <v>0.0</v>
      </c>
      <c r="J165" s="86">
        <v>114.0</v>
      </c>
      <c r="K165" s="81" t="s">
        <v>24910</v>
      </c>
      <c r="L165" s="86">
        <v>97430.0</v>
      </c>
      <c r="M165" s="81" t="s">
        <v>71</v>
      </c>
      <c r="N165" s="81"/>
      <c r="O165" s="83" t="s">
        <v>982</v>
      </c>
      <c r="P165" s="81"/>
      <c r="Q165" s="75" t="s">
        <v>24911</v>
      </c>
      <c r="R165" s="81"/>
      <c r="S165" s="87"/>
      <c r="T165" s="81"/>
      <c r="U165" s="81"/>
      <c r="V165" s="81"/>
      <c r="W165" s="81"/>
      <c r="X165" s="81"/>
      <c r="Y165" s="81"/>
      <c r="Z165" s="81"/>
    </row>
    <row r="166" ht="15.75" customHeight="1">
      <c r="A166" s="81" t="s">
        <v>20766</v>
      </c>
      <c r="B166" s="81" t="s">
        <v>24912</v>
      </c>
      <c r="C166" s="81" t="s">
        <v>24824</v>
      </c>
      <c r="D166" s="85" t="s">
        <v>24334</v>
      </c>
      <c r="E166" s="81" t="s">
        <v>8423</v>
      </c>
      <c r="F166" s="83" t="s">
        <v>24913</v>
      </c>
      <c r="G166" s="81"/>
      <c r="H166" s="84" t="b">
        <v>1</v>
      </c>
      <c r="I166" s="81"/>
      <c r="J166" s="81"/>
      <c r="K166" s="81" t="s">
        <v>20765</v>
      </c>
      <c r="L166" s="86">
        <v>97430.0</v>
      </c>
      <c r="M166" s="81" t="s">
        <v>71</v>
      </c>
      <c r="N166" s="81"/>
      <c r="O166" s="83" t="s">
        <v>8419</v>
      </c>
      <c r="P166" s="81"/>
      <c r="Q166" s="75" t="s">
        <v>24914</v>
      </c>
      <c r="R166" s="81"/>
      <c r="S166" s="87"/>
      <c r="T166" s="81"/>
      <c r="U166" s="81"/>
      <c r="V166" s="81"/>
      <c r="W166" s="81"/>
      <c r="X166" s="81"/>
      <c r="Y166" s="81"/>
      <c r="Z166" s="81"/>
    </row>
    <row r="167" ht="15.75" customHeight="1">
      <c r="A167" s="81" t="s">
        <v>16488</v>
      </c>
      <c r="B167" s="81" t="s">
        <v>24915</v>
      </c>
      <c r="C167" s="81" t="s">
        <v>24724</v>
      </c>
      <c r="D167" s="81" t="s">
        <v>24344</v>
      </c>
      <c r="E167" s="81" t="s">
        <v>6624</v>
      </c>
      <c r="F167" s="83" t="s">
        <v>16484</v>
      </c>
      <c r="G167" s="81"/>
      <c r="H167" s="84" t="b">
        <v>1</v>
      </c>
      <c r="I167" s="85">
        <v>1.0</v>
      </c>
      <c r="J167" s="86">
        <v>60.0</v>
      </c>
      <c r="K167" s="81" t="s">
        <v>20508</v>
      </c>
      <c r="L167" s="86">
        <v>97418.0</v>
      </c>
      <c r="M167" s="81" t="s">
        <v>216</v>
      </c>
      <c r="N167" s="81"/>
      <c r="O167" s="83" t="s">
        <v>6620</v>
      </c>
      <c r="P167" s="81"/>
      <c r="Q167" s="46" t="s">
        <v>24916</v>
      </c>
      <c r="R167" s="81"/>
      <c r="S167" s="87"/>
      <c r="T167" s="81"/>
      <c r="U167" s="81"/>
      <c r="V167" s="81"/>
      <c r="W167" s="81"/>
      <c r="X167" s="81"/>
      <c r="Y167" s="81"/>
      <c r="Z167" s="81"/>
    </row>
    <row r="168" ht="15.75" customHeight="1">
      <c r="A168" s="81" t="s">
        <v>20974</v>
      </c>
      <c r="B168" s="81" t="s">
        <v>24917</v>
      </c>
      <c r="C168" s="81" t="s">
        <v>24918</v>
      </c>
      <c r="D168" s="85" t="s">
        <v>24334</v>
      </c>
      <c r="E168" s="81" t="s">
        <v>9790</v>
      </c>
      <c r="F168" s="83" t="s">
        <v>20973</v>
      </c>
      <c r="G168" s="81"/>
      <c r="H168" s="84" t="b">
        <v>1</v>
      </c>
      <c r="I168" s="81"/>
      <c r="J168" s="86">
        <v>69.0</v>
      </c>
      <c r="K168" s="81" t="s">
        <v>24919</v>
      </c>
      <c r="L168" s="86">
        <v>97480.0</v>
      </c>
      <c r="M168" s="81" t="s">
        <v>123</v>
      </c>
      <c r="N168" s="81"/>
      <c r="O168" s="83" t="s">
        <v>9787</v>
      </c>
      <c r="P168" s="81"/>
      <c r="Q168" s="75" t="s">
        <v>24920</v>
      </c>
      <c r="R168" s="81"/>
      <c r="S168" s="87"/>
      <c r="T168" s="81"/>
      <c r="U168" s="81"/>
      <c r="V168" s="81"/>
      <c r="W168" s="81"/>
      <c r="X168" s="81"/>
      <c r="Y168" s="81"/>
      <c r="Z168" s="81"/>
    </row>
    <row r="169" ht="15.75" customHeight="1">
      <c r="A169" s="81" t="s">
        <v>19783</v>
      </c>
      <c r="B169" s="81" t="s">
        <v>24921</v>
      </c>
      <c r="C169" s="81" t="s">
        <v>24922</v>
      </c>
      <c r="D169" s="81" t="s">
        <v>24344</v>
      </c>
      <c r="E169" s="81" t="s">
        <v>8714</v>
      </c>
      <c r="F169" s="91" t="s">
        <v>24923</v>
      </c>
      <c r="G169" s="81"/>
      <c r="H169" s="84" t="b">
        <v>1</v>
      </c>
      <c r="I169" s="85">
        <v>1.0</v>
      </c>
      <c r="J169" s="86">
        <v>10.0</v>
      </c>
      <c r="K169" s="81" t="s">
        <v>24924</v>
      </c>
      <c r="L169" s="86">
        <v>97480.0</v>
      </c>
      <c r="M169" s="81" t="s">
        <v>123</v>
      </c>
      <c r="N169" s="81"/>
      <c r="O169" s="83" t="s">
        <v>8711</v>
      </c>
      <c r="P169" s="81"/>
      <c r="Q169" s="75" t="s">
        <v>24925</v>
      </c>
      <c r="R169" s="81"/>
      <c r="S169" s="87"/>
      <c r="T169" s="81"/>
      <c r="U169" s="81"/>
      <c r="V169" s="81"/>
      <c r="W169" s="81"/>
      <c r="X169" s="81"/>
      <c r="Y169" s="81"/>
      <c r="Z169" s="81"/>
    </row>
    <row r="170" ht="15.75" customHeight="1">
      <c r="A170" s="81" t="s">
        <v>12308</v>
      </c>
      <c r="B170" s="81" t="s">
        <v>24926</v>
      </c>
      <c r="C170" s="81" t="s">
        <v>24927</v>
      </c>
      <c r="D170" s="81" t="s">
        <v>24344</v>
      </c>
      <c r="E170" s="81" t="s">
        <v>12306</v>
      </c>
      <c r="F170" s="83" t="s">
        <v>20600</v>
      </c>
      <c r="G170" s="81"/>
      <c r="H170" s="88" t="b">
        <v>1</v>
      </c>
      <c r="I170" s="85">
        <v>3.0</v>
      </c>
      <c r="J170" s="86">
        <v>34.0</v>
      </c>
      <c r="K170" s="81" t="s">
        <v>17131</v>
      </c>
      <c r="L170" s="86">
        <v>97430.0</v>
      </c>
      <c r="M170" s="81" t="s">
        <v>71</v>
      </c>
      <c r="N170" s="81"/>
      <c r="O170" s="94" t="s">
        <v>24928</v>
      </c>
      <c r="P170" s="81"/>
      <c r="Q170" s="46" t="s">
        <v>24929</v>
      </c>
      <c r="R170" s="81"/>
      <c r="S170" s="87"/>
      <c r="T170" s="81"/>
      <c r="U170" s="81"/>
      <c r="V170" s="81"/>
      <c r="W170" s="81"/>
      <c r="X170" s="81"/>
      <c r="Y170" s="81"/>
      <c r="Z170" s="81"/>
    </row>
    <row r="171" ht="15.75" customHeight="1">
      <c r="A171" s="81" t="s">
        <v>17761</v>
      </c>
      <c r="B171" s="81" t="s">
        <v>24930</v>
      </c>
      <c r="C171" s="81"/>
      <c r="D171" s="85" t="s">
        <v>24344</v>
      </c>
      <c r="E171" s="81" t="s">
        <v>6214</v>
      </c>
      <c r="F171" s="91" t="s">
        <v>17758</v>
      </c>
      <c r="G171" s="81"/>
      <c r="H171" s="84" t="b">
        <v>1</v>
      </c>
      <c r="I171" s="85">
        <v>0.0</v>
      </c>
      <c r="J171" s="86">
        <v>21.0</v>
      </c>
      <c r="K171" s="81" t="s">
        <v>15599</v>
      </c>
      <c r="L171" s="86">
        <v>97442.0</v>
      </c>
      <c r="M171" s="81" t="s">
        <v>33</v>
      </c>
      <c r="N171" s="81"/>
      <c r="O171" s="83" t="s">
        <v>6209</v>
      </c>
      <c r="P171" s="85" t="s">
        <v>24931</v>
      </c>
      <c r="Q171" s="75" t="s">
        <v>24932</v>
      </c>
      <c r="R171" s="81"/>
      <c r="S171" s="93" t="s">
        <v>24348</v>
      </c>
      <c r="T171" s="81"/>
      <c r="U171" s="81"/>
      <c r="V171" s="81"/>
      <c r="W171" s="81"/>
      <c r="X171" s="81"/>
      <c r="Y171" s="81"/>
      <c r="Z171" s="81"/>
    </row>
    <row r="172" ht="15.75" customHeight="1">
      <c r="A172" s="81" t="s">
        <v>17403</v>
      </c>
      <c r="B172" s="81" t="s">
        <v>24921</v>
      </c>
      <c r="C172" s="81" t="s">
        <v>24933</v>
      </c>
      <c r="D172" s="85" t="s">
        <v>24334</v>
      </c>
      <c r="E172" s="81" t="s">
        <v>9526</v>
      </c>
      <c r="F172" s="83" t="s">
        <v>17398</v>
      </c>
      <c r="G172" s="81"/>
      <c r="H172" s="84" t="b">
        <v>1</v>
      </c>
      <c r="I172" s="85">
        <v>1.0</v>
      </c>
      <c r="J172" s="81"/>
      <c r="K172" s="81" t="s">
        <v>216</v>
      </c>
      <c r="L172" s="86">
        <v>97418.0</v>
      </c>
      <c r="M172" s="81" t="s">
        <v>216</v>
      </c>
      <c r="N172" s="81"/>
      <c r="O172" s="94" t="s">
        <v>24934</v>
      </c>
      <c r="P172" s="81"/>
      <c r="Q172" s="46" t="s">
        <v>24935</v>
      </c>
      <c r="R172" s="81"/>
      <c r="S172" s="87"/>
      <c r="T172" s="81"/>
      <c r="U172" s="81"/>
      <c r="V172" s="81"/>
      <c r="W172" s="81"/>
      <c r="X172" s="81"/>
      <c r="Y172" s="81"/>
      <c r="Z172" s="81"/>
    </row>
    <row r="173" ht="15.75" customHeight="1">
      <c r="A173" s="81" t="s">
        <v>14159</v>
      </c>
      <c r="B173" s="85" t="s">
        <v>24720</v>
      </c>
      <c r="C173" s="85" t="s">
        <v>24936</v>
      </c>
      <c r="D173" s="85" t="s">
        <v>24344</v>
      </c>
      <c r="E173" s="81" t="s">
        <v>9765</v>
      </c>
      <c r="F173" s="91" t="s">
        <v>24937</v>
      </c>
      <c r="G173" s="85" t="s">
        <v>24335</v>
      </c>
      <c r="H173" s="84" t="b">
        <v>1</v>
      </c>
      <c r="I173" s="85">
        <v>1.0</v>
      </c>
      <c r="J173" s="86">
        <v>245.0</v>
      </c>
      <c r="K173" s="85" t="s">
        <v>24938</v>
      </c>
      <c r="L173" s="86">
        <v>97430.0</v>
      </c>
      <c r="M173" s="81" t="s">
        <v>71</v>
      </c>
      <c r="N173" s="81"/>
      <c r="O173" s="83" t="s">
        <v>9762</v>
      </c>
      <c r="P173" s="85" t="s">
        <v>24939</v>
      </c>
      <c r="Q173" s="75" t="s">
        <v>24940</v>
      </c>
      <c r="R173" s="81"/>
      <c r="S173" s="87"/>
      <c r="T173" s="81"/>
      <c r="U173" s="81"/>
      <c r="V173" s="81"/>
      <c r="W173" s="81"/>
      <c r="X173" s="81"/>
      <c r="Y173" s="81"/>
      <c r="Z173" s="81"/>
    </row>
    <row r="174" ht="15.75" customHeight="1">
      <c r="A174" s="81" t="s">
        <v>13814</v>
      </c>
      <c r="B174" s="81" t="s">
        <v>24941</v>
      </c>
      <c r="C174" s="81" t="s">
        <v>24612</v>
      </c>
      <c r="D174" s="81" t="s">
        <v>24344</v>
      </c>
      <c r="E174" s="81" t="s">
        <v>9112</v>
      </c>
      <c r="F174" s="91" t="s">
        <v>24942</v>
      </c>
      <c r="G174" s="81"/>
      <c r="H174" s="84" t="b">
        <v>1</v>
      </c>
      <c r="I174" s="85">
        <v>3.0</v>
      </c>
      <c r="J174" s="86">
        <v>109.0</v>
      </c>
      <c r="K174" s="81" t="s">
        <v>24943</v>
      </c>
      <c r="L174" s="86">
        <v>97480.0</v>
      </c>
      <c r="M174" s="81" t="s">
        <v>123</v>
      </c>
      <c r="N174" s="81"/>
      <c r="O174" s="83" t="s">
        <v>24944</v>
      </c>
      <c r="P174" s="81"/>
      <c r="Q174" s="46" t="s">
        <v>24945</v>
      </c>
      <c r="R174" s="81"/>
      <c r="S174" s="87"/>
      <c r="T174" s="81"/>
      <c r="U174" s="81"/>
      <c r="V174" s="81"/>
      <c r="W174" s="81"/>
      <c r="X174" s="81"/>
      <c r="Y174" s="81"/>
      <c r="Z174" s="81"/>
    </row>
    <row r="175" ht="15.75" customHeight="1">
      <c r="A175" s="81" t="s">
        <v>20350</v>
      </c>
      <c r="B175" s="81" t="s">
        <v>24946</v>
      </c>
      <c r="C175" s="81" t="s">
        <v>24947</v>
      </c>
      <c r="D175" s="81" t="s">
        <v>24344</v>
      </c>
      <c r="E175" s="81" t="s">
        <v>7440</v>
      </c>
      <c r="F175" s="83" t="s">
        <v>20349</v>
      </c>
      <c r="G175" s="81"/>
      <c r="H175" s="84" t="b">
        <v>1</v>
      </c>
      <c r="I175" s="81"/>
      <c r="J175" s="86">
        <v>87.0</v>
      </c>
      <c r="K175" s="81" t="s">
        <v>24356</v>
      </c>
      <c r="L175" s="86">
        <v>97430.0</v>
      </c>
      <c r="M175" s="81" t="s">
        <v>71</v>
      </c>
      <c r="N175" s="81"/>
      <c r="O175" s="83" t="s">
        <v>7437</v>
      </c>
      <c r="P175" s="81"/>
      <c r="Q175" s="75" t="s">
        <v>24948</v>
      </c>
      <c r="R175" s="81"/>
      <c r="S175" s="87"/>
      <c r="T175" s="81"/>
      <c r="U175" s="81"/>
      <c r="V175" s="81"/>
      <c r="W175" s="81"/>
      <c r="X175" s="81"/>
      <c r="Y175" s="81"/>
      <c r="Z175" s="81"/>
    </row>
    <row r="176" ht="15.75" customHeight="1">
      <c r="A176" s="81" t="s">
        <v>19126</v>
      </c>
      <c r="B176" s="85" t="s">
        <v>24936</v>
      </c>
      <c r="C176" s="85" t="s">
        <v>67</v>
      </c>
      <c r="D176" s="85" t="s">
        <v>24334</v>
      </c>
      <c r="E176" s="85" t="s">
        <v>19118</v>
      </c>
      <c r="F176" s="91" t="s">
        <v>24949</v>
      </c>
      <c r="G176" s="85" t="s">
        <v>24420</v>
      </c>
      <c r="H176" s="84" t="b">
        <v>1</v>
      </c>
      <c r="I176" s="85">
        <v>1.0</v>
      </c>
      <c r="J176" s="86">
        <v>120.0</v>
      </c>
      <c r="K176" s="85" t="s">
        <v>13395</v>
      </c>
      <c r="L176" s="86">
        <v>97418.0</v>
      </c>
      <c r="M176" s="81" t="s">
        <v>216</v>
      </c>
      <c r="N176" s="81"/>
      <c r="O176" s="83" t="s">
        <v>605</v>
      </c>
      <c r="P176" s="81"/>
      <c r="Q176" s="46" t="s">
        <v>24950</v>
      </c>
      <c r="R176" s="92">
        <v>33643.0</v>
      </c>
      <c r="S176" s="93" t="s">
        <v>24348</v>
      </c>
      <c r="T176" s="81"/>
      <c r="U176" s="81"/>
      <c r="V176" s="81"/>
      <c r="W176" s="81"/>
      <c r="X176" s="81"/>
      <c r="Y176" s="81"/>
      <c r="Z176" s="81"/>
    </row>
    <row r="177" ht="15.75" customHeight="1">
      <c r="A177" s="81" t="s">
        <v>20987</v>
      </c>
      <c r="B177" s="81" t="s">
        <v>24941</v>
      </c>
      <c r="C177" s="81" t="s">
        <v>24678</v>
      </c>
      <c r="D177" s="81" t="s">
        <v>24344</v>
      </c>
      <c r="E177" s="81" t="s">
        <v>9952</v>
      </c>
      <c r="F177" s="83" t="s">
        <v>24951</v>
      </c>
      <c r="G177" s="85" t="s">
        <v>24420</v>
      </c>
      <c r="H177" s="84" t="b">
        <v>1</v>
      </c>
      <c r="I177" s="81"/>
      <c r="J177" s="90" t="s">
        <v>24952</v>
      </c>
      <c r="K177" s="85" t="s">
        <v>24953</v>
      </c>
      <c r="L177" s="86">
        <v>97414.0</v>
      </c>
      <c r="M177" s="81" t="s">
        <v>40</v>
      </c>
      <c r="N177" s="81"/>
      <c r="O177" s="83" t="s">
        <v>9949</v>
      </c>
      <c r="P177" s="81"/>
      <c r="Q177" s="75" t="s">
        <v>24954</v>
      </c>
      <c r="R177" s="92">
        <v>26801.0</v>
      </c>
      <c r="S177" s="87"/>
      <c r="T177" s="81"/>
      <c r="U177" s="81"/>
      <c r="V177" s="81"/>
      <c r="W177" s="81"/>
      <c r="X177" s="81"/>
      <c r="Y177" s="81"/>
      <c r="Z177" s="81"/>
    </row>
    <row r="178" ht="15.75" customHeight="1">
      <c r="A178" s="81" t="s">
        <v>20610</v>
      </c>
      <c r="B178" s="81" t="s">
        <v>24955</v>
      </c>
      <c r="C178" s="81" t="s">
        <v>24956</v>
      </c>
      <c r="D178" s="81" t="s">
        <v>24344</v>
      </c>
      <c r="E178" s="81" t="s">
        <v>7829</v>
      </c>
      <c r="F178" s="83" t="s">
        <v>20608</v>
      </c>
      <c r="G178" s="81"/>
      <c r="H178" s="84" t="b">
        <v>1</v>
      </c>
      <c r="I178" s="85">
        <v>1.0</v>
      </c>
      <c r="J178" s="81"/>
      <c r="K178" s="81" t="s">
        <v>24957</v>
      </c>
      <c r="L178" s="86">
        <v>97414.0</v>
      </c>
      <c r="M178" s="81" t="s">
        <v>40</v>
      </c>
      <c r="N178" s="81"/>
      <c r="O178" s="83" t="s">
        <v>7823</v>
      </c>
      <c r="P178" s="81"/>
      <c r="Q178" s="46" t="s">
        <v>24958</v>
      </c>
      <c r="R178" s="81"/>
      <c r="S178" s="87"/>
      <c r="T178" s="81"/>
      <c r="U178" s="81"/>
      <c r="V178" s="81"/>
      <c r="W178" s="81"/>
      <c r="X178" s="81"/>
      <c r="Y178" s="81"/>
      <c r="Z178" s="81"/>
    </row>
    <row r="179" ht="15.75" customHeight="1">
      <c r="A179" s="81" t="s">
        <v>14721</v>
      </c>
      <c r="B179" s="81" t="s">
        <v>24941</v>
      </c>
      <c r="C179" s="81" t="s">
        <v>24959</v>
      </c>
      <c r="D179" s="85" t="s">
        <v>24334</v>
      </c>
      <c r="E179" s="81" t="s">
        <v>6335</v>
      </c>
      <c r="F179" s="83" t="s">
        <v>24960</v>
      </c>
      <c r="G179" s="81"/>
      <c r="H179" s="84" t="b">
        <v>1</v>
      </c>
      <c r="I179" s="81"/>
      <c r="J179" s="81"/>
      <c r="K179" s="81" t="s">
        <v>16799</v>
      </c>
      <c r="L179" s="86">
        <v>97418.0</v>
      </c>
      <c r="M179" s="81" t="s">
        <v>216</v>
      </c>
      <c r="N179" s="81"/>
      <c r="O179" s="83" t="s">
        <v>6330</v>
      </c>
      <c r="P179" s="81"/>
      <c r="Q179" s="75" t="s">
        <v>24961</v>
      </c>
      <c r="R179" s="81"/>
      <c r="S179" s="87"/>
      <c r="T179" s="81"/>
      <c r="U179" s="81"/>
      <c r="V179" s="81"/>
      <c r="W179" s="81"/>
      <c r="X179" s="81"/>
      <c r="Y179" s="81"/>
      <c r="Z179" s="81"/>
    </row>
    <row r="180" ht="15.75" customHeight="1">
      <c r="A180" s="81" t="s">
        <v>19556</v>
      </c>
      <c r="B180" s="81" t="s">
        <v>24941</v>
      </c>
      <c r="C180" s="81" t="s">
        <v>24593</v>
      </c>
      <c r="D180" s="85" t="s">
        <v>24334</v>
      </c>
      <c r="E180" s="81" t="s">
        <v>1397</v>
      </c>
      <c r="F180" s="83" t="s">
        <v>19554</v>
      </c>
      <c r="G180" s="81"/>
      <c r="H180" s="84" t="b">
        <v>1</v>
      </c>
      <c r="I180" s="81"/>
      <c r="J180" s="81" t="s">
        <v>19553</v>
      </c>
      <c r="K180" s="81" t="s">
        <v>15733</v>
      </c>
      <c r="L180" s="86">
        <v>97442.0</v>
      </c>
      <c r="M180" s="81" t="s">
        <v>33</v>
      </c>
      <c r="N180" s="81"/>
      <c r="O180" s="83" t="s">
        <v>1393</v>
      </c>
      <c r="P180" s="81"/>
      <c r="Q180" s="75" t="s">
        <v>24962</v>
      </c>
      <c r="R180" s="81"/>
      <c r="S180" s="87"/>
      <c r="T180" s="81"/>
      <c r="U180" s="81"/>
      <c r="V180" s="81"/>
      <c r="W180" s="81"/>
      <c r="X180" s="81"/>
      <c r="Y180" s="81"/>
      <c r="Z180" s="81"/>
    </row>
    <row r="181" ht="15.75" customHeight="1">
      <c r="A181" s="81" t="s">
        <v>19837</v>
      </c>
      <c r="B181" s="81" t="s">
        <v>24941</v>
      </c>
      <c r="C181" s="81" t="s">
        <v>113</v>
      </c>
      <c r="D181" s="85" t="s">
        <v>24334</v>
      </c>
      <c r="E181" s="81" t="s">
        <v>8334</v>
      </c>
      <c r="F181" s="83" t="s">
        <v>19835</v>
      </c>
      <c r="G181" s="81"/>
      <c r="H181" s="84" t="b">
        <v>1</v>
      </c>
      <c r="I181" s="81"/>
      <c r="J181" s="86">
        <v>25.0</v>
      </c>
      <c r="K181" s="81" t="s">
        <v>24963</v>
      </c>
      <c r="L181" s="86">
        <v>97480.0</v>
      </c>
      <c r="M181" s="81" t="s">
        <v>123</v>
      </c>
      <c r="N181" s="81"/>
      <c r="O181" s="83" t="s">
        <v>8331</v>
      </c>
      <c r="P181" s="81"/>
      <c r="Q181" s="75" t="s">
        <v>24964</v>
      </c>
      <c r="R181" s="81"/>
      <c r="S181" s="87"/>
      <c r="T181" s="81"/>
      <c r="U181" s="81"/>
      <c r="V181" s="81"/>
      <c r="W181" s="81"/>
      <c r="X181" s="81"/>
      <c r="Y181" s="81"/>
      <c r="Z181" s="81"/>
    </row>
    <row r="182" ht="15.75" customHeight="1">
      <c r="A182" s="81" t="s">
        <v>17994</v>
      </c>
      <c r="B182" s="81" t="s">
        <v>24941</v>
      </c>
      <c r="C182" s="81" t="s">
        <v>24440</v>
      </c>
      <c r="D182" s="81" t="s">
        <v>24344</v>
      </c>
      <c r="E182" s="81" t="s">
        <v>4829</v>
      </c>
      <c r="F182" s="83" t="s">
        <v>17991</v>
      </c>
      <c r="G182" s="81"/>
      <c r="H182" s="84" t="b">
        <v>1</v>
      </c>
      <c r="I182" s="85">
        <v>1.0</v>
      </c>
      <c r="J182" s="81"/>
      <c r="K182" s="81" t="s">
        <v>24965</v>
      </c>
      <c r="L182" s="86">
        <v>97442.0</v>
      </c>
      <c r="M182" s="81" t="s">
        <v>33</v>
      </c>
      <c r="N182" s="81" t="s">
        <v>17988</v>
      </c>
      <c r="O182" s="94" t="s">
        <v>24966</v>
      </c>
      <c r="P182" s="81"/>
      <c r="Q182" s="75" t="s">
        <v>24967</v>
      </c>
      <c r="R182" s="81"/>
      <c r="S182" s="87"/>
      <c r="T182" s="81"/>
      <c r="U182" s="81"/>
      <c r="V182" s="81"/>
      <c r="W182" s="81"/>
      <c r="X182" s="81"/>
      <c r="Y182" s="81"/>
      <c r="Z182" s="81"/>
    </row>
    <row r="183" ht="15.75" customHeight="1">
      <c r="A183" s="81" t="s">
        <v>13411</v>
      </c>
      <c r="B183" s="81" t="s">
        <v>24968</v>
      </c>
      <c r="C183" s="81" t="s">
        <v>24969</v>
      </c>
      <c r="D183" s="81" t="s">
        <v>24344</v>
      </c>
      <c r="E183" s="81" t="s">
        <v>649</v>
      </c>
      <c r="F183" s="83" t="s">
        <v>13407</v>
      </c>
      <c r="G183" s="81"/>
      <c r="H183" s="84" t="b">
        <v>1</v>
      </c>
      <c r="I183" s="85">
        <v>1.0</v>
      </c>
      <c r="J183" s="86">
        <v>13.0</v>
      </c>
      <c r="K183" s="81" t="s">
        <v>24970</v>
      </c>
      <c r="L183" s="86">
        <v>97430.0</v>
      </c>
      <c r="M183" s="81" t="s">
        <v>71</v>
      </c>
      <c r="N183" s="81" t="s">
        <v>3501</v>
      </c>
      <c r="O183" s="83" t="s">
        <v>643</v>
      </c>
      <c r="P183" s="81"/>
      <c r="Q183" s="46" t="s">
        <v>24971</v>
      </c>
      <c r="R183" s="81"/>
      <c r="S183" s="87"/>
      <c r="T183" s="81"/>
      <c r="U183" s="81"/>
      <c r="V183" s="81"/>
      <c r="W183" s="81"/>
      <c r="X183" s="81"/>
      <c r="Y183" s="81"/>
      <c r="Z183" s="81"/>
    </row>
    <row r="184" ht="15.75" customHeight="1">
      <c r="A184" s="81" t="s">
        <v>12560</v>
      </c>
      <c r="B184" s="81" t="s">
        <v>24946</v>
      </c>
      <c r="C184" s="81" t="s">
        <v>24972</v>
      </c>
      <c r="D184" s="81" t="s">
        <v>24344</v>
      </c>
      <c r="E184" s="81" t="s">
        <v>1416</v>
      </c>
      <c r="F184" s="83" t="s">
        <v>12559</v>
      </c>
      <c r="G184" s="81"/>
      <c r="H184" s="84" t="b">
        <v>1</v>
      </c>
      <c r="I184" s="85">
        <v>1.0</v>
      </c>
      <c r="J184" s="86">
        <v>39.0</v>
      </c>
      <c r="K184" s="81" t="s">
        <v>24973</v>
      </c>
      <c r="L184" s="86">
        <v>97480.0</v>
      </c>
      <c r="M184" s="81" t="s">
        <v>123</v>
      </c>
      <c r="N184" s="81"/>
      <c r="O184" s="83" t="s">
        <v>1410</v>
      </c>
      <c r="P184" s="81"/>
      <c r="Q184" s="46" t="s">
        <v>24974</v>
      </c>
      <c r="R184" s="81"/>
      <c r="S184" s="87"/>
      <c r="T184" s="81"/>
      <c r="U184" s="81"/>
      <c r="V184" s="81"/>
      <c r="W184" s="81"/>
      <c r="X184" s="81"/>
      <c r="Y184" s="81"/>
      <c r="Z184" s="81"/>
    </row>
    <row r="185" ht="15.75" customHeight="1">
      <c r="A185" s="81" t="s">
        <v>19357</v>
      </c>
      <c r="B185" s="81" t="s">
        <v>24975</v>
      </c>
      <c r="C185" s="81" t="s">
        <v>24976</v>
      </c>
      <c r="D185" s="85" t="s">
        <v>24334</v>
      </c>
      <c r="E185" s="81" t="s">
        <v>4127</v>
      </c>
      <c r="F185" s="83" t="s">
        <v>19355</v>
      </c>
      <c r="G185" s="85" t="s">
        <v>24335</v>
      </c>
      <c r="H185" s="84" t="b">
        <v>1</v>
      </c>
      <c r="I185" s="81"/>
      <c r="J185" s="89" t="s">
        <v>12345</v>
      </c>
      <c r="K185" s="81" t="s">
        <v>24977</v>
      </c>
      <c r="L185" s="86">
        <v>97480.0</v>
      </c>
      <c r="M185" s="81" t="s">
        <v>123</v>
      </c>
      <c r="N185" s="81" t="s">
        <v>3556</v>
      </c>
      <c r="O185" s="83" t="s">
        <v>4121</v>
      </c>
      <c r="P185" s="85" t="s">
        <v>24978</v>
      </c>
      <c r="Q185" s="75" t="s">
        <v>24979</v>
      </c>
      <c r="R185" s="92">
        <v>23655.0</v>
      </c>
      <c r="S185" s="93" t="s">
        <v>24460</v>
      </c>
      <c r="T185" s="81"/>
      <c r="U185" s="81"/>
      <c r="V185" s="81"/>
      <c r="W185" s="81"/>
      <c r="X185" s="81"/>
      <c r="Y185" s="81"/>
      <c r="Z185" s="81"/>
    </row>
    <row r="186" ht="15.75" customHeight="1">
      <c r="A186" s="81" t="s">
        <v>20129</v>
      </c>
      <c r="B186" s="81" t="s">
        <v>24980</v>
      </c>
      <c r="C186" s="85" t="s">
        <v>24981</v>
      </c>
      <c r="D186" s="81" t="s">
        <v>24344</v>
      </c>
      <c r="E186" s="81"/>
      <c r="F186" s="83" t="s">
        <v>20128</v>
      </c>
      <c r="G186" s="81"/>
      <c r="H186" s="88" t="b">
        <v>1</v>
      </c>
      <c r="I186" s="81"/>
      <c r="J186" s="81"/>
      <c r="K186" s="81" t="s">
        <v>20126</v>
      </c>
      <c r="L186" s="86">
        <v>97418.0</v>
      </c>
      <c r="M186" s="81" t="s">
        <v>216</v>
      </c>
      <c r="N186" s="81"/>
      <c r="O186" s="83" t="s">
        <v>5739</v>
      </c>
      <c r="P186" s="81"/>
      <c r="Q186" s="75" t="s">
        <v>24982</v>
      </c>
      <c r="R186" s="81"/>
      <c r="S186" s="87"/>
      <c r="T186" s="81"/>
      <c r="U186" s="81"/>
      <c r="V186" s="81"/>
      <c r="W186" s="81"/>
      <c r="X186" s="81"/>
      <c r="Y186" s="81"/>
      <c r="Z186" s="81"/>
    </row>
    <row r="187" ht="15.75" customHeight="1">
      <c r="A187" s="81" t="s">
        <v>19278</v>
      </c>
      <c r="B187" s="81" t="s">
        <v>24983</v>
      </c>
      <c r="C187" s="81" t="s">
        <v>24552</v>
      </c>
      <c r="D187" s="85" t="s">
        <v>24334</v>
      </c>
      <c r="E187" s="81" t="s">
        <v>9316</v>
      </c>
      <c r="F187" s="83" t="s">
        <v>19276</v>
      </c>
      <c r="G187" s="81"/>
      <c r="H187" s="84" t="b">
        <v>1</v>
      </c>
      <c r="I187" s="81"/>
      <c r="J187" s="86">
        <v>4.0</v>
      </c>
      <c r="K187" s="81" t="s">
        <v>24809</v>
      </c>
      <c r="L187" s="86">
        <v>97480.0</v>
      </c>
      <c r="M187" s="81" t="s">
        <v>123</v>
      </c>
      <c r="N187" s="81"/>
      <c r="O187" s="83" t="s">
        <v>9310</v>
      </c>
      <c r="P187" s="81"/>
      <c r="Q187" s="75" t="s">
        <v>24984</v>
      </c>
      <c r="R187" s="81"/>
      <c r="S187" s="87"/>
      <c r="T187" s="81"/>
      <c r="U187" s="81"/>
      <c r="V187" s="81"/>
      <c r="W187" s="81"/>
      <c r="X187" s="81"/>
      <c r="Y187" s="81"/>
      <c r="Z187" s="81"/>
    </row>
    <row r="188" ht="15.75" customHeight="1">
      <c r="A188" s="81" t="s">
        <v>18538</v>
      </c>
      <c r="B188" s="81" t="s">
        <v>24985</v>
      </c>
      <c r="C188" s="81" t="s">
        <v>24976</v>
      </c>
      <c r="D188" s="85" t="s">
        <v>24334</v>
      </c>
      <c r="E188" s="81" t="s">
        <v>7516</v>
      </c>
      <c r="F188" s="83" t="s">
        <v>18536</v>
      </c>
      <c r="G188" s="81"/>
      <c r="H188" s="84" t="b">
        <v>1</v>
      </c>
      <c r="I188" s="85">
        <v>1.0</v>
      </c>
      <c r="J188" s="86">
        <v>106.0</v>
      </c>
      <c r="K188" s="81" t="s">
        <v>14897</v>
      </c>
      <c r="L188" s="86">
        <v>97480.0</v>
      </c>
      <c r="M188" s="81" t="s">
        <v>123</v>
      </c>
      <c r="N188" s="81" t="s">
        <v>3556</v>
      </c>
      <c r="O188" s="83" t="s">
        <v>7511</v>
      </c>
      <c r="P188" s="81"/>
      <c r="Q188" s="46" t="s">
        <v>24986</v>
      </c>
      <c r="R188" s="81"/>
      <c r="S188" s="87"/>
      <c r="T188" s="81"/>
      <c r="U188" s="81"/>
      <c r="V188" s="81"/>
      <c r="W188" s="81"/>
      <c r="X188" s="81"/>
      <c r="Y188" s="81"/>
      <c r="Z188" s="81"/>
    </row>
    <row r="189" ht="15.75" customHeight="1">
      <c r="A189" s="81" t="s">
        <v>20181</v>
      </c>
      <c r="B189" s="81" t="s">
        <v>24987</v>
      </c>
      <c r="C189" s="81" t="s">
        <v>24947</v>
      </c>
      <c r="D189" s="81" t="s">
        <v>24344</v>
      </c>
      <c r="E189" s="85" t="s">
        <v>20178</v>
      </c>
      <c r="F189" s="83" t="s">
        <v>20180</v>
      </c>
      <c r="G189" s="81"/>
      <c r="H189" s="84" t="b">
        <v>1</v>
      </c>
      <c r="I189" s="85">
        <v>1.0</v>
      </c>
      <c r="J189" s="86">
        <v>7.0</v>
      </c>
      <c r="K189" s="81" t="s">
        <v>24988</v>
      </c>
      <c r="L189" s="86">
        <v>97418.0</v>
      </c>
      <c r="M189" s="81" t="s">
        <v>216</v>
      </c>
      <c r="N189" s="81"/>
      <c r="O189" s="83" t="s">
        <v>5434</v>
      </c>
      <c r="P189" s="81"/>
      <c r="Q189" s="75" t="s">
        <v>24989</v>
      </c>
      <c r="R189" s="81"/>
      <c r="S189" s="87"/>
      <c r="T189" s="81"/>
      <c r="U189" s="81"/>
      <c r="V189" s="81"/>
      <c r="W189" s="81"/>
      <c r="X189" s="81"/>
      <c r="Y189" s="81"/>
      <c r="Z189" s="81"/>
    </row>
    <row r="190" ht="15.75" customHeight="1">
      <c r="A190" s="81" t="s">
        <v>17832</v>
      </c>
      <c r="B190" s="81" t="s">
        <v>24990</v>
      </c>
      <c r="C190" s="81" t="s">
        <v>24991</v>
      </c>
      <c r="D190" s="81" t="s">
        <v>24344</v>
      </c>
      <c r="E190" s="81" t="s">
        <v>9334</v>
      </c>
      <c r="F190" s="83" t="s">
        <v>17827</v>
      </c>
      <c r="G190" s="81"/>
      <c r="H190" s="84" t="b">
        <v>0</v>
      </c>
      <c r="I190" s="85">
        <v>0.0</v>
      </c>
      <c r="J190" s="86">
        <v>57.0</v>
      </c>
      <c r="K190" s="81" t="s">
        <v>17205</v>
      </c>
      <c r="L190" s="86">
        <v>97442.0</v>
      </c>
      <c r="M190" s="81" t="s">
        <v>33</v>
      </c>
      <c r="N190" s="81"/>
      <c r="O190" s="83" t="s">
        <v>9329</v>
      </c>
      <c r="P190" s="81"/>
      <c r="Q190" s="75" t="s">
        <v>24992</v>
      </c>
      <c r="R190" s="81"/>
      <c r="S190" s="87"/>
      <c r="T190" s="81"/>
      <c r="U190" s="81"/>
      <c r="V190" s="81"/>
      <c r="W190" s="81"/>
      <c r="X190" s="81"/>
      <c r="Y190" s="81"/>
      <c r="Z190" s="81"/>
    </row>
    <row r="191" ht="15.75" customHeight="1">
      <c r="A191" s="81" t="s">
        <v>15868</v>
      </c>
      <c r="B191" s="81" t="s">
        <v>24993</v>
      </c>
      <c r="C191" s="81" t="s">
        <v>24956</v>
      </c>
      <c r="D191" s="81" t="s">
        <v>24344</v>
      </c>
      <c r="E191" s="81" t="s">
        <v>9719</v>
      </c>
      <c r="F191" s="83" t="s">
        <v>15867</v>
      </c>
      <c r="G191" s="81"/>
      <c r="H191" s="84" t="b">
        <v>1</v>
      </c>
      <c r="I191" s="81"/>
      <c r="J191" s="86">
        <v>16.0</v>
      </c>
      <c r="K191" s="81" t="s">
        <v>15693</v>
      </c>
      <c r="L191" s="86">
        <v>97430.0</v>
      </c>
      <c r="M191" s="81" t="s">
        <v>71</v>
      </c>
      <c r="N191" s="81" t="s">
        <v>3501</v>
      </c>
      <c r="O191" s="83" t="s">
        <v>9714</v>
      </c>
      <c r="P191" s="81"/>
      <c r="Q191" s="75" t="s">
        <v>24994</v>
      </c>
      <c r="R191" s="81"/>
      <c r="S191" s="87"/>
      <c r="T191" s="81"/>
      <c r="U191" s="81"/>
      <c r="V191" s="81"/>
      <c r="W191" s="81"/>
      <c r="X191" s="81"/>
      <c r="Y191" s="81"/>
      <c r="Z191" s="81"/>
    </row>
    <row r="192" ht="15.75" customHeight="1">
      <c r="A192" s="81" t="s">
        <v>17012</v>
      </c>
      <c r="B192" s="81" t="s">
        <v>24995</v>
      </c>
      <c r="C192" s="81" t="s">
        <v>24996</v>
      </c>
      <c r="D192" s="85" t="s">
        <v>24334</v>
      </c>
      <c r="E192" s="85" t="s">
        <v>17008</v>
      </c>
      <c r="F192" s="83" t="s">
        <v>17009</v>
      </c>
      <c r="G192" s="85" t="s">
        <v>24420</v>
      </c>
      <c r="H192" s="84" t="b">
        <v>1</v>
      </c>
      <c r="I192" s="85">
        <v>1.0</v>
      </c>
      <c r="J192" s="86">
        <v>8.0</v>
      </c>
      <c r="K192" s="81" t="s">
        <v>24997</v>
      </c>
      <c r="L192" s="86">
        <v>97430.0</v>
      </c>
      <c r="M192" s="81" t="s">
        <v>71</v>
      </c>
      <c r="N192" s="81" t="s">
        <v>9288</v>
      </c>
      <c r="O192" s="83" t="s">
        <v>9285</v>
      </c>
      <c r="P192" s="81"/>
      <c r="Q192" s="75" t="s">
        <v>24998</v>
      </c>
      <c r="R192" s="81"/>
      <c r="S192" s="87"/>
      <c r="T192" s="81"/>
      <c r="U192" s="81"/>
      <c r="V192" s="81"/>
      <c r="W192" s="81"/>
      <c r="X192" s="81"/>
      <c r="Y192" s="81"/>
      <c r="Z192" s="81"/>
    </row>
    <row r="193" ht="15.75" customHeight="1">
      <c r="A193" s="81" t="s">
        <v>15729</v>
      </c>
      <c r="B193" s="81" t="s">
        <v>24999</v>
      </c>
      <c r="C193" s="81" t="s">
        <v>25000</v>
      </c>
      <c r="D193" s="85" t="s">
        <v>24334</v>
      </c>
      <c r="E193" s="81" t="s">
        <v>1819</v>
      </c>
      <c r="F193" s="83" t="s">
        <v>15724</v>
      </c>
      <c r="G193" s="81"/>
      <c r="H193" s="84" t="b">
        <v>1</v>
      </c>
      <c r="I193" s="85">
        <v>3.0</v>
      </c>
      <c r="J193" s="86">
        <v>9.0</v>
      </c>
      <c r="K193" s="81" t="s">
        <v>25001</v>
      </c>
      <c r="L193" s="86">
        <v>97430.0</v>
      </c>
      <c r="M193" s="81" t="s">
        <v>71</v>
      </c>
      <c r="N193" s="81"/>
      <c r="O193" s="94" t="s">
        <v>25002</v>
      </c>
      <c r="P193" s="81"/>
      <c r="Q193" s="46" t="s">
        <v>25003</v>
      </c>
      <c r="R193" s="81"/>
      <c r="S193" s="87"/>
      <c r="T193" s="81"/>
      <c r="U193" s="81"/>
      <c r="V193" s="81"/>
      <c r="W193" s="81"/>
      <c r="X193" s="81"/>
      <c r="Y193" s="81"/>
      <c r="Z193" s="81"/>
    </row>
    <row r="194" ht="15.75" customHeight="1">
      <c r="A194" s="81" t="s">
        <v>20595</v>
      </c>
      <c r="B194" s="81" t="s">
        <v>25004</v>
      </c>
      <c r="C194" s="81" t="s">
        <v>25005</v>
      </c>
      <c r="D194" s="85" t="s">
        <v>24334</v>
      </c>
      <c r="E194" s="81" t="s">
        <v>7814</v>
      </c>
      <c r="F194" s="83" t="s">
        <v>20593</v>
      </c>
      <c r="G194" s="81"/>
      <c r="H194" s="84" t="b">
        <v>1</v>
      </c>
      <c r="I194" s="81"/>
      <c r="J194" s="86">
        <v>10.0</v>
      </c>
      <c r="K194" s="81" t="s">
        <v>25006</v>
      </c>
      <c r="L194" s="86">
        <v>97414.0</v>
      </c>
      <c r="M194" s="81" t="s">
        <v>40</v>
      </c>
      <c r="N194" s="81"/>
      <c r="O194" s="83" t="s">
        <v>7808</v>
      </c>
      <c r="P194" s="81"/>
      <c r="Q194" s="75" t="s">
        <v>25007</v>
      </c>
      <c r="R194" s="81"/>
      <c r="S194" s="87"/>
      <c r="T194" s="81"/>
      <c r="U194" s="81"/>
      <c r="V194" s="81"/>
      <c r="W194" s="81"/>
      <c r="X194" s="81"/>
      <c r="Y194" s="81"/>
      <c r="Z194" s="81"/>
    </row>
    <row r="195" ht="15.75" customHeight="1">
      <c r="A195" s="81" t="s">
        <v>25008</v>
      </c>
      <c r="B195" s="81" t="s">
        <v>25009</v>
      </c>
      <c r="C195" s="81" t="s">
        <v>25010</v>
      </c>
      <c r="D195" s="81" t="s">
        <v>24344</v>
      </c>
      <c r="E195" s="81" t="s">
        <v>2417</v>
      </c>
      <c r="F195" s="83" t="s">
        <v>20228</v>
      </c>
      <c r="G195" s="81"/>
      <c r="H195" s="84" t="b">
        <v>1</v>
      </c>
      <c r="I195" s="85">
        <v>2.0</v>
      </c>
      <c r="J195" s="81"/>
      <c r="K195" s="81" t="s">
        <v>9494</v>
      </c>
      <c r="L195" s="86">
        <v>97418.0</v>
      </c>
      <c r="M195" s="81" t="s">
        <v>216</v>
      </c>
      <c r="N195" s="81"/>
      <c r="O195" s="83" t="s">
        <v>25011</v>
      </c>
      <c r="P195" s="81"/>
      <c r="Q195" s="46" t="s">
        <v>25012</v>
      </c>
      <c r="R195" s="81"/>
      <c r="S195" s="87"/>
      <c r="T195" s="81"/>
      <c r="U195" s="81"/>
      <c r="V195" s="81"/>
      <c r="W195" s="81"/>
      <c r="X195" s="81"/>
      <c r="Y195" s="81"/>
      <c r="Z195" s="81"/>
    </row>
    <row r="196" ht="15.75" customHeight="1">
      <c r="A196" s="81" t="s">
        <v>20694</v>
      </c>
      <c r="B196" s="81" t="s">
        <v>25013</v>
      </c>
      <c r="C196" s="81" t="s">
        <v>25014</v>
      </c>
      <c r="D196" s="81" t="s">
        <v>24344</v>
      </c>
      <c r="E196" s="81" t="s">
        <v>8016</v>
      </c>
      <c r="F196" s="83" t="s">
        <v>20691</v>
      </c>
      <c r="G196" s="81"/>
      <c r="H196" s="84" t="b">
        <v>1</v>
      </c>
      <c r="I196" s="81"/>
      <c r="J196" s="86">
        <v>111.0</v>
      </c>
      <c r="K196" s="81" t="s">
        <v>17049</v>
      </c>
      <c r="L196" s="86">
        <v>97414.0</v>
      </c>
      <c r="M196" s="81" t="s">
        <v>40</v>
      </c>
      <c r="N196" s="81"/>
      <c r="O196" s="83" t="s">
        <v>8011</v>
      </c>
      <c r="P196" s="81"/>
      <c r="Q196" s="46" t="s">
        <v>25015</v>
      </c>
      <c r="R196" s="81"/>
      <c r="S196" s="87"/>
      <c r="T196" s="81"/>
      <c r="U196" s="81"/>
      <c r="V196" s="81"/>
      <c r="W196" s="81"/>
      <c r="X196" s="81"/>
      <c r="Y196" s="81"/>
      <c r="Z196" s="81"/>
    </row>
    <row r="197" ht="15.75" customHeight="1">
      <c r="A197" s="81" t="s">
        <v>20437</v>
      </c>
      <c r="B197" s="81" t="s">
        <v>25016</v>
      </c>
      <c r="C197" s="81" t="s">
        <v>25017</v>
      </c>
      <c r="D197" s="85" t="s">
        <v>24334</v>
      </c>
      <c r="E197" s="81" t="s">
        <v>7124</v>
      </c>
      <c r="F197" s="83" t="s">
        <v>20436</v>
      </c>
      <c r="G197" s="81"/>
      <c r="H197" s="84" t="b">
        <v>1</v>
      </c>
      <c r="I197" s="81"/>
      <c r="J197" s="86">
        <v>9.0</v>
      </c>
      <c r="K197" s="81" t="s">
        <v>25018</v>
      </c>
      <c r="L197" s="86">
        <v>97430.0</v>
      </c>
      <c r="M197" s="81" t="s">
        <v>71</v>
      </c>
      <c r="N197" s="81"/>
      <c r="O197" s="83" t="s">
        <v>7121</v>
      </c>
      <c r="P197" s="81"/>
      <c r="Q197" s="75" t="s">
        <v>25019</v>
      </c>
      <c r="R197" s="81"/>
      <c r="S197" s="87"/>
      <c r="T197" s="81"/>
      <c r="U197" s="81"/>
      <c r="V197" s="81"/>
      <c r="W197" s="81"/>
      <c r="X197" s="81"/>
      <c r="Y197" s="81"/>
      <c r="Z197" s="81"/>
    </row>
    <row r="198" ht="15.75" customHeight="1">
      <c r="A198" s="81" t="s">
        <v>17086</v>
      </c>
      <c r="B198" s="81" t="s">
        <v>25020</v>
      </c>
      <c r="C198" s="81" t="s">
        <v>25021</v>
      </c>
      <c r="D198" s="81" t="s">
        <v>24344</v>
      </c>
      <c r="E198" s="81" t="s">
        <v>9402</v>
      </c>
      <c r="F198" s="83" t="s">
        <v>17082</v>
      </c>
      <c r="G198" s="81"/>
      <c r="H198" s="84" t="b">
        <v>1</v>
      </c>
      <c r="I198" s="81"/>
      <c r="J198" s="86">
        <v>13.0</v>
      </c>
      <c r="K198" s="81" t="s">
        <v>25022</v>
      </c>
      <c r="L198" s="86">
        <v>97418.0</v>
      </c>
      <c r="M198" s="81" t="s">
        <v>216</v>
      </c>
      <c r="N198" s="81"/>
      <c r="O198" s="83" t="s">
        <v>9394</v>
      </c>
      <c r="P198" s="81"/>
      <c r="Q198" s="75" t="s">
        <v>25023</v>
      </c>
      <c r="R198" s="81"/>
      <c r="S198" s="87"/>
      <c r="T198" s="81"/>
      <c r="U198" s="81"/>
      <c r="V198" s="81"/>
      <c r="W198" s="81"/>
      <c r="X198" s="81"/>
      <c r="Y198" s="81"/>
      <c r="Z198" s="81"/>
    </row>
    <row r="199" ht="15.75" customHeight="1">
      <c r="A199" s="81" t="s">
        <v>14366</v>
      </c>
      <c r="B199" s="81" t="s">
        <v>25024</v>
      </c>
      <c r="C199" s="81" t="s">
        <v>25025</v>
      </c>
      <c r="D199" s="81" t="s">
        <v>24344</v>
      </c>
      <c r="E199" s="81" t="s">
        <v>9083</v>
      </c>
      <c r="F199" s="83" t="s">
        <v>14365</v>
      </c>
      <c r="G199" s="81"/>
      <c r="H199" s="84" t="b">
        <v>1</v>
      </c>
      <c r="I199" s="81"/>
      <c r="J199" s="86">
        <v>108.0</v>
      </c>
      <c r="K199" s="81" t="s">
        <v>24368</v>
      </c>
      <c r="L199" s="86">
        <v>97480.0</v>
      </c>
      <c r="M199" s="81" t="s">
        <v>123</v>
      </c>
      <c r="N199" s="81" t="s">
        <v>206</v>
      </c>
      <c r="O199" s="83" t="s">
        <v>9080</v>
      </c>
      <c r="P199" s="81"/>
      <c r="Q199" s="75" t="s">
        <v>25026</v>
      </c>
      <c r="R199" s="81"/>
      <c r="S199" s="87"/>
      <c r="T199" s="81"/>
      <c r="U199" s="81"/>
      <c r="V199" s="81"/>
      <c r="W199" s="81"/>
      <c r="X199" s="81"/>
      <c r="Y199" s="81"/>
      <c r="Z199" s="81"/>
    </row>
    <row r="200" ht="15.75" customHeight="1">
      <c r="A200" s="81" t="s">
        <v>13979</v>
      </c>
      <c r="B200" s="81" t="s">
        <v>25027</v>
      </c>
      <c r="C200" s="81" t="s">
        <v>24506</v>
      </c>
      <c r="D200" s="81" t="s">
        <v>24344</v>
      </c>
      <c r="E200" s="81" t="s">
        <v>8451</v>
      </c>
      <c r="F200" s="91" t="s">
        <v>25028</v>
      </c>
      <c r="G200" s="81"/>
      <c r="H200" s="84" t="b">
        <v>1</v>
      </c>
      <c r="I200" s="85">
        <v>1.0</v>
      </c>
      <c r="J200" s="86">
        <v>14.0</v>
      </c>
      <c r="K200" s="81" t="s">
        <v>25029</v>
      </c>
      <c r="L200" s="86">
        <v>97480.0</v>
      </c>
      <c r="M200" s="81" t="s">
        <v>123</v>
      </c>
      <c r="N200" s="81"/>
      <c r="O200" s="83" t="s">
        <v>25030</v>
      </c>
      <c r="P200" s="81"/>
      <c r="Q200" s="46" t="s">
        <v>25031</v>
      </c>
      <c r="R200" s="81"/>
      <c r="S200" s="87"/>
      <c r="T200" s="81"/>
      <c r="U200" s="81"/>
      <c r="V200" s="81"/>
      <c r="W200" s="81"/>
      <c r="X200" s="81"/>
      <c r="Y200" s="81"/>
      <c r="Z200" s="81"/>
    </row>
    <row r="201" ht="15.75" customHeight="1">
      <c r="A201" s="81" t="s">
        <v>15565</v>
      </c>
      <c r="B201" s="81" t="s">
        <v>25032</v>
      </c>
      <c r="C201" s="81" t="s">
        <v>25033</v>
      </c>
      <c r="D201" s="81" t="s">
        <v>24344</v>
      </c>
      <c r="E201" s="81" t="s">
        <v>9752</v>
      </c>
      <c r="F201" s="83" t="s">
        <v>25034</v>
      </c>
      <c r="G201" s="81"/>
      <c r="H201" s="84" t="b">
        <v>1</v>
      </c>
      <c r="I201" s="85">
        <v>1.0</v>
      </c>
      <c r="J201" s="86">
        <v>12.0</v>
      </c>
      <c r="K201" s="81" t="s">
        <v>24886</v>
      </c>
      <c r="L201" s="86">
        <v>97414.0</v>
      </c>
      <c r="M201" s="81" t="s">
        <v>40</v>
      </c>
      <c r="N201" s="81"/>
      <c r="O201" s="83" t="s">
        <v>9749</v>
      </c>
      <c r="P201" s="81"/>
      <c r="Q201" s="46" t="s">
        <v>25035</v>
      </c>
      <c r="R201" s="81"/>
      <c r="S201" s="87"/>
      <c r="T201" s="81"/>
      <c r="U201" s="81"/>
      <c r="V201" s="81"/>
      <c r="W201" s="81"/>
      <c r="X201" s="81"/>
      <c r="Y201" s="81"/>
      <c r="Z201" s="81"/>
    </row>
    <row r="202" ht="15.75" customHeight="1">
      <c r="A202" s="81" t="s">
        <v>17907</v>
      </c>
      <c r="B202" s="81" t="s">
        <v>25036</v>
      </c>
      <c r="C202" s="81" t="s">
        <v>25037</v>
      </c>
      <c r="D202" s="81" t="s">
        <v>24344</v>
      </c>
      <c r="E202" s="81" t="s">
        <v>8249</v>
      </c>
      <c r="F202" s="83" t="s">
        <v>17906</v>
      </c>
      <c r="G202" s="81"/>
      <c r="H202" s="88" t="b">
        <v>1</v>
      </c>
      <c r="I202" s="81"/>
      <c r="J202" s="86">
        <v>9.0</v>
      </c>
      <c r="K202" s="81" t="s">
        <v>25038</v>
      </c>
      <c r="L202" s="86">
        <v>97430.0</v>
      </c>
      <c r="M202" s="81" t="s">
        <v>71</v>
      </c>
      <c r="N202" s="81" t="s">
        <v>3501</v>
      </c>
      <c r="O202" s="83" t="s">
        <v>8246</v>
      </c>
      <c r="P202" s="81"/>
      <c r="Q202" s="75" t="s">
        <v>25039</v>
      </c>
      <c r="R202" s="81"/>
      <c r="S202" s="87"/>
      <c r="T202" s="81"/>
      <c r="U202" s="81"/>
      <c r="V202" s="81"/>
      <c r="W202" s="81"/>
      <c r="X202" s="81"/>
      <c r="Y202" s="81"/>
      <c r="Z202" s="81"/>
    </row>
    <row r="203" ht="15.75" customHeight="1">
      <c r="A203" s="81"/>
      <c r="B203" s="81"/>
      <c r="C203" s="81"/>
      <c r="D203" s="85"/>
      <c r="E203" s="81"/>
      <c r="F203" s="83"/>
      <c r="G203" s="81"/>
      <c r="H203" s="84"/>
      <c r="I203" s="81"/>
      <c r="J203" s="86"/>
      <c r="K203" s="81"/>
      <c r="L203" s="86"/>
      <c r="M203" s="81"/>
      <c r="N203" s="81"/>
      <c r="O203" s="83"/>
      <c r="P203" s="81"/>
      <c r="Q203" s="75"/>
      <c r="R203" s="81"/>
      <c r="S203" s="87"/>
      <c r="T203" s="81"/>
      <c r="U203" s="81"/>
      <c r="V203" s="81"/>
      <c r="W203" s="81"/>
      <c r="X203" s="81"/>
      <c r="Y203" s="81"/>
      <c r="Z203" s="81"/>
    </row>
    <row r="204" ht="15.75" customHeight="1">
      <c r="A204" s="81" t="s">
        <v>13990</v>
      </c>
      <c r="B204" s="81" t="s">
        <v>215</v>
      </c>
      <c r="C204" s="81" t="s">
        <v>25040</v>
      </c>
      <c r="D204" s="81" t="s">
        <v>24344</v>
      </c>
      <c r="E204" s="82" t="s">
        <v>13988</v>
      </c>
      <c r="F204" s="83" t="s">
        <v>13989</v>
      </c>
      <c r="G204" s="81"/>
      <c r="H204" s="88" t="b">
        <v>1</v>
      </c>
      <c r="I204" s="85">
        <v>1.0</v>
      </c>
      <c r="J204" s="81"/>
      <c r="K204" s="81" t="s">
        <v>9191</v>
      </c>
      <c r="L204" s="86">
        <v>97418.0</v>
      </c>
      <c r="M204" s="81" t="s">
        <v>216</v>
      </c>
      <c r="N204" s="81"/>
      <c r="O204" s="94" t="s">
        <v>25041</v>
      </c>
      <c r="P204" s="81"/>
      <c r="Q204" s="46" t="s">
        <v>25042</v>
      </c>
      <c r="R204" s="81"/>
      <c r="S204" s="87"/>
      <c r="T204" s="81"/>
      <c r="U204" s="81"/>
      <c r="V204" s="81"/>
      <c r="W204" s="81"/>
      <c r="X204" s="81"/>
      <c r="Y204" s="81"/>
      <c r="Z204" s="81"/>
    </row>
    <row r="205" ht="15.75" customHeight="1">
      <c r="A205" s="81" t="s">
        <v>18770</v>
      </c>
      <c r="B205" s="81" t="s">
        <v>215</v>
      </c>
      <c r="C205" s="81" t="s">
        <v>25043</v>
      </c>
      <c r="D205" s="85" t="s">
        <v>24334</v>
      </c>
      <c r="E205" s="81" t="s">
        <v>3951</v>
      </c>
      <c r="F205" s="83" t="s">
        <v>18768</v>
      </c>
      <c r="G205" s="81"/>
      <c r="H205" s="84" t="b">
        <v>1</v>
      </c>
      <c r="I205" s="81"/>
      <c r="J205" s="81"/>
      <c r="K205" s="81" t="s">
        <v>16457</v>
      </c>
      <c r="L205" s="86">
        <v>97418.0</v>
      </c>
      <c r="M205" s="81" t="s">
        <v>216</v>
      </c>
      <c r="N205" s="81"/>
      <c r="O205" s="83" t="s">
        <v>3945</v>
      </c>
      <c r="P205" s="81"/>
      <c r="Q205" s="75" t="s">
        <v>25044</v>
      </c>
      <c r="R205" s="81"/>
      <c r="S205" s="87"/>
      <c r="T205" s="81"/>
      <c r="U205" s="81"/>
      <c r="V205" s="81"/>
      <c r="W205" s="81"/>
      <c r="X205" s="81"/>
      <c r="Y205" s="81"/>
      <c r="Z205" s="81"/>
    </row>
    <row r="206" ht="15.75" customHeight="1">
      <c r="A206" s="81" t="s">
        <v>16762</v>
      </c>
      <c r="B206" s="85" t="s">
        <v>25045</v>
      </c>
      <c r="C206" s="81" t="s">
        <v>24671</v>
      </c>
      <c r="D206" s="85" t="s">
        <v>24334</v>
      </c>
      <c r="E206" s="81" t="s">
        <v>1864</v>
      </c>
      <c r="F206" s="83" t="s">
        <v>16760</v>
      </c>
      <c r="G206" s="81"/>
      <c r="H206" s="84" t="b">
        <v>1</v>
      </c>
      <c r="I206" s="85">
        <v>2.0</v>
      </c>
      <c r="J206" s="86">
        <v>9.0</v>
      </c>
      <c r="K206" s="81" t="s">
        <v>24773</v>
      </c>
      <c r="L206" s="86">
        <v>97414.0</v>
      </c>
      <c r="M206" s="81" t="s">
        <v>40</v>
      </c>
      <c r="N206" s="81"/>
      <c r="O206" s="83" t="s">
        <v>25046</v>
      </c>
      <c r="P206" s="81"/>
      <c r="Q206" s="75" t="s">
        <v>25047</v>
      </c>
      <c r="R206" s="81"/>
      <c r="S206" s="87"/>
      <c r="T206" s="81"/>
      <c r="U206" s="81"/>
      <c r="V206" s="81"/>
      <c r="W206" s="81"/>
      <c r="X206" s="81"/>
      <c r="Y206" s="81"/>
      <c r="Z206" s="81"/>
    </row>
    <row r="207" ht="15.75" customHeight="1">
      <c r="A207" s="81" t="s">
        <v>17432</v>
      </c>
      <c r="B207" s="81" t="s">
        <v>215</v>
      </c>
      <c r="C207" s="81" t="s">
        <v>25048</v>
      </c>
      <c r="D207" s="81" t="s">
        <v>24344</v>
      </c>
      <c r="E207" s="85" t="s">
        <v>25049</v>
      </c>
      <c r="F207" s="91" t="s">
        <v>17427</v>
      </c>
      <c r="G207" s="81"/>
      <c r="H207" s="88" t="b">
        <v>1</v>
      </c>
      <c r="I207" s="85">
        <v>1.0</v>
      </c>
      <c r="J207" s="99">
        <v>44349.0</v>
      </c>
      <c r="K207" s="81" t="s">
        <v>17424</v>
      </c>
      <c r="L207" s="86">
        <v>97480.0</v>
      </c>
      <c r="M207" s="81" t="s">
        <v>123</v>
      </c>
      <c r="N207" s="81" t="s">
        <v>206</v>
      </c>
      <c r="O207" s="83" t="s">
        <v>6433</v>
      </c>
      <c r="P207" s="81"/>
      <c r="Q207" s="46" t="s">
        <v>25050</v>
      </c>
      <c r="R207" s="81"/>
      <c r="S207" s="87"/>
      <c r="T207" s="81"/>
      <c r="U207" s="81"/>
      <c r="V207" s="81"/>
      <c r="W207" s="81"/>
      <c r="X207" s="81"/>
      <c r="Y207" s="81"/>
      <c r="Z207" s="81"/>
    </row>
    <row r="208" ht="15.75" customHeight="1">
      <c r="A208" s="81" t="s">
        <v>20087</v>
      </c>
      <c r="B208" s="81" t="s">
        <v>215</v>
      </c>
      <c r="C208" s="81" t="s">
        <v>24419</v>
      </c>
      <c r="D208" s="85" t="s">
        <v>24334</v>
      </c>
      <c r="E208" s="85" t="s">
        <v>25051</v>
      </c>
      <c r="F208" s="91" t="s">
        <v>20085</v>
      </c>
      <c r="G208" s="81"/>
      <c r="H208" s="84" t="b">
        <v>1</v>
      </c>
      <c r="I208" s="85">
        <v>1.0</v>
      </c>
      <c r="J208" s="86">
        <v>9.0</v>
      </c>
      <c r="K208" s="81" t="s">
        <v>25052</v>
      </c>
      <c r="L208" s="86">
        <v>97430.0</v>
      </c>
      <c r="M208" s="81" t="s">
        <v>71</v>
      </c>
      <c r="N208" s="81"/>
      <c r="O208" s="94" t="s">
        <v>25053</v>
      </c>
      <c r="P208" s="81"/>
      <c r="Q208" s="75" t="s">
        <v>25054</v>
      </c>
      <c r="R208" s="81"/>
      <c r="S208" s="87"/>
      <c r="T208" s="81"/>
      <c r="U208" s="81"/>
      <c r="V208" s="81"/>
      <c r="W208" s="81"/>
      <c r="X208" s="81"/>
      <c r="Y208" s="81"/>
      <c r="Z208" s="81"/>
    </row>
    <row r="209" ht="15.75" customHeight="1">
      <c r="A209" s="81" t="s">
        <v>15296</v>
      </c>
      <c r="B209" s="81" t="s">
        <v>215</v>
      </c>
      <c r="C209" s="81" t="s">
        <v>25055</v>
      </c>
      <c r="D209" s="85" t="s">
        <v>24334</v>
      </c>
      <c r="E209" s="81" t="s">
        <v>3696</v>
      </c>
      <c r="F209" s="83" t="s">
        <v>25056</v>
      </c>
      <c r="G209" s="81"/>
      <c r="H209" s="84" t="b">
        <v>0</v>
      </c>
      <c r="I209" s="85">
        <v>0.0</v>
      </c>
      <c r="J209" s="86">
        <v>15.0</v>
      </c>
      <c r="K209" s="81" t="s">
        <v>25057</v>
      </c>
      <c r="L209" s="86">
        <v>97480.0</v>
      </c>
      <c r="M209" s="81" t="s">
        <v>123</v>
      </c>
      <c r="N209" s="81"/>
      <c r="O209" s="83" t="s">
        <v>25058</v>
      </c>
      <c r="P209" s="81"/>
      <c r="Q209" s="75" t="s">
        <v>25059</v>
      </c>
      <c r="R209" s="81"/>
      <c r="S209" s="87"/>
      <c r="T209" s="81"/>
      <c r="U209" s="81"/>
      <c r="V209" s="81"/>
      <c r="W209" s="81"/>
      <c r="X209" s="81"/>
      <c r="Y209" s="81"/>
      <c r="Z209" s="81"/>
    </row>
    <row r="210" ht="15.75" customHeight="1">
      <c r="A210" s="81" t="s">
        <v>14635</v>
      </c>
      <c r="B210" s="81" t="s">
        <v>215</v>
      </c>
      <c r="C210" s="81" t="s">
        <v>24419</v>
      </c>
      <c r="D210" s="85" t="s">
        <v>24334</v>
      </c>
      <c r="E210" s="81" t="s">
        <v>8660</v>
      </c>
      <c r="F210" s="83" t="s">
        <v>12531</v>
      </c>
      <c r="G210" s="81"/>
      <c r="H210" s="84" t="b">
        <v>1</v>
      </c>
      <c r="I210" s="85">
        <v>1.0</v>
      </c>
      <c r="J210" s="86">
        <v>60.0</v>
      </c>
      <c r="K210" s="81" t="s">
        <v>19898</v>
      </c>
      <c r="L210" s="86">
        <v>97414.0</v>
      </c>
      <c r="M210" s="81" t="s">
        <v>40</v>
      </c>
      <c r="N210" s="81"/>
      <c r="O210" s="83" t="s">
        <v>8657</v>
      </c>
      <c r="P210" s="81"/>
      <c r="Q210" s="46" t="s">
        <v>25060</v>
      </c>
      <c r="R210" s="81"/>
      <c r="S210" s="87"/>
      <c r="T210" s="81"/>
      <c r="U210" s="81"/>
      <c r="V210" s="81"/>
      <c r="W210" s="81"/>
      <c r="X210" s="81"/>
      <c r="Y210" s="81"/>
      <c r="Z210" s="81"/>
    </row>
    <row r="211" ht="15.75" customHeight="1">
      <c r="A211" s="81" t="s">
        <v>12533</v>
      </c>
      <c r="B211" s="81" t="s">
        <v>215</v>
      </c>
      <c r="C211" s="81" t="s">
        <v>25061</v>
      </c>
      <c r="D211" s="85" t="s">
        <v>24334</v>
      </c>
      <c r="E211" s="81" t="s">
        <v>5143</v>
      </c>
      <c r="F211" s="83" t="s">
        <v>15350</v>
      </c>
      <c r="G211" s="81"/>
      <c r="H211" s="84" t="b">
        <v>1</v>
      </c>
      <c r="I211" s="85">
        <v>2.0</v>
      </c>
      <c r="J211" s="86">
        <v>17.0</v>
      </c>
      <c r="K211" s="81" t="s">
        <v>25062</v>
      </c>
      <c r="L211" s="86">
        <v>97480.0</v>
      </c>
      <c r="M211" s="81" t="s">
        <v>123</v>
      </c>
      <c r="N211" s="81"/>
      <c r="O211" s="83" t="s">
        <v>25063</v>
      </c>
      <c r="P211" s="81"/>
      <c r="Q211" s="46" t="s">
        <v>25064</v>
      </c>
      <c r="R211" s="81"/>
      <c r="S211" s="87"/>
      <c r="T211" s="81"/>
      <c r="U211" s="81"/>
      <c r="V211" s="81"/>
      <c r="W211" s="81"/>
      <c r="X211" s="81"/>
      <c r="Y211" s="81"/>
      <c r="Z211" s="81"/>
    </row>
    <row r="212" ht="15.75" customHeight="1">
      <c r="A212" s="81" t="s">
        <v>15351</v>
      </c>
      <c r="B212" s="81" t="s">
        <v>215</v>
      </c>
      <c r="C212" s="81" t="s">
        <v>25065</v>
      </c>
      <c r="D212" s="85" t="s">
        <v>24334</v>
      </c>
      <c r="E212" s="81" t="s">
        <v>1582</v>
      </c>
      <c r="F212" s="83" t="s">
        <v>18711</v>
      </c>
      <c r="G212" s="81"/>
      <c r="H212" s="84" t="b">
        <v>0</v>
      </c>
      <c r="I212" s="85">
        <v>0.0</v>
      </c>
      <c r="J212" s="86">
        <v>222.0</v>
      </c>
      <c r="K212" s="81" t="s">
        <v>23115</v>
      </c>
      <c r="L212" s="86">
        <v>97418.0</v>
      </c>
      <c r="M212" s="81" t="s">
        <v>216</v>
      </c>
      <c r="N212" s="81"/>
      <c r="O212" s="83" t="s">
        <v>1579</v>
      </c>
      <c r="P212" s="81"/>
      <c r="Q212" s="75" t="s">
        <v>25066</v>
      </c>
      <c r="R212" s="81"/>
      <c r="S212" s="87"/>
      <c r="T212" s="81"/>
      <c r="U212" s="81"/>
      <c r="V212" s="81"/>
      <c r="W212" s="81"/>
      <c r="X212" s="81"/>
      <c r="Y212" s="81"/>
      <c r="Z212" s="81"/>
    </row>
    <row r="213" ht="15.75" customHeight="1">
      <c r="A213" s="81" t="s">
        <v>18714</v>
      </c>
      <c r="B213" s="81" t="s">
        <v>215</v>
      </c>
      <c r="C213" s="81" t="s">
        <v>25055</v>
      </c>
      <c r="D213" s="85" t="s">
        <v>24334</v>
      </c>
      <c r="E213" s="85" t="s">
        <v>25067</v>
      </c>
      <c r="F213" s="91" t="s">
        <v>18711</v>
      </c>
      <c r="G213" s="81"/>
      <c r="H213" s="84" t="b">
        <v>0</v>
      </c>
      <c r="I213" s="85">
        <v>0.0</v>
      </c>
      <c r="J213" s="86">
        <v>24.0</v>
      </c>
      <c r="K213" s="81" t="s">
        <v>25068</v>
      </c>
      <c r="L213" s="86">
        <v>97480.0</v>
      </c>
      <c r="M213" s="81" t="s">
        <v>123</v>
      </c>
      <c r="N213" s="81"/>
      <c r="O213" s="83" t="s">
        <v>4879</v>
      </c>
      <c r="P213" s="81"/>
      <c r="Q213" s="75" t="s">
        <v>25069</v>
      </c>
      <c r="R213" s="81"/>
      <c r="S213" s="87"/>
      <c r="T213" s="81"/>
      <c r="U213" s="81"/>
      <c r="V213" s="81"/>
      <c r="W213" s="81"/>
      <c r="X213" s="81"/>
      <c r="Y213" s="81"/>
      <c r="Z213" s="81"/>
    </row>
    <row r="214" ht="15.75" customHeight="1">
      <c r="A214" s="81" t="s">
        <v>19141</v>
      </c>
      <c r="B214" s="81" t="s">
        <v>215</v>
      </c>
      <c r="C214" s="81" t="s">
        <v>25070</v>
      </c>
      <c r="D214" s="85" t="s">
        <v>24334</v>
      </c>
      <c r="E214" s="81" t="s">
        <v>8157</v>
      </c>
      <c r="F214" s="83" t="s">
        <v>19139</v>
      </c>
      <c r="G214" s="81"/>
      <c r="H214" s="84" t="b">
        <v>1</v>
      </c>
      <c r="I214" s="81"/>
      <c r="J214" s="86">
        <v>110.0</v>
      </c>
      <c r="K214" s="81" t="s">
        <v>13675</v>
      </c>
      <c r="L214" s="86">
        <v>97430.0</v>
      </c>
      <c r="M214" s="81" t="s">
        <v>71</v>
      </c>
      <c r="N214" s="81" t="s">
        <v>9050</v>
      </c>
      <c r="O214" s="83" t="s">
        <v>8153</v>
      </c>
      <c r="P214" s="81"/>
      <c r="Q214" s="75" t="s">
        <v>25071</v>
      </c>
      <c r="R214" s="81"/>
      <c r="S214" s="87"/>
      <c r="T214" s="81"/>
      <c r="U214" s="81"/>
      <c r="V214" s="81"/>
      <c r="W214" s="81"/>
      <c r="X214" s="81"/>
      <c r="Y214" s="81"/>
      <c r="Z214" s="81"/>
    </row>
    <row r="215" ht="15.75" customHeight="1">
      <c r="A215" s="81" t="s">
        <v>20950</v>
      </c>
      <c r="B215" s="81" t="s">
        <v>215</v>
      </c>
      <c r="C215" s="81" t="s">
        <v>25072</v>
      </c>
      <c r="D215" s="81" t="s">
        <v>24344</v>
      </c>
      <c r="E215" s="81" t="s">
        <v>9691</v>
      </c>
      <c r="F215" s="83" t="s">
        <v>20949</v>
      </c>
      <c r="G215" s="81"/>
      <c r="H215" s="88" t="b">
        <v>1</v>
      </c>
      <c r="I215" s="81"/>
      <c r="J215" s="86">
        <v>88.0</v>
      </c>
      <c r="K215" s="81" t="s">
        <v>15693</v>
      </c>
      <c r="L215" s="86">
        <v>97430.0</v>
      </c>
      <c r="M215" s="81" t="s">
        <v>71</v>
      </c>
      <c r="N215" s="81"/>
      <c r="O215" s="83" t="s">
        <v>9688</v>
      </c>
      <c r="P215" s="81"/>
      <c r="Q215" s="75" t="s">
        <v>25073</v>
      </c>
      <c r="R215" s="81"/>
      <c r="S215" s="87"/>
      <c r="T215" s="81"/>
      <c r="U215" s="81"/>
      <c r="V215" s="81"/>
      <c r="W215" s="81"/>
      <c r="X215" s="81"/>
      <c r="Y215" s="81"/>
      <c r="Z215" s="81"/>
    </row>
    <row r="216" ht="15.75" customHeight="1">
      <c r="A216" s="81" t="s">
        <v>15443</v>
      </c>
      <c r="B216" s="81" t="s">
        <v>25074</v>
      </c>
      <c r="C216" s="81" t="s">
        <v>25075</v>
      </c>
      <c r="D216" s="81" t="s">
        <v>24344</v>
      </c>
      <c r="E216" s="81" t="s">
        <v>15441</v>
      </c>
      <c r="F216" s="91" t="s">
        <v>15442</v>
      </c>
      <c r="G216" s="85" t="s">
        <v>24420</v>
      </c>
      <c r="H216" s="88" t="b">
        <v>1</v>
      </c>
      <c r="I216" s="85">
        <v>1.0</v>
      </c>
      <c r="J216" s="86">
        <v>21.0</v>
      </c>
      <c r="K216" s="81" t="s">
        <v>25076</v>
      </c>
      <c r="L216" s="86">
        <v>97480.0</v>
      </c>
      <c r="M216" s="81" t="s">
        <v>123</v>
      </c>
      <c r="N216" s="81"/>
      <c r="O216" s="83" t="s">
        <v>8380</v>
      </c>
      <c r="P216" s="81"/>
      <c r="Q216" s="46" t="s">
        <v>25077</v>
      </c>
      <c r="R216" s="81"/>
      <c r="S216" s="87"/>
      <c r="T216" s="81"/>
      <c r="U216" s="81"/>
      <c r="V216" s="81"/>
      <c r="W216" s="81"/>
      <c r="X216" s="81"/>
      <c r="Y216" s="81"/>
      <c r="Z216" s="81"/>
    </row>
    <row r="217" ht="15.75" customHeight="1">
      <c r="A217" s="81" t="s">
        <v>12609</v>
      </c>
      <c r="B217" s="81" t="s">
        <v>215</v>
      </c>
      <c r="C217" s="81" t="s">
        <v>125</v>
      </c>
      <c r="D217" s="85" t="s">
        <v>24334</v>
      </c>
      <c r="E217" s="81" t="s">
        <v>8722</v>
      </c>
      <c r="F217" s="83" t="s">
        <v>12607</v>
      </c>
      <c r="G217" s="85" t="s">
        <v>24335</v>
      </c>
      <c r="H217" s="84" t="b">
        <v>1</v>
      </c>
      <c r="I217" s="85">
        <v>2.0</v>
      </c>
      <c r="J217" s="86">
        <v>5.0</v>
      </c>
      <c r="K217" s="81" t="s">
        <v>25078</v>
      </c>
      <c r="L217" s="86">
        <v>97480.0</v>
      </c>
      <c r="M217" s="81" t="s">
        <v>123</v>
      </c>
      <c r="N217" s="81" t="s">
        <v>206</v>
      </c>
      <c r="O217" s="94" t="s">
        <v>25079</v>
      </c>
      <c r="P217" s="81"/>
      <c r="Q217" s="46" t="s">
        <v>25080</v>
      </c>
      <c r="R217" s="92">
        <v>44506.0</v>
      </c>
      <c r="S217" s="93" t="s">
        <v>24460</v>
      </c>
      <c r="T217" s="81"/>
      <c r="U217" s="81"/>
      <c r="V217" s="81"/>
      <c r="W217" s="81"/>
      <c r="X217" s="81"/>
      <c r="Y217" s="81"/>
      <c r="Z217" s="81"/>
    </row>
    <row r="218" ht="15.75" customHeight="1">
      <c r="A218" s="81" t="s">
        <v>17808</v>
      </c>
      <c r="B218" s="81" t="s">
        <v>25081</v>
      </c>
      <c r="C218" s="81"/>
      <c r="D218" s="81"/>
      <c r="E218" s="81" t="s">
        <v>2486</v>
      </c>
      <c r="F218" s="83" t="s">
        <v>25082</v>
      </c>
      <c r="G218" s="81"/>
      <c r="H218" s="84" t="b">
        <v>1</v>
      </c>
      <c r="I218" s="81"/>
      <c r="J218" s="86">
        <v>4.0</v>
      </c>
      <c r="K218" s="81" t="s">
        <v>25083</v>
      </c>
      <c r="L218" s="86">
        <v>97442.0</v>
      </c>
      <c r="M218" s="81" t="s">
        <v>33</v>
      </c>
      <c r="N218" s="81"/>
      <c r="O218" s="83" t="s">
        <v>2483</v>
      </c>
      <c r="P218" s="81"/>
      <c r="Q218" s="75" t="s">
        <v>25084</v>
      </c>
      <c r="R218" s="81"/>
      <c r="S218" s="87"/>
      <c r="T218" s="81"/>
      <c r="U218" s="81"/>
      <c r="V218" s="81"/>
      <c r="W218" s="81"/>
      <c r="X218" s="81"/>
      <c r="Y218" s="81"/>
      <c r="Z218" s="81"/>
    </row>
    <row r="219" ht="15.75" customHeight="1">
      <c r="A219" s="81" t="s">
        <v>17454</v>
      </c>
      <c r="B219" s="81" t="s">
        <v>25085</v>
      </c>
      <c r="C219" s="81" t="s">
        <v>25086</v>
      </c>
      <c r="D219" s="85" t="s">
        <v>24334</v>
      </c>
      <c r="E219" s="81" t="s">
        <v>2016</v>
      </c>
      <c r="F219" s="83" t="s">
        <v>17452</v>
      </c>
      <c r="G219" s="81"/>
      <c r="H219" s="84" t="b">
        <v>1</v>
      </c>
      <c r="I219" s="85">
        <v>1.0</v>
      </c>
      <c r="J219" s="86">
        <v>140.0</v>
      </c>
      <c r="K219" s="81" t="s">
        <v>25087</v>
      </c>
      <c r="L219" s="86">
        <v>97480.0</v>
      </c>
      <c r="M219" s="81" t="s">
        <v>123</v>
      </c>
      <c r="N219" s="81"/>
      <c r="O219" s="83" t="s">
        <v>2009</v>
      </c>
      <c r="P219" s="81"/>
      <c r="Q219" s="75" t="s">
        <v>25088</v>
      </c>
      <c r="R219" s="81"/>
      <c r="S219" s="87"/>
      <c r="T219" s="81"/>
      <c r="U219" s="81"/>
      <c r="V219" s="81"/>
      <c r="W219" s="81"/>
      <c r="X219" s="81"/>
      <c r="Y219" s="81"/>
      <c r="Z219" s="81"/>
    </row>
    <row r="220" ht="15.75" customHeight="1">
      <c r="A220" s="81" t="s">
        <v>14549</v>
      </c>
      <c r="B220" s="81" t="s">
        <v>25089</v>
      </c>
      <c r="C220" s="81" t="s">
        <v>25090</v>
      </c>
      <c r="D220" s="81" t="s">
        <v>24344</v>
      </c>
      <c r="E220" s="81" t="s">
        <v>5157</v>
      </c>
      <c r="F220" s="91" t="s">
        <v>25091</v>
      </c>
      <c r="G220" s="81"/>
      <c r="H220" s="84" t="b">
        <v>1</v>
      </c>
      <c r="I220" s="85">
        <v>1.0</v>
      </c>
      <c r="J220" s="86">
        <v>18.0</v>
      </c>
      <c r="K220" s="81" t="s">
        <v>15282</v>
      </c>
      <c r="L220" s="86">
        <v>97480.0</v>
      </c>
      <c r="M220" s="81" t="s">
        <v>123</v>
      </c>
      <c r="N220" s="81"/>
      <c r="O220" s="83" t="s">
        <v>255</v>
      </c>
      <c r="P220" s="81"/>
      <c r="Q220" s="46" t="s">
        <v>25092</v>
      </c>
      <c r="R220" s="81"/>
      <c r="S220" s="87"/>
      <c r="T220" s="81"/>
      <c r="U220" s="81"/>
      <c r="V220" s="81"/>
      <c r="W220" s="81"/>
      <c r="X220" s="81"/>
      <c r="Y220" s="81"/>
      <c r="Z220" s="81"/>
    </row>
    <row r="221" ht="15.75" customHeight="1">
      <c r="A221" s="81" t="s">
        <v>19718</v>
      </c>
      <c r="B221" s="85" t="s">
        <v>25093</v>
      </c>
      <c r="C221" s="85" t="s">
        <v>25094</v>
      </c>
      <c r="D221" s="85" t="s">
        <v>24344</v>
      </c>
      <c r="E221" s="81" t="s">
        <v>19712</v>
      </c>
      <c r="F221" s="83"/>
      <c r="G221" s="81"/>
      <c r="H221" s="88" t="b">
        <v>1</v>
      </c>
      <c r="I221" s="85">
        <v>1.0</v>
      </c>
      <c r="J221" s="86">
        <v>120.0</v>
      </c>
      <c r="K221" s="81" t="s">
        <v>24508</v>
      </c>
      <c r="L221" s="86">
        <v>97430.0</v>
      </c>
      <c r="M221" s="81" t="s">
        <v>71</v>
      </c>
      <c r="N221" s="81"/>
      <c r="O221" s="83" t="s">
        <v>9147</v>
      </c>
      <c r="P221" s="81"/>
      <c r="Q221" s="46" t="s">
        <v>25095</v>
      </c>
      <c r="R221" s="81"/>
      <c r="S221" s="87"/>
      <c r="T221" s="81"/>
      <c r="U221" s="81"/>
      <c r="V221" s="81"/>
      <c r="W221" s="81"/>
      <c r="X221" s="81"/>
      <c r="Y221" s="81"/>
      <c r="Z221" s="81"/>
    </row>
    <row r="222" ht="15.75" customHeight="1">
      <c r="A222" s="81" t="s">
        <v>20069</v>
      </c>
      <c r="B222" s="81" t="s">
        <v>25096</v>
      </c>
      <c r="C222" s="81" t="s">
        <v>25097</v>
      </c>
      <c r="D222" s="85" t="s">
        <v>24334</v>
      </c>
      <c r="E222" s="81" t="s">
        <v>6542</v>
      </c>
      <c r="F222" s="83" t="s">
        <v>20067</v>
      </c>
      <c r="G222" s="81"/>
      <c r="H222" s="84" t="b">
        <v>1</v>
      </c>
      <c r="I222" s="81"/>
      <c r="J222" s="86">
        <v>124.0</v>
      </c>
      <c r="K222" s="81" t="s">
        <v>12806</v>
      </c>
      <c r="L222" s="86">
        <v>97480.0</v>
      </c>
      <c r="M222" s="81" t="s">
        <v>123</v>
      </c>
      <c r="N222" s="81"/>
      <c r="O222" s="83" t="s">
        <v>271</v>
      </c>
      <c r="P222" s="81"/>
      <c r="Q222" s="75" t="s">
        <v>25098</v>
      </c>
      <c r="R222" s="81"/>
      <c r="S222" s="87"/>
      <c r="T222" s="81"/>
      <c r="U222" s="81"/>
      <c r="V222" s="81"/>
      <c r="W222" s="81"/>
      <c r="X222" s="81"/>
      <c r="Y222" s="81"/>
      <c r="Z222" s="81"/>
    </row>
    <row r="223" ht="15.75" customHeight="1">
      <c r="A223" s="81" t="s">
        <v>16236</v>
      </c>
      <c r="B223" s="81" t="s">
        <v>25099</v>
      </c>
      <c r="C223" s="81" t="s">
        <v>24898</v>
      </c>
      <c r="D223" s="81" t="s">
        <v>24344</v>
      </c>
      <c r="E223" s="81" t="s">
        <v>3531</v>
      </c>
      <c r="F223" s="83" t="s">
        <v>16231</v>
      </c>
      <c r="G223" s="81"/>
      <c r="H223" s="84" t="b">
        <v>1</v>
      </c>
      <c r="I223" s="85">
        <v>1.0</v>
      </c>
      <c r="J223" s="86">
        <v>2.0</v>
      </c>
      <c r="K223" s="81" t="s">
        <v>12977</v>
      </c>
      <c r="L223" s="86">
        <v>97414.0</v>
      </c>
      <c r="M223" s="81" t="s">
        <v>40</v>
      </c>
      <c r="N223" s="81"/>
      <c r="O223" s="83" t="s">
        <v>3527</v>
      </c>
      <c r="P223" s="81"/>
      <c r="Q223" s="62" t="s">
        <v>25100</v>
      </c>
      <c r="R223" s="81"/>
      <c r="S223" s="87"/>
      <c r="T223" s="81"/>
      <c r="U223" s="81"/>
      <c r="V223" s="81"/>
      <c r="W223" s="81"/>
      <c r="X223" s="81"/>
      <c r="Y223" s="81"/>
      <c r="Z223" s="81"/>
    </row>
    <row r="224" ht="15.75" customHeight="1">
      <c r="A224" s="81" t="s">
        <v>14535</v>
      </c>
      <c r="B224" s="81" t="s">
        <v>25101</v>
      </c>
      <c r="C224" s="81" t="s">
        <v>25102</v>
      </c>
      <c r="D224" s="81" t="s">
        <v>24344</v>
      </c>
      <c r="E224" s="81" t="s">
        <v>9326</v>
      </c>
      <c r="F224" s="83" t="s">
        <v>14529</v>
      </c>
      <c r="G224" s="81"/>
      <c r="H224" s="84" t="b">
        <v>1</v>
      </c>
      <c r="I224" s="81"/>
      <c r="J224" s="81"/>
      <c r="K224" s="85" t="s">
        <v>14566</v>
      </c>
      <c r="L224" s="86">
        <v>97442.0</v>
      </c>
      <c r="M224" s="81" t="s">
        <v>33</v>
      </c>
      <c r="N224" s="81"/>
      <c r="O224" s="83" t="s">
        <v>9323</v>
      </c>
      <c r="P224" s="81"/>
      <c r="Q224" s="75" t="s">
        <v>25103</v>
      </c>
      <c r="R224" s="81"/>
      <c r="S224" s="87"/>
      <c r="T224" s="81"/>
      <c r="U224" s="81"/>
      <c r="V224" s="81"/>
      <c r="W224" s="81"/>
      <c r="X224" s="81"/>
      <c r="Y224" s="81"/>
      <c r="Z224" s="81"/>
    </row>
    <row r="225" ht="15.75" customHeight="1">
      <c r="A225" s="81" t="s">
        <v>19075</v>
      </c>
      <c r="B225" s="81" t="s">
        <v>25104</v>
      </c>
      <c r="C225" s="81" t="s">
        <v>25105</v>
      </c>
      <c r="D225" s="81" t="s">
        <v>24344</v>
      </c>
      <c r="E225" s="81" t="s">
        <v>9823</v>
      </c>
      <c r="F225" s="83" t="s">
        <v>19073</v>
      </c>
      <c r="G225" s="81"/>
      <c r="H225" s="84" t="b">
        <v>0</v>
      </c>
      <c r="I225" s="81"/>
      <c r="J225" s="86">
        <v>62.0</v>
      </c>
      <c r="K225" s="81" t="s">
        <v>17205</v>
      </c>
      <c r="L225" s="86">
        <v>97442.0</v>
      </c>
      <c r="M225" s="81" t="s">
        <v>33</v>
      </c>
      <c r="N225" s="81"/>
      <c r="O225" s="83" t="s">
        <v>9819</v>
      </c>
      <c r="P225" s="81"/>
      <c r="Q225" s="75" t="s">
        <v>25106</v>
      </c>
      <c r="R225" s="81"/>
      <c r="S225" s="87"/>
      <c r="T225" s="81"/>
      <c r="U225" s="81"/>
      <c r="V225" s="81"/>
      <c r="W225" s="81"/>
      <c r="X225" s="81"/>
      <c r="Y225" s="81"/>
      <c r="Z225" s="81"/>
    </row>
    <row r="226" ht="15.75" customHeight="1">
      <c r="A226" s="81" t="s">
        <v>13822</v>
      </c>
      <c r="B226" s="81" t="s">
        <v>25107</v>
      </c>
      <c r="C226" s="81" t="s">
        <v>25108</v>
      </c>
      <c r="D226" s="85" t="s">
        <v>24334</v>
      </c>
      <c r="E226" s="81" t="s">
        <v>8603</v>
      </c>
      <c r="F226" s="83" t="s">
        <v>25109</v>
      </c>
      <c r="G226" s="81"/>
      <c r="H226" s="84" t="b">
        <v>1</v>
      </c>
      <c r="I226" s="81"/>
      <c r="J226" s="86">
        <v>150.0</v>
      </c>
      <c r="K226" s="81" t="s">
        <v>25110</v>
      </c>
      <c r="L226" s="86">
        <v>97430.0</v>
      </c>
      <c r="M226" s="81" t="s">
        <v>71</v>
      </c>
      <c r="N226" s="81"/>
      <c r="O226" s="83" t="s">
        <v>8598</v>
      </c>
      <c r="P226" s="81"/>
      <c r="Q226" s="75" t="s">
        <v>25111</v>
      </c>
      <c r="R226" s="81"/>
      <c r="S226" s="87"/>
      <c r="T226" s="81"/>
      <c r="U226" s="81"/>
      <c r="V226" s="81"/>
      <c r="W226" s="81"/>
      <c r="X226" s="81"/>
      <c r="Y226" s="81"/>
      <c r="Z226" s="81"/>
    </row>
    <row r="227" ht="15.75" customHeight="1">
      <c r="A227" s="81" t="s">
        <v>16104</v>
      </c>
      <c r="B227" s="81" t="s">
        <v>25112</v>
      </c>
      <c r="C227" s="85" t="s">
        <v>25113</v>
      </c>
      <c r="D227" s="81" t="s">
        <v>24344</v>
      </c>
      <c r="E227" s="81" t="s">
        <v>4198</v>
      </c>
      <c r="F227" s="91" t="s">
        <v>16098</v>
      </c>
      <c r="G227" s="85" t="s">
        <v>24335</v>
      </c>
      <c r="H227" s="84" t="b">
        <v>1</v>
      </c>
      <c r="I227" s="85">
        <v>2.0</v>
      </c>
      <c r="J227" s="86">
        <v>9.0</v>
      </c>
      <c r="K227" s="81" t="s">
        <v>25078</v>
      </c>
      <c r="L227" s="86">
        <v>97480.0</v>
      </c>
      <c r="M227" s="81" t="s">
        <v>123</v>
      </c>
      <c r="N227" s="81" t="s">
        <v>206</v>
      </c>
      <c r="O227" s="94" t="s">
        <v>25114</v>
      </c>
      <c r="P227" s="85" t="s">
        <v>25115</v>
      </c>
      <c r="Q227" s="46" t="s">
        <v>25116</v>
      </c>
      <c r="R227" s="96">
        <v>21137.0</v>
      </c>
      <c r="S227" s="93" t="s">
        <v>24348</v>
      </c>
      <c r="T227" s="81"/>
      <c r="U227" s="81"/>
      <c r="V227" s="81"/>
      <c r="W227" s="81"/>
      <c r="X227" s="81"/>
      <c r="Y227" s="81"/>
      <c r="Z227" s="81"/>
    </row>
    <row r="228" ht="15.75" customHeight="1">
      <c r="A228" s="81" t="s">
        <v>18324</v>
      </c>
      <c r="B228" s="81" t="s">
        <v>25117</v>
      </c>
      <c r="C228" s="81" t="s">
        <v>25118</v>
      </c>
      <c r="D228" s="85" t="s">
        <v>24334</v>
      </c>
      <c r="E228" s="81" t="s">
        <v>2741</v>
      </c>
      <c r="F228" s="83" t="s">
        <v>18317</v>
      </c>
      <c r="G228" s="81"/>
      <c r="H228" s="84" t="b">
        <v>1</v>
      </c>
      <c r="I228" s="85">
        <v>1.0</v>
      </c>
      <c r="J228" s="86">
        <v>68.0</v>
      </c>
      <c r="K228" s="81" t="s">
        <v>17777</v>
      </c>
      <c r="L228" s="86">
        <v>97442.0</v>
      </c>
      <c r="M228" s="81" t="s">
        <v>33</v>
      </c>
      <c r="N228" s="81"/>
      <c r="O228" s="83" t="s">
        <v>2736</v>
      </c>
      <c r="P228" s="81"/>
      <c r="Q228" s="46" t="s">
        <v>25119</v>
      </c>
      <c r="R228" s="81"/>
      <c r="S228" s="87"/>
      <c r="T228" s="81"/>
      <c r="U228" s="81"/>
      <c r="V228" s="81"/>
      <c r="W228" s="81"/>
      <c r="X228" s="81"/>
      <c r="Y228" s="81"/>
      <c r="Z228" s="81"/>
    </row>
    <row r="229" ht="15.75" customHeight="1">
      <c r="A229" s="81" t="s">
        <v>25120</v>
      </c>
      <c r="B229" s="81"/>
      <c r="C229" s="81"/>
      <c r="D229" s="81"/>
      <c r="E229" s="81"/>
      <c r="F229" s="83" t="s">
        <v>12445</v>
      </c>
      <c r="G229" s="81"/>
      <c r="H229" s="88" t="b">
        <v>1</v>
      </c>
      <c r="I229" s="81"/>
      <c r="J229" s="81"/>
      <c r="K229" s="81"/>
      <c r="L229" s="81"/>
      <c r="M229" s="81"/>
      <c r="N229" s="81"/>
      <c r="O229" s="83" t="s">
        <v>10125</v>
      </c>
      <c r="P229" s="81"/>
      <c r="Q229" s="75" t="s">
        <v>25121</v>
      </c>
      <c r="R229" s="81"/>
      <c r="S229" s="87"/>
      <c r="T229" s="81"/>
      <c r="U229" s="81"/>
      <c r="V229" s="81"/>
      <c r="W229" s="81"/>
      <c r="X229" s="81"/>
      <c r="Y229" s="81"/>
      <c r="Z229" s="81"/>
    </row>
    <row r="230" ht="15.75" customHeight="1">
      <c r="A230" s="81" t="s">
        <v>19893</v>
      </c>
      <c r="B230" s="81" t="s">
        <v>25122</v>
      </c>
      <c r="C230" s="81" t="s">
        <v>67</v>
      </c>
      <c r="D230" s="85" t="s">
        <v>24334</v>
      </c>
      <c r="E230" s="81" t="s">
        <v>7788</v>
      </c>
      <c r="F230" s="83" t="s">
        <v>19891</v>
      </c>
      <c r="G230" s="81"/>
      <c r="H230" s="84" t="b">
        <v>1</v>
      </c>
      <c r="I230" s="85">
        <v>1.0</v>
      </c>
      <c r="J230" s="81" t="s">
        <v>20111</v>
      </c>
      <c r="K230" s="81" t="s">
        <v>17845</v>
      </c>
      <c r="L230" s="86">
        <v>97442.0</v>
      </c>
      <c r="M230" s="81" t="s">
        <v>33</v>
      </c>
      <c r="N230" s="81"/>
      <c r="O230" s="94" t="s">
        <v>25123</v>
      </c>
      <c r="P230" s="81"/>
      <c r="Q230" s="46" t="s">
        <v>25124</v>
      </c>
      <c r="R230" s="81"/>
      <c r="S230" s="87"/>
      <c r="T230" s="81"/>
      <c r="U230" s="81"/>
      <c r="V230" s="81"/>
      <c r="W230" s="81"/>
      <c r="X230" s="81"/>
      <c r="Y230" s="81"/>
      <c r="Z230" s="81"/>
    </row>
    <row r="231" ht="15.75" customHeight="1">
      <c r="A231" s="81" t="s">
        <v>17773</v>
      </c>
      <c r="B231" s="81" t="s">
        <v>25125</v>
      </c>
      <c r="C231" s="81" t="s">
        <v>24452</v>
      </c>
      <c r="D231" s="85" t="s">
        <v>24334</v>
      </c>
      <c r="E231" s="81" t="s">
        <v>17768</v>
      </c>
      <c r="F231" s="83" t="s">
        <v>25126</v>
      </c>
      <c r="G231" s="81"/>
      <c r="H231" s="88" t="b">
        <v>1</v>
      </c>
      <c r="I231" s="81"/>
      <c r="J231" s="81"/>
      <c r="K231" s="81" t="s">
        <v>33</v>
      </c>
      <c r="L231" s="86">
        <v>97442.0</v>
      </c>
      <c r="M231" s="81" t="s">
        <v>33</v>
      </c>
      <c r="N231" s="81"/>
      <c r="O231" s="83" t="s">
        <v>5676</v>
      </c>
      <c r="P231" s="81"/>
      <c r="Q231" s="75" t="s">
        <v>25127</v>
      </c>
      <c r="R231" s="81"/>
      <c r="S231" s="87"/>
      <c r="T231" s="81"/>
      <c r="U231" s="81"/>
      <c r="V231" s="81"/>
      <c r="W231" s="81"/>
      <c r="X231" s="81"/>
      <c r="Y231" s="81"/>
      <c r="Z231" s="81"/>
    </row>
    <row r="232" ht="15.75" customHeight="1">
      <c r="A232" s="81"/>
      <c r="B232" s="81"/>
      <c r="C232" s="81"/>
      <c r="D232" s="81"/>
      <c r="E232" s="81"/>
      <c r="F232" s="83"/>
      <c r="G232" s="81"/>
      <c r="H232" s="84"/>
      <c r="I232" s="81"/>
      <c r="J232" s="86"/>
      <c r="K232" s="81"/>
      <c r="L232" s="86"/>
      <c r="M232" s="81"/>
      <c r="N232" s="81"/>
      <c r="O232" s="83"/>
      <c r="P232" s="81"/>
      <c r="Q232" s="75"/>
      <c r="R232" s="81"/>
      <c r="S232" s="87"/>
      <c r="T232" s="81"/>
      <c r="U232" s="81"/>
      <c r="V232" s="81"/>
      <c r="W232" s="81"/>
      <c r="X232" s="81"/>
      <c r="Y232" s="81"/>
      <c r="Z232" s="81"/>
    </row>
    <row r="233" ht="15.75" customHeight="1">
      <c r="A233" s="81" t="s">
        <v>19054</v>
      </c>
      <c r="B233" s="81" t="s">
        <v>25125</v>
      </c>
      <c r="C233" s="81" t="s">
        <v>25128</v>
      </c>
      <c r="D233" s="81" t="s">
        <v>24344</v>
      </c>
      <c r="E233" s="81" t="s">
        <v>8931</v>
      </c>
      <c r="F233" s="83" t="s">
        <v>25129</v>
      </c>
      <c r="G233" s="81"/>
      <c r="H233" s="84" t="b">
        <v>1</v>
      </c>
      <c r="I233" s="85">
        <v>1.0</v>
      </c>
      <c r="J233" s="86">
        <v>54.0</v>
      </c>
      <c r="K233" s="81" t="s">
        <v>20100</v>
      </c>
      <c r="L233" s="86">
        <v>97480.0</v>
      </c>
      <c r="M233" s="81" t="s">
        <v>123</v>
      </c>
      <c r="N233" s="81"/>
      <c r="O233" s="83" t="s">
        <v>8926</v>
      </c>
      <c r="P233" s="81"/>
      <c r="Q233" s="46" t="s">
        <v>25130</v>
      </c>
      <c r="R233" s="81"/>
      <c r="S233" s="87"/>
      <c r="T233" s="81"/>
      <c r="U233" s="81"/>
      <c r="V233" s="81"/>
      <c r="W233" s="81"/>
      <c r="X233" s="81"/>
      <c r="Y233" s="81"/>
      <c r="Z233" s="81"/>
    </row>
    <row r="234" ht="15.75" customHeight="1">
      <c r="A234" s="81" t="s">
        <v>17311</v>
      </c>
      <c r="B234" s="81" t="s">
        <v>25125</v>
      </c>
      <c r="C234" s="81" t="s">
        <v>24610</v>
      </c>
      <c r="D234" s="81" t="s">
        <v>24344</v>
      </c>
      <c r="E234" s="81" t="s">
        <v>3754</v>
      </c>
      <c r="F234" s="83" t="s">
        <v>17310</v>
      </c>
      <c r="G234" s="85" t="s">
        <v>24335</v>
      </c>
      <c r="H234" s="84" t="b">
        <v>1</v>
      </c>
      <c r="I234" s="85">
        <v>2.0</v>
      </c>
      <c r="J234" s="90" t="s">
        <v>13859</v>
      </c>
      <c r="K234" s="81" t="s">
        <v>25131</v>
      </c>
      <c r="L234" s="86">
        <v>97480.0</v>
      </c>
      <c r="M234" s="81" t="s">
        <v>123</v>
      </c>
      <c r="N234" s="81"/>
      <c r="O234" s="83" t="s">
        <v>25132</v>
      </c>
      <c r="P234" s="85" t="s">
        <v>25133</v>
      </c>
      <c r="Q234" s="75" t="s">
        <v>25134</v>
      </c>
      <c r="R234" s="81"/>
      <c r="S234" s="93" t="s">
        <v>24348</v>
      </c>
      <c r="T234" s="81"/>
      <c r="U234" s="81"/>
      <c r="V234" s="81"/>
      <c r="W234" s="81"/>
      <c r="X234" s="81"/>
      <c r="Y234" s="81"/>
      <c r="Z234" s="81"/>
    </row>
    <row r="235" ht="15.75" customHeight="1">
      <c r="A235" s="81" t="s">
        <v>15666</v>
      </c>
      <c r="B235" s="81" t="s">
        <v>25122</v>
      </c>
      <c r="C235" s="81" t="s">
        <v>24645</v>
      </c>
      <c r="D235" s="81" t="s">
        <v>24344</v>
      </c>
      <c r="E235" s="85" t="s">
        <v>15659</v>
      </c>
      <c r="F235" s="91" t="s">
        <v>25135</v>
      </c>
      <c r="G235" s="85" t="s">
        <v>24335</v>
      </c>
      <c r="H235" s="88" t="b">
        <v>1</v>
      </c>
      <c r="I235" s="85">
        <v>1.0</v>
      </c>
      <c r="J235" s="86">
        <v>21.0</v>
      </c>
      <c r="K235" s="81" t="s">
        <v>25136</v>
      </c>
      <c r="L235" s="86">
        <v>97418.0</v>
      </c>
      <c r="M235" s="81" t="s">
        <v>216</v>
      </c>
      <c r="N235" s="81"/>
      <c r="O235" s="94" t="s">
        <v>25137</v>
      </c>
      <c r="P235" s="81"/>
      <c r="Q235" s="46" t="s">
        <v>25138</v>
      </c>
      <c r="R235" s="81"/>
      <c r="S235" s="93" t="s">
        <v>24348</v>
      </c>
      <c r="T235" s="81"/>
      <c r="U235" s="81"/>
      <c r="V235" s="81"/>
      <c r="W235" s="81"/>
      <c r="X235" s="81"/>
      <c r="Y235" s="81"/>
      <c r="Z235" s="81"/>
    </row>
    <row r="236" ht="15.75" customHeight="1">
      <c r="A236" s="81" t="s">
        <v>20134</v>
      </c>
      <c r="B236" s="81" t="s">
        <v>25125</v>
      </c>
      <c r="C236" s="81" t="s">
        <v>25139</v>
      </c>
      <c r="D236" s="85" t="s">
        <v>24334</v>
      </c>
      <c r="E236" s="81" t="s">
        <v>5812</v>
      </c>
      <c r="F236" s="83" t="s">
        <v>20133</v>
      </c>
      <c r="G236" s="81"/>
      <c r="H236" s="84" t="b">
        <v>1</v>
      </c>
      <c r="I236" s="81"/>
      <c r="J236" s="86">
        <v>8.0</v>
      </c>
      <c r="K236" s="81" t="s">
        <v>25140</v>
      </c>
      <c r="L236" s="86">
        <v>97418.0</v>
      </c>
      <c r="M236" s="81" t="s">
        <v>216</v>
      </c>
      <c r="N236" s="81"/>
      <c r="O236" s="83" t="s">
        <v>5808</v>
      </c>
      <c r="P236" s="81"/>
      <c r="Q236" s="75" t="s">
        <v>25141</v>
      </c>
      <c r="R236" s="81"/>
      <c r="S236" s="87"/>
      <c r="T236" s="81"/>
      <c r="U236" s="81"/>
      <c r="V236" s="81"/>
      <c r="W236" s="81"/>
      <c r="X236" s="81"/>
      <c r="Y236" s="81"/>
      <c r="Z236" s="81"/>
    </row>
    <row r="237" ht="15.75" customHeight="1">
      <c r="A237" s="81" t="s">
        <v>20504</v>
      </c>
      <c r="B237" s="81" t="s">
        <v>25125</v>
      </c>
      <c r="C237" s="81" t="s">
        <v>25013</v>
      </c>
      <c r="D237" s="81" t="s">
        <v>24344</v>
      </c>
      <c r="E237" s="81" t="s">
        <v>4459</v>
      </c>
      <c r="F237" s="83" t="s">
        <v>20502</v>
      </c>
      <c r="G237" s="81"/>
      <c r="H237" s="84" t="b">
        <v>1</v>
      </c>
      <c r="I237" s="81"/>
      <c r="J237" s="81"/>
      <c r="K237" s="81" t="s">
        <v>20499</v>
      </c>
      <c r="L237" s="86">
        <v>97480.0</v>
      </c>
      <c r="M237" s="81" t="s">
        <v>123</v>
      </c>
      <c r="N237" s="81"/>
      <c r="O237" s="83" t="s">
        <v>4453</v>
      </c>
      <c r="P237" s="81"/>
      <c r="Q237" s="75" t="s">
        <v>25142</v>
      </c>
      <c r="R237" s="81"/>
      <c r="S237" s="87"/>
      <c r="T237" s="81"/>
      <c r="U237" s="81"/>
      <c r="V237" s="81"/>
      <c r="W237" s="81"/>
      <c r="X237" s="81"/>
      <c r="Y237" s="81"/>
      <c r="Z237" s="81"/>
    </row>
    <row r="238" ht="15.75" customHeight="1">
      <c r="A238" s="81" t="s">
        <v>13098</v>
      </c>
      <c r="B238" s="81" t="s">
        <v>25122</v>
      </c>
      <c r="C238" s="81" t="s">
        <v>24424</v>
      </c>
      <c r="D238" s="81" t="s">
        <v>24344</v>
      </c>
      <c r="E238" s="81" t="s">
        <v>7882</v>
      </c>
      <c r="F238" s="83" t="s">
        <v>25143</v>
      </c>
      <c r="G238" s="81"/>
      <c r="H238" s="84" t="b">
        <v>1</v>
      </c>
      <c r="I238" s="85">
        <v>1.0</v>
      </c>
      <c r="J238" s="81"/>
      <c r="K238" s="81" t="s">
        <v>25144</v>
      </c>
      <c r="L238" s="86">
        <v>97418.0</v>
      </c>
      <c r="M238" s="81" t="s">
        <v>216</v>
      </c>
      <c r="N238" s="81"/>
      <c r="O238" s="83" t="s">
        <v>7879</v>
      </c>
      <c r="P238" s="81"/>
      <c r="Q238" s="46" t="s">
        <v>25145</v>
      </c>
      <c r="R238" s="81"/>
      <c r="S238" s="87"/>
      <c r="T238" s="81"/>
      <c r="U238" s="81"/>
      <c r="V238" s="81"/>
      <c r="W238" s="81"/>
      <c r="X238" s="81"/>
      <c r="Y238" s="81"/>
      <c r="Z238" s="81"/>
    </row>
    <row r="239" ht="15.75" customHeight="1">
      <c r="A239" s="81" t="s">
        <v>20860</v>
      </c>
      <c r="B239" s="81" t="s">
        <v>25122</v>
      </c>
      <c r="C239" s="81" t="s">
        <v>25146</v>
      </c>
      <c r="D239" s="81" t="s">
        <v>24344</v>
      </c>
      <c r="E239" s="85" t="s">
        <v>20857</v>
      </c>
      <c r="F239" s="83" t="s">
        <v>13093</v>
      </c>
      <c r="G239" s="81"/>
      <c r="H239" s="84" t="b">
        <v>1</v>
      </c>
      <c r="I239" s="85">
        <v>1.0</v>
      </c>
      <c r="J239" s="86">
        <v>39.0</v>
      </c>
      <c r="K239" s="81" t="s">
        <v>17049</v>
      </c>
      <c r="L239" s="86">
        <v>97414.0</v>
      </c>
      <c r="M239" s="81" t="s">
        <v>40</v>
      </c>
      <c r="N239" s="81"/>
      <c r="O239" s="83" t="s">
        <v>9167</v>
      </c>
      <c r="P239" s="81"/>
      <c r="Q239" s="46" t="s">
        <v>25147</v>
      </c>
      <c r="R239" s="81"/>
      <c r="S239" s="87"/>
      <c r="T239" s="81"/>
      <c r="U239" s="81"/>
      <c r="V239" s="81"/>
      <c r="W239" s="81"/>
      <c r="X239" s="81"/>
      <c r="Y239" s="81"/>
      <c r="Z239" s="81"/>
    </row>
    <row r="240" ht="15.75" customHeight="1">
      <c r="A240" s="81" t="s">
        <v>20117</v>
      </c>
      <c r="B240" s="81" t="s">
        <v>25125</v>
      </c>
      <c r="C240" s="81" t="s">
        <v>24767</v>
      </c>
      <c r="D240" s="81" t="s">
        <v>24344</v>
      </c>
      <c r="E240" s="81" t="s">
        <v>4642</v>
      </c>
      <c r="F240" s="83" t="s">
        <v>25148</v>
      </c>
      <c r="G240" s="81"/>
      <c r="H240" s="84" t="b">
        <v>1</v>
      </c>
      <c r="I240" s="81"/>
      <c r="J240" s="81"/>
      <c r="K240" s="81" t="s">
        <v>14889</v>
      </c>
      <c r="L240" s="86">
        <v>97480.0</v>
      </c>
      <c r="M240" s="81" t="s">
        <v>123</v>
      </c>
      <c r="N240" s="81"/>
      <c r="O240" s="83" t="s">
        <v>4639</v>
      </c>
      <c r="P240" s="81"/>
      <c r="Q240" s="75" t="s">
        <v>25149</v>
      </c>
      <c r="R240" s="81"/>
      <c r="S240" s="87"/>
      <c r="T240" s="81"/>
      <c r="U240" s="81"/>
      <c r="V240" s="81"/>
      <c r="W240" s="81"/>
      <c r="X240" s="81"/>
      <c r="Y240" s="81"/>
      <c r="Z240" s="81"/>
    </row>
    <row r="241" ht="15.75" customHeight="1">
      <c r="A241" s="81" t="s">
        <v>20867</v>
      </c>
      <c r="B241" s="81" t="s">
        <v>25122</v>
      </c>
      <c r="C241" s="81" t="s">
        <v>25150</v>
      </c>
      <c r="D241" s="81" t="s">
        <v>24344</v>
      </c>
      <c r="E241" s="81" t="s">
        <v>9184</v>
      </c>
      <c r="F241" s="83" t="s">
        <v>20865</v>
      </c>
      <c r="G241" s="81"/>
      <c r="H241" s="84" t="b">
        <v>1</v>
      </c>
      <c r="I241" s="81"/>
      <c r="J241" s="86">
        <v>12.0</v>
      </c>
      <c r="K241" s="81" t="s">
        <v>25151</v>
      </c>
      <c r="L241" s="86">
        <v>97414.0</v>
      </c>
      <c r="M241" s="81" t="s">
        <v>40</v>
      </c>
      <c r="N241" s="81"/>
      <c r="O241" s="83" t="s">
        <v>9178</v>
      </c>
      <c r="P241" s="81"/>
      <c r="Q241" s="75" t="s">
        <v>25152</v>
      </c>
      <c r="R241" s="81"/>
      <c r="S241" s="87"/>
      <c r="T241" s="81"/>
      <c r="U241" s="81"/>
      <c r="V241" s="81"/>
      <c r="W241" s="81"/>
      <c r="X241" s="81"/>
      <c r="Y241" s="81"/>
      <c r="Z241" s="81"/>
    </row>
    <row r="242" ht="15.75" customHeight="1">
      <c r="A242" s="81" t="s">
        <v>16334</v>
      </c>
      <c r="B242" s="81" t="s">
        <v>25125</v>
      </c>
      <c r="C242" s="81" t="s">
        <v>25153</v>
      </c>
      <c r="D242" s="81" t="s">
        <v>24344</v>
      </c>
      <c r="E242" s="81" t="s">
        <v>3505</v>
      </c>
      <c r="F242" s="83" t="s">
        <v>20892</v>
      </c>
      <c r="G242" s="81"/>
      <c r="H242" s="84" t="b">
        <v>1</v>
      </c>
      <c r="I242" s="85">
        <v>3.0</v>
      </c>
      <c r="J242" s="86">
        <v>167.0</v>
      </c>
      <c r="K242" s="81" t="s">
        <v>25154</v>
      </c>
      <c r="L242" s="86">
        <v>97430.0</v>
      </c>
      <c r="M242" s="81" t="s">
        <v>71</v>
      </c>
      <c r="N242" s="81" t="s">
        <v>3501</v>
      </c>
      <c r="O242" s="94" t="s">
        <v>25155</v>
      </c>
      <c r="P242" s="81"/>
      <c r="Q242" s="46" t="s">
        <v>25156</v>
      </c>
      <c r="R242" s="81"/>
      <c r="S242" s="87"/>
      <c r="T242" s="81"/>
      <c r="U242" s="81"/>
      <c r="V242" s="81"/>
      <c r="W242" s="81"/>
      <c r="X242" s="81"/>
      <c r="Y242" s="81"/>
      <c r="Z242" s="81"/>
    </row>
    <row r="243" ht="15.75" customHeight="1">
      <c r="A243" s="81" t="s">
        <v>13457</v>
      </c>
      <c r="B243" s="81" t="s">
        <v>25125</v>
      </c>
      <c r="C243" s="81" t="s">
        <v>25157</v>
      </c>
      <c r="D243" s="81" t="s">
        <v>24344</v>
      </c>
      <c r="E243" s="81"/>
      <c r="F243" s="83" t="s">
        <v>25158</v>
      </c>
      <c r="G243" s="81"/>
      <c r="H243" s="88" t="b">
        <v>1</v>
      </c>
      <c r="I243" s="81"/>
      <c r="J243" s="81"/>
      <c r="K243" s="81" t="s">
        <v>25159</v>
      </c>
      <c r="L243" s="86">
        <v>97414.0</v>
      </c>
      <c r="M243" s="81" t="s">
        <v>40</v>
      </c>
      <c r="N243" s="81"/>
      <c r="O243" s="83" t="s">
        <v>7219</v>
      </c>
      <c r="P243" s="81"/>
      <c r="Q243" s="75" t="s">
        <v>25160</v>
      </c>
      <c r="R243" s="81"/>
      <c r="S243" s="87"/>
      <c r="T243" s="81"/>
      <c r="U243" s="81"/>
      <c r="V243" s="81"/>
      <c r="W243" s="81"/>
      <c r="X243" s="81"/>
      <c r="Y243" s="81"/>
      <c r="Z243" s="81"/>
    </row>
    <row r="244" ht="15.75" customHeight="1">
      <c r="A244" s="81" t="s">
        <v>20733</v>
      </c>
      <c r="B244" s="81" t="s">
        <v>25125</v>
      </c>
      <c r="C244" s="81" t="s">
        <v>25161</v>
      </c>
      <c r="D244" s="85" t="s">
        <v>24334</v>
      </c>
      <c r="E244" s="85" t="s">
        <v>25162</v>
      </c>
      <c r="F244" s="83" t="s">
        <v>13453</v>
      </c>
      <c r="G244" s="81"/>
      <c r="H244" s="84" t="b">
        <v>1</v>
      </c>
      <c r="I244" s="85">
        <v>1.0</v>
      </c>
      <c r="J244" s="81"/>
      <c r="K244" s="81" t="s">
        <v>40</v>
      </c>
      <c r="L244" s="86">
        <v>97414.0</v>
      </c>
      <c r="M244" s="81" t="s">
        <v>40</v>
      </c>
      <c r="N244" s="81"/>
      <c r="O244" s="83" t="s">
        <v>8275</v>
      </c>
      <c r="P244" s="81"/>
      <c r="Q244" s="46" t="s">
        <v>25163</v>
      </c>
      <c r="R244" s="81"/>
      <c r="S244" s="87"/>
      <c r="T244" s="81"/>
      <c r="U244" s="81"/>
      <c r="V244" s="81"/>
      <c r="W244" s="81"/>
      <c r="X244" s="81"/>
      <c r="Y244" s="81"/>
      <c r="Z244" s="81"/>
    </row>
    <row r="245" ht="15.75" customHeight="1">
      <c r="A245" s="81" t="s">
        <v>18845</v>
      </c>
      <c r="B245" s="81" t="s">
        <v>25122</v>
      </c>
      <c r="C245" s="81" t="s">
        <v>119</v>
      </c>
      <c r="D245" s="85" t="s">
        <v>24344</v>
      </c>
      <c r="E245" s="81" t="s">
        <v>5378</v>
      </c>
      <c r="F245" s="83" t="s">
        <v>18841</v>
      </c>
      <c r="G245" s="81"/>
      <c r="H245" s="84" t="b">
        <v>1</v>
      </c>
      <c r="I245" s="85">
        <v>1.0</v>
      </c>
      <c r="J245" s="97" t="s">
        <v>25164</v>
      </c>
      <c r="K245" s="81" t="s">
        <v>25165</v>
      </c>
      <c r="L245" s="86">
        <v>97430.0</v>
      </c>
      <c r="M245" s="81" t="s">
        <v>71</v>
      </c>
      <c r="N245" s="81"/>
      <c r="O245" s="83" t="s">
        <v>5372</v>
      </c>
      <c r="P245" s="81"/>
      <c r="Q245" s="75" t="s">
        <v>25166</v>
      </c>
      <c r="R245" s="81"/>
      <c r="S245" s="87"/>
      <c r="T245" s="81"/>
      <c r="U245" s="81"/>
      <c r="V245" s="81"/>
      <c r="W245" s="81"/>
      <c r="X245" s="81"/>
      <c r="Y245" s="81"/>
      <c r="Z245" s="81"/>
    </row>
    <row r="246" ht="15.75" customHeight="1">
      <c r="A246" s="81" t="s">
        <v>12792</v>
      </c>
      <c r="B246" s="81" t="s">
        <v>25167</v>
      </c>
      <c r="C246" s="81" t="s">
        <v>25168</v>
      </c>
      <c r="D246" s="81" t="s">
        <v>24344</v>
      </c>
      <c r="E246" s="82" t="s">
        <v>12786</v>
      </c>
      <c r="F246" s="91" t="s">
        <v>25169</v>
      </c>
      <c r="G246" s="81"/>
      <c r="H246" s="84" t="b">
        <v>1</v>
      </c>
      <c r="I246" s="85">
        <v>1.0</v>
      </c>
      <c r="J246" s="86">
        <v>29.0</v>
      </c>
      <c r="K246" s="81" t="s">
        <v>25170</v>
      </c>
      <c r="L246" s="86">
        <v>97414.0</v>
      </c>
      <c r="M246" s="81" t="s">
        <v>40</v>
      </c>
      <c r="N246" s="81"/>
      <c r="O246" s="83" t="s">
        <v>706</v>
      </c>
      <c r="P246" s="81"/>
      <c r="Q246" s="75" t="s">
        <v>25171</v>
      </c>
      <c r="R246" s="81"/>
      <c r="S246" s="87"/>
      <c r="T246" s="81"/>
      <c r="U246" s="81"/>
      <c r="V246" s="81"/>
      <c r="W246" s="81"/>
      <c r="X246" s="81"/>
      <c r="Y246" s="81"/>
      <c r="Z246" s="81"/>
    </row>
    <row r="247" ht="15.75" customHeight="1">
      <c r="A247" s="81" t="s">
        <v>20216</v>
      </c>
      <c r="B247" s="81" t="s">
        <v>25122</v>
      </c>
      <c r="C247" s="81" t="s">
        <v>25025</v>
      </c>
      <c r="D247" s="81" t="s">
        <v>24344</v>
      </c>
      <c r="E247" s="81" t="s">
        <v>1280</v>
      </c>
      <c r="F247" s="83" t="s">
        <v>20214</v>
      </c>
      <c r="G247" s="81"/>
      <c r="H247" s="84" t="b">
        <v>1</v>
      </c>
      <c r="I247" s="81"/>
      <c r="J247" s="86">
        <v>6.0</v>
      </c>
      <c r="K247" s="81" t="s">
        <v>25172</v>
      </c>
      <c r="L247" s="86">
        <v>97480.0</v>
      </c>
      <c r="M247" s="81" t="s">
        <v>123</v>
      </c>
      <c r="N247" s="81"/>
      <c r="O247" s="83" t="s">
        <v>25173</v>
      </c>
      <c r="P247" s="81"/>
      <c r="Q247" s="75" t="s">
        <v>25174</v>
      </c>
      <c r="R247" s="81"/>
      <c r="S247" s="87"/>
      <c r="T247" s="81"/>
      <c r="U247" s="81"/>
      <c r="V247" s="81"/>
      <c r="W247" s="81"/>
      <c r="X247" s="81"/>
      <c r="Y247" s="81"/>
      <c r="Z247" s="81"/>
    </row>
    <row r="248" ht="15.75" customHeight="1">
      <c r="A248" s="81" t="s">
        <v>18495</v>
      </c>
      <c r="B248" s="81" t="s">
        <v>25125</v>
      </c>
      <c r="C248" s="81" t="s">
        <v>25025</v>
      </c>
      <c r="D248" s="81" t="s">
        <v>24344</v>
      </c>
      <c r="E248" s="81" t="s">
        <v>4791</v>
      </c>
      <c r="F248" s="83" t="s">
        <v>18494</v>
      </c>
      <c r="G248" s="81"/>
      <c r="H248" s="84" t="b">
        <v>0</v>
      </c>
      <c r="I248" s="81"/>
      <c r="J248" s="81"/>
      <c r="K248" s="81" t="s">
        <v>25175</v>
      </c>
      <c r="L248" s="86">
        <v>97480.0</v>
      </c>
      <c r="M248" s="81" t="s">
        <v>123</v>
      </c>
      <c r="N248" s="81"/>
      <c r="O248" s="83" t="s">
        <v>4785</v>
      </c>
      <c r="P248" s="81"/>
      <c r="Q248" s="75" t="s">
        <v>25176</v>
      </c>
      <c r="R248" s="81"/>
      <c r="S248" s="87"/>
      <c r="T248" s="81"/>
      <c r="U248" s="81"/>
      <c r="V248" s="81"/>
      <c r="W248" s="81"/>
      <c r="X248" s="81"/>
      <c r="Y248" s="81"/>
      <c r="Z248" s="81"/>
    </row>
    <row r="249" ht="15.75" customHeight="1">
      <c r="A249" s="81" t="s">
        <v>18672</v>
      </c>
      <c r="B249" s="81" t="s">
        <v>25125</v>
      </c>
      <c r="C249" s="81" t="s">
        <v>25177</v>
      </c>
      <c r="D249" s="85" t="s">
        <v>24334</v>
      </c>
      <c r="E249" s="81" t="s">
        <v>9574</v>
      </c>
      <c r="F249" s="91" t="s">
        <v>25178</v>
      </c>
      <c r="G249" s="85" t="s">
        <v>24335</v>
      </c>
      <c r="H249" s="84" t="b">
        <v>1</v>
      </c>
      <c r="I249" s="85">
        <v>1.0</v>
      </c>
      <c r="J249" s="90" t="s">
        <v>14580</v>
      </c>
      <c r="K249" s="85" t="s">
        <v>25179</v>
      </c>
      <c r="L249" s="86">
        <v>97480.0</v>
      </c>
      <c r="M249" s="81" t="s">
        <v>123</v>
      </c>
      <c r="N249" s="81"/>
      <c r="O249" s="83" t="s">
        <v>9571</v>
      </c>
      <c r="P249" s="81"/>
      <c r="Q249" s="75" t="s">
        <v>25180</v>
      </c>
      <c r="R249" s="92">
        <v>22561.0</v>
      </c>
      <c r="S249" s="93" t="s">
        <v>24460</v>
      </c>
      <c r="T249" s="81"/>
      <c r="U249" s="81"/>
      <c r="V249" s="81"/>
      <c r="W249" s="81"/>
      <c r="X249" s="81"/>
      <c r="Y249" s="81"/>
      <c r="Z249" s="81"/>
    </row>
    <row r="250" ht="15.75" customHeight="1">
      <c r="A250" s="81" t="s">
        <v>21000</v>
      </c>
      <c r="B250" s="81" t="s">
        <v>25125</v>
      </c>
      <c r="C250" s="81" t="s">
        <v>25181</v>
      </c>
      <c r="D250" s="85" t="s">
        <v>24334</v>
      </c>
      <c r="E250" s="81" t="s">
        <v>10008</v>
      </c>
      <c r="F250" s="83" t="s">
        <v>20999</v>
      </c>
      <c r="G250" s="81"/>
      <c r="H250" s="84" t="b">
        <v>1</v>
      </c>
      <c r="I250" s="81"/>
      <c r="J250" s="81"/>
      <c r="K250" s="81" t="s">
        <v>16613</v>
      </c>
      <c r="L250" s="86">
        <v>97418.0</v>
      </c>
      <c r="M250" s="81" t="s">
        <v>216</v>
      </c>
      <c r="N250" s="81"/>
      <c r="O250" s="83" t="s">
        <v>10005</v>
      </c>
      <c r="P250" s="81"/>
      <c r="Q250" s="75" t="s">
        <v>25182</v>
      </c>
      <c r="R250" s="81"/>
      <c r="S250" s="87"/>
      <c r="T250" s="81"/>
      <c r="U250" s="81"/>
      <c r="V250" s="81"/>
      <c r="W250" s="81"/>
      <c r="X250" s="81"/>
      <c r="Y250" s="81"/>
      <c r="Z250" s="81"/>
    </row>
    <row r="251" ht="15.75" customHeight="1">
      <c r="A251" s="81" t="s">
        <v>20941</v>
      </c>
      <c r="B251" s="81" t="s">
        <v>25125</v>
      </c>
      <c r="C251" s="81" t="s">
        <v>25183</v>
      </c>
      <c r="D251" s="85" t="s">
        <v>24334</v>
      </c>
      <c r="E251" s="81" t="s">
        <v>9606</v>
      </c>
      <c r="F251" s="83" t="s">
        <v>20940</v>
      </c>
      <c r="G251" s="81"/>
      <c r="H251" s="84" t="b">
        <v>1</v>
      </c>
      <c r="I251" s="81"/>
      <c r="J251" s="86">
        <v>48.0</v>
      </c>
      <c r="K251" s="81" t="s">
        <v>25184</v>
      </c>
      <c r="L251" s="86">
        <v>97430.0</v>
      </c>
      <c r="M251" s="81" t="s">
        <v>71</v>
      </c>
      <c r="N251" s="81"/>
      <c r="O251" s="94" t="s">
        <v>25185</v>
      </c>
      <c r="P251" s="81"/>
      <c r="Q251" s="75" t="s">
        <v>25186</v>
      </c>
      <c r="R251" s="81"/>
      <c r="S251" s="87"/>
      <c r="T251" s="81"/>
      <c r="U251" s="81"/>
      <c r="V251" s="81"/>
      <c r="W251" s="81"/>
      <c r="X251" s="81"/>
      <c r="Y251" s="81"/>
      <c r="Z251" s="81"/>
    </row>
    <row r="252" ht="15.75" customHeight="1">
      <c r="A252" s="81" t="s">
        <v>12922</v>
      </c>
      <c r="B252" s="81" t="s">
        <v>25122</v>
      </c>
      <c r="C252" s="81" t="s">
        <v>25187</v>
      </c>
      <c r="D252" s="81" t="s">
        <v>24344</v>
      </c>
      <c r="E252" s="81" t="s">
        <v>2939</v>
      </c>
      <c r="F252" s="83" t="s">
        <v>12920</v>
      </c>
      <c r="G252" s="81"/>
      <c r="H252" s="84" t="b">
        <v>1</v>
      </c>
      <c r="I252" s="81"/>
      <c r="J252" s="86">
        <v>72.0</v>
      </c>
      <c r="K252" s="81" t="s">
        <v>25188</v>
      </c>
      <c r="L252" s="86">
        <v>97430.0</v>
      </c>
      <c r="M252" s="81" t="s">
        <v>71</v>
      </c>
      <c r="N252" s="81" t="s">
        <v>3501</v>
      </c>
      <c r="O252" s="83" t="s">
        <v>25189</v>
      </c>
      <c r="P252" s="81"/>
      <c r="Q252" s="75" t="s">
        <v>25190</v>
      </c>
      <c r="R252" s="81"/>
      <c r="S252" s="87"/>
      <c r="T252" s="81"/>
      <c r="U252" s="81"/>
      <c r="V252" s="81"/>
      <c r="W252" s="81"/>
      <c r="X252" s="81"/>
      <c r="Y252" s="81"/>
      <c r="Z252" s="81"/>
    </row>
    <row r="253" ht="15.75" customHeight="1">
      <c r="A253" s="81" t="s">
        <v>20549</v>
      </c>
      <c r="B253" s="81" t="s">
        <v>25122</v>
      </c>
      <c r="C253" s="81" t="s">
        <v>25191</v>
      </c>
      <c r="D253" s="81" t="s">
        <v>24344</v>
      </c>
      <c r="E253" s="81" t="s">
        <v>5752</v>
      </c>
      <c r="F253" s="83" t="s">
        <v>25192</v>
      </c>
      <c r="G253" s="81"/>
      <c r="H253" s="84" t="b">
        <v>1</v>
      </c>
      <c r="I253" s="81"/>
      <c r="J253" s="81"/>
      <c r="K253" s="81" t="s">
        <v>40</v>
      </c>
      <c r="L253" s="86">
        <v>97414.0</v>
      </c>
      <c r="M253" s="81" t="s">
        <v>40</v>
      </c>
      <c r="N253" s="81"/>
      <c r="O253" s="83" t="s">
        <v>5748</v>
      </c>
      <c r="P253" s="81"/>
      <c r="Q253" s="75" t="s">
        <v>25193</v>
      </c>
      <c r="R253" s="81"/>
      <c r="S253" s="87"/>
      <c r="T253" s="81"/>
      <c r="U253" s="81"/>
      <c r="V253" s="81"/>
      <c r="W253" s="81"/>
      <c r="X253" s="81"/>
      <c r="Y253" s="81"/>
      <c r="Z253" s="81"/>
    </row>
    <row r="254" ht="15.75" customHeight="1">
      <c r="A254" s="81" t="s">
        <v>20625</v>
      </c>
      <c r="B254" s="81" t="s">
        <v>25125</v>
      </c>
      <c r="C254" s="81" t="s">
        <v>25194</v>
      </c>
      <c r="D254" s="81" t="s">
        <v>24344</v>
      </c>
      <c r="E254" s="81" t="s">
        <v>7590</v>
      </c>
      <c r="F254" s="83" t="s">
        <v>20621</v>
      </c>
      <c r="G254" s="85" t="s">
        <v>24335</v>
      </c>
      <c r="H254" s="84" t="b">
        <v>1</v>
      </c>
      <c r="I254" s="81"/>
      <c r="J254" s="86">
        <v>270.0</v>
      </c>
      <c r="K254" s="81" t="s">
        <v>24441</v>
      </c>
      <c r="L254" s="86">
        <v>97430.0</v>
      </c>
      <c r="M254" s="81" t="s">
        <v>71</v>
      </c>
      <c r="N254" s="81"/>
      <c r="O254" s="83" t="s">
        <v>7585</v>
      </c>
      <c r="P254" s="85" t="s">
        <v>25195</v>
      </c>
      <c r="Q254" s="75" t="s">
        <v>25196</v>
      </c>
      <c r="R254" s="81"/>
      <c r="S254" s="93" t="s">
        <v>24460</v>
      </c>
      <c r="T254" s="81"/>
      <c r="U254" s="81"/>
      <c r="V254" s="81"/>
      <c r="W254" s="81"/>
      <c r="X254" s="81"/>
      <c r="Y254" s="81"/>
      <c r="Z254" s="81"/>
    </row>
    <row r="255" ht="15.75" customHeight="1">
      <c r="A255" s="81" t="s">
        <v>20431</v>
      </c>
      <c r="B255" s="81" t="s">
        <v>25197</v>
      </c>
      <c r="C255" s="81" t="s">
        <v>24724</v>
      </c>
      <c r="D255" s="81" t="s">
        <v>24344</v>
      </c>
      <c r="E255" s="81" t="s">
        <v>2715</v>
      </c>
      <c r="F255" s="83" t="s">
        <v>20429</v>
      </c>
      <c r="G255" s="81"/>
      <c r="H255" s="84" t="b">
        <v>0</v>
      </c>
      <c r="I255" s="85">
        <v>0.0</v>
      </c>
      <c r="J255" s="81"/>
      <c r="K255" s="81" t="s">
        <v>20427</v>
      </c>
      <c r="L255" s="86">
        <v>97430.0</v>
      </c>
      <c r="M255" s="81" t="s">
        <v>71</v>
      </c>
      <c r="N255" s="81"/>
      <c r="O255" s="83" t="s">
        <v>2709</v>
      </c>
      <c r="P255" s="81"/>
      <c r="Q255" s="75" t="s">
        <v>25198</v>
      </c>
      <c r="R255" s="81"/>
      <c r="S255" s="87"/>
      <c r="T255" s="81"/>
      <c r="U255" s="81"/>
      <c r="V255" s="81"/>
      <c r="W255" s="81"/>
      <c r="X255" s="81"/>
      <c r="Y255" s="81"/>
      <c r="Z255" s="81"/>
    </row>
    <row r="256" ht="15.75" customHeight="1">
      <c r="A256" s="81" t="s">
        <v>21692</v>
      </c>
      <c r="B256" s="81" t="s">
        <v>25199</v>
      </c>
      <c r="C256" s="81" t="s">
        <v>25200</v>
      </c>
      <c r="D256" s="81" t="s">
        <v>24344</v>
      </c>
      <c r="E256" s="81" t="s">
        <v>9916</v>
      </c>
      <c r="F256" s="83" t="s">
        <v>21689</v>
      </c>
      <c r="G256" s="81"/>
      <c r="H256" s="84" t="b">
        <v>1</v>
      </c>
      <c r="I256" s="81"/>
      <c r="J256" s="86">
        <v>212.0</v>
      </c>
      <c r="K256" s="81" t="s">
        <v>22999</v>
      </c>
      <c r="L256" s="86">
        <v>97480.0</v>
      </c>
      <c r="M256" s="81" t="s">
        <v>123</v>
      </c>
      <c r="N256" s="81" t="s">
        <v>8325</v>
      </c>
      <c r="O256" s="83" t="s">
        <v>9911</v>
      </c>
      <c r="P256" s="81"/>
      <c r="Q256" s="75" t="s">
        <v>25201</v>
      </c>
      <c r="R256" s="81"/>
      <c r="S256" s="87"/>
      <c r="T256" s="81"/>
      <c r="U256" s="81"/>
      <c r="V256" s="81"/>
      <c r="W256" s="81"/>
      <c r="X256" s="81"/>
      <c r="Y256" s="81"/>
      <c r="Z256" s="81"/>
    </row>
    <row r="257" ht="15.75" customHeight="1">
      <c r="A257" s="81" t="s">
        <v>17240</v>
      </c>
      <c r="B257" s="81" t="s">
        <v>25199</v>
      </c>
      <c r="C257" s="81" t="s">
        <v>25202</v>
      </c>
      <c r="D257" s="81" t="s">
        <v>24344</v>
      </c>
      <c r="E257" s="81" t="s">
        <v>4037</v>
      </c>
      <c r="F257" s="83" t="s">
        <v>25203</v>
      </c>
      <c r="G257" s="81"/>
      <c r="H257" s="84" t="b">
        <v>1</v>
      </c>
      <c r="I257" s="85">
        <v>2.0</v>
      </c>
      <c r="J257" s="81" t="s">
        <v>17235</v>
      </c>
      <c r="K257" s="81" t="s">
        <v>17236</v>
      </c>
      <c r="L257" s="86">
        <v>97442.0</v>
      </c>
      <c r="M257" s="81" t="s">
        <v>33</v>
      </c>
      <c r="N257" s="81"/>
      <c r="O257" s="83" t="s">
        <v>25204</v>
      </c>
      <c r="P257" s="81"/>
      <c r="Q257" s="46" t="s">
        <v>25205</v>
      </c>
      <c r="R257" s="81"/>
      <c r="S257" s="87"/>
      <c r="T257" s="81"/>
      <c r="U257" s="81"/>
      <c r="V257" s="81"/>
      <c r="W257" s="81"/>
      <c r="X257" s="81"/>
      <c r="Y257" s="81"/>
      <c r="Z257" s="81"/>
    </row>
    <row r="258" ht="15.75" customHeight="1">
      <c r="A258" s="81" t="s">
        <v>18069</v>
      </c>
      <c r="B258" s="81" t="s">
        <v>25206</v>
      </c>
      <c r="C258" s="81" t="s">
        <v>25207</v>
      </c>
      <c r="D258" s="85" t="s">
        <v>24334</v>
      </c>
      <c r="E258" s="81" t="s">
        <v>5623</v>
      </c>
      <c r="F258" s="83" t="s">
        <v>18068</v>
      </c>
      <c r="G258" s="81"/>
      <c r="H258" s="88" t="b">
        <v>1</v>
      </c>
      <c r="I258" s="81"/>
      <c r="J258" s="86">
        <v>92.0</v>
      </c>
      <c r="K258" s="81" t="s">
        <v>25208</v>
      </c>
      <c r="L258" s="86">
        <v>97430.0</v>
      </c>
      <c r="M258" s="81" t="s">
        <v>71</v>
      </c>
      <c r="N258" s="81"/>
      <c r="O258" s="83" t="s">
        <v>5620</v>
      </c>
      <c r="P258" s="81"/>
      <c r="Q258" s="75" t="s">
        <v>25209</v>
      </c>
      <c r="R258" s="81"/>
      <c r="S258" s="87"/>
      <c r="T258" s="81"/>
      <c r="U258" s="81"/>
      <c r="V258" s="81"/>
      <c r="W258" s="81"/>
      <c r="X258" s="81"/>
      <c r="Y258" s="81"/>
      <c r="Z258" s="81"/>
    </row>
    <row r="259" ht="15.75" customHeight="1">
      <c r="A259" s="81" t="s">
        <v>15404</v>
      </c>
      <c r="B259" s="81" t="s">
        <v>25210</v>
      </c>
      <c r="C259" s="81" t="s">
        <v>24419</v>
      </c>
      <c r="D259" s="85" t="s">
        <v>24334</v>
      </c>
      <c r="E259" s="81" t="s">
        <v>3442</v>
      </c>
      <c r="F259" s="91" t="s">
        <v>15397</v>
      </c>
      <c r="G259" s="81"/>
      <c r="H259" s="84" t="b">
        <v>1</v>
      </c>
      <c r="I259" s="85">
        <v>3.0</v>
      </c>
      <c r="J259" s="86">
        <v>8.0</v>
      </c>
      <c r="K259" s="81" t="s">
        <v>25211</v>
      </c>
      <c r="L259" s="86">
        <v>97414.0</v>
      </c>
      <c r="M259" s="81" t="s">
        <v>40</v>
      </c>
      <c r="N259" s="81"/>
      <c r="O259" s="83" t="s">
        <v>25212</v>
      </c>
      <c r="P259" s="81"/>
      <c r="Q259" s="46" t="s">
        <v>25213</v>
      </c>
      <c r="R259" s="81"/>
      <c r="S259" s="87"/>
      <c r="T259" s="81"/>
      <c r="U259" s="81"/>
      <c r="V259" s="81"/>
      <c r="W259" s="81"/>
      <c r="X259" s="81"/>
      <c r="Y259" s="81"/>
      <c r="Z259" s="81"/>
    </row>
    <row r="260" ht="15.75" customHeight="1">
      <c r="A260" s="81" t="s">
        <v>15244</v>
      </c>
      <c r="B260" s="81" t="s">
        <v>25214</v>
      </c>
      <c r="C260" s="81" t="s">
        <v>25215</v>
      </c>
      <c r="D260" s="81" t="s">
        <v>24344</v>
      </c>
      <c r="E260" s="81" t="s">
        <v>1910</v>
      </c>
      <c r="F260" s="83" t="s">
        <v>15240</v>
      </c>
      <c r="G260" s="85" t="s">
        <v>25216</v>
      </c>
      <c r="H260" s="84" t="b">
        <v>1</v>
      </c>
      <c r="I260" s="81"/>
      <c r="J260" s="86">
        <v>194.0</v>
      </c>
      <c r="K260" s="81" t="s">
        <v>14897</v>
      </c>
      <c r="L260" s="86">
        <v>97480.0</v>
      </c>
      <c r="M260" s="81" t="s">
        <v>123</v>
      </c>
      <c r="N260" s="81"/>
      <c r="O260" s="83" t="s">
        <v>1904</v>
      </c>
      <c r="P260" s="81"/>
      <c r="Q260" s="75" t="s">
        <v>25217</v>
      </c>
      <c r="R260" s="96">
        <v>26615.0</v>
      </c>
      <c r="S260" s="93" t="s">
        <v>24348</v>
      </c>
      <c r="T260" s="81"/>
      <c r="U260" s="81"/>
      <c r="V260" s="81"/>
      <c r="W260" s="81"/>
      <c r="X260" s="81"/>
      <c r="Y260" s="81"/>
      <c r="Z260" s="81"/>
    </row>
    <row r="261" ht="15.75" customHeight="1">
      <c r="A261" s="81" t="s">
        <v>13956</v>
      </c>
      <c r="B261" s="81" t="s">
        <v>25218</v>
      </c>
      <c r="C261" s="81" t="s">
        <v>24758</v>
      </c>
      <c r="D261" s="85" t="s">
        <v>24334</v>
      </c>
      <c r="E261" s="81" t="s">
        <v>9212</v>
      </c>
      <c r="F261" s="83" t="s">
        <v>13952</v>
      </c>
      <c r="G261" s="81"/>
      <c r="H261" s="84" t="b">
        <v>1</v>
      </c>
      <c r="I261" s="85">
        <v>0.0</v>
      </c>
      <c r="J261" s="86">
        <v>1.0</v>
      </c>
      <c r="K261" s="81" t="s">
        <v>25219</v>
      </c>
      <c r="L261" s="86">
        <v>97480.0</v>
      </c>
      <c r="M261" s="81" t="s">
        <v>123</v>
      </c>
      <c r="N261" s="81"/>
      <c r="O261" s="83" t="s">
        <v>9206</v>
      </c>
      <c r="P261" s="81"/>
      <c r="Q261" s="46" t="s">
        <v>25220</v>
      </c>
      <c r="R261" s="81"/>
      <c r="S261" s="87"/>
      <c r="T261" s="81"/>
      <c r="U261" s="81"/>
      <c r="V261" s="81"/>
      <c r="W261" s="81"/>
      <c r="X261" s="81"/>
      <c r="Y261" s="81"/>
      <c r="Z261" s="81"/>
    </row>
    <row r="262" ht="15.75" customHeight="1">
      <c r="A262" s="81" t="s">
        <v>17487</v>
      </c>
      <c r="B262" s="81" t="s">
        <v>25221</v>
      </c>
      <c r="C262" s="85" t="s">
        <v>24959</v>
      </c>
      <c r="D262" s="85" t="s">
        <v>24334</v>
      </c>
      <c r="E262" s="81" t="s">
        <v>8874</v>
      </c>
      <c r="F262" s="83" t="s">
        <v>25222</v>
      </c>
      <c r="G262" s="85" t="s">
        <v>24420</v>
      </c>
      <c r="H262" s="84" t="b">
        <v>1</v>
      </c>
      <c r="I262" s="85">
        <v>1.0</v>
      </c>
      <c r="J262" s="86">
        <v>8.0</v>
      </c>
      <c r="K262" s="81" t="s">
        <v>20543</v>
      </c>
      <c r="L262" s="86">
        <v>97414.0</v>
      </c>
      <c r="M262" s="81" t="s">
        <v>40</v>
      </c>
      <c r="N262" s="81"/>
      <c r="O262" s="83" t="s">
        <v>8871</v>
      </c>
      <c r="P262" s="85" t="s">
        <v>25223</v>
      </c>
      <c r="Q262" s="75" t="s">
        <v>25224</v>
      </c>
      <c r="R262" s="92">
        <v>43620.0</v>
      </c>
      <c r="S262" s="87"/>
      <c r="T262" s="81"/>
      <c r="U262" s="81"/>
      <c r="V262" s="81"/>
      <c r="W262" s="81"/>
      <c r="X262" s="81"/>
      <c r="Y262" s="81"/>
      <c r="Z262" s="81"/>
    </row>
    <row r="263" ht="15.75" customHeight="1">
      <c r="A263" s="81" t="s">
        <v>15454</v>
      </c>
      <c r="B263" s="81" t="s">
        <v>25225</v>
      </c>
      <c r="C263" s="81" t="s">
        <v>25226</v>
      </c>
      <c r="D263" s="81" t="s">
        <v>24344</v>
      </c>
      <c r="E263" s="81" t="s">
        <v>8583</v>
      </c>
      <c r="F263" s="91" t="s">
        <v>15447</v>
      </c>
      <c r="G263" s="85" t="s">
        <v>24420</v>
      </c>
      <c r="H263" s="84" t="b">
        <v>0</v>
      </c>
      <c r="I263" s="85">
        <v>1.0</v>
      </c>
      <c r="J263" s="86">
        <v>90.0</v>
      </c>
      <c r="K263" s="81" t="s">
        <v>23545</v>
      </c>
      <c r="L263" s="86">
        <v>97414.0</v>
      </c>
      <c r="M263" s="81" t="s">
        <v>40</v>
      </c>
      <c r="N263" s="81"/>
      <c r="O263" s="83" t="s">
        <v>8578</v>
      </c>
      <c r="P263" s="81"/>
      <c r="Q263" s="75" t="s">
        <v>25227</v>
      </c>
      <c r="R263" s="81"/>
      <c r="S263" s="87"/>
      <c r="T263" s="81"/>
      <c r="U263" s="81"/>
      <c r="V263" s="81"/>
      <c r="W263" s="81"/>
      <c r="X263" s="81"/>
      <c r="Y263" s="81"/>
      <c r="Z263" s="81"/>
    </row>
    <row r="264" ht="15.75" customHeight="1">
      <c r="A264" s="81" t="s">
        <v>12703</v>
      </c>
      <c r="B264" s="81" t="s">
        <v>25048</v>
      </c>
      <c r="C264" s="81" t="s">
        <v>25228</v>
      </c>
      <c r="D264" s="85" t="s">
        <v>24334</v>
      </c>
      <c r="E264" s="81" t="s">
        <v>3030</v>
      </c>
      <c r="F264" s="83" t="s">
        <v>12701</v>
      </c>
      <c r="G264" s="81"/>
      <c r="H264" s="84" t="b">
        <v>1</v>
      </c>
      <c r="I264" s="85">
        <v>1.0</v>
      </c>
      <c r="J264" s="86">
        <v>106.0</v>
      </c>
      <c r="K264" s="81" t="s">
        <v>25229</v>
      </c>
      <c r="L264" s="86">
        <v>97430.0</v>
      </c>
      <c r="M264" s="81" t="s">
        <v>71</v>
      </c>
      <c r="N264" s="81"/>
      <c r="O264" s="83" t="s">
        <v>3027</v>
      </c>
      <c r="P264" s="81"/>
      <c r="Q264" s="46" t="s">
        <v>25230</v>
      </c>
      <c r="R264" s="81"/>
      <c r="S264" s="87"/>
      <c r="T264" s="81"/>
      <c r="U264" s="81"/>
      <c r="V264" s="81"/>
      <c r="W264" s="81"/>
      <c r="X264" s="81"/>
      <c r="Y264" s="81"/>
      <c r="Z264" s="81"/>
    </row>
    <row r="265" ht="15.75" customHeight="1">
      <c r="A265" s="81" t="s">
        <v>14691</v>
      </c>
      <c r="B265" s="81" t="s">
        <v>25231</v>
      </c>
      <c r="C265" s="81" t="s">
        <v>25232</v>
      </c>
      <c r="D265" s="81" t="s">
        <v>24344</v>
      </c>
      <c r="E265" s="81" t="s">
        <v>8703</v>
      </c>
      <c r="F265" s="91" t="s">
        <v>25233</v>
      </c>
      <c r="G265" s="85" t="s">
        <v>24390</v>
      </c>
      <c r="H265" s="84" t="b">
        <v>1</v>
      </c>
      <c r="I265" s="85">
        <v>1.0</v>
      </c>
      <c r="J265" s="90" t="s">
        <v>13183</v>
      </c>
      <c r="K265" s="85" t="s">
        <v>25234</v>
      </c>
      <c r="L265" s="97">
        <v>97410.0</v>
      </c>
      <c r="M265" s="85" t="s">
        <v>24605</v>
      </c>
      <c r="N265" s="81"/>
      <c r="O265" s="83" t="s">
        <v>249</v>
      </c>
      <c r="P265" s="85" t="s">
        <v>25235</v>
      </c>
      <c r="Q265" s="46" t="s">
        <v>25236</v>
      </c>
      <c r="R265" s="81"/>
      <c r="S265" s="87"/>
      <c r="T265" s="81"/>
      <c r="U265" s="81"/>
      <c r="V265" s="81"/>
      <c r="W265" s="81"/>
      <c r="X265" s="81"/>
      <c r="Y265" s="81"/>
      <c r="Z265" s="81"/>
    </row>
    <row r="266" ht="15.75" customHeight="1">
      <c r="A266" s="81" t="s">
        <v>20421</v>
      </c>
      <c r="B266" s="81" t="s">
        <v>25237</v>
      </c>
      <c r="C266" s="81" t="s">
        <v>24868</v>
      </c>
      <c r="D266" s="85" t="s">
        <v>24334</v>
      </c>
      <c r="E266" s="81" t="s">
        <v>1460</v>
      </c>
      <c r="F266" s="91" t="s">
        <v>25238</v>
      </c>
      <c r="G266" s="81"/>
      <c r="H266" s="84" t="b">
        <v>1</v>
      </c>
      <c r="I266" s="85">
        <v>2.0</v>
      </c>
      <c r="J266" s="86">
        <v>17.0</v>
      </c>
      <c r="K266" s="81" t="s">
        <v>20100</v>
      </c>
      <c r="L266" s="86">
        <v>97480.0</v>
      </c>
      <c r="M266" s="81" t="s">
        <v>123</v>
      </c>
      <c r="N266" s="81"/>
      <c r="O266" s="83" t="s">
        <v>25239</v>
      </c>
      <c r="P266" s="81"/>
      <c r="Q266" s="75" t="s">
        <v>25240</v>
      </c>
      <c r="R266" s="81"/>
      <c r="S266" s="87"/>
      <c r="T266" s="81"/>
      <c r="U266" s="81"/>
      <c r="V266" s="81"/>
      <c r="W266" s="81"/>
      <c r="X266" s="81"/>
      <c r="Y266" s="81"/>
      <c r="Z266" s="81"/>
    </row>
    <row r="267" ht="15.75" customHeight="1">
      <c r="A267" s="81" t="s">
        <v>17535</v>
      </c>
      <c r="B267" s="81" t="s">
        <v>25241</v>
      </c>
      <c r="C267" s="81" t="s">
        <v>25242</v>
      </c>
      <c r="D267" s="81" t="s">
        <v>24344</v>
      </c>
      <c r="E267" s="81" t="s">
        <v>5592</v>
      </c>
      <c r="F267" s="91" t="s">
        <v>25243</v>
      </c>
      <c r="G267" s="81"/>
      <c r="H267" s="84" t="b">
        <v>1</v>
      </c>
      <c r="I267" s="85">
        <v>1.0</v>
      </c>
      <c r="J267" s="86">
        <v>10.0</v>
      </c>
      <c r="K267" s="81" t="s">
        <v>12905</v>
      </c>
      <c r="L267" s="86">
        <v>97480.0</v>
      </c>
      <c r="M267" s="81" t="s">
        <v>123</v>
      </c>
      <c r="N267" s="81" t="s">
        <v>206</v>
      </c>
      <c r="O267" s="94" t="s">
        <v>25244</v>
      </c>
      <c r="P267" s="85" t="s">
        <v>25245</v>
      </c>
      <c r="Q267" s="46" t="s">
        <v>25246</v>
      </c>
      <c r="R267" s="81"/>
      <c r="S267" s="87"/>
      <c r="T267" s="81"/>
      <c r="U267" s="81"/>
      <c r="V267" s="81"/>
      <c r="W267" s="81"/>
      <c r="X267" s="81"/>
      <c r="Y267" s="81"/>
      <c r="Z267" s="81"/>
    </row>
    <row r="268" ht="15.75" customHeight="1">
      <c r="A268" s="81" t="s">
        <v>15029</v>
      </c>
      <c r="B268" s="81" t="s">
        <v>25247</v>
      </c>
      <c r="C268" s="85" t="s">
        <v>25248</v>
      </c>
      <c r="D268" s="81" t="s">
        <v>24344</v>
      </c>
      <c r="E268" s="81" t="s">
        <v>4804</v>
      </c>
      <c r="F268" s="83" t="s">
        <v>15024</v>
      </c>
      <c r="G268" s="81"/>
      <c r="H268" s="84" t="b">
        <v>1</v>
      </c>
      <c r="I268" s="85">
        <v>1.0</v>
      </c>
      <c r="J268" s="86">
        <v>18.0</v>
      </c>
      <c r="K268" s="81" t="s">
        <v>15282</v>
      </c>
      <c r="L268" s="86">
        <v>97480.0</v>
      </c>
      <c r="M268" s="81" t="s">
        <v>123</v>
      </c>
      <c r="N268" s="81"/>
      <c r="O268" s="83" t="s">
        <v>4800</v>
      </c>
      <c r="P268" s="85" t="s">
        <v>25249</v>
      </c>
      <c r="Q268" s="75" t="s">
        <v>25250</v>
      </c>
      <c r="R268" s="81"/>
      <c r="S268" s="87"/>
      <c r="T268" s="81"/>
      <c r="U268" s="81"/>
      <c r="V268" s="81"/>
      <c r="W268" s="81"/>
      <c r="X268" s="81"/>
      <c r="Y268" s="81"/>
      <c r="Z268" s="81"/>
    </row>
    <row r="269" ht="15.75" customHeight="1">
      <c r="A269" s="81" t="s">
        <v>17551</v>
      </c>
      <c r="B269" s="85" t="s">
        <v>25251</v>
      </c>
      <c r="C269" s="85" t="s">
        <v>25252</v>
      </c>
      <c r="D269" s="81" t="s">
        <v>24344</v>
      </c>
      <c r="E269" s="81" t="s">
        <v>8218</v>
      </c>
      <c r="F269" s="83" t="s">
        <v>25253</v>
      </c>
      <c r="G269" s="85" t="s">
        <v>24420</v>
      </c>
      <c r="H269" s="84" t="b">
        <v>1</v>
      </c>
      <c r="I269" s="85">
        <v>1.0</v>
      </c>
      <c r="J269" s="86">
        <v>75.0</v>
      </c>
      <c r="K269" s="81" t="s">
        <v>25254</v>
      </c>
      <c r="L269" s="97">
        <v>97430.0</v>
      </c>
      <c r="M269" s="85" t="s">
        <v>71</v>
      </c>
      <c r="N269" s="81"/>
      <c r="O269" s="83" t="s">
        <v>8211</v>
      </c>
      <c r="P269" s="85" t="s">
        <v>25255</v>
      </c>
      <c r="Q269" s="75" t="s">
        <v>25256</v>
      </c>
      <c r="R269" s="81"/>
      <c r="S269" s="87"/>
      <c r="T269" s="81"/>
      <c r="U269" s="81"/>
      <c r="V269" s="81"/>
      <c r="W269" s="81"/>
      <c r="X269" s="81"/>
      <c r="Y269" s="81"/>
      <c r="Z269" s="81"/>
    </row>
    <row r="270" ht="15.75" customHeight="1">
      <c r="A270" s="81" t="s">
        <v>14834</v>
      </c>
      <c r="B270" s="81" t="s">
        <v>25257</v>
      </c>
      <c r="C270" s="81" t="s">
        <v>25258</v>
      </c>
      <c r="D270" s="81" t="s">
        <v>24344</v>
      </c>
      <c r="E270" s="81" t="s">
        <v>2985</v>
      </c>
      <c r="F270" s="83" t="s">
        <v>14829</v>
      </c>
      <c r="G270" s="81"/>
      <c r="H270" s="84" t="b">
        <v>1</v>
      </c>
      <c r="I270" s="81"/>
      <c r="J270" s="86">
        <v>71.0</v>
      </c>
      <c r="K270" s="81" t="s">
        <v>20100</v>
      </c>
      <c r="L270" s="86">
        <v>97480.0</v>
      </c>
      <c r="M270" s="81" t="s">
        <v>123</v>
      </c>
      <c r="N270" s="81"/>
      <c r="O270" s="83" t="s">
        <v>2978</v>
      </c>
      <c r="P270" s="81"/>
      <c r="Q270" s="75" t="s">
        <v>25259</v>
      </c>
      <c r="R270" s="81"/>
      <c r="S270" s="87"/>
      <c r="T270" s="81"/>
      <c r="U270" s="81"/>
      <c r="V270" s="81"/>
      <c r="W270" s="81"/>
      <c r="X270" s="81"/>
      <c r="Y270" s="81"/>
      <c r="Z270" s="81"/>
    </row>
    <row r="271" ht="15.75" customHeight="1">
      <c r="A271" s="81" t="s">
        <v>19539</v>
      </c>
      <c r="B271" s="81" t="s">
        <v>25247</v>
      </c>
      <c r="C271" s="81" t="s">
        <v>25260</v>
      </c>
      <c r="D271" s="81" t="s">
        <v>24344</v>
      </c>
      <c r="E271" s="81" t="s">
        <v>5903</v>
      </c>
      <c r="F271" s="83" t="s">
        <v>19538</v>
      </c>
      <c r="G271" s="81"/>
      <c r="H271" s="84" t="b">
        <v>1</v>
      </c>
      <c r="I271" s="81"/>
      <c r="J271" s="81" t="s">
        <v>19534</v>
      </c>
      <c r="K271" s="81" t="s">
        <v>25261</v>
      </c>
      <c r="L271" s="86">
        <v>97442.0</v>
      </c>
      <c r="M271" s="81" t="s">
        <v>33</v>
      </c>
      <c r="N271" s="81"/>
      <c r="O271" s="83" t="s">
        <v>5899</v>
      </c>
      <c r="P271" s="81"/>
      <c r="Q271" s="75" t="s">
        <v>25262</v>
      </c>
      <c r="R271" s="81"/>
      <c r="S271" s="87"/>
      <c r="T271" s="81"/>
      <c r="U271" s="81"/>
      <c r="V271" s="81"/>
      <c r="W271" s="81"/>
      <c r="X271" s="81"/>
      <c r="Y271" s="81"/>
      <c r="Z271" s="81"/>
    </row>
    <row r="272" ht="15.75" customHeight="1">
      <c r="A272" s="81" t="s">
        <v>20257</v>
      </c>
      <c r="B272" s="81" t="s">
        <v>25263</v>
      </c>
      <c r="C272" s="81" t="s">
        <v>25264</v>
      </c>
      <c r="D272" s="81" t="s">
        <v>24344</v>
      </c>
      <c r="E272" s="81" t="s">
        <v>6783</v>
      </c>
      <c r="F272" s="83" t="s">
        <v>25265</v>
      </c>
      <c r="G272" s="81"/>
      <c r="H272" s="84" t="b">
        <v>1</v>
      </c>
      <c r="I272" s="81"/>
      <c r="J272" s="86">
        <v>6.0</v>
      </c>
      <c r="K272" s="81" t="s">
        <v>25266</v>
      </c>
      <c r="L272" s="86">
        <v>97480.0</v>
      </c>
      <c r="M272" s="81" t="s">
        <v>123</v>
      </c>
      <c r="N272" s="81"/>
      <c r="O272" s="83" t="s">
        <v>6779</v>
      </c>
      <c r="P272" s="81"/>
      <c r="Q272" s="75" t="s">
        <v>25267</v>
      </c>
      <c r="R272" s="81"/>
      <c r="S272" s="87"/>
      <c r="T272" s="81"/>
      <c r="U272" s="81"/>
      <c r="V272" s="81"/>
      <c r="W272" s="81"/>
      <c r="X272" s="81"/>
      <c r="Y272" s="81"/>
      <c r="Z272" s="81"/>
    </row>
    <row r="273" ht="15.75" customHeight="1">
      <c r="A273" s="81" t="s">
        <v>20081</v>
      </c>
      <c r="B273" s="81" t="s">
        <v>25268</v>
      </c>
      <c r="C273" s="81" t="s">
        <v>24848</v>
      </c>
      <c r="D273" s="81" t="s">
        <v>24344</v>
      </c>
      <c r="E273" s="81"/>
      <c r="F273" s="83" t="s">
        <v>20080</v>
      </c>
      <c r="G273" s="81"/>
      <c r="H273" s="88" t="b">
        <v>1</v>
      </c>
      <c r="I273" s="81"/>
      <c r="J273" s="86">
        <v>29.0</v>
      </c>
      <c r="K273" s="81" t="s">
        <v>18266</v>
      </c>
      <c r="L273" s="86">
        <v>97430.0</v>
      </c>
      <c r="M273" s="81" t="s">
        <v>71</v>
      </c>
      <c r="N273" s="81"/>
      <c r="O273" s="83" t="s">
        <v>6527</v>
      </c>
      <c r="P273" s="81"/>
      <c r="Q273" s="75" t="s">
        <v>25269</v>
      </c>
      <c r="R273" s="81"/>
      <c r="S273" s="87"/>
      <c r="T273" s="81"/>
      <c r="U273" s="81"/>
      <c r="V273" s="81"/>
      <c r="W273" s="81"/>
      <c r="X273" s="81"/>
      <c r="Y273" s="81"/>
      <c r="Z273" s="81"/>
    </row>
    <row r="274" ht="15.75" customHeight="1">
      <c r="A274" s="81" t="s">
        <v>20339</v>
      </c>
      <c r="B274" s="81" t="s">
        <v>25247</v>
      </c>
      <c r="C274" s="81" t="s">
        <v>25270</v>
      </c>
      <c r="D274" s="85" t="s">
        <v>24334</v>
      </c>
      <c r="E274" s="81" t="s">
        <v>6275</v>
      </c>
      <c r="F274" s="83" t="s">
        <v>20335</v>
      </c>
      <c r="G274" s="81"/>
      <c r="H274" s="84" t="b">
        <v>1</v>
      </c>
      <c r="I274" s="81"/>
      <c r="J274" s="86">
        <v>26.0</v>
      </c>
      <c r="K274" s="81" t="s">
        <v>24368</v>
      </c>
      <c r="L274" s="86">
        <v>97480.0</v>
      </c>
      <c r="M274" s="81" t="s">
        <v>123</v>
      </c>
      <c r="N274" s="81" t="s">
        <v>206</v>
      </c>
      <c r="O274" s="83" t="s">
        <v>6269</v>
      </c>
      <c r="P274" s="81"/>
      <c r="Q274" s="75" t="s">
        <v>25271</v>
      </c>
      <c r="R274" s="81"/>
      <c r="S274" s="87"/>
      <c r="T274" s="81"/>
      <c r="U274" s="81"/>
      <c r="V274" s="81"/>
      <c r="W274" s="81"/>
      <c r="X274" s="81"/>
      <c r="Y274" s="81"/>
      <c r="Z274" s="81"/>
    </row>
    <row r="275" ht="15.75" customHeight="1">
      <c r="A275" s="81" t="s">
        <v>14964</v>
      </c>
      <c r="B275" s="81" t="s">
        <v>25272</v>
      </c>
      <c r="C275" s="81" t="s">
        <v>25273</v>
      </c>
      <c r="D275" s="85" t="s">
        <v>24334</v>
      </c>
      <c r="E275" s="81" t="s">
        <v>9727</v>
      </c>
      <c r="F275" s="83" t="s">
        <v>14958</v>
      </c>
      <c r="G275" s="81"/>
      <c r="H275" s="84" t="b">
        <v>1</v>
      </c>
      <c r="I275" s="81"/>
      <c r="J275" s="81"/>
      <c r="K275" s="81" t="s">
        <v>12542</v>
      </c>
      <c r="L275" s="86">
        <v>97480.0</v>
      </c>
      <c r="M275" s="81" t="s">
        <v>123</v>
      </c>
      <c r="N275" s="81"/>
      <c r="O275" s="83" t="s">
        <v>9724</v>
      </c>
      <c r="P275" s="81"/>
      <c r="Q275" s="75" t="s">
        <v>25274</v>
      </c>
      <c r="R275" s="81"/>
      <c r="S275" s="87"/>
      <c r="T275" s="81"/>
      <c r="U275" s="81"/>
      <c r="V275" s="81"/>
      <c r="W275" s="81"/>
      <c r="X275" s="81"/>
      <c r="Y275" s="81"/>
      <c r="Z275" s="81"/>
    </row>
    <row r="276" ht="15.75" customHeight="1">
      <c r="A276" s="81" t="s">
        <v>18641</v>
      </c>
      <c r="B276" s="81" t="s">
        <v>25275</v>
      </c>
      <c r="C276" s="81" t="s">
        <v>25276</v>
      </c>
      <c r="D276" s="85" t="s">
        <v>24344</v>
      </c>
      <c r="E276" s="81" t="s">
        <v>3559</v>
      </c>
      <c r="F276" s="83" t="s">
        <v>14486</v>
      </c>
      <c r="G276" s="81"/>
      <c r="H276" s="84" t="b">
        <v>1</v>
      </c>
      <c r="I276" s="85">
        <v>1.0</v>
      </c>
      <c r="J276" s="86">
        <v>31.0</v>
      </c>
      <c r="K276" s="81" t="s">
        <v>14307</v>
      </c>
      <c r="L276" s="86">
        <v>97480.0</v>
      </c>
      <c r="M276" s="81" t="s">
        <v>123</v>
      </c>
      <c r="N276" s="81" t="s">
        <v>3556</v>
      </c>
      <c r="O276" s="94" t="s">
        <v>7600</v>
      </c>
      <c r="P276" s="81"/>
      <c r="Q276" s="75" t="s">
        <v>25277</v>
      </c>
      <c r="R276" s="81"/>
      <c r="S276" s="87"/>
      <c r="T276" s="81"/>
      <c r="U276" s="81"/>
      <c r="V276" s="81"/>
      <c r="W276" s="81"/>
      <c r="X276" s="81"/>
      <c r="Y276" s="81"/>
      <c r="Z276" s="81"/>
    </row>
    <row r="277" ht="15.75" customHeight="1">
      <c r="A277" s="81" t="s">
        <v>13618</v>
      </c>
      <c r="B277" s="85" t="s">
        <v>25278</v>
      </c>
      <c r="C277" s="85" t="s">
        <v>24506</v>
      </c>
      <c r="D277" s="81" t="s">
        <v>24344</v>
      </c>
      <c r="E277" s="85" t="s">
        <v>13612</v>
      </c>
      <c r="F277" s="83" t="s">
        <v>13613</v>
      </c>
      <c r="G277" s="85" t="s">
        <v>24420</v>
      </c>
      <c r="H277" s="88" t="b">
        <v>1</v>
      </c>
      <c r="I277" s="85">
        <v>0.0</v>
      </c>
      <c r="J277" s="86">
        <v>20.0</v>
      </c>
      <c r="K277" s="85" t="s">
        <v>13332</v>
      </c>
      <c r="L277" s="86">
        <v>97418.0</v>
      </c>
      <c r="M277" s="81" t="s">
        <v>216</v>
      </c>
      <c r="N277" s="81"/>
      <c r="O277" s="83" t="s">
        <v>6947</v>
      </c>
      <c r="P277" s="81"/>
      <c r="Q277" s="46" t="s">
        <v>25279</v>
      </c>
      <c r="R277" s="92">
        <v>21578.0</v>
      </c>
      <c r="S277" s="87"/>
      <c r="T277" s="81"/>
      <c r="U277" s="81"/>
      <c r="V277" s="81"/>
      <c r="W277" s="81"/>
      <c r="X277" s="81"/>
      <c r="Y277" s="81"/>
      <c r="Z277" s="81"/>
    </row>
    <row r="278" ht="15.75" customHeight="1">
      <c r="A278" s="81" t="s">
        <v>13139</v>
      </c>
      <c r="B278" s="85" t="s">
        <v>25280</v>
      </c>
      <c r="C278" s="81" t="s">
        <v>24724</v>
      </c>
      <c r="D278" s="81" t="s">
        <v>24344</v>
      </c>
      <c r="E278" s="81" t="s">
        <v>1597</v>
      </c>
      <c r="F278" s="83" t="s">
        <v>13132</v>
      </c>
      <c r="G278" s="85" t="s">
        <v>24335</v>
      </c>
      <c r="H278" s="84" t="b">
        <v>1</v>
      </c>
      <c r="I278" s="85">
        <v>1.0</v>
      </c>
      <c r="J278" s="86">
        <v>187.0</v>
      </c>
      <c r="K278" s="85" t="s">
        <v>12616</v>
      </c>
      <c r="L278" s="86">
        <v>97430.0</v>
      </c>
      <c r="M278" s="81" t="s">
        <v>71</v>
      </c>
      <c r="N278" s="81"/>
      <c r="O278" s="83" t="s">
        <v>1594</v>
      </c>
      <c r="P278" s="81"/>
      <c r="Q278" s="46" t="s">
        <v>25281</v>
      </c>
      <c r="R278" s="92">
        <v>23483.0</v>
      </c>
      <c r="S278" s="93" t="s">
        <v>24348</v>
      </c>
      <c r="T278" s="81"/>
      <c r="U278" s="81"/>
      <c r="V278" s="81"/>
      <c r="W278" s="81"/>
      <c r="X278" s="81"/>
      <c r="Y278" s="81"/>
      <c r="Z278" s="81"/>
    </row>
    <row r="279" ht="15.75" customHeight="1">
      <c r="A279" s="81" t="s">
        <v>17098</v>
      </c>
      <c r="B279" s="81" t="s">
        <v>25282</v>
      </c>
      <c r="C279" s="81" t="s">
        <v>36</v>
      </c>
      <c r="D279" s="85" t="s">
        <v>24334</v>
      </c>
      <c r="E279" s="81" t="s">
        <v>9369</v>
      </c>
      <c r="F279" s="83" t="s">
        <v>17092</v>
      </c>
      <c r="G279" s="81"/>
      <c r="H279" s="84" t="b">
        <v>1</v>
      </c>
      <c r="I279" s="81"/>
      <c r="J279" s="86">
        <v>3.0</v>
      </c>
      <c r="K279" s="81" t="s">
        <v>25283</v>
      </c>
      <c r="L279" s="86">
        <v>97430.0</v>
      </c>
      <c r="M279" s="81" t="s">
        <v>71</v>
      </c>
      <c r="N279" s="81"/>
      <c r="O279" s="83" t="s">
        <v>9361</v>
      </c>
      <c r="P279" s="81"/>
      <c r="Q279" s="75" t="s">
        <v>25284</v>
      </c>
      <c r="R279" s="81"/>
      <c r="S279" s="87"/>
      <c r="T279" s="81"/>
      <c r="U279" s="81"/>
      <c r="V279" s="81"/>
      <c r="W279" s="81"/>
      <c r="X279" s="81"/>
      <c r="Y279" s="81"/>
      <c r="Z279" s="81"/>
    </row>
    <row r="280" ht="15.75" customHeight="1">
      <c r="A280" s="81" t="s">
        <v>15703</v>
      </c>
      <c r="B280" s="81" t="s">
        <v>25285</v>
      </c>
      <c r="C280" s="81" t="s">
        <v>24956</v>
      </c>
      <c r="D280" s="81" t="s">
        <v>24344</v>
      </c>
      <c r="E280" s="81" t="s">
        <v>9414</v>
      </c>
      <c r="F280" s="91" t="s">
        <v>25286</v>
      </c>
      <c r="G280" s="81"/>
      <c r="H280" s="84" t="b">
        <v>1</v>
      </c>
      <c r="I280" s="85">
        <v>1.0</v>
      </c>
      <c r="J280" s="86">
        <v>16.0</v>
      </c>
      <c r="K280" s="81" t="s">
        <v>15693</v>
      </c>
      <c r="L280" s="86">
        <v>97430.0</v>
      </c>
      <c r="M280" s="81" t="s">
        <v>71</v>
      </c>
      <c r="N280" s="81" t="s">
        <v>3501</v>
      </c>
      <c r="O280" s="83" t="s">
        <v>9411</v>
      </c>
      <c r="P280" s="81"/>
      <c r="Q280" s="46" t="s">
        <v>25287</v>
      </c>
      <c r="R280" s="81"/>
      <c r="S280" s="87"/>
      <c r="T280" s="81"/>
      <c r="U280" s="81"/>
      <c r="V280" s="81"/>
      <c r="W280" s="81"/>
      <c r="X280" s="81"/>
      <c r="Y280" s="81"/>
      <c r="Z280" s="81"/>
    </row>
    <row r="281" ht="15.75" customHeight="1">
      <c r="A281" s="81" t="s">
        <v>20835</v>
      </c>
      <c r="B281" s="81" t="s">
        <v>25282</v>
      </c>
      <c r="C281" s="81" t="s">
        <v>25288</v>
      </c>
      <c r="D281" s="81" t="s">
        <v>24344</v>
      </c>
      <c r="E281" s="81" t="s">
        <v>8883</v>
      </c>
      <c r="F281" s="83" t="s">
        <v>20834</v>
      </c>
      <c r="G281" s="81"/>
      <c r="H281" s="84" t="b">
        <v>1</v>
      </c>
      <c r="I281" s="81"/>
      <c r="J281" s="86">
        <v>86.0</v>
      </c>
      <c r="K281" s="81" t="s">
        <v>17205</v>
      </c>
      <c r="L281" s="86">
        <v>97442.0</v>
      </c>
      <c r="M281" s="81" t="s">
        <v>33</v>
      </c>
      <c r="N281" s="81"/>
      <c r="O281" s="83" t="s">
        <v>8880</v>
      </c>
      <c r="P281" s="81"/>
      <c r="Q281" s="75" t="s">
        <v>25289</v>
      </c>
      <c r="R281" s="81"/>
      <c r="S281" s="87"/>
      <c r="T281" s="81"/>
      <c r="U281" s="81"/>
      <c r="V281" s="81"/>
      <c r="W281" s="81"/>
      <c r="X281" s="81"/>
      <c r="Y281" s="81"/>
      <c r="Z281" s="81"/>
    </row>
    <row r="282" ht="15.75" customHeight="1">
      <c r="A282" s="81" t="s">
        <v>20520</v>
      </c>
      <c r="B282" s="81" t="s">
        <v>25290</v>
      </c>
      <c r="C282" s="81" t="s">
        <v>25291</v>
      </c>
      <c r="D282" s="81" t="s">
        <v>24344</v>
      </c>
      <c r="E282" s="81" t="s">
        <v>5171</v>
      </c>
      <c r="F282" s="83" t="s">
        <v>20519</v>
      </c>
      <c r="G282" s="81"/>
      <c r="H282" s="84" t="b">
        <v>1</v>
      </c>
      <c r="I282" s="81"/>
      <c r="J282" s="86">
        <v>23.0</v>
      </c>
      <c r="K282" s="81" t="s">
        <v>25292</v>
      </c>
      <c r="L282" s="86">
        <v>97418.0</v>
      </c>
      <c r="M282" s="81" t="s">
        <v>216</v>
      </c>
      <c r="N282" s="81"/>
      <c r="O282" s="83" t="s">
        <v>7689</v>
      </c>
      <c r="P282" s="81"/>
      <c r="Q282" s="75" t="s">
        <v>25293</v>
      </c>
      <c r="R282" s="81"/>
      <c r="S282" s="87"/>
      <c r="T282" s="81"/>
      <c r="U282" s="81"/>
      <c r="V282" s="81"/>
      <c r="W282" s="81"/>
      <c r="X282" s="81"/>
      <c r="Y282" s="81"/>
      <c r="Z282" s="81"/>
    </row>
    <row r="283" ht="15.75" customHeight="1">
      <c r="A283" s="81" t="s">
        <v>18082</v>
      </c>
      <c r="B283" s="81" t="s">
        <v>25294</v>
      </c>
      <c r="C283" s="81" t="s">
        <v>25048</v>
      </c>
      <c r="D283" s="81" t="s">
        <v>24344</v>
      </c>
      <c r="E283" s="85" t="s">
        <v>18078</v>
      </c>
      <c r="F283" s="83" t="s">
        <v>25295</v>
      </c>
      <c r="G283" s="81"/>
      <c r="H283" s="84" t="b">
        <v>1</v>
      </c>
      <c r="I283" s="85">
        <v>1.0</v>
      </c>
      <c r="J283" s="86">
        <v>101.0</v>
      </c>
      <c r="K283" s="81" t="s">
        <v>24368</v>
      </c>
      <c r="L283" s="86">
        <v>97480.0</v>
      </c>
      <c r="M283" s="81" t="s">
        <v>123</v>
      </c>
      <c r="N283" s="81" t="s">
        <v>206</v>
      </c>
      <c r="O283" s="94" t="s">
        <v>2508</v>
      </c>
      <c r="P283" s="81"/>
      <c r="Q283" s="46" t="s">
        <v>25296</v>
      </c>
      <c r="R283" s="81"/>
      <c r="S283" s="93" t="s">
        <v>24348</v>
      </c>
      <c r="T283" s="81"/>
      <c r="U283" s="81"/>
      <c r="V283" s="81"/>
      <c r="W283" s="81"/>
      <c r="X283" s="81"/>
      <c r="Y283" s="81"/>
      <c r="Z283" s="81"/>
    </row>
    <row r="284" ht="15.75" customHeight="1">
      <c r="A284" s="81" t="s">
        <v>19708</v>
      </c>
      <c r="B284" s="81" t="s">
        <v>25297</v>
      </c>
      <c r="C284" s="81" t="s">
        <v>24593</v>
      </c>
      <c r="D284" s="85" t="s">
        <v>24334</v>
      </c>
      <c r="E284" s="81" t="s">
        <v>19702</v>
      </c>
      <c r="F284" s="83" t="s">
        <v>25298</v>
      </c>
      <c r="G284" s="81"/>
      <c r="H284" s="88" t="b">
        <v>1</v>
      </c>
      <c r="I284" s="85">
        <v>1.0</v>
      </c>
      <c r="J284" s="86">
        <v>20.0</v>
      </c>
      <c r="K284" s="81" t="s">
        <v>21975</v>
      </c>
      <c r="L284" s="86">
        <v>97430.0</v>
      </c>
      <c r="M284" s="81" t="s">
        <v>71</v>
      </c>
      <c r="N284" s="81"/>
      <c r="O284" s="83" t="s">
        <v>931</v>
      </c>
      <c r="P284" s="81"/>
      <c r="Q284" s="46" t="s">
        <v>25299</v>
      </c>
      <c r="R284" s="81"/>
      <c r="S284" s="87"/>
      <c r="T284" s="81"/>
      <c r="U284" s="81"/>
      <c r="V284" s="81"/>
      <c r="W284" s="81"/>
      <c r="X284" s="81"/>
      <c r="Y284" s="81"/>
      <c r="Z284" s="81"/>
    </row>
    <row r="285" ht="15.75" customHeight="1">
      <c r="A285" s="81" t="s">
        <v>17463</v>
      </c>
      <c r="B285" s="81" t="s">
        <v>25300</v>
      </c>
      <c r="C285" s="85" t="s">
        <v>25301</v>
      </c>
      <c r="D285" s="85" t="s">
        <v>24334</v>
      </c>
      <c r="E285" s="81" t="s">
        <v>10074</v>
      </c>
      <c r="F285" s="83" t="s">
        <v>17459</v>
      </c>
      <c r="G285" s="81"/>
      <c r="H285" s="84" t="b">
        <v>1</v>
      </c>
      <c r="I285" s="85">
        <v>1.0</v>
      </c>
      <c r="J285" s="86">
        <v>52.0</v>
      </c>
      <c r="K285" s="81" t="s">
        <v>24809</v>
      </c>
      <c r="L285" s="86">
        <v>97480.0</v>
      </c>
      <c r="M285" s="81" t="s">
        <v>123</v>
      </c>
      <c r="N285" s="81"/>
      <c r="O285" s="83" t="s">
        <v>10069</v>
      </c>
      <c r="P285" s="81"/>
      <c r="Q285" s="75" t="s">
        <v>25302</v>
      </c>
      <c r="R285" s="81"/>
      <c r="S285" s="87"/>
      <c r="T285" s="81"/>
      <c r="U285" s="81"/>
      <c r="V285" s="81"/>
      <c r="W285" s="81"/>
      <c r="X285" s="81"/>
      <c r="Y285" s="81"/>
      <c r="Z285" s="81"/>
    </row>
    <row r="286" ht="15.75" customHeight="1">
      <c r="A286" s="81" t="s">
        <v>15529</v>
      </c>
      <c r="B286" s="81" t="s">
        <v>25303</v>
      </c>
      <c r="C286" s="81" t="s">
        <v>25025</v>
      </c>
      <c r="D286" s="81" t="s">
        <v>24344</v>
      </c>
      <c r="E286" s="81" t="s">
        <v>6587</v>
      </c>
      <c r="F286" s="83" t="s">
        <v>15527</v>
      </c>
      <c r="G286" s="81"/>
      <c r="H286" s="84" t="b">
        <v>0</v>
      </c>
      <c r="I286" s="81"/>
      <c r="J286" s="86">
        <v>39.0</v>
      </c>
      <c r="K286" s="81" t="s">
        <v>25304</v>
      </c>
      <c r="L286" s="86">
        <v>97480.0</v>
      </c>
      <c r="M286" s="81" t="s">
        <v>123</v>
      </c>
      <c r="N286" s="81" t="s">
        <v>8373</v>
      </c>
      <c r="O286" s="83" t="s">
        <v>6583</v>
      </c>
      <c r="P286" s="81"/>
      <c r="Q286" s="75" t="s">
        <v>25305</v>
      </c>
      <c r="R286" s="81"/>
      <c r="S286" s="87"/>
      <c r="T286" s="81"/>
      <c r="U286" s="81"/>
      <c r="V286" s="81"/>
      <c r="W286" s="81"/>
      <c r="X286" s="81"/>
      <c r="Y286" s="81"/>
      <c r="Z286" s="81"/>
    </row>
    <row r="287" ht="15.75" customHeight="1">
      <c r="A287" s="81" t="s">
        <v>17961</v>
      </c>
      <c r="B287" s="81" t="s">
        <v>25306</v>
      </c>
      <c r="C287" s="81" t="s">
        <v>25307</v>
      </c>
      <c r="D287" s="81" t="s">
        <v>24344</v>
      </c>
      <c r="E287" s="81" t="s">
        <v>17958</v>
      </c>
      <c r="F287" s="83" t="s">
        <v>17959</v>
      </c>
      <c r="G287" s="81"/>
      <c r="H287" s="88" t="b">
        <v>1</v>
      </c>
      <c r="I287" s="85">
        <v>1.0</v>
      </c>
      <c r="J287" s="81"/>
      <c r="K287" s="81" t="s">
        <v>15208</v>
      </c>
      <c r="L287" s="86">
        <v>97418.0</v>
      </c>
      <c r="M287" s="81" t="s">
        <v>216</v>
      </c>
      <c r="N287" s="81"/>
      <c r="O287" s="83" t="s">
        <v>5651</v>
      </c>
      <c r="P287" s="81"/>
      <c r="Q287" s="46" t="s">
        <v>25308</v>
      </c>
      <c r="R287" s="81"/>
      <c r="S287" s="87"/>
      <c r="T287" s="81"/>
      <c r="U287" s="81"/>
      <c r="V287" s="81"/>
      <c r="W287" s="81"/>
      <c r="X287" s="81"/>
      <c r="Y287" s="81"/>
      <c r="Z287" s="81"/>
    </row>
    <row r="288" ht="15.75" customHeight="1">
      <c r="A288" s="81" t="s">
        <v>20487</v>
      </c>
      <c r="B288" s="81" t="s">
        <v>25309</v>
      </c>
      <c r="C288" s="81" t="s">
        <v>24577</v>
      </c>
      <c r="D288" s="81" t="s">
        <v>24344</v>
      </c>
      <c r="E288" s="81" t="s">
        <v>2307</v>
      </c>
      <c r="F288" s="83" t="s">
        <v>20485</v>
      </c>
      <c r="G288" s="81"/>
      <c r="H288" s="84" t="b">
        <v>1</v>
      </c>
      <c r="I288" s="81"/>
      <c r="J288" s="86">
        <v>154.0</v>
      </c>
      <c r="K288" s="81" t="s">
        <v>24433</v>
      </c>
      <c r="L288" s="86">
        <v>97418.0</v>
      </c>
      <c r="M288" s="81" t="s">
        <v>216</v>
      </c>
      <c r="N288" s="81"/>
      <c r="O288" s="83" t="s">
        <v>2301</v>
      </c>
      <c r="P288" s="81"/>
      <c r="Q288" s="75" t="s">
        <v>25310</v>
      </c>
      <c r="R288" s="81"/>
      <c r="S288" s="87"/>
      <c r="T288" s="81"/>
      <c r="U288" s="81"/>
      <c r="V288" s="81"/>
      <c r="W288" s="81"/>
      <c r="X288" s="81"/>
      <c r="Y288" s="81"/>
      <c r="Z288" s="81"/>
    </row>
    <row r="289" ht="15.75" customHeight="1">
      <c r="A289" s="81" t="s">
        <v>14885</v>
      </c>
      <c r="B289" s="81" t="s">
        <v>102</v>
      </c>
      <c r="C289" s="85" t="s">
        <v>25311</v>
      </c>
      <c r="D289" s="81" t="s">
        <v>24344</v>
      </c>
      <c r="E289" s="82" t="s">
        <v>14880</v>
      </c>
      <c r="F289" s="83" t="s">
        <v>14881</v>
      </c>
      <c r="G289" s="85" t="s">
        <v>24335</v>
      </c>
      <c r="H289" s="84" t="b">
        <v>1</v>
      </c>
      <c r="I289" s="81"/>
      <c r="J289" s="89" t="s">
        <v>14878</v>
      </c>
      <c r="K289" s="85" t="s">
        <v>14879</v>
      </c>
      <c r="L289" s="86">
        <v>97418.0</v>
      </c>
      <c r="M289" s="81" t="s">
        <v>216</v>
      </c>
      <c r="N289" s="81"/>
      <c r="O289" s="83" t="s">
        <v>3331</v>
      </c>
      <c r="P289" s="81"/>
      <c r="Q289" s="75" t="s">
        <v>25312</v>
      </c>
      <c r="R289" s="92">
        <v>23530.0</v>
      </c>
      <c r="S289" s="87"/>
      <c r="T289" s="81"/>
      <c r="U289" s="81"/>
      <c r="V289" s="81"/>
      <c r="W289" s="81"/>
      <c r="X289" s="81"/>
      <c r="Y289" s="81"/>
      <c r="Z289" s="81"/>
    </row>
    <row r="290" ht="15.75" customHeight="1">
      <c r="A290" s="81" t="s">
        <v>21658</v>
      </c>
      <c r="B290" s="81" t="s">
        <v>102</v>
      </c>
      <c r="C290" s="81" t="s">
        <v>24577</v>
      </c>
      <c r="D290" s="81" t="s">
        <v>24344</v>
      </c>
      <c r="E290" s="81" t="s">
        <v>9483</v>
      </c>
      <c r="F290" s="91" t="s">
        <v>25313</v>
      </c>
      <c r="G290" s="81"/>
      <c r="H290" s="84" t="b">
        <v>1</v>
      </c>
      <c r="I290" s="85">
        <v>1.0</v>
      </c>
      <c r="J290" s="90" t="s">
        <v>17436</v>
      </c>
      <c r="K290" s="85" t="s">
        <v>25314</v>
      </c>
      <c r="L290" s="86">
        <v>97480.0</v>
      </c>
      <c r="M290" s="81" t="s">
        <v>123</v>
      </c>
      <c r="N290" s="81" t="s">
        <v>206</v>
      </c>
      <c r="O290" s="83" t="s">
        <v>9478</v>
      </c>
      <c r="P290" s="81"/>
      <c r="Q290" s="75" t="s">
        <v>25315</v>
      </c>
      <c r="R290" s="81"/>
      <c r="S290" s="87"/>
      <c r="T290" s="81"/>
      <c r="U290" s="81"/>
      <c r="V290" s="81"/>
      <c r="W290" s="81"/>
      <c r="X290" s="81"/>
      <c r="Y290" s="81"/>
      <c r="Z290" s="81"/>
    </row>
    <row r="291" ht="15.75" customHeight="1">
      <c r="A291" s="81" t="s">
        <v>18799</v>
      </c>
      <c r="B291" s="81" t="s">
        <v>102</v>
      </c>
      <c r="C291" s="81" t="s">
        <v>25316</v>
      </c>
      <c r="D291" s="85" t="s">
        <v>24334</v>
      </c>
      <c r="E291" s="81" t="s">
        <v>2035</v>
      </c>
      <c r="F291" s="83" t="s">
        <v>18797</v>
      </c>
      <c r="G291" s="85" t="s">
        <v>24335</v>
      </c>
      <c r="H291" s="84" t="b">
        <v>1</v>
      </c>
      <c r="I291" s="85">
        <v>1.0</v>
      </c>
      <c r="J291" s="90" t="s">
        <v>25317</v>
      </c>
      <c r="K291" s="85" t="s">
        <v>25318</v>
      </c>
      <c r="L291" s="97">
        <v>97430.0</v>
      </c>
      <c r="M291" s="85" t="s">
        <v>15538</v>
      </c>
      <c r="N291" s="81"/>
      <c r="O291" s="94" t="s">
        <v>25319</v>
      </c>
      <c r="P291" s="85" t="s">
        <v>25320</v>
      </c>
      <c r="Q291" s="46" t="s">
        <v>25321</v>
      </c>
      <c r="R291" s="81"/>
      <c r="S291" s="93" t="s">
        <v>24460</v>
      </c>
      <c r="T291" s="81"/>
      <c r="U291" s="81"/>
      <c r="V291" s="81"/>
      <c r="W291" s="81"/>
      <c r="X291" s="81"/>
      <c r="Y291" s="81"/>
      <c r="Z291" s="81"/>
    </row>
    <row r="292" ht="15.75" customHeight="1">
      <c r="A292" s="81" t="s">
        <v>18989</v>
      </c>
      <c r="B292" s="81" t="s">
        <v>24956</v>
      </c>
      <c r="C292" s="81" t="s">
        <v>25322</v>
      </c>
      <c r="D292" s="81" t="s">
        <v>24344</v>
      </c>
      <c r="E292" s="81" t="s">
        <v>5071</v>
      </c>
      <c r="F292" s="91" t="s">
        <v>25323</v>
      </c>
      <c r="G292" s="81"/>
      <c r="H292" s="84" t="b">
        <v>1</v>
      </c>
      <c r="I292" s="85">
        <v>1.0</v>
      </c>
      <c r="J292" s="81"/>
      <c r="K292" s="81" t="s">
        <v>25324</v>
      </c>
      <c r="L292" s="86">
        <v>97430.0</v>
      </c>
      <c r="M292" s="81" t="s">
        <v>71</v>
      </c>
      <c r="N292" s="81"/>
      <c r="O292" s="83" t="s">
        <v>5067</v>
      </c>
      <c r="P292" s="81"/>
      <c r="Q292" s="75" t="s">
        <v>25325</v>
      </c>
      <c r="R292" s="81"/>
      <c r="S292" s="87"/>
      <c r="T292" s="81"/>
      <c r="U292" s="81"/>
      <c r="V292" s="81"/>
      <c r="W292" s="81"/>
      <c r="X292" s="81"/>
      <c r="Y292" s="81"/>
      <c r="Z292" s="81"/>
    </row>
    <row r="293" ht="15.75" customHeight="1">
      <c r="A293" s="81" t="s">
        <v>19285</v>
      </c>
      <c r="B293" s="81" t="s">
        <v>102</v>
      </c>
      <c r="C293" s="81" t="s">
        <v>25326</v>
      </c>
      <c r="D293" s="81" t="s">
        <v>24344</v>
      </c>
      <c r="E293" s="81" t="s">
        <v>3000</v>
      </c>
      <c r="F293" s="83" t="s">
        <v>19283</v>
      </c>
      <c r="G293" s="81"/>
      <c r="H293" s="84" t="b">
        <v>1</v>
      </c>
      <c r="I293" s="85">
        <v>4.0</v>
      </c>
      <c r="J293" s="86">
        <v>48.0</v>
      </c>
      <c r="K293" s="81" t="s">
        <v>25327</v>
      </c>
      <c r="L293" s="86">
        <v>97418.0</v>
      </c>
      <c r="M293" s="81" t="s">
        <v>216</v>
      </c>
      <c r="N293" s="81"/>
      <c r="O293" s="94" t="s">
        <v>25328</v>
      </c>
      <c r="P293" s="81"/>
      <c r="Q293" s="75" t="s">
        <v>25329</v>
      </c>
      <c r="R293" s="81"/>
      <c r="S293" s="87"/>
      <c r="T293" s="81"/>
      <c r="U293" s="81"/>
      <c r="V293" s="81"/>
      <c r="W293" s="81"/>
      <c r="X293" s="81"/>
      <c r="Y293" s="81"/>
      <c r="Z293" s="81"/>
    </row>
    <row r="294" ht="15.75" customHeight="1">
      <c r="A294" s="81" t="s">
        <v>20886</v>
      </c>
      <c r="B294" s="81" t="s">
        <v>25330</v>
      </c>
      <c r="C294" s="81" t="s">
        <v>24750</v>
      </c>
      <c r="D294" s="85" t="s">
        <v>24334</v>
      </c>
      <c r="E294" s="81" t="s">
        <v>9344</v>
      </c>
      <c r="F294" s="83" t="s">
        <v>20882</v>
      </c>
      <c r="G294" s="81"/>
      <c r="H294" s="84" t="b">
        <v>0</v>
      </c>
      <c r="I294" s="81"/>
      <c r="J294" s="86">
        <v>35.0</v>
      </c>
      <c r="K294" s="85" t="s">
        <v>25331</v>
      </c>
      <c r="L294" s="86">
        <v>97430.0</v>
      </c>
      <c r="M294" s="81" t="s">
        <v>71</v>
      </c>
      <c r="N294" s="81"/>
      <c r="O294" s="83" t="s">
        <v>9339</v>
      </c>
      <c r="P294" s="81"/>
      <c r="Q294" s="75" t="s">
        <v>25332</v>
      </c>
      <c r="R294" s="81"/>
      <c r="S294" s="87"/>
      <c r="T294" s="81"/>
      <c r="U294" s="81"/>
      <c r="V294" s="81"/>
      <c r="W294" s="81"/>
      <c r="X294" s="81"/>
      <c r="Y294" s="81"/>
      <c r="Z294" s="81"/>
    </row>
    <row r="295" ht="15.75" customHeight="1">
      <c r="A295" s="81" t="s">
        <v>19509</v>
      </c>
      <c r="B295" s="81" t="s">
        <v>25333</v>
      </c>
      <c r="C295" s="81" t="s">
        <v>25334</v>
      </c>
      <c r="D295" s="81" t="s">
        <v>24344</v>
      </c>
      <c r="E295" s="81" t="s">
        <v>3612</v>
      </c>
      <c r="F295" s="83" t="s">
        <v>25335</v>
      </c>
      <c r="G295" s="81"/>
      <c r="H295" s="84" t="b">
        <v>1</v>
      </c>
      <c r="I295" s="85">
        <v>1.0</v>
      </c>
      <c r="J295" s="81"/>
      <c r="K295" s="81" t="s">
        <v>15839</v>
      </c>
      <c r="L295" s="86">
        <v>97442.0</v>
      </c>
      <c r="M295" s="81" t="s">
        <v>33</v>
      </c>
      <c r="N295" s="81"/>
      <c r="O295" s="83" t="s">
        <v>3606</v>
      </c>
      <c r="P295" s="81"/>
      <c r="Q295" s="46" t="s">
        <v>25336</v>
      </c>
      <c r="R295" s="81"/>
      <c r="S295" s="87"/>
      <c r="T295" s="81"/>
      <c r="U295" s="81"/>
      <c r="V295" s="81"/>
      <c r="W295" s="81"/>
      <c r="X295" s="81"/>
      <c r="Y295" s="81"/>
      <c r="Z295" s="81"/>
    </row>
    <row r="296" ht="15.75" customHeight="1">
      <c r="A296" s="81" t="s">
        <v>20244</v>
      </c>
      <c r="B296" s="81" t="s">
        <v>25337</v>
      </c>
      <c r="C296" s="81" t="s">
        <v>24465</v>
      </c>
      <c r="D296" s="85" t="s">
        <v>24334</v>
      </c>
      <c r="E296" s="81" t="s">
        <v>2804</v>
      </c>
      <c r="F296" s="83" t="s">
        <v>20242</v>
      </c>
      <c r="G296" s="81"/>
      <c r="H296" s="84" t="b">
        <v>1</v>
      </c>
      <c r="I296" s="81"/>
      <c r="J296" s="86">
        <v>168.0</v>
      </c>
      <c r="K296" s="81" t="s">
        <v>13877</v>
      </c>
      <c r="L296" s="86">
        <v>97480.0</v>
      </c>
      <c r="M296" s="81" t="s">
        <v>123</v>
      </c>
      <c r="N296" s="81"/>
      <c r="O296" s="83" t="s">
        <v>2797</v>
      </c>
      <c r="P296" s="81"/>
      <c r="Q296" s="75" t="s">
        <v>25338</v>
      </c>
      <c r="R296" s="81"/>
      <c r="S296" s="87"/>
      <c r="T296" s="81"/>
      <c r="U296" s="81"/>
      <c r="V296" s="81"/>
      <c r="W296" s="81"/>
      <c r="X296" s="81"/>
      <c r="Y296" s="81"/>
      <c r="Z296" s="81"/>
    </row>
    <row r="297" ht="15.75" customHeight="1">
      <c r="A297" s="81" t="s">
        <v>20714</v>
      </c>
      <c r="B297" s="81" t="s">
        <v>25339</v>
      </c>
      <c r="C297" s="81" t="s">
        <v>73</v>
      </c>
      <c r="D297" s="81" t="s">
        <v>24344</v>
      </c>
      <c r="E297" s="81" t="s">
        <v>1264</v>
      </c>
      <c r="F297" s="83" t="s">
        <v>20712</v>
      </c>
      <c r="G297" s="81"/>
      <c r="H297" s="84" t="b">
        <v>1</v>
      </c>
      <c r="I297" s="81"/>
      <c r="J297" s="86">
        <v>31.0</v>
      </c>
      <c r="K297" s="81" t="s">
        <v>25154</v>
      </c>
      <c r="L297" s="86">
        <v>97430.0</v>
      </c>
      <c r="M297" s="81" t="s">
        <v>71</v>
      </c>
      <c r="N297" s="81" t="s">
        <v>3501</v>
      </c>
      <c r="O297" s="83" t="s">
        <v>1260</v>
      </c>
      <c r="P297" s="81"/>
      <c r="Q297" s="75" t="s">
        <v>25340</v>
      </c>
      <c r="R297" s="81"/>
      <c r="S297" s="87"/>
      <c r="T297" s="81"/>
      <c r="U297" s="81"/>
      <c r="V297" s="81"/>
      <c r="W297" s="81"/>
      <c r="X297" s="81"/>
      <c r="Y297" s="81"/>
      <c r="Z297" s="81"/>
    </row>
    <row r="298" ht="15.75" customHeight="1">
      <c r="A298" s="81" t="s">
        <v>14904</v>
      </c>
      <c r="B298" s="81" t="s">
        <v>25341</v>
      </c>
      <c r="C298" s="81" t="s">
        <v>24872</v>
      </c>
      <c r="D298" s="81" t="s">
        <v>24344</v>
      </c>
      <c r="E298" s="81" t="s">
        <v>8205</v>
      </c>
      <c r="F298" s="83" t="s">
        <v>14899</v>
      </c>
      <c r="G298" s="81"/>
      <c r="H298" s="84" t="b">
        <v>1</v>
      </c>
      <c r="I298" s="85">
        <v>1.0</v>
      </c>
      <c r="J298" s="81"/>
      <c r="K298" s="81" t="s">
        <v>12542</v>
      </c>
      <c r="L298" s="86">
        <v>97480.0</v>
      </c>
      <c r="M298" s="81" t="s">
        <v>123</v>
      </c>
      <c r="N298" s="81"/>
      <c r="O298" s="83" t="s">
        <v>8201</v>
      </c>
      <c r="P298" s="81"/>
      <c r="Q298" s="46" t="s">
        <v>25342</v>
      </c>
      <c r="R298" s="81"/>
      <c r="S298" s="87"/>
      <c r="T298" s="81"/>
      <c r="U298" s="81"/>
      <c r="V298" s="81"/>
      <c r="W298" s="81"/>
      <c r="X298" s="81"/>
      <c r="Y298" s="81"/>
      <c r="Z298" s="81"/>
    </row>
    <row r="299" ht="15.75" customHeight="1">
      <c r="A299" s="81" t="s">
        <v>17864</v>
      </c>
      <c r="B299" s="81" t="s">
        <v>25337</v>
      </c>
      <c r="C299" s="81" t="s">
        <v>25343</v>
      </c>
      <c r="D299" s="81" t="s">
        <v>24344</v>
      </c>
      <c r="E299" s="81" t="s">
        <v>5640</v>
      </c>
      <c r="F299" s="83" t="s">
        <v>17862</v>
      </c>
      <c r="G299" s="81"/>
      <c r="H299" s="84" t="b">
        <v>1</v>
      </c>
      <c r="I299" s="81"/>
      <c r="J299" s="81" t="s">
        <v>25344</v>
      </c>
      <c r="K299" s="81" t="s">
        <v>17845</v>
      </c>
      <c r="L299" s="86">
        <v>97442.0</v>
      </c>
      <c r="M299" s="81" t="s">
        <v>33</v>
      </c>
      <c r="N299" s="81"/>
      <c r="O299" s="83" t="s">
        <v>5633</v>
      </c>
      <c r="P299" s="81"/>
      <c r="Q299" s="75" t="s">
        <v>25345</v>
      </c>
      <c r="R299" s="81"/>
      <c r="S299" s="87"/>
      <c r="T299" s="81"/>
      <c r="U299" s="81"/>
      <c r="V299" s="81"/>
      <c r="W299" s="81"/>
      <c r="X299" s="81"/>
      <c r="Y299" s="81"/>
      <c r="Z299" s="81"/>
    </row>
    <row r="300" ht="15.75" customHeight="1">
      <c r="A300" s="81" t="s">
        <v>13022</v>
      </c>
      <c r="B300" s="81" t="s">
        <v>25346</v>
      </c>
      <c r="C300" s="81" t="s">
        <v>25086</v>
      </c>
      <c r="D300" s="85" t="s">
        <v>24334</v>
      </c>
      <c r="E300" s="85" t="s">
        <v>22201</v>
      </c>
      <c r="F300" s="83" t="s">
        <v>13017</v>
      </c>
      <c r="G300" s="85" t="s">
        <v>24335</v>
      </c>
      <c r="H300" s="84" t="b">
        <v>1</v>
      </c>
      <c r="I300" s="85">
        <v>1.0</v>
      </c>
      <c r="J300" s="86">
        <v>5.0</v>
      </c>
      <c r="K300" s="81" t="s">
        <v>25347</v>
      </c>
      <c r="L300" s="86">
        <v>97430.0</v>
      </c>
      <c r="M300" s="81" t="s">
        <v>71</v>
      </c>
      <c r="N300" s="81"/>
      <c r="O300" s="94" t="s">
        <v>25348</v>
      </c>
      <c r="P300" s="81"/>
      <c r="Q300" s="46" t="s">
        <v>25349</v>
      </c>
      <c r="R300" s="81"/>
      <c r="S300" s="87"/>
      <c r="T300" s="81"/>
      <c r="U300" s="81"/>
      <c r="V300" s="81"/>
      <c r="W300" s="81"/>
      <c r="X300" s="81"/>
      <c r="Y300" s="81"/>
      <c r="Z300" s="81"/>
    </row>
    <row r="301" ht="15.75" customHeight="1">
      <c r="A301" s="81" t="s">
        <v>19114</v>
      </c>
      <c r="B301" s="81" t="s">
        <v>25350</v>
      </c>
      <c r="C301" s="81" t="s">
        <v>25017</v>
      </c>
      <c r="D301" s="85" t="s">
        <v>24334</v>
      </c>
      <c r="E301" s="81" t="s">
        <v>5210</v>
      </c>
      <c r="F301" s="83" t="s">
        <v>19113</v>
      </c>
      <c r="G301" s="81"/>
      <c r="H301" s="84" t="b">
        <v>1</v>
      </c>
      <c r="I301" s="81"/>
      <c r="J301" s="86">
        <v>18.0</v>
      </c>
      <c r="K301" s="81" t="s">
        <v>25351</v>
      </c>
      <c r="L301" s="86">
        <v>97430.0</v>
      </c>
      <c r="M301" s="81" t="s">
        <v>71</v>
      </c>
      <c r="N301" s="81" t="s">
        <v>12373</v>
      </c>
      <c r="O301" s="83" t="s">
        <v>25352</v>
      </c>
      <c r="P301" s="81"/>
      <c r="Q301" s="75" t="s">
        <v>25353</v>
      </c>
      <c r="R301" s="81"/>
      <c r="S301" s="87"/>
      <c r="T301" s="81"/>
      <c r="U301" s="81"/>
      <c r="V301" s="81"/>
      <c r="W301" s="81"/>
      <c r="X301" s="81"/>
      <c r="Y301" s="81"/>
      <c r="Z301" s="81"/>
    </row>
    <row r="302" ht="15.75" customHeight="1">
      <c r="A302" s="81" t="s">
        <v>20876</v>
      </c>
      <c r="B302" s="81" t="s">
        <v>25354</v>
      </c>
      <c r="C302" s="81" t="s">
        <v>25033</v>
      </c>
      <c r="D302" s="81" t="s">
        <v>24344</v>
      </c>
      <c r="E302" s="81" t="s">
        <v>9245</v>
      </c>
      <c r="F302" s="83" t="s">
        <v>20874</v>
      </c>
      <c r="G302" s="81"/>
      <c r="H302" s="84" t="b">
        <v>1</v>
      </c>
      <c r="I302" s="81"/>
      <c r="J302" s="86">
        <v>23.0</v>
      </c>
      <c r="K302" s="81" t="s">
        <v>25355</v>
      </c>
      <c r="L302" s="86">
        <v>97480.0</v>
      </c>
      <c r="M302" s="81" t="s">
        <v>123</v>
      </c>
      <c r="N302" s="81"/>
      <c r="O302" s="83" t="s">
        <v>9240</v>
      </c>
      <c r="P302" s="81"/>
      <c r="Q302" s="75" t="s">
        <v>25356</v>
      </c>
      <c r="R302" s="81"/>
      <c r="S302" s="87"/>
      <c r="T302" s="81"/>
      <c r="U302" s="81"/>
      <c r="V302" s="81"/>
      <c r="W302" s="81"/>
      <c r="X302" s="81"/>
      <c r="Y302" s="81"/>
      <c r="Z302" s="81"/>
    </row>
    <row r="303" ht="15.75" customHeight="1">
      <c r="A303" s="81" t="s">
        <v>20531</v>
      </c>
      <c r="B303" s="81" t="s">
        <v>25357</v>
      </c>
      <c r="C303" s="81" t="s">
        <v>25358</v>
      </c>
      <c r="D303" s="81" t="s">
        <v>24344</v>
      </c>
      <c r="E303" s="85" t="s">
        <v>25359</v>
      </c>
      <c r="F303" s="91" t="s">
        <v>25360</v>
      </c>
      <c r="G303" s="85" t="s">
        <v>24420</v>
      </c>
      <c r="H303" s="88" t="b">
        <v>1</v>
      </c>
      <c r="I303" s="85">
        <v>1.0</v>
      </c>
      <c r="J303" s="81"/>
      <c r="K303" s="81" t="s">
        <v>40</v>
      </c>
      <c r="L303" s="86">
        <v>97414.0</v>
      </c>
      <c r="M303" s="81" t="s">
        <v>40</v>
      </c>
      <c r="N303" s="81"/>
      <c r="O303" s="83" t="s">
        <v>5219</v>
      </c>
      <c r="P303" s="81"/>
      <c r="Q303" s="75" t="s">
        <v>25361</v>
      </c>
      <c r="R303" s="81"/>
      <c r="S303" s="87"/>
      <c r="T303" s="81"/>
      <c r="U303" s="81"/>
      <c r="V303" s="81"/>
      <c r="W303" s="81"/>
      <c r="X303" s="81"/>
      <c r="Y303" s="81"/>
      <c r="Z303" s="81"/>
    </row>
    <row r="304" ht="15.75" customHeight="1">
      <c r="A304" s="81" t="s">
        <v>15312</v>
      </c>
      <c r="B304" s="81" t="s">
        <v>25362</v>
      </c>
      <c r="C304" s="81" t="s">
        <v>143</v>
      </c>
      <c r="D304" s="81" t="s">
        <v>24344</v>
      </c>
      <c r="E304" s="81" t="s">
        <v>9672</v>
      </c>
      <c r="F304" s="83" t="s">
        <v>18820</v>
      </c>
      <c r="G304" s="85" t="s">
        <v>24335</v>
      </c>
      <c r="H304" s="84" t="b">
        <v>1</v>
      </c>
      <c r="I304" s="85">
        <v>1.0</v>
      </c>
      <c r="J304" s="86">
        <v>84.0</v>
      </c>
      <c r="K304" s="81" t="s">
        <v>24691</v>
      </c>
      <c r="L304" s="86">
        <v>97430.0</v>
      </c>
      <c r="M304" s="81" t="s">
        <v>71</v>
      </c>
      <c r="N304" s="81"/>
      <c r="O304" s="94" t="s">
        <v>25363</v>
      </c>
      <c r="P304" s="85" t="s">
        <v>25364</v>
      </c>
      <c r="Q304" s="46" t="s">
        <v>25365</v>
      </c>
      <c r="R304" s="92">
        <v>18307.0</v>
      </c>
      <c r="S304" s="93" t="s">
        <v>24460</v>
      </c>
      <c r="T304" s="81"/>
      <c r="U304" s="81"/>
      <c r="V304" s="81"/>
      <c r="W304" s="81"/>
      <c r="X304" s="81"/>
      <c r="Y304" s="81"/>
      <c r="Z304" s="81"/>
    </row>
    <row r="305" ht="15.75" customHeight="1">
      <c r="A305" s="81" t="s">
        <v>16395</v>
      </c>
      <c r="B305" s="81" t="s">
        <v>25337</v>
      </c>
      <c r="C305" s="81" t="s">
        <v>25366</v>
      </c>
      <c r="D305" s="81" t="s">
        <v>24344</v>
      </c>
      <c r="E305" s="81" t="s">
        <v>9547</v>
      </c>
      <c r="F305" s="83" t="s">
        <v>16390</v>
      </c>
      <c r="G305" s="81"/>
      <c r="H305" s="84" t="b">
        <v>1</v>
      </c>
      <c r="I305" s="81"/>
      <c r="J305" s="81"/>
      <c r="K305" s="81" t="s">
        <v>216</v>
      </c>
      <c r="L305" s="86">
        <v>97418.0</v>
      </c>
      <c r="M305" s="81" t="s">
        <v>216</v>
      </c>
      <c r="N305" s="81"/>
      <c r="O305" s="83" t="s">
        <v>9544</v>
      </c>
      <c r="P305" s="81"/>
      <c r="Q305" s="75" t="s">
        <v>25367</v>
      </c>
      <c r="R305" s="81"/>
      <c r="S305" s="87"/>
      <c r="T305" s="81"/>
      <c r="U305" s="81"/>
      <c r="V305" s="81"/>
      <c r="W305" s="81"/>
      <c r="X305" s="81"/>
      <c r="Y305" s="81"/>
      <c r="Z305" s="81"/>
    </row>
    <row r="306" ht="15.75" customHeight="1">
      <c r="A306" s="81" t="s">
        <v>14037</v>
      </c>
      <c r="B306" s="85" t="s">
        <v>25368</v>
      </c>
      <c r="C306" s="81" t="s">
        <v>25369</v>
      </c>
      <c r="D306" s="81" t="s">
        <v>24344</v>
      </c>
      <c r="E306" s="81" t="s">
        <v>5476</v>
      </c>
      <c r="F306" s="83" t="s">
        <v>14034</v>
      </c>
      <c r="G306" s="81"/>
      <c r="H306" s="84" t="b">
        <v>1</v>
      </c>
      <c r="I306" s="85">
        <v>1.0</v>
      </c>
      <c r="J306" s="86">
        <v>15.0</v>
      </c>
      <c r="K306" s="81" t="s">
        <v>25057</v>
      </c>
      <c r="L306" s="86">
        <v>97480.0</v>
      </c>
      <c r="M306" s="81" t="s">
        <v>123</v>
      </c>
      <c r="N306" s="81"/>
      <c r="O306" s="83" t="s">
        <v>5472</v>
      </c>
      <c r="P306" s="81"/>
      <c r="Q306" s="46" t="s">
        <v>25370</v>
      </c>
      <c r="R306" s="81"/>
      <c r="S306" s="87"/>
      <c r="T306" s="81"/>
      <c r="U306" s="81"/>
      <c r="V306" s="81"/>
      <c r="W306" s="81"/>
      <c r="X306" s="81"/>
      <c r="Y306" s="81"/>
      <c r="Z306" s="81"/>
    </row>
    <row r="307" ht="15.75" customHeight="1">
      <c r="A307" s="81" t="s">
        <v>19626</v>
      </c>
      <c r="B307" s="85" t="s">
        <v>25371</v>
      </c>
      <c r="C307" s="85" t="s">
        <v>25372</v>
      </c>
      <c r="D307" s="81" t="s">
        <v>24344</v>
      </c>
      <c r="E307" s="82" t="s">
        <v>1130</v>
      </c>
      <c r="F307" s="83"/>
      <c r="G307" s="81"/>
      <c r="H307" s="84" t="b">
        <v>1</v>
      </c>
      <c r="I307" s="85">
        <v>1.0</v>
      </c>
      <c r="J307" s="81"/>
      <c r="K307" s="81" t="s">
        <v>15208</v>
      </c>
      <c r="L307" s="86">
        <v>97418.0</v>
      </c>
      <c r="M307" s="81" t="s">
        <v>216</v>
      </c>
      <c r="N307" s="81"/>
      <c r="O307" s="83" t="s">
        <v>25373</v>
      </c>
      <c r="P307" s="81"/>
      <c r="Q307" s="75" t="s">
        <v>25374</v>
      </c>
      <c r="R307" s="81"/>
      <c r="S307" s="87"/>
      <c r="T307" s="81"/>
      <c r="U307" s="81"/>
      <c r="V307" s="81"/>
      <c r="W307" s="81"/>
      <c r="X307" s="81"/>
      <c r="Y307" s="81"/>
      <c r="Z307" s="81"/>
    </row>
    <row r="308" ht="15.75" customHeight="1">
      <c r="A308" s="81" t="s">
        <v>13748</v>
      </c>
      <c r="B308" s="81" t="s">
        <v>25337</v>
      </c>
      <c r="C308" s="81" t="s">
        <v>24414</v>
      </c>
      <c r="D308" s="81" t="s">
        <v>24344</v>
      </c>
      <c r="E308" s="81" t="s">
        <v>7643</v>
      </c>
      <c r="F308" s="91" t="s">
        <v>25375</v>
      </c>
      <c r="G308" s="85" t="s">
        <v>24335</v>
      </c>
      <c r="H308" s="84" t="b">
        <v>1</v>
      </c>
      <c r="I308" s="85">
        <v>3.0</v>
      </c>
      <c r="J308" s="86">
        <v>2.0</v>
      </c>
      <c r="K308" s="81" t="s">
        <v>25376</v>
      </c>
      <c r="L308" s="86">
        <v>97480.0</v>
      </c>
      <c r="M308" s="81" t="s">
        <v>123</v>
      </c>
      <c r="N308" s="81"/>
      <c r="O308" s="83" t="s">
        <v>25377</v>
      </c>
      <c r="P308" s="85" t="s">
        <v>25378</v>
      </c>
      <c r="Q308" s="75" t="s">
        <v>25379</v>
      </c>
      <c r="R308" s="92">
        <v>24564.0</v>
      </c>
      <c r="S308" s="93" t="s">
        <v>24460</v>
      </c>
      <c r="T308" s="81"/>
      <c r="U308" s="81"/>
      <c r="V308" s="81"/>
      <c r="W308" s="81"/>
      <c r="X308" s="81"/>
      <c r="Y308" s="81"/>
      <c r="Z308" s="81"/>
    </row>
    <row r="309" ht="15.75" customHeight="1">
      <c r="A309" s="81" t="s">
        <v>15467</v>
      </c>
      <c r="B309" s="81" t="s">
        <v>25337</v>
      </c>
      <c r="C309" s="81" t="s">
        <v>24539</v>
      </c>
      <c r="D309" s="81" t="s">
        <v>24344</v>
      </c>
      <c r="E309" s="81" t="s">
        <v>10144</v>
      </c>
      <c r="F309" s="83" t="s">
        <v>25380</v>
      </c>
      <c r="G309" s="81"/>
      <c r="H309" s="84" t="b">
        <v>1</v>
      </c>
      <c r="I309" s="81"/>
      <c r="J309" s="86">
        <v>4.0</v>
      </c>
      <c r="K309" s="81" t="s">
        <v>25381</v>
      </c>
      <c r="L309" s="86">
        <v>97480.0</v>
      </c>
      <c r="M309" s="81" t="s">
        <v>123</v>
      </c>
      <c r="N309" s="81"/>
      <c r="O309" s="83" t="s">
        <v>10141</v>
      </c>
      <c r="P309" s="81"/>
      <c r="Q309" s="75" t="s">
        <v>25382</v>
      </c>
      <c r="R309" s="81"/>
      <c r="S309" s="87"/>
      <c r="T309" s="81"/>
      <c r="U309" s="81"/>
      <c r="V309" s="81"/>
      <c r="W309" s="81"/>
      <c r="X309" s="81"/>
      <c r="Y309" s="81"/>
      <c r="Z309" s="81"/>
    </row>
    <row r="310" ht="15.75" customHeight="1">
      <c r="A310" s="81" t="s">
        <v>13855</v>
      </c>
      <c r="B310" s="81" t="s">
        <v>25337</v>
      </c>
      <c r="C310" s="81" t="s">
        <v>25383</v>
      </c>
      <c r="D310" s="85" t="s">
        <v>24334</v>
      </c>
      <c r="E310" s="81" t="s">
        <v>6258</v>
      </c>
      <c r="F310" s="91" t="s">
        <v>13853</v>
      </c>
      <c r="G310" s="81"/>
      <c r="H310" s="84" t="b">
        <v>1</v>
      </c>
      <c r="I310" s="85">
        <v>1.0</v>
      </c>
      <c r="J310" s="81"/>
      <c r="K310" s="81" t="s">
        <v>13850</v>
      </c>
      <c r="L310" s="86">
        <v>97430.0</v>
      </c>
      <c r="M310" s="81" t="s">
        <v>71</v>
      </c>
      <c r="N310" s="81"/>
      <c r="O310" s="83" t="s">
        <v>6255</v>
      </c>
      <c r="P310" s="81"/>
      <c r="Q310" s="75" t="s">
        <v>25384</v>
      </c>
      <c r="R310" s="81"/>
      <c r="S310" s="87"/>
      <c r="T310" s="81"/>
      <c r="U310" s="81"/>
      <c r="V310" s="81"/>
      <c r="W310" s="81"/>
      <c r="X310" s="81"/>
      <c r="Y310" s="81"/>
      <c r="Z310" s="81"/>
    </row>
    <row r="311" ht="15.75" customHeight="1">
      <c r="A311" s="81" t="s">
        <v>13658</v>
      </c>
      <c r="B311" s="85" t="s">
        <v>25385</v>
      </c>
      <c r="C311" s="81" t="s">
        <v>24650</v>
      </c>
      <c r="D311" s="81" t="s">
        <v>24344</v>
      </c>
      <c r="E311" s="85" t="s">
        <v>13654</v>
      </c>
      <c r="F311" s="83" t="s">
        <v>20749</v>
      </c>
      <c r="G311" s="85" t="s">
        <v>24335</v>
      </c>
      <c r="H311" s="88" t="b">
        <v>1</v>
      </c>
      <c r="I311" s="85">
        <v>1.0</v>
      </c>
      <c r="J311" s="90" t="s">
        <v>12331</v>
      </c>
      <c r="K311" s="85" t="s">
        <v>25386</v>
      </c>
      <c r="L311" s="86">
        <v>97414.0</v>
      </c>
      <c r="M311" s="81" t="s">
        <v>40</v>
      </c>
      <c r="N311" s="81"/>
      <c r="O311" s="83" t="s">
        <v>9537</v>
      </c>
      <c r="P311" s="81"/>
      <c r="Q311" s="46" t="s">
        <v>25387</v>
      </c>
      <c r="R311" s="92">
        <v>22088.0</v>
      </c>
      <c r="S311" s="93" t="s">
        <v>24460</v>
      </c>
      <c r="T311" s="81"/>
      <c r="U311" s="81"/>
      <c r="V311" s="81"/>
      <c r="W311" s="81"/>
      <c r="X311" s="81"/>
      <c r="Y311" s="81"/>
      <c r="Z311" s="81"/>
    </row>
    <row r="312" ht="15.75" customHeight="1">
      <c r="A312" s="81" t="s">
        <v>20755</v>
      </c>
      <c r="B312" s="85" t="s">
        <v>25388</v>
      </c>
      <c r="C312" s="85" t="s">
        <v>25389</v>
      </c>
      <c r="D312" s="85" t="s">
        <v>24334</v>
      </c>
      <c r="E312" s="81" t="s">
        <v>8326</v>
      </c>
      <c r="F312" s="83" t="s">
        <v>13853</v>
      </c>
      <c r="G312" s="85" t="s">
        <v>24420</v>
      </c>
      <c r="H312" s="84" t="b">
        <v>1</v>
      </c>
      <c r="I312" s="85">
        <v>1.0</v>
      </c>
      <c r="J312" s="86">
        <v>78.0</v>
      </c>
      <c r="K312" s="81" t="s">
        <v>25390</v>
      </c>
      <c r="L312" s="86">
        <v>97480.0</v>
      </c>
      <c r="M312" s="81" t="s">
        <v>123</v>
      </c>
      <c r="N312" s="81" t="s">
        <v>8325</v>
      </c>
      <c r="O312" s="83" t="s">
        <v>8322</v>
      </c>
      <c r="P312" s="81"/>
      <c r="Q312" s="75" t="s">
        <v>25391</v>
      </c>
      <c r="R312" s="92">
        <v>23942.0</v>
      </c>
      <c r="S312" s="93" t="s">
        <v>24348</v>
      </c>
      <c r="T312" s="81"/>
      <c r="U312" s="81"/>
      <c r="V312" s="81"/>
      <c r="W312" s="81"/>
      <c r="X312" s="81"/>
      <c r="Y312" s="81"/>
      <c r="Z312" s="81"/>
    </row>
    <row r="313" ht="15.75" customHeight="1">
      <c r="A313" s="81" t="s">
        <v>19334</v>
      </c>
      <c r="B313" s="81" t="s">
        <v>25392</v>
      </c>
      <c r="C313" s="81" t="s">
        <v>86</v>
      </c>
      <c r="D313" s="85" t="s">
        <v>24334</v>
      </c>
      <c r="E313" s="81" t="s">
        <v>9597</v>
      </c>
      <c r="F313" s="83" t="s">
        <v>19331</v>
      </c>
      <c r="G313" s="85" t="s">
        <v>24335</v>
      </c>
      <c r="H313" s="84" t="b">
        <v>1</v>
      </c>
      <c r="I313" s="85">
        <v>1.0</v>
      </c>
      <c r="J313" s="86">
        <v>68.0</v>
      </c>
      <c r="K313" s="81" t="s">
        <v>25393</v>
      </c>
      <c r="L313" s="86">
        <v>97430.0</v>
      </c>
      <c r="M313" s="81" t="s">
        <v>71</v>
      </c>
      <c r="N313" s="81"/>
      <c r="O313" s="83" t="s">
        <v>9594</v>
      </c>
      <c r="P313" s="81"/>
      <c r="Q313" s="75" t="s">
        <v>25394</v>
      </c>
      <c r="R313" s="92">
        <v>25346.0</v>
      </c>
      <c r="S313" s="93" t="s">
        <v>24460</v>
      </c>
      <c r="T313" s="81"/>
      <c r="U313" s="81"/>
      <c r="V313" s="81"/>
      <c r="W313" s="81"/>
      <c r="X313" s="81"/>
      <c r="Y313" s="81"/>
      <c r="Z313" s="81"/>
    </row>
    <row r="314" ht="15.75" customHeight="1">
      <c r="A314" s="81" t="s">
        <v>12440</v>
      </c>
      <c r="B314" s="81" t="s">
        <v>25395</v>
      </c>
      <c r="C314" s="81" t="s">
        <v>25396</v>
      </c>
      <c r="D314" s="85" t="s">
        <v>24334</v>
      </c>
      <c r="E314" s="81" t="s">
        <v>9277</v>
      </c>
      <c r="F314" s="83" t="s">
        <v>12434</v>
      </c>
      <c r="G314" s="85" t="s">
        <v>24335</v>
      </c>
      <c r="H314" s="84" t="b">
        <v>1</v>
      </c>
      <c r="I314" s="85">
        <v>0.0</v>
      </c>
      <c r="J314" s="89" t="s">
        <v>25397</v>
      </c>
      <c r="K314" s="85" t="s">
        <v>25398</v>
      </c>
      <c r="L314" s="97">
        <v>13750.0</v>
      </c>
      <c r="M314" s="85" t="s">
        <v>25399</v>
      </c>
      <c r="N314" s="81"/>
      <c r="O314" s="83" t="s">
        <v>9268</v>
      </c>
      <c r="P314" s="81"/>
      <c r="Q314" s="46" t="s">
        <v>25400</v>
      </c>
      <c r="R314" s="96">
        <v>30646.0</v>
      </c>
      <c r="S314" s="93" t="s">
        <v>24460</v>
      </c>
      <c r="T314" s="81"/>
      <c r="U314" s="81"/>
      <c r="V314" s="81"/>
      <c r="W314" s="81"/>
      <c r="X314" s="81"/>
      <c r="Y314" s="81"/>
      <c r="Z314" s="81"/>
    </row>
    <row r="315" ht="15.75" customHeight="1">
      <c r="A315" s="81" t="s">
        <v>20586</v>
      </c>
      <c r="B315" s="81" t="s">
        <v>25337</v>
      </c>
      <c r="C315" s="81" t="s">
        <v>25401</v>
      </c>
      <c r="D315" s="85" t="s">
        <v>24334</v>
      </c>
      <c r="E315" s="81" t="s">
        <v>5960</v>
      </c>
      <c r="F315" s="83" t="s">
        <v>20584</v>
      </c>
      <c r="G315" s="81"/>
      <c r="H315" s="84" t="b">
        <v>1</v>
      </c>
      <c r="I315" s="81"/>
      <c r="J315" s="86">
        <v>158.0</v>
      </c>
      <c r="K315" s="81" t="s">
        <v>12806</v>
      </c>
      <c r="L315" s="86">
        <v>97480.0</v>
      </c>
      <c r="M315" s="81" t="s">
        <v>123</v>
      </c>
      <c r="N315" s="81"/>
      <c r="O315" s="83" t="s">
        <v>5955</v>
      </c>
      <c r="P315" s="81"/>
      <c r="Q315" s="75" t="s">
        <v>25402</v>
      </c>
      <c r="R315" s="81"/>
      <c r="S315" s="87"/>
      <c r="T315" s="81"/>
      <c r="U315" s="81"/>
      <c r="V315" s="81"/>
      <c r="W315" s="81"/>
      <c r="X315" s="81"/>
      <c r="Y315" s="81"/>
      <c r="Z315" s="81"/>
    </row>
    <row r="316" ht="15.75" customHeight="1">
      <c r="A316" s="81" t="s">
        <v>20386</v>
      </c>
      <c r="B316" s="81" t="s">
        <v>25403</v>
      </c>
      <c r="C316" s="81" t="s">
        <v>24859</v>
      </c>
      <c r="D316" s="85" t="s">
        <v>24334</v>
      </c>
      <c r="E316" s="81" t="s">
        <v>2143</v>
      </c>
      <c r="F316" s="91" t="s">
        <v>25404</v>
      </c>
      <c r="G316" s="85" t="s">
        <v>24335</v>
      </c>
      <c r="H316" s="84" t="b">
        <v>1</v>
      </c>
      <c r="I316" s="85">
        <v>1.0</v>
      </c>
      <c r="J316" s="86">
        <v>10.0</v>
      </c>
      <c r="K316" s="81" t="s">
        <v>25405</v>
      </c>
      <c r="L316" s="86">
        <v>97480.0</v>
      </c>
      <c r="M316" s="81" t="s">
        <v>123</v>
      </c>
      <c r="N316" s="81"/>
      <c r="O316" s="83" t="s">
        <v>2136</v>
      </c>
      <c r="P316" s="81"/>
      <c r="Q316" s="75" t="s">
        <v>25406</v>
      </c>
      <c r="R316" s="92">
        <v>24600.0</v>
      </c>
      <c r="S316" s="93" t="s">
        <v>24460</v>
      </c>
      <c r="T316" s="81"/>
      <c r="U316" s="81"/>
      <c r="V316" s="81"/>
      <c r="W316" s="81"/>
      <c r="X316" s="81"/>
      <c r="Y316" s="81"/>
      <c r="Z316" s="81"/>
    </row>
    <row r="317" ht="15.75" customHeight="1">
      <c r="A317" s="81" t="s">
        <v>20204</v>
      </c>
      <c r="B317" s="81" t="s">
        <v>25337</v>
      </c>
      <c r="C317" s="81" t="s">
        <v>25407</v>
      </c>
      <c r="D317" s="85" t="s">
        <v>24334</v>
      </c>
      <c r="E317" s="81" t="s">
        <v>4167</v>
      </c>
      <c r="F317" s="83" t="s">
        <v>20202</v>
      </c>
      <c r="G317" s="81"/>
      <c r="H317" s="84" t="b">
        <v>1</v>
      </c>
      <c r="I317" s="81"/>
      <c r="J317" s="86">
        <v>215.0</v>
      </c>
      <c r="K317" s="81" t="s">
        <v>12806</v>
      </c>
      <c r="L317" s="86">
        <v>97480.0</v>
      </c>
      <c r="M317" s="81" t="s">
        <v>123</v>
      </c>
      <c r="N317" s="81"/>
      <c r="O317" s="83" t="s">
        <v>4161</v>
      </c>
      <c r="P317" s="81"/>
      <c r="Q317" s="75" t="s">
        <v>25408</v>
      </c>
      <c r="R317" s="81"/>
      <c r="S317" s="87"/>
      <c r="T317" s="81"/>
      <c r="U317" s="81"/>
      <c r="V317" s="81"/>
      <c r="W317" s="81"/>
      <c r="X317" s="81"/>
      <c r="Y317" s="81"/>
      <c r="Z317" s="81"/>
    </row>
    <row r="318" ht="15.75" customHeight="1">
      <c r="A318" s="81" t="s">
        <v>12379</v>
      </c>
      <c r="B318" s="81" t="s">
        <v>25337</v>
      </c>
      <c r="C318" s="81" t="s">
        <v>24784</v>
      </c>
      <c r="D318" s="85" t="s">
        <v>24334</v>
      </c>
      <c r="E318" s="85" t="s">
        <v>12375</v>
      </c>
      <c r="F318" s="83" t="s">
        <v>25409</v>
      </c>
      <c r="G318" s="81"/>
      <c r="H318" s="84" t="b">
        <v>1</v>
      </c>
      <c r="I318" s="85">
        <v>2.0</v>
      </c>
      <c r="J318" s="86">
        <v>90.0</v>
      </c>
      <c r="K318" s="81" t="s">
        <v>25410</v>
      </c>
      <c r="L318" s="86">
        <v>97430.0</v>
      </c>
      <c r="M318" s="81" t="s">
        <v>71</v>
      </c>
      <c r="N318" s="81" t="s">
        <v>9050</v>
      </c>
      <c r="O318" s="83" t="s">
        <v>25411</v>
      </c>
      <c r="P318" s="81"/>
      <c r="Q318" s="46" t="s">
        <v>25412</v>
      </c>
      <c r="R318" s="81"/>
      <c r="S318" s="87"/>
      <c r="T318" s="81"/>
      <c r="U318" s="81"/>
      <c r="V318" s="81"/>
      <c r="W318" s="81"/>
      <c r="X318" s="81"/>
      <c r="Y318" s="81"/>
      <c r="Z318" s="81"/>
    </row>
    <row r="319" ht="15.75" customHeight="1">
      <c r="A319" s="81" t="s">
        <v>17230</v>
      </c>
      <c r="B319" s="81" t="s">
        <v>25333</v>
      </c>
      <c r="C319" s="85" t="s">
        <v>25413</v>
      </c>
      <c r="D319" s="85" t="s">
        <v>24344</v>
      </c>
      <c r="E319" s="81" t="s">
        <v>7776</v>
      </c>
      <c r="F319" s="83" t="s">
        <v>17222</v>
      </c>
      <c r="G319" s="85" t="s">
        <v>24335</v>
      </c>
      <c r="H319" s="84" t="b">
        <v>0</v>
      </c>
      <c r="I319" s="81"/>
      <c r="J319" s="86">
        <v>48.0</v>
      </c>
      <c r="K319" s="81" t="s">
        <v>17205</v>
      </c>
      <c r="L319" s="86">
        <v>97442.0</v>
      </c>
      <c r="M319" s="81" t="s">
        <v>33</v>
      </c>
      <c r="N319" s="81"/>
      <c r="O319" s="83" t="s">
        <v>7773</v>
      </c>
      <c r="P319" s="81"/>
      <c r="Q319" s="75" t="s">
        <v>25414</v>
      </c>
      <c r="R319" s="81"/>
      <c r="S319" s="87"/>
      <c r="T319" s="81"/>
      <c r="U319" s="81"/>
      <c r="V319" s="81"/>
      <c r="W319" s="81"/>
      <c r="X319" s="81"/>
      <c r="Y319" s="81"/>
      <c r="Z319" s="81"/>
    </row>
    <row r="320" ht="15.75" customHeight="1">
      <c r="A320" s="81" t="s">
        <v>19753</v>
      </c>
      <c r="B320" s="81" t="s">
        <v>25333</v>
      </c>
      <c r="C320" s="81" t="s">
        <v>24440</v>
      </c>
      <c r="D320" s="81" t="s">
        <v>24344</v>
      </c>
      <c r="E320" s="81" t="s">
        <v>9586</v>
      </c>
      <c r="F320" s="83" t="s">
        <v>19746</v>
      </c>
      <c r="G320" s="85" t="s">
        <v>24335</v>
      </c>
      <c r="H320" s="84" t="b">
        <v>1</v>
      </c>
      <c r="I320" s="81"/>
      <c r="J320" s="86">
        <v>8.0</v>
      </c>
      <c r="K320" s="81" t="s">
        <v>25415</v>
      </c>
      <c r="L320" s="86">
        <v>97480.0</v>
      </c>
      <c r="M320" s="81" t="s">
        <v>123</v>
      </c>
      <c r="N320" s="81"/>
      <c r="O320" s="83" t="s">
        <v>9583</v>
      </c>
      <c r="P320" s="85" t="s">
        <v>25416</v>
      </c>
      <c r="Q320" s="75" t="s">
        <v>25417</v>
      </c>
      <c r="R320" s="92">
        <v>26766.0</v>
      </c>
      <c r="S320" s="93" t="s">
        <v>24460</v>
      </c>
      <c r="T320" s="81"/>
      <c r="U320" s="81"/>
      <c r="V320" s="81"/>
      <c r="W320" s="81"/>
      <c r="X320" s="81"/>
      <c r="Y320" s="81"/>
      <c r="Z320" s="81"/>
    </row>
    <row r="321" ht="15.75" customHeight="1">
      <c r="A321" s="81" t="s">
        <v>19134</v>
      </c>
      <c r="B321" s="81" t="s">
        <v>25418</v>
      </c>
      <c r="C321" s="81" t="s">
        <v>24440</v>
      </c>
      <c r="D321" s="81" t="s">
        <v>24344</v>
      </c>
      <c r="E321" s="81" t="s">
        <v>593</v>
      </c>
      <c r="F321" s="83" t="s">
        <v>19132</v>
      </c>
      <c r="G321" s="81"/>
      <c r="H321" s="84" t="b">
        <v>1</v>
      </c>
      <c r="I321" s="81"/>
      <c r="J321" s="81"/>
      <c r="K321" s="81" t="s">
        <v>19130</v>
      </c>
      <c r="L321" s="86">
        <v>97430.0</v>
      </c>
      <c r="M321" s="81" t="s">
        <v>71</v>
      </c>
      <c r="N321" s="81"/>
      <c r="O321" s="83" t="s">
        <v>586</v>
      </c>
      <c r="P321" s="81"/>
      <c r="Q321" s="75" t="s">
        <v>25419</v>
      </c>
      <c r="R321" s="81"/>
      <c r="S321" s="87"/>
      <c r="T321" s="81"/>
      <c r="U321" s="81"/>
      <c r="V321" s="81"/>
      <c r="W321" s="81"/>
      <c r="X321" s="81"/>
      <c r="Y321" s="81"/>
      <c r="Z321" s="81"/>
    </row>
    <row r="322" ht="15.75" customHeight="1">
      <c r="A322" s="81" t="s">
        <v>13795</v>
      </c>
      <c r="B322" s="81" t="s">
        <v>25337</v>
      </c>
      <c r="C322" s="81" t="s">
        <v>25420</v>
      </c>
      <c r="D322" s="85" t="s">
        <v>24334</v>
      </c>
      <c r="E322" s="81" t="s">
        <v>9126</v>
      </c>
      <c r="F322" s="83" t="s">
        <v>13793</v>
      </c>
      <c r="G322" s="81"/>
      <c r="H322" s="84" t="b">
        <v>1</v>
      </c>
      <c r="I322" s="81"/>
      <c r="J322" s="86">
        <v>24.0</v>
      </c>
      <c r="K322" s="81" t="s">
        <v>25421</v>
      </c>
      <c r="L322" s="86">
        <v>97418.0</v>
      </c>
      <c r="M322" s="81" t="s">
        <v>216</v>
      </c>
      <c r="N322" s="81"/>
      <c r="O322" s="83" t="s">
        <v>9122</v>
      </c>
      <c r="P322" s="81"/>
      <c r="Q322" s="75" t="s">
        <v>25422</v>
      </c>
      <c r="R322" s="81"/>
      <c r="S322" s="87"/>
      <c r="T322" s="81"/>
      <c r="U322" s="81"/>
      <c r="V322" s="81"/>
      <c r="W322" s="81"/>
      <c r="X322" s="81"/>
      <c r="Y322" s="81"/>
      <c r="Z322" s="81"/>
    </row>
    <row r="323" ht="15.75" customHeight="1">
      <c r="A323" s="81" t="s">
        <v>14647</v>
      </c>
      <c r="B323" s="81" t="s">
        <v>25423</v>
      </c>
      <c r="C323" s="81" t="s">
        <v>25424</v>
      </c>
      <c r="D323" s="85" t="s">
        <v>24334</v>
      </c>
      <c r="E323" s="81" t="s">
        <v>8472</v>
      </c>
      <c r="F323" s="83" t="s">
        <v>25425</v>
      </c>
      <c r="G323" s="81"/>
      <c r="H323" s="84" t="b">
        <v>0</v>
      </c>
      <c r="I323" s="81"/>
      <c r="J323" s="86">
        <v>5.0</v>
      </c>
      <c r="K323" s="81" t="s">
        <v>25426</v>
      </c>
      <c r="L323" s="86">
        <v>97418.0</v>
      </c>
      <c r="M323" s="81" t="s">
        <v>216</v>
      </c>
      <c r="N323" s="81"/>
      <c r="O323" s="83" t="s">
        <v>8468</v>
      </c>
      <c r="P323" s="81"/>
      <c r="Q323" s="75" t="s">
        <v>25427</v>
      </c>
      <c r="R323" s="81"/>
      <c r="S323" s="87"/>
      <c r="T323" s="81"/>
      <c r="U323" s="81"/>
      <c r="V323" s="81"/>
      <c r="W323" s="81"/>
      <c r="X323" s="81"/>
      <c r="Y323" s="81"/>
      <c r="Z323" s="81"/>
    </row>
    <row r="324" ht="15.75" customHeight="1">
      <c r="A324" s="81" t="s">
        <v>12972</v>
      </c>
      <c r="B324" s="81" t="s">
        <v>25428</v>
      </c>
      <c r="C324" s="81" t="s">
        <v>25429</v>
      </c>
      <c r="D324" s="85" t="s">
        <v>24334</v>
      </c>
      <c r="E324" s="85" t="s">
        <v>12968</v>
      </c>
      <c r="F324" s="83" t="s">
        <v>12970</v>
      </c>
      <c r="G324" s="81"/>
      <c r="H324" s="84" t="b">
        <v>1</v>
      </c>
      <c r="I324" s="85">
        <v>1.0</v>
      </c>
      <c r="J324" s="86">
        <v>10.0</v>
      </c>
      <c r="K324" s="81" t="s">
        <v>25430</v>
      </c>
      <c r="L324" s="86">
        <v>97430.0</v>
      </c>
      <c r="M324" s="81" t="s">
        <v>71</v>
      </c>
      <c r="N324" s="81" t="s">
        <v>12373</v>
      </c>
      <c r="O324" s="83" t="s">
        <v>1707</v>
      </c>
      <c r="P324" s="81"/>
      <c r="Q324" s="75" t="s">
        <v>25431</v>
      </c>
      <c r="R324" s="81"/>
      <c r="S324" s="87"/>
      <c r="T324" s="81"/>
      <c r="U324" s="81"/>
      <c r="V324" s="81"/>
      <c r="W324" s="81"/>
      <c r="X324" s="81"/>
      <c r="Y324" s="81"/>
      <c r="Z324" s="81"/>
    </row>
    <row r="325" ht="15.75" customHeight="1">
      <c r="A325" s="81" t="s">
        <v>13984</v>
      </c>
      <c r="B325" s="81" t="s">
        <v>25432</v>
      </c>
      <c r="C325" s="81" t="s">
        <v>25139</v>
      </c>
      <c r="D325" s="85" t="s">
        <v>24334</v>
      </c>
      <c r="E325" s="81" t="s">
        <v>9533</v>
      </c>
      <c r="F325" s="83" t="s">
        <v>13983</v>
      </c>
      <c r="G325" s="81"/>
      <c r="H325" s="84" t="b">
        <v>1</v>
      </c>
      <c r="I325" s="81"/>
      <c r="J325" s="81"/>
      <c r="K325" s="81" t="s">
        <v>13982</v>
      </c>
      <c r="L325" s="86">
        <v>97480.0</v>
      </c>
      <c r="M325" s="81" t="s">
        <v>123</v>
      </c>
      <c r="N325" s="81"/>
      <c r="O325" s="83" t="s">
        <v>9530</v>
      </c>
      <c r="P325" s="81"/>
      <c r="Q325" s="75" t="s">
        <v>25433</v>
      </c>
      <c r="R325" s="81"/>
      <c r="S325" s="87"/>
      <c r="T325" s="81"/>
      <c r="U325" s="81"/>
      <c r="V325" s="81"/>
      <c r="W325" s="81"/>
      <c r="X325" s="81"/>
      <c r="Y325" s="81"/>
      <c r="Z325" s="81"/>
    </row>
    <row r="326" ht="15.75" customHeight="1">
      <c r="A326" s="81" t="s">
        <v>19610</v>
      </c>
      <c r="B326" s="81" t="s">
        <v>25434</v>
      </c>
      <c r="C326" s="81" t="s">
        <v>24424</v>
      </c>
      <c r="D326" s="81" t="s">
        <v>24344</v>
      </c>
      <c r="E326" s="81" t="s">
        <v>9872</v>
      </c>
      <c r="F326" s="83" t="s">
        <v>19604</v>
      </c>
      <c r="G326" s="85" t="s">
        <v>24335</v>
      </c>
      <c r="H326" s="84" t="b">
        <v>1</v>
      </c>
      <c r="I326" s="85">
        <v>1.0</v>
      </c>
      <c r="J326" s="86">
        <v>11.0</v>
      </c>
      <c r="K326" s="81" t="s">
        <v>25435</v>
      </c>
      <c r="L326" s="86">
        <v>97430.0</v>
      </c>
      <c r="M326" s="81" t="s">
        <v>71</v>
      </c>
      <c r="N326" s="81" t="s">
        <v>9050</v>
      </c>
      <c r="O326" s="83" t="s">
        <v>9868</v>
      </c>
      <c r="P326" s="81"/>
      <c r="Q326" s="75" t="s">
        <v>25436</v>
      </c>
      <c r="R326" s="81"/>
      <c r="S326" s="93" t="s">
        <v>24460</v>
      </c>
      <c r="T326" s="81"/>
      <c r="U326" s="81"/>
      <c r="V326" s="81"/>
      <c r="W326" s="81"/>
      <c r="X326" s="81"/>
      <c r="Y326" s="81"/>
      <c r="Z326" s="81"/>
    </row>
    <row r="327" ht="15.75" customHeight="1">
      <c r="A327" s="81" t="s">
        <v>15257</v>
      </c>
      <c r="B327" s="81" t="s">
        <v>25437</v>
      </c>
      <c r="C327" s="81" t="s">
        <v>25438</v>
      </c>
      <c r="D327" s="85" t="s">
        <v>24334</v>
      </c>
      <c r="E327" s="81" t="s">
        <v>8316</v>
      </c>
      <c r="F327" s="83" t="s">
        <v>15251</v>
      </c>
      <c r="G327" s="81"/>
      <c r="H327" s="84" t="b">
        <v>1</v>
      </c>
      <c r="I327" s="85">
        <v>1.0</v>
      </c>
      <c r="J327" s="86">
        <v>32.0</v>
      </c>
      <c r="K327" s="81" t="s">
        <v>22912</v>
      </c>
      <c r="L327" s="86">
        <v>97414.0</v>
      </c>
      <c r="M327" s="81" t="s">
        <v>40</v>
      </c>
      <c r="N327" s="81"/>
      <c r="O327" s="83" t="s">
        <v>8312</v>
      </c>
      <c r="P327" s="81"/>
      <c r="Q327" s="46" t="s">
        <v>25439</v>
      </c>
      <c r="R327" s="81"/>
      <c r="S327" s="87"/>
      <c r="T327" s="81"/>
      <c r="U327" s="81"/>
      <c r="V327" s="81"/>
      <c r="W327" s="81"/>
      <c r="X327" s="81"/>
      <c r="Y327" s="81"/>
      <c r="Z327" s="81"/>
    </row>
    <row r="328" ht="15.75" customHeight="1">
      <c r="A328" s="81" t="s">
        <v>13126</v>
      </c>
      <c r="B328" s="85" t="s">
        <v>118</v>
      </c>
      <c r="C328" s="85" t="s">
        <v>25440</v>
      </c>
      <c r="D328" s="85" t="s">
        <v>24344</v>
      </c>
      <c r="E328" s="82"/>
      <c r="F328" s="83" t="s">
        <v>25441</v>
      </c>
      <c r="G328" s="85" t="s">
        <v>24335</v>
      </c>
      <c r="H328" s="88" t="b">
        <v>1</v>
      </c>
      <c r="I328" s="81"/>
      <c r="J328" s="86">
        <v>10.0</v>
      </c>
      <c r="K328" s="81" t="s">
        <v>25442</v>
      </c>
      <c r="L328" s="86">
        <v>97430.0</v>
      </c>
      <c r="M328" s="81" t="s">
        <v>71</v>
      </c>
      <c r="N328" s="81"/>
      <c r="O328" s="83" t="s">
        <v>6390</v>
      </c>
      <c r="P328" s="81"/>
      <c r="Q328" s="75" t="s">
        <v>25443</v>
      </c>
      <c r="R328" s="81"/>
      <c r="S328" s="87"/>
      <c r="T328" s="81"/>
      <c r="U328" s="81"/>
      <c r="V328" s="81"/>
      <c r="W328" s="81"/>
      <c r="X328" s="81"/>
      <c r="Y328" s="81"/>
      <c r="Z328" s="81"/>
    </row>
    <row r="329" ht="15.75" customHeight="1">
      <c r="A329" s="81" t="s">
        <v>14912</v>
      </c>
      <c r="B329" s="81" t="s">
        <v>25444</v>
      </c>
      <c r="C329" s="81" t="s">
        <v>25445</v>
      </c>
      <c r="D329" s="81" t="s">
        <v>24344</v>
      </c>
      <c r="E329" s="81" t="s">
        <v>852</v>
      </c>
      <c r="F329" s="83" t="s">
        <v>14910</v>
      </c>
      <c r="G329" s="81"/>
      <c r="H329" s="84" t="b">
        <v>1</v>
      </c>
      <c r="I329" s="85">
        <v>1.0</v>
      </c>
      <c r="J329" s="86">
        <v>46.0</v>
      </c>
      <c r="K329" s="81" t="s">
        <v>25446</v>
      </c>
      <c r="L329" s="86">
        <v>97414.0</v>
      </c>
      <c r="M329" s="81" t="s">
        <v>40</v>
      </c>
      <c r="N329" s="81"/>
      <c r="O329" s="83" t="s">
        <v>843</v>
      </c>
      <c r="P329" s="85" t="s">
        <v>25447</v>
      </c>
      <c r="Q329" s="75" t="s">
        <v>25448</v>
      </c>
      <c r="R329" s="81"/>
      <c r="S329" s="87"/>
      <c r="T329" s="81"/>
      <c r="U329" s="81"/>
      <c r="V329" s="81"/>
      <c r="W329" s="81"/>
      <c r="X329" s="81"/>
      <c r="Y329" s="81"/>
      <c r="Z329" s="81"/>
    </row>
    <row r="330" ht="15.75" customHeight="1">
      <c r="A330" s="81" t="s">
        <v>21710</v>
      </c>
      <c r="B330" s="81" t="s">
        <v>25449</v>
      </c>
      <c r="C330" s="81" t="s">
        <v>24515</v>
      </c>
      <c r="D330" s="81" t="s">
        <v>24344</v>
      </c>
      <c r="E330" s="85" t="s">
        <v>21708</v>
      </c>
      <c r="F330" s="83" t="s">
        <v>21709</v>
      </c>
      <c r="G330" s="81"/>
      <c r="H330" s="88" t="b">
        <v>1</v>
      </c>
      <c r="I330" s="85">
        <v>1.0</v>
      </c>
      <c r="J330" s="86">
        <v>154.0</v>
      </c>
      <c r="K330" s="81" t="s">
        <v>24385</v>
      </c>
      <c r="L330" s="86">
        <v>97480.0</v>
      </c>
      <c r="M330" s="81" t="s">
        <v>123</v>
      </c>
      <c r="N330" s="81"/>
      <c r="O330" s="83" t="s">
        <v>9657</v>
      </c>
      <c r="P330" s="81"/>
      <c r="Q330" s="75" t="s">
        <v>25450</v>
      </c>
      <c r="R330" s="81"/>
      <c r="S330" s="87"/>
      <c r="T330" s="81"/>
      <c r="U330" s="81"/>
      <c r="V330" s="81"/>
      <c r="W330" s="81"/>
      <c r="X330" s="81"/>
      <c r="Y330" s="81"/>
      <c r="Z330" s="81"/>
    </row>
    <row r="331" ht="15.75" customHeight="1">
      <c r="A331" s="81" t="s">
        <v>13401</v>
      </c>
      <c r="B331" s="81" t="s">
        <v>25451</v>
      </c>
      <c r="C331" s="81" t="s">
        <v>73</v>
      </c>
      <c r="D331" s="81" t="s">
        <v>24344</v>
      </c>
      <c r="E331" s="81" t="s">
        <v>6295</v>
      </c>
      <c r="F331" s="91" t="s">
        <v>25452</v>
      </c>
      <c r="G331" s="81"/>
      <c r="H331" s="84" t="b">
        <v>1</v>
      </c>
      <c r="I331" s="85">
        <v>1.0</v>
      </c>
      <c r="J331" s="81"/>
      <c r="K331" s="81" t="s">
        <v>20219</v>
      </c>
      <c r="L331" s="86">
        <v>97418.0</v>
      </c>
      <c r="M331" s="81" t="s">
        <v>216</v>
      </c>
      <c r="N331" s="81"/>
      <c r="O331" s="83" t="s">
        <v>6292</v>
      </c>
      <c r="P331" s="81"/>
      <c r="Q331" s="46" t="s">
        <v>25453</v>
      </c>
      <c r="R331" s="81"/>
      <c r="S331" s="87"/>
      <c r="T331" s="81"/>
      <c r="U331" s="81"/>
      <c r="V331" s="81"/>
      <c r="W331" s="81"/>
      <c r="X331" s="81"/>
      <c r="Y331" s="81"/>
      <c r="Z331" s="81"/>
    </row>
    <row r="332" ht="15.75" customHeight="1">
      <c r="A332" s="81" t="s">
        <v>16919</v>
      </c>
      <c r="B332" s="85" t="s">
        <v>24841</v>
      </c>
      <c r="C332" s="85" t="s">
        <v>25454</v>
      </c>
      <c r="D332" s="81" t="s">
        <v>24344</v>
      </c>
      <c r="E332" s="81" t="s">
        <v>3475</v>
      </c>
      <c r="F332" s="83" t="s">
        <v>16916</v>
      </c>
      <c r="G332" s="81"/>
      <c r="H332" s="84" t="b">
        <v>1</v>
      </c>
      <c r="I332" s="85">
        <v>1.0</v>
      </c>
      <c r="J332" s="86">
        <v>21.0</v>
      </c>
      <c r="K332" s="81" t="s">
        <v>14666</v>
      </c>
      <c r="L332" s="86">
        <v>97414.0</v>
      </c>
      <c r="M332" s="81" t="s">
        <v>40</v>
      </c>
      <c r="N332" s="81"/>
      <c r="O332" s="83" t="s">
        <v>25455</v>
      </c>
      <c r="P332" s="81"/>
      <c r="Q332" s="46" t="s">
        <v>25456</v>
      </c>
      <c r="R332" s="81"/>
      <c r="S332" s="87"/>
      <c r="T332" s="81"/>
      <c r="U332" s="81"/>
      <c r="V332" s="81"/>
      <c r="W332" s="81"/>
      <c r="X332" s="81"/>
      <c r="Y332" s="81"/>
      <c r="Z332" s="81"/>
    </row>
    <row r="333" ht="15.75" customHeight="1">
      <c r="A333" s="81" t="s">
        <v>20075</v>
      </c>
      <c r="B333" s="81" t="s">
        <v>25457</v>
      </c>
      <c r="C333" s="81" t="s">
        <v>25458</v>
      </c>
      <c r="D333" s="81" t="s">
        <v>24344</v>
      </c>
      <c r="E333" s="81" t="s">
        <v>441</v>
      </c>
      <c r="F333" s="83" t="s">
        <v>20073</v>
      </c>
      <c r="G333" s="81"/>
      <c r="H333" s="84" t="b">
        <v>1</v>
      </c>
      <c r="I333" s="81"/>
      <c r="J333" s="86">
        <v>9.0</v>
      </c>
      <c r="K333" s="81" t="s">
        <v>25459</v>
      </c>
      <c r="L333" s="86">
        <v>97414.0</v>
      </c>
      <c r="M333" s="81" t="s">
        <v>40</v>
      </c>
      <c r="N333" s="81"/>
      <c r="O333" s="83" t="s">
        <v>433</v>
      </c>
      <c r="P333" s="81"/>
      <c r="Q333" s="75" t="s">
        <v>25460</v>
      </c>
      <c r="R333" s="81"/>
      <c r="S333" s="87"/>
      <c r="T333" s="81"/>
      <c r="U333" s="81"/>
      <c r="V333" s="81"/>
      <c r="W333" s="81"/>
      <c r="X333" s="81"/>
      <c r="Y333" s="81"/>
      <c r="Z333" s="81"/>
    </row>
    <row r="334" ht="15.75" customHeight="1">
      <c r="A334" s="81" t="s">
        <v>20785</v>
      </c>
      <c r="B334" s="81" t="s">
        <v>25461</v>
      </c>
      <c r="C334" s="85" t="s">
        <v>25429</v>
      </c>
      <c r="D334" s="85" t="s">
        <v>24334</v>
      </c>
      <c r="E334" s="85" t="s">
        <v>8517</v>
      </c>
      <c r="F334" s="83" t="s">
        <v>20783</v>
      </c>
      <c r="G334" s="81"/>
      <c r="H334" s="84" t="b">
        <v>1</v>
      </c>
      <c r="I334" s="85">
        <v>2.0</v>
      </c>
      <c r="J334" s="86">
        <v>138.0</v>
      </c>
      <c r="K334" s="81" t="s">
        <v>25462</v>
      </c>
      <c r="L334" s="86">
        <v>97430.0</v>
      </c>
      <c r="M334" s="81" t="s">
        <v>71</v>
      </c>
      <c r="N334" s="81" t="s">
        <v>3501</v>
      </c>
      <c r="O334" s="83" t="s">
        <v>25463</v>
      </c>
      <c r="P334" s="81"/>
      <c r="Q334" s="75" t="s">
        <v>25464</v>
      </c>
      <c r="R334" s="81"/>
      <c r="S334" s="93" t="s">
        <v>24460</v>
      </c>
      <c r="T334" s="81"/>
      <c r="U334" s="81"/>
      <c r="V334" s="81"/>
      <c r="W334" s="81"/>
      <c r="X334" s="81"/>
      <c r="Y334" s="81"/>
      <c r="Z334" s="81"/>
    </row>
    <row r="335" ht="15.75" customHeight="1">
      <c r="A335" s="81" t="s">
        <v>13299</v>
      </c>
      <c r="B335" s="81" t="s">
        <v>25465</v>
      </c>
      <c r="C335" s="81" t="s">
        <v>25466</v>
      </c>
      <c r="D335" s="85" t="s">
        <v>24334</v>
      </c>
      <c r="E335" s="81" t="s">
        <v>519</v>
      </c>
      <c r="F335" s="83" t="s">
        <v>13297</v>
      </c>
      <c r="G335" s="85" t="s">
        <v>24335</v>
      </c>
      <c r="H335" s="84" t="b">
        <v>1</v>
      </c>
      <c r="I335" s="85">
        <v>4.0</v>
      </c>
      <c r="J335" s="86">
        <v>16.0</v>
      </c>
      <c r="K335" s="81" t="s">
        <v>25467</v>
      </c>
      <c r="L335" s="86">
        <v>97480.0</v>
      </c>
      <c r="M335" s="81" t="s">
        <v>123</v>
      </c>
      <c r="N335" s="81"/>
      <c r="O335" s="94" t="s">
        <v>25468</v>
      </c>
      <c r="P335" s="85" t="s">
        <v>25469</v>
      </c>
      <c r="Q335" s="46" t="s">
        <v>25470</v>
      </c>
      <c r="R335" s="81"/>
      <c r="S335" s="93" t="s">
        <v>24348</v>
      </c>
      <c r="T335" s="81"/>
      <c r="U335" s="81"/>
      <c r="V335" s="81"/>
      <c r="W335" s="81"/>
      <c r="X335" s="81"/>
      <c r="Y335" s="81"/>
      <c r="Z335" s="81"/>
    </row>
    <row r="336" ht="15.75" customHeight="1">
      <c r="A336" s="81" t="s">
        <v>16463</v>
      </c>
      <c r="B336" s="85" t="s">
        <v>25471</v>
      </c>
      <c r="C336" s="81" t="s">
        <v>25472</v>
      </c>
      <c r="D336" s="85" t="s">
        <v>24334</v>
      </c>
      <c r="E336" s="81" t="s">
        <v>9432</v>
      </c>
      <c r="F336" s="83" t="s">
        <v>16459</v>
      </c>
      <c r="G336" s="85" t="s">
        <v>24335</v>
      </c>
      <c r="H336" s="84" t="b">
        <v>1</v>
      </c>
      <c r="I336" s="85">
        <v>1.0</v>
      </c>
      <c r="J336" s="90" t="s">
        <v>17204</v>
      </c>
      <c r="K336" s="85" t="s">
        <v>25473</v>
      </c>
      <c r="L336" s="97">
        <v>97425.0</v>
      </c>
      <c r="M336" s="85" t="s">
        <v>25474</v>
      </c>
      <c r="N336" s="81"/>
      <c r="O336" s="94" t="s">
        <v>25475</v>
      </c>
      <c r="P336" s="85" t="s">
        <v>25476</v>
      </c>
      <c r="Q336" s="46" t="s">
        <v>25477</v>
      </c>
      <c r="R336" s="92">
        <v>23402.0</v>
      </c>
      <c r="S336" s="87"/>
      <c r="T336" s="81"/>
      <c r="U336" s="81"/>
      <c r="V336" s="81"/>
      <c r="W336" s="81"/>
      <c r="X336" s="81"/>
      <c r="Y336" s="81"/>
      <c r="Z336" s="81"/>
    </row>
    <row r="337" ht="15.75" customHeight="1">
      <c r="A337" s="81" t="s">
        <v>17198</v>
      </c>
      <c r="B337" s="85" t="s">
        <v>25478</v>
      </c>
      <c r="C337" s="85" t="s">
        <v>113</v>
      </c>
      <c r="D337" s="85" t="s">
        <v>24334</v>
      </c>
      <c r="E337" s="82" t="s">
        <v>17192</v>
      </c>
      <c r="F337" s="91" t="s">
        <v>17193</v>
      </c>
      <c r="G337" s="85" t="s">
        <v>24390</v>
      </c>
      <c r="H337" s="84" t="b">
        <v>1</v>
      </c>
      <c r="I337" s="85">
        <v>2.0</v>
      </c>
      <c r="J337" s="97" t="s">
        <v>17492</v>
      </c>
      <c r="K337" s="81" t="s">
        <v>21975</v>
      </c>
      <c r="L337" s="86">
        <v>97414.0</v>
      </c>
      <c r="M337" s="81" t="s">
        <v>40</v>
      </c>
      <c r="N337" s="81"/>
      <c r="O337" s="83" t="s">
        <v>25479</v>
      </c>
      <c r="P337" s="85"/>
      <c r="Q337" s="75" t="s">
        <v>25480</v>
      </c>
      <c r="R337" s="96">
        <v>30359.0</v>
      </c>
      <c r="S337" s="93"/>
      <c r="T337" s="81"/>
      <c r="U337" s="81"/>
      <c r="V337" s="81"/>
      <c r="W337" s="81"/>
      <c r="X337" s="81"/>
      <c r="Y337" s="81"/>
      <c r="Z337" s="81"/>
    </row>
    <row r="338" ht="15.75" customHeight="1">
      <c r="A338" s="81" t="s">
        <v>14702</v>
      </c>
      <c r="B338" s="85" t="s">
        <v>25481</v>
      </c>
      <c r="C338" s="85" t="s">
        <v>25482</v>
      </c>
      <c r="D338" s="85" t="s">
        <v>24334</v>
      </c>
      <c r="E338" s="81" t="s">
        <v>9015</v>
      </c>
      <c r="F338" s="83" t="s">
        <v>25483</v>
      </c>
      <c r="G338" s="81"/>
      <c r="H338" s="84" t="b">
        <v>1</v>
      </c>
      <c r="I338" s="85">
        <v>1.0</v>
      </c>
      <c r="J338" s="86">
        <v>10.0</v>
      </c>
      <c r="K338" s="81" t="s">
        <v>25484</v>
      </c>
      <c r="L338" s="86">
        <v>97480.0</v>
      </c>
      <c r="M338" s="81" t="s">
        <v>123</v>
      </c>
      <c r="N338" s="81"/>
      <c r="O338" s="83" t="s">
        <v>9012</v>
      </c>
      <c r="P338" s="85" t="s">
        <v>25485</v>
      </c>
      <c r="Q338" s="75" t="s">
        <v>25486</v>
      </c>
      <c r="R338" s="81"/>
      <c r="S338" s="87"/>
      <c r="T338" s="81"/>
      <c r="U338" s="81"/>
      <c r="V338" s="81"/>
      <c r="W338" s="81"/>
      <c r="X338" s="81"/>
      <c r="Y338" s="81"/>
      <c r="Z338" s="81"/>
    </row>
    <row r="339" ht="15.75" customHeight="1">
      <c r="A339" s="81" t="s">
        <v>18937</v>
      </c>
      <c r="B339" s="81" t="s">
        <v>25487</v>
      </c>
      <c r="C339" s="81" t="s">
        <v>25488</v>
      </c>
      <c r="D339" s="81" t="s">
        <v>24344</v>
      </c>
      <c r="E339" s="81" t="s">
        <v>3817</v>
      </c>
      <c r="F339" s="83" t="s">
        <v>18931</v>
      </c>
      <c r="G339" s="81"/>
      <c r="H339" s="84" t="b">
        <v>1</v>
      </c>
      <c r="I339" s="85">
        <v>1.0</v>
      </c>
      <c r="J339" s="86">
        <v>10.0</v>
      </c>
      <c r="K339" s="81" t="s">
        <v>25489</v>
      </c>
      <c r="L339" s="86">
        <v>97418.0</v>
      </c>
      <c r="M339" s="81" t="s">
        <v>216</v>
      </c>
      <c r="N339" s="81"/>
      <c r="O339" s="94" t="s">
        <v>25490</v>
      </c>
      <c r="P339" s="81"/>
      <c r="Q339" s="46" t="s">
        <v>25491</v>
      </c>
      <c r="R339" s="81"/>
      <c r="S339" s="87"/>
      <c r="T339" s="81"/>
      <c r="U339" s="81"/>
      <c r="V339" s="81"/>
      <c r="W339" s="81"/>
      <c r="X339" s="81"/>
      <c r="Y339" s="81"/>
      <c r="Z339" s="81"/>
    </row>
    <row r="340" ht="15.75" customHeight="1">
      <c r="A340" s="81" t="s">
        <v>19164</v>
      </c>
      <c r="B340" s="81" t="s">
        <v>25492</v>
      </c>
      <c r="C340" s="81" t="s">
        <v>149</v>
      </c>
      <c r="D340" s="81" t="s">
        <v>24344</v>
      </c>
      <c r="E340" s="81" t="s">
        <v>729</v>
      </c>
      <c r="F340" s="83" t="s">
        <v>19162</v>
      </c>
      <c r="G340" s="81"/>
      <c r="H340" s="84" t="b">
        <v>1</v>
      </c>
      <c r="I340" s="81"/>
      <c r="J340" s="86">
        <v>1.0</v>
      </c>
      <c r="K340" s="81" t="s">
        <v>25493</v>
      </c>
      <c r="L340" s="86">
        <v>97480.0</v>
      </c>
      <c r="M340" s="81" t="s">
        <v>123</v>
      </c>
      <c r="N340" s="81" t="s">
        <v>8325</v>
      </c>
      <c r="O340" s="94" t="s">
        <v>25494</v>
      </c>
      <c r="P340" s="81"/>
      <c r="Q340" s="75" t="s">
        <v>25495</v>
      </c>
      <c r="R340" s="81"/>
      <c r="S340" s="87"/>
      <c r="T340" s="81"/>
      <c r="U340" s="81"/>
      <c r="V340" s="81"/>
      <c r="W340" s="81"/>
      <c r="X340" s="81"/>
      <c r="Y340" s="81"/>
      <c r="Z340" s="81"/>
    </row>
    <row r="341" ht="15.75" customHeight="1">
      <c r="A341" s="81" t="s">
        <v>14942</v>
      </c>
      <c r="B341" s="81" t="s">
        <v>25496</v>
      </c>
      <c r="C341" s="81" t="s">
        <v>25270</v>
      </c>
      <c r="D341" s="85" t="s">
        <v>24334</v>
      </c>
      <c r="E341" s="81" t="s">
        <v>3856</v>
      </c>
      <c r="F341" s="91" t="s">
        <v>25497</v>
      </c>
      <c r="G341" s="81"/>
      <c r="H341" s="84" t="b">
        <v>1</v>
      </c>
      <c r="I341" s="81"/>
      <c r="J341" s="86">
        <v>4.0</v>
      </c>
      <c r="K341" s="81" t="s">
        <v>25498</v>
      </c>
      <c r="L341" s="86">
        <v>97442.0</v>
      </c>
      <c r="M341" s="81" t="s">
        <v>33</v>
      </c>
      <c r="N341" s="81"/>
      <c r="O341" s="83" t="s">
        <v>3852</v>
      </c>
      <c r="P341" s="81"/>
      <c r="Q341" s="75" t="s">
        <v>25499</v>
      </c>
      <c r="R341" s="81"/>
      <c r="S341" s="87"/>
      <c r="T341" s="81"/>
      <c r="U341" s="81"/>
      <c r="V341" s="81"/>
      <c r="W341" s="81"/>
      <c r="X341" s="81"/>
      <c r="Y341" s="81"/>
      <c r="Z341" s="81"/>
    </row>
    <row r="342" ht="15.75" customHeight="1">
      <c r="A342" s="81" t="s">
        <v>18835</v>
      </c>
      <c r="B342" s="81" t="s">
        <v>25500</v>
      </c>
      <c r="C342" s="81" t="s">
        <v>25270</v>
      </c>
      <c r="D342" s="85" t="s">
        <v>24334</v>
      </c>
      <c r="E342" s="81" t="s">
        <v>8401</v>
      </c>
      <c r="F342" s="83" t="s">
        <v>25501</v>
      </c>
      <c r="G342" s="81"/>
      <c r="H342" s="84" t="b">
        <v>1</v>
      </c>
      <c r="I342" s="81"/>
      <c r="J342" s="81"/>
      <c r="K342" s="81" t="s">
        <v>18829</v>
      </c>
      <c r="L342" s="86">
        <v>97430.0</v>
      </c>
      <c r="M342" s="81" t="s">
        <v>71</v>
      </c>
      <c r="N342" s="81"/>
      <c r="O342" s="83" t="s">
        <v>8397</v>
      </c>
      <c r="P342" s="81"/>
      <c r="Q342" s="75" t="s">
        <v>25502</v>
      </c>
      <c r="R342" s="81"/>
      <c r="S342" s="87"/>
      <c r="T342" s="81"/>
      <c r="U342" s="81"/>
      <c r="V342" s="81"/>
      <c r="W342" s="81"/>
      <c r="X342" s="81"/>
      <c r="Y342" s="81"/>
      <c r="Z342" s="81"/>
    </row>
    <row r="343" ht="15.75" customHeight="1">
      <c r="A343" s="81" t="s">
        <v>13499</v>
      </c>
      <c r="B343" s="81" t="s">
        <v>25503</v>
      </c>
      <c r="C343" s="81" t="s">
        <v>25504</v>
      </c>
      <c r="D343" s="81" t="s">
        <v>24344</v>
      </c>
      <c r="E343" s="85" t="s">
        <v>13494</v>
      </c>
      <c r="F343" s="83" t="s">
        <v>13496</v>
      </c>
      <c r="G343" s="85" t="s">
        <v>24744</v>
      </c>
      <c r="H343" s="84" t="b">
        <v>1</v>
      </c>
      <c r="I343" s="85">
        <v>2.0</v>
      </c>
      <c r="J343" s="86">
        <v>11.0</v>
      </c>
      <c r="K343" s="85" t="s">
        <v>13395</v>
      </c>
      <c r="L343" s="86">
        <v>97418.0</v>
      </c>
      <c r="M343" s="81" t="s">
        <v>216</v>
      </c>
      <c r="N343" s="81"/>
      <c r="O343" s="83" t="s">
        <v>25505</v>
      </c>
      <c r="P343" s="81"/>
      <c r="Q343" s="46" t="s">
        <v>25506</v>
      </c>
      <c r="R343" s="81"/>
      <c r="S343" s="87"/>
      <c r="T343" s="81"/>
      <c r="U343" s="81"/>
      <c r="V343" s="81"/>
      <c r="W343" s="81"/>
      <c r="X343" s="81"/>
      <c r="Y343" s="81"/>
      <c r="Z343" s="81"/>
    </row>
    <row r="344" ht="15.75" customHeight="1">
      <c r="A344" s="81" t="s">
        <v>18594</v>
      </c>
      <c r="B344" s="81" t="s">
        <v>25507</v>
      </c>
      <c r="C344" s="81" t="s">
        <v>25508</v>
      </c>
      <c r="D344" s="81" t="s">
        <v>24344</v>
      </c>
      <c r="E344" s="81" t="s">
        <v>10165</v>
      </c>
      <c r="F344" s="91" t="s">
        <v>25509</v>
      </c>
      <c r="G344" s="85" t="s">
        <v>24420</v>
      </c>
      <c r="H344" s="84" t="b">
        <v>1</v>
      </c>
      <c r="I344" s="85">
        <v>1.0</v>
      </c>
      <c r="J344" s="86">
        <v>208.0</v>
      </c>
      <c r="K344" s="81" t="s">
        <v>14897</v>
      </c>
      <c r="L344" s="86">
        <v>97480.0</v>
      </c>
      <c r="M344" s="81" t="s">
        <v>123</v>
      </c>
      <c r="N344" s="81"/>
      <c r="O344" s="83" t="s">
        <v>10161</v>
      </c>
      <c r="P344" s="85" t="s">
        <v>25510</v>
      </c>
      <c r="Q344" s="46" t="s">
        <v>25511</v>
      </c>
      <c r="R344" s="96">
        <v>27312.0</v>
      </c>
      <c r="S344" s="93" t="s">
        <v>24460</v>
      </c>
      <c r="T344" s="81"/>
      <c r="U344" s="81"/>
      <c r="V344" s="81"/>
      <c r="W344" s="81"/>
      <c r="X344" s="81"/>
      <c r="Y344" s="81"/>
      <c r="Z344" s="81"/>
    </row>
    <row r="345" ht="15.75" customHeight="1">
      <c r="A345" s="81" t="s">
        <v>14133</v>
      </c>
      <c r="B345" s="81" t="s">
        <v>25512</v>
      </c>
      <c r="C345" s="81" t="s">
        <v>25513</v>
      </c>
      <c r="D345" s="85" t="s">
        <v>24334</v>
      </c>
      <c r="E345" s="81" t="s">
        <v>2527</v>
      </c>
      <c r="F345" s="83" t="s">
        <v>14129</v>
      </c>
      <c r="G345" s="81"/>
      <c r="H345" s="84" t="b">
        <v>0</v>
      </c>
      <c r="I345" s="85">
        <v>1.0</v>
      </c>
      <c r="J345" s="86">
        <v>81.0</v>
      </c>
      <c r="K345" s="81" t="s">
        <v>25254</v>
      </c>
      <c r="L345" s="86">
        <v>97430.0</v>
      </c>
      <c r="M345" s="81" t="s">
        <v>71</v>
      </c>
      <c r="N345" s="81"/>
      <c r="O345" s="83" t="s">
        <v>2522</v>
      </c>
      <c r="P345" s="81"/>
      <c r="Q345" s="46" t="s">
        <v>25514</v>
      </c>
      <c r="R345" s="81"/>
      <c r="S345" s="87"/>
      <c r="T345" s="81"/>
      <c r="U345" s="81"/>
      <c r="V345" s="81"/>
      <c r="W345" s="81"/>
      <c r="X345" s="81"/>
      <c r="Y345" s="81"/>
      <c r="Z345" s="81"/>
    </row>
    <row r="346" ht="15.75" customHeight="1">
      <c r="A346" s="81" t="s">
        <v>17840</v>
      </c>
      <c r="B346" s="81" t="s">
        <v>219</v>
      </c>
      <c r="C346" s="81" t="s">
        <v>24629</v>
      </c>
      <c r="D346" s="85" t="s">
        <v>24334</v>
      </c>
      <c r="E346" s="81" t="s">
        <v>6993</v>
      </c>
      <c r="F346" s="83" t="s">
        <v>17838</v>
      </c>
      <c r="G346" s="81"/>
      <c r="H346" s="84" t="b">
        <v>1</v>
      </c>
      <c r="I346" s="81"/>
      <c r="J346" s="86">
        <v>80.0</v>
      </c>
      <c r="K346" s="81" t="s">
        <v>24548</v>
      </c>
      <c r="L346" s="86">
        <v>97442.0</v>
      </c>
      <c r="M346" s="81" t="s">
        <v>33</v>
      </c>
      <c r="N346" s="81"/>
      <c r="O346" s="83" t="s">
        <v>25515</v>
      </c>
      <c r="P346" s="81"/>
      <c r="Q346" s="75" t="s">
        <v>25516</v>
      </c>
      <c r="R346" s="81"/>
      <c r="S346" s="87"/>
      <c r="T346" s="81"/>
      <c r="U346" s="81"/>
      <c r="V346" s="81"/>
      <c r="W346" s="81"/>
      <c r="X346" s="81"/>
      <c r="Y346" s="81"/>
      <c r="Z346" s="81"/>
    </row>
    <row r="347" ht="15.75" customHeight="1">
      <c r="A347" s="81" t="s">
        <v>16755</v>
      </c>
      <c r="B347" s="81" t="s">
        <v>25385</v>
      </c>
      <c r="C347" s="81" t="s">
        <v>25517</v>
      </c>
      <c r="D347" s="85" t="s">
        <v>24334</v>
      </c>
      <c r="E347" s="81" t="s">
        <v>16752</v>
      </c>
      <c r="F347" s="83" t="s">
        <v>16754</v>
      </c>
      <c r="G347" s="81"/>
      <c r="H347" s="84" t="b">
        <v>0</v>
      </c>
      <c r="I347" s="85">
        <v>0.0</v>
      </c>
      <c r="J347" s="86">
        <v>288.0</v>
      </c>
      <c r="K347" s="81" t="s">
        <v>12977</v>
      </c>
      <c r="L347" s="86">
        <v>97414.0</v>
      </c>
      <c r="M347" s="81" t="s">
        <v>40</v>
      </c>
      <c r="N347" s="81"/>
      <c r="O347" s="83" t="s">
        <v>9072</v>
      </c>
      <c r="P347" s="81"/>
      <c r="Q347" s="75" t="s">
        <v>25518</v>
      </c>
      <c r="R347" s="81"/>
      <c r="S347" s="87"/>
      <c r="T347" s="81"/>
      <c r="U347" s="81"/>
      <c r="V347" s="81"/>
      <c r="W347" s="81"/>
      <c r="X347" s="81"/>
      <c r="Y347" s="81"/>
      <c r="Z347" s="81"/>
    </row>
    <row r="348" ht="15.75" customHeight="1">
      <c r="A348" s="81" t="s">
        <v>16936</v>
      </c>
      <c r="B348" s="81" t="s">
        <v>25519</v>
      </c>
      <c r="C348" s="81" t="s">
        <v>25520</v>
      </c>
      <c r="D348" s="85" t="s">
        <v>24334</v>
      </c>
      <c r="E348" s="81" t="s">
        <v>10061</v>
      </c>
      <c r="F348" s="83" t="s">
        <v>16935</v>
      </c>
      <c r="G348" s="81"/>
      <c r="H348" s="84" t="b">
        <v>0</v>
      </c>
      <c r="I348" s="81"/>
      <c r="J348" s="86">
        <v>35.0</v>
      </c>
      <c r="K348" s="81" t="s">
        <v>25254</v>
      </c>
      <c r="L348" s="86">
        <v>97430.0</v>
      </c>
      <c r="M348" s="81" t="s">
        <v>71</v>
      </c>
      <c r="N348" s="81"/>
      <c r="O348" s="83" t="s">
        <v>10058</v>
      </c>
      <c r="P348" s="81"/>
      <c r="Q348" s="75" t="s">
        <v>25521</v>
      </c>
      <c r="R348" s="81"/>
      <c r="S348" s="87"/>
      <c r="T348" s="81"/>
      <c r="U348" s="81"/>
      <c r="V348" s="81"/>
      <c r="W348" s="81"/>
      <c r="X348" s="81"/>
      <c r="Y348" s="81"/>
      <c r="Z348" s="81"/>
    </row>
    <row r="349" ht="15.75" customHeight="1">
      <c r="A349" s="81" t="s">
        <v>19188</v>
      </c>
      <c r="B349" s="81" t="s">
        <v>25522</v>
      </c>
      <c r="C349" s="81" t="s">
        <v>25523</v>
      </c>
      <c r="D349" s="81" t="s">
        <v>24344</v>
      </c>
      <c r="E349" s="81" t="s">
        <v>8552</v>
      </c>
      <c r="F349" s="83" t="s">
        <v>25524</v>
      </c>
      <c r="G349" s="81"/>
      <c r="H349" s="84" t="b">
        <v>1</v>
      </c>
      <c r="I349" s="85">
        <v>1.0</v>
      </c>
      <c r="J349" s="86">
        <v>166.0</v>
      </c>
      <c r="K349" s="81" t="s">
        <v>25292</v>
      </c>
      <c r="L349" s="86">
        <v>97418.0</v>
      </c>
      <c r="M349" s="81" t="s">
        <v>216</v>
      </c>
      <c r="N349" s="81"/>
      <c r="O349" s="83" t="s">
        <v>8549</v>
      </c>
      <c r="P349" s="81"/>
      <c r="Q349" s="46" t="s">
        <v>25525</v>
      </c>
      <c r="R349" s="81"/>
      <c r="S349" s="87"/>
      <c r="T349" s="81"/>
      <c r="U349" s="81"/>
      <c r="V349" s="81"/>
      <c r="W349" s="81"/>
      <c r="X349" s="81"/>
      <c r="Y349" s="81"/>
      <c r="Z349" s="81"/>
    </row>
    <row r="350" ht="15.75" customHeight="1">
      <c r="A350" s="81" t="s">
        <v>20363</v>
      </c>
      <c r="B350" s="81" t="s">
        <v>25526</v>
      </c>
      <c r="C350" s="81" t="s">
        <v>24577</v>
      </c>
      <c r="D350" s="81" t="s">
        <v>24344</v>
      </c>
      <c r="E350" s="81" t="s">
        <v>4275</v>
      </c>
      <c r="F350" s="91" t="s">
        <v>25527</v>
      </c>
      <c r="G350" s="81"/>
      <c r="H350" s="84" t="b">
        <v>1</v>
      </c>
      <c r="I350" s="85">
        <v>1.0</v>
      </c>
      <c r="J350" s="86">
        <v>202.0</v>
      </c>
      <c r="K350" s="81" t="s">
        <v>25528</v>
      </c>
      <c r="L350" s="86">
        <v>97418.0</v>
      </c>
      <c r="M350" s="81" t="s">
        <v>216</v>
      </c>
      <c r="N350" s="81"/>
      <c r="O350" s="83" t="s">
        <v>4269</v>
      </c>
      <c r="P350" s="81"/>
      <c r="Q350" s="75" t="s">
        <v>25529</v>
      </c>
      <c r="R350" s="81"/>
      <c r="S350" s="87"/>
      <c r="T350" s="81"/>
      <c r="U350" s="81"/>
      <c r="V350" s="81"/>
      <c r="W350" s="81"/>
      <c r="X350" s="81"/>
      <c r="Y350" s="81"/>
      <c r="Z350" s="81"/>
    </row>
    <row r="351" ht="15.75" customHeight="1">
      <c r="A351" s="81" t="s">
        <v>13012</v>
      </c>
      <c r="B351" s="81" t="s">
        <v>25530</v>
      </c>
      <c r="C351" s="81" t="s">
        <v>25183</v>
      </c>
      <c r="D351" s="85" t="s">
        <v>24334</v>
      </c>
      <c r="E351" s="85" t="s">
        <v>13004</v>
      </c>
      <c r="F351" s="91" t="s">
        <v>13005</v>
      </c>
      <c r="G351" s="85" t="s">
        <v>24335</v>
      </c>
      <c r="H351" s="84" t="b">
        <v>0</v>
      </c>
      <c r="I351" s="85">
        <v>1.0</v>
      </c>
      <c r="J351" s="97" t="s">
        <v>13001</v>
      </c>
      <c r="K351" s="85" t="s">
        <v>13002</v>
      </c>
      <c r="L351" s="97">
        <v>97414.0</v>
      </c>
      <c r="M351" s="85" t="s">
        <v>40</v>
      </c>
      <c r="N351" s="81" t="s">
        <v>206</v>
      </c>
      <c r="O351" s="94" t="s">
        <v>25531</v>
      </c>
      <c r="P351" s="81"/>
      <c r="Q351" s="46" t="s">
        <v>25532</v>
      </c>
      <c r="R351" s="92">
        <v>25413.0</v>
      </c>
      <c r="S351" s="87"/>
      <c r="T351" s="81"/>
      <c r="U351" s="81"/>
      <c r="V351" s="81"/>
      <c r="W351" s="81"/>
      <c r="X351" s="81"/>
      <c r="Y351" s="81"/>
      <c r="Z351" s="81"/>
    </row>
    <row r="352" ht="15.75" customHeight="1">
      <c r="A352" s="81" t="s">
        <v>13590</v>
      </c>
      <c r="B352" s="81" t="s">
        <v>25507</v>
      </c>
      <c r="C352" s="81" t="s">
        <v>25533</v>
      </c>
      <c r="D352" s="85" t="s">
        <v>24334</v>
      </c>
      <c r="E352" s="81" t="s">
        <v>9615</v>
      </c>
      <c r="F352" s="91" t="s">
        <v>25534</v>
      </c>
      <c r="G352" s="81"/>
      <c r="H352" s="84" t="b">
        <v>1</v>
      </c>
      <c r="I352" s="85">
        <v>1.0</v>
      </c>
      <c r="J352" s="86">
        <v>5.0</v>
      </c>
      <c r="K352" s="81" t="s">
        <v>25078</v>
      </c>
      <c r="L352" s="86">
        <v>97480.0</v>
      </c>
      <c r="M352" s="81" t="s">
        <v>123</v>
      </c>
      <c r="N352" s="81" t="s">
        <v>206</v>
      </c>
      <c r="O352" s="83" t="s">
        <v>9612</v>
      </c>
      <c r="P352" s="81"/>
      <c r="Q352" s="46" t="s">
        <v>25535</v>
      </c>
      <c r="R352" s="81"/>
      <c r="S352" s="87"/>
      <c r="T352" s="81"/>
      <c r="U352" s="81"/>
      <c r="V352" s="81"/>
      <c r="W352" s="81"/>
      <c r="X352" s="81"/>
      <c r="Y352" s="81"/>
      <c r="Z352" s="81"/>
    </row>
    <row r="353" ht="15.75" customHeight="1">
      <c r="A353" s="81" t="s">
        <v>13711</v>
      </c>
      <c r="B353" s="81" t="s">
        <v>25517</v>
      </c>
      <c r="C353" s="81" t="s">
        <v>24502</v>
      </c>
      <c r="D353" s="85" t="s">
        <v>24334</v>
      </c>
      <c r="E353" s="81" t="s">
        <v>9023</v>
      </c>
      <c r="F353" s="83" t="s">
        <v>13705</v>
      </c>
      <c r="G353" s="81"/>
      <c r="H353" s="84" t="b">
        <v>1</v>
      </c>
      <c r="I353" s="81"/>
      <c r="J353" s="86">
        <v>2.0</v>
      </c>
      <c r="K353" s="81" t="s">
        <v>25536</v>
      </c>
      <c r="L353" s="86">
        <v>97414.0</v>
      </c>
      <c r="M353" s="81" t="s">
        <v>40</v>
      </c>
      <c r="N353" s="81"/>
      <c r="O353" s="83" t="s">
        <v>9020</v>
      </c>
      <c r="P353" s="81"/>
      <c r="Q353" s="75" t="s">
        <v>25537</v>
      </c>
      <c r="R353" s="81"/>
      <c r="S353" s="87"/>
      <c r="T353" s="81"/>
      <c r="U353" s="81"/>
      <c r="V353" s="81"/>
      <c r="W353" s="81"/>
      <c r="X353" s="81"/>
      <c r="Y353" s="81"/>
      <c r="Z353" s="81"/>
    </row>
    <row r="354" ht="15.75" customHeight="1">
      <c r="A354" s="81" t="s">
        <v>16715</v>
      </c>
      <c r="B354" s="81" t="s">
        <v>25538</v>
      </c>
      <c r="C354" s="81" t="s">
        <v>25539</v>
      </c>
      <c r="D354" s="81" t="s">
        <v>24344</v>
      </c>
      <c r="E354" s="81" t="s">
        <v>9221</v>
      </c>
      <c r="F354" s="83" t="s">
        <v>16714</v>
      </c>
      <c r="G354" s="81"/>
      <c r="H354" s="84" t="b">
        <v>1</v>
      </c>
      <c r="I354" s="81"/>
      <c r="J354" s="86">
        <v>14.0</v>
      </c>
      <c r="K354" s="81" t="s">
        <v>20543</v>
      </c>
      <c r="L354" s="86">
        <v>97414.0</v>
      </c>
      <c r="M354" s="81" t="s">
        <v>40</v>
      </c>
      <c r="N354" s="81"/>
      <c r="O354" s="83" t="s">
        <v>9218</v>
      </c>
      <c r="P354" s="81"/>
      <c r="Q354" s="75" t="s">
        <v>25540</v>
      </c>
      <c r="R354" s="81"/>
      <c r="S354" s="87"/>
      <c r="T354" s="81"/>
      <c r="U354" s="81"/>
      <c r="V354" s="81"/>
      <c r="W354" s="81"/>
      <c r="X354" s="81"/>
      <c r="Y354" s="81"/>
      <c r="Z354" s="81"/>
    </row>
    <row r="355" ht="15.75" customHeight="1">
      <c r="A355" s="81" t="s">
        <v>17877</v>
      </c>
      <c r="B355" s="85" t="s">
        <v>25541</v>
      </c>
      <c r="C355" s="85" t="s">
        <v>24339</v>
      </c>
      <c r="D355" s="85" t="s">
        <v>24334</v>
      </c>
      <c r="E355" s="81" t="s">
        <v>4678</v>
      </c>
      <c r="F355" s="91" t="s">
        <v>25542</v>
      </c>
      <c r="G355" s="85" t="s">
        <v>24420</v>
      </c>
      <c r="H355" s="84" t="b">
        <v>1</v>
      </c>
      <c r="I355" s="85">
        <v>2.0</v>
      </c>
      <c r="J355" s="86">
        <v>62.0</v>
      </c>
      <c r="K355" s="81" t="s">
        <v>17205</v>
      </c>
      <c r="L355" s="86">
        <v>97442.0</v>
      </c>
      <c r="M355" s="81" t="s">
        <v>33</v>
      </c>
      <c r="N355" s="81"/>
      <c r="O355" s="83" t="s">
        <v>25543</v>
      </c>
      <c r="P355" s="81"/>
      <c r="Q355" s="46" t="s">
        <v>25544</v>
      </c>
      <c r="R355" s="81"/>
      <c r="S355" s="93" t="s">
        <v>24348</v>
      </c>
      <c r="T355" s="81"/>
      <c r="U355" s="81"/>
      <c r="V355" s="81"/>
      <c r="W355" s="81"/>
      <c r="X355" s="81"/>
      <c r="Y355" s="81"/>
      <c r="Z355" s="81"/>
    </row>
    <row r="356" ht="15.75" customHeight="1">
      <c r="A356" s="81" t="s">
        <v>19630</v>
      </c>
      <c r="B356" s="81" t="s">
        <v>25545</v>
      </c>
      <c r="C356" s="81" t="s">
        <v>25097</v>
      </c>
      <c r="D356" s="85" t="s">
        <v>24334</v>
      </c>
      <c r="E356" s="81" t="s">
        <v>5097</v>
      </c>
      <c r="F356" s="83" t="s">
        <v>19629</v>
      </c>
      <c r="G356" s="81"/>
      <c r="H356" s="84" t="b">
        <v>1</v>
      </c>
      <c r="I356" s="81"/>
      <c r="J356" s="86">
        <v>166.0</v>
      </c>
      <c r="K356" s="81" t="s">
        <v>24508</v>
      </c>
      <c r="L356" s="86">
        <v>97430.0</v>
      </c>
      <c r="M356" s="81" t="s">
        <v>71</v>
      </c>
      <c r="N356" s="81"/>
      <c r="O356" s="83" t="s">
        <v>5091</v>
      </c>
      <c r="P356" s="81"/>
      <c r="Q356" s="75" t="s">
        <v>25546</v>
      </c>
      <c r="R356" s="81"/>
      <c r="S356" s="87"/>
      <c r="T356" s="81"/>
      <c r="U356" s="81"/>
      <c r="V356" s="81"/>
      <c r="W356" s="81"/>
      <c r="X356" s="81"/>
      <c r="Y356" s="81"/>
      <c r="Z356" s="81"/>
    </row>
    <row r="357" ht="15.75" customHeight="1">
      <c r="A357" s="81" t="s">
        <v>18879</v>
      </c>
      <c r="B357" s="81" t="s">
        <v>155</v>
      </c>
      <c r="C357" s="81" t="s">
        <v>25097</v>
      </c>
      <c r="D357" s="85" t="s">
        <v>24334</v>
      </c>
      <c r="E357" s="81" t="s">
        <v>8782</v>
      </c>
      <c r="F357" s="83" t="s">
        <v>25547</v>
      </c>
      <c r="G357" s="81"/>
      <c r="H357" s="84" t="b">
        <v>1</v>
      </c>
      <c r="I357" s="85">
        <v>2.0</v>
      </c>
      <c r="J357" s="89" t="s">
        <v>17436</v>
      </c>
      <c r="K357" s="85" t="s">
        <v>25548</v>
      </c>
      <c r="L357" s="97">
        <v>97429.0</v>
      </c>
      <c r="M357" s="85" t="s">
        <v>24480</v>
      </c>
      <c r="N357" s="81"/>
      <c r="O357" s="94" t="s">
        <v>25549</v>
      </c>
      <c r="P357" s="81"/>
      <c r="Q357" s="46" t="s">
        <v>25550</v>
      </c>
      <c r="R357" s="81"/>
      <c r="S357" s="87"/>
      <c r="T357" s="81"/>
      <c r="U357" s="81"/>
      <c r="V357" s="81"/>
      <c r="W357" s="81"/>
      <c r="X357" s="81"/>
      <c r="Y357" s="81"/>
      <c r="Z357" s="81"/>
    </row>
    <row r="358" ht="15.75" customHeight="1">
      <c r="A358" s="81" t="s">
        <v>18480</v>
      </c>
      <c r="B358" s="81" t="s">
        <v>12674</v>
      </c>
      <c r="C358" s="81" t="s">
        <v>24515</v>
      </c>
      <c r="D358" s="81" t="s">
        <v>24344</v>
      </c>
      <c r="E358" s="81" t="s">
        <v>6348</v>
      </c>
      <c r="F358" s="83" t="s">
        <v>18479</v>
      </c>
      <c r="G358" s="81"/>
      <c r="H358" s="84" t="b">
        <v>1</v>
      </c>
      <c r="I358" s="81"/>
      <c r="J358" s="86">
        <v>57.0</v>
      </c>
      <c r="K358" s="81" t="s">
        <v>24809</v>
      </c>
      <c r="L358" s="86">
        <v>97480.0</v>
      </c>
      <c r="M358" s="81" t="s">
        <v>123</v>
      </c>
      <c r="N358" s="81"/>
      <c r="O358" s="83" t="s">
        <v>6343</v>
      </c>
      <c r="P358" s="81"/>
      <c r="Q358" s="75" t="s">
        <v>25551</v>
      </c>
      <c r="R358" s="81"/>
      <c r="S358" s="87"/>
      <c r="T358" s="81"/>
      <c r="U358" s="81"/>
      <c r="V358" s="81"/>
      <c r="W358" s="81"/>
      <c r="X358" s="81"/>
      <c r="Y358" s="81"/>
      <c r="Z358" s="81"/>
    </row>
    <row r="359" ht="15.75" customHeight="1">
      <c r="A359" s="81" t="s">
        <v>15833</v>
      </c>
      <c r="B359" s="81" t="s">
        <v>155</v>
      </c>
      <c r="C359" s="81" t="s">
        <v>25552</v>
      </c>
      <c r="D359" s="81" t="s">
        <v>24344</v>
      </c>
      <c r="E359" s="81" t="s">
        <v>8506</v>
      </c>
      <c r="F359" s="91" t="s">
        <v>25553</v>
      </c>
      <c r="G359" s="81"/>
      <c r="H359" s="84" t="b">
        <v>1</v>
      </c>
      <c r="I359" s="85">
        <v>1.0</v>
      </c>
      <c r="J359" s="81"/>
      <c r="K359" s="81" t="s">
        <v>25554</v>
      </c>
      <c r="L359" s="86">
        <v>97442.0</v>
      </c>
      <c r="M359" s="81" t="s">
        <v>33</v>
      </c>
      <c r="N359" s="81"/>
      <c r="O359" s="83" t="s">
        <v>8502</v>
      </c>
      <c r="P359" s="85" t="s">
        <v>25555</v>
      </c>
      <c r="Q359" s="75" t="s">
        <v>25556</v>
      </c>
      <c r="R359" s="81"/>
      <c r="S359" s="87"/>
      <c r="T359" s="81"/>
      <c r="U359" s="81"/>
      <c r="V359" s="81"/>
      <c r="W359" s="81"/>
      <c r="X359" s="81"/>
      <c r="Y359" s="81"/>
      <c r="Z359" s="81"/>
    </row>
    <row r="360" ht="15.75" customHeight="1">
      <c r="A360" s="81" t="s">
        <v>20466</v>
      </c>
      <c r="B360" s="81" t="s">
        <v>25557</v>
      </c>
      <c r="C360" s="81" t="s">
        <v>25558</v>
      </c>
      <c r="D360" s="85" t="s">
        <v>24334</v>
      </c>
      <c r="E360" s="81" t="s">
        <v>2345</v>
      </c>
      <c r="F360" s="83" t="s">
        <v>20464</v>
      </c>
      <c r="G360" s="81"/>
      <c r="H360" s="88" t="b">
        <v>1</v>
      </c>
      <c r="I360" s="81"/>
      <c r="J360" s="86">
        <v>292.0</v>
      </c>
      <c r="K360" s="81" t="s">
        <v>25559</v>
      </c>
      <c r="L360" s="86">
        <v>97418.0</v>
      </c>
      <c r="M360" s="81" t="s">
        <v>216</v>
      </c>
      <c r="N360" s="81"/>
      <c r="O360" s="83" t="s">
        <v>2354</v>
      </c>
      <c r="P360" s="81"/>
      <c r="Q360" s="75" t="s">
        <v>25560</v>
      </c>
      <c r="R360" s="81"/>
      <c r="S360" s="87"/>
      <c r="T360" s="81"/>
      <c r="U360" s="81"/>
      <c r="V360" s="81"/>
      <c r="W360" s="81"/>
      <c r="X360" s="81"/>
      <c r="Y360" s="81"/>
      <c r="Z360" s="81"/>
    </row>
    <row r="361" ht="15.75" customHeight="1">
      <c r="A361" s="81" t="s">
        <v>12915</v>
      </c>
      <c r="B361" s="85" t="s">
        <v>25561</v>
      </c>
      <c r="C361" s="85" t="s">
        <v>25562</v>
      </c>
      <c r="D361" s="85" t="s">
        <v>24344</v>
      </c>
      <c r="E361" s="82" t="s">
        <v>4182</v>
      </c>
      <c r="F361" s="91" t="s">
        <v>12908</v>
      </c>
      <c r="G361" s="85" t="s">
        <v>24335</v>
      </c>
      <c r="H361" s="84" t="b">
        <v>0</v>
      </c>
      <c r="I361" s="85">
        <v>0.0</v>
      </c>
      <c r="J361" s="86">
        <v>87.0</v>
      </c>
      <c r="K361" s="81" t="s">
        <v>24368</v>
      </c>
      <c r="L361" s="86">
        <v>97480.0</v>
      </c>
      <c r="M361" s="81" t="s">
        <v>123</v>
      </c>
      <c r="N361" s="81" t="s">
        <v>206</v>
      </c>
      <c r="O361" s="83" t="s">
        <v>4176</v>
      </c>
      <c r="P361" s="85" t="s">
        <v>25563</v>
      </c>
      <c r="Q361" s="75" t="s">
        <v>25564</v>
      </c>
      <c r="R361" s="92">
        <v>22118.0</v>
      </c>
      <c r="S361" s="93" t="s">
        <v>24348</v>
      </c>
      <c r="T361" s="81"/>
      <c r="U361" s="81"/>
      <c r="V361" s="81"/>
      <c r="W361" s="81"/>
      <c r="X361" s="81"/>
      <c r="Y361" s="81"/>
      <c r="Z361" s="81"/>
    </row>
    <row r="362" ht="15.75" customHeight="1">
      <c r="A362" s="81" t="s">
        <v>20287</v>
      </c>
      <c r="B362" s="81" t="s">
        <v>25565</v>
      </c>
      <c r="C362" s="81" t="s">
        <v>25566</v>
      </c>
      <c r="D362" s="81" t="s">
        <v>24344</v>
      </c>
      <c r="E362" s="81" t="s">
        <v>7094</v>
      </c>
      <c r="F362" s="83" t="s">
        <v>20285</v>
      </c>
      <c r="G362" s="81"/>
      <c r="H362" s="84" t="b">
        <v>1</v>
      </c>
      <c r="I362" s="81"/>
      <c r="J362" s="86">
        <v>12.0</v>
      </c>
      <c r="K362" s="81" t="s">
        <v>22999</v>
      </c>
      <c r="L362" s="86">
        <v>97480.0</v>
      </c>
      <c r="M362" s="81" t="s">
        <v>123</v>
      </c>
      <c r="N362" s="81" t="s">
        <v>8325</v>
      </c>
      <c r="O362" s="83" t="s">
        <v>7089</v>
      </c>
      <c r="P362" s="81"/>
      <c r="Q362" s="75" t="s">
        <v>25567</v>
      </c>
      <c r="R362" s="81"/>
      <c r="S362" s="87"/>
      <c r="T362" s="81"/>
      <c r="U362" s="81"/>
      <c r="V362" s="81"/>
      <c r="W362" s="81"/>
      <c r="X362" s="81"/>
      <c r="Y362" s="81"/>
      <c r="Z362" s="81"/>
    </row>
    <row r="363" ht="15.75" customHeight="1">
      <c r="A363" s="81" t="s">
        <v>13700</v>
      </c>
      <c r="B363" s="85" t="s">
        <v>25568</v>
      </c>
      <c r="C363" s="81" t="s">
        <v>25569</v>
      </c>
      <c r="D363" s="81" t="s">
        <v>24344</v>
      </c>
      <c r="E363" s="81" t="s">
        <v>3099</v>
      </c>
      <c r="F363" s="83" t="s">
        <v>13694</v>
      </c>
      <c r="G363" s="85" t="s">
        <v>24420</v>
      </c>
      <c r="H363" s="84" t="b">
        <v>1</v>
      </c>
      <c r="I363" s="85">
        <v>1.0</v>
      </c>
      <c r="J363" s="86">
        <v>14.0</v>
      </c>
      <c r="K363" s="85" t="s">
        <v>13690</v>
      </c>
      <c r="L363" s="86">
        <v>97430.0</v>
      </c>
      <c r="M363" s="81" t="s">
        <v>71</v>
      </c>
      <c r="N363" s="81"/>
      <c r="O363" s="83" t="s">
        <v>3096</v>
      </c>
      <c r="P363" s="81"/>
      <c r="Q363" s="75" t="s">
        <v>25570</v>
      </c>
      <c r="R363" s="92">
        <v>27052.0</v>
      </c>
      <c r="S363" s="93" t="s">
        <v>24348</v>
      </c>
      <c r="T363" s="81"/>
      <c r="U363" s="81"/>
      <c r="V363" s="81"/>
      <c r="W363" s="81"/>
      <c r="X363" s="81"/>
      <c r="Y363" s="81"/>
      <c r="Z363" s="81"/>
    </row>
    <row r="364" ht="15.75" customHeight="1">
      <c r="A364" s="81" t="s">
        <v>12646</v>
      </c>
      <c r="B364" s="81" t="s">
        <v>155</v>
      </c>
      <c r="C364" s="81" t="s">
        <v>25571</v>
      </c>
      <c r="D364" s="81" t="s">
        <v>24344</v>
      </c>
      <c r="E364" s="81" t="s">
        <v>4355</v>
      </c>
      <c r="F364" s="83" t="s">
        <v>12645</v>
      </c>
      <c r="G364" s="81"/>
      <c r="H364" s="84" t="b">
        <v>1</v>
      </c>
      <c r="I364" s="81"/>
      <c r="J364" s="81"/>
      <c r="K364" s="81" t="s">
        <v>20289</v>
      </c>
      <c r="L364" s="86">
        <v>97480.0</v>
      </c>
      <c r="M364" s="81" t="s">
        <v>123</v>
      </c>
      <c r="N364" s="81"/>
      <c r="O364" s="83" t="s">
        <v>25572</v>
      </c>
      <c r="P364" s="81"/>
      <c r="Q364" s="75" t="s">
        <v>25573</v>
      </c>
      <c r="R364" s="81"/>
      <c r="S364" s="87"/>
      <c r="T364" s="81"/>
      <c r="U364" s="81"/>
      <c r="V364" s="81"/>
      <c r="W364" s="81"/>
      <c r="X364" s="81"/>
      <c r="Y364" s="81"/>
      <c r="Z364" s="81"/>
    </row>
    <row r="365" ht="15.75" customHeight="1">
      <c r="A365" s="81" t="s">
        <v>14625</v>
      </c>
      <c r="B365" s="81" t="s">
        <v>155</v>
      </c>
      <c r="C365" s="81" t="s">
        <v>25574</v>
      </c>
      <c r="D365" s="85" t="s">
        <v>24334</v>
      </c>
      <c r="E365" s="81" t="s">
        <v>9001</v>
      </c>
      <c r="F365" s="83" t="s">
        <v>25575</v>
      </c>
      <c r="G365" s="81"/>
      <c r="H365" s="84" t="b">
        <v>1</v>
      </c>
      <c r="I365" s="81"/>
      <c r="J365" s="86">
        <v>13.0</v>
      </c>
      <c r="K365" s="81" t="s">
        <v>25576</v>
      </c>
      <c r="L365" s="86">
        <v>97480.0</v>
      </c>
      <c r="M365" s="81" t="s">
        <v>123</v>
      </c>
      <c r="N365" s="81" t="s">
        <v>8325</v>
      </c>
      <c r="O365" s="83" t="s">
        <v>8998</v>
      </c>
      <c r="P365" s="81"/>
      <c r="Q365" s="75" t="s">
        <v>25577</v>
      </c>
      <c r="R365" s="81"/>
      <c r="S365" s="87"/>
      <c r="T365" s="81"/>
      <c r="U365" s="81"/>
      <c r="V365" s="81"/>
      <c r="W365" s="81"/>
      <c r="X365" s="81"/>
      <c r="Y365" s="81"/>
      <c r="Z365" s="81"/>
    </row>
    <row r="366" ht="15.75" customHeight="1">
      <c r="A366" s="81" t="s">
        <v>25578</v>
      </c>
      <c r="B366" s="81" t="s">
        <v>155</v>
      </c>
      <c r="C366" s="81" t="s">
        <v>25579</v>
      </c>
      <c r="D366" s="85" t="s">
        <v>24334</v>
      </c>
      <c r="E366" s="81" t="s">
        <v>4509</v>
      </c>
      <c r="F366" s="83" t="s">
        <v>20208</v>
      </c>
      <c r="G366" s="81"/>
      <c r="H366" s="84" t="b">
        <v>1</v>
      </c>
      <c r="I366" s="81"/>
      <c r="J366" s="86">
        <v>2.0</v>
      </c>
      <c r="K366" s="81" t="s">
        <v>25580</v>
      </c>
      <c r="L366" s="86">
        <v>97480.0</v>
      </c>
      <c r="M366" s="81" t="s">
        <v>123</v>
      </c>
      <c r="N366" s="81" t="s">
        <v>8325</v>
      </c>
      <c r="O366" s="83" t="s">
        <v>4505</v>
      </c>
      <c r="P366" s="81"/>
      <c r="Q366" s="75" t="s">
        <v>25581</v>
      </c>
      <c r="R366" s="81"/>
      <c r="S366" s="87"/>
      <c r="T366" s="81"/>
      <c r="U366" s="81"/>
      <c r="V366" s="81"/>
      <c r="W366" s="81"/>
      <c r="X366" s="81"/>
      <c r="Y366" s="81"/>
      <c r="Z366" s="81"/>
    </row>
    <row r="367" ht="15.75" customHeight="1">
      <c r="A367" s="81" t="s">
        <v>19617</v>
      </c>
      <c r="B367" s="81" t="s">
        <v>155</v>
      </c>
      <c r="C367" s="81" t="s">
        <v>25582</v>
      </c>
      <c r="D367" s="85" t="s">
        <v>24334</v>
      </c>
      <c r="E367" s="81" t="s">
        <v>4309</v>
      </c>
      <c r="F367" s="91" t="s">
        <v>19841</v>
      </c>
      <c r="G367" s="81"/>
      <c r="H367" s="84" t="b">
        <v>1</v>
      </c>
      <c r="I367" s="85">
        <v>2.0</v>
      </c>
      <c r="J367" s="81"/>
      <c r="K367" s="81" t="s">
        <v>19614</v>
      </c>
      <c r="L367" s="86">
        <v>97480.0</v>
      </c>
      <c r="M367" s="81" t="s">
        <v>123</v>
      </c>
      <c r="N367" s="81"/>
      <c r="O367" s="83" t="s">
        <v>25583</v>
      </c>
      <c r="P367" s="81"/>
      <c r="Q367" s="75" t="s">
        <v>25584</v>
      </c>
      <c r="R367" s="81"/>
      <c r="S367" s="87"/>
      <c r="T367" s="81"/>
      <c r="U367" s="81"/>
      <c r="V367" s="81"/>
      <c r="W367" s="81"/>
      <c r="X367" s="81"/>
      <c r="Y367" s="81"/>
      <c r="Z367" s="81"/>
    </row>
    <row r="368" ht="15.75" customHeight="1">
      <c r="A368" s="81" t="s">
        <v>19314</v>
      </c>
      <c r="B368" s="81" t="s">
        <v>25585</v>
      </c>
      <c r="C368" s="81" t="s">
        <v>24884</v>
      </c>
      <c r="D368" s="85" t="s">
        <v>24334</v>
      </c>
      <c r="E368" s="81" t="s">
        <v>3391</v>
      </c>
      <c r="F368" s="83" t="s">
        <v>19308</v>
      </c>
      <c r="G368" s="81"/>
      <c r="H368" s="84" t="b">
        <v>1</v>
      </c>
      <c r="I368" s="85">
        <v>1.0</v>
      </c>
      <c r="J368" s="86">
        <v>337.0</v>
      </c>
      <c r="K368" s="81" t="s">
        <v>21975</v>
      </c>
      <c r="L368" s="86">
        <v>97430.0</v>
      </c>
      <c r="M368" s="81" t="s">
        <v>71</v>
      </c>
      <c r="N368" s="81"/>
      <c r="O368" s="83" t="s">
        <v>3384</v>
      </c>
      <c r="P368" s="81"/>
      <c r="Q368" s="46" t="s">
        <v>25586</v>
      </c>
      <c r="R368" s="81"/>
      <c r="S368" s="87"/>
      <c r="T368" s="81"/>
      <c r="U368" s="81"/>
      <c r="V368" s="81"/>
      <c r="W368" s="81"/>
      <c r="X368" s="81"/>
      <c r="Y368" s="81"/>
      <c r="Z368" s="81"/>
    </row>
    <row r="369" ht="15.75" customHeight="1">
      <c r="A369" s="81" t="s">
        <v>17823</v>
      </c>
      <c r="B369" s="85" t="s">
        <v>24888</v>
      </c>
      <c r="C369" s="85" t="s">
        <v>25587</v>
      </c>
      <c r="D369" s="81" t="s">
        <v>24344</v>
      </c>
      <c r="E369" s="85" t="s">
        <v>17818</v>
      </c>
      <c r="F369" s="83" t="s">
        <v>17820</v>
      </c>
      <c r="G369" s="85" t="s">
        <v>24335</v>
      </c>
      <c r="H369" s="88" t="b">
        <v>1</v>
      </c>
      <c r="I369" s="85">
        <v>1.0</v>
      </c>
      <c r="J369" s="86">
        <v>123.0</v>
      </c>
      <c r="K369" s="81" t="s">
        <v>15839</v>
      </c>
      <c r="L369" s="86">
        <v>97442.0</v>
      </c>
      <c r="M369" s="81" t="s">
        <v>33</v>
      </c>
      <c r="N369" s="81"/>
      <c r="O369" s="83" t="s">
        <v>2181</v>
      </c>
      <c r="P369" s="81"/>
      <c r="Q369" s="46" t="s">
        <v>25588</v>
      </c>
      <c r="R369" s="81"/>
      <c r="S369" s="93" t="s">
        <v>24348</v>
      </c>
      <c r="T369" s="81"/>
      <c r="U369" s="81"/>
      <c r="V369" s="81"/>
      <c r="W369" s="81"/>
      <c r="X369" s="81"/>
      <c r="Y369" s="81"/>
      <c r="Z369" s="81"/>
    </row>
    <row r="370" ht="15.75" customHeight="1">
      <c r="A370" s="81" t="s">
        <v>12738</v>
      </c>
      <c r="B370" s="81" t="s">
        <v>25589</v>
      </c>
      <c r="C370" s="81" t="s">
        <v>24794</v>
      </c>
      <c r="D370" s="85" t="s">
        <v>24334</v>
      </c>
      <c r="E370" s="81" t="s">
        <v>9035</v>
      </c>
      <c r="F370" s="83" t="s">
        <v>12737</v>
      </c>
      <c r="G370" s="81"/>
      <c r="H370" s="84" t="b">
        <v>1</v>
      </c>
      <c r="I370" s="81"/>
      <c r="J370" s="86">
        <v>10.0</v>
      </c>
      <c r="K370" s="81" t="s">
        <v>25590</v>
      </c>
      <c r="L370" s="86">
        <v>97480.0</v>
      </c>
      <c r="M370" s="81" t="s">
        <v>123</v>
      </c>
      <c r="N370" s="81"/>
      <c r="O370" s="83" t="s">
        <v>9032</v>
      </c>
      <c r="P370" s="81"/>
      <c r="Q370" s="75" t="s">
        <v>25591</v>
      </c>
      <c r="R370" s="81"/>
      <c r="S370" s="87"/>
      <c r="T370" s="81"/>
      <c r="U370" s="81"/>
      <c r="V370" s="81"/>
      <c r="W370" s="81"/>
      <c r="X370" s="81"/>
      <c r="Y370" s="81"/>
      <c r="Z370" s="81"/>
    </row>
    <row r="371" ht="15.75" customHeight="1">
      <c r="A371" s="81" t="s">
        <v>14405</v>
      </c>
      <c r="B371" s="81" t="s">
        <v>25589</v>
      </c>
      <c r="C371" s="81" t="s">
        <v>24927</v>
      </c>
      <c r="D371" s="81" t="s">
        <v>24344</v>
      </c>
      <c r="E371" s="81" t="s">
        <v>948</v>
      </c>
      <c r="F371" s="83" t="s">
        <v>14400</v>
      </c>
      <c r="G371" s="81"/>
      <c r="H371" s="84" t="b">
        <v>1</v>
      </c>
      <c r="I371" s="85">
        <v>1.0</v>
      </c>
      <c r="J371" s="86">
        <v>52.0</v>
      </c>
      <c r="K371" s="81" t="s">
        <v>24977</v>
      </c>
      <c r="L371" s="86">
        <v>97480.0</v>
      </c>
      <c r="M371" s="81" t="s">
        <v>123</v>
      </c>
      <c r="N371" s="81" t="s">
        <v>3556</v>
      </c>
      <c r="O371" s="94" t="s">
        <v>25592</v>
      </c>
      <c r="P371" s="81"/>
      <c r="Q371" s="46" t="s">
        <v>25593</v>
      </c>
      <c r="R371" s="81"/>
      <c r="S371" s="87"/>
      <c r="T371" s="81"/>
      <c r="U371" s="81"/>
      <c r="V371" s="81"/>
      <c r="W371" s="81"/>
      <c r="X371" s="81"/>
      <c r="Y371" s="81"/>
      <c r="Z371" s="81"/>
    </row>
    <row r="372" ht="15.75" customHeight="1">
      <c r="A372" s="81" t="s">
        <v>19086</v>
      </c>
      <c r="B372" s="81" t="s">
        <v>25589</v>
      </c>
      <c r="C372" s="81" t="s">
        <v>25594</v>
      </c>
      <c r="D372" s="81" t="s">
        <v>24344</v>
      </c>
      <c r="E372" s="81" t="s">
        <v>9091</v>
      </c>
      <c r="F372" s="83" t="s">
        <v>19080</v>
      </c>
      <c r="G372" s="85" t="s">
        <v>24335</v>
      </c>
      <c r="H372" s="84" t="b">
        <v>1</v>
      </c>
      <c r="I372" s="85">
        <v>1.0</v>
      </c>
      <c r="J372" s="86">
        <v>18.0</v>
      </c>
      <c r="K372" s="81" t="s">
        <v>16654</v>
      </c>
      <c r="L372" s="86">
        <v>97480.0</v>
      </c>
      <c r="M372" s="81" t="s">
        <v>123</v>
      </c>
      <c r="N372" s="81"/>
      <c r="O372" s="83" t="s">
        <v>9087</v>
      </c>
      <c r="P372" s="85" t="s">
        <v>25595</v>
      </c>
      <c r="Q372" s="75" t="s">
        <v>25596</v>
      </c>
      <c r="R372" s="81"/>
      <c r="S372" s="93" t="s">
        <v>24348</v>
      </c>
      <c r="T372" s="81"/>
      <c r="U372" s="81"/>
      <c r="V372" s="81"/>
      <c r="W372" s="81"/>
      <c r="X372" s="81"/>
      <c r="Y372" s="81"/>
      <c r="Z372" s="81"/>
    </row>
    <row r="373" ht="15.75" customHeight="1">
      <c r="A373" s="81" t="s">
        <v>20980</v>
      </c>
      <c r="B373" s="81" t="s">
        <v>25589</v>
      </c>
      <c r="C373" s="81" t="s">
        <v>25597</v>
      </c>
      <c r="D373" s="81" t="s">
        <v>24344</v>
      </c>
      <c r="E373" s="81" t="s">
        <v>9905</v>
      </c>
      <c r="F373" s="83" t="s">
        <v>20978</v>
      </c>
      <c r="G373" s="81"/>
      <c r="H373" s="84" t="b">
        <v>1</v>
      </c>
      <c r="I373" s="81"/>
      <c r="J373" s="81"/>
      <c r="K373" s="81" t="s">
        <v>33</v>
      </c>
      <c r="L373" s="86">
        <v>97442.0</v>
      </c>
      <c r="M373" s="81" t="s">
        <v>33</v>
      </c>
      <c r="N373" s="81"/>
      <c r="O373" s="83" t="s">
        <v>9901</v>
      </c>
      <c r="P373" s="81"/>
      <c r="Q373" s="75" t="s">
        <v>25598</v>
      </c>
      <c r="R373" s="81"/>
      <c r="S373" s="87"/>
      <c r="T373" s="81"/>
      <c r="U373" s="81"/>
      <c r="V373" s="81"/>
      <c r="W373" s="81"/>
      <c r="X373" s="81"/>
      <c r="Y373" s="81"/>
      <c r="Z373" s="81"/>
    </row>
    <row r="374" ht="15.75" customHeight="1">
      <c r="A374" s="81" t="s">
        <v>14028</v>
      </c>
      <c r="B374" s="81" t="s">
        <v>25589</v>
      </c>
      <c r="C374" s="81" t="s">
        <v>25599</v>
      </c>
      <c r="D374" s="81" t="s">
        <v>24344</v>
      </c>
      <c r="E374" s="81" t="s">
        <v>8680</v>
      </c>
      <c r="F374" s="83" t="s">
        <v>14027</v>
      </c>
      <c r="G374" s="81"/>
      <c r="H374" s="84" t="b">
        <v>1</v>
      </c>
      <c r="I374" s="81"/>
      <c r="J374" s="86">
        <v>7.0</v>
      </c>
      <c r="K374" s="81" t="s">
        <v>25600</v>
      </c>
      <c r="L374" s="86">
        <v>97480.0</v>
      </c>
      <c r="M374" s="81" t="s">
        <v>123</v>
      </c>
      <c r="N374" s="81"/>
      <c r="O374" s="83" t="s">
        <v>8677</v>
      </c>
      <c r="P374" s="81"/>
      <c r="Q374" s="75" t="s">
        <v>25601</v>
      </c>
      <c r="R374" s="81"/>
      <c r="S374" s="87"/>
      <c r="T374" s="81"/>
      <c r="U374" s="81"/>
      <c r="V374" s="81"/>
      <c r="W374" s="81"/>
      <c r="X374" s="81"/>
      <c r="Y374" s="81"/>
      <c r="Z374" s="81"/>
    </row>
    <row r="375" ht="15.75" customHeight="1">
      <c r="A375" s="81" t="s">
        <v>13559</v>
      </c>
      <c r="B375" s="81" t="s">
        <v>25589</v>
      </c>
      <c r="C375" s="81" t="s">
        <v>25602</v>
      </c>
      <c r="D375" s="85" t="s">
        <v>24334</v>
      </c>
      <c r="E375" s="81" t="s">
        <v>4842</v>
      </c>
      <c r="F375" s="83" t="s">
        <v>13557</v>
      </c>
      <c r="G375" s="81"/>
      <c r="H375" s="84" t="b">
        <v>1</v>
      </c>
      <c r="I375" s="85">
        <v>1.0</v>
      </c>
      <c r="J375" s="86">
        <v>7.0</v>
      </c>
      <c r="K375" s="81" t="s">
        <v>25603</v>
      </c>
      <c r="L375" s="86">
        <v>97430.0</v>
      </c>
      <c r="M375" s="81" t="s">
        <v>71</v>
      </c>
      <c r="N375" s="81"/>
      <c r="O375" s="83" t="s">
        <v>4838</v>
      </c>
      <c r="P375" s="81"/>
      <c r="Q375" s="46" t="s">
        <v>25604</v>
      </c>
      <c r="R375" s="81"/>
      <c r="S375" s="87"/>
      <c r="T375" s="81"/>
      <c r="U375" s="81"/>
      <c r="V375" s="81"/>
      <c r="W375" s="81"/>
      <c r="X375" s="81"/>
      <c r="Y375" s="81"/>
      <c r="Z375" s="81"/>
    </row>
    <row r="376" ht="15.75" customHeight="1">
      <c r="A376" s="81" t="s">
        <v>232</v>
      </c>
      <c r="B376" s="81" t="s">
        <v>25589</v>
      </c>
      <c r="C376" s="81" t="s">
        <v>25605</v>
      </c>
      <c r="D376" s="85" t="s">
        <v>24334</v>
      </c>
      <c r="E376" s="81" t="s">
        <v>8790</v>
      </c>
      <c r="F376" s="83" t="s">
        <v>25606</v>
      </c>
      <c r="G376" s="85" t="s">
        <v>24335</v>
      </c>
      <c r="H376" s="84" t="b">
        <v>1</v>
      </c>
      <c r="I376" s="85">
        <v>1.0</v>
      </c>
      <c r="J376" s="86">
        <v>32.0</v>
      </c>
      <c r="K376" s="81" t="s">
        <v>25607</v>
      </c>
      <c r="L376" s="86">
        <v>97430.0</v>
      </c>
      <c r="M376" s="81" t="s">
        <v>71</v>
      </c>
      <c r="N376" s="81"/>
      <c r="O376" s="83" t="s">
        <v>231</v>
      </c>
      <c r="P376" s="81"/>
      <c r="Q376" s="46" t="s">
        <v>25608</v>
      </c>
      <c r="R376" s="96">
        <v>22611.0</v>
      </c>
      <c r="S376" s="93" t="s">
        <v>24460</v>
      </c>
      <c r="T376" s="81"/>
      <c r="U376" s="81"/>
      <c r="V376" s="81"/>
      <c r="W376" s="81"/>
      <c r="X376" s="81"/>
      <c r="Y376" s="81"/>
      <c r="Z376" s="81"/>
    </row>
    <row r="377" ht="15.75" customHeight="1">
      <c r="A377" s="81" t="s">
        <v>20536</v>
      </c>
      <c r="B377" s="81" t="s">
        <v>25609</v>
      </c>
      <c r="C377" s="81" t="s">
        <v>25610</v>
      </c>
      <c r="D377" s="85" t="s">
        <v>24334</v>
      </c>
      <c r="E377" s="81" t="s">
        <v>1495</v>
      </c>
      <c r="F377" s="83" t="s">
        <v>20535</v>
      </c>
      <c r="G377" s="81"/>
      <c r="H377" s="84" t="b">
        <v>1</v>
      </c>
      <c r="I377" s="85">
        <v>1.0</v>
      </c>
      <c r="J377" s="81"/>
      <c r="K377" s="81" t="s">
        <v>216</v>
      </c>
      <c r="L377" s="86">
        <v>97418.0</v>
      </c>
      <c r="M377" s="81" t="s">
        <v>216</v>
      </c>
      <c r="N377" s="81"/>
      <c r="O377" s="83" t="s">
        <v>1491</v>
      </c>
      <c r="P377" s="81"/>
      <c r="Q377" s="75" t="s">
        <v>25611</v>
      </c>
      <c r="R377" s="81"/>
      <c r="S377" s="87"/>
      <c r="T377" s="81"/>
      <c r="U377" s="81"/>
      <c r="V377" s="81"/>
      <c r="W377" s="81"/>
      <c r="X377" s="81"/>
      <c r="Y377" s="81"/>
      <c r="Z377" s="81"/>
    </row>
    <row r="378" ht="15.75" customHeight="1">
      <c r="A378" s="81" t="s">
        <v>14232</v>
      </c>
      <c r="B378" s="81" t="s">
        <v>25589</v>
      </c>
      <c r="C378" s="81" t="s">
        <v>25181</v>
      </c>
      <c r="D378" s="85" t="s">
        <v>24334</v>
      </c>
      <c r="E378" s="81" t="s">
        <v>10119</v>
      </c>
      <c r="F378" s="83" t="s">
        <v>14227</v>
      </c>
      <c r="G378" s="81"/>
      <c r="H378" s="84" t="b">
        <v>1</v>
      </c>
      <c r="I378" s="85">
        <v>1.0</v>
      </c>
      <c r="J378" s="86">
        <v>59.0</v>
      </c>
      <c r="K378" s="81" t="s">
        <v>17205</v>
      </c>
      <c r="L378" s="86">
        <v>97442.0</v>
      </c>
      <c r="M378" s="81" t="s">
        <v>33</v>
      </c>
      <c r="N378" s="81"/>
      <c r="O378" s="83" t="s">
        <v>10116</v>
      </c>
      <c r="P378" s="81"/>
      <c r="Q378" s="62" t="s">
        <v>25612</v>
      </c>
      <c r="R378" s="81"/>
      <c r="S378" s="87"/>
      <c r="T378" s="81"/>
      <c r="U378" s="81"/>
      <c r="V378" s="81"/>
      <c r="W378" s="81"/>
      <c r="X378" s="81"/>
      <c r="Y378" s="81"/>
      <c r="Z378" s="81"/>
    </row>
    <row r="379" ht="15.75" customHeight="1">
      <c r="A379" s="81" t="s">
        <v>13326</v>
      </c>
      <c r="B379" s="81" t="s">
        <v>25613</v>
      </c>
      <c r="C379" s="81" t="s">
        <v>25614</v>
      </c>
      <c r="D379" s="81" t="s">
        <v>24344</v>
      </c>
      <c r="E379" s="81" t="s">
        <v>3046</v>
      </c>
      <c r="F379" s="83" t="s">
        <v>13323</v>
      </c>
      <c r="G379" s="81"/>
      <c r="H379" s="84" t="b">
        <v>1</v>
      </c>
      <c r="I379" s="85">
        <v>1.0</v>
      </c>
      <c r="J379" s="86">
        <v>430.0</v>
      </c>
      <c r="K379" s="81" t="s">
        <v>21975</v>
      </c>
      <c r="L379" s="86">
        <v>97430.0</v>
      </c>
      <c r="M379" s="81" t="s">
        <v>71</v>
      </c>
      <c r="N379" s="81"/>
      <c r="O379" s="83" t="s">
        <v>3040</v>
      </c>
      <c r="P379" s="81"/>
      <c r="Q379" s="46" t="s">
        <v>25615</v>
      </c>
      <c r="R379" s="81"/>
      <c r="S379" s="87"/>
      <c r="T379" s="81"/>
      <c r="U379" s="81"/>
      <c r="V379" s="81"/>
      <c r="W379" s="81"/>
      <c r="X379" s="81"/>
      <c r="Y379" s="81"/>
      <c r="Z379" s="81"/>
    </row>
    <row r="380" ht="15.75" customHeight="1">
      <c r="A380" s="81" t="s">
        <v>20249</v>
      </c>
      <c r="B380" s="81" t="s">
        <v>25616</v>
      </c>
      <c r="C380" s="81" t="s">
        <v>21</v>
      </c>
      <c r="D380" s="81" t="s">
        <v>24344</v>
      </c>
      <c r="E380" s="81" t="s">
        <v>3060</v>
      </c>
      <c r="F380" s="83" t="s">
        <v>25617</v>
      </c>
      <c r="G380" s="81"/>
      <c r="H380" s="84" t="b">
        <v>1</v>
      </c>
      <c r="I380" s="81"/>
      <c r="J380" s="86">
        <v>53.0</v>
      </c>
      <c r="K380" s="81" t="s">
        <v>25618</v>
      </c>
      <c r="L380" s="86">
        <v>97430.0</v>
      </c>
      <c r="M380" s="81" t="s">
        <v>71</v>
      </c>
      <c r="N380" s="81" t="s">
        <v>12373</v>
      </c>
      <c r="O380" s="83" t="s">
        <v>3056</v>
      </c>
      <c r="P380" s="81"/>
      <c r="Q380" s="75" t="s">
        <v>25619</v>
      </c>
      <c r="R380" s="81"/>
      <c r="S380" s="87"/>
      <c r="T380" s="81"/>
      <c r="U380" s="81"/>
      <c r="V380" s="81"/>
      <c r="W380" s="81"/>
      <c r="X380" s="81"/>
      <c r="Y380" s="81"/>
      <c r="Z380" s="81"/>
    </row>
    <row r="381" ht="15.75" customHeight="1">
      <c r="A381" s="81" t="s">
        <v>20173</v>
      </c>
      <c r="B381" s="81" t="s">
        <v>25616</v>
      </c>
      <c r="C381" s="81" t="s">
        <v>25620</v>
      </c>
      <c r="D381" s="81" t="s">
        <v>24344</v>
      </c>
      <c r="E381" s="81" t="s">
        <v>5985</v>
      </c>
      <c r="F381" s="83" t="s">
        <v>20169</v>
      </c>
      <c r="G381" s="81"/>
      <c r="H381" s="84" t="b">
        <v>1</v>
      </c>
      <c r="I381" s="81"/>
      <c r="J381" s="81"/>
      <c r="K381" s="81" t="s">
        <v>12685</v>
      </c>
      <c r="L381" s="86">
        <v>97418.0</v>
      </c>
      <c r="M381" s="81" t="s">
        <v>216</v>
      </c>
      <c r="N381" s="81"/>
      <c r="O381" s="83" t="s">
        <v>5981</v>
      </c>
      <c r="P381" s="81"/>
      <c r="Q381" s="75" t="s">
        <v>25621</v>
      </c>
      <c r="R381" s="81"/>
      <c r="S381" s="87"/>
      <c r="T381" s="81"/>
      <c r="U381" s="81"/>
      <c r="V381" s="81"/>
      <c r="W381" s="81"/>
      <c r="X381" s="81"/>
      <c r="Y381" s="81"/>
      <c r="Z381" s="81"/>
    </row>
    <row r="382" ht="15.75" customHeight="1">
      <c r="A382" s="81" t="s">
        <v>18865</v>
      </c>
      <c r="B382" s="81" t="s">
        <v>25622</v>
      </c>
      <c r="C382" s="81" t="s">
        <v>24428</v>
      </c>
      <c r="D382" s="81" t="s">
        <v>24344</v>
      </c>
      <c r="E382" s="81" t="s">
        <v>18861</v>
      </c>
      <c r="F382" s="83" t="s">
        <v>18862</v>
      </c>
      <c r="G382" s="81"/>
      <c r="H382" s="88" t="b">
        <v>1</v>
      </c>
      <c r="I382" s="81"/>
      <c r="J382" s="81"/>
      <c r="K382" s="81" t="s">
        <v>14889</v>
      </c>
      <c r="L382" s="86">
        <v>97480.0</v>
      </c>
      <c r="M382" s="81" t="s">
        <v>123</v>
      </c>
      <c r="N382" s="81"/>
      <c r="O382" s="83" t="s">
        <v>8972</v>
      </c>
      <c r="P382" s="81"/>
      <c r="Q382" s="75" t="s">
        <v>25623</v>
      </c>
      <c r="R382" s="81"/>
      <c r="S382" s="87"/>
      <c r="T382" s="81"/>
      <c r="U382" s="81"/>
      <c r="V382" s="81"/>
      <c r="W382" s="81"/>
      <c r="X382" s="81"/>
      <c r="Y382" s="81"/>
      <c r="Z382" s="81"/>
    </row>
    <row r="383" ht="15.75" customHeight="1">
      <c r="A383" s="81" t="s">
        <v>17273</v>
      </c>
      <c r="B383" s="81" t="s">
        <v>25616</v>
      </c>
      <c r="C383" s="81" t="s">
        <v>24539</v>
      </c>
      <c r="D383" s="81" t="s">
        <v>24344</v>
      </c>
      <c r="E383" s="81" t="s">
        <v>6696</v>
      </c>
      <c r="F383" s="83" t="s">
        <v>17270</v>
      </c>
      <c r="G383" s="81"/>
      <c r="H383" s="84" t="b">
        <v>1</v>
      </c>
      <c r="I383" s="85">
        <v>1.0</v>
      </c>
      <c r="J383" s="81"/>
      <c r="K383" s="81" t="s">
        <v>12685</v>
      </c>
      <c r="L383" s="86">
        <v>97418.0</v>
      </c>
      <c r="M383" s="81" t="s">
        <v>216</v>
      </c>
      <c r="N383" s="81"/>
      <c r="O383" s="83" t="s">
        <v>6692</v>
      </c>
      <c r="P383" s="81"/>
      <c r="Q383" s="46" t="s">
        <v>25624</v>
      </c>
      <c r="R383" s="81"/>
      <c r="S383" s="87"/>
      <c r="T383" s="81"/>
      <c r="U383" s="81"/>
      <c r="V383" s="81"/>
      <c r="W383" s="81"/>
      <c r="X383" s="81"/>
      <c r="Y383" s="81"/>
      <c r="Z383" s="81"/>
    </row>
    <row r="384" ht="15.75" customHeight="1">
      <c r="A384" s="81" t="s">
        <v>12692</v>
      </c>
      <c r="B384" s="81" t="s">
        <v>25616</v>
      </c>
      <c r="C384" s="81" t="s">
        <v>25301</v>
      </c>
      <c r="D384" s="85" t="s">
        <v>24334</v>
      </c>
      <c r="E384" s="82" t="s">
        <v>12686</v>
      </c>
      <c r="F384" s="83" t="s">
        <v>25625</v>
      </c>
      <c r="G384" s="85" t="s">
        <v>24335</v>
      </c>
      <c r="H384" s="88" t="b">
        <v>1</v>
      </c>
      <c r="I384" s="85">
        <v>1.0</v>
      </c>
      <c r="J384" s="81"/>
      <c r="K384" s="81" t="s">
        <v>12685</v>
      </c>
      <c r="L384" s="86">
        <v>97418.0</v>
      </c>
      <c r="M384" s="81" t="s">
        <v>216</v>
      </c>
      <c r="N384" s="81"/>
      <c r="O384" s="83" t="s">
        <v>1966</v>
      </c>
      <c r="P384" s="81"/>
      <c r="Q384" s="75" t="s">
        <v>25626</v>
      </c>
      <c r="R384" s="81"/>
      <c r="S384" s="87"/>
      <c r="T384" s="81"/>
      <c r="U384" s="81"/>
      <c r="V384" s="81"/>
      <c r="W384" s="81"/>
      <c r="X384" s="81"/>
      <c r="Y384" s="81"/>
      <c r="Z384" s="81"/>
    </row>
    <row r="385" ht="15.75" customHeight="1">
      <c r="A385" s="81" t="s">
        <v>20803</v>
      </c>
      <c r="B385" s="81" t="s">
        <v>25616</v>
      </c>
      <c r="C385" s="81" t="s">
        <v>25627</v>
      </c>
      <c r="D385" s="85" t="s">
        <v>24334</v>
      </c>
      <c r="E385" s="81" t="s">
        <v>8758</v>
      </c>
      <c r="F385" s="83" t="s">
        <v>20799</v>
      </c>
      <c r="G385" s="81"/>
      <c r="H385" s="84" t="b">
        <v>1</v>
      </c>
      <c r="I385" s="81"/>
      <c r="J385" s="86">
        <v>15.0</v>
      </c>
      <c r="K385" s="81" t="s">
        <v>25628</v>
      </c>
      <c r="L385" s="86">
        <v>97430.0</v>
      </c>
      <c r="M385" s="81" t="s">
        <v>71</v>
      </c>
      <c r="N385" s="81" t="s">
        <v>3501</v>
      </c>
      <c r="O385" s="83" t="s">
        <v>8755</v>
      </c>
      <c r="P385" s="81"/>
      <c r="Q385" s="75" t="s">
        <v>25629</v>
      </c>
      <c r="R385" s="81"/>
      <c r="S385" s="87"/>
      <c r="T385" s="81"/>
      <c r="U385" s="81"/>
      <c r="V385" s="81"/>
      <c r="W385" s="81"/>
      <c r="X385" s="81"/>
      <c r="Y385" s="81"/>
      <c r="Z385" s="81"/>
    </row>
    <row r="386" ht="15.75" customHeight="1">
      <c r="A386" s="81" t="s">
        <v>15009</v>
      </c>
      <c r="B386" s="81" t="s">
        <v>25616</v>
      </c>
      <c r="C386" s="81" t="s">
        <v>25630</v>
      </c>
      <c r="D386" s="81" t="s">
        <v>24344</v>
      </c>
      <c r="E386" s="85" t="s">
        <v>15005</v>
      </c>
      <c r="F386" s="91" t="s">
        <v>15006</v>
      </c>
      <c r="G386" s="85" t="s">
        <v>24420</v>
      </c>
      <c r="H386" s="84" t="b">
        <v>1</v>
      </c>
      <c r="I386" s="85">
        <v>1.0</v>
      </c>
      <c r="J386" s="86">
        <v>4.0</v>
      </c>
      <c r="K386" s="81" t="s">
        <v>25631</v>
      </c>
      <c r="L386" s="86">
        <v>97414.0</v>
      </c>
      <c r="M386" s="81" t="s">
        <v>40</v>
      </c>
      <c r="N386" s="81"/>
      <c r="O386" s="83" t="s">
        <v>276</v>
      </c>
      <c r="P386" s="81"/>
      <c r="Q386" s="75" t="s">
        <v>25632</v>
      </c>
      <c r="R386" s="81"/>
      <c r="S386" s="87"/>
      <c r="T386" s="81"/>
      <c r="U386" s="81"/>
      <c r="V386" s="81"/>
      <c r="W386" s="81"/>
      <c r="X386" s="81"/>
      <c r="Y386" s="81"/>
      <c r="Z386" s="81"/>
    </row>
    <row r="387" ht="15.75" customHeight="1">
      <c r="A387" s="81" t="s">
        <v>17912</v>
      </c>
      <c r="B387" s="81" t="s">
        <v>25633</v>
      </c>
      <c r="C387" s="81" t="s">
        <v>25139</v>
      </c>
      <c r="D387" s="85" t="s">
        <v>24334</v>
      </c>
      <c r="E387" s="81" t="s">
        <v>8270</v>
      </c>
      <c r="F387" s="83" t="s">
        <v>17911</v>
      </c>
      <c r="G387" s="81"/>
      <c r="H387" s="88" t="b">
        <v>1</v>
      </c>
      <c r="I387" s="81"/>
      <c r="J387" s="86">
        <v>40.0</v>
      </c>
      <c r="K387" s="81" t="s">
        <v>25634</v>
      </c>
      <c r="L387" s="86">
        <v>97480.0</v>
      </c>
      <c r="M387" s="81" t="s">
        <v>123</v>
      </c>
      <c r="N387" s="81"/>
      <c r="O387" s="83" t="s">
        <v>8266</v>
      </c>
      <c r="P387" s="81"/>
      <c r="Q387" s="75" t="s">
        <v>25635</v>
      </c>
      <c r="R387" s="81"/>
      <c r="S387" s="87"/>
      <c r="T387" s="81"/>
      <c r="U387" s="81"/>
      <c r="V387" s="81"/>
      <c r="W387" s="81"/>
      <c r="X387" s="81"/>
      <c r="Y387" s="81"/>
      <c r="Z387" s="81"/>
    </row>
    <row r="388" ht="15.75" customHeight="1">
      <c r="A388" s="81" t="s">
        <v>19698</v>
      </c>
      <c r="B388" s="81" t="s">
        <v>25636</v>
      </c>
      <c r="C388" s="81" t="s">
        <v>25637</v>
      </c>
      <c r="D388" s="85" t="s">
        <v>24334</v>
      </c>
      <c r="E388" s="81" t="s">
        <v>2475</v>
      </c>
      <c r="F388" s="83" t="s">
        <v>19695</v>
      </c>
      <c r="G388" s="81"/>
      <c r="H388" s="84" t="b">
        <v>1</v>
      </c>
      <c r="I388" s="85">
        <v>1.0</v>
      </c>
      <c r="J388" s="86">
        <v>182.0</v>
      </c>
      <c r="K388" s="81" t="s">
        <v>24873</v>
      </c>
      <c r="L388" s="86">
        <v>97418.0</v>
      </c>
      <c r="M388" s="81" t="s">
        <v>216</v>
      </c>
      <c r="N388" s="81"/>
      <c r="O388" s="83" t="s">
        <v>2471</v>
      </c>
      <c r="P388" s="81"/>
      <c r="Q388" s="46" t="s">
        <v>25638</v>
      </c>
      <c r="R388" s="81"/>
      <c r="S388" s="87"/>
      <c r="T388" s="81"/>
      <c r="U388" s="81"/>
      <c r="V388" s="81"/>
      <c r="W388" s="81"/>
      <c r="X388" s="81"/>
      <c r="Y388" s="81"/>
      <c r="Z388" s="81"/>
    </row>
    <row r="389" ht="15.75" customHeight="1">
      <c r="A389" s="81" t="s">
        <v>18634</v>
      </c>
      <c r="B389" s="81" t="s">
        <v>25639</v>
      </c>
      <c r="C389" s="81" t="s">
        <v>67</v>
      </c>
      <c r="D389" s="85" t="s">
        <v>24334</v>
      </c>
      <c r="E389" s="81" t="s">
        <v>8594</v>
      </c>
      <c r="F389" s="83" t="s">
        <v>18633</v>
      </c>
      <c r="G389" s="81"/>
      <c r="H389" s="84" t="b">
        <v>1</v>
      </c>
      <c r="I389" s="81"/>
      <c r="J389" s="81"/>
      <c r="K389" s="81" t="s">
        <v>12446</v>
      </c>
      <c r="L389" s="86">
        <v>97480.0</v>
      </c>
      <c r="M389" s="81" t="s">
        <v>123</v>
      </c>
      <c r="N389" s="81"/>
      <c r="O389" s="83" t="s">
        <v>8590</v>
      </c>
      <c r="P389" s="81"/>
      <c r="Q389" s="75" t="s">
        <v>25640</v>
      </c>
      <c r="R389" s="81"/>
      <c r="S389" s="87"/>
      <c r="T389" s="81"/>
      <c r="U389" s="81"/>
      <c r="V389" s="81"/>
      <c r="W389" s="81"/>
      <c r="X389" s="81"/>
      <c r="Y389" s="81"/>
      <c r="Z389" s="81"/>
    </row>
    <row r="390" ht="15.75" customHeight="1">
      <c r="A390" s="81" t="s">
        <v>19659</v>
      </c>
      <c r="B390" s="81" t="s">
        <v>25641</v>
      </c>
      <c r="C390" s="81" t="s">
        <v>25642</v>
      </c>
      <c r="D390" s="85" t="s">
        <v>24334</v>
      </c>
      <c r="E390" s="81" t="s">
        <v>1156</v>
      </c>
      <c r="F390" s="91" t="s">
        <v>19655</v>
      </c>
      <c r="G390" s="85" t="s">
        <v>24335</v>
      </c>
      <c r="H390" s="84" t="b">
        <v>1</v>
      </c>
      <c r="I390" s="85">
        <v>2.0</v>
      </c>
      <c r="J390" s="86">
        <v>213.0</v>
      </c>
      <c r="K390" s="81" t="s">
        <v>25528</v>
      </c>
      <c r="L390" s="86">
        <v>97418.0</v>
      </c>
      <c r="M390" s="81" t="s">
        <v>216</v>
      </c>
      <c r="N390" s="81"/>
      <c r="O390" s="83" t="s">
        <v>25643</v>
      </c>
      <c r="P390" s="81"/>
      <c r="Q390" s="46" t="s">
        <v>25644</v>
      </c>
      <c r="R390" s="81"/>
      <c r="S390" s="87"/>
      <c r="T390" s="81"/>
      <c r="U390" s="81"/>
      <c r="V390" s="81"/>
      <c r="W390" s="81"/>
      <c r="X390" s="81"/>
      <c r="Y390" s="81"/>
      <c r="Z390" s="81"/>
    </row>
    <row r="391" ht="15.75" customHeight="1">
      <c r="A391" s="81" t="s">
        <v>16659</v>
      </c>
      <c r="B391" s="81" t="s">
        <v>25645</v>
      </c>
      <c r="C391" s="81" t="s">
        <v>73</v>
      </c>
      <c r="D391" s="81" t="s">
        <v>24344</v>
      </c>
      <c r="E391" s="81" t="s">
        <v>695</v>
      </c>
      <c r="F391" s="83" t="s">
        <v>16655</v>
      </c>
      <c r="G391" s="85" t="s">
        <v>25216</v>
      </c>
      <c r="H391" s="84" t="b">
        <v>1</v>
      </c>
      <c r="I391" s="81"/>
      <c r="J391" s="90" t="s">
        <v>12345</v>
      </c>
      <c r="K391" s="85" t="s">
        <v>25646</v>
      </c>
      <c r="L391" s="97">
        <v>97410.0</v>
      </c>
      <c r="M391" s="85" t="s">
        <v>24605</v>
      </c>
      <c r="N391" s="81"/>
      <c r="O391" s="83" t="s">
        <v>688</v>
      </c>
      <c r="P391" s="85" t="s">
        <v>25647</v>
      </c>
      <c r="Q391" s="46" t="s">
        <v>25648</v>
      </c>
      <c r="R391" s="92">
        <v>27580.0</v>
      </c>
      <c r="S391" s="93" t="s">
        <v>24348</v>
      </c>
      <c r="T391" s="81"/>
      <c r="U391" s="81"/>
      <c r="V391" s="81"/>
      <c r="W391" s="81"/>
      <c r="X391" s="81"/>
      <c r="Y391" s="81"/>
      <c r="Z391" s="81"/>
    </row>
    <row r="392" ht="15.75" customHeight="1">
      <c r="A392" s="81" t="s">
        <v>20104</v>
      </c>
      <c r="B392" s="81" t="s">
        <v>25649</v>
      </c>
      <c r="C392" s="81" t="s">
        <v>25650</v>
      </c>
      <c r="D392" s="81" t="s">
        <v>24344</v>
      </c>
      <c r="E392" s="81"/>
      <c r="F392" s="83" t="s">
        <v>20103</v>
      </c>
      <c r="G392" s="81"/>
      <c r="H392" s="88" t="b">
        <v>1</v>
      </c>
      <c r="I392" s="81"/>
      <c r="J392" s="81" t="s">
        <v>20099</v>
      </c>
      <c r="K392" s="81" t="s">
        <v>20100</v>
      </c>
      <c r="L392" s="86">
        <v>97480.0</v>
      </c>
      <c r="M392" s="81" t="s">
        <v>123</v>
      </c>
      <c r="N392" s="81"/>
      <c r="O392" s="83" t="s">
        <v>5788</v>
      </c>
      <c r="P392" s="81"/>
      <c r="Q392" s="75" t="s">
        <v>25651</v>
      </c>
      <c r="R392" s="81"/>
      <c r="S392" s="87"/>
      <c r="T392" s="81"/>
      <c r="U392" s="81"/>
      <c r="V392" s="81"/>
      <c r="W392" s="81"/>
      <c r="X392" s="81"/>
      <c r="Y392" s="81"/>
      <c r="Z392" s="81"/>
    </row>
    <row r="393" ht="15.75" customHeight="1">
      <c r="A393" s="81" t="s">
        <v>14460</v>
      </c>
      <c r="B393" s="81" t="s">
        <v>25649</v>
      </c>
      <c r="C393" s="81" t="s">
        <v>24956</v>
      </c>
      <c r="D393" s="81" t="s">
        <v>24344</v>
      </c>
      <c r="E393" s="81" t="s">
        <v>3085</v>
      </c>
      <c r="F393" s="83" t="s">
        <v>14457</v>
      </c>
      <c r="G393" s="81"/>
      <c r="H393" s="84" t="b">
        <v>1</v>
      </c>
      <c r="I393" s="81"/>
      <c r="J393" s="86">
        <v>19.0</v>
      </c>
      <c r="K393" s="81" t="s">
        <v>25652</v>
      </c>
      <c r="L393" s="86">
        <v>97442.0</v>
      </c>
      <c r="M393" s="81" t="s">
        <v>33</v>
      </c>
      <c r="N393" s="81"/>
      <c r="O393" s="94" t="s">
        <v>3079</v>
      </c>
      <c r="P393" s="81"/>
      <c r="Q393" s="75" t="s">
        <v>25653</v>
      </c>
      <c r="R393" s="81"/>
      <c r="S393" s="87"/>
      <c r="T393" s="81"/>
      <c r="U393" s="81"/>
      <c r="V393" s="81"/>
      <c r="W393" s="81"/>
      <c r="X393" s="81"/>
      <c r="Y393" s="81"/>
      <c r="Z393" s="81"/>
    </row>
    <row r="394" ht="15.75" customHeight="1">
      <c r="A394" s="81" t="s">
        <v>20917</v>
      </c>
      <c r="B394" s="81" t="s">
        <v>25654</v>
      </c>
      <c r="C394" s="81" t="s">
        <v>25655</v>
      </c>
      <c r="D394" s="81" t="s">
        <v>24344</v>
      </c>
      <c r="E394" s="81" t="s">
        <v>9495</v>
      </c>
      <c r="F394" s="83" t="s">
        <v>20911</v>
      </c>
      <c r="G394" s="81"/>
      <c r="H394" s="84" t="b">
        <v>1</v>
      </c>
      <c r="I394" s="81"/>
      <c r="J394" s="86">
        <v>250.0</v>
      </c>
      <c r="K394" s="81" t="s">
        <v>25528</v>
      </c>
      <c r="L394" s="86">
        <v>97418.0</v>
      </c>
      <c r="M394" s="81" t="s">
        <v>216</v>
      </c>
      <c r="N394" s="81"/>
      <c r="O394" s="83" t="s">
        <v>9491</v>
      </c>
      <c r="P394" s="81"/>
      <c r="Q394" s="75" t="s">
        <v>25656</v>
      </c>
      <c r="R394" s="81"/>
      <c r="S394" s="87"/>
      <c r="T394" s="81"/>
      <c r="U394" s="81"/>
      <c r="V394" s="81"/>
      <c r="W394" s="81"/>
      <c r="X394" s="81"/>
      <c r="Y394" s="81"/>
      <c r="Z394" s="81"/>
    </row>
    <row r="395" ht="15.75" customHeight="1">
      <c r="A395" s="81" t="s">
        <v>20719</v>
      </c>
      <c r="B395" s="81" t="s">
        <v>25657</v>
      </c>
      <c r="C395" s="81"/>
      <c r="D395" s="81"/>
      <c r="E395" s="81" t="s">
        <v>6110</v>
      </c>
      <c r="F395" s="83" t="s">
        <v>20718</v>
      </c>
      <c r="G395" s="81"/>
      <c r="H395" s="84" t="b">
        <v>1</v>
      </c>
      <c r="I395" s="81"/>
      <c r="J395" s="86">
        <v>156.0</v>
      </c>
      <c r="K395" s="81" t="s">
        <v>25658</v>
      </c>
      <c r="L395" s="86">
        <v>97430.0</v>
      </c>
      <c r="M395" s="81" t="s">
        <v>71</v>
      </c>
      <c r="N395" s="81"/>
      <c r="O395" s="83" t="s">
        <v>6107</v>
      </c>
      <c r="P395" s="81"/>
      <c r="Q395" s="75" t="s">
        <v>25659</v>
      </c>
      <c r="R395" s="81"/>
      <c r="S395" s="87"/>
      <c r="T395" s="81"/>
      <c r="U395" s="81"/>
      <c r="V395" s="81"/>
      <c r="W395" s="81"/>
      <c r="X395" s="81"/>
      <c r="Y395" s="81"/>
      <c r="Z395" s="81"/>
    </row>
    <row r="396" ht="15.75" customHeight="1">
      <c r="A396" s="81" t="s">
        <v>20560</v>
      </c>
      <c r="B396" s="81" t="s">
        <v>66</v>
      </c>
      <c r="C396" s="81"/>
      <c r="D396" s="81"/>
      <c r="E396" s="81" t="s">
        <v>7166</v>
      </c>
      <c r="F396" s="83" t="s">
        <v>20559</v>
      </c>
      <c r="G396" s="81"/>
      <c r="H396" s="84" t="b">
        <v>1</v>
      </c>
      <c r="I396" s="81"/>
      <c r="J396" s="86">
        <v>217.0</v>
      </c>
      <c r="K396" s="81" t="s">
        <v>20814</v>
      </c>
      <c r="L396" s="86">
        <v>97418.0</v>
      </c>
      <c r="M396" s="81" t="s">
        <v>216</v>
      </c>
      <c r="N396" s="81" t="s">
        <v>9050</v>
      </c>
      <c r="O396" s="83" t="s">
        <v>7163</v>
      </c>
      <c r="P396" s="81"/>
      <c r="Q396" s="75" t="s">
        <v>25660</v>
      </c>
      <c r="R396" s="81"/>
      <c r="S396" s="87"/>
      <c r="T396" s="81"/>
      <c r="U396" s="81"/>
      <c r="V396" s="81"/>
      <c r="W396" s="81"/>
      <c r="X396" s="81"/>
      <c r="Y396" s="81"/>
      <c r="Z396" s="81"/>
    </row>
    <row r="397" ht="15.75" customHeight="1">
      <c r="A397" s="81" t="s">
        <v>13254</v>
      </c>
      <c r="B397" s="81" t="s">
        <v>66</v>
      </c>
      <c r="C397" s="85" t="s">
        <v>25661</v>
      </c>
      <c r="D397" s="85" t="s">
        <v>24334</v>
      </c>
      <c r="E397" s="81" t="s">
        <v>13247</v>
      </c>
      <c r="F397" s="83" t="s">
        <v>13248</v>
      </c>
      <c r="G397" s="85" t="s">
        <v>24420</v>
      </c>
      <c r="H397" s="84" t="b">
        <v>0</v>
      </c>
      <c r="I397" s="85">
        <v>1.0</v>
      </c>
      <c r="J397" s="86">
        <v>45.0</v>
      </c>
      <c r="K397" s="85" t="s">
        <v>13235</v>
      </c>
      <c r="L397" s="86">
        <v>97430.0</v>
      </c>
      <c r="M397" s="81" t="s">
        <v>71</v>
      </c>
      <c r="N397" s="81"/>
      <c r="O397" s="83" t="s">
        <v>6159</v>
      </c>
      <c r="P397" s="81"/>
      <c r="Q397" s="46" t="s">
        <v>25662</v>
      </c>
      <c r="R397" s="92">
        <v>22334.0</v>
      </c>
      <c r="S397" s="93" t="s">
        <v>24348</v>
      </c>
      <c r="T397" s="81"/>
      <c r="U397" s="81"/>
      <c r="V397" s="81"/>
      <c r="W397" s="81"/>
      <c r="X397" s="81"/>
      <c r="Y397" s="81"/>
      <c r="Z397" s="81"/>
    </row>
    <row r="398" ht="15.75" customHeight="1">
      <c r="A398" s="81" t="s">
        <v>20473</v>
      </c>
      <c r="B398" s="81" t="s">
        <v>66</v>
      </c>
      <c r="C398" s="81" t="s">
        <v>25663</v>
      </c>
      <c r="D398" s="85" t="s">
        <v>24344</v>
      </c>
      <c r="E398" s="81" t="s">
        <v>1180</v>
      </c>
      <c r="F398" s="91" t="s">
        <v>25664</v>
      </c>
      <c r="G398" s="81"/>
      <c r="H398" s="84" t="b">
        <v>1</v>
      </c>
      <c r="I398" s="81"/>
      <c r="J398" s="86">
        <v>40.0</v>
      </c>
      <c r="K398" s="81" t="s">
        <v>25559</v>
      </c>
      <c r="L398" s="86">
        <v>97418.0</v>
      </c>
      <c r="M398" s="81" t="s">
        <v>216</v>
      </c>
      <c r="N398" s="81"/>
      <c r="O398" s="83" t="s">
        <v>1188</v>
      </c>
      <c r="P398" s="81"/>
      <c r="Q398" s="75" t="s">
        <v>25665</v>
      </c>
      <c r="R398" s="81"/>
      <c r="S398" s="87"/>
      <c r="T398" s="81"/>
      <c r="U398" s="81"/>
      <c r="V398" s="81"/>
      <c r="W398" s="81"/>
      <c r="X398" s="81"/>
      <c r="Y398" s="81"/>
      <c r="Z398" s="81"/>
    </row>
    <row r="399" ht="15.75" customHeight="1">
      <c r="A399" s="81" t="s">
        <v>21018</v>
      </c>
      <c r="B399" s="81" t="s">
        <v>66</v>
      </c>
      <c r="C399" s="81" t="s">
        <v>25666</v>
      </c>
      <c r="D399" s="85" t="s">
        <v>24334</v>
      </c>
      <c r="E399" s="81" t="s">
        <v>10051</v>
      </c>
      <c r="F399" s="83" t="s">
        <v>25667</v>
      </c>
      <c r="G399" s="81"/>
      <c r="H399" s="84" t="b">
        <v>1</v>
      </c>
      <c r="I399" s="85">
        <v>1.0</v>
      </c>
      <c r="J399" s="97" t="s">
        <v>21012</v>
      </c>
      <c r="K399" s="81" t="s">
        <v>16400</v>
      </c>
      <c r="L399" s="86">
        <v>97430.0</v>
      </c>
      <c r="M399" s="81" t="s">
        <v>71</v>
      </c>
      <c r="N399" s="81"/>
      <c r="O399" s="83" t="s">
        <v>10044</v>
      </c>
      <c r="P399" s="81"/>
      <c r="Q399" s="46" t="s">
        <v>25668</v>
      </c>
      <c r="R399" s="81"/>
      <c r="S399" s="87"/>
      <c r="T399" s="81"/>
      <c r="U399" s="81"/>
      <c r="V399" s="81"/>
      <c r="W399" s="81"/>
      <c r="X399" s="81"/>
      <c r="Y399" s="81"/>
      <c r="Z399" s="81"/>
    </row>
    <row r="400" ht="15.75" customHeight="1">
      <c r="A400" s="81" t="s">
        <v>12777</v>
      </c>
      <c r="B400" s="81" t="s">
        <v>66</v>
      </c>
      <c r="C400" s="81" t="s">
        <v>25669</v>
      </c>
      <c r="D400" s="81" t="s">
        <v>24344</v>
      </c>
      <c r="E400" s="81"/>
      <c r="F400" s="83" t="s">
        <v>12776</v>
      </c>
      <c r="G400" s="81"/>
      <c r="H400" s="88" t="b">
        <v>1</v>
      </c>
      <c r="I400" s="81"/>
      <c r="J400" s="81" t="s">
        <v>25670</v>
      </c>
      <c r="K400" s="81" t="s">
        <v>25671</v>
      </c>
      <c r="L400" s="86">
        <v>97480.0</v>
      </c>
      <c r="M400" s="81" t="s">
        <v>123</v>
      </c>
      <c r="N400" s="81"/>
      <c r="O400" s="83" t="s">
        <v>7249</v>
      </c>
      <c r="P400" s="81"/>
      <c r="Q400" s="75" t="s">
        <v>25672</v>
      </c>
      <c r="R400" s="81"/>
      <c r="S400" s="87"/>
      <c r="T400" s="81"/>
      <c r="U400" s="81"/>
      <c r="V400" s="81"/>
      <c r="W400" s="81"/>
      <c r="X400" s="81"/>
      <c r="Y400" s="81"/>
      <c r="Z400" s="81"/>
    </row>
    <row r="401" ht="15.75" customHeight="1">
      <c r="A401" s="81" t="s">
        <v>12462</v>
      </c>
      <c r="B401" s="85" t="s">
        <v>25673</v>
      </c>
      <c r="C401" s="85" t="s">
        <v>25674</v>
      </c>
      <c r="D401" s="85" t="s">
        <v>24334</v>
      </c>
      <c r="E401" s="85" t="s">
        <v>12454</v>
      </c>
      <c r="F401" s="83" t="s">
        <v>25675</v>
      </c>
      <c r="G401" s="85" t="s">
        <v>24335</v>
      </c>
      <c r="H401" s="88" t="b">
        <v>1</v>
      </c>
      <c r="I401" s="85">
        <v>1.0</v>
      </c>
      <c r="J401" s="86">
        <v>10.0</v>
      </c>
      <c r="K401" s="85" t="s">
        <v>25676</v>
      </c>
      <c r="L401" s="86">
        <v>97480.0</v>
      </c>
      <c r="M401" s="81" t="s">
        <v>123</v>
      </c>
      <c r="N401" s="81" t="s">
        <v>3556</v>
      </c>
      <c r="O401" s="94" t="s">
        <v>245</v>
      </c>
      <c r="P401" s="81"/>
      <c r="Q401" s="75" t="s">
        <v>25677</v>
      </c>
      <c r="R401" s="92">
        <v>22162.0</v>
      </c>
      <c r="S401" s="93" t="s">
        <v>24460</v>
      </c>
      <c r="T401" s="81"/>
      <c r="U401" s="81"/>
      <c r="V401" s="81"/>
      <c r="W401" s="81"/>
      <c r="X401" s="81"/>
      <c r="Y401" s="81"/>
      <c r="Z401" s="81"/>
    </row>
    <row r="402" ht="15.75" customHeight="1">
      <c r="A402" s="81" t="s">
        <v>20709</v>
      </c>
      <c r="B402" s="81" t="s">
        <v>66</v>
      </c>
      <c r="C402" s="81" t="s">
        <v>24947</v>
      </c>
      <c r="D402" s="81" t="s">
        <v>24344</v>
      </c>
      <c r="E402" s="81" t="s">
        <v>4382</v>
      </c>
      <c r="F402" s="83" t="s">
        <v>20708</v>
      </c>
      <c r="G402" s="81"/>
      <c r="H402" s="84" t="b">
        <v>0</v>
      </c>
      <c r="I402" s="81"/>
      <c r="J402" s="81"/>
      <c r="K402" s="81"/>
      <c r="L402" s="86">
        <v>97414.0</v>
      </c>
      <c r="M402" s="81" t="s">
        <v>40</v>
      </c>
      <c r="N402" s="81"/>
      <c r="O402" s="83" t="s">
        <v>4379</v>
      </c>
      <c r="P402" s="81"/>
      <c r="Q402" s="75" t="s">
        <v>25678</v>
      </c>
      <c r="R402" s="81"/>
      <c r="S402" s="87"/>
      <c r="T402" s="81"/>
      <c r="U402" s="81"/>
      <c r="V402" s="81"/>
      <c r="W402" s="81"/>
      <c r="X402" s="81"/>
      <c r="Y402" s="81"/>
      <c r="Z402" s="81"/>
    </row>
    <row r="403" ht="15.75" customHeight="1">
      <c r="A403" s="81" t="s">
        <v>20675</v>
      </c>
      <c r="B403" s="81" t="s">
        <v>66</v>
      </c>
      <c r="C403" s="81" t="s">
        <v>25139</v>
      </c>
      <c r="D403" s="85" t="s">
        <v>24334</v>
      </c>
      <c r="E403" s="81" t="s">
        <v>20673</v>
      </c>
      <c r="F403" s="91" t="s">
        <v>25679</v>
      </c>
      <c r="G403" s="81"/>
      <c r="H403" s="88" t="b">
        <v>1</v>
      </c>
      <c r="I403" s="85">
        <v>1.0</v>
      </c>
      <c r="J403" s="86">
        <v>19.0</v>
      </c>
      <c r="K403" s="81" t="s">
        <v>25680</v>
      </c>
      <c r="L403" s="86">
        <v>97414.0</v>
      </c>
      <c r="M403" s="81" t="s">
        <v>40</v>
      </c>
      <c r="N403" s="81"/>
      <c r="O403" s="83" t="s">
        <v>6411</v>
      </c>
      <c r="P403" s="81"/>
      <c r="Q403" s="46" t="s">
        <v>25681</v>
      </c>
      <c r="R403" s="81"/>
      <c r="S403" s="87"/>
      <c r="T403" s="81"/>
      <c r="U403" s="81"/>
      <c r="V403" s="81"/>
      <c r="W403" s="81"/>
      <c r="X403" s="81"/>
      <c r="Y403" s="81"/>
      <c r="Z403" s="81"/>
    </row>
    <row r="404" ht="15.75" customHeight="1">
      <c r="A404" s="81" t="s">
        <v>13384</v>
      </c>
      <c r="B404" s="81" t="s">
        <v>66</v>
      </c>
      <c r="C404" s="81" t="s">
        <v>25682</v>
      </c>
      <c r="D404" s="81" t="s">
        <v>24344</v>
      </c>
      <c r="E404" s="81" t="s">
        <v>9774</v>
      </c>
      <c r="F404" s="83" t="s">
        <v>13380</v>
      </c>
      <c r="G404" s="81"/>
      <c r="H404" s="84" t="b">
        <v>1</v>
      </c>
      <c r="I404" s="85">
        <v>2.0</v>
      </c>
      <c r="J404" s="86">
        <v>40.0</v>
      </c>
      <c r="K404" s="81" t="s">
        <v>25559</v>
      </c>
      <c r="L404" s="86">
        <v>97418.0</v>
      </c>
      <c r="M404" s="81" t="s">
        <v>216</v>
      </c>
      <c r="N404" s="81"/>
      <c r="O404" s="94" t="s">
        <v>25683</v>
      </c>
      <c r="P404" s="81"/>
      <c r="Q404" s="46" t="s">
        <v>25684</v>
      </c>
      <c r="R404" s="81"/>
      <c r="S404" s="87"/>
      <c r="T404" s="81"/>
      <c r="U404" s="81"/>
      <c r="V404" s="81"/>
      <c r="W404" s="81"/>
      <c r="X404" s="81"/>
      <c r="Y404" s="81"/>
      <c r="Z404" s="81"/>
    </row>
    <row r="405" ht="15.75" customHeight="1">
      <c r="A405" s="81" t="s">
        <v>13772</v>
      </c>
      <c r="B405" s="81" t="s">
        <v>66</v>
      </c>
      <c r="C405" s="81" t="s">
        <v>25685</v>
      </c>
      <c r="D405" s="81" t="s">
        <v>24344</v>
      </c>
      <c r="E405" s="81" t="s">
        <v>9134</v>
      </c>
      <c r="F405" s="83" t="s">
        <v>13770</v>
      </c>
      <c r="G405" s="81"/>
      <c r="H405" s="84" t="b">
        <v>0</v>
      </c>
      <c r="I405" s="81"/>
      <c r="J405" s="86">
        <v>22.0</v>
      </c>
      <c r="K405" s="81" t="s">
        <v>25686</v>
      </c>
      <c r="L405" s="86">
        <v>97414.0</v>
      </c>
      <c r="M405" s="81" t="s">
        <v>40</v>
      </c>
      <c r="N405" s="81"/>
      <c r="O405" s="83" t="s">
        <v>9131</v>
      </c>
      <c r="P405" s="81"/>
      <c r="Q405" s="75" t="s">
        <v>25687</v>
      </c>
      <c r="R405" s="81"/>
      <c r="S405" s="87"/>
      <c r="T405" s="81"/>
      <c r="U405" s="81"/>
      <c r="V405" s="81"/>
      <c r="W405" s="81"/>
      <c r="X405" s="81"/>
      <c r="Y405" s="81"/>
      <c r="Z405" s="81"/>
    </row>
    <row r="406" ht="15.75" customHeight="1">
      <c r="A406" s="81" t="s">
        <v>21005</v>
      </c>
      <c r="B406" s="81" t="s">
        <v>25688</v>
      </c>
      <c r="C406" s="81" t="s">
        <v>25689</v>
      </c>
      <c r="D406" s="85" t="s">
        <v>24344</v>
      </c>
      <c r="E406" s="81" t="s">
        <v>10017</v>
      </c>
      <c r="F406" s="83" t="s">
        <v>21004</v>
      </c>
      <c r="G406" s="85" t="s">
        <v>24335</v>
      </c>
      <c r="H406" s="84" t="b">
        <v>1</v>
      </c>
      <c r="I406" s="81"/>
      <c r="J406" s="81" t="s">
        <v>18828</v>
      </c>
      <c r="K406" s="81" t="s">
        <v>16457</v>
      </c>
      <c r="L406" s="86">
        <v>97418.0</v>
      </c>
      <c r="M406" s="81" t="s">
        <v>216</v>
      </c>
      <c r="N406" s="81"/>
      <c r="O406" s="94" t="s">
        <v>25690</v>
      </c>
      <c r="P406" s="81"/>
      <c r="Q406" s="46" t="s">
        <v>25691</v>
      </c>
      <c r="R406" s="81"/>
      <c r="S406" s="87"/>
      <c r="T406" s="81"/>
      <c r="U406" s="81"/>
      <c r="V406" s="81"/>
      <c r="W406" s="81"/>
      <c r="X406" s="81"/>
      <c r="Y406" s="81"/>
      <c r="Z406" s="81"/>
    </row>
    <row r="407" ht="15.75" customHeight="1">
      <c r="A407" s="81" t="s">
        <v>20770</v>
      </c>
      <c r="B407" s="81" t="s">
        <v>66</v>
      </c>
      <c r="C407" s="81" t="s">
        <v>24671</v>
      </c>
      <c r="D407" s="85" t="s">
        <v>24334</v>
      </c>
      <c r="E407" s="81" t="s">
        <v>8461</v>
      </c>
      <c r="F407" s="83" t="s">
        <v>25692</v>
      </c>
      <c r="G407" s="81"/>
      <c r="H407" s="84" t="b">
        <v>1</v>
      </c>
      <c r="I407" s="81"/>
      <c r="J407" s="86">
        <v>63.0</v>
      </c>
      <c r="K407" s="81" t="s">
        <v>25693</v>
      </c>
      <c r="L407" s="86">
        <v>97418.0</v>
      </c>
      <c r="M407" s="81" t="s">
        <v>216</v>
      </c>
      <c r="N407" s="81"/>
      <c r="O407" s="83" t="s">
        <v>8457</v>
      </c>
      <c r="P407" s="81"/>
      <c r="Q407" s="75" t="s">
        <v>25694</v>
      </c>
      <c r="R407" s="81"/>
      <c r="S407" s="87"/>
      <c r="T407" s="81"/>
      <c r="U407" s="81"/>
      <c r="V407" s="81"/>
      <c r="W407" s="81"/>
      <c r="X407" s="81"/>
      <c r="Y407" s="81"/>
      <c r="Z407" s="81"/>
    </row>
    <row r="408" ht="15.75" customHeight="1">
      <c r="A408" s="81" t="s">
        <v>15520</v>
      </c>
      <c r="B408" s="85" t="s">
        <v>25695</v>
      </c>
      <c r="C408" s="81" t="s">
        <v>25696</v>
      </c>
      <c r="D408" s="81" t="s">
        <v>24344</v>
      </c>
      <c r="E408" s="81" t="s">
        <v>7012</v>
      </c>
      <c r="F408" s="83" t="s">
        <v>15519</v>
      </c>
      <c r="G408" s="81"/>
      <c r="H408" s="84" t="b">
        <v>1</v>
      </c>
      <c r="I408" s="85">
        <v>2.0</v>
      </c>
      <c r="J408" s="86">
        <v>71.0</v>
      </c>
      <c r="K408" s="81" t="s">
        <v>15537</v>
      </c>
      <c r="L408" s="86">
        <v>97430.0</v>
      </c>
      <c r="M408" s="81" t="s">
        <v>71</v>
      </c>
      <c r="N408" s="81"/>
      <c r="O408" s="83" t="s">
        <v>25697</v>
      </c>
      <c r="P408" s="81"/>
      <c r="Q408" s="75" t="s">
        <v>25698</v>
      </c>
      <c r="R408" s="81"/>
      <c r="S408" s="87"/>
      <c r="T408" s="81"/>
      <c r="U408" s="81"/>
      <c r="V408" s="81"/>
      <c r="W408" s="81"/>
      <c r="X408" s="81"/>
      <c r="Y408" s="81"/>
      <c r="Z408" s="81"/>
    </row>
    <row r="409" ht="15.75" customHeight="1">
      <c r="A409" s="81" t="s">
        <v>13804</v>
      </c>
      <c r="B409" s="81" t="s">
        <v>66</v>
      </c>
      <c r="C409" s="81" t="s">
        <v>25699</v>
      </c>
      <c r="D409" s="81" t="s">
        <v>24344</v>
      </c>
      <c r="E409" s="81" t="s">
        <v>8730</v>
      </c>
      <c r="F409" s="91" t="s">
        <v>25700</v>
      </c>
      <c r="G409" s="81"/>
      <c r="H409" s="84" t="b">
        <v>1</v>
      </c>
      <c r="I409" s="85">
        <v>1.0</v>
      </c>
      <c r="J409" s="86">
        <v>66.0</v>
      </c>
      <c r="K409" s="81" t="s">
        <v>17205</v>
      </c>
      <c r="L409" s="86">
        <v>97442.0</v>
      </c>
      <c r="M409" s="81" t="s">
        <v>33</v>
      </c>
      <c r="N409" s="81"/>
      <c r="O409" s="83" t="s">
        <v>8727</v>
      </c>
      <c r="P409" s="81"/>
      <c r="Q409" s="75" t="s">
        <v>25701</v>
      </c>
      <c r="R409" s="81"/>
      <c r="S409" s="87"/>
      <c r="T409" s="81"/>
      <c r="U409" s="81"/>
      <c r="V409" s="81"/>
      <c r="W409" s="81"/>
      <c r="X409" s="81"/>
      <c r="Y409" s="81"/>
      <c r="Z409" s="81"/>
    </row>
    <row r="410" ht="15.75" customHeight="1">
      <c r="A410" s="81" t="s">
        <v>16426</v>
      </c>
      <c r="B410" s="81" t="s">
        <v>66</v>
      </c>
      <c r="C410" s="81" t="s">
        <v>25702</v>
      </c>
      <c r="D410" s="81" t="s">
        <v>24344</v>
      </c>
      <c r="E410" s="81" t="s">
        <v>16421</v>
      </c>
      <c r="F410" s="83" t="s">
        <v>16692</v>
      </c>
      <c r="G410" s="81"/>
      <c r="H410" s="88" t="b">
        <v>1</v>
      </c>
      <c r="I410" s="81"/>
      <c r="J410" s="86">
        <v>22.0</v>
      </c>
      <c r="K410" s="81" t="s">
        <v>15839</v>
      </c>
      <c r="L410" s="86">
        <v>97442.0</v>
      </c>
      <c r="M410" s="81" t="s">
        <v>33</v>
      </c>
      <c r="N410" s="81"/>
      <c r="O410" s="83" t="s">
        <v>6908</v>
      </c>
      <c r="P410" s="81"/>
      <c r="Q410" s="75" t="s">
        <v>25703</v>
      </c>
      <c r="R410" s="81"/>
      <c r="S410" s="87"/>
      <c r="T410" s="81"/>
      <c r="U410" s="81"/>
      <c r="V410" s="81"/>
      <c r="W410" s="81"/>
      <c r="X410" s="81"/>
      <c r="Y410" s="81"/>
      <c r="Z410" s="81"/>
    </row>
    <row r="411" ht="15.75" customHeight="1">
      <c r="A411" s="81" t="s">
        <v>16697</v>
      </c>
      <c r="B411" s="81" t="s">
        <v>66</v>
      </c>
      <c r="C411" s="81" t="s">
        <v>25704</v>
      </c>
      <c r="D411" s="81" t="s">
        <v>24344</v>
      </c>
      <c r="E411" s="81" t="s">
        <v>7305</v>
      </c>
      <c r="F411" s="91" t="s">
        <v>16692</v>
      </c>
      <c r="G411" s="81"/>
      <c r="H411" s="84" t="b">
        <v>1</v>
      </c>
      <c r="I411" s="85">
        <v>1.0</v>
      </c>
      <c r="J411" s="86">
        <v>10.0</v>
      </c>
      <c r="K411" s="81" t="s">
        <v>24803</v>
      </c>
      <c r="L411" s="86">
        <v>97480.0</v>
      </c>
      <c r="M411" s="81" t="s">
        <v>123</v>
      </c>
      <c r="N411" s="81" t="s">
        <v>8325</v>
      </c>
      <c r="O411" s="83" t="s">
        <v>7298</v>
      </c>
      <c r="P411" s="81"/>
      <c r="Q411" s="75" t="s">
        <v>25705</v>
      </c>
      <c r="R411" s="81"/>
      <c r="S411" s="87"/>
      <c r="T411" s="81"/>
      <c r="U411" s="81"/>
      <c r="V411" s="81"/>
      <c r="W411" s="81"/>
      <c r="X411" s="81"/>
      <c r="Y411" s="81"/>
      <c r="Z411" s="81"/>
    </row>
    <row r="412" ht="15.75" customHeight="1">
      <c r="A412" s="81" t="s">
        <v>16636</v>
      </c>
      <c r="B412" s="81" t="s">
        <v>25706</v>
      </c>
      <c r="C412" s="81" t="s">
        <v>25707</v>
      </c>
      <c r="D412" s="81" t="s">
        <v>24344</v>
      </c>
      <c r="E412" s="81" t="s">
        <v>10096</v>
      </c>
      <c r="F412" s="83" t="s">
        <v>13717</v>
      </c>
      <c r="G412" s="81"/>
      <c r="H412" s="84" t="b">
        <v>0</v>
      </c>
      <c r="I412" s="85">
        <v>1.0</v>
      </c>
      <c r="J412" s="86">
        <v>9.0</v>
      </c>
      <c r="K412" s="81" t="s">
        <v>25708</v>
      </c>
      <c r="L412" s="86">
        <v>97480.0</v>
      </c>
      <c r="M412" s="81" t="s">
        <v>123</v>
      </c>
      <c r="N412" s="81"/>
      <c r="O412" s="83" t="s">
        <v>10090</v>
      </c>
      <c r="P412" s="81"/>
      <c r="Q412" s="75" t="s">
        <v>25709</v>
      </c>
      <c r="R412" s="81"/>
      <c r="S412" s="87"/>
      <c r="T412" s="81"/>
      <c r="U412" s="81"/>
      <c r="V412" s="81"/>
      <c r="W412" s="81"/>
      <c r="X412" s="81"/>
      <c r="Y412" s="81"/>
      <c r="Z412" s="81"/>
    </row>
    <row r="413" ht="15.75" customHeight="1">
      <c r="A413" s="81" t="s">
        <v>13721</v>
      </c>
      <c r="B413" s="81" t="s">
        <v>66</v>
      </c>
      <c r="C413" s="81" t="s">
        <v>25710</v>
      </c>
      <c r="D413" s="81" t="s">
        <v>24344</v>
      </c>
      <c r="E413" s="81" t="s">
        <v>8638</v>
      </c>
      <c r="F413" s="91" t="s">
        <v>13717</v>
      </c>
      <c r="G413" s="81"/>
      <c r="H413" s="84" t="b">
        <v>1</v>
      </c>
      <c r="I413" s="85">
        <v>1.0</v>
      </c>
      <c r="J413" s="86">
        <v>39.0</v>
      </c>
      <c r="K413" s="81" t="s">
        <v>24862</v>
      </c>
      <c r="L413" s="86">
        <v>97480.0</v>
      </c>
      <c r="M413" s="81" t="s">
        <v>123</v>
      </c>
      <c r="N413" s="81"/>
      <c r="O413" s="83" t="s">
        <v>8635</v>
      </c>
      <c r="P413" s="81"/>
      <c r="Q413" s="75" t="s">
        <v>25711</v>
      </c>
      <c r="R413" s="81"/>
      <c r="S413" s="87"/>
      <c r="T413" s="81"/>
      <c r="U413" s="81"/>
      <c r="V413" s="81"/>
      <c r="W413" s="81"/>
      <c r="X413" s="81"/>
      <c r="Y413" s="81"/>
      <c r="Z413" s="81"/>
    </row>
    <row r="414" ht="15.75" customHeight="1">
      <c r="A414" s="81" t="s">
        <v>13277</v>
      </c>
      <c r="B414" s="81" t="s">
        <v>66</v>
      </c>
      <c r="C414" s="81" t="s">
        <v>24682</v>
      </c>
      <c r="D414" s="85" t="s">
        <v>24334</v>
      </c>
      <c r="E414" s="85" t="s">
        <v>13270</v>
      </c>
      <c r="F414" s="83" t="s">
        <v>13272</v>
      </c>
      <c r="G414" s="85" t="s">
        <v>24335</v>
      </c>
      <c r="H414" s="84" t="b">
        <v>1</v>
      </c>
      <c r="I414" s="85">
        <v>1.0</v>
      </c>
      <c r="J414" s="90" t="s">
        <v>13267</v>
      </c>
      <c r="K414" s="85" t="s">
        <v>13268</v>
      </c>
      <c r="L414" s="86">
        <v>97418.0</v>
      </c>
      <c r="M414" s="81" t="s">
        <v>216</v>
      </c>
      <c r="N414" s="81"/>
      <c r="O414" s="83" t="s">
        <v>7495</v>
      </c>
      <c r="P414" s="81"/>
      <c r="Q414" s="46" t="s">
        <v>25712</v>
      </c>
      <c r="R414" s="92">
        <v>21578.0</v>
      </c>
      <c r="S414" s="93" t="s">
        <v>24348</v>
      </c>
      <c r="T414" s="81"/>
      <c r="U414" s="81"/>
      <c r="V414" s="81"/>
      <c r="W414" s="81"/>
      <c r="X414" s="81"/>
      <c r="Y414" s="81"/>
      <c r="Z414" s="81"/>
    </row>
    <row r="415" ht="15.75" customHeight="1">
      <c r="A415" s="81" t="s">
        <v>15807</v>
      </c>
      <c r="B415" s="81" t="s">
        <v>66</v>
      </c>
      <c r="C415" s="81" t="s">
        <v>25713</v>
      </c>
      <c r="D415" s="81" t="s">
        <v>24344</v>
      </c>
      <c r="E415" s="81" t="s">
        <v>547</v>
      </c>
      <c r="F415" s="83" t="s">
        <v>15803</v>
      </c>
      <c r="G415" s="81"/>
      <c r="H415" s="84" t="b">
        <v>1</v>
      </c>
      <c r="I415" s="85">
        <v>1.0</v>
      </c>
      <c r="J415" s="86">
        <v>89.0</v>
      </c>
      <c r="K415" s="81" t="s">
        <v>20427</v>
      </c>
      <c r="L415" s="86">
        <v>97430.0</v>
      </c>
      <c r="M415" s="81" t="s">
        <v>71</v>
      </c>
      <c r="N415" s="81"/>
      <c r="O415" s="83" t="s">
        <v>540</v>
      </c>
      <c r="P415" s="81"/>
      <c r="Q415" s="46" t="s">
        <v>25714</v>
      </c>
      <c r="R415" s="81"/>
      <c r="S415" s="87"/>
      <c r="T415" s="81"/>
      <c r="U415" s="81"/>
      <c r="V415" s="81"/>
      <c r="W415" s="81"/>
      <c r="X415" s="81"/>
      <c r="Y415" s="81"/>
      <c r="Z415" s="81"/>
    </row>
    <row r="416" ht="15.75" customHeight="1">
      <c r="A416" s="81" t="s">
        <v>25715</v>
      </c>
      <c r="B416" s="81" t="s">
        <v>66</v>
      </c>
      <c r="C416" s="81" t="s">
        <v>25716</v>
      </c>
      <c r="D416" s="85" t="s">
        <v>24334</v>
      </c>
      <c r="E416" s="81" t="s">
        <v>9567</v>
      </c>
      <c r="F416" s="83" t="s">
        <v>20228</v>
      </c>
      <c r="G416" s="81"/>
      <c r="H416" s="84" t="b">
        <v>1</v>
      </c>
      <c r="I416" s="85">
        <v>0.0</v>
      </c>
      <c r="J416" s="81"/>
      <c r="K416" s="81" t="s">
        <v>16457</v>
      </c>
      <c r="L416" s="86">
        <v>97418.0</v>
      </c>
      <c r="M416" s="81" t="s">
        <v>216</v>
      </c>
      <c r="N416" s="81"/>
      <c r="O416" s="83" t="s">
        <v>25011</v>
      </c>
      <c r="P416" s="81"/>
      <c r="Q416" s="46" t="s">
        <v>25717</v>
      </c>
      <c r="R416" s="81"/>
      <c r="S416" s="87"/>
      <c r="T416" s="81"/>
      <c r="U416" s="81"/>
      <c r="V416" s="81"/>
      <c r="W416" s="81"/>
      <c r="X416" s="81"/>
      <c r="Y416" s="81"/>
      <c r="Z416" s="81"/>
    </row>
    <row r="417" ht="15.75" customHeight="1">
      <c r="A417" s="81" t="s">
        <v>17945</v>
      </c>
      <c r="B417" s="81" t="s">
        <v>66</v>
      </c>
      <c r="C417" s="81" t="s">
        <v>24419</v>
      </c>
      <c r="D417" s="85" t="s">
        <v>24334</v>
      </c>
      <c r="E417" s="81" t="s">
        <v>2391</v>
      </c>
      <c r="F417" s="83" t="s">
        <v>20330</v>
      </c>
      <c r="G417" s="85" t="s">
        <v>24335</v>
      </c>
      <c r="H417" s="84" t="b">
        <v>1</v>
      </c>
      <c r="I417" s="85">
        <v>2.0</v>
      </c>
      <c r="J417" s="86">
        <v>44.0</v>
      </c>
      <c r="K417" s="81" t="s">
        <v>13218</v>
      </c>
      <c r="L417" s="86">
        <v>97418.0</v>
      </c>
      <c r="M417" s="81" t="s">
        <v>216</v>
      </c>
      <c r="N417" s="81"/>
      <c r="O417" s="83" t="s">
        <v>25718</v>
      </c>
      <c r="P417" s="85" t="s">
        <v>25719</v>
      </c>
      <c r="Q417" s="46" t="s">
        <v>25720</v>
      </c>
      <c r="R417" s="92">
        <v>27628.0</v>
      </c>
      <c r="S417" s="93" t="s">
        <v>24348</v>
      </c>
      <c r="T417" s="81"/>
      <c r="U417" s="81"/>
      <c r="V417" s="81"/>
      <c r="W417" s="81"/>
      <c r="X417" s="81"/>
      <c r="Y417" s="81"/>
      <c r="Z417" s="81"/>
    </row>
    <row r="418" ht="15.75" customHeight="1">
      <c r="A418" s="81" t="s">
        <v>16278</v>
      </c>
      <c r="B418" s="81" t="s">
        <v>66</v>
      </c>
      <c r="C418" s="81" t="s">
        <v>25496</v>
      </c>
      <c r="D418" s="81" t="s">
        <v>24344</v>
      </c>
      <c r="E418" s="81" t="s">
        <v>9642</v>
      </c>
      <c r="F418" s="83" t="s">
        <v>16272</v>
      </c>
      <c r="G418" s="85" t="s">
        <v>24335</v>
      </c>
      <c r="H418" s="84" t="b">
        <v>1</v>
      </c>
      <c r="I418" s="85">
        <v>1.0</v>
      </c>
      <c r="J418" s="89" t="s">
        <v>14287</v>
      </c>
      <c r="K418" s="85" t="s">
        <v>25721</v>
      </c>
      <c r="L418" s="97">
        <v>97421.0</v>
      </c>
      <c r="M418" s="85" t="s">
        <v>25722</v>
      </c>
      <c r="N418" s="81"/>
      <c r="O418" s="94" t="s">
        <v>25723</v>
      </c>
      <c r="P418" s="85" t="s">
        <v>25724</v>
      </c>
      <c r="Q418" s="46" t="s">
        <v>25725</v>
      </c>
      <c r="R418" s="92">
        <v>24848.0</v>
      </c>
      <c r="S418" s="93" t="s">
        <v>24460</v>
      </c>
      <c r="T418" s="81"/>
      <c r="U418" s="81"/>
      <c r="V418" s="81"/>
      <c r="W418" s="81"/>
      <c r="X418" s="81"/>
      <c r="Y418" s="81"/>
      <c r="Z418" s="81"/>
    </row>
    <row r="419" ht="15.75" customHeight="1">
      <c r="A419" s="81" t="s">
        <v>14826</v>
      </c>
      <c r="B419" s="81" t="s">
        <v>66</v>
      </c>
      <c r="C419" s="81" t="s">
        <v>25181</v>
      </c>
      <c r="D419" s="85" t="s">
        <v>24334</v>
      </c>
      <c r="E419" s="81" t="s">
        <v>9887</v>
      </c>
      <c r="F419" s="83" t="s">
        <v>25726</v>
      </c>
      <c r="G419" s="81"/>
      <c r="H419" s="84" t="b">
        <v>1</v>
      </c>
      <c r="I419" s="81"/>
      <c r="J419" s="86">
        <v>320.0</v>
      </c>
      <c r="K419" s="81" t="s">
        <v>24441</v>
      </c>
      <c r="L419" s="86">
        <v>97430.0</v>
      </c>
      <c r="M419" s="81" t="s">
        <v>71</v>
      </c>
      <c r="N419" s="81" t="s">
        <v>9050</v>
      </c>
      <c r="O419" s="83" t="s">
        <v>9884</v>
      </c>
      <c r="P419" s="81"/>
      <c r="Q419" s="75" t="s">
        <v>25727</v>
      </c>
      <c r="R419" s="81"/>
      <c r="S419" s="87"/>
      <c r="T419" s="81"/>
      <c r="U419" s="81"/>
      <c r="V419" s="81"/>
      <c r="W419" s="81"/>
      <c r="X419" s="81"/>
      <c r="Y419" s="81"/>
      <c r="Z419" s="81"/>
    </row>
    <row r="420" ht="15.75" customHeight="1">
      <c r="A420" s="81" t="s">
        <v>15056</v>
      </c>
      <c r="B420" s="81" t="s">
        <v>25728</v>
      </c>
      <c r="C420" s="81" t="s">
        <v>25264</v>
      </c>
      <c r="D420" s="81" t="s">
        <v>24344</v>
      </c>
      <c r="E420" s="81" t="s">
        <v>6320</v>
      </c>
      <c r="F420" s="83" t="s">
        <v>15053</v>
      </c>
      <c r="G420" s="81"/>
      <c r="H420" s="84" t="b">
        <v>1</v>
      </c>
      <c r="I420" s="81"/>
      <c r="J420" s="86">
        <v>43.0</v>
      </c>
      <c r="K420" s="81" t="s">
        <v>25729</v>
      </c>
      <c r="L420" s="86">
        <v>97480.0</v>
      </c>
      <c r="M420" s="81" t="s">
        <v>123</v>
      </c>
      <c r="N420" s="81"/>
      <c r="O420" s="83" t="s">
        <v>6314</v>
      </c>
      <c r="P420" s="81"/>
      <c r="Q420" s="75" t="s">
        <v>25730</v>
      </c>
      <c r="R420" s="81"/>
      <c r="S420" s="87"/>
      <c r="T420" s="81"/>
      <c r="U420" s="81"/>
      <c r="V420" s="81"/>
      <c r="W420" s="81"/>
      <c r="X420" s="81"/>
      <c r="Y420" s="81"/>
      <c r="Z420" s="81"/>
    </row>
    <row r="421" ht="15.75" customHeight="1">
      <c r="A421" s="81" t="s">
        <v>19638</v>
      </c>
      <c r="B421" s="81" t="s">
        <v>66</v>
      </c>
      <c r="C421" s="81" t="s">
        <v>25731</v>
      </c>
      <c r="D421" s="81" t="s">
        <v>24344</v>
      </c>
      <c r="E421" s="85" t="s">
        <v>19634</v>
      </c>
      <c r="F421" s="83" t="s">
        <v>25732</v>
      </c>
      <c r="G421" s="81"/>
      <c r="H421" s="88" t="b">
        <v>1</v>
      </c>
      <c r="I421" s="85">
        <v>1.0</v>
      </c>
      <c r="J421" s="86">
        <v>185.0</v>
      </c>
      <c r="K421" s="81" t="s">
        <v>25733</v>
      </c>
      <c r="L421" s="86">
        <v>97418.0</v>
      </c>
      <c r="M421" s="81" t="s">
        <v>216</v>
      </c>
      <c r="N421" s="81"/>
      <c r="O421" s="83" t="s">
        <v>3721</v>
      </c>
      <c r="P421" s="81"/>
      <c r="Q421" s="46" t="s">
        <v>25734</v>
      </c>
      <c r="R421" s="81"/>
      <c r="S421" s="87"/>
      <c r="T421" s="81"/>
      <c r="U421" s="81"/>
      <c r="V421" s="81"/>
      <c r="W421" s="81"/>
      <c r="X421" s="81"/>
      <c r="Y421" s="81"/>
      <c r="Z421" s="81"/>
    </row>
    <row r="422" ht="15.75" customHeight="1">
      <c r="A422" s="81" t="s">
        <v>13568</v>
      </c>
      <c r="B422" s="81" t="s">
        <v>66</v>
      </c>
      <c r="C422" s="81" t="s">
        <v>24440</v>
      </c>
      <c r="D422" s="81" t="s">
        <v>24344</v>
      </c>
      <c r="E422" s="81" t="s">
        <v>7331</v>
      </c>
      <c r="F422" s="83" t="s">
        <v>13563</v>
      </c>
      <c r="G422" s="81"/>
      <c r="H422" s="84" t="b">
        <v>1</v>
      </c>
      <c r="I422" s="85">
        <v>2.0</v>
      </c>
      <c r="J422" s="86">
        <v>106.0</v>
      </c>
      <c r="K422" s="81" t="s">
        <v>24449</v>
      </c>
      <c r="L422" s="86">
        <v>97430.0</v>
      </c>
      <c r="M422" s="81" t="s">
        <v>71</v>
      </c>
      <c r="N422" s="81"/>
      <c r="O422" s="83" t="s">
        <v>25735</v>
      </c>
      <c r="P422" s="81"/>
      <c r="Q422" s="46" t="s">
        <v>25736</v>
      </c>
      <c r="R422" s="81"/>
      <c r="S422" s="87"/>
      <c r="T422" s="81"/>
      <c r="U422" s="81"/>
      <c r="V422" s="81"/>
      <c r="W422" s="81"/>
      <c r="X422" s="81"/>
      <c r="Y422" s="81"/>
      <c r="Z422" s="81"/>
    </row>
    <row r="423" ht="15.75" customHeight="1">
      <c r="A423" s="81" t="s">
        <v>12426</v>
      </c>
      <c r="B423" s="81" t="s">
        <v>66</v>
      </c>
      <c r="C423" s="81" t="s">
        <v>25737</v>
      </c>
      <c r="D423" s="85" t="s">
        <v>24334</v>
      </c>
      <c r="E423" s="81" t="s">
        <v>3643</v>
      </c>
      <c r="F423" s="91" t="s">
        <v>25738</v>
      </c>
      <c r="G423" s="85" t="s">
        <v>24390</v>
      </c>
      <c r="H423" s="84" t="b">
        <v>1</v>
      </c>
      <c r="I423" s="85">
        <v>2.0</v>
      </c>
      <c r="J423" s="86">
        <v>197.0</v>
      </c>
      <c r="K423" s="81" t="s">
        <v>20814</v>
      </c>
      <c r="L423" s="86">
        <v>97418.0</v>
      </c>
      <c r="M423" s="81" t="s">
        <v>216</v>
      </c>
      <c r="N423" s="81" t="s">
        <v>9050</v>
      </c>
      <c r="O423" s="94" t="s">
        <v>25739</v>
      </c>
      <c r="P423" s="81"/>
      <c r="Q423" s="46" t="s">
        <v>25740</v>
      </c>
      <c r="R423" s="81"/>
      <c r="S423" s="93" t="s">
        <v>24460</v>
      </c>
      <c r="T423" s="81"/>
      <c r="U423" s="81"/>
      <c r="V423" s="81"/>
      <c r="W423" s="81"/>
      <c r="X423" s="81"/>
      <c r="Y423" s="81"/>
      <c r="Z423" s="81"/>
    </row>
    <row r="424" ht="15.75" customHeight="1">
      <c r="A424" s="81" t="s">
        <v>20413</v>
      </c>
      <c r="B424" s="81" t="s">
        <v>66</v>
      </c>
      <c r="C424" s="81" t="s">
        <v>25630</v>
      </c>
      <c r="D424" s="81" t="s">
        <v>24344</v>
      </c>
      <c r="E424" s="81" t="s">
        <v>3320</v>
      </c>
      <c r="F424" s="83" t="s">
        <v>20408</v>
      </c>
      <c r="G424" s="85" t="s">
        <v>24420</v>
      </c>
      <c r="H424" s="84" t="b">
        <v>1</v>
      </c>
      <c r="I424" s="85">
        <v>1.0</v>
      </c>
      <c r="J424" s="90" t="s">
        <v>12445</v>
      </c>
      <c r="K424" s="81" t="s">
        <v>20405</v>
      </c>
      <c r="L424" s="86">
        <v>97418.0</v>
      </c>
      <c r="M424" s="81" t="s">
        <v>216</v>
      </c>
      <c r="N424" s="81"/>
      <c r="O424" s="83" t="s">
        <v>3314</v>
      </c>
      <c r="P424" s="85" t="s">
        <v>25741</v>
      </c>
      <c r="Q424" s="46" t="s">
        <v>25742</v>
      </c>
      <c r="R424" s="81"/>
      <c r="S424" s="93" t="s">
        <v>24348</v>
      </c>
      <c r="T424" s="81"/>
      <c r="U424" s="81"/>
      <c r="V424" s="81"/>
      <c r="W424" s="81"/>
      <c r="X424" s="81"/>
      <c r="Y424" s="81"/>
      <c r="Z424" s="81"/>
    </row>
    <row r="425" ht="15.75" customHeight="1">
      <c r="A425" s="81" t="s">
        <v>19817</v>
      </c>
      <c r="B425" s="85" t="s">
        <v>25122</v>
      </c>
      <c r="C425" s="85" t="s">
        <v>25150</v>
      </c>
      <c r="D425" s="85" t="s">
        <v>24344</v>
      </c>
      <c r="E425" s="81" t="s">
        <v>19809</v>
      </c>
      <c r="F425" s="91" t="s">
        <v>20865</v>
      </c>
      <c r="G425" s="85" t="s">
        <v>24335</v>
      </c>
      <c r="H425" s="88" t="b">
        <v>1</v>
      </c>
      <c r="I425" s="85">
        <v>1.0</v>
      </c>
      <c r="J425" s="90" t="s">
        <v>14181</v>
      </c>
      <c r="K425" s="85" t="s">
        <v>25743</v>
      </c>
      <c r="L425" s="85">
        <v>97414.0</v>
      </c>
      <c r="M425" s="85" t="s">
        <v>40</v>
      </c>
      <c r="N425" s="81"/>
      <c r="O425" s="83" t="s">
        <v>9030</v>
      </c>
      <c r="P425" s="85" t="s">
        <v>25744</v>
      </c>
      <c r="Q425" s="75" t="s">
        <v>25745</v>
      </c>
      <c r="R425" s="81"/>
      <c r="S425" s="87"/>
      <c r="T425" s="81"/>
      <c r="U425" s="81"/>
      <c r="V425" s="81"/>
      <c r="W425" s="81"/>
      <c r="X425" s="81"/>
      <c r="Y425" s="81"/>
      <c r="Z425" s="81"/>
    </row>
    <row r="426" ht="15.75" customHeight="1">
      <c r="A426" s="81" t="s">
        <v>19241</v>
      </c>
      <c r="B426" s="81" t="s">
        <v>25746</v>
      </c>
      <c r="C426" s="81" t="s">
        <v>25086</v>
      </c>
      <c r="D426" s="81"/>
      <c r="E426" s="81" t="s">
        <v>19235</v>
      </c>
      <c r="F426" s="83" t="s">
        <v>19237</v>
      </c>
      <c r="G426" s="81"/>
      <c r="H426" s="88" t="b">
        <v>1</v>
      </c>
      <c r="I426" s="81"/>
      <c r="J426" s="86">
        <v>50.0</v>
      </c>
      <c r="K426" s="81" t="s">
        <v>20100</v>
      </c>
      <c r="L426" s="86">
        <v>97480.0</v>
      </c>
      <c r="M426" s="81" t="s">
        <v>123</v>
      </c>
      <c r="N426" s="81"/>
      <c r="O426" s="83" t="s">
        <v>6513</v>
      </c>
      <c r="P426" s="81"/>
      <c r="Q426" s="75" t="s">
        <v>25747</v>
      </c>
      <c r="R426" s="81"/>
      <c r="S426" s="87"/>
      <c r="T426" s="81"/>
      <c r="U426" s="81"/>
      <c r="V426" s="81"/>
      <c r="W426" s="81"/>
      <c r="X426" s="81"/>
      <c r="Y426" s="81"/>
      <c r="Z426" s="81"/>
    </row>
    <row r="427" ht="15.75" customHeight="1">
      <c r="A427" s="81" t="s">
        <v>14953</v>
      </c>
      <c r="B427" s="81" t="s">
        <v>25748</v>
      </c>
      <c r="C427" s="81" t="s">
        <v>24645</v>
      </c>
      <c r="D427" s="81" t="s">
        <v>24344</v>
      </c>
      <c r="E427" s="81" t="s">
        <v>9685</v>
      </c>
      <c r="F427" s="83" t="s">
        <v>14949</v>
      </c>
      <c r="G427" s="81"/>
      <c r="H427" s="84" t="b">
        <v>1</v>
      </c>
      <c r="I427" s="81"/>
      <c r="J427" s="81"/>
      <c r="K427" s="81" t="s">
        <v>20289</v>
      </c>
      <c r="L427" s="86">
        <v>97480.0</v>
      </c>
      <c r="M427" s="81" t="s">
        <v>123</v>
      </c>
      <c r="N427" s="81"/>
      <c r="O427" s="83" t="s">
        <v>9683</v>
      </c>
      <c r="P427" s="81"/>
      <c r="Q427" s="75" t="s">
        <v>25749</v>
      </c>
      <c r="R427" s="81"/>
      <c r="S427" s="87"/>
      <c r="T427" s="81"/>
      <c r="U427" s="81"/>
      <c r="V427" s="81"/>
      <c r="W427" s="81"/>
      <c r="X427" s="81"/>
      <c r="Y427" s="81"/>
      <c r="Z427" s="81"/>
    </row>
    <row r="428" ht="15.75" customHeight="1">
      <c r="A428" s="81" t="s">
        <v>19561</v>
      </c>
      <c r="B428" s="81" t="s">
        <v>25750</v>
      </c>
      <c r="C428" s="81" t="s">
        <v>24657</v>
      </c>
      <c r="D428" s="85" t="s">
        <v>24334</v>
      </c>
      <c r="E428" s="81" t="s">
        <v>7548</v>
      </c>
      <c r="F428" s="83" t="s">
        <v>19559</v>
      </c>
      <c r="G428" s="81"/>
      <c r="H428" s="84" t="b">
        <v>1</v>
      </c>
      <c r="I428" s="81"/>
      <c r="J428" s="86">
        <v>3.0</v>
      </c>
      <c r="K428" s="81" t="s">
        <v>17205</v>
      </c>
      <c r="L428" s="86">
        <v>97442.0</v>
      </c>
      <c r="M428" s="81" t="s">
        <v>33</v>
      </c>
      <c r="N428" s="81"/>
      <c r="O428" s="83" t="s">
        <v>7545</v>
      </c>
      <c r="P428" s="81"/>
      <c r="Q428" s="75" t="s">
        <v>25751</v>
      </c>
      <c r="R428" s="81"/>
      <c r="S428" s="87"/>
      <c r="T428" s="81"/>
      <c r="U428" s="81"/>
      <c r="V428" s="81"/>
      <c r="W428" s="81"/>
      <c r="X428" s="81"/>
      <c r="Y428" s="81"/>
      <c r="Z428" s="81"/>
    </row>
    <row r="429" ht="15.75" customHeight="1">
      <c r="A429" s="81" t="s">
        <v>15576</v>
      </c>
      <c r="B429" s="81" t="s">
        <v>25752</v>
      </c>
      <c r="C429" s="81" t="s">
        <v>24671</v>
      </c>
      <c r="D429" s="85" t="s">
        <v>24334</v>
      </c>
      <c r="E429" s="81" t="s">
        <v>8614</v>
      </c>
      <c r="F429" s="83" t="s">
        <v>21867</v>
      </c>
      <c r="G429" s="85" t="s">
        <v>24335</v>
      </c>
      <c r="H429" s="84" t="b">
        <v>1</v>
      </c>
      <c r="I429" s="85">
        <v>2.0</v>
      </c>
      <c r="J429" s="86">
        <v>31.0</v>
      </c>
      <c r="K429" s="81" t="s">
        <v>16641</v>
      </c>
      <c r="L429" s="86">
        <v>97480.0</v>
      </c>
      <c r="M429" s="81" t="s">
        <v>123</v>
      </c>
      <c r="N429" s="81" t="s">
        <v>206</v>
      </c>
      <c r="O429" s="94" t="s">
        <v>25753</v>
      </c>
      <c r="P429" s="85" t="s">
        <v>25754</v>
      </c>
      <c r="Q429" s="46" t="s">
        <v>25755</v>
      </c>
      <c r="R429" s="92">
        <v>22743.0</v>
      </c>
      <c r="S429" s="93" t="s">
        <v>24348</v>
      </c>
      <c r="T429" s="81"/>
      <c r="U429" s="81"/>
      <c r="V429" s="81"/>
      <c r="W429" s="81"/>
      <c r="X429" s="81"/>
      <c r="Y429" s="81"/>
      <c r="Z429" s="81"/>
    </row>
    <row r="430" ht="15.75" customHeight="1">
      <c r="A430" s="81" t="s">
        <v>12882</v>
      </c>
      <c r="B430" s="81" t="s">
        <v>25756</v>
      </c>
      <c r="C430" s="81" t="s">
        <v>25757</v>
      </c>
      <c r="D430" s="85" t="s">
        <v>24334</v>
      </c>
      <c r="E430" s="81" t="s">
        <v>2908</v>
      </c>
      <c r="F430" s="83" t="s">
        <v>25758</v>
      </c>
      <c r="G430" s="81"/>
      <c r="H430" s="84" t="b">
        <v>1</v>
      </c>
      <c r="I430" s="81"/>
      <c r="J430" s="86">
        <v>8.0</v>
      </c>
      <c r="K430" s="81" t="s">
        <v>24641</v>
      </c>
      <c r="L430" s="86">
        <v>97418.0</v>
      </c>
      <c r="M430" s="81" t="s">
        <v>216</v>
      </c>
      <c r="N430" s="81"/>
      <c r="O430" s="83" t="s">
        <v>2902</v>
      </c>
      <c r="P430" s="81"/>
      <c r="Q430" s="75" t="s">
        <v>25759</v>
      </c>
      <c r="R430" s="81"/>
      <c r="S430" s="87"/>
      <c r="T430" s="81"/>
      <c r="U430" s="81"/>
      <c r="V430" s="81"/>
      <c r="W430" s="81"/>
      <c r="X430" s="81"/>
      <c r="Y430" s="81"/>
      <c r="Z430" s="81"/>
    </row>
    <row r="431" ht="15.75" customHeight="1">
      <c r="A431" s="81" t="s">
        <v>15912</v>
      </c>
      <c r="B431" s="81" t="s">
        <v>25760</v>
      </c>
      <c r="C431" s="81" t="s">
        <v>25181</v>
      </c>
      <c r="D431" s="85" t="s">
        <v>24334</v>
      </c>
      <c r="E431" s="81" t="s">
        <v>6244</v>
      </c>
      <c r="F431" s="83" t="s">
        <v>15908</v>
      </c>
      <c r="G431" s="81"/>
      <c r="H431" s="84" t="b">
        <v>1</v>
      </c>
      <c r="I431" s="85">
        <v>1.0</v>
      </c>
      <c r="J431" s="81"/>
      <c r="K431" s="81" t="s">
        <v>25761</v>
      </c>
      <c r="L431" s="86">
        <v>97430.0</v>
      </c>
      <c r="M431" s="81" t="s">
        <v>71</v>
      </c>
      <c r="N431" s="81"/>
      <c r="O431" s="83" t="s">
        <v>6239</v>
      </c>
      <c r="P431" s="81"/>
      <c r="Q431" s="46" t="s">
        <v>25762</v>
      </c>
      <c r="R431" s="81"/>
      <c r="S431" s="87"/>
      <c r="T431" s="81"/>
      <c r="U431" s="81"/>
      <c r="V431" s="81"/>
      <c r="W431" s="81"/>
      <c r="X431" s="81"/>
      <c r="Y431" s="81"/>
      <c r="Z431" s="81"/>
    </row>
    <row r="432" ht="15.75" customHeight="1">
      <c r="A432" s="81" t="s">
        <v>20616</v>
      </c>
      <c r="B432" s="81" t="s">
        <v>25763</v>
      </c>
      <c r="C432" s="81" t="s">
        <v>24671</v>
      </c>
      <c r="D432" s="85" t="s">
        <v>24334</v>
      </c>
      <c r="E432" s="81" t="s">
        <v>4974</v>
      </c>
      <c r="F432" s="83" t="s">
        <v>20614</v>
      </c>
      <c r="G432" s="81"/>
      <c r="H432" s="84" t="b">
        <v>0</v>
      </c>
      <c r="I432" s="85">
        <v>0.0</v>
      </c>
      <c r="J432" s="86">
        <v>37.0</v>
      </c>
      <c r="K432" s="81" t="s">
        <v>14466</v>
      </c>
      <c r="L432" s="86">
        <v>97430.0</v>
      </c>
      <c r="M432" s="81" t="s">
        <v>71</v>
      </c>
      <c r="N432" s="81"/>
      <c r="O432" s="83" t="s">
        <v>4969</v>
      </c>
      <c r="P432" s="81"/>
      <c r="Q432" s="75" t="s">
        <v>25764</v>
      </c>
      <c r="R432" s="81"/>
      <c r="S432" s="87"/>
      <c r="T432" s="81"/>
      <c r="U432" s="81"/>
      <c r="V432" s="81"/>
      <c r="W432" s="81"/>
      <c r="X432" s="81"/>
      <c r="Y432" s="81"/>
      <c r="Z432" s="81"/>
    </row>
    <row r="433" ht="15.75" customHeight="1">
      <c r="A433" s="81" t="s">
        <v>20326</v>
      </c>
      <c r="B433" s="81" t="s">
        <v>25765</v>
      </c>
      <c r="C433" s="81" t="s">
        <v>25766</v>
      </c>
      <c r="D433" s="81" t="s">
        <v>24344</v>
      </c>
      <c r="E433" s="81" t="s">
        <v>5524</v>
      </c>
      <c r="F433" s="83" t="s">
        <v>20324</v>
      </c>
      <c r="G433" s="81"/>
      <c r="H433" s="84" t="b">
        <v>1</v>
      </c>
      <c r="I433" s="81"/>
      <c r="J433" s="81"/>
      <c r="K433" s="81" t="s">
        <v>20322</v>
      </c>
      <c r="L433" s="86">
        <v>97418.0</v>
      </c>
      <c r="M433" s="81" t="s">
        <v>216</v>
      </c>
      <c r="N433" s="81"/>
      <c r="O433" s="83" t="s">
        <v>5519</v>
      </c>
      <c r="P433" s="81"/>
      <c r="Q433" s="75" t="s">
        <v>25767</v>
      </c>
      <c r="R433" s="81"/>
      <c r="S433" s="87"/>
      <c r="T433" s="81"/>
      <c r="U433" s="81"/>
      <c r="V433" s="81"/>
      <c r="W433" s="81"/>
      <c r="X433" s="81"/>
      <c r="Y433" s="81"/>
      <c r="Z433" s="81"/>
    </row>
    <row r="434" ht="15.75" customHeight="1">
      <c r="A434" s="81" t="s">
        <v>14151</v>
      </c>
      <c r="B434" s="85" t="s">
        <v>25695</v>
      </c>
      <c r="C434" s="81" t="s">
        <v>25768</v>
      </c>
      <c r="D434" s="81" t="s">
        <v>24344</v>
      </c>
      <c r="E434" s="81" t="s">
        <v>9895</v>
      </c>
      <c r="F434" s="83" t="s">
        <v>14148</v>
      </c>
      <c r="G434" s="85" t="s">
        <v>24335</v>
      </c>
      <c r="H434" s="84" t="b">
        <v>1</v>
      </c>
      <c r="I434" s="85">
        <v>1.0</v>
      </c>
      <c r="J434" s="86">
        <v>70.0</v>
      </c>
      <c r="K434" s="81" t="s">
        <v>16719</v>
      </c>
      <c r="L434" s="86">
        <v>97414.0</v>
      </c>
      <c r="M434" s="81" t="s">
        <v>40</v>
      </c>
      <c r="N434" s="81"/>
      <c r="O434" s="83" t="s">
        <v>9892</v>
      </c>
      <c r="P434" s="81"/>
      <c r="Q434" s="75" t="s">
        <v>25769</v>
      </c>
      <c r="R434" s="92">
        <v>25541.0</v>
      </c>
      <c r="S434" s="87"/>
      <c r="T434" s="81"/>
      <c r="U434" s="81"/>
      <c r="V434" s="81"/>
      <c r="W434" s="81"/>
      <c r="X434" s="81"/>
      <c r="Y434" s="81"/>
      <c r="Z434" s="81"/>
    </row>
    <row r="435" ht="15.75" customHeight="1">
      <c r="A435" s="81" t="s">
        <v>17252</v>
      </c>
      <c r="B435" s="81" t="s">
        <v>25770</v>
      </c>
      <c r="C435" s="81" t="s">
        <v>25771</v>
      </c>
      <c r="D435" s="85" t="s">
        <v>24334</v>
      </c>
      <c r="E435" s="81" t="s">
        <v>9042</v>
      </c>
      <c r="F435" s="83" t="s">
        <v>17246</v>
      </c>
      <c r="G435" s="81"/>
      <c r="H435" s="84" t="b">
        <v>1</v>
      </c>
      <c r="I435" s="81"/>
      <c r="J435" s="81" t="s">
        <v>24818</v>
      </c>
      <c r="K435" s="81" t="s">
        <v>24819</v>
      </c>
      <c r="L435" s="86">
        <v>97442.0</v>
      </c>
      <c r="M435" s="81" t="s">
        <v>33</v>
      </c>
      <c r="N435" s="81"/>
      <c r="O435" s="83" t="s">
        <v>9039</v>
      </c>
      <c r="P435" s="81"/>
      <c r="Q435" s="75" t="s">
        <v>25772</v>
      </c>
      <c r="R435" s="81"/>
      <c r="S435" s="87"/>
      <c r="T435" s="81"/>
      <c r="U435" s="81"/>
      <c r="V435" s="81"/>
      <c r="W435" s="81"/>
      <c r="X435" s="81"/>
      <c r="Y435" s="81"/>
      <c r="Z435" s="81"/>
    </row>
    <row r="436" ht="15.75" customHeight="1">
      <c r="A436" s="81" t="s">
        <v>16511</v>
      </c>
      <c r="B436" s="81" t="s">
        <v>25773</v>
      </c>
      <c r="C436" s="81" t="s">
        <v>25774</v>
      </c>
      <c r="D436" s="81" t="s">
        <v>24344</v>
      </c>
      <c r="E436" s="81" t="s">
        <v>10195</v>
      </c>
      <c r="F436" s="83" t="s">
        <v>16508</v>
      </c>
      <c r="G436" s="85" t="s">
        <v>24420</v>
      </c>
      <c r="H436" s="84" t="b">
        <v>1</v>
      </c>
      <c r="I436" s="85">
        <v>1.0</v>
      </c>
      <c r="J436" s="90" t="s">
        <v>16504</v>
      </c>
      <c r="K436" s="85" t="s">
        <v>25775</v>
      </c>
      <c r="L436" s="86">
        <v>97430.0</v>
      </c>
      <c r="M436" s="81" t="s">
        <v>71</v>
      </c>
      <c r="N436" s="81"/>
      <c r="O436" s="83" t="s">
        <v>261</v>
      </c>
      <c r="P436" s="81"/>
      <c r="Q436" s="46" t="s">
        <v>25776</v>
      </c>
      <c r="R436" s="92">
        <v>26910.0</v>
      </c>
      <c r="S436" s="87"/>
      <c r="T436" s="81"/>
      <c r="U436" s="81"/>
      <c r="V436" s="81"/>
      <c r="W436" s="81"/>
      <c r="X436" s="81"/>
      <c r="Y436" s="81"/>
      <c r="Z436" s="81"/>
    </row>
    <row r="437" ht="15.75" customHeight="1">
      <c r="A437" s="81" t="s">
        <v>20451</v>
      </c>
      <c r="B437" s="81" t="s">
        <v>25777</v>
      </c>
      <c r="C437" s="81" t="s">
        <v>25778</v>
      </c>
      <c r="D437" s="85" t="s">
        <v>24334</v>
      </c>
      <c r="E437" s="81" t="s">
        <v>7429</v>
      </c>
      <c r="F437" s="83" t="s">
        <v>20450</v>
      </c>
      <c r="G437" s="81"/>
      <c r="H437" s="84" t="b">
        <v>1</v>
      </c>
      <c r="I437" s="81"/>
      <c r="J437" s="81"/>
      <c r="K437" s="81" t="s">
        <v>3556</v>
      </c>
      <c r="L437" s="86">
        <v>97480.0</v>
      </c>
      <c r="M437" s="81" t="s">
        <v>123</v>
      </c>
      <c r="N437" s="81"/>
      <c r="O437" s="83" t="s">
        <v>7425</v>
      </c>
      <c r="P437" s="81"/>
      <c r="Q437" s="75" t="s">
        <v>25779</v>
      </c>
      <c r="R437" s="81"/>
      <c r="S437" s="87"/>
      <c r="T437" s="81"/>
      <c r="U437" s="81"/>
      <c r="V437" s="81"/>
      <c r="W437" s="81"/>
      <c r="X437" s="81"/>
      <c r="Y437" s="81"/>
      <c r="Z437" s="81"/>
    </row>
    <row r="438" ht="15.75" customHeight="1">
      <c r="A438" s="81" t="s">
        <v>14317</v>
      </c>
      <c r="B438" s="81" t="s">
        <v>25780</v>
      </c>
      <c r="C438" s="81" t="s">
        <v>149</v>
      </c>
      <c r="D438" s="81" t="s">
        <v>24344</v>
      </c>
      <c r="E438" s="81" t="s">
        <v>7031</v>
      </c>
      <c r="F438" s="91" t="s">
        <v>14309</v>
      </c>
      <c r="G438" s="85" t="s">
        <v>24390</v>
      </c>
      <c r="H438" s="84" t="b">
        <v>1</v>
      </c>
      <c r="I438" s="85">
        <v>3.0</v>
      </c>
      <c r="J438" s="86">
        <v>4.0</v>
      </c>
      <c r="K438" s="81" t="s">
        <v>14307</v>
      </c>
      <c r="L438" s="86">
        <v>97480.0</v>
      </c>
      <c r="M438" s="81" t="s">
        <v>123</v>
      </c>
      <c r="N438" s="81" t="s">
        <v>3556</v>
      </c>
      <c r="O438" s="94" t="s">
        <v>25781</v>
      </c>
      <c r="P438" s="81"/>
      <c r="Q438" s="46" t="s">
        <v>25782</v>
      </c>
      <c r="R438" s="81"/>
      <c r="S438" s="87"/>
      <c r="T438" s="81"/>
      <c r="U438" s="81"/>
      <c r="V438" s="81"/>
      <c r="W438" s="81"/>
      <c r="X438" s="81"/>
      <c r="Y438" s="81"/>
      <c r="Z438" s="81"/>
    </row>
    <row r="439" ht="15.75" customHeight="1">
      <c r="A439" s="81" t="s">
        <v>12948</v>
      </c>
      <c r="B439" s="81" t="s">
        <v>25777</v>
      </c>
      <c r="C439" s="81" t="s">
        <v>24761</v>
      </c>
      <c r="D439" s="81" t="s">
        <v>24344</v>
      </c>
      <c r="E439" s="81" t="s">
        <v>5552</v>
      </c>
      <c r="F439" s="91" t="s">
        <v>25783</v>
      </c>
      <c r="G439" s="81"/>
      <c r="H439" s="84" t="b">
        <v>1</v>
      </c>
      <c r="I439" s="85">
        <v>1.0</v>
      </c>
      <c r="J439" s="86">
        <v>108.0</v>
      </c>
      <c r="K439" s="81" t="s">
        <v>24368</v>
      </c>
      <c r="L439" s="86">
        <v>97480.0</v>
      </c>
      <c r="M439" s="81" t="s">
        <v>123</v>
      </c>
      <c r="N439" s="81" t="s">
        <v>206</v>
      </c>
      <c r="O439" s="83" t="s">
        <v>5545</v>
      </c>
      <c r="P439" s="81"/>
      <c r="Q439" s="46" t="s">
        <v>25784</v>
      </c>
      <c r="R439" s="81"/>
      <c r="S439" s="87"/>
      <c r="T439" s="81"/>
      <c r="U439" s="81"/>
      <c r="V439" s="81"/>
      <c r="W439" s="81"/>
      <c r="X439" s="81"/>
      <c r="Y439" s="81"/>
      <c r="Z439" s="81"/>
    </row>
    <row r="440" ht="15.75" customHeight="1">
      <c r="A440" s="81" t="s">
        <v>19725</v>
      </c>
      <c r="B440" s="81" t="s">
        <v>25785</v>
      </c>
      <c r="C440" s="81" t="s">
        <v>24610</v>
      </c>
      <c r="D440" s="81" t="s">
        <v>24344</v>
      </c>
      <c r="E440" s="81" t="s">
        <v>1311</v>
      </c>
      <c r="F440" s="83" t="s">
        <v>19723</v>
      </c>
      <c r="G440" s="81"/>
      <c r="H440" s="84" t="b">
        <v>1</v>
      </c>
      <c r="I440" s="85">
        <v>1.0</v>
      </c>
      <c r="J440" s="86">
        <v>61.0</v>
      </c>
      <c r="K440" s="81" t="s">
        <v>14666</v>
      </c>
      <c r="L440" s="86">
        <v>97414.0</v>
      </c>
      <c r="M440" s="81" t="s">
        <v>40</v>
      </c>
      <c r="N440" s="81"/>
      <c r="O440" s="83" t="s">
        <v>1307</v>
      </c>
      <c r="P440" s="81"/>
      <c r="Q440" s="46" t="s">
        <v>25786</v>
      </c>
      <c r="R440" s="81"/>
      <c r="S440" s="87"/>
      <c r="T440" s="81"/>
      <c r="U440" s="81"/>
      <c r="V440" s="81"/>
      <c r="W440" s="81"/>
      <c r="X440" s="81"/>
      <c r="Y440" s="81"/>
      <c r="Z440" s="81"/>
    </row>
    <row r="441" ht="15.75" customHeight="1">
      <c r="A441" s="81" t="s">
        <v>20443</v>
      </c>
      <c r="B441" s="81" t="s">
        <v>25787</v>
      </c>
      <c r="C441" s="81" t="s">
        <v>25788</v>
      </c>
      <c r="D441" s="81" t="s">
        <v>24344</v>
      </c>
      <c r="E441" s="81" t="s">
        <v>8065</v>
      </c>
      <c r="F441" s="83" t="s">
        <v>25789</v>
      </c>
      <c r="G441" s="81"/>
      <c r="H441" s="84" t="b">
        <v>1</v>
      </c>
      <c r="I441" s="85">
        <v>1.0</v>
      </c>
      <c r="J441" s="86">
        <v>170.0</v>
      </c>
      <c r="K441" s="81" t="s">
        <v>25790</v>
      </c>
      <c r="L441" s="86">
        <v>97418.0</v>
      </c>
      <c r="M441" s="81" t="s">
        <v>216</v>
      </c>
      <c r="N441" s="81"/>
      <c r="O441" s="83" t="s">
        <v>8060</v>
      </c>
      <c r="P441" s="81"/>
      <c r="Q441" s="46" t="s">
        <v>25791</v>
      </c>
      <c r="R441" s="81"/>
      <c r="S441" s="87"/>
      <c r="T441" s="81"/>
      <c r="U441" s="81"/>
      <c r="V441" s="81"/>
      <c r="W441" s="81"/>
      <c r="X441" s="81"/>
      <c r="Y441" s="81"/>
      <c r="Z441" s="81"/>
    </row>
    <row r="442" ht="15.75" customHeight="1">
      <c r="A442" s="81" t="s">
        <v>21024</v>
      </c>
      <c r="B442" s="81" t="s">
        <v>25792</v>
      </c>
      <c r="C442" s="81" t="s">
        <v>25264</v>
      </c>
      <c r="D442" s="81" t="s">
        <v>24344</v>
      </c>
      <c r="E442" s="85" t="s">
        <v>8117</v>
      </c>
      <c r="F442" s="91" t="s">
        <v>16722</v>
      </c>
      <c r="G442" s="85" t="s">
        <v>24420</v>
      </c>
      <c r="H442" s="84" t="b">
        <v>1</v>
      </c>
      <c r="I442" s="85">
        <v>1.0</v>
      </c>
      <c r="J442" s="86">
        <v>66.0</v>
      </c>
      <c r="K442" s="81" t="s">
        <v>16719</v>
      </c>
      <c r="L442" s="86">
        <v>97414.0</v>
      </c>
      <c r="M442" s="81" t="s">
        <v>40</v>
      </c>
      <c r="N442" s="81"/>
      <c r="O442" s="83" t="s">
        <v>25793</v>
      </c>
      <c r="P442" s="81"/>
      <c r="Q442" s="46" t="s">
        <v>25794</v>
      </c>
      <c r="R442" s="81"/>
      <c r="S442" s="87"/>
      <c r="T442" s="81"/>
      <c r="U442" s="81"/>
      <c r="V442" s="81"/>
      <c r="W442" s="81"/>
      <c r="X442" s="81"/>
      <c r="Y442" s="81"/>
      <c r="Z442" s="81"/>
    </row>
    <row r="443" ht="15.75" customHeight="1">
      <c r="A443" s="81" t="s">
        <v>13241</v>
      </c>
      <c r="B443" s="85" t="s">
        <v>25695</v>
      </c>
      <c r="C443" s="85" t="s">
        <v>24543</v>
      </c>
      <c r="D443" s="85" t="s">
        <v>24344</v>
      </c>
      <c r="E443" s="81" t="s">
        <v>13236</v>
      </c>
      <c r="F443" s="91" t="s">
        <v>13237</v>
      </c>
      <c r="G443" s="81"/>
      <c r="H443" s="88" t="b">
        <v>1</v>
      </c>
      <c r="I443" s="85">
        <v>1.0</v>
      </c>
      <c r="J443" s="86">
        <v>110.0</v>
      </c>
      <c r="K443" s="85" t="s">
        <v>13235</v>
      </c>
      <c r="L443" s="86">
        <v>97430.0</v>
      </c>
      <c r="M443" s="81" t="s">
        <v>71</v>
      </c>
      <c r="N443" s="81"/>
      <c r="O443" s="83" t="s">
        <v>862</v>
      </c>
      <c r="P443" s="81"/>
      <c r="Q443" s="46" t="s">
        <v>25795</v>
      </c>
      <c r="R443" s="81"/>
      <c r="S443" s="87"/>
      <c r="T443" s="81"/>
      <c r="U443" s="81"/>
      <c r="V443" s="81"/>
      <c r="W443" s="81"/>
      <c r="X443" s="81"/>
      <c r="Y443" s="81"/>
      <c r="Z443" s="81"/>
    </row>
    <row r="444" ht="15.75" customHeight="1">
      <c r="A444" s="81" t="s">
        <v>13900</v>
      </c>
      <c r="B444" s="81" t="s">
        <v>25796</v>
      </c>
      <c r="C444" s="81" t="s">
        <v>25797</v>
      </c>
      <c r="D444" s="85" t="s">
        <v>24334</v>
      </c>
      <c r="E444" s="81" t="s">
        <v>10202</v>
      </c>
      <c r="F444" s="83" t="s">
        <v>13896</v>
      </c>
      <c r="G444" s="85" t="s">
        <v>24335</v>
      </c>
      <c r="H444" s="84" t="b">
        <v>1</v>
      </c>
      <c r="I444" s="85">
        <v>1.0</v>
      </c>
      <c r="J444" s="86">
        <v>143.0</v>
      </c>
      <c r="K444" s="85" t="s">
        <v>13895</v>
      </c>
      <c r="L444" s="86">
        <v>97430.0</v>
      </c>
      <c r="M444" s="81" t="s">
        <v>71</v>
      </c>
      <c r="N444" s="81"/>
      <c r="O444" s="83" t="s">
        <v>10199</v>
      </c>
      <c r="P444" s="81"/>
      <c r="Q444" s="75" t="s">
        <v>25798</v>
      </c>
      <c r="R444" s="92">
        <v>26158.0</v>
      </c>
      <c r="S444" s="93" t="s">
        <v>24460</v>
      </c>
      <c r="T444" s="81"/>
      <c r="U444" s="81"/>
      <c r="V444" s="81"/>
      <c r="W444" s="81"/>
      <c r="X444" s="81"/>
      <c r="Y444" s="81"/>
      <c r="Z444" s="81"/>
    </row>
    <row r="445" ht="15.75" customHeight="1">
      <c r="A445" s="81" t="s">
        <v>20686</v>
      </c>
      <c r="B445" s="81" t="s">
        <v>25799</v>
      </c>
      <c r="C445" s="81" t="s">
        <v>25800</v>
      </c>
      <c r="D445" s="85" t="s">
        <v>24334</v>
      </c>
      <c r="E445" s="81" t="s">
        <v>6134</v>
      </c>
      <c r="F445" s="83" t="s">
        <v>20682</v>
      </c>
      <c r="G445" s="81"/>
      <c r="H445" s="84" t="b">
        <v>1</v>
      </c>
      <c r="I445" s="81"/>
      <c r="J445" s="86">
        <v>30.0</v>
      </c>
      <c r="K445" s="81" t="s">
        <v>25801</v>
      </c>
      <c r="L445" s="86">
        <v>97414.0</v>
      </c>
      <c r="M445" s="81" t="s">
        <v>40</v>
      </c>
      <c r="N445" s="81"/>
      <c r="O445" s="83" t="s">
        <v>6130</v>
      </c>
      <c r="P445" s="81"/>
      <c r="Q445" s="75" t="s">
        <v>25802</v>
      </c>
      <c r="R445" s="81"/>
      <c r="S445" s="87"/>
      <c r="T445" s="81"/>
      <c r="U445" s="81"/>
      <c r="V445" s="81"/>
      <c r="W445" s="81"/>
      <c r="X445" s="81"/>
      <c r="Y445" s="81"/>
      <c r="Z445" s="81"/>
    </row>
    <row r="446" ht="15.75" customHeight="1">
      <c r="A446" s="81" t="s">
        <v>16616</v>
      </c>
      <c r="B446" s="81" t="s">
        <v>25803</v>
      </c>
      <c r="C446" s="81" t="s">
        <v>24502</v>
      </c>
      <c r="D446" s="85" t="s">
        <v>24334</v>
      </c>
      <c r="E446" s="81" t="s">
        <v>3401</v>
      </c>
      <c r="F446" s="83" t="s">
        <v>16614</v>
      </c>
      <c r="G446" s="81"/>
      <c r="H446" s="84" t="b">
        <v>0</v>
      </c>
      <c r="I446" s="85">
        <v>0.0</v>
      </c>
      <c r="J446" s="81"/>
      <c r="K446" s="81" t="s">
        <v>16613</v>
      </c>
      <c r="L446" s="86">
        <v>97418.0</v>
      </c>
      <c r="M446" s="81" t="s">
        <v>216</v>
      </c>
      <c r="N446" s="81"/>
      <c r="O446" s="83" t="s">
        <v>4364</v>
      </c>
      <c r="P446" s="81"/>
      <c r="Q446" s="75" t="s">
        <v>25804</v>
      </c>
      <c r="R446" s="81"/>
      <c r="S446" s="87"/>
      <c r="T446" s="81"/>
      <c r="U446" s="81"/>
      <c r="V446" s="81"/>
      <c r="W446" s="81"/>
      <c r="X446" s="81"/>
      <c r="Y446" s="81"/>
      <c r="Z446" s="81"/>
    </row>
    <row r="447" ht="15.75" customHeight="1">
      <c r="A447" s="81" t="s">
        <v>16932</v>
      </c>
      <c r="B447" s="81" t="s">
        <v>150</v>
      </c>
      <c r="C447" s="81" t="s">
        <v>25334</v>
      </c>
      <c r="D447" s="81" t="s">
        <v>24344</v>
      </c>
      <c r="E447" s="81" t="s">
        <v>5464</v>
      </c>
      <c r="F447" s="83" t="s">
        <v>16926</v>
      </c>
      <c r="G447" s="81"/>
      <c r="H447" s="84" t="b">
        <v>1</v>
      </c>
      <c r="I447" s="85">
        <v>1.0</v>
      </c>
      <c r="J447" s="86">
        <v>14.0</v>
      </c>
      <c r="K447" s="81" t="s">
        <v>14889</v>
      </c>
      <c r="L447" s="86">
        <v>97480.0</v>
      </c>
      <c r="M447" s="81" t="s">
        <v>123</v>
      </c>
      <c r="N447" s="81"/>
      <c r="O447" s="83" t="s">
        <v>5461</v>
      </c>
      <c r="P447" s="85" t="s">
        <v>25805</v>
      </c>
      <c r="Q447" s="46" t="s">
        <v>25806</v>
      </c>
      <c r="R447" s="81"/>
      <c r="S447" s="87"/>
      <c r="T447" s="81"/>
      <c r="U447" s="81"/>
      <c r="V447" s="81"/>
      <c r="W447" s="81"/>
      <c r="X447" s="81"/>
      <c r="Y447" s="81"/>
      <c r="Z447" s="81"/>
    </row>
    <row r="448" ht="15.75" customHeight="1">
      <c r="A448" s="81" t="s">
        <v>12782</v>
      </c>
      <c r="B448" s="81" t="s">
        <v>25807</v>
      </c>
      <c r="C448" s="81" t="s">
        <v>25808</v>
      </c>
      <c r="D448" s="85" t="s">
        <v>24334</v>
      </c>
      <c r="E448" s="81" t="s">
        <v>8981</v>
      </c>
      <c r="F448" s="83" t="s">
        <v>12781</v>
      </c>
      <c r="G448" s="81"/>
      <c r="H448" s="84" t="b">
        <v>1</v>
      </c>
      <c r="I448" s="81"/>
      <c r="J448" s="86">
        <v>4.0</v>
      </c>
      <c r="K448" s="81" t="s">
        <v>21975</v>
      </c>
      <c r="L448" s="86">
        <v>97414.0</v>
      </c>
      <c r="M448" s="81" t="s">
        <v>40</v>
      </c>
      <c r="N448" s="81"/>
      <c r="O448" s="83" t="s">
        <v>8977</v>
      </c>
      <c r="P448" s="81"/>
      <c r="Q448" s="75" t="s">
        <v>25809</v>
      </c>
      <c r="R448" s="81"/>
      <c r="S448" s="87"/>
      <c r="T448" s="81"/>
      <c r="U448" s="81"/>
      <c r="V448" s="81"/>
      <c r="W448" s="81"/>
      <c r="X448" s="81"/>
      <c r="Y448" s="81"/>
      <c r="Z448" s="81"/>
    </row>
    <row r="449" ht="15.75" customHeight="1">
      <c r="A449" s="81" t="s">
        <v>21702</v>
      </c>
      <c r="B449" s="81" t="s">
        <v>25807</v>
      </c>
      <c r="C449" s="81" t="s">
        <v>24645</v>
      </c>
      <c r="D449" s="81" t="s">
        <v>24344</v>
      </c>
      <c r="E449" s="81" t="s">
        <v>9471</v>
      </c>
      <c r="F449" s="83" t="s">
        <v>21700</v>
      </c>
      <c r="G449" s="81"/>
      <c r="H449" s="84" t="b">
        <v>1</v>
      </c>
      <c r="I449" s="81"/>
      <c r="J449" s="86">
        <v>72.0</v>
      </c>
      <c r="K449" s="81" t="s">
        <v>25810</v>
      </c>
      <c r="L449" s="86">
        <v>97480.0</v>
      </c>
      <c r="M449" s="81" t="s">
        <v>123</v>
      </c>
      <c r="N449" s="81"/>
      <c r="O449" s="83" t="s">
        <v>9464</v>
      </c>
      <c r="P449" s="81"/>
      <c r="Q449" s="75" t="s">
        <v>25811</v>
      </c>
      <c r="R449" s="81"/>
      <c r="S449" s="87"/>
      <c r="T449" s="81"/>
      <c r="U449" s="81"/>
      <c r="V449" s="81"/>
      <c r="W449" s="81"/>
      <c r="X449" s="81"/>
      <c r="Y449" s="81"/>
      <c r="Z449" s="81"/>
    </row>
    <row r="450" ht="15.75" customHeight="1">
      <c r="A450" s="81" t="s">
        <v>16803</v>
      </c>
      <c r="B450" s="81" t="s">
        <v>25807</v>
      </c>
      <c r="C450" s="81" t="s">
        <v>25812</v>
      </c>
      <c r="D450" s="81" t="s">
        <v>24344</v>
      </c>
      <c r="E450" s="81" t="s">
        <v>1726</v>
      </c>
      <c r="F450" s="83" t="s">
        <v>25813</v>
      </c>
      <c r="G450" s="81"/>
      <c r="H450" s="84" t="b">
        <v>1</v>
      </c>
      <c r="I450" s="85">
        <v>1.0</v>
      </c>
      <c r="J450" s="81"/>
      <c r="K450" s="81" t="s">
        <v>16799</v>
      </c>
      <c r="L450" s="86">
        <v>97418.0</v>
      </c>
      <c r="M450" s="81" t="s">
        <v>216</v>
      </c>
      <c r="N450" s="81"/>
      <c r="O450" s="83" t="s">
        <v>1722</v>
      </c>
      <c r="P450" s="81"/>
      <c r="Q450" s="46" t="s">
        <v>25814</v>
      </c>
      <c r="R450" s="81"/>
      <c r="S450" s="87"/>
      <c r="T450" s="81"/>
      <c r="U450" s="81"/>
      <c r="V450" s="81"/>
      <c r="W450" s="81"/>
      <c r="X450" s="81"/>
      <c r="Y450" s="81"/>
      <c r="Z450" s="81"/>
    </row>
    <row r="451" ht="15.75" customHeight="1">
      <c r="A451" s="81" t="s">
        <v>18241</v>
      </c>
      <c r="B451" s="81" t="s">
        <v>25815</v>
      </c>
      <c r="C451" s="81" t="s">
        <v>24534</v>
      </c>
      <c r="D451" s="85" t="s">
        <v>24344</v>
      </c>
      <c r="E451" s="81" t="s">
        <v>746</v>
      </c>
      <c r="F451" s="83" t="s">
        <v>18238</v>
      </c>
      <c r="G451" s="81"/>
      <c r="H451" s="84" t="b">
        <v>1</v>
      </c>
      <c r="I451" s="85">
        <v>1.0</v>
      </c>
      <c r="J451" s="86">
        <v>99.0</v>
      </c>
      <c r="K451" s="81" t="s">
        <v>25816</v>
      </c>
      <c r="L451" s="86">
        <v>97414.0</v>
      </c>
      <c r="M451" s="81" t="s">
        <v>40</v>
      </c>
      <c r="N451" s="81"/>
      <c r="O451" s="83" t="s">
        <v>741</v>
      </c>
      <c r="P451" s="81"/>
      <c r="Q451" s="46" t="s">
        <v>25817</v>
      </c>
      <c r="R451" s="81"/>
      <c r="S451" s="87"/>
      <c r="T451" s="81"/>
      <c r="U451" s="81"/>
      <c r="V451" s="81"/>
      <c r="W451" s="81"/>
      <c r="X451" s="81"/>
      <c r="Y451" s="81"/>
      <c r="Z451" s="81"/>
    </row>
    <row r="452" ht="15.75" customHeight="1">
      <c r="A452" s="81" t="s">
        <v>19201</v>
      </c>
      <c r="B452" s="81" t="s">
        <v>25807</v>
      </c>
      <c r="C452" s="81" t="s">
        <v>24539</v>
      </c>
      <c r="D452" s="81" t="s">
        <v>24344</v>
      </c>
      <c r="E452" s="81" t="s">
        <v>9580</v>
      </c>
      <c r="F452" s="83" t="s">
        <v>19195</v>
      </c>
      <c r="G452" s="81"/>
      <c r="H452" s="84" t="b">
        <v>1</v>
      </c>
      <c r="I452" s="85">
        <v>1.0</v>
      </c>
      <c r="J452" s="81"/>
      <c r="K452" s="81" t="s">
        <v>20289</v>
      </c>
      <c r="L452" s="86">
        <v>97480.0</v>
      </c>
      <c r="M452" s="81" t="s">
        <v>123</v>
      </c>
      <c r="N452" s="81"/>
      <c r="O452" s="83" t="s">
        <v>9577</v>
      </c>
      <c r="P452" s="81"/>
      <c r="Q452" s="46" t="s">
        <v>25818</v>
      </c>
      <c r="R452" s="81"/>
      <c r="S452" s="87"/>
      <c r="T452" s="81"/>
      <c r="U452" s="81"/>
      <c r="V452" s="81"/>
      <c r="W452" s="81"/>
      <c r="X452" s="81"/>
      <c r="Y452" s="81"/>
      <c r="Z452" s="81"/>
    </row>
    <row r="453" ht="15.75" customHeight="1">
      <c r="A453" s="81" t="s">
        <v>13311</v>
      </c>
      <c r="B453" s="81" t="s">
        <v>25807</v>
      </c>
      <c r="C453" s="81" t="s">
        <v>25819</v>
      </c>
      <c r="D453" s="81" t="s">
        <v>24344</v>
      </c>
      <c r="E453" s="85" t="s">
        <v>25820</v>
      </c>
      <c r="F453" s="91" t="s">
        <v>13305</v>
      </c>
      <c r="G453" s="85" t="s">
        <v>24420</v>
      </c>
      <c r="H453" s="88" t="b">
        <v>1</v>
      </c>
      <c r="I453" s="85">
        <v>1.0</v>
      </c>
      <c r="J453" s="85" t="s">
        <v>13199</v>
      </c>
      <c r="K453" s="85" t="s">
        <v>25821</v>
      </c>
      <c r="L453" s="86">
        <v>97414.0</v>
      </c>
      <c r="M453" s="81" t="s">
        <v>40</v>
      </c>
      <c r="N453" s="81"/>
      <c r="O453" s="83" t="s">
        <v>6554</v>
      </c>
      <c r="P453" s="81"/>
      <c r="Q453" s="46" t="s">
        <v>25822</v>
      </c>
      <c r="R453" s="81"/>
      <c r="S453" s="93" t="s">
        <v>24348</v>
      </c>
      <c r="T453" s="81"/>
      <c r="U453" s="81"/>
      <c r="V453" s="81"/>
      <c r="W453" s="81"/>
      <c r="X453" s="81"/>
      <c r="Y453" s="81"/>
      <c r="Z453" s="81"/>
    </row>
    <row r="454" ht="15.75" customHeight="1">
      <c r="A454" s="81" t="s">
        <v>17321</v>
      </c>
      <c r="B454" s="81" t="s">
        <v>25807</v>
      </c>
      <c r="C454" s="81" t="s">
        <v>25823</v>
      </c>
      <c r="D454" s="81" t="s">
        <v>24344</v>
      </c>
      <c r="E454" s="81" t="s">
        <v>17314</v>
      </c>
      <c r="F454" s="83" t="s">
        <v>17315</v>
      </c>
      <c r="G454" s="81"/>
      <c r="H454" s="88" t="b">
        <v>1</v>
      </c>
      <c r="I454" s="81"/>
      <c r="J454" s="86">
        <v>11.0</v>
      </c>
      <c r="K454" s="81" t="s">
        <v>24516</v>
      </c>
      <c r="L454" s="86">
        <v>97418.0</v>
      </c>
      <c r="M454" s="81" t="s">
        <v>216</v>
      </c>
      <c r="N454" s="81"/>
      <c r="O454" s="83" t="s">
        <v>25824</v>
      </c>
      <c r="P454" s="81"/>
      <c r="Q454" s="75" t="s">
        <v>25825</v>
      </c>
      <c r="R454" s="81"/>
      <c r="S454" s="87"/>
      <c r="T454" s="81"/>
      <c r="U454" s="81"/>
      <c r="V454" s="81"/>
      <c r="W454" s="81"/>
      <c r="X454" s="81"/>
      <c r="Y454" s="81"/>
      <c r="Z454" s="81"/>
    </row>
    <row r="455" ht="15.75" customHeight="1">
      <c r="A455" s="81" t="s">
        <v>20580</v>
      </c>
      <c r="B455" s="81" t="s">
        <v>25826</v>
      </c>
      <c r="C455" s="81" t="s">
        <v>25194</v>
      </c>
      <c r="D455" s="81" t="s">
        <v>24344</v>
      </c>
      <c r="E455" s="81" t="s">
        <v>7841</v>
      </c>
      <c r="F455" s="83" t="s">
        <v>20577</v>
      </c>
      <c r="G455" s="81"/>
      <c r="H455" s="84" t="b">
        <v>1</v>
      </c>
      <c r="I455" s="81"/>
      <c r="J455" s="86">
        <v>146.0</v>
      </c>
      <c r="K455" s="81" t="s">
        <v>14252</v>
      </c>
      <c r="L455" s="86">
        <v>97414.0</v>
      </c>
      <c r="M455" s="81" t="s">
        <v>40</v>
      </c>
      <c r="N455" s="81"/>
      <c r="O455" s="83" t="s">
        <v>7838</v>
      </c>
      <c r="P455" s="81"/>
      <c r="Q455" s="75" t="s">
        <v>25827</v>
      </c>
      <c r="R455" s="81"/>
      <c r="S455" s="87"/>
      <c r="T455" s="81"/>
      <c r="U455" s="81"/>
      <c r="V455" s="81"/>
      <c r="W455" s="81"/>
      <c r="X455" s="81"/>
      <c r="Y455" s="81"/>
      <c r="Z455" s="81"/>
    </row>
    <row r="456" ht="15.75" customHeight="1">
      <c r="A456" s="81" t="s">
        <v>17739</v>
      </c>
      <c r="B456" s="85" t="s">
        <v>25828</v>
      </c>
      <c r="C456" s="85" t="s">
        <v>25829</v>
      </c>
      <c r="D456" s="85" t="s">
        <v>24334</v>
      </c>
      <c r="E456" s="81" t="s">
        <v>2571</v>
      </c>
      <c r="F456" s="83" t="s">
        <v>25830</v>
      </c>
      <c r="G456" s="85" t="s">
        <v>24420</v>
      </c>
      <c r="H456" s="84" t="b">
        <v>1</v>
      </c>
      <c r="I456" s="85">
        <v>1.0</v>
      </c>
      <c r="J456" s="86">
        <v>9.0</v>
      </c>
      <c r="K456" s="81" t="s">
        <v>15839</v>
      </c>
      <c r="L456" s="86">
        <v>97442.0</v>
      </c>
      <c r="M456" s="81" t="s">
        <v>33</v>
      </c>
      <c r="N456" s="81"/>
      <c r="O456" s="83" t="s">
        <v>2568</v>
      </c>
      <c r="P456" s="85" t="s">
        <v>25831</v>
      </c>
      <c r="Q456" s="46" t="s">
        <v>25832</v>
      </c>
      <c r="R456" s="92">
        <v>20059.0</v>
      </c>
      <c r="S456" s="93" t="s">
        <v>24348</v>
      </c>
      <c r="T456" s="81"/>
      <c r="U456" s="81"/>
      <c r="V456" s="81"/>
      <c r="W456" s="81"/>
      <c r="X456" s="81"/>
      <c r="Y456" s="81"/>
      <c r="Z456" s="81"/>
    </row>
    <row r="457" ht="15.75" customHeight="1">
      <c r="A457" s="81" t="s">
        <v>19371</v>
      </c>
      <c r="B457" s="81" t="s">
        <v>25833</v>
      </c>
      <c r="C457" s="81" t="s">
        <v>25033</v>
      </c>
      <c r="D457" s="81" t="s">
        <v>24344</v>
      </c>
      <c r="E457" s="85" t="s">
        <v>22608</v>
      </c>
      <c r="F457" s="83" t="s">
        <v>19368</v>
      </c>
      <c r="G457" s="85" t="s">
        <v>24335</v>
      </c>
      <c r="H457" s="84" t="b">
        <v>1</v>
      </c>
      <c r="I457" s="85">
        <v>1.0</v>
      </c>
      <c r="J457" s="89" t="s">
        <v>19261</v>
      </c>
      <c r="K457" s="85" t="s">
        <v>25834</v>
      </c>
      <c r="L457" s="97">
        <v>97432.0</v>
      </c>
      <c r="M457" s="85" t="s">
        <v>25835</v>
      </c>
      <c r="N457" s="81"/>
      <c r="O457" s="94" t="s">
        <v>25836</v>
      </c>
      <c r="P457" s="81"/>
      <c r="Q457" s="46" t="s">
        <v>25837</v>
      </c>
      <c r="R457" s="81"/>
      <c r="S457" s="93" t="s">
        <v>24460</v>
      </c>
      <c r="T457" s="81"/>
      <c r="U457" s="81"/>
      <c r="V457" s="81"/>
      <c r="W457" s="81"/>
      <c r="X457" s="81"/>
      <c r="Y457" s="81"/>
      <c r="Z457" s="81"/>
    </row>
    <row r="458" ht="15.75" customHeight="1">
      <c r="A458" s="81" t="s">
        <v>13669</v>
      </c>
      <c r="B458" s="81" t="s">
        <v>25838</v>
      </c>
      <c r="C458" s="81" t="s">
        <v>25839</v>
      </c>
      <c r="D458" s="81" t="s">
        <v>24344</v>
      </c>
      <c r="E458" s="81" t="s">
        <v>1884</v>
      </c>
      <c r="F458" s="83" t="s">
        <v>13666</v>
      </c>
      <c r="G458" s="81"/>
      <c r="H458" s="84" t="b">
        <v>1</v>
      </c>
      <c r="I458" s="85">
        <v>1.0</v>
      </c>
      <c r="J458" s="86">
        <v>30.0</v>
      </c>
      <c r="K458" s="81" t="s">
        <v>25840</v>
      </c>
      <c r="L458" s="86">
        <v>97430.0</v>
      </c>
      <c r="M458" s="81" t="s">
        <v>71</v>
      </c>
      <c r="N458" s="81"/>
      <c r="O458" s="94" t="s">
        <v>25841</v>
      </c>
      <c r="P458" s="81"/>
      <c r="Q458" s="46" t="s">
        <v>25842</v>
      </c>
      <c r="R458" s="81"/>
      <c r="S458" s="87"/>
      <c r="T458" s="81"/>
      <c r="U458" s="81"/>
      <c r="V458" s="81"/>
      <c r="W458" s="81"/>
      <c r="X458" s="81"/>
      <c r="Y458" s="81"/>
      <c r="Z458" s="81"/>
    </row>
    <row r="459" ht="15.75" customHeight="1">
      <c r="A459" s="81" t="s">
        <v>20512</v>
      </c>
      <c r="B459" s="81" t="s">
        <v>25833</v>
      </c>
      <c r="C459" s="81" t="s">
        <v>25716</v>
      </c>
      <c r="D459" s="85" t="s">
        <v>24334</v>
      </c>
      <c r="E459" s="81" t="s">
        <v>20509</v>
      </c>
      <c r="F459" s="83" t="s">
        <v>20510</v>
      </c>
      <c r="G459" s="85" t="s">
        <v>24420</v>
      </c>
      <c r="H459" s="88" t="b">
        <v>1</v>
      </c>
      <c r="I459" s="81"/>
      <c r="J459" s="90" t="s">
        <v>20507</v>
      </c>
      <c r="K459" s="81" t="s">
        <v>20508</v>
      </c>
      <c r="L459" s="86">
        <v>97418.0</v>
      </c>
      <c r="M459" s="81" t="s">
        <v>216</v>
      </c>
      <c r="N459" s="81"/>
      <c r="O459" s="94" t="s">
        <v>25843</v>
      </c>
      <c r="P459" s="81"/>
      <c r="Q459" s="46" t="s">
        <v>25844</v>
      </c>
      <c r="R459" s="96">
        <v>26620.0</v>
      </c>
      <c r="S459" s="87"/>
      <c r="T459" s="81"/>
      <c r="U459" s="81"/>
      <c r="V459" s="81"/>
      <c r="W459" s="81"/>
      <c r="X459" s="81"/>
      <c r="Y459" s="81"/>
      <c r="Z459" s="81"/>
    </row>
    <row r="460" ht="15.75" customHeight="1">
      <c r="A460" s="81" t="s">
        <v>15425</v>
      </c>
      <c r="B460" s="81" t="s">
        <v>25833</v>
      </c>
      <c r="C460" s="81" t="s">
        <v>24690</v>
      </c>
      <c r="D460" s="85" t="s">
        <v>24334</v>
      </c>
      <c r="E460" s="85" t="s">
        <v>15421</v>
      </c>
      <c r="F460" s="91" t="s">
        <v>25845</v>
      </c>
      <c r="G460" s="85" t="s">
        <v>24335</v>
      </c>
      <c r="H460" s="84" t="b">
        <v>1</v>
      </c>
      <c r="I460" s="85">
        <v>0.0</v>
      </c>
      <c r="J460" s="90" t="s">
        <v>15094</v>
      </c>
      <c r="K460" s="85" t="s">
        <v>25846</v>
      </c>
      <c r="L460" s="86">
        <v>97418.0</v>
      </c>
      <c r="M460" s="81" t="s">
        <v>216</v>
      </c>
      <c r="N460" s="81"/>
      <c r="O460" s="83" t="s">
        <v>25847</v>
      </c>
      <c r="P460" s="81"/>
      <c r="Q460" s="75" t="s">
        <v>25848</v>
      </c>
      <c r="R460" s="81"/>
      <c r="S460" s="87"/>
      <c r="T460" s="81"/>
      <c r="U460" s="81"/>
      <c r="V460" s="81"/>
      <c r="W460" s="81"/>
      <c r="X460" s="81"/>
      <c r="Y460" s="81"/>
      <c r="Z460" s="81"/>
    </row>
    <row r="461" ht="15.75" customHeight="1">
      <c r="A461" s="81" t="s">
        <v>13052</v>
      </c>
      <c r="B461" s="81" t="s">
        <v>25833</v>
      </c>
      <c r="C461" s="81" t="s">
        <v>25849</v>
      </c>
      <c r="D461" s="85" t="s">
        <v>24334</v>
      </c>
      <c r="E461" s="81" t="s">
        <v>10026</v>
      </c>
      <c r="F461" s="83" t="s">
        <v>13045</v>
      </c>
      <c r="G461" s="85" t="s">
        <v>24335</v>
      </c>
      <c r="H461" s="84" t="b">
        <v>1</v>
      </c>
      <c r="I461" s="81"/>
      <c r="J461" s="89" t="s">
        <v>16504</v>
      </c>
      <c r="K461" s="81" t="s">
        <v>19246</v>
      </c>
      <c r="L461" s="86">
        <v>97480.0</v>
      </c>
      <c r="M461" s="81" t="s">
        <v>123</v>
      </c>
      <c r="N461" s="81"/>
      <c r="O461" s="83" t="s">
        <v>25850</v>
      </c>
      <c r="P461" s="81"/>
      <c r="Q461" s="46" t="s">
        <v>25851</v>
      </c>
      <c r="R461" s="92">
        <v>23178.0</v>
      </c>
      <c r="S461" s="93" t="s">
        <v>24348</v>
      </c>
      <c r="T461" s="81"/>
      <c r="U461" s="81"/>
      <c r="V461" s="81"/>
      <c r="W461" s="81"/>
      <c r="X461" s="81"/>
      <c r="Y461" s="81"/>
      <c r="Z461" s="81"/>
    </row>
    <row r="462" ht="15.75" customHeight="1">
      <c r="A462" s="81" t="s">
        <v>19789</v>
      </c>
      <c r="B462" s="81" t="s">
        <v>25833</v>
      </c>
      <c r="C462" s="81" t="s">
        <v>24462</v>
      </c>
      <c r="D462" s="85" t="s">
        <v>24334</v>
      </c>
      <c r="E462" s="81" t="s">
        <v>19787</v>
      </c>
      <c r="F462" s="83" t="s">
        <v>19788</v>
      </c>
      <c r="G462" s="81"/>
      <c r="H462" s="88" t="b">
        <v>1</v>
      </c>
      <c r="I462" s="81"/>
      <c r="J462" s="86">
        <v>56.0</v>
      </c>
      <c r="K462" s="81" t="s">
        <v>17205</v>
      </c>
      <c r="L462" s="86">
        <v>97442.0</v>
      </c>
      <c r="M462" s="81" t="s">
        <v>33</v>
      </c>
      <c r="N462" s="81"/>
      <c r="O462" s="83" t="s">
        <v>5119</v>
      </c>
      <c r="P462" s="81"/>
      <c r="Q462" s="75" t="s">
        <v>25852</v>
      </c>
      <c r="R462" s="81"/>
      <c r="S462" s="87"/>
      <c r="T462" s="81"/>
      <c r="U462" s="81"/>
      <c r="V462" s="81"/>
      <c r="W462" s="81"/>
      <c r="X462" s="81"/>
      <c r="Y462" s="81"/>
      <c r="Z462" s="81"/>
    </row>
    <row r="463" ht="15.75" customHeight="1">
      <c r="A463" s="81" t="s">
        <v>13763</v>
      </c>
      <c r="B463" s="81" t="s">
        <v>25833</v>
      </c>
      <c r="C463" s="81" t="s">
        <v>25853</v>
      </c>
      <c r="D463" s="81" t="s">
        <v>24344</v>
      </c>
      <c r="E463" s="81" t="s">
        <v>13759</v>
      </c>
      <c r="F463" s="83" t="s">
        <v>13760</v>
      </c>
      <c r="G463" s="81"/>
      <c r="H463" s="88" t="b">
        <v>1</v>
      </c>
      <c r="I463" s="81"/>
      <c r="J463" s="81"/>
      <c r="K463" s="81" t="s">
        <v>8701</v>
      </c>
      <c r="L463" s="86">
        <v>97414.0</v>
      </c>
      <c r="M463" s="81" t="s">
        <v>40</v>
      </c>
      <c r="N463" s="81"/>
      <c r="O463" s="83" t="s">
        <v>9006</v>
      </c>
      <c r="P463" s="81"/>
      <c r="Q463" s="75" t="s">
        <v>25854</v>
      </c>
      <c r="R463" s="81"/>
      <c r="S463" s="87"/>
      <c r="T463" s="81"/>
      <c r="U463" s="81"/>
      <c r="V463" s="81"/>
      <c r="W463" s="81"/>
      <c r="X463" s="81"/>
      <c r="Y463" s="81"/>
      <c r="Z463" s="81"/>
    </row>
    <row r="464" ht="15.75" customHeight="1">
      <c r="A464" s="81" t="s">
        <v>18103</v>
      </c>
      <c r="B464" s="81" t="s">
        <v>25833</v>
      </c>
      <c r="C464" s="81" t="s">
        <v>25855</v>
      </c>
      <c r="D464" s="81" t="s">
        <v>24344</v>
      </c>
      <c r="E464" s="81" t="s">
        <v>680</v>
      </c>
      <c r="F464" s="83" t="s">
        <v>18102</v>
      </c>
      <c r="G464" s="81"/>
      <c r="H464" s="84" t="b">
        <v>0</v>
      </c>
      <c r="I464" s="85">
        <v>0.0</v>
      </c>
      <c r="J464" s="86">
        <v>37.0</v>
      </c>
      <c r="K464" s="81" t="s">
        <v>25856</v>
      </c>
      <c r="L464" s="86">
        <v>97480.0</v>
      </c>
      <c r="M464" s="81" t="s">
        <v>123</v>
      </c>
      <c r="N464" s="81"/>
      <c r="O464" s="83" t="s">
        <v>675</v>
      </c>
      <c r="P464" s="81"/>
      <c r="Q464" s="75" t="s">
        <v>25857</v>
      </c>
      <c r="R464" s="81"/>
      <c r="S464" s="87"/>
      <c r="T464" s="81"/>
      <c r="U464" s="81"/>
      <c r="V464" s="81"/>
      <c r="W464" s="81"/>
      <c r="X464" s="81"/>
      <c r="Y464" s="81"/>
      <c r="Z464" s="81"/>
    </row>
    <row r="465" ht="15.75" customHeight="1">
      <c r="A465" s="81" t="s">
        <v>20158</v>
      </c>
      <c r="B465" s="81" t="s">
        <v>25858</v>
      </c>
      <c r="C465" s="81"/>
      <c r="D465" s="81"/>
      <c r="E465" s="81"/>
      <c r="F465" s="83" t="s">
        <v>25859</v>
      </c>
      <c r="G465" s="81"/>
      <c r="H465" s="88" t="b">
        <v>1</v>
      </c>
      <c r="I465" s="81"/>
      <c r="J465" s="81" t="s">
        <v>25860</v>
      </c>
      <c r="K465" s="81" t="s">
        <v>14854</v>
      </c>
      <c r="L465" s="86">
        <v>97430.0</v>
      </c>
      <c r="M465" s="81" t="s">
        <v>71</v>
      </c>
      <c r="N465" s="81" t="s">
        <v>3501</v>
      </c>
      <c r="O465" s="83" t="s">
        <v>6379</v>
      </c>
      <c r="P465" s="81"/>
      <c r="Q465" s="75" t="s">
        <v>25861</v>
      </c>
      <c r="R465" s="81"/>
      <c r="S465" s="87"/>
      <c r="T465" s="81"/>
      <c r="U465" s="81"/>
      <c r="V465" s="81"/>
      <c r="W465" s="81"/>
      <c r="X465" s="81"/>
      <c r="Y465" s="81"/>
      <c r="Z465" s="81"/>
    </row>
    <row r="466" ht="15.75" customHeight="1">
      <c r="A466" s="81" t="s">
        <v>20699</v>
      </c>
      <c r="B466" s="81" t="s">
        <v>25862</v>
      </c>
      <c r="C466" s="81" t="s">
        <v>24976</v>
      </c>
      <c r="D466" s="85" t="s">
        <v>24334</v>
      </c>
      <c r="E466" s="81"/>
      <c r="F466" s="83" t="s">
        <v>20697</v>
      </c>
      <c r="G466" s="81"/>
      <c r="H466" s="88" t="b">
        <v>1</v>
      </c>
      <c r="I466" s="81"/>
      <c r="J466" s="86">
        <v>111.0</v>
      </c>
      <c r="K466" s="81" t="s">
        <v>14252</v>
      </c>
      <c r="L466" s="86">
        <v>97414.0</v>
      </c>
      <c r="M466" s="81" t="s">
        <v>40</v>
      </c>
      <c r="N466" s="81"/>
      <c r="O466" s="83" t="s">
        <v>5970</v>
      </c>
      <c r="P466" s="81"/>
      <c r="Q466" s="75" t="s">
        <v>25863</v>
      </c>
      <c r="R466" s="81"/>
      <c r="S466" s="87"/>
      <c r="T466" s="81"/>
      <c r="U466" s="81"/>
      <c r="V466" s="81"/>
      <c r="W466" s="81"/>
      <c r="X466" s="81"/>
      <c r="Y466" s="81"/>
      <c r="Z466" s="81"/>
    </row>
    <row r="467" ht="15.75" customHeight="1">
      <c r="A467" s="81" t="s">
        <v>20273</v>
      </c>
      <c r="B467" s="81" t="s">
        <v>25864</v>
      </c>
      <c r="C467" s="81" t="s">
        <v>24414</v>
      </c>
      <c r="D467" s="81" t="s">
        <v>24344</v>
      </c>
      <c r="E467" s="81" t="s">
        <v>1065</v>
      </c>
      <c r="F467" s="83" t="s">
        <v>20272</v>
      </c>
      <c r="G467" s="81"/>
      <c r="H467" s="84" t="b">
        <v>1</v>
      </c>
      <c r="I467" s="81"/>
      <c r="J467" s="86">
        <v>55.0</v>
      </c>
      <c r="K467" s="81" t="s">
        <v>25865</v>
      </c>
      <c r="L467" s="86">
        <v>97480.0</v>
      </c>
      <c r="M467" s="81" t="s">
        <v>123</v>
      </c>
      <c r="N467" s="81"/>
      <c r="O467" s="83" t="s">
        <v>25866</v>
      </c>
      <c r="P467" s="81"/>
      <c r="Q467" s="75" t="s">
        <v>25867</v>
      </c>
      <c r="R467" s="81"/>
      <c r="S467" s="87"/>
      <c r="T467" s="81"/>
      <c r="U467" s="81"/>
      <c r="V467" s="81"/>
      <c r="W467" s="81"/>
      <c r="X467" s="81"/>
      <c r="Y467" s="81"/>
      <c r="Z467" s="81"/>
    </row>
    <row r="468" ht="15.75" customHeight="1">
      <c r="A468" s="81" t="s">
        <v>17679</v>
      </c>
      <c r="B468" s="81" t="s">
        <v>25868</v>
      </c>
      <c r="C468" s="85" t="s">
        <v>25869</v>
      </c>
      <c r="D468" s="85" t="s">
        <v>24334</v>
      </c>
      <c r="E468" s="81" t="s">
        <v>17674</v>
      </c>
      <c r="F468" s="83" t="s">
        <v>25870</v>
      </c>
      <c r="G468" s="81"/>
      <c r="H468" s="88" t="b">
        <v>1</v>
      </c>
      <c r="I468" s="85">
        <v>1.0</v>
      </c>
      <c r="J468" s="85" t="s">
        <v>25871</v>
      </c>
      <c r="K468" s="81"/>
      <c r="L468" s="86">
        <v>97442.0</v>
      </c>
      <c r="M468" s="81" t="s">
        <v>33</v>
      </c>
      <c r="N468" s="81"/>
      <c r="O468" s="83" t="s">
        <v>3663</v>
      </c>
      <c r="P468" s="81"/>
      <c r="Q468" s="46" t="s">
        <v>25872</v>
      </c>
      <c r="R468" s="92">
        <v>31556.0</v>
      </c>
      <c r="S468" s="93" t="s">
        <v>24348</v>
      </c>
      <c r="T468" s="81"/>
      <c r="U468" s="81"/>
      <c r="V468" s="81"/>
      <c r="W468" s="81"/>
      <c r="X468" s="81"/>
      <c r="Y468" s="81"/>
      <c r="Z468" s="81"/>
    </row>
    <row r="469" ht="15.75" customHeight="1">
      <c r="A469" s="81" t="s">
        <v>25873</v>
      </c>
      <c r="B469" s="81" t="s">
        <v>25874</v>
      </c>
      <c r="C469" s="81" t="s">
        <v>25737</v>
      </c>
      <c r="D469" s="85" t="s">
        <v>24334</v>
      </c>
      <c r="E469" s="81" t="s">
        <v>4855</v>
      </c>
      <c r="F469" s="83" t="s">
        <v>18517</v>
      </c>
      <c r="G469" s="81"/>
      <c r="H469" s="84" t="b">
        <v>1</v>
      </c>
      <c r="I469" s="81"/>
      <c r="J469" s="86">
        <v>21.0</v>
      </c>
      <c r="K469" s="81" t="s">
        <v>25018</v>
      </c>
      <c r="L469" s="86">
        <v>97430.0</v>
      </c>
      <c r="M469" s="81" t="s">
        <v>71</v>
      </c>
      <c r="N469" s="81"/>
      <c r="O469" s="83" t="s">
        <v>4852</v>
      </c>
      <c r="P469" s="81"/>
      <c r="Q469" s="75" t="s">
        <v>25875</v>
      </c>
      <c r="R469" s="81"/>
      <c r="S469" s="87"/>
      <c r="T469" s="81"/>
      <c r="U469" s="81"/>
      <c r="V469" s="81"/>
      <c r="W469" s="81"/>
      <c r="X469" s="81"/>
      <c r="Y469" s="81"/>
      <c r="Z469" s="81"/>
    </row>
    <row r="470" ht="15.75" customHeight="1">
      <c r="A470" s="81"/>
      <c r="B470" s="85"/>
      <c r="C470" s="85"/>
      <c r="D470" s="85"/>
      <c r="E470" s="82"/>
      <c r="F470" s="94"/>
      <c r="G470" s="85"/>
      <c r="H470" s="84"/>
      <c r="I470" s="81"/>
      <c r="J470" s="97"/>
      <c r="K470" s="85"/>
      <c r="L470" s="97"/>
      <c r="M470" s="85"/>
      <c r="N470" s="81"/>
      <c r="O470" s="83"/>
      <c r="P470" s="81"/>
      <c r="Q470" s="75"/>
      <c r="R470" s="81"/>
      <c r="S470" s="87"/>
      <c r="T470" s="81"/>
      <c r="U470" s="81"/>
      <c r="V470" s="81"/>
      <c r="W470" s="81"/>
      <c r="X470" s="81"/>
      <c r="Y470" s="81"/>
      <c r="Z470" s="81"/>
    </row>
    <row r="471" ht="15.75" customHeight="1">
      <c r="A471" s="81" t="s">
        <v>20829</v>
      </c>
      <c r="B471" s="81" t="s">
        <v>25876</v>
      </c>
      <c r="C471" s="81" t="s">
        <v>24511</v>
      </c>
      <c r="D471" s="81" t="s">
        <v>24344</v>
      </c>
      <c r="E471" s="81" t="s">
        <v>8854</v>
      </c>
      <c r="F471" s="83" t="s">
        <v>20828</v>
      </c>
      <c r="G471" s="81"/>
      <c r="H471" s="84" t="b">
        <v>1</v>
      </c>
      <c r="I471" s="81"/>
      <c r="J471" s="81"/>
      <c r="K471" s="81" t="s">
        <v>20827</v>
      </c>
      <c r="L471" s="86">
        <v>97418.0</v>
      </c>
      <c r="M471" s="81" t="s">
        <v>216</v>
      </c>
      <c r="N471" s="81"/>
      <c r="O471" s="83" t="s">
        <v>8851</v>
      </c>
      <c r="P471" s="81"/>
      <c r="Q471" s="75" t="s">
        <v>25877</v>
      </c>
      <c r="R471" s="81"/>
      <c r="S471" s="87"/>
      <c r="T471" s="81"/>
      <c r="U471" s="81"/>
      <c r="V471" s="81"/>
      <c r="W471" s="81"/>
      <c r="X471" s="81"/>
      <c r="Y471" s="81"/>
      <c r="Z471" s="81"/>
    </row>
    <row r="472" ht="15.75" customHeight="1">
      <c r="A472" s="81" t="s">
        <v>20743</v>
      </c>
      <c r="B472" s="81" t="s">
        <v>203</v>
      </c>
      <c r="C472" s="81" t="s">
        <v>25878</v>
      </c>
      <c r="D472" s="85" t="s">
        <v>24334</v>
      </c>
      <c r="E472" s="85" t="s">
        <v>20738</v>
      </c>
      <c r="F472" s="83" t="s">
        <v>20739</v>
      </c>
      <c r="G472" s="81"/>
      <c r="H472" s="84" t="b">
        <v>1</v>
      </c>
      <c r="I472" s="85">
        <v>1.0</v>
      </c>
      <c r="J472" s="81" t="s">
        <v>18744</v>
      </c>
      <c r="K472" s="81" t="s">
        <v>12977</v>
      </c>
      <c r="L472" s="86">
        <v>97414.0</v>
      </c>
      <c r="M472" s="81" t="s">
        <v>40</v>
      </c>
      <c r="N472" s="81"/>
      <c r="O472" s="94" t="s">
        <v>25879</v>
      </c>
      <c r="P472" s="81"/>
      <c r="Q472" s="46" t="s">
        <v>25880</v>
      </c>
      <c r="R472" s="81"/>
      <c r="S472" s="87"/>
      <c r="T472" s="81"/>
      <c r="U472" s="81"/>
      <c r="V472" s="81"/>
      <c r="W472" s="81"/>
      <c r="X472" s="81"/>
      <c r="Y472" s="81"/>
      <c r="Z472" s="81"/>
    </row>
    <row r="473" ht="15.75" customHeight="1">
      <c r="A473" s="81" t="s">
        <v>20824</v>
      </c>
      <c r="B473" s="81" t="s">
        <v>25881</v>
      </c>
      <c r="C473" s="81" t="s">
        <v>25882</v>
      </c>
      <c r="D473" s="81" t="s">
        <v>24344</v>
      </c>
      <c r="E473" s="81" t="s">
        <v>8845</v>
      </c>
      <c r="F473" s="83" t="s">
        <v>20823</v>
      </c>
      <c r="G473" s="81"/>
      <c r="H473" s="84" t="b">
        <v>1</v>
      </c>
      <c r="I473" s="81"/>
      <c r="J473" s="81"/>
      <c r="K473" s="81" t="s">
        <v>20822</v>
      </c>
      <c r="L473" s="86">
        <v>97442.0</v>
      </c>
      <c r="M473" s="81" t="s">
        <v>33</v>
      </c>
      <c r="N473" s="81"/>
      <c r="O473" s="83" t="s">
        <v>8842</v>
      </c>
      <c r="P473" s="81"/>
      <c r="Q473" s="75" t="s">
        <v>25883</v>
      </c>
      <c r="R473" s="81"/>
      <c r="S473" s="87"/>
      <c r="T473" s="81"/>
      <c r="U473" s="81"/>
      <c r="V473" s="81"/>
      <c r="W473" s="81"/>
      <c r="X473" s="81"/>
      <c r="Y473" s="81"/>
      <c r="Z473" s="81"/>
    </row>
    <row r="474" ht="15.75" customHeight="1">
      <c r="A474" s="81" t="s">
        <v>20147</v>
      </c>
      <c r="B474" s="81" t="s">
        <v>25876</v>
      </c>
      <c r="C474" s="81" t="s">
        <v>25884</v>
      </c>
      <c r="D474" s="81" t="s">
        <v>24344</v>
      </c>
      <c r="E474" s="81" t="s">
        <v>6085</v>
      </c>
      <c r="F474" s="83" t="s">
        <v>20144</v>
      </c>
      <c r="G474" s="81"/>
      <c r="H474" s="88" t="b">
        <v>1</v>
      </c>
      <c r="I474" s="85">
        <v>1.0</v>
      </c>
      <c r="J474" s="81"/>
      <c r="K474" s="81" t="s">
        <v>12685</v>
      </c>
      <c r="L474" s="86">
        <v>97418.0</v>
      </c>
      <c r="M474" s="81" t="s">
        <v>216</v>
      </c>
      <c r="N474" s="81"/>
      <c r="O474" s="83" t="s">
        <v>6081</v>
      </c>
      <c r="P474" s="81"/>
      <c r="Q474" s="46" t="s">
        <v>25885</v>
      </c>
      <c r="R474" s="81"/>
      <c r="S474" s="87"/>
      <c r="T474" s="81"/>
      <c r="U474" s="81"/>
      <c r="V474" s="81"/>
      <c r="W474" s="81"/>
      <c r="X474" s="81"/>
      <c r="Y474" s="81"/>
      <c r="Z474" s="81"/>
    </row>
    <row r="475" ht="15.75" customHeight="1">
      <c r="A475" s="81" t="s">
        <v>20458</v>
      </c>
      <c r="B475" s="81" t="s">
        <v>25886</v>
      </c>
      <c r="C475" s="81" t="s">
        <v>25887</v>
      </c>
      <c r="D475" s="81" t="s">
        <v>24344</v>
      </c>
      <c r="E475" s="81" t="s">
        <v>1095</v>
      </c>
      <c r="F475" s="83" t="s">
        <v>20455</v>
      </c>
      <c r="G475" s="81"/>
      <c r="H475" s="84" t="b">
        <v>1</v>
      </c>
      <c r="I475" s="81"/>
      <c r="J475" s="81"/>
      <c r="K475" s="81" t="s">
        <v>20453</v>
      </c>
      <c r="L475" s="86">
        <v>97418.0</v>
      </c>
      <c r="M475" s="81" t="s">
        <v>216</v>
      </c>
      <c r="N475" s="81"/>
      <c r="O475" s="83" t="s">
        <v>1088</v>
      </c>
      <c r="P475" s="81"/>
      <c r="Q475" s="75" t="s">
        <v>25888</v>
      </c>
      <c r="R475" s="81"/>
      <c r="S475" s="87"/>
      <c r="T475" s="81"/>
      <c r="U475" s="81"/>
      <c r="V475" s="81"/>
      <c r="W475" s="81"/>
      <c r="X475" s="81"/>
      <c r="Y475" s="81"/>
      <c r="Z475" s="81"/>
    </row>
    <row r="476" ht="15.75" customHeight="1">
      <c r="A476" s="81" t="s">
        <v>16857</v>
      </c>
      <c r="B476" s="85" t="s">
        <v>25876</v>
      </c>
      <c r="C476" s="85" t="s">
        <v>25889</v>
      </c>
      <c r="D476" s="85" t="s">
        <v>24334</v>
      </c>
      <c r="E476" s="85" t="s">
        <v>25890</v>
      </c>
      <c r="F476" s="91" t="s">
        <v>25891</v>
      </c>
      <c r="G476" s="85" t="s">
        <v>24420</v>
      </c>
      <c r="H476" s="84" t="b">
        <v>1</v>
      </c>
      <c r="I476" s="85">
        <v>1.0</v>
      </c>
      <c r="J476" s="81"/>
      <c r="K476" s="81" t="s">
        <v>16853</v>
      </c>
      <c r="L476" s="86">
        <v>97418.0</v>
      </c>
      <c r="M476" s="81" t="s">
        <v>216</v>
      </c>
      <c r="N476" s="81"/>
      <c r="O476" s="94" t="s">
        <v>25892</v>
      </c>
      <c r="P476" s="81"/>
      <c r="Q476" s="75" t="s">
        <v>25893</v>
      </c>
      <c r="R476" s="81"/>
      <c r="S476" s="87"/>
      <c r="T476" s="81"/>
      <c r="U476" s="81"/>
      <c r="V476" s="81"/>
      <c r="W476" s="81"/>
      <c r="X476" s="81"/>
      <c r="Y476" s="81"/>
      <c r="Z476" s="81"/>
    </row>
    <row r="477" ht="15.75" customHeight="1">
      <c r="A477" s="81" t="s">
        <v>19020</v>
      </c>
      <c r="B477" s="81" t="s">
        <v>203</v>
      </c>
      <c r="C477" s="81" t="s">
        <v>25894</v>
      </c>
      <c r="D477" s="85" t="s">
        <v>24334</v>
      </c>
      <c r="E477" s="85" t="s">
        <v>19016</v>
      </c>
      <c r="F477" s="83" t="s">
        <v>19017</v>
      </c>
      <c r="G477" s="81"/>
      <c r="H477" s="84" t="b">
        <v>1</v>
      </c>
      <c r="I477" s="85">
        <v>1.0</v>
      </c>
      <c r="J477" s="81"/>
      <c r="K477" s="81"/>
      <c r="L477" s="86">
        <v>97430.0</v>
      </c>
      <c r="M477" s="81" t="s">
        <v>71</v>
      </c>
      <c r="N477" s="81"/>
      <c r="O477" s="83" t="s">
        <v>2848</v>
      </c>
      <c r="P477" s="81"/>
      <c r="Q477" s="75" t="s">
        <v>25895</v>
      </c>
      <c r="R477" s="81"/>
      <c r="S477" s="87"/>
      <c r="T477" s="81"/>
      <c r="U477" s="81"/>
      <c r="V477" s="81"/>
      <c r="W477" s="81"/>
      <c r="X477" s="81"/>
      <c r="Y477" s="81"/>
      <c r="Z477" s="81"/>
    </row>
    <row r="478" ht="15.75" customHeight="1">
      <c r="A478" s="81" t="s">
        <v>20237</v>
      </c>
      <c r="B478" s="81" t="s">
        <v>25896</v>
      </c>
      <c r="C478" s="81" t="s">
        <v>20</v>
      </c>
      <c r="D478" s="81" t="s">
        <v>24344</v>
      </c>
      <c r="E478" s="81" t="s">
        <v>2126</v>
      </c>
      <c r="F478" s="83" t="s">
        <v>20235</v>
      </c>
      <c r="G478" s="81"/>
      <c r="H478" s="84" t="b">
        <v>1</v>
      </c>
      <c r="I478" s="85">
        <v>1.0</v>
      </c>
      <c r="J478" s="86">
        <v>56.0</v>
      </c>
      <c r="K478" s="81" t="s">
        <v>25897</v>
      </c>
      <c r="L478" s="86">
        <v>97480.0</v>
      </c>
      <c r="M478" s="81" t="s">
        <v>123</v>
      </c>
      <c r="N478" s="81"/>
      <c r="O478" s="83" t="s">
        <v>2122</v>
      </c>
      <c r="P478" s="81"/>
      <c r="Q478" s="46" t="s">
        <v>25898</v>
      </c>
      <c r="R478" s="81"/>
      <c r="S478" s="87"/>
      <c r="T478" s="81"/>
      <c r="U478" s="81"/>
      <c r="V478" s="81"/>
      <c r="W478" s="81"/>
      <c r="X478" s="81"/>
      <c r="Y478" s="81"/>
      <c r="Z478" s="81"/>
    </row>
    <row r="479" ht="15.75" customHeight="1">
      <c r="A479" s="81" t="s">
        <v>20095</v>
      </c>
      <c r="B479" s="81" t="s">
        <v>25876</v>
      </c>
      <c r="C479" s="81" t="s">
        <v>25899</v>
      </c>
      <c r="D479" s="81" t="s">
        <v>24344</v>
      </c>
      <c r="E479" s="81" t="s">
        <v>6859</v>
      </c>
      <c r="F479" s="83" t="s">
        <v>20093</v>
      </c>
      <c r="G479" s="81"/>
      <c r="H479" s="84" t="b">
        <v>1</v>
      </c>
      <c r="I479" s="81"/>
      <c r="J479" s="86">
        <v>123.0</v>
      </c>
      <c r="K479" s="81" t="s">
        <v>24114</v>
      </c>
      <c r="L479" s="86">
        <v>97430.0</v>
      </c>
      <c r="M479" s="81" t="s">
        <v>71</v>
      </c>
      <c r="N479" s="81" t="s">
        <v>3501</v>
      </c>
      <c r="O479" s="83" t="s">
        <v>6854</v>
      </c>
      <c r="P479" s="81"/>
      <c r="Q479" s="75" t="s">
        <v>25900</v>
      </c>
      <c r="R479" s="81"/>
      <c r="S479" s="87"/>
      <c r="T479" s="81"/>
      <c r="U479" s="81"/>
      <c r="V479" s="81"/>
      <c r="W479" s="81"/>
      <c r="X479" s="81"/>
      <c r="Y479" s="81"/>
      <c r="Z479" s="81"/>
    </row>
    <row r="480" ht="15.75" customHeight="1">
      <c r="A480" s="81" t="s">
        <v>19297</v>
      </c>
      <c r="B480" s="81" t="s">
        <v>25886</v>
      </c>
      <c r="C480" s="81" t="s">
        <v>25901</v>
      </c>
      <c r="D480" s="85" t="s">
        <v>24334</v>
      </c>
      <c r="E480" s="81" t="s">
        <v>19294</v>
      </c>
      <c r="F480" s="83" t="s">
        <v>25902</v>
      </c>
      <c r="G480" s="81"/>
      <c r="H480" s="88" t="b">
        <v>1</v>
      </c>
      <c r="I480" s="81"/>
      <c r="J480" s="81"/>
      <c r="K480" s="81" t="s">
        <v>12685</v>
      </c>
      <c r="L480" s="86">
        <v>97418.0</v>
      </c>
      <c r="M480" s="81" t="s">
        <v>216</v>
      </c>
      <c r="N480" s="81"/>
      <c r="O480" s="83" t="s">
        <v>7867</v>
      </c>
      <c r="P480" s="81"/>
      <c r="Q480" s="75" t="s">
        <v>25903</v>
      </c>
      <c r="R480" s="81"/>
      <c r="S480" s="87"/>
      <c r="T480" s="81"/>
      <c r="U480" s="81"/>
      <c r="V480" s="81"/>
      <c r="W480" s="81"/>
      <c r="X480" s="81"/>
      <c r="Y480" s="81"/>
      <c r="Z480" s="81"/>
    </row>
    <row r="481" ht="15.75" customHeight="1">
      <c r="A481" s="81" t="s">
        <v>20356</v>
      </c>
      <c r="B481" s="81" t="s">
        <v>25904</v>
      </c>
      <c r="C481" s="81" t="s">
        <v>24678</v>
      </c>
      <c r="D481" s="81" t="s">
        <v>24344</v>
      </c>
      <c r="E481" s="81" t="s">
        <v>2687</v>
      </c>
      <c r="F481" s="83" t="s">
        <v>20355</v>
      </c>
      <c r="G481" s="81"/>
      <c r="H481" s="84" t="b">
        <v>1</v>
      </c>
      <c r="I481" s="81"/>
      <c r="J481" s="81"/>
      <c r="K481" s="81" t="s">
        <v>13539</v>
      </c>
      <c r="L481" s="86">
        <v>97418.0</v>
      </c>
      <c r="M481" s="81" t="s">
        <v>216</v>
      </c>
      <c r="N481" s="81"/>
      <c r="O481" s="83" t="s">
        <v>2679</v>
      </c>
      <c r="P481" s="81"/>
      <c r="Q481" s="75" t="s">
        <v>25905</v>
      </c>
      <c r="R481" s="81"/>
      <c r="S481" s="87"/>
      <c r="T481" s="81"/>
      <c r="U481" s="81"/>
      <c r="V481" s="81"/>
      <c r="W481" s="81"/>
      <c r="X481" s="81"/>
      <c r="Y481" s="81"/>
      <c r="Z481" s="81"/>
    </row>
    <row r="482" ht="15.75" customHeight="1">
      <c r="A482" s="81" t="s">
        <v>20154</v>
      </c>
      <c r="B482" s="81" t="s">
        <v>25906</v>
      </c>
      <c r="C482" s="81" t="s">
        <v>25194</v>
      </c>
      <c r="D482" s="81" t="s">
        <v>24344</v>
      </c>
      <c r="E482" s="81"/>
      <c r="F482" s="83" t="s">
        <v>20153</v>
      </c>
      <c r="G482" s="81"/>
      <c r="H482" s="88" t="b">
        <v>1</v>
      </c>
      <c r="I482" s="81"/>
      <c r="J482" s="81" t="s">
        <v>20152</v>
      </c>
      <c r="K482" s="81" t="s">
        <v>22999</v>
      </c>
      <c r="L482" s="86">
        <v>97480.0</v>
      </c>
      <c r="M482" s="81" t="s">
        <v>123</v>
      </c>
      <c r="N482" s="81" t="s">
        <v>8325</v>
      </c>
      <c r="O482" s="83" t="s">
        <v>6490</v>
      </c>
      <c r="P482" s="81"/>
      <c r="Q482" s="75" t="s">
        <v>25907</v>
      </c>
      <c r="R482" s="81"/>
      <c r="S482" s="87"/>
      <c r="T482" s="81"/>
      <c r="U482" s="81"/>
      <c r="V482" s="81"/>
      <c r="W482" s="81"/>
      <c r="X482" s="81"/>
      <c r="Y482" s="81"/>
      <c r="Z482" s="81"/>
    </row>
    <row r="483" ht="15.75" customHeight="1">
      <c r="A483" s="81" t="s">
        <v>19323</v>
      </c>
      <c r="B483" s="81" t="s">
        <v>25908</v>
      </c>
      <c r="C483" s="81" t="s">
        <v>24682</v>
      </c>
      <c r="D483" s="85" t="s">
        <v>24334</v>
      </c>
      <c r="E483" s="81" t="s">
        <v>3120</v>
      </c>
      <c r="F483" s="83" t="s">
        <v>25909</v>
      </c>
      <c r="G483" s="81"/>
      <c r="H483" s="84" t="b">
        <v>1</v>
      </c>
      <c r="I483" s="85">
        <v>1.0</v>
      </c>
      <c r="J483" s="86">
        <v>8.0</v>
      </c>
      <c r="K483" s="81" t="s">
        <v>25910</v>
      </c>
      <c r="L483" s="86">
        <v>97418.0</v>
      </c>
      <c r="M483" s="81" t="s">
        <v>216</v>
      </c>
      <c r="N483" s="81"/>
      <c r="O483" s="94" t="s">
        <v>25911</v>
      </c>
      <c r="P483" s="81"/>
      <c r="Q483" s="75" t="s">
        <v>25912</v>
      </c>
      <c r="R483" s="81"/>
      <c r="S483" s="87"/>
      <c r="T483" s="81"/>
      <c r="U483" s="81"/>
      <c r="V483" s="81"/>
      <c r="W483" s="81"/>
      <c r="X483" s="81"/>
      <c r="Y483" s="81"/>
      <c r="Z483" s="81"/>
    </row>
    <row r="484" ht="15.75" customHeight="1">
      <c r="A484" s="81" t="s">
        <v>15515</v>
      </c>
      <c r="B484" s="81" t="s">
        <v>25913</v>
      </c>
      <c r="C484" s="81" t="s">
        <v>25808</v>
      </c>
      <c r="D484" s="85" t="s">
        <v>24334</v>
      </c>
      <c r="E484" s="81" t="s">
        <v>9943</v>
      </c>
      <c r="F484" s="83" t="s">
        <v>15514</v>
      </c>
      <c r="G484" s="81"/>
      <c r="H484" s="84" t="b">
        <v>1</v>
      </c>
      <c r="I484" s="81"/>
      <c r="J484" s="86">
        <v>82.0</v>
      </c>
      <c r="K484" s="81" t="s">
        <v>25914</v>
      </c>
      <c r="L484" s="86">
        <v>97480.0</v>
      </c>
      <c r="M484" s="81" t="s">
        <v>123</v>
      </c>
      <c r="N484" s="81"/>
      <c r="O484" s="83" t="s">
        <v>25915</v>
      </c>
      <c r="P484" s="81"/>
      <c r="Q484" s="75" t="s">
        <v>25916</v>
      </c>
      <c r="R484" s="81"/>
      <c r="S484" s="87"/>
      <c r="T484" s="81"/>
      <c r="U484" s="81"/>
      <c r="V484" s="81"/>
      <c r="W484" s="81"/>
      <c r="X484" s="81"/>
      <c r="Y484" s="81"/>
      <c r="Z484" s="81"/>
    </row>
    <row r="485" ht="15.75" customHeight="1">
      <c r="A485" s="81" t="s">
        <v>18063</v>
      </c>
      <c r="B485" s="81" t="s">
        <v>25917</v>
      </c>
      <c r="C485" s="81" t="s">
        <v>24462</v>
      </c>
      <c r="D485" s="85" t="s">
        <v>24334</v>
      </c>
      <c r="E485" s="81" t="s">
        <v>7339</v>
      </c>
      <c r="F485" s="83" t="s">
        <v>18062</v>
      </c>
      <c r="G485" s="81"/>
      <c r="H485" s="84" t="b">
        <v>1</v>
      </c>
      <c r="I485" s="81"/>
      <c r="J485" s="86">
        <v>61.0</v>
      </c>
      <c r="K485" s="81" t="s">
        <v>14252</v>
      </c>
      <c r="L485" s="86">
        <v>97414.0</v>
      </c>
      <c r="M485" s="81" t="s">
        <v>40</v>
      </c>
      <c r="N485" s="81"/>
      <c r="O485" s="83" t="s">
        <v>7336</v>
      </c>
      <c r="P485" s="81"/>
      <c r="Q485" s="75" t="s">
        <v>25918</v>
      </c>
      <c r="R485" s="81"/>
      <c r="S485" s="87"/>
      <c r="T485" s="81"/>
      <c r="U485" s="81"/>
      <c r="V485" s="81"/>
      <c r="W485" s="81"/>
      <c r="X485" s="81"/>
      <c r="Y485" s="81"/>
      <c r="Z485" s="81"/>
    </row>
    <row r="486" ht="15.75" customHeight="1">
      <c r="A486" s="81" t="s">
        <v>14419</v>
      </c>
      <c r="B486" s="81" t="s">
        <v>25919</v>
      </c>
      <c r="C486" s="81" t="s">
        <v>24784</v>
      </c>
      <c r="D486" s="85" t="s">
        <v>24334</v>
      </c>
      <c r="E486" s="81" t="s">
        <v>9927</v>
      </c>
      <c r="F486" s="91" t="s">
        <v>14411</v>
      </c>
      <c r="G486" s="81"/>
      <c r="H486" s="84" t="b">
        <v>1</v>
      </c>
      <c r="I486" s="85">
        <v>1.0</v>
      </c>
      <c r="J486" s="86">
        <v>249.0</v>
      </c>
      <c r="K486" s="81" t="s">
        <v>12977</v>
      </c>
      <c r="L486" s="86">
        <v>97414.0</v>
      </c>
      <c r="M486" s="81" t="s">
        <v>40</v>
      </c>
      <c r="N486" s="81"/>
      <c r="O486" s="83" t="s">
        <v>9922</v>
      </c>
      <c r="P486" s="81"/>
      <c r="Q486" s="75" t="s">
        <v>25920</v>
      </c>
      <c r="R486" s="81"/>
      <c r="S486" s="87"/>
      <c r="T486" s="81"/>
      <c r="U486" s="81"/>
      <c r="V486" s="81"/>
      <c r="W486" s="81"/>
      <c r="X486" s="81"/>
      <c r="Y486" s="81"/>
      <c r="Z486" s="81"/>
    </row>
    <row r="487" ht="15.75" customHeight="1">
      <c r="A487" s="81" t="s">
        <v>20639</v>
      </c>
      <c r="B487" s="81" t="s">
        <v>25921</v>
      </c>
      <c r="C487" s="85" t="s">
        <v>25922</v>
      </c>
      <c r="D487" s="85" t="s">
        <v>24334</v>
      </c>
      <c r="E487" s="81" t="s">
        <v>1794</v>
      </c>
      <c r="F487" s="91" t="s">
        <v>25923</v>
      </c>
      <c r="G487" s="81"/>
      <c r="H487" s="84" t="b">
        <v>1</v>
      </c>
      <c r="I487" s="85">
        <v>1.0</v>
      </c>
      <c r="J487" s="86">
        <v>39.0</v>
      </c>
      <c r="K487" s="81" t="s">
        <v>25292</v>
      </c>
      <c r="L487" s="86">
        <v>97418.0</v>
      </c>
      <c r="M487" s="81" t="s">
        <v>216</v>
      </c>
      <c r="N487" s="81"/>
      <c r="O487" s="83" t="s">
        <v>1787</v>
      </c>
      <c r="P487" s="81"/>
      <c r="Q487" s="75" t="s">
        <v>25924</v>
      </c>
      <c r="R487" s="92">
        <v>23087.0</v>
      </c>
      <c r="S487" s="93" t="s">
        <v>24348</v>
      </c>
      <c r="T487" s="81"/>
      <c r="U487" s="81"/>
      <c r="V487" s="81"/>
      <c r="W487" s="81"/>
      <c r="X487" s="81"/>
      <c r="Y487" s="81"/>
      <c r="Z487" s="81"/>
    </row>
    <row r="488" ht="15.75" customHeight="1">
      <c r="A488" s="81" t="s">
        <v>19257</v>
      </c>
      <c r="B488" s="81" t="s">
        <v>25925</v>
      </c>
      <c r="C488" s="81" t="s">
        <v>25926</v>
      </c>
      <c r="D488" s="81" t="s">
        <v>24344</v>
      </c>
      <c r="E488" s="81" t="s">
        <v>9388</v>
      </c>
      <c r="F488" s="83" t="s">
        <v>19256</v>
      </c>
      <c r="G488" s="81"/>
      <c r="H488" s="84" t="b">
        <v>1</v>
      </c>
      <c r="I488" s="81"/>
      <c r="J488" s="86">
        <v>5.0</v>
      </c>
      <c r="K488" s="81" t="s">
        <v>25927</v>
      </c>
      <c r="L488" s="86">
        <v>97418.0</v>
      </c>
      <c r="M488" s="81" t="s">
        <v>216</v>
      </c>
      <c r="N488" s="81"/>
      <c r="O488" s="83" t="s">
        <v>9383</v>
      </c>
      <c r="P488" s="81"/>
      <c r="Q488" s="75" t="s">
        <v>25928</v>
      </c>
      <c r="R488" s="81"/>
      <c r="S488" s="87"/>
      <c r="T488" s="81"/>
      <c r="U488" s="81"/>
      <c r="V488" s="81"/>
      <c r="W488" s="81"/>
      <c r="X488" s="81"/>
      <c r="Y488" s="81"/>
      <c r="Z488" s="81"/>
    </row>
    <row r="489" ht="15.75" customHeight="1">
      <c r="A489" s="81" t="s">
        <v>16734</v>
      </c>
      <c r="B489" s="81" t="s">
        <v>25929</v>
      </c>
      <c r="C489" s="81" t="s">
        <v>24414</v>
      </c>
      <c r="D489" s="81" t="s">
        <v>24344</v>
      </c>
      <c r="E489" s="81" t="s">
        <v>1039</v>
      </c>
      <c r="F489" s="83" t="s">
        <v>16732</v>
      </c>
      <c r="G489" s="81"/>
      <c r="H489" s="84" t="b">
        <v>1</v>
      </c>
      <c r="I489" s="85">
        <v>1.0</v>
      </c>
      <c r="J489" s="86">
        <v>19.0</v>
      </c>
      <c r="K489" s="81" t="s">
        <v>24536</v>
      </c>
      <c r="L489" s="86">
        <v>97480.0</v>
      </c>
      <c r="M489" s="81" t="s">
        <v>123</v>
      </c>
      <c r="N489" s="81"/>
      <c r="O489" s="83" t="s">
        <v>1034</v>
      </c>
      <c r="P489" s="81"/>
      <c r="Q489" s="46" t="s">
        <v>25930</v>
      </c>
      <c r="R489" s="81"/>
      <c r="S489" s="87"/>
      <c r="T489" s="81"/>
      <c r="U489" s="81"/>
      <c r="V489" s="81"/>
      <c r="W489" s="81"/>
      <c r="X489" s="81"/>
      <c r="Y489" s="81"/>
      <c r="Z489" s="81"/>
    </row>
    <row r="490" ht="15.75" customHeight="1">
      <c r="A490" s="81" t="s">
        <v>17159</v>
      </c>
      <c r="B490" s="81" t="s">
        <v>25929</v>
      </c>
      <c r="C490" s="81" t="s">
        <v>25931</v>
      </c>
      <c r="D490" s="85" t="s">
        <v>24334</v>
      </c>
      <c r="E490" s="81" t="s">
        <v>17156</v>
      </c>
      <c r="F490" s="83" t="s">
        <v>25932</v>
      </c>
      <c r="G490" s="81"/>
      <c r="H490" s="88" t="b">
        <v>1</v>
      </c>
      <c r="I490" s="81"/>
      <c r="J490" s="86">
        <v>27.0</v>
      </c>
      <c r="K490" s="81" t="s">
        <v>19898</v>
      </c>
      <c r="L490" s="86">
        <v>97414.0</v>
      </c>
      <c r="M490" s="81" t="s">
        <v>40</v>
      </c>
      <c r="N490" s="81"/>
      <c r="O490" s="83" t="s">
        <v>7390</v>
      </c>
      <c r="P490" s="81"/>
      <c r="Q490" s="75" t="s">
        <v>25933</v>
      </c>
      <c r="R490" s="81"/>
      <c r="S490" s="87"/>
      <c r="T490" s="81"/>
      <c r="U490" s="81"/>
      <c r="V490" s="81"/>
      <c r="W490" s="81"/>
      <c r="X490" s="81"/>
      <c r="Y490" s="81"/>
      <c r="Z490" s="81"/>
    </row>
    <row r="491" ht="15.75" customHeight="1">
      <c r="A491" s="81" t="s">
        <v>16025</v>
      </c>
      <c r="B491" s="81" t="s">
        <v>25934</v>
      </c>
      <c r="C491" s="81" t="s">
        <v>25935</v>
      </c>
      <c r="D491" s="85" t="s">
        <v>24334</v>
      </c>
      <c r="E491" s="81" t="s">
        <v>1552</v>
      </c>
      <c r="F491" s="91" t="s">
        <v>16022</v>
      </c>
      <c r="G491" s="81"/>
      <c r="H491" s="84" t="b">
        <v>1</v>
      </c>
      <c r="I491" s="85">
        <v>1.0</v>
      </c>
      <c r="J491" s="89" t="s">
        <v>16018</v>
      </c>
      <c r="K491" s="85" t="s">
        <v>16019</v>
      </c>
      <c r="L491" s="86">
        <v>97480.0</v>
      </c>
      <c r="M491" s="81" t="s">
        <v>123</v>
      </c>
      <c r="N491" s="81" t="s">
        <v>3556</v>
      </c>
      <c r="O491" s="83" t="s">
        <v>1546</v>
      </c>
      <c r="P491" s="85" t="s">
        <v>25936</v>
      </c>
      <c r="Q491" s="75" t="s">
        <v>25937</v>
      </c>
      <c r="R491" s="81"/>
      <c r="S491" s="87"/>
      <c r="T491" s="81"/>
      <c r="U491" s="81"/>
      <c r="V491" s="81"/>
      <c r="W491" s="81"/>
      <c r="X491" s="81"/>
      <c r="Y491" s="81"/>
      <c r="Z491" s="81"/>
    </row>
    <row r="492" ht="15.75" customHeight="1">
      <c r="A492" s="81" t="s">
        <v>16501</v>
      </c>
      <c r="B492" s="81" t="s">
        <v>25938</v>
      </c>
      <c r="C492" s="81" t="s">
        <v>25939</v>
      </c>
      <c r="D492" s="85" t="s">
        <v>24334</v>
      </c>
      <c r="E492" s="81" t="s">
        <v>764</v>
      </c>
      <c r="F492" s="91" t="s">
        <v>25940</v>
      </c>
      <c r="G492" s="85" t="s">
        <v>24335</v>
      </c>
      <c r="H492" s="84" t="b">
        <v>1</v>
      </c>
      <c r="I492" s="85">
        <v>1.0</v>
      </c>
      <c r="J492" s="89" t="s">
        <v>12331</v>
      </c>
      <c r="K492" s="85" t="s">
        <v>25941</v>
      </c>
      <c r="L492" s="86">
        <v>97430.0</v>
      </c>
      <c r="M492" s="81" t="s">
        <v>71</v>
      </c>
      <c r="N492" s="81"/>
      <c r="O492" s="83" t="s">
        <v>25942</v>
      </c>
      <c r="P492" s="81"/>
      <c r="Q492" s="46" t="s">
        <v>25943</v>
      </c>
      <c r="R492" s="81"/>
      <c r="S492" s="87"/>
      <c r="T492" s="81"/>
      <c r="U492" s="81"/>
      <c r="V492" s="81"/>
      <c r="W492" s="81"/>
      <c r="X492" s="81"/>
      <c r="Y492" s="81"/>
      <c r="Z492" s="81"/>
    </row>
    <row r="493" ht="15.75" customHeight="1">
      <c r="A493" s="81" t="s">
        <v>12317</v>
      </c>
      <c r="B493" s="81" t="s">
        <v>25929</v>
      </c>
      <c r="C493" s="81" t="s">
        <v>24784</v>
      </c>
      <c r="D493" s="85" t="s">
        <v>24334</v>
      </c>
      <c r="E493" s="81" t="s">
        <v>5132</v>
      </c>
      <c r="F493" s="83" t="s">
        <v>12315</v>
      </c>
      <c r="G493" s="81"/>
      <c r="H493" s="84" t="b">
        <v>1</v>
      </c>
      <c r="I493" s="85">
        <v>1.0</v>
      </c>
      <c r="J493" s="86">
        <v>2.0</v>
      </c>
      <c r="K493" s="81" t="s">
        <v>24641</v>
      </c>
      <c r="L493" s="86">
        <v>97418.0</v>
      </c>
      <c r="M493" s="81" t="s">
        <v>216</v>
      </c>
      <c r="N493" s="81"/>
      <c r="O493" s="83" t="s">
        <v>5129</v>
      </c>
      <c r="P493" s="81"/>
      <c r="Q493" s="46" t="s">
        <v>25944</v>
      </c>
      <c r="R493" s="81"/>
      <c r="S493" s="87"/>
      <c r="T493" s="81"/>
      <c r="U493" s="81"/>
      <c r="V493" s="81"/>
      <c r="W493" s="81"/>
      <c r="X493" s="81"/>
      <c r="Y493" s="81"/>
      <c r="Z493" s="81"/>
    </row>
    <row r="494" ht="15.75" customHeight="1">
      <c r="A494" s="81" t="s">
        <v>15677</v>
      </c>
      <c r="B494" s="81" t="s">
        <v>25945</v>
      </c>
      <c r="C494" s="81" t="s">
        <v>25946</v>
      </c>
      <c r="D494" s="85" t="s">
        <v>24334</v>
      </c>
      <c r="E494" s="81" t="s">
        <v>8294</v>
      </c>
      <c r="F494" s="91" t="s">
        <v>25947</v>
      </c>
      <c r="G494" s="85" t="s">
        <v>24420</v>
      </c>
      <c r="H494" s="84" t="b">
        <v>1</v>
      </c>
      <c r="I494" s="85">
        <v>1.0</v>
      </c>
      <c r="J494" s="86">
        <v>3.0</v>
      </c>
      <c r="K494" s="81" t="s">
        <v>25948</v>
      </c>
      <c r="L494" s="86">
        <v>97480.0</v>
      </c>
      <c r="M494" s="81" t="s">
        <v>123</v>
      </c>
      <c r="N494" s="81"/>
      <c r="O494" s="94" t="s">
        <v>25949</v>
      </c>
      <c r="P494" s="85" t="s">
        <v>25950</v>
      </c>
      <c r="Q494" s="62" t="s">
        <v>25951</v>
      </c>
      <c r="R494" s="81"/>
      <c r="S494" s="87"/>
      <c r="T494" s="81"/>
      <c r="U494" s="81"/>
      <c r="V494" s="81"/>
      <c r="W494" s="81"/>
      <c r="X494" s="81"/>
      <c r="Y494" s="81"/>
      <c r="Z494" s="81"/>
    </row>
    <row r="495" ht="15.75" customHeight="1">
      <c r="A495" s="81" t="s">
        <v>15886</v>
      </c>
      <c r="B495" s="81" t="s">
        <v>25938</v>
      </c>
      <c r="C495" s="81" t="s">
        <v>25899</v>
      </c>
      <c r="D495" s="81" t="s">
        <v>24344</v>
      </c>
      <c r="E495" s="81" t="s">
        <v>9423</v>
      </c>
      <c r="F495" s="83" t="s">
        <v>15885</v>
      </c>
      <c r="G495" s="81"/>
      <c r="H495" s="84" t="b">
        <v>1</v>
      </c>
      <c r="I495" s="81"/>
      <c r="J495" s="86">
        <v>22.0</v>
      </c>
      <c r="K495" s="81" t="s">
        <v>25952</v>
      </c>
      <c r="L495" s="86">
        <v>97430.0</v>
      </c>
      <c r="M495" s="81" t="s">
        <v>71</v>
      </c>
      <c r="N495" s="81" t="s">
        <v>3501</v>
      </c>
      <c r="O495" s="83" t="s">
        <v>25953</v>
      </c>
      <c r="P495" s="81"/>
      <c r="Q495" s="75" t="s">
        <v>25954</v>
      </c>
      <c r="R495" s="81"/>
      <c r="S495" s="87"/>
      <c r="T495" s="81"/>
      <c r="U495" s="81"/>
      <c r="V495" s="81"/>
      <c r="W495" s="81"/>
      <c r="X495" s="81"/>
      <c r="Y495" s="81"/>
      <c r="Z495" s="81"/>
    </row>
    <row r="496" ht="15.75" customHeight="1">
      <c r="A496" s="81" t="s">
        <v>20650</v>
      </c>
      <c r="B496" s="81" t="s">
        <v>25955</v>
      </c>
      <c r="C496" s="81" t="s">
        <v>25956</v>
      </c>
      <c r="D496" s="81"/>
      <c r="E496" s="81" t="s">
        <v>1896</v>
      </c>
      <c r="F496" s="83" t="s">
        <v>20649</v>
      </c>
      <c r="G496" s="81"/>
      <c r="H496" s="84" t="b">
        <v>1</v>
      </c>
      <c r="I496" s="81"/>
      <c r="J496" s="86">
        <v>14.0</v>
      </c>
      <c r="K496" s="81" t="s">
        <v>25957</v>
      </c>
      <c r="L496" s="86">
        <v>97418.0</v>
      </c>
      <c r="M496" s="81" t="s">
        <v>216</v>
      </c>
      <c r="N496" s="81"/>
      <c r="O496" s="83" t="s">
        <v>1893</v>
      </c>
      <c r="P496" s="81"/>
      <c r="Q496" s="75" t="s">
        <v>25958</v>
      </c>
      <c r="R496" s="81"/>
      <c r="S496" s="87"/>
      <c r="T496" s="81"/>
      <c r="U496" s="81"/>
      <c r="V496" s="81"/>
      <c r="W496" s="81"/>
      <c r="X496" s="81"/>
      <c r="Y496" s="81"/>
      <c r="Z496" s="81"/>
    </row>
    <row r="497" ht="15.75" customHeight="1">
      <c r="A497" s="81" t="s">
        <v>14245</v>
      </c>
      <c r="B497" s="81" t="s">
        <v>25105</v>
      </c>
      <c r="C497" s="81" t="s">
        <v>143</v>
      </c>
      <c r="D497" s="81" t="s">
        <v>24344</v>
      </c>
      <c r="E497" s="81" t="s">
        <v>5306</v>
      </c>
      <c r="F497" s="83" t="s">
        <v>14241</v>
      </c>
      <c r="G497" s="81"/>
      <c r="H497" s="84" t="b">
        <v>1</v>
      </c>
      <c r="I497" s="81"/>
      <c r="J497" s="81"/>
      <c r="K497" s="81" t="s">
        <v>40</v>
      </c>
      <c r="L497" s="86">
        <v>97414.0</v>
      </c>
      <c r="M497" s="81" t="s">
        <v>40</v>
      </c>
      <c r="N497" s="81"/>
      <c r="O497" s="83" t="s">
        <v>5300</v>
      </c>
      <c r="P497" s="81"/>
      <c r="Q497" s="75" t="s">
        <v>25959</v>
      </c>
      <c r="R497" s="81"/>
      <c r="S497" s="87"/>
      <c r="T497" s="81"/>
      <c r="U497" s="81"/>
      <c r="V497" s="81"/>
      <c r="W497" s="81"/>
      <c r="X497" s="81"/>
      <c r="Y497" s="81"/>
      <c r="Z497" s="81"/>
    </row>
    <row r="498" ht="15.75" customHeight="1">
      <c r="A498" s="81" t="s">
        <v>19403</v>
      </c>
      <c r="B498" s="81" t="s">
        <v>25960</v>
      </c>
      <c r="C498" s="81" t="s">
        <v>25961</v>
      </c>
      <c r="D498" s="81" t="s">
        <v>24344</v>
      </c>
      <c r="E498" s="81" t="s">
        <v>4692</v>
      </c>
      <c r="F498" s="83" t="s">
        <v>19401</v>
      </c>
      <c r="G498" s="81"/>
      <c r="H498" s="84" t="b">
        <v>1</v>
      </c>
      <c r="I498" s="81"/>
      <c r="J498" s="86">
        <v>106.0</v>
      </c>
      <c r="K498" s="81" t="s">
        <v>24449</v>
      </c>
      <c r="L498" s="86">
        <v>97430.0</v>
      </c>
      <c r="M498" s="81" t="s">
        <v>71</v>
      </c>
      <c r="N498" s="81"/>
      <c r="O498" s="83" t="s">
        <v>4688</v>
      </c>
      <c r="P498" s="81"/>
      <c r="Q498" s="75" t="s">
        <v>25962</v>
      </c>
      <c r="R498" s="81"/>
      <c r="S498" s="87"/>
      <c r="T498" s="81"/>
      <c r="U498" s="81"/>
      <c r="V498" s="81"/>
      <c r="W498" s="81"/>
      <c r="X498" s="81"/>
      <c r="Y498" s="81"/>
      <c r="Z498" s="81"/>
    </row>
    <row r="499" ht="15.75" customHeight="1">
      <c r="A499" s="81" t="s">
        <v>12507</v>
      </c>
      <c r="B499" s="81" t="s">
        <v>25963</v>
      </c>
      <c r="C499" s="81" t="s">
        <v>25964</v>
      </c>
      <c r="D499" s="81" t="s">
        <v>24344</v>
      </c>
      <c r="E499" s="81" t="s">
        <v>4151</v>
      </c>
      <c r="F499" s="83" t="s">
        <v>12502</v>
      </c>
      <c r="G499" s="81"/>
      <c r="H499" s="84" t="b">
        <v>1</v>
      </c>
      <c r="I499" s="81"/>
      <c r="J499" s="86">
        <v>1.0</v>
      </c>
      <c r="K499" s="81" t="s">
        <v>14339</v>
      </c>
      <c r="L499" s="86">
        <v>97414.0</v>
      </c>
      <c r="M499" s="81" t="s">
        <v>40</v>
      </c>
      <c r="N499" s="81"/>
      <c r="O499" s="83" t="s">
        <v>4146</v>
      </c>
      <c r="P499" s="81"/>
      <c r="Q499" s="75" t="s">
        <v>25965</v>
      </c>
      <c r="R499" s="81"/>
      <c r="S499" s="87"/>
      <c r="T499" s="81"/>
      <c r="U499" s="81"/>
      <c r="V499" s="81"/>
      <c r="W499" s="81"/>
      <c r="X499" s="81"/>
      <c r="Y499" s="81"/>
      <c r="Z499" s="81"/>
    </row>
    <row r="500" ht="15.75" customHeight="1">
      <c r="A500" s="81" t="s">
        <v>16784</v>
      </c>
      <c r="B500" s="81" t="s">
        <v>25966</v>
      </c>
      <c r="C500" s="81" t="s">
        <v>25967</v>
      </c>
      <c r="D500" s="81" t="s">
        <v>24344</v>
      </c>
      <c r="E500" s="81" t="s">
        <v>3279</v>
      </c>
      <c r="F500" s="83" t="s">
        <v>16781</v>
      </c>
      <c r="G500" s="81"/>
      <c r="H500" s="84" t="b">
        <v>1</v>
      </c>
      <c r="I500" s="81"/>
      <c r="J500" s="86">
        <v>13.0</v>
      </c>
      <c r="K500" s="81" t="s">
        <v>24647</v>
      </c>
      <c r="L500" s="86">
        <v>97414.0</v>
      </c>
      <c r="M500" s="81" t="s">
        <v>40</v>
      </c>
      <c r="N500" s="81"/>
      <c r="O500" s="83" t="s">
        <v>3274</v>
      </c>
      <c r="P500" s="81"/>
      <c r="Q500" s="75" t="s">
        <v>25968</v>
      </c>
      <c r="R500" s="81"/>
      <c r="S500" s="87"/>
      <c r="T500" s="81"/>
      <c r="U500" s="81"/>
      <c r="V500" s="81"/>
      <c r="W500" s="81"/>
      <c r="X500" s="81"/>
      <c r="Y500" s="81"/>
      <c r="Z500" s="81"/>
    </row>
    <row r="501" ht="15.75" customHeight="1">
      <c r="A501" s="81" t="s">
        <v>14081</v>
      </c>
      <c r="B501" s="85" t="s">
        <v>25481</v>
      </c>
      <c r="C501" s="81" t="s">
        <v>24678</v>
      </c>
      <c r="D501" s="81" t="s">
        <v>24344</v>
      </c>
      <c r="E501" s="81" t="s">
        <v>8481</v>
      </c>
      <c r="F501" s="83" t="s">
        <v>25969</v>
      </c>
      <c r="G501" s="85" t="s">
        <v>24335</v>
      </c>
      <c r="H501" s="84" t="b">
        <v>1</v>
      </c>
      <c r="I501" s="85">
        <v>1.0</v>
      </c>
      <c r="J501" s="86">
        <v>27.0</v>
      </c>
      <c r="K501" s="85" t="s">
        <v>14073</v>
      </c>
      <c r="L501" s="86">
        <v>97414.0</v>
      </c>
      <c r="M501" s="81" t="s">
        <v>40</v>
      </c>
      <c r="N501" s="81"/>
      <c r="O501" s="83" t="s">
        <v>8478</v>
      </c>
      <c r="P501" s="81"/>
      <c r="Q501" s="46" t="s">
        <v>25970</v>
      </c>
      <c r="R501" s="92">
        <v>30368.0</v>
      </c>
      <c r="S501" s="93" t="s">
        <v>24460</v>
      </c>
      <c r="T501" s="81"/>
      <c r="U501" s="81"/>
      <c r="V501" s="81"/>
      <c r="W501" s="81"/>
      <c r="X501" s="81"/>
      <c r="Y501" s="81"/>
      <c r="Z501" s="81"/>
    </row>
    <row r="502" ht="15.75" customHeight="1">
      <c r="A502" s="81" t="s">
        <v>12800</v>
      </c>
      <c r="B502" s="81" t="s">
        <v>25971</v>
      </c>
      <c r="C502" s="81" t="s">
        <v>25972</v>
      </c>
      <c r="D502" s="81" t="s">
        <v>24344</v>
      </c>
      <c r="E502" s="81" t="s">
        <v>8356</v>
      </c>
      <c r="F502" s="83" t="s">
        <v>12796</v>
      </c>
      <c r="G502" s="81"/>
      <c r="H502" s="84" t="b">
        <v>1</v>
      </c>
      <c r="I502" s="81"/>
      <c r="J502" s="81"/>
      <c r="K502" s="81" t="s">
        <v>12794</v>
      </c>
      <c r="L502" s="86">
        <v>97442.0</v>
      </c>
      <c r="M502" s="81" t="s">
        <v>33</v>
      </c>
      <c r="N502" s="81"/>
      <c r="O502" s="83" t="s">
        <v>8351</v>
      </c>
      <c r="P502" s="81"/>
      <c r="Q502" s="75" t="s">
        <v>25973</v>
      </c>
      <c r="R502" s="81"/>
      <c r="S502" s="87"/>
      <c r="T502" s="81"/>
      <c r="U502" s="81"/>
      <c r="V502" s="81"/>
      <c r="W502" s="81"/>
      <c r="X502" s="81"/>
      <c r="Y502" s="81"/>
      <c r="Z502" s="81"/>
    </row>
    <row r="503" ht="15.75" customHeight="1">
      <c r="A503" s="81" t="s">
        <v>20850</v>
      </c>
      <c r="B503" s="85" t="s">
        <v>25974</v>
      </c>
      <c r="C503" s="85" t="s">
        <v>24339</v>
      </c>
      <c r="D503" s="85" t="s">
        <v>24334</v>
      </c>
      <c r="E503" s="81" t="s">
        <v>9066</v>
      </c>
      <c r="F503" s="83" t="s">
        <v>20849</v>
      </c>
      <c r="G503" s="85" t="s">
        <v>24335</v>
      </c>
      <c r="H503" s="84" t="b">
        <v>1</v>
      </c>
      <c r="I503" s="81"/>
      <c r="J503" s="90" t="s">
        <v>14790</v>
      </c>
      <c r="K503" s="85" t="s">
        <v>25975</v>
      </c>
      <c r="L503" s="86">
        <v>97430.0</v>
      </c>
      <c r="M503" s="81" t="s">
        <v>71</v>
      </c>
      <c r="N503" s="81" t="s">
        <v>3501</v>
      </c>
      <c r="O503" s="83" t="s">
        <v>9063</v>
      </c>
      <c r="P503" s="81"/>
      <c r="Q503" s="75" t="s">
        <v>25976</v>
      </c>
      <c r="R503" s="92">
        <v>29854.0</v>
      </c>
      <c r="S503" s="93" t="s">
        <v>24460</v>
      </c>
      <c r="T503" s="81"/>
      <c r="U503" s="81"/>
      <c r="V503" s="81"/>
      <c r="W503" s="81"/>
      <c r="X503" s="81"/>
      <c r="Y503" s="81"/>
      <c r="Z503" s="81"/>
    </row>
    <row r="504" ht="15.75" customHeight="1">
      <c r="A504" s="81" t="s">
        <v>16323</v>
      </c>
      <c r="B504" s="81" t="s">
        <v>60</v>
      </c>
      <c r="C504" s="81" t="s">
        <v>25977</v>
      </c>
      <c r="D504" s="85" t="s">
        <v>24334</v>
      </c>
      <c r="E504" s="81" t="s">
        <v>2054</v>
      </c>
      <c r="F504" s="83" t="s">
        <v>16322</v>
      </c>
      <c r="G504" s="81"/>
      <c r="H504" s="84" t="b">
        <v>0</v>
      </c>
      <c r="I504" s="85">
        <v>1.0</v>
      </c>
      <c r="J504" s="86">
        <v>6.0</v>
      </c>
      <c r="K504" s="81" t="s">
        <v>24516</v>
      </c>
      <c r="L504" s="86">
        <v>97418.0</v>
      </c>
      <c r="M504" s="81" t="s">
        <v>216</v>
      </c>
      <c r="N504" s="81"/>
      <c r="O504" s="83" t="s">
        <v>2050</v>
      </c>
      <c r="P504" s="81"/>
      <c r="Q504" s="75" t="s">
        <v>25978</v>
      </c>
      <c r="R504" s="81"/>
      <c r="S504" s="87"/>
      <c r="T504" s="81"/>
      <c r="U504" s="81"/>
      <c r="V504" s="81"/>
      <c r="W504" s="81"/>
      <c r="X504" s="81"/>
      <c r="Y504" s="81"/>
      <c r="Z504" s="81"/>
    </row>
    <row r="505" ht="15.75" customHeight="1">
      <c r="A505" s="81" t="s">
        <v>19760</v>
      </c>
      <c r="B505" s="85" t="s">
        <v>60</v>
      </c>
      <c r="C505" s="85" t="s">
        <v>25979</v>
      </c>
      <c r="D505" s="85" t="s">
        <v>24334</v>
      </c>
      <c r="E505" s="82" t="s">
        <v>19758</v>
      </c>
      <c r="F505" s="83" t="s">
        <v>19759</v>
      </c>
      <c r="G505" s="85" t="s">
        <v>24420</v>
      </c>
      <c r="H505" s="84" t="b">
        <v>1</v>
      </c>
      <c r="I505" s="85">
        <v>1.0</v>
      </c>
      <c r="J505" s="100" t="s">
        <v>25980</v>
      </c>
      <c r="K505" s="100" t="s">
        <v>25981</v>
      </c>
      <c r="L505" s="86">
        <v>97414.0</v>
      </c>
      <c r="M505" s="81" t="s">
        <v>40</v>
      </c>
      <c r="N505" s="81"/>
      <c r="O505" s="83" t="s">
        <v>5718</v>
      </c>
      <c r="P505" s="81"/>
      <c r="Q505" s="75" t="s">
        <v>25982</v>
      </c>
      <c r="R505" s="81"/>
      <c r="S505" s="87"/>
      <c r="T505" s="81"/>
      <c r="U505" s="81"/>
      <c r="V505" s="81"/>
      <c r="W505" s="81"/>
      <c r="X505" s="81"/>
      <c r="Y505" s="81"/>
      <c r="Z505" s="81"/>
    </row>
    <row r="506" ht="15.75" customHeight="1">
      <c r="A506" s="81" t="s">
        <v>18454</v>
      </c>
      <c r="B506" s="81" t="s">
        <v>25983</v>
      </c>
      <c r="C506" s="81" t="s">
        <v>25472</v>
      </c>
      <c r="D506" s="85" t="s">
        <v>24334</v>
      </c>
      <c r="E506" s="81" t="s">
        <v>4940</v>
      </c>
      <c r="F506" s="83" t="s">
        <v>18451</v>
      </c>
      <c r="G506" s="81"/>
      <c r="H506" s="84" t="b">
        <v>1</v>
      </c>
      <c r="I506" s="81"/>
      <c r="J506" s="86">
        <v>119.0</v>
      </c>
      <c r="K506" s="81" t="s">
        <v>17017</v>
      </c>
      <c r="L506" s="86">
        <v>97430.0</v>
      </c>
      <c r="M506" s="81" t="s">
        <v>71</v>
      </c>
      <c r="N506" s="81"/>
      <c r="O506" s="83" t="s">
        <v>25984</v>
      </c>
      <c r="P506" s="81"/>
      <c r="Q506" s="75" t="s">
        <v>25985</v>
      </c>
      <c r="R506" s="81"/>
      <c r="S506" s="87"/>
      <c r="T506" s="81"/>
      <c r="U506" s="81"/>
      <c r="V506" s="81"/>
      <c r="W506" s="81"/>
      <c r="X506" s="81"/>
      <c r="Y506" s="81"/>
      <c r="Z506" s="81"/>
    </row>
    <row r="507" ht="15.75" customHeight="1">
      <c r="A507" s="81" t="s">
        <v>12450</v>
      </c>
      <c r="B507" s="81" t="s">
        <v>25986</v>
      </c>
      <c r="C507" s="81" t="s">
        <v>25187</v>
      </c>
      <c r="D507" s="81" t="s">
        <v>24344</v>
      </c>
      <c r="E507" s="81" t="s">
        <v>7363</v>
      </c>
      <c r="F507" s="83" t="s">
        <v>25987</v>
      </c>
      <c r="G507" s="81"/>
      <c r="H507" s="84" t="b">
        <v>1</v>
      </c>
      <c r="I507" s="85">
        <v>2.0</v>
      </c>
      <c r="J507" s="86">
        <v>23.0</v>
      </c>
      <c r="K507" s="81" t="s">
        <v>24393</v>
      </c>
      <c r="L507" s="86">
        <v>97480.0</v>
      </c>
      <c r="M507" s="81" t="s">
        <v>123</v>
      </c>
      <c r="N507" s="81" t="s">
        <v>8325</v>
      </c>
      <c r="O507" s="83" t="s">
        <v>25988</v>
      </c>
      <c r="P507" s="81"/>
      <c r="Q507" s="46" t="s">
        <v>25989</v>
      </c>
      <c r="R507" s="81"/>
      <c r="S507" s="87"/>
      <c r="T507" s="81"/>
      <c r="U507" s="81"/>
      <c r="V507" s="81"/>
      <c r="W507" s="81"/>
      <c r="X507" s="81"/>
      <c r="Y507" s="81"/>
      <c r="Z507" s="81"/>
    </row>
    <row r="508" ht="15.75" customHeight="1">
      <c r="A508" s="81" t="s">
        <v>12289</v>
      </c>
      <c r="B508" s="81" t="s">
        <v>25990</v>
      </c>
      <c r="C508" s="81" t="s">
        <v>25991</v>
      </c>
      <c r="D508" s="81" t="s">
        <v>24344</v>
      </c>
      <c r="E508" s="81" t="s">
        <v>5318</v>
      </c>
      <c r="F508" s="83" t="s">
        <v>12286</v>
      </c>
      <c r="G508" s="81"/>
      <c r="H508" s="84" t="b">
        <v>1</v>
      </c>
      <c r="I508" s="85">
        <v>1.0</v>
      </c>
      <c r="J508" s="81" t="s">
        <v>25992</v>
      </c>
      <c r="K508" s="81" t="s">
        <v>23063</v>
      </c>
      <c r="L508" s="86">
        <v>97430.0</v>
      </c>
      <c r="M508" s="81" t="s">
        <v>71</v>
      </c>
      <c r="N508" s="81"/>
      <c r="O508" s="83" t="s">
        <v>5314</v>
      </c>
      <c r="P508" s="81"/>
      <c r="Q508" s="46" t="s">
        <v>25993</v>
      </c>
      <c r="R508" s="81"/>
      <c r="S508" s="87"/>
      <c r="T508" s="81"/>
      <c r="U508" s="81"/>
      <c r="V508" s="81"/>
      <c r="W508" s="81"/>
      <c r="X508" s="81"/>
      <c r="Y508" s="81"/>
      <c r="Z508" s="81"/>
    </row>
    <row r="509" ht="15.75" customHeight="1">
      <c r="A509" s="81" t="s">
        <v>18390</v>
      </c>
      <c r="B509" s="81" t="s">
        <v>25994</v>
      </c>
      <c r="C509" s="81" t="s">
        <v>25995</v>
      </c>
      <c r="D509" s="81" t="s">
        <v>24344</v>
      </c>
      <c r="E509" s="81" t="s">
        <v>9058</v>
      </c>
      <c r="F509" s="91" t="s">
        <v>18383</v>
      </c>
      <c r="G509" s="85" t="s">
        <v>24335</v>
      </c>
      <c r="H509" s="84" t="b">
        <v>1</v>
      </c>
      <c r="I509" s="85">
        <v>4.0</v>
      </c>
      <c r="J509" s="86">
        <v>82.0</v>
      </c>
      <c r="K509" s="81" t="s">
        <v>25996</v>
      </c>
      <c r="L509" s="86">
        <v>97418.0</v>
      </c>
      <c r="M509" s="81" t="s">
        <v>216</v>
      </c>
      <c r="N509" s="81"/>
      <c r="O509" s="94" t="s">
        <v>25997</v>
      </c>
      <c r="P509" s="81"/>
      <c r="Q509" s="46" t="s">
        <v>25998</v>
      </c>
      <c r="R509" s="92">
        <v>25477.0</v>
      </c>
      <c r="S509" s="93" t="s">
        <v>24460</v>
      </c>
      <c r="T509" s="81"/>
      <c r="U509" s="81"/>
      <c r="V509" s="81"/>
      <c r="W509" s="81"/>
      <c r="X509" s="81"/>
      <c r="Y509" s="81"/>
      <c r="Z509" s="81"/>
    </row>
    <row r="510" ht="15.75" customHeight="1">
      <c r="A510" s="81" t="s">
        <v>18293</v>
      </c>
      <c r="B510" s="81" t="s">
        <v>25999</v>
      </c>
      <c r="C510" s="81" t="s">
        <v>26000</v>
      </c>
      <c r="D510" s="85" t="s">
        <v>24334</v>
      </c>
      <c r="E510" s="81" t="s">
        <v>18291</v>
      </c>
      <c r="F510" s="83" t="s">
        <v>26001</v>
      </c>
      <c r="G510" s="81"/>
      <c r="H510" s="88" t="b">
        <v>1</v>
      </c>
      <c r="I510" s="85">
        <v>1.0</v>
      </c>
      <c r="J510" s="86">
        <v>3.0</v>
      </c>
      <c r="K510" s="81" t="s">
        <v>20543</v>
      </c>
      <c r="L510" s="86">
        <v>97414.0</v>
      </c>
      <c r="M510" s="81" t="s">
        <v>40</v>
      </c>
      <c r="N510" s="81"/>
      <c r="O510" s="83" t="s">
        <v>8430</v>
      </c>
      <c r="P510" s="81"/>
      <c r="Q510" s="46" t="s">
        <v>26002</v>
      </c>
      <c r="R510" s="81"/>
      <c r="S510" s="87"/>
      <c r="T510" s="81"/>
      <c r="U510" s="81"/>
      <c r="V510" s="81"/>
      <c r="W510" s="81"/>
      <c r="X510" s="81"/>
      <c r="Y510" s="81"/>
      <c r="Z510" s="81"/>
    </row>
    <row r="511" ht="15.75" customHeight="1">
      <c r="A511" s="81" t="s">
        <v>20301</v>
      </c>
      <c r="B511" s="81" t="s">
        <v>26003</v>
      </c>
      <c r="C511" s="81" t="s">
        <v>61</v>
      </c>
      <c r="D511" s="85" t="s">
        <v>24334</v>
      </c>
      <c r="E511" s="81" t="s">
        <v>8082</v>
      </c>
      <c r="F511" s="83" t="s">
        <v>20299</v>
      </c>
      <c r="G511" s="81"/>
      <c r="H511" s="84" t="b">
        <v>1</v>
      </c>
      <c r="I511" s="81"/>
      <c r="J511" s="86">
        <v>28.0</v>
      </c>
      <c r="K511" s="81" t="s">
        <v>22999</v>
      </c>
      <c r="L511" s="86">
        <v>97480.0</v>
      </c>
      <c r="M511" s="81" t="s">
        <v>123</v>
      </c>
      <c r="N511" s="81" t="s">
        <v>8325</v>
      </c>
      <c r="O511" s="83" t="s">
        <v>8076</v>
      </c>
      <c r="P511" s="81"/>
      <c r="Q511" s="75" t="s">
        <v>26004</v>
      </c>
      <c r="R511" s="81"/>
      <c r="S511" s="87"/>
      <c r="T511" s="81"/>
      <c r="U511" s="81"/>
      <c r="V511" s="81"/>
      <c r="W511" s="81"/>
      <c r="X511" s="81"/>
      <c r="Y511" s="81"/>
      <c r="Z511" s="81"/>
    </row>
    <row r="512" ht="15.75" customHeight="1">
      <c r="A512" s="81" t="s">
        <v>20190</v>
      </c>
      <c r="B512" s="81" t="s">
        <v>26005</v>
      </c>
      <c r="C512" s="81" t="s">
        <v>24758</v>
      </c>
      <c r="D512" s="85" t="s">
        <v>24334</v>
      </c>
      <c r="E512" s="81" t="s">
        <v>4991</v>
      </c>
      <c r="F512" s="83" t="s">
        <v>20188</v>
      </c>
      <c r="G512" s="81"/>
      <c r="H512" s="84" t="b">
        <v>1</v>
      </c>
      <c r="I512" s="81"/>
      <c r="J512" s="86">
        <v>12.0</v>
      </c>
      <c r="K512" s="81" t="s">
        <v>26006</v>
      </c>
      <c r="L512" s="86">
        <v>97480.0</v>
      </c>
      <c r="M512" s="81" t="s">
        <v>123</v>
      </c>
      <c r="N512" s="81"/>
      <c r="O512" s="83" t="s">
        <v>4985</v>
      </c>
      <c r="P512" s="81"/>
      <c r="Q512" s="75" t="s">
        <v>26007</v>
      </c>
      <c r="R512" s="81"/>
      <c r="S512" s="87"/>
      <c r="T512" s="81"/>
      <c r="U512" s="81"/>
      <c r="V512" s="81"/>
      <c r="W512" s="81"/>
      <c r="X512" s="81"/>
      <c r="Y512" s="81"/>
      <c r="Z512" s="81"/>
    </row>
    <row r="513" ht="15.75" customHeight="1">
      <c r="A513" s="81"/>
      <c r="B513" s="81"/>
      <c r="C513" s="81"/>
      <c r="D513" s="85"/>
      <c r="E513" s="81"/>
      <c r="F513" s="83"/>
      <c r="G513" s="81"/>
      <c r="H513" s="84"/>
      <c r="I513" s="81"/>
      <c r="J513" s="86"/>
      <c r="K513" s="81"/>
      <c r="L513" s="86"/>
      <c r="M513" s="81"/>
      <c r="N513" s="81"/>
      <c r="O513" s="83"/>
      <c r="P513" s="81"/>
      <c r="Q513" s="75"/>
      <c r="R513" s="81"/>
      <c r="S513" s="87"/>
      <c r="T513" s="81"/>
      <c r="U513" s="81"/>
      <c r="V513" s="81"/>
      <c r="W513" s="81"/>
      <c r="X513" s="81"/>
      <c r="Y513" s="81"/>
      <c r="Z513" s="81"/>
    </row>
    <row r="514" ht="15.75" customHeight="1">
      <c r="A514" s="81" t="s">
        <v>17350</v>
      </c>
      <c r="B514" s="81" t="s">
        <v>26008</v>
      </c>
      <c r="C514" s="81" t="s">
        <v>26009</v>
      </c>
      <c r="D514" s="85" t="s">
        <v>24334</v>
      </c>
      <c r="E514" s="81" t="s">
        <v>3576</v>
      </c>
      <c r="F514" s="83" t="s">
        <v>17347</v>
      </c>
      <c r="G514" s="81"/>
      <c r="H514" s="84" t="b">
        <v>1</v>
      </c>
      <c r="I514" s="85">
        <v>1.0</v>
      </c>
      <c r="J514" s="81" t="s">
        <v>17344</v>
      </c>
      <c r="K514" s="81" t="s">
        <v>26010</v>
      </c>
      <c r="L514" s="86">
        <v>97418.0</v>
      </c>
      <c r="M514" s="81" t="s">
        <v>216</v>
      </c>
      <c r="N514" s="81"/>
      <c r="O514" s="83" t="s">
        <v>4545</v>
      </c>
      <c r="P514" s="81"/>
      <c r="Q514" s="46" t="s">
        <v>26011</v>
      </c>
      <c r="R514" s="81"/>
      <c r="S514" s="87"/>
      <c r="T514" s="81"/>
      <c r="U514" s="81"/>
      <c r="V514" s="81"/>
      <c r="W514" s="81"/>
      <c r="X514" s="81"/>
      <c r="Y514" s="81"/>
      <c r="Z514" s="81"/>
    </row>
    <row r="515" ht="15.75" customHeight="1">
      <c r="A515" s="81" t="s">
        <v>19416</v>
      </c>
      <c r="B515" s="81" t="s">
        <v>26012</v>
      </c>
      <c r="C515" s="81" t="s">
        <v>26013</v>
      </c>
      <c r="D515" s="81" t="s">
        <v>24344</v>
      </c>
      <c r="E515" s="81" t="s">
        <v>10134</v>
      </c>
      <c r="F515" s="91" t="s">
        <v>26014</v>
      </c>
      <c r="G515" s="85" t="s">
        <v>24335</v>
      </c>
      <c r="H515" s="84" t="b">
        <v>1</v>
      </c>
      <c r="I515" s="85">
        <v>2.0</v>
      </c>
      <c r="J515" s="86">
        <v>1.0</v>
      </c>
      <c r="K515" s="81" t="s">
        <v>26015</v>
      </c>
      <c r="L515" s="86">
        <v>97414.0</v>
      </c>
      <c r="M515" s="81" t="s">
        <v>40</v>
      </c>
      <c r="N515" s="81"/>
      <c r="O515" s="83" t="s">
        <v>10130</v>
      </c>
      <c r="P515" s="85" t="s">
        <v>26016</v>
      </c>
      <c r="Q515" s="75" t="s">
        <v>26017</v>
      </c>
      <c r="R515" s="92">
        <v>22730.0</v>
      </c>
      <c r="S515" s="93" t="s">
        <v>24348</v>
      </c>
      <c r="T515" s="81"/>
      <c r="U515" s="81"/>
      <c r="V515" s="81"/>
      <c r="W515" s="81"/>
      <c r="X515" s="81"/>
      <c r="Y515" s="81"/>
      <c r="Z515" s="81"/>
    </row>
    <row r="516" ht="15.75" customHeight="1">
      <c r="A516" s="81" t="s">
        <v>12997</v>
      </c>
      <c r="B516" s="81" t="s">
        <v>26018</v>
      </c>
      <c r="C516" s="81" t="s">
        <v>26019</v>
      </c>
      <c r="D516" s="85" t="s">
        <v>24334</v>
      </c>
      <c r="E516" s="81" t="s">
        <v>4718</v>
      </c>
      <c r="F516" s="91" t="s">
        <v>26020</v>
      </c>
      <c r="G516" s="81"/>
      <c r="H516" s="84" t="b">
        <v>1</v>
      </c>
      <c r="I516" s="85">
        <v>1.0</v>
      </c>
      <c r="J516" s="86">
        <v>25.0</v>
      </c>
      <c r="K516" s="81" t="s">
        <v>26021</v>
      </c>
      <c r="L516" s="86">
        <v>97480.0</v>
      </c>
      <c r="M516" s="81" t="s">
        <v>123</v>
      </c>
      <c r="N516" s="81"/>
      <c r="O516" s="83" t="s">
        <v>4712</v>
      </c>
      <c r="P516" s="81"/>
      <c r="Q516" s="75" t="s">
        <v>26022</v>
      </c>
      <c r="R516" s="81"/>
      <c r="S516" s="87"/>
      <c r="T516" s="81"/>
      <c r="U516" s="81"/>
      <c r="V516" s="81"/>
      <c r="W516" s="81"/>
      <c r="X516" s="81"/>
      <c r="Y516" s="81"/>
      <c r="Z516" s="81"/>
    </row>
    <row r="517" ht="15.75" customHeight="1">
      <c r="A517" s="81" t="s">
        <v>20965</v>
      </c>
      <c r="B517" s="81" t="s">
        <v>26005</v>
      </c>
      <c r="C517" s="81" t="s">
        <v>24761</v>
      </c>
      <c r="D517" s="81" t="s">
        <v>24344</v>
      </c>
      <c r="E517" s="81" t="s">
        <v>9740</v>
      </c>
      <c r="F517" s="83" t="s">
        <v>26023</v>
      </c>
      <c r="G517" s="81"/>
      <c r="H517" s="84" t="b">
        <v>1</v>
      </c>
      <c r="I517" s="81"/>
      <c r="J517" s="86">
        <v>29.0</v>
      </c>
      <c r="K517" s="81" t="s">
        <v>26024</v>
      </c>
      <c r="L517" s="86">
        <v>97418.0</v>
      </c>
      <c r="M517" s="81" t="s">
        <v>216</v>
      </c>
      <c r="N517" s="81"/>
      <c r="O517" s="83" t="s">
        <v>9736</v>
      </c>
      <c r="P517" s="81"/>
      <c r="Q517" s="75" t="s">
        <v>26025</v>
      </c>
      <c r="R517" s="81"/>
      <c r="S517" s="87"/>
      <c r="T517" s="81"/>
      <c r="U517" s="81"/>
      <c r="V517" s="81"/>
      <c r="W517" s="81"/>
      <c r="X517" s="81"/>
      <c r="Y517" s="81"/>
      <c r="Z517" s="81"/>
    </row>
    <row r="518" ht="15.75" customHeight="1">
      <c r="A518" s="81" t="s">
        <v>19037</v>
      </c>
      <c r="B518" s="81" t="s">
        <v>26026</v>
      </c>
      <c r="C518" s="81" t="s">
        <v>25964</v>
      </c>
      <c r="D518" s="81" t="s">
        <v>24344</v>
      </c>
      <c r="E518" s="81" t="s">
        <v>8494</v>
      </c>
      <c r="F518" s="83" t="s">
        <v>19031</v>
      </c>
      <c r="G518" s="81"/>
      <c r="H518" s="84" t="b">
        <v>1</v>
      </c>
      <c r="I518" s="81"/>
      <c r="J518" s="86">
        <v>114.0</v>
      </c>
      <c r="K518" s="81" t="s">
        <v>18266</v>
      </c>
      <c r="L518" s="86">
        <v>97480.0</v>
      </c>
      <c r="M518" s="81" t="s">
        <v>123</v>
      </c>
      <c r="N518" s="81" t="s">
        <v>3556</v>
      </c>
      <c r="O518" s="83" t="s">
        <v>8490</v>
      </c>
      <c r="P518" s="81"/>
      <c r="Q518" s="75" t="s">
        <v>26027</v>
      </c>
      <c r="R518" s="81"/>
      <c r="S518" s="87"/>
      <c r="T518" s="81"/>
      <c r="U518" s="81"/>
      <c r="V518" s="81"/>
      <c r="W518" s="81"/>
      <c r="X518" s="81"/>
      <c r="Y518" s="81"/>
      <c r="Z518" s="81"/>
    </row>
    <row r="519" ht="15.75" customHeight="1">
      <c r="A519" s="81" t="s">
        <v>13147</v>
      </c>
      <c r="B519" s="81" t="s">
        <v>26028</v>
      </c>
      <c r="C519" s="81" t="s">
        <v>25013</v>
      </c>
      <c r="D519" s="81" t="s">
        <v>24344</v>
      </c>
      <c r="E519" s="85" t="s">
        <v>8748</v>
      </c>
      <c r="F519" s="83" t="s">
        <v>13144</v>
      </c>
      <c r="G519" s="85" t="s">
        <v>24335</v>
      </c>
      <c r="H519" s="84" t="b">
        <v>1</v>
      </c>
      <c r="I519" s="85">
        <v>1.0</v>
      </c>
      <c r="J519" s="97" t="s">
        <v>26029</v>
      </c>
      <c r="K519" s="85" t="s">
        <v>13142</v>
      </c>
      <c r="L519" s="86">
        <v>97480.0</v>
      </c>
      <c r="M519" s="81" t="s">
        <v>123</v>
      </c>
      <c r="N519" s="81"/>
      <c r="O519" s="83" t="s">
        <v>8744</v>
      </c>
      <c r="P519" s="81"/>
      <c r="Q519" s="46" t="s">
        <v>26030</v>
      </c>
      <c r="R519" s="92">
        <v>18299.0</v>
      </c>
      <c r="S519" s="93" t="s">
        <v>24460</v>
      </c>
      <c r="T519" s="81"/>
      <c r="U519" s="81"/>
      <c r="V519" s="81"/>
      <c r="W519" s="81"/>
      <c r="X519" s="81"/>
      <c r="Y519" s="81"/>
      <c r="Z519" s="81"/>
    </row>
    <row r="520" ht="15.75" customHeight="1">
      <c r="A520" s="81" t="s">
        <v>19363</v>
      </c>
      <c r="B520" s="81" t="s">
        <v>26031</v>
      </c>
      <c r="C520" s="81" t="s">
        <v>26032</v>
      </c>
      <c r="D520" s="85" t="s">
        <v>24334</v>
      </c>
      <c r="E520" s="81" t="s">
        <v>8671</v>
      </c>
      <c r="F520" s="83" t="s">
        <v>19362</v>
      </c>
      <c r="G520" s="81"/>
      <c r="H520" s="84" t="b">
        <v>1</v>
      </c>
      <c r="I520" s="81"/>
      <c r="J520" s="86">
        <v>28.0</v>
      </c>
      <c r="K520" s="81" t="s">
        <v>26033</v>
      </c>
      <c r="L520" s="86">
        <v>97480.0</v>
      </c>
      <c r="M520" s="81" t="s">
        <v>123</v>
      </c>
      <c r="N520" s="81"/>
      <c r="O520" s="83" t="s">
        <v>8668</v>
      </c>
      <c r="P520" s="81"/>
      <c r="Q520" s="75" t="s">
        <v>26034</v>
      </c>
      <c r="R520" s="81"/>
      <c r="S520" s="87"/>
      <c r="T520" s="81"/>
      <c r="U520" s="81"/>
      <c r="V520" s="81"/>
      <c r="W520" s="81"/>
      <c r="X520" s="81"/>
      <c r="Y520" s="81"/>
      <c r="Z520" s="81"/>
    </row>
    <row r="521" ht="15.75" customHeight="1">
      <c r="A521" s="81" t="s">
        <v>20310</v>
      </c>
      <c r="B521" s="81" t="s">
        <v>26035</v>
      </c>
      <c r="C521" s="81" t="s">
        <v>24577</v>
      </c>
      <c r="D521" s="81" t="s">
        <v>24344</v>
      </c>
      <c r="E521" s="81" t="s">
        <v>5610</v>
      </c>
      <c r="F521" s="83" t="s">
        <v>20305</v>
      </c>
      <c r="G521" s="85" t="s">
        <v>24335</v>
      </c>
      <c r="H521" s="84" t="b">
        <v>1</v>
      </c>
      <c r="I521" s="81"/>
      <c r="J521" s="86">
        <v>3.0</v>
      </c>
      <c r="K521" s="81" t="s">
        <v>26036</v>
      </c>
      <c r="L521" s="86">
        <v>97480.0</v>
      </c>
      <c r="M521" s="81" t="s">
        <v>123</v>
      </c>
      <c r="N521" s="81" t="s">
        <v>206</v>
      </c>
      <c r="O521" s="83" t="s">
        <v>5604</v>
      </c>
      <c r="P521" s="81"/>
      <c r="Q521" s="46" t="s">
        <v>26037</v>
      </c>
      <c r="R521" s="92">
        <v>24935.0</v>
      </c>
      <c r="S521" s="93" t="s">
        <v>24460</v>
      </c>
      <c r="T521" s="81"/>
      <c r="U521" s="81"/>
      <c r="V521" s="81"/>
      <c r="W521" s="81"/>
      <c r="X521" s="81"/>
      <c r="Y521" s="81"/>
      <c r="Z521" s="81"/>
    </row>
    <row r="522" ht="15.75" customHeight="1">
      <c r="A522" s="81" t="s">
        <v>21664</v>
      </c>
      <c r="B522" s="81" t="s">
        <v>26038</v>
      </c>
      <c r="C522" s="81" t="s">
        <v>26039</v>
      </c>
      <c r="D522" s="85" t="s">
        <v>24334</v>
      </c>
      <c r="E522" s="81" t="s">
        <v>9622</v>
      </c>
      <c r="F522" s="83" t="s">
        <v>21663</v>
      </c>
      <c r="G522" s="81"/>
      <c r="H522" s="84" t="b">
        <v>1</v>
      </c>
      <c r="I522" s="81"/>
      <c r="J522" s="86">
        <v>9.0</v>
      </c>
      <c r="K522" s="81" t="s">
        <v>25078</v>
      </c>
      <c r="L522" s="86">
        <v>97480.0</v>
      </c>
      <c r="M522" s="81" t="s">
        <v>123</v>
      </c>
      <c r="N522" s="81" t="s">
        <v>206</v>
      </c>
      <c r="O522" s="83" t="s">
        <v>9619</v>
      </c>
      <c r="P522" s="81"/>
      <c r="Q522" s="75" t="s">
        <v>26040</v>
      </c>
      <c r="R522" s="81"/>
      <c r="S522" s="87"/>
      <c r="T522" s="81"/>
      <c r="U522" s="81"/>
      <c r="V522" s="81"/>
      <c r="W522" s="81"/>
      <c r="X522" s="81"/>
      <c r="Y522" s="81"/>
      <c r="Z522" s="81"/>
    </row>
    <row r="523" ht="15.75" customHeight="1">
      <c r="A523" s="19" t="s">
        <v>15608</v>
      </c>
      <c r="B523" s="19" t="s">
        <v>26041</v>
      </c>
      <c r="C523" s="19" t="s">
        <v>26042</v>
      </c>
      <c r="D523" s="19" t="s">
        <v>24344</v>
      </c>
      <c r="E523" s="101" t="s">
        <v>15601</v>
      </c>
      <c r="F523" s="102" t="s">
        <v>15646</v>
      </c>
      <c r="G523" s="19" t="s">
        <v>24335</v>
      </c>
      <c r="H523" s="84" t="b">
        <v>1</v>
      </c>
      <c r="I523" s="19">
        <v>2.0</v>
      </c>
      <c r="J523" s="102" t="s">
        <v>15598</v>
      </c>
      <c r="K523" s="19" t="s">
        <v>15644</v>
      </c>
      <c r="L523" s="19">
        <v>97442.0</v>
      </c>
      <c r="M523" s="19" t="s">
        <v>33</v>
      </c>
      <c r="N523" s="103"/>
      <c r="O523" s="102" t="s">
        <v>26043</v>
      </c>
      <c r="P523" s="103"/>
      <c r="Q523" s="46" t="s">
        <v>26044</v>
      </c>
      <c r="R523" s="104">
        <v>27792.0</v>
      </c>
      <c r="S523" s="103"/>
      <c r="T523" s="103"/>
      <c r="U523" s="103"/>
      <c r="V523" s="103"/>
      <c r="W523" s="103"/>
      <c r="X523" s="103"/>
      <c r="Y523" s="103"/>
      <c r="Z523" s="103"/>
    </row>
    <row r="524" ht="15.75" customHeight="1">
      <c r="A524" s="19" t="s">
        <v>20059</v>
      </c>
      <c r="B524" s="19" t="s">
        <v>26045</v>
      </c>
      <c r="C524" s="19" t="s">
        <v>25887</v>
      </c>
      <c r="D524" s="19" t="s">
        <v>24344</v>
      </c>
      <c r="E524" s="101" t="s">
        <v>20053</v>
      </c>
      <c r="F524" s="102" t="s">
        <v>20054</v>
      </c>
      <c r="G524" s="19" t="s">
        <v>24335</v>
      </c>
      <c r="H524" s="19" t="b">
        <v>1</v>
      </c>
      <c r="I524" s="19">
        <v>1.0</v>
      </c>
      <c r="J524" s="19" t="s">
        <v>26046</v>
      </c>
      <c r="K524" s="19" t="s">
        <v>19733</v>
      </c>
      <c r="L524" s="19">
        <v>97414.0</v>
      </c>
      <c r="M524" s="19" t="s">
        <v>40</v>
      </c>
      <c r="N524" s="103"/>
      <c r="O524" s="19" t="s">
        <v>26047</v>
      </c>
      <c r="P524" s="103"/>
      <c r="Q524" s="46" t="s">
        <v>26048</v>
      </c>
      <c r="R524" s="103"/>
      <c r="S524" s="103"/>
      <c r="T524" s="103"/>
      <c r="U524" s="103"/>
      <c r="V524" s="103"/>
      <c r="W524" s="103"/>
      <c r="X524" s="103"/>
      <c r="Y524" s="103"/>
      <c r="Z524" s="103"/>
    </row>
    <row r="525" ht="15.75" customHeight="1">
      <c r="A525" s="19" t="s">
        <v>14489</v>
      </c>
      <c r="B525" s="19" t="s">
        <v>26049</v>
      </c>
      <c r="C525" s="19" t="s">
        <v>26050</v>
      </c>
      <c r="D525" s="19" t="s">
        <v>24334</v>
      </c>
      <c r="E525" s="101" t="s">
        <v>14484</v>
      </c>
      <c r="F525" s="102" t="s">
        <v>14485</v>
      </c>
      <c r="G525" s="19" t="s">
        <v>24335</v>
      </c>
      <c r="H525" s="19" t="b">
        <v>1</v>
      </c>
      <c r="I525" s="19">
        <v>1.0</v>
      </c>
      <c r="J525" s="102" t="s">
        <v>18682</v>
      </c>
      <c r="K525" s="19" t="s">
        <v>26051</v>
      </c>
      <c r="L525" s="19">
        <v>95320.0</v>
      </c>
      <c r="M525" s="19" t="s">
        <v>26052</v>
      </c>
      <c r="N525" s="103"/>
      <c r="O525" s="19" t="s">
        <v>3552</v>
      </c>
      <c r="P525" s="103"/>
      <c r="Q525" s="46" t="s">
        <v>26053</v>
      </c>
      <c r="R525" s="103"/>
      <c r="S525" s="103"/>
      <c r="T525" s="103"/>
      <c r="U525" s="103"/>
      <c r="V525" s="103"/>
      <c r="W525" s="103"/>
      <c r="X525" s="103"/>
      <c r="Y525" s="103"/>
      <c r="Z525" s="103"/>
    </row>
    <row r="526" ht="15.75" customHeight="1">
      <c r="A526" s="19" t="s">
        <v>20046</v>
      </c>
      <c r="B526" s="19" t="s">
        <v>26054</v>
      </c>
      <c r="C526" s="19" t="s">
        <v>24428</v>
      </c>
      <c r="D526" s="19" t="s">
        <v>24344</v>
      </c>
      <c r="E526" s="101" t="s">
        <v>20041</v>
      </c>
      <c r="F526" s="102" t="s">
        <v>20042</v>
      </c>
      <c r="G526" s="19" t="s">
        <v>24335</v>
      </c>
      <c r="H526" s="19" t="b">
        <v>1</v>
      </c>
      <c r="I526" s="19">
        <v>1.0</v>
      </c>
      <c r="J526" s="19" t="s">
        <v>26055</v>
      </c>
      <c r="K526" s="19" t="s">
        <v>26056</v>
      </c>
      <c r="L526" s="19">
        <v>97480.0</v>
      </c>
      <c r="M526" s="19" t="s">
        <v>123</v>
      </c>
      <c r="N526" s="103"/>
      <c r="O526" s="102" t="s">
        <v>20037</v>
      </c>
      <c r="P526" s="103"/>
      <c r="Q526" s="46" t="s">
        <v>26057</v>
      </c>
      <c r="R526" s="103"/>
      <c r="S526" s="103"/>
      <c r="T526" s="103"/>
      <c r="U526" s="103"/>
      <c r="V526" s="103"/>
      <c r="W526" s="103"/>
      <c r="X526" s="103"/>
      <c r="Y526" s="103"/>
      <c r="Z526" s="103"/>
    </row>
    <row r="527" ht="15.75" customHeight="1">
      <c r="A527" s="19" t="s">
        <v>18661</v>
      </c>
      <c r="B527" s="19" t="s">
        <v>26058</v>
      </c>
      <c r="C527" s="19" t="s">
        <v>26059</v>
      </c>
      <c r="D527" s="19" t="s">
        <v>24344</v>
      </c>
      <c r="E527" s="101" t="s">
        <v>18655</v>
      </c>
      <c r="F527" s="102" t="s">
        <v>18656</v>
      </c>
      <c r="G527" s="19" t="s">
        <v>24335</v>
      </c>
      <c r="H527" s="19" t="b">
        <v>1</v>
      </c>
      <c r="I527" s="19">
        <v>1.0</v>
      </c>
      <c r="J527" s="102" t="s">
        <v>12720</v>
      </c>
      <c r="K527" s="19" t="s">
        <v>26060</v>
      </c>
      <c r="L527" s="19">
        <v>97480.0</v>
      </c>
      <c r="M527" s="19" t="s">
        <v>123</v>
      </c>
      <c r="N527" s="103"/>
      <c r="O527" s="19" t="s">
        <v>11887</v>
      </c>
      <c r="P527" s="103"/>
      <c r="Q527" s="46" t="s">
        <v>26061</v>
      </c>
      <c r="R527" s="103"/>
      <c r="S527" s="103"/>
      <c r="T527" s="103"/>
      <c r="U527" s="103"/>
      <c r="V527" s="103"/>
      <c r="W527" s="103"/>
      <c r="X527" s="103"/>
      <c r="Y527" s="103"/>
      <c r="Z527" s="103"/>
    </row>
    <row r="528" ht="15.75" customHeight="1">
      <c r="A528" s="19" t="s">
        <v>17179</v>
      </c>
      <c r="B528" s="19" t="s">
        <v>26062</v>
      </c>
      <c r="C528" s="19" t="s">
        <v>25884</v>
      </c>
      <c r="D528" s="19" t="s">
        <v>24344</v>
      </c>
      <c r="E528" s="101" t="s">
        <v>17175</v>
      </c>
      <c r="F528" s="102" t="s">
        <v>17176</v>
      </c>
      <c r="G528" s="19" t="s">
        <v>24335</v>
      </c>
      <c r="H528" s="19" t="b">
        <v>1</v>
      </c>
      <c r="I528" s="19">
        <v>1.0</v>
      </c>
      <c r="J528" s="102" t="s">
        <v>14338</v>
      </c>
      <c r="K528" s="19" t="s">
        <v>26063</v>
      </c>
      <c r="L528" s="19">
        <v>97480.0</v>
      </c>
      <c r="M528" s="19" t="s">
        <v>123</v>
      </c>
      <c r="N528" s="103"/>
      <c r="O528" s="19" t="s">
        <v>12185</v>
      </c>
      <c r="P528" s="103"/>
      <c r="Q528" s="46" t="s">
        <v>26064</v>
      </c>
      <c r="R528" s="103"/>
      <c r="S528" s="103"/>
      <c r="T528" s="103"/>
      <c r="U528" s="103"/>
      <c r="V528" s="103"/>
      <c r="W528" s="103"/>
      <c r="X528" s="103"/>
      <c r="Y528" s="103"/>
      <c r="Z528" s="103"/>
    </row>
    <row r="529" ht="15.75" customHeight="1">
      <c r="A529" s="19" t="s">
        <v>20033</v>
      </c>
      <c r="B529" s="19" t="s">
        <v>26065</v>
      </c>
      <c r="C529" s="19" t="s">
        <v>26066</v>
      </c>
      <c r="D529" s="19" t="s">
        <v>24334</v>
      </c>
      <c r="E529" s="101" t="s">
        <v>20027</v>
      </c>
      <c r="F529" s="102" t="s">
        <v>26067</v>
      </c>
      <c r="G529" s="19" t="s">
        <v>24335</v>
      </c>
      <c r="H529" s="19" t="b">
        <v>1</v>
      </c>
      <c r="I529" s="19">
        <v>1.0</v>
      </c>
      <c r="J529" s="102" t="s">
        <v>14338</v>
      </c>
      <c r="K529" s="19" t="s">
        <v>26068</v>
      </c>
      <c r="L529" s="19">
        <v>97418.0</v>
      </c>
      <c r="M529" s="19" t="s">
        <v>216</v>
      </c>
      <c r="N529" s="103"/>
      <c r="O529" s="19" t="s">
        <v>11919</v>
      </c>
      <c r="P529" s="103"/>
      <c r="Q529" s="19" t="s">
        <v>26069</v>
      </c>
      <c r="R529" s="103"/>
      <c r="S529" s="103"/>
      <c r="T529" s="103"/>
      <c r="U529" s="103"/>
      <c r="V529" s="103"/>
      <c r="W529" s="103"/>
      <c r="X529" s="103"/>
      <c r="Y529" s="103"/>
      <c r="Z529" s="103"/>
    </row>
    <row r="530" ht="15.75" customHeight="1">
      <c r="A530" s="19" t="s">
        <v>20019</v>
      </c>
      <c r="B530" s="19" t="s">
        <v>25481</v>
      </c>
      <c r="C530" s="19" t="s">
        <v>25010</v>
      </c>
      <c r="D530" s="19" t="s">
        <v>24344</v>
      </c>
      <c r="E530" s="101" t="s">
        <v>26070</v>
      </c>
      <c r="F530" s="102" t="s">
        <v>26071</v>
      </c>
      <c r="G530" s="19" t="s">
        <v>24335</v>
      </c>
      <c r="H530" s="19" t="b">
        <v>1</v>
      </c>
      <c r="I530" s="19">
        <v>1.0</v>
      </c>
      <c r="J530" s="102" t="s">
        <v>12925</v>
      </c>
      <c r="K530" s="19" t="s">
        <v>20013</v>
      </c>
      <c r="L530" s="19">
        <v>97480.0</v>
      </c>
      <c r="M530" s="19" t="s">
        <v>123</v>
      </c>
      <c r="N530" s="103"/>
      <c r="O530" s="19" t="s">
        <v>12120</v>
      </c>
      <c r="P530" s="103"/>
      <c r="Q530" s="19" t="s">
        <v>26072</v>
      </c>
      <c r="R530" s="103"/>
      <c r="S530" s="103"/>
      <c r="T530" s="103"/>
      <c r="U530" s="103"/>
      <c r="V530" s="103"/>
      <c r="W530" s="103"/>
      <c r="X530" s="103"/>
      <c r="Y530" s="103"/>
      <c r="Z530" s="103"/>
    </row>
    <row r="531" ht="15.75" customHeight="1">
      <c r="A531" s="19" t="s">
        <v>15289</v>
      </c>
      <c r="B531" s="19" t="s">
        <v>26073</v>
      </c>
      <c r="C531" s="19" t="s">
        <v>36</v>
      </c>
      <c r="D531" s="19" t="s">
        <v>24334</v>
      </c>
      <c r="E531" s="101" t="s">
        <v>15284</v>
      </c>
      <c r="F531" s="102" t="s">
        <v>26074</v>
      </c>
      <c r="G531" s="19" t="s">
        <v>24335</v>
      </c>
      <c r="H531" s="19" t="b">
        <v>1</v>
      </c>
      <c r="I531" s="103"/>
      <c r="J531" s="19" t="s">
        <v>26075</v>
      </c>
      <c r="K531" s="19" t="s">
        <v>26076</v>
      </c>
      <c r="L531" s="19">
        <v>97480.0</v>
      </c>
      <c r="M531" s="19" t="s">
        <v>123</v>
      </c>
      <c r="N531" s="103"/>
      <c r="O531" s="19" t="s">
        <v>11717</v>
      </c>
      <c r="P531" s="103"/>
      <c r="Q531" s="19" t="s">
        <v>26077</v>
      </c>
      <c r="R531" s="103"/>
      <c r="S531" s="103"/>
      <c r="T531" s="103"/>
      <c r="U531" s="103"/>
      <c r="V531" s="103"/>
      <c r="W531" s="103"/>
      <c r="X531" s="103"/>
      <c r="Y531" s="103"/>
      <c r="Z531" s="103"/>
    </row>
    <row r="532" ht="15.75" customHeight="1">
      <c r="A532" s="19" t="s">
        <v>16264</v>
      </c>
      <c r="B532" s="19" t="s">
        <v>26078</v>
      </c>
      <c r="C532" s="19" t="s">
        <v>26079</v>
      </c>
      <c r="D532" s="19" t="s">
        <v>24334</v>
      </c>
      <c r="E532" s="101" t="s">
        <v>16257</v>
      </c>
      <c r="F532" s="102" t="s">
        <v>16258</v>
      </c>
      <c r="G532" s="19" t="s">
        <v>24335</v>
      </c>
      <c r="H532" s="19" t="b">
        <v>0</v>
      </c>
      <c r="I532" s="19">
        <v>1.0</v>
      </c>
      <c r="J532" s="19" t="s">
        <v>16254</v>
      </c>
      <c r="K532" s="19" t="s">
        <v>26080</v>
      </c>
      <c r="L532" s="19">
        <v>97480.0</v>
      </c>
      <c r="M532" s="19" t="s">
        <v>123</v>
      </c>
      <c r="N532" s="103"/>
      <c r="O532" s="19" t="s">
        <v>26081</v>
      </c>
      <c r="P532" s="103"/>
      <c r="Q532" s="19" t="s">
        <v>26082</v>
      </c>
      <c r="R532" s="103"/>
      <c r="S532" s="103"/>
      <c r="T532" s="103"/>
      <c r="U532" s="103"/>
      <c r="V532" s="103"/>
      <c r="W532" s="103"/>
      <c r="X532" s="103"/>
      <c r="Y532" s="103"/>
      <c r="Z532" s="103"/>
    </row>
    <row r="533" ht="15.75" customHeight="1">
      <c r="A533" s="19" t="s">
        <v>17887</v>
      </c>
      <c r="B533" s="19" t="s">
        <v>26083</v>
      </c>
      <c r="C533" s="19" t="s">
        <v>26084</v>
      </c>
      <c r="D533" s="19" t="s">
        <v>24344</v>
      </c>
      <c r="E533" s="101" t="s">
        <v>17884</v>
      </c>
      <c r="F533" s="102" t="s">
        <v>17885</v>
      </c>
      <c r="G533" s="19" t="s">
        <v>24335</v>
      </c>
      <c r="H533" s="19" t="b">
        <v>0</v>
      </c>
      <c r="I533" s="19">
        <v>0.0</v>
      </c>
      <c r="J533" s="102" t="s">
        <v>22414</v>
      </c>
      <c r="K533" s="19" t="s">
        <v>26085</v>
      </c>
      <c r="L533" s="19">
        <v>97417.0</v>
      </c>
      <c r="M533" s="19" t="s">
        <v>26086</v>
      </c>
      <c r="N533" s="103"/>
      <c r="O533" s="19" t="s">
        <v>10733</v>
      </c>
      <c r="P533" s="103"/>
      <c r="Q533" s="19" t="s">
        <v>26087</v>
      </c>
      <c r="R533" s="103"/>
      <c r="S533" s="103"/>
      <c r="T533" s="103"/>
      <c r="U533" s="103"/>
      <c r="V533" s="103"/>
      <c r="W533" s="103"/>
      <c r="X533" s="103"/>
      <c r="Y533" s="103"/>
      <c r="Z533" s="103"/>
    </row>
    <row r="534" ht="15.75" customHeight="1">
      <c r="A534" s="19" t="s">
        <v>19153</v>
      </c>
      <c r="B534" s="19" t="s">
        <v>26088</v>
      </c>
      <c r="C534" s="19" t="s">
        <v>26089</v>
      </c>
      <c r="D534" s="19" t="s">
        <v>24334</v>
      </c>
      <c r="E534" s="101" t="s">
        <v>19147</v>
      </c>
      <c r="F534" s="102" t="s">
        <v>19148</v>
      </c>
      <c r="G534" s="19" t="s">
        <v>24335</v>
      </c>
      <c r="H534" s="19" t="b">
        <v>1</v>
      </c>
      <c r="I534" s="19">
        <v>1.0</v>
      </c>
      <c r="J534" s="102" t="s">
        <v>12468</v>
      </c>
      <c r="K534" s="19" t="s">
        <v>26090</v>
      </c>
      <c r="L534" s="19">
        <v>97442.0</v>
      </c>
      <c r="M534" s="19" t="s">
        <v>33</v>
      </c>
      <c r="N534" s="103"/>
      <c r="O534" s="19" t="s">
        <v>26091</v>
      </c>
      <c r="P534" s="19" t="s">
        <v>26092</v>
      </c>
      <c r="Q534" s="19" t="s">
        <v>26093</v>
      </c>
      <c r="R534" s="103"/>
      <c r="S534" s="103"/>
      <c r="T534" s="103"/>
      <c r="U534" s="103"/>
      <c r="V534" s="103"/>
      <c r="W534" s="103"/>
      <c r="X534" s="103"/>
      <c r="Y534" s="103"/>
      <c r="Z534" s="103"/>
    </row>
    <row r="535" ht="15.75" customHeight="1">
      <c r="A535" s="19" t="s">
        <v>26094</v>
      </c>
      <c r="B535" s="19" t="s">
        <v>26095</v>
      </c>
      <c r="C535" s="19" t="s">
        <v>26096</v>
      </c>
      <c r="D535" s="19" t="s">
        <v>24344</v>
      </c>
      <c r="E535" s="101" t="s">
        <v>20003</v>
      </c>
      <c r="F535" s="102" t="s">
        <v>20004</v>
      </c>
      <c r="G535" s="19" t="s">
        <v>24335</v>
      </c>
      <c r="H535" s="19" t="b">
        <v>1</v>
      </c>
      <c r="I535" s="103"/>
      <c r="J535" s="102" t="s">
        <v>14580</v>
      </c>
      <c r="K535" s="19" t="s">
        <v>16821</v>
      </c>
      <c r="L535" s="19">
        <v>97480.0</v>
      </c>
      <c r="M535" s="19" t="s">
        <v>123</v>
      </c>
      <c r="N535" s="103"/>
      <c r="O535" s="19" t="s">
        <v>11633</v>
      </c>
      <c r="P535" s="103"/>
      <c r="Q535" s="19" t="s">
        <v>26097</v>
      </c>
      <c r="R535" s="103"/>
      <c r="S535" s="103"/>
      <c r="T535" s="103"/>
      <c r="U535" s="103"/>
      <c r="V535" s="103"/>
      <c r="W535" s="103"/>
      <c r="X535" s="103"/>
      <c r="Y535" s="103"/>
      <c r="Z535" s="103"/>
    </row>
    <row r="536" ht="15.75" customHeight="1">
      <c r="A536" s="19" t="s">
        <v>26098</v>
      </c>
      <c r="B536" s="19" t="s">
        <v>25541</v>
      </c>
      <c r="C536" s="19" t="s">
        <v>26099</v>
      </c>
      <c r="D536" s="19" t="s">
        <v>24344</v>
      </c>
      <c r="E536" s="101" t="s">
        <v>13076</v>
      </c>
      <c r="F536" s="102" t="s">
        <v>26100</v>
      </c>
      <c r="G536" s="19" t="s">
        <v>26101</v>
      </c>
      <c r="H536" s="19" t="b">
        <v>1</v>
      </c>
      <c r="I536" s="19">
        <v>1.0</v>
      </c>
      <c r="J536" s="102" t="s">
        <v>13073</v>
      </c>
      <c r="K536" s="19" t="s">
        <v>13074</v>
      </c>
      <c r="L536" s="19">
        <v>97480.0</v>
      </c>
      <c r="M536" s="19" t="s">
        <v>123</v>
      </c>
      <c r="N536" s="103"/>
      <c r="O536" s="19" t="s">
        <v>234</v>
      </c>
      <c r="P536" s="19" t="s">
        <v>26102</v>
      </c>
      <c r="Q536" s="19" t="s">
        <v>26103</v>
      </c>
      <c r="R536" s="103"/>
      <c r="S536" s="19" t="s">
        <v>24348</v>
      </c>
      <c r="T536" s="103"/>
      <c r="U536" s="103"/>
      <c r="V536" s="103"/>
      <c r="W536" s="103"/>
      <c r="X536" s="103"/>
      <c r="Y536" s="103"/>
      <c r="Z536" s="103"/>
    </row>
    <row r="537" ht="15.75" customHeight="1">
      <c r="A537" s="19" t="s">
        <v>26104</v>
      </c>
      <c r="B537" s="19" t="s">
        <v>25541</v>
      </c>
      <c r="C537" s="19" t="s">
        <v>26105</v>
      </c>
      <c r="D537" s="19" t="s">
        <v>24334</v>
      </c>
      <c r="E537" s="101" t="s">
        <v>26106</v>
      </c>
      <c r="F537" s="102" t="s">
        <v>26107</v>
      </c>
      <c r="G537" s="19" t="s">
        <v>24335</v>
      </c>
      <c r="H537" s="19" t="b">
        <v>1</v>
      </c>
      <c r="I537" s="19">
        <v>0.0</v>
      </c>
      <c r="J537" s="102" t="s">
        <v>13073</v>
      </c>
      <c r="K537" s="19" t="s">
        <v>13074</v>
      </c>
      <c r="L537" s="19">
        <v>97480.0</v>
      </c>
      <c r="M537" s="19" t="s">
        <v>123</v>
      </c>
      <c r="N537" s="103"/>
      <c r="O537" s="19" t="s">
        <v>234</v>
      </c>
      <c r="P537" s="103"/>
      <c r="Q537" s="19" t="s">
        <v>26108</v>
      </c>
      <c r="R537" s="103"/>
      <c r="S537" s="103"/>
      <c r="T537" s="103"/>
      <c r="U537" s="103"/>
      <c r="V537" s="103"/>
      <c r="W537" s="103"/>
      <c r="X537" s="103"/>
      <c r="Y537" s="103"/>
      <c r="Z537" s="103"/>
    </row>
    <row r="538" ht="15.75" customHeight="1">
      <c r="A538" s="19" t="s">
        <v>19998</v>
      </c>
      <c r="B538" s="19" t="s">
        <v>26109</v>
      </c>
      <c r="C538" s="19" t="s">
        <v>26110</v>
      </c>
      <c r="D538" s="19" t="s">
        <v>24344</v>
      </c>
      <c r="E538" s="101" t="s">
        <v>19996</v>
      </c>
      <c r="F538" s="102" t="s">
        <v>19997</v>
      </c>
      <c r="G538" s="19" t="s">
        <v>24335</v>
      </c>
      <c r="H538" s="19" t="b">
        <v>0</v>
      </c>
      <c r="I538" s="103"/>
      <c r="J538" s="102" t="s">
        <v>13331</v>
      </c>
      <c r="K538" s="19" t="s">
        <v>26111</v>
      </c>
      <c r="L538" s="19">
        <v>97480.0</v>
      </c>
      <c r="M538" s="19" t="s">
        <v>123</v>
      </c>
      <c r="N538" s="103"/>
      <c r="O538" s="19" t="s">
        <v>12162</v>
      </c>
      <c r="P538" s="103"/>
      <c r="Q538" s="19" t="s">
        <v>26112</v>
      </c>
      <c r="R538" s="103"/>
      <c r="S538" s="103"/>
      <c r="T538" s="103"/>
      <c r="U538" s="103"/>
      <c r="V538" s="103"/>
      <c r="W538" s="103"/>
      <c r="X538" s="103"/>
      <c r="Y538" s="103"/>
      <c r="Z538" s="103"/>
    </row>
    <row r="539" ht="15.75" customHeight="1">
      <c r="A539" s="19" t="s">
        <v>18553</v>
      </c>
      <c r="B539" s="19" t="s">
        <v>26113</v>
      </c>
      <c r="C539" s="19" t="s">
        <v>26114</v>
      </c>
      <c r="D539" s="19" t="s">
        <v>24344</v>
      </c>
      <c r="E539" s="101" t="s">
        <v>18547</v>
      </c>
      <c r="F539" s="102" t="s">
        <v>18548</v>
      </c>
      <c r="G539" s="19" t="s">
        <v>24335</v>
      </c>
      <c r="H539" s="19" t="b">
        <v>1</v>
      </c>
      <c r="I539" s="19">
        <v>2.0</v>
      </c>
      <c r="J539" s="102" t="s">
        <v>17436</v>
      </c>
      <c r="K539" s="19" t="s">
        <v>26115</v>
      </c>
      <c r="L539" s="19">
        <v>97480.0</v>
      </c>
      <c r="M539" s="19" t="s">
        <v>123</v>
      </c>
      <c r="N539" s="103"/>
      <c r="O539" s="19" t="s">
        <v>26116</v>
      </c>
      <c r="P539" s="103"/>
      <c r="Q539" s="19" t="s">
        <v>26117</v>
      </c>
      <c r="R539" s="103"/>
      <c r="S539" s="103"/>
      <c r="T539" s="103"/>
      <c r="U539" s="103"/>
      <c r="V539" s="103"/>
      <c r="W539" s="103"/>
      <c r="X539" s="103"/>
      <c r="Y539" s="103"/>
      <c r="Z539" s="103"/>
    </row>
    <row r="540" ht="15.75" customHeight="1">
      <c r="A540" s="19" t="s">
        <v>14096</v>
      </c>
      <c r="B540" s="19" t="s">
        <v>26118</v>
      </c>
      <c r="C540" s="19" t="s">
        <v>26119</v>
      </c>
      <c r="D540" s="19" t="s">
        <v>24344</v>
      </c>
      <c r="E540" s="101" t="s">
        <v>14089</v>
      </c>
      <c r="F540" s="102" t="s">
        <v>26120</v>
      </c>
      <c r="G540" s="19" t="s">
        <v>24335</v>
      </c>
      <c r="H540" s="19" t="b">
        <v>1</v>
      </c>
      <c r="I540" s="19">
        <v>1.0</v>
      </c>
      <c r="J540" s="102" t="s">
        <v>15177</v>
      </c>
      <c r="K540" s="19" t="s">
        <v>14087</v>
      </c>
      <c r="L540" s="19">
        <v>97480.0</v>
      </c>
      <c r="M540" s="19" t="s">
        <v>123</v>
      </c>
      <c r="N540" s="103"/>
      <c r="O540" s="19" t="s">
        <v>10380</v>
      </c>
      <c r="P540" s="103"/>
      <c r="Q540" s="19" t="s">
        <v>26121</v>
      </c>
      <c r="R540" s="104">
        <v>16533.0</v>
      </c>
      <c r="S540" s="103"/>
      <c r="T540" s="103"/>
      <c r="U540" s="103"/>
      <c r="V540" s="103"/>
      <c r="W540" s="103"/>
      <c r="X540" s="103"/>
      <c r="Y540" s="103"/>
      <c r="Z540" s="103"/>
    </row>
    <row r="541" ht="15.75" customHeight="1">
      <c r="A541" s="19" t="s">
        <v>14274</v>
      </c>
      <c r="B541" s="19" t="s">
        <v>25695</v>
      </c>
      <c r="C541" s="19" t="s">
        <v>26122</v>
      </c>
      <c r="D541" s="19" t="s">
        <v>24334</v>
      </c>
      <c r="E541" s="101" t="s">
        <v>14269</v>
      </c>
      <c r="F541" s="102" t="s">
        <v>14270</v>
      </c>
      <c r="G541" s="19" t="s">
        <v>24335</v>
      </c>
      <c r="H541" s="19" t="b">
        <v>0</v>
      </c>
      <c r="I541" s="103"/>
      <c r="J541" s="102" t="s">
        <v>14181</v>
      </c>
      <c r="K541" s="19" t="s">
        <v>26123</v>
      </c>
      <c r="L541" s="19">
        <v>49450.0</v>
      </c>
      <c r="M541" s="19" t="s">
        <v>26124</v>
      </c>
      <c r="N541" s="103"/>
      <c r="O541" s="19" t="s">
        <v>10691</v>
      </c>
      <c r="P541" s="103"/>
      <c r="Q541" s="19" t="s">
        <v>26125</v>
      </c>
      <c r="R541" s="103"/>
      <c r="S541" s="103"/>
      <c r="T541" s="103"/>
      <c r="U541" s="103"/>
      <c r="V541" s="103"/>
      <c r="W541" s="103"/>
      <c r="X541" s="103"/>
      <c r="Y541" s="103"/>
      <c r="Z541" s="103"/>
    </row>
    <row r="542" ht="15.75" customHeight="1">
      <c r="A542" s="19" t="s">
        <v>19990</v>
      </c>
      <c r="B542" s="19" t="s">
        <v>25695</v>
      </c>
      <c r="C542" s="19" t="s">
        <v>26126</v>
      </c>
      <c r="D542" s="19" t="s">
        <v>24344</v>
      </c>
      <c r="E542" s="101" t="s">
        <v>19988</v>
      </c>
      <c r="F542" s="102" t="s">
        <v>19989</v>
      </c>
      <c r="G542" s="19" t="s">
        <v>24335</v>
      </c>
      <c r="H542" s="19" t="b">
        <v>0</v>
      </c>
      <c r="I542" s="103"/>
      <c r="J542" s="102" t="s">
        <v>12820</v>
      </c>
      <c r="K542" s="19" t="s">
        <v>26127</v>
      </c>
      <c r="L542" s="19">
        <v>97480.0</v>
      </c>
      <c r="M542" s="19" t="s">
        <v>123</v>
      </c>
      <c r="N542" s="103"/>
      <c r="O542" s="19" t="s">
        <v>10240</v>
      </c>
      <c r="P542" s="103"/>
      <c r="Q542" s="19" t="s">
        <v>26128</v>
      </c>
      <c r="R542" s="103"/>
      <c r="S542" s="103"/>
      <c r="T542" s="103"/>
      <c r="U542" s="103"/>
      <c r="V542" s="103"/>
      <c r="W542" s="103"/>
      <c r="X542" s="103"/>
      <c r="Y542" s="103"/>
      <c r="Z542" s="103"/>
    </row>
    <row r="543" ht="15.75" customHeight="1">
      <c r="A543" s="19" t="s">
        <v>17303</v>
      </c>
      <c r="B543" s="19" t="s">
        <v>24352</v>
      </c>
      <c r="C543" s="19" t="s">
        <v>26129</v>
      </c>
      <c r="D543" s="19" t="s">
        <v>24334</v>
      </c>
      <c r="E543" s="101" t="s">
        <v>17296</v>
      </c>
      <c r="F543" s="102" t="s">
        <v>17297</v>
      </c>
      <c r="G543" s="19" t="s">
        <v>24335</v>
      </c>
      <c r="H543" s="19" t="b">
        <v>1</v>
      </c>
      <c r="I543" s="19">
        <v>1.0</v>
      </c>
      <c r="J543" s="102" t="s">
        <v>17844</v>
      </c>
      <c r="K543" s="19" t="s">
        <v>26130</v>
      </c>
      <c r="L543" s="19">
        <v>97442.0</v>
      </c>
      <c r="M543" s="19" t="s">
        <v>33</v>
      </c>
      <c r="N543" s="103"/>
      <c r="O543" s="19" t="s">
        <v>12191</v>
      </c>
      <c r="P543" s="103"/>
      <c r="Q543" s="19" t="s">
        <v>26131</v>
      </c>
      <c r="R543" s="103"/>
      <c r="S543" s="103"/>
      <c r="T543" s="103"/>
      <c r="U543" s="103"/>
      <c r="V543" s="103"/>
      <c r="W543" s="103"/>
      <c r="X543" s="103"/>
      <c r="Y543" s="103"/>
      <c r="Z543" s="103"/>
    </row>
    <row r="544" ht="15.75" customHeight="1">
      <c r="A544" s="19" t="s">
        <v>12832</v>
      </c>
      <c r="B544" s="19" t="s">
        <v>26132</v>
      </c>
      <c r="C544" s="19" t="s">
        <v>25420</v>
      </c>
      <c r="D544" s="19" t="s">
        <v>24334</v>
      </c>
      <c r="E544" s="101" t="s">
        <v>12824</v>
      </c>
      <c r="F544" s="102" t="s">
        <v>12825</v>
      </c>
      <c r="G544" s="19" t="s">
        <v>24335</v>
      </c>
      <c r="H544" s="19" t="b">
        <v>1</v>
      </c>
      <c r="I544" s="19">
        <v>1.0</v>
      </c>
      <c r="J544" s="102" t="s">
        <v>12720</v>
      </c>
      <c r="K544" s="19" t="s">
        <v>17408</v>
      </c>
      <c r="L544" s="19">
        <v>97414.0</v>
      </c>
      <c r="M544" s="19" t="s">
        <v>40</v>
      </c>
      <c r="N544" s="103"/>
      <c r="O544" s="19" t="s">
        <v>10664</v>
      </c>
      <c r="P544" s="103"/>
      <c r="Q544" s="19" t="s">
        <v>26133</v>
      </c>
      <c r="R544" s="104">
        <v>27106.0</v>
      </c>
      <c r="S544" s="103"/>
      <c r="T544" s="103"/>
      <c r="U544" s="103"/>
      <c r="V544" s="103"/>
      <c r="W544" s="103"/>
      <c r="X544" s="103"/>
      <c r="Y544" s="103"/>
      <c r="Z544" s="103"/>
    </row>
    <row r="545" ht="15.75" customHeight="1">
      <c r="A545" s="19" t="s">
        <v>17668</v>
      </c>
      <c r="B545" s="19" t="s">
        <v>26134</v>
      </c>
      <c r="C545" s="19" t="s">
        <v>26135</v>
      </c>
      <c r="D545" s="19" t="s">
        <v>24334</v>
      </c>
      <c r="E545" s="101" t="s">
        <v>17662</v>
      </c>
      <c r="F545" s="102" t="s">
        <v>17684</v>
      </c>
      <c r="G545" s="19" t="s">
        <v>24335</v>
      </c>
      <c r="H545" s="19" t="b">
        <v>1</v>
      </c>
      <c r="I545" s="19">
        <v>2.0</v>
      </c>
      <c r="J545" s="102" t="s">
        <v>12331</v>
      </c>
      <c r="K545" s="19" t="s">
        <v>26136</v>
      </c>
      <c r="L545" s="19">
        <v>97442.0</v>
      </c>
      <c r="M545" s="19" t="s">
        <v>33</v>
      </c>
      <c r="N545" s="103"/>
      <c r="O545" s="19" t="s">
        <v>26137</v>
      </c>
      <c r="P545" s="103"/>
      <c r="Q545" s="19" t="s">
        <v>26138</v>
      </c>
      <c r="R545" s="103"/>
      <c r="S545" s="103"/>
      <c r="T545" s="103"/>
      <c r="U545" s="103"/>
      <c r="V545" s="103"/>
      <c r="W545" s="103"/>
      <c r="X545" s="103"/>
      <c r="Y545" s="103"/>
      <c r="Z545" s="103"/>
    </row>
    <row r="546" ht="15.75" customHeight="1">
      <c r="A546" s="19" t="s">
        <v>12356</v>
      </c>
      <c r="B546" s="19" t="s">
        <v>26139</v>
      </c>
      <c r="C546" s="19" t="s">
        <v>25276</v>
      </c>
      <c r="D546" s="19" t="s">
        <v>24344</v>
      </c>
      <c r="E546" s="101" t="s">
        <v>12348</v>
      </c>
      <c r="F546" s="102" t="s">
        <v>26140</v>
      </c>
      <c r="G546" s="19" t="s">
        <v>24335</v>
      </c>
      <c r="H546" s="19" t="b">
        <v>0</v>
      </c>
      <c r="I546" s="19">
        <v>0.0</v>
      </c>
      <c r="J546" s="102" t="s">
        <v>16161</v>
      </c>
      <c r="K546" s="19" t="s">
        <v>26141</v>
      </c>
      <c r="L546" s="19">
        <v>97432.0</v>
      </c>
      <c r="M546" s="19" t="s">
        <v>25835</v>
      </c>
      <c r="N546" s="103"/>
      <c r="O546" s="19" t="s">
        <v>10662</v>
      </c>
      <c r="P546" s="103"/>
      <c r="Q546" s="19" t="s">
        <v>26142</v>
      </c>
      <c r="R546" s="103"/>
      <c r="S546" s="19" t="s">
        <v>24460</v>
      </c>
      <c r="T546" s="103"/>
      <c r="U546" s="103"/>
      <c r="V546" s="103"/>
      <c r="W546" s="103"/>
      <c r="X546" s="103"/>
      <c r="Y546" s="103"/>
      <c r="Z546" s="103"/>
    </row>
    <row r="547" ht="15.75" customHeight="1">
      <c r="A547" s="19" t="s">
        <v>12340</v>
      </c>
      <c r="B547" s="19" t="s">
        <v>85</v>
      </c>
      <c r="C547" s="19" t="s">
        <v>24462</v>
      </c>
      <c r="D547" s="19" t="s">
        <v>24334</v>
      </c>
      <c r="E547" s="101" t="s">
        <v>12334</v>
      </c>
      <c r="F547" s="102" t="s">
        <v>19981</v>
      </c>
      <c r="G547" s="19" t="s">
        <v>24335</v>
      </c>
      <c r="H547" s="19" t="b">
        <v>1</v>
      </c>
      <c r="I547" s="19">
        <v>1.0</v>
      </c>
      <c r="J547" s="102" t="s">
        <v>13509</v>
      </c>
      <c r="K547" s="19" t="s">
        <v>15888</v>
      </c>
      <c r="L547" s="19">
        <v>97480.0</v>
      </c>
      <c r="M547" s="19" t="s">
        <v>123</v>
      </c>
      <c r="N547" s="103"/>
      <c r="O547" s="19" t="s">
        <v>26143</v>
      </c>
      <c r="P547" s="103"/>
      <c r="Q547" s="19" t="s">
        <v>26144</v>
      </c>
      <c r="R547" s="103"/>
      <c r="S547" s="103"/>
      <c r="T547" s="103"/>
      <c r="U547" s="103"/>
      <c r="V547" s="103"/>
      <c r="W547" s="103"/>
      <c r="X547" s="103"/>
      <c r="Y547" s="103"/>
      <c r="Z547" s="103"/>
    </row>
    <row r="548" ht="15.75" customHeight="1">
      <c r="A548" s="19" t="s">
        <v>18788</v>
      </c>
      <c r="B548" s="19" t="s">
        <v>26145</v>
      </c>
      <c r="C548" s="19" t="s">
        <v>26146</v>
      </c>
      <c r="D548" s="19" t="s">
        <v>24344</v>
      </c>
      <c r="E548" s="101" t="s">
        <v>18781</v>
      </c>
      <c r="F548" s="102" t="s">
        <v>26147</v>
      </c>
      <c r="G548" s="19" t="s">
        <v>24335</v>
      </c>
      <c r="H548" s="19" t="b">
        <v>1</v>
      </c>
      <c r="I548" s="103"/>
      <c r="J548" s="102" t="s">
        <v>14878</v>
      </c>
      <c r="K548" s="19" t="s">
        <v>26148</v>
      </c>
      <c r="L548" s="19">
        <v>97442.0</v>
      </c>
      <c r="M548" s="19" t="s">
        <v>33</v>
      </c>
      <c r="N548" s="103"/>
      <c r="O548" s="19" t="s">
        <v>10427</v>
      </c>
      <c r="P548" s="103"/>
      <c r="Q548" s="19" t="s">
        <v>26149</v>
      </c>
      <c r="R548" s="103"/>
      <c r="S548" s="103"/>
      <c r="T548" s="103"/>
      <c r="U548" s="103"/>
      <c r="V548" s="103"/>
      <c r="W548" s="103"/>
      <c r="X548" s="103"/>
      <c r="Y548" s="103"/>
      <c r="Z548" s="103"/>
    </row>
    <row r="549" ht="15.75" customHeight="1">
      <c r="A549" s="19" t="s">
        <v>26150</v>
      </c>
      <c r="B549" s="19" t="s">
        <v>26151</v>
      </c>
      <c r="C549" s="19" t="s">
        <v>26152</v>
      </c>
      <c r="D549" s="19" t="s">
        <v>24334</v>
      </c>
      <c r="E549" s="101" t="s">
        <v>14198</v>
      </c>
      <c r="F549" s="102" t="s">
        <v>14199</v>
      </c>
      <c r="G549" s="19" t="s">
        <v>24420</v>
      </c>
      <c r="H549" s="19" t="b">
        <v>1</v>
      </c>
      <c r="I549" s="103"/>
      <c r="J549" s="102" t="s">
        <v>13933</v>
      </c>
      <c r="K549" s="19" t="s">
        <v>26153</v>
      </c>
      <c r="L549" s="19">
        <v>97450.0</v>
      </c>
      <c r="M549" s="19" t="s">
        <v>26154</v>
      </c>
      <c r="N549" s="103"/>
      <c r="O549" s="19" t="s">
        <v>11864</v>
      </c>
      <c r="P549" s="103"/>
      <c r="Q549" s="19" t="s">
        <v>26155</v>
      </c>
      <c r="R549" s="103"/>
      <c r="S549" s="103"/>
      <c r="T549" s="103"/>
      <c r="U549" s="103"/>
      <c r="V549" s="103"/>
      <c r="W549" s="103"/>
      <c r="X549" s="103"/>
      <c r="Y549" s="103"/>
      <c r="Z549" s="103"/>
    </row>
    <row r="550" ht="15.75" customHeight="1">
      <c r="A550" s="19" t="s">
        <v>17214</v>
      </c>
      <c r="B550" s="19" t="s">
        <v>26145</v>
      </c>
      <c r="C550" s="19" t="s">
        <v>24884</v>
      </c>
      <c r="D550" s="19" t="s">
        <v>24334</v>
      </c>
      <c r="E550" s="101" t="s">
        <v>17207</v>
      </c>
      <c r="F550" s="102" t="s">
        <v>26156</v>
      </c>
      <c r="G550" s="19" t="s">
        <v>24420</v>
      </c>
      <c r="H550" s="19" t="b">
        <v>1</v>
      </c>
      <c r="I550" s="103"/>
      <c r="J550" s="102" t="s">
        <v>17204</v>
      </c>
      <c r="K550" s="19" t="s">
        <v>17205</v>
      </c>
      <c r="L550" s="19">
        <v>97442.0</v>
      </c>
      <c r="M550" s="19" t="s">
        <v>33</v>
      </c>
      <c r="N550" s="103"/>
      <c r="O550" s="19" t="s">
        <v>11627</v>
      </c>
      <c r="P550" s="103"/>
      <c r="Q550" s="19" t="s">
        <v>26157</v>
      </c>
      <c r="R550" s="103"/>
      <c r="S550" s="103"/>
      <c r="T550" s="103"/>
      <c r="U550" s="103"/>
      <c r="V550" s="103"/>
      <c r="W550" s="103"/>
      <c r="X550" s="103"/>
      <c r="Y550" s="103"/>
      <c r="Z550" s="103"/>
    </row>
    <row r="551" ht="15.75" customHeight="1">
      <c r="A551" s="19" t="s">
        <v>26158</v>
      </c>
      <c r="B551" s="19" t="s">
        <v>26159</v>
      </c>
      <c r="C551" s="19" t="s">
        <v>26160</v>
      </c>
      <c r="D551" s="19" t="s">
        <v>24344</v>
      </c>
      <c r="E551" s="101" t="s">
        <v>26161</v>
      </c>
      <c r="F551" s="102" t="s">
        <v>26162</v>
      </c>
      <c r="G551" s="19" t="s">
        <v>24335</v>
      </c>
      <c r="H551" s="19" t="b">
        <v>1</v>
      </c>
      <c r="I551" s="19">
        <v>0.0</v>
      </c>
      <c r="J551" s="102" t="s">
        <v>13933</v>
      </c>
      <c r="K551" s="19" t="s">
        <v>26163</v>
      </c>
      <c r="L551" s="19">
        <v>97450.0</v>
      </c>
      <c r="M551" s="19" t="s">
        <v>26154</v>
      </c>
      <c r="N551" s="103"/>
      <c r="O551" s="19" t="s">
        <v>11864</v>
      </c>
      <c r="P551" s="103"/>
      <c r="Q551" s="19" t="s">
        <v>26164</v>
      </c>
      <c r="R551" s="103"/>
      <c r="S551" s="103"/>
      <c r="T551" s="103"/>
      <c r="U551" s="103"/>
      <c r="V551" s="103"/>
      <c r="W551" s="103"/>
      <c r="X551" s="103"/>
      <c r="Y551" s="103"/>
      <c r="Z551" s="103"/>
    </row>
    <row r="552" ht="15.75" customHeight="1">
      <c r="A552" s="19" t="s">
        <v>16293</v>
      </c>
      <c r="B552" s="19" t="s">
        <v>26165</v>
      </c>
      <c r="C552" s="19" t="s">
        <v>25533</v>
      </c>
      <c r="D552" s="19" t="s">
        <v>24334</v>
      </c>
      <c r="E552" s="101" t="s">
        <v>16286</v>
      </c>
      <c r="F552" s="102" t="s">
        <v>16287</v>
      </c>
      <c r="G552" s="19" t="s">
        <v>24335</v>
      </c>
      <c r="H552" s="19" t="b">
        <v>1</v>
      </c>
      <c r="I552" s="19">
        <v>1.0</v>
      </c>
      <c r="J552" s="19" t="s">
        <v>16283</v>
      </c>
      <c r="K552" s="19" t="s">
        <v>26166</v>
      </c>
      <c r="L552" s="19">
        <v>97430.0</v>
      </c>
      <c r="M552" s="19" t="s">
        <v>71</v>
      </c>
      <c r="N552" s="103"/>
      <c r="O552" s="19" t="s">
        <v>26167</v>
      </c>
      <c r="P552" s="19" t="s">
        <v>26168</v>
      </c>
      <c r="Q552" s="19" t="s">
        <v>26169</v>
      </c>
      <c r="R552" s="105">
        <v>25164.0</v>
      </c>
      <c r="S552" s="19" t="s">
        <v>24348</v>
      </c>
      <c r="T552" s="103"/>
      <c r="U552" s="103"/>
      <c r="V552" s="103"/>
      <c r="W552" s="103"/>
      <c r="X552" s="103"/>
      <c r="Y552" s="103"/>
      <c r="Z552" s="103"/>
    </row>
    <row r="553" ht="15.75" customHeight="1">
      <c r="A553" s="19" t="s">
        <v>19532</v>
      </c>
      <c r="B553" s="19" t="s">
        <v>26078</v>
      </c>
      <c r="C553" s="19" t="s">
        <v>26170</v>
      </c>
      <c r="D553" s="19" t="s">
        <v>24334</v>
      </c>
      <c r="E553" s="19" t="s">
        <v>26171</v>
      </c>
      <c r="F553" s="102" t="s">
        <v>19527</v>
      </c>
      <c r="G553" s="19" t="s">
        <v>24420</v>
      </c>
      <c r="H553" s="103"/>
      <c r="I553" s="19">
        <v>1.0</v>
      </c>
      <c r="J553" s="102" t="s">
        <v>12331</v>
      </c>
      <c r="K553" s="19" t="s">
        <v>17236</v>
      </c>
      <c r="L553" s="19">
        <v>97442.0</v>
      </c>
      <c r="M553" s="19" t="s">
        <v>33</v>
      </c>
      <c r="N553" s="103"/>
      <c r="O553" s="19" t="s">
        <v>254</v>
      </c>
      <c r="P553" s="103"/>
      <c r="Q553" s="19" t="s">
        <v>26172</v>
      </c>
      <c r="R553" s="103"/>
      <c r="S553" s="103"/>
      <c r="T553" s="103"/>
      <c r="U553" s="103"/>
      <c r="V553" s="103"/>
      <c r="W553" s="103"/>
      <c r="X553" s="103"/>
      <c r="Y553" s="103"/>
      <c r="Z553" s="103"/>
    </row>
    <row r="554" ht="15.75" customHeight="1">
      <c r="A554" s="19" t="s">
        <v>19803</v>
      </c>
      <c r="B554" s="19" t="s">
        <v>25695</v>
      </c>
      <c r="C554" s="19" t="s">
        <v>26173</v>
      </c>
      <c r="D554" s="19" t="s">
        <v>24344</v>
      </c>
      <c r="E554" s="101" t="s">
        <v>19796</v>
      </c>
      <c r="F554" s="102" t="s">
        <v>19797</v>
      </c>
      <c r="G554" s="19" t="s">
        <v>24335</v>
      </c>
      <c r="H554" s="19" t="b">
        <v>1</v>
      </c>
      <c r="I554" s="103"/>
      <c r="J554" s="102" t="s">
        <v>15500</v>
      </c>
      <c r="K554" s="19" t="s">
        <v>26174</v>
      </c>
      <c r="L554" s="19">
        <v>97480.0</v>
      </c>
      <c r="M554" s="19" t="s">
        <v>123</v>
      </c>
      <c r="N554" s="103"/>
      <c r="O554" s="19" t="s">
        <v>10672</v>
      </c>
      <c r="P554" s="103"/>
      <c r="Q554" s="19" t="s">
        <v>26175</v>
      </c>
      <c r="R554" s="103"/>
      <c r="S554" s="19" t="s">
        <v>24460</v>
      </c>
      <c r="T554" s="103"/>
      <c r="U554" s="103"/>
      <c r="V554" s="103"/>
      <c r="W554" s="103"/>
      <c r="X554" s="103"/>
      <c r="Y554" s="103"/>
      <c r="Z554" s="103"/>
    </row>
    <row r="555" ht="15.75" customHeight="1">
      <c r="A555" s="19" t="s">
        <v>18689</v>
      </c>
      <c r="B555" s="19" t="s">
        <v>26176</v>
      </c>
      <c r="C555" s="19" t="s">
        <v>24969</v>
      </c>
      <c r="D555" s="19" t="s">
        <v>24344</v>
      </c>
      <c r="E555" s="101" t="s">
        <v>18685</v>
      </c>
      <c r="F555" s="102" t="s">
        <v>18686</v>
      </c>
      <c r="G555" s="19" t="s">
        <v>24335</v>
      </c>
      <c r="H555" s="19" t="b">
        <v>1</v>
      </c>
      <c r="I555" s="103"/>
      <c r="J555" s="102" t="s">
        <v>18682</v>
      </c>
      <c r="K555" s="19" t="s">
        <v>18683</v>
      </c>
      <c r="L555" s="19">
        <v>97414.0</v>
      </c>
      <c r="M555" s="19" t="s">
        <v>40</v>
      </c>
      <c r="N555" s="103"/>
      <c r="O555" s="19" t="s">
        <v>26177</v>
      </c>
      <c r="P555" s="103"/>
      <c r="Q555" s="19" t="s">
        <v>26178</v>
      </c>
      <c r="R555" s="103"/>
      <c r="S555" s="103"/>
      <c r="T555" s="103"/>
      <c r="U555" s="103"/>
      <c r="V555" s="103"/>
      <c r="W555" s="103"/>
      <c r="X555" s="103"/>
      <c r="Y555" s="103"/>
      <c r="Z555" s="103"/>
    </row>
    <row r="556" ht="15.75" customHeight="1">
      <c r="A556" s="19" t="s">
        <v>13177</v>
      </c>
      <c r="B556" s="19" t="s">
        <v>26179</v>
      </c>
      <c r="C556" s="19" t="s">
        <v>26180</v>
      </c>
      <c r="D556" s="19" t="s">
        <v>24344</v>
      </c>
      <c r="E556" s="101" t="s">
        <v>13170</v>
      </c>
      <c r="F556" s="102" t="s">
        <v>13171</v>
      </c>
      <c r="G556" s="19" t="s">
        <v>24335</v>
      </c>
      <c r="H556" s="19" t="b">
        <v>1</v>
      </c>
      <c r="I556" s="19">
        <v>1.0</v>
      </c>
      <c r="J556" s="102" t="s">
        <v>13167</v>
      </c>
      <c r="K556" s="19" t="s">
        <v>24777</v>
      </c>
      <c r="L556" s="19">
        <v>97430.0</v>
      </c>
      <c r="M556" s="19" t="s">
        <v>71</v>
      </c>
      <c r="N556" s="103"/>
      <c r="O556" s="19" t="s">
        <v>10318</v>
      </c>
      <c r="P556" s="19"/>
      <c r="Q556" s="19" t="s">
        <v>26181</v>
      </c>
      <c r="R556" s="104">
        <v>27235.0</v>
      </c>
      <c r="S556" s="19" t="s">
        <v>24348</v>
      </c>
      <c r="T556" s="103"/>
      <c r="U556" s="103"/>
      <c r="V556" s="103"/>
      <c r="W556" s="103"/>
      <c r="X556" s="103"/>
      <c r="Y556" s="103"/>
      <c r="Z556" s="103"/>
    </row>
    <row r="557" ht="15.75" customHeight="1">
      <c r="A557" s="19" t="s">
        <v>15765</v>
      </c>
      <c r="B557" s="19" t="s">
        <v>26182</v>
      </c>
      <c r="C557" s="19" t="s">
        <v>24665</v>
      </c>
      <c r="D557" s="19" t="s">
        <v>24334</v>
      </c>
      <c r="E557" s="101" t="s">
        <v>425</v>
      </c>
      <c r="F557" s="102" t="s">
        <v>15759</v>
      </c>
      <c r="G557" s="19" t="s">
        <v>24335</v>
      </c>
      <c r="H557" s="19" t="b">
        <v>1</v>
      </c>
      <c r="I557" s="19">
        <v>1.0</v>
      </c>
      <c r="J557" s="102" t="s">
        <v>15756</v>
      </c>
      <c r="K557" s="19" t="s">
        <v>15757</v>
      </c>
      <c r="L557" s="19">
        <v>97414.0</v>
      </c>
      <c r="M557" s="19" t="s">
        <v>40</v>
      </c>
      <c r="N557" s="103"/>
      <c r="O557" s="19" t="s">
        <v>12041</v>
      </c>
      <c r="P557" s="103"/>
      <c r="Q557" s="19" t="s">
        <v>26183</v>
      </c>
      <c r="R557" s="103"/>
      <c r="S557" s="19" t="s">
        <v>24460</v>
      </c>
      <c r="T557" s="103"/>
      <c r="U557" s="103"/>
      <c r="V557" s="103"/>
      <c r="W557" s="103"/>
      <c r="X557" s="103"/>
      <c r="Y557" s="103"/>
      <c r="Z557" s="103"/>
    </row>
    <row r="558" ht="15.75" customHeight="1">
      <c r="A558" s="19" t="s">
        <v>19426</v>
      </c>
      <c r="B558" s="19" t="s">
        <v>26184</v>
      </c>
      <c r="C558" s="19" t="s">
        <v>26185</v>
      </c>
      <c r="D558" s="19" t="s">
        <v>24344</v>
      </c>
      <c r="E558" s="101" t="s">
        <v>19424</v>
      </c>
      <c r="F558" s="102" t="s">
        <v>19425</v>
      </c>
      <c r="G558" s="19" t="s">
        <v>24335</v>
      </c>
      <c r="H558" s="19" t="b">
        <v>0</v>
      </c>
      <c r="I558" s="103"/>
      <c r="J558" s="102" t="s">
        <v>19234</v>
      </c>
      <c r="K558" s="19" t="s">
        <v>15333</v>
      </c>
      <c r="L558" s="19">
        <v>97480.0</v>
      </c>
      <c r="M558" s="19" t="s">
        <v>123</v>
      </c>
      <c r="N558" s="103"/>
      <c r="O558" s="19" t="s">
        <v>26186</v>
      </c>
      <c r="P558" s="103"/>
      <c r="Q558" s="19" t="s">
        <v>26187</v>
      </c>
      <c r="R558" s="104">
        <v>26319.0</v>
      </c>
      <c r="S558" s="19" t="s">
        <v>24460</v>
      </c>
      <c r="T558" s="103"/>
      <c r="U558" s="103"/>
      <c r="V558" s="103"/>
      <c r="W558" s="103"/>
      <c r="X558" s="103"/>
      <c r="Y558" s="103"/>
      <c r="Z558" s="103"/>
    </row>
    <row r="559" ht="15.75" customHeight="1">
      <c r="A559" s="102" t="s">
        <v>17445</v>
      </c>
      <c r="B559" s="19" t="s">
        <v>24936</v>
      </c>
      <c r="C559" s="19" t="s">
        <v>20</v>
      </c>
      <c r="D559" s="19" t="s">
        <v>24344</v>
      </c>
      <c r="E559" s="101" t="s">
        <v>17439</v>
      </c>
      <c r="F559" s="102" t="s">
        <v>17440</v>
      </c>
      <c r="G559" s="19" t="s">
        <v>24335</v>
      </c>
      <c r="H559" s="19" t="b">
        <v>1</v>
      </c>
      <c r="I559" s="19">
        <v>1.0</v>
      </c>
      <c r="J559" s="102" t="s">
        <v>17436</v>
      </c>
      <c r="K559" s="19" t="s">
        <v>26188</v>
      </c>
      <c r="L559" s="19">
        <v>97418.0</v>
      </c>
      <c r="M559" s="19" t="s">
        <v>216</v>
      </c>
      <c r="N559" s="103"/>
      <c r="O559" s="19" t="s">
        <v>26189</v>
      </c>
      <c r="P559" s="103"/>
      <c r="Q559" s="19" t="s">
        <v>26190</v>
      </c>
      <c r="R559" s="104">
        <v>20990.0</v>
      </c>
      <c r="S559" s="103"/>
      <c r="T559" s="103"/>
      <c r="U559" s="103"/>
      <c r="V559" s="103"/>
      <c r="W559" s="103"/>
      <c r="X559" s="103"/>
      <c r="Y559" s="103"/>
      <c r="Z559" s="103"/>
    </row>
    <row r="560" ht="15.75" customHeight="1">
      <c r="A560" s="19" t="s">
        <v>13606</v>
      </c>
      <c r="B560" s="19" t="s">
        <v>26191</v>
      </c>
      <c r="C560" s="19" t="s">
        <v>24612</v>
      </c>
      <c r="D560" s="19" t="s">
        <v>24344</v>
      </c>
      <c r="E560" s="101" t="s">
        <v>13599</v>
      </c>
      <c r="F560" s="102" t="s">
        <v>26192</v>
      </c>
      <c r="G560" s="19" t="s">
        <v>24335</v>
      </c>
      <c r="H560" s="19" t="b">
        <v>0</v>
      </c>
      <c r="I560" s="19">
        <v>1.0</v>
      </c>
      <c r="J560" s="19" t="s">
        <v>13596</v>
      </c>
      <c r="K560" s="19" t="s">
        <v>13597</v>
      </c>
      <c r="L560" s="19">
        <v>97442.0</v>
      </c>
      <c r="M560" s="19" t="s">
        <v>33</v>
      </c>
      <c r="N560" s="103"/>
      <c r="O560" s="19" t="s">
        <v>26193</v>
      </c>
      <c r="P560" s="19" t="s">
        <v>26194</v>
      </c>
      <c r="Q560" s="19" t="s">
        <v>26195</v>
      </c>
      <c r="R560" s="104">
        <v>27124.0</v>
      </c>
      <c r="S560" s="19" t="s">
        <v>24348</v>
      </c>
      <c r="T560" s="103"/>
      <c r="U560" s="103"/>
      <c r="V560" s="103"/>
      <c r="W560" s="103"/>
      <c r="X560" s="103"/>
      <c r="Y560" s="103"/>
      <c r="Z560" s="103"/>
    </row>
    <row r="561" ht="15.75" customHeight="1">
      <c r="A561" s="19" t="s">
        <v>15135</v>
      </c>
      <c r="B561" s="19" t="s">
        <v>26196</v>
      </c>
      <c r="C561" s="19" t="s">
        <v>26197</v>
      </c>
      <c r="D561" s="19" t="s">
        <v>24344</v>
      </c>
      <c r="E561" s="101" t="s">
        <v>15128</v>
      </c>
      <c r="F561" s="102" t="s">
        <v>15129</v>
      </c>
      <c r="G561" s="19" t="s">
        <v>24335</v>
      </c>
      <c r="H561" s="19" t="b">
        <v>1</v>
      </c>
      <c r="I561" s="103"/>
      <c r="J561" s="102" t="s">
        <v>26198</v>
      </c>
      <c r="K561" s="19" t="s">
        <v>26199</v>
      </c>
      <c r="L561" s="19">
        <v>97480.0</v>
      </c>
      <c r="M561" s="19" t="s">
        <v>123</v>
      </c>
      <c r="N561" s="103"/>
      <c r="O561" s="19" t="s">
        <v>10701</v>
      </c>
      <c r="P561" s="103"/>
      <c r="Q561" s="19" t="s">
        <v>26200</v>
      </c>
      <c r="R561" s="104">
        <v>23757.0</v>
      </c>
      <c r="S561" s="103"/>
      <c r="T561" s="103"/>
      <c r="U561" s="103"/>
      <c r="V561" s="103"/>
      <c r="W561" s="103"/>
      <c r="X561" s="103"/>
      <c r="Y561" s="103"/>
      <c r="Z561" s="103"/>
    </row>
    <row r="562" ht="15.75" customHeight="1">
      <c r="A562" s="19" t="s">
        <v>14449</v>
      </c>
      <c r="B562" s="19" t="s">
        <v>26058</v>
      </c>
      <c r="C562" s="19" t="s">
        <v>26201</v>
      </c>
      <c r="D562" s="19" t="s">
        <v>24334</v>
      </c>
      <c r="E562" s="19" t="s">
        <v>14441</v>
      </c>
      <c r="F562" s="102" t="s">
        <v>14442</v>
      </c>
      <c r="G562" s="19" t="s">
        <v>24335</v>
      </c>
      <c r="H562" s="19" t="b">
        <v>1</v>
      </c>
      <c r="I562" s="19">
        <v>2.0</v>
      </c>
      <c r="J562" s="102" t="s">
        <v>14181</v>
      </c>
      <c r="K562" s="19" t="s">
        <v>14753</v>
      </c>
      <c r="L562" s="19">
        <v>97480.0</v>
      </c>
      <c r="M562" s="19" t="s">
        <v>123</v>
      </c>
      <c r="N562" s="103"/>
      <c r="O562" s="19" t="s">
        <v>26202</v>
      </c>
      <c r="P562" s="19" t="s">
        <v>26203</v>
      </c>
      <c r="Q562" s="19" t="s">
        <v>26204</v>
      </c>
      <c r="R562" s="103"/>
      <c r="S562" s="19" t="s">
        <v>24348</v>
      </c>
      <c r="T562" s="103"/>
      <c r="U562" s="103"/>
      <c r="V562" s="103"/>
      <c r="W562" s="103"/>
      <c r="X562" s="103"/>
      <c r="Y562" s="103"/>
      <c r="Z562" s="103"/>
    </row>
    <row r="563" ht="15.75" customHeight="1">
      <c r="A563" s="19" t="s">
        <v>17139</v>
      </c>
      <c r="B563" s="19" t="s">
        <v>26205</v>
      </c>
      <c r="C563" s="19" t="s">
        <v>26206</v>
      </c>
      <c r="D563" s="19" t="s">
        <v>24344</v>
      </c>
      <c r="E563" s="101" t="s">
        <v>17133</v>
      </c>
      <c r="F563" s="102" t="s">
        <v>17134</v>
      </c>
      <c r="G563" s="19" t="s">
        <v>24420</v>
      </c>
      <c r="H563" s="19" t="b">
        <v>1</v>
      </c>
      <c r="I563" s="19">
        <v>2.0</v>
      </c>
      <c r="J563" s="102" t="s">
        <v>13509</v>
      </c>
      <c r="K563" s="19" t="s">
        <v>17131</v>
      </c>
      <c r="L563" s="19">
        <v>97430.0</v>
      </c>
      <c r="M563" s="19" t="s">
        <v>71</v>
      </c>
      <c r="N563" s="103"/>
      <c r="O563" s="19" t="s">
        <v>26207</v>
      </c>
      <c r="P563" s="19" t="s">
        <v>26208</v>
      </c>
      <c r="Q563" s="19" t="s">
        <v>26209</v>
      </c>
      <c r="R563" s="105">
        <v>34622.0</v>
      </c>
      <c r="S563" s="19" t="s">
        <v>24348</v>
      </c>
      <c r="T563" s="103"/>
      <c r="U563" s="103"/>
      <c r="V563" s="103"/>
      <c r="W563" s="103"/>
      <c r="X563" s="103"/>
      <c r="Y563" s="103"/>
      <c r="Z563" s="103"/>
    </row>
    <row r="564" ht="15.75" customHeight="1">
      <c r="A564" s="19" t="s">
        <v>19270</v>
      </c>
      <c r="B564" s="19" t="s">
        <v>26210</v>
      </c>
      <c r="C564" s="19" t="s">
        <v>26211</v>
      </c>
      <c r="D564" s="19" t="s">
        <v>24334</v>
      </c>
      <c r="E564" s="101" t="s">
        <v>19264</v>
      </c>
      <c r="F564" s="19"/>
      <c r="G564" s="19" t="s">
        <v>24335</v>
      </c>
      <c r="H564" s="19" t="b">
        <v>1</v>
      </c>
      <c r="I564" s="19">
        <v>1.0</v>
      </c>
      <c r="J564" s="102" t="s">
        <v>19261</v>
      </c>
      <c r="K564" s="19" t="s">
        <v>26212</v>
      </c>
      <c r="L564" s="19">
        <v>97414.0</v>
      </c>
      <c r="M564" s="19" t="s">
        <v>40</v>
      </c>
      <c r="N564" s="103"/>
      <c r="O564" s="19" t="s">
        <v>11652</v>
      </c>
      <c r="P564" s="103"/>
      <c r="Q564" s="19" t="s">
        <v>26213</v>
      </c>
      <c r="R564" s="103"/>
      <c r="S564" s="19" t="s">
        <v>24460</v>
      </c>
      <c r="T564" s="103"/>
      <c r="U564" s="103"/>
      <c r="V564" s="103"/>
      <c r="W564" s="103"/>
      <c r="X564" s="103"/>
      <c r="Y564" s="103"/>
      <c r="Z564" s="103"/>
    </row>
    <row r="565" ht="15.75" customHeight="1">
      <c r="A565" s="19" t="s">
        <v>12716</v>
      </c>
      <c r="B565" s="19" t="s">
        <v>26214</v>
      </c>
      <c r="C565" s="19" t="s">
        <v>26215</v>
      </c>
      <c r="D565" s="19" t="s">
        <v>24334</v>
      </c>
      <c r="E565" s="101" t="s">
        <v>12711</v>
      </c>
      <c r="F565" s="102" t="s">
        <v>17284</v>
      </c>
      <c r="G565" s="19" t="s">
        <v>24420</v>
      </c>
      <c r="H565" s="19" t="b">
        <v>1</v>
      </c>
      <c r="I565" s="103"/>
      <c r="J565" s="19" t="s">
        <v>12708</v>
      </c>
      <c r="K565" s="19" t="s">
        <v>12709</v>
      </c>
      <c r="L565" s="19">
        <v>97480.0</v>
      </c>
      <c r="M565" s="19" t="s">
        <v>123</v>
      </c>
      <c r="N565" s="103"/>
      <c r="O565" s="19" t="s">
        <v>26216</v>
      </c>
      <c r="P565" s="19" t="s">
        <v>26217</v>
      </c>
      <c r="Q565" s="19" t="s">
        <v>26218</v>
      </c>
      <c r="R565" s="104">
        <v>33646.0</v>
      </c>
      <c r="S565" s="19" t="s">
        <v>24348</v>
      </c>
      <c r="T565" s="103"/>
      <c r="U565" s="103"/>
      <c r="V565" s="103"/>
      <c r="W565" s="103"/>
      <c r="X565" s="103"/>
      <c r="Y565" s="103"/>
      <c r="Z565" s="103"/>
    </row>
    <row r="566" ht="15.75" customHeight="1">
      <c r="A566" s="19" t="s">
        <v>19972</v>
      </c>
      <c r="B566" s="19" t="s">
        <v>25878</v>
      </c>
      <c r="C566" s="19" t="s">
        <v>24395</v>
      </c>
      <c r="D566" s="19" t="s">
        <v>24334</v>
      </c>
      <c r="E566" s="101" t="s">
        <v>26219</v>
      </c>
      <c r="F566" s="102" t="s">
        <v>19970</v>
      </c>
      <c r="G566" s="19" t="s">
        <v>24420</v>
      </c>
      <c r="H566" s="19" t="b">
        <v>1</v>
      </c>
      <c r="I566" s="19">
        <v>1.0</v>
      </c>
      <c r="J566" s="102" t="s">
        <v>15167</v>
      </c>
      <c r="K566" s="19" t="s">
        <v>19968</v>
      </c>
      <c r="L566" s="19">
        <v>97480.0</v>
      </c>
      <c r="M566" s="19" t="s">
        <v>123</v>
      </c>
      <c r="N566" s="103"/>
      <c r="O566" s="19" t="s">
        <v>10247</v>
      </c>
      <c r="P566" s="103"/>
      <c r="Q566" s="19" t="s">
        <v>26220</v>
      </c>
      <c r="R566" s="103"/>
      <c r="S566" s="103"/>
      <c r="T566" s="103"/>
      <c r="U566" s="103"/>
      <c r="V566" s="103"/>
      <c r="W566" s="103"/>
      <c r="X566" s="103"/>
      <c r="Y566" s="103"/>
      <c r="Z566" s="103"/>
    </row>
    <row r="567" ht="15.75" customHeight="1">
      <c r="A567" s="19" t="s">
        <v>12670</v>
      </c>
      <c r="B567" s="19" t="s">
        <v>26221</v>
      </c>
      <c r="C567" s="19" t="s">
        <v>26222</v>
      </c>
      <c r="D567" s="19" t="s">
        <v>24344</v>
      </c>
      <c r="E567" s="101" t="s">
        <v>12664</v>
      </c>
      <c r="F567" s="102" t="s">
        <v>12665</v>
      </c>
      <c r="G567" s="19" t="s">
        <v>24420</v>
      </c>
      <c r="H567" s="19" t="b">
        <v>1</v>
      </c>
      <c r="I567" s="103"/>
      <c r="J567" s="19" t="s">
        <v>26223</v>
      </c>
      <c r="K567" s="19" t="s">
        <v>12662</v>
      </c>
      <c r="L567" s="19">
        <v>97480.0</v>
      </c>
      <c r="M567" s="19" t="s">
        <v>123</v>
      </c>
      <c r="N567" s="103"/>
      <c r="O567" s="19" t="s">
        <v>10289</v>
      </c>
      <c r="P567" s="103"/>
      <c r="Q567" s="19" t="s">
        <v>26224</v>
      </c>
      <c r="R567" s="104">
        <v>25947.0</v>
      </c>
      <c r="S567" s="103"/>
      <c r="T567" s="103"/>
      <c r="U567" s="103"/>
      <c r="V567" s="103"/>
      <c r="W567" s="103"/>
      <c r="X567" s="103"/>
      <c r="Y567" s="103"/>
      <c r="Z567" s="103"/>
    </row>
    <row r="568" ht="15.75" customHeight="1">
      <c r="A568" s="19" t="s">
        <v>18912</v>
      </c>
      <c r="B568" s="19" t="s">
        <v>26225</v>
      </c>
      <c r="C568" s="19" t="s">
        <v>24543</v>
      </c>
      <c r="D568" s="19" t="s">
        <v>24344</v>
      </c>
      <c r="E568" s="101" t="s">
        <v>18906</v>
      </c>
      <c r="F568" s="102" t="s">
        <v>18907</v>
      </c>
      <c r="G568" s="19" t="s">
        <v>24335</v>
      </c>
      <c r="H568" s="19" t="b">
        <v>1</v>
      </c>
      <c r="I568" s="103"/>
      <c r="J568" s="102" t="s">
        <v>19732</v>
      </c>
      <c r="K568" s="19" t="s">
        <v>26226</v>
      </c>
      <c r="L568" s="19">
        <v>97480.0</v>
      </c>
      <c r="M568" s="19" t="s">
        <v>123</v>
      </c>
      <c r="N568" s="103"/>
      <c r="O568" s="19" t="s">
        <v>11491</v>
      </c>
      <c r="P568" s="103"/>
      <c r="Q568" s="19" t="s">
        <v>26227</v>
      </c>
      <c r="R568" s="104">
        <v>31081.0</v>
      </c>
      <c r="S568" s="103"/>
      <c r="T568" s="103"/>
      <c r="U568" s="103"/>
      <c r="V568" s="103"/>
      <c r="W568" s="103"/>
      <c r="X568" s="103"/>
      <c r="Y568" s="103"/>
      <c r="Z568" s="103"/>
    </row>
    <row r="569" ht="15.75" customHeight="1">
      <c r="A569" s="19" t="s">
        <v>26228</v>
      </c>
      <c r="B569" s="19" t="s">
        <v>26229</v>
      </c>
      <c r="C569" s="19" t="s">
        <v>26230</v>
      </c>
      <c r="D569" s="19" t="s">
        <v>24334</v>
      </c>
      <c r="E569" s="101" t="s">
        <v>26231</v>
      </c>
      <c r="F569" s="102" t="s">
        <v>26232</v>
      </c>
      <c r="G569" s="19" t="s">
        <v>24335</v>
      </c>
      <c r="H569" s="19" t="b">
        <v>0</v>
      </c>
      <c r="I569" s="103"/>
      <c r="J569" s="102" t="s">
        <v>19234</v>
      </c>
      <c r="K569" s="19" t="s">
        <v>26233</v>
      </c>
      <c r="L569" s="19">
        <v>38230.0</v>
      </c>
      <c r="M569" s="19" t="s">
        <v>26234</v>
      </c>
      <c r="N569" s="103"/>
      <c r="O569" s="19" t="s">
        <v>10725</v>
      </c>
      <c r="P569" s="103"/>
      <c r="Q569" s="19" t="s">
        <v>26235</v>
      </c>
      <c r="R569" s="104">
        <v>18740.0</v>
      </c>
      <c r="S569" s="19" t="s">
        <v>24460</v>
      </c>
      <c r="T569" s="103"/>
      <c r="U569" s="103"/>
      <c r="V569" s="103"/>
      <c r="W569" s="103"/>
      <c r="X569" s="103"/>
      <c r="Y569" s="103"/>
      <c r="Z569" s="103"/>
    </row>
    <row r="570" ht="15.75" customHeight="1">
      <c r="A570" s="19" t="s">
        <v>18706</v>
      </c>
      <c r="B570" s="19" t="s">
        <v>26236</v>
      </c>
      <c r="C570" s="19" t="s">
        <v>25774</v>
      </c>
      <c r="D570" s="19" t="s">
        <v>24344</v>
      </c>
      <c r="E570" s="19" t="s">
        <v>26237</v>
      </c>
      <c r="F570" s="102" t="s">
        <v>18698</v>
      </c>
      <c r="G570" s="19" t="s">
        <v>24335</v>
      </c>
      <c r="H570" s="19" t="b">
        <v>1</v>
      </c>
      <c r="I570" s="19">
        <v>1.0</v>
      </c>
      <c r="J570" s="102" t="s">
        <v>18695</v>
      </c>
      <c r="K570" s="19" t="s">
        <v>26238</v>
      </c>
      <c r="L570" s="19">
        <v>97480.0</v>
      </c>
      <c r="M570" s="19" t="s">
        <v>123</v>
      </c>
      <c r="N570" s="103"/>
      <c r="O570" s="19" t="s">
        <v>11657</v>
      </c>
      <c r="P570" s="19" t="s">
        <v>26239</v>
      </c>
      <c r="Q570" s="19" t="s">
        <v>26240</v>
      </c>
      <c r="R570" s="104">
        <v>32483.0</v>
      </c>
      <c r="S570" s="19" t="s">
        <v>24348</v>
      </c>
      <c r="T570" s="103"/>
      <c r="U570" s="103"/>
      <c r="V570" s="103"/>
      <c r="W570" s="103"/>
      <c r="X570" s="103"/>
      <c r="Y570" s="103"/>
      <c r="Z570" s="103"/>
    </row>
    <row r="571" ht="15.75" customHeight="1">
      <c r="A571" s="19" t="s">
        <v>19349</v>
      </c>
      <c r="B571" s="19" t="s">
        <v>26241</v>
      </c>
      <c r="C571" s="19" t="s">
        <v>26242</v>
      </c>
      <c r="D571" s="19" t="s">
        <v>24334</v>
      </c>
      <c r="E571" s="101" t="s">
        <v>19345</v>
      </c>
      <c r="F571" s="102" t="s">
        <v>19346</v>
      </c>
      <c r="G571" s="19" t="s">
        <v>24335</v>
      </c>
      <c r="H571" s="19" t="b">
        <v>1</v>
      </c>
      <c r="I571" s="19">
        <v>1.0</v>
      </c>
      <c r="J571" s="102" t="s">
        <v>19041</v>
      </c>
      <c r="K571" s="19" t="s">
        <v>26243</v>
      </c>
      <c r="L571" s="19">
        <v>97432.0</v>
      </c>
      <c r="M571" s="19" t="s">
        <v>25835</v>
      </c>
      <c r="N571" s="103"/>
      <c r="O571" s="19" t="s">
        <v>26244</v>
      </c>
      <c r="P571" s="103"/>
      <c r="Q571" s="19" t="s">
        <v>26245</v>
      </c>
      <c r="R571" s="105">
        <v>30285.0</v>
      </c>
      <c r="S571" s="19" t="s">
        <v>24460</v>
      </c>
      <c r="T571" s="103"/>
      <c r="U571" s="103"/>
      <c r="V571" s="103"/>
      <c r="W571" s="103"/>
      <c r="X571" s="103"/>
      <c r="Y571" s="103"/>
      <c r="Z571" s="103"/>
    </row>
    <row r="572" ht="15.75" customHeight="1">
      <c r="A572" s="19" t="s">
        <v>19964</v>
      </c>
      <c r="B572" s="19" t="s">
        <v>26246</v>
      </c>
      <c r="C572" s="19" t="s">
        <v>24671</v>
      </c>
      <c r="D572" s="19" t="s">
        <v>24334</v>
      </c>
      <c r="E572" s="101" t="s">
        <v>19958</v>
      </c>
      <c r="F572" s="102" t="s">
        <v>19959</v>
      </c>
      <c r="G572" s="19" t="s">
        <v>24335</v>
      </c>
      <c r="H572" s="19" t="b">
        <v>1</v>
      </c>
      <c r="I572" s="103"/>
      <c r="J572" s="102" t="s">
        <v>21803</v>
      </c>
      <c r="K572" s="19" t="s">
        <v>26247</v>
      </c>
      <c r="L572" s="19">
        <v>33390.0</v>
      </c>
      <c r="M572" s="19" t="s">
        <v>26248</v>
      </c>
      <c r="N572" s="103"/>
      <c r="O572" s="19" t="s">
        <v>10238</v>
      </c>
      <c r="P572" s="103"/>
      <c r="Q572" s="19" t="s">
        <v>26249</v>
      </c>
      <c r="R572" s="103"/>
      <c r="S572" s="103"/>
      <c r="T572" s="103"/>
      <c r="U572" s="103"/>
      <c r="V572" s="103"/>
      <c r="W572" s="103"/>
      <c r="X572" s="103"/>
      <c r="Y572" s="103"/>
      <c r="Z572" s="103"/>
    </row>
    <row r="573" ht="15.75" customHeight="1">
      <c r="A573" s="19" t="s">
        <v>19952</v>
      </c>
      <c r="B573" s="19" t="s">
        <v>26250</v>
      </c>
      <c r="C573" s="19" t="s">
        <v>26251</v>
      </c>
      <c r="D573" s="19" t="s">
        <v>24334</v>
      </c>
      <c r="E573" s="101" t="s">
        <v>19947</v>
      </c>
      <c r="F573" s="102" t="s">
        <v>19948</v>
      </c>
      <c r="G573" s="19" t="s">
        <v>24335</v>
      </c>
      <c r="H573" s="19" t="b">
        <v>1</v>
      </c>
      <c r="I573" s="103"/>
      <c r="J573" s="102" t="s">
        <v>23443</v>
      </c>
      <c r="K573" s="19" t="s">
        <v>26252</v>
      </c>
      <c r="L573" s="19">
        <v>97480.0</v>
      </c>
      <c r="M573" s="19" t="s">
        <v>123</v>
      </c>
      <c r="N573" s="103"/>
      <c r="O573" s="19" t="s">
        <v>10245</v>
      </c>
      <c r="P573" s="103"/>
      <c r="Q573" s="19" t="s">
        <v>26253</v>
      </c>
      <c r="R573" s="103"/>
      <c r="S573" s="103"/>
      <c r="T573" s="103"/>
      <c r="U573" s="103"/>
      <c r="V573" s="103"/>
      <c r="W573" s="103"/>
      <c r="X573" s="103"/>
      <c r="Y573" s="103"/>
      <c r="Z573" s="103"/>
    </row>
    <row r="574" ht="15.75" customHeight="1">
      <c r="A574" s="19" t="s">
        <v>19673</v>
      </c>
      <c r="B574" s="19" t="s">
        <v>25695</v>
      </c>
      <c r="C574" s="19" t="s">
        <v>24612</v>
      </c>
      <c r="D574" s="19" t="s">
        <v>24344</v>
      </c>
      <c r="E574" s="101" t="s">
        <v>19666</v>
      </c>
      <c r="F574" s="102" t="s">
        <v>26254</v>
      </c>
      <c r="G574" s="19" t="s">
        <v>24420</v>
      </c>
      <c r="H574" s="19" t="b">
        <v>1</v>
      </c>
      <c r="I574" s="103"/>
      <c r="J574" s="102" t="s">
        <v>19664</v>
      </c>
      <c r="K574" s="19" t="s">
        <v>12631</v>
      </c>
      <c r="L574" s="19">
        <v>97430.0</v>
      </c>
      <c r="M574" s="19" t="s">
        <v>71</v>
      </c>
      <c r="N574" s="103"/>
      <c r="O574" s="19" t="s">
        <v>11849</v>
      </c>
      <c r="P574" s="103"/>
      <c r="Q574" s="19" t="s">
        <v>26255</v>
      </c>
      <c r="R574" s="103"/>
      <c r="S574" s="103"/>
      <c r="T574" s="103"/>
      <c r="U574" s="103"/>
      <c r="V574" s="103"/>
      <c r="W574" s="103"/>
      <c r="X574" s="103"/>
      <c r="Y574" s="103"/>
      <c r="Z574" s="103"/>
    </row>
    <row r="575" ht="15.75" customHeight="1">
      <c r="A575" s="19" t="s">
        <v>12680</v>
      </c>
      <c r="B575" s="19" t="s">
        <v>26256</v>
      </c>
      <c r="C575" s="19" t="s">
        <v>24956</v>
      </c>
      <c r="D575" s="19" t="s">
        <v>24344</v>
      </c>
      <c r="E575" s="101" t="s">
        <v>12678</v>
      </c>
      <c r="F575" s="102" t="s">
        <v>12679</v>
      </c>
      <c r="G575" s="19" t="s">
        <v>24335</v>
      </c>
      <c r="H575" s="19" t="b">
        <v>1</v>
      </c>
      <c r="I575" s="103"/>
      <c r="J575" s="102" t="s">
        <v>14878</v>
      </c>
      <c r="K575" s="19" t="s">
        <v>26257</v>
      </c>
      <c r="L575" s="19">
        <v>97424.0</v>
      </c>
      <c r="M575" s="19" t="s">
        <v>26258</v>
      </c>
      <c r="N575" s="103"/>
      <c r="O575" s="19" t="s">
        <v>11513</v>
      </c>
      <c r="P575" s="103"/>
      <c r="Q575" s="19" t="s">
        <v>26259</v>
      </c>
      <c r="R575" s="103"/>
      <c r="S575" s="103"/>
      <c r="T575" s="103"/>
      <c r="U575" s="103"/>
      <c r="V575" s="103"/>
      <c r="W575" s="103"/>
      <c r="X575" s="103"/>
      <c r="Y575" s="103"/>
      <c r="Z575" s="103"/>
    </row>
    <row r="576" ht="15.75" customHeight="1">
      <c r="A576" s="19" t="s">
        <v>14066</v>
      </c>
      <c r="B576" s="19" t="s">
        <v>26260</v>
      </c>
      <c r="C576" s="19" t="s">
        <v>26261</v>
      </c>
      <c r="D576" s="19" t="s">
        <v>24334</v>
      </c>
      <c r="E576" s="101" t="s">
        <v>14058</v>
      </c>
      <c r="F576" s="102" t="s">
        <v>14059</v>
      </c>
      <c r="G576" s="19" t="s">
        <v>24335</v>
      </c>
      <c r="H576" s="19" t="b">
        <v>1</v>
      </c>
      <c r="I576" s="19">
        <v>1.0</v>
      </c>
      <c r="J576" s="19" t="s">
        <v>14055</v>
      </c>
      <c r="K576" s="19" t="s">
        <v>14056</v>
      </c>
      <c r="L576" s="19">
        <v>97414.0</v>
      </c>
      <c r="M576" s="19" t="s">
        <v>40</v>
      </c>
      <c r="N576" s="103"/>
      <c r="O576" s="19" t="s">
        <v>10378</v>
      </c>
      <c r="P576" s="19" t="s">
        <v>26262</v>
      </c>
      <c r="Q576" s="19" t="s">
        <v>26263</v>
      </c>
      <c r="R576" s="104">
        <v>31983.0</v>
      </c>
      <c r="S576" s="19" t="s">
        <v>24460</v>
      </c>
      <c r="T576" s="103"/>
      <c r="U576" s="103"/>
      <c r="V576" s="103"/>
      <c r="W576" s="103"/>
      <c r="X576" s="103"/>
      <c r="Y576" s="103"/>
      <c r="Z576" s="103"/>
    </row>
    <row r="577" ht="15.75" customHeight="1">
      <c r="A577" s="19" t="s">
        <v>18405</v>
      </c>
      <c r="B577" s="19" t="s">
        <v>24936</v>
      </c>
      <c r="C577" s="19" t="s">
        <v>24824</v>
      </c>
      <c r="D577" s="19" t="s">
        <v>24334</v>
      </c>
      <c r="E577" s="101" t="s">
        <v>18398</v>
      </c>
      <c r="F577" s="102" t="s">
        <v>18399</v>
      </c>
      <c r="G577" s="19" t="s">
        <v>24335</v>
      </c>
      <c r="H577" s="19" t="b">
        <v>1</v>
      </c>
      <c r="I577" s="103"/>
      <c r="J577" s="19" t="s">
        <v>16949</v>
      </c>
      <c r="K577" s="19" t="s">
        <v>26264</v>
      </c>
      <c r="L577" s="19">
        <v>97430.0</v>
      </c>
      <c r="M577" s="19" t="s">
        <v>71</v>
      </c>
      <c r="N577" s="103"/>
      <c r="O577" s="19" t="s">
        <v>26265</v>
      </c>
      <c r="P577" s="103"/>
      <c r="Q577" s="19" t="s">
        <v>26266</v>
      </c>
      <c r="R577" s="104">
        <v>28935.0</v>
      </c>
      <c r="S577" s="19" t="s">
        <v>24460</v>
      </c>
      <c r="T577" s="103"/>
      <c r="U577" s="103"/>
      <c r="V577" s="103"/>
      <c r="W577" s="103"/>
      <c r="X577" s="103"/>
      <c r="Y577" s="103"/>
      <c r="Z577" s="103"/>
    </row>
    <row r="578" ht="15.75" customHeight="1">
      <c r="A578" s="19" t="s">
        <v>19940</v>
      </c>
      <c r="B578" s="19" t="s">
        <v>26267</v>
      </c>
      <c r="C578" s="19" t="s">
        <v>25899</v>
      </c>
      <c r="D578" s="19" t="s">
        <v>24344</v>
      </c>
      <c r="E578" s="101" t="s">
        <v>19938</v>
      </c>
      <c r="F578" s="102" t="s">
        <v>19939</v>
      </c>
      <c r="G578" s="19" t="s">
        <v>24335</v>
      </c>
      <c r="H578" s="19" t="b">
        <v>1</v>
      </c>
      <c r="I578" s="103"/>
      <c r="J578" s="102" t="s">
        <v>13183</v>
      </c>
      <c r="K578" s="19" t="s">
        <v>26268</v>
      </c>
      <c r="L578" s="19">
        <v>97418.0</v>
      </c>
      <c r="M578" s="19" t="s">
        <v>71</v>
      </c>
      <c r="N578" s="103"/>
      <c r="O578" s="19" t="s">
        <v>10243</v>
      </c>
      <c r="P578" s="103"/>
      <c r="Q578" s="19" t="s">
        <v>26269</v>
      </c>
      <c r="R578" s="104">
        <v>21621.0</v>
      </c>
      <c r="S578" s="103"/>
      <c r="T578" s="103"/>
      <c r="U578" s="103"/>
      <c r="V578" s="103"/>
      <c r="W578" s="103"/>
      <c r="X578" s="103"/>
      <c r="Y578" s="103"/>
      <c r="Z578" s="103"/>
    </row>
    <row r="579" ht="15.75" customHeight="1">
      <c r="A579" s="19" t="s">
        <v>21286</v>
      </c>
      <c r="B579" s="19" t="s">
        <v>26270</v>
      </c>
      <c r="C579" s="19" t="s">
        <v>24506</v>
      </c>
      <c r="D579" s="19" t="s">
        <v>24344</v>
      </c>
      <c r="E579" s="101" t="s">
        <v>21280</v>
      </c>
      <c r="F579" s="102" t="s">
        <v>21281</v>
      </c>
      <c r="G579" s="19" t="s">
        <v>24335</v>
      </c>
      <c r="H579" s="19" t="b">
        <v>1</v>
      </c>
      <c r="I579" s="103"/>
      <c r="J579" s="102" t="s">
        <v>13933</v>
      </c>
      <c r="K579" s="19" t="s">
        <v>21278</v>
      </c>
      <c r="L579" s="19">
        <v>97430.0</v>
      </c>
      <c r="M579" s="19" t="s">
        <v>71</v>
      </c>
      <c r="N579" s="103"/>
      <c r="O579" s="19" t="s">
        <v>12033</v>
      </c>
      <c r="P579" s="103"/>
      <c r="Q579" s="19" t="s">
        <v>26271</v>
      </c>
      <c r="R579" s="103"/>
      <c r="S579" s="103"/>
      <c r="T579" s="103"/>
      <c r="U579" s="103"/>
      <c r="V579" s="103"/>
      <c r="W579" s="103"/>
      <c r="X579" s="103"/>
      <c r="Y579" s="103"/>
      <c r="Z579" s="103"/>
    </row>
    <row r="580" ht="15.75" customHeight="1">
      <c r="A580" s="19" t="s">
        <v>19930</v>
      </c>
      <c r="B580" s="19" t="s">
        <v>26272</v>
      </c>
      <c r="C580" s="19" t="s">
        <v>24707</v>
      </c>
      <c r="D580" s="19" t="s">
        <v>24344</v>
      </c>
      <c r="E580" s="101" t="s">
        <v>19923</v>
      </c>
      <c r="F580" s="102" t="s">
        <v>26273</v>
      </c>
      <c r="G580" s="19" t="s">
        <v>24335</v>
      </c>
      <c r="H580" s="19" t="b">
        <v>1</v>
      </c>
      <c r="I580" s="19">
        <v>1.0</v>
      </c>
      <c r="J580" s="102" t="s">
        <v>15823</v>
      </c>
      <c r="K580" s="19" t="s">
        <v>16309</v>
      </c>
      <c r="L580" s="19">
        <v>97414.0</v>
      </c>
      <c r="M580" s="19" t="s">
        <v>40</v>
      </c>
      <c r="N580" s="103"/>
      <c r="O580" s="19" t="s">
        <v>11671</v>
      </c>
      <c r="P580" s="103"/>
      <c r="Q580" s="19" t="s">
        <v>26274</v>
      </c>
      <c r="R580" s="104">
        <v>25435.0</v>
      </c>
      <c r="S580" s="103"/>
      <c r="T580" s="103"/>
      <c r="U580" s="103"/>
      <c r="V580" s="103"/>
      <c r="W580" s="103"/>
      <c r="X580" s="103"/>
      <c r="Y580" s="103"/>
      <c r="Z580" s="103"/>
    </row>
    <row r="581" ht="15.75" customHeight="1">
      <c r="A581" s="19" t="s">
        <v>17475</v>
      </c>
      <c r="B581" s="19" t="s">
        <v>26275</v>
      </c>
      <c r="C581" s="19" t="s">
        <v>24506</v>
      </c>
      <c r="D581" s="19" t="s">
        <v>24344</v>
      </c>
      <c r="E581" s="101" t="s">
        <v>26276</v>
      </c>
      <c r="F581" s="102" t="s">
        <v>26277</v>
      </c>
      <c r="G581" s="19" t="s">
        <v>24335</v>
      </c>
      <c r="H581" s="19" t="b">
        <v>1</v>
      </c>
      <c r="I581" s="19">
        <v>2.0</v>
      </c>
      <c r="J581" s="102" t="s">
        <v>13183</v>
      </c>
      <c r="K581" s="19" t="s">
        <v>26278</v>
      </c>
      <c r="L581" s="19">
        <v>97430.0</v>
      </c>
      <c r="M581" s="19" t="s">
        <v>71</v>
      </c>
      <c r="N581" s="103"/>
      <c r="O581" s="19" t="s">
        <v>26279</v>
      </c>
      <c r="P581" s="103"/>
      <c r="Q581" s="19" t="s">
        <v>26280</v>
      </c>
      <c r="R581" s="104">
        <v>22413.0</v>
      </c>
      <c r="S581" s="103"/>
      <c r="T581" s="103"/>
      <c r="U581" s="103"/>
      <c r="V581" s="103"/>
      <c r="W581" s="103"/>
      <c r="X581" s="103"/>
      <c r="Y581" s="103"/>
      <c r="Z581" s="103"/>
    </row>
    <row r="582" ht="15.75" customHeight="1">
      <c r="A582" s="19" t="s">
        <v>18230</v>
      </c>
      <c r="B582" s="19" t="s">
        <v>18223</v>
      </c>
      <c r="C582" s="19" t="s">
        <v>26281</v>
      </c>
      <c r="D582" s="19" t="s">
        <v>24344</v>
      </c>
      <c r="E582" s="101" t="s">
        <v>18226</v>
      </c>
      <c r="F582" s="102" t="s">
        <v>18227</v>
      </c>
      <c r="G582" s="19" t="s">
        <v>24335</v>
      </c>
      <c r="H582" s="19" t="b">
        <v>1</v>
      </c>
      <c r="I582" s="19">
        <v>0.0</v>
      </c>
      <c r="J582" s="102" t="s">
        <v>14516</v>
      </c>
      <c r="K582" s="19" t="s">
        <v>26282</v>
      </c>
      <c r="L582" s="19">
        <v>97414.0</v>
      </c>
      <c r="M582" s="19" t="s">
        <v>40</v>
      </c>
      <c r="N582" s="103"/>
      <c r="O582" s="19" t="s">
        <v>10603</v>
      </c>
      <c r="P582" s="103"/>
      <c r="Q582" s="19" t="s">
        <v>26283</v>
      </c>
      <c r="R582" s="105">
        <v>31393.0</v>
      </c>
      <c r="S582" s="103"/>
      <c r="T582" s="103"/>
      <c r="U582" s="103"/>
      <c r="V582" s="103"/>
      <c r="W582" s="103"/>
      <c r="X582" s="103"/>
      <c r="Y582" s="103"/>
      <c r="Z582" s="103"/>
    </row>
    <row r="583" ht="15.75" customHeight="1">
      <c r="A583" s="19" t="s">
        <v>17418</v>
      </c>
      <c r="B583" s="19" t="s">
        <v>26284</v>
      </c>
      <c r="C583" s="19" t="s">
        <v>26285</v>
      </c>
      <c r="D583" s="19" t="s">
        <v>24334</v>
      </c>
      <c r="E583" s="101" t="s">
        <v>26286</v>
      </c>
      <c r="F583" s="102" t="s">
        <v>17983</v>
      </c>
      <c r="G583" s="19" t="s">
        <v>24335</v>
      </c>
      <c r="H583" s="19" t="b">
        <v>1</v>
      </c>
      <c r="I583" s="19">
        <v>2.0</v>
      </c>
      <c r="J583" s="102" t="s">
        <v>13331</v>
      </c>
      <c r="K583" s="19" t="s">
        <v>17408</v>
      </c>
      <c r="L583" s="19">
        <v>97414.0</v>
      </c>
      <c r="M583" s="19" t="s">
        <v>40</v>
      </c>
      <c r="N583" s="103"/>
      <c r="O583" s="19" t="s">
        <v>26287</v>
      </c>
      <c r="P583" s="103"/>
      <c r="Q583" s="19" t="s">
        <v>26288</v>
      </c>
      <c r="R583" s="103"/>
      <c r="S583" s="103"/>
      <c r="T583" s="103"/>
      <c r="U583" s="103"/>
      <c r="V583" s="103"/>
      <c r="W583" s="103"/>
      <c r="X583" s="103"/>
      <c r="Y583" s="103"/>
      <c r="Z583" s="103"/>
    </row>
    <row r="584" ht="15.75" customHeight="1">
      <c r="A584" s="19" t="s">
        <v>19917</v>
      </c>
      <c r="B584" s="19" t="s">
        <v>26134</v>
      </c>
      <c r="C584" s="19" t="s">
        <v>24465</v>
      </c>
      <c r="D584" s="19" t="s">
        <v>24334</v>
      </c>
      <c r="E584" s="101" t="s">
        <v>19913</v>
      </c>
      <c r="F584" s="102" t="s">
        <v>19914</v>
      </c>
      <c r="G584" s="19" t="s">
        <v>24335</v>
      </c>
      <c r="H584" s="19" t="b">
        <v>1</v>
      </c>
      <c r="I584" s="19">
        <v>1.0</v>
      </c>
      <c r="J584" s="102" t="s">
        <v>26289</v>
      </c>
      <c r="K584" s="19" t="s">
        <v>19911</v>
      </c>
      <c r="L584" s="19">
        <v>97430.0</v>
      </c>
      <c r="M584" s="19" t="s">
        <v>71</v>
      </c>
      <c r="N584" s="103"/>
      <c r="O584" s="19" t="s">
        <v>11780</v>
      </c>
      <c r="P584" s="103"/>
      <c r="Q584" s="19" t="s">
        <v>26290</v>
      </c>
      <c r="R584" s="104">
        <v>28211.0</v>
      </c>
      <c r="S584" s="19" t="s">
        <v>24460</v>
      </c>
      <c r="T584" s="103"/>
      <c r="U584" s="103"/>
      <c r="V584" s="103"/>
      <c r="W584" s="103"/>
      <c r="X584" s="103"/>
      <c r="Y584" s="103"/>
      <c r="Z584" s="103"/>
    </row>
    <row r="585" ht="15.75" customHeight="1">
      <c r="A585" s="19" t="s">
        <v>17900</v>
      </c>
      <c r="B585" s="19" t="s">
        <v>26291</v>
      </c>
      <c r="C585" s="19" t="s">
        <v>26292</v>
      </c>
      <c r="D585" s="19" t="s">
        <v>24334</v>
      </c>
      <c r="E585" s="101" t="s">
        <v>17893</v>
      </c>
      <c r="F585" s="102" t="s">
        <v>17894</v>
      </c>
      <c r="G585" s="19" t="s">
        <v>24335</v>
      </c>
      <c r="H585" s="19" t="b">
        <v>1</v>
      </c>
      <c r="I585" s="19">
        <v>1.0</v>
      </c>
      <c r="J585" s="102" t="s">
        <v>16740</v>
      </c>
      <c r="K585" s="19" t="s">
        <v>17891</v>
      </c>
      <c r="L585" s="19">
        <v>97418.0</v>
      </c>
      <c r="M585" s="19" t="s">
        <v>216</v>
      </c>
      <c r="N585" s="103"/>
      <c r="O585" s="19" t="s">
        <v>11875</v>
      </c>
      <c r="P585" s="103"/>
      <c r="Q585" s="19" t="s">
        <v>26293</v>
      </c>
      <c r="R585" s="104">
        <v>21405.0</v>
      </c>
      <c r="S585" s="19" t="s">
        <v>24460</v>
      </c>
      <c r="T585" s="103"/>
      <c r="U585" s="103"/>
      <c r="V585" s="103"/>
      <c r="W585" s="103"/>
      <c r="X585" s="103"/>
      <c r="Y585" s="103"/>
      <c r="Z585" s="103"/>
    </row>
    <row r="586" ht="15.75" customHeight="1">
      <c r="A586" s="19" t="s">
        <v>16171</v>
      </c>
      <c r="B586" s="19" t="s">
        <v>26294</v>
      </c>
      <c r="C586" s="19" t="s">
        <v>25946</v>
      </c>
      <c r="D586" s="19" t="s">
        <v>24334</v>
      </c>
      <c r="E586" s="101" t="s">
        <v>16164</v>
      </c>
      <c r="F586" s="102" t="s">
        <v>16165</v>
      </c>
      <c r="G586" s="19" t="s">
        <v>24335</v>
      </c>
      <c r="H586" s="19" t="b">
        <v>1</v>
      </c>
      <c r="I586" s="19">
        <v>1.0</v>
      </c>
      <c r="J586" s="102" t="s">
        <v>16161</v>
      </c>
      <c r="K586" s="19" t="s">
        <v>16162</v>
      </c>
      <c r="L586" s="19">
        <v>97480.0</v>
      </c>
      <c r="M586" s="19" t="s">
        <v>123</v>
      </c>
      <c r="N586" s="103"/>
      <c r="O586" s="19" t="s">
        <v>11805</v>
      </c>
      <c r="P586" s="103"/>
      <c r="Q586" s="19" t="s">
        <v>26295</v>
      </c>
      <c r="R586" s="103"/>
      <c r="S586" s="103"/>
      <c r="T586" s="103"/>
      <c r="U586" s="103"/>
      <c r="V586" s="103"/>
      <c r="W586" s="103"/>
      <c r="X586" s="103"/>
      <c r="Y586" s="103"/>
      <c r="Z586" s="103"/>
    </row>
    <row r="587" ht="15.75" customHeight="1">
      <c r="A587" s="19" t="s">
        <v>14980</v>
      </c>
      <c r="B587" s="19" t="s">
        <v>24936</v>
      </c>
      <c r="C587" s="19" t="s">
        <v>26099</v>
      </c>
      <c r="D587" s="19" t="s">
        <v>24344</v>
      </c>
      <c r="E587" s="101" t="s">
        <v>14971</v>
      </c>
      <c r="F587" s="102" t="s">
        <v>14972</v>
      </c>
      <c r="G587" s="19" t="s">
        <v>24420</v>
      </c>
      <c r="H587" s="19" t="b">
        <v>1</v>
      </c>
      <c r="I587" s="19">
        <v>1.0</v>
      </c>
      <c r="J587" s="102" t="s">
        <v>12820</v>
      </c>
      <c r="K587" s="19" t="s">
        <v>26296</v>
      </c>
      <c r="L587" s="19">
        <v>97414.0</v>
      </c>
      <c r="M587" s="19" t="s">
        <v>40</v>
      </c>
      <c r="N587" s="103"/>
      <c r="O587" s="19" t="s">
        <v>10432</v>
      </c>
      <c r="P587" s="19" t="s">
        <v>26297</v>
      </c>
      <c r="Q587" s="19" t="s">
        <v>26298</v>
      </c>
      <c r="R587" s="104">
        <v>28694.0</v>
      </c>
      <c r="S587" s="19" t="s">
        <v>24460</v>
      </c>
      <c r="T587" s="103"/>
      <c r="U587" s="103"/>
      <c r="V587" s="103"/>
      <c r="W587" s="103"/>
      <c r="X587" s="103"/>
      <c r="Y587" s="103"/>
      <c r="Z587" s="103"/>
    </row>
    <row r="588" ht="15.75" customHeight="1">
      <c r="A588" s="19" t="s">
        <v>14221</v>
      </c>
      <c r="B588" s="19" t="s">
        <v>24597</v>
      </c>
      <c r="C588" s="19" t="s">
        <v>25533</v>
      </c>
      <c r="D588" s="19" t="s">
        <v>24334</v>
      </c>
      <c r="E588" s="101" t="s">
        <v>14215</v>
      </c>
      <c r="F588" s="102" t="s">
        <v>14216</v>
      </c>
      <c r="G588" s="19" t="s">
        <v>24335</v>
      </c>
      <c r="H588" s="19" t="b">
        <v>1</v>
      </c>
      <c r="I588" s="19">
        <v>1.0</v>
      </c>
      <c r="J588" s="102" t="s">
        <v>12589</v>
      </c>
      <c r="K588" s="19" t="s">
        <v>14213</v>
      </c>
      <c r="L588" s="19">
        <v>97442.0</v>
      </c>
      <c r="M588" s="19" t="s">
        <v>33</v>
      </c>
      <c r="N588" s="103"/>
      <c r="O588" s="19" t="s">
        <v>10387</v>
      </c>
      <c r="P588" s="103"/>
      <c r="Q588" s="19" t="s">
        <v>26299</v>
      </c>
      <c r="R588" s="104">
        <v>30715.0</v>
      </c>
      <c r="S588" s="19" t="s">
        <v>24460</v>
      </c>
      <c r="T588" s="103"/>
      <c r="U588" s="103"/>
      <c r="V588" s="103"/>
      <c r="W588" s="103"/>
      <c r="X588" s="103"/>
      <c r="Y588" s="103"/>
      <c r="Z588" s="103"/>
    </row>
    <row r="589" ht="15.75" customHeight="1">
      <c r="A589" s="19" t="s">
        <v>19478</v>
      </c>
      <c r="B589" s="19" t="s">
        <v>26300</v>
      </c>
      <c r="C589" s="19" t="s">
        <v>26301</v>
      </c>
      <c r="D589" s="19" t="s">
        <v>24344</v>
      </c>
      <c r="E589" s="101" t="s">
        <v>19473</v>
      </c>
      <c r="F589" s="102" t="s">
        <v>26302</v>
      </c>
      <c r="G589" s="19" t="s">
        <v>24335</v>
      </c>
      <c r="H589" s="19" t="b">
        <v>1</v>
      </c>
      <c r="I589" s="19">
        <v>1.0</v>
      </c>
      <c r="J589" s="102" t="s">
        <v>13933</v>
      </c>
      <c r="K589" s="19" t="s">
        <v>26303</v>
      </c>
      <c r="L589" s="19">
        <v>97410.0</v>
      </c>
      <c r="M589" s="19" t="s">
        <v>24605</v>
      </c>
      <c r="N589" s="103"/>
      <c r="O589" s="19" t="s">
        <v>11847</v>
      </c>
      <c r="P589" s="103"/>
      <c r="Q589" s="19" t="s">
        <v>26304</v>
      </c>
      <c r="R589" s="104">
        <v>23767.0</v>
      </c>
      <c r="S589" s="19" t="s">
        <v>24460</v>
      </c>
      <c r="T589" s="103"/>
      <c r="U589" s="103"/>
      <c r="V589" s="103"/>
      <c r="W589" s="103"/>
      <c r="X589" s="103"/>
      <c r="Y589" s="103"/>
      <c r="Z589" s="103"/>
    </row>
    <row r="590" ht="15.75" customHeight="1">
      <c r="A590" s="19" t="s">
        <v>13786</v>
      </c>
      <c r="B590" s="19" t="s">
        <v>26305</v>
      </c>
      <c r="C590" s="19" t="s">
        <v>138</v>
      </c>
      <c r="D590" s="19" t="s">
        <v>24344</v>
      </c>
      <c r="E590" s="101" t="s">
        <v>13779</v>
      </c>
      <c r="F590" s="102" t="s">
        <v>13780</v>
      </c>
      <c r="G590" s="19" t="s">
        <v>24335</v>
      </c>
      <c r="H590" s="19" t="b">
        <v>1</v>
      </c>
      <c r="I590" s="19">
        <v>1.0</v>
      </c>
      <c r="J590" s="102" t="s">
        <v>12331</v>
      </c>
      <c r="K590" s="19" t="s">
        <v>26306</v>
      </c>
      <c r="L590" s="19">
        <v>38160.0</v>
      </c>
      <c r="M590" s="19" t="s">
        <v>26307</v>
      </c>
      <c r="N590" s="103"/>
      <c r="O590" s="19" t="s">
        <v>10354</v>
      </c>
      <c r="P590" s="103"/>
      <c r="Q590" s="19" t="s">
        <v>26308</v>
      </c>
      <c r="R590" s="104">
        <v>27538.0</v>
      </c>
      <c r="S590" s="19" t="s">
        <v>24460</v>
      </c>
      <c r="T590" s="103"/>
      <c r="U590" s="103"/>
      <c r="V590" s="103"/>
      <c r="W590" s="103"/>
      <c r="X590" s="103"/>
      <c r="Y590" s="103"/>
      <c r="Z590" s="103"/>
    </row>
    <row r="591" ht="15.75" customHeight="1">
      <c r="A591" s="19" t="s">
        <v>17389</v>
      </c>
      <c r="B591" s="19" t="s">
        <v>24597</v>
      </c>
      <c r="C591" s="19" t="s">
        <v>26309</v>
      </c>
      <c r="D591" s="19" t="s">
        <v>24334</v>
      </c>
      <c r="E591" s="101" t="s">
        <v>17382</v>
      </c>
      <c r="F591" s="102" t="s">
        <v>17383</v>
      </c>
      <c r="G591" s="19" t="s">
        <v>24335</v>
      </c>
      <c r="H591" s="19" t="b">
        <v>1</v>
      </c>
      <c r="I591" s="19">
        <v>1.0</v>
      </c>
      <c r="J591" s="102" t="s">
        <v>13151</v>
      </c>
      <c r="K591" s="19" t="s">
        <v>17380</v>
      </c>
      <c r="L591" s="19">
        <v>97480.0</v>
      </c>
      <c r="M591" s="19" t="s">
        <v>123</v>
      </c>
      <c r="N591" s="103"/>
      <c r="O591" s="19" t="s">
        <v>12144</v>
      </c>
      <c r="P591" s="103"/>
      <c r="Q591" s="19" t="s">
        <v>26310</v>
      </c>
      <c r="R591" s="104">
        <v>24719.0</v>
      </c>
      <c r="S591" s="19" t="s">
        <v>24460</v>
      </c>
      <c r="T591" s="103"/>
      <c r="U591" s="103"/>
      <c r="V591" s="103"/>
      <c r="W591" s="103"/>
      <c r="X591" s="103"/>
      <c r="Y591" s="103"/>
      <c r="Z591" s="103"/>
    </row>
    <row r="592" ht="15.75" customHeight="1">
      <c r="A592" s="19" t="s">
        <v>17044</v>
      </c>
      <c r="B592" s="19" t="s">
        <v>26311</v>
      </c>
      <c r="C592" s="19" t="s">
        <v>26312</v>
      </c>
      <c r="D592" s="19" t="s">
        <v>24334</v>
      </c>
      <c r="E592" s="101" t="s">
        <v>17040</v>
      </c>
      <c r="F592" s="102" t="s">
        <v>17041</v>
      </c>
      <c r="G592" s="19" t="s">
        <v>24420</v>
      </c>
      <c r="H592" s="19" t="b">
        <v>0</v>
      </c>
      <c r="I592" s="19">
        <v>1.0</v>
      </c>
      <c r="J592" s="102" t="s">
        <v>13933</v>
      </c>
      <c r="K592" s="19" t="s">
        <v>17038</v>
      </c>
      <c r="L592" s="19">
        <v>97414.0</v>
      </c>
      <c r="M592" s="19" t="s">
        <v>40</v>
      </c>
      <c r="N592" s="103"/>
      <c r="O592" s="19" t="s">
        <v>11733</v>
      </c>
      <c r="P592" s="103"/>
      <c r="Q592" s="19" t="s">
        <v>26313</v>
      </c>
      <c r="R592" s="104">
        <v>31325.0</v>
      </c>
      <c r="S592" s="19" t="s">
        <v>24460</v>
      </c>
      <c r="T592" s="103"/>
      <c r="U592" s="103"/>
      <c r="V592" s="103"/>
      <c r="W592" s="103"/>
      <c r="X592" s="103"/>
      <c r="Y592" s="103"/>
      <c r="Z592" s="103"/>
    </row>
    <row r="593" ht="15.75" customHeight="1">
      <c r="A593" s="19" t="s">
        <v>19906</v>
      </c>
      <c r="B593" s="19" t="s">
        <v>26314</v>
      </c>
      <c r="C593" s="19" t="s">
        <v>67</v>
      </c>
      <c r="D593" s="19" t="s">
        <v>24334</v>
      </c>
      <c r="E593" s="101" t="s">
        <v>19900</v>
      </c>
      <c r="F593" s="102" t="s">
        <v>19901</v>
      </c>
      <c r="G593" s="19" t="s">
        <v>24420</v>
      </c>
      <c r="H593" s="19" t="b">
        <v>1</v>
      </c>
      <c r="I593" s="19">
        <v>1.0</v>
      </c>
      <c r="J593" s="19"/>
      <c r="K593" s="19"/>
      <c r="L593" s="19">
        <v>97414.0</v>
      </c>
      <c r="M593" s="19" t="s">
        <v>40</v>
      </c>
      <c r="N593" s="103"/>
      <c r="O593" s="102" t="s">
        <v>19895</v>
      </c>
      <c r="P593" s="19" t="s">
        <v>26315</v>
      </c>
      <c r="Q593" s="19" t="s">
        <v>26316</v>
      </c>
      <c r="R593" s="104"/>
      <c r="S593" s="19" t="s">
        <v>24460</v>
      </c>
      <c r="T593" s="103"/>
      <c r="U593" s="103"/>
      <c r="V593" s="103"/>
      <c r="W593" s="103"/>
      <c r="X593" s="103"/>
      <c r="Y593" s="103"/>
      <c r="Z593" s="103"/>
    </row>
    <row r="594" ht="15.75" customHeight="1">
      <c r="A594" s="19" t="s">
        <v>15880</v>
      </c>
      <c r="B594" s="19" t="s">
        <v>26317</v>
      </c>
      <c r="C594" s="19" t="s">
        <v>26318</v>
      </c>
      <c r="D594" s="19" t="s">
        <v>24334</v>
      </c>
      <c r="E594" s="101" t="s">
        <v>15873</v>
      </c>
      <c r="F594" s="102" t="s">
        <v>15874</v>
      </c>
      <c r="G594" s="19" t="s">
        <v>24335</v>
      </c>
      <c r="H594" s="19" t="b">
        <v>1</v>
      </c>
      <c r="I594" s="19">
        <v>1.0</v>
      </c>
      <c r="J594" s="102" t="s">
        <v>15221</v>
      </c>
      <c r="K594" s="19" t="s">
        <v>15871</v>
      </c>
      <c r="L594" s="19">
        <v>97480.0</v>
      </c>
      <c r="M594" s="19" t="s">
        <v>123</v>
      </c>
      <c r="N594" s="103"/>
      <c r="O594" s="19" t="s">
        <v>10477</v>
      </c>
      <c r="P594" s="103"/>
      <c r="Q594" s="19" t="s">
        <v>26319</v>
      </c>
      <c r="R594" s="104">
        <v>22371.0</v>
      </c>
      <c r="S594" s="19" t="s">
        <v>24460</v>
      </c>
      <c r="T594" s="103"/>
      <c r="U594" s="103"/>
      <c r="V594" s="103"/>
      <c r="W594" s="103"/>
      <c r="X594" s="103"/>
      <c r="Y594" s="103"/>
      <c r="Z594" s="103"/>
    </row>
    <row r="595" ht="15.75" customHeight="1">
      <c r="A595" s="19" t="s">
        <v>26320</v>
      </c>
      <c r="B595" s="19" t="s">
        <v>26321</v>
      </c>
      <c r="C595" s="19" t="s">
        <v>24452</v>
      </c>
      <c r="D595" s="19" t="s">
        <v>24334</v>
      </c>
      <c r="E595" s="101" t="s">
        <v>26322</v>
      </c>
      <c r="F595" s="102" t="s">
        <v>26323</v>
      </c>
      <c r="G595" s="19" t="s">
        <v>24420</v>
      </c>
      <c r="H595" s="19" t="b">
        <v>1</v>
      </c>
      <c r="I595" s="19">
        <v>0.0</v>
      </c>
      <c r="J595" s="19" t="s">
        <v>26324</v>
      </c>
      <c r="K595" s="19" t="s">
        <v>22150</v>
      </c>
      <c r="L595" s="19">
        <v>97414.0</v>
      </c>
      <c r="M595" s="19" t="s">
        <v>40</v>
      </c>
      <c r="N595" s="103"/>
      <c r="O595" s="103"/>
      <c r="P595" s="19" t="s">
        <v>26325</v>
      </c>
      <c r="Q595" s="19" t="s">
        <v>26326</v>
      </c>
      <c r="R595" s="103"/>
      <c r="S595" s="19" t="s">
        <v>24460</v>
      </c>
      <c r="T595" s="103"/>
      <c r="U595" s="103"/>
      <c r="V595" s="103"/>
      <c r="W595" s="103"/>
      <c r="X595" s="103"/>
      <c r="Y595" s="103"/>
      <c r="Z595" s="103"/>
    </row>
    <row r="596" ht="15.75" customHeight="1">
      <c r="A596" s="19" t="s">
        <v>19772</v>
      </c>
      <c r="B596" s="19" t="s">
        <v>26327</v>
      </c>
      <c r="C596" s="19" t="s">
        <v>25270</v>
      </c>
      <c r="D596" s="19" t="s">
        <v>24334</v>
      </c>
      <c r="E596" s="101" t="s">
        <v>19767</v>
      </c>
      <c r="F596" s="102" t="s">
        <v>19768</v>
      </c>
      <c r="G596" s="19" t="s">
        <v>24335</v>
      </c>
      <c r="H596" s="19" t="b">
        <v>1</v>
      </c>
      <c r="I596" s="19">
        <v>1.0</v>
      </c>
      <c r="J596" s="102" t="s">
        <v>13948</v>
      </c>
      <c r="K596" s="19" t="s">
        <v>13142</v>
      </c>
      <c r="L596" s="19">
        <v>97410.0</v>
      </c>
      <c r="M596" s="19" t="s">
        <v>24605</v>
      </c>
      <c r="N596" s="103"/>
      <c r="O596" s="19" t="s">
        <v>26328</v>
      </c>
      <c r="P596" s="103"/>
      <c r="Q596" s="19" t="s">
        <v>26329</v>
      </c>
      <c r="R596" s="104">
        <v>27120.0</v>
      </c>
      <c r="S596" s="19" t="s">
        <v>24460</v>
      </c>
      <c r="T596" s="103"/>
      <c r="U596" s="103"/>
      <c r="V596" s="103"/>
      <c r="W596" s="103"/>
      <c r="X596" s="103"/>
      <c r="Y596" s="103"/>
      <c r="Z596" s="103"/>
    </row>
    <row r="597" ht="15.75" customHeight="1">
      <c r="A597" s="19" t="s">
        <v>19885</v>
      </c>
      <c r="B597" s="19" t="s">
        <v>26241</v>
      </c>
      <c r="C597" s="19" t="s">
        <v>26330</v>
      </c>
      <c r="D597" s="103"/>
      <c r="E597" s="101" t="s">
        <v>19882</v>
      </c>
      <c r="F597" s="102" t="s">
        <v>19883</v>
      </c>
      <c r="G597" s="19" t="s">
        <v>24420</v>
      </c>
      <c r="H597" s="19" t="b">
        <v>1</v>
      </c>
      <c r="I597" s="19">
        <v>1.0</v>
      </c>
      <c r="J597" s="102" t="s">
        <v>19879</v>
      </c>
      <c r="K597" s="19" t="s">
        <v>19880</v>
      </c>
      <c r="L597" s="19">
        <v>97430.0</v>
      </c>
      <c r="M597" s="19" t="s">
        <v>71</v>
      </c>
      <c r="N597" s="103"/>
      <c r="O597" s="19" t="s">
        <v>11676</v>
      </c>
      <c r="P597" s="19" t="s">
        <v>26331</v>
      </c>
      <c r="Q597" s="19" t="s">
        <v>26332</v>
      </c>
      <c r="R597" s="103"/>
      <c r="S597" s="19" t="s">
        <v>24460</v>
      </c>
      <c r="T597" s="103"/>
      <c r="U597" s="103"/>
      <c r="V597" s="103"/>
      <c r="W597" s="103"/>
      <c r="X597" s="103"/>
      <c r="Y597" s="103"/>
      <c r="Z597" s="103"/>
    </row>
    <row r="598" ht="15.75" customHeight="1">
      <c r="A598" s="19" t="s">
        <v>19875</v>
      </c>
      <c r="B598" s="19" t="s">
        <v>26333</v>
      </c>
      <c r="C598" s="19" t="s">
        <v>26334</v>
      </c>
      <c r="D598" s="19" t="s">
        <v>24344</v>
      </c>
      <c r="E598" s="101" t="s">
        <v>19872</v>
      </c>
      <c r="F598" s="102" t="s">
        <v>26335</v>
      </c>
      <c r="G598" s="19" t="s">
        <v>24420</v>
      </c>
      <c r="H598" s="19" t="b">
        <v>1</v>
      </c>
      <c r="I598" s="19">
        <v>1.0</v>
      </c>
      <c r="J598" s="103"/>
      <c r="K598" s="103"/>
      <c r="L598" s="19">
        <v>97430.0</v>
      </c>
      <c r="M598" s="19" t="s">
        <v>71</v>
      </c>
      <c r="N598" s="103"/>
      <c r="O598" s="19" t="s">
        <v>12174</v>
      </c>
      <c r="P598" s="103"/>
      <c r="Q598" s="19" t="s">
        <v>26336</v>
      </c>
      <c r="R598" s="103"/>
      <c r="S598" s="103"/>
      <c r="T598" s="103"/>
      <c r="U598" s="103"/>
      <c r="V598" s="103"/>
      <c r="W598" s="103"/>
      <c r="X598" s="103"/>
      <c r="Y598" s="103"/>
      <c r="Z598" s="103"/>
    </row>
    <row r="599" ht="15.75" customHeight="1">
      <c r="A599" s="19" t="s">
        <v>18012</v>
      </c>
      <c r="B599" s="19" t="s">
        <v>26337</v>
      </c>
      <c r="C599" s="19" t="s">
        <v>26338</v>
      </c>
      <c r="D599" s="19" t="s">
        <v>24344</v>
      </c>
      <c r="E599" s="101" t="s">
        <v>18003</v>
      </c>
      <c r="F599" s="102" t="s">
        <v>18004</v>
      </c>
      <c r="G599" s="19" t="s">
        <v>24335</v>
      </c>
      <c r="H599" s="19" t="b">
        <v>1</v>
      </c>
      <c r="I599" s="19">
        <v>1.0</v>
      </c>
      <c r="J599" s="102" t="s">
        <v>18092</v>
      </c>
      <c r="K599" s="19" t="s">
        <v>26339</v>
      </c>
      <c r="L599" s="19">
        <v>97430.0</v>
      </c>
      <c r="M599" s="19" t="s">
        <v>71</v>
      </c>
      <c r="N599" s="103"/>
      <c r="O599" s="19" t="s">
        <v>26340</v>
      </c>
      <c r="P599" s="103"/>
      <c r="Q599" s="19" t="s">
        <v>26341</v>
      </c>
      <c r="R599" s="104"/>
      <c r="S599" s="19" t="s">
        <v>24460</v>
      </c>
      <c r="T599" s="103"/>
      <c r="U599" s="103"/>
      <c r="V599" s="103"/>
      <c r="W599" s="103"/>
      <c r="X599" s="103"/>
      <c r="Y599" s="103"/>
      <c r="Z599" s="103"/>
    </row>
    <row r="600" ht="15.75" customHeight="1">
      <c r="A600" s="19" t="s">
        <v>13229</v>
      </c>
      <c r="B600" s="19" t="s">
        <v>26139</v>
      </c>
      <c r="C600" s="19" t="s">
        <v>24959</v>
      </c>
      <c r="D600" s="19" t="s">
        <v>24334</v>
      </c>
      <c r="E600" s="101" t="s">
        <v>26342</v>
      </c>
      <c r="F600" s="102" t="s">
        <v>26343</v>
      </c>
      <c r="G600" s="19" t="s">
        <v>24335</v>
      </c>
      <c r="H600" s="19" t="b">
        <v>1</v>
      </c>
      <c r="I600" s="19">
        <v>2.0</v>
      </c>
      <c r="J600" s="19" t="s">
        <v>15742</v>
      </c>
      <c r="K600" s="19" t="s">
        <v>26344</v>
      </c>
      <c r="L600" s="19">
        <v>97418.0</v>
      </c>
      <c r="M600" s="19" t="s">
        <v>216</v>
      </c>
      <c r="N600" s="103"/>
      <c r="O600" s="9" t="s">
        <v>26345</v>
      </c>
      <c r="P600" s="103"/>
      <c r="Q600" s="19" t="s">
        <v>26346</v>
      </c>
      <c r="R600" s="104">
        <v>32582.0</v>
      </c>
      <c r="S600" s="19" t="s">
        <v>24460</v>
      </c>
      <c r="T600" s="103"/>
      <c r="U600" s="103"/>
      <c r="V600" s="103"/>
      <c r="W600" s="103"/>
      <c r="X600" s="103"/>
      <c r="Y600" s="103"/>
      <c r="Z600" s="103"/>
    </row>
    <row r="601" ht="15.75" customHeight="1">
      <c r="A601" s="19" t="s">
        <v>18924</v>
      </c>
      <c r="B601" s="19" t="s">
        <v>26241</v>
      </c>
      <c r="C601" s="19" t="s">
        <v>26347</v>
      </c>
      <c r="D601" s="19" t="s">
        <v>24334</v>
      </c>
      <c r="E601" s="101" t="s">
        <v>26348</v>
      </c>
      <c r="F601" s="102" t="s">
        <v>18920</v>
      </c>
      <c r="G601" s="19" t="s">
        <v>24335</v>
      </c>
      <c r="H601" s="19" t="b">
        <v>0</v>
      </c>
      <c r="I601" s="19">
        <v>1.0</v>
      </c>
      <c r="J601" s="102" t="s">
        <v>16355</v>
      </c>
      <c r="K601" s="19" t="s">
        <v>18917</v>
      </c>
      <c r="L601" s="19">
        <v>97480.0</v>
      </c>
      <c r="M601" s="19" t="s">
        <v>123</v>
      </c>
      <c r="N601" s="103"/>
      <c r="O601" s="19" t="s">
        <v>10638</v>
      </c>
      <c r="P601" s="103"/>
      <c r="Q601" s="19" t="s">
        <v>26349</v>
      </c>
      <c r="R601" s="104">
        <v>24815.0</v>
      </c>
      <c r="S601" s="103"/>
      <c r="T601" s="103"/>
      <c r="U601" s="103"/>
      <c r="V601" s="103"/>
      <c r="W601" s="103"/>
      <c r="X601" s="103"/>
      <c r="Y601" s="103"/>
      <c r="Z601" s="103"/>
    </row>
    <row r="602" ht="15.75" customHeight="1">
      <c r="A602" s="19" t="s">
        <v>15070</v>
      </c>
      <c r="B602" s="19" t="s">
        <v>26184</v>
      </c>
      <c r="C602" s="19" t="s">
        <v>26350</v>
      </c>
      <c r="D602" s="19" t="s">
        <v>24344</v>
      </c>
      <c r="E602" s="101" t="s">
        <v>15063</v>
      </c>
      <c r="F602" s="102" t="s">
        <v>15064</v>
      </c>
      <c r="G602" s="19" t="s">
        <v>24335</v>
      </c>
      <c r="H602" s="19" t="b">
        <v>1</v>
      </c>
      <c r="I602" s="19">
        <v>1.0</v>
      </c>
      <c r="J602" s="19" t="s">
        <v>26351</v>
      </c>
      <c r="K602" s="19" t="s">
        <v>26352</v>
      </c>
      <c r="L602" s="19">
        <v>97414.0</v>
      </c>
      <c r="M602" s="19" t="s">
        <v>40</v>
      </c>
      <c r="N602" s="103"/>
      <c r="O602" s="19" t="s">
        <v>10437</v>
      </c>
      <c r="P602" s="19" t="s">
        <v>26353</v>
      </c>
      <c r="Q602" s="19" t="s">
        <v>26354</v>
      </c>
      <c r="R602" s="104">
        <v>29896.0</v>
      </c>
      <c r="S602" s="103"/>
      <c r="T602" s="103"/>
      <c r="U602" s="103"/>
      <c r="V602" s="103"/>
      <c r="W602" s="103"/>
      <c r="X602" s="103"/>
      <c r="Y602" s="103"/>
      <c r="Z602" s="103"/>
    </row>
    <row r="603" ht="15.75" customHeight="1">
      <c r="A603" s="19" t="s">
        <v>18490</v>
      </c>
      <c r="B603" s="19" t="s">
        <v>26241</v>
      </c>
      <c r="C603" s="19" t="s">
        <v>26355</v>
      </c>
      <c r="D603" s="19" t="s">
        <v>24344</v>
      </c>
      <c r="E603" s="101" t="s">
        <v>18485</v>
      </c>
      <c r="F603" s="102" t="s">
        <v>18486</v>
      </c>
      <c r="G603" s="19" t="s">
        <v>24420</v>
      </c>
      <c r="H603" s="19" t="b">
        <v>1</v>
      </c>
      <c r="I603" s="19">
        <v>1.0</v>
      </c>
      <c r="J603" s="102" t="s">
        <v>16044</v>
      </c>
      <c r="K603" s="19" t="s">
        <v>18483</v>
      </c>
      <c r="L603" s="19">
        <v>97414.0</v>
      </c>
      <c r="M603" s="19" t="s">
        <v>40</v>
      </c>
      <c r="N603" s="103"/>
      <c r="O603" s="19" t="s">
        <v>11637</v>
      </c>
      <c r="P603" s="103"/>
      <c r="Q603" s="19" t="s">
        <v>26356</v>
      </c>
      <c r="R603" s="104">
        <v>27133.0</v>
      </c>
      <c r="S603" s="103"/>
      <c r="T603" s="103"/>
      <c r="U603" s="103"/>
      <c r="V603" s="103"/>
      <c r="W603" s="103"/>
      <c r="X603" s="103"/>
      <c r="Y603" s="103"/>
      <c r="Z603" s="103"/>
    </row>
    <row r="604" ht="15.75" customHeight="1">
      <c r="A604" s="19" t="s">
        <v>18043</v>
      </c>
      <c r="B604" s="19" t="s">
        <v>26357</v>
      </c>
      <c r="C604" s="19" t="s">
        <v>26358</v>
      </c>
      <c r="D604" s="19" t="s">
        <v>24344</v>
      </c>
      <c r="E604" s="101" t="s">
        <v>18035</v>
      </c>
      <c r="F604" s="102" t="s">
        <v>26359</v>
      </c>
      <c r="G604" s="19" t="s">
        <v>24335</v>
      </c>
      <c r="H604" s="19" t="b">
        <v>1</v>
      </c>
      <c r="I604" s="19">
        <v>1.0</v>
      </c>
      <c r="J604" s="102" t="s">
        <v>14338</v>
      </c>
      <c r="K604" s="19" t="s">
        <v>18033</v>
      </c>
      <c r="L604" s="19">
        <v>97480.0</v>
      </c>
      <c r="M604" s="19" t="s">
        <v>123</v>
      </c>
      <c r="N604" s="103"/>
      <c r="O604" s="19" t="s">
        <v>12018</v>
      </c>
      <c r="P604" s="103"/>
      <c r="Q604" s="19" t="s">
        <v>26360</v>
      </c>
      <c r="R604" s="104">
        <v>25577.0</v>
      </c>
      <c r="S604" s="103"/>
      <c r="T604" s="103"/>
      <c r="U604" s="103"/>
      <c r="V604" s="103"/>
      <c r="W604" s="103"/>
      <c r="X604" s="103"/>
      <c r="Y604" s="103"/>
      <c r="Z604" s="103"/>
    </row>
    <row r="605" ht="15.75" customHeight="1">
      <c r="A605" s="19" t="s">
        <v>19854</v>
      </c>
      <c r="B605" s="19" t="s">
        <v>26361</v>
      </c>
      <c r="C605" s="19" t="s">
        <v>24739</v>
      </c>
      <c r="D605" s="19" t="s">
        <v>24334</v>
      </c>
      <c r="E605" s="101" t="s">
        <v>19848</v>
      </c>
      <c r="F605" s="102" t="s">
        <v>26362</v>
      </c>
      <c r="G605" s="19" t="s">
        <v>24335</v>
      </c>
      <c r="H605" s="19" t="b">
        <v>1</v>
      </c>
      <c r="I605" s="19">
        <v>1.0</v>
      </c>
      <c r="J605" s="102" t="s">
        <v>13933</v>
      </c>
      <c r="K605" s="19" t="s">
        <v>24544</v>
      </c>
      <c r="L605" s="19">
        <v>97431.0</v>
      </c>
      <c r="M605" s="19" t="s">
        <v>26363</v>
      </c>
      <c r="N605" s="103"/>
      <c r="O605" s="19" t="s">
        <v>26364</v>
      </c>
      <c r="P605" s="103"/>
      <c r="Q605" s="19" t="s">
        <v>26365</v>
      </c>
      <c r="R605" s="104">
        <v>28592.0</v>
      </c>
      <c r="S605" s="19" t="s">
        <v>24460</v>
      </c>
      <c r="T605" s="103"/>
      <c r="U605" s="103"/>
      <c r="V605" s="103"/>
      <c r="W605" s="103"/>
      <c r="X605" s="103"/>
      <c r="Y605" s="103"/>
      <c r="Z605" s="103"/>
    </row>
    <row r="606" ht="15.75" customHeight="1">
      <c r="A606" s="19" t="s">
        <v>15991</v>
      </c>
      <c r="B606" s="19" t="s">
        <v>26366</v>
      </c>
      <c r="C606" s="19" t="s">
        <v>25017</v>
      </c>
      <c r="D606" s="19" t="s">
        <v>24334</v>
      </c>
      <c r="E606" s="101" t="s">
        <v>15984</v>
      </c>
      <c r="F606" s="102" t="s">
        <v>15985</v>
      </c>
      <c r="G606" s="19" t="s">
        <v>24335</v>
      </c>
      <c r="H606" s="19" t="b">
        <v>1</v>
      </c>
      <c r="I606" s="19">
        <v>1.0</v>
      </c>
      <c r="J606" s="102" t="s">
        <v>12720</v>
      </c>
      <c r="K606" s="19" t="s">
        <v>26367</v>
      </c>
      <c r="L606" s="19">
        <v>97480.0</v>
      </c>
      <c r="M606" s="19" t="s">
        <v>123</v>
      </c>
      <c r="N606" s="103"/>
      <c r="O606" s="19" t="s">
        <v>10225</v>
      </c>
      <c r="P606" s="103"/>
      <c r="Q606" s="19" t="s">
        <v>26368</v>
      </c>
      <c r="R606" s="104">
        <v>23571.0</v>
      </c>
      <c r="S606" s="19" t="s">
        <v>24460</v>
      </c>
      <c r="T606" s="103"/>
      <c r="U606" s="103"/>
      <c r="V606" s="103"/>
      <c r="W606" s="103"/>
      <c r="X606" s="103"/>
      <c r="Y606" s="103"/>
      <c r="Z606" s="103"/>
    </row>
    <row r="607" ht="15.75" customHeight="1">
      <c r="A607" s="19" t="s">
        <v>15848</v>
      </c>
      <c r="B607" s="19" t="s">
        <v>66</v>
      </c>
      <c r="C607" s="19" t="s">
        <v>26369</v>
      </c>
      <c r="D607" s="19" t="s">
        <v>24344</v>
      </c>
      <c r="E607" s="101" t="s">
        <v>15841</v>
      </c>
      <c r="F607" s="102" t="s">
        <v>15842</v>
      </c>
      <c r="G607" s="103"/>
      <c r="H607" s="19" t="b">
        <v>1</v>
      </c>
      <c r="I607" s="19">
        <v>1.0</v>
      </c>
      <c r="J607" s="19" t="s">
        <v>15838</v>
      </c>
      <c r="K607" s="19" t="s">
        <v>17205</v>
      </c>
      <c r="L607" s="19">
        <v>97442.0</v>
      </c>
      <c r="M607" s="19" t="s">
        <v>33</v>
      </c>
      <c r="N607" s="103"/>
      <c r="O607" s="19" t="s">
        <v>26370</v>
      </c>
      <c r="P607" s="19" t="s">
        <v>26371</v>
      </c>
      <c r="Q607" s="19" t="s">
        <v>263</v>
      </c>
      <c r="R607" s="103"/>
      <c r="S607" s="103"/>
      <c r="T607" s="103"/>
      <c r="U607" s="103"/>
      <c r="V607" s="103"/>
      <c r="W607" s="103"/>
      <c r="X607" s="103"/>
      <c r="Y607" s="103"/>
      <c r="Z607" s="103"/>
    </row>
    <row r="608" ht="15.75" customHeight="1">
      <c r="A608" s="19" t="s">
        <v>15344</v>
      </c>
      <c r="B608" s="19" t="s">
        <v>26241</v>
      </c>
      <c r="C608" s="19" t="s">
        <v>25488</v>
      </c>
      <c r="D608" s="19" t="s">
        <v>24344</v>
      </c>
      <c r="E608" s="101" t="s">
        <v>15335</v>
      </c>
      <c r="F608" s="102" t="s">
        <v>26372</v>
      </c>
      <c r="G608" s="19" t="s">
        <v>24335</v>
      </c>
      <c r="H608" s="19" t="b">
        <v>1</v>
      </c>
      <c r="I608" s="19">
        <v>1.0</v>
      </c>
      <c r="J608" s="102" t="s">
        <v>14790</v>
      </c>
      <c r="K608" s="19" t="s">
        <v>12403</v>
      </c>
      <c r="L608" s="19">
        <v>97480.0</v>
      </c>
      <c r="M608" s="19" t="s">
        <v>123</v>
      </c>
      <c r="N608" s="103"/>
      <c r="O608" s="19" t="s">
        <v>11731</v>
      </c>
      <c r="P608" s="103"/>
      <c r="Q608" s="19" t="s">
        <v>26373</v>
      </c>
      <c r="R608" s="104">
        <v>29804.0</v>
      </c>
      <c r="S608" s="103"/>
      <c r="T608" s="103"/>
      <c r="U608" s="103"/>
      <c r="V608" s="103"/>
      <c r="W608" s="103"/>
      <c r="X608" s="103"/>
      <c r="Y608" s="103"/>
      <c r="Z608" s="103"/>
    </row>
    <row r="609" ht="15.75" customHeight="1">
      <c r="A609" s="19" t="s">
        <v>17647</v>
      </c>
      <c r="B609" s="19" t="s">
        <v>26134</v>
      </c>
      <c r="C609" s="19" t="s">
        <v>26374</v>
      </c>
      <c r="D609" s="19" t="s">
        <v>24334</v>
      </c>
      <c r="E609" s="101" t="s">
        <v>17640</v>
      </c>
      <c r="F609" s="102" t="s">
        <v>17641</v>
      </c>
      <c r="G609" s="19" t="s">
        <v>24335</v>
      </c>
      <c r="H609" s="19" t="b">
        <v>0</v>
      </c>
      <c r="I609" s="19">
        <v>1.0</v>
      </c>
      <c r="J609" s="19" t="s">
        <v>26375</v>
      </c>
      <c r="K609" s="19" t="s">
        <v>17638</v>
      </c>
      <c r="L609" s="19">
        <v>97430.0</v>
      </c>
      <c r="M609" s="19" t="s">
        <v>71</v>
      </c>
      <c r="N609" s="103"/>
      <c r="O609" s="19" t="s">
        <v>10730</v>
      </c>
      <c r="P609" s="19" t="s">
        <v>26376</v>
      </c>
      <c r="Q609" s="19" t="s">
        <v>26377</v>
      </c>
      <c r="R609" s="104">
        <v>36808.0</v>
      </c>
      <c r="S609" s="19" t="s">
        <v>24348</v>
      </c>
      <c r="T609" s="103"/>
      <c r="U609" s="103"/>
      <c r="V609" s="103"/>
      <c r="W609" s="103"/>
      <c r="X609" s="103"/>
      <c r="Y609" s="103"/>
      <c r="Z609" s="103"/>
    </row>
    <row r="610" ht="15.75" customHeight="1">
      <c r="A610" s="19" t="s">
        <v>18098</v>
      </c>
      <c r="B610" s="19" t="s">
        <v>24695</v>
      </c>
      <c r="C610" s="19" t="s">
        <v>26378</v>
      </c>
      <c r="D610" s="19" t="s">
        <v>24334</v>
      </c>
      <c r="E610" s="101" t="s">
        <v>18095</v>
      </c>
      <c r="F610" s="102" t="s">
        <v>18096</v>
      </c>
      <c r="G610" s="19" t="s">
        <v>24420</v>
      </c>
      <c r="H610" s="19" t="b">
        <v>1</v>
      </c>
      <c r="I610" s="19">
        <v>1.0</v>
      </c>
      <c r="J610" s="19" t="s">
        <v>19512</v>
      </c>
      <c r="K610" s="19" t="s">
        <v>26379</v>
      </c>
      <c r="L610" s="19">
        <v>97480.0</v>
      </c>
      <c r="M610" s="19" t="s">
        <v>123</v>
      </c>
      <c r="N610" s="103"/>
      <c r="O610" s="19" t="s">
        <v>26380</v>
      </c>
      <c r="P610" s="103"/>
      <c r="Q610" s="19" t="s">
        <v>26381</v>
      </c>
      <c r="R610" s="105">
        <v>24067.0</v>
      </c>
      <c r="S610" s="103"/>
      <c r="T610" s="103"/>
      <c r="U610" s="103"/>
      <c r="V610" s="103"/>
      <c r="W610" s="103"/>
      <c r="X610" s="103"/>
      <c r="Y610" s="103"/>
      <c r="Z610" s="103"/>
    </row>
    <row r="611" ht="15.75" customHeight="1">
      <c r="A611" s="19" t="s">
        <v>19574</v>
      </c>
      <c r="B611" s="19" t="s">
        <v>26382</v>
      </c>
      <c r="C611" s="19" t="s">
        <v>26383</v>
      </c>
      <c r="D611" s="19" t="s">
        <v>24334</v>
      </c>
      <c r="E611" s="101" t="s">
        <v>19567</v>
      </c>
      <c r="F611" s="102" t="s">
        <v>19568</v>
      </c>
      <c r="G611" s="103"/>
      <c r="H611" s="19" t="b">
        <v>1</v>
      </c>
      <c r="I611" s="19">
        <v>1.0</v>
      </c>
      <c r="J611" s="19" t="s">
        <v>26384</v>
      </c>
      <c r="K611" s="19" t="s">
        <v>26385</v>
      </c>
      <c r="L611" s="19">
        <v>97450.0</v>
      </c>
      <c r="M611" s="19" t="s">
        <v>26154</v>
      </c>
      <c r="N611" s="103"/>
      <c r="O611" s="19" t="s">
        <v>11758</v>
      </c>
      <c r="P611" s="103"/>
      <c r="Q611" s="19" t="s">
        <v>26386</v>
      </c>
      <c r="R611" s="105">
        <v>29874.0</v>
      </c>
      <c r="S611" s="103"/>
      <c r="T611" s="103"/>
      <c r="U611" s="103"/>
      <c r="V611" s="103"/>
      <c r="W611" s="103"/>
      <c r="X611" s="103"/>
      <c r="Y611" s="103"/>
      <c r="Z611" s="103"/>
    </row>
    <row r="612" ht="15.75" customHeight="1">
      <c r="A612" s="19" t="s">
        <v>15378</v>
      </c>
      <c r="B612" s="19" t="s">
        <v>26387</v>
      </c>
      <c r="C612" s="19" t="s">
        <v>26388</v>
      </c>
      <c r="D612" s="19" t="s">
        <v>24344</v>
      </c>
      <c r="E612" s="101" t="s">
        <v>15372</v>
      </c>
      <c r="F612" s="102" t="s">
        <v>26389</v>
      </c>
      <c r="G612" s="19" t="s">
        <v>24335</v>
      </c>
      <c r="H612" s="19" t="b">
        <v>1</v>
      </c>
      <c r="I612" s="19">
        <v>1.0</v>
      </c>
      <c r="J612" s="102" t="s">
        <v>12345</v>
      </c>
      <c r="K612" s="19" t="s">
        <v>15370</v>
      </c>
      <c r="L612" s="19">
        <v>97480.0</v>
      </c>
      <c r="M612" s="19" t="s">
        <v>123</v>
      </c>
      <c r="N612" s="103"/>
      <c r="O612" s="19" t="s">
        <v>12085</v>
      </c>
      <c r="P612" s="103"/>
      <c r="Q612" s="19" t="s">
        <v>26390</v>
      </c>
      <c r="R612" s="105">
        <v>26281.0</v>
      </c>
      <c r="S612" s="103"/>
      <c r="T612" s="103"/>
      <c r="U612" s="103"/>
      <c r="V612" s="103"/>
      <c r="W612" s="103"/>
      <c r="X612" s="103"/>
      <c r="Y612" s="103"/>
      <c r="Z612" s="103"/>
    </row>
    <row r="613" ht="15.75" customHeight="1">
      <c r="A613" s="19" t="s">
        <v>19230</v>
      </c>
      <c r="B613" s="19" t="s">
        <v>26391</v>
      </c>
      <c r="C613" s="19" t="s">
        <v>26145</v>
      </c>
      <c r="D613" s="19" t="s">
        <v>24334</v>
      </c>
      <c r="E613" s="101" t="s">
        <v>19222</v>
      </c>
      <c r="F613" s="102" t="s">
        <v>26392</v>
      </c>
      <c r="G613" s="103"/>
      <c r="H613" s="19" t="b">
        <v>1</v>
      </c>
      <c r="I613" s="19">
        <v>1.0</v>
      </c>
      <c r="J613" s="102" t="s">
        <v>12865</v>
      </c>
      <c r="K613" s="19" t="s">
        <v>15095</v>
      </c>
      <c r="L613" s="19">
        <v>97442.0</v>
      </c>
      <c r="M613" s="19" t="s">
        <v>33</v>
      </c>
      <c r="N613" s="103"/>
      <c r="O613" s="19" t="s">
        <v>26393</v>
      </c>
      <c r="P613" s="19" t="s">
        <v>26394</v>
      </c>
      <c r="Q613" s="19" t="s">
        <v>26395</v>
      </c>
      <c r="R613" s="104">
        <v>30345.0</v>
      </c>
      <c r="S613" s="103"/>
      <c r="T613" s="103"/>
      <c r="U613" s="103"/>
      <c r="V613" s="103"/>
      <c r="W613" s="103"/>
      <c r="X613" s="103"/>
      <c r="Y613" s="103"/>
      <c r="Z613" s="103"/>
    </row>
    <row r="614" ht="15.75" customHeight="1">
      <c r="A614" s="19" t="s">
        <v>16909</v>
      </c>
      <c r="B614" s="19" t="s">
        <v>25695</v>
      </c>
      <c r="C614" s="19" t="s">
        <v>25086</v>
      </c>
      <c r="D614" s="19" t="s">
        <v>24344</v>
      </c>
      <c r="E614" s="19" t="s">
        <v>26396</v>
      </c>
      <c r="F614" s="102" t="s">
        <v>16903</v>
      </c>
      <c r="G614" s="103"/>
      <c r="H614" s="19" t="b">
        <v>1</v>
      </c>
      <c r="I614" s="19">
        <v>1.0</v>
      </c>
      <c r="J614" s="19" t="s">
        <v>12708</v>
      </c>
      <c r="K614" s="19" t="s">
        <v>16900</v>
      </c>
      <c r="L614" s="19">
        <v>97414.0</v>
      </c>
      <c r="M614" s="19" t="s">
        <v>40</v>
      </c>
      <c r="N614" s="103"/>
      <c r="O614" s="19" t="s">
        <v>10719</v>
      </c>
      <c r="P614" s="103"/>
      <c r="Q614" s="19" t="s">
        <v>26397</v>
      </c>
      <c r="R614" s="104">
        <v>23383.0</v>
      </c>
      <c r="S614" s="103"/>
      <c r="T614" s="103"/>
      <c r="U614" s="103"/>
      <c r="V614" s="103"/>
      <c r="W614" s="103"/>
      <c r="X614" s="103"/>
      <c r="Y614" s="103"/>
      <c r="Z614" s="103"/>
    </row>
    <row r="615" ht="15.75" customHeight="1">
      <c r="A615" s="19" t="s">
        <v>19549</v>
      </c>
      <c r="B615" s="19" t="s">
        <v>26398</v>
      </c>
      <c r="C615" s="19" t="s">
        <v>24956</v>
      </c>
      <c r="D615" s="19" t="s">
        <v>24344</v>
      </c>
      <c r="E615" s="19" t="s">
        <v>19544</v>
      </c>
      <c r="F615" s="102" t="s">
        <v>26399</v>
      </c>
      <c r="G615" s="19" t="s">
        <v>26101</v>
      </c>
      <c r="H615" s="19" t="b">
        <v>1</v>
      </c>
      <c r="I615" s="19">
        <v>1.0</v>
      </c>
      <c r="J615" s="102" t="s">
        <v>12402</v>
      </c>
      <c r="K615" s="19" t="s">
        <v>26400</v>
      </c>
      <c r="L615" s="19">
        <v>97414.0</v>
      </c>
      <c r="M615" s="19" t="s">
        <v>40</v>
      </c>
      <c r="N615" s="103"/>
      <c r="O615" s="19" t="s">
        <v>12172</v>
      </c>
      <c r="P615" s="19" t="s">
        <v>26401</v>
      </c>
      <c r="Q615" s="19" t="s">
        <v>26402</v>
      </c>
      <c r="R615" s="104">
        <v>33250.0</v>
      </c>
      <c r="S615" s="103"/>
      <c r="T615" s="103"/>
      <c r="U615" s="103"/>
      <c r="V615" s="103"/>
      <c r="W615" s="103"/>
      <c r="X615" s="103"/>
      <c r="Y615" s="103"/>
      <c r="Z615" s="103"/>
    </row>
    <row r="616" ht="15.75" customHeight="1">
      <c r="A616" s="19" t="s">
        <v>238</v>
      </c>
      <c r="B616" s="19" t="s">
        <v>26403</v>
      </c>
      <c r="C616" s="19" t="s">
        <v>26404</v>
      </c>
      <c r="D616" s="19" t="s">
        <v>24334</v>
      </c>
      <c r="E616" s="19" t="s">
        <v>19590</v>
      </c>
      <c r="F616" s="102" t="s">
        <v>19591</v>
      </c>
      <c r="G616" s="19" t="s">
        <v>24420</v>
      </c>
      <c r="H616" s="19" t="b">
        <v>1</v>
      </c>
      <c r="I616" s="19">
        <v>1.0</v>
      </c>
      <c r="J616" s="19"/>
      <c r="K616" s="19" t="s">
        <v>26405</v>
      </c>
      <c r="L616" s="19">
        <v>97476.0</v>
      </c>
      <c r="M616" s="19" t="s">
        <v>26406</v>
      </c>
      <c r="N616" s="103"/>
      <c r="O616" s="19" t="s">
        <v>237</v>
      </c>
      <c r="P616" s="103"/>
      <c r="Q616" s="19" t="s">
        <v>26407</v>
      </c>
      <c r="R616" s="104">
        <v>26540.0</v>
      </c>
      <c r="S616" s="103"/>
      <c r="T616" s="103"/>
      <c r="U616" s="103"/>
      <c r="V616" s="103"/>
      <c r="W616" s="103"/>
      <c r="X616" s="103"/>
      <c r="Y616" s="103"/>
      <c r="Z616" s="103"/>
    </row>
    <row r="617" ht="15.75" customHeight="1">
      <c r="A617" s="19" t="s">
        <v>17934</v>
      </c>
      <c r="B617" s="19" t="s">
        <v>26408</v>
      </c>
      <c r="C617" s="19" t="s">
        <v>26409</v>
      </c>
      <c r="D617" s="19" t="s">
        <v>24334</v>
      </c>
      <c r="E617" s="19" t="s">
        <v>17927</v>
      </c>
      <c r="F617" s="102" t="s">
        <v>17928</v>
      </c>
      <c r="G617" s="19" t="s">
        <v>24335</v>
      </c>
      <c r="H617" s="19" t="b">
        <v>0</v>
      </c>
      <c r="I617" s="19">
        <v>0.0</v>
      </c>
      <c r="J617" s="102" t="s">
        <v>12528</v>
      </c>
      <c r="K617" s="19" t="s">
        <v>26410</v>
      </c>
      <c r="L617" s="19">
        <v>97430.0</v>
      </c>
      <c r="M617" s="19" t="s">
        <v>71</v>
      </c>
      <c r="N617" s="103"/>
      <c r="O617" s="19" t="s">
        <v>26411</v>
      </c>
      <c r="P617" s="103"/>
      <c r="Q617" s="19" t="s">
        <v>26412</v>
      </c>
      <c r="R617" s="104">
        <v>22909.0</v>
      </c>
      <c r="S617" s="19" t="s">
        <v>24460</v>
      </c>
      <c r="T617" s="103"/>
      <c r="U617" s="103"/>
      <c r="V617" s="103"/>
      <c r="W617" s="103"/>
      <c r="X617" s="103"/>
      <c r="Y617" s="103"/>
      <c r="Z617" s="103"/>
    </row>
    <row r="618" ht="15.75" customHeight="1">
      <c r="A618" s="19" t="s">
        <v>18189</v>
      </c>
      <c r="B618" s="19" t="s">
        <v>26413</v>
      </c>
      <c r="C618" s="19" t="s">
        <v>26414</v>
      </c>
      <c r="D618" s="19" t="s">
        <v>24344</v>
      </c>
      <c r="E618" s="19" t="s">
        <v>18182</v>
      </c>
      <c r="F618" s="102" t="s">
        <v>18183</v>
      </c>
      <c r="G618" s="19" t="s">
        <v>24335</v>
      </c>
      <c r="H618" s="19" t="b">
        <v>1</v>
      </c>
      <c r="I618" s="19">
        <v>1.0</v>
      </c>
      <c r="J618" s="102" t="s">
        <v>18179</v>
      </c>
      <c r="K618" s="19" t="s">
        <v>18180</v>
      </c>
      <c r="L618" s="19">
        <v>97414.0</v>
      </c>
      <c r="M618" s="19" t="s">
        <v>40</v>
      </c>
      <c r="N618" s="103"/>
      <c r="O618" s="19" t="s">
        <v>11700</v>
      </c>
      <c r="P618" s="19" t="s">
        <v>26415</v>
      </c>
      <c r="Q618" s="19" t="s">
        <v>26416</v>
      </c>
      <c r="R618" s="104">
        <v>30443.0</v>
      </c>
      <c r="S618" s="19" t="s">
        <v>24348</v>
      </c>
      <c r="T618" s="103"/>
      <c r="U618" s="103"/>
      <c r="V618" s="103"/>
      <c r="W618" s="103"/>
      <c r="X618" s="103"/>
      <c r="Y618" s="103"/>
      <c r="Z618" s="103"/>
    </row>
    <row r="619" ht="15.75" customHeight="1">
      <c r="A619" s="19" t="s">
        <v>26417</v>
      </c>
      <c r="B619" s="19" t="s">
        <v>26418</v>
      </c>
      <c r="C619" s="19" t="s">
        <v>25438</v>
      </c>
      <c r="D619" s="19" t="s">
        <v>24334</v>
      </c>
      <c r="E619" s="19" t="s">
        <v>26419</v>
      </c>
      <c r="F619" s="102" t="s">
        <v>26420</v>
      </c>
      <c r="G619" s="19" t="s">
        <v>24335</v>
      </c>
      <c r="H619" s="19" t="b">
        <v>0</v>
      </c>
      <c r="I619" s="19">
        <v>1.0</v>
      </c>
      <c r="J619" s="102" t="s">
        <v>13151</v>
      </c>
      <c r="K619" s="19" t="s">
        <v>26421</v>
      </c>
      <c r="L619" s="19">
        <v>97418.0</v>
      </c>
      <c r="M619" s="19" t="s">
        <v>216</v>
      </c>
      <c r="N619" s="103"/>
      <c r="O619" s="19" t="s">
        <v>10705</v>
      </c>
      <c r="P619" s="103"/>
      <c r="Q619" s="19" t="s">
        <v>26422</v>
      </c>
      <c r="R619" s="104">
        <v>27656.0</v>
      </c>
      <c r="S619" s="103"/>
      <c r="T619" s="103"/>
      <c r="U619" s="103"/>
      <c r="V619" s="103"/>
      <c r="W619" s="103"/>
      <c r="X619" s="103"/>
      <c r="Y619" s="103"/>
      <c r="Z619" s="103"/>
    </row>
    <row r="620" ht="15.75" customHeight="1">
      <c r="A620" s="19" t="s">
        <v>26423</v>
      </c>
      <c r="B620" s="19" t="s">
        <v>26424</v>
      </c>
      <c r="C620" s="19" t="s">
        <v>26425</v>
      </c>
      <c r="D620" s="19" t="s">
        <v>24344</v>
      </c>
      <c r="E620" s="19" t="s">
        <v>26426</v>
      </c>
      <c r="F620" s="102" t="s">
        <v>26427</v>
      </c>
      <c r="G620" s="19" t="s">
        <v>24335</v>
      </c>
      <c r="H620" s="19" t="b">
        <v>0</v>
      </c>
      <c r="I620" s="19">
        <v>1.0</v>
      </c>
      <c r="J620" s="102" t="s">
        <v>14878</v>
      </c>
      <c r="K620" s="19" t="s">
        <v>26428</v>
      </c>
      <c r="L620" s="19">
        <v>97430.0</v>
      </c>
      <c r="M620" s="19" t="s">
        <v>71</v>
      </c>
      <c r="N620" s="103"/>
      <c r="O620" s="19" t="s">
        <v>10756</v>
      </c>
      <c r="P620" s="103"/>
      <c r="Q620" s="19" t="s">
        <v>26429</v>
      </c>
      <c r="R620" s="103"/>
      <c r="S620" s="103"/>
      <c r="T620" s="103"/>
      <c r="U620" s="103"/>
      <c r="V620" s="103"/>
      <c r="W620" s="103"/>
      <c r="X620" s="103"/>
      <c r="Y620" s="103"/>
      <c r="Z620" s="103"/>
    </row>
    <row r="621" ht="15.75" customHeight="1">
      <c r="A621" s="19" t="s">
        <v>18974</v>
      </c>
      <c r="B621" s="19" t="s">
        <v>26430</v>
      </c>
      <c r="C621" s="19" t="s">
        <v>26431</v>
      </c>
      <c r="D621" s="19" t="s">
        <v>24344</v>
      </c>
      <c r="E621" s="19" t="s">
        <v>15632</v>
      </c>
      <c r="F621" s="102" t="s">
        <v>15633</v>
      </c>
      <c r="G621" s="19" t="s">
        <v>26432</v>
      </c>
      <c r="H621" s="19" t="b">
        <v>1</v>
      </c>
      <c r="I621" s="19">
        <v>1.0</v>
      </c>
      <c r="J621" s="102" t="s">
        <v>16355</v>
      </c>
      <c r="K621" s="19" t="s">
        <v>26433</v>
      </c>
      <c r="L621" s="19">
        <v>97430.0</v>
      </c>
      <c r="M621" s="19" t="s">
        <v>71</v>
      </c>
      <c r="N621" s="103"/>
      <c r="O621" s="19" t="s">
        <v>26434</v>
      </c>
      <c r="P621" s="103"/>
      <c r="Q621" s="19" t="s">
        <v>26435</v>
      </c>
      <c r="R621" s="103"/>
      <c r="S621" s="19" t="s">
        <v>24460</v>
      </c>
      <c r="T621" s="103"/>
      <c r="U621" s="103"/>
      <c r="V621" s="103"/>
      <c r="W621" s="103"/>
      <c r="X621" s="103"/>
      <c r="Y621" s="103"/>
      <c r="Z621" s="103"/>
    </row>
    <row r="622" ht="15.75" customHeight="1">
      <c r="A622" s="19" t="s">
        <v>19498</v>
      </c>
      <c r="B622" s="19" t="s">
        <v>26436</v>
      </c>
      <c r="C622" s="19" t="s">
        <v>24612</v>
      </c>
      <c r="D622" s="19" t="s">
        <v>24344</v>
      </c>
      <c r="E622" s="19" t="s">
        <v>26437</v>
      </c>
      <c r="F622" s="102" t="s">
        <v>26438</v>
      </c>
      <c r="G622" s="19" t="s">
        <v>24335</v>
      </c>
      <c r="H622" s="19" t="b">
        <v>0</v>
      </c>
      <c r="I622" s="19">
        <v>1.0</v>
      </c>
      <c r="J622" s="102" t="s">
        <v>14181</v>
      </c>
      <c r="K622" s="19" t="s">
        <v>26439</v>
      </c>
      <c r="L622" s="19">
        <v>81130.0</v>
      </c>
      <c r="M622" s="19" t="s">
        <v>26440</v>
      </c>
      <c r="N622" s="103"/>
      <c r="O622" s="19" t="s">
        <v>10211</v>
      </c>
      <c r="P622" s="103"/>
      <c r="Q622" s="19" t="s">
        <v>26441</v>
      </c>
      <c r="R622" s="103"/>
      <c r="S622" s="103"/>
      <c r="T622" s="103"/>
      <c r="U622" s="103"/>
      <c r="V622" s="103"/>
      <c r="W622" s="103"/>
      <c r="X622" s="103"/>
      <c r="Y622" s="103"/>
      <c r="Z622" s="103"/>
    </row>
    <row r="623" ht="15.75" customHeight="1">
      <c r="A623" s="19" t="s">
        <v>19444</v>
      </c>
      <c r="B623" s="19" t="s">
        <v>26442</v>
      </c>
      <c r="C623" s="19" t="s">
        <v>26443</v>
      </c>
      <c r="D623" s="19" t="s">
        <v>24334</v>
      </c>
      <c r="E623" s="19" t="s">
        <v>19437</v>
      </c>
      <c r="F623" s="102" t="s">
        <v>19438</v>
      </c>
      <c r="G623" s="103"/>
      <c r="H623" s="19" t="b">
        <v>1</v>
      </c>
      <c r="I623" s="19">
        <v>1.0</v>
      </c>
      <c r="J623" s="102" t="s">
        <v>14790</v>
      </c>
      <c r="K623" s="19" t="s">
        <v>26444</v>
      </c>
      <c r="L623" s="19">
        <v>97425.0</v>
      </c>
      <c r="M623" s="19" t="s">
        <v>25474</v>
      </c>
      <c r="N623" s="103"/>
      <c r="O623" s="19" t="s">
        <v>11686</v>
      </c>
      <c r="P623" s="103"/>
      <c r="Q623" s="19" t="s">
        <v>26445</v>
      </c>
      <c r="R623" s="104">
        <v>31153.0</v>
      </c>
      <c r="S623" s="103"/>
      <c r="T623" s="103"/>
      <c r="U623" s="103"/>
      <c r="V623" s="103"/>
      <c r="W623" s="103"/>
      <c r="X623" s="103"/>
      <c r="Y623" s="103"/>
      <c r="Z623" s="103"/>
    </row>
    <row r="624" ht="15.75" customHeight="1">
      <c r="A624" s="19" t="s">
        <v>18570</v>
      </c>
      <c r="B624" s="19" t="s">
        <v>26446</v>
      </c>
      <c r="C624" s="19" t="s">
        <v>26447</v>
      </c>
      <c r="D624" s="19" t="s">
        <v>24334</v>
      </c>
      <c r="E624" s="19" t="s">
        <v>18577</v>
      </c>
      <c r="F624" s="102" t="s">
        <v>18578</v>
      </c>
      <c r="G624" s="19" t="s">
        <v>24335</v>
      </c>
      <c r="H624" s="19" t="b">
        <v>1</v>
      </c>
      <c r="I624" s="19">
        <v>2.0</v>
      </c>
      <c r="J624" s="19" t="s">
        <v>18559</v>
      </c>
      <c r="K624" s="19" t="s">
        <v>26448</v>
      </c>
      <c r="L624" s="19">
        <v>97418.0</v>
      </c>
      <c r="M624" s="19" t="s">
        <v>216</v>
      </c>
      <c r="N624" s="103"/>
      <c r="O624" s="19" t="s">
        <v>26449</v>
      </c>
      <c r="P624" s="19" t="s">
        <v>26450</v>
      </c>
      <c r="Q624" s="19" t="s">
        <v>26451</v>
      </c>
      <c r="R624" s="104">
        <v>27200.0</v>
      </c>
      <c r="S624" s="19" t="s">
        <v>24348</v>
      </c>
      <c r="T624" s="103"/>
      <c r="U624" s="103"/>
      <c r="V624" s="103"/>
      <c r="W624" s="103"/>
      <c r="X624" s="103"/>
      <c r="Y624" s="103"/>
      <c r="Z624" s="103"/>
    </row>
    <row r="625" ht="15.75" customHeight="1">
      <c r="A625" s="19" t="s">
        <v>23271</v>
      </c>
      <c r="B625" s="19" t="s">
        <v>26452</v>
      </c>
      <c r="C625" s="19" t="s">
        <v>26453</v>
      </c>
      <c r="D625" s="19" t="s">
        <v>24344</v>
      </c>
      <c r="E625" s="19" t="s">
        <v>23266</v>
      </c>
      <c r="F625" s="102" t="s">
        <v>23267</v>
      </c>
      <c r="G625" s="103"/>
      <c r="H625" s="19" t="b">
        <v>1</v>
      </c>
      <c r="I625" s="19">
        <v>1.0</v>
      </c>
      <c r="J625" s="103"/>
      <c r="K625" s="103"/>
      <c r="L625" s="103"/>
      <c r="M625" s="103"/>
      <c r="N625" s="103"/>
      <c r="O625" s="19" t="s">
        <v>26454</v>
      </c>
      <c r="P625" s="103"/>
      <c r="Q625" s="19" t="s">
        <v>26455</v>
      </c>
      <c r="R625" s="104">
        <v>24708.0</v>
      </c>
      <c r="S625" s="103"/>
      <c r="T625" s="103"/>
      <c r="U625" s="103"/>
      <c r="V625" s="103"/>
      <c r="W625" s="103"/>
      <c r="X625" s="103"/>
      <c r="Y625" s="103"/>
      <c r="Z625" s="103"/>
    </row>
    <row r="626" ht="15.75" customHeight="1">
      <c r="A626" s="19" t="s">
        <v>18213</v>
      </c>
      <c r="B626" s="19" t="s">
        <v>26062</v>
      </c>
      <c r="C626" s="19" t="s">
        <v>26456</v>
      </c>
      <c r="D626" s="19" t="s">
        <v>24334</v>
      </c>
      <c r="E626" s="19" t="s">
        <v>18208</v>
      </c>
      <c r="F626" s="102" t="s">
        <v>26457</v>
      </c>
      <c r="G626" s="103"/>
      <c r="H626" s="19" t="b">
        <v>1</v>
      </c>
      <c r="I626" s="19">
        <v>1.0</v>
      </c>
      <c r="J626" s="102" t="s">
        <v>18205</v>
      </c>
      <c r="K626" s="19" t="s">
        <v>18206</v>
      </c>
      <c r="L626" s="19">
        <v>97480.0</v>
      </c>
      <c r="M626" s="19" t="s">
        <v>123</v>
      </c>
      <c r="N626" s="103"/>
      <c r="O626" s="19" t="s">
        <v>12048</v>
      </c>
      <c r="P626" s="103"/>
      <c r="Q626" s="19" t="s">
        <v>26458</v>
      </c>
      <c r="R626" s="104">
        <v>32321.0</v>
      </c>
      <c r="S626" s="103"/>
      <c r="T626" s="103"/>
      <c r="U626" s="103"/>
      <c r="V626" s="103"/>
      <c r="W626" s="103"/>
      <c r="X626" s="103"/>
      <c r="Y626" s="103"/>
      <c r="Z626" s="103"/>
    </row>
    <row r="627" ht="15.75" customHeight="1">
      <c r="A627" s="19" t="s">
        <v>12874</v>
      </c>
      <c r="B627" s="19" t="s">
        <v>26459</v>
      </c>
      <c r="C627" s="19" t="s">
        <v>26460</v>
      </c>
      <c r="D627" s="19" t="s">
        <v>24344</v>
      </c>
      <c r="E627" s="19" t="s">
        <v>12868</v>
      </c>
      <c r="F627" s="103"/>
      <c r="G627" s="19" t="s">
        <v>24335</v>
      </c>
      <c r="H627" s="19" t="b">
        <v>1</v>
      </c>
      <c r="I627" s="19">
        <v>1.0</v>
      </c>
      <c r="J627" s="102" t="s">
        <v>12865</v>
      </c>
      <c r="K627" s="19" t="s">
        <v>12866</v>
      </c>
      <c r="L627" s="19">
        <v>97430.0</v>
      </c>
      <c r="M627" s="19" t="s">
        <v>71</v>
      </c>
      <c r="N627" s="103"/>
      <c r="O627" s="19" t="s">
        <v>12213</v>
      </c>
      <c r="P627" s="103"/>
      <c r="Q627" s="19" t="s">
        <v>26461</v>
      </c>
      <c r="R627" s="103"/>
      <c r="S627" s="103"/>
      <c r="T627" s="103"/>
      <c r="U627" s="103"/>
      <c r="V627" s="103"/>
      <c r="W627" s="103"/>
      <c r="X627" s="103"/>
      <c r="Y627" s="103"/>
      <c r="Z627" s="103"/>
    </row>
    <row r="628" ht="15.75" customHeight="1">
      <c r="A628" s="19" t="s">
        <v>17596</v>
      </c>
      <c r="B628" s="19" t="s">
        <v>26462</v>
      </c>
      <c r="C628" s="19" t="s">
        <v>25270</v>
      </c>
      <c r="D628" s="19" t="s">
        <v>24334</v>
      </c>
      <c r="E628" s="19" t="s">
        <v>17589</v>
      </c>
      <c r="F628" s="102" t="s">
        <v>17590</v>
      </c>
      <c r="G628" s="19" t="s">
        <v>24420</v>
      </c>
      <c r="H628" s="19" t="b">
        <v>0</v>
      </c>
      <c r="I628" s="19">
        <v>0.0</v>
      </c>
      <c r="J628" s="19" t="s">
        <v>18529</v>
      </c>
      <c r="K628" s="19" t="s">
        <v>17587</v>
      </c>
      <c r="L628" s="19">
        <v>97414.0</v>
      </c>
      <c r="M628" s="19" t="s">
        <v>40</v>
      </c>
      <c r="N628" s="103"/>
      <c r="O628" s="19" t="s">
        <v>26463</v>
      </c>
      <c r="P628" s="103"/>
      <c r="Q628" s="19" t="s">
        <v>26464</v>
      </c>
      <c r="R628" s="104">
        <v>24650.0</v>
      </c>
      <c r="S628" s="19" t="s">
        <v>24348</v>
      </c>
      <c r="T628" s="103"/>
      <c r="U628" s="103"/>
      <c r="V628" s="103"/>
      <c r="W628" s="103"/>
      <c r="X628" s="103"/>
      <c r="Y628" s="103"/>
      <c r="Z628" s="103"/>
    </row>
    <row r="629" ht="15.75" customHeight="1">
      <c r="A629" s="19" t="s">
        <v>16974</v>
      </c>
      <c r="B629" s="19" t="s">
        <v>25125</v>
      </c>
      <c r="C629" s="19" t="s">
        <v>26465</v>
      </c>
      <c r="D629" s="19" t="s">
        <v>24344</v>
      </c>
      <c r="E629" s="19" t="s">
        <v>16966</v>
      </c>
      <c r="F629" s="103"/>
      <c r="G629" s="103"/>
      <c r="H629" s="19" t="b">
        <v>0</v>
      </c>
      <c r="I629" s="19">
        <v>1.0</v>
      </c>
      <c r="J629" s="19" t="s">
        <v>16963</v>
      </c>
      <c r="K629" s="19" t="s">
        <v>16964</v>
      </c>
      <c r="L629" s="19">
        <v>97480.0</v>
      </c>
      <c r="M629" s="19" t="s">
        <v>123</v>
      </c>
      <c r="N629" s="103"/>
      <c r="O629" s="19" t="s">
        <v>10721</v>
      </c>
      <c r="P629" s="103"/>
      <c r="Q629" s="19" t="s">
        <v>26466</v>
      </c>
      <c r="R629" s="104">
        <v>30941.0</v>
      </c>
      <c r="S629" s="103"/>
      <c r="T629" s="103"/>
      <c r="U629" s="103"/>
      <c r="V629" s="103"/>
      <c r="W629" s="103"/>
      <c r="X629" s="103"/>
      <c r="Y629" s="103"/>
      <c r="Z629" s="103"/>
    </row>
    <row r="630" ht="15.75" customHeight="1">
      <c r="A630" s="19" t="s">
        <v>19457</v>
      </c>
      <c r="B630" s="19" t="s">
        <v>26467</v>
      </c>
      <c r="C630" s="19" t="s">
        <v>26468</v>
      </c>
      <c r="D630" s="19" t="s">
        <v>24334</v>
      </c>
      <c r="E630" s="19" t="s">
        <v>15473</v>
      </c>
      <c r="F630" s="102" t="s">
        <v>15474</v>
      </c>
      <c r="G630" s="19" t="s">
        <v>26432</v>
      </c>
      <c r="H630" s="19" t="b">
        <v>1</v>
      </c>
      <c r="I630" s="19">
        <v>2.0</v>
      </c>
      <c r="J630" s="102" t="s">
        <v>14580</v>
      </c>
      <c r="K630" s="19" t="s">
        <v>26469</v>
      </c>
      <c r="L630" s="19">
        <v>97434.0</v>
      </c>
      <c r="M630" s="19" t="s">
        <v>26470</v>
      </c>
      <c r="N630" s="103"/>
      <c r="O630" s="19" t="s">
        <v>26471</v>
      </c>
      <c r="P630" s="103"/>
      <c r="Q630" s="19" t="s">
        <v>26472</v>
      </c>
      <c r="R630" s="103"/>
      <c r="S630" s="19" t="s">
        <v>24348</v>
      </c>
      <c r="T630" s="103"/>
      <c r="U630" s="103"/>
      <c r="V630" s="103"/>
      <c r="W630" s="103"/>
      <c r="X630" s="103"/>
      <c r="Y630" s="103"/>
      <c r="Z630" s="103"/>
    </row>
    <row r="631" ht="15.75" customHeight="1">
      <c r="A631" s="19" t="s">
        <v>17715</v>
      </c>
      <c r="B631" s="19" t="s">
        <v>24349</v>
      </c>
      <c r="C631" s="19" t="s">
        <v>26473</v>
      </c>
      <c r="D631" s="19" t="s">
        <v>24344</v>
      </c>
      <c r="E631" s="19" t="s">
        <v>17708</v>
      </c>
      <c r="F631" s="102" t="s">
        <v>17709</v>
      </c>
      <c r="G631" s="19" t="s">
        <v>24335</v>
      </c>
      <c r="H631" s="19" t="b">
        <v>1</v>
      </c>
      <c r="I631" s="19">
        <v>1.0</v>
      </c>
      <c r="J631" s="102" t="s">
        <v>15332</v>
      </c>
      <c r="K631" s="19" t="s">
        <v>17706</v>
      </c>
      <c r="L631" s="19">
        <v>97418.0</v>
      </c>
      <c r="M631" s="19" t="s">
        <v>216</v>
      </c>
      <c r="N631" s="103"/>
      <c r="O631" s="19" t="s">
        <v>12207</v>
      </c>
      <c r="P631" s="103"/>
      <c r="Q631" s="19" t="s">
        <v>26474</v>
      </c>
      <c r="R631" s="104">
        <v>23276.0</v>
      </c>
      <c r="S631" s="103"/>
      <c r="T631" s="103"/>
      <c r="U631" s="103"/>
      <c r="V631" s="103"/>
      <c r="W631" s="103"/>
      <c r="X631" s="103"/>
      <c r="Y631" s="103"/>
      <c r="Z631" s="103"/>
    </row>
    <row r="632" ht="15.75" customHeight="1">
      <c r="A632" s="19" t="s">
        <v>21304</v>
      </c>
      <c r="B632" s="19" t="s">
        <v>26475</v>
      </c>
      <c r="C632" s="19" t="s">
        <v>26476</v>
      </c>
      <c r="D632" s="19" t="s">
        <v>24344</v>
      </c>
      <c r="E632" s="19" t="s">
        <v>26477</v>
      </c>
      <c r="F632" s="19">
        <v>2.62320696E8</v>
      </c>
      <c r="G632" s="19" t="s">
        <v>24335</v>
      </c>
      <c r="H632" s="19" t="b">
        <v>0</v>
      </c>
      <c r="I632" s="19">
        <v>1.0</v>
      </c>
      <c r="J632" s="103"/>
      <c r="K632" s="103"/>
      <c r="L632" s="103"/>
      <c r="M632" s="103"/>
      <c r="N632" s="103"/>
      <c r="O632" s="6" t="s">
        <v>11031</v>
      </c>
      <c r="P632" s="103"/>
      <c r="Q632" s="103"/>
      <c r="R632" s="103"/>
      <c r="S632" s="103"/>
      <c r="T632" s="103"/>
      <c r="U632" s="103"/>
      <c r="V632" s="103"/>
      <c r="W632" s="103"/>
      <c r="X632" s="103"/>
      <c r="Y632" s="103"/>
      <c r="Z632" s="103"/>
    </row>
    <row r="633" ht="15.75" customHeight="1">
      <c r="A633" s="19" t="s">
        <v>19396</v>
      </c>
      <c r="B633" s="19" t="s">
        <v>26478</v>
      </c>
      <c r="C633" s="19" t="s">
        <v>26479</v>
      </c>
      <c r="D633" s="19" t="s">
        <v>24344</v>
      </c>
      <c r="E633" s="19" t="s">
        <v>19392</v>
      </c>
      <c r="F633" s="102" t="s">
        <v>19393</v>
      </c>
      <c r="G633" s="19" t="s">
        <v>24335</v>
      </c>
      <c r="H633" s="19" t="b">
        <v>1</v>
      </c>
      <c r="I633" s="19">
        <v>1.0</v>
      </c>
      <c r="J633" s="19" t="s">
        <v>26480</v>
      </c>
      <c r="K633" s="19" t="s">
        <v>26481</v>
      </c>
      <c r="L633" s="19">
        <v>97430.0</v>
      </c>
      <c r="M633" s="19" t="s">
        <v>71</v>
      </c>
      <c r="N633" s="103"/>
      <c r="O633" s="6" t="s">
        <v>11774</v>
      </c>
      <c r="P633" s="103"/>
      <c r="Q633" s="19" t="s">
        <v>26482</v>
      </c>
      <c r="R633" s="104">
        <v>32422.0</v>
      </c>
      <c r="S633" s="19" t="s">
        <v>24460</v>
      </c>
      <c r="T633" s="103"/>
      <c r="U633" s="103"/>
      <c r="V633" s="103"/>
      <c r="W633" s="103"/>
      <c r="X633" s="103"/>
      <c r="Y633" s="103"/>
      <c r="Z633" s="103"/>
    </row>
    <row r="634" ht="15.75" customHeight="1">
      <c r="A634" s="19" t="s">
        <v>19385</v>
      </c>
      <c r="B634" s="19" t="s">
        <v>26483</v>
      </c>
      <c r="C634" s="19" t="s">
        <v>25033</v>
      </c>
      <c r="D634" s="19" t="s">
        <v>24344</v>
      </c>
      <c r="E634" s="19" t="s">
        <v>19379</v>
      </c>
      <c r="F634" s="102" t="s">
        <v>19380</v>
      </c>
      <c r="G634" s="19" t="s">
        <v>24335</v>
      </c>
      <c r="H634" s="19" t="b">
        <v>1</v>
      </c>
      <c r="I634" s="19">
        <v>1.0</v>
      </c>
      <c r="J634" s="102" t="s">
        <v>13859</v>
      </c>
      <c r="K634" s="19" t="s">
        <v>26484</v>
      </c>
      <c r="L634" s="19">
        <v>97480.0</v>
      </c>
      <c r="M634" s="19" t="s">
        <v>123</v>
      </c>
      <c r="N634" s="103"/>
      <c r="O634" s="19" t="s">
        <v>11767</v>
      </c>
      <c r="P634" s="103"/>
      <c r="Q634" s="19" t="s">
        <v>26485</v>
      </c>
      <c r="R634" s="103"/>
      <c r="S634" s="103"/>
      <c r="T634" s="103"/>
      <c r="U634" s="103"/>
      <c r="V634" s="103"/>
      <c r="W634" s="103"/>
      <c r="X634" s="103"/>
      <c r="Y634" s="103"/>
      <c r="Z634" s="103"/>
    </row>
    <row r="635" ht="15.75" customHeight="1">
      <c r="A635" s="19" t="s">
        <v>16145</v>
      </c>
      <c r="B635" s="19" t="s">
        <v>26486</v>
      </c>
      <c r="C635" s="19" t="s">
        <v>26487</v>
      </c>
      <c r="D635" s="19" t="s">
        <v>24334</v>
      </c>
      <c r="E635" s="19" t="s">
        <v>16137</v>
      </c>
      <c r="F635" s="102" t="s">
        <v>16138</v>
      </c>
      <c r="G635" s="19" t="s">
        <v>24335</v>
      </c>
      <c r="H635" s="19" t="b">
        <v>1</v>
      </c>
      <c r="I635" s="19">
        <v>1.0</v>
      </c>
      <c r="J635" s="102" t="s">
        <v>14338</v>
      </c>
      <c r="K635" s="19" t="s">
        <v>26488</v>
      </c>
      <c r="L635" s="19">
        <v>97442.0</v>
      </c>
      <c r="M635" s="19" t="s">
        <v>33</v>
      </c>
      <c r="N635" s="103"/>
      <c r="O635" s="19" t="s">
        <v>10498</v>
      </c>
      <c r="P635" s="103"/>
      <c r="Q635" s="19" t="s">
        <v>26489</v>
      </c>
      <c r="R635" s="104">
        <v>27814.0</v>
      </c>
      <c r="S635" s="19" t="s">
        <v>24460</v>
      </c>
      <c r="T635" s="103"/>
      <c r="U635" s="103"/>
      <c r="V635" s="103"/>
      <c r="W635" s="103"/>
      <c r="X635" s="103"/>
      <c r="Y635" s="103"/>
      <c r="Z635" s="103"/>
    </row>
    <row r="636" ht="15.75" customHeight="1">
      <c r="A636" s="19" t="s">
        <v>18509</v>
      </c>
      <c r="B636" s="19" t="s">
        <v>26490</v>
      </c>
      <c r="C636" s="19" t="s">
        <v>25043</v>
      </c>
      <c r="D636" s="19" t="s">
        <v>24334</v>
      </c>
      <c r="E636" s="19" t="s">
        <v>18502</v>
      </c>
      <c r="F636" s="102" t="s">
        <v>18503</v>
      </c>
      <c r="G636" s="19" t="s">
        <v>24335</v>
      </c>
      <c r="H636" s="19" t="b">
        <v>1</v>
      </c>
      <c r="I636" s="19">
        <v>1.0</v>
      </c>
      <c r="J636" s="102" t="s">
        <v>17956</v>
      </c>
      <c r="K636" s="19" t="s">
        <v>18500</v>
      </c>
      <c r="L636" s="19">
        <v>97430.0</v>
      </c>
      <c r="M636" s="19" t="s">
        <v>71</v>
      </c>
      <c r="N636" s="103"/>
      <c r="O636" s="19" t="s">
        <v>11623</v>
      </c>
      <c r="P636" s="19" t="s">
        <v>26491</v>
      </c>
      <c r="Q636" s="19" t="s">
        <v>26492</v>
      </c>
      <c r="R636" s="104">
        <v>25205.0</v>
      </c>
      <c r="S636" s="19" t="s">
        <v>24460</v>
      </c>
      <c r="T636" s="103"/>
      <c r="U636" s="103"/>
      <c r="V636" s="103"/>
      <c r="W636" s="103"/>
      <c r="X636" s="103"/>
      <c r="Y636" s="103"/>
      <c r="Z636" s="103"/>
    </row>
    <row r="637" ht="15.75" customHeight="1">
      <c r="A637" s="19" t="s">
        <v>13343</v>
      </c>
      <c r="B637" s="19" t="s">
        <v>25481</v>
      </c>
      <c r="C637" s="19" t="s">
        <v>24671</v>
      </c>
      <c r="D637" s="19" t="s">
        <v>24334</v>
      </c>
      <c r="E637" s="19" t="s">
        <v>13334</v>
      </c>
      <c r="F637" s="102" t="s">
        <v>13335</v>
      </c>
      <c r="G637" s="19" t="s">
        <v>24335</v>
      </c>
      <c r="H637" s="19" t="b">
        <v>1</v>
      </c>
      <c r="I637" s="19">
        <v>1.0</v>
      </c>
      <c r="J637" s="102" t="s">
        <v>15823</v>
      </c>
      <c r="K637" s="19" t="s">
        <v>26493</v>
      </c>
      <c r="L637" s="19">
        <v>97430.0</v>
      </c>
      <c r="M637" s="19" t="s">
        <v>71</v>
      </c>
      <c r="N637" s="103"/>
      <c r="O637" s="19" t="s">
        <v>11813</v>
      </c>
      <c r="P637" s="103"/>
      <c r="Q637" s="19" t="s">
        <v>26494</v>
      </c>
      <c r="R637" s="104">
        <v>26351.0</v>
      </c>
      <c r="S637" s="19" t="s">
        <v>24460</v>
      </c>
      <c r="T637" s="103"/>
      <c r="U637" s="103"/>
      <c r="V637" s="103"/>
      <c r="W637" s="103"/>
      <c r="X637" s="103"/>
      <c r="Y637" s="103"/>
      <c r="Z637" s="103"/>
    </row>
    <row r="638" ht="15.75" customHeight="1">
      <c r="A638" s="19" t="s">
        <v>15327</v>
      </c>
      <c r="B638" s="19" t="s">
        <v>24352</v>
      </c>
      <c r="C638" s="19" t="s">
        <v>25967</v>
      </c>
      <c r="D638" s="19" t="s">
        <v>24344</v>
      </c>
      <c r="E638" s="19" t="s">
        <v>15320</v>
      </c>
      <c r="F638" s="102" t="s">
        <v>15321</v>
      </c>
      <c r="G638" s="19" t="s">
        <v>24335</v>
      </c>
      <c r="H638" s="19" t="b">
        <v>0</v>
      </c>
      <c r="I638" s="19">
        <v>2.0</v>
      </c>
      <c r="J638" s="19" t="s">
        <v>26495</v>
      </c>
      <c r="K638" s="19" t="s">
        <v>26496</v>
      </c>
      <c r="L638" s="19">
        <v>97480.0</v>
      </c>
      <c r="M638" s="19" t="s">
        <v>123</v>
      </c>
      <c r="N638" s="103"/>
      <c r="O638" s="19" t="s">
        <v>26497</v>
      </c>
      <c r="P638" s="103"/>
      <c r="Q638" s="19" t="s">
        <v>26498</v>
      </c>
      <c r="R638" s="105">
        <v>28823.0</v>
      </c>
      <c r="S638" s="19" t="s">
        <v>24460</v>
      </c>
      <c r="T638" s="103"/>
      <c r="U638" s="103"/>
      <c r="V638" s="103"/>
      <c r="W638" s="103"/>
      <c r="X638" s="103"/>
      <c r="Y638" s="103"/>
      <c r="Z638" s="103"/>
    </row>
    <row r="639" ht="15.75" customHeight="1">
      <c r="A639" s="19" t="s">
        <v>18964</v>
      </c>
      <c r="B639" s="19" t="s">
        <v>26499</v>
      </c>
      <c r="C639" s="19" t="s">
        <v>26500</v>
      </c>
      <c r="D639" s="19" t="s">
        <v>24344</v>
      </c>
      <c r="E639" s="19" t="s">
        <v>18959</v>
      </c>
      <c r="F639" s="102" t="s">
        <v>26501</v>
      </c>
      <c r="G639" s="19" t="s">
        <v>24420</v>
      </c>
      <c r="H639" s="19" t="b">
        <v>1</v>
      </c>
      <c r="I639" s="19">
        <v>1.0</v>
      </c>
      <c r="J639" s="102" t="s">
        <v>12925</v>
      </c>
      <c r="K639" s="19" t="s">
        <v>18957</v>
      </c>
      <c r="L639" s="19">
        <v>97480.0</v>
      </c>
      <c r="M639" s="19" t="s">
        <v>123</v>
      </c>
      <c r="N639" s="103"/>
      <c r="O639" s="19" t="s">
        <v>11836</v>
      </c>
      <c r="P639" s="19" t="s">
        <v>26502</v>
      </c>
      <c r="Q639" s="19" t="s">
        <v>26503</v>
      </c>
      <c r="R639" s="103"/>
      <c r="S639" s="19" t="s">
        <v>24348</v>
      </c>
      <c r="T639" s="103"/>
      <c r="U639" s="103"/>
      <c r="V639" s="103"/>
      <c r="W639" s="103"/>
      <c r="X639" s="103"/>
      <c r="Y639" s="103"/>
      <c r="Z639" s="103"/>
    </row>
    <row r="640" ht="15.75" customHeight="1">
      <c r="A640" s="19" t="s">
        <v>13038</v>
      </c>
      <c r="B640" s="19" t="s">
        <v>26184</v>
      </c>
      <c r="C640" s="19" t="s">
        <v>149</v>
      </c>
      <c r="D640" s="19" t="s">
        <v>24344</v>
      </c>
      <c r="E640" s="19" t="s">
        <v>13031</v>
      </c>
      <c r="F640" s="102" t="s">
        <v>23397</v>
      </c>
      <c r="G640" s="19" t="s">
        <v>24335</v>
      </c>
      <c r="H640" s="19" t="b">
        <v>1</v>
      </c>
      <c r="I640" s="19">
        <v>3.0</v>
      </c>
      <c r="J640" s="102" t="s">
        <v>26504</v>
      </c>
      <c r="K640" s="19" t="s">
        <v>13028</v>
      </c>
      <c r="L640" s="19">
        <v>97418.0</v>
      </c>
      <c r="M640" s="19" t="s">
        <v>216</v>
      </c>
      <c r="N640" s="103"/>
      <c r="O640" s="19" t="s">
        <v>26505</v>
      </c>
      <c r="P640" s="103"/>
      <c r="Q640" s="19" t="s">
        <v>26506</v>
      </c>
      <c r="R640" s="103"/>
      <c r="S640" s="19" t="s">
        <v>24460</v>
      </c>
      <c r="T640" s="103"/>
      <c r="U640" s="103"/>
      <c r="V640" s="103"/>
      <c r="W640" s="103"/>
      <c r="X640" s="103"/>
      <c r="Y640" s="103"/>
      <c r="Z640" s="103"/>
    </row>
    <row r="641" ht="15.75" customHeight="1">
      <c r="A641" s="19" t="s">
        <v>14299</v>
      </c>
      <c r="B641" s="19" t="s">
        <v>26314</v>
      </c>
      <c r="C641" s="19" t="s">
        <v>26507</v>
      </c>
      <c r="D641" s="19" t="s">
        <v>24334</v>
      </c>
      <c r="E641" s="19" t="s">
        <v>14291</v>
      </c>
      <c r="F641" s="102" t="s">
        <v>26508</v>
      </c>
      <c r="G641" s="19" t="s">
        <v>24335</v>
      </c>
      <c r="H641" s="19" t="b">
        <v>1</v>
      </c>
      <c r="I641" s="19">
        <v>2.0</v>
      </c>
      <c r="J641" s="19" t="s">
        <v>26509</v>
      </c>
      <c r="K641" s="19" t="s">
        <v>26510</v>
      </c>
      <c r="L641" s="19">
        <v>97430.0</v>
      </c>
      <c r="M641" s="19" t="s">
        <v>71</v>
      </c>
      <c r="N641" s="103"/>
      <c r="O641" s="19" t="s">
        <v>26511</v>
      </c>
      <c r="P641" s="19" t="s">
        <v>26512</v>
      </c>
      <c r="Q641" s="19" t="s">
        <v>26513</v>
      </c>
      <c r="R641" s="104">
        <v>27518.0</v>
      </c>
      <c r="S641" s="19" t="s">
        <v>24348</v>
      </c>
      <c r="T641" s="103"/>
      <c r="U641" s="103"/>
      <c r="V641" s="103"/>
      <c r="W641" s="103"/>
      <c r="X641" s="103"/>
      <c r="Y641" s="103"/>
      <c r="Z641" s="103"/>
    </row>
    <row r="642" ht="15.75" customHeight="1">
      <c r="A642" s="19" t="s">
        <v>18814</v>
      </c>
      <c r="B642" s="19" t="s">
        <v>26514</v>
      </c>
      <c r="C642" s="19" t="s">
        <v>24577</v>
      </c>
      <c r="D642" s="19" t="s">
        <v>24344</v>
      </c>
      <c r="E642" s="19" t="s">
        <v>18806</v>
      </c>
      <c r="F642" s="102" t="s">
        <v>18807</v>
      </c>
      <c r="G642" s="19" t="s">
        <v>24335</v>
      </c>
      <c r="H642" s="19" t="b">
        <v>0</v>
      </c>
      <c r="I642" s="19">
        <v>0.0</v>
      </c>
      <c r="J642" s="102" t="s">
        <v>15221</v>
      </c>
      <c r="K642" s="19" t="s">
        <v>18804</v>
      </c>
      <c r="L642" s="19">
        <v>97480.0</v>
      </c>
      <c r="M642" s="19" t="s">
        <v>123</v>
      </c>
      <c r="N642" s="103"/>
      <c r="O642" s="19" t="s">
        <v>11947</v>
      </c>
      <c r="P642" s="103"/>
      <c r="Q642" s="19" t="s">
        <v>26515</v>
      </c>
      <c r="R642" s="104">
        <v>23688.0</v>
      </c>
      <c r="S642" s="19" t="s">
        <v>24348</v>
      </c>
      <c r="T642" s="103"/>
      <c r="U642" s="103"/>
      <c r="V642" s="103"/>
      <c r="W642" s="103"/>
      <c r="X642" s="103"/>
      <c r="Y642" s="103"/>
      <c r="Z642" s="103"/>
    </row>
    <row r="643" ht="15.75" customHeight="1">
      <c r="A643" s="19" t="s">
        <v>15940</v>
      </c>
      <c r="B643" s="19" t="s">
        <v>26516</v>
      </c>
      <c r="C643" s="19" t="s">
        <v>73</v>
      </c>
      <c r="D643" s="19" t="s">
        <v>24344</v>
      </c>
      <c r="E643" s="19" t="s">
        <v>15934</v>
      </c>
      <c r="F643" s="102" t="s">
        <v>16939</v>
      </c>
      <c r="G643" s="19" t="s">
        <v>24420</v>
      </c>
      <c r="H643" s="103"/>
      <c r="I643" s="19">
        <v>2.0</v>
      </c>
      <c r="J643" s="19" t="s">
        <v>26517</v>
      </c>
      <c r="K643" s="19" t="s">
        <v>26518</v>
      </c>
      <c r="L643" s="19">
        <v>97421.0</v>
      </c>
      <c r="M643" s="19" t="s">
        <v>25722</v>
      </c>
      <c r="N643" s="103"/>
      <c r="O643" s="19" t="s">
        <v>26519</v>
      </c>
      <c r="P643" s="103"/>
      <c r="Q643" s="102" t="s">
        <v>26520</v>
      </c>
      <c r="R643" s="104">
        <v>30836.0</v>
      </c>
      <c r="S643" s="103"/>
      <c r="T643" s="103"/>
      <c r="U643" s="103"/>
      <c r="V643" s="103"/>
      <c r="W643" s="103"/>
      <c r="X643" s="103"/>
      <c r="Y643" s="103"/>
      <c r="Z643" s="103"/>
    </row>
    <row r="644" ht="15.75" customHeight="1">
      <c r="A644" s="19" t="s">
        <v>14175</v>
      </c>
      <c r="B644" s="19" t="s">
        <v>25385</v>
      </c>
      <c r="C644" s="19" t="s">
        <v>26521</v>
      </c>
      <c r="D644" s="19" t="s">
        <v>24334</v>
      </c>
      <c r="E644" s="19" t="s">
        <v>14167</v>
      </c>
      <c r="F644" s="102" t="s">
        <v>14168</v>
      </c>
      <c r="G644" s="19" t="s">
        <v>24335</v>
      </c>
      <c r="H644" s="19" t="b">
        <v>1</v>
      </c>
      <c r="I644" s="19">
        <v>1.0</v>
      </c>
      <c r="J644" s="102" t="s">
        <v>19732</v>
      </c>
      <c r="K644" s="19" t="s">
        <v>14165</v>
      </c>
      <c r="L644" s="19">
        <v>97414.0</v>
      </c>
      <c r="M644" s="19" t="s">
        <v>40</v>
      </c>
      <c r="N644" s="103"/>
      <c r="O644" s="19" t="s">
        <v>10384</v>
      </c>
      <c r="P644" s="103"/>
      <c r="Q644" s="19" t="s">
        <v>26522</v>
      </c>
      <c r="R644" s="104">
        <v>24254.0</v>
      </c>
      <c r="S644" s="103"/>
      <c r="T644" s="103"/>
      <c r="U644" s="103"/>
      <c r="V644" s="103"/>
      <c r="W644" s="103"/>
      <c r="X644" s="103"/>
      <c r="Y644" s="103"/>
      <c r="Z644" s="103"/>
    </row>
    <row r="645" ht="15.75" customHeight="1">
      <c r="A645" s="19" t="s">
        <v>15148</v>
      </c>
      <c r="B645" s="19" t="s">
        <v>26523</v>
      </c>
      <c r="C645" s="19" t="s">
        <v>26524</v>
      </c>
      <c r="D645" s="19" t="s">
        <v>24334</v>
      </c>
      <c r="E645" s="19" t="s">
        <v>15141</v>
      </c>
      <c r="F645" s="102" t="s">
        <v>26525</v>
      </c>
      <c r="G645" s="19" t="s">
        <v>24420</v>
      </c>
      <c r="H645" s="19" t="b">
        <v>1</v>
      </c>
      <c r="I645" s="19">
        <v>1.0</v>
      </c>
      <c r="J645" s="102" t="s">
        <v>15139</v>
      </c>
      <c r="K645" s="19" t="s">
        <v>12977</v>
      </c>
      <c r="L645" s="19">
        <v>97414.0</v>
      </c>
      <c r="M645" s="19" t="s">
        <v>40</v>
      </c>
      <c r="N645" s="103"/>
      <c r="O645" s="19" t="s">
        <v>26526</v>
      </c>
      <c r="P645" s="19" t="s">
        <v>26527</v>
      </c>
      <c r="Q645" s="19" t="s">
        <v>26528</v>
      </c>
      <c r="R645" s="104">
        <v>23983.0</v>
      </c>
      <c r="S645" s="19" t="s">
        <v>24460</v>
      </c>
      <c r="T645" s="103"/>
      <c r="U645" s="103"/>
      <c r="V645" s="103"/>
      <c r="W645" s="103"/>
      <c r="X645" s="103"/>
      <c r="Y645" s="103"/>
      <c r="Z645" s="103"/>
    </row>
    <row r="646" ht="15.75" customHeight="1">
      <c r="A646" s="19" t="s">
        <v>19069</v>
      </c>
      <c r="B646" s="19" t="s">
        <v>25695</v>
      </c>
      <c r="C646" s="19" t="s">
        <v>24495</v>
      </c>
      <c r="D646" s="19" t="s">
        <v>24344</v>
      </c>
      <c r="E646" s="19" t="s">
        <v>19061</v>
      </c>
      <c r="F646" s="102" t="s">
        <v>19062</v>
      </c>
      <c r="G646" s="19" t="s">
        <v>24335</v>
      </c>
      <c r="H646" s="19" t="b">
        <v>1</v>
      </c>
      <c r="I646" s="19">
        <v>1.0</v>
      </c>
      <c r="J646" s="102" t="s">
        <v>19058</v>
      </c>
      <c r="K646" s="19" t="s">
        <v>26529</v>
      </c>
      <c r="L646" s="19">
        <v>97418.0</v>
      </c>
      <c r="M646" s="19" t="s">
        <v>216</v>
      </c>
      <c r="N646" s="103"/>
      <c r="O646" s="19" t="s">
        <v>12027</v>
      </c>
      <c r="P646" s="103"/>
      <c r="Q646" s="19" t="s">
        <v>26530</v>
      </c>
      <c r="R646" s="104">
        <v>30541.0</v>
      </c>
      <c r="S646" s="103"/>
      <c r="T646" s="103"/>
      <c r="U646" s="103"/>
      <c r="V646" s="103"/>
      <c r="W646" s="103"/>
      <c r="X646" s="103"/>
      <c r="Y646" s="103"/>
      <c r="Z646" s="103"/>
    </row>
    <row r="647" ht="15.75" customHeight="1">
      <c r="A647" s="19" t="s">
        <v>16038</v>
      </c>
      <c r="B647" s="19" t="s">
        <v>25695</v>
      </c>
      <c r="C647" s="19" t="s">
        <v>26531</v>
      </c>
      <c r="D647" s="19" t="s">
        <v>24334</v>
      </c>
      <c r="E647" s="19" t="s">
        <v>16031</v>
      </c>
      <c r="F647" s="102" t="s">
        <v>16032</v>
      </c>
      <c r="G647" s="19" t="s">
        <v>24420</v>
      </c>
      <c r="H647" s="19" t="b">
        <v>1</v>
      </c>
      <c r="I647" s="19">
        <v>1.0</v>
      </c>
      <c r="J647" s="102" t="s">
        <v>12468</v>
      </c>
      <c r="K647" s="19" t="s">
        <v>26532</v>
      </c>
      <c r="L647" s="19">
        <v>97414.0</v>
      </c>
      <c r="M647" s="19" t="s">
        <v>40</v>
      </c>
      <c r="N647" s="103"/>
      <c r="O647" s="19" t="s">
        <v>10486</v>
      </c>
      <c r="P647" s="103"/>
      <c r="Q647" s="19" t="s">
        <v>26533</v>
      </c>
      <c r="R647" s="105">
        <v>30681.0</v>
      </c>
      <c r="S647" s="103"/>
      <c r="T647" s="103"/>
      <c r="U647" s="103"/>
      <c r="V647" s="103"/>
      <c r="W647" s="103"/>
      <c r="X647" s="103"/>
      <c r="Y647" s="103"/>
      <c r="Z647" s="103"/>
    </row>
    <row r="648" ht="15.75" customHeight="1">
      <c r="A648" s="19" t="s">
        <v>18341</v>
      </c>
      <c r="B648" s="19" t="s">
        <v>26534</v>
      </c>
      <c r="C648" s="19" t="s">
        <v>26535</v>
      </c>
      <c r="D648" s="19" t="s">
        <v>24334</v>
      </c>
      <c r="E648" s="19" t="s">
        <v>18332</v>
      </c>
      <c r="F648" s="102" t="s">
        <v>18333</v>
      </c>
      <c r="G648" s="19" t="s">
        <v>24335</v>
      </c>
      <c r="H648" s="19" t="b">
        <v>1</v>
      </c>
      <c r="I648" s="19">
        <v>2.0</v>
      </c>
      <c r="J648" s="19" t="s">
        <v>26536</v>
      </c>
      <c r="K648" s="19" t="s">
        <v>26537</v>
      </c>
      <c r="L648" s="19">
        <v>97430.0</v>
      </c>
      <c r="M648" s="19" t="s">
        <v>71</v>
      </c>
      <c r="N648" s="103"/>
      <c r="O648" s="19" t="s">
        <v>26538</v>
      </c>
      <c r="P648" s="103"/>
      <c r="Q648" s="19" t="s">
        <v>26539</v>
      </c>
      <c r="R648" s="103"/>
      <c r="S648" s="103"/>
      <c r="T648" s="103"/>
      <c r="U648" s="103"/>
      <c r="V648" s="103"/>
      <c r="W648" s="103"/>
      <c r="X648" s="103"/>
      <c r="Y648" s="103"/>
      <c r="Z648" s="103"/>
    </row>
    <row r="649" ht="15.75" customHeight="1">
      <c r="A649" s="19" t="s">
        <v>15593</v>
      </c>
      <c r="B649" s="19" t="s">
        <v>26540</v>
      </c>
      <c r="C649" s="19" t="s">
        <v>26541</v>
      </c>
      <c r="D649" s="19" t="s">
        <v>24334</v>
      </c>
      <c r="E649" s="19" t="s">
        <v>15584</v>
      </c>
      <c r="F649" s="103"/>
      <c r="G649" s="19" t="s">
        <v>24420</v>
      </c>
      <c r="H649" s="19" t="b">
        <v>1</v>
      </c>
      <c r="I649" s="19">
        <v>2.0</v>
      </c>
      <c r="J649" s="102" t="s">
        <v>14287</v>
      </c>
      <c r="K649" s="19" t="s">
        <v>26542</v>
      </c>
      <c r="L649" s="19">
        <v>97480.0</v>
      </c>
      <c r="M649" s="19" t="s">
        <v>123</v>
      </c>
      <c r="N649" s="103"/>
      <c r="O649" s="19" t="s">
        <v>26543</v>
      </c>
      <c r="P649" s="19" t="s">
        <v>26544</v>
      </c>
      <c r="Q649" s="19" t="s">
        <v>26545</v>
      </c>
      <c r="R649" s="104">
        <v>33150.0</v>
      </c>
      <c r="S649" s="103"/>
      <c r="T649" s="103"/>
      <c r="U649" s="103"/>
      <c r="V649" s="103"/>
      <c r="W649" s="103"/>
      <c r="X649" s="103"/>
      <c r="Y649" s="103"/>
      <c r="Z649" s="103"/>
    </row>
    <row r="650" ht="15.75" customHeight="1">
      <c r="A650" s="19" t="s">
        <v>26546</v>
      </c>
      <c r="B650" s="19" t="s">
        <v>25695</v>
      </c>
      <c r="C650" s="19" t="s">
        <v>25699</v>
      </c>
      <c r="D650" s="19" t="s">
        <v>24344</v>
      </c>
      <c r="E650" s="19" t="s">
        <v>16402</v>
      </c>
      <c r="F650" s="102" t="s">
        <v>16403</v>
      </c>
      <c r="G650" s="19" t="s">
        <v>24335</v>
      </c>
      <c r="H650" s="19" t="b">
        <v>0</v>
      </c>
      <c r="I650" s="19">
        <v>1.0</v>
      </c>
      <c r="J650" s="102" t="s">
        <v>16399</v>
      </c>
      <c r="K650" s="19" t="s">
        <v>16400</v>
      </c>
      <c r="L650" s="19">
        <v>97430.0</v>
      </c>
      <c r="M650" s="19" t="s">
        <v>71</v>
      </c>
      <c r="N650" s="103"/>
      <c r="O650" s="19" t="s">
        <v>12061</v>
      </c>
      <c r="P650" s="103"/>
      <c r="Q650" s="19" t="s">
        <v>26547</v>
      </c>
      <c r="R650" s="103"/>
      <c r="S650" s="103"/>
      <c r="T650" s="103"/>
      <c r="U650" s="103"/>
      <c r="V650" s="103"/>
      <c r="W650" s="103"/>
      <c r="X650" s="103"/>
      <c r="Y650" s="103"/>
      <c r="Z650" s="103"/>
    </row>
    <row r="651" ht="15.75" customHeight="1">
      <c r="A651" s="19" t="s">
        <v>12897</v>
      </c>
      <c r="B651" s="19" t="s">
        <v>26548</v>
      </c>
      <c r="C651" s="19" t="s">
        <v>26549</v>
      </c>
      <c r="D651" s="19" t="s">
        <v>24344</v>
      </c>
      <c r="E651" s="19" t="s">
        <v>12891</v>
      </c>
      <c r="F651" s="102" t="s">
        <v>12892</v>
      </c>
      <c r="G651" s="19" t="s">
        <v>24420</v>
      </c>
      <c r="H651" s="19" t="b">
        <v>1</v>
      </c>
      <c r="I651" s="19">
        <v>1.0</v>
      </c>
      <c r="J651" s="102" t="s">
        <v>12385</v>
      </c>
      <c r="K651" s="19" t="s">
        <v>12889</v>
      </c>
      <c r="L651" s="19">
        <v>97480.0</v>
      </c>
      <c r="M651" s="19" t="s">
        <v>123</v>
      </c>
      <c r="N651" s="103"/>
      <c r="O651" s="102" t="s">
        <v>12886</v>
      </c>
      <c r="P651" s="19" t="s">
        <v>26550</v>
      </c>
      <c r="Q651" s="19" t="s">
        <v>26551</v>
      </c>
      <c r="R651" s="104">
        <v>31229.0</v>
      </c>
      <c r="S651" s="103"/>
      <c r="T651" s="103"/>
      <c r="U651" s="103"/>
      <c r="V651" s="103"/>
      <c r="W651" s="103"/>
      <c r="X651" s="103"/>
      <c r="Y651" s="103"/>
      <c r="Z651" s="103"/>
    </row>
    <row r="652" ht="15.75" customHeight="1">
      <c r="A652" s="19" t="s">
        <v>18285</v>
      </c>
      <c r="B652" s="19" t="s">
        <v>26301</v>
      </c>
      <c r="C652" s="19" t="s">
        <v>26378</v>
      </c>
      <c r="D652" s="19" t="s">
        <v>24344</v>
      </c>
      <c r="E652" s="19" t="s">
        <v>18278</v>
      </c>
      <c r="F652" s="102" t="s">
        <v>26552</v>
      </c>
      <c r="G652" s="19" t="s">
        <v>24335</v>
      </c>
      <c r="H652" s="19" t="b">
        <v>1</v>
      </c>
      <c r="I652" s="19">
        <v>1.0</v>
      </c>
      <c r="J652" s="102" t="s">
        <v>14790</v>
      </c>
      <c r="K652" s="19" t="s">
        <v>26553</v>
      </c>
      <c r="L652" s="19">
        <v>97430.0</v>
      </c>
      <c r="M652" s="19" t="s">
        <v>71</v>
      </c>
      <c r="N652" s="103"/>
      <c r="O652" s="19" t="s">
        <v>10745</v>
      </c>
      <c r="P652" s="103"/>
      <c r="Q652" s="19" t="s">
        <v>26554</v>
      </c>
      <c r="R652" s="105">
        <v>25547.0</v>
      </c>
      <c r="S652" s="103"/>
      <c r="T652" s="103"/>
      <c r="U652" s="103"/>
      <c r="V652" s="103"/>
      <c r="W652" s="103"/>
      <c r="X652" s="103"/>
      <c r="Y652" s="103"/>
      <c r="Z652" s="103"/>
    </row>
    <row r="653" ht="15.75" customHeight="1">
      <c r="A653" s="102" t="s">
        <v>16883</v>
      </c>
      <c r="B653" s="19" t="s">
        <v>26555</v>
      </c>
      <c r="C653" s="19" t="s">
        <v>26556</v>
      </c>
      <c r="D653" s="19" t="s">
        <v>24344</v>
      </c>
      <c r="E653" s="19" t="s">
        <v>26557</v>
      </c>
      <c r="F653" s="102" t="s">
        <v>16876</v>
      </c>
      <c r="G653" s="19" t="s">
        <v>24335</v>
      </c>
      <c r="H653" s="19" t="b">
        <v>0</v>
      </c>
      <c r="I653" s="19">
        <v>1.0</v>
      </c>
      <c r="J653" s="102" t="s">
        <v>12385</v>
      </c>
      <c r="K653" s="19" t="s">
        <v>13995</v>
      </c>
      <c r="L653" s="19">
        <v>97430.0</v>
      </c>
      <c r="M653" s="19" t="s">
        <v>71</v>
      </c>
      <c r="N653" s="103"/>
      <c r="O653" s="19" t="s">
        <v>10533</v>
      </c>
      <c r="P653" s="103"/>
      <c r="Q653" s="19" t="s">
        <v>26558</v>
      </c>
      <c r="R653" s="104">
        <v>31457.0</v>
      </c>
      <c r="S653" s="19" t="s">
        <v>24348</v>
      </c>
      <c r="T653" s="103"/>
      <c r="U653" s="103"/>
      <c r="V653" s="103"/>
      <c r="W653" s="103"/>
      <c r="X653" s="103"/>
      <c r="Y653" s="103"/>
      <c r="Z653" s="103"/>
    </row>
    <row r="654" ht="15.75" customHeight="1">
      <c r="A654" s="19" t="s">
        <v>16847</v>
      </c>
      <c r="B654" s="19" t="s">
        <v>26559</v>
      </c>
      <c r="C654" s="19" t="s">
        <v>26560</v>
      </c>
      <c r="D654" s="19" t="s">
        <v>24334</v>
      </c>
      <c r="E654" s="19" t="s">
        <v>16839</v>
      </c>
      <c r="F654" s="102" t="s">
        <v>26561</v>
      </c>
      <c r="G654" s="19" t="s">
        <v>24335</v>
      </c>
      <c r="H654" s="19" t="b">
        <v>1</v>
      </c>
      <c r="I654" s="19">
        <v>1.0</v>
      </c>
      <c r="J654" s="102" t="s">
        <v>13859</v>
      </c>
      <c r="K654" s="19" t="s">
        <v>16837</v>
      </c>
      <c r="L654" s="19">
        <v>97418.0</v>
      </c>
      <c r="M654" s="19" t="s">
        <v>216</v>
      </c>
      <c r="N654" s="103"/>
      <c r="O654" s="19" t="s">
        <v>10531</v>
      </c>
      <c r="P654" s="103"/>
      <c r="Q654" s="19" t="s">
        <v>26562</v>
      </c>
      <c r="R654" s="104">
        <v>29922.0</v>
      </c>
      <c r="S654" s="19" t="s">
        <v>24348</v>
      </c>
      <c r="T654" s="103"/>
      <c r="U654" s="103"/>
      <c r="V654" s="103"/>
      <c r="W654" s="103"/>
      <c r="X654" s="103"/>
      <c r="Y654" s="103"/>
      <c r="Z654" s="103"/>
    </row>
    <row r="655" ht="15.75" customHeight="1">
      <c r="A655" s="19" t="s">
        <v>14004</v>
      </c>
      <c r="B655" s="19" t="s">
        <v>26563</v>
      </c>
      <c r="C655" s="19" t="s">
        <v>26383</v>
      </c>
      <c r="D655" s="19" t="s">
        <v>24334</v>
      </c>
      <c r="E655" s="19" t="s">
        <v>13997</v>
      </c>
      <c r="F655" s="102" t="s">
        <v>26564</v>
      </c>
      <c r="G655" s="19" t="s">
        <v>24335</v>
      </c>
      <c r="H655" s="19" t="b">
        <v>1</v>
      </c>
      <c r="I655" s="19">
        <v>1.0</v>
      </c>
      <c r="J655" s="102" t="s">
        <v>12720</v>
      </c>
      <c r="K655" s="19" t="s">
        <v>13995</v>
      </c>
      <c r="L655" s="19">
        <v>97430.0</v>
      </c>
      <c r="M655" s="19" t="s">
        <v>71</v>
      </c>
      <c r="N655" s="103"/>
      <c r="O655" s="19" t="s">
        <v>10368</v>
      </c>
      <c r="P655" s="103"/>
      <c r="Q655" s="19" t="s">
        <v>26565</v>
      </c>
      <c r="R655" s="104">
        <v>28920.0</v>
      </c>
      <c r="S655" s="19" t="s">
        <v>24348</v>
      </c>
      <c r="T655" s="103"/>
      <c r="U655" s="103"/>
      <c r="V655" s="103"/>
      <c r="W655" s="103"/>
      <c r="X655" s="103"/>
      <c r="Y655" s="103"/>
      <c r="Z655" s="103"/>
    </row>
    <row r="656" ht="15.75" customHeight="1">
      <c r="A656" s="19" t="s">
        <v>16608</v>
      </c>
      <c r="B656" s="19" t="s">
        <v>26566</v>
      </c>
      <c r="C656" s="19" t="s">
        <v>25005</v>
      </c>
      <c r="D656" s="19" t="s">
        <v>24334</v>
      </c>
      <c r="E656" s="19" t="s">
        <v>16604</v>
      </c>
      <c r="F656" s="102" t="s">
        <v>16605</v>
      </c>
      <c r="G656" s="19" t="s">
        <v>24420</v>
      </c>
      <c r="H656" s="19" t="b">
        <v>1</v>
      </c>
      <c r="I656" s="19">
        <v>1.0</v>
      </c>
      <c r="J656" s="19" t="s">
        <v>16601</v>
      </c>
      <c r="K656" s="19" t="s">
        <v>16602</v>
      </c>
      <c r="L656" s="19">
        <v>97430.0</v>
      </c>
      <c r="M656" s="19" t="s">
        <v>71</v>
      </c>
      <c r="N656" s="103"/>
      <c r="O656" s="19" t="s">
        <v>10715</v>
      </c>
      <c r="P656" s="103"/>
      <c r="Q656" s="19" t="s">
        <v>26567</v>
      </c>
      <c r="R656" s="105">
        <v>28820.0</v>
      </c>
      <c r="S656" s="19" t="s">
        <v>24460</v>
      </c>
      <c r="T656" s="103"/>
      <c r="U656" s="103"/>
      <c r="V656" s="103"/>
      <c r="W656" s="103"/>
      <c r="X656" s="103"/>
      <c r="Y656" s="103"/>
      <c r="Z656" s="103"/>
    </row>
    <row r="657" ht="15.75" customHeight="1">
      <c r="A657" s="19" t="s">
        <v>18376</v>
      </c>
      <c r="B657" s="19" t="s">
        <v>26568</v>
      </c>
      <c r="C657" s="19" t="s">
        <v>26569</v>
      </c>
      <c r="D657" s="19" t="s">
        <v>24334</v>
      </c>
      <c r="E657" s="19" t="s">
        <v>18368</v>
      </c>
      <c r="F657" s="102" t="s">
        <v>26570</v>
      </c>
      <c r="G657" s="19" t="s">
        <v>24335</v>
      </c>
      <c r="H657" s="19" t="b">
        <v>1</v>
      </c>
      <c r="I657" s="19">
        <v>1.0</v>
      </c>
      <c r="J657" s="19" t="s">
        <v>26571</v>
      </c>
      <c r="K657" s="19" t="s">
        <v>13028</v>
      </c>
      <c r="L657" s="19">
        <v>97418.0</v>
      </c>
      <c r="M657" s="19" t="s">
        <v>216</v>
      </c>
      <c r="N657" s="103"/>
      <c r="O657" s="19" t="s">
        <v>11680</v>
      </c>
      <c r="P657" s="103"/>
      <c r="Q657" s="19" t="s">
        <v>26572</v>
      </c>
      <c r="R657" s="104">
        <v>22063.0</v>
      </c>
      <c r="S657" s="103"/>
      <c r="T657" s="103"/>
      <c r="U657" s="103"/>
      <c r="V657" s="103"/>
      <c r="W657" s="103"/>
      <c r="X657" s="103"/>
      <c r="Y657" s="103"/>
      <c r="Z657" s="103"/>
    </row>
    <row r="658" ht="15.75" customHeight="1">
      <c r="A658" s="19" t="s">
        <v>18725</v>
      </c>
      <c r="B658" s="19" t="s">
        <v>26573</v>
      </c>
      <c r="C658" s="19" t="s">
        <v>24671</v>
      </c>
      <c r="D658" s="19" t="s">
        <v>24334</v>
      </c>
      <c r="E658" s="19" t="s">
        <v>18720</v>
      </c>
      <c r="F658" s="102" t="s">
        <v>18721</v>
      </c>
      <c r="G658" s="19" t="s">
        <v>24420</v>
      </c>
      <c r="H658" s="19" t="b">
        <v>1</v>
      </c>
      <c r="I658" s="19">
        <v>1.0</v>
      </c>
      <c r="J658" s="102" t="s">
        <v>12345</v>
      </c>
      <c r="K658" s="19" t="s">
        <v>26574</v>
      </c>
      <c r="L658" s="19">
        <v>97432.0</v>
      </c>
      <c r="M658" s="19" t="s">
        <v>25835</v>
      </c>
      <c r="N658" s="103"/>
      <c r="O658" s="19" t="s">
        <v>12146</v>
      </c>
      <c r="P658" s="103"/>
      <c r="Q658" s="19" t="s">
        <v>26575</v>
      </c>
      <c r="R658" s="104">
        <v>29235.0</v>
      </c>
      <c r="S658" s="19" t="s">
        <v>24460</v>
      </c>
      <c r="T658" s="103"/>
      <c r="U658" s="103"/>
      <c r="V658" s="103"/>
      <c r="W658" s="103"/>
      <c r="X658" s="103"/>
      <c r="Y658" s="103"/>
      <c r="Z658" s="103"/>
    </row>
    <row r="659" ht="15.75" customHeight="1">
      <c r="A659" s="19" t="s">
        <v>18629</v>
      </c>
      <c r="B659" s="19" t="s">
        <v>26134</v>
      </c>
      <c r="C659" s="19" t="s">
        <v>26576</v>
      </c>
      <c r="D659" s="19" t="s">
        <v>24334</v>
      </c>
      <c r="E659" s="19" t="s">
        <v>18623</v>
      </c>
      <c r="F659" s="102" t="s">
        <v>18624</v>
      </c>
      <c r="G659" s="19" t="s">
        <v>24335</v>
      </c>
      <c r="H659" s="19" t="b">
        <v>1</v>
      </c>
      <c r="I659" s="19">
        <v>1.0</v>
      </c>
      <c r="J659" s="102" t="s">
        <v>18620</v>
      </c>
      <c r="K659" s="19" t="s">
        <v>18621</v>
      </c>
      <c r="L659" s="19">
        <v>97480.0</v>
      </c>
      <c r="M659" s="19" t="s">
        <v>123</v>
      </c>
      <c r="N659" s="103"/>
      <c r="O659" s="19" t="s">
        <v>12197</v>
      </c>
      <c r="P659" s="19" t="s">
        <v>26577</v>
      </c>
      <c r="Q659" s="19" t="s">
        <v>26578</v>
      </c>
      <c r="R659" s="105">
        <v>24056.0</v>
      </c>
      <c r="S659" s="19" t="s">
        <v>24348</v>
      </c>
      <c r="T659" s="103"/>
      <c r="U659" s="103"/>
      <c r="V659" s="103"/>
      <c r="W659" s="103"/>
      <c r="X659" s="103"/>
      <c r="Y659" s="103"/>
      <c r="Z659" s="103"/>
    </row>
    <row r="660" ht="15.75" customHeight="1">
      <c r="A660" s="19" t="s">
        <v>18114</v>
      </c>
      <c r="B660" s="19" t="s">
        <v>26579</v>
      </c>
      <c r="C660" s="19" t="s">
        <v>25181</v>
      </c>
      <c r="D660" s="19" t="s">
        <v>24334</v>
      </c>
      <c r="E660" s="19" t="s">
        <v>18108</v>
      </c>
      <c r="F660" s="102" t="s">
        <v>17664</v>
      </c>
      <c r="G660" s="19" t="s">
        <v>24335</v>
      </c>
      <c r="H660" s="19" t="b">
        <v>1</v>
      </c>
      <c r="I660" s="19">
        <v>1.0</v>
      </c>
      <c r="J660" s="19" t="s">
        <v>26580</v>
      </c>
      <c r="K660" s="19" t="s">
        <v>26581</v>
      </c>
      <c r="L660" s="19">
        <v>97480.0</v>
      </c>
      <c r="M660" s="19" t="s">
        <v>123</v>
      </c>
      <c r="N660" s="103"/>
      <c r="O660" s="19" t="s">
        <v>10594</v>
      </c>
      <c r="P660" s="103"/>
      <c r="Q660" s="19" t="s">
        <v>26582</v>
      </c>
      <c r="R660" s="104">
        <v>24863.0</v>
      </c>
      <c r="S660" s="19" t="s">
        <v>24460</v>
      </c>
      <c r="T660" s="103"/>
      <c r="U660" s="103"/>
      <c r="V660" s="103"/>
      <c r="W660" s="103"/>
      <c r="X660" s="103"/>
      <c r="Y660" s="103"/>
      <c r="Z660" s="103"/>
    </row>
    <row r="661" ht="15.75" customHeight="1">
      <c r="A661" s="19" t="s">
        <v>18606</v>
      </c>
      <c r="B661" s="19" t="s">
        <v>26583</v>
      </c>
      <c r="C661" s="19" t="s">
        <v>24468</v>
      </c>
      <c r="D661" s="19" t="s">
        <v>24344</v>
      </c>
      <c r="E661" s="19" t="s">
        <v>18599</v>
      </c>
      <c r="F661" s="102" t="s">
        <v>18600</v>
      </c>
      <c r="G661" s="19" t="s">
        <v>24420</v>
      </c>
      <c r="H661" s="103"/>
      <c r="I661" s="19">
        <v>1.0</v>
      </c>
      <c r="J661" s="102" t="s">
        <v>16740</v>
      </c>
      <c r="K661" s="19" t="s">
        <v>26584</v>
      </c>
      <c r="L661" s="19">
        <v>97480.0</v>
      </c>
      <c r="M661" s="19" t="s">
        <v>123</v>
      </c>
      <c r="N661" s="103"/>
      <c r="O661" s="19" t="s">
        <v>12038</v>
      </c>
      <c r="P661" s="103"/>
      <c r="Q661" s="19" t="s">
        <v>26585</v>
      </c>
      <c r="R661" s="103"/>
      <c r="S661" s="103"/>
      <c r="T661" s="103"/>
      <c r="U661" s="103"/>
      <c r="V661" s="103"/>
      <c r="W661" s="103"/>
      <c r="X661" s="103"/>
      <c r="Y661" s="103"/>
      <c r="Z661" s="103"/>
    </row>
    <row r="662" ht="15.75" customHeight="1">
      <c r="A662" s="19" t="s">
        <v>14747</v>
      </c>
      <c r="B662" s="19" t="s">
        <v>26586</v>
      </c>
      <c r="C662" s="19" t="s">
        <v>25025</v>
      </c>
      <c r="D662" s="19" t="s">
        <v>24344</v>
      </c>
      <c r="E662" s="19" t="s">
        <v>14741</v>
      </c>
      <c r="F662" s="102" t="s">
        <v>14742</v>
      </c>
      <c r="G662" s="19" t="s">
        <v>24335</v>
      </c>
      <c r="H662" s="19" t="b">
        <v>1</v>
      </c>
      <c r="I662" s="19">
        <v>3.0</v>
      </c>
      <c r="J662" s="19" t="s">
        <v>18521</v>
      </c>
      <c r="K662" s="19" t="s">
        <v>18530</v>
      </c>
      <c r="L662" s="19">
        <v>97430.0</v>
      </c>
      <c r="M662" s="19" t="s">
        <v>71</v>
      </c>
      <c r="N662" s="103"/>
      <c r="O662" s="19" t="s">
        <v>26587</v>
      </c>
      <c r="P662" s="103"/>
      <c r="Q662" s="19" t="s">
        <v>26588</v>
      </c>
      <c r="R662" s="104">
        <v>15159.0</v>
      </c>
      <c r="S662" s="19" t="s">
        <v>24460</v>
      </c>
      <c r="T662" s="103"/>
      <c r="U662" s="103"/>
      <c r="V662" s="103"/>
      <c r="W662" s="103"/>
      <c r="X662" s="103"/>
      <c r="Y662" s="103"/>
      <c r="Z662" s="103"/>
    </row>
    <row r="663" ht="15.75" customHeight="1">
      <c r="A663" s="19" t="s">
        <v>12413</v>
      </c>
      <c r="B663" s="19" t="s">
        <v>26333</v>
      </c>
      <c r="C663" s="19" t="s">
        <v>25574</v>
      </c>
      <c r="D663" s="19" t="s">
        <v>24334</v>
      </c>
      <c r="E663" s="19" t="s">
        <v>12405</v>
      </c>
      <c r="F663" s="102" t="s">
        <v>12406</v>
      </c>
      <c r="G663" s="19" t="s">
        <v>24420</v>
      </c>
      <c r="H663" s="19" t="b">
        <v>1</v>
      </c>
      <c r="I663" s="19">
        <v>1.0</v>
      </c>
      <c r="J663" s="102" t="s">
        <v>12331</v>
      </c>
      <c r="K663" s="19" t="s">
        <v>26589</v>
      </c>
      <c r="L663" s="19">
        <v>97421.0</v>
      </c>
      <c r="M663" s="19" t="s">
        <v>25722</v>
      </c>
      <c r="N663" s="103"/>
      <c r="O663" s="19" t="s">
        <v>10271</v>
      </c>
      <c r="P663" s="103"/>
      <c r="Q663" s="19" t="s">
        <v>26590</v>
      </c>
      <c r="R663" s="104">
        <v>28243.0</v>
      </c>
      <c r="S663" s="19" t="s">
        <v>24460</v>
      </c>
      <c r="T663" s="103"/>
      <c r="U663" s="103"/>
      <c r="V663" s="103"/>
      <c r="W663" s="103"/>
      <c r="X663" s="103"/>
      <c r="Y663" s="103"/>
      <c r="Z663" s="103"/>
    </row>
    <row r="664" ht="15.75" customHeight="1">
      <c r="A664" s="19" t="s">
        <v>18444</v>
      </c>
      <c r="B664" s="19" t="s">
        <v>26591</v>
      </c>
      <c r="C664" s="19" t="s">
        <v>26383</v>
      </c>
      <c r="D664" s="19" t="s">
        <v>24334</v>
      </c>
      <c r="E664" s="19" t="s">
        <v>18439</v>
      </c>
      <c r="F664" s="102" t="s">
        <v>18440</v>
      </c>
      <c r="G664" s="19" t="s">
        <v>24420</v>
      </c>
      <c r="H664" s="19" t="b">
        <v>1</v>
      </c>
      <c r="I664" s="19">
        <v>1.0</v>
      </c>
      <c r="J664" s="19" t="s">
        <v>26592</v>
      </c>
      <c r="K664" s="19" t="s">
        <v>24429</v>
      </c>
      <c r="L664" s="19">
        <v>97418.0</v>
      </c>
      <c r="M664" s="19" t="s">
        <v>71</v>
      </c>
      <c r="N664" s="103"/>
      <c r="O664" s="19" t="s">
        <v>26593</v>
      </c>
      <c r="P664" s="19" t="s">
        <v>26594</v>
      </c>
      <c r="Q664" s="19" t="s">
        <v>26595</v>
      </c>
      <c r="R664" s="104">
        <v>22561.0</v>
      </c>
      <c r="S664" s="19" t="s">
        <v>24348</v>
      </c>
      <c r="T664" s="103"/>
      <c r="U664" s="103"/>
      <c r="V664" s="103"/>
      <c r="W664" s="103"/>
      <c r="X664" s="103"/>
      <c r="Y664" s="103"/>
      <c r="Z664" s="103"/>
    </row>
    <row r="665" ht="15.75" customHeight="1">
      <c r="A665" s="19" t="s">
        <v>16832</v>
      </c>
      <c r="B665" s="19" t="s">
        <v>26596</v>
      </c>
      <c r="C665" s="19" t="s">
        <v>24898</v>
      </c>
      <c r="D665" s="19" t="s">
        <v>24344</v>
      </c>
      <c r="E665" s="19" t="s">
        <v>16823</v>
      </c>
      <c r="F665" s="102" t="s">
        <v>16824</v>
      </c>
      <c r="G665" s="19" t="s">
        <v>24420</v>
      </c>
      <c r="H665" s="19" t="b">
        <v>1</v>
      </c>
      <c r="I665" s="19">
        <v>1.0</v>
      </c>
      <c r="J665" s="102" t="s">
        <v>16018</v>
      </c>
      <c r="K665" s="19" t="s">
        <v>16821</v>
      </c>
      <c r="L665" s="19">
        <v>97480.0</v>
      </c>
      <c r="M665" s="19" t="s">
        <v>123</v>
      </c>
      <c r="N665" s="103"/>
      <c r="O665" s="19" t="s">
        <v>11987</v>
      </c>
      <c r="P665" s="103"/>
      <c r="Q665" s="19" t="s">
        <v>26597</v>
      </c>
      <c r="R665" s="103"/>
      <c r="S665" s="19" t="s">
        <v>24460</v>
      </c>
      <c r="T665" s="103"/>
      <c r="U665" s="103"/>
      <c r="V665" s="103"/>
      <c r="W665" s="103"/>
      <c r="X665" s="103"/>
      <c r="Y665" s="103"/>
      <c r="Z665" s="103"/>
    </row>
    <row r="666" ht="15.75" customHeight="1">
      <c r="A666" s="102" t="s">
        <v>18430</v>
      </c>
      <c r="B666" s="19" t="s">
        <v>26598</v>
      </c>
      <c r="C666" s="19" t="s">
        <v>119</v>
      </c>
      <c r="D666" s="19" t="s">
        <v>24344</v>
      </c>
      <c r="E666" s="19" t="s">
        <v>18423</v>
      </c>
      <c r="F666" s="102" t="s">
        <v>18424</v>
      </c>
      <c r="G666" s="19" t="s">
        <v>24335</v>
      </c>
      <c r="H666" s="19" t="b">
        <v>0</v>
      </c>
      <c r="I666" s="19">
        <v>0.0</v>
      </c>
      <c r="J666" s="102" t="s">
        <v>13645</v>
      </c>
      <c r="K666" s="19" t="s">
        <v>26599</v>
      </c>
      <c r="L666" s="19">
        <v>97430.0</v>
      </c>
      <c r="M666" s="19" t="s">
        <v>71</v>
      </c>
      <c r="N666" s="103"/>
      <c r="O666" s="19" t="s">
        <v>12024</v>
      </c>
      <c r="P666" s="103"/>
      <c r="Q666" s="19" t="s">
        <v>26600</v>
      </c>
      <c r="R666" s="104">
        <v>34201.0</v>
      </c>
      <c r="S666" s="19" t="s">
        <v>24460</v>
      </c>
      <c r="T666" s="103"/>
      <c r="U666" s="103"/>
      <c r="V666" s="103"/>
      <c r="W666" s="103"/>
      <c r="X666" s="103"/>
      <c r="Y666" s="103"/>
      <c r="Z666" s="103"/>
    </row>
    <row r="667" ht="15.75" customHeight="1">
      <c r="A667" s="19" t="s">
        <v>16869</v>
      </c>
      <c r="B667" s="19" t="s">
        <v>26601</v>
      </c>
      <c r="C667" s="19" t="s">
        <v>26602</v>
      </c>
      <c r="D667" s="19" t="s">
        <v>24344</v>
      </c>
      <c r="E667" s="19" t="s">
        <v>16865</v>
      </c>
      <c r="F667" s="102" t="s">
        <v>16866</v>
      </c>
      <c r="G667" s="19" t="s">
        <v>24335</v>
      </c>
      <c r="H667" s="19" t="b">
        <v>1</v>
      </c>
      <c r="I667" s="19">
        <v>1.0</v>
      </c>
      <c r="J667" s="19" t="s">
        <v>16862</v>
      </c>
      <c r="K667" s="19" t="s">
        <v>16863</v>
      </c>
      <c r="L667" s="19">
        <v>97480.0</v>
      </c>
      <c r="M667" s="19" t="s">
        <v>123</v>
      </c>
      <c r="N667" s="103"/>
      <c r="O667" s="19" t="s">
        <v>12080</v>
      </c>
      <c r="P667" s="19" t="s">
        <v>26603</v>
      </c>
      <c r="Q667" s="19" t="s">
        <v>26604</v>
      </c>
      <c r="R667" s="104">
        <v>32918.0</v>
      </c>
      <c r="S667" s="19" t="s">
        <v>24348</v>
      </c>
      <c r="T667" s="103"/>
      <c r="U667" s="103"/>
      <c r="V667" s="103"/>
      <c r="W667" s="103"/>
      <c r="X667" s="103"/>
      <c r="Y667" s="103"/>
      <c r="Z667" s="103"/>
    </row>
    <row r="668" ht="15.75" customHeight="1">
      <c r="A668" s="19" t="s">
        <v>17563</v>
      </c>
      <c r="B668" s="19" t="s">
        <v>26605</v>
      </c>
      <c r="C668" s="19" t="s">
        <v>26606</v>
      </c>
      <c r="D668" s="19" t="s">
        <v>24334</v>
      </c>
      <c r="E668" s="19" t="s">
        <v>17559</v>
      </c>
      <c r="F668" s="102" t="s">
        <v>17560</v>
      </c>
      <c r="G668" s="19" t="s">
        <v>24335</v>
      </c>
      <c r="H668" s="19" t="b">
        <v>1</v>
      </c>
      <c r="I668" s="19">
        <v>1.0</v>
      </c>
      <c r="J668" s="19" t="s">
        <v>17556</v>
      </c>
      <c r="K668" s="19" t="s">
        <v>17557</v>
      </c>
      <c r="L668" s="19">
        <v>97442.0</v>
      </c>
      <c r="M668" s="19" t="s">
        <v>33</v>
      </c>
      <c r="N668" s="103"/>
      <c r="O668" s="19" t="s">
        <v>11903</v>
      </c>
      <c r="P668" s="103"/>
      <c r="Q668" s="19" t="s">
        <v>26607</v>
      </c>
      <c r="R668" s="103"/>
      <c r="S668" s="19" t="s">
        <v>24348</v>
      </c>
      <c r="T668" s="103"/>
      <c r="U668" s="103"/>
      <c r="V668" s="103"/>
      <c r="W668" s="103"/>
      <c r="X668" s="103"/>
      <c r="Y668" s="103"/>
      <c r="Z668" s="103"/>
    </row>
    <row r="669" ht="15.75" customHeight="1">
      <c r="A669" s="19" t="s">
        <v>15794</v>
      </c>
      <c r="B669" s="19" t="s">
        <v>26062</v>
      </c>
      <c r="C669" s="19" t="s">
        <v>26608</v>
      </c>
      <c r="D669" s="19" t="s">
        <v>24344</v>
      </c>
      <c r="E669" s="19" t="s">
        <v>15788</v>
      </c>
      <c r="F669" s="102" t="s">
        <v>15789</v>
      </c>
      <c r="G669" s="19" t="s">
        <v>24420</v>
      </c>
      <c r="H669" s="19" t="b">
        <v>0</v>
      </c>
      <c r="I669" s="19">
        <v>1.0</v>
      </c>
      <c r="J669" s="102" t="s">
        <v>15167</v>
      </c>
      <c r="K669" s="19" t="s">
        <v>15786</v>
      </c>
      <c r="L669" s="19">
        <v>97480.0</v>
      </c>
      <c r="M669" s="19" t="s">
        <v>123</v>
      </c>
      <c r="N669" s="103"/>
      <c r="O669" s="19" t="s">
        <v>10472</v>
      </c>
      <c r="P669" s="103"/>
      <c r="Q669" s="19" t="s">
        <v>26609</v>
      </c>
      <c r="R669" s="104">
        <v>19038.0</v>
      </c>
      <c r="S669" s="19" t="s">
        <v>24460</v>
      </c>
      <c r="T669" s="103"/>
      <c r="U669" s="103"/>
      <c r="V669" s="103"/>
      <c r="W669" s="103"/>
      <c r="X669" s="103"/>
      <c r="Y669" s="103"/>
      <c r="Z669" s="103"/>
    </row>
    <row r="670" ht="15.75" customHeight="1">
      <c r="A670" s="19" t="s">
        <v>18174</v>
      </c>
      <c r="B670" s="19" t="s">
        <v>26361</v>
      </c>
      <c r="C670" s="19" t="s">
        <v>24610</v>
      </c>
      <c r="D670" s="19" t="s">
        <v>24344</v>
      </c>
      <c r="E670" s="19" t="s">
        <v>18167</v>
      </c>
      <c r="F670" s="102" t="s">
        <v>22214</v>
      </c>
      <c r="G670" s="19" t="s">
        <v>24335</v>
      </c>
      <c r="H670" s="19" t="b">
        <v>1</v>
      </c>
      <c r="I670" s="19">
        <v>2.0</v>
      </c>
      <c r="J670" s="102" t="s">
        <v>12925</v>
      </c>
      <c r="K670" s="19" t="s">
        <v>26610</v>
      </c>
      <c r="L670" s="19">
        <v>97440.0</v>
      </c>
      <c r="M670" s="19" t="s">
        <v>26611</v>
      </c>
      <c r="N670" s="103"/>
      <c r="O670" s="19" t="s">
        <v>26612</v>
      </c>
      <c r="P670" s="103"/>
      <c r="Q670" s="19" t="s">
        <v>26613</v>
      </c>
      <c r="R670" s="103"/>
      <c r="S670" s="103"/>
      <c r="T670" s="103"/>
      <c r="U670" s="103"/>
      <c r="V670" s="103"/>
      <c r="W670" s="103"/>
      <c r="X670" s="103"/>
      <c r="Y670" s="103"/>
      <c r="Z670" s="103"/>
    </row>
    <row r="671" ht="15.75" customHeight="1">
      <c r="A671" s="19" t="s">
        <v>16650</v>
      </c>
      <c r="B671" s="19" t="s">
        <v>26614</v>
      </c>
      <c r="C671" s="19" t="s">
        <v>25301</v>
      </c>
      <c r="D671" s="19" t="s">
        <v>24334</v>
      </c>
      <c r="E671" s="19" t="s">
        <v>4342</v>
      </c>
      <c r="F671" s="102" t="s">
        <v>16643</v>
      </c>
      <c r="G671" s="19" t="s">
        <v>24335</v>
      </c>
      <c r="H671" s="19" t="b">
        <v>1</v>
      </c>
      <c r="I671" s="19">
        <v>1.0</v>
      </c>
      <c r="J671" s="19" t="s">
        <v>16640</v>
      </c>
      <c r="K671" s="19" t="s">
        <v>16641</v>
      </c>
      <c r="L671" s="19">
        <v>97480.0</v>
      </c>
      <c r="M671" s="19" t="s">
        <v>123</v>
      </c>
      <c r="N671" s="103"/>
      <c r="O671" s="102" t="s">
        <v>16638</v>
      </c>
      <c r="P671" s="103"/>
      <c r="Q671" s="102" t="s">
        <v>26615</v>
      </c>
      <c r="R671" s="104">
        <v>23346.0</v>
      </c>
      <c r="S671" s="19" t="s">
        <v>24460</v>
      </c>
      <c r="T671" s="103"/>
      <c r="U671" s="103"/>
      <c r="V671" s="103"/>
      <c r="W671" s="103"/>
      <c r="X671" s="103"/>
      <c r="Y671" s="103"/>
      <c r="Z671" s="103"/>
    </row>
    <row r="672" ht="15.75" customHeight="1">
      <c r="A672" s="19" t="s">
        <v>18252</v>
      </c>
      <c r="B672" s="19" t="s">
        <v>26616</v>
      </c>
      <c r="C672" s="19" t="s">
        <v>26617</v>
      </c>
      <c r="D672" s="19" t="s">
        <v>24344</v>
      </c>
      <c r="E672" s="19" t="s">
        <v>18247</v>
      </c>
      <c r="F672" s="102" t="s">
        <v>18248</v>
      </c>
      <c r="G672" s="19" t="s">
        <v>24335</v>
      </c>
      <c r="H672" s="19" t="b">
        <v>1</v>
      </c>
      <c r="I672" s="19">
        <v>1.0</v>
      </c>
      <c r="J672" s="19" t="s">
        <v>26618</v>
      </c>
      <c r="K672" s="19" t="s">
        <v>13995</v>
      </c>
      <c r="L672" s="19">
        <v>97430.0</v>
      </c>
      <c r="M672" s="19" t="s">
        <v>71</v>
      </c>
      <c r="N672" s="103"/>
      <c r="O672" s="19" t="s">
        <v>12050</v>
      </c>
      <c r="P672" s="19" t="s">
        <v>26619</v>
      </c>
      <c r="Q672" s="19" t="s">
        <v>26620</v>
      </c>
      <c r="R672" s="103"/>
      <c r="S672" s="19" t="s">
        <v>24348</v>
      </c>
      <c r="T672" s="103"/>
      <c r="U672" s="103"/>
      <c r="V672" s="103"/>
      <c r="W672" s="103"/>
      <c r="X672" s="103"/>
      <c r="Y672" s="103"/>
      <c r="Z672" s="103"/>
    </row>
    <row r="673" ht="15.75" customHeight="1">
      <c r="A673" s="19" t="s">
        <v>17001</v>
      </c>
      <c r="B673" s="19" t="s">
        <v>26621</v>
      </c>
      <c r="C673" s="19" t="s">
        <v>24543</v>
      </c>
      <c r="D673" s="19" t="s">
        <v>24344</v>
      </c>
      <c r="E673" s="19" t="s">
        <v>16994</v>
      </c>
      <c r="F673" s="102" t="s">
        <v>16995</v>
      </c>
      <c r="G673" s="19" t="s">
        <v>24335</v>
      </c>
      <c r="H673" s="19" t="b">
        <v>1</v>
      </c>
      <c r="I673" s="19">
        <v>1.0</v>
      </c>
      <c r="J673" s="102" t="s">
        <v>17436</v>
      </c>
      <c r="K673" s="19" t="s">
        <v>26622</v>
      </c>
      <c r="L673" s="19">
        <v>35131.0</v>
      </c>
      <c r="M673" s="19" t="s">
        <v>26623</v>
      </c>
      <c r="N673" s="103"/>
      <c r="O673" s="19" t="s">
        <v>256</v>
      </c>
      <c r="P673" s="103"/>
      <c r="Q673" s="19" t="s">
        <v>26624</v>
      </c>
      <c r="R673" s="103"/>
      <c r="S673" s="103"/>
      <c r="T673" s="103"/>
      <c r="U673" s="103"/>
      <c r="V673" s="103"/>
      <c r="W673" s="103"/>
      <c r="X673" s="103"/>
      <c r="Y673" s="103"/>
      <c r="Z673" s="103"/>
    </row>
    <row r="674" ht="15.75" customHeight="1">
      <c r="A674" s="19" t="s">
        <v>16958</v>
      </c>
      <c r="B674" s="19" t="s">
        <v>26625</v>
      </c>
      <c r="C674" s="19" t="s">
        <v>26626</v>
      </c>
      <c r="D674" s="19" t="s">
        <v>24334</v>
      </c>
      <c r="E674" s="19" t="s">
        <v>16952</v>
      </c>
      <c r="F674" s="102" t="s">
        <v>16953</v>
      </c>
      <c r="G674" s="19" t="s">
        <v>24420</v>
      </c>
      <c r="H674" s="19" t="b">
        <v>1</v>
      </c>
      <c r="I674" s="19">
        <v>1.0</v>
      </c>
      <c r="J674" s="19" t="s">
        <v>16949</v>
      </c>
      <c r="K674" s="19" t="s">
        <v>26627</v>
      </c>
      <c r="L674" s="19">
        <v>97418.0</v>
      </c>
      <c r="M674" s="19" t="s">
        <v>71</v>
      </c>
      <c r="N674" s="103"/>
      <c r="O674" s="19" t="s">
        <v>11971</v>
      </c>
      <c r="P674" s="103"/>
      <c r="Q674" s="19" t="s">
        <v>26628</v>
      </c>
      <c r="R674" s="105">
        <v>29204.0</v>
      </c>
      <c r="S674" s="19" t="s">
        <v>24348</v>
      </c>
      <c r="T674" s="103"/>
      <c r="U674" s="103"/>
      <c r="V674" s="103"/>
      <c r="W674" s="103"/>
      <c r="X674" s="103"/>
      <c r="Y674" s="103"/>
      <c r="Z674" s="103"/>
    </row>
    <row r="675" ht="15.75" customHeight="1">
      <c r="A675" s="19" t="s">
        <v>18151</v>
      </c>
      <c r="B675" s="19" t="s">
        <v>26629</v>
      </c>
      <c r="C675" s="19" t="s">
        <v>25043</v>
      </c>
      <c r="D675" s="19" t="s">
        <v>24334</v>
      </c>
      <c r="E675" s="19" t="s">
        <v>18145</v>
      </c>
      <c r="F675" s="102" t="s">
        <v>18146</v>
      </c>
      <c r="G675" s="19" t="s">
        <v>24335</v>
      </c>
      <c r="H675" s="19" t="b">
        <v>1</v>
      </c>
      <c r="I675" s="19">
        <v>1.0</v>
      </c>
      <c r="J675" s="102" t="s">
        <v>13645</v>
      </c>
      <c r="K675" s="19" t="s">
        <v>26630</v>
      </c>
      <c r="L675" s="19">
        <v>97430.0</v>
      </c>
      <c r="M675" s="19" t="s">
        <v>71</v>
      </c>
      <c r="N675" s="103"/>
      <c r="O675" s="19" t="s">
        <v>12082</v>
      </c>
      <c r="P675" s="103"/>
      <c r="Q675" s="19" t="s">
        <v>26631</v>
      </c>
      <c r="R675" s="103"/>
      <c r="S675" s="19" t="s">
        <v>24460</v>
      </c>
      <c r="T675" s="103"/>
      <c r="U675" s="103"/>
      <c r="V675" s="103"/>
      <c r="W675" s="103"/>
      <c r="X675" s="103"/>
      <c r="Y675" s="103"/>
      <c r="Z675" s="103"/>
    </row>
    <row r="676" ht="15.75" customHeight="1">
      <c r="A676" s="19" t="s">
        <v>17364</v>
      </c>
      <c r="B676" s="19" t="s">
        <v>26270</v>
      </c>
      <c r="C676" s="19" t="s">
        <v>26632</v>
      </c>
      <c r="D676" s="19" t="s">
        <v>24344</v>
      </c>
      <c r="E676" s="19" t="s">
        <v>17357</v>
      </c>
      <c r="F676" s="102" t="s">
        <v>17358</v>
      </c>
      <c r="G676" s="19" t="s">
        <v>24335</v>
      </c>
      <c r="H676" s="19" t="b">
        <v>1</v>
      </c>
      <c r="I676" s="19">
        <v>1.0</v>
      </c>
      <c r="J676" s="102" t="s">
        <v>12696</v>
      </c>
      <c r="K676" s="19" t="s">
        <v>17355</v>
      </c>
      <c r="L676" s="19">
        <v>97418.0</v>
      </c>
      <c r="M676" s="19" t="s">
        <v>216</v>
      </c>
      <c r="N676" s="103"/>
      <c r="O676" s="19" t="s">
        <v>10556</v>
      </c>
      <c r="P676" s="103"/>
      <c r="Q676" s="19" t="s">
        <v>26633</v>
      </c>
      <c r="R676" s="104">
        <v>23688.0</v>
      </c>
      <c r="S676" s="103"/>
      <c r="T676" s="103"/>
      <c r="U676" s="103"/>
      <c r="V676" s="103"/>
      <c r="W676" s="103"/>
      <c r="X676" s="103"/>
      <c r="Y676" s="103"/>
      <c r="Z676" s="103"/>
    </row>
    <row r="677" ht="15.75" customHeight="1">
      <c r="A677" s="19" t="s">
        <v>15277</v>
      </c>
      <c r="B677" s="19" t="s">
        <v>26062</v>
      </c>
      <c r="C677" s="19" t="s">
        <v>26634</v>
      </c>
      <c r="D677" s="19" t="s">
        <v>24344</v>
      </c>
      <c r="E677" s="19" t="s">
        <v>15270</v>
      </c>
      <c r="F677" s="102" t="s">
        <v>15271</v>
      </c>
      <c r="G677" s="19" t="s">
        <v>24335</v>
      </c>
      <c r="H677" s="19" t="b">
        <v>1</v>
      </c>
      <c r="I677" s="19">
        <v>1.0</v>
      </c>
      <c r="J677" s="19" t="s">
        <v>15267</v>
      </c>
      <c r="K677" s="19" t="s">
        <v>15268</v>
      </c>
      <c r="L677" s="19">
        <v>97430.0</v>
      </c>
      <c r="M677" s="19" t="s">
        <v>71</v>
      </c>
      <c r="N677" s="103"/>
      <c r="O677" s="19" t="s">
        <v>10453</v>
      </c>
      <c r="P677" s="103"/>
      <c r="Q677" s="19" t="s">
        <v>26635</v>
      </c>
      <c r="R677" s="104">
        <v>35579.0</v>
      </c>
      <c r="S677" s="103"/>
      <c r="T677" s="103"/>
      <c r="U677" s="103"/>
      <c r="V677" s="103"/>
      <c r="W677" s="103"/>
      <c r="X677" s="103"/>
      <c r="Y677" s="103"/>
      <c r="Z677" s="103"/>
    </row>
    <row r="678" ht="15.75" customHeight="1">
      <c r="A678" s="19" t="s">
        <v>17632</v>
      </c>
      <c r="B678" s="19" t="s">
        <v>26636</v>
      </c>
      <c r="C678" s="19" t="s">
        <v>73</v>
      </c>
      <c r="D678" s="19" t="s">
        <v>24344</v>
      </c>
      <c r="E678" s="19" t="s">
        <v>17625</v>
      </c>
      <c r="F678" s="102" t="s">
        <v>17626</v>
      </c>
      <c r="G678" s="19" t="s">
        <v>24420</v>
      </c>
      <c r="H678" s="19" t="b">
        <v>1</v>
      </c>
      <c r="I678" s="19">
        <v>1.0</v>
      </c>
      <c r="J678" s="102" t="s">
        <v>16044</v>
      </c>
      <c r="K678" s="19" t="s">
        <v>17623</v>
      </c>
      <c r="L678" s="19">
        <v>97430.0</v>
      </c>
      <c r="M678" s="19" t="s">
        <v>71</v>
      </c>
      <c r="N678" s="103"/>
      <c r="O678" s="19" t="s">
        <v>10567</v>
      </c>
      <c r="P678" s="19" t="s">
        <v>26637</v>
      </c>
      <c r="Q678" s="19" t="s">
        <v>26638</v>
      </c>
      <c r="R678" s="103"/>
      <c r="S678" s="19" t="s">
        <v>24348</v>
      </c>
      <c r="T678" s="103"/>
      <c r="U678" s="103"/>
      <c r="V678" s="103"/>
      <c r="W678" s="103"/>
      <c r="X678" s="103"/>
      <c r="Y678" s="103"/>
      <c r="Z678" s="103"/>
    </row>
    <row r="679" ht="15.75" customHeight="1">
      <c r="A679" s="19" t="s">
        <v>12963</v>
      </c>
      <c r="B679" s="19" t="s">
        <v>26563</v>
      </c>
      <c r="C679" s="19" t="s">
        <v>26639</v>
      </c>
      <c r="D679" s="19" t="s">
        <v>24334</v>
      </c>
      <c r="E679" s="19" t="s">
        <v>12955</v>
      </c>
      <c r="F679" s="102" t="s">
        <v>12956</v>
      </c>
      <c r="G679" s="19" t="s">
        <v>24335</v>
      </c>
      <c r="H679" s="19" t="b">
        <v>1</v>
      </c>
      <c r="I679" s="19">
        <v>1.0</v>
      </c>
      <c r="J679" s="102" t="s">
        <v>12820</v>
      </c>
      <c r="K679" s="19" t="s">
        <v>26640</v>
      </c>
      <c r="L679" s="19">
        <v>97414.0</v>
      </c>
      <c r="M679" s="19" t="s">
        <v>40</v>
      </c>
      <c r="N679" s="103"/>
      <c r="O679" s="19" t="s">
        <v>10303</v>
      </c>
      <c r="P679" s="103"/>
      <c r="Q679" s="19" t="s">
        <v>26641</v>
      </c>
      <c r="R679" s="103"/>
      <c r="S679" s="19" t="s">
        <v>24348</v>
      </c>
      <c r="T679" s="103"/>
      <c r="U679" s="103"/>
      <c r="V679" s="103"/>
      <c r="W679" s="103"/>
      <c r="X679" s="103"/>
      <c r="Y679" s="103"/>
      <c r="Z679" s="103"/>
    </row>
    <row r="680" ht="15.75" customHeight="1">
      <c r="A680" s="19" t="s">
        <v>16348</v>
      </c>
      <c r="B680" s="19" t="s">
        <v>26642</v>
      </c>
      <c r="C680" s="19" t="s">
        <v>26643</v>
      </c>
      <c r="D680" s="19" t="s">
        <v>24334</v>
      </c>
      <c r="E680" s="19" t="s">
        <v>16340</v>
      </c>
      <c r="F680" s="102" t="s">
        <v>16341</v>
      </c>
      <c r="G680" s="19" t="s">
        <v>24335</v>
      </c>
      <c r="H680" s="19" t="b">
        <v>0</v>
      </c>
      <c r="I680" s="19">
        <v>1.0</v>
      </c>
      <c r="J680" s="19" t="s">
        <v>13199</v>
      </c>
      <c r="K680" s="19" t="s">
        <v>16338</v>
      </c>
      <c r="L680" s="19">
        <v>97418.0</v>
      </c>
      <c r="M680" s="19" t="s">
        <v>216</v>
      </c>
      <c r="N680" s="103"/>
      <c r="O680" s="19" t="s">
        <v>10506</v>
      </c>
      <c r="P680" s="103"/>
      <c r="Q680" s="19" t="s">
        <v>26644</v>
      </c>
      <c r="R680" s="103"/>
      <c r="S680" s="19" t="s">
        <v>24348</v>
      </c>
      <c r="T680" s="103"/>
      <c r="U680" s="103"/>
      <c r="V680" s="103"/>
      <c r="W680" s="103"/>
      <c r="X680" s="103"/>
      <c r="Y680" s="103"/>
      <c r="Z680" s="103"/>
    </row>
    <row r="681" ht="15.75" customHeight="1">
      <c r="A681" s="19" t="s">
        <v>16816</v>
      </c>
      <c r="B681" s="19" t="s">
        <v>26645</v>
      </c>
      <c r="C681" s="19" t="s">
        <v>25533</v>
      </c>
      <c r="D681" s="19" t="s">
        <v>24334</v>
      </c>
      <c r="E681" s="19" t="s">
        <v>16809</v>
      </c>
      <c r="F681" s="102" t="s">
        <v>16810</v>
      </c>
      <c r="G681" s="19" t="s">
        <v>24420</v>
      </c>
      <c r="H681" s="19" t="b">
        <v>1</v>
      </c>
      <c r="I681" s="19">
        <v>1.0</v>
      </c>
      <c r="J681" s="102" t="s">
        <v>14790</v>
      </c>
      <c r="K681" s="19" t="s">
        <v>15109</v>
      </c>
      <c r="L681" s="19">
        <v>97418.0</v>
      </c>
      <c r="M681" s="19" t="s">
        <v>216</v>
      </c>
      <c r="N681" s="103"/>
      <c r="O681" s="19" t="s">
        <v>10529</v>
      </c>
      <c r="P681" s="103"/>
      <c r="Q681" s="19" t="s">
        <v>26646</v>
      </c>
      <c r="R681" s="105">
        <v>27373.0</v>
      </c>
      <c r="S681" s="19" t="s">
        <v>24460</v>
      </c>
      <c r="T681" s="103"/>
      <c r="U681" s="103"/>
      <c r="V681" s="103"/>
      <c r="W681" s="103"/>
      <c r="X681" s="103"/>
      <c r="Y681" s="103"/>
      <c r="Z681" s="103"/>
    </row>
    <row r="682" ht="15.75" customHeight="1">
      <c r="A682" s="19" t="s">
        <v>14847</v>
      </c>
      <c r="B682" s="19" t="s">
        <v>26647</v>
      </c>
      <c r="C682" s="19" t="s">
        <v>26648</v>
      </c>
      <c r="D682" s="19" t="s">
        <v>24344</v>
      </c>
      <c r="E682" s="19" t="s">
        <v>14841</v>
      </c>
      <c r="F682" s="102" t="s">
        <v>14842</v>
      </c>
      <c r="G682" s="19" t="s">
        <v>24335</v>
      </c>
      <c r="H682" s="19" t="b">
        <v>0</v>
      </c>
      <c r="I682" s="19">
        <v>1.0</v>
      </c>
      <c r="J682" s="102" t="s">
        <v>14838</v>
      </c>
      <c r="K682" s="19" t="s">
        <v>26542</v>
      </c>
      <c r="L682" s="19">
        <v>97480.0</v>
      </c>
      <c r="M682" s="19" t="s">
        <v>123</v>
      </c>
      <c r="N682" s="103"/>
      <c r="O682" s="19" t="s">
        <v>10425</v>
      </c>
      <c r="P682" s="103"/>
      <c r="Q682" s="19" t="s">
        <v>26649</v>
      </c>
      <c r="R682" s="104"/>
      <c r="S682" s="19"/>
      <c r="T682" s="103"/>
      <c r="U682" s="103"/>
      <c r="V682" s="103"/>
      <c r="W682" s="103"/>
      <c r="X682" s="103"/>
      <c r="Y682" s="103"/>
      <c r="Z682" s="103"/>
    </row>
    <row r="683" ht="15.75" customHeight="1">
      <c r="A683" s="19" t="s">
        <v>13291</v>
      </c>
      <c r="B683" s="19" t="s">
        <v>26650</v>
      </c>
      <c r="C683" s="19" t="s">
        <v>24465</v>
      </c>
      <c r="D683" s="19" t="s">
        <v>24334</v>
      </c>
      <c r="E683" s="19" t="s">
        <v>13284</v>
      </c>
      <c r="F683" s="102" t="s">
        <v>13285</v>
      </c>
      <c r="G683" s="19" t="s">
        <v>24420</v>
      </c>
      <c r="H683" s="19" t="b">
        <v>1</v>
      </c>
      <c r="I683" s="19">
        <v>1.0</v>
      </c>
      <c r="J683" s="102" t="s">
        <v>13281</v>
      </c>
      <c r="K683" s="19" t="s">
        <v>13282</v>
      </c>
      <c r="L683" s="19">
        <v>97480.0</v>
      </c>
      <c r="M683" s="19" t="s">
        <v>123</v>
      </c>
      <c r="N683" s="103"/>
      <c r="O683" s="19" t="s">
        <v>252</v>
      </c>
      <c r="P683" s="103"/>
      <c r="Q683" s="19" t="s">
        <v>26651</v>
      </c>
      <c r="R683" s="104">
        <v>24474.0</v>
      </c>
      <c r="S683" s="19" t="s">
        <v>24348</v>
      </c>
      <c r="T683" s="103"/>
      <c r="U683" s="103"/>
      <c r="V683" s="103"/>
      <c r="W683" s="103"/>
      <c r="X683" s="103"/>
      <c r="Y683" s="103"/>
      <c r="Z683" s="103"/>
    </row>
    <row r="684" ht="15.75" customHeight="1">
      <c r="A684" s="19" t="s">
        <v>17524</v>
      </c>
      <c r="B684" s="19" t="s">
        <v>26272</v>
      </c>
      <c r="C684" s="19" t="s">
        <v>26652</v>
      </c>
      <c r="D684" s="19" t="s">
        <v>24344</v>
      </c>
      <c r="E684" s="19" t="s">
        <v>17517</v>
      </c>
      <c r="F684" s="102" t="s">
        <v>26653</v>
      </c>
      <c r="G684" s="19" t="s">
        <v>24420</v>
      </c>
      <c r="H684" s="19" t="b">
        <v>1</v>
      </c>
      <c r="I684" s="19">
        <v>1.0</v>
      </c>
      <c r="J684" s="102" t="s">
        <v>15221</v>
      </c>
      <c r="K684" s="19" t="s">
        <v>26654</v>
      </c>
      <c r="L684" s="19">
        <v>97480.0</v>
      </c>
      <c r="M684" s="19" t="s">
        <v>123</v>
      </c>
      <c r="N684" s="103"/>
      <c r="O684" s="19" t="s">
        <v>11911</v>
      </c>
      <c r="P684" s="19" t="s">
        <v>26655</v>
      </c>
      <c r="Q684" s="19" t="s">
        <v>26656</v>
      </c>
      <c r="R684" s="103"/>
      <c r="S684" s="19" t="s">
        <v>24348</v>
      </c>
      <c r="T684" s="103"/>
      <c r="U684" s="103"/>
      <c r="V684" s="103"/>
      <c r="W684" s="103"/>
      <c r="X684" s="103"/>
      <c r="Y684" s="103"/>
      <c r="Z684" s="103"/>
    </row>
    <row r="685" ht="15.75" customHeight="1">
      <c r="A685" s="19" t="s">
        <v>17511</v>
      </c>
      <c r="B685" s="19" t="s">
        <v>26657</v>
      </c>
      <c r="C685" s="19" t="s">
        <v>24432</v>
      </c>
      <c r="D685" s="19" t="s">
        <v>24344</v>
      </c>
      <c r="E685" s="19" t="s">
        <v>17503</v>
      </c>
      <c r="F685" s="102" t="s">
        <v>26658</v>
      </c>
      <c r="G685" s="19" t="s">
        <v>24420</v>
      </c>
      <c r="H685" s="19" t="b">
        <v>1</v>
      </c>
      <c r="I685" s="19">
        <v>1.0</v>
      </c>
      <c r="J685" s="102" t="s">
        <v>17500</v>
      </c>
      <c r="K685" s="19" t="s">
        <v>17501</v>
      </c>
      <c r="L685" s="19">
        <v>97480.0</v>
      </c>
      <c r="M685" s="19" t="s">
        <v>123</v>
      </c>
      <c r="N685" s="103"/>
      <c r="O685" s="19" t="s">
        <v>12108</v>
      </c>
      <c r="P685" s="103"/>
      <c r="Q685" s="19" t="s">
        <v>26659</v>
      </c>
      <c r="R685" s="104">
        <v>30540.0</v>
      </c>
      <c r="S685" s="19" t="s">
        <v>24348</v>
      </c>
      <c r="T685" s="103"/>
      <c r="U685" s="103"/>
      <c r="V685" s="103"/>
      <c r="W685" s="103"/>
      <c r="X685" s="103"/>
      <c r="Y685" s="103"/>
      <c r="Z685" s="103"/>
    </row>
    <row r="686" ht="15.75" customHeight="1">
      <c r="A686" s="19" t="s">
        <v>15217</v>
      </c>
      <c r="B686" s="19" t="s">
        <v>26660</v>
      </c>
      <c r="C686" s="19" t="s">
        <v>24560</v>
      </c>
      <c r="D686" s="19" t="s">
        <v>24344</v>
      </c>
      <c r="E686" s="19" t="s">
        <v>15210</v>
      </c>
      <c r="F686" s="102" t="s">
        <v>15211</v>
      </c>
      <c r="G686" s="19" t="s">
        <v>24420</v>
      </c>
      <c r="H686" s="19" t="b">
        <v>1</v>
      </c>
      <c r="I686" s="19">
        <v>2.0</v>
      </c>
      <c r="J686" s="19" t="s">
        <v>26661</v>
      </c>
      <c r="K686" s="19" t="s">
        <v>26662</v>
      </c>
      <c r="L686" s="19">
        <v>97418.0</v>
      </c>
      <c r="M686" s="19" t="s">
        <v>71</v>
      </c>
      <c r="N686" s="103"/>
      <c r="O686" s="19" t="s">
        <v>26663</v>
      </c>
      <c r="P686" s="103"/>
      <c r="Q686" s="19" t="s">
        <v>26664</v>
      </c>
      <c r="R686" s="105">
        <v>25534.0</v>
      </c>
      <c r="S686" s="19" t="s">
        <v>24460</v>
      </c>
      <c r="T686" s="103"/>
      <c r="U686" s="103"/>
      <c r="V686" s="103"/>
      <c r="W686" s="103"/>
      <c r="X686" s="103"/>
      <c r="Y686" s="103"/>
      <c r="Z686" s="103"/>
    </row>
    <row r="687" ht="15.75" customHeight="1">
      <c r="A687" s="19" t="s">
        <v>16076</v>
      </c>
      <c r="B687" s="19" t="s">
        <v>25695</v>
      </c>
      <c r="C687" s="19" t="s">
        <v>26665</v>
      </c>
      <c r="D687" s="19" t="s">
        <v>24344</v>
      </c>
      <c r="E687" s="19" t="s">
        <v>16069</v>
      </c>
      <c r="F687" s="102" t="s">
        <v>16070</v>
      </c>
      <c r="G687" s="19" t="s">
        <v>24335</v>
      </c>
      <c r="H687" s="19" t="b">
        <v>1</v>
      </c>
      <c r="I687" s="19">
        <v>2.0</v>
      </c>
      <c r="J687" s="102" t="s">
        <v>15094</v>
      </c>
      <c r="K687" s="19" t="s">
        <v>26666</v>
      </c>
      <c r="L687" s="19">
        <v>97442.0</v>
      </c>
      <c r="M687" s="19" t="s">
        <v>33</v>
      </c>
      <c r="N687" s="103"/>
      <c r="O687" s="19" t="s">
        <v>26667</v>
      </c>
      <c r="P687" s="103"/>
      <c r="Q687" s="19" t="s">
        <v>26668</v>
      </c>
      <c r="R687" s="104">
        <v>30754.0</v>
      </c>
      <c r="S687" s="19" t="s">
        <v>24460</v>
      </c>
      <c r="T687" s="103"/>
      <c r="U687" s="103"/>
      <c r="V687" s="103"/>
      <c r="W687" s="103"/>
      <c r="X687" s="103"/>
      <c r="Y687" s="103"/>
      <c r="Z687" s="103"/>
    </row>
    <row r="688" ht="15.75" customHeight="1">
      <c r="A688" s="19" t="s">
        <v>16796</v>
      </c>
      <c r="B688" s="19" t="s">
        <v>26314</v>
      </c>
      <c r="C688" s="19" t="s">
        <v>26669</v>
      </c>
      <c r="D688" s="19" t="s">
        <v>24344</v>
      </c>
      <c r="E688" s="19" t="s">
        <v>26670</v>
      </c>
      <c r="F688" s="102" t="s">
        <v>16792</v>
      </c>
      <c r="G688" s="19" t="s">
        <v>24420</v>
      </c>
      <c r="H688" s="19" t="b">
        <v>1</v>
      </c>
      <c r="I688" s="19">
        <v>1.0</v>
      </c>
      <c r="J688" s="102" t="s">
        <v>12331</v>
      </c>
      <c r="K688" s="19" t="s">
        <v>16789</v>
      </c>
      <c r="L688" s="19">
        <v>97480.0</v>
      </c>
      <c r="M688" s="19" t="s">
        <v>123</v>
      </c>
      <c r="N688" s="103"/>
      <c r="O688" s="19" t="s">
        <v>11840</v>
      </c>
      <c r="P688" s="103"/>
      <c r="Q688" s="19" t="s">
        <v>26671</v>
      </c>
      <c r="R688" s="104">
        <v>27620.0</v>
      </c>
      <c r="S688" s="19" t="s">
        <v>24460</v>
      </c>
      <c r="T688" s="103"/>
      <c r="U688" s="103"/>
      <c r="V688" s="103"/>
      <c r="W688" s="103"/>
      <c r="X688" s="103"/>
      <c r="Y688" s="103"/>
      <c r="Z688" s="103"/>
    </row>
    <row r="689" ht="15.75" customHeight="1">
      <c r="A689" s="19" t="s">
        <v>16365</v>
      </c>
      <c r="B689" s="19" t="s">
        <v>26672</v>
      </c>
      <c r="C689" s="19" t="s">
        <v>25291</v>
      </c>
      <c r="D689" s="19" t="s">
        <v>24344</v>
      </c>
      <c r="E689" s="19" t="s">
        <v>16358</v>
      </c>
      <c r="F689" s="102" t="s">
        <v>16359</v>
      </c>
      <c r="G689" s="19" t="s">
        <v>24420</v>
      </c>
      <c r="H689" s="19" t="b">
        <v>1</v>
      </c>
      <c r="I689" s="19">
        <v>1.0</v>
      </c>
      <c r="J689" s="102" t="s">
        <v>16355</v>
      </c>
      <c r="K689" s="19" t="s">
        <v>16356</v>
      </c>
      <c r="L689" s="19">
        <v>97414.0</v>
      </c>
      <c r="M689" s="19" t="s">
        <v>40</v>
      </c>
      <c r="N689" s="103"/>
      <c r="O689" s="102" t="s">
        <v>16353</v>
      </c>
      <c r="P689" s="103"/>
      <c r="Q689" s="19" t="s">
        <v>26673</v>
      </c>
      <c r="R689" s="103"/>
      <c r="S689" s="19" t="s">
        <v>24460</v>
      </c>
      <c r="T689" s="103"/>
      <c r="U689" s="103"/>
      <c r="V689" s="103"/>
      <c r="W689" s="103"/>
      <c r="X689" s="103"/>
      <c r="Y689" s="103"/>
      <c r="Z689" s="103"/>
    </row>
    <row r="690" ht="15.75" customHeight="1">
      <c r="A690" s="19" t="s">
        <v>17033</v>
      </c>
      <c r="B690" s="19" t="s">
        <v>26674</v>
      </c>
      <c r="C690" s="19" t="s">
        <v>25967</v>
      </c>
      <c r="D690" s="19" t="s">
        <v>24344</v>
      </c>
      <c r="E690" s="19" t="s">
        <v>17030</v>
      </c>
      <c r="F690" s="103"/>
      <c r="G690" s="19" t="s">
        <v>24420</v>
      </c>
      <c r="H690" s="19" t="b">
        <v>1</v>
      </c>
      <c r="I690" s="19">
        <v>1.0</v>
      </c>
      <c r="J690" s="102" t="s">
        <v>14338</v>
      </c>
      <c r="K690" s="19" t="s">
        <v>17028</v>
      </c>
      <c r="L690" s="19">
        <v>97430.0</v>
      </c>
      <c r="M690" s="19" t="s">
        <v>71</v>
      </c>
      <c r="N690" s="103"/>
      <c r="O690" s="19" t="s">
        <v>10547</v>
      </c>
      <c r="P690" s="103"/>
      <c r="Q690" s="19" t="s">
        <v>26675</v>
      </c>
      <c r="R690" s="104">
        <v>33756.0</v>
      </c>
      <c r="S690" s="103"/>
      <c r="T690" s="103"/>
      <c r="U690" s="103"/>
      <c r="V690" s="103"/>
      <c r="W690" s="103"/>
      <c r="X690" s="103"/>
      <c r="Y690" s="103"/>
      <c r="Z690" s="103"/>
    </row>
    <row r="691" ht="15.75" customHeight="1">
      <c r="A691" s="19" t="s">
        <v>17065</v>
      </c>
      <c r="B691" s="19" t="s">
        <v>26676</v>
      </c>
      <c r="C691" s="19" t="s">
        <v>26677</v>
      </c>
      <c r="D691" s="19" t="s">
        <v>24344</v>
      </c>
      <c r="E691" s="19" t="s">
        <v>17059</v>
      </c>
      <c r="F691" s="102" t="s">
        <v>17060</v>
      </c>
      <c r="G691" s="19" t="s">
        <v>24420</v>
      </c>
      <c r="H691" s="19" t="b">
        <v>1</v>
      </c>
      <c r="I691" s="19">
        <v>2.0</v>
      </c>
      <c r="J691" s="102" t="s">
        <v>13331</v>
      </c>
      <c r="K691" s="19" t="s">
        <v>24114</v>
      </c>
      <c r="L691" s="19">
        <v>97430.0</v>
      </c>
      <c r="M691" s="19" t="s">
        <v>71</v>
      </c>
      <c r="N691" s="103"/>
      <c r="O691" s="19" t="s">
        <v>26678</v>
      </c>
      <c r="P691" s="103"/>
      <c r="Q691" s="19" t="s">
        <v>26679</v>
      </c>
      <c r="R691" s="104">
        <v>33360.0</v>
      </c>
      <c r="S691" s="19" t="s">
        <v>24460</v>
      </c>
      <c r="T691" s="103"/>
      <c r="U691" s="103"/>
      <c r="V691" s="103"/>
      <c r="W691" s="103"/>
      <c r="X691" s="103"/>
      <c r="Y691" s="103"/>
      <c r="Z691" s="103"/>
    </row>
    <row r="692" ht="15.75" customHeight="1">
      <c r="A692" s="19" t="s">
        <v>16223</v>
      </c>
      <c r="B692" s="19" t="s">
        <v>26680</v>
      </c>
      <c r="C692" s="19" t="s">
        <v>24593</v>
      </c>
      <c r="D692" s="19" t="s">
        <v>24334</v>
      </c>
      <c r="E692" s="19" t="s">
        <v>16216</v>
      </c>
      <c r="F692" s="102" t="s">
        <v>16217</v>
      </c>
      <c r="G692" s="19" t="s">
        <v>24335</v>
      </c>
      <c r="H692" s="19" t="b">
        <v>1</v>
      </c>
      <c r="I692" s="19">
        <v>1.0</v>
      </c>
      <c r="J692" s="102" t="s">
        <v>14338</v>
      </c>
      <c r="K692" s="19" t="s">
        <v>26681</v>
      </c>
      <c r="L692" s="19">
        <v>91540.0</v>
      </c>
      <c r="M692" s="19" t="s">
        <v>26682</v>
      </c>
      <c r="N692" s="103"/>
      <c r="O692" s="19" t="s">
        <v>11724</v>
      </c>
      <c r="P692" s="103"/>
      <c r="Q692" s="19" t="s">
        <v>26683</v>
      </c>
      <c r="R692" s="103"/>
      <c r="S692" s="103"/>
      <c r="T692" s="103"/>
      <c r="U692" s="103"/>
      <c r="V692" s="103"/>
      <c r="W692" s="103"/>
      <c r="X692" s="103"/>
      <c r="Y692" s="103"/>
      <c r="Z692" s="103"/>
    </row>
    <row r="693" ht="15.75" customHeight="1">
      <c r="A693" s="19" t="s">
        <v>15689</v>
      </c>
      <c r="B693" s="19" t="s">
        <v>24395</v>
      </c>
      <c r="C693" s="19" t="s">
        <v>25630</v>
      </c>
      <c r="D693" s="19" t="s">
        <v>24344</v>
      </c>
      <c r="E693" s="19" t="s">
        <v>15683</v>
      </c>
      <c r="F693" s="102" t="s">
        <v>15684</v>
      </c>
      <c r="G693" s="19" t="s">
        <v>24420</v>
      </c>
      <c r="H693" s="19" t="b">
        <v>1</v>
      </c>
      <c r="I693" s="19">
        <v>1.0</v>
      </c>
      <c r="J693" s="102" t="s">
        <v>14878</v>
      </c>
      <c r="K693" s="19" t="s">
        <v>15681</v>
      </c>
      <c r="L693" s="19">
        <v>97480.0</v>
      </c>
      <c r="M693" s="19" t="s">
        <v>123</v>
      </c>
      <c r="N693" s="103"/>
      <c r="O693" s="19" t="s">
        <v>11802</v>
      </c>
      <c r="P693" s="19" t="s">
        <v>26684</v>
      </c>
      <c r="Q693" s="19" t="s">
        <v>26685</v>
      </c>
      <c r="R693" s="104">
        <v>26833.0</v>
      </c>
      <c r="S693" s="19" t="s">
        <v>24460</v>
      </c>
      <c r="T693" s="103"/>
      <c r="U693" s="103"/>
      <c r="V693" s="103"/>
      <c r="W693" s="103"/>
      <c r="X693" s="103"/>
      <c r="Y693" s="103"/>
      <c r="Z693" s="103"/>
    </row>
    <row r="694" ht="15.75" customHeight="1">
      <c r="A694" s="19" t="s">
        <v>12575</v>
      </c>
      <c r="B694" s="19" t="s">
        <v>26256</v>
      </c>
      <c r="C694" s="19" t="s">
        <v>24506</v>
      </c>
      <c r="D694" s="19" t="s">
        <v>24344</v>
      </c>
      <c r="E694" s="19" t="s">
        <v>12567</v>
      </c>
      <c r="F694" s="102" t="s">
        <v>26686</v>
      </c>
      <c r="G694" s="19" t="s">
        <v>24420</v>
      </c>
      <c r="H694" s="19" t="b">
        <v>1</v>
      </c>
      <c r="I694" s="19">
        <v>1.0</v>
      </c>
      <c r="J694" s="102" t="s">
        <v>19234</v>
      </c>
      <c r="K694" s="19" t="s">
        <v>26687</v>
      </c>
      <c r="L694" s="19">
        <v>97434.0</v>
      </c>
      <c r="M694" s="19" t="s">
        <v>26470</v>
      </c>
      <c r="N694" s="103"/>
      <c r="O694" s="19" t="s">
        <v>11929</v>
      </c>
      <c r="P694" s="103"/>
      <c r="Q694" s="19" t="s">
        <v>26688</v>
      </c>
      <c r="R694" s="104">
        <v>22349.0</v>
      </c>
      <c r="S694" s="19" t="s">
        <v>24460</v>
      </c>
      <c r="T694" s="103"/>
      <c r="U694" s="103"/>
      <c r="V694" s="103"/>
      <c r="W694" s="103"/>
      <c r="X694" s="103"/>
      <c r="Y694" s="103"/>
      <c r="Z694" s="103"/>
    </row>
    <row r="695" ht="15.75" customHeight="1">
      <c r="A695" s="19" t="s">
        <v>15496</v>
      </c>
      <c r="B695" s="19" t="s">
        <v>26689</v>
      </c>
      <c r="C695" s="19" t="s">
        <v>26690</v>
      </c>
      <c r="D695" s="19" t="s">
        <v>24344</v>
      </c>
      <c r="E695" s="19" t="s">
        <v>15489</v>
      </c>
      <c r="F695" s="103"/>
      <c r="G695" s="19" t="s">
        <v>24420</v>
      </c>
      <c r="H695" s="19" t="b">
        <v>1</v>
      </c>
      <c r="I695" s="19">
        <v>1.0</v>
      </c>
      <c r="J695" s="102" t="s">
        <v>12865</v>
      </c>
      <c r="K695" s="19" t="s">
        <v>26691</v>
      </c>
      <c r="L695" s="19">
        <v>97421.0</v>
      </c>
      <c r="M695" s="19" t="s">
        <v>25722</v>
      </c>
      <c r="N695" s="103"/>
      <c r="O695" s="19" t="s">
        <v>26692</v>
      </c>
      <c r="P695" s="103"/>
      <c r="Q695" s="102" t="s">
        <v>26693</v>
      </c>
      <c r="R695" s="104">
        <v>30496.0</v>
      </c>
      <c r="S695" s="19" t="s">
        <v>24348</v>
      </c>
      <c r="T695" s="103"/>
      <c r="U695" s="103"/>
      <c r="V695" s="103"/>
      <c r="W695" s="103"/>
      <c r="X695" s="103"/>
      <c r="Y695" s="103"/>
      <c r="Z695" s="103"/>
    </row>
    <row r="696" ht="15.75" customHeight="1">
      <c r="A696" s="19" t="s">
        <v>16129</v>
      </c>
      <c r="B696" s="19" t="s">
        <v>26694</v>
      </c>
      <c r="C696" s="19" t="s">
        <v>24502</v>
      </c>
      <c r="D696" s="19" t="s">
        <v>24334</v>
      </c>
      <c r="E696" s="19" t="s">
        <v>16125</v>
      </c>
      <c r="F696" s="102" t="s">
        <v>16126</v>
      </c>
      <c r="G696" s="19" t="s">
        <v>24420</v>
      </c>
      <c r="H696" s="19" t="b">
        <v>1</v>
      </c>
      <c r="I696" s="19">
        <v>1.0</v>
      </c>
      <c r="J696" s="102" t="s">
        <v>14516</v>
      </c>
      <c r="K696" s="19" t="s">
        <v>26695</v>
      </c>
      <c r="L696" s="19">
        <v>97418.0</v>
      </c>
      <c r="M696" s="19" t="s">
        <v>216</v>
      </c>
      <c r="N696" s="103"/>
      <c r="O696" s="19" t="s">
        <v>26696</v>
      </c>
      <c r="P696" s="103"/>
      <c r="Q696" s="19" t="s">
        <v>26697</v>
      </c>
      <c r="R696" s="103"/>
      <c r="S696" s="103"/>
      <c r="T696" s="103"/>
      <c r="U696" s="103"/>
      <c r="V696" s="103"/>
      <c r="W696" s="103"/>
      <c r="X696" s="103"/>
      <c r="Y696" s="103"/>
      <c r="Z696" s="103"/>
    </row>
    <row r="697" ht="15.75" customHeight="1">
      <c r="A697" s="19" t="s">
        <v>17123</v>
      </c>
      <c r="B697" s="19" t="s">
        <v>26660</v>
      </c>
      <c r="C697" s="19" t="s">
        <v>24443</v>
      </c>
      <c r="D697" s="19" t="s">
        <v>24344</v>
      </c>
      <c r="E697" s="19" t="s">
        <v>17116</v>
      </c>
      <c r="F697" s="102" t="s">
        <v>26698</v>
      </c>
      <c r="G697" s="19" t="s">
        <v>24335</v>
      </c>
      <c r="H697" s="19" t="b">
        <v>1</v>
      </c>
      <c r="I697" s="19">
        <v>1.0</v>
      </c>
      <c r="J697" s="19" t="s">
        <v>26699</v>
      </c>
      <c r="K697" s="19" t="s">
        <v>26700</v>
      </c>
      <c r="L697" s="19">
        <v>97418.0</v>
      </c>
      <c r="M697" s="19" t="s">
        <v>71</v>
      </c>
      <c r="N697" s="103"/>
      <c r="O697" s="19" t="s">
        <v>11621</v>
      </c>
      <c r="P697" s="103"/>
      <c r="Q697" s="19" t="s">
        <v>26701</v>
      </c>
      <c r="R697" s="103"/>
      <c r="S697" s="103"/>
      <c r="T697" s="103"/>
      <c r="U697" s="103"/>
      <c r="V697" s="103"/>
      <c r="W697" s="103"/>
      <c r="X697" s="103"/>
      <c r="Y697" s="103"/>
      <c r="Z697" s="103"/>
    </row>
    <row r="698" ht="15.75" customHeight="1">
      <c r="A698" s="19" t="s">
        <v>14575</v>
      </c>
      <c r="B698" s="19" t="s">
        <v>26702</v>
      </c>
      <c r="C698" s="19" t="s">
        <v>25438</v>
      </c>
      <c r="D698" s="19" t="s">
        <v>24334</v>
      </c>
      <c r="E698" s="19" t="s">
        <v>14568</v>
      </c>
      <c r="F698" s="102" t="s">
        <v>14569</v>
      </c>
      <c r="G698" s="19" t="s">
        <v>24335</v>
      </c>
      <c r="H698" s="19" t="b">
        <v>1</v>
      </c>
      <c r="I698" s="19">
        <v>1.0</v>
      </c>
      <c r="J698" s="19" t="s">
        <v>26703</v>
      </c>
      <c r="K698" s="19" t="s">
        <v>14566</v>
      </c>
      <c r="L698" s="19">
        <v>97442.0</v>
      </c>
      <c r="M698" s="19" t="s">
        <v>33</v>
      </c>
      <c r="N698" s="103"/>
      <c r="O698" s="19" t="s">
        <v>10695</v>
      </c>
      <c r="P698" s="103"/>
      <c r="Q698" s="19" t="s">
        <v>26704</v>
      </c>
      <c r="R698" s="104">
        <v>33067.0</v>
      </c>
      <c r="S698" s="103"/>
      <c r="T698" s="103"/>
      <c r="U698" s="103"/>
      <c r="V698" s="103"/>
      <c r="W698" s="103"/>
      <c r="X698" s="103"/>
      <c r="Y698" s="103"/>
      <c r="Z698" s="103"/>
    </row>
    <row r="699" ht="15.75" customHeight="1">
      <c r="A699" s="19" t="s">
        <v>26705</v>
      </c>
      <c r="B699" s="19" t="s">
        <v>26184</v>
      </c>
      <c r="C699" s="19" t="s">
        <v>25264</v>
      </c>
      <c r="D699" s="19" t="s">
        <v>24344</v>
      </c>
      <c r="E699" s="19" t="s">
        <v>26706</v>
      </c>
      <c r="F699" s="102" t="s">
        <v>26707</v>
      </c>
      <c r="G699" s="19" t="s">
        <v>24335</v>
      </c>
      <c r="H699" s="19" t="b">
        <v>1</v>
      </c>
      <c r="I699" s="19">
        <v>0.0</v>
      </c>
      <c r="J699" s="19" t="s">
        <v>26708</v>
      </c>
      <c r="K699" s="19" t="s">
        <v>26709</v>
      </c>
      <c r="L699" s="19">
        <v>97425.0</v>
      </c>
      <c r="M699" s="19" t="s">
        <v>25474</v>
      </c>
      <c r="N699" s="103"/>
      <c r="O699" s="19" t="s">
        <v>10679</v>
      </c>
      <c r="P699" s="103"/>
      <c r="Q699" s="19" t="s">
        <v>26710</v>
      </c>
      <c r="R699" s="104">
        <v>29663.0</v>
      </c>
      <c r="S699" s="19" t="s">
        <v>24460</v>
      </c>
      <c r="T699" s="103"/>
      <c r="U699" s="103"/>
      <c r="V699" s="103"/>
      <c r="W699" s="103"/>
      <c r="X699" s="103"/>
      <c r="Y699" s="103"/>
      <c r="Z699" s="103"/>
    </row>
    <row r="700" ht="15.75" customHeight="1">
      <c r="A700" s="19" t="s">
        <v>16584</v>
      </c>
      <c r="B700" s="19" t="s">
        <v>26711</v>
      </c>
      <c r="C700" s="19" t="s">
        <v>24440</v>
      </c>
      <c r="D700" s="19" t="s">
        <v>24344</v>
      </c>
      <c r="E700" s="19" t="s">
        <v>16575</v>
      </c>
      <c r="F700" s="102" t="s">
        <v>16576</v>
      </c>
      <c r="G700" s="19" t="s">
        <v>24335</v>
      </c>
      <c r="H700" s="19" t="b">
        <v>1</v>
      </c>
      <c r="I700" s="19">
        <v>1.0</v>
      </c>
      <c r="J700" s="102" t="s">
        <v>18092</v>
      </c>
      <c r="K700" s="19" t="s">
        <v>13351</v>
      </c>
      <c r="L700" s="19">
        <v>97414.0</v>
      </c>
      <c r="M700" s="19" t="s">
        <v>40</v>
      </c>
      <c r="N700" s="103"/>
      <c r="O700" s="19" t="s">
        <v>10522</v>
      </c>
      <c r="P700" s="103"/>
      <c r="Q700" s="19" t="s">
        <v>26712</v>
      </c>
      <c r="R700" s="104">
        <v>22515.0</v>
      </c>
      <c r="S700" s="103"/>
      <c r="T700" s="103"/>
      <c r="U700" s="103"/>
      <c r="V700" s="103"/>
      <c r="W700" s="103"/>
      <c r="X700" s="103"/>
      <c r="Y700" s="103"/>
      <c r="Z700" s="103"/>
    </row>
    <row r="701" ht="15.75" customHeight="1">
      <c r="A701" s="19" t="s">
        <v>15751</v>
      </c>
      <c r="B701" s="19" t="s">
        <v>26713</v>
      </c>
      <c r="C701" s="19" t="s">
        <v>26714</v>
      </c>
      <c r="D701" s="19" t="s">
        <v>24344</v>
      </c>
      <c r="E701" s="19" t="s">
        <v>26715</v>
      </c>
      <c r="F701" s="102" t="s">
        <v>15746</v>
      </c>
      <c r="G701" s="19" t="s">
        <v>24335</v>
      </c>
      <c r="H701" s="19" t="b">
        <v>0</v>
      </c>
      <c r="I701" s="19">
        <v>0.0</v>
      </c>
      <c r="J701" s="19" t="s">
        <v>15742</v>
      </c>
      <c r="K701" s="19" t="s">
        <v>15743</v>
      </c>
      <c r="L701" s="19">
        <v>97414.0</v>
      </c>
      <c r="M701" s="19" t="s">
        <v>40</v>
      </c>
      <c r="N701" s="103"/>
      <c r="O701" s="19" t="s">
        <v>10707</v>
      </c>
      <c r="P701" s="103"/>
      <c r="Q701" s="19" t="s">
        <v>26716</v>
      </c>
      <c r="R701" s="105">
        <v>31404.0</v>
      </c>
      <c r="S701" s="103"/>
      <c r="T701" s="103"/>
      <c r="U701" s="103"/>
      <c r="V701" s="103"/>
      <c r="W701" s="103"/>
      <c r="X701" s="103"/>
      <c r="Y701" s="103"/>
      <c r="Z701" s="103"/>
    </row>
    <row r="702" ht="15.75" customHeight="1">
      <c r="A702" s="19" t="s">
        <v>16054</v>
      </c>
      <c r="B702" s="19" t="s">
        <v>26717</v>
      </c>
      <c r="C702" s="19" t="s">
        <v>25901</v>
      </c>
      <c r="D702" s="19" t="s">
        <v>24334</v>
      </c>
      <c r="E702" s="19" t="s">
        <v>16047</v>
      </c>
      <c r="F702" s="102" t="s">
        <v>26718</v>
      </c>
      <c r="G702" s="19" t="s">
        <v>24335</v>
      </c>
      <c r="H702" s="19" t="b">
        <v>0</v>
      </c>
      <c r="I702" s="19">
        <v>1.0</v>
      </c>
      <c r="J702" s="102" t="s">
        <v>26719</v>
      </c>
      <c r="K702" s="19" t="s">
        <v>16045</v>
      </c>
      <c r="L702" s="19">
        <v>97430.0</v>
      </c>
      <c r="M702" s="19" t="s">
        <v>71</v>
      </c>
      <c r="N702" s="103"/>
      <c r="O702" s="19" t="s">
        <v>10488</v>
      </c>
      <c r="P702" s="103"/>
      <c r="Q702" s="19" t="s">
        <v>26720</v>
      </c>
      <c r="R702" s="104">
        <v>19219.0</v>
      </c>
      <c r="S702" s="103"/>
      <c r="T702" s="103"/>
      <c r="U702" s="103"/>
      <c r="V702" s="103"/>
      <c r="W702" s="103"/>
      <c r="X702" s="103"/>
      <c r="Y702" s="103"/>
      <c r="Z702" s="103"/>
    </row>
    <row r="703" ht="15.75" customHeight="1">
      <c r="A703" s="19" t="s">
        <v>15104</v>
      </c>
      <c r="B703" s="19" t="s">
        <v>26721</v>
      </c>
      <c r="C703" s="19" t="s">
        <v>26722</v>
      </c>
      <c r="D703" s="19" t="s">
        <v>24334</v>
      </c>
      <c r="E703" s="19" t="s">
        <v>15098</v>
      </c>
      <c r="F703" s="102" t="s">
        <v>15099</v>
      </c>
      <c r="G703" s="19" t="s">
        <v>24420</v>
      </c>
      <c r="H703" s="19" t="b">
        <v>1</v>
      </c>
      <c r="I703" s="19">
        <v>2.0</v>
      </c>
      <c r="J703" s="19" t="s">
        <v>16151</v>
      </c>
      <c r="K703" s="19" t="s">
        <v>16152</v>
      </c>
      <c r="L703" s="19">
        <v>97442.0</v>
      </c>
      <c r="M703" s="19" t="s">
        <v>33</v>
      </c>
      <c r="N703" s="103"/>
      <c r="O703" s="19" t="s">
        <v>26723</v>
      </c>
      <c r="P703" s="19" t="s">
        <v>26724</v>
      </c>
      <c r="Q703" s="19" t="s">
        <v>26725</v>
      </c>
      <c r="R703" s="104">
        <v>23193.0</v>
      </c>
      <c r="S703" s="19" t="s">
        <v>24348</v>
      </c>
      <c r="T703" s="103"/>
      <c r="U703" s="103"/>
      <c r="V703" s="103"/>
      <c r="W703" s="103"/>
      <c r="X703" s="103"/>
      <c r="Y703" s="103"/>
      <c r="Z703" s="103"/>
    </row>
    <row r="704" ht="15.75" customHeight="1">
      <c r="A704" s="19" t="s">
        <v>16708</v>
      </c>
      <c r="B704" s="19" t="s">
        <v>26726</v>
      </c>
      <c r="C704" s="19" t="s">
        <v>25264</v>
      </c>
      <c r="D704" s="19" t="s">
        <v>24344</v>
      </c>
      <c r="E704" s="19" t="s">
        <v>16704</v>
      </c>
      <c r="F704" s="102" t="s">
        <v>16705</v>
      </c>
      <c r="G704" s="19" t="s">
        <v>24420</v>
      </c>
      <c r="H704" s="19" t="b">
        <v>1</v>
      </c>
      <c r="I704" s="19">
        <v>1.0</v>
      </c>
      <c r="J704" s="102" t="s">
        <v>13331</v>
      </c>
      <c r="K704" s="19" t="s">
        <v>16702</v>
      </c>
      <c r="L704" s="19">
        <v>97414.0</v>
      </c>
      <c r="M704" s="19" t="s">
        <v>40</v>
      </c>
      <c r="N704" s="103"/>
      <c r="O704" s="19" t="s">
        <v>11951</v>
      </c>
      <c r="P704" s="19" t="s">
        <v>26727</v>
      </c>
      <c r="Q704" s="19" t="s">
        <v>26728</v>
      </c>
      <c r="R704" s="104">
        <v>24229.0</v>
      </c>
      <c r="S704" s="19" t="s">
        <v>24348</v>
      </c>
      <c r="T704" s="103"/>
      <c r="U704" s="103"/>
      <c r="V704" s="103"/>
      <c r="W704" s="103"/>
      <c r="X704" s="103"/>
      <c r="Y704" s="103"/>
      <c r="Z704" s="103"/>
    </row>
    <row r="705" ht="15.75" customHeight="1">
      <c r="A705" s="19" t="s">
        <v>16748</v>
      </c>
      <c r="B705" s="19" t="s">
        <v>26729</v>
      </c>
      <c r="C705" s="19" t="s">
        <v>25819</v>
      </c>
      <c r="D705" s="19" t="s">
        <v>24344</v>
      </c>
      <c r="E705" s="19" t="s">
        <v>16743</v>
      </c>
      <c r="F705" s="102" t="s">
        <v>21683</v>
      </c>
      <c r="G705" s="19" t="s">
        <v>24335</v>
      </c>
      <c r="H705" s="19" t="b">
        <v>1</v>
      </c>
      <c r="I705" s="19">
        <v>1.0</v>
      </c>
      <c r="J705" s="102" t="s">
        <v>16740</v>
      </c>
      <c r="K705" s="19" t="s">
        <v>26428</v>
      </c>
      <c r="L705" s="19">
        <v>97480.0</v>
      </c>
      <c r="M705" s="19" t="s">
        <v>123</v>
      </c>
      <c r="N705" s="103"/>
      <c r="O705" s="19" t="s">
        <v>12013</v>
      </c>
      <c r="P705" s="19" t="s">
        <v>26730</v>
      </c>
      <c r="Q705" s="19" t="s">
        <v>26731</v>
      </c>
      <c r="R705" s="104">
        <v>23025.0</v>
      </c>
      <c r="S705" s="19" t="s">
        <v>24348</v>
      </c>
      <c r="T705" s="103"/>
      <c r="U705" s="103"/>
      <c r="V705" s="103"/>
      <c r="W705" s="103"/>
      <c r="X705" s="103"/>
      <c r="Y705" s="103"/>
      <c r="Z705" s="103"/>
    </row>
    <row r="706" ht="15.75" customHeight="1">
      <c r="A706" s="19" t="s">
        <v>16477</v>
      </c>
      <c r="B706" s="19" t="s">
        <v>26732</v>
      </c>
      <c r="C706" s="19" t="s">
        <v>143</v>
      </c>
      <c r="D706" s="19" t="s">
        <v>24344</v>
      </c>
      <c r="E706" s="19" t="s">
        <v>16471</v>
      </c>
      <c r="F706" s="102" t="s">
        <v>16472</v>
      </c>
      <c r="G706" s="19" t="s">
        <v>24335</v>
      </c>
      <c r="H706" s="19" t="b">
        <v>1</v>
      </c>
      <c r="I706" s="19">
        <v>1.0</v>
      </c>
      <c r="J706" s="102" t="s">
        <v>16468</v>
      </c>
      <c r="K706" s="19" t="s">
        <v>26733</v>
      </c>
      <c r="L706" s="19">
        <v>97480.0</v>
      </c>
      <c r="M706" s="19" t="s">
        <v>123</v>
      </c>
      <c r="N706" s="103"/>
      <c r="O706" s="19" t="s">
        <v>10518</v>
      </c>
      <c r="P706" s="103"/>
      <c r="Q706" s="19" t="s">
        <v>26734</v>
      </c>
      <c r="R706" s="104">
        <v>23523.0</v>
      </c>
      <c r="S706" s="19" t="s">
        <v>24460</v>
      </c>
      <c r="T706" s="103"/>
      <c r="U706" s="103"/>
      <c r="V706" s="103"/>
      <c r="W706" s="103"/>
      <c r="X706" s="103"/>
      <c r="Y706" s="103"/>
      <c r="Z706" s="103"/>
    </row>
    <row r="707" ht="15.75" customHeight="1">
      <c r="A707" s="19" t="s">
        <v>14393</v>
      </c>
      <c r="B707" s="19" t="s">
        <v>150</v>
      </c>
      <c r="C707" s="19" t="s">
        <v>25901</v>
      </c>
      <c r="D707" s="19" t="s">
        <v>24334</v>
      </c>
      <c r="E707" s="19" t="s">
        <v>14385</v>
      </c>
      <c r="F707" s="102" t="s">
        <v>14386</v>
      </c>
      <c r="G707" s="19" t="s">
        <v>24335</v>
      </c>
      <c r="H707" s="19" t="b">
        <v>1</v>
      </c>
      <c r="I707" s="19">
        <v>3.0</v>
      </c>
      <c r="J707" s="102" t="s">
        <v>12331</v>
      </c>
      <c r="K707" s="19" t="s">
        <v>15613</v>
      </c>
      <c r="L707" s="19">
        <v>97430.0</v>
      </c>
      <c r="M707" s="19" t="s">
        <v>71</v>
      </c>
      <c r="N707" s="103"/>
      <c r="O707" s="19" t="s">
        <v>26735</v>
      </c>
      <c r="P707" s="103"/>
      <c r="Q707" s="19" t="s">
        <v>26736</v>
      </c>
      <c r="R707" s="104">
        <v>26837.0</v>
      </c>
      <c r="S707" s="103"/>
      <c r="T707" s="103"/>
      <c r="U707" s="103"/>
      <c r="V707" s="103"/>
      <c r="W707" s="103"/>
      <c r="X707" s="103"/>
      <c r="Y707" s="103"/>
      <c r="Z707" s="103"/>
    </row>
    <row r="708" ht="15.75" customHeight="1">
      <c r="A708" s="19" t="s">
        <v>16093</v>
      </c>
      <c r="B708" s="19" t="s">
        <v>26134</v>
      </c>
      <c r="C708" s="19" t="s">
        <v>25939</v>
      </c>
      <c r="D708" s="19" t="s">
        <v>24334</v>
      </c>
      <c r="E708" s="19" t="s">
        <v>16086</v>
      </c>
      <c r="F708" s="102" t="s">
        <v>16087</v>
      </c>
      <c r="G708" s="19" t="s">
        <v>24420</v>
      </c>
      <c r="H708" s="19" t="b">
        <v>1</v>
      </c>
      <c r="I708" s="19">
        <v>1.0</v>
      </c>
      <c r="J708" s="102" t="s">
        <v>16083</v>
      </c>
      <c r="K708" s="19" t="s">
        <v>16084</v>
      </c>
      <c r="L708" s="19">
        <v>97414.0</v>
      </c>
      <c r="M708" s="19" t="s">
        <v>40</v>
      </c>
      <c r="N708" s="103"/>
      <c r="O708" s="19" t="s">
        <v>10493</v>
      </c>
      <c r="P708" s="103"/>
      <c r="Q708" s="19" t="s">
        <v>26737</v>
      </c>
      <c r="R708" s="104">
        <v>24142.0</v>
      </c>
      <c r="S708" s="19" t="s">
        <v>24348</v>
      </c>
      <c r="T708" s="103"/>
      <c r="U708" s="103"/>
      <c r="V708" s="103"/>
      <c r="W708" s="103"/>
      <c r="X708" s="103"/>
      <c r="Y708" s="103"/>
      <c r="Z708" s="103"/>
    </row>
    <row r="709" ht="15.75" customHeight="1">
      <c r="A709" s="19" t="s">
        <v>16628</v>
      </c>
      <c r="B709" s="19" t="s">
        <v>26738</v>
      </c>
      <c r="C709" s="19" t="s">
        <v>25017</v>
      </c>
      <c r="D709" s="19" t="s">
        <v>24334</v>
      </c>
      <c r="E709" s="19" t="s">
        <v>16624</v>
      </c>
      <c r="F709" s="102" t="s">
        <v>26739</v>
      </c>
      <c r="G709" s="19" t="s">
        <v>24420</v>
      </c>
      <c r="H709" s="19" t="b">
        <v>1</v>
      </c>
      <c r="I709" s="19">
        <v>1.0</v>
      </c>
      <c r="J709" s="19" t="s">
        <v>16621</v>
      </c>
      <c r="K709" s="19" t="s">
        <v>26740</v>
      </c>
      <c r="L709" s="19">
        <v>97430.0</v>
      </c>
      <c r="M709" s="19" t="s">
        <v>71</v>
      </c>
      <c r="N709" s="103"/>
      <c r="O709" s="102" t="s">
        <v>16619</v>
      </c>
      <c r="P709" s="103"/>
      <c r="Q709" s="19" t="s">
        <v>26741</v>
      </c>
      <c r="R709" s="104">
        <v>30854.0</v>
      </c>
      <c r="S709" s="103"/>
      <c r="T709" s="103"/>
      <c r="U709" s="103"/>
      <c r="V709" s="103"/>
      <c r="W709" s="103"/>
      <c r="X709" s="103"/>
      <c r="Y709" s="103"/>
      <c r="Z709" s="103"/>
    </row>
    <row r="710" ht="15.75" customHeight="1">
      <c r="A710" s="19" t="s">
        <v>16195</v>
      </c>
      <c r="B710" s="19" t="s">
        <v>24352</v>
      </c>
      <c r="C710" s="19" t="s">
        <v>24577</v>
      </c>
      <c r="D710" s="19" t="s">
        <v>24344</v>
      </c>
      <c r="E710" s="19" t="s">
        <v>16191</v>
      </c>
      <c r="F710" s="102" t="s">
        <v>16192</v>
      </c>
      <c r="G710" s="19" t="s">
        <v>24335</v>
      </c>
      <c r="H710" s="19" t="b">
        <v>1</v>
      </c>
      <c r="I710" s="19">
        <v>1.0</v>
      </c>
      <c r="J710" s="103"/>
      <c r="K710" s="103"/>
      <c r="L710" s="19">
        <v>97480.0</v>
      </c>
      <c r="M710" s="19" t="s">
        <v>123</v>
      </c>
      <c r="N710" s="103"/>
      <c r="O710" s="19" t="s">
        <v>10500</v>
      </c>
      <c r="P710" s="19" t="s">
        <v>26742</v>
      </c>
      <c r="Q710" s="19" t="s">
        <v>26743</v>
      </c>
      <c r="R710" s="104">
        <v>23398.0</v>
      </c>
      <c r="S710" s="19" t="s">
        <v>24348</v>
      </c>
      <c r="T710" s="103"/>
      <c r="U710" s="103"/>
      <c r="V710" s="103"/>
      <c r="W710" s="103"/>
      <c r="X710" s="103"/>
      <c r="Y710" s="103"/>
      <c r="Z710" s="103"/>
    </row>
    <row r="711" ht="15.75" customHeight="1">
      <c r="A711" s="19" t="s">
        <v>15957</v>
      </c>
      <c r="B711" s="19" t="s">
        <v>26744</v>
      </c>
      <c r="C711" s="19" t="s">
        <v>24671</v>
      </c>
      <c r="D711" s="19" t="s">
        <v>24334</v>
      </c>
      <c r="E711" s="19" t="s">
        <v>15948</v>
      </c>
      <c r="F711" s="102" t="s">
        <v>15949</v>
      </c>
      <c r="G711" s="19" t="s">
        <v>24335</v>
      </c>
      <c r="H711" s="19" t="b">
        <v>1</v>
      </c>
      <c r="I711" s="19">
        <v>3.0</v>
      </c>
      <c r="J711" s="102" t="s">
        <v>13151</v>
      </c>
      <c r="K711" s="19" t="s">
        <v>26745</v>
      </c>
      <c r="L711" s="19">
        <v>97430.0</v>
      </c>
      <c r="M711" s="19" t="s">
        <v>71</v>
      </c>
      <c r="N711" s="103"/>
      <c r="O711" s="19" t="s">
        <v>26746</v>
      </c>
      <c r="P711" s="19" t="s">
        <v>26747</v>
      </c>
      <c r="Q711" s="19" t="s">
        <v>26748</v>
      </c>
      <c r="R711" s="104">
        <v>30836.0</v>
      </c>
      <c r="S711" s="19" t="s">
        <v>24348</v>
      </c>
      <c r="T711" s="103"/>
      <c r="U711" s="103"/>
      <c r="V711" s="103"/>
      <c r="W711" s="103"/>
      <c r="X711" s="103"/>
      <c r="Y711" s="103"/>
      <c r="Z711" s="103"/>
    </row>
    <row r="712" ht="15.75" customHeight="1">
      <c r="A712" s="19" t="s">
        <v>15718</v>
      </c>
      <c r="B712" s="19" t="s">
        <v>26113</v>
      </c>
      <c r="C712" s="19" t="s">
        <v>24650</v>
      </c>
      <c r="D712" s="19" t="s">
        <v>24344</v>
      </c>
      <c r="E712" s="19" t="s">
        <v>15710</v>
      </c>
      <c r="F712" s="102" t="s">
        <v>15711</v>
      </c>
      <c r="G712" s="19" t="s">
        <v>24335</v>
      </c>
      <c r="H712" s="19" t="b">
        <v>1</v>
      </c>
      <c r="I712" s="19">
        <v>1.0</v>
      </c>
      <c r="J712" s="102" t="s">
        <v>15945</v>
      </c>
      <c r="K712" s="19" t="s">
        <v>15708</v>
      </c>
      <c r="L712" s="19">
        <v>97418.0</v>
      </c>
      <c r="M712" s="19" t="s">
        <v>216</v>
      </c>
      <c r="N712" s="103"/>
      <c r="O712" s="19" t="s">
        <v>270</v>
      </c>
      <c r="P712" s="103"/>
      <c r="Q712" s="19" t="s">
        <v>26749</v>
      </c>
      <c r="R712" s="103"/>
      <c r="S712" s="103"/>
      <c r="T712" s="103"/>
      <c r="U712" s="103"/>
      <c r="V712" s="103"/>
      <c r="W712" s="103"/>
      <c r="X712" s="103"/>
      <c r="Y712" s="103"/>
      <c r="Z712" s="103"/>
    </row>
    <row r="713" ht="15.75" customHeight="1">
      <c r="A713" s="19" t="s">
        <v>26750</v>
      </c>
      <c r="B713" s="19" t="s">
        <v>26660</v>
      </c>
      <c r="C713" s="19" t="s">
        <v>26751</v>
      </c>
      <c r="D713" s="19" t="s">
        <v>24344</v>
      </c>
      <c r="E713" s="19" t="s">
        <v>16529</v>
      </c>
      <c r="F713" s="102" t="s">
        <v>16530</v>
      </c>
      <c r="G713" s="19" t="s">
        <v>24335</v>
      </c>
      <c r="H713" s="19" t="b">
        <v>1</v>
      </c>
      <c r="I713" s="19">
        <v>1.0</v>
      </c>
      <c r="J713" s="102" t="s">
        <v>26752</v>
      </c>
      <c r="K713" s="19" t="s">
        <v>16527</v>
      </c>
      <c r="L713" s="19">
        <v>97414.0</v>
      </c>
      <c r="M713" s="19" t="s">
        <v>40</v>
      </c>
      <c r="N713" s="103"/>
      <c r="O713" s="19" t="s">
        <v>11719</v>
      </c>
      <c r="P713" s="103"/>
      <c r="Q713" s="19" t="s">
        <v>26753</v>
      </c>
      <c r="R713" s="103"/>
      <c r="S713" s="19" t="s">
        <v>24460</v>
      </c>
      <c r="T713" s="103"/>
      <c r="U713" s="103"/>
      <c r="V713" s="103"/>
      <c r="W713" s="103"/>
      <c r="X713" s="103"/>
      <c r="Y713" s="103"/>
      <c r="Z713" s="103"/>
    </row>
    <row r="714" ht="15.75" customHeight="1">
      <c r="A714" s="19" t="s">
        <v>16550</v>
      </c>
      <c r="B714" s="19" t="s">
        <v>24612</v>
      </c>
      <c r="C714" s="19" t="s">
        <v>26754</v>
      </c>
      <c r="D714" s="19" t="s">
        <v>24344</v>
      </c>
      <c r="E714" s="19" t="s">
        <v>16544</v>
      </c>
      <c r="F714" s="102" t="s">
        <v>26755</v>
      </c>
      <c r="G714" s="19" t="s">
        <v>24335</v>
      </c>
      <c r="H714" s="19" t="b">
        <v>1</v>
      </c>
      <c r="I714" s="19">
        <v>0.0</v>
      </c>
      <c r="J714" s="19" t="s">
        <v>26756</v>
      </c>
      <c r="K714" s="19" t="s">
        <v>26757</v>
      </c>
      <c r="L714" s="19">
        <v>97430.0</v>
      </c>
      <c r="M714" s="19" t="s">
        <v>71</v>
      </c>
      <c r="N714" s="103"/>
      <c r="O714" s="19" t="s">
        <v>11834</v>
      </c>
      <c r="P714" s="103"/>
      <c r="Q714" s="19" t="s">
        <v>26758</v>
      </c>
      <c r="R714" s="104">
        <v>27973.0</v>
      </c>
      <c r="S714" s="19" t="s">
        <v>24460</v>
      </c>
      <c r="T714" s="103"/>
      <c r="U714" s="103"/>
      <c r="V714" s="103"/>
      <c r="W714" s="103"/>
      <c r="X714" s="103"/>
      <c r="Y714" s="103"/>
      <c r="Z714" s="103"/>
    </row>
    <row r="715" ht="15.75" customHeight="1">
      <c r="A715" s="19" t="s">
        <v>16209</v>
      </c>
      <c r="B715" s="19" t="s">
        <v>24352</v>
      </c>
      <c r="C715" s="19" t="s">
        <v>24577</v>
      </c>
      <c r="D715" s="19" t="s">
        <v>24344</v>
      </c>
      <c r="E715" s="19" t="s">
        <v>16203</v>
      </c>
      <c r="F715" s="102" t="s">
        <v>16204</v>
      </c>
      <c r="G715" s="19" t="s">
        <v>24335</v>
      </c>
      <c r="H715" s="19" t="b">
        <v>1</v>
      </c>
      <c r="I715" s="19">
        <v>1.0</v>
      </c>
      <c r="J715" s="102" t="s">
        <v>16188</v>
      </c>
      <c r="K715" s="19" t="s">
        <v>26759</v>
      </c>
      <c r="L715" s="19">
        <v>97480.0</v>
      </c>
      <c r="M715" s="19" t="s">
        <v>123</v>
      </c>
      <c r="N715" s="103"/>
      <c r="O715" s="19" t="s">
        <v>10502</v>
      </c>
      <c r="P715" s="103"/>
      <c r="Q715" s="19" t="s">
        <v>26760</v>
      </c>
      <c r="R715" s="104">
        <v>26479.0</v>
      </c>
      <c r="S715" s="19" t="s">
        <v>24460</v>
      </c>
      <c r="T715" s="103"/>
      <c r="U715" s="103"/>
      <c r="V715" s="103"/>
      <c r="W715" s="103"/>
      <c r="X715" s="103"/>
      <c r="Y715" s="103"/>
      <c r="Z715" s="103"/>
    </row>
    <row r="716" ht="15.75" customHeight="1">
      <c r="A716" s="19" t="s">
        <v>26761</v>
      </c>
      <c r="B716" s="19" t="s">
        <v>26762</v>
      </c>
      <c r="C716" s="19" t="s">
        <v>26762</v>
      </c>
      <c r="D716" s="19" t="s">
        <v>24344</v>
      </c>
      <c r="E716" s="19" t="s">
        <v>26763</v>
      </c>
      <c r="F716" s="102" t="s">
        <v>26764</v>
      </c>
      <c r="G716" s="19" t="s">
        <v>26432</v>
      </c>
      <c r="H716" s="103"/>
      <c r="I716" s="19">
        <v>0.0</v>
      </c>
      <c r="J716" s="102" t="s">
        <v>26765</v>
      </c>
      <c r="K716" s="19" t="s">
        <v>26766</v>
      </c>
      <c r="L716" s="19">
        <v>97490.0</v>
      </c>
      <c r="M716" s="19" t="s">
        <v>26767</v>
      </c>
      <c r="N716" s="103"/>
      <c r="O716" s="19" t="s">
        <v>26768</v>
      </c>
      <c r="P716" s="103"/>
      <c r="Q716" s="19" t="s">
        <v>26769</v>
      </c>
      <c r="R716" s="103"/>
      <c r="S716" s="103"/>
      <c r="T716" s="103"/>
      <c r="U716" s="103"/>
      <c r="V716" s="103"/>
      <c r="W716" s="103"/>
      <c r="X716" s="103"/>
      <c r="Y716" s="103"/>
      <c r="Z716" s="103"/>
    </row>
    <row r="717" ht="15.75" customHeight="1">
      <c r="A717" s="19" t="s">
        <v>16522</v>
      </c>
      <c r="B717" s="19" t="s">
        <v>26770</v>
      </c>
      <c r="C717" s="19" t="s">
        <v>26222</v>
      </c>
      <c r="D717" s="19" t="s">
        <v>24344</v>
      </c>
      <c r="E717" s="19" t="s">
        <v>16518</v>
      </c>
      <c r="F717" s="102" t="s">
        <v>16519</v>
      </c>
      <c r="G717" s="19" t="s">
        <v>24335</v>
      </c>
      <c r="H717" s="19" t="b">
        <v>1</v>
      </c>
      <c r="I717" s="19">
        <v>1.0</v>
      </c>
      <c r="J717" s="102" t="s">
        <v>16515</v>
      </c>
      <c r="K717" s="19" t="s">
        <v>16516</v>
      </c>
      <c r="L717" s="19">
        <v>97418.0</v>
      </c>
      <c r="M717" s="19" t="s">
        <v>216</v>
      </c>
      <c r="N717" s="103"/>
      <c r="O717" s="19" t="s">
        <v>12016</v>
      </c>
      <c r="P717" s="19" t="s">
        <v>26771</v>
      </c>
      <c r="Q717" s="19" t="s">
        <v>26772</v>
      </c>
      <c r="R717" s="103"/>
      <c r="S717" s="103"/>
      <c r="T717" s="103"/>
      <c r="U717" s="103"/>
      <c r="V717" s="103"/>
      <c r="W717" s="103"/>
      <c r="X717" s="103"/>
      <c r="Y717" s="103"/>
      <c r="Z717" s="103"/>
    </row>
    <row r="718" ht="15.75" customHeight="1">
      <c r="A718" s="19" t="s">
        <v>26773</v>
      </c>
      <c r="B718" s="19" t="s">
        <v>26774</v>
      </c>
      <c r="C718" s="19" t="s">
        <v>26775</v>
      </c>
      <c r="D718" s="19" t="s">
        <v>24334</v>
      </c>
      <c r="E718" s="19" t="s">
        <v>16243</v>
      </c>
      <c r="F718" s="102" t="s">
        <v>16244</v>
      </c>
      <c r="G718" s="19" t="s">
        <v>24335</v>
      </c>
      <c r="H718" s="19" t="b">
        <v>1</v>
      </c>
      <c r="I718" s="19">
        <v>1.0</v>
      </c>
      <c r="J718" s="102" t="s">
        <v>13933</v>
      </c>
      <c r="K718" s="19" t="s">
        <v>26776</v>
      </c>
      <c r="L718" s="19">
        <v>16190.0</v>
      </c>
      <c r="M718" s="19" t="s">
        <v>26777</v>
      </c>
      <c r="N718" s="103"/>
      <c r="O718" s="19" t="s">
        <v>12165</v>
      </c>
      <c r="P718" s="103"/>
      <c r="Q718" s="19" t="s">
        <v>26778</v>
      </c>
      <c r="R718" s="103"/>
      <c r="S718" s="103"/>
      <c r="T718" s="103"/>
      <c r="U718" s="103"/>
      <c r="V718" s="103"/>
      <c r="W718" s="103"/>
      <c r="X718" s="103"/>
      <c r="Y718" s="103"/>
      <c r="Z718" s="103"/>
    </row>
    <row r="719" ht="15.75" customHeight="1">
      <c r="A719" s="19" t="s">
        <v>16440</v>
      </c>
      <c r="B719" s="19" t="s">
        <v>26779</v>
      </c>
      <c r="C719" s="19" t="s">
        <v>24502</v>
      </c>
      <c r="D719" s="19" t="s">
        <v>24334</v>
      </c>
      <c r="E719" s="19" t="s">
        <v>16432</v>
      </c>
      <c r="F719" s="102" t="s">
        <v>16433</v>
      </c>
      <c r="G719" s="19" t="s">
        <v>24420</v>
      </c>
      <c r="H719" s="19" t="b">
        <v>1</v>
      </c>
      <c r="I719" s="19">
        <v>1.0</v>
      </c>
      <c r="J719" s="102" t="s">
        <v>16355</v>
      </c>
      <c r="K719" s="19" t="s">
        <v>16430</v>
      </c>
      <c r="L719" s="19">
        <v>97480.0</v>
      </c>
      <c r="M719" s="19" t="s">
        <v>123</v>
      </c>
      <c r="N719" s="103"/>
      <c r="O719" s="19" t="s">
        <v>10262</v>
      </c>
      <c r="P719" s="103"/>
      <c r="Q719" s="19" t="s">
        <v>26780</v>
      </c>
      <c r="R719" s="104">
        <v>30484.0</v>
      </c>
      <c r="S719" s="19" t="s">
        <v>24348</v>
      </c>
      <c r="T719" s="103"/>
      <c r="U719" s="103"/>
      <c r="V719" s="103"/>
      <c r="W719" s="103"/>
      <c r="X719" s="103"/>
      <c r="Y719" s="103"/>
      <c r="Z719" s="103"/>
    </row>
    <row r="720" ht="15.75" customHeight="1">
      <c r="A720" s="19" t="s">
        <v>15162</v>
      </c>
      <c r="B720" s="19" t="s">
        <v>26781</v>
      </c>
      <c r="C720" s="19" t="s">
        <v>26782</v>
      </c>
      <c r="D720" s="19" t="s">
        <v>24334</v>
      </c>
      <c r="E720" s="19" t="s">
        <v>15154</v>
      </c>
      <c r="F720" s="102" t="s">
        <v>15155</v>
      </c>
      <c r="G720" s="19" t="s">
        <v>24335</v>
      </c>
      <c r="H720" s="19" t="b">
        <v>1</v>
      </c>
      <c r="I720" s="19">
        <v>2.0</v>
      </c>
      <c r="J720" s="19" t="s">
        <v>26783</v>
      </c>
      <c r="K720" s="19" t="s">
        <v>16066</v>
      </c>
      <c r="L720" s="19">
        <v>97442.0</v>
      </c>
      <c r="M720" s="19" t="s">
        <v>33</v>
      </c>
      <c r="N720" s="103"/>
      <c r="O720" s="19" t="s">
        <v>26784</v>
      </c>
      <c r="P720" s="103"/>
      <c r="Q720" s="19" t="s">
        <v>26785</v>
      </c>
      <c r="R720" s="104">
        <v>32413.0</v>
      </c>
      <c r="S720" s="103"/>
      <c r="T720" s="103"/>
      <c r="U720" s="103"/>
      <c r="V720" s="103"/>
      <c r="W720" s="103"/>
      <c r="X720" s="103"/>
      <c r="Y720" s="103"/>
      <c r="Z720" s="103"/>
    </row>
    <row r="721" ht="15.75" customHeight="1">
      <c r="A721" s="19" t="s">
        <v>16183</v>
      </c>
      <c r="B721" s="19" t="s">
        <v>26717</v>
      </c>
      <c r="C721" s="19" t="s">
        <v>67</v>
      </c>
      <c r="D721" s="19" t="s">
        <v>24334</v>
      </c>
      <c r="E721" s="19" t="s">
        <v>16178</v>
      </c>
      <c r="F721" s="102" t="s">
        <v>16179</v>
      </c>
      <c r="G721" s="19" t="s">
        <v>24420</v>
      </c>
      <c r="H721" s="19" t="b">
        <v>1</v>
      </c>
      <c r="I721" s="19">
        <v>1.0</v>
      </c>
      <c r="J721" s="102" t="s">
        <v>16176</v>
      </c>
      <c r="K721" s="19" t="s">
        <v>16084</v>
      </c>
      <c r="L721" s="19">
        <v>97414.0</v>
      </c>
      <c r="M721" s="19" t="s">
        <v>40</v>
      </c>
      <c r="N721" s="103"/>
      <c r="O721" s="19" t="s">
        <v>11618</v>
      </c>
      <c r="P721" s="103"/>
      <c r="Q721" s="19" t="s">
        <v>26786</v>
      </c>
      <c r="R721" s="104">
        <v>30753.0</v>
      </c>
      <c r="S721" s="19" t="s">
        <v>24348</v>
      </c>
      <c r="T721" s="103"/>
      <c r="U721" s="103"/>
      <c r="V721" s="103"/>
      <c r="W721" s="103"/>
      <c r="X721" s="103"/>
      <c r="Y721" s="103"/>
      <c r="Z721" s="103"/>
    </row>
    <row r="722" ht="15.75" customHeight="1">
      <c r="A722" s="19" t="s">
        <v>15782</v>
      </c>
      <c r="B722" s="19" t="s">
        <v>25385</v>
      </c>
      <c r="C722" s="19" t="s">
        <v>26787</v>
      </c>
      <c r="D722" s="19" t="s">
        <v>24334</v>
      </c>
      <c r="E722" s="19" t="s">
        <v>15773</v>
      </c>
      <c r="F722" s="102" t="s">
        <v>15774</v>
      </c>
      <c r="G722" s="19" t="s">
        <v>24335</v>
      </c>
      <c r="H722" s="19" t="b">
        <v>1</v>
      </c>
      <c r="I722" s="19">
        <v>1.0</v>
      </c>
      <c r="J722" s="102" t="s">
        <v>15770</v>
      </c>
      <c r="K722" s="19" t="s">
        <v>15771</v>
      </c>
      <c r="L722" s="19">
        <v>97430.0</v>
      </c>
      <c r="M722" s="19" t="s">
        <v>71</v>
      </c>
      <c r="N722" s="103"/>
      <c r="O722" s="19" t="s">
        <v>11413</v>
      </c>
      <c r="P722" s="103"/>
      <c r="Q722" s="19" t="s">
        <v>26788</v>
      </c>
      <c r="R722" s="105">
        <v>24096.0</v>
      </c>
      <c r="S722" s="103"/>
      <c r="T722" s="103"/>
      <c r="U722" s="103"/>
      <c r="V722" s="103"/>
      <c r="W722" s="103"/>
      <c r="X722" s="103"/>
      <c r="Y722" s="103"/>
      <c r="Z722" s="103"/>
    </row>
    <row r="723" ht="15.75" customHeight="1">
      <c r="A723" s="19" t="s">
        <v>15927</v>
      </c>
      <c r="B723" s="19" t="s">
        <v>26789</v>
      </c>
      <c r="C723" s="19" t="s">
        <v>26790</v>
      </c>
      <c r="D723" s="19" t="s">
        <v>24344</v>
      </c>
      <c r="E723" s="19" t="s">
        <v>15919</v>
      </c>
      <c r="F723" s="102" t="s">
        <v>15920</v>
      </c>
      <c r="G723" s="19" t="s">
        <v>24420</v>
      </c>
      <c r="H723" s="19" t="b">
        <v>1</v>
      </c>
      <c r="I723" s="19">
        <v>1.0</v>
      </c>
      <c r="J723" s="19" t="s">
        <v>26791</v>
      </c>
      <c r="K723" s="19" t="s">
        <v>26792</v>
      </c>
      <c r="L723" s="19">
        <v>97442.0</v>
      </c>
      <c r="M723" s="19" t="s">
        <v>33</v>
      </c>
      <c r="N723" s="103"/>
      <c r="O723" s="19" t="s">
        <v>10709</v>
      </c>
      <c r="P723" s="19" t="s">
        <v>26793</v>
      </c>
      <c r="Q723" s="19" t="s">
        <v>26794</v>
      </c>
      <c r="R723" s="104">
        <v>27617.0</v>
      </c>
      <c r="S723" s="19" t="s">
        <v>24348</v>
      </c>
      <c r="T723" s="103"/>
      <c r="U723" s="103"/>
      <c r="V723" s="103"/>
      <c r="W723" s="103"/>
      <c r="X723" s="103"/>
      <c r="Y723" s="103"/>
      <c r="Z723" s="103"/>
    </row>
    <row r="724" ht="15.75" customHeight="1">
      <c r="A724" s="19" t="s">
        <v>15818</v>
      </c>
      <c r="B724" s="19" t="s">
        <v>26795</v>
      </c>
      <c r="C724" s="19" t="s">
        <v>26796</v>
      </c>
      <c r="D724" s="19" t="s">
        <v>24334</v>
      </c>
      <c r="E724" s="19" t="s">
        <v>15812</v>
      </c>
      <c r="F724" s="102" t="s">
        <v>15813</v>
      </c>
      <c r="G724" s="19" t="s">
        <v>24420</v>
      </c>
      <c r="H724" s="19" t="b">
        <v>1</v>
      </c>
      <c r="I724" s="19">
        <v>1.0</v>
      </c>
      <c r="J724" s="102" t="s">
        <v>12820</v>
      </c>
      <c r="K724" s="19" t="s">
        <v>15810</v>
      </c>
      <c r="L724" s="19">
        <v>97480.0</v>
      </c>
      <c r="M724" s="19" t="s">
        <v>123</v>
      </c>
      <c r="N724" s="103"/>
      <c r="O724" s="19" t="s">
        <v>12128</v>
      </c>
      <c r="P724" s="103"/>
      <c r="Q724" s="19" t="s">
        <v>26797</v>
      </c>
      <c r="R724" s="104">
        <v>24567.0</v>
      </c>
      <c r="S724" s="103"/>
      <c r="T724" s="103"/>
      <c r="U724" s="103"/>
      <c r="V724" s="103"/>
      <c r="W724" s="103"/>
      <c r="X724" s="103"/>
      <c r="Y724" s="103"/>
      <c r="Z724" s="103"/>
    </row>
    <row r="725" ht="15.75" customHeight="1">
      <c r="A725" s="19" t="s">
        <v>15390</v>
      </c>
      <c r="B725" s="19" t="s">
        <v>26798</v>
      </c>
      <c r="C725" s="19" t="s">
        <v>26799</v>
      </c>
      <c r="D725" s="19" t="s">
        <v>24344</v>
      </c>
      <c r="E725" s="19" t="s">
        <v>15386</v>
      </c>
      <c r="F725" s="102" t="s">
        <v>15387</v>
      </c>
      <c r="G725" s="19" t="s">
        <v>24420</v>
      </c>
      <c r="H725" s="19" t="b">
        <v>1</v>
      </c>
      <c r="I725" s="19">
        <v>2.0</v>
      </c>
      <c r="J725" s="102" t="s">
        <v>15383</v>
      </c>
      <c r="K725" s="19" t="s">
        <v>15888</v>
      </c>
      <c r="L725" s="19">
        <v>97480.0</v>
      </c>
      <c r="M725" s="19" t="s">
        <v>123</v>
      </c>
      <c r="N725" s="103"/>
      <c r="O725" s="19" t="s">
        <v>26800</v>
      </c>
      <c r="P725" s="103"/>
      <c r="Q725" s="19" t="s">
        <v>26801</v>
      </c>
      <c r="R725" s="104">
        <v>21385.0</v>
      </c>
      <c r="S725" s="103"/>
      <c r="T725" s="103"/>
      <c r="U725" s="103"/>
      <c r="V725" s="103"/>
      <c r="W725" s="103"/>
      <c r="X725" s="103"/>
      <c r="Y725" s="103"/>
      <c r="Z725" s="103"/>
    </row>
    <row r="726" ht="15.75" customHeight="1">
      <c r="A726" s="19" t="s">
        <v>26802</v>
      </c>
      <c r="B726" s="19" t="s">
        <v>26803</v>
      </c>
      <c r="C726" s="19" t="s">
        <v>24884</v>
      </c>
      <c r="D726" s="19" t="s">
        <v>24334</v>
      </c>
      <c r="E726" s="19" t="s">
        <v>26804</v>
      </c>
      <c r="F726" s="102" t="s">
        <v>14596</v>
      </c>
      <c r="G726" s="19" t="s">
        <v>24335</v>
      </c>
      <c r="H726" s="19" t="b">
        <v>1</v>
      </c>
      <c r="I726" s="19">
        <v>0.0</v>
      </c>
      <c r="J726" s="102" t="s">
        <v>13350</v>
      </c>
      <c r="K726" s="19" t="s">
        <v>13351</v>
      </c>
      <c r="L726" s="19">
        <v>97414.0</v>
      </c>
      <c r="M726" s="19" t="s">
        <v>40</v>
      </c>
      <c r="N726" s="103"/>
      <c r="O726" s="19" t="s">
        <v>26805</v>
      </c>
      <c r="P726" s="103"/>
      <c r="Q726" s="19" t="s">
        <v>26805</v>
      </c>
      <c r="R726" s="103"/>
      <c r="S726" s="103"/>
      <c r="T726" s="103"/>
      <c r="U726" s="103"/>
      <c r="V726" s="103"/>
      <c r="W726" s="103"/>
      <c r="X726" s="103"/>
      <c r="Y726" s="103"/>
      <c r="Z726" s="103"/>
    </row>
    <row r="727" ht="15.75" customHeight="1">
      <c r="A727" s="19" t="s">
        <v>15089</v>
      </c>
      <c r="B727" s="19" t="s">
        <v>26806</v>
      </c>
      <c r="C727" s="19" t="s">
        <v>26807</v>
      </c>
      <c r="D727" s="19" t="s">
        <v>24334</v>
      </c>
      <c r="E727" s="19" t="s">
        <v>15082</v>
      </c>
      <c r="F727" s="102" t="s">
        <v>15083</v>
      </c>
      <c r="G727" s="19" t="s">
        <v>24335</v>
      </c>
      <c r="H727" s="19" t="b">
        <v>1</v>
      </c>
      <c r="I727" s="19">
        <v>1.0</v>
      </c>
      <c r="J727" s="102" t="s">
        <v>14790</v>
      </c>
      <c r="K727" s="19" t="s">
        <v>15079</v>
      </c>
      <c r="L727" s="19">
        <v>97442.0</v>
      </c>
      <c r="M727" s="19" t="s">
        <v>33</v>
      </c>
      <c r="N727" s="103"/>
      <c r="O727" s="19" t="s">
        <v>11358</v>
      </c>
      <c r="P727" s="103"/>
      <c r="Q727" s="19" t="s">
        <v>26808</v>
      </c>
      <c r="R727" s="103"/>
      <c r="S727" s="103"/>
      <c r="T727" s="103"/>
      <c r="U727" s="103"/>
      <c r="V727" s="103"/>
      <c r="W727" s="103"/>
      <c r="X727" s="103"/>
      <c r="Y727" s="103"/>
      <c r="Z727" s="103"/>
    </row>
    <row r="728" ht="15.75" customHeight="1">
      <c r="A728" s="19" t="s">
        <v>15364</v>
      </c>
      <c r="B728" s="19" t="s">
        <v>26809</v>
      </c>
      <c r="C728" s="19" t="s">
        <v>25539</v>
      </c>
      <c r="D728" s="19" t="s">
        <v>24344</v>
      </c>
      <c r="E728" s="19" t="s">
        <v>15357</v>
      </c>
      <c r="F728" s="102" t="s">
        <v>15358</v>
      </c>
      <c r="G728" s="19" t="s">
        <v>24335</v>
      </c>
      <c r="H728" s="19" t="b">
        <v>1</v>
      </c>
      <c r="I728" s="19">
        <v>1.0</v>
      </c>
      <c r="J728" s="102" t="s">
        <v>18092</v>
      </c>
      <c r="K728" s="19" t="s">
        <v>26810</v>
      </c>
      <c r="L728" s="19">
        <v>97439.0</v>
      </c>
      <c r="M728" s="19" t="s">
        <v>26811</v>
      </c>
      <c r="N728" s="103"/>
      <c r="O728" s="19" t="s">
        <v>12004</v>
      </c>
      <c r="P728" s="103"/>
      <c r="Q728" s="19" t="s">
        <v>26812</v>
      </c>
      <c r="R728" s="105">
        <v>29185.0</v>
      </c>
      <c r="S728" s="103"/>
      <c r="T728" s="103"/>
      <c r="U728" s="103"/>
      <c r="V728" s="103"/>
      <c r="W728" s="103"/>
      <c r="X728" s="103"/>
      <c r="Y728" s="103"/>
      <c r="Z728" s="103"/>
    </row>
    <row r="729" ht="15.75" customHeight="1">
      <c r="A729" s="19" t="s">
        <v>15547</v>
      </c>
      <c r="B729" s="19" t="s">
        <v>26062</v>
      </c>
      <c r="C729" s="19" t="s">
        <v>26813</v>
      </c>
      <c r="D729" s="19" t="s">
        <v>24344</v>
      </c>
      <c r="E729" s="19" t="s">
        <v>15540</v>
      </c>
      <c r="F729" s="102" t="s">
        <v>15541</v>
      </c>
      <c r="G729" s="19" t="s">
        <v>24420</v>
      </c>
      <c r="H729" s="19" t="b">
        <v>1</v>
      </c>
      <c r="I729" s="19">
        <v>2.0</v>
      </c>
      <c r="J729" s="102" t="s">
        <v>15536</v>
      </c>
      <c r="K729" s="19" t="s">
        <v>15537</v>
      </c>
      <c r="L729" s="19">
        <v>97430.0</v>
      </c>
      <c r="M729" s="19" t="s">
        <v>15538</v>
      </c>
      <c r="N729" s="103"/>
      <c r="O729" s="19" t="s">
        <v>26814</v>
      </c>
      <c r="P729" s="19" t="s">
        <v>26815</v>
      </c>
      <c r="Q729" s="19" t="s">
        <v>26816</v>
      </c>
      <c r="R729" s="104">
        <v>21368.0</v>
      </c>
      <c r="S729" s="19" t="s">
        <v>24348</v>
      </c>
      <c r="T729" s="103"/>
      <c r="U729" s="103"/>
      <c r="V729" s="103"/>
      <c r="W729" s="103"/>
      <c r="X729" s="103"/>
      <c r="Y729" s="103"/>
      <c r="Z729" s="103"/>
    </row>
    <row r="730" ht="15.75" customHeight="1">
      <c r="A730" s="19" t="s">
        <v>14815</v>
      </c>
      <c r="B730" s="19" t="s">
        <v>25695</v>
      </c>
      <c r="C730" s="19" t="s">
        <v>26817</v>
      </c>
      <c r="D730" s="19" t="s">
        <v>24334</v>
      </c>
      <c r="E730" s="19" t="s">
        <v>14808</v>
      </c>
      <c r="F730" s="102" t="s">
        <v>14809</v>
      </c>
      <c r="G730" s="19" t="s">
        <v>24335</v>
      </c>
      <c r="H730" s="19" t="b">
        <v>1</v>
      </c>
      <c r="I730" s="19">
        <v>2.0</v>
      </c>
      <c r="J730" s="102" t="s">
        <v>26818</v>
      </c>
      <c r="K730" s="19" t="s">
        <v>26819</v>
      </c>
      <c r="L730" s="19">
        <v>97418.0</v>
      </c>
      <c r="M730" s="19" t="s">
        <v>216</v>
      </c>
      <c r="N730" s="103"/>
      <c r="O730" s="19" t="s">
        <v>26820</v>
      </c>
      <c r="P730" s="103"/>
      <c r="Q730" s="19" t="s">
        <v>26821</v>
      </c>
      <c r="R730" s="103"/>
      <c r="S730" s="103"/>
      <c r="T730" s="103"/>
      <c r="U730" s="103"/>
      <c r="V730" s="103"/>
      <c r="W730" s="103"/>
      <c r="X730" s="103"/>
      <c r="Y730" s="103"/>
      <c r="Z730" s="103"/>
    </row>
    <row r="731" ht="15.75" customHeight="1">
      <c r="A731" s="19" t="s">
        <v>12986</v>
      </c>
      <c r="B731" s="19" t="s">
        <v>26822</v>
      </c>
      <c r="C731" s="19" t="s">
        <v>26751</v>
      </c>
      <c r="D731" s="19" t="s">
        <v>24344</v>
      </c>
      <c r="E731" s="19" t="s">
        <v>12979</v>
      </c>
      <c r="F731" s="102" t="s">
        <v>12980</v>
      </c>
      <c r="G731" s="19" t="s">
        <v>24335</v>
      </c>
      <c r="H731" s="19" t="b">
        <v>1</v>
      </c>
      <c r="I731" s="19">
        <v>1.0</v>
      </c>
      <c r="J731" s="102" t="s">
        <v>15167</v>
      </c>
      <c r="K731" s="19" t="s">
        <v>26823</v>
      </c>
      <c r="L731" s="19">
        <v>97450.0</v>
      </c>
      <c r="M731" s="19" t="s">
        <v>26154</v>
      </c>
      <c r="N731" s="103"/>
      <c r="O731" s="19" t="s">
        <v>10308</v>
      </c>
      <c r="P731" s="103"/>
      <c r="Q731" s="19" t="s">
        <v>26824</v>
      </c>
      <c r="R731" s="105">
        <v>20778.0</v>
      </c>
      <c r="S731" s="103"/>
      <c r="T731" s="103"/>
      <c r="U731" s="103"/>
      <c r="V731" s="103"/>
      <c r="W731" s="103"/>
      <c r="X731" s="103"/>
      <c r="Y731" s="103"/>
      <c r="Z731" s="103"/>
    </row>
    <row r="732" ht="15.75" customHeight="1">
      <c r="A732" s="19" t="s">
        <v>14590</v>
      </c>
      <c r="B732" s="19" t="s">
        <v>24395</v>
      </c>
      <c r="C732" s="19" t="s">
        <v>26825</v>
      </c>
      <c r="D732" s="19" t="s">
        <v>24344</v>
      </c>
      <c r="E732" s="19" t="s">
        <v>14584</v>
      </c>
      <c r="F732" s="102" t="s">
        <v>14585</v>
      </c>
      <c r="G732" s="19" t="s">
        <v>24335</v>
      </c>
      <c r="H732" s="19" t="b">
        <v>1</v>
      </c>
      <c r="I732" s="19">
        <v>1.0</v>
      </c>
      <c r="J732" s="102" t="s">
        <v>13151</v>
      </c>
      <c r="K732" s="19" t="s">
        <v>26826</v>
      </c>
      <c r="L732" s="19">
        <v>97429.0</v>
      </c>
      <c r="M732" s="19" t="s">
        <v>24480</v>
      </c>
      <c r="N732" s="103"/>
      <c r="O732" s="19" t="s">
        <v>12136</v>
      </c>
      <c r="P732" s="103"/>
      <c r="Q732" s="19" t="s">
        <v>26827</v>
      </c>
      <c r="R732" s="103"/>
      <c r="S732" s="103"/>
      <c r="T732" s="103"/>
      <c r="U732" s="103"/>
      <c r="V732" s="103"/>
      <c r="W732" s="103"/>
      <c r="X732" s="103"/>
      <c r="Y732" s="103"/>
      <c r="Z732" s="103"/>
    </row>
    <row r="733" ht="15.75" customHeight="1">
      <c r="A733" s="19" t="s">
        <v>13361</v>
      </c>
      <c r="B733" s="19" t="s">
        <v>26828</v>
      </c>
      <c r="C733" s="19" t="s">
        <v>24884</v>
      </c>
      <c r="D733" s="19" t="s">
        <v>24334</v>
      </c>
      <c r="E733" s="19" t="s">
        <v>26829</v>
      </c>
      <c r="F733" s="102" t="s">
        <v>14596</v>
      </c>
      <c r="G733" s="19" t="s">
        <v>24335</v>
      </c>
      <c r="H733" s="19" t="b">
        <v>1</v>
      </c>
      <c r="I733" s="19">
        <v>2.0</v>
      </c>
      <c r="J733" s="102" t="s">
        <v>13350</v>
      </c>
      <c r="K733" s="19" t="s">
        <v>13351</v>
      </c>
      <c r="L733" s="19">
        <v>97414.0</v>
      </c>
      <c r="M733" s="19" t="s">
        <v>40</v>
      </c>
      <c r="N733" s="103"/>
      <c r="O733" s="19" t="s">
        <v>26830</v>
      </c>
      <c r="P733" s="103"/>
      <c r="Q733" s="19" t="s">
        <v>26831</v>
      </c>
      <c r="R733" s="103"/>
      <c r="S733" s="103"/>
      <c r="T733" s="103"/>
      <c r="U733" s="103"/>
      <c r="V733" s="103"/>
      <c r="W733" s="103"/>
      <c r="X733" s="103"/>
      <c r="Y733" s="103"/>
      <c r="Z733" s="103"/>
    </row>
    <row r="734" ht="15.75" customHeight="1">
      <c r="A734" s="19" t="s">
        <v>12748</v>
      </c>
      <c r="B734" s="19" t="s">
        <v>26832</v>
      </c>
      <c r="C734" s="19" t="s">
        <v>26833</v>
      </c>
      <c r="D734" s="103"/>
      <c r="E734" s="19" t="s">
        <v>12744</v>
      </c>
      <c r="F734" s="102" t="s">
        <v>12745</v>
      </c>
      <c r="G734" s="19" t="s">
        <v>24420</v>
      </c>
      <c r="H734" s="19" t="b">
        <v>0</v>
      </c>
      <c r="I734" s="19">
        <v>0.0</v>
      </c>
      <c r="J734" s="102" t="s">
        <v>12741</v>
      </c>
      <c r="K734" s="19" t="s">
        <v>12742</v>
      </c>
      <c r="L734" s="19">
        <v>97418.0</v>
      </c>
      <c r="M734" s="19" t="s">
        <v>216</v>
      </c>
      <c r="N734" s="103"/>
      <c r="O734" s="19" t="s">
        <v>10291</v>
      </c>
      <c r="P734" s="103"/>
      <c r="Q734" s="19" t="s">
        <v>26834</v>
      </c>
      <c r="R734" s="103"/>
      <c r="S734" s="19" t="s">
        <v>24348</v>
      </c>
      <c r="T734" s="103"/>
      <c r="U734" s="103"/>
      <c r="V734" s="103"/>
      <c r="W734" s="103"/>
      <c r="X734" s="103"/>
      <c r="Y734" s="103"/>
      <c r="Z734" s="103"/>
    </row>
    <row r="735" ht="15.75" customHeight="1">
      <c r="A735" s="19" t="s">
        <v>14432</v>
      </c>
      <c r="B735" s="19" t="s">
        <v>26835</v>
      </c>
      <c r="C735" s="19" t="s">
        <v>26836</v>
      </c>
      <c r="D735" s="19" t="s">
        <v>24334</v>
      </c>
      <c r="E735" s="19" t="s">
        <v>14425</v>
      </c>
      <c r="F735" s="102" t="s">
        <v>14426</v>
      </c>
      <c r="G735" s="19" t="s">
        <v>24335</v>
      </c>
      <c r="H735" s="19" t="b">
        <v>1</v>
      </c>
      <c r="I735" s="19">
        <v>1.0</v>
      </c>
      <c r="J735" s="102" t="s">
        <v>13933</v>
      </c>
      <c r="K735" s="19" t="s">
        <v>15693</v>
      </c>
      <c r="L735" s="19">
        <v>97430.0</v>
      </c>
      <c r="M735" s="19" t="s">
        <v>71</v>
      </c>
      <c r="N735" s="103"/>
      <c r="O735" s="19" t="s">
        <v>11800</v>
      </c>
      <c r="P735" s="103"/>
      <c r="Q735" s="19" t="s">
        <v>26837</v>
      </c>
      <c r="R735" s="103"/>
      <c r="S735" s="103"/>
      <c r="T735" s="103"/>
      <c r="U735" s="103"/>
      <c r="V735" s="103"/>
      <c r="W735" s="103"/>
      <c r="X735" s="103"/>
      <c r="Y735" s="103"/>
      <c r="Z735" s="103"/>
    </row>
    <row r="736" ht="15.75" customHeight="1">
      <c r="A736" s="19" t="s">
        <v>15120</v>
      </c>
      <c r="B736" s="19" t="s">
        <v>26645</v>
      </c>
      <c r="C736" s="19" t="s">
        <v>26838</v>
      </c>
      <c r="D736" s="19" t="s">
        <v>24344</v>
      </c>
      <c r="E736" s="19" t="s">
        <v>15111</v>
      </c>
      <c r="F736" s="102" t="s">
        <v>15112</v>
      </c>
      <c r="G736" s="19" t="s">
        <v>24335</v>
      </c>
      <c r="H736" s="19" t="b">
        <v>1</v>
      </c>
      <c r="I736" s="19">
        <v>1.0</v>
      </c>
      <c r="J736" s="102" t="s">
        <v>13331</v>
      </c>
      <c r="K736" s="19" t="s">
        <v>15109</v>
      </c>
      <c r="L736" s="19">
        <v>97418.0</v>
      </c>
      <c r="M736" s="19" t="s">
        <v>216</v>
      </c>
      <c r="N736" s="103"/>
      <c r="O736" s="19" t="s">
        <v>10440</v>
      </c>
      <c r="P736" s="103"/>
      <c r="Q736" s="19" t="s">
        <v>26839</v>
      </c>
      <c r="R736" s="103"/>
      <c r="S736" s="103"/>
      <c r="T736" s="103"/>
      <c r="U736" s="103"/>
      <c r="V736" s="103"/>
      <c r="W736" s="103"/>
      <c r="X736" s="103"/>
      <c r="Y736" s="103"/>
      <c r="Z736" s="103"/>
    </row>
    <row r="737" ht="15.75" customHeight="1">
      <c r="A737" s="19" t="s">
        <v>15203</v>
      </c>
      <c r="B737" s="19" t="s">
        <v>26840</v>
      </c>
      <c r="C737" s="19" t="s">
        <v>24794</v>
      </c>
      <c r="D737" s="19" t="s">
        <v>24334</v>
      </c>
      <c r="E737" s="19" t="s">
        <v>15195</v>
      </c>
      <c r="F737" s="102" t="s">
        <v>15196</v>
      </c>
      <c r="G737" s="19" t="s">
        <v>24335</v>
      </c>
      <c r="H737" s="19" t="b">
        <v>1</v>
      </c>
      <c r="I737" s="19">
        <v>1.0</v>
      </c>
      <c r="J737" s="102" t="s">
        <v>12331</v>
      </c>
      <c r="K737" s="19" t="s">
        <v>26841</v>
      </c>
      <c r="L737" s="19">
        <v>97432.0</v>
      </c>
      <c r="M737" s="19" t="s">
        <v>25835</v>
      </c>
      <c r="N737" s="103"/>
      <c r="O737" s="19" t="s">
        <v>10449</v>
      </c>
      <c r="P737" s="103"/>
      <c r="Q737" s="19" t="s">
        <v>26842</v>
      </c>
      <c r="R737" s="103"/>
      <c r="S737" s="103"/>
      <c r="T737" s="103"/>
      <c r="U737" s="103"/>
      <c r="V737" s="103"/>
      <c r="W737" s="103"/>
      <c r="X737" s="103"/>
      <c r="Y737" s="103"/>
      <c r="Z737" s="103"/>
    </row>
    <row r="738" ht="15.75" customHeight="1">
      <c r="A738" s="19" t="s">
        <v>15173</v>
      </c>
      <c r="B738" s="19" t="s">
        <v>26717</v>
      </c>
      <c r="C738" s="19" t="s">
        <v>25025</v>
      </c>
      <c r="D738" s="19" t="s">
        <v>24344</v>
      </c>
      <c r="E738" s="19" t="s">
        <v>15170</v>
      </c>
      <c r="F738" s="102" t="s">
        <v>15171</v>
      </c>
      <c r="G738" s="19" t="s">
        <v>24335</v>
      </c>
      <c r="H738" s="19" t="b">
        <v>1</v>
      </c>
      <c r="I738" s="19">
        <v>1.0</v>
      </c>
      <c r="J738" s="102" t="s">
        <v>19732</v>
      </c>
      <c r="K738" s="19" t="s">
        <v>26843</v>
      </c>
      <c r="L738" s="19">
        <v>97430.0</v>
      </c>
      <c r="M738" s="19" t="s">
        <v>71</v>
      </c>
      <c r="N738" s="103"/>
      <c r="O738" s="19" t="s">
        <v>11931</v>
      </c>
      <c r="P738" s="103"/>
      <c r="Q738" s="19" t="s">
        <v>26844</v>
      </c>
      <c r="R738" s="104">
        <v>19545.0</v>
      </c>
      <c r="S738" s="103"/>
      <c r="T738" s="103"/>
      <c r="U738" s="103"/>
      <c r="V738" s="103"/>
      <c r="W738" s="103"/>
      <c r="X738" s="103"/>
      <c r="Y738" s="103"/>
      <c r="Z738" s="103"/>
    </row>
    <row r="739" ht="15.75" customHeight="1">
      <c r="A739" s="19" t="s">
        <v>15186</v>
      </c>
      <c r="B739" s="19" t="s">
        <v>26845</v>
      </c>
      <c r="C739" s="19" t="s">
        <v>25086</v>
      </c>
      <c r="D739" s="19" t="s">
        <v>24334</v>
      </c>
      <c r="E739" s="19" t="s">
        <v>15180</v>
      </c>
      <c r="F739" s="102" t="s">
        <v>15181</v>
      </c>
      <c r="G739" s="19" t="s">
        <v>24335</v>
      </c>
      <c r="H739" s="19" t="b">
        <v>1</v>
      </c>
      <c r="I739" s="19">
        <v>1.0</v>
      </c>
      <c r="J739" s="102" t="s">
        <v>15177</v>
      </c>
      <c r="K739" s="19" t="s">
        <v>15178</v>
      </c>
      <c r="L739" s="19">
        <v>97480.0</v>
      </c>
      <c r="M739" s="19" t="s">
        <v>123</v>
      </c>
      <c r="N739" s="103"/>
      <c r="O739" s="19" t="s">
        <v>11610</v>
      </c>
      <c r="P739" s="103"/>
      <c r="Q739" s="19" t="s">
        <v>26846</v>
      </c>
      <c r="R739" s="103"/>
      <c r="S739" s="103"/>
      <c r="T739" s="103"/>
      <c r="U739" s="103"/>
      <c r="V739" s="103"/>
      <c r="W739" s="103"/>
      <c r="X739" s="103"/>
      <c r="Y739" s="103"/>
      <c r="Z739" s="103"/>
    </row>
    <row r="740" ht="15.75" customHeight="1">
      <c r="A740" s="19" t="s">
        <v>14992</v>
      </c>
      <c r="B740" s="19" t="s">
        <v>26847</v>
      </c>
      <c r="C740" s="19" t="s">
        <v>24506</v>
      </c>
      <c r="D740" s="19" t="s">
        <v>24344</v>
      </c>
      <c r="E740" s="19" t="s">
        <v>14987</v>
      </c>
      <c r="F740" s="102" t="s">
        <v>14988</v>
      </c>
      <c r="G740" s="19" t="s">
        <v>24335</v>
      </c>
      <c r="H740" s="19" t="b">
        <v>1</v>
      </c>
      <c r="I740" s="19">
        <v>1.0</v>
      </c>
      <c r="J740" s="102" t="s">
        <v>14338</v>
      </c>
      <c r="K740" s="19" t="s">
        <v>14985</v>
      </c>
      <c r="L740" s="19">
        <v>97418.0</v>
      </c>
      <c r="M740" s="19" t="s">
        <v>216</v>
      </c>
      <c r="N740" s="103"/>
      <c r="O740" s="19" t="s">
        <v>11990</v>
      </c>
      <c r="P740" s="103"/>
      <c r="Q740" s="19" t="s">
        <v>26848</v>
      </c>
      <c r="R740" s="104">
        <v>25091.0</v>
      </c>
      <c r="S740" s="19" t="s">
        <v>24348</v>
      </c>
      <c r="T740" s="103"/>
      <c r="U740" s="103"/>
      <c r="V740" s="103"/>
      <c r="W740" s="103"/>
      <c r="X740" s="103"/>
      <c r="Y740" s="103"/>
      <c r="Z740" s="103"/>
    </row>
    <row r="741" ht="15.75" customHeight="1">
      <c r="A741" s="19" t="s">
        <v>14863</v>
      </c>
      <c r="B741" s="19" t="s">
        <v>26849</v>
      </c>
      <c r="C741" s="19" t="s">
        <v>26850</v>
      </c>
      <c r="D741" s="19" t="s">
        <v>24344</v>
      </c>
      <c r="E741" s="19" t="s">
        <v>14856</v>
      </c>
      <c r="F741" s="102" t="s">
        <v>14857</v>
      </c>
      <c r="G741" s="19" t="s">
        <v>24420</v>
      </c>
      <c r="H741" s="19" t="b">
        <v>1</v>
      </c>
      <c r="I741" s="19">
        <v>1.0</v>
      </c>
      <c r="J741" s="102" t="s">
        <v>12345</v>
      </c>
      <c r="K741" s="19" t="s">
        <v>24919</v>
      </c>
      <c r="L741" s="19">
        <v>97480.0</v>
      </c>
      <c r="M741" s="19" t="s">
        <v>123</v>
      </c>
      <c r="N741" s="103"/>
      <c r="O741" s="19" t="s">
        <v>10699</v>
      </c>
      <c r="P741" s="19" t="s">
        <v>26851</v>
      </c>
      <c r="Q741" s="19" t="s">
        <v>26852</v>
      </c>
      <c r="R741" s="105">
        <v>35777.0</v>
      </c>
      <c r="S741" s="103"/>
      <c r="T741" s="103"/>
      <c r="U741" s="103"/>
      <c r="V741" s="103"/>
      <c r="W741" s="103"/>
      <c r="X741" s="103"/>
      <c r="Y741" s="103"/>
      <c r="Z741" s="103"/>
    </row>
    <row r="742" ht="15.75" customHeight="1">
      <c r="A742" s="19" t="s">
        <v>14801</v>
      </c>
      <c r="B742" s="19" t="s">
        <v>26853</v>
      </c>
      <c r="C742" s="19" t="s">
        <v>24645</v>
      </c>
      <c r="D742" s="19" t="s">
        <v>24344</v>
      </c>
      <c r="E742" s="19" t="s">
        <v>26854</v>
      </c>
      <c r="F742" s="102" t="s">
        <v>14794</v>
      </c>
      <c r="G742" s="19" t="s">
        <v>24335</v>
      </c>
      <c r="H742" s="19" t="b">
        <v>1</v>
      </c>
      <c r="I742" s="19">
        <v>1.0</v>
      </c>
      <c r="J742" s="102" t="s">
        <v>12925</v>
      </c>
      <c r="K742" s="19" t="s">
        <v>26855</v>
      </c>
      <c r="L742" s="19">
        <v>91330.0</v>
      </c>
      <c r="M742" s="19" t="s">
        <v>26856</v>
      </c>
      <c r="N742" s="103"/>
      <c r="O742" s="19" t="s">
        <v>12059</v>
      </c>
      <c r="P742" s="103"/>
      <c r="Q742" s="19" t="s">
        <v>26857</v>
      </c>
      <c r="R742" s="103"/>
      <c r="S742" s="19" t="s">
        <v>24460</v>
      </c>
      <c r="T742" s="103"/>
      <c r="U742" s="103"/>
      <c r="V742" s="103"/>
      <c r="W742" s="103"/>
      <c r="X742" s="103"/>
      <c r="Y742" s="103"/>
      <c r="Z742" s="103"/>
    </row>
    <row r="743" ht="15.75" customHeight="1">
      <c r="A743" s="19" t="s">
        <v>14512</v>
      </c>
      <c r="B743" s="19" t="s">
        <v>26858</v>
      </c>
      <c r="C743" s="19" t="s">
        <v>26859</v>
      </c>
      <c r="D743" s="19" t="s">
        <v>24344</v>
      </c>
      <c r="E743" s="19" t="s">
        <v>14508</v>
      </c>
      <c r="F743" s="102" t="s">
        <v>14509</v>
      </c>
      <c r="G743" s="19" t="s">
        <v>24335</v>
      </c>
      <c r="H743" s="19" t="b">
        <v>1</v>
      </c>
      <c r="I743" s="19">
        <v>1.0</v>
      </c>
      <c r="J743" s="19" t="s">
        <v>26860</v>
      </c>
      <c r="K743" s="19" t="s">
        <v>26861</v>
      </c>
      <c r="L743" s="19">
        <v>97414.0</v>
      </c>
      <c r="M743" s="19" t="s">
        <v>40</v>
      </c>
      <c r="N743" s="103"/>
      <c r="O743" s="19" t="s">
        <v>10398</v>
      </c>
      <c r="P743" s="103"/>
      <c r="Q743" s="19" t="s">
        <v>26862</v>
      </c>
      <c r="R743" s="103"/>
      <c r="S743" s="19" t="s">
        <v>24348</v>
      </c>
      <c r="T743" s="103"/>
      <c r="U743" s="103"/>
      <c r="V743" s="103"/>
      <c r="W743" s="103"/>
      <c r="X743" s="103"/>
      <c r="Y743" s="103"/>
      <c r="Z743" s="103"/>
    </row>
    <row r="744" ht="15.75" customHeight="1">
      <c r="A744" s="19" t="s">
        <v>14712</v>
      </c>
      <c r="B744" s="19" t="s">
        <v>26062</v>
      </c>
      <c r="C744" s="19" t="s">
        <v>24898</v>
      </c>
      <c r="D744" s="19" t="s">
        <v>24344</v>
      </c>
      <c r="E744" s="19" t="s">
        <v>14708</v>
      </c>
      <c r="F744" s="102" t="s">
        <v>14709</v>
      </c>
      <c r="G744" s="19" t="s">
        <v>24420</v>
      </c>
      <c r="H744" s="19" t="b">
        <v>1</v>
      </c>
      <c r="I744" s="19">
        <v>1.0</v>
      </c>
      <c r="J744" s="102" t="s">
        <v>14181</v>
      </c>
      <c r="K744" s="19" t="s">
        <v>26863</v>
      </c>
      <c r="L744" s="19">
        <v>97430.0</v>
      </c>
      <c r="M744" s="19" t="s">
        <v>71</v>
      </c>
      <c r="N744" s="103"/>
      <c r="O744" s="19" t="s">
        <v>10416</v>
      </c>
      <c r="P744" s="19" t="s">
        <v>26864</v>
      </c>
      <c r="Q744" s="19" t="s">
        <v>26865</v>
      </c>
      <c r="R744" s="104">
        <v>33349.0</v>
      </c>
      <c r="S744" s="19" t="s">
        <v>24348</v>
      </c>
      <c r="T744" s="103"/>
      <c r="U744" s="103"/>
      <c r="V744" s="103"/>
      <c r="W744" s="103"/>
      <c r="X744" s="103"/>
      <c r="Y744" s="103"/>
      <c r="Z744" s="103"/>
    </row>
    <row r="745" ht="15.75" customHeight="1">
      <c r="A745" s="19" t="s">
        <v>14562</v>
      </c>
      <c r="B745" s="19" t="s">
        <v>26866</v>
      </c>
      <c r="C745" s="19" t="s">
        <v>24645</v>
      </c>
      <c r="D745" s="19" t="s">
        <v>24344</v>
      </c>
      <c r="E745" s="19" t="s">
        <v>14557</v>
      </c>
      <c r="F745" s="102" t="s">
        <v>14558</v>
      </c>
      <c r="G745" s="19" t="s">
        <v>24335</v>
      </c>
      <c r="H745" s="19" t="b">
        <v>1</v>
      </c>
      <c r="I745" s="19">
        <v>1.0</v>
      </c>
      <c r="J745" s="102" t="s">
        <v>14554</v>
      </c>
      <c r="K745" s="19" t="s">
        <v>14555</v>
      </c>
      <c r="L745" s="19">
        <v>97430.0</v>
      </c>
      <c r="M745" s="19" t="s">
        <v>71</v>
      </c>
      <c r="N745" s="103"/>
      <c r="O745" s="19" t="s">
        <v>11893</v>
      </c>
      <c r="P745" s="19" t="s">
        <v>26867</v>
      </c>
      <c r="Q745" s="19" t="s">
        <v>26868</v>
      </c>
      <c r="R745" s="103"/>
      <c r="S745" s="19" t="s">
        <v>24348</v>
      </c>
      <c r="T745" s="103"/>
      <c r="U745" s="103"/>
      <c r="V745" s="103"/>
      <c r="W745" s="103"/>
      <c r="X745" s="103"/>
      <c r="Y745" s="103"/>
      <c r="Z745" s="103"/>
    </row>
    <row r="746" ht="15.75" customHeight="1">
      <c r="A746" s="19" t="s">
        <v>13889</v>
      </c>
      <c r="B746" s="19" t="s">
        <v>26869</v>
      </c>
      <c r="C746" s="19" t="s">
        <v>24556</v>
      </c>
      <c r="D746" s="19" t="s">
        <v>24334</v>
      </c>
      <c r="E746" s="19" t="s">
        <v>13880</v>
      </c>
      <c r="F746" s="102" t="s">
        <v>13881</v>
      </c>
      <c r="G746" s="19" t="s">
        <v>24420</v>
      </c>
      <c r="H746" s="19" t="b">
        <v>1</v>
      </c>
      <c r="I746" s="19">
        <v>4.0</v>
      </c>
      <c r="J746" s="102" t="s">
        <v>13876</v>
      </c>
      <c r="K746" s="19" t="s">
        <v>13877</v>
      </c>
      <c r="L746" s="19">
        <v>97480.0</v>
      </c>
      <c r="M746" s="19" t="s">
        <v>123</v>
      </c>
      <c r="N746" s="103"/>
      <c r="O746" s="19" t="s">
        <v>26870</v>
      </c>
      <c r="P746" s="103"/>
      <c r="Q746" s="19" t="s">
        <v>26871</v>
      </c>
      <c r="R746" s="104">
        <v>24590.0</v>
      </c>
      <c r="S746" s="19" t="s">
        <v>24348</v>
      </c>
      <c r="T746" s="103"/>
      <c r="U746" s="103"/>
      <c r="V746" s="103"/>
      <c r="W746" s="103"/>
      <c r="X746" s="103"/>
      <c r="Y746" s="103"/>
      <c r="Z746" s="103"/>
    </row>
    <row r="747" ht="15.75" customHeight="1">
      <c r="A747" s="19" t="s">
        <v>12730</v>
      </c>
      <c r="B747" s="19" t="s">
        <v>26872</v>
      </c>
      <c r="C747" s="19" t="s">
        <v>25420</v>
      </c>
      <c r="D747" s="19" t="s">
        <v>24334</v>
      </c>
      <c r="E747" s="19" t="s">
        <v>12723</v>
      </c>
      <c r="F747" s="102" t="s">
        <v>12724</v>
      </c>
      <c r="G747" s="19" t="s">
        <v>24335</v>
      </c>
      <c r="H747" s="19" t="b">
        <v>1</v>
      </c>
      <c r="I747" s="19">
        <v>2.0</v>
      </c>
      <c r="J747" s="102" t="s">
        <v>12720</v>
      </c>
      <c r="K747" s="19" t="s">
        <v>12721</v>
      </c>
      <c r="L747" s="19">
        <v>97480.0</v>
      </c>
      <c r="M747" s="19" t="s">
        <v>123</v>
      </c>
      <c r="N747" s="103"/>
      <c r="O747" s="19" t="s">
        <v>26873</v>
      </c>
      <c r="P747" s="103"/>
      <c r="Q747" s="19" t="s">
        <v>26874</v>
      </c>
      <c r="R747" s="103"/>
      <c r="S747" s="103"/>
      <c r="T747" s="103"/>
      <c r="U747" s="103"/>
      <c r="V747" s="103"/>
      <c r="W747" s="103"/>
      <c r="X747" s="103"/>
      <c r="Y747" s="103"/>
      <c r="Z747" s="103"/>
    </row>
    <row r="748" ht="15.75" customHeight="1">
      <c r="A748" s="19" t="s">
        <v>14502</v>
      </c>
      <c r="B748" s="19" t="s">
        <v>26875</v>
      </c>
      <c r="C748" s="19" t="s">
        <v>26876</v>
      </c>
      <c r="D748" s="19" t="s">
        <v>24334</v>
      </c>
      <c r="E748" s="19" t="s">
        <v>14497</v>
      </c>
      <c r="F748" s="103"/>
      <c r="G748" s="19" t="s">
        <v>24335</v>
      </c>
      <c r="H748" s="19" t="b">
        <v>1</v>
      </c>
      <c r="I748" s="19">
        <v>1.0</v>
      </c>
      <c r="J748" s="102" t="s">
        <v>14494</v>
      </c>
      <c r="K748" s="19" t="s">
        <v>14495</v>
      </c>
      <c r="L748" s="19">
        <v>97430.0</v>
      </c>
      <c r="M748" s="19" t="s">
        <v>71</v>
      </c>
      <c r="N748" s="103"/>
      <c r="O748" s="19" t="s">
        <v>10396</v>
      </c>
      <c r="P748" s="103"/>
      <c r="Q748" s="19" t="s">
        <v>26877</v>
      </c>
      <c r="R748" s="103"/>
      <c r="S748" s="19" t="s">
        <v>24348</v>
      </c>
      <c r="T748" s="103"/>
      <c r="U748" s="103"/>
      <c r="V748" s="103"/>
      <c r="W748" s="103"/>
      <c r="X748" s="103"/>
      <c r="Y748" s="103"/>
      <c r="Z748" s="103"/>
    </row>
    <row r="749" ht="15.75" customHeight="1">
      <c r="A749" s="19" t="s">
        <v>14475</v>
      </c>
      <c r="B749" s="19" t="s">
        <v>26605</v>
      </c>
      <c r="C749" s="19" t="s">
        <v>24947</v>
      </c>
      <c r="D749" s="19" t="s">
        <v>24344</v>
      </c>
      <c r="E749" s="19" t="s">
        <v>14468</v>
      </c>
      <c r="F749" s="102" t="s">
        <v>14469</v>
      </c>
      <c r="G749" s="19" t="s">
        <v>24390</v>
      </c>
      <c r="H749" s="19" t="b">
        <v>1</v>
      </c>
      <c r="I749" s="19">
        <v>1.0</v>
      </c>
      <c r="J749" s="102" t="s">
        <v>14465</v>
      </c>
      <c r="K749" s="19" t="s">
        <v>14466</v>
      </c>
      <c r="L749" s="19">
        <v>97430.0</v>
      </c>
      <c r="M749" s="19" t="s">
        <v>71</v>
      </c>
      <c r="N749" s="103"/>
      <c r="O749" s="19" t="s">
        <v>12180</v>
      </c>
      <c r="P749" s="103"/>
      <c r="Q749" s="19" t="s">
        <v>26878</v>
      </c>
      <c r="R749" s="104">
        <v>17838.0</v>
      </c>
      <c r="S749" s="103"/>
      <c r="T749" s="103"/>
      <c r="U749" s="103"/>
      <c r="V749" s="103"/>
      <c r="W749" s="103"/>
      <c r="X749" s="103"/>
      <c r="Y749" s="103"/>
      <c r="Z749" s="103"/>
    </row>
    <row r="750" ht="15.75" customHeight="1">
      <c r="A750" s="19" t="s">
        <v>13068</v>
      </c>
      <c r="B750" s="19" t="s">
        <v>26879</v>
      </c>
      <c r="C750" s="19" t="s">
        <v>24824</v>
      </c>
      <c r="D750" s="19" t="s">
        <v>24334</v>
      </c>
      <c r="E750" s="19" t="s">
        <v>13060</v>
      </c>
      <c r="F750" s="102" t="s">
        <v>13061</v>
      </c>
      <c r="G750" s="19" t="s">
        <v>24420</v>
      </c>
      <c r="H750" s="19" t="b">
        <v>0</v>
      </c>
      <c r="I750" s="19">
        <v>0.0</v>
      </c>
      <c r="J750" s="19" t="s">
        <v>26880</v>
      </c>
      <c r="K750" s="19" t="s">
        <v>13057</v>
      </c>
      <c r="L750" s="19">
        <v>97430.0</v>
      </c>
      <c r="M750" s="19" t="s">
        <v>71</v>
      </c>
      <c r="N750" s="103"/>
      <c r="O750" s="19" t="s">
        <v>10312</v>
      </c>
      <c r="P750" s="103"/>
      <c r="Q750" s="19" t="s">
        <v>26881</v>
      </c>
      <c r="R750" s="104">
        <v>25150.0</v>
      </c>
      <c r="S750" s="103"/>
      <c r="T750" s="103"/>
      <c r="U750" s="103"/>
      <c r="V750" s="103"/>
      <c r="W750" s="103"/>
      <c r="X750" s="103"/>
      <c r="Y750" s="103"/>
      <c r="Z750" s="103"/>
    </row>
    <row r="751" ht="15.75" customHeight="1">
      <c r="A751" s="19" t="s">
        <v>14110</v>
      </c>
      <c r="B751" s="19" t="s">
        <v>26882</v>
      </c>
      <c r="C751" s="19" t="s">
        <v>25043</v>
      </c>
      <c r="D751" s="19" t="s">
        <v>24334</v>
      </c>
      <c r="E751" s="19" t="s">
        <v>14103</v>
      </c>
      <c r="F751" s="102" t="s">
        <v>14104</v>
      </c>
      <c r="G751" s="19" t="s">
        <v>24420</v>
      </c>
      <c r="H751" s="19" t="b">
        <v>1</v>
      </c>
      <c r="I751" s="19">
        <v>1.0</v>
      </c>
      <c r="J751" s="102" t="s">
        <v>13948</v>
      </c>
      <c r="K751" s="19" t="s">
        <v>14101</v>
      </c>
      <c r="L751" s="19">
        <v>97430.0</v>
      </c>
      <c r="M751" s="19" t="s">
        <v>71</v>
      </c>
      <c r="N751" s="103"/>
      <c r="O751" s="19" t="s">
        <v>269</v>
      </c>
      <c r="P751" s="103"/>
      <c r="Q751" s="19" t="s">
        <v>26883</v>
      </c>
      <c r="R751" s="104">
        <v>25399.0</v>
      </c>
      <c r="S751" s="19" t="s">
        <v>24348</v>
      </c>
      <c r="T751" s="103"/>
      <c r="U751" s="103"/>
      <c r="V751" s="103"/>
      <c r="W751" s="103"/>
      <c r="X751" s="103"/>
      <c r="Y751" s="103"/>
      <c r="Z751" s="103"/>
    </row>
    <row r="752" ht="15.75" customHeight="1">
      <c r="A752" s="19" t="s">
        <v>14333</v>
      </c>
      <c r="B752" s="19" t="s">
        <v>26884</v>
      </c>
      <c r="C752" s="19" t="s">
        <v>26541</v>
      </c>
      <c r="D752" s="19" t="s">
        <v>24334</v>
      </c>
      <c r="E752" s="19" t="s">
        <v>26885</v>
      </c>
      <c r="F752" s="102" t="s">
        <v>26886</v>
      </c>
      <c r="G752" s="19" t="s">
        <v>24390</v>
      </c>
      <c r="H752" s="19" t="b">
        <v>1</v>
      </c>
      <c r="I752" s="19">
        <v>1.0</v>
      </c>
      <c r="J752" s="19" t="s">
        <v>26887</v>
      </c>
      <c r="K752" s="19" t="s">
        <v>26888</v>
      </c>
      <c r="L752" s="19">
        <v>59800.0</v>
      </c>
      <c r="M752" s="19" t="s">
        <v>26889</v>
      </c>
      <c r="N752" s="103"/>
      <c r="O752" s="19" t="s">
        <v>11708</v>
      </c>
      <c r="P752" s="103"/>
      <c r="Q752" s="19" t="s">
        <v>26890</v>
      </c>
      <c r="R752" s="105">
        <v>30985.0</v>
      </c>
      <c r="S752" s="103"/>
      <c r="T752" s="103"/>
      <c r="U752" s="103"/>
      <c r="V752" s="103"/>
      <c r="W752" s="103"/>
      <c r="X752" s="103"/>
      <c r="Y752" s="103"/>
      <c r="Z752" s="103"/>
    </row>
    <row r="753" ht="15.75" customHeight="1">
      <c r="A753" s="19" t="s">
        <v>14262</v>
      </c>
      <c r="B753" s="19" t="s">
        <v>24700</v>
      </c>
      <c r="C753" s="19" t="s">
        <v>24750</v>
      </c>
      <c r="D753" s="19" t="s">
        <v>24334</v>
      </c>
      <c r="E753" s="19" t="s">
        <v>14254</v>
      </c>
      <c r="F753" s="102" t="s">
        <v>14255</v>
      </c>
      <c r="G753" s="19" t="s">
        <v>24335</v>
      </c>
      <c r="H753" s="19" t="b">
        <v>1</v>
      </c>
      <c r="I753" s="19">
        <v>1.0</v>
      </c>
      <c r="J753" s="102" t="s">
        <v>14251</v>
      </c>
      <c r="K753" s="19" t="s">
        <v>14252</v>
      </c>
      <c r="L753" s="19">
        <v>97414.0</v>
      </c>
      <c r="M753" s="19" t="s">
        <v>40</v>
      </c>
      <c r="N753" s="103"/>
      <c r="O753" s="19" t="s">
        <v>11674</v>
      </c>
      <c r="P753" s="103"/>
      <c r="Q753" s="19" t="s">
        <v>26891</v>
      </c>
      <c r="R753" s="104">
        <v>26072.0</v>
      </c>
      <c r="S753" s="103"/>
      <c r="T753" s="103"/>
      <c r="U753" s="103"/>
      <c r="V753" s="103"/>
      <c r="W753" s="103"/>
      <c r="X753" s="103"/>
      <c r="Y753" s="103"/>
      <c r="Z753" s="103"/>
    </row>
    <row r="754" ht="15.75" customHeight="1">
      <c r="A754" s="19" t="s">
        <v>14348</v>
      </c>
      <c r="B754" s="19" t="s">
        <v>26892</v>
      </c>
      <c r="C754" s="19" t="s">
        <v>181</v>
      </c>
      <c r="D754" s="19" t="s">
        <v>24334</v>
      </c>
      <c r="E754" s="19" t="s">
        <v>14341</v>
      </c>
      <c r="F754" s="102" t="s">
        <v>14342</v>
      </c>
      <c r="G754" s="19" t="s">
        <v>24420</v>
      </c>
      <c r="H754" s="19" t="b">
        <v>1</v>
      </c>
      <c r="I754" s="19">
        <v>1.0</v>
      </c>
      <c r="J754" s="102" t="s">
        <v>14338</v>
      </c>
      <c r="K754" s="19" t="s">
        <v>23048</v>
      </c>
      <c r="L754" s="19">
        <v>97414.0</v>
      </c>
      <c r="M754" s="19" t="s">
        <v>40</v>
      </c>
      <c r="N754" s="103"/>
      <c r="O754" s="19" t="s">
        <v>10233</v>
      </c>
      <c r="P754" s="19" t="s">
        <v>26893</v>
      </c>
      <c r="Q754" s="19" t="s">
        <v>26894</v>
      </c>
      <c r="R754" s="103"/>
      <c r="S754" s="103"/>
      <c r="T754" s="103"/>
      <c r="U754" s="103"/>
      <c r="V754" s="103"/>
      <c r="W754" s="103"/>
      <c r="X754" s="103"/>
      <c r="Y754" s="103"/>
      <c r="Z754" s="103"/>
    </row>
    <row r="755" ht="15.75" customHeight="1">
      <c r="A755" s="19" t="s">
        <v>12936</v>
      </c>
      <c r="B755" s="19" t="s">
        <v>26062</v>
      </c>
      <c r="C755" s="19" t="s">
        <v>26895</v>
      </c>
      <c r="D755" s="19" t="s">
        <v>24334</v>
      </c>
      <c r="E755" s="19" t="s">
        <v>12928</v>
      </c>
      <c r="F755" s="102" t="s">
        <v>12929</v>
      </c>
      <c r="G755" s="19" t="s">
        <v>24390</v>
      </c>
      <c r="H755" s="19" t="b">
        <v>1</v>
      </c>
      <c r="I755" s="19">
        <v>1.0</v>
      </c>
      <c r="J755" s="102" t="s">
        <v>14580</v>
      </c>
      <c r="K755" s="19" t="s">
        <v>26896</v>
      </c>
      <c r="L755" s="19">
        <v>97480.0</v>
      </c>
      <c r="M755" s="19" t="s">
        <v>123</v>
      </c>
      <c r="N755" s="103"/>
      <c r="O755" s="19" t="s">
        <v>10781</v>
      </c>
      <c r="P755" s="103"/>
      <c r="Q755" s="19" t="s">
        <v>26897</v>
      </c>
      <c r="R755" s="104">
        <v>28727.0</v>
      </c>
      <c r="S755" s="103"/>
      <c r="T755" s="103"/>
      <c r="U755" s="103"/>
      <c r="V755" s="103"/>
      <c r="W755" s="103"/>
      <c r="X755" s="103"/>
      <c r="Y755" s="103"/>
      <c r="Z755" s="103"/>
    </row>
    <row r="756" ht="15.75" customHeight="1">
      <c r="A756" s="19" t="s">
        <v>14023</v>
      </c>
      <c r="B756" s="19" t="s">
        <v>26898</v>
      </c>
      <c r="C756" s="19" t="s">
        <v>24739</v>
      </c>
      <c r="D756" s="19" t="s">
        <v>24344</v>
      </c>
      <c r="E756" s="19" t="s">
        <v>14016</v>
      </c>
      <c r="F756" s="102" t="s">
        <v>14017</v>
      </c>
      <c r="G756" s="19" t="s">
        <v>24390</v>
      </c>
      <c r="H756" s="19" t="b">
        <v>1</v>
      </c>
      <c r="I756" s="19">
        <v>2.0</v>
      </c>
      <c r="J756" s="19" t="s">
        <v>26899</v>
      </c>
      <c r="K756" s="19" t="s">
        <v>26900</v>
      </c>
      <c r="L756" s="19">
        <v>97450.0</v>
      </c>
      <c r="M756" s="19" t="s">
        <v>26154</v>
      </c>
      <c r="N756" s="103"/>
      <c r="O756" s="19" t="s">
        <v>26901</v>
      </c>
      <c r="P756" s="19" t="s">
        <v>26902</v>
      </c>
      <c r="Q756" s="19" t="s">
        <v>26903</v>
      </c>
      <c r="R756" s="104">
        <v>32819.0</v>
      </c>
      <c r="S756" s="103"/>
      <c r="T756" s="103"/>
      <c r="U756" s="103"/>
      <c r="V756" s="103"/>
      <c r="W756" s="103"/>
      <c r="X756" s="103"/>
      <c r="Y756" s="103"/>
      <c r="Z756" s="103"/>
    </row>
    <row r="757" ht="15.75" customHeight="1">
      <c r="A757" s="102" t="s">
        <v>26904</v>
      </c>
      <c r="B757" s="19" t="s">
        <v>26905</v>
      </c>
      <c r="C757" s="19" t="s">
        <v>26906</v>
      </c>
      <c r="D757" s="19" t="s">
        <v>24334</v>
      </c>
      <c r="E757" s="19" t="s">
        <v>12388</v>
      </c>
      <c r="F757" s="102" t="s">
        <v>12389</v>
      </c>
      <c r="G757" s="19" t="s">
        <v>24335</v>
      </c>
      <c r="H757" s="19" t="b">
        <v>0</v>
      </c>
      <c r="I757" s="19">
        <v>1.0</v>
      </c>
      <c r="J757" s="19" t="s">
        <v>26907</v>
      </c>
      <c r="K757" s="19" t="s">
        <v>26908</v>
      </c>
      <c r="L757" s="19">
        <v>97421.0</v>
      </c>
      <c r="M757" s="19" t="s">
        <v>26154</v>
      </c>
      <c r="N757" s="103"/>
      <c r="O757" s="19" t="s">
        <v>10269</v>
      </c>
      <c r="P757" s="103"/>
      <c r="Q757" s="19" t="s">
        <v>26909</v>
      </c>
      <c r="R757" s="105">
        <v>29948.0</v>
      </c>
      <c r="S757" s="19" t="s">
        <v>24460</v>
      </c>
      <c r="T757" s="103"/>
      <c r="U757" s="103"/>
      <c r="V757" s="103"/>
      <c r="W757" s="103"/>
      <c r="X757" s="103"/>
      <c r="Y757" s="103"/>
      <c r="Z757" s="103"/>
    </row>
    <row r="758" ht="15.75" customHeight="1">
      <c r="A758" s="19" t="s">
        <v>26910</v>
      </c>
      <c r="B758" s="19" t="s">
        <v>26911</v>
      </c>
      <c r="C758" s="19" t="s">
        <v>26912</v>
      </c>
      <c r="D758" s="19" t="s">
        <v>24334</v>
      </c>
      <c r="E758" s="19" t="s">
        <v>26913</v>
      </c>
      <c r="F758" s="102" t="s">
        <v>26914</v>
      </c>
      <c r="G758" s="19" t="s">
        <v>26432</v>
      </c>
      <c r="H758" s="19" t="b">
        <v>1</v>
      </c>
      <c r="I758" s="19">
        <v>0.0</v>
      </c>
      <c r="J758" s="102" t="s">
        <v>14838</v>
      </c>
      <c r="K758" s="19" t="s">
        <v>26915</v>
      </c>
      <c r="L758" s="19">
        <v>97480.0</v>
      </c>
      <c r="M758" s="19" t="s">
        <v>123</v>
      </c>
      <c r="N758" s="103"/>
      <c r="O758" s="19" t="s">
        <v>26916</v>
      </c>
      <c r="P758" s="103"/>
      <c r="Q758" s="19" t="s">
        <v>26917</v>
      </c>
      <c r="R758" s="103"/>
      <c r="S758" s="19" t="s">
        <v>24348</v>
      </c>
      <c r="T758" s="103"/>
      <c r="U758" s="103"/>
      <c r="V758" s="103"/>
      <c r="W758" s="103"/>
      <c r="X758" s="103"/>
      <c r="Y758" s="103"/>
      <c r="Z758" s="103"/>
    </row>
    <row r="759" ht="15.75" customHeight="1">
      <c r="A759" s="19" t="s">
        <v>13871</v>
      </c>
      <c r="B759" s="19" t="s">
        <v>24373</v>
      </c>
      <c r="C759" s="19" t="s">
        <v>24468</v>
      </c>
      <c r="D759" s="19" t="s">
        <v>24344</v>
      </c>
      <c r="E759" s="19" t="s">
        <v>13862</v>
      </c>
      <c r="F759" s="102" t="s">
        <v>13863</v>
      </c>
      <c r="G759" s="19" t="s">
        <v>24420</v>
      </c>
      <c r="H759" s="19" t="b">
        <v>1</v>
      </c>
      <c r="I759" s="19">
        <v>1.0</v>
      </c>
      <c r="J759" s="102" t="s">
        <v>13859</v>
      </c>
      <c r="K759" s="19" t="s">
        <v>13860</v>
      </c>
      <c r="L759" s="19">
        <v>97418.0</v>
      </c>
      <c r="M759" s="19" t="s">
        <v>71</v>
      </c>
      <c r="N759" s="103"/>
      <c r="O759" s="19" t="s">
        <v>26918</v>
      </c>
      <c r="P759" s="103"/>
      <c r="Q759" s="19" t="s">
        <v>26919</v>
      </c>
      <c r="R759" s="103"/>
      <c r="S759" s="103"/>
      <c r="T759" s="103"/>
      <c r="U759" s="103"/>
      <c r="V759" s="103"/>
      <c r="W759" s="103"/>
      <c r="X759" s="103"/>
      <c r="Y759" s="103"/>
      <c r="Z759" s="103"/>
    </row>
    <row r="760" ht="15.75" customHeight="1">
      <c r="A760" s="19" t="s">
        <v>12599</v>
      </c>
      <c r="B760" s="19" t="s">
        <v>26062</v>
      </c>
      <c r="C760" s="19" t="s">
        <v>26920</v>
      </c>
      <c r="D760" s="19" t="s">
        <v>24344</v>
      </c>
      <c r="E760" s="19" t="s">
        <v>12592</v>
      </c>
      <c r="F760" s="102" t="s">
        <v>12593</v>
      </c>
      <c r="G760" s="19" t="s">
        <v>24335</v>
      </c>
      <c r="H760" s="19" t="b">
        <v>1</v>
      </c>
      <c r="I760" s="19">
        <v>2.0</v>
      </c>
      <c r="J760" s="102" t="s">
        <v>26921</v>
      </c>
      <c r="K760" s="19" t="s">
        <v>26922</v>
      </c>
      <c r="L760" s="19">
        <v>97430.0</v>
      </c>
      <c r="M760" s="19" t="s">
        <v>71</v>
      </c>
      <c r="N760" s="103"/>
      <c r="O760" s="19" t="s">
        <v>26923</v>
      </c>
      <c r="P760" s="103"/>
      <c r="Q760" s="19" t="s">
        <v>26924</v>
      </c>
      <c r="R760" s="103"/>
      <c r="S760" s="19" t="s">
        <v>24460</v>
      </c>
      <c r="T760" s="103"/>
      <c r="U760" s="103"/>
      <c r="V760" s="103"/>
      <c r="W760" s="103"/>
      <c r="X760" s="103"/>
      <c r="Y760" s="103"/>
      <c r="Z760" s="103"/>
    </row>
    <row r="761" ht="15.75" customHeight="1">
      <c r="A761" s="19" t="s">
        <v>13685</v>
      </c>
      <c r="B761" s="19" t="s">
        <v>25695</v>
      </c>
      <c r="C761" s="19" t="s">
        <v>26925</v>
      </c>
      <c r="D761" s="19" t="s">
        <v>24334</v>
      </c>
      <c r="E761" s="19" t="s">
        <v>13677</v>
      </c>
      <c r="F761" s="102" t="s">
        <v>13678</v>
      </c>
      <c r="G761" s="19" t="s">
        <v>24335</v>
      </c>
      <c r="H761" s="19" t="b">
        <v>1</v>
      </c>
      <c r="I761" s="19">
        <v>1.0</v>
      </c>
      <c r="J761" s="19" t="s">
        <v>13674</v>
      </c>
      <c r="K761" s="19" t="s">
        <v>13675</v>
      </c>
      <c r="L761" s="19">
        <v>97430.0</v>
      </c>
      <c r="M761" s="19" t="s">
        <v>71</v>
      </c>
      <c r="N761" s="103"/>
      <c r="O761" s="19" t="s">
        <v>264</v>
      </c>
      <c r="P761" s="103"/>
      <c r="Q761" s="19" t="s">
        <v>26926</v>
      </c>
      <c r="R761" s="105">
        <v>20046.0</v>
      </c>
      <c r="S761" s="103"/>
      <c r="T761" s="103"/>
      <c r="U761" s="103"/>
      <c r="V761" s="103"/>
      <c r="W761" s="103"/>
      <c r="X761" s="103"/>
      <c r="Y761" s="103"/>
      <c r="Z761" s="103"/>
    </row>
    <row r="762" ht="15.75" customHeight="1">
      <c r="A762" s="19" t="s">
        <v>13579</v>
      </c>
      <c r="B762" s="19" t="s">
        <v>26927</v>
      </c>
      <c r="C762" s="19" t="s">
        <v>26928</v>
      </c>
      <c r="D762" s="19" t="s">
        <v>24334</v>
      </c>
      <c r="E762" s="19" t="s">
        <v>13575</v>
      </c>
      <c r="F762" s="102" t="s">
        <v>13576</v>
      </c>
      <c r="G762" s="19" t="s">
        <v>24335</v>
      </c>
      <c r="H762" s="19" t="b">
        <v>1</v>
      </c>
      <c r="I762" s="19">
        <v>1.0</v>
      </c>
      <c r="J762" s="102" t="s">
        <v>13573</v>
      </c>
      <c r="K762" s="19" t="s">
        <v>13218</v>
      </c>
      <c r="L762" s="19">
        <v>97418.0</v>
      </c>
      <c r="M762" s="19" t="s">
        <v>71</v>
      </c>
      <c r="N762" s="103"/>
      <c r="O762" s="19" t="s">
        <v>10347</v>
      </c>
      <c r="P762" s="103"/>
      <c r="Q762" s="19" t="s">
        <v>26929</v>
      </c>
      <c r="R762" s="103"/>
      <c r="S762" s="103"/>
      <c r="T762" s="103"/>
      <c r="U762" s="103"/>
      <c r="V762" s="103"/>
      <c r="W762" s="103"/>
      <c r="X762" s="103"/>
      <c r="Y762" s="103"/>
      <c r="Z762" s="103"/>
    </row>
    <row r="763" ht="15.75" customHeight="1">
      <c r="A763" s="19" t="s">
        <v>12625</v>
      </c>
      <c r="B763" s="19" t="s">
        <v>26930</v>
      </c>
      <c r="C763" s="19" t="s">
        <v>26931</v>
      </c>
      <c r="D763" s="19" t="s">
        <v>24344</v>
      </c>
      <c r="E763" s="19" t="s">
        <v>26932</v>
      </c>
      <c r="F763" s="102" t="s">
        <v>26933</v>
      </c>
      <c r="G763" s="19" t="s">
        <v>24335</v>
      </c>
      <c r="H763" s="19" t="b">
        <v>1</v>
      </c>
      <c r="I763" s="19">
        <v>2.0</v>
      </c>
      <c r="J763" s="102" t="s">
        <v>15301</v>
      </c>
      <c r="K763" s="19" t="s">
        <v>26934</v>
      </c>
      <c r="L763" s="19">
        <v>97432.0</v>
      </c>
      <c r="M763" s="19" t="s">
        <v>25835</v>
      </c>
      <c r="N763" s="103"/>
      <c r="O763" s="19" t="s">
        <v>26935</v>
      </c>
      <c r="P763" s="103"/>
      <c r="Q763" s="19" t="s">
        <v>26936</v>
      </c>
      <c r="R763" s="103"/>
      <c r="S763" s="19" t="s">
        <v>24460</v>
      </c>
      <c r="T763" s="103"/>
      <c r="U763" s="103"/>
      <c r="V763" s="103"/>
      <c r="W763" s="103"/>
      <c r="X763" s="103"/>
      <c r="Y763" s="103"/>
      <c r="Z763" s="103"/>
    </row>
    <row r="764" ht="15.75" customHeight="1">
      <c r="A764" s="19" t="s">
        <v>12815</v>
      </c>
      <c r="B764" s="19" t="s">
        <v>26937</v>
      </c>
      <c r="C764" s="19" t="s">
        <v>21</v>
      </c>
      <c r="D764" s="19" t="s">
        <v>24344</v>
      </c>
      <c r="E764" s="19" t="s">
        <v>12808</v>
      </c>
      <c r="F764" s="102" t="s">
        <v>26938</v>
      </c>
      <c r="G764" s="19" t="s">
        <v>24335</v>
      </c>
      <c r="H764" s="19" t="b">
        <v>0</v>
      </c>
      <c r="I764" s="19">
        <v>1.0</v>
      </c>
      <c r="J764" s="102" t="s">
        <v>13183</v>
      </c>
      <c r="K764" s="19" t="s">
        <v>26939</v>
      </c>
      <c r="L764" s="19">
        <v>30150.0</v>
      </c>
      <c r="M764" s="19" t="s">
        <v>26940</v>
      </c>
      <c r="N764" s="103"/>
      <c r="O764" s="19" t="s">
        <v>12100</v>
      </c>
      <c r="P764" s="103"/>
      <c r="Q764" s="19" t="s">
        <v>26941</v>
      </c>
      <c r="R764" s="104">
        <v>27220.0</v>
      </c>
      <c r="S764" s="103"/>
      <c r="T764" s="103"/>
      <c r="U764" s="103"/>
      <c r="V764" s="103"/>
      <c r="W764" s="103"/>
      <c r="X764" s="103"/>
      <c r="Y764" s="103"/>
      <c r="Z764" s="103"/>
    </row>
    <row r="765" ht="15.75" customHeight="1">
      <c r="A765" s="19" t="s">
        <v>13425</v>
      </c>
      <c r="B765" s="19" t="s">
        <v>25695</v>
      </c>
      <c r="C765" s="19" t="s">
        <v>26942</v>
      </c>
      <c r="D765" s="19" t="s">
        <v>24344</v>
      </c>
      <c r="E765" s="19" t="s">
        <v>13417</v>
      </c>
      <c r="F765" s="102" t="s">
        <v>13418</v>
      </c>
      <c r="G765" s="19" t="s">
        <v>24335</v>
      </c>
      <c r="H765" s="19" t="b">
        <v>1</v>
      </c>
      <c r="I765" s="19">
        <v>2.0</v>
      </c>
      <c r="J765" s="102" t="s">
        <v>26943</v>
      </c>
      <c r="K765" s="19" t="s">
        <v>14288</v>
      </c>
      <c r="L765" s="19">
        <v>97430.0</v>
      </c>
      <c r="M765" s="19" t="s">
        <v>71</v>
      </c>
      <c r="N765" s="103"/>
      <c r="O765" s="19" t="s">
        <v>26944</v>
      </c>
      <c r="P765" s="103"/>
      <c r="Q765" s="19" t="s">
        <v>26945</v>
      </c>
      <c r="R765" s="103"/>
      <c r="S765" s="19" t="s">
        <v>24348</v>
      </c>
      <c r="T765" s="103"/>
      <c r="U765" s="103"/>
      <c r="V765" s="103"/>
      <c r="W765" s="103"/>
      <c r="X765" s="103"/>
      <c r="Y765" s="103"/>
      <c r="Z765" s="103"/>
    </row>
    <row r="766" ht="15.75" customHeight="1">
      <c r="A766" s="19" t="s">
        <v>13212</v>
      </c>
      <c r="B766" s="19" t="s">
        <v>26946</v>
      </c>
      <c r="C766" s="19" t="s">
        <v>26000</v>
      </c>
      <c r="D766" s="19" t="s">
        <v>24334</v>
      </c>
      <c r="E766" s="19" t="s">
        <v>13202</v>
      </c>
      <c r="F766" s="102" t="s">
        <v>13203</v>
      </c>
      <c r="G766" s="19" t="s">
        <v>24390</v>
      </c>
      <c r="H766" s="19" t="b">
        <v>1</v>
      </c>
      <c r="I766" s="19">
        <v>1.0</v>
      </c>
      <c r="J766" s="102" t="s">
        <v>13933</v>
      </c>
      <c r="K766" s="19" t="s">
        <v>13200</v>
      </c>
      <c r="L766" s="19">
        <v>97414.0</v>
      </c>
      <c r="M766" s="19" t="s">
        <v>40</v>
      </c>
      <c r="N766" s="103"/>
      <c r="O766" s="19" t="s">
        <v>10320</v>
      </c>
      <c r="P766" s="103"/>
      <c r="Q766" s="19" t="s">
        <v>26947</v>
      </c>
      <c r="R766" s="103"/>
      <c r="S766" s="19" t="s">
        <v>24460</v>
      </c>
      <c r="T766" s="103"/>
      <c r="U766" s="103"/>
      <c r="V766" s="103"/>
      <c r="W766" s="103"/>
      <c r="X766" s="103"/>
      <c r="Y766" s="103"/>
      <c r="Z766" s="103"/>
    </row>
    <row r="767" ht="15.75" customHeight="1">
      <c r="A767" s="19" t="s">
        <v>12480</v>
      </c>
      <c r="B767" s="19" t="s">
        <v>26078</v>
      </c>
      <c r="C767" s="19" t="s">
        <v>26825</v>
      </c>
      <c r="D767" s="19" t="s">
        <v>24344</v>
      </c>
      <c r="E767" s="19" t="s">
        <v>12471</v>
      </c>
      <c r="F767" s="102" t="s">
        <v>12472</v>
      </c>
      <c r="G767" s="19" t="s">
        <v>24390</v>
      </c>
      <c r="H767" s="19" t="b">
        <v>1</v>
      </c>
      <c r="I767" s="19">
        <v>1.0</v>
      </c>
      <c r="J767" s="102" t="s">
        <v>12468</v>
      </c>
      <c r="K767" s="19" t="s">
        <v>26948</v>
      </c>
      <c r="L767" s="19">
        <v>97430.0</v>
      </c>
      <c r="M767" s="19" t="s">
        <v>71</v>
      </c>
      <c r="N767" s="103"/>
      <c r="O767" s="19" t="s">
        <v>10276</v>
      </c>
      <c r="P767" s="103"/>
      <c r="Q767" s="19" t="s">
        <v>26949</v>
      </c>
      <c r="R767" s="105">
        <v>21499.0</v>
      </c>
      <c r="S767" s="103"/>
      <c r="T767" s="103"/>
      <c r="U767" s="103"/>
      <c r="V767" s="103"/>
      <c r="W767" s="103"/>
      <c r="X767" s="103"/>
      <c r="Y767" s="103"/>
      <c r="Z767" s="103"/>
    </row>
    <row r="768" ht="15.75" customHeight="1">
      <c r="A768" s="19" t="s">
        <v>21724</v>
      </c>
      <c r="B768" s="19" t="s">
        <v>26950</v>
      </c>
      <c r="C768" s="19" t="s">
        <v>26951</v>
      </c>
      <c r="D768" s="19" t="s">
        <v>24334</v>
      </c>
      <c r="E768" s="19" t="s">
        <v>21715</v>
      </c>
      <c r="F768" s="102" t="s">
        <v>21716</v>
      </c>
      <c r="G768" s="19" t="s">
        <v>24335</v>
      </c>
      <c r="H768" s="19" t="b">
        <v>1</v>
      </c>
      <c r="I768" s="19">
        <v>1.0</v>
      </c>
      <c r="J768" s="102" t="s">
        <v>19879</v>
      </c>
      <c r="K768" s="19" t="s">
        <v>26952</v>
      </c>
      <c r="L768" s="19">
        <v>86100.0</v>
      </c>
      <c r="M768" s="19" t="s">
        <v>26953</v>
      </c>
      <c r="N768" s="103"/>
      <c r="O768" s="19" t="s">
        <v>11362</v>
      </c>
      <c r="P768" s="103"/>
      <c r="Q768" s="19" t="s">
        <v>26954</v>
      </c>
      <c r="R768" s="103"/>
      <c r="S768" s="19" t="s">
        <v>24460</v>
      </c>
      <c r="T768" s="103"/>
      <c r="U768" s="103"/>
      <c r="V768" s="103"/>
      <c r="W768" s="103"/>
      <c r="X768" s="103"/>
      <c r="Y768" s="103"/>
      <c r="Z768" s="103"/>
    </row>
    <row r="769" ht="15.75" customHeight="1">
      <c r="A769" s="19" t="s">
        <v>26955</v>
      </c>
      <c r="B769" s="19" t="s">
        <v>24936</v>
      </c>
      <c r="C769" s="19" t="s">
        <v>26956</v>
      </c>
      <c r="D769" s="19" t="s">
        <v>24334</v>
      </c>
      <c r="E769" s="19" t="s">
        <v>21736</v>
      </c>
      <c r="F769" s="102" t="s">
        <v>21737</v>
      </c>
      <c r="G769" s="19" t="s">
        <v>24335</v>
      </c>
      <c r="H769" s="19" t="b">
        <v>0</v>
      </c>
      <c r="I769" s="19">
        <v>1.0</v>
      </c>
      <c r="J769" s="102" t="s">
        <v>15332</v>
      </c>
      <c r="K769" s="19" t="s">
        <v>26957</v>
      </c>
      <c r="L769" s="19">
        <v>97480.0</v>
      </c>
      <c r="M769" s="19" t="s">
        <v>123</v>
      </c>
      <c r="N769" s="103"/>
      <c r="O769" s="19" t="s">
        <v>26958</v>
      </c>
      <c r="P769" s="103"/>
      <c r="Q769" s="19" t="s">
        <v>26959</v>
      </c>
      <c r="R769" s="103"/>
      <c r="S769" s="103"/>
      <c r="T769" s="103"/>
      <c r="U769" s="103"/>
      <c r="V769" s="103"/>
      <c r="W769" s="103"/>
      <c r="X769" s="103"/>
      <c r="Y769" s="103"/>
      <c r="Z769" s="103"/>
    </row>
    <row r="770" ht="15.75" customHeight="1">
      <c r="A770" s="19" t="s">
        <v>26960</v>
      </c>
      <c r="B770" s="19" t="s">
        <v>24936</v>
      </c>
      <c r="C770" s="19" t="s">
        <v>24808</v>
      </c>
      <c r="D770" s="19" t="s">
        <v>24344</v>
      </c>
      <c r="E770" s="19" t="s">
        <v>26961</v>
      </c>
      <c r="F770" s="102" t="s">
        <v>21737</v>
      </c>
      <c r="G770" s="19" t="s">
        <v>24335</v>
      </c>
      <c r="H770" s="19" t="b">
        <v>1</v>
      </c>
      <c r="I770" s="19">
        <v>0.0</v>
      </c>
      <c r="J770" s="102" t="s">
        <v>15332</v>
      </c>
      <c r="K770" s="19" t="s">
        <v>26962</v>
      </c>
      <c r="L770" s="19">
        <v>97480.0</v>
      </c>
      <c r="M770" s="19" t="s">
        <v>123</v>
      </c>
      <c r="N770" s="103"/>
      <c r="O770" s="19" t="s">
        <v>11366</v>
      </c>
      <c r="P770" s="103"/>
      <c r="Q770" s="19" t="s">
        <v>26963</v>
      </c>
      <c r="R770" s="105">
        <v>17856.0</v>
      </c>
      <c r="S770" s="19" t="s">
        <v>24460</v>
      </c>
      <c r="T770" s="103"/>
      <c r="U770" s="103"/>
      <c r="V770" s="103"/>
      <c r="W770" s="103"/>
      <c r="X770" s="103"/>
      <c r="Y770" s="103"/>
      <c r="Z770" s="103"/>
    </row>
    <row r="771" ht="15.75" customHeight="1">
      <c r="A771" s="19" t="s">
        <v>26964</v>
      </c>
      <c r="B771" s="19" t="s">
        <v>26965</v>
      </c>
      <c r="C771" s="19" t="s">
        <v>26751</v>
      </c>
      <c r="D771" s="19" t="s">
        <v>24344</v>
      </c>
      <c r="E771" s="19" t="s">
        <v>21751</v>
      </c>
      <c r="F771" s="102" t="s">
        <v>21752</v>
      </c>
      <c r="G771" s="19" t="s">
        <v>24335</v>
      </c>
      <c r="H771" s="19" t="b">
        <v>1</v>
      </c>
      <c r="I771" s="19">
        <v>1.0</v>
      </c>
      <c r="J771" s="102" t="s">
        <v>26966</v>
      </c>
      <c r="K771" s="19" t="s">
        <v>26967</v>
      </c>
      <c r="L771" s="19">
        <v>12350.0</v>
      </c>
      <c r="M771" s="19" t="s">
        <v>26968</v>
      </c>
      <c r="N771" s="103"/>
      <c r="O771" s="19" t="s">
        <v>12125</v>
      </c>
      <c r="P771" s="19" t="s">
        <v>26969</v>
      </c>
      <c r="Q771" s="19" t="s">
        <v>26970</v>
      </c>
      <c r="R771" s="103"/>
      <c r="S771" s="103"/>
      <c r="T771" s="103"/>
      <c r="U771" s="103"/>
      <c r="V771" s="103"/>
      <c r="W771" s="103"/>
      <c r="X771" s="103"/>
      <c r="Y771" s="103"/>
      <c r="Z771" s="103"/>
    </row>
    <row r="772" ht="15.75" customHeight="1">
      <c r="A772" s="19" t="s">
        <v>21774</v>
      </c>
      <c r="B772" s="19" t="s">
        <v>26062</v>
      </c>
      <c r="C772" s="19" t="s">
        <v>26971</v>
      </c>
      <c r="D772" s="19" t="s">
        <v>24334</v>
      </c>
      <c r="E772" s="19" t="s">
        <v>21766</v>
      </c>
      <c r="F772" s="102" t="s">
        <v>21767</v>
      </c>
      <c r="G772" s="19" t="s">
        <v>24335</v>
      </c>
      <c r="H772" s="19" t="b">
        <v>1</v>
      </c>
      <c r="I772" s="19">
        <v>1.0</v>
      </c>
      <c r="J772" s="19" t="s">
        <v>26972</v>
      </c>
      <c r="K772" s="19" t="s">
        <v>12616</v>
      </c>
      <c r="L772" s="19">
        <v>97480.0</v>
      </c>
      <c r="M772" s="19" t="s">
        <v>123</v>
      </c>
      <c r="N772" s="103"/>
      <c r="O772" s="19" t="s">
        <v>11955</v>
      </c>
      <c r="P772" s="103"/>
      <c r="Q772" s="19" t="s">
        <v>26973</v>
      </c>
      <c r="R772" s="104">
        <v>19701.0</v>
      </c>
      <c r="S772" s="19" t="s">
        <v>24348</v>
      </c>
      <c r="T772" s="103"/>
      <c r="U772" s="103"/>
      <c r="V772" s="103"/>
      <c r="W772" s="103"/>
      <c r="X772" s="103"/>
      <c r="Y772" s="103"/>
      <c r="Z772" s="103"/>
    </row>
    <row r="773" ht="15.75" customHeight="1">
      <c r="A773" s="19" t="s">
        <v>21789</v>
      </c>
      <c r="B773" s="19" t="s">
        <v>25695</v>
      </c>
      <c r="C773" s="19" t="s">
        <v>26974</v>
      </c>
      <c r="D773" s="19" t="s">
        <v>24344</v>
      </c>
      <c r="E773" s="19" t="s">
        <v>21782</v>
      </c>
      <c r="F773" s="103"/>
      <c r="G773" s="19" t="s">
        <v>24335</v>
      </c>
      <c r="H773" s="19" t="b">
        <v>1</v>
      </c>
      <c r="I773" s="19">
        <v>1.0</v>
      </c>
      <c r="J773" s="102" t="s">
        <v>26752</v>
      </c>
      <c r="K773" s="19" t="s">
        <v>20814</v>
      </c>
      <c r="L773" s="19">
        <v>97418.0</v>
      </c>
      <c r="M773" s="19" t="s">
        <v>216</v>
      </c>
      <c r="N773" s="103"/>
      <c r="O773" s="19" t="s">
        <v>26975</v>
      </c>
      <c r="P773" s="103"/>
      <c r="Q773" s="19" t="s">
        <v>26976</v>
      </c>
      <c r="R773" s="103"/>
      <c r="S773" s="19" t="s">
        <v>24460</v>
      </c>
      <c r="T773" s="103"/>
      <c r="U773" s="103"/>
      <c r="V773" s="103"/>
      <c r="W773" s="103"/>
      <c r="X773" s="103"/>
      <c r="Y773" s="103"/>
      <c r="Z773" s="103"/>
    </row>
    <row r="774" ht="15.75" customHeight="1">
      <c r="A774" s="19" t="s">
        <v>21815</v>
      </c>
      <c r="B774" s="19" t="s">
        <v>26977</v>
      </c>
      <c r="C774" s="19" t="s">
        <v>36</v>
      </c>
      <c r="D774" s="19" t="s">
        <v>24334</v>
      </c>
      <c r="E774" s="19" t="s">
        <v>21807</v>
      </c>
      <c r="F774" s="102" t="s">
        <v>21808</v>
      </c>
      <c r="G774" s="19" t="s">
        <v>24335</v>
      </c>
      <c r="H774" s="19" t="b">
        <v>1</v>
      </c>
      <c r="I774" s="19">
        <v>1.0</v>
      </c>
      <c r="J774" s="19" t="s">
        <v>26978</v>
      </c>
      <c r="K774" s="19" t="s">
        <v>26979</v>
      </c>
      <c r="L774" s="19">
        <v>97430.0</v>
      </c>
      <c r="M774" s="19" t="s">
        <v>71</v>
      </c>
      <c r="N774" s="103"/>
      <c r="O774" s="19" t="s">
        <v>11371</v>
      </c>
      <c r="P774" s="103"/>
      <c r="Q774" s="19" t="s">
        <v>26980</v>
      </c>
      <c r="R774" s="104">
        <v>32544.0</v>
      </c>
      <c r="S774" s="19" t="s">
        <v>24460</v>
      </c>
      <c r="T774" s="103"/>
      <c r="U774" s="103"/>
      <c r="V774" s="103"/>
      <c r="W774" s="103"/>
      <c r="X774" s="103"/>
      <c r="Y774" s="103"/>
      <c r="Z774" s="103"/>
    </row>
    <row r="775" ht="15.75" customHeight="1">
      <c r="A775" s="19" t="s">
        <v>21831</v>
      </c>
      <c r="B775" s="19" t="s">
        <v>26272</v>
      </c>
      <c r="C775" s="19" t="s">
        <v>26981</v>
      </c>
      <c r="D775" s="19" t="s">
        <v>24334</v>
      </c>
      <c r="E775" s="19" t="s">
        <v>21823</v>
      </c>
      <c r="F775" s="102" t="s">
        <v>21824</v>
      </c>
      <c r="G775" s="19" t="s">
        <v>24335</v>
      </c>
      <c r="H775" s="19" t="b">
        <v>1</v>
      </c>
      <c r="I775" s="19">
        <v>1.0</v>
      </c>
      <c r="J775" s="102" t="s">
        <v>26982</v>
      </c>
      <c r="K775" s="19" t="s">
        <v>26983</v>
      </c>
      <c r="L775" s="19">
        <v>97430.0</v>
      </c>
      <c r="M775" s="19" t="s">
        <v>71</v>
      </c>
      <c r="N775" s="103"/>
      <c r="O775" s="19" t="s">
        <v>11740</v>
      </c>
      <c r="P775" s="19" t="s">
        <v>26984</v>
      </c>
      <c r="Q775" s="19" t="s">
        <v>26985</v>
      </c>
      <c r="R775" s="103"/>
      <c r="S775" s="103"/>
      <c r="T775" s="103"/>
      <c r="U775" s="103"/>
      <c r="V775" s="103"/>
      <c r="W775" s="103"/>
      <c r="X775" s="103"/>
      <c r="Y775" s="103"/>
      <c r="Z775" s="103"/>
    </row>
    <row r="776" ht="15.75" customHeight="1">
      <c r="A776" s="19" t="s">
        <v>21846</v>
      </c>
      <c r="B776" s="19" t="s">
        <v>26062</v>
      </c>
      <c r="C776" s="19" t="s">
        <v>26986</v>
      </c>
      <c r="D776" s="19" t="s">
        <v>24334</v>
      </c>
      <c r="E776" s="19" t="s">
        <v>21839</v>
      </c>
      <c r="F776" s="102" t="s">
        <v>26987</v>
      </c>
      <c r="G776" s="19" t="s">
        <v>24390</v>
      </c>
      <c r="H776" s="19" t="b">
        <v>1</v>
      </c>
      <c r="I776" s="19">
        <v>1.0</v>
      </c>
      <c r="J776" s="102" t="s">
        <v>19732</v>
      </c>
      <c r="K776" s="19" t="s">
        <v>26988</v>
      </c>
      <c r="L776" s="19">
        <v>97418.0</v>
      </c>
      <c r="M776" s="19" t="s">
        <v>216</v>
      </c>
      <c r="N776" s="103"/>
      <c r="O776" s="19" t="s">
        <v>12104</v>
      </c>
      <c r="P776" s="103"/>
      <c r="Q776" s="19" t="s">
        <v>26989</v>
      </c>
      <c r="R776" s="103"/>
      <c r="S776" s="103"/>
      <c r="T776" s="103"/>
      <c r="U776" s="103"/>
      <c r="V776" s="103"/>
      <c r="W776" s="103"/>
      <c r="X776" s="103"/>
      <c r="Y776" s="103"/>
      <c r="Z776" s="103"/>
    </row>
    <row r="777" ht="15.75" customHeight="1">
      <c r="A777" s="19" t="s">
        <v>21859</v>
      </c>
      <c r="B777" s="19" t="s">
        <v>26781</v>
      </c>
      <c r="C777" s="19" t="s">
        <v>26990</v>
      </c>
      <c r="D777" s="19" t="s">
        <v>24334</v>
      </c>
      <c r="E777" s="19" t="s">
        <v>21852</v>
      </c>
      <c r="F777" s="102" t="s">
        <v>21853</v>
      </c>
      <c r="G777" s="19" t="s">
        <v>24420</v>
      </c>
      <c r="H777" s="19" t="b">
        <v>1</v>
      </c>
      <c r="I777" s="19">
        <v>1.0</v>
      </c>
      <c r="J777" s="102" t="s">
        <v>12528</v>
      </c>
      <c r="K777" s="19" t="s">
        <v>26991</v>
      </c>
      <c r="L777" s="19">
        <v>97442.0</v>
      </c>
      <c r="M777" s="19" t="s">
        <v>33</v>
      </c>
      <c r="N777" s="103"/>
      <c r="O777" s="19" t="s">
        <v>11373</v>
      </c>
      <c r="P777" s="103"/>
      <c r="Q777" s="19" t="s">
        <v>26992</v>
      </c>
      <c r="R777" s="103"/>
      <c r="S777" s="103"/>
      <c r="T777" s="103"/>
      <c r="U777" s="103"/>
      <c r="V777" s="103"/>
      <c r="W777" s="103"/>
      <c r="X777" s="103"/>
      <c r="Y777" s="103"/>
      <c r="Z777" s="103"/>
    </row>
    <row r="778" ht="15.75" customHeight="1">
      <c r="A778" s="19" t="s">
        <v>21884</v>
      </c>
      <c r="B778" s="19" t="s">
        <v>26993</v>
      </c>
      <c r="C778" s="19" t="s">
        <v>26994</v>
      </c>
      <c r="D778" s="19" t="s">
        <v>24334</v>
      </c>
      <c r="E778" s="19" t="s">
        <v>21878</v>
      </c>
      <c r="F778" s="102" t="s">
        <v>21879</v>
      </c>
      <c r="G778" s="19" t="s">
        <v>24420</v>
      </c>
      <c r="H778" s="19" t="b">
        <v>1</v>
      </c>
      <c r="I778" s="19">
        <v>1.0</v>
      </c>
      <c r="J778" s="102" t="s">
        <v>13859</v>
      </c>
      <c r="K778" s="19" t="s">
        <v>26995</v>
      </c>
      <c r="L778" s="19">
        <v>97400.0</v>
      </c>
      <c r="M778" s="19" t="s">
        <v>26767</v>
      </c>
      <c r="N778" s="103"/>
      <c r="O778" s="19" t="s">
        <v>12071</v>
      </c>
      <c r="P778" s="103"/>
      <c r="Q778" s="19" t="s">
        <v>26996</v>
      </c>
      <c r="R778" s="104">
        <v>33000.0</v>
      </c>
      <c r="S778" s="19" t="s">
        <v>24348</v>
      </c>
      <c r="T778" s="103"/>
      <c r="U778" s="103"/>
      <c r="V778" s="103"/>
      <c r="W778" s="103"/>
      <c r="X778" s="103"/>
      <c r="Y778" s="103"/>
      <c r="Z778" s="103"/>
    </row>
    <row r="779" ht="15.75" customHeight="1">
      <c r="A779" s="19" t="s">
        <v>21898</v>
      </c>
      <c r="B779" s="19" t="s">
        <v>26997</v>
      </c>
      <c r="C779" s="19" t="s">
        <v>25420</v>
      </c>
      <c r="D779" s="19" t="s">
        <v>24334</v>
      </c>
      <c r="E779" s="19" t="s">
        <v>26998</v>
      </c>
      <c r="F779" s="102" t="s">
        <v>21892</v>
      </c>
      <c r="G779" s="19" t="s">
        <v>24335</v>
      </c>
      <c r="H779" s="19" t="b">
        <v>1</v>
      </c>
      <c r="I779" s="19">
        <v>1.0</v>
      </c>
      <c r="J779" s="19" t="s">
        <v>21888</v>
      </c>
      <c r="K779" s="19" t="s">
        <v>21889</v>
      </c>
      <c r="L779" s="19">
        <v>97414.0</v>
      </c>
      <c r="M779" s="19" t="s">
        <v>40</v>
      </c>
      <c r="N779" s="103"/>
      <c r="O779" s="19" t="s">
        <v>11664</v>
      </c>
      <c r="P779" s="103"/>
      <c r="Q779" s="19" t="s">
        <v>26999</v>
      </c>
      <c r="R779" s="104">
        <v>25344.0</v>
      </c>
      <c r="S779" s="103"/>
      <c r="T779" s="103"/>
      <c r="U779" s="103"/>
      <c r="V779" s="103"/>
      <c r="W779" s="103"/>
      <c r="X779" s="103"/>
      <c r="Y779" s="103"/>
      <c r="Z779" s="103"/>
    </row>
    <row r="780" ht="15.75" customHeight="1">
      <c r="A780" s="19" t="s">
        <v>21912</v>
      </c>
      <c r="B780" s="19" t="s">
        <v>25695</v>
      </c>
      <c r="C780" s="19" t="s">
        <v>27000</v>
      </c>
      <c r="D780" s="19" t="s">
        <v>24344</v>
      </c>
      <c r="E780" s="19" t="s">
        <v>21906</v>
      </c>
      <c r="F780" s="102" t="s">
        <v>21907</v>
      </c>
      <c r="G780" s="19" t="s">
        <v>24335</v>
      </c>
      <c r="H780" s="19" t="b">
        <v>1</v>
      </c>
      <c r="I780" s="19">
        <v>1.0</v>
      </c>
      <c r="J780" s="102" t="s">
        <v>13933</v>
      </c>
      <c r="K780" s="19" t="s">
        <v>21904</v>
      </c>
      <c r="L780" s="19">
        <v>97414.0</v>
      </c>
      <c r="M780" s="19" t="s">
        <v>40</v>
      </c>
      <c r="N780" s="103"/>
      <c r="O780" s="19" t="s">
        <v>11682</v>
      </c>
      <c r="P780" s="103"/>
      <c r="Q780" s="19" t="s">
        <v>27001</v>
      </c>
      <c r="R780" s="103"/>
      <c r="S780" s="103"/>
      <c r="T780" s="103"/>
      <c r="U780" s="103"/>
      <c r="V780" s="103"/>
      <c r="W780" s="103"/>
      <c r="X780" s="103"/>
      <c r="Y780" s="103"/>
      <c r="Z780" s="103"/>
    </row>
    <row r="781" ht="15.75" customHeight="1">
      <c r="A781" s="19" t="s">
        <v>21926</v>
      </c>
      <c r="B781" s="19" t="s">
        <v>27002</v>
      </c>
      <c r="C781" s="19" t="s">
        <v>26895</v>
      </c>
      <c r="D781" s="19" t="s">
        <v>24334</v>
      </c>
      <c r="E781" s="19" t="s">
        <v>21920</v>
      </c>
      <c r="F781" s="102" t="s">
        <v>21921</v>
      </c>
      <c r="G781" s="19" t="s">
        <v>24420</v>
      </c>
      <c r="H781" s="19" t="b">
        <v>1</v>
      </c>
      <c r="I781" s="19">
        <v>1.0</v>
      </c>
      <c r="J781" s="102" t="s">
        <v>19234</v>
      </c>
      <c r="K781" s="19" t="s">
        <v>21918</v>
      </c>
      <c r="L781" s="19">
        <v>97414.0</v>
      </c>
      <c r="M781" s="19" t="s">
        <v>40</v>
      </c>
      <c r="N781" s="103"/>
      <c r="O781" s="19" t="s">
        <v>11375</v>
      </c>
      <c r="P781" s="103"/>
      <c r="Q781" s="19" t="s">
        <v>27003</v>
      </c>
      <c r="R781" s="105">
        <v>33954.0</v>
      </c>
      <c r="S781" s="19" t="s">
        <v>24348</v>
      </c>
      <c r="T781" s="103"/>
      <c r="U781" s="103"/>
      <c r="V781" s="103"/>
      <c r="W781" s="103"/>
      <c r="X781" s="103"/>
      <c r="Y781" s="103"/>
      <c r="Z781" s="103"/>
    </row>
    <row r="782" ht="15.75" customHeight="1">
      <c r="A782" s="19" t="s">
        <v>27004</v>
      </c>
      <c r="B782" s="19" t="s">
        <v>26062</v>
      </c>
      <c r="C782" s="19" t="s">
        <v>27005</v>
      </c>
      <c r="D782" s="19" t="s">
        <v>24334</v>
      </c>
      <c r="E782" s="19" t="s">
        <v>21932</v>
      </c>
      <c r="F782" s="102" t="s">
        <v>21933</v>
      </c>
      <c r="G782" s="19" t="s">
        <v>24390</v>
      </c>
      <c r="H782" s="19" t="b">
        <v>1</v>
      </c>
      <c r="I782" s="19">
        <v>1.0</v>
      </c>
      <c r="J782" s="102" t="s">
        <v>27006</v>
      </c>
      <c r="K782" s="19" t="s">
        <v>27007</v>
      </c>
      <c r="L782" s="19">
        <v>97480.0</v>
      </c>
      <c r="M782" s="19" t="s">
        <v>26611</v>
      </c>
      <c r="N782" s="103"/>
      <c r="O782" s="19" t="s">
        <v>11377</v>
      </c>
      <c r="P782" s="103"/>
      <c r="Q782" s="19" t="s">
        <v>27008</v>
      </c>
      <c r="R782" s="103"/>
      <c r="S782" s="103"/>
      <c r="T782" s="103"/>
      <c r="U782" s="103"/>
      <c r="V782" s="103"/>
      <c r="W782" s="103"/>
      <c r="X782" s="103"/>
      <c r="Y782" s="103"/>
      <c r="Z782" s="103"/>
    </row>
    <row r="783" ht="15.75" customHeight="1">
      <c r="A783" s="19" t="s">
        <v>21955</v>
      </c>
      <c r="B783" s="19" t="s">
        <v>27009</v>
      </c>
      <c r="C783" s="19" t="s">
        <v>27010</v>
      </c>
      <c r="D783" s="19" t="s">
        <v>24334</v>
      </c>
      <c r="E783" s="19" t="s">
        <v>21949</v>
      </c>
      <c r="F783" s="102" t="s">
        <v>21950</v>
      </c>
      <c r="G783" s="19" t="s">
        <v>24420</v>
      </c>
      <c r="H783" s="19" t="b">
        <v>1</v>
      </c>
      <c r="I783" s="19">
        <v>1.0</v>
      </c>
      <c r="J783" s="102" t="s">
        <v>13933</v>
      </c>
      <c r="K783" s="19" t="s">
        <v>27011</v>
      </c>
      <c r="L783" s="19">
        <v>97425.0</v>
      </c>
      <c r="M783" s="19" t="s">
        <v>25474</v>
      </c>
      <c r="N783" s="103"/>
      <c r="O783" s="19" t="s">
        <v>11379</v>
      </c>
      <c r="P783" s="103"/>
      <c r="Q783" s="19" t="s">
        <v>27012</v>
      </c>
      <c r="R783" s="103"/>
      <c r="S783" s="103"/>
      <c r="T783" s="103"/>
      <c r="U783" s="103"/>
      <c r="V783" s="103"/>
      <c r="W783" s="103"/>
      <c r="X783" s="103"/>
      <c r="Y783" s="103"/>
      <c r="Z783" s="103"/>
    </row>
    <row r="784" ht="15.75" customHeight="1">
      <c r="A784" s="19" t="s">
        <v>27013</v>
      </c>
      <c r="B784" s="19" t="s">
        <v>24359</v>
      </c>
      <c r="C784" s="19" t="s">
        <v>21</v>
      </c>
      <c r="D784" s="19" t="s">
        <v>24344</v>
      </c>
      <c r="E784" s="19" t="s">
        <v>21961</v>
      </c>
      <c r="F784" s="102" t="s">
        <v>21962</v>
      </c>
      <c r="G784" s="19" t="s">
        <v>24335</v>
      </c>
      <c r="H784" s="19" t="b">
        <v>0</v>
      </c>
      <c r="I784" s="19">
        <v>2.0</v>
      </c>
      <c r="J784" s="19" t="s">
        <v>27014</v>
      </c>
      <c r="K784" s="19" t="s">
        <v>27015</v>
      </c>
      <c r="L784" s="19">
        <v>97430.0</v>
      </c>
      <c r="M784" s="19" t="s">
        <v>71</v>
      </c>
      <c r="N784" s="103"/>
      <c r="O784" s="19" t="s">
        <v>27016</v>
      </c>
      <c r="P784" s="103"/>
      <c r="Q784" s="19" t="s">
        <v>27017</v>
      </c>
      <c r="R784" s="103"/>
      <c r="S784" s="19" t="s">
        <v>24460</v>
      </c>
      <c r="T784" s="103"/>
      <c r="U784" s="103"/>
      <c r="V784" s="103"/>
      <c r="W784" s="103"/>
      <c r="X784" s="103"/>
      <c r="Y784" s="103"/>
      <c r="Z784" s="103"/>
    </row>
    <row r="785" ht="15.75" customHeight="1">
      <c r="A785" s="19" t="s">
        <v>21999</v>
      </c>
      <c r="B785" s="19" t="s">
        <v>27018</v>
      </c>
      <c r="C785" s="19" t="s">
        <v>27019</v>
      </c>
      <c r="D785" s="19" t="s">
        <v>24334</v>
      </c>
      <c r="E785" s="19" t="s">
        <v>27020</v>
      </c>
      <c r="F785" s="102" t="s">
        <v>21991</v>
      </c>
      <c r="G785" s="19" t="s">
        <v>24420</v>
      </c>
      <c r="H785" s="19" t="b">
        <v>1</v>
      </c>
      <c r="I785" s="19">
        <v>1.0</v>
      </c>
      <c r="J785" s="102" t="s">
        <v>12820</v>
      </c>
      <c r="K785" s="19" t="s">
        <v>21988</v>
      </c>
      <c r="L785" s="19">
        <v>97418.0</v>
      </c>
      <c r="M785" s="19" t="s">
        <v>71</v>
      </c>
      <c r="N785" s="103"/>
      <c r="O785" s="19" t="s">
        <v>11385</v>
      </c>
      <c r="P785" s="19" t="s">
        <v>27021</v>
      </c>
      <c r="Q785" s="19" t="s">
        <v>27022</v>
      </c>
      <c r="R785" s="104">
        <v>29403.0</v>
      </c>
      <c r="S785" s="19" t="s">
        <v>24348</v>
      </c>
      <c r="T785" s="103"/>
      <c r="U785" s="103"/>
      <c r="V785" s="103"/>
      <c r="W785" s="103"/>
      <c r="X785" s="103"/>
      <c r="Y785" s="103"/>
      <c r="Z785" s="103"/>
    </row>
    <row r="786" ht="15.75" customHeight="1">
      <c r="A786" s="19" t="s">
        <v>22017</v>
      </c>
      <c r="B786" s="19" t="s">
        <v>27023</v>
      </c>
      <c r="C786" s="19" t="s">
        <v>25899</v>
      </c>
      <c r="D786" s="19" t="s">
        <v>24344</v>
      </c>
      <c r="E786" s="19" t="s">
        <v>22009</v>
      </c>
      <c r="F786" s="102" t="s">
        <v>22010</v>
      </c>
      <c r="G786" s="19" t="s">
        <v>24390</v>
      </c>
      <c r="H786" s="19" t="b">
        <v>1</v>
      </c>
      <c r="I786" s="19">
        <v>1.0</v>
      </c>
      <c r="J786" s="102" t="s">
        <v>27024</v>
      </c>
      <c r="K786" s="19" t="s">
        <v>22006</v>
      </c>
      <c r="L786" s="19">
        <v>97418.0</v>
      </c>
      <c r="M786" s="19" t="s">
        <v>71</v>
      </c>
      <c r="N786" s="103"/>
      <c r="O786" s="19" t="s">
        <v>11387</v>
      </c>
      <c r="P786" s="103"/>
      <c r="Q786" s="19" t="s">
        <v>27025</v>
      </c>
      <c r="R786" s="103"/>
      <c r="S786" s="19" t="s">
        <v>24460</v>
      </c>
      <c r="T786" s="103"/>
      <c r="U786" s="103"/>
      <c r="V786" s="103"/>
      <c r="W786" s="103"/>
      <c r="X786" s="103"/>
      <c r="Y786" s="103"/>
      <c r="Z786" s="103"/>
    </row>
    <row r="787" ht="15.75" customHeight="1">
      <c r="A787" s="19" t="s">
        <v>22032</v>
      </c>
      <c r="B787" s="19" t="s">
        <v>24936</v>
      </c>
      <c r="C787" s="19" t="s">
        <v>25270</v>
      </c>
      <c r="D787" s="19" t="s">
        <v>24334</v>
      </c>
      <c r="E787" s="19" t="s">
        <v>22024</v>
      </c>
      <c r="F787" s="102" t="s">
        <v>22025</v>
      </c>
      <c r="G787" s="19" t="s">
        <v>24420</v>
      </c>
      <c r="H787" s="19" t="b">
        <v>1</v>
      </c>
      <c r="I787" s="19">
        <v>1.0</v>
      </c>
      <c r="J787" s="19" t="s">
        <v>27026</v>
      </c>
      <c r="K787" s="19" t="s">
        <v>27027</v>
      </c>
      <c r="L787" s="19">
        <v>97430.0</v>
      </c>
      <c r="M787" s="19" t="s">
        <v>71</v>
      </c>
      <c r="N787" s="103"/>
      <c r="O787" s="19" t="s">
        <v>11389</v>
      </c>
      <c r="P787" s="103"/>
      <c r="Q787" s="19" t="s">
        <v>27028</v>
      </c>
      <c r="R787" s="104">
        <v>25022.0</v>
      </c>
      <c r="S787" s="19" t="s">
        <v>24460</v>
      </c>
      <c r="T787" s="103"/>
      <c r="U787" s="103"/>
      <c r="V787" s="103"/>
      <c r="W787" s="103"/>
      <c r="X787" s="103"/>
      <c r="Y787" s="103"/>
      <c r="Z787" s="103"/>
    </row>
    <row r="788" ht="15.75" customHeight="1">
      <c r="A788" s="19" t="s">
        <v>22045</v>
      </c>
      <c r="B788" s="19" t="s">
        <v>26225</v>
      </c>
      <c r="C788" s="19" t="s">
        <v>24475</v>
      </c>
      <c r="D788" s="19" t="s">
        <v>24344</v>
      </c>
      <c r="E788" s="19" t="s">
        <v>22040</v>
      </c>
      <c r="F788" s="102" t="s">
        <v>22041</v>
      </c>
      <c r="G788" s="19" t="s">
        <v>24335</v>
      </c>
      <c r="H788" s="19" t="b">
        <v>1</v>
      </c>
      <c r="I788" s="19">
        <v>1.0</v>
      </c>
      <c r="J788" s="19" t="s">
        <v>27029</v>
      </c>
      <c r="K788" s="19" t="s">
        <v>22038</v>
      </c>
      <c r="L788" s="19">
        <v>97430.0</v>
      </c>
      <c r="M788" s="19" t="s">
        <v>71</v>
      </c>
      <c r="N788" s="103"/>
      <c r="O788" s="19" t="s">
        <v>11392</v>
      </c>
      <c r="P788" s="103"/>
      <c r="Q788" s="19" t="s">
        <v>27030</v>
      </c>
      <c r="R788" s="103"/>
      <c r="S788" s="19" t="s">
        <v>24460</v>
      </c>
      <c r="T788" s="103"/>
      <c r="U788" s="103"/>
      <c r="V788" s="103"/>
      <c r="W788" s="103"/>
      <c r="X788" s="103"/>
      <c r="Y788" s="103"/>
      <c r="Z788" s="103"/>
    </row>
    <row r="789" ht="15.75" customHeight="1">
      <c r="A789" s="19" t="s">
        <v>27031</v>
      </c>
      <c r="B789" s="19" t="s">
        <v>25481</v>
      </c>
      <c r="C789" s="19" t="s">
        <v>24465</v>
      </c>
      <c r="D789" s="19" t="s">
        <v>24334</v>
      </c>
      <c r="E789" s="19" t="s">
        <v>22052</v>
      </c>
      <c r="F789" s="103"/>
      <c r="G789" s="19" t="s">
        <v>24335</v>
      </c>
      <c r="H789" s="19" t="b">
        <v>0</v>
      </c>
      <c r="I789" s="19">
        <v>1.0</v>
      </c>
      <c r="J789" s="19" t="s">
        <v>27032</v>
      </c>
      <c r="K789" s="19" t="s">
        <v>27033</v>
      </c>
      <c r="L789" s="19">
        <v>97430.0</v>
      </c>
      <c r="M789" s="19" t="s">
        <v>71</v>
      </c>
      <c r="N789" s="103"/>
      <c r="O789" s="19" t="s">
        <v>11394</v>
      </c>
      <c r="P789" s="103"/>
      <c r="Q789" s="19" t="s">
        <v>27034</v>
      </c>
      <c r="R789" s="103"/>
      <c r="S789" s="19" t="s">
        <v>24460</v>
      </c>
      <c r="T789" s="103"/>
      <c r="U789" s="103"/>
      <c r="V789" s="103"/>
      <c r="W789" s="103"/>
      <c r="X789" s="103"/>
      <c r="Y789" s="103"/>
      <c r="Z789" s="103"/>
    </row>
    <row r="790" ht="15.75" customHeight="1">
      <c r="A790" s="19" t="s">
        <v>22073</v>
      </c>
      <c r="B790" s="19" t="s">
        <v>26134</v>
      </c>
      <c r="C790" s="19" t="s">
        <v>25685</v>
      </c>
      <c r="D790" s="19" t="s">
        <v>24344</v>
      </c>
      <c r="E790" s="19" t="s">
        <v>22066</v>
      </c>
      <c r="F790" s="102" t="s">
        <v>22067</v>
      </c>
      <c r="G790" s="19" t="s">
        <v>24335</v>
      </c>
      <c r="H790" s="19" t="b">
        <v>1</v>
      </c>
      <c r="I790" s="19">
        <v>1.0</v>
      </c>
      <c r="J790" s="19" t="s">
        <v>27035</v>
      </c>
      <c r="K790" s="19" t="s">
        <v>16400</v>
      </c>
      <c r="L790" s="19">
        <v>97430.0</v>
      </c>
      <c r="M790" s="19" t="s">
        <v>71</v>
      </c>
      <c r="N790" s="103"/>
      <c r="O790" s="19" t="s">
        <v>11396</v>
      </c>
      <c r="P790" s="103"/>
      <c r="Q790" s="19" t="s">
        <v>27036</v>
      </c>
      <c r="R790" s="104">
        <v>23436.0</v>
      </c>
      <c r="S790" s="19" t="s">
        <v>24460</v>
      </c>
      <c r="T790" s="103"/>
      <c r="U790" s="103"/>
      <c r="V790" s="103"/>
      <c r="W790" s="103"/>
      <c r="X790" s="103"/>
      <c r="Y790" s="103"/>
      <c r="Z790" s="103"/>
    </row>
    <row r="791" ht="15.75" customHeight="1">
      <c r="A791" s="19" t="s">
        <v>22087</v>
      </c>
      <c r="B791" s="19" t="s">
        <v>27037</v>
      </c>
      <c r="C791" s="19" t="s">
        <v>27038</v>
      </c>
      <c r="D791" s="19" t="s">
        <v>24344</v>
      </c>
      <c r="E791" s="19" t="s">
        <v>22079</v>
      </c>
      <c r="F791" s="102" t="s">
        <v>22080</v>
      </c>
      <c r="G791" s="19" t="s">
        <v>24335</v>
      </c>
      <c r="H791" s="19" t="b">
        <v>1</v>
      </c>
      <c r="I791" s="19">
        <v>1.0</v>
      </c>
      <c r="J791" s="102" t="s">
        <v>22077</v>
      </c>
      <c r="K791" s="19" t="s">
        <v>18143</v>
      </c>
      <c r="L791" s="19">
        <v>97430.0</v>
      </c>
      <c r="M791" s="19" t="s">
        <v>71</v>
      </c>
      <c r="N791" s="103"/>
      <c r="O791" s="19" t="s">
        <v>11398</v>
      </c>
      <c r="P791" s="103"/>
      <c r="Q791" s="102" t="s">
        <v>27039</v>
      </c>
      <c r="R791" s="103"/>
      <c r="S791" s="103"/>
      <c r="T791" s="103"/>
      <c r="U791" s="103"/>
      <c r="V791" s="103"/>
      <c r="W791" s="103"/>
      <c r="X791" s="103"/>
      <c r="Y791" s="103"/>
      <c r="Z791" s="103"/>
    </row>
    <row r="792" ht="15.75" customHeight="1">
      <c r="A792" s="19" t="s">
        <v>27040</v>
      </c>
      <c r="B792" s="19" t="s">
        <v>27041</v>
      </c>
      <c r="C792" s="19" t="s">
        <v>27042</v>
      </c>
      <c r="D792" s="19" t="s">
        <v>24334</v>
      </c>
      <c r="E792" s="19" t="s">
        <v>27043</v>
      </c>
      <c r="F792" s="102" t="s">
        <v>27044</v>
      </c>
      <c r="G792" s="19" t="s">
        <v>26432</v>
      </c>
      <c r="H792" s="19" t="b">
        <v>1</v>
      </c>
      <c r="I792" s="19">
        <v>0.0</v>
      </c>
      <c r="J792" s="102" t="s">
        <v>15167</v>
      </c>
      <c r="K792" s="19" t="s">
        <v>27045</v>
      </c>
      <c r="L792" s="19">
        <v>97400.0</v>
      </c>
      <c r="M792" s="19" t="s">
        <v>26767</v>
      </c>
      <c r="N792" s="103"/>
      <c r="O792" s="103"/>
      <c r="P792" s="103"/>
      <c r="Q792" s="19" t="s">
        <v>27046</v>
      </c>
      <c r="R792" s="103"/>
      <c r="S792" s="19" t="s">
        <v>24348</v>
      </c>
      <c r="T792" s="103"/>
      <c r="U792" s="103"/>
      <c r="V792" s="103"/>
      <c r="W792" s="103"/>
      <c r="X792" s="103"/>
      <c r="Y792" s="103"/>
      <c r="Z792" s="103"/>
    </row>
    <row r="793" ht="15.75" customHeight="1">
      <c r="A793" s="19" t="s">
        <v>22104</v>
      </c>
      <c r="B793" s="19" t="s">
        <v>27047</v>
      </c>
      <c r="C793" s="19" t="s">
        <v>25033</v>
      </c>
      <c r="D793" s="19" t="s">
        <v>24344</v>
      </c>
      <c r="E793" s="19" t="s">
        <v>27048</v>
      </c>
      <c r="F793" s="102" t="s">
        <v>27049</v>
      </c>
      <c r="G793" s="19" t="s">
        <v>24335</v>
      </c>
      <c r="H793" s="19" t="b">
        <v>1</v>
      </c>
      <c r="I793" s="19">
        <v>1.0</v>
      </c>
      <c r="J793" s="19" t="s">
        <v>22093</v>
      </c>
      <c r="K793" s="19" t="s">
        <v>17205</v>
      </c>
      <c r="L793" s="19">
        <v>97442.0</v>
      </c>
      <c r="M793" s="19" t="s">
        <v>33</v>
      </c>
      <c r="N793" s="103"/>
      <c r="O793" s="19" t="s">
        <v>27050</v>
      </c>
      <c r="P793" s="19" t="s">
        <v>27051</v>
      </c>
      <c r="Q793" s="19" t="s">
        <v>27052</v>
      </c>
      <c r="R793" s="103"/>
      <c r="S793" s="103"/>
      <c r="T793" s="103"/>
      <c r="U793" s="103"/>
      <c r="V793" s="103"/>
      <c r="W793" s="103"/>
      <c r="X793" s="103"/>
      <c r="Y793" s="103"/>
      <c r="Z793" s="103"/>
    </row>
    <row r="794" ht="15.75" customHeight="1">
      <c r="A794" s="19" t="s">
        <v>27053</v>
      </c>
      <c r="B794" s="19" t="s">
        <v>27054</v>
      </c>
      <c r="C794" s="19" t="s">
        <v>24908</v>
      </c>
      <c r="D794" s="19" t="s">
        <v>24344</v>
      </c>
      <c r="E794" s="19" t="s">
        <v>27055</v>
      </c>
      <c r="F794" s="103"/>
      <c r="G794" s="19" t="s">
        <v>24335</v>
      </c>
      <c r="H794" s="19" t="b">
        <v>1</v>
      </c>
      <c r="I794" s="19">
        <v>1.0</v>
      </c>
      <c r="J794" s="102" t="s">
        <v>12820</v>
      </c>
      <c r="K794" s="19" t="s">
        <v>27056</v>
      </c>
      <c r="L794" s="19">
        <v>51100.0</v>
      </c>
      <c r="M794" s="19" t="s">
        <v>27057</v>
      </c>
      <c r="N794" s="103"/>
      <c r="O794" s="19" t="s">
        <v>11402</v>
      </c>
      <c r="P794" s="103"/>
      <c r="Q794" s="19" t="s">
        <v>27058</v>
      </c>
      <c r="R794" s="103"/>
      <c r="S794" s="19" t="s">
        <v>24460</v>
      </c>
      <c r="T794" s="103"/>
      <c r="U794" s="103"/>
      <c r="V794" s="103"/>
      <c r="W794" s="103"/>
      <c r="X794" s="103"/>
      <c r="Y794" s="103"/>
      <c r="Z794" s="103"/>
    </row>
    <row r="795" ht="15.75" customHeight="1">
      <c r="A795" s="19" t="s">
        <v>27059</v>
      </c>
      <c r="B795" s="19" t="s">
        <v>27060</v>
      </c>
      <c r="C795" s="19" t="s">
        <v>27061</v>
      </c>
      <c r="D795" s="19" t="s">
        <v>24334</v>
      </c>
      <c r="E795" s="19" t="s">
        <v>22112</v>
      </c>
      <c r="F795" s="102" t="s">
        <v>27062</v>
      </c>
      <c r="G795" s="19" t="s">
        <v>26432</v>
      </c>
      <c r="H795" s="19" t="b">
        <v>1</v>
      </c>
      <c r="I795" s="19">
        <v>0.0</v>
      </c>
      <c r="J795" s="102" t="s">
        <v>27063</v>
      </c>
      <c r="K795" s="19" t="s">
        <v>27064</v>
      </c>
      <c r="L795" s="19">
        <v>97410.0</v>
      </c>
      <c r="M795" s="19" t="s">
        <v>24605</v>
      </c>
      <c r="N795" s="103"/>
      <c r="O795" s="9" t="s">
        <v>11402</v>
      </c>
      <c r="P795" s="103"/>
      <c r="Q795" s="19" t="s">
        <v>27065</v>
      </c>
      <c r="R795" s="103"/>
      <c r="S795" s="19" t="s">
        <v>24348</v>
      </c>
      <c r="T795" s="103"/>
      <c r="U795" s="103"/>
      <c r="V795" s="103"/>
      <c r="W795" s="103"/>
      <c r="X795" s="103"/>
      <c r="Y795" s="103"/>
      <c r="Z795" s="103"/>
    </row>
    <row r="796" ht="15.75" customHeight="1">
      <c r="A796" s="19" t="s">
        <v>22144</v>
      </c>
      <c r="B796" s="19" t="s">
        <v>26184</v>
      </c>
      <c r="C796" s="19" t="s">
        <v>24339</v>
      </c>
      <c r="D796" s="19" t="s">
        <v>24334</v>
      </c>
      <c r="E796" s="19" t="s">
        <v>22137</v>
      </c>
      <c r="F796" s="102" t="s">
        <v>22138</v>
      </c>
      <c r="G796" s="19" t="s">
        <v>24335</v>
      </c>
      <c r="H796" s="19"/>
      <c r="I796" s="19">
        <v>2.0</v>
      </c>
      <c r="J796" s="102" t="s">
        <v>14181</v>
      </c>
      <c r="K796" s="19" t="s">
        <v>22135</v>
      </c>
      <c r="L796" s="19">
        <v>97480.0</v>
      </c>
      <c r="M796" s="19" t="s">
        <v>123</v>
      </c>
      <c r="N796" s="103"/>
      <c r="O796" s="19" t="s">
        <v>27066</v>
      </c>
      <c r="P796" s="103"/>
      <c r="Q796" s="19" t="s">
        <v>27067</v>
      </c>
      <c r="R796" s="103"/>
      <c r="S796" s="19"/>
      <c r="T796" s="103"/>
      <c r="U796" s="103"/>
      <c r="V796" s="103"/>
      <c r="W796" s="103"/>
      <c r="X796" s="103"/>
      <c r="Y796" s="103"/>
      <c r="Z796" s="103"/>
    </row>
    <row r="797" ht="15.75" customHeight="1">
      <c r="A797" s="19" t="s">
        <v>22159</v>
      </c>
      <c r="B797" s="19" t="s">
        <v>26523</v>
      </c>
      <c r="C797" s="19" t="s">
        <v>27068</v>
      </c>
      <c r="D797" s="19" t="s">
        <v>24344</v>
      </c>
      <c r="E797" s="19" t="s">
        <v>22152</v>
      </c>
      <c r="F797" s="103"/>
      <c r="G797" s="19" t="s">
        <v>24420</v>
      </c>
      <c r="H797" s="19" t="b">
        <v>1</v>
      </c>
      <c r="I797" s="19">
        <v>1.0</v>
      </c>
      <c r="J797" s="102" t="s">
        <v>16355</v>
      </c>
      <c r="K797" s="19" t="s">
        <v>27069</v>
      </c>
      <c r="L797" s="19">
        <v>97414.0</v>
      </c>
      <c r="M797" s="19" t="s">
        <v>40</v>
      </c>
      <c r="N797" s="103"/>
      <c r="O797" s="19" t="s">
        <v>260</v>
      </c>
      <c r="P797" s="19" t="s">
        <v>27070</v>
      </c>
      <c r="Q797" s="19" t="s">
        <v>27071</v>
      </c>
      <c r="R797" s="104">
        <v>30721.0</v>
      </c>
      <c r="S797" s="19" t="s">
        <v>24348</v>
      </c>
      <c r="T797" s="103"/>
      <c r="U797" s="103"/>
      <c r="V797" s="103"/>
      <c r="W797" s="103"/>
      <c r="X797" s="103"/>
      <c r="Y797" s="103"/>
      <c r="Z797" s="103"/>
    </row>
    <row r="798" ht="15.75" customHeight="1">
      <c r="A798" s="102" t="s">
        <v>22172</v>
      </c>
      <c r="B798" s="19" t="s">
        <v>27072</v>
      </c>
      <c r="C798" s="19" t="s">
        <v>26312</v>
      </c>
      <c r="D798" s="19" t="s">
        <v>24334</v>
      </c>
      <c r="E798" s="19" t="s">
        <v>22166</v>
      </c>
      <c r="F798" s="102" t="s">
        <v>22167</v>
      </c>
      <c r="G798" s="19" t="s">
        <v>24420</v>
      </c>
      <c r="H798" s="19" t="b">
        <v>1</v>
      </c>
      <c r="I798" s="19">
        <v>1.0</v>
      </c>
      <c r="J798" s="102" t="s">
        <v>22163</v>
      </c>
      <c r="K798" s="19" t="s">
        <v>25559</v>
      </c>
      <c r="L798" s="19">
        <v>97418.0</v>
      </c>
      <c r="M798" s="19" t="s">
        <v>71</v>
      </c>
      <c r="N798" s="103"/>
      <c r="O798" s="19" t="s">
        <v>11409</v>
      </c>
      <c r="P798" s="103"/>
      <c r="Q798" s="19" t="s">
        <v>27073</v>
      </c>
      <c r="R798" s="104">
        <v>30856.0</v>
      </c>
      <c r="S798" s="19" t="s">
        <v>24348</v>
      </c>
      <c r="T798" s="103"/>
      <c r="U798" s="103"/>
      <c r="V798" s="103"/>
      <c r="W798" s="103"/>
      <c r="X798" s="103"/>
      <c r="Y798" s="103"/>
      <c r="Z798" s="103"/>
    </row>
    <row r="799" ht="15.75" customHeight="1">
      <c r="A799" s="19" t="s">
        <v>27074</v>
      </c>
      <c r="B799" s="19" t="s">
        <v>27075</v>
      </c>
      <c r="C799" s="19" t="s">
        <v>27076</v>
      </c>
      <c r="D799" s="19" t="s">
        <v>24344</v>
      </c>
      <c r="E799" s="19" t="s">
        <v>22179</v>
      </c>
      <c r="F799" s="102" t="s">
        <v>22180</v>
      </c>
      <c r="G799" s="19" t="s">
        <v>24335</v>
      </c>
      <c r="H799" s="19" t="b">
        <v>1</v>
      </c>
      <c r="I799" s="19">
        <v>1.0</v>
      </c>
      <c r="J799" s="102" t="s">
        <v>22176</v>
      </c>
      <c r="K799" s="19" t="s">
        <v>22177</v>
      </c>
      <c r="L799" s="19">
        <v>97430.0</v>
      </c>
      <c r="M799" s="19" t="s">
        <v>71</v>
      </c>
      <c r="N799" s="103"/>
      <c r="O799" s="19" t="s">
        <v>11411</v>
      </c>
      <c r="P799" s="103"/>
      <c r="Q799" s="19" t="s">
        <v>27077</v>
      </c>
      <c r="R799" s="104">
        <v>20545.0</v>
      </c>
      <c r="S799" s="19" t="s">
        <v>24460</v>
      </c>
      <c r="T799" s="103"/>
      <c r="U799" s="103"/>
      <c r="V799" s="103"/>
      <c r="W799" s="103"/>
      <c r="X799" s="103"/>
      <c r="Y799" s="103"/>
      <c r="Z799" s="103"/>
    </row>
    <row r="800" ht="15.75" customHeight="1">
      <c r="A800" s="19" t="s">
        <v>22233</v>
      </c>
      <c r="B800" s="19" t="s">
        <v>26062</v>
      </c>
      <c r="C800" s="19" t="s">
        <v>27078</v>
      </c>
      <c r="D800" s="19" t="s">
        <v>24334</v>
      </c>
      <c r="E800" s="19" t="s">
        <v>22226</v>
      </c>
      <c r="F800" s="102" t="s">
        <v>27079</v>
      </c>
      <c r="G800" s="19" t="s">
        <v>24335</v>
      </c>
      <c r="H800" s="19" t="b">
        <v>1</v>
      </c>
      <c r="I800" s="19">
        <v>1.0</v>
      </c>
      <c r="J800" s="102" t="s">
        <v>12820</v>
      </c>
      <c r="K800" s="19" t="s">
        <v>22224</v>
      </c>
      <c r="L800" s="19">
        <v>97430.0</v>
      </c>
      <c r="M800" s="19" t="s">
        <v>71</v>
      </c>
      <c r="N800" s="103"/>
      <c r="O800" s="19" t="s">
        <v>11421</v>
      </c>
      <c r="P800" s="103"/>
      <c r="Q800" s="19" t="s">
        <v>27080</v>
      </c>
      <c r="R800" s="104">
        <v>23549.0</v>
      </c>
      <c r="S800" s="19" t="s">
        <v>24460</v>
      </c>
      <c r="T800" s="103"/>
      <c r="U800" s="103"/>
      <c r="V800" s="103"/>
      <c r="W800" s="103"/>
      <c r="X800" s="103"/>
      <c r="Y800" s="103"/>
      <c r="Z800" s="103"/>
    </row>
    <row r="801" ht="15.75" customHeight="1">
      <c r="A801" s="19" t="s">
        <v>22250</v>
      </c>
      <c r="B801" s="19" t="s">
        <v>27081</v>
      </c>
      <c r="C801" s="19" t="s">
        <v>27082</v>
      </c>
      <c r="D801" s="19" t="s">
        <v>24334</v>
      </c>
      <c r="E801" s="19" t="s">
        <v>22241</v>
      </c>
      <c r="F801" s="102" t="s">
        <v>22242</v>
      </c>
      <c r="G801" s="19" t="s">
        <v>24420</v>
      </c>
      <c r="H801" s="19" t="b">
        <v>1</v>
      </c>
      <c r="I801" s="19">
        <v>1.0</v>
      </c>
      <c r="J801" s="102" t="s">
        <v>15756</v>
      </c>
      <c r="K801" s="19" t="s">
        <v>27083</v>
      </c>
      <c r="L801" s="19">
        <v>97410.0</v>
      </c>
      <c r="M801" s="19" t="s">
        <v>24605</v>
      </c>
      <c r="N801" s="103"/>
      <c r="O801" s="19" t="s">
        <v>11423</v>
      </c>
      <c r="P801" s="103"/>
      <c r="Q801" s="19" t="s">
        <v>27084</v>
      </c>
      <c r="R801" s="103"/>
      <c r="S801" s="19" t="s">
        <v>24348</v>
      </c>
      <c r="T801" s="103"/>
      <c r="U801" s="103"/>
      <c r="V801" s="103"/>
      <c r="W801" s="103"/>
      <c r="X801" s="103"/>
      <c r="Y801" s="103"/>
      <c r="Z801" s="103"/>
    </row>
    <row r="802" ht="15.75" customHeight="1">
      <c r="A802" s="19" t="s">
        <v>22297</v>
      </c>
      <c r="B802" s="19" t="s">
        <v>27085</v>
      </c>
      <c r="C802" s="19" t="s">
        <v>20</v>
      </c>
      <c r="D802" s="19" t="s">
        <v>24344</v>
      </c>
      <c r="E802" s="19" t="s">
        <v>27086</v>
      </c>
      <c r="F802" s="102" t="s">
        <v>22292</v>
      </c>
      <c r="G802" s="19" t="s">
        <v>24335</v>
      </c>
      <c r="H802" s="19" t="b">
        <v>1</v>
      </c>
      <c r="I802" s="19">
        <v>1.0</v>
      </c>
      <c r="J802" s="102" t="s">
        <v>12720</v>
      </c>
      <c r="K802" s="19" t="s">
        <v>27087</v>
      </c>
      <c r="L802" s="19">
        <v>97400.0</v>
      </c>
      <c r="M802" s="19" t="s">
        <v>26767</v>
      </c>
      <c r="N802" s="103"/>
      <c r="O802" s="19" t="s">
        <v>11431</v>
      </c>
      <c r="P802" s="103"/>
      <c r="Q802" s="19" t="s">
        <v>27088</v>
      </c>
      <c r="R802" s="103"/>
      <c r="S802" s="19" t="s">
        <v>24460</v>
      </c>
      <c r="T802" s="103"/>
      <c r="U802" s="103"/>
      <c r="V802" s="103"/>
      <c r="W802" s="103"/>
      <c r="X802" s="103"/>
      <c r="Y802" s="103"/>
      <c r="Z802" s="103"/>
    </row>
    <row r="803" ht="15.75" customHeight="1">
      <c r="A803" s="19" t="s">
        <v>22309</v>
      </c>
      <c r="B803" s="19" t="s">
        <v>27089</v>
      </c>
      <c r="C803" s="19" t="s">
        <v>26895</v>
      </c>
      <c r="D803" s="19" t="s">
        <v>24334</v>
      </c>
      <c r="E803" s="19" t="s">
        <v>22302</v>
      </c>
      <c r="F803" s="102" t="s">
        <v>22303</v>
      </c>
      <c r="G803" s="19" t="s">
        <v>24420</v>
      </c>
      <c r="H803" s="19" t="b">
        <v>1</v>
      </c>
      <c r="I803" s="19">
        <v>1.0</v>
      </c>
      <c r="J803" s="102" t="s">
        <v>18695</v>
      </c>
      <c r="K803" s="19" t="s">
        <v>12676</v>
      </c>
      <c r="L803" s="19">
        <v>97480.0</v>
      </c>
      <c r="M803" s="19" t="s">
        <v>123</v>
      </c>
      <c r="N803" s="103"/>
      <c r="O803" s="19" t="s">
        <v>11433</v>
      </c>
      <c r="P803" s="103"/>
      <c r="Q803" s="19" t="s">
        <v>27090</v>
      </c>
      <c r="R803" s="104">
        <v>33414.0</v>
      </c>
      <c r="S803" s="19" t="s">
        <v>24348</v>
      </c>
      <c r="T803" s="103"/>
      <c r="U803" s="103"/>
      <c r="V803" s="103"/>
      <c r="W803" s="103"/>
      <c r="X803" s="103"/>
      <c r="Y803" s="103"/>
      <c r="Z803" s="103"/>
    </row>
    <row r="804" ht="15.75" customHeight="1">
      <c r="A804" s="19" t="s">
        <v>22322</v>
      </c>
      <c r="B804" s="19" t="s">
        <v>27091</v>
      </c>
      <c r="C804" s="19" t="s">
        <v>25655</v>
      </c>
      <c r="D804" s="19" t="s">
        <v>24344</v>
      </c>
      <c r="E804" s="19" t="s">
        <v>22315</v>
      </c>
      <c r="F804" s="102" t="s">
        <v>22316</v>
      </c>
      <c r="G804" s="19" t="s">
        <v>24335</v>
      </c>
      <c r="H804" s="19" t="b">
        <v>1</v>
      </c>
      <c r="I804" s="19">
        <v>1.0</v>
      </c>
      <c r="J804" s="19" t="s">
        <v>27092</v>
      </c>
      <c r="K804" s="19" t="s">
        <v>22313</v>
      </c>
      <c r="L804" s="19">
        <v>97480.0</v>
      </c>
      <c r="M804" s="19" t="s">
        <v>123</v>
      </c>
      <c r="N804" s="103"/>
      <c r="O804" s="19" t="s">
        <v>11435</v>
      </c>
      <c r="P804" s="103"/>
      <c r="Q804" s="19" t="s">
        <v>27093</v>
      </c>
      <c r="R804" s="103"/>
      <c r="S804" s="19" t="s">
        <v>24460</v>
      </c>
      <c r="T804" s="103"/>
      <c r="U804" s="103"/>
      <c r="V804" s="103"/>
      <c r="W804" s="103"/>
      <c r="X804" s="103"/>
      <c r="Y804" s="103"/>
      <c r="Z804" s="103"/>
    </row>
    <row r="805" ht="15.75" customHeight="1">
      <c r="A805" s="19" t="s">
        <v>22336</v>
      </c>
      <c r="B805" s="19" t="s">
        <v>25695</v>
      </c>
      <c r="C805" s="19" t="s">
        <v>25097</v>
      </c>
      <c r="D805" s="19" t="s">
        <v>24334</v>
      </c>
      <c r="E805" s="19" t="s">
        <v>22329</v>
      </c>
      <c r="F805" s="102" t="s">
        <v>22330</v>
      </c>
      <c r="G805" s="19" t="s">
        <v>24335</v>
      </c>
      <c r="H805" s="19" t="b">
        <v>1</v>
      </c>
      <c r="I805" s="19">
        <v>1.0</v>
      </c>
      <c r="J805" s="19" t="s">
        <v>22327</v>
      </c>
      <c r="K805" s="19" t="s">
        <v>21975</v>
      </c>
      <c r="L805" s="19">
        <v>97414.0</v>
      </c>
      <c r="M805" s="19" t="s">
        <v>40</v>
      </c>
      <c r="N805" s="103"/>
      <c r="O805" s="19" t="s">
        <v>11437</v>
      </c>
      <c r="P805" s="103"/>
      <c r="Q805" s="19" t="s">
        <v>27094</v>
      </c>
      <c r="R805" s="104">
        <v>23398.0</v>
      </c>
      <c r="S805" s="19" t="s">
        <v>24348</v>
      </c>
      <c r="T805" s="103"/>
      <c r="U805" s="103"/>
      <c r="V805" s="103"/>
      <c r="W805" s="103"/>
      <c r="X805" s="103"/>
      <c r="Y805" s="103"/>
      <c r="Z805" s="103"/>
    </row>
    <row r="806" ht="15.75" customHeight="1">
      <c r="A806" s="19" t="s">
        <v>22346</v>
      </c>
      <c r="B806" s="19" t="s">
        <v>25695</v>
      </c>
      <c r="C806" s="19" t="s">
        <v>27095</v>
      </c>
      <c r="D806" s="19" t="s">
        <v>24334</v>
      </c>
      <c r="E806" s="19" t="s">
        <v>22342</v>
      </c>
      <c r="F806" s="102" t="s">
        <v>22343</v>
      </c>
      <c r="G806" s="19" t="s">
        <v>24335</v>
      </c>
      <c r="H806" s="19" t="b">
        <v>1</v>
      </c>
      <c r="I806" s="19">
        <v>1.0</v>
      </c>
      <c r="J806" s="102" t="s">
        <v>22340</v>
      </c>
      <c r="K806" s="19" t="s">
        <v>16821</v>
      </c>
      <c r="L806" s="19">
        <v>97480.0</v>
      </c>
      <c r="M806" s="19" t="s">
        <v>123</v>
      </c>
      <c r="N806" s="103"/>
      <c r="O806" s="19" t="s">
        <v>11439</v>
      </c>
      <c r="P806" s="103"/>
      <c r="Q806" s="19" t="s">
        <v>27096</v>
      </c>
      <c r="R806" s="103"/>
      <c r="S806" s="19" t="s">
        <v>24460</v>
      </c>
      <c r="T806" s="103"/>
      <c r="U806" s="103"/>
      <c r="V806" s="103"/>
      <c r="W806" s="103"/>
      <c r="X806" s="103"/>
      <c r="Y806" s="103"/>
      <c r="Z806" s="103"/>
    </row>
    <row r="807" ht="15.75" customHeight="1">
      <c r="A807" s="19" t="s">
        <v>22359</v>
      </c>
      <c r="B807" s="19" t="s">
        <v>27097</v>
      </c>
      <c r="C807" s="19" t="s">
        <v>27098</v>
      </c>
      <c r="D807" s="19" t="s">
        <v>24334</v>
      </c>
      <c r="E807" s="19" t="s">
        <v>22353</v>
      </c>
      <c r="F807" s="102" t="s">
        <v>22354</v>
      </c>
      <c r="G807" s="19" t="s">
        <v>24420</v>
      </c>
      <c r="H807" s="19" t="b">
        <v>1</v>
      </c>
      <c r="I807" s="19">
        <v>1.0</v>
      </c>
      <c r="J807" s="102" t="s">
        <v>22350</v>
      </c>
      <c r="K807" s="19" t="s">
        <v>22351</v>
      </c>
      <c r="L807" s="19">
        <v>97480.0</v>
      </c>
      <c r="M807" s="19" t="s">
        <v>123</v>
      </c>
      <c r="N807" s="103"/>
      <c r="O807" s="19" t="s">
        <v>27099</v>
      </c>
      <c r="P807" s="19" t="s">
        <v>27100</v>
      </c>
      <c r="Q807" s="19" t="s">
        <v>27101</v>
      </c>
      <c r="R807" s="104">
        <v>24109.0</v>
      </c>
      <c r="S807" s="19" t="s">
        <v>24348</v>
      </c>
      <c r="T807" s="103"/>
      <c r="U807" s="103"/>
      <c r="V807" s="103"/>
      <c r="W807" s="103"/>
      <c r="X807" s="103"/>
      <c r="Y807" s="103"/>
      <c r="Z807" s="103"/>
    </row>
    <row r="808" ht="15.75" customHeight="1">
      <c r="A808" s="19" t="s">
        <v>22372</v>
      </c>
      <c r="B808" s="19" t="s">
        <v>27102</v>
      </c>
      <c r="C808" s="19" t="s">
        <v>27103</v>
      </c>
      <c r="D808" s="19" t="s">
        <v>24334</v>
      </c>
      <c r="E808" s="19" t="s">
        <v>22366</v>
      </c>
      <c r="F808" s="102" t="s">
        <v>22367</v>
      </c>
      <c r="G808" s="19" t="s">
        <v>24420</v>
      </c>
      <c r="H808" s="19" t="b">
        <v>1</v>
      </c>
      <c r="I808" s="19">
        <v>1.0</v>
      </c>
      <c r="J808" s="19" t="s">
        <v>27104</v>
      </c>
      <c r="K808" s="19" t="s">
        <v>22364</v>
      </c>
      <c r="L808" s="19">
        <v>97430.0</v>
      </c>
      <c r="M808" s="19" t="s">
        <v>71</v>
      </c>
      <c r="N808" s="103"/>
      <c r="O808" s="19" t="s">
        <v>11443</v>
      </c>
      <c r="P808" s="103"/>
      <c r="Q808" s="19" t="s">
        <v>27105</v>
      </c>
      <c r="R808" s="103"/>
      <c r="S808" s="19"/>
      <c r="T808" s="103"/>
      <c r="U808" s="103"/>
      <c r="V808" s="103"/>
      <c r="W808" s="103"/>
      <c r="X808" s="103"/>
      <c r="Y808" s="103"/>
      <c r="Z808" s="103"/>
    </row>
    <row r="809" ht="15.75" customHeight="1">
      <c r="A809" s="19" t="s">
        <v>22387</v>
      </c>
      <c r="B809" s="19" t="s">
        <v>27106</v>
      </c>
      <c r="C809" s="19" t="s">
        <v>25869</v>
      </c>
      <c r="D809" s="19" t="s">
        <v>24334</v>
      </c>
      <c r="E809" s="19" t="s">
        <v>27107</v>
      </c>
      <c r="F809" s="102" t="s">
        <v>22381</v>
      </c>
      <c r="G809" s="19" t="s">
        <v>24420</v>
      </c>
      <c r="H809" s="19" t="b">
        <v>1</v>
      </c>
      <c r="I809" s="19">
        <v>1.0</v>
      </c>
      <c r="J809" s="102" t="s">
        <v>14790</v>
      </c>
      <c r="K809" s="19" t="s">
        <v>22378</v>
      </c>
      <c r="L809" s="19">
        <v>97480.0</v>
      </c>
      <c r="M809" s="19" t="s">
        <v>123</v>
      </c>
      <c r="N809" s="103"/>
      <c r="O809" s="19" t="s">
        <v>11445</v>
      </c>
      <c r="P809" s="103"/>
      <c r="Q809" s="19" t="s">
        <v>27108</v>
      </c>
      <c r="R809" s="103"/>
      <c r="S809" s="103"/>
      <c r="T809" s="103"/>
      <c r="U809" s="103"/>
      <c r="V809" s="103"/>
      <c r="W809" s="103"/>
      <c r="X809" s="103"/>
      <c r="Y809" s="103"/>
      <c r="Z809" s="103"/>
    </row>
    <row r="810" ht="15.75" customHeight="1">
      <c r="A810" s="19" t="s">
        <v>22399</v>
      </c>
      <c r="B810" s="19" t="s">
        <v>24936</v>
      </c>
      <c r="C810" s="19" t="s">
        <v>27109</v>
      </c>
      <c r="D810" s="19" t="s">
        <v>24334</v>
      </c>
      <c r="E810" s="19" t="s">
        <v>22394</v>
      </c>
      <c r="F810" s="102" t="s">
        <v>22395</v>
      </c>
      <c r="G810" s="19" t="s">
        <v>24420</v>
      </c>
      <c r="H810" s="19" t="b">
        <v>1</v>
      </c>
      <c r="I810" s="19">
        <v>1.0</v>
      </c>
      <c r="J810" s="102" t="s">
        <v>19234</v>
      </c>
      <c r="K810" s="19" t="s">
        <v>22392</v>
      </c>
      <c r="L810" s="19">
        <v>97414.0</v>
      </c>
      <c r="M810" s="19" t="s">
        <v>40</v>
      </c>
      <c r="N810" s="103"/>
      <c r="O810" s="19" t="s">
        <v>11448</v>
      </c>
      <c r="P810" s="103"/>
      <c r="Q810" s="19" t="s">
        <v>27110</v>
      </c>
      <c r="R810" s="103"/>
      <c r="S810" s="19" t="s">
        <v>24348</v>
      </c>
      <c r="T810" s="103"/>
      <c r="U810" s="103"/>
      <c r="V810" s="103"/>
      <c r="W810" s="103"/>
      <c r="X810" s="103"/>
      <c r="Y810" s="103"/>
      <c r="Z810" s="103"/>
    </row>
    <row r="811" ht="15.75" customHeight="1">
      <c r="A811" s="19" t="s">
        <v>22410</v>
      </c>
      <c r="B811" s="19" t="s">
        <v>26378</v>
      </c>
      <c r="C811" s="19" t="s">
        <v>25187</v>
      </c>
      <c r="D811" s="19" t="s">
        <v>24344</v>
      </c>
      <c r="E811" s="19" t="s">
        <v>22405</v>
      </c>
      <c r="F811" s="102" t="s">
        <v>22406</v>
      </c>
      <c r="G811" s="19" t="s">
        <v>24420</v>
      </c>
      <c r="H811" s="19" t="b">
        <v>1</v>
      </c>
      <c r="I811" s="19">
        <v>1.0</v>
      </c>
      <c r="J811" s="102" t="s">
        <v>15167</v>
      </c>
      <c r="K811" s="19" t="s">
        <v>22403</v>
      </c>
      <c r="L811" s="19">
        <v>97480.0</v>
      </c>
      <c r="M811" s="19" t="s">
        <v>123</v>
      </c>
      <c r="N811" s="103"/>
      <c r="O811" s="19" t="s">
        <v>11450</v>
      </c>
      <c r="P811" s="103"/>
      <c r="Q811" s="19" t="s">
        <v>27111</v>
      </c>
      <c r="R811" s="104">
        <v>33412.0</v>
      </c>
      <c r="S811" s="19" t="s">
        <v>24348</v>
      </c>
      <c r="T811" s="103"/>
      <c r="U811" s="103"/>
      <c r="V811" s="103"/>
      <c r="W811" s="103"/>
      <c r="X811" s="103"/>
      <c r="Y811" s="103"/>
      <c r="Z811" s="103"/>
    </row>
    <row r="812" ht="15.75" customHeight="1">
      <c r="A812" s="19" t="s">
        <v>22424</v>
      </c>
      <c r="B812" s="19" t="s">
        <v>27112</v>
      </c>
      <c r="C812" s="19" t="s">
        <v>24884</v>
      </c>
      <c r="D812" s="19" t="s">
        <v>24334</v>
      </c>
      <c r="E812" s="19" t="s">
        <v>22417</v>
      </c>
      <c r="F812" s="102" t="s">
        <v>22418</v>
      </c>
      <c r="G812" s="19" t="s">
        <v>24390</v>
      </c>
      <c r="H812" s="19" t="b">
        <v>1</v>
      </c>
      <c r="I812" s="19">
        <v>1.0</v>
      </c>
      <c r="J812" s="102" t="s">
        <v>22414</v>
      </c>
      <c r="K812" s="19" t="s">
        <v>27113</v>
      </c>
      <c r="L812" s="19">
        <v>97430.0</v>
      </c>
      <c r="M812" s="19" t="s">
        <v>71</v>
      </c>
      <c r="N812" s="103"/>
      <c r="O812" s="19" t="s">
        <v>11452</v>
      </c>
      <c r="P812" s="103"/>
      <c r="Q812" s="19" t="s">
        <v>27114</v>
      </c>
      <c r="R812" s="105">
        <v>24396.0</v>
      </c>
      <c r="S812" s="19" t="s">
        <v>24348</v>
      </c>
      <c r="T812" s="103"/>
      <c r="U812" s="103"/>
      <c r="V812" s="103"/>
      <c r="W812" s="103"/>
      <c r="X812" s="103"/>
      <c r="Y812" s="103"/>
      <c r="Z812" s="103"/>
    </row>
    <row r="813" ht="15.75" customHeight="1">
      <c r="A813" s="19" t="s">
        <v>22439</v>
      </c>
      <c r="B813" s="19" t="s">
        <v>26078</v>
      </c>
      <c r="C813" s="19" t="s">
        <v>27115</v>
      </c>
      <c r="D813" s="19" t="s">
        <v>24344</v>
      </c>
      <c r="E813" s="19" t="s">
        <v>22433</v>
      </c>
      <c r="F813" s="102" t="s">
        <v>22434</v>
      </c>
      <c r="G813" s="19" t="s">
        <v>24335</v>
      </c>
      <c r="H813" s="19" t="b">
        <v>1</v>
      </c>
      <c r="I813" s="19">
        <v>1.0</v>
      </c>
      <c r="J813" s="102" t="s">
        <v>16044</v>
      </c>
      <c r="K813" s="19" t="s">
        <v>27116</v>
      </c>
      <c r="L813" s="19">
        <v>97418.0</v>
      </c>
      <c r="M813" s="19" t="s">
        <v>71</v>
      </c>
      <c r="N813" s="103"/>
      <c r="O813" s="19" t="s">
        <v>11454</v>
      </c>
      <c r="P813" s="103"/>
      <c r="Q813" s="19" t="s">
        <v>27117</v>
      </c>
      <c r="R813" s="104">
        <v>25591.0</v>
      </c>
      <c r="S813" s="19" t="s">
        <v>24460</v>
      </c>
      <c r="T813" s="103"/>
      <c r="U813" s="103"/>
      <c r="V813" s="103"/>
      <c r="W813" s="103"/>
      <c r="X813" s="103"/>
      <c r="Y813" s="103"/>
      <c r="Z813" s="103"/>
    </row>
    <row r="814" ht="15.75" customHeight="1">
      <c r="A814" s="19" t="s">
        <v>22454</v>
      </c>
      <c r="B814" s="19" t="s">
        <v>27118</v>
      </c>
      <c r="C814" s="19" t="s">
        <v>25215</v>
      </c>
      <c r="D814" s="19" t="s">
        <v>24344</v>
      </c>
      <c r="E814" s="19" t="s">
        <v>22446</v>
      </c>
      <c r="F814" s="102" t="s">
        <v>22447</v>
      </c>
      <c r="G814" s="19" t="s">
        <v>24335</v>
      </c>
      <c r="H814" s="19" t="b">
        <v>1</v>
      </c>
      <c r="I814" s="19">
        <v>1.0</v>
      </c>
      <c r="J814" s="19" t="s">
        <v>27119</v>
      </c>
      <c r="K814" s="19" t="s">
        <v>27120</v>
      </c>
      <c r="L814" s="19">
        <v>97442.0</v>
      </c>
      <c r="M814" s="19" t="s">
        <v>33</v>
      </c>
      <c r="N814" s="103"/>
      <c r="O814" s="19" t="s">
        <v>11456</v>
      </c>
      <c r="P814" s="103"/>
      <c r="Q814" s="19" t="s">
        <v>27121</v>
      </c>
      <c r="R814" s="105">
        <v>33200.0</v>
      </c>
      <c r="S814" s="19" t="s">
        <v>24460</v>
      </c>
      <c r="T814" s="103"/>
      <c r="U814" s="103"/>
      <c r="V814" s="103"/>
      <c r="W814" s="103"/>
      <c r="X814" s="103"/>
      <c r="Y814" s="103"/>
      <c r="Z814" s="103"/>
    </row>
    <row r="815" ht="15.75" customHeight="1">
      <c r="A815" s="19" t="s">
        <v>22482</v>
      </c>
      <c r="B815" s="19" t="s">
        <v>27122</v>
      </c>
      <c r="C815" s="19" t="s">
        <v>27123</v>
      </c>
      <c r="D815" s="19" t="s">
        <v>24334</v>
      </c>
      <c r="E815" s="19" t="s">
        <v>22475</v>
      </c>
      <c r="F815" s="102" t="s">
        <v>27124</v>
      </c>
      <c r="G815" s="19" t="s">
        <v>24420</v>
      </c>
      <c r="H815" s="19" t="b">
        <v>1</v>
      </c>
      <c r="I815" s="19">
        <v>1.0</v>
      </c>
      <c r="J815" s="102" t="s">
        <v>13151</v>
      </c>
      <c r="K815" s="19" t="s">
        <v>27125</v>
      </c>
      <c r="L815" s="19">
        <v>97431.0</v>
      </c>
      <c r="M815" s="19" t="s">
        <v>26363</v>
      </c>
      <c r="N815" s="103"/>
      <c r="O815" s="19" t="s">
        <v>11460</v>
      </c>
      <c r="P815" s="103"/>
      <c r="Q815" s="19" t="s">
        <v>27126</v>
      </c>
      <c r="R815" s="104">
        <v>32706.0</v>
      </c>
      <c r="S815" s="19" t="s">
        <v>24348</v>
      </c>
      <c r="T815" s="103"/>
      <c r="U815" s="103"/>
      <c r="V815" s="103"/>
      <c r="W815" s="103"/>
      <c r="X815" s="103"/>
      <c r="Y815" s="103"/>
      <c r="Z815" s="103"/>
    </row>
    <row r="816" ht="15.75" customHeight="1">
      <c r="A816" s="19" t="s">
        <v>22497</v>
      </c>
      <c r="B816" s="19" t="s">
        <v>27127</v>
      </c>
      <c r="C816" s="19" t="s">
        <v>27128</v>
      </c>
      <c r="D816" s="19" t="s">
        <v>24344</v>
      </c>
      <c r="E816" s="19" t="s">
        <v>22489</v>
      </c>
      <c r="F816" s="102" t="s">
        <v>22490</v>
      </c>
      <c r="G816" s="19" t="s">
        <v>24335</v>
      </c>
      <c r="H816" s="19" t="b">
        <v>1</v>
      </c>
      <c r="I816" s="19">
        <v>1.0</v>
      </c>
      <c r="J816" s="19" t="s">
        <v>27092</v>
      </c>
      <c r="K816" s="19" t="s">
        <v>27129</v>
      </c>
      <c r="L816" s="19">
        <v>78280.0</v>
      </c>
      <c r="M816" s="19" t="s">
        <v>27130</v>
      </c>
      <c r="N816" s="103"/>
      <c r="O816" s="19" t="s">
        <v>11462</v>
      </c>
      <c r="P816" s="103"/>
      <c r="Q816" s="19" t="s">
        <v>27131</v>
      </c>
      <c r="R816" s="103"/>
      <c r="S816" s="19" t="s">
        <v>24460</v>
      </c>
      <c r="T816" s="103"/>
      <c r="U816" s="103"/>
      <c r="V816" s="103"/>
      <c r="W816" s="103"/>
      <c r="X816" s="103"/>
      <c r="Y816" s="103"/>
      <c r="Z816" s="103"/>
    </row>
    <row r="817" ht="15.75" customHeight="1">
      <c r="A817" s="19" t="s">
        <v>22512</v>
      </c>
      <c r="B817" s="19" t="s">
        <v>27132</v>
      </c>
      <c r="C817" s="19" t="s">
        <v>24976</v>
      </c>
      <c r="D817" s="19" t="s">
        <v>24334</v>
      </c>
      <c r="E817" s="19" t="s">
        <v>27133</v>
      </c>
      <c r="F817" s="102" t="s">
        <v>22506</v>
      </c>
      <c r="G817" s="19" t="s">
        <v>24420</v>
      </c>
      <c r="H817" s="19" t="b">
        <v>1</v>
      </c>
      <c r="I817" s="19">
        <v>1.0</v>
      </c>
      <c r="J817" s="102" t="s">
        <v>22503</v>
      </c>
      <c r="K817" s="19" t="s">
        <v>16029</v>
      </c>
      <c r="L817" s="19">
        <v>97414.0</v>
      </c>
      <c r="M817" s="19" t="s">
        <v>40</v>
      </c>
      <c r="N817" s="103"/>
      <c r="O817" s="19" t="s">
        <v>11464</v>
      </c>
      <c r="P817" s="19" t="s">
        <v>27134</v>
      </c>
      <c r="Q817" s="19" t="s">
        <v>27135</v>
      </c>
      <c r="R817" s="103"/>
      <c r="S817" s="19" t="s">
        <v>24348</v>
      </c>
      <c r="T817" s="103"/>
      <c r="U817" s="103"/>
      <c r="V817" s="103"/>
      <c r="W817" s="103"/>
      <c r="X817" s="103"/>
      <c r="Y817" s="103"/>
      <c r="Z817" s="103"/>
    </row>
    <row r="818" ht="15.75" customHeight="1">
      <c r="A818" s="102" t="s">
        <v>22522</v>
      </c>
      <c r="B818" s="19" t="s">
        <v>27136</v>
      </c>
      <c r="C818" s="19" t="s">
        <v>27137</v>
      </c>
      <c r="D818" s="19" t="s">
        <v>24334</v>
      </c>
      <c r="E818" s="19" t="s">
        <v>22518</v>
      </c>
      <c r="F818" s="102" t="s">
        <v>22519</v>
      </c>
      <c r="G818" s="19" t="s">
        <v>24420</v>
      </c>
      <c r="H818" s="19" t="b">
        <v>1</v>
      </c>
      <c r="I818" s="19">
        <v>1.0</v>
      </c>
      <c r="J818" s="102" t="s">
        <v>12345</v>
      </c>
      <c r="K818" s="19" t="s">
        <v>14666</v>
      </c>
      <c r="L818" s="19">
        <v>97414.0</v>
      </c>
      <c r="M818" s="19" t="s">
        <v>40</v>
      </c>
      <c r="N818" s="103"/>
      <c r="O818" s="19" t="s">
        <v>11466</v>
      </c>
      <c r="P818" s="103"/>
      <c r="Q818" s="19" t="s">
        <v>27138</v>
      </c>
      <c r="R818" s="103"/>
      <c r="S818" s="19" t="s">
        <v>24348</v>
      </c>
      <c r="T818" s="103"/>
      <c r="U818" s="103"/>
      <c r="V818" s="103"/>
      <c r="W818" s="103"/>
      <c r="X818" s="103"/>
      <c r="Y818" s="103"/>
      <c r="Z818" s="103"/>
    </row>
    <row r="819" ht="15.75" customHeight="1">
      <c r="A819" s="19" t="s">
        <v>22533</v>
      </c>
      <c r="B819" s="19" t="s">
        <v>27139</v>
      </c>
      <c r="C819" s="19" t="s">
        <v>154</v>
      </c>
      <c r="D819" s="19" t="s">
        <v>24334</v>
      </c>
      <c r="E819" s="19" t="s">
        <v>22527</v>
      </c>
      <c r="F819" s="102" t="s">
        <v>22528</v>
      </c>
      <c r="G819" s="19" t="s">
        <v>24420</v>
      </c>
      <c r="H819" s="19" t="b">
        <v>1</v>
      </c>
      <c r="I819" s="19">
        <v>1.0</v>
      </c>
      <c r="J819" s="102" t="s">
        <v>13073</v>
      </c>
      <c r="K819" s="19" t="s">
        <v>27140</v>
      </c>
      <c r="L819" s="19">
        <v>97442.0</v>
      </c>
      <c r="M819" s="19" t="s">
        <v>33</v>
      </c>
      <c r="N819" s="103"/>
      <c r="O819" s="19" t="s">
        <v>11468</v>
      </c>
      <c r="P819" s="19" t="s">
        <v>27141</v>
      </c>
      <c r="Q819" s="19" t="s">
        <v>27142</v>
      </c>
      <c r="R819" s="104">
        <v>35070.0</v>
      </c>
      <c r="S819" s="19" t="s">
        <v>24348</v>
      </c>
      <c r="T819" s="103"/>
      <c r="U819" s="103"/>
      <c r="V819" s="103"/>
      <c r="W819" s="103"/>
      <c r="X819" s="103"/>
      <c r="Y819" s="103"/>
      <c r="Z819" s="103"/>
    </row>
    <row r="820" ht="15.75" customHeight="1">
      <c r="A820" s="19" t="s">
        <v>22549</v>
      </c>
      <c r="B820" s="19" t="s">
        <v>27143</v>
      </c>
      <c r="C820" s="19" t="s">
        <v>27144</v>
      </c>
      <c r="D820" s="19" t="s">
        <v>24344</v>
      </c>
      <c r="E820" s="19" t="s">
        <v>22540</v>
      </c>
      <c r="F820" s="102" t="s">
        <v>22541</v>
      </c>
      <c r="G820" s="19" t="s">
        <v>24335</v>
      </c>
      <c r="H820" s="19" t="b">
        <v>1</v>
      </c>
      <c r="I820" s="19">
        <v>1.0</v>
      </c>
      <c r="J820" s="102" t="s">
        <v>14338</v>
      </c>
      <c r="K820" s="19" t="s">
        <v>27145</v>
      </c>
      <c r="L820" s="19">
        <v>97480.0</v>
      </c>
      <c r="M820" s="19" t="s">
        <v>123</v>
      </c>
      <c r="N820" s="103"/>
      <c r="O820" s="19" t="s">
        <v>11470</v>
      </c>
      <c r="P820" s="19" t="s">
        <v>27146</v>
      </c>
      <c r="Q820" s="19" t="s">
        <v>27147</v>
      </c>
      <c r="R820" s="103"/>
      <c r="S820" s="19" t="s">
        <v>24348</v>
      </c>
      <c r="T820" s="103"/>
      <c r="U820" s="103"/>
      <c r="V820" s="103"/>
      <c r="W820" s="103"/>
      <c r="X820" s="103"/>
      <c r="Y820" s="103"/>
      <c r="Z820" s="103"/>
    </row>
    <row r="821" ht="15.75" customHeight="1">
      <c r="A821" s="19" t="s">
        <v>22562</v>
      </c>
      <c r="B821" s="19" t="s">
        <v>27148</v>
      </c>
      <c r="C821" s="19" t="s">
        <v>25264</v>
      </c>
      <c r="D821" s="19" t="s">
        <v>24344</v>
      </c>
      <c r="E821" s="19" t="s">
        <v>22555</v>
      </c>
      <c r="F821" s="102" t="s">
        <v>22556</v>
      </c>
      <c r="G821" s="19" t="s">
        <v>24335</v>
      </c>
      <c r="H821" s="19" t="b">
        <v>1</v>
      </c>
      <c r="I821" s="19">
        <v>1.0</v>
      </c>
      <c r="J821" s="19" t="s">
        <v>22553</v>
      </c>
      <c r="K821" s="19" t="s">
        <v>16029</v>
      </c>
      <c r="L821" s="19">
        <v>97414.0</v>
      </c>
      <c r="M821" s="19" t="s">
        <v>40</v>
      </c>
      <c r="N821" s="103"/>
      <c r="O821" s="19" t="s">
        <v>11472</v>
      </c>
      <c r="P821" s="103"/>
      <c r="Q821" s="19" t="s">
        <v>27149</v>
      </c>
      <c r="R821" s="103"/>
      <c r="S821" s="19" t="s">
        <v>24348</v>
      </c>
      <c r="T821" s="103"/>
      <c r="U821" s="103"/>
      <c r="V821" s="103"/>
      <c r="W821" s="103"/>
      <c r="X821" s="103"/>
      <c r="Y821" s="103"/>
      <c r="Z821" s="103"/>
    </row>
    <row r="822" ht="15.75" customHeight="1">
      <c r="A822" s="19" t="s">
        <v>22576</v>
      </c>
      <c r="B822" s="19" t="s">
        <v>25695</v>
      </c>
      <c r="C822" s="19" t="s">
        <v>27150</v>
      </c>
      <c r="D822" s="19" t="s">
        <v>24334</v>
      </c>
      <c r="E822" s="19" t="s">
        <v>22570</v>
      </c>
      <c r="F822" s="102" t="s">
        <v>22571</v>
      </c>
      <c r="G822" s="19" t="s">
        <v>24335</v>
      </c>
      <c r="H822" s="19" t="b">
        <v>1</v>
      </c>
      <c r="I822" s="19">
        <v>1.0</v>
      </c>
      <c r="J822" s="19" t="s">
        <v>27151</v>
      </c>
      <c r="K822" s="19" t="s">
        <v>27152</v>
      </c>
      <c r="L822" s="19">
        <v>97430.0</v>
      </c>
      <c r="M822" s="19" t="s">
        <v>71</v>
      </c>
      <c r="N822" s="103"/>
      <c r="O822" s="19" t="s">
        <v>11474</v>
      </c>
      <c r="P822" s="103"/>
      <c r="Q822" s="19" t="s">
        <v>27153</v>
      </c>
      <c r="R822" s="103"/>
      <c r="S822" s="19" t="s">
        <v>24460</v>
      </c>
      <c r="T822" s="103"/>
      <c r="U822" s="103"/>
      <c r="V822" s="103"/>
      <c r="W822" s="103"/>
      <c r="X822" s="103"/>
      <c r="Y822" s="103"/>
      <c r="Z822" s="103"/>
    </row>
    <row r="823" ht="15.75" customHeight="1">
      <c r="A823" s="19" t="s">
        <v>22590</v>
      </c>
      <c r="B823" s="19" t="s">
        <v>27154</v>
      </c>
      <c r="C823" s="19" t="s">
        <v>27155</v>
      </c>
      <c r="D823" s="19" t="s">
        <v>24344</v>
      </c>
      <c r="E823" s="19" t="s">
        <v>22581</v>
      </c>
      <c r="F823" s="102" t="s">
        <v>22582</v>
      </c>
      <c r="G823" s="19" t="s">
        <v>24335</v>
      </c>
      <c r="H823" s="19" t="b">
        <v>1</v>
      </c>
      <c r="I823" s="19">
        <v>1.0</v>
      </c>
      <c r="J823" s="102" t="s">
        <v>19732</v>
      </c>
      <c r="K823" s="19" t="s">
        <v>27156</v>
      </c>
      <c r="L823" s="19">
        <v>97430.0</v>
      </c>
      <c r="M823" s="19" t="s">
        <v>71</v>
      </c>
      <c r="N823" s="103"/>
      <c r="O823" s="19" t="s">
        <v>11476</v>
      </c>
      <c r="P823" s="103"/>
      <c r="Q823" s="19" t="s">
        <v>27157</v>
      </c>
      <c r="R823" s="104">
        <v>29729.0</v>
      </c>
      <c r="S823" s="103"/>
      <c r="T823" s="103"/>
      <c r="U823" s="103"/>
      <c r="V823" s="103"/>
      <c r="W823" s="103"/>
      <c r="X823" s="103"/>
      <c r="Y823" s="103"/>
      <c r="Z823" s="103"/>
    </row>
    <row r="824" ht="15.75" customHeight="1">
      <c r="A824" s="19" t="s">
        <v>22626</v>
      </c>
      <c r="B824" s="19" t="s">
        <v>27158</v>
      </c>
      <c r="C824" s="19" t="s">
        <v>27159</v>
      </c>
      <c r="D824" s="19" t="s">
        <v>24334</v>
      </c>
      <c r="E824" s="19" t="s">
        <v>22619</v>
      </c>
      <c r="F824" s="102" t="s">
        <v>22620</v>
      </c>
      <c r="G824" s="19" t="s">
        <v>24335</v>
      </c>
      <c r="H824" s="19" t="b">
        <v>1</v>
      </c>
      <c r="I824" s="19">
        <v>1.0</v>
      </c>
      <c r="J824" s="102" t="s">
        <v>13183</v>
      </c>
      <c r="K824" s="19" t="s">
        <v>22617</v>
      </c>
      <c r="L824" s="19">
        <v>97480.0</v>
      </c>
      <c r="M824" s="19" t="s">
        <v>123</v>
      </c>
      <c r="N824" s="103"/>
      <c r="O824" s="19" t="s">
        <v>11482</v>
      </c>
      <c r="P824" s="103"/>
      <c r="Q824" s="19" t="s">
        <v>27160</v>
      </c>
      <c r="R824" s="103"/>
      <c r="S824" s="103"/>
      <c r="T824" s="103"/>
      <c r="U824" s="103"/>
      <c r="V824" s="103"/>
      <c r="W824" s="103"/>
      <c r="X824" s="103"/>
      <c r="Y824" s="103"/>
      <c r="Z824" s="103"/>
    </row>
    <row r="825" ht="15.75" customHeight="1">
      <c r="A825" s="19" t="s">
        <v>22639</v>
      </c>
      <c r="B825" s="19" t="s">
        <v>27161</v>
      </c>
      <c r="C825" s="19" t="s">
        <v>27162</v>
      </c>
      <c r="D825" s="19" t="s">
        <v>24344</v>
      </c>
      <c r="E825" s="19" t="s">
        <v>22633</v>
      </c>
      <c r="F825" s="102" t="s">
        <v>22634</v>
      </c>
      <c r="G825" s="19" t="s">
        <v>24335</v>
      </c>
      <c r="H825" s="19" t="b">
        <v>1</v>
      </c>
      <c r="I825" s="19">
        <v>1.0</v>
      </c>
      <c r="J825" s="102" t="s">
        <v>18179</v>
      </c>
      <c r="K825" s="19" t="s">
        <v>22631</v>
      </c>
      <c r="L825" s="19">
        <v>97418.0</v>
      </c>
      <c r="M825" s="19" t="s">
        <v>216</v>
      </c>
      <c r="N825" s="103"/>
      <c r="O825" s="19" t="s">
        <v>11484</v>
      </c>
      <c r="P825" s="103"/>
      <c r="Q825" s="19" t="s">
        <v>27163</v>
      </c>
      <c r="R825" s="103"/>
      <c r="S825" s="103"/>
      <c r="T825" s="103"/>
      <c r="U825" s="103"/>
      <c r="V825" s="103"/>
      <c r="W825" s="103"/>
      <c r="X825" s="103"/>
      <c r="Y825" s="103"/>
      <c r="Z825" s="103"/>
    </row>
    <row r="826" ht="15.75" customHeight="1">
      <c r="A826" s="19" t="s">
        <v>22651</v>
      </c>
      <c r="B826" s="19" t="s">
        <v>26134</v>
      </c>
      <c r="C826" s="19" t="s">
        <v>24506</v>
      </c>
      <c r="D826" s="19" t="s">
        <v>24344</v>
      </c>
      <c r="E826" s="19" t="s">
        <v>22646</v>
      </c>
      <c r="F826" s="102" t="s">
        <v>22647</v>
      </c>
      <c r="G826" s="19" t="s">
        <v>24335</v>
      </c>
      <c r="H826" s="19" t="b">
        <v>1</v>
      </c>
      <c r="I826" s="19">
        <v>1.0</v>
      </c>
      <c r="J826" s="102" t="s">
        <v>12820</v>
      </c>
      <c r="K826" s="19" t="s">
        <v>22644</v>
      </c>
      <c r="L826" s="19">
        <v>97430.0</v>
      </c>
      <c r="M826" s="19" t="s">
        <v>71</v>
      </c>
      <c r="N826" s="103"/>
      <c r="O826" s="19" t="s">
        <v>11486</v>
      </c>
      <c r="P826" s="103"/>
      <c r="Q826" s="19" t="s">
        <v>27164</v>
      </c>
      <c r="R826" s="103"/>
      <c r="S826" s="103"/>
      <c r="T826" s="103"/>
      <c r="U826" s="103"/>
      <c r="V826" s="103"/>
      <c r="W826" s="103"/>
      <c r="X826" s="103"/>
      <c r="Y826" s="103"/>
      <c r="Z826" s="103"/>
    </row>
    <row r="827" ht="15.75" customHeight="1">
      <c r="A827" s="19" t="s">
        <v>22663</v>
      </c>
      <c r="B827" s="19" t="s">
        <v>26241</v>
      </c>
      <c r="C827" s="19" t="s">
        <v>27165</v>
      </c>
      <c r="D827" s="19" t="s">
        <v>24344</v>
      </c>
      <c r="E827" s="19" t="s">
        <v>22657</v>
      </c>
      <c r="F827" s="102" t="s">
        <v>22658</v>
      </c>
      <c r="G827" s="19" t="s">
        <v>24335</v>
      </c>
      <c r="H827" s="19" t="b">
        <v>1</v>
      </c>
      <c r="I827" s="19">
        <v>1.0</v>
      </c>
      <c r="J827" s="102" t="s">
        <v>27166</v>
      </c>
      <c r="K827" s="19" t="s">
        <v>13877</v>
      </c>
      <c r="L827" s="19">
        <v>97480.0</v>
      </c>
      <c r="M827" s="19" t="s">
        <v>123</v>
      </c>
      <c r="N827" s="103"/>
      <c r="O827" s="19" t="s">
        <v>11494</v>
      </c>
      <c r="P827" s="103"/>
      <c r="Q827" s="19" t="s">
        <v>27167</v>
      </c>
      <c r="R827" s="103"/>
      <c r="S827" s="103"/>
      <c r="T827" s="103"/>
      <c r="U827" s="103"/>
      <c r="V827" s="103"/>
      <c r="W827" s="103"/>
      <c r="X827" s="103"/>
      <c r="Y827" s="103"/>
      <c r="Z827" s="103"/>
    </row>
    <row r="828" ht="15.75" customHeight="1">
      <c r="A828" s="19" t="s">
        <v>22676</v>
      </c>
      <c r="B828" s="19" t="s">
        <v>27168</v>
      </c>
      <c r="C828" s="19" t="s">
        <v>24671</v>
      </c>
      <c r="D828" s="19" t="s">
        <v>24334</v>
      </c>
      <c r="E828" s="19" t="s">
        <v>22670</v>
      </c>
      <c r="F828" s="102" t="s">
        <v>27169</v>
      </c>
      <c r="G828" s="19" t="s">
        <v>24335</v>
      </c>
      <c r="H828" s="19" t="b">
        <v>1</v>
      </c>
      <c r="I828" s="19">
        <v>1.0</v>
      </c>
      <c r="J828" s="102" t="s">
        <v>13439</v>
      </c>
      <c r="K828" s="19" t="s">
        <v>27170</v>
      </c>
      <c r="L828" s="19">
        <v>97435.0</v>
      </c>
      <c r="M828" s="19" t="s">
        <v>26470</v>
      </c>
      <c r="N828" s="103"/>
      <c r="O828" s="19" t="s">
        <v>11496</v>
      </c>
      <c r="P828" s="19" t="s">
        <v>27171</v>
      </c>
      <c r="Q828" s="19" t="s">
        <v>27172</v>
      </c>
      <c r="R828" s="103"/>
      <c r="S828" s="103"/>
      <c r="T828" s="103"/>
      <c r="U828" s="103"/>
      <c r="V828" s="103"/>
      <c r="W828" s="103"/>
      <c r="X828" s="103"/>
      <c r="Y828" s="103"/>
      <c r="Z828" s="103"/>
    </row>
    <row r="829" ht="15.75" customHeight="1">
      <c r="A829" s="102" t="s">
        <v>27173</v>
      </c>
      <c r="B829" s="19" t="s">
        <v>27174</v>
      </c>
      <c r="C829" s="19" t="s">
        <v>26261</v>
      </c>
      <c r="D829" s="19" t="s">
        <v>24334</v>
      </c>
      <c r="E829" s="19" t="s">
        <v>27175</v>
      </c>
      <c r="F829" s="102" t="s">
        <v>22684</v>
      </c>
      <c r="G829" s="103"/>
      <c r="H829" s="19" t="b">
        <v>1</v>
      </c>
      <c r="I829" s="19">
        <v>1.0</v>
      </c>
      <c r="J829" s="102" t="s">
        <v>19879</v>
      </c>
      <c r="K829" s="19" t="s">
        <v>27176</v>
      </c>
      <c r="L829" s="19">
        <v>97460.0</v>
      </c>
      <c r="M829" s="19" t="s">
        <v>26470</v>
      </c>
      <c r="N829" s="103"/>
      <c r="O829" s="19" t="s">
        <v>11498</v>
      </c>
      <c r="P829" s="103"/>
      <c r="Q829" s="19" t="s">
        <v>27177</v>
      </c>
      <c r="R829" s="103"/>
      <c r="S829" s="103"/>
      <c r="T829" s="103"/>
      <c r="U829" s="103"/>
      <c r="V829" s="103"/>
      <c r="W829" s="103"/>
      <c r="X829" s="103"/>
      <c r="Y829" s="103"/>
      <c r="Z829" s="103"/>
    </row>
    <row r="830" ht="15.75" customHeight="1">
      <c r="A830" s="19" t="s">
        <v>22719</v>
      </c>
      <c r="B830" s="19" t="s">
        <v>27178</v>
      </c>
      <c r="C830" s="19" t="s">
        <v>25183</v>
      </c>
      <c r="D830" s="19" t="s">
        <v>24334</v>
      </c>
      <c r="E830" s="19" t="s">
        <v>22712</v>
      </c>
      <c r="F830" s="102" t="s">
        <v>22713</v>
      </c>
      <c r="G830" s="19" t="s">
        <v>24420</v>
      </c>
      <c r="H830" s="19" t="b">
        <v>1</v>
      </c>
      <c r="I830" s="19">
        <v>1.0</v>
      </c>
      <c r="J830" s="19" t="s">
        <v>22710</v>
      </c>
      <c r="K830" s="19" t="s">
        <v>12616</v>
      </c>
      <c r="L830" s="19">
        <v>97414.0</v>
      </c>
      <c r="M830" s="19" t="s">
        <v>40</v>
      </c>
      <c r="N830" s="103"/>
      <c r="O830" s="19" t="s">
        <v>11501</v>
      </c>
      <c r="P830" s="103"/>
      <c r="Q830" s="19" t="s">
        <v>27179</v>
      </c>
      <c r="R830" s="103"/>
      <c r="S830" s="103"/>
      <c r="T830" s="103"/>
      <c r="U830" s="103"/>
      <c r="V830" s="103"/>
      <c r="W830" s="103"/>
      <c r="X830" s="103"/>
      <c r="Y830" s="103"/>
      <c r="Z830" s="103"/>
    </row>
    <row r="831" ht="15.75" customHeight="1">
      <c r="A831" s="19" t="s">
        <v>22731</v>
      </c>
      <c r="B831" s="19" t="s">
        <v>27180</v>
      </c>
      <c r="C831" s="19" t="s">
        <v>26643</v>
      </c>
      <c r="D831" s="19" t="s">
        <v>24334</v>
      </c>
      <c r="E831" s="19" t="s">
        <v>22724</v>
      </c>
      <c r="F831" s="102" t="s">
        <v>22725</v>
      </c>
      <c r="G831" s="19" t="s">
        <v>24420</v>
      </c>
      <c r="H831" s="19" t="b">
        <v>1</v>
      </c>
      <c r="I831" s="19">
        <v>1.0</v>
      </c>
      <c r="J831" s="102" t="s">
        <v>19234</v>
      </c>
      <c r="K831" s="19" t="s">
        <v>21918</v>
      </c>
      <c r="L831" s="19">
        <v>97414.0</v>
      </c>
      <c r="M831" s="19" t="s">
        <v>40</v>
      </c>
      <c r="N831" s="103"/>
      <c r="O831" s="19" t="s">
        <v>11503</v>
      </c>
      <c r="P831" s="103"/>
      <c r="Q831" s="19" t="s">
        <v>27181</v>
      </c>
      <c r="R831" s="103"/>
      <c r="S831" s="103"/>
      <c r="T831" s="103"/>
      <c r="U831" s="103"/>
      <c r="V831" s="103"/>
      <c r="W831" s="103"/>
      <c r="X831" s="103"/>
      <c r="Y831" s="103"/>
      <c r="Z831" s="103"/>
    </row>
    <row r="832" ht="15.75" customHeight="1">
      <c r="A832" s="19" t="s">
        <v>22744</v>
      </c>
      <c r="B832" s="19" t="s">
        <v>25695</v>
      </c>
      <c r="C832" s="19" t="s">
        <v>25539</v>
      </c>
      <c r="D832" s="19" t="s">
        <v>24344</v>
      </c>
      <c r="E832" s="19" t="s">
        <v>22737</v>
      </c>
      <c r="F832" s="102" t="s">
        <v>22738</v>
      </c>
      <c r="G832" s="19" t="s">
        <v>24335</v>
      </c>
      <c r="H832" s="19" t="b">
        <v>1</v>
      </c>
      <c r="I832" s="19">
        <v>1.0</v>
      </c>
      <c r="J832" s="102" t="s">
        <v>19827</v>
      </c>
      <c r="K832" s="19" t="s">
        <v>27182</v>
      </c>
      <c r="L832" s="19">
        <v>97430.0</v>
      </c>
      <c r="M832" s="19" t="s">
        <v>71</v>
      </c>
      <c r="N832" s="103"/>
      <c r="O832" s="19" t="s">
        <v>11505</v>
      </c>
      <c r="P832" s="103"/>
      <c r="Q832" s="19" t="s">
        <v>27183</v>
      </c>
      <c r="R832" s="104">
        <v>25042.0</v>
      </c>
      <c r="S832" s="103"/>
      <c r="T832" s="103"/>
      <c r="U832" s="103"/>
      <c r="V832" s="103"/>
      <c r="W832" s="103"/>
      <c r="X832" s="103"/>
      <c r="Y832" s="103"/>
      <c r="Z832" s="103"/>
    </row>
    <row r="833" ht="15.75" customHeight="1">
      <c r="A833" s="19" t="s">
        <v>22756</v>
      </c>
      <c r="B833" s="19" t="s">
        <v>27184</v>
      </c>
      <c r="C833" s="19" t="s">
        <v>21</v>
      </c>
      <c r="D833" s="19" t="s">
        <v>24344</v>
      </c>
      <c r="E833" s="19" t="s">
        <v>22749</v>
      </c>
      <c r="F833" s="102" t="s">
        <v>22750</v>
      </c>
      <c r="G833" s="19" t="s">
        <v>24335</v>
      </c>
      <c r="H833" s="19" t="b">
        <v>1</v>
      </c>
      <c r="I833" s="19">
        <v>1.0</v>
      </c>
      <c r="J833" s="102" t="s">
        <v>22350</v>
      </c>
      <c r="K833" s="19" t="s">
        <v>17978</v>
      </c>
      <c r="L833" s="19">
        <v>97442.0</v>
      </c>
      <c r="M833" s="19" t="s">
        <v>33</v>
      </c>
      <c r="N833" s="103"/>
      <c r="O833" s="19" t="s">
        <v>11507</v>
      </c>
      <c r="P833" s="103"/>
      <c r="Q833" s="19" t="s">
        <v>27185</v>
      </c>
      <c r="R833" s="103"/>
      <c r="S833" s="19" t="s">
        <v>24348</v>
      </c>
      <c r="T833" s="103"/>
      <c r="U833" s="103"/>
      <c r="V833" s="103"/>
      <c r="W833" s="103"/>
      <c r="X833" s="103"/>
      <c r="Y833" s="103"/>
      <c r="Z833" s="103"/>
    </row>
    <row r="834" ht="15.75" customHeight="1">
      <c r="A834" s="19" t="s">
        <v>22771</v>
      </c>
      <c r="B834" s="19" t="s">
        <v>26113</v>
      </c>
      <c r="C834" s="19" t="s">
        <v>27186</v>
      </c>
      <c r="D834" s="19" t="s">
        <v>24344</v>
      </c>
      <c r="E834" s="19" t="s">
        <v>27187</v>
      </c>
      <c r="F834" s="102" t="s">
        <v>22764</v>
      </c>
      <c r="G834" s="19" t="s">
        <v>24335</v>
      </c>
      <c r="H834" s="19" t="b">
        <v>1</v>
      </c>
      <c r="I834" s="19">
        <v>1.0</v>
      </c>
      <c r="J834" s="102" t="s">
        <v>12820</v>
      </c>
      <c r="K834" s="19" t="s">
        <v>22761</v>
      </c>
      <c r="L834" s="19">
        <v>97430.0</v>
      </c>
      <c r="M834" s="19" t="s">
        <v>71</v>
      </c>
      <c r="N834" s="103"/>
      <c r="O834" s="19" t="s">
        <v>11509</v>
      </c>
      <c r="P834" s="103"/>
      <c r="Q834" s="19" t="s">
        <v>27188</v>
      </c>
      <c r="R834" s="105">
        <v>31699.0</v>
      </c>
      <c r="S834" s="103"/>
      <c r="T834" s="103"/>
      <c r="U834" s="103"/>
      <c r="V834" s="103"/>
      <c r="W834" s="103"/>
      <c r="X834" s="103"/>
      <c r="Y834" s="103"/>
      <c r="Z834" s="103"/>
    </row>
    <row r="835" ht="15.75" customHeight="1">
      <c r="A835" s="19" t="s">
        <v>22784</v>
      </c>
      <c r="B835" s="19" t="s">
        <v>27189</v>
      </c>
      <c r="C835" s="19" t="s">
        <v>24824</v>
      </c>
      <c r="D835" s="19" t="s">
        <v>24334</v>
      </c>
      <c r="E835" s="19" t="s">
        <v>22778</v>
      </c>
      <c r="F835" s="102" t="s">
        <v>22779</v>
      </c>
      <c r="G835" s="19" t="s">
        <v>24335</v>
      </c>
      <c r="H835" s="19" t="b">
        <v>1</v>
      </c>
      <c r="I835" s="19">
        <v>1.0</v>
      </c>
      <c r="J835" s="102" t="s">
        <v>13151</v>
      </c>
      <c r="K835" s="19" t="s">
        <v>27190</v>
      </c>
      <c r="L835" s="19">
        <v>97438.0</v>
      </c>
      <c r="M835" s="19" t="s">
        <v>27191</v>
      </c>
      <c r="N835" s="103"/>
      <c r="O835" s="19" t="s">
        <v>247</v>
      </c>
      <c r="P835" s="103"/>
      <c r="Q835" s="19" t="s">
        <v>27192</v>
      </c>
      <c r="R835" s="103"/>
      <c r="S835" s="103"/>
      <c r="T835" s="103"/>
      <c r="U835" s="103"/>
      <c r="V835" s="103"/>
      <c r="W835" s="103"/>
      <c r="X835" s="103"/>
      <c r="Y835" s="103"/>
      <c r="Z835" s="103"/>
    </row>
    <row r="836" ht="15.75" customHeight="1">
      <c r="A836" s="19" t="s">
        <v>22798</v>
      </c>
      <c r="B836" s="19" t="s">
        <v>25481</v>
      </c>
      <c r="C836" s="19" t="s">
        <v>27193</v>
      </c>
      <c r="D836" s="19" t="s">
        <v>24344</v>
      </c>
      <c r="E836" s="19" t="s">
        <v>22792</v>
      </c>
      <c r="F836" s="102" t="s">
        <v>22793</v>
      </c>
      <c r="G836" s="19" t="s">
        <v>24335</v>
      </c>
      <c r="H836" s="19" t="b">
        <v>1</v>
      </c>
      <c r="I836" s="19">
        <v>1.0</v>
      </c>
      <c r="J836" s="102" t="s">
        <v>12345</v>
      </c>
      <c r="K836" s="19" t="s">
        <v>27194</v>
      </c>
      <c r="L836" s="19">
        <v>57230.0</v>
      </c>
      <c r="M836" s="19" t="s">
        <v>27195</v>
      </c>
      <c r="N836" s="103"/>
      <c r="O836" s="19" t="s">
        <v>11516</v>
      </c>
      <c r="P836" s="103"/>
      <c r="Q836" s="19" t="s">
        <v>27196</v>
      </c>
      <c r="R836" s="103"/>
      <c r="S836" s="103"/>
      <c r="T836" s="103"/>
      <c r="U836" s="103"/>
      <c r="V836" s="103"/>
      <c r="W836" s="103"/>
      <c r="X836" s="103"/>
      <c r="Y836" s="103"/>
      <c r="Z836" s="103"/>
    </row>
    <row r="837" ht="15.75" customHeight="1">
      <c r="A837" s="19" t="s">
        <v>22812</v>
      </c>
      <c r="B837" s="19" t="s">
        <v>27197</v>
      </c>
      <c r="C837" s="19" t="s">
        <v>27198</v>
      </c>
      <c r="D837" s="19" t="s">
        <v>24334</v>
      </c>
      <c r="E837" s="19" t="s">
        <v>22806</v>
      </c>
      <c r="F837" s="102" t="s">
        <v>22807</v>
      </c>
      <c r="G837" s="19" t="s">
        <v>24420</v>
      </c>
      <c r="H837" s="19" t="b">
        <v>1</v>
      </c>
      <c r="I837" s="19">
        <v>1.0</v>
      </c>
      <c r="J837" s="19" t="s">
        <v>27199</v>
      </c>
      <c r="K837" s="19" t="s">
        <v>27200</v>
      </c>
      <c r="L837" s="19">
        <v>97430.0</v>
      </c>
      <c r="M837" s="19" t="s">
        <v>71</v>
      </c>
      <c r="N837" s="103"/>
      <c r="O837" s="19" t="s">
        <v>11518</v>
      </c>
      <c r="P837" s="103"/>
      <c r="Q837" s="19" t="s">
        <v>27201</v>
      </c>
      <c r="R837" s="103"/>
      <c r="S837" s="103"/>
      <c r="T837" s="103"/>
      <c r="U837" s="103"/>
      <c r="V837" s="103"/>
      <c r="W837" s="103"/>
      <c r="X837" s="103"/>
      <c r="Y837" s="103"/>
      <c r="Z837" s="103"/>
    </row>
    <row r="838" ht="15.75" customHeight="1">
      <c r="A838" s="19" t="s">
        <v>22826</v>
      </c>
      <c r="B838" s="19" t="s">
        <v>27202</v>
      </c>
      <c r="C838" s="19" t="s">
        <v>27203</v>
      </c>
      <c r="D838" s="19" t="s">
        <v>24334</v>
      </c>
      <c r="E838" s="19" t="s">
        <v>27204</v>
      </c>
      <c r="F838" s="102" t="s">
        <v>22820</v>
      </c>
      <c r="G838" s="19" t="s">
        <v>24420</v>
      </c>
      <c r="H838" s="19" t="b">
        <v>1</v>
      </c>
      <c r="I838" s="19">
        <v>1.0</v>
      </c>
      <c r="J838" s="19" t="s">
        <v>27205</v>
      </c>
      <c r="K838" s="19" t="s">
        <v>27206</v>
      </c>
      <c r="L838" s="19">
        <v>97430.0</v>
      </c>
      <c r="M838" s="19" t="s">
        <v>71</v>
      </c>
      <c r="N838" s="103"/>
      <c r="O838" s="19" t="s">
        <v>11520</v>
      </c>
      <c r="P838" s="103"/>
      <c r="Q838" s="19" t="s">
        <v>27207</v>
      </c>
      <c r="R838" s="103"/>
      <c r="S838" s="103"/>
      <c r="T838" s="103"/>
      <c r="U838" s="103"/>
      <c r="V838" s="103"/>
      <c r="W838" s="103"/>
      <c r="X838" s="103"/>
      <c r="Y838" s="103"/>
      <c r="Z838" s="103"/>
    </row>
    <row r="839" ht="15.75" customHeight="1">
      <c r="A839" s="19" t="s">
        <v>22838</v>
      </c>
      <c r="B839" s="19" t="s">
        <v>27208</v>
      </c>
      <c r="C839" s="19" t="s">
        <v>27209</v>
      </c>
      <c r="D839" s="19" t="s">
        <v>24344</v>
      </c>
      <c r="E839" s="19" t="s">
        <v>22832</v>
      </c>
      <c r="F839" s="103"/>
      <c r="G839" s="19" t="s">
        <v>24335</v>
      </c>
      <c r="H839" s="19" t="b">
        <v>1</v>
      </c>
      <c r="I839" s="19">
        <v>1.0</v>
      </c>
      <c r="J839" s="102" t="s">
        <v>19732</v>
      </c>
      <c r="K839" s="19" t="s">
        <v>27210</v>
      </c>
      <c r="L839" s="19">
        <v>97400.0</v>
      </c>
      <c r="M839" s="19" t="s">
        <v>26767</v>
      </c>
      <c r="N839" s="103"/>
      <c r="O839" s="19" t="s">
        <v>11522</v>
      </c>
      <c r="P839" s="103"/>
      <c r="Q839" s="19" t="s">
        <v>27211</v>
      </c>
      <c r="R839" s="103"/>
      <c r="S839" s="103"/>
      <c r="T839" s="103"/>
      <c r="U839" s="103"/>
      <c r="V839" s="103"/>
      <c r="W839" s="103"/>
      <c r="X839" s="103"/>
      <c r="Y839" s="103"/>
      <c r="Z839" s="103"/>
    </row>
    <row r="840" ht="15.75" customHeight="1">
      <c r="A840" s="19" t="s">
        <v>27212</v>
      </c>
      <c r="B840" s="19" t="s">
        <v>27213</v>
      </c>
      <c r="C840" s="19" t="s">
        <v>27214</v>
      </c>
      <c r="D840" s="19" t="s">
        <v>24344</v>
      </c>
      <c r="E840" s="19" t="s">
        <v>27215</v>
      </c>
      <c r="F840" s="102" t="s">
        <v>27216</v>
      </c>
      <c r="G840" s="19" t="s">
        <v>25216</v>
      </c>
      <c r="H840" s="19" t="b">
        <v>1</v>
      </c>
      <c r="I840" s="19">
        <v>0.0</v>
      </c>
      <c r="J840" s="103"/>
      <c r="K840" s="103"/>
      <c r="L840" s="103"/>
      <c r="M840" s="103"/>
      <c r="N840" s="103"/>
      <c r="O840" s="19" t="s">
        <v>237</v>
      </c>
      <c r="P840" s="103"/>
      <c r="Q840" s="19" t="s">
        <v>27217</v>
      </c>
      <c r="R840" s="103"/>
      <c r="S840" s="19" t="s">
        <v>24348</v>
      </c>
      <c r="T840" s="103"/>
      <c r="U840" s="103"/>
      <c r="V840" s="103"/>
      <c r="W840" s="103"/>
      <c r="X840" s="103"/>
      <c r="Y840" s="103"/>
      <c r="Z840" s="103"/>
    </row>
    <row r="841" ht="15.75" customHeight="1">
      <c r="A841" s="19" t="s">
        <v>22853</v>
      </c>
      <c r="B841" s="19" t="s">
        <v>27218</v>
      </c>
      <c r="C841" s="19" t="s">
        <v>26634</v>
      </c>
      <c r="D841" s="19" t="s">
        <v>24344</v>
      </c>
      <c r="E841" s="19" t="s">
        <v>27219</v>
      </c>
      <c r="F841" s="102" t="s">
        <v>22847</v>
      </c>
      <c r="G841" s="19" t="s">
        <v>24335</v>
      </c>
      <c r="H841" s="19" t="b">
        <v>0</v>
      </c>
      <c r="I841" s="19">
        <v>2.0</v>
      </c>
      <c r="J841" s="102" t="s">
        <v>14580</v>
      </c>
      <c r="K841" s="19" t="s">
        <v>27220</v>
      </c>
      <c r="L841" s="19">
        <v>13006.0</v>
      </c>
      <c r="M841" s="19" t="s">
        <v>27221</v>
      </c>
      <c r="N841" s="103"/>
      <c r="O841" s="102" t="s">
        <v>27222</v>
      </c>
      <c r="P841" s="103"/>
      <c r="Q841" s="19" t="s">
        <v>27223</v>
      </c>
      <c r="R841" s="103"/>
      <c r="S841" s="19" t="s">
        <v>24460</v>
      </c>
      <c r="T841" s="103"/>
      <c r="U841" s="103"/>
      <c r="V841" s="103"/>
      <c r="W841" s="103"/>
      <c r="X841" s="103"/>
      <c r="Y841" s="103"/>
      <c r="Z841" s="103"/>
    </row>
    <row r="842" ht="15.75" customHeight="1">
      <c r="A842" s="19" t="s">
        <v>22878</v>
      </c>
      <c r="B842" s="19" t="s">
        <v>27224</v>
      </c>
      <c r="C842" s="19" t="s">
        <v>27225</v>
      </c>
      <c r="D842" s="19" t="s">
        <v>24334</v>
      </c>
      <c r="E842" s="19" t="s">
        <v>22871</v>
      </c>
      <c r="F842" s="102" t="s">
        <v>22872</v>
      </c>
      <c r="G842" s="19" t="s">
        <v>24335</v>
      </c>
      <c r="H842" s="19" t="b">
        <v>1</v>
      </c>
      <c r="I842" s="19">
        <v>1.0</v>
      </c>
      <c r="J842" s="102" t="s">
        <v>18205</v>
      </c>
      <c r="K842" s="19" t="s">
        <v>27226</v>
      </c>
      <c r="L842" s="19">
        <v>67330.0</v>
      </c>
      <c r="M842" s="19" t="s">
        <v>27227</v>
      </c>
      <c r="N842" s="103"/>
      <c r="O842" s="19" t="s">
        <v>11530</v>
      </c>
      <c r="P842" s="103"/>
      <c r="Q842" s="19" t="s">
        <v>27228</v>
      </c>
      <c r="R842" s="103"/>
      <c r="S842" s="103"/>
      <c r="T842" s="103"/>
      <c r="U842" s="103"/>
      <c r="V842" s="103"/>
      <c r="W842" s="103"/>
      <c r="X842" s="103"/>
      <c r="Y842" s="103"/>
      <c r="Z842" s="103"/>
    </row>
    <row r="843" ht="15.75" customHeight="1">
      <c r="A843" s="19" t="s">
        <v>27229</v>
      </c>
      <c r="B843" s="19" t="s">
        <v>27230</v>
      </c>
      <c r="C843" s="19" t="s">
        <v>25097</v>
      </c>
      <c r="D843" s="19" t="s">
        <v>24334</v>
      </c>
      <c r="E843" s="19" t="s">
        <v>27231</v>
      </c>
      <c r="F843" s="102" t="s">
        <v>27232</v>
      </c>
      <c r="G843" s="19" t="s">
        <v>24390</v>
      </c>
      <c r="H843" s="19" t="b">
        <v>1</v>
      </c>
      <c r="I843" s="19">
        <v>0.0</v>
      </c>
      <c r="J843" s="103"/>
      <c r="K843" s="103"/>
      <c r="L843" s="103"/>
      <c r="M843" s="103"/>
      <c r="N843" s="103"/>
      <c r="O843" s="9" t="s">
        <v>11498</v>
      </c>
      <c r="P843" s="103"/>
      <c r="Q843" s="19" t="s">
        <v>27233</v>
      </c>
      <c r="R843" s="103"/>
      <c r="S843" s="19" t="s">
        <v>24460</v>
      </c>
      <c r="T843" s="103"/>
      <c r="U843" s="103"/>
      <c r="V843" s="103"/>
      <c r="W843" s="103"/>
      <c r="X843" s="103"/>
      <c r="Y843" s="103"/>
      <c r="Z843" s="103"/>
    </row>
    <row r="844" ht="15.75" customHeight="1">
      <c r="A844" s="19" t="s">
        <v>22893</v>
      </c>
      <c r="B844" s="19" t="s">
        <v>27234</v>
      </c>
      <c r="C844" s="19" t="s">
        <v>24884</v>
      </c>
      <c r="D844" s="19" t="s">
        <v>24334</v>
      </c>
      <c r="E844" s="19" t="s">
        <v>27235</v>
      </c>
      <c r="F844" s="102" t="s">
        <v>22887</v>
      </c>
      <c r="G844" s="19" t="s">
        <v>24420</v>
      </c>
      <c r="H844" s="19" t="b">
        <v>1</v>
      </c>
      <c r="I844" s="19">
        <v>1.0</v>
      </c>
      <c r="J844" s="102" t="s">
        <v>22883</v>
      </c>
      <c r="K844" s="19" t="s">
        <v>27236</v>
      </c>
      <c r="L844" s="19">
        <v>97430.0</v>
      </c>
      <c r="M844" s="19" t="s">
        <v>71</v>
      </c>
      <c r="N844" s="103"/>
      <c r="O844" s="19" t="s">
        <v>11532</v>
      </c>
      <c r="P844" s="103"/>
      <c r="Q844" s="19" t="s">
        <v>27237</v>
      </c>
      <c r="R844" s="103"/>
      <c r="S844" s="103"/>
      <c r="T844" s="103"/>
      <c r="U844" s="103"/>
      <c r="V844" s="103"/>
      <c r="W844" s="103"/>
      <c r="X844" s="103"/>
      <c r="Y844" s="103"/>
      <c r="Z844" s="103"/>
    </row>
    <row r="845" ht="15.75" customHeight="1">
      <c r="A845" s="19" t="s">
        <v>22907</v>
      </c>
      <c r="B845" s="19" t="s">
        <v>27238</v>
      </c>
      <c r="C845" s="19" t="s">
        <v>27239</v>
      </c>
      <c r="D845" s="19" t="s">
        <v>24334</v>
      </c>
      <c r="E845" s="19" t="s">
        <v>22900</v>
      </c>
      <c r="F845" s="102" t="s">
        <v>27240</v>
      </c>
      <c r="G845" s="19" t="s">
        <v>24420</v>
      </c>
      <c r="H845" s="19" t="b">
        <v>1</v>
      </c>
      <c r="I845" s="19">
        <v>1.0</v>
      </c>
      <c r="J845" s="102" t="s">
        <v>27241</v>
      </c>
      <c r="K845" s="19" t="s">
        <v>27242</v>
      </c>
      <c r="L845" s="19">
        <v>93600.0</v>
      </c>
      <c r="M845" s="19" t="s">
        <v>27243</v>
      </c>
      <c r="N845" s="103"/>
      <c r="O845" s="19" t="s">
        <v>11534</v>
      </c>
      <c r="P845" s="103"/>
      <c r="Q845" s="19" t="s">
        <v>27244</v>
      </c>
      <c r="R845" s="103"/>
      <c r="S845" s="103"/>
      <c r="T845" s="103"/>
      <c r="U845" s="103"/>
      <c r="V845" s="103"/>
      <c r="W845" s="103"/>
      <c r="X845" s="103"/>
      <c r="Y845" s="103"/>
      <c r="Z845" s="103"/>
    </row>
    <row r="846" ht="15.75" customHeight="1">
      <c r="A846" s="19" t="s">
        <v>22921</v>
      </c>
      <c r="B846" s="19" t="s">
        <v>27245</v>
      </c>
      <c r="C846" s="19" t="s">
        <v>27246</v>
      </c>
      <c r="D846" s="19" t="s">
        <v>24334</v>
      </c>
      <c r="E846" s="19" t="s">
        <v>27247</v>
      </c>
      <c r="F846" s="102" t="s">
        <v>22915</v>
      </c>
      <c r="G846" s="19" t="s">
        <v>24420</v>
      </c>
      <c r="H846" s="19" t="b">
        <v>1</v>
      </c>
      <c r="I846" s="19">
        <v>1.0</v>
      </c>
      <c r="J846" s="102" t="s">
        <v>14181</v>
      </c>
      <c r="K846" s="19" t="s">
        <v>22912</v>
      </c>
      <c r="L846" s="19">
        <v>97414.0</v>
      </c>
      <c r="M846" s="19" t="s">
        <v>40</v>
      </c>
      <c r="N846" s="103"/>
      <c r="O846" s="19" t="s">
        <v>11524</v>
      </c>
      <c r="P846" s="103"/>
      <c r="Q846" s="19" t="s">
        <v>27248</v>
      </c>
      <c r="R846" s="103"/>
      <c r="S846" s="103"/>
      <c r="T846" s="103"/>
      <c r="U846" s="103"/>
      <c r="V846" s="103"/>
      <c r="W846" s="103"/>
      <c r="X846" s="103"/>
      <c r="Y846" s="103"/>
      <c r="Z846" s="103"/>
    </row>
    <row r="847" ht="15.75" customHeight="1">
      <c r="A847" s="19" t="s">
        <v>22937</v>
      </c>
      <c r="B847" s="19" t="s">
        <v>27249</v>
      </c>
      <c r="C847" s="19" t="s">
        <v>27000</v>
      </c>
      <c r="D847" s="19" t="s">
        <v>24344</v>
      </c>
      <c r="E847" s="19" t="s">
        <v>22929</v>
      </c>
      <c r="F847" s="102" t="s">
        <v>22930</v>
      </c>
      <c r="G847" s="19" t="s">
        <v>24420</v>
      </c>
      <c r="H847" s="19" t="b">
        <v>1</v>
      </c>
      <c r="I847" s="19">
        <v>1.0</v>
      </c>
      <c r="J847" s="102" t="s">
        <v>15221</v>
      </c>
      <c r="K847" s="19" t="s">
        <v>27250</v>
      </c>
      <c r="L847" s="19">
        <v>97480.0</v>
      </c>
      <c r="M847" s="19" t="s">
        <v>123</v>
      </c>
      <c r="N847" s="103"/>
      <c r="O847" s="19" t="s">
        <v>11537</v>
      </c>
      <c r="P847" s="103"/>
      <c r="Q847" s="19" t="s">
        <v>27251</v>
      </c>
      <c r="R847" s="104">
        <v>32603.0</v>
      </c>
      <c r="S847" s="19" t="s">
        <v>24348</v>
      </c>
      <c r="T847" s="103"/>
      <c r="U847" s="103"/>
      <c r="V847" s="103"/>
      <c r="W847" s="103"/>
      <c r="X847" s="103"/>
      <c r="Y847" s="103"/>
      <c r="Z847" s="103"/>
    </row>
    <row r="848" ht="15.75" customHeight="1">
      <c r="A848" s="19" t="s">
        <v>22951</v>
      </c>
      <c r="B848" s="19" t="s">
        <v>27252</v>
      </c>
      <c r="C848" s="19" t="s">
        <v>27253</v>
      </c>
      <c r="D848" s="19" t="s">
        <v>24334</v>
      </c>
      <c r="E848" s="19" t="s">
        <v>22943</v>
      </c>
      <c r="F848" s="102" t="s">
        <v>22944</v>
      </c>
      <c r="G848" s="19" t="s">
        <v>24390</v>
      </c>
      <c r="H848" s="19" t="b">
        <v>1</v>
      </c>
      <c r="I848" s="19">
        <v>1.0</v>
      </c>
      <c r="J848" s="102" t="s">
        <v>12528</v>
      </c>
      <c r="K848" s="19" t="s">
        <v>27254</v>
      </c>
      <c r="L848" s="19">
        <v>97436.0</v>
      </c>
      <c r="M848" s="19" t="s">
        <v>27255</v>
      </c>
      <c r="N848" s="103"/>
      <c r="O848" s="19" t="s">
        <v>11539</v>
      </c>
      <c r="P848" s="103"/>
      <c r="Q848" s="19" t="s">
        <v>27256</v>
      </c>
      <c r="R848" s="103"/>
      <c r="S848" s="19" t="s">
        <v>24460</v>
      </c>
      <c r="T848" s="103"/>
      <c r="U848" s="103"/>
      <c r="V848" s="103"/>
      <c r="W848" s="103"/>
      <c r="X848" s="103"/>
      <c r="Y848" s="103"/>
      <c r="Z848" s="103"/>
    </row>
    <row r="849" ht="15.75" customHeight="1">
      <c r="A849" s="19" t="s">
        <v>22965</v>
      </c>
      <c r="B849" s="19" t="s">
        <v>27257</v>
      </c>
      <c r="C849" s="19" t="s">
        <v>27258</v>
      </c>
      <c r="D849" s="19" t="s">
        <v>24344</v>
      </c>
      <c r="E849" s="19" t="s">
        <v>22958</v>
      </c>
      <c r="F849" s="102" t="s">
        <v>22959</v>
      </c>
      <c r="G849" s="19" t="s">
        <v>24420</v>
      </c>
      <c r="H849" s="19" t="b">
        <v>1</v>
      </c>
      <c r="I849" s="19">
        <v>1.0</v>
      </c>
      <c r="J849" s="19" t="s">
        <v>14437</v>
      </c>
      <c r="K849" s="19" t="s">
        <v>27259</v>
      </c>
      <c r="L849" s="19">
        <v>97411.0</v>
      </c>
      <c r="M849" s="19" t="s">
        <v>26470</v>
      </c>
      <c r="N849" s="103"/>
      <c r="O849" s="19" t="s">
        <v>11541</v>
      </c>
      <c r="P849" s="103"/>
      <c r="Q849" s="19" t="s">
        <v>27260</v>
      </c>
      <c r="R849" s="104">
        <v>30233.0</v>
      </c>
      <c r="S849" s="19" t="s">
        <v>24348</v>
      </c>
      <c r="T849" s="103"/>
      <c r="U849" s="103"/>
      <c r="V849" s="103"/>
      <c r="W849" s="103"/>
      <c r="X849" s="103"/>
      <c r="Y849" s="103"/>
      <c r="Z849" s="103"/>
    </row>
    <row r="850" ht="15.75" customHeight="1">
      <c r="A850" s="19" t="s">
        <v>22979</v>
      </c>
      <c r="B850" s="19" t="s">
        <v>25385</v>
      </c>
      <c r="C850" s="19" t="s">
        <v>25150</v>
      </c>
      <c r="D850" s="19" t="s">
        <v>24344</v>
      </c>
      <c r="E850" s="19" t="s">
        <v>22972</v>
      </c>
      <c r="F850" s="102" t="s">
        <v>22973</v>
      </c>
      <c r="G850" s="19" t="s">
        <v>24335</v>
      </c>
      <c r="H850" s="19" t="b">
        <v>1</v>
      </c>
      <c r="I850" s="19">
        <v>1.0</v>
      </c>
      <c r="J850" s="102" t="s">
        <v>12925</v>
      </c>
      <c r="K850" s="19" t="s">
        <v>22970</v>
      </c>
      <c r="L850" s="19">
        <v>97430.0</v>
      </c>
      <c r="M850" s="19" t="s">
        <v>71</v>
      </c>
      <c r="N850" s="103"/>
      <c r="O850" s="19" t="s">
        <v>11543</v>
      </c>
      <c r="P850" s="103"/>
      <c r="Q850" s="19" t="s">
        <v>27261</v>
      </c>
      <c r="R850" s="103"/>
      <c r="S850" s="19" t="s">
        <v>24460</v>
      </c>
      <c r="T850" s="103"/>
      <c r="U850" s="103"/>
      <c r="V850" s="103"/>
      <c r="W850" s="103"/>
      <c r="X850" s="103"/>
      <c r="Y850" s="103"/>
      <c r="Z850" s="103"/>
    </row>
    <row r="851" ht="15.75" customHeight="1">
      <c r="A851" s="19" t="s">
        <v>22993</v>
      </c>
      <c r="B851" s="19" t="s">
        <v>26241</v>
      </c>
      <c r="C851" s="19" t="s">
        <v>25090</v>
      </c>
      <c r="D851" s="19" t="s">
        <v>24344</v>
      </c>
      <c r="E851" s="19" t="s">
        <v>22986</v>
      </c>
      <c r="F851" s="102" t="s">
        <v>27262</v>
      </c>
      <c r="G851" s="19" t="s">
        <v>24335</v>
      </c>
      <c r="H851" s="19" t="b">
        <v>1</v>
      </c>
      <c r="I851" s="19">
        <v>2.0</v>
      </c>
      <c r="J851" s="19" t="s">
        <v>27263</v>
      </c>
      <c r="K851" s="19" t="s">
        <v>22984</v>
      </c>
      <c r="L851" s="19">
        <v>97480.0</v>
      </c>
      <c r="M851" s="19" t="s">
        <v>123</v>
      </c>
      <c r="N851" s="103"/>
      <c r="O851" s="19" t="s">
        <v>27264</v>
      </c>
      <c r="P851" s="103"/>
      <c r="Q851" s="102" t="s">
        <v>27265</v>
      </c>
      <c r="R851" s="103"/>
      <c r="S851" s="19" t="s">
        <v>24460</v>
      </c>
      <c r="T851" s="103"/>
      <c r="U851" s="103"/>
      <c r="V851" s="103"/>
      <c r="W851" s="103"/>
      <c r="X851" s="103"/>
      <c r="Y851" s="103"/>
      <c r="Z851" s="103"/>
    </row>
    <row r="852" ht="15.75" customHeight="1">
      <c r="A852" s="19" t="s">
        <v>23018</v>
      </c>
      <c r="B852" s="19" t="s">
        <v>27266</v>
      </c>
      <c r="C852" s="19" t="s">
        <v>26312</v>
      </c>
      <c r="D852" s="19" t="s">
        <v>24334</v>
      </c>
      <c r="E852" s="19" t="s">
        <v>23013</v>
      </c>
      <c r="F852" s="102" t="s">
        <v>23014</v>
      </c>
      <c r="G852" s="19" t="s">
        <v>24335</v>
      </c>
      <c r="H852" s="19" t="b">
        <v>1</v>
      </c>
      <c r="I852" s="19">
        <v>1.0</v>
      </c>
      <c r="J852" s="102" t="s">
        <v>20507</v>
      </c>
      <c r="K852" s="19" t="s">
        <v>27267</v>
      </c>
      <c r="L852" s="19">
        <v>34070.0</v>
      </c>
      <c r="M852" s="19" t="s">
        <v>27268</v>
      </c>
      <c r="N852" s="103"/>
      <c r="O852" s="19" t="s">
        <v>11551</v>
      </c>
      <c r="P852" s="103"/>
      <c r="Q852" s="19" t="s">
        <v>27269</v>
      </c>
      <c r="R852" s="103"/>
      <c r="S852" s="19" t="s">
        <v>24460</v>
      </c>
      <c r="T852" s="103"/>
      <c r="U852" s="103"/>
      <c r="V852" s="103"/>
      <c r="W852" s="103"/>
      <c r="X852" s="103"/>
      <c r="Y852" s="103"/>
      <c r="Z852" s="103"/>
    </row>
    <row r="853" ht="15.75" customHeight="1">
      <c r="A853" s="19" t="s">
        <v>23030</v>
      </c>
      <c r="B853" s="19" t="s">
        <v>27270</v>
      </c>
      <c r="C853" s="19" t="s">
        <v>27271</v>
      </c>
      <c r="D853" s="19" t="s">
        <v>24334</v>
      </c>
      <c r="E853" s="19" t="s">
        <v>23025</v>
      </c>
      <c r="F853" s="103"/>
      <c r="G853" s="19" t="s">
        <v>24420</v>
      </c>
      <c r="H853" s="19" t="b">
        <v>1</v>
      </c>
      <c r="I853" s="19">
        <v>1.0</v>
      </c>
      <c r="J853" s="102" t="s">
        <v>14181</v>
      </c>
      <c r="K853" s="19" t="s">
        <v>23023</v>
      </c>
      <c r="L853" s="19">
        <v>97430.0</v>
      </c>
      <c r="M853" s="19" t="s">
        <v>71</v>
      </c>
      <c r="N853" s="103"/>
      <c r="O853" s="19" t="s">
        <v>11553</v>
      </c>
      <c r="P853" s="103"/>
      <c r="Q853" s="19" t="s">
        <v>27272</v>
      </c>
      <c r="R853" s="103"/>
      <c r="S853" s="19" t="s">
        <v>24348</v>
      </c>
      <c r="T853" s="103"/>
      <c r="U853" s="103"/>
      <c r="V853" s="103"/>
      <c r="W853" s="103"/>
      <c r="X853" s="103"/>
      <c r="Y853" s="103"/>
      <c r="Z853" s="103"/>
    </row>
    <row r="854" ht="15.75" customHeight="1">
      <c r="A854" s="19" t="s">
        <v>23044</v>
      </c>
      <c r="B854" s="19" t="s">
        <v>27273</v>
      </c>
      <c r="C854" s="19" t="s">
        <v>25086</v>
      </c>
      <c r="D854" s="19" t="s">
        <v>24334</v>
      </c>
      <c r="E854" s="19" t="s">
        <v>23037</v>
      </c>
      <c r="F854" s="102" t="s">
        <v>23038</v>
      </c>
      <c r="G854" s="19" t="s">
        <v>24420</v>
      </c>
      <c r="H854" s="19" t="b">
        <v>1</v>
      </c>
      <c r="I854" s="19">
        <v>1.0</v>
      </c>
      <c r="J854" s="102" t="s">
        <v>13331</v>
      </c>
      <c r="K854" s="19" t="s">
        <v>27274</v>
      </c>
      <c r="L854" s="19">
        <v>97490.0</v>
      </c>
      <c r="M854" s="19" t="s">
        <v>26767</v>
      </c>
      <c r="N854" s="103"/>
      <c r="O854" s="19" t="s">
        <v>11556</v>
      </c>
      <c r="P854" s="103"/>
      <c r="Q854" s="19" t="s">
        <v>27275</v>
      </c>
      <c r="R854" s="103"/>
      <c r="S854" s="19" t="s">
        <v>24460</v>
      </c>
      <c r="T854" s="103"/>
      <c r="U854" s="103"/>
      <c r="V854" s="103"/>
      <c r="W854" s="103"/>
      <c r="X854" s="103"/>
      <c r="Y854" s="103"/>
      <c r="Z854" s="103"/>
    </row>
    <row r="855" ht="15.75" customHeight="1">
      <c r="A855" s="19" t="s">
        <v>23058</v>
      </c>
      <c r="B855" s="19" t="s">
        <v>27276</v>
      </c>
      <c r="C855" s="19" t="s">
        <v>27277</v>
      </c>
      <c r="D855" s="19" t="s">
        <v>24334</v>
      </c>
      <c r="E855" s="19" t="s">
        <v>23050</v>
      </c>
      <c r="F855" s="102" t="s">
        <v>23051</v>
      </c>
      <c r="G855" s="19" t="s">
        <v>24420</v>
      </c>
      <c r="H855" s="19" t="b">
        <v>1</v>
      </c>
      <c r="I855" s="19">
        <v>1.0</v>
      </c>
      <c r="J855" s="102" t="s">
        <v>14790</v>
      </c>
      <c r="K855" s="19" t="s">
        <v>25952</v>
      </c>
      <c r="L855" s="19">
        <v>97430.0</v>
      </c>
      <c r="M855" s="19" t="s">
        <v>71</v>
      </c>
      <c r="N855" s="103"/>
      <c r="O855" s="19" t="s">
        <v>11558</v>
      </c>
      <c r="P855" s="103"/>
      <c r="Q855" s="19" t="s">
        <v>27278</v>
      </c>
      <c r="R855" s="105">
        <v>28810.0</v>
      </c>
      <c r="S855" s="19" t="s">
        <v>24348</v>
      </c>
      <c r="T855" s="103"/>
      <c r="U855" s="103"/>
      <c r="V855" s="103"/>
      <c r="W855" s="103"/>
      <c r="X855" s="103"/>
      <c r="Y855" s="103"/>
      <c r="Z855" s="103"/>
    </row>
    <row r="856" ht="15.75" customHeight="1">
      <c r="A856" s="19" t="s">
        <v>23073</v>
      </c>
      <c r="B856" s="19" t="s">
        <v>27279</v>
      </c>
      <c r="C856" s="19" t="s">
        <v>27155</v>
      </c>
      <c r="D856" s="19" t="s">
        <v>24344</v>
      </c>
      <c r="E856" s="19" t="s">
        <v>23065</v>
      </c>
      <c r="F856" s="102" t="s">
        <v>23066</v>
      </c>
      <c r="G856" s="19" t="s">
        <v>24390</v>
      </c>
      <c r="H856" s="19" t="b">
        <v>1</v>
      </c>
      <c r="I856" s="19">
        <v>1.0</v>
      </c>
      <c r="J856" s="102" t="s">
        <v>18092</v>
      </c>
      <c r="K856" s="19" t="s">
        <v>12631</v>
      </c>
      <c r="L856" s="19">
        <v>97430.0</v>
      </c>
      <c r="M856" s="19" t="s">
        <v>71</v>
      </c>
      <c r="N856" s="103"/>
      <c r="O856" s="19" t="s">
        <v>11560</v>
      </c>
      <c r="P856" s="103"/>
      <c r="Q856" s="19" t="s">
        <v>27280</v>
      </c>
      <c r="R856" s="104">
        <v>34791.0</v>
      </c>
      <c r="S856" s="19" t="s">
        <v>24348</v>
      </c>
      <c r="T856" s="103"/>
      <c r="U856" s="103"/>
      <c r="V856" s="103"/>
      <c r="W856" s="103"/>
      <c r="X856" s="103"/>
      <c r="Y856" s="103"/>
      <c r="Z856" s="103"/>
    </row>
    <row r="857" ht="15.75" customHeight="1">
      <c r="A857" s="19" t="s">
        <v>23086</v>
      </c>
      <c r="B857" s="19" t="s">
        <v>21</v>
      </c>
      <c r="C857" s="19" t="s">
        <v>21</v>
      </c>
      <c r="D857" s="19" t="s">
        <v>24344</v>
      </c>
      <c r="E857" s="19" t="s">
        <v>23078</v>
      </c>
      <c r="F857" s="102" t="s">
        <v>23079</v>
      </c>
      <c r="G857" s="19" t="s">
        <v>24420</v>
      </c>
      <c r="H857" s="19" t="b">
        <v>1</v>
      </c>
      <c r="I857" s="19">
        <v>1.0</v>
      </c>
      <c r="J857" s="102" t="s">
        <v>12820</v>
      </c>
      <c r="K857" s="19" t="s">
        <v>21975</v>
      </c>
      <c r="L857" s="19">
        <v>97414.0</v>
      </c>
      <c r="M857" s="19" t="s">
        <v>40</v>
      </c>
      <c r="N857" s="103"/>
      <c r="O857" s="19" t="s">
        <v>11562</v>
      </c>
      <c r="P857" s="103"/>
      <c r="Q857" s="19" t="s">
        <v>27281</v>
      </c>
      <c r="R857" s="103"/>
      <c r="S857" s="19" t="s">
        <v>24348</v>
      </c>
      <c r="T857" s="103"/>
      <c r="U857" s="103"/>
      <c r="V857" s="103"/>
      <c r="W857" s="103"/>
      <c r="X857" s="103"/>
      <c r="Y857" s="103"/>
      <c r="Z857" s="103"/>
    </row>
    <row r="858" ht="15.75" customHeight="1">
      <c r="A858" s="19" t="s">
        <v>23098</v>
      </c>
      <c r="B858" s="19" t="s">
        <v>27282</v>
      </c>
      <c r="C858" s="19" t="s">
        <v>25270</v>
      </c>
      <c r="D858" s="19" t="s">
        <v>24334</v>
      </c>
      <c r="E858" s="19" t="s">
        <v>23092</v>
      </c>
      <c r="F858" s="102" t="s">
        <v>23093</v>
      </c>
      <c r="G858" s="19" t="s">
        <v>24420</v>
      </c>
      <c r="H858" s="19" t="b">
        <v>1</v>
      </c>
      <c r="I858" s="19">
        <v>1.0</v>
      </c>
      <c r="J858" s="102" t="s">
        <v>23090</v>
      </c>
      <c r="K858" s="19" t="s">
        <v>14666</v>
      </c>
      <c r="L858" s="19">
        <v>97414.0</v>
      </c>
      <c r="M858" s="19" t="s">
        <v>40</v>
      </c>
      <c r="N858" s="103"/>
      <c r="O858" s="19" t="s">
        <v>11565</v>
      </c>
      <c r="P858" s="103"/>
      <c r="Q858" s="19" t="s">
        <v>27283</v>
      </c>
      <c r="R858" s="103"/>
      <c r="S858" s="19" t="s">
        <v>24348</v>
      </c>
      <c r="T858" s="103"/>
      <c r="U858" s="103"/>
      <c r="V858" s="103"/>
      <c r="W858" s="103"/>
      <c r="X858" s="103"/>
      <c r="Y858" s="103"/>
      <c r="Z858" s="103"/>
    </row>
    <row r="859" ht="15.75" customHeight="1">
      <c r="A859" s="19" t="s">
        <v>23110</v>
      </c>
      <c r="B859" s="19" t="s">
        <v>27284</v>
      </c>
      <c r="C859" s="19" t="s">
        <v>27285</v>
      </c>
      <c r="D859" s="19" t="s">
        <v>24344</v>
      </c>
      <c r="E859" s="19" t="s">
        <v>23103</v>
      </c>
      <c r="F859" s="102" t="s">
        <v>23104</v>
      </c>
      <c r="G859" s="19" t="s">
        <v>24335</v>
      </c>
      <c r="H859" s="19" t="b">
        <v>1</v>
      </c>
      <c r="I859" s="19">
        <v>1.0</v>
      </c>
      <c r="J859" s="102" t="s">
        <v>14086</v>
      </c>
      <c r="K859" s="19" t="s">
        <v>27286</v>
      </c>
      <c r="L859" s="19">
        <v>97418.0</v>
      </c>
      <c r="M859" s="19" t="s">
        <v>71</v>
      </c>
      <c r="N859" s="103"/>
      <c r="O859" s="19" t="s">
        <v>11567</v>
      </c>
      <c r="P859" s="103"/>
      <c r="Q859" s="19" t="s">
        <v>27287</v>
      </c>
      <c r="R859" s="104">
        <v>24510.0</v>
      </c>
      <c r="S859" s="19" t="s">
        <v>24460</v>
      </c>
      <c r="T859" s="103"/>
      <c r="U859" s="103"/>
      <c r="V859" s="103"/>
      <c r="W859" s="103"/>
      <c r="X859" s="103"/>
      <c r="Y859" s="103"/>
      <c r="Z859" s="103"/>
    </row>
    <row r="860" ht="15.75" customHeight="1">
      <c r="A860" s="19" t="s">
        <v>23119</v>
      </c>
      <c r="B860" s="19" t="s">
        <v>26134</v>
      </c>
      <c r="C860" s="19" t="s">
        <v>24645</v>
      </c>
      <c r="D860" s="19" t="s">
        <v>24344</v>
      </c>
      <c r="E860" s="19" t="s">
        <v>23117</v>
      </c>
      <c r="F860" s="102" t="s">
        <v>23118</v>
      </c>
      <c r="G860" s="19" t="s">
        <v>24420</v>
      </c>
      <c r="H860" s="19" t="b">
        <v>0</v>
      </c>
      <c r="I860" s="19">
        <v>2.0</v>
      </c>
      <c r="J860" s="102" t="s">
        <v>14465</v>
      </c>
      <c r="K860" s="19" t="s">
        <v>23115</v>
      </c>
      <c r="L860" s="19">
        <v>97418.0</v>
      </c>
      <c r="M860" s="19" t="s">
        <v>71</v>
      </c>
      <c r="N860" s="103"/>
      <c r="O860" s="19" t="s">
        <v>27288</v>
      </c>
      <c r="P860" s="103"/>
      <c r="Q860" s="19" t="s">
        <v>27289</v>
      </c>
      <c r="R860" s="104">
        <v>33941.0</v>
      </c>
      <c r="S860" s="19" t="s">
        <v>24460</v>
      </c>
      <c r="T860" s="103"/>
      <c r="U860" s="103"/>
      <c r="V860" s="103"/>
      <c r="W860" s="103"/>
      <c r="X860" s="103"/>
      <c r="Y860" s="103"/>
      <c r="Z860" s="103"/>
    </row>
    <row r="861" ht="15.75" customHeight="1">
      <c r="A861" s="19" t="s">
        <v>23134</v>
      </c>
      <c r="B861" s="19" t="s">
        <v>27290</v>
      </c>
      <c r="C861" s="19" t="s">
        <v>26634</v>
      </c>
      <c r="D861" s="19" t="s">
        <v>24344</v>
      </c>
      <c r="E861" s="19" t="s">
        <v>23126</v>
      </c>
      <c r="F861" s="102" t="s">
        <v>23127</v>
      </c>
      <c r="G861" s="19" t="s">
        <v>24420</v>
      </c>
      <c r="H861" s="19" t="b">
        <v>1</v>
      </c>
      <c r="I861" s="19">
        <v>1.0</v>
      </c>
      <c r="J861" s="19" t="s">
        <v>27291</v>
      </c>
      <c r="K861" s="19" t="s">
        <v>27292</v>
      </c>
      <c r="L861" s="19">
        <v>97480.0</v>
      </c>
      <c r="M861" s="19" t="s">
        <v>123</v>
      </c>
      <c r="N861" s="103"/>
      <c r="O861" s="19" t="s">
        <v>11571</v>
      </c>
      <c r="P861" s="103"/>
      <c r="Q861" s="19" t="s">
        <v>27293</v>
      </c>
      <c r="R861" s="104">
        <v>31908.0</v>
      </c>
      <c r="S861" s="19" t="s">
        <v>24348</v>
      </c>
      <c r="T861" s="103"/>
      <c r="U861" s="103"/>
      <c r="V861" s="103"/>
      <c r="W861" s="103"/>
      <c r="X861" s="103"/>
      <c r="Y861" s="103"/>
      <c r="Z861" s="103"/>
    </row>
    <row r="862" ht="15.75" customHeight="1">
      <c r="A862" s="19" t="s">
        <v>23144</v>
      </c>
      <c r="B862" s="19" t="s">
        <v>27294</v>
      </c>
      <c r="C862" s="19" t="s">
        <v>24577</v>
      </c>
      <c r="D862" s="19" t="s">
        <v>24344</v>
      </c>
      <c r="E862" s="19" t="s">
        <v>23138</v>
      </c>
      <c r="F862" s="102" t="s">
        <v>23139</v>
      </c>
      <c r="G862" s="19" t="s">
        <v>24420</v>
      </c>
      <c r="H862" s="19" t="b">
        <v>1</v>
      </c>
      <c r="I862" s="19">
        <v>1.0</v>
      </c>
      <c r="J862" s="102" t="s">
        <v>12345</v>
      </c>
      <c r="K862" s="19" t="s">
        <v>27295</v>
      </c>
      <c r="L862" s="19">
        <v>97414.0</v>
      </c>
      <c r="M862" s="19" t="s">
        <v>40</v>
      </c>
      <c r="N862" s="103"/>
      <c r="O862" s="19" t="s">
        <v>259</v>
      </c>
      <c r="P862" s="103"/>
      <c r="Q862" s="19" t="s">
        <v>27296</v>
      </c>
      <c r="R862" s="103"/>
      <c r="S862" s="19" t="s">
        <v>24460</v>
      </c>
      <c r="T862" s="103"/>
      <c r="U862" s="103"/>
      <c r="V862" s="103"/>
      <c r="W862" s="103"/>
      <c r="X862" s="103"/>
      <c r="Y862" s="103"/>
      <c r="Z862" s="103"/>
    </row>
    <row r="863" ht="15.75" customHeight="1">
      <c r="A863" s="19" t="s">
        <v>23155</v>
      </c>
      <c r="B863" s="19" t="s">
        <v>27297</v>
      </c>
      <c r="C863" s="19" t="s">
        <v>27298</v>
      </c>
      <c r="D863" s="19" t="s">
        <v>24334</v>
      </c>
      <c r="E863" s="19" t="s">
        <v>23149</v>
      </c>
      <c r="F863" s="102" t="s">
        <v>23150</v>
      </c>
      <c r="G863" s="19" t="s">
        <v>24335</v>
      </c>
      <c r="H863" s="19" t="b">
        <v>1</v>
      </c>
      <c r="I863" s="19">
        <v>1.0</v>
      </c>
      <c r="J863" s="102" t="s">
        <v>16044</v>
      </c>
      <c r="K863" s="19" t="s">
        <v>17501</v>
      </c>
      <c r="L863" s="19">
        <v>97480.0</v>
      </c>
      <c r="M863" s="19" t="s">
        <v>123</v>
      </c>
      <c r="N863" s="103"/>
      <c r="O863" s="19" t="s">
        <v>11574</v>
      </c>
      <c r="P863" s="103"/>
      <c r="Q863" s="19" t="s">
        <v>27299</v>
      </c>
      <c r="R863" s="103"/>
      <c r="S863" s="19" t="s">
        <v>24460</v>
      </c>
      <c r="T863" s="103"/>
      <c r="U863" s="103"/>
      <c r="V863" s="103"/>
      <c r="W863" s="103"/>
      <c r="X863" s="103"/>
      <c r="Y863" s="103"/>
      <c r="Z863" s="103"/>
    </row>
    <row r="864" ht="15.75" customHeight="1">
      <c r="A864" s="19" t="s">
        <v>23167</v>
      </c>
      <c r="B864" s="19" t="s">
        <v>26717</v>
      </c>
      <c r="C864" s="19" t="s">
        <v>27300</v>
      </c>
      <c r="D864" s="19" t="s">
        <v>24334</v>
      </c>
      <c r="E864" s="19" t="s">
        <v>23162</v>
      </c>
      <c r="F864" s="102" t="s">
        <v>23163</v>
      </c>
      <c r="G864" s="19" t="s">
        <v>24420</v>
      </c>
      <c r="H864" s="19" t="b">
        <v>1</v>
      </c>
      <c r="I864" s="19">
        <v>1.0</v>
      </c>
      <c r="J864" s="102" t="s">
        <v>21803</v>
      </c>
      <c r="K864" s="19" t="s">
        <v>14252</v>
      </c>
      <c r="L864" s="19">
        <v>97414.0</v>
      </c>
      <c r="M864" s="19" t="s">
        <v>40</v>
      </c>
      <c r="N864" s="103"/>
      <c r="O864" s="19" t="s">
        <v>11576</v>
      </c>
      <c r="P864" s="103"/>
      <c r="Q864" s="19" t="s">
        <v>27301</v>
      </c>
      <c r="R864" s="104">
        <v>17323.0</v>
      </c>
      <c r="S864" s="19" t="s">
        <v>24348</v>
      </c>
      <c r="T864" s="103"/>
      <c r="U864" s="103"/>
      <c r="V864" s="103"/>
      <c r="W864" s="103"/>
      <c r="X864" s="103"/>
      <c r="Y864" s="103"/>
      <c r="Z864" s="103"/>
    </row>
    <row r="865" ht="15.75" customHeight="1">
      <c r="A865" s="19" t="s">
        <v>23179</v>
      </c>
      <c r="B865" s="19" t="s">
        <v>27302</v>
      </c>
      <c r="C865" s="19" t="s">
        <v>27303</v>
      </c>
      <c r="D865" s="19" t="s">
        <v>24344</v>
      </c>
      <c r="E865" s="19" t="s">
        <v>23172</v>
      </c>
      <c r="F865" s="102" t="s">
        <v>23173</v>
      </c>
      <c r="G865" s="19" t="s">
        <v>24335</v>
      </c>
      <c r="H865" s="19" t="b">
        <v>1</v>
      </c>
      <c r="I865" s="19">
        <v>1.0</v>
      </c>
      <c r="J865" s="102" t="s">
        <v>14338</v>
      </c>
      <c r="K865" s="19" t="s">
        <v>23170</v>
      </c>
      <c r="L865" s="19">
        <v>97480.0</v>
      </c>
      <c r="M865" s="19" t="s">
        <v>123</v>
      </c>
      <c r="N865" s="103"/>
      <c r="O865" s="19" t="s">
        <v>11578</v>
      </c>
      <c r="P865" s="103"/>
      <c r="Q865" s="19" t="s">
        <v>27304</v>
      </c>
      <c r="R865" s="103"/>
      <c r="S865" s="103"/>
      <c r="T865" s="103"/>
      <c r="U865" s="103"/>
      <c r="V865" s="103"/>
      <c r="W865" s="103"/>
      <c r="X865" s="103"/>
      <c r="Y865" s="103"/>
      <c r="Z865" s="103"/>
    </row>
    <row r="866" ht="15.75" customHeight="1">
      <c r="A866" s="19" t="s">
        <v>23194</v>
      </c>
      <c r="B866" s="19" t="s">
        <v>27089</v>
      </c>
      <c r="C866" s="19" t="s">
        <v>27305</v>
      </c>
      <c r="D866" s="19" t="s">
        <v>24344</v>
      </c>
      <c r="E866" s="19" t="s">
        <v>23186</v>
      </c>
      <c r="F866" s="102" t="s">
        <v>23187</v>
      </c>
      <c r="G866" s="19" t="s">
        <v>24335</v>
      </c>
      <c r="H866" s="19" t="b">
        <v>1</v>
      </c>
      <c r="I866" s="19">
        <v>1.0</v>
      </c>
      <c r="J866" s="102" t="s">
        <v>21648</v>
      </c>
      <c r="K866" s="19" t="s">
        <v>27306</v>
      </c>
      <c r="L866" s="19">
        <v>19600.0</v>
      </c>
      <c r="M866" s="19" t="s">
        <v>27307</v>
      </c>
      <c r="N866" s="103"/>
      <c r="O866" s="19" t="s">
        <v>11583</v>
      </c>
      <c r="P866" s="103"/>
      <c r="Q866" s="19" t="s">
        <v>27308</v>
      </c>
      <c r="R866" s="104">
        <v>25773.0</v>
      </c>
      <c r="S866" s="19" t="s">
        <v>24460</v>
      </c>
      <c r="T866" s="103"/>
      <c r="U866" s="103"/>
      <c r="V866" s="103"/>
      <c r="W866" s="103"/>
      <c r="X866" s="103"/>
      <c r="Y866" s="103"/>
      <c r="Z866" s="103"/>
    </row>
    <row r="867" ht="15.75" customHeight="1">
      <c r="A867" s="19" t="s">
        <v>23208</v>
      </c>
      <c r="B867" s="19" t="s">
        <v>27309</v>
      </c>
      <c r="C867" s="19" t="s">
        <v>25819</v>
      </c>
      <c r="D867" s="19" t="s">
        <v>24344</v>
      </c>
      <c r="E867" s="19" t="s">
        <v>23201</v>
      </c>
      <c r="F867" s="102" t="s">
        <v>23202</v>
      </c>
      <c r="G867" s="19" t="s">
        <v>24420</v>
      </c>
      <c r="H867" s="19" t="b">
        <v>1</v>
      </c>
      <c r="I867" s="19">
        <v>1.0</v>
      </c>
      <c r="J867" s="102" t="s">
        <v>13073</v>
      </c>
      <c r="K867" s="19" t="s">
        <v>23199</v>
      </c>
      <c r="L867" s="19">
        <v>97480.0</v>
      </c>
      <c r="M867" s="19" t="s">
        <v>123</v>
      </c>
      <c r="N867" s="103"/>
      <c r="O867" s="19" t="s">
        <v>11585</v>
      </c>
      <c r="P867" s="103"/>
      <c r="Q867" s="19" t="s">
        <v>27310</v>
      </c>
      <c r="R867" s="103"/>
      <c r="S867" s="19" t="s">
        <v>24348</v>
      </c>
      <c r="T867" s="103"/>
      <c r="U867" s="103"/>
      <c r="V867" s="103"/>
      <c r="W867" s="103"/>
      <c r="X867" s="103"/>
      <c r="Y867" s="103"/>
      <c r="Z867" s="103"/>
    </row>
    <row r="868" ht="15.75" customHeight="1">
      <c r="A868" s="19" t="s">
        <v>23236</v>
      </c>
      <c r="B868" s="19" t="s">
        <v>27311</v>
      </c>
      <c r="C868" s="19" t="s">
        <v>27312</v>
      </c>
      <c r="D868" s="19" t="s">
        <v>24344</v>
      </c>
      <c r="E868" s="19" t="s">
        <v>23229</v>
      </c>
      <c r="F868" s="102" t="s">
        <v>23230</v>
      </c>
      <c r="G868" s="19" t="s">
        <v>24335</v>
      </c>
      <c r="H868" s="19" t="b">
        <v>1</v>
      </c>
      <c r="I868" s="19">
        <v>1.0</v>
      </c>
      <c r="J868" s="102" t="s">
        <v>18179</v>
      </c>
      <c r="K868" s="19" t="s">
        <v>23227</v>
      </c>
      <c r="L868" s="19">
        <v>97430.0</v>
      </c>
      <c r="M868" s="19" t="s">
        <v>71</v>
      </c>
      <c r="N868" s="103"/>
      <c r="O868" s="19" t="s">
        <v>11589</v>
      </c>
      <c r="P868" s="103"/>
      <c r="Q868" s="19" t="s">
        <v>27313</v>
      </c>
      <c r="R868" s="105">
        <v>35014.0</v>
      </c>
      <c r="S868" s="103"/>
      <c r="T868" s="103"/>
      <c r="U868" s="103"/>
      <c r="V868" s="103"/>
      <c r="W868" s="103"/>
      <c r="X868" s="103"/>
      <c r="Y868" s="103"/>
      <c r="Z868" s="103"/>
    </row>
    <row r="869" ht="15.75" customHeight="1">
      <c r="A869" s="19" t="s">
        <v>27314</v>
      </c>
      <c r="B869" s="19" t="s">
        <v>27315</v>
      </c>
      <c r="C869" s="19" t="s">
        <v>26312</v>
      </c>
      <c r="D869" s="19" t="s">
        <v>24334</v>
      </c>
      <c r="E869" s="19" t="s">
        <v>23213</v>
      </c>
      <c r="F869" s="102" t="s">
        <v>23214</v>
      </c>
      <c r="G869" s="19" t="s">
        <v>24335</v>
      </c>
      <c r="H869" s="19" t="b">
        <v>0</v>
      </c>
      <c r="I869" s="19">
        <v>1.0</v>
      </c>
      <c r="J869" s="102" t="s">
        <v>15221</v>
      </c>
      <c r="K869" s="19" t="s">
        <v>27316</v>
      </c>
      <c r="L869" s="19">
        <v>97400.0</v>
      </c>
      <c r="M869" s="19" t="s">
        <v>26767</v>
      </c>
      <c r="N869" s="103"/>
      <c r="O869" s="19" t="s">
        <v>11587</v>
      </c>
      <c r="P869" s="103"/>
      <c r="Q869" s="19" t="s">
        <v>27317</v>
      </c>
      <c r="R869" s="104">
        <v>33753.0</v>
      </c>
      <c r="S869" s="19" t="s">
        <v>24460</v>
      </c>
      <c r="T869" s="103"/>
      <c r="U869" s="103"/>
      <c r="V869" s="103"/>
      <c r="W869" s="103"/>
      <c r="X869" s="103"/>
      <c r="Y869" s="103"/>
      <c r="Z869" s="103"/>
    </row>
    <row r="870" ht="15.75" customHeight="1">
      <c r="A870" s="19" t="s">
        <v>23246</v>
      </c>
      <c r="B870" s="19" t="s">
        <v>24395</v>
      </c>
      <c r="C870" s="19" t="s">
        <v>26114</v>
      </c>
      <c r="D870" s="19" t="s">
        <v>24344</v>
      </c>
      <c r="E870" s="19" t="s">
        <v>23242</v>
      </c>
      <c r="F870" s="102" t="s">
        <v>23243</v>
      </c>
      <c r="G870" s="19" t="s">
        <v>24335</v>
      </c>
      <c r="H870" s="19" t="b">
        <v>0</v>
      </c>
      <c r="I870" s="19">
        <v>1.0</v>
      </c>
      <c r="J870" s="102" t="s">
        <v>20575</v>
      </c>
      <c r="K870" s="19" t="s">
        <v>27318</v>
      </c>
      <c r="L870" s="19">
        <v>97430.0</v>
      </c>
      <c r="M870" s="19" t="s">
        <v>71</v>
      </c>
      <c r="N870" s="103"/>
      <c r="O870" s="19" t="s">
        <v>11580</v>
      </c>
      <c r="P870" s="103"/>
      <c r="Q870" s="19" t="s">
        <v>27319</v>
      </c>
      <c r="R870" s="103"/>
      <c r="S870" s="103"/>
      <c r="T870" s="103"/>
      <c r="U870" s="103"/>
      <c r="V870" s="103"/>
      <c r="W870" s="103"/>
      <c r="X870" s="103"/>
      <c r="Y870" s="103"/>
      <c r="Z870" s="103"/>
    </row>
    <row r="871" ht="15.75" customHeight="1">
      <c r="A871" s="19" t="s">
        <v>23259</v>
      </c>
      <c r="B871" s="19" t="s">
        <v>85</v>
      </c>
      <c r="C871" s="19" t="s">
        <v>27320</v>
      </c>
      <c r="D871" s="19" t="s">
        <v>24344</v>
      </c>
      <c r="E871" s="19" t="s">
        <v>23253</v>
      </c>
      <c r="F871" s="102" t="s">
        <v>23254</v>
      </c>
      <c r="G871" s="19" t="s">
        <v>24420</v>
      </c>
      <c r="H871" s="19" t="b">
        <v>1</v>
      </c>
      <c r="I871" s="19">
        <v>1.0</v>
      </c>
      <c r="J871" s="102" t="s">
        <v>18205</v>
      </c>
      <c r="K871" s="19" t="s">
        <v>23251</v>
      </c>
      <c r="L871" s="19">
        <v>97418.0</v>
      </c>
      <c r="M871" s="19" t="s">
        <v>71</v>
      </c>
      <c r="N871" s="103"/>
      <c r="O871" s="19" t="s">
        <v>10230</v>
      </c>
      <c r="P871" s="103"/>
      <c r="Q871" s="19" t="s">
        <v>27321</v>
      </c>
      <c r="R871" s="103"/>
      <c r="S871" s="103"/>
      <c r="T871" s="103"/>
      <c r="U871" s="103"/>
      <c r="V871" s="103"/>
      <c r="W871" s="103"/>
      <c r="X871" s="103"/>
      <c r="Y871" s="103"/>
      <c r="Z871" s="103"/>
    </row>
    <row r="872" ht="15.75" customHeight="1">
      <c r="A872" s="19" t="s">
        <v>23284</v>
      </c>
      <c r="B872" s="19" t="s">
        <v>24395</v>
      </c>
      <c r="C872" s="19" t="s">
        <v>24671</v>
      </c>
      <c r="D872" s="19" t="s">
        <v>24334</v>
      </c>
      <c r="E872" s="19" t="s">
        <v>23277</v>
      </c>
      <c r="F872" s="102" t="s">
        <v>23278</v>
      </c>
      <c r="G872" s="19" t="s">
        <v>24335</v>
      </c>
      <c r="H872" s="19" t="b">
        <v>1</v>
      </c>
      <c r="I872" s="19">
        <v>1.0</v>
      </c>
      <c r="J872" s="19" t="s">
        <v>13739</v>
      </c>
      <c r="K872" s="19" t="s">
        <v>23275</v>
      </c>
      <c r="L872" s="19">
        <v>97430.0</v>
      </c>
      <c r="M872" s="19" t="s">
        <v>71</v>
      </c>
      <c r="N872" s="103"/>
      <c r="O872" s="19" t="s">
        <v>23273</v>
      </c>
      <c r="P872" s="103"/>
      <c r="Q872" s="19" t="s">
        <v>27322</v>
      </c>
      <c r="R872" s="103"/>
      <c r="S872" s="103"/>
      <c r="T872" s="103"/>
      <c r="U872" s="103"/>
      <c r="V872" s="103"/>
      <c r="W872" s="103"/>
      <c r="X872" s="103"/>
      <c r="Y872" s="103"/>
      <c r="Z872" s="103"/>
    </row>
    <row r="873" ht="15.75" customHeight="1">
      <c r="A873" s="19" t="s">
        <v>23298</v>
      </c>
      <c r="B873" s="19" t="s">
        <v>27323</v>
      </c>
      <c r="C873" s="19" t="s">
        <v>149</v>
      </c>
      <c r="D873" s="19" t="s">
        <v>24344</v>
      </c>
      <c r="E873" s="19" t="s">
        <v>23292</v>
      </c>
      <c r="F873" s="102" t="s">
        <v>23293</v>
      </c>
      <c r="G873" s="19" t="s">
        <v>24420</v>
      </c>
      <c r="H873" s="19" t="b">
        <v>1</v>
      </c>
      <c r="I873" s="19">
        <v>1.0</v>
      </c>
      <c r="J873" s="102" t="s">
        <v>17436</v>
      </c>
      <c r="K873" s="19" t="s">
        <v>23290</v>
      </c>
      <c r="L873" s="19">
        <v>97430.0</v>
      </c>
      <c r="M873" s="19" t="s">
        <v>71</v>
      </c>
      <c r="N873" s="103"/>
      <c r="O873" s="19" t="s">
        <v>23288</v>
      </c>
      <c r="P873" s="103"/>
      <c r="Q873" s="19" t="s">
        <v>27324</v>
      </c>
      <c r="R873" s="103"/>
      <c r="S873" s="19" t="s">
        <v>24460</v>
      </c>
      <c r="T873" s="103"/>
      <c r="U873" s="103"/>
      <c r="V873" s="103"/>
      <c r="W873" s="103"/>
      <c r="X873" s="103"/>
      <c r="Y873" s="103"/>
      <c r="Z873" s="103"/>
    </row>
    <row r="874" ht="15.75" customHeight="1">
      <c r="A874" s="19" t="s">
        <v>27325</v>
      </c>
      <c r="B874" s="19" t="s">
        <v>25695</v>
      </c>
      <c r="C874" s="19" t="s">
        <v>25226</v>
      </c>
      <c r="D874" s="19" t="s">
        <v>24344</v>
      </c>
      <c r="E874" s="19" t="s">
        <v>23306</v>
      </c>
      <c r="F874" s="102" t="s">
        <v>23307</v>
      </c>
      <c r="G874" s="19" t="s">
        <v>24335</v>
      </c>
      <c r="H874" s="19" t="b">
        <v>1</v>
      </c>
      <c r="I874" s="19">
        <v>1.0</v>
      </c>
      <c r="J874" s="102" t="s">
        <v>13859</v>
      </c>
      <c r="K874" s="19" t="s">
        <v>17017</v>
      </c>
      <c r="L874" s="19">
        <v>81490.0</v>
      </c>
      <c r="M874" s="19" t="s">
        <v>27326</v>
      </c>
      <c r="N874" s="103"/>
      <c r="O874" s="19" t="s">
        <v>23302</v>
      </c>
      <c r="P874" s="103"/>
      <c r="Q874" s="19" t="s">
        <v>27327</v>
      </c>
      <c r="R874" s="104">
        <v>20531.0</v>
      </c>
      <c r="S874" s="19" t="s">
        <v>24460</v>
      </c>
      <c r="T874" s="103"/>
      <c r="U874" s="103"/>
      <c r="V874" s="103"/>
      <c r="W874" s="103"/>
      <c r="X874" s="103"/>
      <c r="Y874" s="103"/>
      <c r="Z874" s="103"/>
    </row>
    <row r="875" ht="15.75" customHeight="1">
      <c r="A875" s="19" t="s">
        <v>23328</v>
      </c>
      <c r="B875" s="19" t="s">
        <v>27328</v>
      </c>
      <c r="C875" s="19" t="s">
        <v>26541</v>
      </c>
      <c r="D875" s="19" t="s">
        <v>24334</v>
      </c>
      <c r="E875" s="19" t="s">
        <v>23321</v>
      </c>
      <c r="F875" s="102" t="s">
        <v>23322</v>
      </c>
      <c r="G875" s="19" t="s">
        <v>24420</v>
      </c>
      <c r="H875" s="19" t="b">
        <v>1</v>
      </c>
      <c r="I875" s="19">
        <v>1.0</v>
      </c>
      <c r="J875" s="102" t="s">
        <v>13331</v>
      </c>
      <c r="K875" s="19" t="s">
        <v>27329</v>
      </c>
      <c r="L875" s="19">
        <v>97430.0</v>
      </c>
      <c r="M875" s="19" t="s">
        <v>71</v>
      </c>
      <c r="N875" s="103"/>
      <c r="O875" s="19" t="s">
        <v>23317</v>
      </c>
      <c r="P875" s="103"/>
      <c r="Q875" s="19" t="s">
        <v>27330</v>
      </c>
      <c r="R875" s="104">
        <v>20101.0</v>
      </c>
      <c r="S875" s="19" t="s">
        <v>24348</v>
      </c>
      <c r="T875" s="103"/>
      <c r="U875" s="103"/>
      <c r="V875" s="103"/>
      <c r="W875" s="103"/>
      <c r="X875" s="103"/>
      <c r="Y875" s="103"/>
      <c r="Z875" s="103"/>
    </row>
    <row r="876" ht="15.75" customHeight="1">
      <c r="A876" s="19" t="s">
        <v>23339</v>
      </c>
      <c r="B876" s="19" t="s">
        <v>25695</v>
      </c>
      <c r="C876" s="19" t="s">
        <v>27331</v>
      </c>
      <c r="D876" s="19" t="s">
        <v>24334</v>
      </c>
      <c r="E876" s="19" t="s">
        <v>23334</v>
      </c>
      <c r="F876" s="102" t="s">
        <v>23335</v>
      </c>
      <c r="G876" s="19" t="s">
        <v>24420</v>
      </c>
      <c r="H876" s="19" t="b">
        <v>1</v>
      </c>
      <c r="I876" s="19">
        <v>1.0</v>
      </c>
      <c r="J876" s="102" t="s">
        <v>13073</v>
      </c>
      <c r="K876" s="19" t="s">
        <v>23332</v>
      </c>
      <c r="L876" s="19">
        <v>97418.0</v>
      </c>
      <c r="M876" s="19" t="s">
        <v>71</v>
      </c>
      <c r="N876" s="103"/>
      <c r="O876" s="19" t="s">
        <v>258</v>
      </c>
      <c r="P876" s="103"/>
      <c r="Q876" s="19" t="s">
        <v>27332</v>
      </c>
      <c r="R876" s="103"/>
      <c r="S876" s="103"/>
      <c r="T876" s="103"/>
      <c r="U876" s="103"/>
      <c r="V876" s="103"/>
      <c r="W876" s="103"/>
      <c r="X876" s="103"/>
      <c r="Y876" s="103"/>
      <c r="Z876" s="103"/>
    </row>
    <row r="877" ht="15.75" customHeight="1">
      <c r="A877" s="19" t="s">
        <v>23356</v>
      </c>
      <c r="B877" s="19" t="s">
        <v>27333</v>
      </c>
      <c r="C877" s="19" t="s">
        <v>25264</v>
      </c>
      <c r="D877" s="19" t="s">
        <v>24344</v>
      </c>
      <c r="E877" s="19" t="s">
        <v>23347</v>
      </c>
      <c r="F877" s="102" t="s">
        <v>23348</v>
      </c>
      <c r="G877" s="19" t="s">
        <v>24420</v>
      </c>
      <c r="H877" s="19" t="b">
        <v>1</v>
      </c>
      <c r="I877" s="19">
        <v>1.0</v>
      </c>
      <c r="J877" s="102" t="s">
        <v>21803</v>
      </c>
      <c r="K877" s="19" t="s">
        <v>23344</v>
      </c>
      <c r="L877" s="19">
        <v>97429.0</v>
      </c>
      <c r="M877" s="19" t="s">
        <v>24480</v>
      </c>
      <c r="N877" s="103"/>
      <c r="O877" s="19" t="s">
        <v>27334</v>
      </c>
      <c r="P877" s="19" t="s">
        <v>27335</v>
      </c>
      <c r="Q877" s="19" t="s">
        <v>27336</v>
      </c>
      <c r="R877" s="103"/>
      <c r="S877" s="19" t="s">
        <v>24348</v>
      </c>
      <c r="T877" s="103"/>
      <c r="U877" s="103"/>
      <c r="V877" s="103"/>
      <c r="W877" s="103"/>
      <c r="X877" s="103"/>
      <c r="Y877" s="103"/>
      <c r="Z877" s="103"/>
    </row>
    <row r="878" ht="15.75" customHeight="1">
      <c r="A878" s="19" t="s">
        <v>23369</v>
      </c>
      <c r="B878" s="19" t="s">
        <v>27337</v>
      </c>
      <c r="C878" s="19" t="s">
        <v>25105</v>
      </c>
      <c r="D878" s="19" t="s">
        <v>24344</v>
      </c>
      <c r="E878" s="19" t="s">
        <v>23364</v>
      </c>
      <c r="F878" s="102" t="s">
        <v>23365</v>
      </c>
      <c r="G878" s="19" t="s">
        <v>24420</v>
      </c>
      <c r="H878" s="19" t="b">
        <v>0</v>
      </c>
      <c r="I878" s="19">
        <v>1.0</v>
      </c>
      <c r="J878" s="102" t="s">
        <v>23362</v>
      </c>
      <c r="K878" s="19" t="s">
        <v>15946</v>
      </c>
      <c r="L878" s="19">
        <v>97430.0</v>
      </c>
      <c r="M878" s="19" t="s">
        <v>71</v>
      </c>
      <c r="N878" s="103"/>
      <c r="O878" s="19" t="s">
        <v>27338</v>
      </c>
      <c r="P878" s="19" t="s">
        <v>27339</v>
      </c>
      <c r="Q878" s="19" t="s">
        <v>27340</v>
      </c>
      <c r="R878" s="105">
        <v>24803.0</v>
      </c>
      <c r="S878" s="19" t="s">
        <v>24348</v>
      </c>
      <c r="T878" s="103"/>
      <c r="U878" s="103"/>
      <c r="V878" s="103"/>
      <c r="W878" s="103"/>
      <c r="X878" s="103"/>
      <c r="Y878" s="103"/>
      <c r="Z878" s="103"/>
    </row>
    <row r="879" ht="15.75" customHeight="1">
      <c r="A879" s="19" t="s">
        <v>27341</v>
      </c>
      <c r="B879" s="19" t="s">
        <v>27342</v>
      </c>
      <c r="C879" s="19" t="s">
        <v>27343</v>
      </c>
      <c r="D879" s="19" t="s">
        <v>24344</v>
      </c>
      <c r="E879" s="19" t="s">
        <v>27344</v>
      </c>
      <c r="F879" s="103"/>
      <c r="G879" s="19" t="s">
        <v>24420</v>
      </c>
      <c r="H879" s="19" t="b">
        <v>0</v>
      </c>
      <c r="I879" s="19">
        <v>0.0</v>
      </c>
      <c r="J879" s="102" t="s">
        <v>14287</v>
      </c>
      <c r="K879" s="19" t="s">
        <v>27345</v>
      </c>
      <c r="L879" s="19">
        <v>97410.0</v>
      </c>
      <c r="M879" s="19" t="s">
        <v>24605</v>
      </c>
      <c r="N879" s="103"/>
      <c r="O879" s="103"/>
      <c r="P879" s="103"/>
      <c r="Q879" s="19" t="s">
        <v>27346</v>
      </c>
      <c r="R879" s="103"/>
      <c r="S879" s="19" t="s">
        <v>24348</v>
      </c>
      <c r="T879" s="103"/>
      <c r="U879" s="103"/>
      <c r="V879" s="103"/>
      <c r="W879" s="103"/>
      <c r="X879" s="103"/>
      <c r="Y879" s="103"/>
      <c r="Z879" s="103"/>
    </row>
    <row r="880" ht="15.75" customHeight="1">
      <c r="A880" s="19" t="s">
        <v>23412</v>
      </c>
      <c r="B880" s="19" t="s">
        <v>25199</v>
      </c>
      <c r="C880" s="19" t="s">
        <v>24739</v>
      </c>
      <c r="D880" s="19" t="s">
        <v>24344</v>
      </c>
      <c r="E880" s="19" t="s">
        <v>23407</v>
      </c>
      <c r="F880" s="102" t="s">
        <v>23408</v>
      </c>
      <c r="G880" s="19" t="s">
        <v>24335</v>
      </c>
      <c r="H880" s="19" t="b">
        <v>1</v>
      </c>
      <c r="I880" s="19">
        <v>1.0</v>
      </c>
      <c r="J880" s="102" t="s">
        <v>14338</v>
      </c>
      <c r="K880" s="19" t="s">
        <v>27347</v>
      </c>
      <c r="L880" s="19">
        <v>97480.0</v>
      </c>
      <c r="M880" s="19" t="s">
        <v>123</v>
      </c>
      <c r="N880" s="103"/>
      <c r="O880" s="19" t="s">
        <v>23403</v>
      </c>
      <c r="P880" s="103"/>
      <c r="Q880" s="19" t="s">
        <v>27348</v>
      </c>
      <c r="R880" s="104">
        <v>34161.0</v>
      </c>
      <c r="S880" s="19" t="s">
        <v>24348</v>
      </c>
      <c r="T880" s="103"/>
      <c r="U880" s="103"/>
      <c r="V880" s="103"/>
      <c r="W880" s="103"/>
      <c r="X880" s="103"/>
      <c r="Y880" s="103"/>
      <c r="Z880" s="103"/>
    </row>
    <row r="881" ht="15.75" customHeight="1">
      <c r="A881" s="19" t="s">
        <v>23426</v>
      </c>
      <c r="B881" s="19" t="s">
        <v>25337</v>
      </c>
      <c r="C881" s="19" t="s">
        <v>24969</v>
      </c>
      <c r="D881" s="19" t="s">
        <v>24344</v>
      </c>
      <c r="E881" s="19" t="s">
        <v>23419</v>
      </c>
      <c r="F881" s="102" t="s">
        <v>23420</v>
      </c>
      <c r="G881" s="19" t="s">
        <v>24335</v>
      </c>
      <c r="H881" s="19" t="b">
        <v>1</v>
      </c>
      <c r="I881" s="19">
        <v>1.0</v>
      </c>
      <c r="J881" s="102" t="s">
        <v>13573</v>
      </c>
      <c r="K881" s="19" t="s">
        <v>27349</v>
      </c>
      <c r="L881" s="19">
        <v>58300.0</v>
      </c>
      <c r="M881" s="19" t="s">
        <v>27350</v>
      </c>
      <c r="N881" s="103"/>
      <c r="O881" s="19" t="s">
        <v>23416</v>
      </c>
      <c r="P881" s="103"/>
      <c r="Q881" s="19" t="s">
        <v>27351</v>
      </c>
      <c r="R881" s="104">
        <v>35607.0</v>
      </c>
      <c r="S881" s="19" t="s">
        <v>24348</v>
      </c>
      <c r="T881" s="103"/>
      <c r="U881" s="103"/>
      <c r="V881" s="103"/>
      <c r="W881" s="103"/>
      <c r="X881" s="103"/>
      <c r="Y881" s="103"/>
      <c r="Z881" s="103"/>
    </row>
    <row r="882" ht="15.75" customHeight="1">
      <c r="A882" s="19" t="s">
        <v>23438</v>
      </c>
      <c r="B882" s="19" t="s">
        <v>24349</v>
      </c>
      <c r="C882" s="19" t="s">
        <v>27352</v>
      </c>
      <c r="D882" s="19" t="s">
        <v>24334</v>
      </c>
      <c r="E882" s="19" t="s">
        <v>23434</v>
      </c>
      <c r="F882" s="102" t="s">
        <v>23435</v>
      </c>
      <c r="G882" s="19" t="s">
        <v>24420</v>
      </c>
      <c r="H882" s="19" t="b">
        <v>1</v>
      </c>
      <c r="I882" s="19">
        <v>1.0</v>
      </c>
      <c r="J882" s="19" t="s">
        <v>27353</v>
      </c>
      <c r="K882" s="19" t="s">
        <v>23160</v>
      </c>
      <c r="L882" s="19">
        <v>97414.0</v>
      </c>
      <c r="M882" s="19" t="s">
        <v>40</v>
      </c>
      <c r="N882" s="103"/>
      <c r="O882" s="19" t="s">
        <v>23430</v>
      </c>
      <c r="P882" s="103"/>
      <c r="Q882" s="19" t="s">
        <v>27354</v>
      </c>
      <c r="R882" s="104">
        <v>34767.0</v>
      </c>
      <c r="S882" s="19" t="s">
        <v>24348</v>
      </c>
      <c r="T882" s="103"/>
      <c r="U882" s="103"/>
      <c r="V882" s="103"/>
      <c r="W882" s="103"/>
      <c r="X882" s="103"/>
      <c r="Y882" s="103"/>
      <c r="Z882" s="103"/>
    </row>
    <row r="883" ht="15.75" customHeight="1">
      <c r="A883" s="19" t="s">
        <v>23449</v>
      </c>
      <c r="B883" s="19" t="s">
        <v>66</v>
      </c>
      <c r="C883" s="19" t="s">
        <v>26330</v>
      </c>
      <c r="D883" s="19" t="s">
        <v>24334</v>
      </c>
      <c r="E883" s="19" t="s">
        <v>23445</v>
      </c>
      <c r="F883" s="102" t="s">
        <v>23446</v>
      </c>
      <c r="G883" s="19" t="s">
        <v>24420</v>
      </c>
      <c r="H883" s="19" t="b">
        <v>1</v>
      </c>
      <c r="I883" s="19">
        <v>1.0</v>
      </c>
      <c r="J883" s="102" t="s">
        <v>23443</v>
      </c>
      <c r="K883" s="19" t="s">
        <v>14666</v>
      </c>
      <c r="L883" s="19">
        <v>97414.0</v>
      </c>
      <c r="M883" s="19" t="s">
        <v>40</v>
      </c>
      <c r="N883" s="103"/>
      <c r="O883" s="19" t="s">
        <v>23441</v>
      </c>
      <c r="P883" s="103"/>
      <c r="Q883" s="19" t="s">
        <v>27355</v>
      </c>
      <c r="R883" s="104">
        <v>26076.0</v>
      </c>
      <c r="S883" s="19" t="s">
        <v>24348</v>
      </c>
      <c r="T883" s="103"/>
      <c r="U883" s="103"/>
      <c r="V883" s="103"/>
      <c r="W883" s="103"/>
      <c r="X883" s="103"/>
      <c r="Y883" s="103"/>
      <c r="Z883" s="103"/>
    </row>
    <row r="884" ht="15.75" customHeight="1">
      <c r="A884" s="19" t="s">
        <v>23460</v>
      </c>
      <c r="B884" s="19" t="s">
        <v>27356</v>
      </c>
      <c r="C884" s="19" t="s">
        <v>23453</v>
      </c>
      <c r="D884" s="19" t="s">
        <v>24344</v>
      </c>
      <c r="E884" s="19" t="s">
        <v>23456</v>
      </c>
      <c r="F884" s="102" t="s">
        <v>23457</v>
      </c>
      <c r="G884" s="103"/>
      <c r="H884" s="19" t="b">
        <v>1</v>
      </c>
      <c r="I884" s="19">
        <v>1.0</v>
      </c>
      <c r="J884" s="102" t="s">
        <v>23454</v>
      </c>
      <c r="K884" s="19" t="s">
        <v>27357</v>
      </c>
      <c r="L884" s="19">
        <v>97430.0</v>
      </c>
      <c r="M884" s="19" t="s">
        <v>71</v>
      </c>
      <c r="N884" s="103"/>
      <c r="O884" s="19" t="s">
        <v>23452</v>
      </c>
      <c r="P884" s="103"/>
      <c r="Q884" s="19" t="s">
        <v>27358</v>
      </c>
      <c r="R884" s="104">
        <v>33129.0</v>
      </c>
      <c r="S884" s="19" t="s">
        <v>24348</v>
      </c>
      <c r="T884" s="103"/>
      <c r="U884" s="103"/>
      <c r="V884" s="103"/>
      <c r="W884" s="103"/>
      <c r="X884" s="103"/>
      <c r="Y884" s="103"/>
      <c r="Z884" s="103"/>
    </row>
    <row r="885" ht="15.75" customHeight="1">
      <c r="A885" s="19" t="s">
        <v>23475</v>
      </c>
      <c r="B885" s="19" t="s">
        <v>27359</v>
      </c>
      <c r="C885" s="19" t="s">
        <v>24577</v>
      </c>
      <c r="D885" s="19" t="s">
        <v>24344</v>
      </c>
      <c r="E885" s="19" t="s">
        <v>23467</v>
      </c>
      <c r="F885" s="102" t="s">
        <v>23468</v>
      </c>
      <c r="G885" s="19" t="s">
        <v>24335</v>
      </c>
      <c r="H885" s="19" t="b">
        <v>1</v>
      </c>
      <c r="I885" s="19">
        <v>1.0</v>
      </c>
      <c r="J885" s="102" t="s">
        <v>15500</v>
      </c>
      <c r="K885" s="19" t="s">
        <v>27360</v>
      </c>
      <c r="L885" s="19">
        <v>17700.0</v>
      </c>
      <c r="M885" s="19" t="s">
        <v>27361</v>
      </c>
      <c r="N885" s="103"/>
      <c r="O885" s="19" t="s">
        <v>23463</v>
      </c>
      <c r="P885" s="103"/>
      <c r="Q885" s="19" t="s">
        <v>27362</v>
      </c>
      <c r="R885" s="103"/>
      <c r="S885" s="19" t="s">
        <v>24460</v>
      </c>
      <c r="T885" s="103"/>
      <c r="U885" s="103"/>
      <c r="V885" s="103"/>
      <c r="W885" s="103"/>
      <c r="X885" s="103"/>
      <c r="Y885" s="103"/>
      <c r="Z885" s="103"/>
    </row>
    <row r="886" ht="15.75" customHeight="1">
      <c r="A886" s="19" t="s">
        <v>23497</v>
      </c>
      <c r="B886" s="19" t="s">
        <v>26113</v>
      </c>
      <c r="C886" s="19" t="s">
        <v>27363</v>
      </c>
      <c r="D886" s="19" t="s">
        <v>24344</v>
      </c>
      <c r="E886" s="19" t="s">
        <v>23489</v>
      </c>
      <c r="F886" s="102" t="s">
        <v>23490</v>
      </c>
      <c r="G886" s="19" t="s">
        <v>24420</v>
      </c>
      <c r="H886" s="19" t="b">
        <v>1</v>
      </c>
      <c r="I886" s="19">
        <v>1.0</v>
      </c>
      <c r="J886" s="102" t="s">
        <v>27364</v>
      </c>
      <c r="K886" s="19" t="s">
        <v>27365</v>
      </c>
      <c r="L886" s="19">
        <v>97440.0</v>
      </c>
      <c r="M886" s="19" t="s">
        <v>26611</v>
      </c>
      <c r="N886" s="103"/>
      <c r="O886" s="19" t="s">
        <v>250</v>
      </c>
      <c r="P886" s="103"/>
      <c r="Q886" s="19" t="s">
        <v>27366</v>
      </c>
      <c r="R886" s="103"/>
      <c r="S886" s="19" t="s">
        <v>24348</v>
      </c>
      <c r="T886" s="103"/>
      <c r="U886" s="103"/>
      <c r="V886" s="103"/>
      <c r="W886" s="103"/>
      <c r="X886" s="103"/>
      <c r="Y886" s="103"/>
      <c r="Z886" s="103"/>
    </row>
    <row r="887" ht="15.75" customHeight="1">
      <c r="A887" s="19" t="s">
        <v>23512</v>
      </c>
      <c r="B887" s="19" t="s">
        <v>24936</v>
      </c>
      <c r="C887" s="19" t="s">
        <v>27367</v>
      </c>
      <c r="D887" s="19" t="s">
        <v>24334</v>
      </c>
      <c r="E887" s="19" t="s">
        <v>23505</v>
      </c>
      <c r="F887" s="102" t="s">
        <v>23506</v>
      </c>
      <c r="G887" s="19" t="s">
        <v>24420</v>
      </c>
      <c r="H887" s="19" t="b">
        <v>1</v>
      </c>
      <c r="I887" s="19">
        <v>1.0</v>
      </c>
      <c r="J887" s="102" t="s">
        <v>20507</v>
      </c>
      <c r="K887" s="19" t="s">
        <v>27368</v>
      </c>
      <c r="L887" s="19">
        <v>97480.0</v>
      </c>
      <c r="M887" s="19" t="s">
        <v>123</v>
      </c>
      <c r="N887" s="103"/>
      <c r="O887" s="19" t="s">
        <v>23500</v>
      </c>
      <c r="P887" s="103"/>
      <c r="Q887" s="19" t="s">
        <v>27369</v>
      </c>
      <c r="R887" s="103"/>
      <c r="S887" s="103"/>
      <c r="T887" s="103"/>
      <c r="U887" s="103"/>
      <c r="V887" s="103"/>
      <c r="W887" s="103"/>
      <c r="X887" s="103"/>
      <c r="Y887" s="103"/>
      <c r="Z887" s="103"/>
    </row>
    <row r="888" ht="15.75" customHeight="1">
      <c r="A888" s="19" t="s">
        <v>23527</v>
      </c>
      <c r="B888" s="19" t="s">
        <v>27370</v>
      </c>
      <c r="C888" s="19" t="s">
        <v>25264</v>
      </c>
      <c r="D888" s="19" t="s">
        <v>24344</v>
      </c>
      <c r="E888" s="19" t="s">
        <v>23520</v>
      </c>
      <c r="F888" s="102" t="s">
        <v>27371</v>
      </c>
      <c r="G888" s="19" t="s">
        <v>24420</v>
      </c>
      <c r="H888" s="19" t="b">
        <v>1</v>
      </c>
      <c r="I888" s="19">
        <v>2.0</v>
      </c>
      <c r="J888" s="19" t="s">
        <v>23517</v>
      </c>
      <c r="K888" s="19" t="s">
        <v>18560</v>
      </c>
      <c r="L888" s="19">
        <v>97418.0</v>
      </c>
      <c r="M888" s="19" t="s">
        <v>216</v>
      </c>
      <c r="N888" s="103"/>
      <c r="O888" s="19" t="s">
        <v>27372</v>
      </c>
      <c r="P888" s="103"/>
      <c r="Q888" s="19" t="s">
        <v>27373</v>
      </c>
      <c r="R888" s="103"/>
      <c r="S888" s="19" t="s">
        <v>24348</v>
      </c>
      <c r="T888" s="103"/>
      <c r="U888" s="103"/>
      <c r="V888" s="103"/>
      <c r="W888" s="103"/>
      <c r="X888" s="103"/>
      <c r="Y888" s="103"/>
      <c r="Z888" s="103"/>
    </row>
    <row r="889" ht="15.75" customHeight="1">
      <c r="A889" s="19" t="s">
        <v>23568</v>
      </c>
      <c r="B889" s="19" t="s">
        <v>26113</v>
      </c>
      <c r="C889" s="19" t="s">
        <v>27374</v>
      </c>
      <c r="D889" s="19" t="s">
        <v>24334</v>
      </c>
      <c r="E889" s="19" t="s">
        <v>23559</v>
      </c>
      <c r="F889" s="102" t="s">
        <v>23560</v>
      </c>
      <c r="G889" s="19" t="s">
        <v>24335</v>
      </c>
      <c r="H889" s="19" t="b">
        <v>1</v>
      </c>
      <c r="I889" s="19">
        <v>1.0</v>
      </c>
      <c r="J889" s="102" t="s">
        <v>12589</v>
      </c>
      <c r="K889" s="19" t="s">
        <v>23557</v>
      </c>
      <c r="L889" s="19">
        <v>97418.0</v>
      </c>
      <c r="M889" s="19" t="s">
        <v>71</v>
      </c>
      <c r="N889" s="103"/>
      <c r="O889" s="19" t="s">
        <v>27375</v>
      </c>
      <c r="P889" s="103"/>
      <c r="Q889" s="19" t="s">
        <v>27376</v>
      </c>
      <c r="R889" s="103"/>
      <c r="S889" s="103"/>
      <c r="T889" s="103"/>
      <c r="U889" s="103"/>
      <c r="V889" s="103"/>
      <c r="W889" s="103"/>
      <c r="X889" s="103"/>
      <c r="Y889" s="103"/>
      <c r="Z889" s="103"/>
    </row>
    <row r="890" ht="15.75" customHeight="1">
      <c r="A890" s="19" t="s">
        <v>23584</v>
      </c>
      <c r="B890" s="19" t="s">
        <v>26062</v>
      </c>
      <c r="C890" s="19" t="s">
        <v>24947</v>
      </c>
      <c r="D890" s="19" t="s">
        <v>24344</v>
      </c>
      <c r="E890" s="19" t="s">
        <v>23577</v>
      </c>
      <c r="F890" s="102" t="s">
        <v>23578</v>
      </c>
      <c r="G890" s="19" t="s">
        <v>24420</v>
      </c>
      <c r="H890" s="19" t="b">
        <v>1</v>
      </c>
      <c r="I890" s="19">
        <v>1.0</v>
      </c>
      <c r="J890" s="19" t="s">
        <v>23575</v>
      </c>
      <c r="K890" s="19" t="s">
        <v>18575</v>
      </c>
      <c r="L890" s="19">
        <v>97418.0</v>
      </c>
      <c r="M890" s="19" t="s">
        <v>71</v>
      </c>
      <c r="N890" s="103"/>
      <c r="O890" s="19" t="s">
        <v>23573</v>
      </c>
      <c r="P890" s="103"/>
      <c r="Q890" s="19" t="s">
        <v>27377</v>
      </c>
      <c r="R890" s="103"/>
      <c r="S890" s="19" t="s">
        <v>24348</v>
      </c>
      <c r="T890" s="103"/>
      <c r="U890" s="103"/>
      <c r="V890" s="103"/>
      <c r="W890" s="103"/>
      <c r="X890" s="103"/>
      <c r="Y890" s="103"/>
      <c r="Z890" s="103"/>
    </row>
    <row r="891" ht="15.75" customHeight="1">
      <c r="A891" s="19" t="s">
        <v>23598</v>
      </c>
      <c r="B891" s="19" t="s">
        <v>26832</v>
      </c>
      <c r="C891" s="19" t="s">
        <v>27378</v>
      </c>
      <c r="D891" s="19" t="s">
        <v>24334</v>
      </c>
      <c r="E891" s="19" t="s">
        <v>23591</v>
      </c>
      <c r="F891" s="102" t="s">
        <v>23592</v>
      </c>
      <c r="G891" s="19" t="s">
        <v>24390</v>
      </c>
      <c r="H891" s="19" t="b">
        <v>1</v>
      </c>
      <c r="I891" s="19">
        <v>1.0</v>
      </c>
      <c r="J891" s="102" t="s">
        <v>19234</v>
      </c>
      <c r="K891" s="19" t="s">
        <v>23589</v>
      </c>
      <c r="L891" s="19">
        <v>97418.0</v>
      </c>
      <c r="M891" s="19" t="s">
        <v>71</v>
      </c>
      <c r="N891" s="103"/>
      <c r="O891" s="19" t="s">
        <v>23587</v>
      </c>
      <c r="P891" s="103"/>
      <c r="Q891" s="19" t="s">
        <v>27379</v>
      </c>
      <c r="R891" s="103"/>
      <c r="S891" s="19" t="s">
        <v>24460</v>
      </c>
      <c r="T891" s="103"/>
      <c r="U891" s="103"/>
      <c r="V891" s="103"/>
      <c r="W891" s="103"/>
      <c r="X891" s="103"/>
      <c r="Y891" s="103"/>
      <c r="Z891" s="103"/>
    </row>
    <row r="892" ht="15.75" customHeight="1">
      <c r="A892" s="19" t="s">
        <v>23611</v>
      </c>
      <c r="B892" s="19" t="s">
        <v>27380</v>
      </c>
      <c r="C892" s="19" t="s">
        <v>27381</v>
      </c>
      <c r="D892" s="19" t="s">
        <v>24334</v>
      </c>
      <c r="E892" s="19" t="s">
        <v>23605</v>
      </c>
      <c r="F892" s="102" t="s">
        <v>23606</v>
      </c>
      <c r="G892" s="19" t="s">
        <v>24335</v>
      </c>
      <c r="H892" s="19" t="b">
        <v>1</v>
      </c>
      <c r="I892" s="19">
        <v>1.0</v>
      </c>
      <c r="J892" s="102" t="s">
        <v>19827</v>
      </c>
      <c r="K892" s="19" t="s">
        <v>23603</v>
      </c>
      <c r="L892" s="19">
        <v>97418.0</v>
      </c>
      <c r="M892" s="19" t="s">
        <v>216</v>
      </c>
      <c r="N892" s="103"/>
      <c r="O892" s="19" t="s">
        <v>272</v>
      </c>
      <c r="P892" s="103"/>
      <c r="Q892" s="19" t="s">
        <v>27382</v>
      </c>
      <c r="R892" s="105">
        <v>26230.0</v>
      </c>
      <c r="S892" s="19" t="s">
        <v>24460</v>
      </c>
      <c r="T892" s="103"/>
      <c r="U892" s="103"/>
      <c r="V892" s="103"/>
      <c r="W892" s="103"/>
      <c r="X892" s="103"/>
      <c r="Y892" s="103"/>
      <c r="Z892" s="103"/>
    </row>
    <row r="893" ht="15.75" customHeight="1">
      <c r="A893" s="19" t="s">
        <v>23628</v>
      </c>
      <c r="B893" s="19" t="s">
        <v>27383</v>
      </c>
      <c r="C893" s="19" t="s">
        <v>24784</v>
      </c>
      <c r="D893" s="19" t="s">
        <v>24334</v>
      </c>
      <c r="E893" s="19" t="s">
        <v>23619</v>
      </c>
      <c r="F893" s="102" t="s">
        <v>23620</v>
      </c>
      <c r="G893" s="19" t="s">
        <v>24420</v>
      </c>
      <c r="H893" s="19" t="b">
        <v>1</v>
      </c>
      <c r="I893" s="19">
        <v>1.0</v>
      </c>
      <c r="J893" s="102" t="s">
        <v>27384</v>
      </c>
      <c r="K893" s="19" t="s">
        <v>27385</v>
      </c>
      <c r="L893" s="19">
        <v>97410.0</v>
      </c>
      <c r="M893" s="19" t="s">
        <v>24605</v>
      </c>
      <c r="N893" s="103"/>
      <c r="O893" s="19" t="s">
        <v>23615</v>
      </c>
      <c r="P893" s="103"/>
      <c r="Q893" s="19" t="s">
        <v>27386</v>
      </c>
      <c r="R893" s="103"/>
      <c r="S893" s="103"/>
      <c r="T893" s="103"/>
      <c r="U893" s="103"/>
      <c r="V893" s="103"/>
      <c r="W893" s="103"/>
      <c r="X893" s="103"/>
      <c r="Y893" s="103"/>
      <c r="Z893" s="103"/>
    </row>
    <row r="894" ht="15.75" customHeight="1">
      <c r="A894" s="19" t="s">
        <v>23643</v>
      </c>
      <c r="B894" s="19" t="s">
        <v>27387</v>
      </c>
      <c r="C894" s="19" t="s">
        <v>24462</v>
      </c>
      <c r="D894" s="19" t="s">
        <v>24334</v>
      </c>
      <c r="E894" s="19" t="s">
        <v>23636</v>
      </c>
      <c r="F894" s="102" t="s">
        <v>23637</v>
      </c>
      <c r="G894" s="19" t="s">
        <v>24420</v>
      </c>
      <c r="H894" s="19" t="b">
        <v>1</v>
      </c>
      <c r="I894" s="19">
        <v>1.0</v>
      </c>
      <c r="J894" s="102" t="s">
        <v>16161</v>
      </c>
      <c r="K894" s="19" t="s">
        <v>25052</v>
      </c>
      <c r="L894" s="19">
        <v>97430.0</v>
      </c>
      <c r="M894" s="19" t="s">
        <v>71</v>
      </c>
      <c r="N894" s="103"/>
      <c r="O894" s="19" t="s">
        <v>27388</v>
      </c>
      <c r="P894" s="103"/>
      <c r="Q894" s="19" t="s">
        <v>27389</v>
      </c>
      <c r="R894" s="103"/>
      <c r="S894" s="103"/>
      <c r="T894" s="103"/>
      <c r="U894" s="103"/>
      <c r="V894" s="103"/>
      <c r="W894" s="103"/>
      <c r="X894" s="103"/>
      <c r="Y894" s="103"/>
      <c r="Z894" s="103"/>
    </row>
    <row r="895" ht="15.75" customHeight="1">
      <c r="A895" s="19" t="s">
        <v>23660</v>
      </c>
      <c r="B895" s="19" t="s">
        <v>27390</v>
      </c>
      <c r="C895" s="19" t="s">
        <v>24462</v>
      </c>
      <c r="D895" s="19" t="s">
        <v>24334</v>
      </c>
      <c r="E895" s="19" t="s">
        <v>23652</v>
      </c>
      <c r="F895" s="102" t="s">
        <v>23653</v>
      </c>
      <c r="G895" s="19" t="s">
        <v>24390</v>
      </c>
      <c r="H895" s="19" t="b">
        <v>1</v>
      </c>
      <c r="I895" s="19">
        <v>1.0</v>
      </c>
      <c r="J895" s="102" t="s">
        <v>27391</v>
      </c>
      <c r="K895" s="19" t="s">
        <v>23650</v>
      </c>
      <c r="L895" s="19">
        <v>97430.0</v>
      </c>
      <c r="M895" s="19" t="s">
        <v>71</v>
      </c>
      <c r="N895" s="103"/>
      <c r="O895" s="19" t="s">
        <v>23647</v>
      </c>
      <c r="P895" s="103"/>
      <c r="Q895" s="19" t="s">
        <v>27392</v>
      </c>
      <c r="R895" s="103"/>
      <c r="S895" s="103"/>
      <c r="T895" s="103"/>
      <c r="U895" s="103"/>
      <c r="V895" s="103"/>
      <c r="W895" s="103"/>
      <c r="X895" s="103"/>
      <c r="Y895" s="103"/>
      <c r="Z895" s="103"/>
    </row>
    <row r="896" ht="15.75" customHeight="1">
      <c r="A896" s="19" t="s">
        <v>23675</v>
      </c>
      <c r="B896" s="19" t="s">
        <v>27393</v>
      </c>
      <c r="C896" s="19" t="s">
        <v>27394</v>
      </c>
      <c r="D896" s="19" t="s">
        <v>24334</v>
      </c>
      <c r="E896" s="19" t="s">
        <v>23670</v>
      </c>
      <c r="F896" s="102" t="s">
        <v>23671</v>
      </c>
      <c r="G896" s="19" t="s">
        <v>24420</v>
      </c>
      <c r="H896" s="19" t="b">
        <v>1</v>
      </c>
      <c r="I896" s="19">
        <v>1.0</v>
      </c>
      <c r="J896" s="19" t="s">
        <v>27395</v>
      </c>
      <c r="K896" s="19" t="s">
        <v>27396</v>
      </c>
      <c r="L896" s="19">
        <v>97436.0</v>
      </c>
      <c r="M896" s="19" t="s">
        <v>27255</v>
      </c>
      <c r="N896" s="103"/>
      <c r="O896" s="19" t="s">
        <v>23665</v>
      </c>
      <c r="P896" s="103"/>
      <c r="Q896" s="19" t="s">
        <v>27397</v>
      </c>
      <c r="R896" s="103"/>
      <c r="S896" s="103"/>
      <c r="T896" s="103"/>
      <c r="U896" s="103"/>
      <c r="V896" s="103"/>
      <c r="W896" s="103"/>
      <c r="X896" s="103"/>
      <c r="Y896" s="103"/>
      <c r="Z896" s="103"/>
    </row>
    <row r="897" ht="15.75" customHeight="1">
      <c r="A897" s="19" t="s">
        <v>23688</v>
      </c>
      <c r="B897" s="19" t="s">
        <v>26717</v>
      </c>
      <c r="C897" s="19" t="s">
        <v>24838</v>
      </c>
      <c r="D897" s="19" t="s">
        <v>24344</v>
      </c>
      <c r="E897" s="19" t="s">
        <v>23681</v>
      </c>
      <c r="F897" s="102" t="s">
        <v>23682</v>
      </c>
      <c r="G897" s="19" t="s">
        <v>24335</v>
      </c>
      <c r="H897" s="19" t="b">
        <v>1</v>
      </c>
      <c r="I897" s="19">
        <v>1.0</v>
      </c>
      <c r="J897" s="102" t="s">
        <v>16355</v>
      </c>
      <c r="K897" s="19" t="s">
        <v>23679</v>
      </c>
      <c r="L897" s="19">
        <v>97414.0</v>
      </c>
      <c r="M897" s="19" t="s">
        <v>40</v>
      </c>
      <c r="N897" s="103"/>
      <c r="O897" s="19" t="s">
        <v>23677</v>
      </c>
      <c r="P897" s="103"/>
      <c r="Q897" s="19" t="s">
        <v>27398</v>
      </c>
      <c r="R897" s="103"/>
      <c r="S897" s="103"/>
      <c r="T897" s="103"/>
      <c r="U897" s="103"/>
      <c r="V897" s="103"/>
      <c r="W897" s="103"/>
      <c r="X897" s="103"/>
      <c r="Y897" s="103"/>
      <c r="Z897" s="103"/>
    </row>
    <row r="898" ht="15.75" customHeight="1">
      <c r="A898" s="19" t="s">
        <v>23704</v>
      </c>
      <c r="B898" s="19" t="s">
        <v>27399</v>
      </c>
      <c r="C898" s="19" t="s">
        <v>27400</v>
      </c>
      <c r="D898" s="19" t="s">
        <v>24334</v>
      </c>
      <c r="E898" s="19" t="s">
        <v>23697</v>
      </c>
      <c r="F898" s="102" t="s">
        <v>23698</v>
      </c>
      <c r="G898" s="19" t="s">
        <v>24335</v>
      </c>
      <c r="H898" s="19" t="b">
        <v>1</v>
      </c>
      <c r="I898" s="19">
        <v>1.0</v>
      </c>
      <c r="J898" s="19" t="s">
        <v>23694</v>
      </c>
      <c r="K898" s="19" t="s">
        <v>23695</v>
      </c>
      <c r="L898" s="19">
        <v>97480.0</v>
      </c>
      <c r="M898" s="19" t="s">
        <v>123</v>
      </c>
      <c r="N898" s="103"/>
      <c r="O898" s="19" t="s">
        <v>23692</v>
      </c>
      <c r="P898" s="103"/>
      <c r="Q898" s="19" t="s">
        <v>27401</v>
      </c>
      <c r="R898" s="103"/>
      <c r="S898" s="103"/>
      <c r="T898" s="103"/>
      <c r="U898" s="103"/>
      <c r="V898" s="103"/>
      <c r="W898" s="103"/>
      <c r="X898" s="103"/>
      <c r="Y898" s="103"/>
      <c r="Z898" s="103"/>
    </row>
    <row r="899" ht="15.75" customHeight="1">
      <c r="A899" s="19" t="s">
        <v>27402</v>
      </c>
      <c r="B899" s="19" t="s">
        <v>27403</v>
      </c>
      <c r="C899" s="19" t="s">
        <v>24419</v>
      </c>
      <c r="D899" s="19" t="s">
        <v>24334</v>
      </c>
      <c r="E899" s="19" t="s">
        <v>23710</v>
      </c>
      <c r="F899" s="103"/>
      <c r="G899" s="19" t="s">
        <v>24335</v>
      </c>
      <c r="H899" s="19" t="b">
        <v>0</v>
      </c>
      <c r="I899" s="19">
        <v>1.0</v>
      </c>
      <c r="J899" s="102" t="s">
        <v>14181</v>
      </c>
      <c r="K899" s="19" t="s">
        <v>27404</v>
      </c>
      <c r="L899" s="19">
        <v>72650.0</v>
      </c>
      <c r="M899" s="19" t="s">
        <v>27405</v>
      </c>
      <c r="N899" s="103"/>
      <c r="O899" s="19" t="s">
        <v>23706</v>
      </c>
      <c r="P899" s="103"/>
      <c r="Q899" s="19" t="s">
        <v>27406</v>
      </c>
      <c r="R899" s="103"/>
      <c r="S899" s="19" t="s">
        <v>24460</v>
      </c>
      <c r="T899" s="103"/>
      <c r="U899" s="103"/>
      <c r="V899" s="103"/>
      <c r="W899" s="103"/>
      <c r="X899" s="103"/>
      <c r="Y899" s="103"/>
      <c r="Z899" s="103"/>
    </row>
    <row r="900" ht="15.75" customHeight="1">
      <c r="A900" s="19" t="s">
        <v>27407</v>
      </c>
      <c r="B900" s="19" t="s">
        <v>27408</v>
      </c>
      <c r="C900" s="19" t="s">
        <v>27409</v>
      </c>
      <c r="D900" s="19" t="s">
        <v>24334</v>
      </c>
      <c r="E900" s="19" t="s">
        <v>27410</v>
      </c>
      <c r="F900" s="102" t="s">
        <v>27411</v>
      </c>
      <c r="G900" s="19" t="s">
        <v>26432</v>
      </c>
      <c r="H900" s="19" t="b">
        <v>1</v>
      </c>
      <c r="I900" s="19">
        <v>0.0</v>
      </c>
      <c r="J900" s="102" t="s">
        <v>14790</v>
      </c>
      <c r="K900" s="19" t="s">
        <v>27412</v>
      </c>
      <c r="L900" s="19">
        <v>97480.0</v>
      </c>
      <c r="M900" s="19" t="s">
        <v>123</v>
      </c>
      <c r="N900" s="103"/>
      <c r="O900" s="103"/>
      <c r="P900" s="103"/>
      <c r="Q900" s="19" t="s">
        <v>27413</v>
      </c>
      <c r="R900" s="103"/>
      <c r="S900" s="19" t="s">
        <v>24348</v>
      </c>
      <c r="T900" s="103"/>
      <c r="U900" s="103"/>
      <c r="V900" s="103"/>
      <c r="W900" s="103"/>
      <c r="X900" s="103"/>
      <c r="Y900" s="103"/>
      <c r="Z900" s="103"/>
    </row>
    <row r="901" ht="15.75" customHeight="1">
      <c r="A901" s="19" t="s">
        <v>23731</v>
      </c>
      <c r="B901" s="19" t="s">
        <v>18223</v>
      </c>
      <c r="C901" s="19" t="s">
        <v>27414</v>
      </c>
      <c r="D901" s="19" t="s">
        <v>24344</v>
      </c>
      <c r="E901" s="19" t="s">
        <v>23724</v>
      </c>
      <c r="F901" s="102" t="s">
        <v>23725</v>
      </c>
      <c r="G901" s="19" t="s">
        <v>24335</v>
      </c>
      <c r="H901" s="19" t="b">
        <v>1</v>
      </c>
      <c r="I901" s="19">
        <v>1.0</v>
      </c>
      <c r="J901" s="102" t="s">
        <v>23722</v>
      </c>
      <c r="K901" s="19" t="s">
        <v>12977</v>
      </c>
      <c r="L901" s="19">
        <v>97414.0</v>
      </c>
      <c r="M901" s="19" t="s">
        <v>40</v>
      </c>
      <c r="N901" s="103"/>
      <c r="O901" s="19" t="s">
        <v>23720</v>
      </c>
      <c r="P901" s="103"/>
      <c r="Q901" s="19" t="s">
        <v>27415</v>
      </c>
      <c r="R901" s="103"/>
      <c r="S901" s="103"/>
      <c r="T901" s="103"/>
      <c r="U901" s="103"/>
      <c r="V901" s="103"/>
      <c r="W901" s="103"/>
      <c r="X901" s="103"/>
      <c r="Y901" s="103"/>
      <c r="Z901" s="103"/>
    </row>
    <row r="902" ht="15.75" customHeight="1">
      <c r="A902" s="19" t="s">
        <v>23744</v>
      </c>
      <c r="B902" s="19" t="s">
        <v>27416</v>
      </c>
      <c r="C902" s="19" t="s">
        <v>25620</v>
      </c>
      <c r="D902" s="19" t="s">
        <v>24344</v>
      </c>
      <c r="E902" s="19" t="s">
        <v>23738</v>
      </c>
      <c r="F902" s="102" t="s">
        <v>23739</v>
      </c>
      <c r="G902" s="19" t="s">
        <v>24335</v>
      </c>
      <c r="H902" s="19" t="b">
        <v>1</v>
      </c>
      <c r="I902" s="19">
        <v>1.0</v>
      </c>
      <c r="J902" s="19" t="s">
        <v>27417</v>
      </c>
      <c r="K902" s="19" t="s">
        <v>27418</v>
      </c>
      <c r="L902" s="19">
        <v>97400.0</v>
      </c>
      <c r="M902" s="19" t="s">
        <v>26767</v>
      </c>
      <c r="N902" s="103"/>
      <c r="O902" s="19" t="s">
        <v>23734</v>
      </c>
      <c r="P902" s="103"/>
      <c r="Q902" s="19" t="s">
        <v>27419</v>
      </c>
      <c r="R902" s="103"/>
      <c r="S902" s="103"/>
      <c r="T902" s="103"/>
      <c r="U902" s="103"/>
      <c r="V902" s="103"/>
      <c r="W902" s="103"/>
      <c r="X902" s="103"/>
      <c r="Y902" s="103"/>
      <c r="Z902" s="103"/>
    </row>
    <row r="903" ht="15.75" customHeight="1">
      <c r="A903" s="19" t="s">
        <v>23761</v>
      </c>
      <c r="B903" s="19" t="s">
        <v>27420</v>
      </c>
      <c r="C903" s="19" t="s">
        <v>25264</v>
      </c>
      <c r="D903" s="19" t="s">
        <v>24344</v>
      </c>
      <c r="E903" s="19" t="s">
        <v>23753</v>
      </c>
      <c r="F903" s="102" t="s">
        <v>23754</v>
      </c>
      <c r="G903" s="19" t="s">
        <v>24335</v>
      </c>
      <c r="H903" s="19" t="b">
        <v>1</v>
      </c>
      <c r="I903" s="19">
        <v>1.0</v>
      </c>
      <c r="J903" s="102" t="s">
        <v>27421</v>
      </c>
      <c r="K903" s="19" t="s">
        <v>27422</v>
      </c>
      <c r="L903" s="19">
        <v>75012.0</v>
      </c>
      <c r="M903" s="19" t="s">
        <v>27423</v>
      </c>
      <c r="N903" s="103"/>
      <c r="O903" s="19" t="s">
        <v>27424</v>
      </c>
      <c r="P903" s="103"/>
      <c r="Q903" s="19" t="s">
        <v>27425</v>
      </c>
      <c r="R903" s="103"/>
      <c r="S903" s="103"/>
      <c r="T903" s="103"/>
      <c r="U903" s="103"/>
      <c r="V903" s="103"/>
      <c r="W903" s="103"/>
      <c r="X903" s="103"/>
      <c r="Y903" s="103"/>
      <c r="Z903" s="103"/>
    </row>
    <row r="904" ht="15.75" customHeight="1">
      <c r="A904" s="19" t="s">
        <v>23775</v>
      </c>
      <c r="B904" s="19" t="s">
        <v>27426</v>
      </c>
      <c r="C904" s="19" t="s">
        <v>25033</v>
      </c>
      <c r="D904" s="19" t="s">
        <v>24344</v>
      </c>
      <c r="E904" s="19" t="s">
        <v>23769</v>
      </c>
      <c r="F904" s="102" t="s">
        <v>23770</v>
      </c>
      <c r="G904" s="19" t="s">
        <v>24335</v>
      </c>
      <c r="H904" s="19" t="b">
        <v>1</v>
      </c>
      <c r="I904" s="19">
        <v>1.0</v>
      </c>
      <c r="J904" s="102" t="s">
        <v>14790</v>
      </c>
      <c r="K904" s="19" t="s">
        <v>23767</v>
      </c>
      <c r="L904" s="19">
        <v>97418.0</v>
      </c>
      <c r="M904" s="19" t="s">
        <v>216</v>
      </c>
      <c r="N904" s="103"/>
      <c r="O904" s="19" t="s">
        <v>23765</v>
      </c>
      <c r="P904" s="103"/>
      <c r="Q904" s="19" t="s">
        <v>27427</v>
      </c>
      <c r="R904" s="103"/>
      <c r="S904" s="103"/>
      <c r="T904" s="103"/>
      <c r="U904" s="103"/>
      <c r="V904" s="103"/>
      <c r="W904" s="103"/>
      <c r="X904" s="103"/>
      <c r="Y904" s="103"/>
      <c r="Z904" s="103"/>
    </row>
    <row r="905" ht="15.75" customHeight="1">
      <c r="A905" s="19" t="s">
        <v>23790</v>
      </c>
      <c r="B905" s="19" t="s">
        <v>26241</v>
      </c>
      <c r="C905" s="19" t="s">
        <v>27428</v>
      </c>
      <c r="D905" s="19" t="s">
        <v>24344</v>
      </c>
      <c r="E905" s="19" t="s">
        <v>23783</v>
      </c>
      <c r="F905" s="102" t="s">
        <v>23784</v>
      </c>
      <c r="G905" s="19" t="s">
        <v>24335</v>
      </c>
      <c r="H905" s="19" t="b">
        <v>1</v>
      </c>
      <c r="I905" s="19">
        <v>1.0</v>
      </c>
      <c r="J905" s="102" t="s">
        <v>14086</v>
      </c>
      <c r="K905" s="19" t="s">
        <v>23781</v>
      </c>
      <c r="L905" s="19">
        <v>97480.0</v>
      </c>
      <c r="M905" s="19" t="s">
        <v>123</v>
      </c>
      <c r="N905" s="103"/>
      <c r="O905" s="19" t="s">
        <v>23779</v>
      </c>
      <c r="P905" s="103"/>
      <c r="Q905" s="19" t="s">
        <v>27429</v>
      </c>
      <c r="R905" s="103"/>
      <c r="S905" s="103"/>
      <c r="T905" s="103"/>
      <c r="U905" s="103"/>
      <c r="V905" s="103"/>
      <c r="W905" s="103"/>
      <c r="X905" s="103"/>
      <c r="Y905" s="103"/>
      <c r="Z905" s="103"/>
    </row>
    <row r="906" ht="15.75" customHeight="1">
      <c r="A906" s="19" t="s">
        <v>23801</v>
      </c>
      <c r="B906" s="19" t="s">
        <v>25270</v>
      </c>
      <c r="C906" s="19" t="s">
        <v>27430</v>
      </c>
      <c r="D906" s="19" t="s">
        <v>24334</v>
      </c>
      <c r="E906" s="19" t="s">
        <v>19767</v>
      </c>
      <c r="F906" s="102" t="s">
        <v>23799</v>
      </c>
      <c r="G906" s="19" t="s">
        <v>24335</v>
      </c>
      <c r="H906" s="19" t="b">
        <v>1</v>
      </c>
      <c r="I906" s="19">
        <v>0.0</v>
      </c>
      <c r="J906" s="102" t="s">
        <v>14287</v>
      </c>
      <c r="K906" s="19" t="s">
        <v>27431</v>
      </c>
      <c r="L906" s="19">
        <v>97480.0</v>
      </c>
      <c r="M906" s="19" t="s">
        <v>123</v>
      </c>
      <c r="N906" s="103"/>
      <c r="O906" s="19" t="s">
        <v>27432</v>
      </c>
      <c r="P906" s="103"/>
      <c r="Q906" s="102" t="s">
        <v>27433</v>
      </c>
      <c r="R906" s="103"/>
      <c r="S906" s="103"/>
      <c r="T906" s="103"/>
      <c r="U906" s="103"/>
      <c r="V906" s="103"/>
      <c r="W906" s="103"/>
      <c r="X906" s="103"/>
      <c r="Y906" s="103"/>
      <c r="Z906" s="103"/>
    </row>
    <row r="907" ht="15.75" customHeight="1">
      <c r="A907" s="19" t="s">
        <v>23827</v>
      </c>
      <c r="B907" s="19" t="s">
        <v>27434</v>
      </c>
      <c r="C907" s="19" t="s">
        <v>25869</v>
      </c>
      <c r="D907" s="19" t="s">
        <v>24334</v>
      </c>
      <c r="E907" s="19" t="s">
        <v>23820</v>
      </c>
      <c r="F907" s="102" t="s">
        <v>23821</v>
      </c>
      <c r="G907" s="19" t="s">
        <v>24335</v>
      </c>
      <c r="H907" s="19" t="b">
        <v>1</v>
      </c>
      <c r="I907" s="19">
        <v>1.0</v>
      </c>
      <c r="J907" s="102" t="s">
        <v>13151</v>
      </c>
      <c r="K907" s="19" t="s">
        <v>27435</v>
      </c>
      <c r="L907" s="19">
        <v>97480.0</v>
      </c>
      <c r="M907" s="19" t="s">
        <v>123</v>
      </c>
      <c r="N907" s="103"/>
      <c r="O907" s="19" t="s">
        <v>23816</v>
      </c>
      <c r="P907" s="103"/>
      <c r="Q907" s="19" t="s">
        <v>27436</v>
      </c>
      <c r="R907" s="103"/>
      <c r="S907" s="103"/>
      <c r="T907" s="103"/>
      <c r="U907" s="103"/>
      <c r="V907" s="103"/>
      <c r="W907" s="103"/>
      <c r="X907" s="103"/>
      <c r="Y907" s="103"/>
      <c r="Z907" s="103"/>
    </row>
    <row r="908" ht="15.75" customHeight="1">
      <c r="A908" s="19" t="s">
        <v>23843</v>
      </c>
      <c r="B908" s="19" t="s">
        <v>26378</v>
      </c>
      <c r="C908" s="19" t="s">
        <v>27437</v>
      </c>
      <c r="D908" s="19" t="s">
        <v>24344</v>
      </c>
      <c r="E908" s="19" t="s">
        <v>23835</v>
      </c>
      <c r="F908" s="102" t="s">
        <v>23836</v>
      </c>
      <c r="G908" s="19" t="s">
        <v>24335</v>
      </c>
      <c r="H908" s="19" t="b">
        <v>1</v>
      </c>
      <c r="I908" s="19">
        <v>1.0</v>
      </c>
      <c r="J908" s="19" t="s">
        <v>26699</v>
      </c>
      <c r="K908" s="19" t="s">
        <v>27438</v>
      </c>
      <c r="L908" s="19">
        <v>97410.0</v>
      </c>
      <c r="M908" s="19" t="s">
        <v>24605</v>
      </c>
      <c r="N908" s="103"/>
      <c r="O908" s="19" t="s">
        <v>23830</v>
      </c>
      <c r="P908" s="103"/>
      <c r="Q908" s="19" t="s">
        <v>27439</v>
      </c>
      <c r="R908" s="103"/>
      <c r="S908" s="103"/>
      <c r="T908" s="103"/>
      <c r="U908" s="103"/>
      <c r="V908" s="103"/>
      <c r="W908" s="103"/>
      <c r="X908" s="103"/>
      <c r="Y908" s="103"/>
      <c r="Z908" s="103"/>
    </row>
    <row r="909" ht="15.75" customHeight="1">
      <c r="A909" s="19" t="s">
        <v>27440</v>
      </c>
      <c r="B909" s="19" t="s">
        <v>27441</v>
      </c>
      <c r="C909" s="19" t="s">
        <v>24784</v>
      </c>
      <c r="D909" s="19" t="s">
        <v>24334</v>
      </c>
      <c r="E909" s="19" t="s">
        <v>23851</v>
      </c>
      <c r="F909" s="102" t="s">
        <v>23852</v>
      </c>
      <c r="G909" s="19" t="s">
        <v>24335</v>
      </c>
      <c r="H909" s="19" t="b">
        <v>1</v>
      </c>
      <c r="I909" s="19">
        <v>0.0</v>
      </c>
      <c r="J909" s="102" t="s">
        <v>13073</v>
      </c>
      <c r="K909" s="19" t="s">
        <v>27442</v>
      </c>
      <c r="L909" s="19">
        <v>97430.0</v>
      </c>
      <c r="M909" s="19" t="s">
        <v>71</v>
      </c>
      <c r="N909" s="103"/>
      <c r="O909" s="19" t="s">
        <v>27443</v>
      </c>
      <c r="P909" s="103"/>
      <c r="Q909" s="19" t="s">
        <v>27443</v>
      </c>
      <c r="R909" s="103"/>
      <c r="S909" s="103"/>
      <c r="T909" s="103"/>
      <c r="U909" s="103"/>
      <c r="V909" s="103"/>
      <c r="W909" s="103"/>
      <c r="X909" s="103"/>
      <c r="Y909" s="103"/>
      <c r="Z909" s="103"/>
    </row>
    <row r="910" ht="15.75" customHeight="1">
      <c r="A910" s="19" t="s">
        <v>23874</v>
      </c>
      <c r="B910" s="19" t="s">
        <v>27158</v>
      </c>
      <c r="C910" s="19" t="s">
        <v>27444</v>
      </c>
      <c r="D910" s="19" t="s">
        <v>24344</v>
      </c>
      <c r="E910" s="19" t="s">
        <v>23867</v>
      </c>
      <c r="F910" s="102" t="s">
        <v>23868</v>
      </c>
      <c r="G910" s="19" t="s">
        <v>24335</v>
      </c>
      <c r="H910" s="19" t="b">
        <v>1</v>
      </c>
      <c r="I910" s="19">
        <v>1.0</v>
      </c>
      <c r="J910" s="19" t="s">
        <v>27445</v>
      </c>
      <c r="K910" s="19" t="s">
        <v>23865</v>
      </c>
      <c r="L910" s="19">
        <v>97442.0</v>
      </c>
      <c r="M910" s="19" t="s">
        <v>33</v>
      </c>
      <c r="N910" s="103"/>
      <c r="O910" s="19" t="s">
        <v>23862</v>
      </c>
      <c r="P910" s="103"/>
      <c r="Q910" s="19" t="s">
        <v>27446</v>
      </c>
      <c r="R910" s="103"/>
      <c r="S910" s="103"/>
      <c r="T910" s="103"/>
      <c r="U910" s="103"/>
      <c r="V910" s="103"/>
      <c r="W910" s="103"/>
      <c r="X910" s="103"/>
      <c r="Y910" s="103"/>
      <c r="Z910" s="103"/>
    </row>
    <row r="911" ht="15.75" customHeight="1">
      <c r="A911" s="19" t="s">
        <v>23888</v>
      </c>
      <c r="B911" s="19" t="s">
        <v>27447</v>
      </c>
      <c r="C911" s="19" t="s">
        <v>26540</v>
      </c>
      <c r="D911" s="19" t="s">
        <v>24344</v>
      </c>
      <c r="E911" s="19" t="s">
        <v>23881</v>
      </c>
      <c r="F911" s="102" t="s">
        <v>23882</v>
      </c>
      <c r="G911" s="19" t="s">
        <v>24335</v>
      </c>
      <c r="H911" s="19" t="b">
        <v>1</v>
      </c>
      <c r="I911" s="19">
        <v>1.0</v>
      </c>
      <c r="J911" s="102" t="s">
        <v>14287</v>
      </c>
      <c r="K911" s="19" t="s">
        <v>27448</v>
      </c>
      <c r="L911" s="19">
        <v>97480.0</v>
      </c>
      <c r="M911" s="19" t="s">
        <v>123</v>
      </c>
      <c r="N911" s="103"/>
      <c r="O911" s="19" t="s">
        <v>23878</v>
      </c>
      <c r="P911" s="103"/>
      <c r="Q911" s="19" t="s">
        <v>27449</v>
      </c>
      <c r="R911" s="103"/>
      <c r="S911" s="19" t="s">
        <v>24460</v>
      </c>
      <c r="T911" s="103"/>
      <c r="U911" s="103"/>
      <c r="V911" s="103"/>
      <c r="W911" s="103"/>
      <c r="X911" s="103"/>
      <c r="Y911" s="103"/>
      <c r="Z911" s="103"/>
    </row>
    <row r="912" ht="15.75" customHeight="1">
      <c r="A912" s="19" t="s">
        <v>23909</v>
      </c>
      <c r="B912" s="19" t="s">
        <v>26241</v>
      </c>
      <c r="C912" s="19" t="s">
        <v>24908</v>
      </c>
      <c r="D912" s="19" t="s">
        <v>24344</v>
      </c>
      <c r="E912" s="19" t="s">
        <v>23904</v>
      </c>
      <c r="F912" s="102" t="s">
        <v>23905</v>
      </c>
      <c r="G912" s="19" t="s">
        <v>24335</v>
      </c>
      <c r="H912" s="19" t="b">
        <v>1</v>
      </c>
      <c r="I912" s="19">
        <v>1.0</v>
      </c>
      <c r="J912" s="102" t="s">
        <v>17844</v>
      </c>
      <c r="K912" s="19" t="s">
        <v>15581</v>
      </c>
      <c r="L912" s="19">
        <v>97480.0</v>
      </c>
      <c r="M912" s="19" t="s">
        <v>123</v>
      </c>
      <c r="N912" s="103"/>
      <c r="O912" s="19" t="s">
        <v>23901</v>
      </c>
      <c r="P912" s="103"/>
      <c r="Q912" s="19" t="s">
        <v>27450</v>
      </c>
      <c r="R912" s="103"/>
      <c r="S912" s="103"/>
      <c r="T912" s="103"/>
      <c r="U912" s="103"/>
      <c r="V912" s="103"/>
      <c r="W912" s="103"/>
      <c r="X912" s="103"/>
      <c r="Y912" s="103"/>
      <c r="Z912" s="103"/>
    </row>
    <row r="913" ht="15.75" customHeight="1">
      <c r="A913" s="19" t="s">
        <v>27451</v>
      </c>
      <c r="B913" s="19" t="s">
        <v>27452</v>
      </c>
      <c r="C913" s="19" t="s">
        <v>27453</v>
      </c>
      <c r="D913" s="19" t="s">
        <v>24334</v>
      </c>
      <c r="E913" s="19" t="s">
        <v>27454</v>
      </c>
      <c r="F913" s="102" t="s">
        <v>27455</v>
      </c>
      <c r="G913" s="19" t="s">
        <v>26432</v>
      </c>
      <c r="H913" s="19" t="b">
        <v>1</v>
      </c>
      <c r="I913" s="19">
        <v>0.0</v>
      </c>
      <c r="J913" s="102" t="s">
        <v>13933</v>
      </c>
      <c r="K913" s="19" t="s">
        <v>27456</v>
      </c>
      <c r="L913" s="19">
        <v>97490.0</v>
      </c>
      <c r="M913" s="19" t="s">
        <v>26767</v>
      </c>
      <c r="N913" s="103"/>
      <c r="O913" s="103"/>
      <c r="P913" s="103"/>
      <c r="Q913" s="19" t="s">
        <v>27457</v>
      </c>
      <c r="R913" s="103"/>
      <c r="S913" s="19" t="s">
        <v>24348</v>
      </c>
      <c r="T913" s="103"/>
      <c r="U913" s="103"/>
      <c r="V913" s="103"/>
      <c r="W913" s="103"/>
      <c r="X913" s="103"/>
      <c r="Y913" s="103"/>
      <c r="Z913" s="103"/>
    </row>
    <row r="914" ht="15.75" customHeight="1">
      <c r="A914" s="19" t="s">
        <v>23925</v>
      </c>
      <c r="B914" s="19" t="s">
        <v>27458</v>
      </c>
      <c r="C914" s="19" t="s">
        <v>27459</v>
      </c>
      <c r="D914" s="19" t="s">
        <v>24334</v>
      </c>
      <c r="E914" s="19" t="s">
        <v>23917</v>
      </c>
      <c r="F914" s="102" t="s">
        <v>23918</v>
      </c>
      <c r="G914" s="19" t="s">
        <v>24335</v>
      </c>
      <c r="H914" s="19" t="b">
        <v>1</v>
      </c>
      <c r="I914" s="19">
        <v>1.0</v>
      </c>
      <c r="J914" s="102" t="s">
        <v>12528</v>
      </c>
      <c r="K914" s="19" t="s">
        <v>27460</v>
      </c>
      <c r="L914" s="19">
        <v>97480.0</v>
      </c>
      <c r="M914" s="19" t="s">
        <v>123</v>
      </c>
      <c r="N914" s="103"/>
      <c r="O914" s="19" t="s">
        <v>27461</v>
      </c>
      <c r="P914" s="103"/>
      <c r="Q914" s="19" t="s">
        <v>27462</v>
      </c>
      <c r="R914" s="103"/>
      <c r="S914" s="103"/>
      <c r="T914" s="103"/>
      <c r="U914" s="103"/>
      <c r="V914" s="103"/>
      <c r="W914" s="103"/>
      <c r="X914" s="103"/>
      <c r="Y914" s="103"/>
      <c r="Z914" s="103"/>
    </row>
    <row r="915" ht="15.75" customHeight="1">
      <c r="A915" s="19" t="s">
        <v>23939</v>
      </c>
      <c r="B915" s="19" t="s">
        <v>27463</v>
      </c>
      <c r="C915" s="19" t="s">
        <v>24827</v>
      </c>
      <c r="D915" s="19" t="s">
        <v>24334</v>
      </c>
      <c r="E915" s="19" t="s">
        <v>23932</v>
      </c>
      <c r="F915" s="102" t="s">
        <v>23933</v>
      </c>
      <c r="G915" s="19" t="s">
        <v>24335</v>
      </c>
      <c r="H915" s="19" t="b">
        <v>1</v>
      </c>
      <c r="I915" s="19">
        <v>1.0</v>
      </c>
      <c r="J915" s="102" t="s">
        <v>14790</v>
      </c>
      <c r="K915" s="19" t="s">
        <v>27464</v>
      </c>
      <c r="L915" s="19">
        <v>97430.0</v>
      </c>
      <c r="M915" s="19" t="s">
        <v>71</v>
      </c>
      <c r="N915" s="103"/>
      <c r="O915" s="19" t="s">
        <v>23928</v>
      </c>
      <c r="P915" s="103"/>
      <c r="Q915" s="19" t="s">
        <v>27465</v>
      </c>
      <c r="R915" s="103"/>
      <c r="S915" s="103"/>
      <c r="T915" s="103"/>
      <c r="U915" s="103"/>
      <c r="V915" s="103"/>
      <c r="W915" s="103"/>
      <c r="X915" s="103"/>
      <c r="Y915" s="103"/>
      <c r="Z915" s="103"/>
    </row>
    <row r="916" ht="15.75" customHeight="1">
      <c r="A916" s="19" t="s">
        <v>23952</v>
      </c>
      <c r="B916" s="19" t="s">
        <v>27466</v>
      </c>
      <c r="C916" s="19" t="s">
        <v>24612</v>
      </c>
      <c r="D916" s="19" t="s">
        <v>24344</v>
      </c>
      <c r="E916" s="19" t="s">
        <v>23946</v>
      </c>
      <c r="F916" s="102" t="s">
        <v>23947</v>
      </c>
      <c r="G916" s="19" t="s">
        <v>24335</v>
      </c>
      <c r="H916" s="19" t="b">
        <v>1</v>
      </c>
      <c r="I916" s="19">
        <v>1.0</v>
      </c>
      <c r="J916" s="102" t="s">
        <v>12331</v>
      </c>
      <c r="K916" s="19" t="s">
        <v>27467</v>
      </c>
      <c r="L916" s="19">
        <v>97418.0</v>
      </c>
      <c r="M916" s="19" t="s">
        <v>216</v>
      </c>
      <c r="N916" s="103"/>
      <c r="O916" s="19" t="s">
        <v>23942</v>
      </c>
      <c r="P916" s="103"/>
      <c r="Q916" s="19" t="s">
        <v>27468</v>
      </c>
      <c r="R916" s="103"/>
      <c r="S916" s="103"/>
      <c r="T916" s="103"/>
      <c r="U916" s="103"/>
      <c r="V916" s="103"/>
      <c r="W916" s="103"/>
      <c r="X916" s="103"/>
      <c r="Y916" s="103"/>
      <c r="Z916" s="103"/>
    </row>
    <row r="917" ht="15.75" customHeight="1">
      <c r="A917" s="19" t="s">
        <v>23966</v>
      </c>
      <c r="B917" s="19" t="s">
        <v>27469</v>
      </c>
      <c r="C917" s="19" t="s">
        <v>25105</v>
      </c>
      <c r="D917" s="19" t="s">
        <v>24344</v>
      </c>
      <c r="E917" s="19" t="s">
        <v>23960</v>
      </c>
      <c r="F917" s="102" t="s">
        <v>23961</v>
      </c>
      <c r="G917" s="19" t="s">
        <v>24335</v>
      </c>
      <c r="H917" s="19" t="b">
        <v>1</v>
      </c>
      <c r="I917" s="19">
        <v>1.0</v>
      </c>
      <c r="J917" s="102" t="s">
        <v>19879</v>
      </c>
      <c r="K917" s="19" t="s">
        <v>23958</v>
      </c>
      <c r="L917" s="19">
        <v>97430.0</v>
      </c>
      <c r="M917" s="19" t="s">
        <v>71</v>
      </c>
      <c r="N917" s="103"/>
      <c r="O917" s="19" t="s">
        <v>23956</v>
      </c>
      <c r="P917" s="103"/>
      <c r="Q917" s="19" t="s">
        <v>27470</v>
      </c>
      <c r="R917" s="103"/>
      <c r="S917" s="103"/>
      <c r="T917" s="103"/>
      <c r="U917" s="103"/>
      <c r="V917" s="103"/>
      <c r="W917" s="103"/>
      <c r="X917" s="103"/>
      <c r="Y917" s="103"/>
      <c r="Z917" s="103"/>
    </row>
    <row r="918" ht="15.75" customHeight="1">
      <c r="A918" s="19" t="s">
        <v>23979</v>
      </c>
      <c r="B918" s="19" t="s">
        <v>27471</v>
      </c>
      <c r="C918" s="19" t="s">
        <v>27472</v>
      </c>
      <c r="D918" s="19" t="s">
        <v>24344</v>
      </c>
      <c r="E918" s="19" t="s">
        <v>23974</v>
      </c>
      <c r="F918" s="102" t="s">
        <v>23975</v>
      </c>
      <c r="G918" s="19" t="s">
        <v>24335</v>
      </c>
      <c r="H918" s="19" t="b">
        <v>1</v>
      </c>
      <c r="I918" s="19">
        <v>1.0</v>
      </c>
      <c r="J918" s="102" t="s">
        <v>22266</v>
      </c>
      <c r="K918" s="19" t="s">
        <v>27473</v>
      </c>
      <c r="L918" s="19">
        <v>97480.0</v>
      </c>
      <c r="M918" s="19" t="s">
        <v>123</v>
      </c>
      <c r="N918" s="103"/>
      <c r="O918" s="19" t="s">
        <v>23970</v>
      </c>
      <c r="P918" s="103"/>
      <c r="Q918" s="19" t="s">
        <v>27474</v>
      </c>
      <c r="R918" s="104">
        <v>35974.0</v>
      </c>
      <c r="S918" s="19" t="s">
        <v>24348</v>
      </c>
      <c r="T918" s="103"/>
      <c r="U918" s="103"/>
      <c r="V918" s="103"/>
      <c r="W918" s="103"/>
      <c r="X918" s="103"/>
      <c r="Y918" s="103"/>
      <c r="Z918" s="103"/>
    </row>
    <row r="919" ht="15.75" customHeight="1">
      <c r="A919" s="19" t="s">
        <v>24003</v>
      </c>
      <c r="B919" s="19" t="s">
        <v>26073</v>
      </c>
      <c r="C919" s="19" t="s">
        <v>25369</v>
      </c>
      <c r="D919" s="19" t="s">
        <v>24344</v>
      </c>
      <c r="E919" s="19" t="s">
        <v>23996</v>
      </c>
      <c r="F919" s="102" t="s">
        <v>23997</v>
      </c>
      <c r="G919" s="19" t="s">
        <v>24335</v>
      </c>
      <c r="H919" s="19" t="b">
        <v>1</v>
      </c>
      <c r="I919" s="19">
        <v>1.0</v>
      </c>
      <c r="J919" s="102" t="s">
        <v>13151</v>
      </c>
      <c r="K919" s="19" t="s">
        <v>13123</v>
      </c>
      <c r="L919" s="19">
        <v>97430.0</v>
      </c>
      <c r="M919" s="19" t="s">
        <v>71</v>
      </c>
      <c r="N919" s="103"/>
      <c r="O919" s="19" t="s">
        <v>27475</v>
      </c>
      <c r="P919" s="19" t="s">
        <v>27476</v>
      </c>
      <c r="Q919" s="19" t="s">
        <v>27477</v>
      </c>
      <c r="R919" s="103"/>
      <c r="S919" s="19" t="s">
        <v>24348</v>
      </c>
      <c r="T919" s="103"/>
      <c r="U919" s="103"/>
      <c r="V919" s="103"/>
      <c r="W919" s="103"/>
      <c r="X919" s="103"/>
      <c r="Y919" s="103"/>
      <c r="Z919" s="103"/>
    </row>
    <row r="920" ht="15.75" customHeight="1">
      <c r="A920" s="19" t="s">
        <v>23989</v>
      </c>
      <c r="B920" s="19" t="s">
        <v>27478</v>
      </c>
      <c r="C920" s="19" t="s">
        <v>27331</v>
      </c>
      <c r="D920" s="19" t="s">
        <v>24334</v>
      </c>
      <c r="E920" s="19" t="s">
        <v>23987</v>
      </c>
      <c r="F920" s="102" t="s">
        <v>23988</v>
      </c>
      <c r="G920" s="19" t="s">
        <v>24335</v>
      </c>
      <c r="H920" s="19" t="b">
        <v>1</v>
      </c>
      <c r="I920" s="19">
        <v>1.0</v>
      </c>
      <c r="J920" s="102" t="s">
        <v>13933</v>
      </c>
      <c r="K920" s="19" t="s">
        <v>27479</v>
      </c>
      <c r="L920" s="19">
        <v>97420.0</v>
      </c>
      <c r="M920" s="19" t="s">
        <v>27480</v>
      </c>
      <c r="N920" s="103"/>
      <c r="O920" s="19" t="s">
        <v>23982</v>
      </c>
      <c r="P920" s="103"/>
      <c r="Q920" s="19" t="s">
        <v>27481</v>
      </c>
      <c r="R920" s="103"/>
      <c r="S920" s="103"/>
      <c r="T920" s="103"/>
      <c r="U920" s="103"/>
      <c r="V920" s="103"/>
      <c r="W920" s="103"/>
      <c r="X920" s="103"/>
      <c r="Y920" s="103"/>
      <c r="Z920" s="103"/>
    </row>
    <row r="921" ht="15.75" customHeight="1">
      <c r="A921" s="19" t="s">
        <v>24017</v>
      </c>
      <c r="B921" s="19" t="s">
        <v>26378</v>
      </c>
      <c r="C921" s="19" t="s">
        <v>25232</v>
      </c>
      <c r="D921" s="19" t="s">
        <v>24344</v>
      </c>
      <c r="E921" s="19" t="s">
        <v>24011</v>
      </c>
      <c r="F921" s="102" t="s">
        <v>24012</v>
      </c>
      <c r="G921" s="19" t="s">
        <v>24335</v>
      </c>
      <c r="H921" s="19" t="b">
        <v>1</v>
      </c>
      <c r="I921" s="19">
        <v>1.0</v>
      </c>
      <c r="J921" s="19" t="s">
        <v>24008</v>
      </c>
      <c r="K921" s="19" t="s">
        <v>24009</v>
      </c>
      <c r="L921" s="19">
        <v>97430.0</v>
      </c>
      <c r="M921" s="19" t="s">
        <v>71</v>
      </c>
      <c r="N921" s="103"/>
      <c r="O921" s="19" t="s">
        <v>24006</v>
      </c>
      <c r="P921" s="103"/>
      <c r="Q921" s="19" t="s">
        <v>27482</v>
      </c>
      <c r="R921" s="103"/>
      <c r="S921" s="103"/>
      <c r="T921" s="103"/>
      <c r="U921" s="103"/>
      <c r="V921" s="103"/>
      <c r="W921" s="103"/>
      <c r="X921" s="103"/>
      <c r="Y921" s="103"/>
      <c r="Z921" s="103"/>
    </row>
    <row r="922" ht="15.75" customHeight="1">
      <c r="A922" s="19" t="s">
        <v>24035</v>
      </c>
      <c r="B922" s="19" t="s">
        <v>27483</v>
      </c>
      <c r="C922" s="19" t="s">
        <v>27484</v>
      </c>
      <c r="D922" s="19" t="s">
        <v>24334</v>
      </c>
      <c r="E922" s="19" t="s">
        <v>24027</v>
      </c>
      <c r="F922" s="102" t="s">
        <v>24028</v>
      </c>
      <c r="G922" s="19" t="s">
        <v>24335</v>
      </c>
      <c r="H922" s="19" t="b">
        <v>1</v>
      </c>
      <c r="I922" s="19">
        <v>1.0</v>
      </c>
      <c r="J922" s="19" t="s">
        <v>27485</v>
      </c>
      <c r="K922" s="19" t="s">
        <v>24025</v>
      </c>
      <c r="L922" s="19">
        <v>97430.0</v>
      </c>
      <c r="M922" s="19" t="s">
        <v>71</v>
      </c>
      <c r="N922" s="103"/>
      <c r="O922" s="19" t="s">
        <v>24021</v>
      </c>
      <c r="P922" s="103"/>
      <c r="Q922" s="19" t="s">
        <v>27486</v>
      </c>
      <c r="R922" s="103"/>
      <c r="S922" s="103"/>
      <c r="T922" s="103"/>
      <c r="U922" s="103"/>
      <c r="V922" s="103"/>
      <c r="W922" s="103"/>
      <c r="X922" s="103"/>
      <c r="Y922" s="103"/>
      <c r="Z922" s="103"/>
    </row>
    <row r="923" ht="15.75" customHeight="1">
      <c r="A923" s="19" t="s">
        <v>24093</v>
      </c>
      <c r="B923" s="19" t="s">
        <v>26078</v>
      </c>
      <c r="C923" s="19" t="s">
        <v>24612</v>
      </c>
      <c r="D923" s="19" t="s">
        <v>24344</v>
      </c>
      <c r="E923" s="19" t="s">
        <v>24042</v>
      </c>
      <c r="F923" s="102" t="s">
        <v>24043</v>
      </c>
      <c r="G923" s="19" t="s">
        <v>24335</v>
      </c>
      <c r="H923" s="19" t="b">
        <v>1</v>
      </c>
      <c r="I923" s="19">
        <v>2.0</v>
      </c>
      <c r="J923" s="102" t="s">
        <v>13538</v>
      </c>
      <c r="K923" s="19" t="s">
        <v>27487</v>
      </c>
      <c r="L923" s="19">
        <v>97410.0</v>
      </c>
      <c r="M923" s="19" t="s">
        <v>24605</v>
      </c>
      <c r="N923" s="103"/>
      <c r="O923" s="19" t="s">
        <v>27488</v>
      </c>
      <c r="P923" s="103"/>
      <c r="Q923" s="19" t="s">
        <v>27489</v>
      </c>
      <c r="R923" s="103"/>
      <c r="S923" s="19" t="s">
        <v>24460</v>
      </c>
      <c r="T923" s="103"/>
      <c r="U923" s="103"/>
      <c r="V923" s="103"/>
      <c r="W923" s="103"/>
      <c r="X923" s="103"/>
      <c r="Y923" s="103"/>
      <c r="Z923" s="103"/>
    </row>
    <row r="924" ht="15.75" customHeight="1">
      <c r="A924" s="19" t="s">
        <v>24065</v>
      </c>
      <c r="B924" s="19" t="s">
        <v>27490</v>
      </c>
      <c r="C924" s="19" t="s">
        <v>27491</v>
      </c>
      <c r="D924" s="19" t="s">
        <v>24344</v>
      </c>
      <c r="E924" s="19" t="s">
        <v>27492</v>
      </c>
      <c r="F924" s="102" t="s">
        <v>24058</v>
      </c>
      <c r="G924" s="19" t="s">
        <v>24335</v>
      </c>
      <c r="H924" s="19" t="b">
        <v>1</v>
      </c>
      <c r="I924" s="19">
        <v>1.0</v>
      </c>
      <c r="J924" s="19" t="s">
        <v>27493</v>
      </c>
      <c r="K924" s="19" t="s">
        <v>27494</v>
      </c>
      <c r="L924" s="19">
        <v>97410.0</v>
      </c>
      <c r="M924" s="19" t="s">
        <v>24605</v>
      </c>
      <c r="N924" s="103"/>
      <c r="O924" s="19" t="s">
        <v>24053</v>
      </c>
      <c r="P924" s="103"/>
      <c r="Q924" s="19" t="s">
        <v>27495</v>
      </c>
      <c r="R924" s="103"/>
      <c r="S924" s="103"/>
      <c r="T924" s="103"/>
      <c r="U924" s="103"/>
      <c r="V924" s="103"/>
      <c r="W924" s="103"/>
      <c r="X924" s="103"/>
      <c r="Y924" s="103"/>
      <c r="Z924" s="103"/>
    </row>
    <row r="925" ht="15.75" customHeight="1">
      <c r="A925" s="19" t="s">
        <v>24080</v>
      </c>
      <c r="B925" s="19" t="s">
        <v>26717</v>
      </c>
      <c r="C925" s="19" t="s">
        <v>24462</v>
      </c>
      <c r="D925" s="19" t="s">
        <v>24334</v>
      </c>
      <c r="E925" s="19" t="s">
        <v>27496</v>
      </c>
      <c r="F925" s="102" t="s">
        <v>24074</v>
      </c>
      <c r="G925" s="19" t="s">
        <v>24335</v>
      </c>
      <c r="H925" s="19" t="b">
        <v>1</v>
      </c>
      <c r="I925" s="19">
        <v>1.0</v>
      </c>
      <c r="J925" s="102" t="s">
        <v>20114</v>
      </c>
      <c r="K925" s="19" t="s">
        <v>24071</v>
      </c>
      <c r="L925" s="19">
        <v>97418.0</v>
      </c>
      <c r="M925" s="19" t="s">
        <v>216</v>
      </c>
      <c r="N925" s="103"/>
      <c r="O925" s="19" t="s">
        <v>24069</v>
      </c>
      <c r="P925" s="103"/>
      <c r="Q925" s="19" t="s">
        <v>27497</v>
      </c>
      <c r="R925" s="103"/>
      <c r="S925" s="103"/>
      <c r="T925" s="103"/>
      <c r="U925" s="103"/>
      <c r="V925" s="103"/>
      <c r="W925" s="103"/>
      <c r="X925" s="103"/>
      <c r="Y925" s="103"/>
      <c r="Z925" s="103"/>
    </row>
    <row r="926" ht="15.75" customHeight="1">
      <c r="A926" s="19" t="s">
        <v>24108</v>
      </c>
      <c r="B926" s="19" t="s">
        <v>27498</v>
      </c>
      <c r="C926" s="19" t="s">
        <v>27499</v>
      </c>
      <c r="D926" s="19" t="s">
        <v>24334</v>
      </c>
      <c r="E926" s="19" t="s">
        <v>24101</v>
      </c>
      <c r="F926" s="102" t="s">
        <v>24102</v>
      </c>
      <c r="G926" s="19" t="s">
        <v>24335</v>
      </c>
      <c r="H926" s="19" t="b">
        <v>1</v>
      </c>
      <c r="I926" s="19">
        <v>1.0</v>
      </c>
      <c r="J926" s="19" t="s">
        <v>16640</v>
      </c>
      <c r="K926" s="19" t="s">
        <v>27500</v>
      </c>
      <c r="L926" s="19">
        <v>97418.0</v>
      </c>
      <c r="M926" s="19" t="s">
        <v>216</v>
      </c>
      <c r="N926" s="103"/>
      <c r="O926" s="19" t="s">
        <v>27501</v>
      </c>
      <c r="P926" s="103"/>
      <c r="Q926" s="19" t="s">
        <v>27502</v>
      </c>
      <c r="R926" s="103"/>
      <c r="S926" s="103"/>
      <c r="T926" s="103"/>
      <c r="U926" s="103"/>
      <c r="V926" s="103"/>
      <c r="W926" s="103"/>
      <c r="X926" s="103"/>
      <c r="Y926" s="103"/>
      <c r="Z926" s="103"/>
    </row>
    <row r="927" ht="15.75" customHeight="1">
      <c r="A927" s="19" t="s">
        <v>241</v>
      </c>
      <c r="B927" s="19" t="s">
        <v>24349</v>
      </c>
      <c r="C927" s="19" t="s">
        <v>27503</v>
      </c>
      <c r="D927" s="19" t="s">
        <v>24334</v>
      </c>
      <c r="E927" s="19" t="s">
        <v>24132</v>
      </c>
      <c r="F927" s="102" t="s">
        <v>24133</v>
      </c>
      <c r="G927" s="19" t="s">
        <v>24335</v>
      </c>
      <c r="H927" s="19" t="b">
        <v>1</v>
      </c>
      <c r="I927" s="19">
        <v>1.0</v>
      </c>
      <c r="J927" s="102" t="s">
        <v>27504</v>
      </c>
      <c r="K927" s="19" t="s">
        <v>27505</v>
      </c>
      <c r="L927" s="19">
        <v>97432.0</v>
      </c>
      <c r="M927" s="19" t="s">
        <v>25835</v>
      </c>
      <c r="N927" s="103"/>
      <c r="O927" s="19" t="s">
        <v>27506</v>
      </c>
      <c r="P927" s="103"/>
      <c r="Q927" s="19" t="s">
        <v>27507</v>
      </c>
      <c r="R927" s="103"/>
      <c r="S927" s="103"/>
      <c r="T927" s="103"/>
      <c r="U927" s="103"/>
      <c r="V927" s="103"/>
      <c r="W927" s="103"/>
      <c r="X927" s="103"/>
      <c r="Y927" s="103"/>
      <c r="Z927" s="103"/>
    </row>
    <row r="928" ht="15.75" customHeight="1">
      <c r="A928" s="19" t="s">
        <v>24124</v>
      </c>
      <c r="B928" s="19" t="s">
        <v>26054</v>
      </c>
      <c r="C928" s="19" t="s">
        <v>27508</v>
      </c>
      <c r="D928" s="19" t="s">
        <v>24334</v>
      </c>
      <c r="E928" s="19" t="s">
        <v>27509</v>
      </c>
      <c r="F928" s="102" t="s">
        <v>24117</v>
      </c>
      <c r="G928" s="19" t="s">
        <v>24335</v>
      </c>
      <c r="H928" s="19" t="b">
        <v>1</v>
      </c>
      <c r="I928" s="19">
        <v>1.0</v>
      </c>
      <c r="J928" s="102" t="s">
        <v>12402</v>
      </c>
      <c r="K928" s="19" t="s">
        <v>24114</v>
      </c>
      <c r="L928" s="19">
        <v>97430.0</v>
      </c>
      <c r="M928" s="19" t="s">
        <v>71</v>
      </c>
      <c r="N928" s="103"/>
      <c r="O928" s="19" t="s">
        <v>24111</v>
      </c>
      <c r="P928" s="103"/>
      <c r="Q928" s="19" t="s">
        <v>27510</v>
      </c>
      <c r="R928" s="103"/>
      <c r="S928" s="103"/>
      <c r="T928" s="103"/>
      <c r="U928" s="103"/>
      <c r="V928" s="103"/>
      <c r="W928" s="103"/>
      <c r="X928" s="103"/>
      <c r="Y928" s="103"/>
      <c r="Z928" s="103"/>
    </row>
    <row r="929" ht="15.75" customHeight="1">
      <c r="A929" s="19" t="s">
        <v>24146</v>
      </c>
      <c r="B929" s="19" t="s">
        <v>27511</v>
      </c>
      <c r="C929" s="19" t="s">
        <v>27512</v>
      </c>
      <c r="D929" s="19" t="s">
        <v>24334</v>
      </c>
      <c r="E929" s="19" t="s">
        <v>24141</v>
      </c>
      <c r="F929" s="102" t="s">
        <v>24142</v>
      </c>
      <c r="G929" s="19" t="s">
        <v>24420</v>
      </c>
      <c r="H929" s="19" t="b">
        <v>1</v>
      </c>
      <c r="I929" s="19">
        <v>1.0</v>
      </c>
      <c r="J929" s="102" t="s">
        <v>24138</v>
      </c>
      <c r="K929" s="19" t="s">
        <v>24139</v>
      </c>
      <c r="L929" s="19">
        <v>97414.0</v>
      </c>
      <c r="M929" s="19" t="s">
        <v>40</v>
      </c>
      <c r="N929" s="103"/>
      <c r="O929" s="19" t="s">
        <v>24136</v>
      </c>
      <c r="P929" s="103"/>
      <c r="Q929" s="19" t="s">
        <v>27513</v>
      </c>
      <c r="R929" s="103"/>
      <c r="S929" s="103"/>
      <c r="T929" s="103"/>
      <c r="U929" s="103"/>
      <c r="V929" s="103"/>
      <c r="W929" s="103"/>
      <c r="X929" s="103"/>
      <c r="Y929" s="103"/>
      <c r="Z929" s="103"/>
    </row>
    <row r="930" ht="15.75" customHeight="1">
      <c r="A930" s="19" t="s">
        <v>24158</v>
      </c>
      <c r="B930" s="19" t="s">
        <v>27514</v>
      </c>
      <c r="C930" s="19" t="s">
        <v>25105</v>
      </c>
      <c r="D930" s="19" t="s">
        <v>24344</v>
      </c>
      <c r="E930" s="19" t="s">
        <v>24154</v>
      </c>
      <c r="F930" s="102" t="s">
        <v>24155</v>
      </c>
      <c r="G930" s="19" t="s">
        <v>24420</v>
      </c>
      <c r="H930" s="19" t="b">
        <v>1</v>
      </c>
      <c r="I930" s="19">
        <v>1.0</v>
      </c>
      <c r="J930" s="102" t="s">
        <v>15823</v>
      </c>
      <c r="K930" s="19" t="s">
        <v>27515</v>
      </c>
      <c r="L930" s="19">
        <v>97490.0</v>
      </c>
      <c r="M930" s="19" t="s">
        <v>26767</v>
      </c>
      <c r="N930" s="103"/>
      <c r="O930" s="19" t="s">
        <v>24149</v>
      </c>
      <c r="P930" s="103"/>
      <c r="Q930" s="19" t="s">
        <v>27516</v>
      </c>
      <c r="R930" s="103"/>
      <c r="S930" s="103"/>
      <c r="T930" s="103"/>
      <c r="U930" s="103"/>
      <c r="V930" s="103"/>
      <c r="W930" s="103"/>
      <c r="X930" s="103"/>
      <c r="Y930" s="103"/>
      <c r="Z930" s="103"/>
    </row>
    <row r="931" ht="15.75" customHeight="1">
      <c r="A931" s="19" t="s">
        <v>24174</v>
      </c>
      <c r="B931" s="19" t="s">
        <v>26241</v>
      </c>
      <c r="C931" s="19" t="s">
        <v>26122</v>
      </c>
      <c r="D931" s="19" t="s">
        <v>24334</v>
      </c>
      <c r="E931" s="19" t="s">
        <v>24167</v>
      </c>
      <c r="F931" s="102" t="s">
        <v>24168</v>
      </c>
      <c r="G931" s="19" t="s">
        <v>24335</v>
      </c>
      <c r="H931" s="19" t="b">
        <v>1</v>
      </c>
      <c r="I931" s="19">
        <v>1.0</v>
      </c>
      <c r="J931" s="102" t="s">
        <v>15500</v>
      </c>
      <c r="K931" s="19" t="s">
        <v>27517</v>
      </c>
      <c r="L931" s="19">
        <v>97440.0</v>
      </c>
      <c r="M931" s="19" t="s">
        <v>26611</v>
      </c>
      <c r="N931" s="103"/>
      <c r="O931" s="19" t="s">
        <v>24162</v>
      </c>
      <c r="P931" s="103"/>
      <c r="Q931" s="19" t="s">
        <v>27518</v>
      </c>
      <c r="R931" s="103"/>
      <c r="S931" s="103"/>
      <c r="T931" s="103"/>
      <c r="U931" s="103"/>
      <c r="V931" s="103"/>
      <c r="W931" s="103"/>
      <c r="X931" s="103"/>
      <c r="Y931" s="103"/>
      <c r="Z931" s="103"/>
    </row>
    <row r="932" ht="15.75" customHeight="1">
      <c r="A932" s="19" t="s">
        <v>24187</v>
      </c>
      <c r="B932" s="19" t="s">
        <v>26134</v>
      </c>
      <c r="C932" s="19" t="s">
        <v>27519</v>
      </c>
      <c r="D932" s="19" t="s">
        <v>24344</v>
      </c>
      <c r="E932" s="19" t="s">
        <v>24183</v>
      </c>
      <c r="F932" s="102" t="s">
        <v>24184</v>
      </c>
      <c r="G932" s="19" t="s">
        <v>24335</v>
      </c>
      <c r="H932" s="19" t="b">
        <v>1</v>
      </c>
      <c r="I932" s="19">
        <v>1.0</v>
      </c>
      <c r="J932" s="102" t="s">
        <v>19827</v>
      </c>
      <c r="K932" s="19" t="s">
        <v>24180</v>
      </c>
      <c r="L932" s="19">
        <v>97480.0</v>
      </c>
      <c r="M932" s="19" t="s">
        <v>123</v>
      </c>
      <c r="N932" s="103"/>
      <c r="O932" s="19" t="s">
        <v>27520</v>
      </c>
      <c r="P932" s="103"/>
      <c r="Q932" s="19" t="s">
        <v>27521</v>
      </c>
      <c r="R932" s="103"/>
      <c r="S932" s="103"/>
      <c r="T932" s="103"/>
      <c r="U932" s="103"/>
      <c r="V932" s="103"/>
      <c r="W932" s="103"/>
      <c r="X932" s="103"/>
      <c r="Y932" s="103"/>
      <c r="Z932" s="103"/>
    </row>
    <row r="933" ht="15.75" customHeight="1">
      <c r="A933" s="19" t="s">
        <v>24199</v>
      </c>
      <c r="B933" s="19" t="s">
        <v>27522</v>
      </c>
      <c r="C933" s="19" t="s">
        <v>27523</v>
      </c>
      <c r="D933" s="19" t="s">
        <v>24334</v>
      </c>
      <c r="E933" s="19" t="s">
        <v>27524</v>
      </c>
      <c r="F933" s="102" t="s">
        <v>27525</v>
      </c>
      <c r="G933" s="19" t="s">
        <v>25216</v>
      </c>
      <c r="H933" s="19" t="b">
        <v>1</v>
      </c>
      <c r="I933" s="19">
        <v>1.0</v>
      </c>
      <c r="J933" s="102" t="s">
        <v>13933</v>
      </c>
      <c r="K933" s="19" t="s">
        <v>27526</v>
      </c>
      <c r="L933" s="19">
        <v>97480.0</v>
      </c>
      <c r="M933" s="19" t="s">
        <v>123</v>
      </c>
      <c r="N933" s="103"/>
      <c r="O933" s="19" t="s">
        <v>27527</v>
      </c>
      <c r="P933" s="103"/>
      <c r="Q933" s="19" t="s">
        <v>27528</v>
      </c>
      <c r="R933" s="103"/>
      <c r="S933" s="103"/>
      <c r="T933" s="103"/>
      <c r="U933" s="103"/>
      <c r="V933" s="103"/>
      <c r="W933" s="103"/>
      <c r="X933" s="103"/>
      <c r="Y933" s="103"/>
      <c r="Z933" s="103"/>
    </row>
    <row r="934" ht="15.75" customHeight="1">
      <c r="A934" s="102" t="s">
        <v>24213</v>
      </c>
      <c r="B934" s="19" t="s">
        <v>26676</v>
      </c>
      <c r="C934" s="19" t="s">
        <v>24769</v>
      </c>
      <c r="D934" s="19" t="s">
        <v>24344</v>
      </c>
      <c r="E934" s="19" t="s">
        <v>24206</v>
      </c>
      <c r="F934" s="102" t="s">
        <v>27529</v>
      </c>
      <c r="G934" s="19" t="s">
        <v>24335</v>
      </c>
      <c r="H934" s="19" t="b">
        <v>1</v>
      </c>
      <c r="I934" s="19">
        <v>1.0</v>
      </c>
      <c r="J934" s="102" t="s">
        <v>12820</v>
      </c>
      <c r="K934" s="19" t="s">
        <v>24204</v>
      </c>
      <c r="L934" s="19">
        <v>97430.0</v>
      </c>
      <c r="M934" s="19" t="s">
        <v>71</v>
      </c>
      <c r="N934" s="103"/>
      <c r="O934" s="19" t="s">
        <v>274</v>
      </c>
      <c r="P934" s="103"/>
      <c r="Q934" s="19" t="s">
        <v>27530</v>
      </c>
      <c r="R934" s="103"/>
      <c r="S934" s="103"/>
      <c r="T934" s="103"/>
      <c r="U934" s="103"/>
      <c r="V934" s="103"/>
      <c r="W934" s="103"/>
      <c r="X934" s="103"/>
      <c r="Y934" s="103"/>
      <c r="Z934" s="103"/>
    </row>
    <row r="935" ht="15.75" customHeight="1">
      <c r="A935" s="19" t="s">
        <v>24228</v>
      </c>
      <c r="B935" s="19" t="s">
        <v>26054</v>
      </c>
      <c r="C935" s="19" t="s">
        <v>27531</v>
      </c>
      <c r="D935" s="19" t="s">
        <v>24344</v>
      </c>
      <c r="E935" s="19" t="s">
        <v>24221</v>
      </c>
      <c r="F935" s="102" t="s">
        <v>24222</v>
      </c>
      <c r="G935" s="19" t="s">
        <v>24335</v>
      </c>
      <c r="H935" s="19" t="b">
        <v>1</v>
      </c>
      <c r="I935" s="19">
        <v>1.0</v>
      </c>
      <c r="J935" s="102" t="s">
        <v>13331</v>
      </c>
      <c r="K935" s="19" t="s">
        <v>27532</v>
      </c>
      <c r="L935" s="19">
        <v>13470.0</v>
      </c>
      <c r="M935" s="19" t="s">
        <v>27533</v>
      </c>
      <c r="N935" s="103"/>
      <c r="O935" s="19" t="s">
        <v>27534</v>
      </c>
      <c r="P935" s="103"/>
      <c r="Q935" s="19" t="s">
        <v>27535</v>
      </c>
      <c r="R935" s="103"/>
      <c r="S935" s="103"/>
      <c r="T935" s="103"/>
      <c r="U935" s="103"/>
      <c r="V935" s="103"/>
      <c r="W935" s="103"/>
      <c r="X935" s="103"/>
      <c r="Y935" s="103"/>
      <c r="Z935" s="103"/>
    </row>
    <row r="936" ht="15.75" customHeight="1">
      <c r="A936" s="19" t="s">
        <v>24241</v>
      </c>
      <c r="B936" s="19" t="s">
        <v>26660</v>
      </c>
      <c r="C936" s="19" t="s">
        <v>27536</v>
      </c>
      <c r="D936" s="19" t="s">
        <v>24334</v>
      </c>
      <c r="E936" s="19" t="s">
        <v>27537</v>
      </c>
      <c r="F936" s="102" t="s">
        <v>24236</v>
      </c>
      <c r="G936" s="19" t="s">
        <v>24335</v>
      </c>
      <c r="H936" s="19" t="b">
        <v>1</v>
      </c>
      <c r="I936" s="19">
        <v>2.0</v>
      </c>
      <c r="J936" s="102" t="s">
        <v>18205</v>
      </c>
      <c r="K936" s="19" t="s">
        <v>27538</v>
      </c>
      <c r="L936" s="19">
        <v>97480.0</v>
      </c>
      <c r="M936" s="19" t="s">
        <v>123</v>
      </c>
      <c r="N936" s="103"/>
      <c r="O936" s="19" t="s">
        <v>27539</v>
      </c>
      <c r="P936" s="103"/>
      <c r="Q936" s="19" t="s">
        <v>27540</v>
      </c>
      <c r="R936" s="103"/>
      <c r="S936" s="103"/>
      <c r="T936" s="103"/>
      <c r="U936" s="103"/>
      <c r="V936" s="103"/>
      <c r="W936" s="103"/>
      <c r="X936" s="103"/>
      <c r="Y936" s="103"/>
      <c r="Z936" s="103"/>
    </row>
    <row r="937" ht="15.75" customHeight="1">
      <c r="A937" s="19" t="s">
        <v>24272</v>
      </c>
      <c r="B937" s="19" t="s">
        <v>24936</v>
      </c>
      <c r="C937" s="19" t="s">
        <v>24514</v>
      </c>
      <c r="D937" s="19" t="s">
        <v>24344</v>
      </c>
      <c r="E937" s="19" t="s">
        <v>24266</v>
      </c>
      <c r="F937" s="102" t="s">
        <v>24267</v>
      </c>
      <c r="G937" s="19" t="s">
        <v>24420</v>
      </c>
      <c r="H937" s="19" t="b">
        <v>1</v>
      </c>
      <c r="I937" s="19">
        <v>1.0</v>
      </c>
      <c r="J937" s="102" t="s">
        <v>18644</v>
      </c>
      <c r="K937" s="19" t="s">
        <v>23184</v>
      </c>
      <c r="L937" s="19">
        <v>97430.0</v>
      </c>
      <c r="M937" s="19" t="s">
        <v>71</v>
      </c>
      <c r="N937" s="103"/>
      <c r="O937" s="19" t="s">
        <v>24262</v>
      </c>
      <c r="P937" s="19" t="s">
        <v>27541</v>
      </c>
      <c r="Q937" s="19" t="s">
        <v>27542</v>
      </c>
      <c r="R937" s="104">
        <v>23013.0</v>
      </c>
      <c r="S937" s="19" t="s">
        <v>24348</v>
      </c>
      <c r="T937" s="103"/>
      <c r="U937" s="103"/>
      <c r="V937" s="103"/>
      <c r="W937" s="103"/>
      <c r="X937" s="103"/>
      <c r="Y937" s="103"/>
      <c r="Z937" s="103"/>
    </row>
    <row r="938" ht="15.75" customHeight="1">
      <c r="A938" s="19" t="s">
        <v>24286</v>
      </c>
      <c r="B938" s="19" t="s">
        <v>27543</v>
      </c>
      <c r="C938" s="19" t="s">
        <v>73</v>
      </c>
      <c r="D938" s="19" t="s">
        <v>24344</v>
      </c>
      <c r="E938" s="19" t="s">
        <v>24279</v>
      </c>
      <c r="F938" s="102" t="s">
        <v>24280</v>
      </c>
      <c r="G938" s="19" t="s">
        <v>24335</v>
      </c>
      <c r="H938" s="19" t="b">
        <v>1</v>
      </c>
      <c r="I938" s="19">
        <v>1.0</v>
      </c>
      <c r="J938" s="102" t="s">
        <v>18695</v>
      </c>
      <c r="K938" s="19" t="s">
        <v>27544</v>
      </c>
      <c r="L938" s="19">
        <v>97440.0</v>
      </c>
      <c r="M938" s="19" t="s">
        <v>26611</v>
      </c>
      <c r="N938" s="103"/>
      <c r="O938" s="19" t="s">
        <v>24274</v>
      </c>
      <c r="P938" s="103"/>
      <c r="Q938" s="19" t="s">
        <v>27545</v>
      </c>
      <c r="R938" s="103"/>
      <c r="S938" s="103"/>
      <c r="T938" s="103"/>
      <c r="U938" s="103"/>
      <c r="V938" s="103"/>
      <c r="W938" s="103"/>
      <c r="X938" s="103"/>
      <c r="Y938" s="103"/>
      <c r="Z938" s="103"/>
    </row>
    <row r="939" ht="15.75" customHeight="1">
      <c r="A939" s="19" t="s">
        <v>24301</v>
      </c>
      <c r="B939" s="19" t="s">
        <v>27546</v>
      </c>
      <c r="C939" s="19" t="s">
        <v>27547</v>
      </c>
      <c r="D939" s="19" t="s">
        <v>24334</v>
      </c>
      <c r="E939" s="19" t="s">
        <v>24294</v>
      </c>
      <c r="F939" s="102" t="s">
        <v>24295</v>
      </c>
      <c r="G939" s="19" t="s">
        <v>24335</v>
      </c>
      <c r="H939" s="19" t="b">
        <v>1</v>
      </c>
      <c r="I939" s="19">
        <v>1.0</v>
      </c>
      <c r="J939" s="19" t="s">
        <v>27548</v>
      </c>
      <c r="K939" s="19" t="s">
        <v>27549</v>
      </c>
      <c r="L939" s="19">
        <v>97480.0</v>
      </c>
      <c r="M939" s="19" t="s">
        <v>123</v>
      </c>
      <c r="N939" s="103"/>
      <c r="O939" s="19" t="s">
        <v>24290</v>
      </c>
      <c r="P939" s="103"/>
      <c r="Q939" s="19" t="s">
        <v>27550</v>
      </c>
      <c r="R939" s="103"/>
      <c r="S939" s="103"/>
      <c r="T939" s="103"/>
      <c r="U939" s="103"/>
      <c r="V939" s="103"/>
      <c r="W939" s="103"/>
      <c r="X939" s="103"/>
      <c r="Y939" s="103"/>
      <c r="Z939" s="103"/>
    </row>
    <row r="940" ht="15.75" customHeight="1">
      <c r="A940" s="19" t="s">
        <v>24315</v>
      </c>
      <c r="B940" s="19" t="s">
        <v>27279</v>
      </c>
      <c r="C940" s="19" t="s">
        <v>27551</v>
      </c>
      <c r="D940" s="19" t="s">
        <v>24334</v>
      </c>
      <c r="E940" s="19" t="s">
        <v>24308</v>
      </c>
      <c r="F940" s="102" t="s">
        <v>24309</v>
      </c>
      <c r="G940" s="19" t="s">
        <v>24420</v>
      </c>
      <c r="H940" s="19" t="b">
        <v>1</v>
      </c>
      <c r="I940" s="19">
        <v>1.0</v>
      </c>
      <c r="J940" s="102" t="s">
        <v>21803</v>
      </c>
      <c r="K940" s="19" t="s">
        <v>24306</v>
      </c>
      <c r="L940" s="19">
        <v>97430.0</v>
      </c>
      <c r="M940" s="19" t="s">
        <v>71</v>
      </c>
      <c r="N940" s="103"/>
      <c r="O940" s="19" t="s">
        <v>27552</v>
      </c>
      <c r="P940" s="103"/>
      <c r="Q940" s="19" t="s">
        <v>27553</v>
      </c>
      <c r="R940" s="103"/>
      <c r="S940" s="103"/>
      <c r="T940" s="103"/>
      <c r="U940" s="103"/>
      <c r="V940" s="103"/>
      <c r="W940" s="103"/>
      <c r="X940" s="103"/>
      <c r="Y940" s="103"/>
      <c r="Z940" s="103"/>
    </row>
    <row r="941" ht="15.7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ht="15.7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ht="15.7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ht="15.7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ht="15.7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ht="15.7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ht="15.7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ht="15.7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ht="15.7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ht="15.7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ht="15.7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ht="15.7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ht="15.7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ht="15.7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ht="15.7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ht="15.7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ht="15.7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ht="15.7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ht="15.7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ht="15.7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ht="15.7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ht="15.7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ht="15.7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ht="15.7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ht="15.7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ht="15.7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ht="15.7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ht="15.7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ht="15.7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ht="15.7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ht="15.7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ht="15.7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ht="15.7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ht="15.7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ht="15.7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ht="15.7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ht="15.7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ht="15.7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ht="15.7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ht="15.7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ht="15.7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ht="15.7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ht="15.7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ht="15.7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ht="15.7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ht="15.7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ht="15.7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ht="15.7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ht="15.7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ht="15.7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ht="15.7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ht="15.7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ht="15.7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ht="15.7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ht="15.7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ht="15.7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ht="15.7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ht="15.7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ht="15.7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sheetData>
  <autoFilter ref="$A$1:$Z$999"/>
  <customSheetViews>
    <customSheetView guid="{D3931867-340C-4A2D-A332-108AFECB548D}" filter="1" showAutoFilter="1">
      <autoFilter ref="$A$1:$Z$999">
        <filterColumn colId="12">
          <filters>
            <filter val="Marseille"/>
            <filter val="La Bazoge"/>
            <filter val="Bitche"/>
            <filter val="NIEDERSOULTZBACH"/>
            <filter val="Carnoux-en-Provence"/>
            <filter val="Montpellier"/>
            <filter val="Surgères"/>
            <filter val="REIMS"/>
            <filter val="Guyancourtt"/>
            <filter val="Saint-Salvy-de-la-Balme"/>
            <filter val="Aulnay-sous-Bois"/>
            <filter val="Uster"/>
            <filter val="Roquemaure"/>
            <filter val="Sainte-Marie"/>
            <filter val="Saint-Marcellin"/>
            <filter val="Compolibat"/>
            <filter val="Le Port"/>
            <filter val="Le Tampon"/>
            <filter val="Saint-Leu"/>
            <filter val="Saint Pantaleon de Larche"/>
            <filter val="Decize"/>
            <filter val="Paris"/>
          </filters>
        </filterColumn>
      </autoFilter>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63"/>
    <col customWidth="1" min="3" max="3" width="44.38"/>
    <col customWidth="1" min="4" max="7" width="12.63"/>
  </cols>
  <sheetData>
    <row r="1" ht="15.75" customHeight="1">
      <c r="A1" s="106" t="s">
        <v>27554</v>
      </c>
      <c r="B1" s="106" t="s">
        <v>12275</v>
      </c>
      <c r="C1" s="107" t="s">
        <v>27555</v>
      </c>
      <c r="D1" s="108" t="s">
        <v>27556</v>
      </c>
      <c r="E1" s="109" t="s">
        <v>27557</v>
      </c>
      <c r="F1" s="109" t="s">
        <v>27558</v>
      </c>
      <c r="G1" s="109" t="s">
        <v>27559</v>
      </c>
      <c r="H1" s="107" t="s">
        <v>27560</v>
      </c>
      <c r="I1" s="107"/>
      <c r="J1" s="107"/>
      <c r="K1" s="107"/>
      <c r="L1" s="107"/>
      <c r="M1" s="107"/>
      <c r="N1" s="107"/>
      <c r="O1" s="107"/>
      <c r="P1" s="107"/>
      <c r="Q1" s="107"/>
      <c r="R1" s="107"/>
      <c r="S1" s="107"/>
      <c r="T1" s="107"/>
      <c r="U1" s="107"/>
      <c r="V1" s="107"/>
      <c r="W1" s="107"/>
      <c r="X1" s="107"/>
      <c r="Y1" s="107"/>
      <c r="Z1" s="107"/>
      <c r="AA1" s="107"/>
    </row>
    <row r="2" ht="15.75" customHeight="1">
      <c r="A2" s="5" t="s">
        <v>27561</v>
      </c>
      <c r="B2" s="6" t="s">
        <v>255</v>
      </c>
      <c r="C2" s="5" t="s">
        <v>27562</v>
      </c>
      <c r="D2" s="110">
        <v>0.3958333333333333</v>
      </c>
      <c r="E2" s="111">
        <v>0.7083333333333334</v>
      </c>
      <c r="F2" s="111"/>
      <c r="G2" s="111"/>
      <c r="H2" s="5" t="b">
        <v>1</v>
      </c>
      <c r="I2" s="4"/>
    </row>
    <row r="3" ht="15.75" customHeight="1">
      <c r="A3" s="5" t="s">
        <v>27563</v>
      </c>
      <c r="B3" s="6" t="s">
        <v>11919</v>
      </c>
      <c r="C3" s="5" t="s">
        <v>27562</v>
      </c>
      <c r="D3" s="110">
        <v>0.625</v>
      </c>
      <c r="E3" s="111">
        <v>0.4583333333333333</v>
      </c>
      <c r="F3" s="112"/>
      <c r="G3" s="112"/>
      <c r="H3" s="5" t="b">
        <v>1</v>
      </c>
    </row>
    <row r="4" ht="15.75" customHeight="1">
      <c r="A4" s="5" t="s">
        <v>27564</v>
      </c>
      <c r="B4" s="6" t="s">
        <v>7390</v>
      </c>
      <c r="C4" s="5" t="s">
        <v>27562</v>
      </c>
      <c r="D4" s="113"/>
      <c r="E4" s="112"/>
      <c r="F4" s="112"/>
      <c r="G4" s="112"/>
      <c r="H4" s="5" t="b">
        <v>1</v>
      </c>
    </row>
    <row r="5" ht="15.75" customHeight="1">
      <c r="A5" s="5" t="s">
        <v>27565</v>
      </c>
      <c r="B5" s="6" t="s">
        <v>8275</v>
      </c>
      <c r="C5" s="5" t="s">
        <v>27566</v>
      </c>
      <c r="D5" s="110">
        <v>0.375</v>
      </c>
      <c r="E5" s="111">
        <v>0.5</v>
      </c>
      <c r="F5" s="111">
        <v>0.5625</v>
      </c>
      <c r="G5" s="111">
        <v>0.6666666666666666</v>
      </c>
      <c r="H5" s="5" t="b">
        <v>0</v>
      </c>
    </row>
    <row r="6" ht="15.75" customHeight="1">
      <c r="A6" s="5" t="s">
        <v>27567</v>
      </c>
      <c r="B6" s="6" t="s">
        <v>243</v>
      </c>
      <c r="D6" s="113"/>
      <c r="E6" s="112"/>
      <c r="F6" s="112"/>
      <c r="G6" s="112"/>
      <c r="H6" s="5" t="b">
        <v>1</v>
      </c>
    </row>
    <row r="7" ht="15.75" customHeight="1">
      <c r="A7" s="5" t="s">
        <v>27568</v>
      </c>
      <c r="B7" s="6" t="s">
        <v>8275</v>
      </c>
      <c r="C7" s="9" t="s">
        <v>27566</v>
      </c>
      <c r="D7" s="110">
        <v>0.375</v>
      </c>
      <c r="E7" s="111">
        <v>0.6666666666666666</v>
      </c>
      <c r="F7" s="112"/>
      <c r="G7" s="112"/>
      <c r="H7" s="4"/>
    </row>
    <row r="8" ht="15.75" customHeight="1">
      <c r="A8" s="9" t="s">
        <v>27569</v>
      </c>
      <c r="B8" s="9" t="s">
        <v>8312</v>
      </c>
      <c r="C8" s="9"/>
      <c r="D8" s="114"/>
      <c r="E8" s="115"/>
      <c r="F8" s="116"/>
      <c r="G8" s="116"/>
      <c r="H8" s="9" t="b">
        <v>1</v>
      </c>
    </row>
    <row r="9" ht="15.75" customHeight="1">
      <c r="A9" s="9" t="s">
        <v>27570</v>
      </c>
      <c r="B9" s="9" t="s">
        <v>9323</v>
      </c>
      <c r="C9" s="9" t="s">
        <v>27562</v>
      </c>
      <c r="D9" s="114">
        <v>0.375</v>
      </c>
      <c r="E9" s="115">
        <v>0.5</v>
      </c>
      <c r="F9" s="115">
        <v>0.5</v>
      </c>
      <c r="G9" s="115">
        <v>0.75</v>
      </c>
      <c r="H9" s="9" t="b">
        <v>0</v>
      </c>
    </row>
    <row r="10" ht="15.75" customHeight="1">
      <c r="A10" s="9" t="s">
        <v>27571</v>
      </c>
      <c r="B10" s="9" t="s">
        <v>7773</v>
      </c>
      <c r="C10" s="9" t="s">
        <v>27572</v>
      </c>
      <c r="D10" s="114">
        <v>0.3958333333333333</v>
      </c>
      <c r="E10" s="115">
        <v>0.7291666666666666</v>
      </c>
      <c r="F10" s="116"/>
      <c r="G10" s="116"/>
      <c r="H10" s="9" t="b">
        <v>1</v>
      </c>
    </row>
    <row r="11" ht="15.75" customHeight="1">
      <c r="A11" s="9" t="s">
        <v>27573</v>
      </c>
      <c r="B11" s="9" t="s">
        <v>11627</v>
      </c>
      <c r="C11" s="9" t="s">
        <v>27574</v>
      </c>
      <c r="D11" s="114">
        <v>0.3958333333333333</v>
      </c>
      <c r="E11" s="115">
        <v>0.7291666666666666</v>
      </c>
      <c r="F11" s="116"/>
      <c r="G11" s="116"/>
      <c r="H11" s="9" t="b">
        <v>0</v>
      </c>
    </row>
    <row r="12" ht="15.75" customHeight="1">
      <c r="A12" s="9" t="s">
        <v>27575</v>
      </c>
      <c r="B12" s="9" t="s">
        <v>5249</v>
      </c>
      <c r="C12" s="9" t="s">
        <v>27576</v>
      </c>
      <c r="D12" s="114">
        <v>0.4583333333333333</v>
      </c>
      <c r="E12" s="115">
        <v>0.6666666666666666</v>
      </c>
      <c r="F12" s="116"/>
      <c r="G12" s="116"/>
      <c r="H12" s="9" t="b">
        <v>0</v>
      </c>
    </row>
    <row r="13" ht="15.75" customHeight="1">
      <c r="A13" s="9" t="s">
        <v>27577</v>
      </c>
      <c r="B13" s="9" t="s">
        <v>5249</v>
      </c>
      <c r="C13" s="9" t="s">
        <v>27578</v>
      </c>
      <c r="D13" s="114">
        <v>0.4583333333333333</v>
      </c>
      <c r="E13" s="115">
        <v>0.625</v>
      </c>
      <c r="F13" s="115"/>
      <c r="G13" s="115"/>
      <c r="H13" s="9" t="b">
        <v>0</v>
      </c>
    </row>
    <row r="14" ht="15.75" customHeight="1">
      <c r="A14" s="9" t="s">
        <v>27579</v>
      </c>
      <c r="B14" s="9" t="s">
        <v>5249</v>
      </c>
      <c r="C14" s="9" t="s">
        <v>27580</v>
      </c>
      <c r="D14" s="114">
        <v>0.4583333333333333</v>
      </c>
      <c r="E14" s="115">
        <v>0.625</v>
      </c>
      <c r="F14" s="115"/>
      <c r="G14" s="115"/>
      <c r="H14" s="9" t="b">
        <v>0</v>
      </c>
    </row>
    <row r="15" ht="15.75" customHeight="1">
      <c r="A15" s="9" t="s">
        <v>27581</v>
      </c>
      <c r="B15" s="9" t="s">
        <v>3368</v>
      </c>
      <c r="C15" s="9" t="s">
        <v>27566</v>
      </c>
      <c r="D15" s="114">
        <v>0.625</v>
      </c>
      <c r="E15" s="115">
        <v>0.75</v>
      </c>
      <c r="F15" s="116"/>
      <c r="G15" s="116"/>
      <c r="H15" s="9" t="b">
        <v>0</v>
      </c>
    </row>
    <row r="16" ht="15.75" customHeight="1">
      <c r="A16" s="9" t="s">
        <v>27582</v>
      </c>
      <c r="B16" s="9" t="s">
        <v>3368</v>
      </c>
      <c r="C16" s="9" t="s">
        <v>27583</v>
      </c>
      <c r="D16" s="114">
        <v>0.4166666666666667</v>
      </c>
      <c r="E16" s="115">
        <v>0.75</v>
      </c>
      <c r="F16" s="116"/>
      <c r="G16" s="116"/>
    </row>
    <row r="17" ht="15.75" customHeight="1">
      <c r="A17" s="9" t="s">
        <v>27584</v>
      </c>
      <c r="B17" s="9" t="s">
        <v>3368</v>
      </c>
      <c r="C17" s="9" t="s">
        <v>27585</v>
      </c>
      <c r="D17" s="114">
        <v>0.625</v>
      </c>
      <c r="E17" s="115">
        <v>0.75</v>
      </c>
      <c r="F17" s="116"/>
      <c r="G17" s="116"/>
    </row>
    <row r="18" ht="15.75" customHeight="1">
      <c r="A18" s="9" t="s">
        <v>27586</v>
      </c>
      <c r="B18" s="9" t="s">
        <v>8011</v>
      </c>
      <c r="C18" s="9"/>
      <c r="D18" s="114">
        <v>0.5833333333333334</v>
      </c>
      <c r="E18" s="115">
        <v>0.4375</v>
      </c>
      <c r="F18" s="116"/>
      <c r="G18" s="116"/>
    </row>
    <row r="19" ht="15.75" customHeight="1">
      <c r="A19" s="9" t="s">
        <v>27587</v>
      </c>
      <c r="B19" s="9" t="s">
        <v>254</v>
      </c>
      <c r="C19" s="9" t="s">
        <v>27572</v>
      </c>
      <c r="D19" s="114">
        <v>0.3333333333333333</v>
      </c>
      <c r="E19" s="115">
        <v>0.5</v>
      </c>
      <c r="F19" s="115">
        <v>0.5416666666666666</v>
      </c>
      <c r="G19" s="115">
        <v>0.6875</v>
      </c>
    </row>
    <row r="20" ht="15.75" customHeight="1">
      <c r="A20" s="9" t="s">
        <v>27588</v>
      </c>
      <c r="B20" s="9" t="s">
        <v>254</v>
      </c>
      <c r="C20" s="9" t="s">
        <v>27585</v>
      </c>
      <c r="D20" s="114">
        <v>0.3541666666666667</v>
      </c>
      <c r="E20" s="115">
        <v>0.5</v>
      </c>
      <c r="F20" s="115">
        <v>0.5416666666666666</v>
      </c>
      <c r="G20" s="115">
        <v>0.6875</v>
      </c>
    </row>
    <row r="21" ht="15.75" customHeight="1">
      <c r="A21" s="9" t="s">
        <v>27589</v>
      </c>
      <c r="B21" s="9" t="s">
        <v>2385</v>
      </c>
      <c r="D21" s="114">
        <v>0.625</v>
      </c>
      <c r="E21" s="115">
        <v>0.4375</v>
      </c>
      <c r="F21" s="116"/>
      <c r="G21" s="116"/>
    </row>
    <row r="22" ht="15.75" customHeight="1">
      <c r="A22" s="9" t="s">
        <v>27590</v>
      </c>
      <c r="B22" s="9" t="s">
        <v>9835</v>
      </c>
      <c r="C22" s="9" t="s">
        <v>27591</v>
      </c>
      <c r="D22" s="114">
        <v>0.5208333333333334</v>
      </c>
      <c r="E22" s="115">
        <v>0.625</v>
      </c>
      <c r="F22" s="115">
        <v>0.8125</v>
      </c>
      <c r="G22" s="115">
        <v>0.8333333333333334</v>
      </c>
      <c r="H22" s="9" t="b">
        <v>1</v>
      </c>
    </row>
    <row r="23" ht="15.75" customHeight="1">
      <c r="A23" s="9" t="s">
        <v>27592</v>
      </c>
      <c r="B23" s="9" t="s">
        <v>2029</v>
      </c>
      <c r="D23" s="114">
        <v>0.5</v>
      </c>
      <c r="E23" s="115">
        <v>0.7083333333333334</v>
      </c>
      <c r="F23" s="116"/>
      <c r="G23" s="116"/>
    </row>
    <row r="24" ht="15.75" customHeight="1">
      <c r="A24" s="9" t="s">
        <v>27593</v>
      </c>
      <c r="B24" s="9" t="s">
        <v>7585</v>
      </c>
      <c r="D24" s="114">
        <v>0.6666666666666666</v>
      </c>
      <c r="E24" s="115">
        <v>0.4583333333333333</v>
      </c>
      <c r="F24" s="116"/>
      <c r="G24" s="116"/>
    </row>
    <row r="25" ht="15.75" customHeight="1">
      <c r="A25" s="9" t="s">
        <v>27594</v>
      </c>
      <c r="B25" s="9" t="s">
        <v>565</v>
      </c>
      <c r="D25" s="114">
        <v>0.6666666666666666</v>
      </c>
      <c r="E25" s="115">
        <v>0.4166666666666667</v>
      </c>
      <c r="F25" s="116"/>
      <c r="G25" s="116"/>
    </row>
    <row r="26" ht="15.75" customHeight="1">
      <c r="A26" s="9" t="s">
        <v>27595</v>
      </c>
      <c r="B26" s="9" t="s">
        <v>266</v>
      </c>
      <c r="D26" s="114">
        <v>0.6458333333333334</v>
      </c>
      <c r="E26" s="115">
        <v>0.4791666666666667</v>
      </c>
      <c r="F26" s="116"/>
      <c r="G26" s="116"/>
    </row>
    <row r="27" ht="15.75" customHeight="1">
      <c r="A27" s="9" t="s">
        <v>27596</v>
      </c>
      <c r="B27" s="9" t="s">
        <v>5037</v>
      </c>
      <c r="D27" s="114">
        <v>0.16666666666666666</v>
      </c>
      <c r="E27" s="115">
        <v>0.5</v>
      </c>
      <c r="F27" s="116"/>
      <c r="G27" s="116"/>
    </row>
    <row r="28" ht="15.75" customHeight="1">
      <c r="A28" s="9" t="s">
        <v>27597</v>
      </c>
      <c r="B28" s="9" t="s">
        <v>7526</v>
      </c>
      <c r="D28" s="114">
        <v>0.6666666666666666</v>
      </c>
      <c r="E28" s="115">
        <v>0.5</v>
      </c>
      <c r="F28" s="116"/>
      <c r="G28" s="116"/>
    </row>
    <row r="29" ht="15.75" customHeight="1">
      <c r="A29" s="9" t="s">
        <v>27598</v>
      </c>
      <c r="B29" s="9" t="s">
        <v>10023</v>
      </c>
      <c r="D29" s="114">
        <v>0.5833333333333334</v>
      </c>
      <c r="E29" s="115">
        <v>0.5833333333333334</v>
      </c>
      <c r="F29" s="116"/>
      <c r="G29" s="116"/>
    </row>
    <row r="30" ht="15.75" customHeight="1">
      <c r="A30" s="9" t="s">
        <v>27599</v>
      </c>
      <c r="B30" s="9" t="s">
        <v>10079</v>
      </c>
      <c r="D30" s="114">
        <v>0.625</v>
      </c>
      <c r="E30" s="115">
        <v>0.625</v>
      </c>
      <c r="F30" s="116"/>
      <c r="G30" s="116"/>
    </row>
    <row r="31" ht="15.75" customHeight="1">
      <c r="A31" s="9" t="s">
        <v>27600</v>
      </c>
      <c r="B31" s="9" t="s">
        <v>5604</v>
      </c>
      <c r="D31" s="114">
        <v>0.5833333333333334</v>
      </c>
      <c r="E31" s="115">
        <v>0.4166666666666667</v>
      </c>
      <c r="F31" s="116"/>
      <c r="G31" s="116"/>
    </row>
    <row r="32" ht="15.75" customHeight="1">
      <c r="A32" s="9" t="s">
        <v>27601</v>
      </c>
      <c r="B32" s="9" t="s">
        <v>4121</v>
      </c>
      <c r="D32" s="114">
        <v>0.625</v>
      </c>
      <c r="E32" s="115">
        <v>0.5</v>
      </c>
      <c r="F32" s="116"/>
      <c r="G32" s="116"/>
    </row>
    <row r="33" ht="15.75" customHeight="1">
      <c r="A33" s="9" t="s">
        <v>27602</v>
      </c>
      <c r="B33" s="9" t="s">
        <v>1904</v>
      </c>
      <c r="C33" s="9" t="s">
        <v>27562</v>
      </c>
      <c r="D33" s="114">
        <v>0.3333333333333333</v>
      </c>
      <c r="E33" s="115">
        <v>0.5</v>
      </c>
      <c r="F33" s="115">
        <v>0.5</v>
      </c>
      <c r="G33" s="115">
        <v>0.6666666666666666</v>
      </c>
      <c r="H33" s="9" t="b">
        <v>1</v>
      </c>
    </row>
    <row r="34" ht="15.75" customHeight="1">
      <c r="A34" s="9" t="s">
        <v>27603</v>
      </c>
      <c r="B34" s="9" t="s">
        <v>808</v>
      </c>
      <c r="C34" s="9" t="s">
        <v>27572</v>
      </c>
      <c r="D34" s="114">
        <v>0.2916666666666667</v>
      </c>
      <c r="E34" s="115">
        <v>0.5</v>
      </c>
      <c r="F34" s="115">
        <v>0.5833333333333334</v>
      </c>
      <c r="G34" s="115">
        <v>0.6666666666666666</v>
      </c>
      <c r="H34" s="9" t="b">
        <v>1</v>
      </c>
    </row>
    <row r="35" ht="15.75" customHeight="1">
      <c r="A35" s="9" t="s">
        <v>27604</v>
      </c>
      <c r="B35" s="9" t="s">
        <v>8224</v>
      </c>
      <c r="C35" s="9" t="s">
        <v>27605</v>
      </c>
      <c r="D35" s="114">
        <v>0.375</v>
      </c>
      <c r="E35" s="115">
        <v>0.5208333333333334</v>
      </c>
      <c r="F35" s="115">
        <v>0.625</v>
      </c>
      <c r="G35" s="115">
        <v>0.75</v>
      </c>
    </row>
    <row r="36" ht="15.75" customHeight="1">
      <c r="A36" s="9" t="s">
        <v>27606</v>
      </c>
      <c r="B36" s="9" t="s">
        <v>11914</v>
      </c>
      <c r="D36" s="114">
        <v>0.6666666666666666</v>
      </c>
      <c r="E36" s="115">
        <v>0.4166666666666667</v>
      </c>
      <c r="F36" s="116"/>
      <c r="G36" s="116"/>
    </row>
    <row r="37" ht="15.75" customHeight="1">
      <c r="A37" s="9" t="s">
        <v>27607</v>
      </c>
      <c r="B37" s="9" t="s">
        <v>2242</v>
      </c>
      <c r="C37" s="9" t="s">
        <v>27608</v>
      </c>
      <c r="D37" s="114">
        <v>0.4791666666666667</v>
      </c>
      <c r="E37" s="115">
        <v>0.5833333333333334</v>
      </c>
      <c r="F37" s="115">
        <v>0.7708333333333334</v>
      </c>
      <c r="G37" s="115">
        <v>0.8958333333333334</v>
      </c>
    </row>
    <row r="38" ht="15.75" customHeight="1">
      <c r="A38" s="9" t="s">
        <v>27609</v>
      </c>
      <c r="B38" s="9" t="s">
        <v>9039</v>
      </c>
      <c r="C38" s="9"/>
      <c r="D38" s="114">
        <v>0.625</v>
      </c>
      <c r="E38" s="115">
        <v>0.4166666666666667</v>
      </c>
      <c r="F38" s="116"/>
      <c r="G38" s="116"/>
      <c r="H38" s="9"/>
    </row>
    <row r="39" ht="15.75" customHeight="1">
      <c r="A39" s="9" t="s">
        <v>27610</v>
      </c>
      <c r="B39" s="9" t="s">
        <v>8608</v>
      </c>
      <c r="D39" s="114">
        <v>0.625</v>
      </c>
      <c r="E39" s="115">
        <v>0.4583333333333333</v>
      </c>
      <c r="F39" s="116"/>
      <c r="G39" s="116"/>
    </row>
    <row r="40" ht="15.75" customHeight="1">
      <c r="A40" s="9" t="s">
        <v>27611</v>
      </c>
      <c r="B40" s="9" t="s">
        <v>10318</v>
      </c>
      <c r="D40" s="114">
        <v>0.625</v>
      </c>
      <c r="E40" s="115">
        <v>0.5</v>
      </c>
      <c r="F40" s="116"/>
      <c r="G40" s="116"/>
    </row>
    <row r="41" ht="15.75" customHeight="1">
      <c r="A41" s="9" t="s">
        <v>27612</v>
      </c>
      <c r="B41" s="9" t="s">
        <v>10691</v>
      </c>
      <c r="D41" s="114">
        <v>0.5</v>
      </c>
      <c r="E41" s="115">
        <v>0.4166666666666667</v>
      </c>
      <c r="F41" s="116"/>
      <c r="G41" s="116"/>
    </row>
    <row r="42" ht="15.75" customHeight="1">
      <c r="A42" s="9" t="s">
        <v>27613</v>
      </c>
      <c r="B42" s="9" t="s">
        <v>11750</v>
      </c>
      <c r="C42" s="9" t="s">
        <v>27562</v>
      </c>
      <c r="D42" s="114">
        <v>0.4583333333333333</v>
      </c>
      <c r="E42" s="115">
        <v>0.6041666666666666</v>
      </c>
      <c r="F42" s="115">
        <v>0.7291666666666666</v>
      </c>
      <c r="G42" s="115">
        <v>0.8333333333333334</v>
      </c>
      <c r="H42" s="9" t="b">
        <v>1</v>
      </c>
    </row>
    <row r="43" ht="15.75" customHeight="1">
      <c r="A43" s="9" t="s">
        <v>27614</v>
      </c>
      <c r="B43" s="9" t="s">
        <v>10130</v>
      </c>
      <c r="D43" s="114">
        <v>0.625</v>
      </c>
      <c r="E43" s="115">
        <v>0.4583333333333333</v>
      </c>
      <c r="F43" s="116"/>
      <c r="G43" s="116"/>
    </row>
    <row r="44" ht="15.75" customHeight="1">
      <c r="A44" s="9" t="s">
        <v>27615</v>
      </c>
      <c r="B44" s="9" t="s">
        <v>9949</v>
      </c>
      <c r="D44" s="114">
        <v>0.5833333333333334</v>
      </c>
      <c r="E44" s="115">
        <v>0.3541666666666667</v>
      </c>
      <c r="F44" s="116"/>
      <c r="G44" s="116"/>
    </row>
    <row r="45" ht="15.75" customHeight="1">
      <c r="A45" s="9" t="s">
        <v>27616</v>
      </c>
      <c r="B45" s="9" t="s">
        <v>688</v>
      </c>
      <c r="C45" s="9" t="s">
        <v>27562</v>
      </c>
      <c r="D45" s="114">
        <v>0.3541666666666667</v>
      </c>
      <c r="E45" s="115">
        <v>0.5</v>
      </c>
      <c r="F45" s="115">
        <v>0.5416666666666666</v>
      </c>
      <c r="G45" s="115">
        <v>0.6666666666666666</v>
      </c>
      <c r="H45" s="9" t="b">
        <v>1</v>
      </c>
    </row>
    <row r="46" ht="15.75" customHeight="1">
      <c r="A46" s="9" t="s">
        <v>27617</v>
      </c>
      <c r="B46" s="9" t="s">
        <v>11652</v>
      </c>
      <c r="D46" s="114">
        <v>0.6666666666666666</v>
      </c>
      <c r="E46" s="115">
        <v>0.5</v>
      </c>
      <c r="F46" s="116"/>
      <c r="G46" s="116"/>
    </row>
    <row r="47" ht="15.75" customHeight="1">
      <c r="A47" s="9" t="s">
        <v>27618</v>
      </c>
      <c r="B47" s="9" t="s">
        <v>12118</v>
      </c>
      <c r="C47" s="9" t="s">
        <v>27562</v>
      </c>
      <c r="D47" s="114">
        <v>0.4791666666666667</v>
      </c>
      <c r="E47" s="115">
        <v>0.6666666666666666</v>
      </c>
      <c r="F47" s="115">
        <v>0.7291666666666666</v>
      </c>
      <c r="G47" s="115">
        <v>0.875</v>
      </c>
      <c r="H47" s="9" t="b">
        <v>1</v>
      </c>
    </row>
    <row r="48" ht="15.75" customHeight="1">
      <c r="A48" s="9" t="s">
        <v>27619</v>
      </c>
      <c r="B48" s="9" t="s">
        <v>11999</v>
      </c>
      <c r="D48" s="114">
        <v>0.625</v>
      </c>
      <c r="E48" s="115">
        <v>0.4583333333333333</v>
      </c>
      <c r="F48" s="116"/>
      <c r="G48" s="116"/>
    </row>
    <row r="49" ht="15.75" customHeight="1">
      <c r="A49" s="9" t="s">
        <v>27620</v>
      </c>
      <c r="B49" s="9" t="s">
        <v>10285</v>
      </c>
      <c r="C49" s="9" t="s">
        <v>27562</v>
      </c>
      <c r="D49" s="114">
        <v>0.5</v>
      </c>
      <c r="E49" s="115">
        <v>0.5833333333333334</v>
      </c>
      <c r="F49" s="115">
        <v>0.8125</v>
      </c>
      <c r="G49" s="115">
        <v>0.875</v>
      </c>
      <c r="H49" s="9" t="b">
        <v>1</v>
      </c>
    </row>
    <row r="50" ht="15.75" customHeight="1">
      <c r="A50" s="9" t="s">
        <v>27621</v>
      </c>
      <c r="B50" s="9" t="s">
        <v>4193</v>
      </c>
      <c r="D50" s="114">
        <v>0.625</v>
      </c>
      <c r="E50" s="115">
        <v>0.4166666666666667</v>
      </c>
      <c r="F50" s="116"/>
      <c r="G50" s="116"/>
    </row>
    <row r="51" ht="15.75" customHeight="1">
      <c r="A51" s="9" t="s">
        <v>27622</v>
      </c>
      <c r="B51" s="9" t="s">
        <v>5446</v>
      </c>
      <c r="D51" s="114">
        <v>0.625</v>
      </c>
      <c r="E51" s="115">
        <v>0.4166666666666667</v>
      </c>
      <c r="F51" s="116"/>
      <c r="G51" s="116"/>
    </row>
    <row r="52" ht="15.75" customHeight="1">
      <c r="A52" s="9" t="s">
        <v>27623</v>
      </c>
      <c r="B52" s="9" t="s">
        <v>2136</v>
      </c>
      <c r="D52" s="114">
        <v>0.625</v>
      </c>
      <c r="E52" s="115">
        <v>0.4166666666666667</v>
      </c>
      <c r="F52" s="116"/>
      <c r="G52" s="116"/>
    </row>
    <row r="53" ht="15.75" customHeight="1">
      <c r="A53" s="9" t="s">
        <v>27624</v>
      </c>
      <c r="B53" s="9" t="s">
        <v>4253</v>
      </c>
      <c r="D53" s="114">
        <v>0.625</v>
      </c>
      <c r="E53" s="115">
        <v>0.4583333333333333</v>
      </c>
      <c r="F53" s="116"/>
      <c r="G53" s="116"/>
    </row>
    <row r="54" ht="15.75" customHeight="1">
      <c r="A54" s="9" t="s">
        <v>27625</v>
      </c>
      <c r="B54" s="9" t="s">
        <v>10289</v>
      </c>
      <c r="D54" s="114">
        <v>0.625</v>
      </c>
      <c r="E54" s="115">
        <v>0.5</v>
      </c>
      <c r="F54" s="116"/>
      <c r="G54" s="116"/>
    </row>
    <row r="55" ht="15.75" customHeight="1">
      <c r="A55" s="9" t="s">
        <v>27626</v>
      </c>
      <c r="B55" s="9" t="s">
        <v>7640</v>
      </c>
      <c r="D55" s="114">
        <v>0.4583333333333333</v>
      </c>
      <c r="E55" s="115">
        <v>0.7083333333333334</v>
      </c>
      <c r="F55" s="116"/>
      <c r="G55" s="116"/>
    </row>
    <row r="56" ht="15.75" customHeight="1">
      <c r="A56" s="9" t="s">
        <v>27627</v>
      </c>
      <c r="B56" s="9" t="s">
        <v>9514</v>
      </c>
      <c r="D56" s="114">
        <v>0.4375</v>
      </c>
      <c r="E56" s="115">
        <v>0.7083333333333334</v>
      </c>
      <c r="F56" s="116"/>
      <c r="G56" s="116"/>
    </row>
    <row r="57" ht="15.75" customHeight="1">
      <c r="A57" s="9" t="s">
        <v>27628</v>
      </c>
      <c r="B57" s="9" t="s">
        <v>11975</v>
      </c>
      <c r="D57" s="114">
        <v>0.75</v>
      </c>
      <c r="E57" s="115">
        <v>0.4583333333333333</v>
      </c>
      <c r="F57" s="116"/>
      <c r="G57" s="116"/>
    </row>
    <row r="58" ht="15.75" customHeight="1">
      <c r="A58" s="9" t="s">
        <v>27629</v>
      </c>
      <c r="B58" s="9" t="s">
        <v>11491</v>
      </c>
      <c r="D58" s="114">
        <v>0.5833333333333334</v>
      </c>
      <c r="E58" s="115">
        <v>0.4583333333333333</v>
      </c>
      <c r="F58" s="116"/>
      <c r="G58" s="116"/>
    </row>
    <row r="59" ht="15.75" customHeight="1">
      <c r="A59" s="9" t="s">
        <v>27630</v>
      </c>
      <c r="B59" s="9" t="s">
        <v>9583</v>
      </c>
      <c r="C59" s="9" t="s">
        <v>27562</v>
      </c>
      <c r="D59" s="114">
        <v>0.375</v>
      </c>
      <c r="E59" s="115">
        <v>0.75</v>
      </c>
      <c r="F59" s="116"/>
      <c r="G59" s="116"/>
      <c r="H59" s="9" t="b">
        <v>1</v>
      </c>
    </row>
    <row r="60" ht="15.75" customHeight="1">
      <c r="A60" s="9" t="s">
        <v>27631</v>
      </c>
      <c r="B60" s="9" t="s">
        <v>9639</v>
      </c>
      <c r="D60" s="114">
        <v>0.4166666666666667</v>
      </c>
      <c r="E60" s="115">
        <v>0.6666666666666666</v>
      </c>
      <c r="F60" s="116"/>
      <c r="G60" s="116"/>
    </row>
    <row r="61" ht="15.75" customHeight="1">
      <c r="A61" s="9" t="s">
        <v>27632</v>
      </c>
      <c r="B61" s="9" t="s">
        <v>10658</v>
      </c>
      <c r="D61" s="114">
        <v>0.5416666666666666</v>
      </c>
      <c r="E61" s="115">
        <v>0.4583333333333333</v>
      </c>
      <c r="F61" s="116"/>
      <c r="G61" s="116"/>
    </row>
    <row r="62" ht="15.75" customHeight="1">
      <c r="A62" s="9" t="s">
        <v>27633</v>
      </c>
      <c r="B62" s="9" t="s">
        <v>11849</v>
      </c>
      <c r="C62" s="9" t="s">
        <v>27572</v>
      </c>
      <c r="D62" s="114">
        <v>0.2916666666666667</v>
      </c>
      <c r="E62" s="115">
        <v>0.5</v>
      </c>
      <c r="F62" s="115">
        <v>0.5</v>
      </c>
      <c r="G62" s="115">
        <v>0.8958333333333334</v>
      </c>
      <c r="H62" s="9" t="b">
        <v>0</v>
      </c>
    </row>
    <row r="63" ht="15.75" customHeight="1">
      <c r="A63" s="9" t="s">
        <v>27634</v>
      </c>
      <c r="B63" s="9" t="s">
        <v>10378</v>
      </c>
      <c r="D63" s="114">
        <v>0.4166666666666667</v>
      </c>
      <c r="E63" s="115">
        <v>0.625</v>
      </c>
      <c r="F63" s="116"/>
      <c r="G63" s="116"/>
    </row>
    <row r="64" ht="15.75" customHeight="1">
      <c r="A64" s="9" t="s">
        <v>27635</v>
      </c>
      <c r="B64" s="9" t="s">
        <v>10243</v>
      </c>
      <c r="D64" s="114">
        <v>0.6666666666666666</v>
      </c>
      <c r="E64" s="115">
        <v>0.4166666666666667</v>
      </c>
      <c r="F64" s="116"/>
      <c r="G64" s="116"/>
    </row>
    <row r="65" ht="15.75" customHeight="1">
      <c r="A65" s="9" t="s">
        <v>27636</v>
      </c>
      <c r="B65" s="9" t="s">
        <v>10608</v>
      </c>
      <c r="D65" s="114">
        <v>0.5833333333333334</v>
      </c>
      <c r="E65" s="115">
        <v>0.4583333333333333</v>
      </c>
      <c r="F65" s="116"/>
      <c r="G65" s="116"/>
    </row>
    <row r="66" ht="15.75" customHeight="1">
      <c r="A66" s="9" t="s">
        <v>27637</v>
      </c>
      <c r="B66" s="9" t="s">
        <v>11917</v>
      </c>
      <c r="D66" s="114">
        <v>0.6458333333333334</v>
      </c>
      <c r="E66" s="115">
        <v>0.4583333333333333</v>
      </c>
      <c r="F66" s="116"/>
      <c r="G66" s="116"/>
    </row>
    <row r="67" ht="15.75" customHeight="1">
      <c r="A67" s="9" t="s">
        <v>27638</v>
      </c>
      <c r="B67" s="9" t="s">
        <v>12102</v>
      </c>
      <c r="D67" s="114">
        <v>0.625</v>
      </c>
      <c r="E67" s="115">
        <v>0.4375</v>
      </c>
      <c r="F67" s="116"/>
      <c r="G67" s="116"/>
    </row>
    <row r="68" ht="15.75" customHeight="1">
      <c r="A68" s="52" t="s">
        <v>27639</v>
      </c>
      <c r="B68" s="9" t="s">
        <v>9594</v>
      </c>
      <c r="D68" s="117"/>
      <c r="E68" s="116"/>
      <c r="F68" s="116"/>
      <c r="G68" s="116"/>
    </row>
    <row r="69" ht="15.75" customHeight="1">
      <c r="A69" s="9" t="s">
        <v>27640</v>
      </c>
      <c r="B69" s="9" t="s">
        <v>10603</v>
      </c>
      <c r="D69" s="114">
        <v>0.75</v>
      </c>
      <c r="E69" s="115">
        <v>0.75</v>
      </c>
      <c r="F69" s="116"/>
      <c r="G69" s="116"/>
    </row>
    <row r="70" ht="15.75" customHeight="1">
      <c r="A70" s="9" t="s">
        <v>27641</v>
      </c>
      <c r="B70" s="9" t="s">
        <v>6411</v>
      </c>
      <c r="C70" s="9" t="s">
        <v>27642</v>
      </c>
      <c r="D70" s="114">
        <v>0.3333333333333333</v>
      </c>
      <c r="E70" s="115">
        <v>0.7083333333333334</v>
      </c>
      <c r="F70" s="116"/>
      <c r="G70" s="116"/>
      <c r="H70" s="9" t="b">
        <v>0</v>
      </c>
    </row>
    <row r="71" ht="15.75" customHeight="1">
      <c r="A71" s="9" t="s">
        <v>27643</v>
      </c>
      <c r="B71" s="9" t="s">
        <v>1247</v>
      </c>
      <c r="C71" s="9" t="s">
        <v>27562</v>
      </c>
      <c r="D71" s="114">
        <v>0.4375</v>
      </c>
      <c r="E71" s="115">
        <v>0.5833333333333334</v>
      </c>
      <c r="F71" s="115">
        <v>0.7291666666666666</v>
      </c>
      <c r="G71" s="115">
        <v>0.875</v>
      </c>
      <c r="H71" s="9" t="b">
        <v>0</v>
      </c>
    </row>
    <row r="72" ht="15.75" customHeight="1">
      <c r="A72" s="9" t="s">
        <v>27644</v>
      </c>
      <c r="B72" s="9" t="s">
        <v>9868</v>
      </c>
      <c r="D72" s="114">
        <v>0.5833333333333334</v>
      </c>
      <c r="E72" s="115">
        <v>0.4166666666666667</v>
      </c>
      <c r="F72" s="116"/>
      <c r="G72" s="116"/>
    </row>
    <row r="73" ht="15.75" customHeight="1">
      <c r="A73" s="9" t="s">
        <v>27645</v>
      </c>
      <c r="B73" s="9" t="s">
        <v>10562</v>
      </c>
      <c r="D73" s="114">
        <v>0.6666666666666666</v>
      </c>
      <c r="E73" s="115">
        <v>0.4166666666666667</v>
      </c>
      <c r="F73" s="116"/>
      <c r="G73" s="116"/>
    </row>
    <row r="74" ht="15.75" customHeight="1">
      <c r="A74" s="9" t="s">
        <v>27646</v>
      </c>
      <c r="B74" s="9" t="s">
        <v>11780</v>
      </c>
      <c r="D74" s="114">
        <v>0.5833333333333334</v>
      </c>
      <c r="E74" s="115">
        <v>0.4166666666666667</v>
      </c>
      <c r="F74" s="116"/>
      <c r="G74" s="116"/>
    </row>
    <row r="75" ht="15.75" customHeight="1">
      <c r="A75" s="9" t="s">
        <v>27647</v>
      </c>
      <c r="B75" s="9" t="s">
        <v>6928</v>
      </c>
      <c r="C75" s="9" t="s">
        <v>27648</v>
      </c>
      <c r="D75" s="114">
        <v>0.4895833333333333</v>
      </c>
      <c r="E75" s="115">
        <v>0.5833333333333334</v>
      </c>
      <c r="F75" s="115">
        <v>0.78125</v>
      </c>
      <c r="G75" s="115">
        <v>0.875</v>
      </c>
    </row>
    <row r="76" ht="15.75" customHeight="1">
      <c r="A76" s="9"/>
      <c r="B76" s="9"/>
      <c r="C76" s="9"/>
      <c r="D76" s="114"/>
      <c r="E76" s="115"/>
      <c r="F76" s="116"/>
      <c r="G76" s="116"/>
    </row>
    <row r="77" ht="15.75" customHeight="1">
      <c r="A77" s="9" t="s">
        <v>27649</v>
      </c>
      <c r="B77" s="9" t="s">
        <v>11875</v>
      </c>
      <c r="D77" s="114">
        <v>0.5833333333333334</v>
      </c>
      <c r="E77" s="115">
        <v>0.4166666666666667</v>
      </c>
      <c r="F77" s="116"/>
      <c r="G77" s="116"/>
    </row>
    <row r="78" ht="15.75" customHeight="1">
      <c r="A78" s="9" t="s">
        <v>27650</v>
      </c>
      <c r="B78" s="9" t="s">
        <v>10432</v>
      </c>
      <c r="C78" s="9" t="s">
        <v>27562</v>
      </c>
      <c r="D78" s="114">
        <v>0.2916666666666667</v>
      </c>
      <c r="E78" s="115">
        <v>0.5416666666666666</v>
      </c>
      <c r="F78" s="115">
        <v>0.2916666666666667</v>
      </c>
      <c r="G78" s="115">
        <v>0.5416666666666666</v>
      </c>
      <c r="H78" s="9" t="b">
        <v>1</v>
      </c>
    </row>
    <row r="79" ht="15.75" customHeight="1">
      <c r="A79" s="9" t="s">
        <v>27651</v>
      </c>
      <c r="B79" s="9" t="s">
        <v>5718</v>
      </c>
      <c r="D79" s="117"/>
      <c r="E79" s="116"/>
      <c r="F79" s="116"/>
      <c r="G79" s="116"/>
      <c r="H79" s="9" t="b">
        <v>1</v>
      </c>
    </row>
    <row r="80" ht="15.75" customHeight="1">
      <c r="A80" s="9" t="s">
        <v>27652</v>
      </c>
      <c r="B80" s="9" t="s">
        <v>11657</v>
      </c>
      <c r="C80" s="9" t="s">
        <v>27562</v>
      </c>
      <c r="D80" s="117"/>
      <c r="E80" s="116"/>
      <c r="F80" s="116"/>
      <c r="G80" s="116"/>
      <c r="H80" s="9" t="b">
        <v>1</v>
      </c>
    </row>
    <row r="81" ht="15.75" customHeight="1">
      <c r="A81" s="9" t="s">
        <v>27653</v>
      </c>
      <c r="B81" s="9" t="s">
        <v>12144</v>
      </c>
      <c r="D81" s="114">
        <v>0.625</v>
      </c>
      <c r="E81" s="115">
        <v>0.4166666666666667</v>
      </c>
      <c r="F81" s="116"/>
      <c r="G81" s="116"/>
    </row>
    <row r="82" ht="15.75" customHeight="1">
      <c r="A82" s="9" t="s">
        <v>27654</v>
      </c>
      <c r="B82" s="9" t="s">
        <v>10477</v>
      </c>
      <c r="D82" s="114">
        <v>0.5833333333333334</v>
      </c>
      <c r="E82" s="115">
        <v>0.4583333333333333</v>
      </c>
      <c r="F82" s="116"/>
      <c r="G82" s="116"/>
    </row>
    <row r="83" ht="15.75" customHeight="1">
      <c r="A83" s="9" t="s">
        <v>27655</v>
      </c>
      <c r="B83" s="9" t="s">
        <v>11851</v>
      </c>
      <c r="D83" s="114">
        <v>0.6666666666666666</v>
      </c>
      <c r="E83" s="115">
        <v>0.4166666666666667</v>
      </c>
      <c r="F83" s="116"/>
      <c r="G83" s="116"/>
    </row>
    <row r="84" ht="15.75" customHeight="1">
      <c r="A84" s="9" t="s">
        <v>27656</v>
      </c>
      <c r="B84" s="9" t="s">
        <v>10763</v>
      </c>
      <c r="C84" s="9" t="s">
        <v>27657</v>
      </c>
      <c r="D84" s="114">
        <v>0.375</v>
      </c>
      <c r="E84" s="115">
        <v>0.5</v>
      </c>
      <c r="F84" s="115">
        <v>0.5347222222222222</v>
      </c>
      <c r="G84" s="115">
        <v>0.58125</v>
      </c>
      <c r="H84" s="9" t="b">
        <v>1</v>
      </c>
    </row>
    <row r="85" ht="15.75" customHeight="1">
      <c r="A85" s="9" t="s">
        <v>27658</v>
      </c>
      <c r="B85" s="9" t="s">
        <v>8948</v>
      </c>
      <c r="C85" s="9" t="s">
        <v>27566</v>
      </c>
      <c r="D85" s="114">
        <v>0.375</v>
      </c>
      <c r="E85" s="116"/>
      <c r="F85" s="116"/>
      <c r="G85" s="116"/>
      <c r="H85" s="9" t="b">
        <v>1</v>
      </c>
    </row>
    <row r="86" ht="15.75" customHeight="1">
      <c r="A86" s="9" t="s">
        <v>27659</v>
      </c>
      <c r="B86" s="9" t="s">
        <v>10740</v>
      </c>
      <c r="C86" s="9" t="s">
        <v>27562</v>
      </c>
      <c r="D86" s="114">
        <v>0.4166666666666667</v>
      </c>
      <c r="E86" s="115">
        <v>0.5</v>
      </c>
      <c r="F86" s="115">
        <v>0.5</v>
      </c>
      <c r="G86" s="115">
        <v>0.6666666666666666</v>
      </c>
      <c r="H86" s="9" t="b">
        <v>1</v>
      </c>
    </row>
    <row r="87" ht="15.75" customHeight="1">
      <c r="A87" s="9" t="s">
        <v>27660</v>
      </c>
      <c r="B87" s="9" t="s">
        <v>10322</v>
      </c>
      <c r="D87" s="114">
        <v>0.5833333333333334</v>
      </c>
      <c r="E87" s="115">
        <v>0.4583333333333333</v>
      </c>
      <c r="F87" s="116"/>
      <c r="G87" s="116"/>
    </row>
    <row r="88" ht="15.75" customHeight="1">
      <c r="A88" s="9" t="s">
        <v>27661</v>
      </c>
      <c r="B88" s="9" t="s">
        <v>9801</v>
      </c>
      <c r="D88" s="114">
        <v>0.5833333333333334</v>
      </c>
      <c r="E88" s="115">
        <v>0.4375</v>
      </c>
      <c r="F88" s="116"/>
      <c r="G88" s="116"/>
    </row>
    <row r="89" ht="15.75" customHeight="1">
      <c r="A89" s="9" t="s">
        <v>27662</v>
      </c>
      <c r="B89" s="9" t="s">
        <v>1814</v>
      </c>
      <c r="D89" s="114">
        <v>0.5833333333333334</v>
      </c>
      <c r="E89" s="115">
        <v>0.4375</v>
      </c>
      <c r="F89" s="116"/>
      <c r="G89" s="116"/>
    </row>
    <row r="90" ht="15.75" customHeight="1">
      <c r="A90" s="9" t="s">
        <v>27663</v>
      </c>
      <c r="B90" s="9" t="s">
        <v>8871</v>
      </c>
      <c r="C90" s="9" t="s">
        <v>27572</v>
      </c>
      <c r="D90" s="117"/>
      <c r="E90" s="116"/>
      <c r="F90" s="116"/>
      <c r="G90" s="116"/>
    </row>
    <row r="91" ht="15.75" customHeight="1">
      <c r="A91" s="9" t="s">
        <v>27664</v>
      </c>
      <c r="B91" s="9" t="s">
        <v>8993</v>
      </c>
      <c r="C91" s="9" t="s">
        <v>27572</v>
      </c>
      <c r="D91" s="114">
        <v>0.3333333333333333</v>
      </c>
      <c r="E91" s="115">
        <v>0.7083333333333334</v>
      </c>
      <c r="F91" s="116"/>
      <c r="G91" s="116"/>
      <c r="H91" s="9" t="b">
        <v>0</v>
      </c>
    </row>
    <row r="92" ht="15.75" customHeight="1">
      <c r="A92" s="9" t="s">
        <v>27665</v>
      </c>
      <c r="B92" s="9" t="s">
        <v>1656</v>
      </c>
      <c r="C92" s="9" t="s">
        <v>27666</v>
      </c>
      <c r="D92" s="114">
        <v>0.375</v>
      </c>
      <c r="E92" s="115">
        <v>0.5</v>
      </c>
      <c r="F92" s="115">
        <v>0.5833333333333334</v>
      </c>
      <c r="G92" s="115">
        <v>0.6666666666666666</v>
      </c>
    </row>
    <row r="93" ht="15.75" customHeight="1">
      <c r="A93" s="9" t="s">
        <v>27667</v>
      </c>
      <c r="B93" s="9" t="s">
        <v>1307</v>
      </c>
      <c r="D93" s="117"/>
      <c r="E93" s="116"/>
      <c r="F93" s="116"/>
      <c r="G93" s="116"/>
    </row>
    <row r="94" ht="15.75" customHeight="1">
      <c r="A94" s="9" t="s">
        <v>27668</v>
      </c>
      <c r="B94" s="9" t="s">
        <v>9030</v>
      </c>
      <c r="C94" s="9" t="s">
        <v>27666</v>
      </c>
      <c r="D94" s="114">
        <v>0.3333333333333333</v>
      </c>
      <c r="E94" s="115">
        <v>0.6666666666666666</v>
      </c>
      <c r="F94" s="116"/>
      <c r="G94" s="116"/>
      <c r="H94" s="9" t="b">
        <v>1</v>
      </c>
    </row>
    <row r="95" ht="15.75" customHeight="1">
      <c r="A95" s="9" t="s">
        <v>27669</v>
      </c>
      <c r="B95" s="9" t="s">
        <v>7838</v>
      </c>
      <c r="D95" s="117"/>
      <c r="E95" s="116"/>
      <c r="F95" s="116"/>
      <c r="G95" s="116"/>
      <c r="H95" s="9" t="b">
        <v>1</v>
      </c>
    </row>
    <row r="96" ht="15.75" customHeight="1">
      <c r="A96" s="9" t="s">
        <v>27670</v>
      </c>
      <c r="B96" s="9" t="s">
        <v>10437</v>
      </c>
      <c r="D96" s="117"/>
      <c r="E96" s="116"/>
      <c r="F96" s="116"/>
      <c r="G96" s="116"/>
      <c r="H96" s="9" t="b">
        <v>1</v>
      </c>
    </row>
    <row r="97" ht="15.75" customHeight="1">
      <c r="A97" s="52" t="s">
        <v>27671</v>
      </c>
      <c r="B97" s="9" t="s">
        <v>11637</v>
      </c>
      <c r="C97" s="9" t="s">
        <v>27562</v>
      </c>
      <c r="D97" s="114">
        <v>0.3333333333333333</v>
      </c>
      <c r="E97" s="115">
        <v>0.7083333333333334</v>
      </c>
      <c r="F97" s="116"/>
      <c r="G97" s="116"/>
    </row>
    <row r="98" ht="15.75" customHeight="1">
      <c r="A98" s="9" t="s">
        <v>27672</v>
      </c>
      <c r="B98" s="9" t="s">
        <v>4176</v>
      </c>
      <c r="D98" s="114">
        <v>0.6666666666666666</v>
      </c>
      <c r="E98" s="115">
        <v>0.4583333333333333</v>
      </c>
      <c r="F98" s="116"/>
      <c r="G98" s="116"/>
    </row>
    <row r="99" ht="15.75" customHeight="1">
      <c r="A99" s="9" t="s">
        <v>27673</v>
      </c>
      <c r="B99" s="9" t="s">
        <v>12148</v>
      </c>
      <c r="D99" s="114">
        <v>0.625</v>
      </c>
      <c r="E99" s="115">
        <v>0.4583333333333333</v>
      </c>
      <c r="F99" s="116"/>
      <c r="G99" s="116"/>
    </row>
    <row r="100" ht="15.75" customHeight="1">
      <c r="A100" s="9" t="s">
        <v>27674</v>
      </c>
      <c r="B100" s="9" t="s">
        <v>8322</v>
      </c>
      <c r="C100" s="9" t="s">
        <v>27675</v>
      </c>
      <c r="D100" s="114">
        <v>0.4583333333333333</v>
      </c>
      <c r="E100" s="115">
        <v>0.625</v>
      </c>
      <c r="F100" s="115">
        <v>0.7916666666666666</v>
      </c>
      <c r="G100" s="115">
        <v>0.9583333333333334</v>
      </c>
      <c r="H100" s="9" t="b">
        <v>1</v>
      </c>
    </row>
    <row r="101" ht="15.75" customHeight="1">
      <c r="A101" s="9" t="s">
        <v>27676</v>
      </c>
      <c r="B101" s="9" t="s">
        <v>263</v>
      </c>
      <c r="C101" s="9" t="s">
        <v>27562</v>
      </c>
      <c r="D101" s="114">
        <v>0.5</v>
      </c>
      <c r="E101" s="115">
        <v>0.5833333333333334</v>
      </c>
      <c r="F101" s="116"/>
      <c r="G101" s="116"/>
    </row>
    <row r="102" ht="15.75" customHeight="1">
      <c r="A102" s="9" t="s">
        <v>27677</v>
      </c>
      <c r="B102" s="9" t="s">
        <v>3606</v>
      </c>
      <c r="C102" s="9" t="s">
        <v>27585</v>
      </c>
      <c r="D102" s="114">
        <v>0.3958333333333333</v>
      </c>
      <c r="E102" s="115">
        <v>0.6666666666666666</v>
      </c>
      <c r="F102" s="116"/>
      <c r="G102" s="116"/>
      <c r="H102" s="9" t="b">
        <v>0</v>
      </c>
    </row>
    <row r="103" ht="15.75" customHeight="1">
      <c r="A103" s="9" t="s">
        <v>27678</v>
      </c>
      <c r="B103" s="9" t="s">
        <v>3606</v>
      </c>
      <c r="C103" s="9" t="s">
        <v>27679</v>
      </c>
      <c r="D103" s="114">
        <v>0.3958333333333333</v>
      </c>
      <c r="E103" s="115">
        <v>0.7291666666666666</v>
      </c>
      <c r="F103" s="116"/>
      <c r="G103" s="116"/>
      <c r="H103" s="9" t="b">
        <v>0</v>
      </c>
    </row>
    <row r="104" ht="15.75" customHeight="1">
      <c r="A104" s="9" t="s">
        <v>27680</v>
      </c>
      <c r="B104" s="9" t="s">
        <v>3663</v>
      </c>
      <c r="C104" s="9" t="s">
        <v>27562</v>
      </c>
      <c r="D104" s="114">
        <v>0.5</v>
      </c>
      <c r="E104" s="115">
        <v>0.6041666666666666</v>
      </c>
      <c r="F104" s="116"/>
      <c r="G104" s="116"/>
      <c r="H104" s="9" t="b">
        <v>0</v>
      </c>
    </row>
    <row r="105" ht="15.75" customHeight="1">
      <c r="A105" s="9" t="s">
        <v>27681</v>
      </c>
      <c r="B105" s="9" t="s">
        <v>7556</v>
      </c>
      <c r="C105" s="9" t="s">
        <v>27648</v>
      </c>
      <c r="D105" s="114">
        <v>0.4583333333333333</v>
      </c>
      <c r="E105" s="115">
        <v>0.5833333333333334</v>
      </c>
      <c r="F105" s="115">
        <v>0.75</v>
      </c>
      <c r="G105" s="115">
        <v>0.875</v>
      </c>
      <c r="H105" s="9" t="b">
        <v>0</v>
      </c>
    </row>
    <row r="106" ht="15.75" customHeight="1">
      <c r="A106" s="9" t="s">
        <v>27682</v>
      </c>
      <c r="B106" s="9" t="s">
        <v>5361</v>
      </c>
      <c r="C106" s="9" t="s">
        <v>27576</v>
      </c>
      <c r="D106" s="114">
        <v>0.4166666666666667</v>
      </c>
      <c r="E106" s="115">
        <v>0.5833333333333334</v>
      </c>
      <c r="F106" s="116"/>
      <c r="G106" s="116"/>
      <c r="H106" s="9" t="b">
        <v>0</v>
      </c>
    </row>
    <row r="107" ht="15.75" customHeight="1">
      <c r="A107" s="9" t="s">
        <v>27683</v>
      </c>
      <c r="B107" s="9" t="s">
        <v>5361</v>
      </c>
      <c r="C107" s="9" t="s">
        <v>27684</v>
      </c>
      <c r="D107" s="114">
        <v>0.4166666666666667</v>
      </c>
      <c r="E107" s="115">
        <v>0.5833333333333334</v>
      </c>
      <c r="F107" s="115">
        <v>0.75</v>
      </c>
      <c r="G107" s="115">
        <v>0.875</v>
      </c>
      <c r="H107" s="9" t="b">
        <v>0</v>
      </c>
    </row>
    <row r="108" ht="15.75" customHeight="1">
      <c r="A108" s="9" t="s">
        <v>27685</v>
      </c>
      <c r="B108" s="9" t="s">
        <v>5361</v>
      </c>
      <c r="C108" s="9" t="s">
        <v>27686</v>
      </c>
      <c r="D108" s="114">
        <v>0.4166666666666667</v>
      </c>
      <c r="E108" s="115">
        <v>0.6041666666666666</v>
      </c>
      <c r="F108" s="115">
        <v>0.7291666666666666</v>
      </c>
      <c r="G108" s="115">
        <v>0.875</v>
      </c>
      <c r="H108" s="9" t="b">
        <v>0</v>
      </c>
    </row>
    <row r="109" ht="15.75" customHeight="1">
      <c r="A109" s="9" t="s">
        <v>27687</v>
      </c>
      <c r="B109" s="9" t="s">
        <v>267</v>
      </c>
      <c r="C109" s="9" t="s">
        <v>27688</v>
      </c>
      <c r="D109" s="114">
        <v>0.3854166666666667</v>
      </c>
      <c r="E109" s="115">
        <v>0.5729166666666666</v>
      </c>
      <c r="F109" s="116"/>
      <c r="G109" s="116"/>
    </row>
    <row r="110" ht="15.75" customHeight="1">
      <c r="A110" s="9" t="s">
        <v>27689</v>
      </c>
      <c r="B110" s="9" t="s">
        <v>267</v>
      </c>
      <c r="C110" s="9" t="s">
        <v>27690</v>
      </c>
      <c r="D110" s="114">
        <v>0.3854166666666667</v>
      </c>
      <c r="E110" s="115">
        <v>0.5729166666666666</v>
      </c>
      <c r="F110" s="116"/>
      <c r="G110" s="116"/>
    </row>
    <row r="111" ht="15.75" customHeight="1">
      <c r="A111" s="9" t="s">
        <v>27691</v>
      </c>
      <c r="B111" s="9" t="s">
        <v>4785</v>
      </c>
      <c r="C111" s="9" t="s">
        <v>27690</v>
      </c>
      <c r="D111" s="114">
        <v>0.375</v>
      </c>
      <c r="E111" s="115">
        <v>0.5</v>
      </c>
      <c r="F111" s="116"/>
      <c r="G111" s="116"/>
    </row>
    <row r="112" ht="15.75" customHeight="1">
      <c r="A112" s="9" t="s">
        <v>27692</v>
      </c>
      <c r="B112" s="9" t="s">
        <v>4785</v>
      </c>
      <c r="C112" s="9" t="s">
        <v>27585</v>
      </c>
      <c r="D112" s="114">
        <v>0.375</v>
      </c>
      <c r="E112" s="115">
        <v>0.7083333333333334</v>
      </c>
      <c r="F112" s="116"/>
      <c r="G112" s="116"/>
    </row>
    <row r="113" ht="15.75" customHeight="1">
      <c r="A113" s="9" t="s">
        <v>27693</v>
      </c>
      <c r="B113" s="9" t="s">
        <v>11731</v>
      </c>
      <c r="D113" s="114">
        <v>0.625</v>
      </c>
      <c r="E113" s="115">
        <v>0.4583333333333333</v>
      </c>
      <c r="F113" s="116"/>
      <c r="G113" s="116"/>
    </row>
    <row r="114" ht="15.75" customHeight="1">
      <c r="A114" s="9" t="s">
        <v>27694</v>
      </c>
      <c r="B114" s="9" t="s">
        <v>12091</v>
      </c>
      <c r="C114" s="9" t="s">
        <v>27695</v>
      </c>
      <c r="D114" s="114">
        <v>0.375</v>
      </c>
      <c r="E114" s="115">
        <v>0.7083333333333334</v>
      </c>
      <c r="F114" s="116"/>
      <c r="G114" s="116"/>
      <c r="H114" s="9" t="b">
        <v>0</v>
      </c>
    </row>
    <row r="115" ht="15.75" customHeight="1">
      <c r="A115" s="9" t="s">
        <v>27696</v>
      </c>
      <c r="B115" s="9" t="s">
        <v>2978</v>
      </c>
      <c r="C115" s="9" t="s">
        <v>27562</v>
      </c>
      <c r="D115" s="114">
        <v>0.3333333333333333</v>
      </c>
      <c r="E115" s="115">
        <v>0.7916666666666666</v>
      </c>
      <c r="F115" s="116"/>
      <c r="G115" s="116"/>
      <c r="H115" s="9" t="b">
        <v>1</v>
      </c>
    </row>
    <row r="116" ht="15.75" customHeight="1">
      <c r="A116" s="9" t="s">
        <v>27697</v>
      </c>
      <c r="B116" s="9" t="s">
        <v>6185</v>
      </c>
      <c r="C116" s="9" t="s">
        <v>27675</v>
      </c>
      <c r="D116" s="114">
        <v>0.3958333333333333</v>
      </c>
      <c r="E116" s="115">
        <v>0.7083333333333334</v>
      </c>
      <c r="F116" s="116"/>
      <c r="G116" s="116"/>
    </row>
    <row r="117" ht="15.75" customHeight="1">
      <c r="A117" s="9" t="s">
        <v>27698</v>
      </c>
      <c r="B117" s="9" t="s">
        <v>4011</v>
      </c>
      <c r="C117" s="9" t="s">
        <v>27572</v>
      </c>
      <c r="D117" s="114">
        <v>0.3541666666666667</v>
      </c>
      <c r="E117" s="115">
        <v>0.5</v>
      </c>
      <c r="F117" s="116"/>
      <c r="G117" s="116"/>
    </row>
    <row r="118" ht="15.75" customHeight="1">
      <c r="A118" s="9" t="s">
        <v>27699</v>
      </c>
      <c r="B118" s="9" t="s">
        <v>4011</v>
      </c>
      <c r="C118" s="9" t="s">
        <v>27572</v>
      </c>
      <c r="D118" s="114">
        <v>0.5625</v>
      </c>
      <c r="E118" s="115">
        <v>0.6666666666666666</v>
      </c>
      <c r="F118" s="116"/>
      <c r="G118" s="116"/>
    </row>
    <row r="119" ht="15.75" customHeight="1">
      <c r="A119" s="9" t="s">
        <v>27700</v>
      </c>
      <c r="B119" s="9" t="s">
        <v>4011</v>
      </c>
      <c r="D119" s="117"/>
      <c r="E119" s="116"/>
      <c r="F119" s="116"/>
      <c r="G119" s="116"/>
      <c r="H119" s="9" t="b">
        <v>1</v>
      </c>
    </row>
    <row r="120" ht="15.75" customHeight="1">
      <c r="A120" s="9" t="s">
        <v>27701</v>
      </c>
      <c r="B120" s="9" t="s">
        <v>3056</v>
      </c>
      <c r="C120" s="9" t="s">
        <v>27572</v>
      </c>
      <c r="D120" s="114">
        <v>0.375</v>
      </c>
      <c r="E120" s="115">
        <v>0.5</v>
      </c>
      <c r="F120" s="115">
        <v>0.5833333333333334</v>
      </c>
      <c r="G120" s="115">
        <v>0.75</v>
      </c>
    </row>
    <row r="121" ht="15.75" customHeight="1">
      <c r="A121" s="9" t="s">
        <v>27702</v>
      </c>
      <c r="B121" s="9" t="s">
        <v>5692</v>
      </c>
      <c r="C121" s="9" t="s">
        <v>27690</v>
      </c>
      <c r="D121" s="114">
        <v>0.3333333333333333</v>
      </c>
      <c r="E121" s="115">
        <v>0.5</v>
      </c>
      <c r="F121" s="115">
        <v>0.5416666666666666</v>
      </c>
      <c r="G121" s="115">
        <v>0.75</v>
      </c>
    </row>
    <row r="122" ht="15.75" customHeight="1">
      <c r="A122" s="9" t="s">
        <v>27703</v>
      </c>
      <c r="B122" s="9" t="s">
        <v>5692</v>
      </c>
      <c r="C122" s="9" t="s">
        <v>27576</v>
      </c>
      <c r="D122" s="114">
        <v>0.625</v>
      </c>
      <c r="E122" s="115">
        <v>0.75</v>
      </c>
      <c r="F122" s="116"/>
      <c r="G122" s="116"/>
    </row>
    <row r="123" ht="15.75" customHeight="1">
      <c r="A123" s="9" t="s">
        <v>27704</v>
      </c>
      <c r="B123" s="9" t="s">
        <v>5692</v>
      </c>
      <c r="C123" s="9" t="s">
        <v>27684</v>
      </c>
      <c r="D123" s="114">
        <v>0.5416666666666666</v>
      </c>
      <c r="E123" s="115">
        <v>0.75</v>
      </c>
      <c r="F123" s="116"/>
      <c r="G123" s="116"/>
    </row>
    <row r="124" ht="15.75" customHeight="1">
      <c r="A124" s="9" t="s">
        <v>27705</v>
      </c>
      <c r="B124" s="9" t="s">
        <v>5692</v>
      </c>
      <c r="C124" s="9" t="s">
        <v>27686</v>
      </c>
      <c r="D124" s="114">
        <v>0.5416666666666666</v>
      </c>
      <c r="E124" s="115">
        <v>0.75</v>
      </c>
      <c r="F124" s="116"/>
      <c r="G124" s="116"/>
    </row>
    <row r="125" ht="15.75" customHeight="1">
      <c r="A125" s="9" t="s">
        <v>27706</v>
      </c>
      <c r="B125" s="9" t="s">
        <v>8711</v>
      </c>
      <c r="D125" s="114">
        <v>0.625</v>
      </c>
      <c r="E125" s="115">
        <v>0.4166666666666667</v>
      </c>
      <c r="F125" s="116"/>
      <c r="G125" s="116"/>
    </row>
    <row r="126" ht="15.75" customHeight="1">
      <c r="A126" s="9" t="s">
        <v>27707</v>
      </c>
      <c r="B126" s="9" t="s">
        <v>10730</v>
      </c>
      <c r="D126" s="114">
        <v>0.5833333333333334</v>
      </c>
      <c r="E126" s="115">
        <v>0.4166666666666667</v>
      </c>
      <c r="F126" s="116"/>
      <c r="G126" s="116"/>
    </row>
    <row r="127" ht="15.75" customHeight="1">
      <c r="A127" s="9" t="s">
        <v>27708</v>
      </c>
      <c r="B127" s="9" t="s">
        <v>3384</v>
      </c>
      <c r="C127" s="9" t="s">
        <v>27642</v>
      </c>
      <c r="D127" s="114">
        <v>0.4583333333333333</v>
      </c>
      <c r="E127" s="115">
        <v>0.5833333333333334</v>
      </c>
      <c r="F127" s="115">
        <v>0.7291666666666666</v>
      </c>
      <c r="G127" s="115">
        <v>0.0</v>
      </c>
    </row>
    <row r="128" ht="15.75" customHeight="1">
      <c r="A128" s="9" t="s">
        <v>27709</v>
      </c>
      <c r="B128" s="9" t="s">
        <v>3744</v>
      </c>
      <c r="C128" s="9" t="s">
        <v>27666</v>
      </c>
      <c r="D128" s="114">
        <v>0.2916666666666667</v>
      </c>
      <c r="E128" s="115">
        <v>0.8333333333333334</v>
      </c>
      <c r="F128" s="116"/>
      <c r="G128" s="116"/>
      <c r="H128" s="9" t="b">
        <v>1</v>
      </c>
    </row>
    <row r="129" ht="15.75" customHeight="1">
      <c r="A129" s="9" t="s">
        <v>27710</v>
      </c>
      <c r="B129" s="9" t="s">
        <v>3864</v>
      </c>
      <c r="C129" s="9" t="s">
        <v>27562</v>
      </c>
      <c r="D129" s="117"/>
      <c r="E129" s="116"/>
      <c r="F129" s="116"/>
      <c r="G129" s="116"/>
      <c r="H129" s="9" t="b">
        <v>1</v>
      </c>
    </row>
    <row r="130" ht="15.75" customHeight="1">
      <c r="A130" s="9" t="s">
        <v>27711</v>
      </c>
      <c r="B130" s="9" t="s">
        <v>4521</v>
      </c>
      <c r="C130" s="9" t="s">
        <v>27648</v>
      </c>
      <c r="D130" s="114">
        <v>0.4166666666666667</v>
      </c>
      <c r="E130" s="115">
        <v>0.5833333333333334</v>
      </c>
      <c r="F130" s="115">
        <v>0.7291666666666666</v>
      </c>
      <c r="G130" s="115">
        <v>0.875</v>
      </c>
    </row>
    <row r="131" ht="15.75" customHeight="1">
      <c r="A131" s="9" t="s">
        <v>27712</v>
      </c>
      <c r="B131" s="9" t="s">
        <v>9218</v>
      </c>
      <c r="C131" s="9" t="s">
        <v>27648</v>
      </c>
      <c r="D131" s="114">
        <v>0.3958333333333333</v>
      </c>
      <c r="E131" s="115">
        <v>0.4791666666666667</v>
      </c>
      <c r="F131" s="116"/>
      <c r="G131" s="116"/>
      <c r="H131" s="9"/>
    </row>
    <row r="132" ht="15.75" customHeight="1">
      <c r="A132" s="9" t="s">
        <v>27713</v>
      </c>
      <c r="B132" s="9" t="s">
        <v>7219</v>
      </c>
      <c r="C132" s="9" t="s">
        <v>27666</v>
      </c>
      <c r="D132" s="117"/>
      <c r="E132" s="116"/>
      <c r="F132" s="116"/>
      <c r="G132" s="116"/>
    </row>
    <row r="133" ht="15.75" customHeight="1">
      <c r="A133" s="9" t="s">
        <v>27714</v>
      </c>
      <c r="B133" s="9" t="s">
        <v>7231</v>
      </c>
      <c r="C133" s="9" t="s">
        <v>27657</v>
      </c>
      <c r="D133" s="114">
        <v>0.4583333333333333</v>
      </c>
      <c r="E133" s="115">
        <v>0.5833333333333334</v>
      </c>
      <c r="F133" s="115">
        <v>0.7083333333333334</v>
      </c>
      <c r="G133" s="115">
        <v>0.875</v>
      </c>
    </row>
    <row r="134" ht="15.75" customHeight="1">
      <c r="A134" s="9" t="s">
        <v>27715</v>
      </c>
      <c r="B134" s="9" t="s">
        <v>7231</v>
      </c>
      <c r="C134" s="9" t="s">
        <v>27578</v>
      </c>
      <c r="D134" s="114">
        <v>0.4583333333333333</v>
      </c>
      <c r="E134" s="115">
        <v>0.5833333333333334</v>
      </c>
      <c r="F134" s="115">
        <v>0.7083333333333334</v>
      </c>
      <c r="G134" s="115">
        <v>0.875</v>
      </c>
    </row>
    <row r="135" ht="15.75" customHeight="1">
      <c r="A135" s="9" t="s">
        <v>27716</v>
      </c>
      <c r="B135" s="9" t="s">
        <v>7231</v>
      </c>
      <c r="C135" s="9" t="s">
        <v>27576</v>
      </c>
      <c r="D135" s="114">
        <v>0.7083333333333334</v>
      </c>
      <c r="E135" s="115">
        <v>0.875</v>
      </c>
      <c r="F135" s="116"/>
      <c r="G135" s="116"/>
    </row>
    <row r="136" ht="15.75" customHeight="1">
      <c r="A136" s="9" t="s">
        <v>27717</v>
      </c>
      <c r="B136" s="9" t="s">
        <v>7240</v>
      </c>
      <c r="C136" s="9" t="s">
        <v>27578</v>
      </c>
      <c r="D136" s="114">
        <v>0.3541666666666667</v>
      </c>
      <c r="E136" s="115">
        <v>0.5833333333333334</v>
      </c>
      <c r="F136" s="115">
        <v>0.7291666666666666</v>
      </c>
      <c r="G136" s="115">
        <v>0.9166666666666666</v>
      </c>
    </row>
    <row r="137" ht="15.75" customHeight="1">
      <c r="A137" s="9" t="s">
        <v>27718</v>
      </c>
      <c r="B137" s="9" t="s">
        <v>7240</v>
      </c>
      <c r="C137" s="9" t="s">
        <v>27719</v>
      </c>
      <c r="D137" s="114">
        <v>0.3541666666666667</v>
      </c>
      <c r="E137" s="115">
        <v>0.5833333333333334</v>
      </c>
      <c r="F137" s="115">
        <v>0.7291666666666666</v>
      </c>
      <c r="G137" s="115">
        <v>0.875</v>
      </c>
    </row>
    <row r="138" ht="15.75" customHeight="1">
      <c r="A138" s="9" t="s">
        <v>27720</v>
      </c>
      <c r="B138" s="9" t="s">
        <v>7537</v>
      </c>
      <c r="C138" s="9" t="s">
        <v>27605</v>
      </c>
      <c r="D138" s="114">
        <v>0.4791666666666667</v>
      </c>
      <c r="E138" s="115">
        <v>0.6666666666666666</v>
      </c>
      <c r="F138" s="116"/>
      <c r="G138" s="116"/>
    </row>
    <row r="139" ht="15.75" customHeight="1">
      <c r="A139" s="52" t="s">
        <v>27721</v>
      </c>
      <c r="B139" s="9" t="s">
        <v>10672</v>
      </c>
      <c r="D139" s="114">
        <v>0.625</v>
      </c>
      <c r="E139" s="115">
        <v>0.625</v>
      </c>
      <c r="F139" s="116"/>
      <c r="G139" s="116"/>
    </row>
    <row r="140" ht="15.75" customHeight="1">
      <c r="A140" s="9" t="s">
        <v>27722</v>
      </c>
      <c r="B140" s="9" t="s">
        <v>8306</v>
      </c>
      <c r="C140" s="9" t="s">
        <v>27562</v>
      </c>
      <c r="D140" s="117"/>
      <c r="E140" s="116"/>
      <c r="F140" s="116"/>
      <c r="G140" s="116"/>
      <c r="H140" s="9" t="b">
        <v>1</v>
      </c>
    </row>
    <row r="141" ht="15.75" customHeight="1">
      <c r="A141" s="9" t="s">
        <v>27723</v>
      </c>
      <c r="B141" s="9" t="s">
        <v>11758</v>
      </c>
      <c r="D141" s="114">
        <v>0.5833333333333334</v>
      </c>
      <c r="E141" s="115">
        <v>0.6666666666666666</v>
      </c>
      <c r="F141" s="116"/>
      <c r="G141" s="116"/>
    </row>
    <row r="142" ht="15.75" customHeight="1">
      <c r="A142" s="9" t="s">
        <v>27724</v>
      </c>
      <c r="B142" s="9" t="s">
        <v>5372</v>
      </c>
      <c r="D142" s="114">
        <v>0.6666666666666666</v>
      </c>
      <c r="E142" s="115">
        <v>0.4583333333333333</v>
      </c>
      <c r="F142" s="116"/>
      <c r="G142" s="116"/>
    </row>
    <row r="143" ht="15.75" customHeight="1">
      <c r="A143" s="9" t="s">
        <v>27725</v>
      </c>
      <c r="B143" s="9" t="s">
        <v>11788</v>
      </c>
      <c r="C143" s="9" t="s">
        <v>27688</v>
      </c>
      <c r="D143" s="114">
        <v>0.3333333333333333</v>
      </c>
      <c r="E143" s="115">
        <v>0.6666666666666666</v>
      </c>
      <c r="F143" s="116"/>
      <c r="G143" s="116"/>
      <c r="H143" s="9" t="b">
        <v>0</v>
      </c>
    </row>
    <row r="144" ht="15.75" customHeight="1">
      <c r="A144" s="9" t="s">
        <v>27726</v>
      </c>
      <c r="B144" s="9" t="s">
        <v>9667</v>
      </c>
      <c r="D144" s="114">
        <v>0.6666666666666666</v>
      </c>
      <c r="E144" s="115">
        <v>0.4583333333333333</v>
      </c>
      <c r="F144" s="116"/>
      <c r="G144" s="116"/>
    </row>
    <row r="145" ht="15.75" customHeight="1">
      <c r="A145" s="9" t="s">
        <v>27727</v>
      </c>
      <c r="B145" s="9" t="s">
        <v>1344</v>
      </c>
      <c r="C145" s="9" t="s">
        <v>27719</v>
      </c>
      <c r="D145" s="114">
        <v>0.3333333333333333</v>
      </c>
      <c r="E145" s="115">
        <v>0.75</v>
      </c>
      <c r="F145" s="116"/>
      <c r="G145" s="116"/>
    </row>
    <row r="146" ht="15.75" customHeight="1">
      <c r="A146" s="9" t="s">
        <v>27728</v>
      </c>
      <c r="B146" s="9" t="s">
        <v>5314</v>
      </c>
      <c r="C146" s="9" t="s">
        <v>27578</v>
      </c>
      <c r="D146" s="114">
        <v>0.4895833333333333</v>
      </c>
      <c r="E146" s="115">
        <v>0.5520833333333334</v>
      </c>
      <c r="F146" s="115">
        <v>0.78125</v>
      </c>
      <c r="G146" s="115">
        <v>0.8854166666666666</v>
      </c>
      <c r="H146" s="9" t="b">
        <v>1</v>
      </c>
    </row>
    <row r="147" ht="15.75" customHeight="1">
      <c r="A147" s="9" t="s">
        <v>27729</v>
      </c>
      <c r="B147" s="9" t="s">
        <v>5314</v>
      </c>
      <c r="C147" s="9" t="s">
        <v>27730</v>
      </c>
      <c r="D147" s="114">
        <v>0.4895833333333333</v>
      </c>
      <c r="E147" s="115">
        <v>0.5520833333333334</v>
      </c>
      <c r="F147" s="115">
        <v>0.78125</v>
      </c>
      <c r="G147" s="115">
        <v>0.875</v>
      </c>
      <c r="H147" s="9" t="b">
        <v>1</v>
      </c>
    </row>
    <row r="148" ht="15.75" customHeight="1">
      <c r="A148" s="9"/>
      <c r="B148" s="9"/>
      <c r="C148" s="9"/>
      <c r="D148" s="114"/>
      <c r="E148" s="115"/>
      <c r="F148" s="116"/>
      <c r="G148" s="116"/>
      <c r="H148" s="9"/>
    </row>
    <row r="149" ht="15.75" customHeight="1">
      <c r="A149" s="9"/>
      <c r="B149" s="9"/>
      <c r="C149" s="9"/>
      <c r="D149" s="114"/>
      <c r="E149" s="115"/>
      <c r="F149" s="116"/>
      <c r="G149" s="116"/>
      <c r="H149" s="9"/>
    </row>
    <row r="150" ht="15.75" customHeight="1">
      <c r="A150" s="9" t="s">
        <v>27731</v>
      </c>
      <c r="B150" s="9" t="s">
        <v>7612</v>
      </c>
      <c r="C150" s="9" t="s">
        <v>27605</v>
      </c>
      <c r="D150" s="114">
        <v>0.4791666666666667</v>
      </c>
      <c r="E150" s="115">
        <v>0.5833333333333334</v>
      </c>
      <c r="F150" s="115">
        <v>0.7291666666666666</v>
      </c>
      <c r="G150" s="115">
        <v>0.8333333333333334</v>
      </c>
    </row>
    <row r="151" ht="15.75" customHeight="1">
      <c r="A151" s="9" t="s">
        <v>27732</v>
      </c>
      <c r="B151" s="9" t="s">
        <v>7879</v>
      </c>
      <c r="C151" s="9" t="s">
        <v>27576</v>
      </c>
      <c r="D151" s="114">
        <v>0.5</v>
      </c>
      <c r="E151" s="115">
        <v>0.5833333333333334</v>
      </c>
      <c r="F151" s="116"/>
      <c r="G151" s="116"/>
    </row>
    <row r="152" ht="15.75" customHeight="1">
      <c r="A152" s="9" t="s">
        <v>27733</v>
      </c>
      <c r="B152" s="9" t="s">
        <v>7879</v>
      </c>
      <c r="C152" s="9" t="s">
        <v>27734</v>
      </c>
      <c r="D152" s="114">
        <v>0.5</v>
      </c>
      <c r="E152" s="115">
        <v>0.5833333333333334</v>
      </c>
      <c r="F152" s="116"/>
      <c r="G152" s="116"/>
    </row>
    <row r="153" ht="15.75" customHeight="1">
      <c r="A153" s="9" t="s">
        <v>27735</v>
      </c>
      <c r="B153" s="9" t="s">
        <v>7879</v>
      </c>
      <c r="C153" s="9" t="s">
        <v>27688</v>
      </c>
      <c r="D153" s="114">
        <v>0.5</v>
      </c>
      <c r="E153" s="115">
        <v>0.5833333333333334</v>
      </c>
      <c r="F153" s="116"/>
      <c r="G153" s="116"/>
    </row>
    <row r="154" ht="15.75" customHeight="1">
      <c r="A154" s="9" t="s">
        <v>27736</v>
      </c>
      <c r="B154" s="9" t="s">
        <v>7879</v>
      </c>
      <c r="C154" s="9" t="s">
        <v>27684</v>
      </c>
      <c r="D154" s="114">
        <v>0.5</v>
      </c>
      <c r="E154" s="115">
        <v>0.5833333333333334</v>
      </c>
      <c r="F154" s="115">
        <v>0.75</v>
      </c>
      <c r="G154" s="115">
        <v>0.8333333333333334</v>
      </c>
    </row>
    <row r="155" ht="15.75" customHeight="1">
      <c r="A155" s="9" t="s">
        <v>27737</v>
      </c>
      <c r="B155" s="9" t="s">
        <v>9778</v>
      </c>
      <c r="C155" s="9" t="s">
        <v>27576</v>
      </c>
      <c r="D155" s="114">
        <v>0.5</v>
      </c>
      <c r="E155" s="115">
        <v>0.6666666666666666</v>
      </c>
      <c r="F155" s="116"/>
      <c r="G155" s="116"/>
      <c r="H155" s="9" t="b">
        <v>1</v>
      </c>
    </row>
    <row r="156" ht="15.75" customHeight="1">
      <c r="A156" s="9" t="s">
        <v>27738</v>
      </c>
      <c r="B156" s="9" t="s">
        <v>9778</v>
      </c>
      <c r="C156" s="9" t="s">
        <v>27648</v>
      </c>
      <c r="D156" s="114">
        <v>0.5</v>
      </c>
      <c r="E156" s="115">
        <v>0.625</v>
      </c>
      <c r="F156" s="115">
        <v>0.7916666666666666</v>
      </c>
      <c r="G156" s="115">
        <v>0.9583333333333334</v>
      </c>
      <c r="H156" s="9" t="b">
        <v>1</v>
      </c>
    </row>
    <row r="157" ht="15.75" customHeight="1">
      <c r="A157" s="9" t="s">
        <v>27739</v>
      </c>
      <c r="B157" s="9" t="s">
        <v>1880</v>
      </c>
      <c r="C157" s="9" t="s">
        <v>27740</v>
      </c>
      <c r="D157" s="114">
        <v>0.5</v>
      </c>
      <c r="E157" s="115">
        <v>0.5833333333333334</v>
      </c>
      <c r="F157" s="115">
        <v>0.7916666666666666</v>
      </c>
      <c r="G157" s="115">
        <v>0.8958333333333334</v>
      </c>
    </row>
    <row r="158" ht="15.75" customHeight="1">
      <c r="A158" s="9" t="s">
        <v>27741</v>
      </c>
      <c r="B158" s="9" t="s">
        <v>1880</v>
      </c>
      <c r="C158" s="9" t="s">
        <v>27576</v>
      </c>
      <c r="D158" s="114">
        <v>0.5</v>
      </c>
      <c r="E158" s="115">
        <v>0.5833333333333334</v>
      </c>
      <c r="F158" s="116"/>
      <c r="G158" s="116"/>
    </row>
    <row r="159" ht="15.75" customHeight="1">
      <c r="A159" s="9" t="s">
        <v>27742</v>
      </c>
      <c r="B159" s="9" t="s">
        <v>5129</v>
      </c>
      <c r="C159" s="9" t="s">
        <v>27576</v>
      </c>
      <c r="D159" s="114">
        <v>0.5</v>
      </c>
      <c r="E159" s="115">
        <v>0.5833333333333334</v>
      </c>
      <c r="F159" s="116"/>
      <c r="G159" s="116"/>
    </row>
    <row r="160" ht="15.75" customHeight="1">
      <c r="A160" s="9" t="s">
        <v>27743</v>
      </c>
      <c r="B160" s="9" t="s">
        <v>5129</v>
      </c>
      <c r="C160" s="9" t="s">
        <v>27744</v>
      </c>
      <c r="D160" s="114">
        <v>0.5</v>
      </c>
      <c r="E160" s="115">
        <v>0.6458333333333334</v>
      </c>
      <c r="F160" s="115">
        <v>0.7916666666666666</v>
      </c>
      <c r="G160" s="115">
        <v>0.9166666666666666</v>
      </c>
    </row>
    <row r="161" ht="15.75" customHeight="1">
      <c r="A161" s="9" t="s">
        <v>27745</v>
      </c>
      <c r="B161" s="9" t="s">
        <v>6049</v>
      </c>
      <c r="C161" s="9" t="s">
        <v>27576</v>
      </c>
      <c r="D161" s="114">
        <v>0.5</v>
      </c>
      <c r="E161" s="115">
        <v>0.5833333333333334</v>
      </c>
      <c r="F161" s="116"/>
      <c r="G161" s="116"/>
    </row>
    <row r="162" ht="15.75" customHeight="1">
      <c r="A162" s="9" t="s">
        <v>27746</v>
      </c>
      <c r="B162" s="9" t="s">
        <v>6049</v>
      </c>
      <c r="C162" s="9" t="s">
        <v>27740</v>
      </c>
      <c r="D162" s="114">
        <v>0.5</v>
      </c>
      <c r="E162" s="115">
        <v>0.5729166666666666</v>
      </c>
      <c r="F162" s="115">
        <v>0.7916666666666666</v>
      </c>
      <c r="G162" s="115">
        <v>0.8645833333333334</v>
      </c>
    </row>
    <row r="163" ht="15.75" customHeight="1">
      <c r="A163" s="9" t="s">
        <v>27747</v>
      </c>
      <c r="B163" s="9" t="s">
        <v>3889</v>
      </c>
      <c r="C163" s="9" t="s">
        <v>27690</v>
      </c>
      <c r="D163" s="114">
        <v>0.5</v>
      </c>
      <c r="E163" s="115">
        <v>0.5833333333333334</v>
      </c>
      <c r="F163" s="116"/>
      <c r="G163" s="116"/>
    </row>
    <row r="164" ht="15.75" customHeight="1">
      <c r="A164" s="9" t="s">
        <v>27748</v>
      </c>
      <c r="B164" s="9" t="s">
        <v>3889</v>
      </c>
      <c r="C164" s="9" t="s">
        <v>27684</v>
      </c>
      <c r="D164" s="114">
        <v>0.5</v>
      </c>
      <c r="E164" s="115">
        <v>0.5833333333333334</v>
      </c>
      <c r="F164" s="115">
        <v>0.7916666666666666</v>
      </c>
      <c r="G164" s="115">
        <v>0.8958333333333334</v>
      </c>
    </row>
    <row r="165" ht="15.75" customHeight="1">
      <c r="A165" s="9" t="s">
        <v>27749</v>
      </c>
      <c r="B165" s="9" t="s">
        <v>3889</v>
      </c>
      <c r="C165" s="9" t="s">
        <v>27734</v>
      </c>
      <c r="D165" s="114">
        <v>0.5</v>
      </c>
      <c r="E165" s="115">
        <v>0.5833333333333334</v>
      </c>
      <c r="F165" s="116"/>
      <c r="G165" s="116"/>
    </row>
    <row r="166" ht="15.75" customHeight="1">
      <c r="A166" s="9" t="s">
        <v>27750</v>
      </c>
      <c r="B166" s="9" t="s">
        <v>931</v>
      </c>
      <c r="C166" s="9" t="s">
        <v>27642</v>
      </c>
      <c r="D166" s="114">
        <v>0.4166666666666667</v>
      </c>
      <c r="E166" s="115">
        <v>0.5833333333333334</v>
      </c>
      <c r="F166" s="115">
        <v>0.7083333333333334</v>
      </c>
      <c r="G166" s="115">
        <v>0.875</v>
      </c>
    </row>
    <row r="167" ht="15.75" customHeight="1">
      <c r="A167" s="9" t="s">
        <v>27751</v>
      </c>
      <c r="B167" s="9" t="s">
        <v>2471</v>
      </c>
      <c r="C167" s="9" t="s">
        <v>27752</v>
      </c>
      <c r="D167" s="114">
        <v>0.4583333333333333</v>
      </c>
      <c r="E167" s="115">
        <v>0.625</v>
      </c>
      <c r="F167" s="115">
        <v>0.75</v>
      </c>
      <c r="G167" s="115">
        <v>0.8333333333333334</v>
      </c>
    </row>
    <row r="168" ht="15.75" customHeight="1">
      <c r="A168" s="9" t="s">
        <v>27753</v>
      </c>
      <c r="B168" s="9" t="s">
        <v>2471</v>
      </c>
      <c r="C168" s="9" t="s">
        <v>27686</v>
      </c>
      <c r="D168" s="114">
        <v>0.4583333333333333</v>
      </c>
      <c r="E168" s="115">
        <v>0.625</v>
      </c>
      <c r="F168" s="116"/>
      <c r="G168" s="116"/>
    </row>
    <row r="169" ht="15.75" customHeight="1">
      <c r="A169" s="9" t="s">
        <v>27754</v>
      </c>
      <c r="B169" s="9" t="s">
        <v>2471</v>
      </c>
      <c r="C169" s="9" t="s">
        <v>27566</v>
      </c>
      <c r="D169" s="114">
        <v>0.4583333333333333</v>
      </c>
      <c r="E169" s="115">
        <v>0.625</v>
      </c>
      <c r="F169" s="116"/>
      <c r="G169" s="116"/>
    </row>
    <row r="170" ht="15.75" customHeight="1">
      <c r="A170" s="9" t="s">
        <v>27755</v>
      </c>
      <c r="B170" s="9" t="s">
        <v>2471</v>
      </c>
      <c r="C170" s="9" t="s">
        <v>27752</v>
      </c>
      <c r="D170" s="114">
        <v>0.4583333333333333</v>
      </c>
      <c r="E170" s="115">
        <v>0.625</v>
      </c>
      <c r="F170" s="115">
        <v>0.75</v>
      </c>
      <c r="G170" s="115">
        <v>0.8958333333333334</v>
      </c>
    </row>
    <row r="171" ht="15.75" customHeight="1">
      <c r="A171" s="9"/>
      <c r="B171" s="9"/>
      <c r="C171" s="9"/>
      <c r="D171" s="114"/>
      <c r="E171" s="115"/>
      <c r="F171" s="116"/>
      <c r="G171" s="116"/>
    </row>
    <row r="172" ht="15.75" customHeight="1">
      <c r="A172" s="9" t="s">
        <v>27756</v>
      </c>
      <c r="B172" s="9" t="s">
        <v>1594</v>
      </c>
      <c r="C172" s="9" t="s">
        <v>27642</v>
      </c>
      <c r="D172" s="114">
        <v>0.5</v>
      </c>
      <c r="E172" s="115">
        <v>0.5833333333333334</v>
      </c>
      <c r="F172" s="115">
        <v>0.7916666666666666</v>
      </c>
      <c r="G172" s="115">
        <v>0.9166666666666666</v>
      </c>
    </row>
    <row r="173" ht="15.75" customHeight="1">
      <c r="A173" s="9" t="s">
        <v>27757</v>
      </c>
      <c r="B173" s="9" t="s">
        <v>3040</v>
      </c>
      <c r="C173" s="9" t="s">
        <v>27642</v>
      </c>
      <c r="D173" s="114">
        <v>0.4583333333333333</v>
      </c>
      <c r="E173" s="115">
        <v>0.5416666666666666</v>
      </c>
      <c r="F173" s="115">
        <v>0.75</v>
      </c>
      <c r="G173" s="115">
        <v>0.8333333333333334</v>
      </c>
    </row>
    <row r="174" ht="15.75" customHeight="1">
      <c r="A174" s="9" t="s">
        <v>27758</v>
      </c>
      <c r="B174" s="9" t="s">
        <v>6292</v>
      </c>
      <c r="C174" s="9" t="s">
        <v>27686</v>
      </c>
      <c r="D174" s="114">
        <v>0.7708333333333334</v>
      </c>
      <c r="E174" s="115">
        <v>0.875</v>
      </c>
      <c r="F174" s="116"/>
      <c r="G174" s="116"/>
    </row>
    <row r="175" ht="15.75" customHeight="1">
      <c r="A175" s="9" t="s">
        <v>27759</v>
      </c>
      <c r="B175" s="9" t="s">
        <v>6292</v>
      </c>
      <c r="C175" s="9" t="s">
        <v>27605</v>
      </c>
      <c r="D175" s="114">
        <v>0.4791666666666667</v>
      </c>
      <c r="E175" s="115">
        <v>0.5833333333333334</v>
      </c>
      <c r="F175" s="115">
        <v>0.7708333333333334</v>
      </c>
      <c r="G175" s="115">
        <v>0.875</v>
      </c>
    </row>
    <row r="176" ht="15.75" customHeight="1">
      <c r="A176" s="9" t="s">
        <v>27760</v>
      </c>
      <c r="B176" s="9" t="s">
        <v>1150</v>
      </c>
      <c r="C176" s="9" t="s">
        <v>27648</v>
      </c>
      <c r="D176" s="114">
        <v>0.375</v>
      </c>
      <c r="E176" s="115">
        <v>0.875</v>
      </c>
      <c r="F176" s="116"/>
      <c r="G176" s="116"/>
    </row>
    <row r="177" ht="15.75" customHeight="1">
      <c r="A177" s="9" t="s">
        <v>27761</v>
      </c>
      <c r="B177" s="9" t="s">
        <v>1150</v>
      </c>
      <c r="C177" s="9" t="s">
        <v>27576</v>
      </c>
      <c r="D177" s="114">
        <v>0.375</v>
      </c>
      <c r="E177" s="115">
        <v>0.5833333333333334</v>
      </c>
      <c r="F177" s="116"/>
      <c r="G177" s="116"/>
    </row>
    <row r="178" ht="15.75" customHeight="1">
      <c r="A178" s="9" t="s">
        <v>27762</v>
      </c>
      <c r="B178" s="9" t="s">
        <v>3721</v>
      </c>
      <c r="C178" s="9" t="s">
        <v>27642</v>
      </c>
      <c r="D178" s="114">
        <v>0.4583333333333333</v>
      </c>
      <c r="E178" s="115">
        <v>0.6041666666666666</v>
      </c>
      <c r="F178" s="115">
        <v>0.75</v>
      </c>
      <c r="G178" s="115">
        <v>0.8541666666666666</v>
      </c>
    </row>
    <row r="179" ht="15.75" customHeight="1">
      <c r="A179" s="9" t="s">
        <v>27763</v>
      </c>
      <c r="B179" s="9" t="s">
        <v>1344</v>
      </c>
      <c r="C179" s="9" t="s">
        <v>27666</v>
      </c>
      <c r="D179" s="114">
        <v>0.3333333333333333</v>
      </c>
      <c r="E179" s="115">
        <v>0.75</v>
      </c>
      <c r="F179" s="116"/>
      <c r="G179" s="116"/>
    </row>
    <row r="180" ht="15.75" customHeight="1">
      <c r="A180" s="9" t="s">
        <v>27764</v>
      </c>
      <c r="B180" s="9" t="s">
        <v>10719</v>
      </c>
      <c r="D180" s="114">
        <v>0.625</v>
      </c>
      <c r="E180" s="115">
        <v>0.4583333333333333</v>
      </c>
      <c r="F180" s="116"/>
      <c r="G180" s="116"/>
    </row>
    <row r="181" ht="15.75" customHeight="1">
      <c r="A181" s="9" t="s">
        <v>27765</v>
      </c>
      <c r="B181" s="9" t="s">
        <v>11788</v>
      </c>
      <c r="C181" s="9" t="s">
        <v>27734</v>
      </c>
      <c r="D181" s="114">
        <v>0.3333333333333333</v>
      </c>
      <c r="E181" s="115">
        <v>0.6666666666666666</v>
      </c>
      <c r="F181" s="116"/>
      <c r="G181" s="116"/>
      <c r="H181" s="9" t="b">
        <v>0</v>
      </c>
    </row>
    <row r="182" ht="15.75" customHeight="1">
      <c r="A182" s="9" t="s">
        <v>27766</v>
      </c>
      <c r="B182" s="9" t="s">
        <v>11788</v>
      </c>
      <c r="C182" s="9" t="s">
        <v>27566</v>
      </c>
      <c r="D182" s="114">
        <v>0.3333333333333333</v>
      </c>
      <c r="E182" s="115">
        <v>0.6666666666666666</v>
      </c>
      <c r="F182" s="116"/>
      <c r="G182" s="116"/>
      <c r="H182" s="9" t="b">
        <v>0</v>
      </c>
    </row>
    <row r="183" ht="15.75" customHeight="1">
      <c r="A183" s="9" t="s">
        <v>27767</v>
      </c>
      <c r="B183" s="9" t="s">
        <v>11788</v>
      </c>
      <c r="C183" s="9" t="s">
        <v>27583</v>
      </c>
      <c r="D183" s="114">
        <v>0.3333333333333333</v>
      </c>
      <c r="E183" s="115">
        <v>0.6666666666666666</v>
      </c>
      <c r="F183" s="116"/>
      <c r="G183" s="116"/>
      <c r="H183" s="9" t="b">
        <v>0</v>
      </c>
    </row>
    <row r="184" ht="15.75" customHeight="1">
      <c r="A184" s="9" t="s">
        <v>27768</v>
      </c>
      <c r="B184" s="9" t="s">
        <v>9329</v>
      </c>
      <c r="C184" s="9" t="s">
        <v>27605</v>
      </c>
      <c r="D184" s="114">
        <v>0.4166666666666667</v>
      </c>
      <c r="E184" s="115">
        <v>0.8333333333333334</v>
      </c>
      <c r="F184" s="116"/>
      <c r="G184" s="116"/>
    </row>
    <row r="185" ht="15.75" customHeight="1">
      <c r="A185" s="9" t="s">
        <v>27769</v>
      </c>
      <c r="B185" s="9" t="s">
        <v>6908</v>
      </c>
      <c r="C185" s="9" t="s">
        <v>27666</v>
      </c>
      <c r="D185" s="114">
        <v>0.46875</v>
      </c>
      <c r="E185" s="115">
        <v>0.6666666666666666</v>
      </c>
      <c r="F185" s="116"/>
      <c r="G185" s="116"/>
    </row>
    <row r="186" ht="15.75" customHeight="1">
      <c r="A186" s="9" t="s">
        <v>27770</v>
      </c>
      <c r="B186" s="9" t="s">
        <v>6908</v>
      </c>
      <c r="C186" s="9" t="s">
        <v>27730</v>
      </c>
      <c r="D186" s="114">
        <v>0.4791666666666667</v>
      </c>
      <c r="E186" s="115">
        <v>0.6666666666666666</v>
      </c>
      <c r="F186" s="116"/>
      <c r="G186" s="116"/>
    </row>
    <row r="187" ht="15.75" customHeight="1">
      <c r="A187" s="9" t="s">
        <v>27771</v>
      </c>
      <c r="B187" s="9" t="s">
        <v>237</v>
      </c>
      <c r="D187" s="114">
        <v>0.625</v>
      </c>
      <c r="E187" s="115">
        <v>0.4166666666666667</v>
      </c>
      <c r="F187" s="116"/>
      <c r="G187" s="116"/>
    </row>
    <row r="188" ht="15.75" customHeight="1">
      <c r="A188" s="9" t="s">
        <v>27772</v>
      </c>
      <c r="B188" s="9" t="s">
        <v>2483</v>
      </c>
      <c r="C188" s="9" t="s">
        <v>27675</v>
      </c>
      <c r="D188" s="114"/>
      <c r="E188" s="115"/>
      <c r="F188" s="116"/>
      <c r="G188" s="116"/>
      <c r="H188" s="9" t="b">
        <v>1</v>
      </c>
    </row>
    <row r="189" ht="15.75" customHeight="1">
      <c r="A189" s="9" t="s">
        <v>27773</v>
      </c>
      <c r="B189" s="9" t="s">
        <v>2483</v>
      </c>
      <c r="C189" s="9"/>
      <c r="D189" s="114">
        <v>0.5</v>
      </c>
      <c r="E189" s="115">
        <v>0.6666666666666666</v>
      </c>
      <c r="F189" s="116"/>
      <c r="G189" s="116"/>
    </row>
    <row r="190" ht="15.75" customHeight="1">
      <c r="A190" s="9" t="s">
        <v>27774</v>
      </c>
      <c r="B190" s="9" t="s">
        <v>10735</v>
      </c>
      <c r="D190" s="114">
        <v>0.625</v>
      </c>
      <c r="E190" s="115">
        <v>0.4583333333333333</v>
      </c>
      <c r="F190" s="116"/>
      <c r="G190" s="116"/>
    </row>
    <row r="191" ht="15.75" customHeight="1">
      <c r="A191" s="9" t="s">
        <v>27775</v>
      </c>
      <c r="B191" s="9" t="s">
        <v>8727</v>
      </c>
      <c r="D191" s="114">
        <v>0.625</v>
      </c>
      <c r="E191" s="115">
        <v>0.5</v>
      </c>
      <c r="F191" s="116"/>
      <c r="G191" s="116"/>
    </row>
    <row r="192" ht="15.75" customHeight="1">
      <c r="A192" s="9" t="s">
        <v>27776</v>
      </c>
      <c r="B192" s="9" t="s">
        <v>9394</v>
      </c>
      <c r="D192" s="114">
        <v>0.625</v>
      </c>
      <c r="E192" s="115">
        <v>0.4583333333333333</v>
      </c>
      <c r="F192" s="116"/>
      <c r="G192" s="116"/>
    </row>
    <row r="193" ht="15.75" customHeight="1">
      <c r="A193" s="9" t="s">
        <v>27777</v>
      </c>
      <c r="B193" s="9" t="s">
        <v>3079</v>
      </c>
      <c r="D193" s="114">
        <v>0.5833333333333334</v>
      </c>
      <c r="E193" s="115">
        <v>0.4583333333333333</v>
      </c>
      <c r="F193" s="116"/>
      <c r="G193" s="116"/>
    </row>
    <row r="194" ht="15.75" customHeight="1">
      <c r="A194" s="9" t="s">
        <v>27778</v>
      </c>
      <c r="B194" s="9" t="s">
        <v>6473</v>
      </c>
      <c r="D194" s="114">
        <v>0.6666666666666666</v>
      </c>
      <c r="E194" s="115">
        <v>0.4166666666666667</v>
      </c>
      <c r="F194" s="116"/>
      <c r="G194" s="116"/>
    </row>
    <row r="195" ht="15.75" customHeight="1">
      <c r="A195" s="9" t="s">
        <v>27779</v>
      </c>
      <c r="B195" s="9" t="s">
        <v>4045</v>
      </c>
      <c r="D195" s="114">
        <v>0.625</v>
      </c>
      <c r="E195" s="115">
        <v>0.4166666666666667</v>
      </c>
      <c r="F195" s="116"/>
      <c r="G195" s="116"/>
    </row>
    <row r="196" ht="15.75" customHeight="1">
      <c r="A196" s="9" t="s">
        <v>27780</v>
      </c>
      <c r="B196" s="9" t="s">
        <v>11691</v>
      </c>
      <c r="D196" s="114">
        <v>0.5833333333333334</v>
      </c>
      <c r="E196" s="115">
        <v>0.4583333333333333</v>
      </c>
      <c r="F196" s="116"/>
      <c r="G196" s="116"/>
    </row>
    <row r="197" ht="15.75" customHeight="1">
      <c r="A197" s="9" t="s">
        <v>27781</v>
      </c>
      <c r="B197" s="9" t="s">
        <v>10344</v>
      </c>
      <c r="D197" s="114">
        <v>0.625</v>
      </c>
      <c r="E197" s="115">
        <v>0.4583333333333333</v>
      </c>
      <c r="F197" s="116"/>
      <c r="G197" s="116"/>
    </row>
    <row r="198" ht="15.75" customHeight="1">
      <c r="A198" s="9" t="s">
        <v>27782</v>
      </c>
      <c r="B198" s="9" t="s">
        <v>11700</v>
      </c>
      <c r="D198" s="117"/>
      <c r="E198" s="116"/>
      <c r="F198" s="116"/>
      <c r="G198" s="116"/>
      <c r="H198" s="9" t="b">
        <v>1</v>
      </c>
    </row>
    <row r="199" ht="15.75" customHeight="1">
      <c r="A199" s="9" t="s">
        <v>27783</v>
      </c>
      <c r="B199" s="9" t="s">
        <v>6224</v>
      </c>
      <c r="C199" s="9" t="s">
        <v>27562</v>
      </c>
      <c r="D199" s="114">
        <v>0.7916666666666666</v>
      </c>
      <c r="E199" s="115"/>
      <c r="F199" s="116"/>
      <c r="G199" s="116"/>
      <c r="H199" s="9" t="b">
        <v>1</v>
      </c>
    </row>
    <row r="200" ht="15.75" customHeight="1">
      <c r="A200" s="9" t="s">
        <v>27784</v>
      </c>
      <c r="B200" s="9" t="s">
        <v>3852</v>
      </c>
      <c r="C200" s="9" t="s">
        <v>27675</v>
      </c>
      <c r="D200" s="114">
        <v>0.375</v>
      </c>
      <c r="E200" s="115">
        <v>0.5</v>
      </c>
      <c r="F200" s="115">
        <v>0.5625</v>
      </c>
      <c r="G200" s="115">
        <v>0.6875</v>
      </c>
    </row>
    <row r="201" ht="15.75" customHeight="1">
      <c r="A201" s="9" t="s">
        <v>27785</v>
      </c>
      <c r="B201" s="9" t="s">
        <v>10354</v>
      </c>
      <c r="D201" s="114">
        <v>0.7083333333333334</v>
      </c>
      <c r="E201" s="115">
        <v>0.4583333333333333</v>
      </c>
      <c r="F201" s="116"/>
      <c r="G201" s="116"/>
    </row>
    <row r="202" ht="15.75" customHeight="1">
      <c r="A202" s="9" t="s">
        <v>27786</v>
      </c>
      <c r="B202" s="9" t="s">
        <v>10211</v>
      </c>
      <c r="D202" s="114">
        <v>0.625</v>
      </c>
      <c r="E202" s="115">
        <v>0.4583333333333333</v>
      </c>
      <c r="F202" s="116"/>
      <c r="G202" s="116"/>
    </row>
    <row r="203" ht="15.75" customHeight="1">
      <c r="A203" s="9" t="s">
        <v>27787</v>
      </c>
      <c r="B203" s="9" t="s">
        <v>11686</v>
      </c>
      <c r="D203" s="114">
        <v>0.5833333333333334</v>
      </c>
      <c r="E203" s="115">
        <v>0.4583333333333333</v>
      </c>
      <c r="F203" s="116"/>
      <c r="G203" s="116"/>
    </row>
    <row r="204" ht="15.75" customHeight="1">
      <c r="A204" s="9" t="s">
        <v>27788</v>
      </c>
      <c r="B204" s="9" t="s">
        <v>10622</v>
      </c>
      <c r="D204" s="114">
        <v>0.625</v>
      </c>
      <c r="E204" s="115">
        <v>0.4583333333333333</v>
      </c>
      <c r="F204" s="116"/>
      <c r="G204" s="116"/>
    </row>
    <row r="205" ht="15.75" customHeight="1">
      <c r="A205" s="9" t="s">
        <v>27789</v>
      </c>
      <c r="B205" s="9" t="s">
        <v>12018</v>
      </c>
      <c r="D205" s="114">
        <v>0.625</v>
      </c>
      <c r="E205" s="115">
        <v>0.4583333333333333</v>
      </c>
      <c r="F205" s="116"/>
      <c r="G205" s="116"/>
    </row>
    <row r="206" ht="15.75" customHeight="1">
      <c r="A206" s="9"/>
      <c r="B206" s="9"/>
      <c r="C206" s="9"/>
      <c r="D206" s="114"/>
      <c r="E206" s="115"/>
      <c r="F206" s="116"/>
      <c r="G206" s="116"/>
    </row>
    <row r="207" ht="15.75" customHeight="1">
      <c r="A207" s="9" t="s">
        <v>27790</v>
      </c>
      <c r="B207" s="9" t="s">
        <v>10721</v>
      </c>
      <c r="D207" s="114">
        <v>0.6666666666666666</v>
      </c>
      <c r="E207" s="115">
        <v>0.4583333333333333</v>
      </c>
      <c r="F207" s="116"/>
      <c r="G207" s="116"/>
    </row>
    <row r="208" ht="15.75" customHeight="1">
      <c r="A208" s="9" t="s">
        <v>27791</v>
      </c>
      <c r="B208" s="9" t="s">
        <v>11866</v>
      </c>
      <c r="D208" s="114">
        <v>0.5416666666666666</v>
      </c>
      <c r="E208" s="115">
        <v>0.4166666666666667</v>
      </c>
      <c r="F208" s="116"/>
      <c r="G208" s="116"/>
    </row>
    <row r="209" ht="15.75" customHeight="1">
      <c r="A209" s="9"/>
      <c r="B209" s="9"/>
      <c r="C209" s="9"/>
      <c r="D209" s="114"/>
      <c r="E209" s="115"/>
      <c r="F209" s="116"/>
      <c r="G209" s="116"/>
    </row>
    <row r="210" ht="15.75" customHeight="1">
      <c r="A210" s="9"/>
      <c r="B210" s="9"/>
      <c r="C210" s="9"/>
      <c r="D210" s="114"/>
      <c r="E210" s="115"/>
      <c r="F210" s="116"/>
      <c r="G210" s="116"/>
    </row>
    <row r="211" ht="15.75" customHeight="1">
      <c r="A211" s="9"/>
      <c r="B211" s="9"/>
      <c r="C211" s="9"/>
      <c r="D211" s="114"/>
      <c r="E211" s="115"/>
      <c r="F211" s="116"/>
      <c r="G211" s="116"/>
    </row>
    <row r="212" ht="15.75" customHeight="1">
      <c r="A212" s="9"/>
      <c r="B212" s="9"/>
      <c r="C212" s="9"/>
      <c r="D212" s="114"/>
      <c r="E212" s="115"/>
      <c r="F212" s="116"/>
      <c r="G212" s="116"/>
    </row>
    <row r="213" ht="15.75" customHeight="1">
      <c r="A213" s="9"/>
      <c r="B213" s="9"/>
      <c r="C213" s="9"/>
      <c r="D213" s="114"/>
      <c r="E213" s="115"/>
      <c r="F213" s="116"/>
      <c r="G213" s="116"/>
    </row>
    <row r="214" ht="15.75" customHeight="1">
      <c r="A214" s="9" t="s">
        <v>27792</v>
      </c>
      <c r="B214" s="9" t="s">
        <v>246</v>
      </c>
      <c r="D214" s="114">
        <v>0.6666666666666666</v>
      </c>
      <c r="E214" s="115">
        <v>0.4166666666666667</v>
      </c>
      <c r="F214" s="116"/>
      <c r="G214" s="116"/>
    </row>
    <row r="215" ht="15.75" customHeight="1">
      <c r="A215" s="9" t="s">
        <v>27793</v>
      </c>
      <c r="B215" s="9" t="s">
        <v>3963</v>
      </c>
      <c r="C215" s="9" t="s">
        <v>27562</v>
      </c>
      <c r="D215" s="114">
        <v>0.5</v>
      </c>
      <c r="E215" s="115">
        <v>0.6875</v>
      </c>
      <c r="F215" s="116"/>
      <c r="G215" s="116"/>
      <c r="H215" s="9" t="b">
        <v>1</v>
      </c>
    </row>
    <row r="216" ht="15.75" customHeight="1">
      <c r="A216" s="9" t="s">
        <v>27794</v>
      </c>
      <c r="B216" s="9" t="s">
        <v>3638</v>
      </c>
      <c r="D216" s="114">
        <v>0.6666666666666666</v>
      </c>
      <c r="E216" s="115">
        <v>0.4166666666666667</v>
      </c>
      <c r="F216" s="116"/>
      <c r="G216" s="116"/>
    </row>
    <row r="217" ht="15.75" customHeight="1">
      <c r="A217" s="9" t="s">
        <v>27795</v>
      </c>
      <c r="B217" s="9" t="s">
        <v>3129</v>
      </c>
      <c r="D217" s="114">
        <v>0.6041666666666666</v>
      </c>
      <c r="E217" s="115">
        <v>0.4166666666666667</v>
      </c>
      <c r="F217" s="116"/>
      <c r="G217" s="116"/>
    </row>
    <row r="218" ht="15.75" customHeight="1">
      <c r="A218" s="9" t="s">
        <v>27796</v>
      </c>
      <c r="B218" s="9" t="s">
        <v>12207</v>
      </c>
      <c r="D218" s="114">
        <v>0.5833333333333334</v>
      </c>
      <c r="E218" s="115">
        <v>0.4583333333333333</v>
      </c>
      <c r="F218" s="116"/>
      <c r="G218" s="116"/>
    </row>
    <row r="219" ht="15.75" customHeight="1">
      <c r="A219" s="9" t="s">
        <v>27797</v>
      </c>
      <c r="B219" s="9" t="s">
        <v>11861</v>
      </c>
      <c r="D219" s="114">
        <v>0.5416666666666666</v>
      </c>
      <c r="E219" s="115">
        <v>0.4166666666666667</v>
      </c>
      <c r="F219" s="116"/>
      <c r="G219" s="116"/>
    </row>
    <row r="220" ht="15.75" customHeight="1">
      <c r="A220" s="9" t="s">
        <v>27798</v>
      </c>
      <c r="B220" s="9" t="s">
        <v>11945</v>
      </c>
      <c r="D220" s="114">
        <v>0.5833333333333334</v>
      </c>
      <c r="E220" s="115">
        <v>0.4583333333333333</v>
      </c>
      <c r="F220" s="116"/>
      <c r="G220" s="116"/>
    </row>
    <row r="221" ht="15.75" customHeight="1">
      <c r="A221" s="9" t="s">
        <v>27799</v>
      </c>
      <c r="B221" s="9" t="s">
        <v>4800</v>
      </c>
      <c r="C221" s="9" t="s">
        <v>27675</v>
      </c>
      <c r="D221" s="114">
        <v>0.375</v>
      </c>
      <c r="E221" s="115">
        <v>0.7083333333333334</v>
      </c>
      <c r="F221" s="116"/>
      <c r="G221" s="116"/>
      <c r="H221" s="9" t="b">
        <v>1</v>
      </c>
    </row>
    <row r="222" ht="15.75" customHeight="1">
      <c r="A222" s="9" t="s">
        <v>27800</v>
      </c>
      <c r="B222" s="9" t="s">
        <v>4800</v>
      </c>
      <c r="C222" s="9" t="s">
        <v>27666</v>
      </c>
      <c r="D222" s="114">
        <v>0.375</v>
      </c>
      <c r="E222" s="115">
        <v>0.7083333333333334</v>
      </c>
      <c r="F222" s="116"/>
      <c r="G222" s="116"/>
      <c r="H222" s="9" t="b">
        <v>0</v>
      </c>
    </row>
    <row r="223" ht="15.75" customHeight="1">
      <c r="A223" s="9" t="s">
        <v>27801</v>
      </c>
      <c r="B223" s="9" t="s">
        <v>11767</v>
      </c>
      <c r="D223" s="114">
        <v>0.6666666666666666</v>
      </c>
      <c r="E223" s="115">
        <v>0.4583333333333333</v>
      </c>
      <c r="F223" s="116"/>
      <c r="G223" s="116"/>
    </row>
    <row r="224" ht="15.75" customHeight="1">
      <c r="A224" s="9" t="s">
        <v>27802</v>
      </c>
      <c r="B224" s="9" t="s">
        <v>10387</v>
      </c>
      <c r="D224" s="114">
        <v>0.5833333333333334</v>
      </c>
      <c r="E224" s="115">
        <v>0.6666666666666666</v>
      </c>
      <c r="F224" s="116"/>
      <c r="G224" s="116"/>
    </row>
    <row r="225" ht="15.75" customHeight="1">
      <c r="A225" s="9" t="s">
        <v>27803</v>
      </c>
      <c r="B225" s="9" t="s">
        <v>6620</v>
      </c>
      <c r="C225" s="9" t="s">
        <v>27804</v>
      </c>
      <c r="D225" s="114">
        <v>0.4791666666666667</v>
      </c>
      <c r="E225" s="115">
        <v>0.6666666666666666</v>
      </c>
      <c r="F225" s="115">
        <v>0.7708333333333334</v>
      </c>
      <c r="G225" s="115">
        <v>0.9166666666666666</v>
      </c>
    </row>
    <row r="226" ht="15.75" customHeight="1">
      <c r="A226" s="9" t="s">
        <v>27805</v>
      </c>
      <c r="B226" s="9" t="s">
        <v>11805</v>
      </c>
      <c r="D226" s="114">
        <v>0.625</v>
      </c>
      <c r="E226" s="115">
        <v>0.4166666666666667</v>
      </c>
      <c r="F226" s="116"/>
      <c r="G226" s="116"/>
    </row>
    <row r="227" ht="15.75" customHeight="1">
      <c r="A227" s="9" t="s">
        <v>27806</v>
      </c>
      <c r="B227" s="9" t="s">
        <v>10310</v>
      </c>
      <c r="D227" s="114">
        <v>0.5833333333333334</v>
      </c>
      <c r="E227" s="115">
        <v>0.4583333333333333</v>
      </c>
      <c r="F227" s="116"/>
      <c r="G227" s="116"/>
    </row>
    <row r="228" ht="15.75" customHeight="1">
      <c r="A228" s="9" t="s">
        <v>27807</v>
      </c>
      <c r="B228" s="9" t="s">
        <v>10391</v>
      </c>
      <c r="D228" s="114">
        <v>0.5833333333333334</v>
      </c>
      <c r="E228" s="115">
        <v>0.4166666666666667</v>
      </c>
      <c r="F228" s="116"/>
      <c r="G228" s="116"/>
    </row>
    <row r="229" ht="15.75" customHeight="1">
      <c r="A229" s="9" t="s">
        <v>27808</v>
      </c>
      <c r="B229" s="9" t="s">
        <v>11629</v>
      </c>
      <c r="D229" s="114">
        <v>0.5833333333333334</v>
      </c>
      <c r="E229" s="115">
        <v>0.4166666666666667</v>
      </c>
      <c r="F229" s="116"/>
      <c r="G229" s="116"/>
    </row>
    <row r="230" ht="15.75" customHeight="1">
      <c r="A230" s="9" t="s">
        <v>27809</v>
      </c>
      <c r="B230" s="9" t="s">
        <v>10384</v>
      </c>
      <c r="D230" s="114">
        <v>0.5833333333333334</v>
      </c>
      <c r="E230" s="115">
        <v>0.4583333333333333</v>
      </c>
      <c r="F230" s="116"/>
      <c r="G230" s="116"/>
    </row>
    <row r="231" ht="15.75" customHeight="1">
      <c r="A231" s="9" t="s">
        <v>27810</v>
      </c>
      <c r="B231" s="9" t="s">
        <v>11947</v>
      </c>
      <c r="D231" s="114">
        <v>0.625</v>
      </c>
      <c r="E231" s="115">
        <v>0.4583333333333333</v>
      </c>
      <c r="F231" s="116"/>
      <c r="G231" s="116"/>
    </row>
    <row r="232" ht="15.75" customHeight="1">
      <c r="A232" s="9" t="s">
        <v>27811</v>
      </c>
      <c r="B232" s="9" t="s">
        <v>6314</v>
      </c>
      <c r="C232" s="9" t="s">
        <v>27675</v>
      </c>
      <c r="D232" s="114">
        <v>0.4583333333333333</v>
      </c>
      <c r="E232" s="115">
        <v>0.7083333333333334</v>
      </c>
      <c r="F232" s="116"/>
      <c r="G232" s="116"/>
      <c r="H232" s="9" t="b">
        <v>1</v>
      </c>
    </row>
    <row r="233" ht="15.75" customHeight="1">
      <c r="A233" s="9" t="s">
        <v>27812</v>
      </c>
      <c r="B233" s="9" t="s">
        <v>4952</v>
      </c>
      <c r="D233" s="114">
        <v>0.5</v>
      </c>
      <c r="E233" s="115">
        <v>0.4166666666666667</v>
      </c>
      <c r="F233" s="116"/>
      <c r="G233" s="116"/>
    </row>
    <row r="234" ht="15.75" customHeight="1">
      <c r="A234" s="9" t="s">
        <v>27813</v>
      </c>
      <c r="B234" s="9" t="s">
        <v>4935</v>
      </c>
      <c r="D234" s="114">
        <v>0.5</v>
      </c>
      <c r="E234" s="115">
        <v>0.4166666666666667</v>
      </c>
      <c r="F234" s="116"/>
      <c r="G234" s="116"/>
    </row>
    <row r="235" ht="15.75" customHeight="1">
      <c r="A235" s="9" t="s">
        <v>27814</v>
      </c>
      <c r="B235" s="9" t="s">
        <v>4674</v>
      </c>
      <c r="D235" s="114">
        <v>0.625</v>
      </c>
      <c r="E235" s="115">
        <v>0.4583333333333333</v>
      </c>
      <c r="F235" s="116"/>
      <c r="G235" s="116"/>
    </row>
    <row r="236" ht="15.75" customHeight="1">
      <c r="A236" s="9" t="s">
        <v>27815</v>
      </c>
      <c r="B236" s="9" t="s">
        <v>2568</v>
      </c>
      <c r="C236" s="9" t="s">
        <v>27719</v>
      </c>
      <c r="D236" s="114">
        <v>0.4791666666666667</v>
      </c>
      <c r="E236" s="115">
        <v>0.5833333333333334</v>
      </c>
      <c r="F236" s="115"/>
      <c r="G236" s="115"/>
      <c r="H236" s="9" t="b">
        <v>1</v>
      </c>
    </row>
    <row r="237" ht="15.75" customHeight="1">
      <c r="A237" s="9" t="s">
        <v>27816</v>
      </c>
      <c r="B237" s="9" t="s">
        <v>9972</v>
      </c>
      <c r="C237" s="9"/>
      <c r="D237" s="114">
        <v>0.4166666666666667</v>
      </c>
      <c r="E237" s="115"/>
      <c r="F237" s="115">
        <v>0.375</v>
      </c>
      <c r="G237" s="115">
        <v>0.75</v>
      </c>
      <c r="H237" s="9" t="b">
        <v>0</v>
      </c>
    </row>
    <row r="238" ht="15.75" customHeight="1">
      <c r="A238" s="9" t="s">
        <v>27817</v>
      </c>
      <c r="B238" s="9" t="s">
        <v>9087</v>
      </c>
      <c r="D238" s="114">
        <v>0.625</v>
      </c>
      <c r="E238" s="115">
        <v>0.4166666666666667</v>
      </c>
      <c r="F238" s="116"/>
      <c r="G238" s="116"/>
    </row>
    <row r="239" ht="15.75" customHeight="1">
      <c r="A239" s="9" t="s">
        <v>27818</v>
      </c>
      <c r="B239" s="9" t="s">
        <v>8549</v>
      </c>
      <c r="C239" s="9" t="s">
        <v>27562</v>
      </c>
      <c r="D239" s="114">
        <v>0.375</v>
      </c>
      <c r="E239" s="115">
        <v>0.5</v>
      </c>
      <c r="F239" s="115">
        <v>0.5833333333333334</v>
      </c>
      <c r="G239" s="115">
        <v>0.7291666666666666</v>
      </c>
      <c r="H239" s="9" t="b">
        <v>1</v>
      </c>
    </row>
    <row r="240" ht="15.75" customHeight="1">
      <c r="A240" s="9" t="s">
        <v>27819</v>
      </c>
      <c r="B240" s="9" t="s">
        <v>9577</v>
      </c>
      <c r="C240" s="9" t="s">
        <v>27562</v>
      </c>
      <c r="D240" s="114">
        <v>0.5833333333333334</v>
      </c>
      <c r="E240" s="115">
        <v>0.7291666666666666</v>
      </c>
      <c r="F240" s="115">
        <v>0.3541666666666667</v>
      </c>
      <c r="G240" s="115">
        <v>0.7291666666666666</v>
      </c>
      <c r="H240" s="9" t="b">
        <v>1</v>
      </c>
    </row>
    <row r="241" ht="15.75" customHeight="1">
      <c r="A241" s="9" t="s">
        <v>27820</v>
      </c>
      <c r="B241" s="9" t="s">
        <v>10591</v>
      </c>
      <c r="C241" s="9" t="s">
        <v>27666</v>
      </c>
      <c r="D241" s="114">
        <v>0.4166666666666667</v>
      </c>
      <c r="E241" s="116"/>
      <c r="F241" s="116"/>
      <c r="G241" s="116"/>
      <c r="H241" s="9" t="b">
        <v>1</v>
      </c>
    </row>
    <row r="242" ht="15.75" customHeight="1">
      <c r="A242" s="9" t="s">
        <v>27821</v>
      </c>
      <c r="B242" s="9" t="s">
        <v>722</v>
      </c>
      <c r="D242" s="114">
        <v>0.6666666666666666</v>
      </c>
      <c r="E242" s="115">
        <v>0.4583333333333333</v>
      </c>
      <c r="F242" s="116"/>
      <c r="G242" s="116"/>
    </row>
    <row r="243" ht="15.75" customHeight="1">
      <c r="A243" s="9" t="s">
        <v>27822</v>
      </c>
      <c r="B243" s="9" t="s">
        <v>9151</v>
      </c>
      <c r="C243" s="9" t="s">
        <v>27642</v>
      </c>
      <c r="D243" s="114">
        <v>0.375</v>
      </c>
      <c r="E243" s="115">
        <v>0.7916666666666666</v>
      </c>
      <c r="F243" s="116"/>
      <c r="G243" s="116"/>
      <c r="H243" s="9" t="b">
        <v>0</v>
      </c>
    </row>
    <row r="244" ht="15.75" customHeight="1">
      <c r="A244" s="9" t="s">
        <v>27823</v>
      </c>
      <c r="B244" s="9" t="s">
        <v>8153</v>
      </c>
      <c r="C244" s="9" t="s">
        <v>27562</v>
      </c>
      <c r="D244" s="114">
        <v>0.375</v>
      </c>
      <c r="E244" s="115">
        <v>0.5</v>
      </c>
      <c r="F244" s="115">
        <v>0.5833333333333334</v>
      </c>
      <c r="G244" s="115">
        <v>0.75</v>
      </c>
      <c r="H244" s="9" t="b">
        <v>1</v>
      </c>
    </row>
    <row r="245" ht="15.75" customHeight="1">
      <c r="A245" s="9" t="s">
        <v>27824</v>
      </c>
      <c r="B245" s="9" t="s">
        <v>605</v>
      </c>
      <c r="C245" s="9" t="s">
        <v>27825</v>
      </c>
      <c r="D245" s="114">
        <v>0.375</v>
      </c>
      <c r="E245" s="115">
        <v>0.7083333333333334</v>
      </c>
      <c r="F245" s="116"/>
      <c r="G245" s="116"/>
      <c r="H245" s="9" t="b">
        <v>1</v>
      </c>
    </row>
    <row r="246" ht="15.75" customHeight="1">
      <c r="A246" s="9" t="s">
        <v>27826</v>
      </c>
      <c r="B246" s="9" t="s">
        <v>9237</v>
      </c>
      <c r="D246" s="114">
        <v>0.625</v>
      </c>
      <c r="E246" s="115">
        <v>0.4583333333333333</v>
      </c>
      <c r="F246" s="116"/>
      <c r="G246" s="116"/>
    </row>
    <row r="247" ht="15.75" customHeight="1">
      <c r="A247" s="9" t="s">
        <v>27827</v>
      </c>
      <c r="B247" s="9" t="s">
        <v>9054</v>
      </c>
      <c r="D247" s="114">
        <v>0.625</v>
      </c>
      <c r="E247" s="115">
        <v>0.4583333333333333</v>
      </c>
      <c r="F247" s="116"/>
      <c r="G247" s="116"/>
    </row>
    <row r="248" ht="15.75" customHeight="1">
      <c r="A248" s="9" t="s">
        <v>27828</v>
      </c>
      <c r="B248" s="9" t="s">
        <v>11983</v>
      </c>
      <c r="C248" s="9" t="s">
        <v>27562</v>
      </c>
      <c r="D248" s="114">
        <v>0.7916666666666666</v>
      </c>
      <c r="E248" s="115">
        <v>0.875</v>
      </c>
      <c r="F248" s="116"/>
      <c r="G248" s="116"/>
      <c r="H248" s="9" t="b">
        <v>1</v>
      </c>
    </row>
    <row r="249" ht="15.75" customHeight="1">
      <c r="A249" s="9" t="s">
        <v>27829</v>
      </c>
      <c r="B249" s="9" t="s">
        <v>4000</v>
      </c>
      <c r="C249" s="9" t="s">
        <v>27562</v>
      </c>
      <c r="D249" s="114">
        <v>0.3333333333333333</v>
      </c>
      <c r="E249" s="115">
        <v>0.6666666666666666</v>
      </c>
      <c r="F249" s="116"/>
      <c r="G249" s="116"/>
      <c r="H249" s="9" t="b">
        <v>0</v>
      </c>
    </row>
    <row r="250" ht="15.75" customHeight="1">
      <c r="A250" s="9" t="s">
        <v>27830</v>
      </c>
      <c r="B250" s="9" t="s">
        <v>3810</v>
      </c>
      <c r="D250" s="114">
        <v>0.625</v>
      </c>
      <c r="E250" s="115">
        <v>0.4166666666666667</v>
      </c>
      <c r="F250" s="116"/>
      <c r="G250" s="116"/>
    </row>
    <row r="251" ht="15.75" customHeight="1">
      <c r="A251" s="9" t="s">
        <v>27831</v>
      </c>
      <c r="B251" s="9" t="s">
        <v>12027</v>
      </c>
      <c r="D251" s="114">
        <v>0.625</v>
      </c>
      <c r="E251" s="115">
        <v>0.4583333333333333</v>
      </c>
      <c r="F251" s="116"/>
      <c r="G251" s="116"/>
    </row>
    <row r="252" ht="15.75" customHeight="1">
      <c r="A252" s="9" t="s">
        <v>27832</v>
      </c>
      <c r="B252" s="9" t="s">
        <v>8926</v>
      </c>
      <c r="C252" s="9" t="s">
        <v>27562</v>
      </c>
      <c r="D252" s="117"/>
      <c r="E252" s="116"/>
      <c r="F252" s="116"/>
      <c r="G252" s="116"/>
    </row>
    <row r="253" ht="15.75" customHeight="1">
      <c r="A253" s="9" t="s">
        <v>27833</v>
      </c>
      <c r="B253" s="9" t="s">
        <v>3346</v>
      </c>
      <c r="C253" s="9" t="s">
        <v>27562</v>
      </c>
      <c r="D253" s="114">
        <v>0.375</v>
      </c>
      <c r="E253" s="115">
        <v>0.5</v>
      </c>
      <c r="F253" s="115">
        <v>0.5833333333333334</v>
      </c>
      <c r="G253" s="115">
        <v>0.7083333333333334</v>
      </c>
      <c r="H253" s="9" t="b">
        <v>0</v>
      </c>
    </row>
    <row r="254" ht="15.75" customHeight="1">
      <c r="A254" s="9" t="s">
        <v>27834</v>
      </c>
      <c r="B254" s="9" t="s">
        <v>2933</v>
      </c>
      <c r="C254" s="9" t="s">
        <v>27562</v>
      </c>
      <c r="D254" s="114">
        <v>0.3333333333333333</v>
      </c>
      <c r="E254" s="115">
        <v>0.7916666666666666</v>
      </c>
      <c r="F254" s="116"/>
      <c r="G254" s="116"/>
    </row>
    <row r="255" ht="15.75" customHeight="1">
      <c r="A255" s="9" t="s">
        <v>27835</v>
      </c>
      <c r="B255" s="9" t="s">
        <v>2848</v>
      </c>
      <c r="C255" s="9" t="s">
        <v>27572</v>
      </c>
      <c r="D255" s="114">
        <v>0.375</v>
      </c>
      <c r="E255" s="115">
        <v>0.5</v>
      </c>
      <c r="F255" s="115">
        <v>0.5833333333333334</v>
      </c>
      <c r="G255" s="115">
        <v>0.7291666666666666</v>
      </c>
    </row>
    <row r="256" ht="15.75" customHeight="1">
      <c r="A256" s="9" t="s">
        <v>27836</v>
      </c>
      <c r="B256" s="9" t="s">
        <v>2848</v>
      </c>
      <c r="C256" s="9" t="s">
        <v>27585</v>
      </c>
      <c r="D256" s="114">
        <v>0.375</v>
      </c>
      <c r="E256" s="115">
        <v>0.5</v>
      </c>
      <c r="F256" s="115">
        <v>0.5833333333333334</v>
      </c>
      <c r="G256" s="115">
        <v>0.7083333333333334</v>
      </c>
    </row>
    <row r="257" ht="15.75" customHeight="1">
      <c r="A257" s="9" t="s">
        <v>27837</v>
      </c>
      <c r="B257" s="9" t="s">
        <v>5676</v>
      </c>
      <c r="C257" s="9" t="s">
        <v>27838</v>
      </c>
      <c r="D257" s="114">
        <v>0.375</v>
      </c>
      <c r="E257" s="115">
        <v>0.6458333333333334</v>
      </c>
      <c r="F257" s="116"/>
      <c r="G257" s="116"/>
    </row>
    <row r="258" ht="15.75" customHeight="1">
      <c r="A258" s="9" t="s">
        <v>27839</v>
      </c>
      <c r="B258" s="9" t="s">
        <v>5676</v>
      </c>
      <c r="C258" s="9" t="s">
        <v>27838</v>
      </c>
      <c r="D258" s="117"/>
      <c r="E258" s="116"/>
      <c r="F258" s="116"/>
      <c r="G258" s="116"/>
      <c r="H258" s="9" t="b">
        <v>1</v>
      </c>
    </row>
    <row r="259" ht="15.75" customHeight="1">
      <c r="A259" s="9" t="s">
        <v>27840</v>
      </c>
      <c r="B259" s="9" t="s">
        <v>5067</v>
      </c>
      <c r="C259" s="9" t="s">
        <v>27562</v>
      </c>
      <c r="D259" s="117"/>
      <c r="E259" s="116"/>
      <c r="F259" s="116"/>
      <c r="G259" s="116"/>
      <c r="H259" s="9" t="b">
        <v>1</v>
      </c>
    </row>
    <row r="260" ht="15.75" customHeight="1">
      <c r="A260" s="9" t="s">
        <v>27841</v>
      </c>
      <c r="B260" s="9" t="s">
        <v>10486</v>
      </c>
      <c r="D260" s="114">
        <v>0.625</v>
      </c>
      <c r="E260" s="115">
        <v>0.4583333333333333</v>
      </c>
      <c r="F260" s="116"/>
      <c r="G260" s="116"/>
    </row>
    <row r="261" ht="15.75" customHeight="1">
      <c r="A261" s="9" t="s">
        <v>27842</v>
      </c>
      <c r="B261" s="9" t="s">
        <v>11660</v>
      </c>
      <c r="D261" s="114">
        <v>0.625</v>
      </c>
      <c r="E261" s="115">
        <v>0.4583333333333333</v>
      </c>
      <c r="F261" s="116"/>
      <c r="G261" s="116"/>
    </row>
    <row r="262" ht="15.75" customHeight="1">
      <c r="A262" s="9" t="s">
        <v>27843</v>
      </c>
      <c r="B262" s="9" t="s">
        <v>11645</v>
      </c>
      <c r="D262" s="114">
        <v>0.625</v>
      </c>
      <c r="E262" s="115">
        <v>0.4583333333333333</v>
      </c>
      <c r="F262" s="116"/>
      <c r="G262" s="116"/>
    </row>
    <row r="263" ht="15.75" customHeight="1">
      <c r="A263" s="9" t="s">
        <v>27844</v>
      </c>
      <c r="B263" s="9" t="s">
        <v>10600</v>
      </c>
      <c r="D263" s="114">
        <v>0.6666666666666666</v>
      </c>
      <c r="E263" s="115">
        <v>0.5416666666666666</v>
      </c>
      <c r="F263" s="116"/>
      <c r="G263" s="116"/>
    </row>
    <row r="264" ht="15.75" customHeight="1">
      <c r="A264" s="9" t="s">
        <v>27845</v>
      </c>
      <c r="B264" s="9" t="s">
        <v>11870</v>
      </c>
      <c r="D264" s="114">
        <v>0.625</v>
      </c>
      <c r="E264" s="115">
        <v>0.4166666666666667</v>
      </c>
      <c r="F264" s="116"/>
      <c r="G264" s="116"/>
    </row>
    <row r="265" ht="15.75" customHeight="1">
      <c r="A265" s="9" t="s">
        <v>27846</v>
      </c>
      <c r="B265" s="9" t="s">
        <v>8956</v>
      </c>
      <c r="C265" s="9" t="s">
        <v>27562</v>
      </c>
      <c r="D265" s="114">
        <v>0.375</v>
      </c>
      <c r="E265" s="115">
        <v>0.5833333333333334</v>
      </c>
      <c r="F265" s="116"/>
      <c r="G265" s="116"/>
    </row>
    <row r="266" ht="15.75" customHeight="1">
      <c r="A266" s="9" t="s">
        <v>27847</v>
      </c>
      <c r="B266" s="9" t="s">
        <v>12061</v>
      </c>
      <c r="D266" s="114">
        <v>0.4583333333333333</v>
      </c>
      <c r="E266" s="115">
        <v>0.625</v>
      </c>
      <c r="F266" s="116"/>
      <c r="G266" s="116"/>
    </row>
    <row r="267" ht="15.75" customHeight="1">
      <c r="A267" s="9" t="s">
        <v>27848</v>
      </c>
      <c r="B267" s="9" t="s">
        <v>12030</v>
      </c>
      <c r="D267" s="114">
        <v>0.5833333333333334</v>
      </c>
      <c r="E267" s="115">
        <v>0.4583333333333333</v>
      </c>
      <c r="F267" s="116"/>
      <c r="G267" s="116"/>
    </row>
    <row r="268" ht="15.75" customHeight="1">
      <c r="A268" s="9" t="s">
        <v>27849</v>
      </c>
      <c r="B268" s="9" t="s">
        <v>10564</v>
      </c>
      <c r="C268" s="9" t="s">
        <v>27850</v>
      </c>
      <c r="D268" s="114">
        <v>0.4166666666666667</v>
      </c>
      <c r="E268" s="115">
        <v>0.5416666666666666</v>
      </c>
      <c r="F268" s="115">
        <v>0.5833333333333334</v>
      </c>
      <c r="G268" s="115">
        <v>0.7083333333333334</v>
      </c>
      <c r="H268" s="9" t="b">
        <v>1</v>
      </c>
    </row>
    <row r="269" ht="15.75" customHeight="1">
      <c r="A269" s="9" t="s">
        <v>27851</v>
      </c>
      <c r="B269" s="9" t="s">
        <v>11795</v>
      </c>
      <c r="C269" s="9" t="s">
        <v>27648</v>
      </c>
      <c r="D269" s="114">
        <v>0.375</v>
      </c>
      <c r="E269" s="115">
        <v>0.5</v>
      </c>
      <c r="F269" s="115">
        <v>0.625</v>
      </c>
      <c r="G269" s="115">
        <v>0.75</v>
      </c>
      <c r="H269" s="9" t="b">
        <v>1</v>
      </c>
    </row>
    <row r="270" ht="15.75" customHeight="1">
      <c r="A270" s="9" t="s">
        <v>27852</v>
      </c>
      <c r="B270" s="9" t="s">
        <v>10533</v>
      </c>
      <c r="D270" s="114">
        <v>0.6458333333333334</v>
      </c>
      <c r="E270" s="115">
        <v>0.4166666666666667</v>
      </c>
      <c r="F270" s="116"/>
      <c r="G270" s="116"/>
    </row>
    <row r="271" ht="15.75" customHeight="1">
      <c r="A271" s="9" t="s">
        <v>27853</v>
      </c>
      <c r="B271" s="9" t="s">
        <v>10531</v>
      </c>
      <c r="D271" s="114">
        <v>0.7083333333333334</v>
      </c>
      <c r="E271" s="115">
        <v>0.4583333333333333</v>
      </c>
      <c r="F271" s="116"/>
      <c r="G271" s="116"/>
    </row>
    <row r="272" ht="15.75" customHeight="1">
      <c r="A272" s="9" t="s">
        <v>27854</v>
      </c>
      <c r="B272" s="9" t="s">
        <v>10368</v>
      </c>
      <c r="D272" s="114">
        <v>0.625</v>
      </c>
      <c r="E272" s="115">
        <v>0.4583333333333333</v>
      </c>
      <c r="F272" s="116"/>
      <c r="G272" s="116"/>
    </row>
    <row r="273" ht="15.75" customHeight="1">
      <c r="A273" s="9" t="s">
        <v>27855</v>
      </c>
      <c r="B273" s="9" t="s">
        <v>10711</v>
      </c>
      <c r="D273" s="114">
        <v>0.5833333333333334</v>
      </c>
      <c r="E273" s="115">
        <v>0.4583333333333333</v>
      </c>
      <c r="F273" s="116"/>
      <c r="G273" s="116"/>
    </row>
    <row r="274" ht="15.75" customHeight="1">
      <c r="A274" s="9" t="s">
        <v>27856</v>
      </c>
      <c r="B274" s="9" t="s">
        <v>10715</v>
      </c>
      <c r="D274" s="114">
        <v>0.5833333333333334</v>
      </c>
      <c r="E274" s="115">
        <v>0.4583333333333333</v>
      </c>
      <c r="F274" s="116"/>
      <c r="G274" s="116"/>
    </row>
    <row r="275" ht="15.75" customHeight="1">
      <c r="A275" s="9" t="s">
        <v>27857</v>
      </c>
      <c r="B275" s="9" t="s">
        <v>12146</v>
      </c>
      <c r="D275" s="114">
        <v>0.625</v>
      </c>
      <c r="E275" s="115">
        <v>0.4583333333333333</v>
      </c>
      <c r="F275" s="116"/>
      <c r="G275" s="116"/>
    </row>
    <row r="276" ht="15.75" customHeight="1">
      <c r="A276" s="9" t="s">
        <v>27858</v>
      </c>
      <c r="B276" s="9" t="s">
        <v>11864</v>
      </c>
      <c r="D276" s="114">
        <v>0.5833333333333334</v>
      </c>
      <c r="E276" s="115">
        <v>0.4583333333333333</v>
      </c>
      <c r="F276" s="116"/>
      <c r="G276" s="116"/>
    </row>
    <row r="277" ht="15.75" customHeight="1">
      <c r="A277" s="9" t="s">
        <v>27859</v>
      </c>
      <c r="B277" s="9" t="s">
        <v>9571</v>
      </c>
      <c r="D277" s="114">
        <v>0.625</v>
      </c>
      <c r="E277" s="115">
        <v>0.4583333333333333</v>
      </c>
      <c r="F277" s="116"/>
      <c r="G277" s="116"/>
    </row>
    <row r="278" ht="15.75" customHeight="1">
      <c r="A278" s="9" t="s">
        <v>27860</v>
      </c>
      <c r="B278" s="9" t="s">
        <v>11887</v>
      </c>
      <c r="D278" s="114">
        <v>0.6666666666666666</v>
      </c>
      <c r="E278" s="115">
        <v>0.4375</v>
      </c>
      <c r="F278" s="116"/>
      <c r="G278" s="116"/>
    </row>
    <row r="279" ht="15.75" customHeight="1">
      <c r="A279" s="9" t="s">
        <v>27861</v>
      </c>
      <c r="B279" s="9" t="s">
        <v>7511</v>
      </c>
      <c r="D279" s="114">
        <v>0.5833333333333334</v>
      </c>
      <c r="E279" s="115">
        <v>0.4166666666666667</v>
      </c>
      <c r="F279" s="116"/>
      <c r="G279" s="116"/>
    </row>
    <row r="280" ht="15.75" customHeight="1">
      <c r="A280" s="9" t="s">
        <v>27862</v>
      </c>
      <c r="B280" s="9" t="s">
        <v>7600</v>
      </c>
      <c r="D280" s="114">
        <v>0.6666666666666666</v>
      </c>
      <c r="E280" s="115">
        <v>0.4583333333333333</v>
      </c>
      <c r="F280" s="116"/>
      <c r="G280" s="116"/>
    </row>
    <row r="281" ht="15.75" customHeight="1">
      <c r="A281" s="9" t="s">
        <v>27863</v>
      </c>
      <c r="B281" s="9" t="s">
        <v>10594</v>
      </c>
      <c r="D281" s="114">
        <v>0.625</v>
      </c>
      <c r="E281" s="115">
        <v>0.4166666666666667</v>
      </c>
      <c r="F281" s="116"/>
      <c r="G281" s="116"/>
    </row>
    <row r="282" ht="15.75" customHeight="1">
      <c r="A282" s="9" t="s">
        <v>27864</v>
      </c>
      <c r="B282" s="9" t="s">
        <v>10161</v>
      </c>
      <c r="C282" s="9" t="s">
        <v>27572</v>
      </c>
      <c r="D282" s="114">
        <v>0.3333333333333333</v>
      </c>
      <c r="E282" s="115">
        <v>0.5</v>
      </c>
      <c r="F282" s="115">
        <v>0.5</v>
      </c>
      <c r="G282" s="115">
        <v>0.625</v>
      </c>
      <c r="H282" s="9" t="b">
        <v>1</v>
      </c>
    </row>
    <row r="283" ht="15.75" customHeight="1">
      <c r="A283" s="9" t="s">
        <v>27865</v>
      </c>
      <c r="B283" s="9" t="s">
        <v>12038</v>
      </c>
      <c r="C283" s="9" t="s">
        <v>27866</v>
      </c>
      <c r="D283" s="114">
        <v>0.4375</v>
      </c>
      <c r="E283" s="115">
        <v>0.875</v>
      </c>
      <c r="F283" s="116"/>
      <c r="G283" s="116"/>
      <c r="H283" s="9" t="b">
        <v>0</v>
      </c>
    </row>
    <row r="284" ht="15.75" customHeight="1">
      <c r="A284" s="9" t="s">
        <v>27867</v>
      </c>
      <c r="B284" s="9" t="s">
        <v>12038</v>
      </c>
      <c r="C284" s="9" t="s">
        <v>27578</v>
      </c>
      <c r="D284" s="114">
        <v>0.4375</v>
      </c>
      <c r="E284" s="115">
        <v>0.9166666666666666</v>
      </c>
      <c r="F284" s="116"/>
      <c r="G284" s="116"/>
      <c r="H284" s="9" t="b">
        <v>0</v>
      </c>
    </row>
    <row r="285" ht="15.75" customHeight="1">
      <c r="A285" s="9" t="s">
        <v>27868</v>
      </c>
      <c r="B285" s="9" t="s">
        <v>11680</v>
      </c>
      <c r="D285" s="114">
        <v>0.7083333333333334</v>
      </c>
      <c r="E285" s="115">
        <v>0.375</v>
      </c>
      <c r="F285" s="116"/>
      <c r="G285" s="116"/>
    </row>
    <row r="286" ht="15.75" customHeight="1">
      <c r="A286" s="9" t="s">
        <v>27869</v>
      </c>
      <c r="B286" s="9" t="s">
        <v>12020</v>
      </c>
      <c r="D286" s="114">
        <v>0.4166666666666667</v>
      </c>
      <c r="E286" s="115">
        <v>0.375</v>
      </c>
      <c r="F286" s="116"/>
      <c r="G286" s="116"/>
    </row>
    <row r="287" ht="15.75" customHeight="1">
      <c r="A287" s="9" t="s">
        <v>27870</v>
      </c>
      <c r="B287" s="9" t="s">
        <v>12170</v>
      </c>
      <c r="D287" s="114">
        <v>0.4166666666666667</v>
      </c>
      <c r="E287" s="115">
        <v>0.375</v>
      </c>
      <c r="F287" s="116"/>
      <c r="G287" s="116"/>
    </row>
    <row r="288" ht="15.75" customHeight="1">
      <c r="A288" s="9" t="s">
        <v>27871</v>
      </c>
      <c r="B288" s="9" t="s">
        <v>10420</v>
      </c>
      <c r="D288" s="114">
        <v>0.4166666666666667</v>
      </c>
      <c r="E288" s="115">
        <v>0.375</v>
      </c>
      <c r="F288" s="116"/>
      <c r="G288" s="116"/>
    </row>
    <row r="289" ht="15.75" customHeight="1">
      <c r="A289" s="9" t="s">
        <v>27872</v>
      </c>
      <c r="B289" s="9" t="s">
        <v>10271</v>
      </c>
      <c r="D289" s="114">
        <v>0.625</v>
      </c>
      <c r="E289" s="115">
        <v>0.5</v>
      </c>
      <c r="F289" s="116"/>
      <c r="G289" s="116"/>
    </row>
    <row r="290" ht="15.75" customHeight="1">
      <c r="A290" s="9" t="s">
        <v>27873</v>
      </c>
      <c r="B290" s="9" t="s">
        <v>11987</v>
      </c>
      <c r="D290" s="114">
        <v>0.625</v>
      </c>
      <c r="E290" s="115">
        <v>0.4583333333333333</v>
      </c>
      <c r="F290" s="116"/>
      <c r="G290" s="116"/>
    </row>
    <row r="291" ht="15.75" customHeight="1">
      <c r="A291" s="52" t="s">
        <v>27874</v>
      </c>
      <c r="B291" s="9" t="s">
        <v>10745</v>
      </c>
      <c r="D291" s="114">
        <v>0.5833333333333334</v>
      </c>
      <c r="E291" s="115">
        <v>0.625</v>
      </c>
      <c r="F291" s="116"/>
      <c r="G291" s="116"/>
    </row>
    <row r="292" ht="15.75" customHeight="1">
      <c r="A292" s="9" t="s">
        <v>27875</v>
      </c>
      <c r="B292" s="9" t="s">
        <v>12024</v>
      </c>
      <c r="D292" s="114">
        <v>0.5833333333333334</v>
      </c>
      <c r="E292" s="115">
        <v>0.4583333333333333</v>
      </c>
      <c r="F292" s="116"/>
      <c r="G292" s="116"/>
    </row>
    <row r="293" ht="15.75" customHeight="1">
      <c r="A293" s="9" t="s">
        <v>27876</v>
      </c>
      <c r="B293" s="9" t="s">
        <v>12080</v>
      </c>
      <c r="C293" s="9" t="s">
        <v>27562</v>
      </c>
      <c r="D293" s="114"/>
      <c r="E293" s="115"/>
      <c r="F293" s="116"/>
      <c r="G293" s="116"/>
      <c r="H293" s="9" t="b">
        <v>1</v>
      </c>
    </row>
    <row r="294" ht="15.75" customHeight="1">
      <c r="A294" s="9" t="s">
        <v>27877</v>
      </c>
      <c r="B294" s="9" t="s">
        <v>11992</v>
      </c>
      <c r="D294" s="114">
        <v>0.625</v>
      </c>
      <c r="E294" s="115">
        <v>0.4583333333333333</v>
      </c>
      <c r="F294" s="116"/>
      <c r="G294" s="116"/>
    </row>
    <row r="295" ht="15.75" customHeight="1">
      <c r="A295" s="9" t="s">
        <v>27878</v>
      </c>
      <c r="B295" s="9" t="s">
        <v>2736</v>
      </c>
      <c r="D295" s="114">
        <v>0.6666666666666666</v>
      </c>
      <c r="E295" s="115">
        <v>0.4375</v>
      </c>
      <c r="F295" s="116"/>
      <c r="G295" s="116"/>
    </row>
    <row r="296" ht="15.75" customHeight="1">
      <c r="A296" s="9" t="s">
        <v>27879</v>
      </c>
      <c r="B296" s="9" t="s">
        <v>11813</v>
      </c>
      <c r="C296" s="9" t="s">
        <v>27719</v>
      </c>
      <c r="D296" s="114">
        <v>0.4166666666666667</v>
      </c>
      <c r="E296" s="115">
        <v>0.7083333333333334</v>
      </c>
      <c r="F296" s="115"/>
      <c r="G296" s="115"/>
      <c r="H296" s="9" t="b">
        <v>0</v>
      </c>
    </row>
    <row r="297" ht="15.75" customHeight="1">
      <c r="A297" s="9" t="s">
        <v>27880</v>
      </c>
      <c r="B297" s="9" t="s">
        <v>11813</v>
      </c>
      <c r="C297" s="9" t="s">
        <v>27578</v>
      </c>
      <c r="D297" s="114">
        <v>0.4166666666666667</v>
      </c>
      <c r="E297" s="115">
        <v>0.875</v>
      </c>
      <c r="F297" s="116"/>
      <c r="G297" s="116"/>
      <c r="H297" s="9" t="b">
        <v>0</v>
      </c>
    </row>
    <row r="298" ht="15.75" customHeight="1">
      <c r="A298" s="9" t="s">
        <v>27881</v>
      </c>
      <c r="B298" s="9" t="s">
        <v>11903</v>
      </c>
      <c r="C298" s="9" t="s">
        <v>27648</v>
      </c>
      <c r="D298" s="117"/>
      <c r="E298" s="116"/>
      <c r="F298" s="116"/>
      <c r="G298" s="116"/>
      <c r="H298" s="9" t="b">
        <v>1</v>
      </c>
    </row>
    <row r="299" ht="15.75" customHeight="1">
      <c r="A299" s="9" t="s">
        <v>27882</v>
      </c>
      <c r="B299" s="9" t="s">
        <v>7328</v>
      </c>
      <c r="D299" s="114">
        <v>0.5833333333333334</v>
      </c>
      <c r="E299" s="115">
        <v>0.4583333333333333</v>
      </c>
      <c r="F299" s="116"/>
      <c r="G299" s="116"/>
    </row>
    <row r="300" ht="15.75" customHeight="1">
      <c r="A300" s="9" t="s">
        <v>27883</v>
      </c>
      <c r="B300" s="9" t="s">
        <v>6255</v>
      </c>
      <c r="D300" s="114">
        <v>0.5833333333333334</v>
      </c>
      <c r="E300" s="115">
        <v>0.5</v>
      </c>
      <c r="F300" s="116"/>
      <c r="G300" s="116"/>
    </row>
    <row r="301" ht="15.75" customHeight="1">
      <c r="A301" s="9" t="s">
        <v>27884</v>
      </c>
      <c r="B301" s="9" t="s">
        <v>3436</v>
      </c>
      <c r="D301" s="114">
        <v>0.625</v>
      </c>
      <c r="E301" s="115">
        <v>0.4583333333333333</v>
      </c>
      <c r="F301" s="116"/>
      <c r="G301" s="116"/>
    </row>
    <row r="302" ht="15.75" customHeight="1">
      <c r="A302" s="9" t="s">
        <v>27885</v>
      </c>
      <c r="B302" s="9" t="s">
        <v>3455</v>
      </c>
      <c r="D302" s="114">
        <v>0.625</v>
      </c>
      <c r="E302" s="115">
        <v>0.4583333333333333</v>
      </c>
      <c r="F302" s="116"/>
      <c r="G302" s="116"/>
    </row>
    <row r="303" ht="15.75" customHeight="1">
      <c r="A303" s="9" t="s">
        <v>27886</v>
      </c>
      <c r="B303" s="9" t="s">
        <v>3464</v>
      </c>
      <c r="D303" s="114">
        <v>0.625</v>
      </c>
      <c r="E303" s="115">
        <v>0.4583333333333333</v>
      </c>
      <c r="F303" s="116"/>
      <c r="G303" s="116"/>
    </row>
    <row r="304" ht="15.75" customHeight="1">
      <c r="A304" s="9" t="s">
        <v>27887</v>
      </c>
      <c r="B304" s="9" t="s">
        <v>12050</v>
      </c>
      <c r="C304" s="9" t="s">
        <v>27562</v>
      </c>
      <c r="D304" s="117"/>
      <c r="E304" s="116"/>
      <c r="F304" s="116"/>
      <c r="G304" s="116"/>
      <c r="H304" s="9" t="b">
        <v>1</v>
      </c>
    </row>
    <row r="305" ht="15.75" customHeight="1">
      <c r="A305" s="9" t="s">
        <v>27888</v>
      </c>
      <c r="B305" s="9" t="s">
        <v>6444</v>
      </c>
      <c r="C305" s="9" t="s">
        <v>27838</v>
      </c>
      <c r="D305" s="114">
        <v>0.4791666666666667</v>
      </c>
      <c r="E305" s="115">
        <v>0.5833333333333334</v>
      </c>
      <c r="F305" s="116"/>
      <c r="G305" s="116"/>
      <c r="H305" s="9" t="b">
        <v>0</v>
      </c>
    </row>
    <row r="306" ht="15.75" customHeight="1">
      <c r="A306" s="9" t="s">
        <v>27889</v>
      </c>
      <c r="B306" s="9" t="s">
        <v>2814</v>
      </c>
      <c r="D306" s="114">
        <v>0.5833333333333334</v>
      </c>
      <c r="E306" s="115">
        <v>0.4583333333333333</v>
      </c>
      <c r="F306" s="116"/>
      <c r="G306" s="116"/>
    </row>
    <row r="307" ht="15.75" customHeight="1">
      <c r="A307" s="9" t="s">
        <v>27890</v>
      </c>
      <c r="B307" s="9" t="s">
        <v>9522</v>
      </c>
      <c r="D307" s="114">
        <v>0.7083333333333334</v>
      </c>
      <c r="E307" s="115">
        <v>0.7083333333333334</v>
      </c>
      <c r="F307" s="116"/>
      <c r="G307" s="116"/>
    </row>
    <row r="308" ht="15.75" customHeight="1">
      <c r="A308" s="9" t="s">
        <v>27891</v>
      </c>
      <c r="B308" s="52" t="s">
        <v>16638</v>
      </c>
      <c r="D308" s="114">
        <v>0.625</v>
      </c>
      <c r="E308" s="115">
        <v>0.4583333333333333</v>
      </c>
      <c r="F308" s="116"/>
      <c r="G308" s="116"/>
    </row>
    <row r="309" ht="15.75" customHeight="1">
      <c r="A309" s="9" t="s">
        <v>27892</v>
      </c>
      <c r="B309" s="9" t="s">
        <v>11813</v>
      </c>
      <c r="C309" s="9" t="s">
        <v>27576</v>
      </c>
      <c r="D309" s="114">
        <v>0.375</v>
      </c>
      <c r="E309" s="115">
        <v>0.7083333333333334</v>
      </c>
      <c r="F309" s="116"/>
      <c r="G309" s="116"/>
      <c r="H309" s="9" t="b">
        <v>0</v>
      </c>
    </row>
    <row r="310" ht="15.75" customHeight="1">
      <c r="A310" s="9" t="s">
        <v>27893</v>
      </c>
      <c r="B310" s="9" t="s">
        <v>9268</v>
      </c>
      <c r="D310" s="114">
        <v>0.5833333333333334</v>
      </c>
      <c r="E310" s="115">
        <v>0.4166666666666667</v>
      </c>
      <c r="F310" s="116"/>
      <c r="G310" s="116"/>
    </row>
    <row r="311" ht="15.75" customHeight="1">
      <c r="A311" s="9" t="s">
        <v>27894</v>
      </c>
      <c r="B311" s="9" t="s">
        <v>12115</v>
      </c>
      <c r="D311" s="114">
        <v>0.5833333333333334</v>
      </c>
      <c r="E311" s="115">
        <v>0.4166666666666667</v>
      </c>
      <c r="F311" s="116"/>
      <c r="G311" s="116"/>
    </row>
    <row r="312" ht="15.75" customHeight="1">
      <c r="A312" s="9" t="s">
        <v>27895</v>
      </c>
      <c r="B312" s="9" t="s">
        <v>11971</v>
      </c>
      <c r="C312" s="9" t="s">
        <v>27642</v>
      </c>
      <c r="D312" s="114">
        <v>0.375</v>
      </c>
      <c r="E312" s="115">
        <v>0.7083333333333334</v>
      </c>
      <c r="F312" s="116"/>
      <c r="G312" s="116"/>
      <c r="H312" s="9" t="b">
        <v>1</v>
      </c>
    </row>
    <row r="313" ht="15.75" customHeight="1">
      <c r="A313" s="9" t="s">
        <v>27896</v>
      </c>
      <c r="B313" s="9" t="s">
        <v>256</v>
      </c>
      <c r="D313" s="114">
        <v>0.5833333333333334</v>
      </c>
      <c r="E313" s="115">
        <v>0.4583333333333333</v>
      </c>
      <c r="F313" s="116"/>
      <c r="G313" s="116"/>
    </row>
    <row r="314" ht="15.75" customHeight="1">
      <c r="A314" s="9" t="s">
        <v>27897</v>
      </c>
      <c r="B314" s="52" t="s">
        <v>15642</v>
      </c>
      <c r="D314" s="114">
        <v>0.625</v>
      </c>
      <c r="E314" s="115">
        <v>0.4583333333333333</v>
      </c>
      <c r="F314" s="116"/>
      <c r="G314" s="116"/>
    </row>
    <row r="315" ht="15.75" customHeight="1">
      <c r="A315" s="9" t="s">
        <v>27898</v>
      </c>
      <c r="B315" s="9" t="s">
        <v>10498</v>
      </c>
      <c r="D315" s="114">
        <v>0.6666666666666666</v>
      </c>
      <c r="E315" s="115">
        <v>0.4166666666666667</v>
      </c>
      <c r="F315" s="116"/>
      <c r="G315" s="116"/>
    </row>
    <row r="316" ht="15.75" customHeight="1">
      <c r="A316" s="9" t="s">
        <v>27899</v>
      </c>
      <c r="B316" s="9" t="s">
        <v>12041</v>
      </c>
      <c r="D316" s="114">
        <v>0.5833333333333334</v>
      </c>
      <c r="E316" s="115">
        <v>0.4166666666666667</v>
      </c>
      <c r="F316" s="116"/>
      <c r="G316" s="116"/>
    </row>
    <row r="317" ht="15.75" customHeight="1">
      <c r="A317" s="9" t="s">
        <v>27900</v>
      </c>
      <c r="B317" s="9" t="s">
        <v>5633</v>
      </c>
      <c r="C317" s="9" t="s">
        <v>27838</v>
      </c>
      <c r="D317" s="114">
        <v>0.5</v>
      </c>
      <c r="E317" s="115">
        <v>0.7083333333333334</v>
      </c>
      <c r="F317" s="115">
        <v>0.5</v>
      </c>
      <c r="G317" s="115">
        <v>0.7083333333333334</v>
      </c>
      <c r="H317" s="9" t="b">
        <v>1</v>
      </c>
    </row>
    <row r="318" ht="15.75" customHeight="1">
      <c r="A318" s="9" t="s">
        <v>27901</v>
      </c>
      <c r="B318" s="9" t="s">
        <v>1530</v>
      </c>
      <c r="C318" s="9" t="s">
        <v>27902</v>
      </c>
      <c r="D318" s="114">
        <v>0.5</v>
      </c>
      <c r="E318" s="115">
        <v>0.5833333333333334</v>
      </c>
      <c r="F318" s="115">
        <v>0.5</v>
      </c>
      <c r="G318" s="115">
        <v>0.5833333333333334</v>
      </c>
      <c r="H318" s="9" t="b">
        <v>1</v>
      </c>
    </row>
    <row r="319" ht="15.75" customHeight="1">
      <c r="A319" s="9" t="s">
        <v>27903</v>
      </c>
      <c r="B319" s="9" t="s">
        <v>6989</v>
      </c>
      <c r="C319" s="9" t="s">
        <v>27562</v>
      </c>
      <c r="D319" s="114">
        <v>0.4166666666666667</v>
      </c>
      <c r="E319" s="115">
        <v>0.625</v>
      </c>
      <c r="F319" s="115">
        <v>0.625</v>
      </c>
      <c r="G319" s="115">
        <v>0.75</v>
      </c>
      <c r="H319" s="9" t="b">
        <v>1</v>
      </c>
    </row>
    <row r="320" ht="15.75" customHeight="1">
      <c r="A320" s="9" t="s">
        <v>27904</v>
      </c>
      <c r="B320" s="9" t="s">
        <v>6209</v>
      </c>
      <c r="D320" s="117"/>
      <c r="E320" s="116"/>
      <c r="F320" s="116"/>
      <c r="G320" s="116"/>
      <c r="H320" s="9" t="b">
        <v>1</v>
      </c>
    </row>
    <row r="321" ht="15.75" customHeight="1">
      <c r="A321" s="9" t="s">
        <v>27905</v>
      </c>
      <c r="B321" s="9" t="s">
        <v>2181</v>
      </c>
      <c r="C321" s="9" t="s">
        <v>27562</v>
      </c>
      <c r="D321" s="114">
        <v>0.4791666666666667</v>
      </c>
      <c r="E321" s="115">
        <v>0.6666666666666666</v>
      </c>
      <c r="F321" s="116"/>
      <c r="G321" s="116"/>
      <c r="H321" s="9" t="b">
        <v>1</v>
      </c>
    </row>
    <row r="322" ht="15.75" customHeight="1">
      <c r="A322" s="9" t="s">
        <v>27906</v>
      </c>
      <c r="B322" s="9" t="s">
        <v>1013</v>
      </c>
      <c r="D322" s="114">
        <v>0.625</v>
      </c>
      <c r="E322" s="115">
        <v>0.4166666666666667</v>
      </c>
      <c r="F322" s="116"/>
      <c r="G322" s="116"/>
    </row>
    <row r="323" ht="15.75" customHeight="1">
      <c r="A323" s="9" t="s">
        <v>27907</v>
      </c>
      <c r="B323" s="9" t="s">
        <v>997</v>
      </c>
      <c r="C323" s="9" t="s">
        <v>27562</v>
      </c>
      <c r="D323" s="114">
        <v>0.5</v>
      </c>
      <c r="E323" s="115">
        <v>0.6666666666666666</v>
      </c>
      <c r="F323" s="115">
        <v>0.7916666666666666</v>
      </c>
      <c r="G323" s="115">
        <v>0.875</v>
      </c>
      <c r="H323" s="9" t="b">
        <v>1</v>
      </c>
    </row>
    <row r="324" ht="15.75" customHeight="1">
      <c r="A324" s="9" t="s">
        <v>27908</v>
      </c>
      <c r="B324" s="9" t="s">
        <v>11979</v>
      </c>
      <c r="C324" s="9" t="s">
        <v>27850</v>
      </c>
      <c r="D324" s="114">
        <v>0.4166666666666667</v>
      </c>
      <c r="E324" s="115">
        <v>0.5833333333333334</v>
      </c>
      <c r="F324" s="115">
        <v>0.75</v>
      </c>
      <c r="G324" s="115">
        <v>0.9166666666666666</v>
      </c>
      <c r="H324" s="9" t="b">
        <v>1</v>
      </c>
    </row>
    <row r="325" ht="15.75" customHeight="1">
      <c r="A325" s="9" t="s">
        <v>27909</v>
      </c>
      <c r="B325" s="9" t="s">
        <v>1919</v>
      </c>
      <c r="C325" s="9" t="s">
        <v>27675</v>
      </c>
      <c r="D325" s="114">
        <v>0.5</v>
      </c>
      <c r="E325" s="115">
        <v>0.625</v>
      </c>
      <c r="F325" s="115">
        <v>0.5</v>
      </c>
      <c r="G325" s="115">
        <v>0.625</v>
      </c>
      <c r="H325" s="9" t="b">
        <v>1</v>
      </c>
    </row>
    <row r="326" ht="15.75" customHeight="1">
      <c r="A326" s="9" t="s">
        <v>27910</v>
      </c>
      <c r="B326" s="9" t="s">
        <v>2568</v>
      </c>
      <c r="C326" s="9" t="s">
        <v>27666</v>
      </c>
      <c r="D326" s="114">
        <v>0.4791666666666667</v>
      </c>
      <c r="E326" s="115">
        <v>0.625</v>
      </c>
      <c r="F326" s="116"/>
      <c r="G326" s="116"/>
      <c r="H326" s="9" t="b">
        <v>1</v>
      </c>
    </row>
    <row r="327" ht="15.75" customHeight="1">
      <c r="A327" s="9" t="s">
        <v>27911</v>
      </c>
      <c r="B327" s="9" t="s">
        <v>10303</v>
      </c>
      <c r="C327" s="9" t="s">
        <v>27675</v>
      </c>
      <c r="D327" s="117"/>
      <c r="E327" s="116"/>
      <c r="F327" s="116"/>
      <c r="G327" s="116"/>
      <c r="H327" s="9" t="b">
        <v>1</v>
      </c>
    </row>
    <row r="328" ht="15.75" customHeight="1">
      <c r="A328" s="9" t="s">
        <v>27912</v>
      </c>
      <c r="B328" s="9" t="s">
        <v>5728</v>
      </c>
      <c r="C328" s="9" t="s">
        <v>27562</v>
      </c>
      <c r="D328" s="114">
        <v>0.375</v>
      </c>
      <c r="E328" s="115">
        <v>0.6666666666666666</v>
      </c>
      <c r="F328" s="116"/>
      <c r="G328" s="116"/>
      <c r="H328" s="9" t="b">
        <v>1</v>
      </c>
    </row>
    <row r="329" ht="15.75" customHeight="1">
      <c r="A329" s="9" t="s">
        <v>27913</v>
      </c>
      <c r="B329" s="9" t="s">
        <v>5249</v>
      </c>
      <c r="C329" s="9" t="s">
        <v>27914</v>
      </c>
      <c r="D329" s="114">
        <v>0.75</v>
      </c>
      <c r="E329" s="115">
        <v>0.875</v>
      </c>
      <c r="F329" s="116"/>
      <c r="G329" s="116"/>
      <c r="H329" s="9" t="b">
        <v>1</v>
      </c>
    </row>
    <row r="330" ht="15.75" customHeight="1">
      <c r="A330" s="9" t="s">
        <v>27915</v>
      </c>
      <c r="B330" s="9" t="s">
        <v>5249</v>
      </c>
      <c r="C330" s="9" t="s">
        <v>27578</v>
      </c>
      <c r="D330" s="114">
        <v>0.75</v>
      </c>
      <c r="E330" s="115">
        <v>0.0</v>
      </c>
      <c r="F330" s="116"/>
      <c r="G330" s="116"/>
      <c r="H330" s="9" t="b">
        <v>1</v>
      </c>
    </row>
    <row r="331" ht="15.75" customHeight="1">
      <c r="A331" s="9" t="s">
        <v>27916</v>
      </c>
      <c r="B331" s="9" t="s">
        <v>10453</v>
      </c>
      <c r="D331" s="114">
        <v>0.5416666666666666</v>
      </c>
      <c r="E331" s="115">
        <v>0.4166666666666667</v>
      </c>
      <c r="F331" s="116"/>
      <c r="G331" s="116"/>
    </row>
    <row r="332" ht="15.75" customHeight="1">
      <c r="A332" s="9" t="s">
        <v>27917</v>
      </c>
      <c r="B332" s="9" t="s">
        <v>4034</v>
      </c>
      <c r="D332" s="117"/>
      <c r="E332" s="116"/>
      <c r="F332" s="116"/>
      <c r="G332" s="116"/>
      <c r="H332" s="9" t="b">
        <v>1</v>
      </c>
    </row>
    <row r="333" ht="15.75" customHeight="1">
      <c r="A333" s="9" t="s">
        <v>27918</v>
      </c>
      <c r="B333" s="9" t="s">
        <v>10506</v>
      </c>
      <c r="D333" s="114">
        <v>0.625</v>
      </c>
      <c r="E333" s="115">
        <v>0.4166666666666667</v>
      </c>
      <c r="F333" s="116"/>
      <c r="G333" s="116"/>
    </row>
    <row r="334" ht="15.75" customHeight="1">
      <c r="A334" s="9" t="s">
        <v>27919</v>
      </c>
      <c r="B334" s="9" t="s">
        <v>10529</v>
      </c>
      <c r="D334" s="114">
        <v>0.625</v>
      </c>
      <c r="E334" s="115">
        <v>0.4583333333333333</v>
      </c>
      <c r="F334" s="116"/>
      <c r="G334" s="116"/>
    </row>
    <row r="335" ht="15.75" customHeight="1">
      <c r="A335" s="9" t="s">
        <v>27920</v>
      </c>
      <c r="B335" s="9" t="s">
        <v>9703</v>
      </c>
      <c r="C335" s="9" t="s">
        <v>27686</v>
      </c>
      <c r="D335" s="114">
        <v>0.4791666666666667</v>
      </c>
      <c r="E335" s="115">
        <v>0.5833333333333334</v>
      </c>
      <c r="F335" s="116"/>
      <c r="G335" s="116"/>
      <c r="H335" s="9" t="b">
        <v>0</v>
      </c>
    </row>
    <row r="336" ht="15.75" customHeight="1">
      <c r="A336" s="9"/>
      <c r="B336" s="9"/>
      <c r="C336" s="9"/>
      <c r="D336" s="114"/>
      <c r="E336" s="115"/>
      <c r="F336" s="116"/>
      <c r="G336" s="116"/>
    </row>
    <row r="337" ht="15.75" customHeight="1">
      <c r="A337" s="9" t="s">
        <v>27921</v>
      </c>
      <c r="B337" s="9" t="s">
        <v>9703</v>
      </c>
      <c r="C337" s="9" t="s">
        <v>27605</v>
      </c>
      <c r="D337" s="114">
        <v>0.4583333333333333</v>
      </c>
      <c r="E337" s="115">
        <v>0.5833333333333334</v>
      </c>
      <c r="F337" s="115">
        <v>0.7083333333333334</v>
      </c>
      <c r="G337" s="115">
        <v>0.875</v>
      </c>
    </row>
    <row r="338" ht="15.75" customHeight="1">
      <c r="A338" s="9" t="s">
        <v>27922</v>
      </c>
      <c r="B338" s="9" t="s">
        <v>6928</v>
      </c>
      <c r="C338" s="9" t="s">
        <v>27688</v>
      </c>
      <c r="D338" s="114">
        <v>0.78125</v>
      </c>
      <c r="E338" s="115">
        <v>0.875</v>
      </c>
      <c r="F338" s="116"/>
      <c r="G338" s="116"/>
    </row>
    <row r="339" ht="15.75" customHeight="1">
      <c r="A339" s="9" t="s">
        <v>27923</v>
      </c>
      <c r="B339" s="9" t="s">
        <v>10425</v>
      </c>
      <c r="D339" s="114">
        <v>0.5833333333333334</v>
      </c>
      <c r="E339" s="115">
        <v>0.4166666666666667</v>
      </c>
      <c r="F339" s="116"/>
      <c r="G339" s="116"/>
    </row>
    <row r="340" ht="15.75" customHeight="1">
      <c r="A340" s="9" t="s">
        <v>27924</v>
      </c>
      <c r="B340" s="9" t="s">
        <v>252</v>
      </c>
      <c r="C340" s="9" t="s">
        <v>27566</v>
      </c>
      <c r="D340" s="114">
        <v>0.3333333333333333</v>
      </c>
      <c r="E340" s="115">
        <v>0.5</v>
      </c>
      <c r="F340" s="115">
        <v>0.5625</v>
      </c>
      <c r="G340" s="115">
        <v>0.7083333333333334</v>
      </c>
      <c r="H340" s="9" t="b">
        <v>1</v>
      </c>
    </row>
    <row r="341" ht="15.75" customHeight="1">
      <c r="A341" s="9" t="s">
        <v>27925</v>
      </c>
      <c r="B341" s="9" t="s">
        <v>252</v>
      </c>
      <c r="C341" s="9" t="s">
        <v>27734</v>
      </c>
      <c r="D341" s="114">
        <v>0.5625</v>
      </c>
      <c r="E341" s="115">
        <v>0.7291666666666666</v>
      </c>
      <c r="F341" s="116"/>
      <c r="G341" s="116"/>
      <c r="H341" s="9" t="b">
        <v>1</v>
      </c>
    </row>
    <row r="342" ht="15.75" customHeight="1">
      <c r="A342" s="9" t="s">
        <v>27926</v>
      </c>
      <c r="B342" s="9" t="s">
        <v>252</v>
      </c>
      <c r="C342" s="9" t="s">
        <v>27576</v>
      </c>
      <c r="D342" s="114">
        <v>0.4166666666666667</v>
      </c>
      <c r="E342" s="115">
        <v>0.5416666666666666</v>
      </c>
      <c r="F342" s="116"/>
      <c r="G342" s="116"/>
      <c r="H342" s="9" t="b">
        <v>1</v>
      </c>
    </row>
    <row r="343" ht="15.75" customHeight="1">
      <c r="A343" s="9" t="s">
        <v>27927</v>
      </c>
      <c r="B343" s="9" t="s">
        <v>252</v>
      </c>
      <c r="C343" s="9" t="s">
        <v>27583</v>
      </c>
      <c r="D343" s="114">
        <v>0.3333333333333333</v>
      </c>
      <c r="E343" s="115">
        <v>0.5</v>
      </c>
      <c r="F343" s="115">
        <v>0.5625</v>
      </c>
      <c r="G343" s="115">
        <v>0.6666666666666666</v>
      </c>
      <c r="H343" s="9" t="b">
        <v>1</v>
      </c>
    </row>
    <row r="344" ht="15.75" customHeight="1">
      <c r="A344" s="9" t="s">
        <v>27928</v>
      </c>
      <c r="B344" s="9" t="s">
        <v>252</v>
      </c>
      <c r="C344" s="9" t="s">
        <v>27690</v>
      </c>
      <c r="D344" s="114">
        <v>0.3333333333333333</v>
      </c>
      <c r="E344" s="115">
        <v>0.7083333333333334</v>
      </c>
      <c r="F344" s="116"/>
      <c r="G344" s="116"/>
      <c r="H344" s="9" t="b">
        <v>1</v>
      </c>
    </row>
    <row r="345" ht="15.75" customHeight="1">
      <c r="A345" s="9" t="s">
        <v>27929</v>
      </c>
      <c r="B345" s="9" t="s">
        <v>252</v>
      </c>
      <c r="C345" s="9" t="s">
        <v>27585</v>
      </c>
      <c r="D345" s="114">
        <v>0.375</v>
      </c>
      <c r="E345" s="115">
        <v>0.7083333333333334</v>
      </c>
      <c r="F345" s="116"/>
      <c r="G345" s="116"/>
      <c r="H345" s="9" t="b">
        <v>1</v>
      </c>
    </row>
    <row r="346" ht="15.75" customHeight="1">
      <c r="A346" s="9" t="s">
        <v>27930</v>
      </c>
      <c r="B346" s="9" t="s">
        <v>5586</v>
      </c>
      <c r="D346" s="114">
        <v>0.625</v>
      </c>
      <c r="E346" s="115">
        <v>0.4166666666666667</v>
      </c>
      <c r="F346" s="116"/>
      <c r="G346" s="116"/>
    </row>
    <row r="347" ht="15.75" customHeight="1">
      <c r="A347" s="9" t="s">
        <v>27931</v>
      </c>
      <c r="B347" s="9" t="s">
        <v>11911</v>
      </c>
      <c r="C347" s="9" t="s">
        <v>27675</v>
      </c>
      <c r="D347" s="114">
        <v>0.5</v>
      </c>
      <c r="E347" s="115">
        <v>0.6041666666666666</v>
      </c>
      <c r="F347" s="116"/>
      <c r="G347" s="116"/>
      <c r="H347" s="9" t="b">
        <v>0</v>
      </c>
    </row>
    <row r="348" ht="15.75" customHeight="1">
      <c r="A348" s="9" t="s">
        <v>27932</v>
      </c>
      <c r="B348" s="9" t="s">
        <v>11911</v>
      </c>
      <c r="C348" s="9" t="s">
        <v>27648</v>
      </c>
      <c r="D348" s="114">
        <v>0.8125</v>
      </c>
      <c r="E348" s="115">
        <v>0.8958333333333334</v>
      </c>
      <c r="F348" s="116"/>
      <c r="G348" s="116"/>
      <c r="H348" s="9" t="b">
        <v>0</v>
      </c>
    </row>
    <row r="349" ht="15.75" customHeight="1">
      <c r="A349" s="9" t="s">
        <v>27933</v>
      </c>
      <c r="B349" s="9" t="s">
        <v>12108</v>
      </c>
      <c r="C349" s="9" t="s">
        <v>27648</v>
      </c>
      <c r="D349" s="114">
        <v>0.3333333333333333</v>
      </c>
      <c r="E349" s="115">
        <v>0.9166666666666666</v>
      </c>
      <c r="F349" s="116"/>
      <c r="G349" s="116"/>
      <c r="H349" s="9" t="b">
        <v>0</v>
      </c>
    </row>
    <row r="350" ht="15.75" customHeight="1">
      <c r="A350" s="9" t="s">
        <v>27934</v>
      </c>
      <c r="B350" s="9" t="s">
        <v>8900</v>
      </c>
      <c r="C350" s="9" t="s">
        <v>27578</v>
      </c>
      <c r="D350" s="114">
        <v>0.4166666666666667</v>
      </c>
      <c r="E350" s="115">
        <v>0.5833333333333334</v>
      </c>
      <c r="F350" s="115">
        <v>0.75</v>
      </c>
      <c r="G350" s="115">
        <v>0.9166666666666666</v>
      </c>
      <c r="H350" s="9" t="b">
        <v>1</v>
      </c>
    </row>
    <row r="351" ht="15.75" customHeight="1">
      <c r="A351" s="9" t="s">
        <v>27935</v>
      </c>
      <c r="B351" s="9" t="s">
        <v>8900</v>
      </c>
      <c r="C351" s="9" t="s">
        <v>27576</v>
      </c>
      <c r="D351" s="114">
        <v>0.4166666666666667</v>
      </c>
      <c r="E351" s="115">
        <v>0.5833333333333334</v>
      </c>
      <c r="F351" s="116"/>
      <c r="G351" s="116"/>
      <c r="H351" s="9" t="b">
        <v>1</v>
      </c>
    </row>
    <row r="352" ht="15.75" customHeight="1">
      <c r="A352" s="9" t="s">
        <v>27936</v>
      </c>
      <c r="B352" s="9" t="s">
        <v>8900</v>
      </c>
      <c r="C352" s="9" t="s">
        <v>27690</v>
      </c>
      <c r="D352" s="114">
        <v>0.4166666666666667</v>
      </c>
      <c r="E352" s="115">
        <v>0.5833333333333334</v>
      </c>
      <c r="F352" s="116"/>
      <c r="G352" s="116"/>
      <c r="H352" s="9" t="b">
        <v>1</v>
      </c>
    </row>
    <row r="353" ht="15.75" customHeight="1">
      <c r="A353" s="9" t="s">
        <v>27937</v>
      </c>
      <c r="B353" s="9" t="s">
        <v>8900</v>
      </c>
      <c r="C353" s="9" t="s">
        <v>27566</v>
      </c>
      <c r="D353" s="114">
        <v>0.4166666666666667</v>
      </c>
      <c r="E353" s="115">
        <v>0.5833333333333334</v>
      </c>
      <c r="F353" s="115">
        <v>0.75</v>
      </c>
      <c r="G353" s="115">
        <v>0.9166666666666666</v>
      </c>
      <c r="H353" s="9" t="b">
        <v>1</v>
      </c>
    </row>
    <row r="354" ht="15.75" customHeight="1">
      <c r="A354" s="9" t="s">
        <v>27938</v>
      </c>
      <c r="B354" s="9" t="s">
        <v>7988</v>
      </c>
      <c r="D354" s="114">
        <v>0.625</v>
      </c>
      <c r="E354" s="115">
        <v>0.4583333333333333</v>
      </c>
      <c r="F354" s="116"/>
      <c r="G354" s="116"/>
    </row>
    <row r="355" ht="15.75" customHeight="1">
      <c r="A355" s="9" t="s">
        <v>27939</v>
      </c>
      <c r="B355" s="9" t="s">
        <v>11545</v>
      </c>
      <c r="D355" s="114">
        <v>0.625</v>
      </c>
      <c r="E355" s="115">
        <v>0.4583333333333333</v>
      </c>
      <c r="F355" s="116"/>
      <c r="G355" s="116"/>
    </row>
    <row r="356" ht="15.75" customHeight="1">
      <c r="A356" s="9" t="s">
        <v>27940</v>
      </c>
      <c r="B356" s="9" t="s">
        <v>10490</v>
      </c>
      <c r="D356" s="114">
        <v>0.6666666666666666</v>
      </c>
      <c r="E356" s="115">
        <v>0.4166666666666667</v>
      </c>
      <c r="F356" s="116"/>
      <c r="G356" s="116"/>
    </row>
    <row r="357" ht="15.75" customHeight="1">
      <c r="A357" s="9" t="s">
        <v>27941</v>
      </c>
      <c r="B357" s="9" t="s">
        <v>7975</v>
      </c>
      <c r="D357" s="114">
        <v>0.625</v>
      </c>
      <c r="E357" s="115">
        <v>0.4166666666666667</v>
      </c>
      <c r="F357" s="116"/>
      <c r="G357" s="116"/>
    </row>
    <row r="358" ht="15.75" customHeight="1">
      <c r="A358" s="9" t="s">
        <v>27942</v>
      </c>
      <c r="B358" s="9" t="s">
        <v>10225</v>
      </c>
      <c r="D358" s="114">
        <v>0.625</v>
      </c>
      <c r="E358" s="115">
        <v>0.4166666666666667</v>
      </c>
      <c r="F358" s="116"/>
      <c r="G358" s="116"/>
    </row>
    <row r="359" ht="15.75" customHeight="1">
      <c r="A359" s="9" t="s">
        <v>27943</v>
      </c>
      <c r="B359" s="9" t="s">
        <v>8558</v>
      </c>
      <c r="D359" s="114">
        <v>0.5833333333333334</v>
      </c>
      <c r="E359" s="115">
        <v>0.4583333333333333</v>
      </c>
      <c r="F359" s="116"/>
      <c r="G359" s="116"/>
    </row>
    <row r="360" ht="15.75" customHeight="1">
      <c r="A360" s="9" t="s">
        <v>27944</v>
      </c>
      <c r="B360" s="9" t="s">
        <v>2009</v>
      </c>
      <c r="D360" s="114">
        <v>0.6666666666666666</v>
      </c>
      <c r="E360" s="115">
        <v>0.4166666666666667</v>
      </c>
      <c r="F360" s="116"/>
      <c r="G360" s="116"/>
    </row>
    <row r="361" ht="15.75" customHeight="1">
      <c r="A361" s="9" t="s">
        <v>27945</v>
      </c>
      <c r="B361" s="9" t="s">
        <v>8100</v>
      </c>
      <c r="D361" s="114">
        <v>0.5833333333333334</v>
      </c>
      <c r="E361" s="115">
        <v>0.4583333333333333</v>
      </c>
      <c r="F361" s="116"/>
      <c r="G361" s="116"/>
    </row>
    <row r="362" ht="15.75" customHeight="1">
      <c r="A362" s="9" t="s">
        <v>27946</v>
      </c>
      <c r="B362" s="9" t="s">
        <v>6433</v>
      </c>
      <c r="C362" s="9" t="s">
        <v>27572</v>
      </c>
      <c r="D362" s="114">
        <v>0.4166666666666667</v>
      </c>
      <c r="E362" s="116"/>
      <c r="F362" s="116"/>
      <c r="G362" s="116"/>
      <c r="H362" s="9" t="b">
        <v>0</v>
      </c>
    </row>
    <row r="363" ht="15.75" customHeight="1">
      <c r="A363" s="9" t="s">
        <v>27947</v>
      </c>
      <c r="B363" s="9" t="s">
        <v>12138</v>
      </c>
      <c r="C363" s="9" t="s">
        <v>27562</v>
      </c>
      <c r="D363" s="117"/>
      <c r="E363" s="115"/>
      <c r="F363" s="116"/>
      <c r="G363" s="115">
        <v>0.75</v>
      </c>
    </row>
    <row r="364" ht="15.75" customHeight="1">
      <c r="A364" s="9" t="s">
        <v>27948</v>
      </c>
      <c r="B364" s="52" t="s">
        <v>16353</v>
      </c>
      <c r="D364" s="114">
        <v>0.5833333333333334</v>
      </c>
      <c r="E364" s="115">
        <v>0.4583333333333333</v>
      </c>
      <c r="F364" s="116"/>
      <c r="G364" s="116"/>
    </row>
    <row r="365" ht="15.75" customHeight="1">
      <c r="A365" s="9" t="s">
        <v>27949</v>
      </c>
      <c r="B365" s="9" t="s">
        <v>942</v>
      </c>
      <c r="D365" s="114">
        <v>0.625</v>
      </c>
      <c r="E365" s="115">
        <v>0.6666666666666666</v>
      </c>
      <c r="F365" s="116"/>
      <c r="G365" s="116"/>
    </row>
    <row r="366" ht="15.75" customHeight="1">
      <c r="A366" s="9" t="s">
        <v>27950</v>
      </c>
      <c r="B366" s="9" t="s">
        <v>10547</v>
      </c>
      <c r="C366" s="9" t="s">
        <v>27562</v>
      </c>
      <c r="D366" s="117"/>
      <c r="E366" s="116"/>
      <c r="F366" s="116"/>
      <c r="G366" s="116"/>
    </row>
    <row r="367" ht="15.75" customHeight="1">
      <c r="A367" s="9" t="s">
        <v>27951</v>
      </c>
      <c r="B367" s="9" t="s">
        <v>5426</v>
      </c>
      <c r="D367" s="114">
        <v>0.625</v>
      </c>
      <c r="E367" s="115">
        <v>0.4166666666666667</v>
      </c>
      <c r="F367" s="116"/>
      <c r="G367" s="116"/>
    </row>
    <row r="368" ht="15.75" customHeight="1">
      <c r="A368" s="9" t="s">
        <v>27952</v>
      </c>
      <c r="B368" s="9" t="s">
        <v>9933</v>
      </c>
      <c r="D368" s="114">
        <v>0.5833333333333334</v>
      </c>
      <c r="E368" s="115">
        <v>0.4583333333333333</v>
      </c>
      <c r="F368" s="116"/>
      <c r="G368" s="116"/>
    </row>
    <row r="369" ht="15.75" customHeight="1">
      <c r="A369" s="9" t="s">
        <v>27953</v>
      </c>
      <c r="B369" s="9" t="s">
        <v>12191</v>
      </c>
      <c r="D369" s="114">
        <v>0.4583333333333333</v>
      </c>
      <c r="E369" s="115">
        <v>0.625</v>
      </c>
      <c r="F369" s="116"/>
      <c r="G369" s="116"/>
    </row>
    <row r="370" ht="15.75" customHeight="1">
      <c r="A370" s="9" t="s">
        <v>27954</v>
      </c>
      <c r="B370" s="9" t="s">
        <v>12067</v>
      </c>
      <c r="D370" s="114">
        <v>0.6666666666666666</v>
      </c>
      <c r="E370" s="115">
        <v>0.4583333333333333</v>
      </c>
      <c r="F370" s="116"/>
      <c r="G370" s="116"/>
    </row>
    <row r="371" ht="15.75" customHeight="1">
      <c r="A371" s="9" t="s">
        <v>27955</v>
      </c>
      <c r="B371" s="9" t="s">
        <v>11772</v>
      </c>
      <c r="D371" s="114">
        <v>0.6875</v>
      </c>
      <c r="E371" s="115">
        <v>0.4583333333333333</v>
      </c>
      <c r="F371" s="116"/>
      <c r="G371" s="116"/>
    </row>
    <row r="372" ht="15.75" customHeight="1">
      <c r="A372" s="9" t="s">
        <v>27956</v>
      </c>
      <c r="B372" s="9" t="s">
        <v>11724</v>
      </c>
      <c r="D372" s="114">
        <v>0.625</v>
      </c>
      <c r="E372" s="115">
        <v>0.4583333333333333</v>
      </c>
      <c r="F372" s="116"/>
      <c r="G372" s="116"/>
    </row>
    <row r="373" ht="15.75" customHeight="1">
      <c r="A373" s="9" t="s">
        <v>27957</v>
      </c>
      <c r="B373" s="9" t="s">
        <v>4423</v>
      </c>
      <c r="D373" s="114">
        <v>0.625</v>
      </c>
      <c r="E373" s="115">
        <v>0.4166666666666667</v>
      </c>
      <c r="F373" s="116"/>
      <c r="G373" s="116"/>
    </row>
    <row r="374" ht="15.75" customHeight="1">
      <c r="A374" s="9" t="s">
        <v>27958</v>
      </c>
      <c r="B374" s="9" t="s">
        <v>11802</v>
      </c>
      <c r="C374" s="9" t="s">
        <v>27562</v>
      </c>
      <c r="D374" s="117"/>
      <c r="E374" s="116"/>
      <c r="F374" s="116"/>
      <c r="G374" s="116"/>
      <c r="H374" s="9" t="b">
        <v>1</v>
      </c>
    </row>
    <row r="375" ht="15.75" customHeight="1">
      <c r="A375" s="9" t="s">
        <v>27959</v>
      </c>
      <c r="B375" s="9" t="s">
        <v>8439</v>
      </c>
      <c r="D375" s="114">
        <v>0.625</v>
      </c>
      <c r="E375" s="115">
        <v>0.4583333333333333</v>
      </c>
      <c r="F375" s="116"/>
      <c r="G375" s="116"/>
    </row>
    <row r="376" ht="15.75" customHeight="1">
      <c r="A376" s="9" t="s">
        <v>27960</v>
      </c>
      <c r="B376" s="9" t="s">
        <v>759</v>
      </c>
      <c r="D376" s="114">
        <v>0.625</v>
      </c>
      <c r="E376" s="115">
        <v>0.4583333333333333</v>
      </c>
      <c r="F376" s="116"/>
      <c r="G376" s="116"/>
    </row>
    <row r="377" ht="15.75" customHeight="1">
      <c r="A377" s="9" t="s">
        <v>27961</v>
      </c>
      <c r="B377" s="9" t="s">
        <v>10496</v>
      </c>
      <c r="D377" s="117"/>
      <c r="E377" s="116"/>
      <c r="F377" s="116"/>
      <c r="G377" s="116"/>
    </row>
    <row r="378" ht="15.75" customHeight="1">
      <c r="A378" s="9" t="s">
        <v>27962</v>
      </c>
      <c r="B378" s="9" t="s">
        <v>11621</v>
      </c>
      <c r="D378" s="114">
        <v>0.4166666666666667</v>
      </c>
      <c r="E378" s="115">
        <v>0.7083333333333334</v>
      </c>
      <c r="F378" s="116"/>
      <c r="G378" s="116"/>
    </row>
    <row r="379" ht="15.75" customHeight="1">
      <c r="A379" s="9" t="s">
        <v>27963</v>
      </c>
      <c r="B379" s="9" t="s">
        <v>10459</v>
      </c>
      <c r="C379" s="9" t="s">
        <v>27964</v>
      </c>
      <c r="D379" s="114">
        <v>0.4375</v>
      </c>
      <c r="E379" s="115">
        <v>0.8541666666666666</v>
      </c>
      <c r="F379" s="115"/>
      <c r="G379" s="115"/>
      <c r="H379" s="9"/>
    </row>
    <row r="380" ht="15.75" customHeight="1">
      <c r="A380" s="9" t="s">
        <v>27965</v>
      </c>
      <c r="B380" s="9" t="s">
        <v>10695</v>
      </c>
      <c r="D380" s="114">
        <v>0.625</v>
      </c>
      <c r="E380" s="115">
        <v>0.4583333333333333</v>
      </c>
      <c r="F380" s="116"/>
      <c r="G380" s="116"/>
    </row>
    <row r="381" ht="15.75" customHeight="1">
      <c r="A381" s="9" t="s">
        <v>27966</v>
      </c>
      <c r="B381" s="9" t="s">
        <v>10679</v>
      </c>
      <c r="D381" s="114">
        <v>0.5833333333333334</v>
      </c>
      <c r="E381" s="115">
        <v>0.4166666666666667</v>
      </c>
      <c r="F381" s="116"/>
      <c r="G381" s="116"/>
    </row>
    <row r="382" ht="15.75" customHeight="1">
      <c r="A382" s="9" t="s">
        <v>27967</v>
      </c>
      <c r="B382" s="9" t="s">
        <v>10522</v>
      </c>
      <c r="D382" s="114">
        <v>0.625</v>
      </c>
      <c r="E382" s="115">
        <v>0.4166666666666667</v>
      </c>
      <c r="F382" s="116"/>
      <c r="G382" s="116"/>
    </row>
    <row r="383" ht="15.75" customHeight="1">
      <c r="A383" s="9" t="s">
        <v>27968</v>
      </c>
      <c r="B383" s="9" t="s">
        <v>10552</v>
      </c>
      <c r="C383" s="9" t="s">
        <v>27562</v>
      </c>
      <c r="D383" s="114">
        <v>0.3541666666666667</v>
      </c>
      <c r="E383" s="115">
        <v>0.6458333333333334</v>
      </c>
      <c r="F383" s="116"/>
      <c r="G383" s="116"/>
      <c r="H383" s="9" t="b">
        <v>1</v>
      </c>
    </row>
    <row r="384" ht="15.75" customHeight="1">
      <c r="A384" s="9" t="s">
        <v>27969</v>
      </c>
      <c r="B384" s="9" t="s">
        <v>7925</v>
      </c>
      <c r="D384" s="114">
        <v>0.625</v>
      </c>
      <c r="E384" s="115">
        <v>0.4583333333333333</v>
      </c>
      <c r="F384" s="116"/>
      <c r="G384" s="116"/>
    </row>
    <row r="385" ht="15.75" customHeight="1">
      <c r="A385" s="9" t="s">
        <v>27970</v>
      </c>
      <c r="B385" s="9" t="s">
        <v>8833</v>
      </c>
      <c r="D385" s="114">
        <v>0.7083333333333334</v>
      </c>
      <c r="E385" s="115">
        <v>0.7083333333333334</v>
      </c>
      <c r="F385" s="116"/>
      <c r="G385" s="116"/>
    </row>
    <row r="386" ht="15.75" customHeight="1">
      <c r="A386" s="9" t="s">
        <v>27971</v>
      </c>
      <c r="B386" s="9" t="s">
        <v>9361</v>
      </c>
      <c r="D386" s="114">
        <v>0.5833333333333334</v>
      </c>
      <c r="E386" s="115">
        <v>0.4583333333333333</v>
      </c>
      <c r="F386" s="116"/>
      <c r="G386" s="116"/>
    </row>
    <row r="387" ht="15.75" customHeight="1">
      <c r="A387" s="9" t="s">
        <v>27972</v>
      </c>
      <c r="B387" s="9" t="s">
        <v>10707</v>
      </c>
      <c r="D387" s="114">
        <v>0.5833333333333334</v>
      </c>
      <c r="E387" s="115">
        <v>0.4583333333333333</v>
      </c>
      <c r="F387" s="116"/>
      <c r="G387" s="116"/>
    </row>
    <row r="388" ht="15.75" customHeight="1">
      <c r="A388" s="9" t="s">
        <v>27973</v>
      </c>
      <c r="B388" s="9" t="s">
        <v>10535</v>
      </c>
      <c r="D388" s="114">
        <v>0.5833333333333334</v>
      </c>
      <c r="E388" s="115">
        <v>0.4583333333333333</v>
      </c>
      <c r="F388" s="116"/>
      <c r="G388" s="116"/>
    </row>
    <row r="389" ht="15.75" customHeight="1">
      <c r="A389" s="9" t="s">
        <v>27974</v>
      </c>
      <c r="B389" s="9" t="s">
        <v>11949</v>
      </c>
      <c r="D389" s="114">
        <v>0.5833333333333334</v>
      </c>
      <c r="E389" s="115">
        <v>0.4583333333333333</v>
      </c>
      <c r="F389" s="116"/>
      <c r="G389" s="116"/>
    </row>
    <row r="390" ht="15.75" customHeight="1">
      <c r="A390" s="9" t="s">
        <v>27975</v>
      </c>
      <c r="B390" s="9" t="s">
        <v>10488</v>
      </c>
      <c r="D390" s="114">
        <v>0.625</v>
      </c>
      <c r="E390" s="115">
        <v>0.4583333333333333</v>
      </c>
      <c r="F390" s="116"/>
      <c r="G390" s="116"/>
    </row>
    <row r="391" ht="15.75" customHeight="1">
      <c r="A391" s="9" t="s">
        <v>27976</v>
      </c>
      <c r="B391" s="9" t="s">
        <v>11938</v>
      </c>
      <c r="D391" s="117"/>
      <c r="E391" s="116"/>
      <c r="F391" s="116"/>
      <c r="G391" s="116"/>
    </row>
    <row r="392" ht="15.75" customHeight="1">
      <c r="A392" s="9" t="s">
        <v>27977</v>
      </c>
      <c r="B392" s="9" t="s">
        <v>10518</v>
      </c>
      <c r="D392" s="114">
        <v>0.5833333333333334</v>
      </c>
      <c r="E392" s="115">
        <v>0.4583333333333333</v>
      </c>
      <c r="F392" s="116"/>
      <c r="G392" s="116"/>
    </row>
    <row r="393" ht="15.75" customHeight="1">
      <c r="A393" s="9" t="s">
        <v>27978</v>
      </c>
      <c r="B393" s="9" t="s">
        <v>12093</v>
      </c>
      <c r="D393" s="114">
        <v>0.5833333333333334</v>
      </c>
      <c r="E393" s="115">
        <v>0.4583333333333333</v>
      </c>
      <c r="F393" s="116"/>
      <c r="G393" s="116"/>
    </row>
    <row r="394" ht="15.75" customHeight="1">
      <c r="A394" s="9" t="s">
        <v>27979</v>
      </c>
      <c r="B394" s="9" t="s">
        <v>10467</v>
      </c>
      <c r="D394" s="114">
        <v>0.5833333333333334</v>
      </c>
      <c r="E394" s="115">
        <v>0.4583333333333333</v>
      </c>
      <c r="F394" s="116"/>
      <c r="G394" s="116"/>
    </row>
    <row r="395" ht="15.75" customHeight="1">
      <c r="A395" s="52" t="s">
        <v>27980</v>
      </c>
      <c r="B395" s="9" t="s">
        <v>10400</v>
      </c>
      <c r="D395" s="114">
        <v>0.5833333333333334</v>
      </c>
      <c r="E395" s="115">
        <v>0.4583333333333333</v>
      </c>
      <c r="F395" s="116"/>
      <c r="G395" s="116"/>
    </row>
    <row r="396" ht="15.75" customHeight="1">
      <c r="A396" s="9" t="s">
        <v>27981</v>
      </c>
      <c r="B396" s="52" t="s">
        <v>16619</v>
      </c>
      <c r="C396" s="9" t="s">
        <v>27572</v>
      </c>
      <c r="D396" s="114">
        <v>0.375</v>
      </c>
      <c r="E396" s="115">
        <v>0.5</v>
      </c>
      <c r="F396" s="115">
        <v>0.5625</v>
      </c>
      <c r="G396" s="115">
        <v>0.6666666666666666</v>
      </c>
    </row>
    <row r="397" ht="15.75" customHeight="1">
      <c r="A397" s="9" t="s">
        <v>27982</v>
      </c>
      <c r="B397" s="9" t="s">
        <v>270</v>
      </c>
      <c r="C397" s="9" t="s">
        <v>27983</v>
      </c>
      <c r="D397" s="114">
        <v>0.375</v>
      </c>
      <c r="E397" s="115">
        <v>0.5</v>
      </c>
      <c r="F397" s="115">
        <v>0.5625</v>
      </c>
      <c r="G397" s="115">
        <v>0.6666666666666666</v>
      </c>
      <c r="H397" s="9" t="b">
        <v>1</v>
      </c>
    </row>
    <row r="398" ht="15.75" customHeight="1">
      <c r="A398" s="9" t="s">
        <v>27984</v>
      </c>
      <c r="B398" s="9" t="s">
        <v>11719</v>
      </c>
      <c r="D398" s="114">
        <v>0.625</v>
      </c>
      <c r="E398" s="115">
        <v>0.4583333333333333</v>
      </c>
      <c r="F398" s="116"/>
      <c r="G398" s="116"/>
    </row>
    <row r="399" ht="15.75" customHeight="1">
      <c r="A399" s="9" t="s">
        <v>27985</v>
      </c>
      <c r="B399" s="9" t="s">
        <v>11834</v>
      </c>
      <c r="D399" s="114">
        <v>0.625</v>
      </c>
      <c r="E399" s="115">
        <v>0.6666666666666666</v>
      </c>
      <c r="F399" s="116"/>
      <c r="G399" s="116"/>
    </row>
    <row r="400" ht="15.75" customHeight="1">
      <c r="A400" s="9" t="s">
        <v>27986</v>
      </c>
      <c r="B400" s="9" t="s">
        <v>10502</v>
      </c>
      <c r="D400" s="114">
        <v>0.625</v>
      </c>
      <c r="E400" s="115">
        <v>0.4583333333333333</v>
      </c>
      <c r="F400" s="116"/>
      <c r="G400" s="116"/>
    </row>
    <row r="401" ht="15.75" customHeight="1">
      <c r="A401" s="9" t="s">
        <v>27987</v>
      </c>
      <c r="B401" s="9" t="s">
        <v>12016</v>
      </c>
      <c r="C401" s="9" t="s">
        <v>27578</v>
      </c>
      <c r="D401" s="117"/>
      <c r="E401" s="116"/>
      <c r="F401" s="116"/>
      <c r="G401" s="116"/>
      <c r="H401" s="9" t="b">
        <v>1</v>
      </c>
    </row>
    <row r="402" ht="15.75" customHeight="1">
      <c r="A402" s="9" t="s">
        <v>27988</v>
      </c>
      <c r="B402" s="9" t="s">
        <v>12165</v>
      </c>
      <c r="D402" s="114">
        <v>0.625</v>
      </c>
      <c r="E402" s="115">
        <v>0.4583333333333333</v>
      </c>
      <c r="F402" s="116"/>
      <c r="G402" s="116"/>
    </row>
    <row r="403" ht="15.75" customHeight="1">
      <c r="A403" s="9" t="s">
        <v>27989</v>
      </c>
      <c r="B403" s="9" t="s">
        <v>10447</v>
      </c>
      <c r="D403" s="114">
        <v>0.5833333333333334</v>
      </c>
      <c r="E403" s="115">
        <v>0.4583333333333333</v>
      </c>
      <c r="F403" s="116"/>
      <c r="G403" s="116"/>
    </row>
    <row r="404" ht="15.75" customHeight="1">
      <c r="A404" s="9" t="s">
        <v>27990</v>
      </c>
      <c r="B404" s="9" t="s">
        <v>12176</v>
      </c>
      <c r="D404" s="114">
        <v>0.5833333333333334</v>
      </c>
      <c r="E404" s="115">
        <v>0.4166666666666667</v>
      </c>
      <c r="F404" s="116"/>
      <c r="G404" s="116"/>
    </row>
    <row r="405" ht="15.75" customHeight="1">
      <c r="A405" s="9" t="s">
        <v>27991</v>
      </c>
      <c r="B405" s="9" t="s">
        <v>10480</v>
      </c>
      <c r="D405" s="114">
        <v>0.5833333333333334</v>
      </c>
      <c r="E405" s="115">
        <v>0.4166666666666667</v>
      </c>
      <c r="F405" s="116"/>
      <c r="G405" s="116"/>
    </row>
    <row r="406" ht="15.75" customHeight="1">
      <c r="A406" s="9" t="s">
        <v>27992</v>
      </c>
      <c r="B406" s="9" t="s">
        <v>10482</v>
      </c>
      <c r="D406" s="114">
        <v>0.5833333333333334</v>
      </c>
      <c r="E406" s="115">
        <v>0.4166666666666667</v>
      </c>
      <c r="F406" s="116"/>
      <c r="G406" s="116"/>
    </row>
    <row r="407" ht="15.75" customHeight="1">
      <c r="A407" s="9" t="s">
        <v>27993</v>
      </c>
      <c r="B407" s="9" t="s">
        <v>1561</v>
      </c>
      <c r="D407" s="114">
        <v>0.4583333333333333</v>
      </c>
      <c r="E407" s="115">
        <v>0.4583333333333333</v>
      </c>
      <c r="F407" s="116"/>
      <c r="G407" s="116"/>
    </row>
    <row r="408" ht="15.75" customHeight="1">
      <c r="A408" s="9" t="s">
        <v>27994</v>
      </c>
      <c r="B408" s="9" t="s">
        <v>8867</v>
      </c>
      <c r="C408" s="9" t="s">
        <v>27838</v>
      </c>
      <c r="D408" s="114">
        <v>0.4583333333333333</v>
      </c>
      <c r="E408" s="115">
        <v>0.6041666666666666</v>
      </c>
      <c r="F408" s="116"/>
      <c r="G408" s="116"/>
      <c r="H408" s="9" t="b">
        <v>0</v>
      </c>
    </row>
    <row r="409" ht="15.75" customHeight="1">
      <c r="A409" s="9" t="s">
        <v>27995</v>
      </c>
      <c r="B409" s="9" t="s">
        <v>11744</v>
      </c>
      <c r="D409" s="114">
        <v>0.6666666666666666</v>
      </c>
      <c r="E409" s="115">
        <v>0.4583333333333333</v>
      </c>
      <c r="F409" s="116"/>
      <c r="G409" s="116"/>
    </row>
    <row r="410" ht="15.75" customHeight="1">
      <c r="A410" s="9" t="s">
        <v>27996</v>
      </c>
      <c r="B410" s="9" t="s">
        <v>9012</v>
      </c>
      <c r="D410" s="114">
        <v>0.5833333333333334</v>
      </c>
      <c r="E410" s="115">
        <v>0.4583333333333333</v>
      </c>
      <c r="F410" s="116"/>
      <c r="G410" s="116"/>
    </row>
    <row r="411" ht="15.75" customHeight="1">
      <c r="A411" s="9" t="s">
        <v>27997</v>
      </c>
      <c r="B411" s="9" t="s">
        <v>11413</v>
      </c>
      <c r="D411" s="114">
        <v>0.6666666666666666</v>
      </c>
      <c r="E411" s="115">
        <v>0.4583333333333333</v>
      </c>
      <c r="F411" s="116"/>
      <c r="G411" s="116"/>
    </row>
    <row r="412" ht="15.75" customHeight="1">
      <c r="A412" s="9"/>
      <c r="B412" s="9"/>
      <c r="C412" s="9"/>
      <c r="D412" s="114"/>
      <c r="E412" s="115"/>
      <c r="F412" s="115"/>
      <c r="G412" s="115"/>
    </row>
    <row r="413" ht="15.75" customHeight="1">
      <c r="A413" s="9" t="s">
        <v>27998</v>
      </c>
      <c r="B413" s="9" t="s">
        <v>10709</v>
      </c>
      <c r="C413" s="9" t="s">
        <v>27999</v>
      </c>
      <c r="D413" s="114">
        <v>0.4166666666666667</v>
      </c>
      <c r="E413" s="115">
        <v>0.75</v>
      </c>
      <c r="F413" s="116"/>
      <c r="G413" s="116"/>
      <c r="H413" s="9" t="b">
        <v>1</v>
      </c>
    </row>
    <row r="414" ht="15.75" customHeight="1">
      <c r="A414" s="9" t="s">
        <v>28000</v>
      </c>
      <c r="B414" s="9" t="s">
        <v>8502</v>
      </c>
      <c r="C414" s="9" t="s">
        <v>27642</v>
      </c>
      <c r="D414" s="114">
        <v>0.375</v>
      </c>
      <c r="E414" s="115">
        <v>0.5</v>
      </c>
      <c r="F414" s="115">
        <v>0.5833333333333334</v>
      </c>
      <c r="G414" s="115">
        <v>0.7083333333333334</v>
      </c>
    </row>
    <row r="415" ht="15.75" customHeight="1">
      <c r="A415" s="9" t="s">
        <v>28001</v>
      </c>
      <c r="B415" s="9" t="s">
        <v>8502</v>
      </c>
      <c r="C415" s="9" t="s">
        <v>27576</v>
      </c>
      <c r="D415" s="114">
        <v>0.375</v>
      </c>
      <c r="E415" s="115">
        <v>0.5</v>
      </c>
      <c r="F415" s="116"/>
      <c r="G415" s="116"/>
    </row>
    <row r="416" ht="15.75" customHeight="1">
      <c r="A416" s="9" t="s">
        <v>28002</v>
      </c>
      <c r="B416" s="9" t="s">
        <v>12128</v>
      </c>
      <c r="C416" s="9" t="s">
        <v>28003</v>
      </c>
      <c r="D416" s="117"/>
      <c r="E416" s="116"/>
      <c r="F416" s="116"/>
      <c r="G416" s="116"/>
      <c r="H416" s="9" t="b">
        <v>1</v>
      </c>
    </row>
    <row r="417" ht="15.75" customHeight="1">
      <c r="A417" s="9" t="s">
        <v>28004</v>
      </c>
      <c r="B417" s="9" t="s">
        <v>12004</v>
      </c>
      <c r="D417" s="114">
        <v>0.6666666666666666</v>
      </c>
      <c r="E417" s="115">
        <v>0.4583333333333333</v>
      </c>
      <c r="F417" s="116"/>
      <c r="G417" s="116"/>
    </row>
    <row r="418" ht="15.75" customHeight="1">
      <c r="A418" s="9" t="s">
        <v>28005</v>
      </c>
      <c r="B418" s="9" t="s">
        <v>11358</v>
      </c>
      <c r="D418" s="114">
        <v>0.625</v>
      </c>
      <c r="E418" s="115">
        <v>0.4583333333333333</v>
      </c>
      <c r="F418" s="116"/>
      <c r="G418" s="116"/>
    </row>
    <row r="419" ht="15.75" customHeight="1">
      <c r="A419" s="9" t="s">
        <v>28006</v>
      </c>
      <c r="B419" s="9" t="s">
        <v>8578</v>
      </c>
      <c r="D419" s="114">
        <v>0.5833333333333334</v>
      </c>
      <c r="E419" s="115">
        <v>0.4166666666666667</v>
      </c>
      <c r="F419" s="116"/>
      <c r="G419" s="116"/>
    </row>
    <row r="420" ht="15.75" customHeight="1">
      <c r="A420" s="9" t="s">
        <v>28007</v>
      </c>
      <c r="B420" s="9" t="s">
        <v>9411</v>
      </c>
      <c r="D420" s="114">
        <v>0.625</v>
      </c>
      <c r="E420" s="115">
        <v>0.4166666666666667</v>
      </c>
      <c r="F420" s="116"/>
      <c r="G420" s="116"/>
    </row>
    <row r="421" ht="15.75" customHeight="1">
      <c r="A421" s="9" t="s">
        <v>28008</v>
      </c>
      <c r="B421" s="9" t="s">
        <v>8291</v>
      </c>
      <c r="C421" s="9" t="s">
        <v>27719</v>
      </c>
      <c r="D421" s="114">
        <v>0.375</v>
      </c>
      <c r="E421" s="115">
        <v>0.7083333333333334</v>
      </c>
      <c r="F421" s="116"/>
      <c r="G421" s="116"/>
    </row>
    <row r="422" ht="15.75" customHeight="1">
      <c r="A422" s="9" t="s">
        <v>28009</v>
      </c>
      <c r="B422" s="9" t="s">
        <v>12065</v>
      </c>
      <c r="D422" s="114">
        <v>0.625</v>
      </c>
      <c r="E422" s="115">
        <v>0.5</v>
      </c>
      <c r="F422" s="116"/>
      <c r="G422" s="116"/>
    </row>
    <row r="423" ht="15.75" customHeight="1">
      <c r="A423" s="9" t="s">
        <v>28010</v>
      </c>
      <c r="B423" s="9" t="s">
        <v>11845</v>
      </c>
      <c r="D423" s="117"/>
      <c r="E423" s="116"/>
      <c r="F423" s="116"/>
      <c r="G423" s="116"/>
    </row>
    <row r="424" ht="15.75" customHeight="1">
      <c r="A424" s="9" t="s">
        <v>28011</v>
      </c>
      <c r="B424" s="9" t="s">
        <v>10664</v>
      </c>
      <c r="D424" s="114">
        <v>0.625</v>
      </c>
      <c r="E424" s="115">
        <v>0.4166666666666667</v>
      </c>
      <c r="F424" s="116"/>
      <c r="G424" s="116"/>
    </row>
    <row r="425" ht="15.75" customHeight="1">
      <c r="A425" s="9" t="s">
        <v>28012</v>
      </c>
      <c r="B425" s="9" t="s">
        <v>10128</v>
      </c>
      <c r="D425" s="114">
        <v>0.4166666666666667</v>
      </c>
      <c r="E425" s="115">
        <v>0.7083333333333334</v>
      </c>
      <c r="F425" s="116"/>
      <c r="G425" s="116"/>
    </row>
    <row r="426" ht="15.75" customHeight="1">
      <c r="A426" s="9" t="s">
        <v>28013</v>
      </c>
      <c r="B426" s="9" t="s">
        <v>9796</v>
      </c>
      <c r="C426" s="9" t="s">
        <v>28014</v>
      </c>
      <c r="D426" s="114">
        <v>0.3541666666666667</v>
      </c>
      <c r="E426" s="115">
        <v>0.6041666666666666</v>
      </c>
      <c r="F426" s="116"/>
      <c r="G426" s="116"/>
      <c r="H426" s="9" t="b">
        <v>0</v>
      </c>
    </row>
    <row r="427" ht="15.75" customHeight="1">
      <c r="A427" s="9" t="s">
        <v>28015</v>
      </c>
      <c r="B427" s="9" t="s">
        <v>12085</v>
      </c>
      <c r="D427" s="114">
        <v>0.5833333333333334</v>
      </c>
      <c r="E427" s="115">
        <v>0.4583333333333333</v>
      </c>
      <c r="F427" s="116"/>
      <c r="G427" s="116"/>
    </row>
    <row r="428" ht="15.75" customHeight="1">
      <c r="A428" s="9" t="s">
        <v>28016</v>
      </c>
      <c r="B428" s="9" t="s">
        <v>12132</v>
      </c>
      <c r="D428" s="114">
        <v>0.625</v>
      </c>
      <c r="E428" s="115">
        <v>0.4583333333333333</v>
      </c>
      <c r="F428" s="116"/>
      <c r="G428" s="116"/>
    </row>
    <row r="429" ht="15.75" customHeight="1">
      <c r="A429" s="9" t="s">
        <v>28017</v>
      </c>
      <c r="B429" s="9" t="s">
        <v>11640</v>
      </c>
      <c r="D429" s="114">
        <v>0.625</v>
      </c>
      <c r="E429" s="115">
        <v>0.4166666666666667</v>
      </c>
      <c r="F429" s="116"/>
      <c r="G429" s="116"/>
    </row>
    <row r="430" ht="15.75" customHeight="1">
      <c r="A430" s="9" t="s">
        <v>28018</v>
      </c>
      <c r="B430" s="9" t="s">
        <v>10291</v>
      </c>
      <c r="C430" s="9" t="s">
        <v>27642</v>
      </c>
      <c r="D430" s="114">
        <v>0.5</v>
      </c>
      <c r="E430" s="115">
        <v>0.5833333333333334</v>
      </c>
      <c r="F430" s="115">
        <v>0.7916666666666666</v>
      </c>
      <c r="G430" s="115">
        <v>0.875</v>
      </c>
      <c r="H430" s="9" t="b">
        <v>0</v>
      </c>
    </row>
    <row r="431" ht="15.75" customHeight="1">
      <c r="A431" s="9" t="s">
        <v>28019</v>
      </c>
      <c r="B431" s="9" t="s">
        <v>10291</v>
      </c>
      <c r="C431" s="9" t="s">
        <v>27576</v>
      </c>
      <c r="D431" s="114">
        <v>0.5</v>
      </c>
      <c r="E431" s="115">
        <v>0.5833333333333334</v>
      </c>
      <c r="F431" s="115">
        <v>0.7916666666666666</v>
      </c>
      <c r="G431" s="115">
        <v>0.8333333333333334</v>
      </c>
      <c r="H431" s="9" t="b">
        <v>0</v>
      </c>
    </row>
    <row r="432" ht="15.75" customHeight="1">
      <c r="A432" s="9" t="s">
        <v>28020</v>
      </c>
      <c r="B432" s="9" t="s">
        <v>10423</v>
      </c>
      <c r="D432" s="114">
        <v>0.6666666666666666</v>
      </c>
      <c r="E432" s="115">
        <v>0.5833333333333334</v>
      </c>
      <c r="F432" s="116"/>
      <c r="G432" s="116"/>
    </row>
    <row r="433" ht="15.75" customHeight="1">
      <c r="A433" s="9" t="s">
        <v>28021</v>
      </c>
      <c r="B433" s="9" t="s">
        <v>11899</v>
      </c>
      <c r="D433" s="114">
        <v>0.6666666666666666</v>
      </c>
      <c r="E433" s="115">
        <v>0.5833333333333334</v>
      </c>
      <c r="F433" s="116"/>
      <c r="G433" s="116"/>
    </row>
    <row r="434" ht="15.75" customHeight="1">
      <c r="A434" s="9" t="s">
        <v>28022</v>
      </c>
      <c r="B434" s="9" t="s">
        <v>11800</v>
      </c>
      <c r="D434" s="114">
        <v>0.625</v>
      </c>
      <c r="E434" s="115">
        <v>0.4583333333333333</v>
      </c>
      <c r="F434" s="116"/>
      <c r="G434" s="116"/>
    </row>
    <row r="435" ht="15.75" customHeight="1">
      <c r="A435" s="9" t="s">
        <v>28023</v>
      </c>
      <c r="B435" s="9" t="s">
        <v>10308</v>
      </c>
      <c r="D435" s="114">
        <v>0.625</v>
      </c>
      <c r="E435" s="115">
        <v>0.4166666666666667</v>
      </c>
      <c r="F435" s="116"/>
      <c r="G435" s="116"/>
    </row>
    <row r="436" ht="15.75" customHeight="1">
      <c r="A436" s="9" t="s">
        <v>28024</v>
      </c>
      <c r="B436" s="9" t="s">
        <v>10440</v>
      </c>
      <c r="D436" s="114">
        <v>0.5833333333333334</v>
      </c>
      <c r="E436" s="115">
        <v>0.7083333333333334</v>
      </c>
      <c r="F436" s="116"/>
      <c r="G436" s="116"/>
    </row>
    <row r="437" ht="15.75" customHeight="1">
      <c r="A437" s="9" t="s">
        <v>28025</v>
      </c>
      <c r="B437" s="9" t="s">
        <v>10449</v>
      </c>
      <c r="D437" s="114">
        <v>0.4583333333333333</v>
      </c>
      <c r="E437" s="115">
        <v>0.6666666666666666</v>
      </c>
      <c r="F437" s="116"/>
      <c r="G437" s="116"/>
    </row>
    <row r="438" ht="15.75" customHeight="1">
      <c r="A438" s="9" t="s">
        <v>28026</v>
      </c>
      <c r="B438" s="9" t="s">
        <v>11931</v>
      </c>
      <c r="D438" s="114">
        <v>0.5833333333333334</v>
      </c>
      <c r="E438" s="115">
        <v>0.4583333333333333</v>
      </c>
      <c r="F438" s="116"/>
      <c r="G438" s="116"/>
    </row>
    <row r="439" ht="15.75" customHeight="1">
      <c r="A439" s="9" t="s">
        <v>28027</v>
      </c>
      <c r="B439" s="9" t="s">
        <v>11610</v>
      </c>
      <c r="D439" s="114">
        <v>0.625</v>
      </c>
      <c r="E439" s="115">
        <v>0.4166666666666667</v>
      </c>
      <c r="F439" s="116"/>
      <c r="G439" s="116"/>
    </row>
    <row r="440" ht="15.75" customHeight="1">
      <c r="A440" s="9" t="s">
        <v>28028</v>
      </c>
      <c r="B440" s="9" t="s">
        <v>11990</v>
      </c>
      <c r="C440" s="9" t="s">
        <v>27562</v>
      </c>
      <c r="D440" s="117"/>
      <c r="E440" s="116"/>
      <c r="F440" s="116"/>
      <c r="G440" s="116"/>
      <c r="H440" s="9" t="b">
        <v>1</v>
      </c>
    </row>
    <row r="441" ht="15.75" customHeight="1">
      <c r="A441" s="9" t="s">
        <v>28029</v>
      </c>
      <c r="B441" s="9" t="s">
        <v>10699</v>
      </c>
      <c r="D441" s="114">
        <v>0.3333333333333333</v>
      </c>
      <c r="E441" s="115">
        <v>0.4791666666666667</v>
      </c>
      <c r="F441" s="116"/>
      <c r="G441" s="116"/>
    </row>
    <row r="442" ht="15.75" customHeight="1">
      <c r="A442" s="9" t="s">
        <v>28030</v>
      </c>
      <c r="B442" s="9" t="s">
        <v>12059</v>
      </c>
      <c r="D442" s="114">
        <v>0.5833333333333334</v>
      </c>
      <c r="E442" s="115">
        <v>0.4166666666666667</v>
      </c>
      <c r="F442" s="116"/>
      <c r="G442" s="116"/>
    </row>
    <row r="443" ht="15.75" customHeight="1">
      <c r="A443" s="9" t="s">
        <v>28031</v>
      </c>
      <c r="B443" s="9" t="s">
        <v>8236</v>
      </c>
      <c r="D443" s="114">
        <v>0.625</v>
      </c>
      <c r="E443" s="115">
        <v>0.4583333333333333</v>
      </c>
      <c r="F443" s="116"/>
      <c r="G443" s="116"/>
    </row>
    <row r="444" ht="15.75" customHeight="1">
      <c r="A444" s="9" t="s">
        <v>28032</v>
      </c>
      <c r="B444" s="9" t="s">
        <v>7026</v>
      </c>
      <c r="D444" s="114">
        <v>0.6666666666666666</v>
      </c>
      <c r="E444" s="115">
        <v>0.4166666666666667</v>
      </c>
      <c r="F444" s="116"/>
      <c r="G444" s="116"/>
    </row>
    <row r="445" ht="15.75" customHeight="1">
      <c r="A445" s="9" t="s">
        <v>28033</v>
      </c>
      <c r="B445" s="9" t="s">
        <v>10394</v>
      </c>
      <c r="D445" s="114">
        <v>0.5833333333333334</v>
      </c>
      <c r="E445" s="115">
        <v>0.4583333333333333</v>
      </c>
      <c r="F445" s="116"/>
      <c r="G445" s="116"/>
    </row>
    <row r="446" ht="15.75" customHeight="1">
      <c r="A446" s="9" t="s">
        <v>28034</v>
      </c>
      <c r="B446" s="9" t="s">
        <v>10509</v>
      </c>
      <c r="C446" s="9" t="s">
        <v>28035</v>
      </c>
      <c r="D446" s="114">
        <v>0.375</v>
      </c>
      <c r="E446" s="115">
        <v>0.4791666666666667</v>
      </c>
      <c r="F446" s="115">
        <v>0.5625</v>
      </c>
      <c r="G446" s="115">
        <v>0.6666666666666666</v>
      </c>
      <c r="H446" s="9" t="b">
        <v>1</v>
      </c>
    </row>
    <row r="447" ht="15.75" customHeight="1">
      <c r="A447" s="9" t="s">
        <v>28036</v>
      </c>
      <c r="B447" s="9" t="s">
        <v>10398</v>
      </c>
      <c r="C447" s="9" t="s">
        <v>28037</v>
      </c>
      <c r="D447" s="114">
        <v>0.2916666666666667</v>
      </c>
      <c r="E447" s="115">
        <v>0.7083333333333334</v>
      </c>
      <c r="F447" s="116"/>
      <c r="G447" s="116"/>
      <c r="H447" s="9" t="b">
        <v>0</v>
      </c>
    </row>
    <row r="448" ht="15.75" customHeight="1">
      <c r="A448" s="9" t="s">
        <v>28038</v>
      </c>
      <c r="B448" s="9" t="s">
        <v>7041</v>
      </c>
      <c r="D448" s="114">
        <v>0.6666666666666666</v>
      </c>
      <c r="E448" s="115">
        <v>0.4166666666666667</v>
      </c>
      <c r="F448" s="116"/>
      <c r="G448" s="116"/>
    </row>
    <row r="449" ht="15.75" customHeight="1">
      <c r="A449" s="9" t="s">
        <v>28039</v>
      </c>
      <c r="B449" s="9" t="s">
        <v>6330</v>
      </c>
      <c r="D449" s="114">
        <v>0.5416666666666666</v>
      </c>
      <c r="E449" s="115">
        <v>0.4166666666666667</v>
      </c>
      <c r="F449" s="116"/>
      <c r="G449" s="116"/>
    </row>
    <row r="450" ht="15.75" customHeight="1">
      <c r="A450" s="9" t="s">
        <v>28040</v>
      </c>
      <c r="B450" s="9" t="s">
        <v>8408</v>
      </c>
      <c r="D450" s="114">
        <v>0.375</v>
      </c>
      <c r="E450" s="115">
        <v>0.7083333333333334</v>
      </c>
      <c r="F450" s="116"/>
      <c r="G450" s="116"/>
    </row>
    <row r="451" ht="15.75" customHeight="1">
      <c r="A451" s="9" t="s">
        <v>28041</v>
      </c>
      <c r="B451" s="9" t="s">
        <v>8468</v>
      </c>
      <c r="D451" s="114">
        <v>0.625</v>
      </c>
      <c r="E451" s="115">
        <v>0.4166666666666667</v>
      </c>
      <c r="F451" s="116"/>
      <c r="G451" s="116"/>
    </row>
    <row r="452" ht="15.75" customHeight="1">
      <c r="A452" s="9" t="s">
        <v>28042</v>
      </c>
      <c r="B452" s="9" t="s">
        <v>8478</v>
      </c>
      <c r="D452" s="114">
        <v>0.5833333333333334</v>
      </c>
      <c r="E452" s="115">
        <v>0.5833333333333334</v>
      </c>
      <c r="F452" s="116"/>
      <c r="G452" s="116"/>
    </row>
    <row r="453" ht="15.75" customHeight="1">
      <c r="A453" s="9" t="s">
        <v>28043</v>
      </c>
      <c r="B453" s="9" t="s">
        <v>8889</v>
      </c>
      <c r="D453" s="114">
        <v>0.625</v>
      </c>
      <c r="E453" s="115">
        <v>0.4166666666666667</v>
      </c>
      <c r="F453" s="116"/>
      <c r="G453" s="116"/>
    </row>
    <row r="454" ht="15.75" customHeight="1">
      <c r="A454" s="9" t="s">
        <v>28044</v>
      </c>
      <c r="B454" s="9" t="s">
        <v>12136</v>
      </c>
      <c r="D454" s="114">
        <v>0.5833333333333334</v>
      </c>
      <c r="E454" s="115">
        <v>0.4583333333333333</v>
      </c>
      <c r="F454" s="116"/>
      <c r="G454" s="116"/>
    </row>
    <row r="455" ht="15.75" customHeight="1">
      <c r="A455" s="9" t="s">
        <v>28045</v>
      </c>
      <c r="B455" s="9" t="s">
        <v>248</v>
      </c>
      <c r="D455" s="114">
        <v>0.6458333333333334</v>
      </c>
      <c r="E455" s="115">
        <v>0.4583333333333333</v>
      </c>
      <c r="F455" s="116"/>
      <c r="G455" s="116"/>
    </row>
    <row r="456" ht="15.75" customHeight="1">
      <c r="A456" s="9" t="s">
        <v>28046</v>
      </c>
      <c r="B456" s="9" t="s">
        <v>10363</v>
      </c>
      <c r="D456" s="114">
        <v>0.6458333333333334</v>
      </c>
      <c r="E456" s="115">
        <v>0.4583333333333333</v>
      </c>
      <c r="F456" s="116"/>
      <c r="G456" s="116"/>
    </row>
    <row r="457" ht="15.75" customHeight="1">
      <c r="A457" s="9" t="s">
        <v>28047</v>
      </c>
      <c r="B457" s="9" t="s">
        <v>11600</v>
      </c>
      <c r="D457" s="114">
        <v>0.6458333333333334</v>
      </c>
      <c r="E457" s="115">
        <v>0.4583333333333333</v>
      </c>
      <c r="F457" s="116"/>
      <c r="G457" s="116"/>
    </row>
    <row r="458" ht="15.75" customHeight="1">
      <c r="A458" s="9" t="s">
        <v>28048</v>
      </c>
      <c r="B458" s="9" t="s">
        <v>10287</v>
      </c>
      <c r="D458" s="114">
        <v>0.6666666666666666</v>
      </c>
      <c r="E458" s="115">
        <v>0.4166666666666667</v>
      </c>
      <c r="F458" s="116"/>
      <c r="G458" s="116"/>
    </row>
    <row r="459" ht="15.75" customHeight="1">
      <c r="A459" s="9" t="s">
        <v>28049</v>
      </c>
      <c r="B459" s="9" t="s">
        <v>12180</v>
      </c>
      <c r="D459" s="114">
        <v>0.625</v>
      </c>
      <c r="E459" s="115">
        <v>0.4166666666666667</v>
      </c>
      <c r="F459" s="116"/>
      <c r="G459" s="116"/>
    </row>
    <row r="460" ht="15.75" customHeight="1">
      <c r="A460" s="9" t="s">
        <v>28050</v>
      </c>
      <c r="B460" s="9" t="s">
        <v>269</v>
      </c>
      <c r="C460" s="9" t="s">
        <v>27572</v>
      </c>
      <c r="D460" s="114">
        <v>0.375</v>
      </c>
      <c r="E460" s="115">
        <v>0.7083333333333334</v>
      </c>
      <c r="F460" s="116"/>
      <c r="G460" s="116"/>
    </row>
    <row r="461" ht="15.75" customHeight="1">
      <c r="A461" s="9" t="s">
        <v>28051</v>
      </c>
      <c r="B461" s="9" t="s">
        <v>10312</v>
      </c>
      <c r="D461" s="114">
        <v>0.6666666666666666</v>
      </c>
      <c r="E461" s="115">
        <v>0.4166666666666667</v>
      </c>
      <c r="F461" s="116"/>
      <c r="G461" s="116"/>
    </row>
    <row r="462" ht="15.75" customHeight="1">
      <c r="A462" s="9" t="s">
        <v>28052</v>
      </c>
      <c r="B462" s="9" t="s">
        <v>3552</v>
      </c>
      <c r="D462" s="114">
        <v>0.5833333333333334</v>
      </c>
      <c r="E462" s="115">
        <v>0.4375</v>
      </c>
      <c r="F462" s="116"/>
      <c r="G462" s="116"/>
    </row>
    <row r="463" ht="15.75" customHeight="1">
      <c r="A463" s="9" t="s">
        <v>28053</v>
      </c>
      <c r="B463" s="9" t="s">
        <v>10674</v>
      </c>
      <c r="D463" s="114">
        <v>0.6041666666666666</v>
      </c>
      <c r="E463" s="115">
        <v>0.4583333333333333</v>
      </c>
      <c r="F463" s="116"/>
      <c r="G463" s="116"/>
    </row>
    <row r="464" ht="15.75" customHeight="1">
      <c r="A464" s="9" t="s">
        <v>28054</v>
      </c>
      <c r="B464" s="9" t="s">
        <v>11708</v>
      </c>
      <c r="D464" s="114">
        <v>0.5833333333333334</v>
      </c>
      <c r="E464" s="115">
        <v>0.5</v>
      </c>
      <c r="F464" s="116"/>
      <c r="G464" s="116"/>
    </row>
    <row r="465" ht="15.75" customHeight="1">
      <c r="A465" s="9" t="s">
        <v>28055</v>
      </c>
      <c r="B465" s="9" t="s">
        <v>11674</v>
      </c>
      <c r="C465" s="9" t="s">
        <v>27690</v>
      </c>
      <c r="D465" s="114">
        <v>0.3333333333333333</v>
      </c>
      <c r="E465" s="115">
        <v>0.7083333333333334</v>
      </c>
      <c r="F465" s="116"/>
      <c r="G465" s="116"/>
      <c r="H465" s="9" t="b">
        <v>0</v>
      </c>
    </row>
    <row r="466" ht="15.75" customHeight="1">
      <c r="A466" s="9" t="s">
        <v>28056</v>
      </c>
      <c r="B466" s="9" t="s">
        <v>9922</v>
      </c>
      <c r="D466" s="114">
        <v>0.6666666666666666</v>
      </c>
      <c r="E466" s="115">
        <v>0.6666666666666666</v>
      </c>
      <c r="F466" s="116"/>
      <c r="G466" s="116"/>
    </row>
    <row r="467" ht="15.75" customHeight="1">
      <c r="A467" s="9" t="s">
        <v>28057</v>
      </c>
      <c r="B467" s="9" t="s">
        <v>10233</v>
      </c>
      <c r="C467" s="9" t="s">
        <v>27572</v>
      </c>
      <c r="D467" s="114">
        <v>0.5833333333333334</v>
      </c>
      <c r="E467" s="115">
        <v>0.6875</v>
      </c>
      <c r="F467" s="116"/>
      <c r="G467" s="116"/>
      <c r="H467" s="9" t="b">
        <v>1</v>
      </c>
    </row>
    <row r="468" ht="15.75" customHeight="1">
      <c r="A468" s="9" t="s">
        <v>28058</v>
      </c>
      <c r="B468" s="9" t="s">
        <v>10781</v>
      </c>
      <c r="D468" s="114">
        <v>0.625</v>
      </c>
      <c r="E468" s="115">
        <v>0.4583333333333333</v>
      </c>
      <c r="F468" s="116"/>
      <c r="G468" s="116"/>
    </row>
    <row r="469" ht="15.75" customHeight="1">
      <c r="A469" s="9" t="s">
        <v>28059</v>
      </c>
      <c r="B469" s="9" t="s">
        <v>9006</v>
      </c>
      <c r="D469" s="114">
        <v>0.625</v>
      </c>
      <c r="E469" s="115">
        <v>0.3333333333333333</v>
      </c>
      <c r="F469" s="116"/>
      <c r="G469" s="116"/>
    </row>
    <row r="470" ht="15.75" customHeight="1">
      <c r="A470" s="9" t="s">
        <v>28060</v>
      </c>
      <c r="B470" s="9" t="s">
        <v>9199</v>
      </c>
      <c r="D470" s="117"/>
      <c r="E470" s="116"/>
      <c r="F470" s="116"/>
      <c r="G470" s="116"/>
      <c r="H470" s="9" t="b">
        <v>1</v>
      </c>
    </row>
    <row r="471" ht="15.75" customHeight="1">
      <c r="A471" s="9" t="s">
        <v>28061</v>
      </c>
      <c r="B471" s="9" t="s">
        <v>11674</v>
      </c>
      <c r="C471" s="9" t="s">
        <v>27576</v>
      </c>
      <c r="D471" s="114">
        <v>0.3333333333333333</v>
      </c>
      <c r="E471" s="115">
        <v>0.5</v>
      </c>
      <c r="F471" s="116"/>
      <c r="G471" s="116"/>
      <c r="H471" s="9" t="b">
        <v>0</v>
      </c>
    </row>
    <row r="472" ht="15.75" customHeight="1">
      <c r="A472" s="9" t="s">
        <v>28062</v>
      </c>
      <c r="B472" s="9" t="s">
        <v>5300</v>
      </c>
      <c r="C472" s="9" t="s">
        <v>27675</v>
      </c>
      <c r="D472" s="114">
        <v>0.5</v>
      </c>
      <c r="E472" s="115">
        <v>0.5833333333333334</v>
      </c>
      <c r="F472" s="115"/>
      <c r="G472" s="115"/>
    </row>
    <row r="473" ht="15.75" customHeight="1">
      <c r="A473" s="9" t="s">
        <v>28063</v>
      </c>
      <c r="B473" s="9" t="s">
        <v>9892</v>
      </c>
      <c r="D473" s="114">
        <v>0.5833333333333334</v>
      </c>
      <c r="E473" s="115">
        <v>0.5</v>
      </c>
      <c r="F473" s="116"/>
      <c r="G473" s="116"/>
    </row>
    <row r="474" ht="15.75" customHeight="1">
      <c r="A474" s="9" t="s">
        <v>28064</v>
      </c>
      <c r="B474" s="9" t="s">
        <v>9537</v>
      </c>
      <c r="D474" s="114">
        <v>0.6666666666666666</v>
      </c>
      <c r="E474" s="115">
        <v>0.5833333333333334</v>
      </c>
      <c r="F474" s="116"/>
      <c r="G474" s="116"/>
    </row>
    <row r="475" ht="15.75" customHeight="1">
      <c r="A475" s="9" t="s">
        <v>28065</v>
      </c>
      <c r="B475" s="9" t="s">
        <v>8858</v>
      </c>
      <c r="D475" s="114">
        <v>0.6666666666666666</v>
      </c>
      <c r="E475" s="115">
        <v>0.4583333333333333</v>
      </c>
      <c r="F475" s="116"/>
      <c r="G475" s="116"/>
    </row>
    <row r="476" ht="15.75" customHeight="1">
      <c r="A476" s="9" t="s">
        <v>28066</v>
      </c>
      <c r="B476" s="9" t="s">
        <v>10269</v>
      </c>
      <c r="D476" s="114">
        <v>0.6666666666666666</v>
      </c>
      <c r="E476" s="115">
        <v>0.4166666666666667</v>
      </c>
      <c r="F476" s="116"/>
      <c r="G476" s="116"/>
    </row>
    <row r="477" ht="15.75" customHeight="1">
      <c r="A477" s="9" t="s">
        <v>28067</v>
      </c>
      <c r="B477" s="9" t="s">
        <v>10380</v>
      </c>
      <c r="D477" s="114">
        <v>0.625</v>
      </c>
      <c r="E477" s="115">
        <v>0.5833333333333334</v>
      </c>
      <c r="F477" s="116"/>
      <c r="G477" s="116"/>
    </row>
    <row r="478" ht="15.75" customHeight="1">
      <c r="A478" s="9" t="s">
        <v>28068</v>
      </c>
      <c r="B478" s="9" t="s">
        <v>10199</v>
      </c>
      <c r="D478" s="114">
        <v>0.4166666666666667</v>
      </c>
      <c r="E478" s="115">
        <v>0.4166666666666667</v>
      </c>
      <c r="F478" s="116"/>
      <c r="G478" s="116"/>
    </row>
    <row r="479" ht="15.75" customHeight="1">
      <c r="A479" s="9" t="s">
        <v>28069</v>
      </c>
      <c r="B479" s="9" t="s">
        <v>8744</v>
      </c>
      <c r="D479" s="114">
        <v>0.625</v>
      </c>
      <c r="E479" s="115">
        <v>0.4583333333333333</v>
      </c>
      <c r="F479" s="116"/>
      <c r="G479" s="116"/>
    </row>
    <row r="480" ht="15.75" customHeight="1">
      <c r="A480" s="9" t="s">
        <v>28070</v>
      </c>
      <c r="B480" s="9" t="s">
        <v>9206</v>
      </c>
      <c r="D480" s="114">
        <v>0.6666666666666666</v>
      </c>
      <c r="E480" s="115">
        <v>0.5</v>
      </c>
      <c r="F480" s="116"/>
      <c r="G480" s="116"/>
    </row>
    <row r="481" ht="15.75" customHeight="1">
      <c r="A481" s="9" t="s">
        <v>28071</v>
      </c>
      <c r="B481" s="9" t="s">
        <v>10359</v>
      </c>
      <c r="D481" s="114">
        <v>0.625</v>
      </c>
      <c r="E481" s="115">
        <v>0.4583333333333333</v>
      </c>
      <c r="F481" s="116"/>
      <c r="G481" s="116"/>
    </row>
    <row r="482" ht="15.75" customHeight="1">
      <c r="A482" s="9" t="s">
        <v>28072</v>
      </c>
      <c r="B482" s="9" t="s">
        <v>10297</v>
      </c>
      <c r="D482" s="114">
        <v>0.5833333333333334</v>
      </c>
      <c r="E482" s="115">
        <v>0.4166666666666667</v>
      </c>
      <c r="F482" s="116"/>
      <c r="G482" s="116"/>
    </row>
    <row r="483" ht="15.75" customHeight="1">
      <c r="A483" s="9" t="s">
        <v>28073</v>
      </c>
      <c r="B483" s="9" t="s">
        <v>9810</v>
      </c>
      <c r="D483" s="114">
        <v>0.5416666666666666</v>
      </c>
      <c r="E483" s="115">
        <v>0.4166666666666667</v>
      </c>
      <c r="F483" s="116"/>
      <c r="G483" s="116"/>
    </row>
    <row r="484" ht="15.75" customHeight="1">
      <c r="A484" s="9" t="s">
        <v>28074</v>
      </c>
      <c r="B484" s="9" t="s">
        <v>4210</v>
      </c>
      <c r="C484" s="9" t="s">
        <v>27562</v>
      </c>
      <c r="D484" s="114">
        <v>0.5</v>
      </c>
      <c r="E484" s="115">
        <v>0.5625</v>
      </c>
      <c r="F484" s="116"/>
      <c r="G484" s="116"/>
    </row>
    <row r="485" ht="15.75" customHeight="1">
      <c r="A485" s="9" t="s">
        <v>28075</v>
      </c>
      <c r="B485" s="9" t="s">
        <v>4210</v>
      </c>
      <c r="C485" s="9" t="s">
        <v>27562</v>
      </c>
      <c r="D485" s="114">
        <v>0.7916666666666666</v>
      </c>
      <c r="E485" s="115">
        <v>0.8541666666666666</v>
      </c>
      <c r="F485" s="116"/>
      <c r="G485" s="116"/>
    </row>
    <row r="486" ht="15.75" customHeight="1">
      <c r="A486" s="9" t="s">
        <v>28076</v>
      </c>
      <c r="B486" s="9" t="s">
        <v>3096</v>
      </c>
      <c r="C486" s="9" t="s">
        <v>27642</v>
      </c>
      <c r="D486" s="114">
        <v>0.4166666666666667</v>
      </c>
      <c r="E486" s="115">
        <v>0.5833333333333334</v>
      </c>
      <c r="F486" s="116"/>
      <c r="G486" s="116"/>
    </row>
    <row r="487" ht="15.75" customHeight="1">
      <c r="A487" s="9" t="s">
        <v>28077</v>
      </c>
      <c r="B487" s="9" t="s">
        <v>3096</v>
      </c>
      <c r="C487" s="9" t="s">
        <v>27572</v>
      </c>
      <c r="D487" s="114">
        <v>0.7291666666666666</v>
      </c>
      <c r="E487" s="115">
        <v>0.8541666666666666</v>
      </c>
      <c r="F487" s="116"/>
      <c r="G487" s="116"/>
    </row>
    <row r="488" ht="15.75" customHeight="1">
      <c r="A488" s="9" t="s">
        <v>28078</v>
      </c>
      <c r="B488" s="9" t="s">
        <v>264</v>
      </c>
      <c r="D488" s="114">
        <v>0.5833333333333334</v>
      </c>
      <c r="E488" s="115">
        <v>0.4583333333333333</v>
      </c>
      <c r="F488" s="116"/>
      <c r="G488" s="116"/>
    </row>
    <row r="489" ht="15.75" customHeight="1">
      <c r="A489" s="9" t="s">
        <v>28079</v>
      </c>
      <c r="B489" s="9" t="s">
        <v>11526</v>
      </c>
      <c r="D489" s="114">
        <v>0.625</v>
      </c>
      <c r="E489" s="115">
        <v>0.5</v>
      </c>
      <c r="F489" s="116"/>
      <c r="G489" s="116"/>
    </row>
    <row r="490" ht="15.75" customHeight="1">
      <c r="A490" s="9" t="s">
        <v>28080</v>
      </c>
      <c r="B490" s="9" t="s">
        <v>10682</v>
      </c>
      <c r="D490" s="114">
        <v>0.625</v>
      </c>
      <c r="E490" s="115">
        <v>0.5</v>
      </c>
      <c r="F490" s="116"/>
      <c r="G490" s="116"/>
    </row>
    <row r="491" ht="15.75" customHeight="1">
      <c r="A491" s="9" t="s">
        <v>28081</v>
      </c>
      <c r="B491" s="9" t="s">
        <v>10347</v>
      </c>
      <c r="D491" s="114">
        <v>0.5833333333333334</v>
      </c>
      <c r="E491" s="115">
        <v>0.4583333333333333</v>
      </c>
      <c r="F491" s="116"/>
      <c r="G491" s="116"/>
    </row>
    <row r="492" ht="15.75" customHeight="1">
      <c r="A492" s="9" t="s">
        <v>28082</v>
      </c>
      <c r="B492" s="9" t="s">
        <v>9612</v>
      </c>
      <c r="D492" s="114">
        <v>0.7083333333333334</v>
      </c>
      <c r="E492" s="115">
        <v>0.5833333333333334</v>
      </c>
      <c r="F492" s="116"/>
      <c r="G492" s="116"/>
    </row>
    <row r="493" ht="15.75" customHeight="1">
      <c r="A493" s="9" t="s">
        <v>28083</v>
      </c>
      <c r="B493" s="9" t="s">
        <v>7667</v>
      </c>
      <c r="D493" s="117"/>
      <c r="E493" s="116"/>
      <c r="F493" s="116"/>
      <c r="G493" s="116"/>
      <c r="H493" s="9" t="b">
        <v>1</v>
      </c>
    </row>
    <row r="494" ht="15.75" customHeight="1">
      <c r="A494" s="9" t="s">
        <v>28084</v>
      </c>
      <c r="B494" s="9" t="s">
        <v>10334</v>
      </c>
      <c r="D494" s="114">
        <v>0.5416666666666666</v>
      </c>
      <c r="E494" s="115">
        <v>0.4583333333333333</v>
      </c>
      <c r="F494" s="116"/>
      <c r="G494" s="116"/>
    </row>
    <row r="495" ht="15.75" customHeight="1">
      <c r="A495" s="9" t="s">
        <v>28085</v>
      </c>
      <c r="B495" s="9" t="s">
        <v>10332</v>
      </c>
      <c r="D495" s="114">
        <v>0.5416666666666666</v>
      </c>
      <c r="E495" s="115">
        <v>0.4583333333333333</v>
      </c>
      <c r="F495" s="116"/>
      <c r="G495" s="116"/>
    </row>
    <row r="496" ht="15.75" customHeight="1">
      <c r="A496" s="9" t="s">
        <v>28086</v>
      </c>
      <c r="B496" s="9" t="s">
        <v>10320</v>
      </c>
      <c r="D496" s="114">
        <v>0.7083333333333334</v>
      </c>
      <c r="E496" s="115">
        <v>0.4166666666666667</v>
      </c>
      <c r="F496" s="116"/>
      <c r="G496" s="116"/>
    </row>
    <row r="497" ht="15.75" customHeight="1">
      <c r="A497" s="9" t="s">
        <v>28087</v>
      </c>
      <c r="B497" s="9" t="s">
        <v>7495</v>
      </c>
      <c r="C497" s="9" t="s">
        <v>27562</v>
      </c>
      <c r="D497" s="114">
        <v>0.4583333333333333</v>
      </c>
      <c r="E497" s="115">
        <v>0.9166666666666666</v>
      </c>
      <c r="F497" s="116"/>
      <c r="G497" s="116"/>
      <c r="H497" s="9" t="b">
        <v>0</v>
      </c>
    </row>
    <row r="498" ht="15.75" customHeight="1">
      <c r="A498" s="9" t="s">
        <v>28088</v>
      </c>
      <c r="B498" s="9" t="s">
        <v>234</v>
      </c>
      <c r="D498" s="114">
        <v>0.6458333333333334</v>
      </c>
      <c r="E498" s="115">
        <v>0.4583333333333333</v>
      </c>
      <c r="F498" s="116"/>
      <c r="G498" s="116"/>
    </row>
    <row r="499" ht="15.75" customHeight="1">
      <c r="A499" s="9" t="s">
        <v>28089</v>
      </c>
      <c r="B499" s="9" t="s">
        <v>6159</v>
      </c>
      <c r="C499" s="9" t="s">
        <v>28090</v>
      </c>
      <c r="D499" s="114">
        <v>0.4583333333333333</v>
      </c>
      <c r="E499" s="115">
        <v>0.5833333333333334</v>
      </c>
      <c r="F499" s="115">
        <v>0.75</v>
      </c>
      <c r="G499" s="115">
        <v>0.875</v>
      </c>
      <c r="H499" s="9" t="b">
        <v>0</v>
      </c>
    </row>
    <row r="500" ht="15.75" customHeight="1">
      <c r="A500" s="9" t="s">
        <v>28091</v>
      </c>
      <c r="B500" s="9" t="s">
        <v>6752</v>
      </c>
      <c r="C500" s="9" t="s">
        <v>27605</v>
      </c>
      <c r="D500" s="114">
        <v>0.3958333333333333</v>
      </c>
      <c r="E500" s="115">
        <v>0.625</v>
      </c>
      <c r="F500" s="116"/>
      <c r="G500" s="116"/>
      <c r="H500" s="9" t="b">
        <v>1</v>
      </c>
    </row>
    <row r="501" ht="15.75" customHeight="1">
      <c r="A501" s="9" t="s">
        <v>28092</v>
      </c>
      <c r="B501" s="9" t="s">
        <v>10276</v>
      </c>
      <c r="D501" s="114">
        <v>0.6666666666666666</v>
      </c>
      <c r="E501" s="115">
        <v>0.4583333333333333</v>
      </c>
      <c r="F501" s="116"/>
      <c r="G501" s="116"/>
    </row>
    <row r="502" ht="15.75" customHeight="1">
      <c r="A502" s="9" t="s">
        <v>28093</v>
      </c>
      <c r="B502" s="9" t="s">
        <v>4712</v>
      </c>
      <c r="D502" s="114">
        <v>0.6666666666666666</v>
      </c>
      <c r="E502" s="115">
        <v>0.4166666666666667</v>
      </c>
      <c r="F502" s="116"/>
      <c r="G502" s="116"/>
    </row>
    <row r="503" ht="15.75" customHeight="1">
      <c r="A503" s="9" t="s">
        <v>28094</v>
      </c>
      <c r="B503" s="9" t="s">
        <v>11362</v>
      </c>
      <c r="D503" s="114">
        <v>0.625</v>
      </c>
      <c r="E503" s="115">
        <v>0.5</v>
      </c>
      <c r="F503" s="116"/>
      <c r="G503" s="116"/>
    </row>
    <row r="504" ht="15.75" customHeight="1">
      <c r="A504" s="9" t="s">
        <v>28095</v>
      </c>
      <c r="B504" s="9" t="s">
        <v>5545</v>
      </c>
      <c r="D504" s="114">
        <v>0.5833333333333334</v>
      </c>
      <c r="E504" s="115">
        <v>0.4583333333333333</v>
      </c>
      <c r="F504" s="116"/>
      <c r="G504" s="116"/>
    </row>
    <row r="505" ht="15.75" customHeight="1">
      <c r="A505" s="9"/>
      <c r="B505" s="9"/>
      <c r="D505" s="114"/>
      <c r="E505" s="115"/>
      <c r="F505" s="116"/>
      <c r="G505" s="116"/>
    </row>
    <row r="506" ht="15.75" customHeight="1">
      <c r="A506" s="9" t="s">
        <v>28096</v>
      </c>
      <c r="B506" s="9" t="s">
        <v>706</v>
      </c>
      <c r="C506" s="9" t="s">
        <v>27605</v>
      </c>
      <c r="D506" s="114">
        <v>0.5</v>
      </c>
      <c r="E506" s="115">
        <v>0.6041666666666666</v>
      </c>
      <c r="F506" s="116"/>
      <c r="G506" s="116"/>
      <c r="H506" s="9" t="b">
        <v>1</v>
      </c>
    </row>
    <row r="507" ht="15.75" customHeight="1">
      <c r="A507" s="9" t="s">
        <v>28097</v>
      </c>
      <c r="B507" s="9" t="s">
        <v>706</v>
      </c>
      <c r="C507" s="9" t="s">
        <v>27578</v>
      </c>
      <c r="D507" s="114">
        <v>0.7916666666666666</v>
      </c>
      <c r="E507" s="115">
        <v>0.8958333333333334</v>
      </c>
      <c r="F507" s="116"/>
      <c r="G507" s="116"/>
      <c r="H507" s="9" t="b">
        <v>1</v>
      </c>
    </row>
    <row r="508" ht="15.75" customHeight="1">
      <c r="A508" s="9" t="s">
        <v>28098</v>
      </c>
      <c r="B508" s="9" t="s">
        <v>11366</v>
      </c>
      <c r="D508" s="114">
        <v>0.5833333333333334</v>
      </c>
      <c r="E508" s="115">
        <v>0.4583333333333333</v>
      </c>
      <c r="F508" s="116"/>
      <c r="G508" s="116"/>
    </row>
    <row r="509" ht="15.75" customHeight="1">
      <c r="A509" s="9" t="s">
        <v>28099</v>
      </c>
      <c r="B509" s="9" t="s">
        <v>10283</v>
      </c>
      <c r="D509" s="114">
        <v>0.625</v>
      </c>
      <c r="E509" s="115">
        <v>0.4583333333333333</v>
      </c>
      <c r="F509" s="116"/>
      <c r="G509" s="116"/>
    </row>
    <row r="510" ht="15.75" customHeight="1">
      <c r="A510" s="9" t="s">
        <v>28100</v>
      </c>
      <c r="B510" s="9" t="s">
        <v>11830</v>
      </c>
      <c r="D510" s="114">
        <v>0.625</v>
      </c>
      <c r="E510" s="115">
        <v>0.4583333333333333</v>
      </c>
      <c r="F510" s="116"/>
      <c r="G510" s="116"/>
    </row>
    <row r="511" ht="15.75" customHeight="1">
      <c r="A511" s="9" t="s">
        <v>28101</v>
      </c>
      <c r="B511" s="9" t="s">
        <v>12125</v>
      </c>
      <c r="D511" s="114">
        <v>0.6666666666666666</v>
      </c>
      <c r="E511" s="115">
        <v>0.4166666666666667</v>
      </c>
      <c r="F511" s="116"/>
      <c r="G511" s="116"/>
    </row>
    <row r="512" ht="15.75" customHeight="1">
      <c r="A512" s="9" t="s">
        <v>28102</v>
      </c>
      <c r="B512" s="9" t="s">
        <v>11955</v>
      </c>
      <c r="D512" s="114">
        <v>0.6666666666666666</v>
      </c>
      <c r="E512" s="115">
        <v>0.4583333333333333</v>
      </c>
      <c r="F512" s="116"/>
      <c r="G512" s="116"/>
    </row>
    <row r="513" ht="15.75" customHeight="1">
      <c r="A513" s="9" t="s">
        <v>28103</v>
      </c>
      <c r="B513" s="9" t="s">
        <v>11929</v>
      </c>
      <c r="D513" s="114">
        <v>0.625</v>
      </c>
      <c r="E513" s="115">
        <v>0.4583333333333333</v>
      </c>
      <c r="F513" s="116"/>
      <c r="G513" s="116"/>
    </row>
    <row r="514" ht="15.75" customHeight="1">
      <c r="A514" s="9" t="s">
        <v>28104</v>
      </c>
      <c r="B514" s="9" t="s">
        <v>12100</v>
      </c>
      <c r="D514" s="114">
        <v>0.5833333333333334</v>
      </c>
      <c r="E514" s="115">
        <v>0.4583333333333333</v>
      </c>
      <c r="F514" s="116"/>
      <c r="G514" s="116"/>
    </row>
    <row r="515" ht="15.75" customHeight="1">
      <c r="A515" s="9" t="s">
        <v>28105</v>
      </c>
      <c r="B515" s="9" t="s">
        <v>12219</v>
      </c>
      <c r="D515" s="114">
        <v>0.5833333333333334</v>
      </c>
      <c r="E515" s="115">
        <v>0.4583333333333333</v>
      </c>
      <c r="F515" s="116"/>
      <c r="G515" s="116"/>
    </row>
    <row r="516" ht="15.75" customHeight="1">
      <c r="A516" s="9" t="s">
        <v>28106</v>
      </c>
      <c r="B516" s="9" t="s">
        <v>12219</v>
      </c>
      <c r="D516" s="114">
        <v>0.5833333333333334</v>
      </c>
      <c r="E516" s="115">
        <v>0.4583333333333333</v>
      </c>
      <c r="F516" s="116"/>
      <c r="G516" s="116"/>
    </row>
    <row r="517" ht="15.75" customHeight="1">
      <c r="A517" s="9" t="s">
        <v>28107</v>
      </c>
      <c r="B517" s="9" t="s">
        <v>11368</v>
      </c>
      <c r="C517" s="9" t="s">
        <v>27562</v>
      </c>
      <c r="D517" s="117"/>
      <c r="E517" s="116"/>
      <c r="F517" s="116"/>
      <c r="G517" s="116"/>
      <c r="H517" s="9" t="b">
        <v>1</v>
      </c>
    </row>
    <row r="518" ht="15.75" customHeight="1">
      <c r="A518" s="9" t="s">
        <v>28108</v>
      </c>
      <c r="B518" s="9" t="s">
        <v>11371</v>
      </c>
      <c r="D518" s="114">
        <v>0.6666666666666666</v>
      </c>
      <c r="E518" s="115">
        <v>0.4166666666666667</v>
      </c>
      <c r="F518" s="116"/>
      <c r="G518" s="116"/>
    </row>
    <row r="519" ht="15.75" customHeight="1">
      <c r="A519" s="9" t="s">
        <v>28109</v>
      </c>
      <c r="B519" s="9" t="s">
        <v>7358</v>
      </c>
      <c r="C519" s="9"/>
      <c r="D519" s="117"/>
      <c r="E519" s="116"/>
      <c r="F519" s="116"/>
      <c r="G519" s="116"/>
    </row>
    <row r="520" ht="15.75" customHeight="1">
      <c r="A520" s="9" t="s">
        <v>28110</v>
      </c>
      <c r="B520" s="9" t="s">
        <v>7358</v>
      </c>
      <c r="C520" s="9" t="s">
        <v>28090</v>
      </c>
      <c r="D520" s="117"/>
      <c r="E520" s="116"/>
      <c r="F520" s="116"/>
      <c r="G520" s="116"/>
    </row>
    <row r="521" ht="15.75" customHeight="1">
      <c r="A521" s="9" t="s">
        <v>28111</v>
      </c>
      <c r="B521" s="9" t="s">
        <v>7380</v>
      </c>
      <c r="C521" s="9" t="s">
        <v>27999</v>
      </c>
      <c r="D521" s="117"/>
      <c r="E521" s="116"/>
      <c r="F521" s="116"/>
      <c r="G521" s="116"/>
      <c r="H521" s="9" t="b">
        <v>1</v>
      </c>
    </row>
    <row r="522" ht="15.75" customHeight="1">
      <c r="A522" s="9" t="s">
        <v>28112</v>
      </c>
      <c r="B522" s="9" t="s">
        <v>11740</v>
      </c>
      <c r="D522" s="114">
        <v>0.5833333333333334</v>
      </c>
      <c r="E522" s="115">
        <v>0.4583333333333333</v>
      </c>
      <c r="F522" s="116"/>
      <c r="G522" s="116"/>
    </row>
    <row r="523" ht="15.75" customHeight="1">
      <c r="A523" s="9" t="s">
        <v>28113</v>
      </c>
      <c r="B523" s="9" t="s">
        <v>1410</v>
      </c>
      <c r="C523" s="9" t="s">
        <v>28114</v>
      </c>
      <c r="D523" s="117"/>
      <c r="E523" s="116"/>
      <c r="F523" s="116"/>
      <c r="G523" s="116"/>
      <c r="H523" s="9" t="b">
        <v>1</v>
      </c>
    </row>
    <row r="524" ht="15.75" customHeight="1">
      <c r="A524" s="9" t="s">
        <v>28115</v>
      </c>
      <c r="B524" s="9" t="s">
        <v>2496</v>
      </c>
      <c r="C524" s="9" t="s">
        <v>27983</v>
      </c>
      <c r="D524" s="114">
        <v>0.375</v>
      </c>
      <c r="E524" s="115">
        <v>0.6458333333333334</v>
      </c>
      <c r="F524" s="116"/>
      <c r="G524" s="116"/>
    </row>
    <row r="525" ht="15.75" customHeight="1">
      <c r="A525" s="9" t="s">
        <v>28116</v>
      </c>
      <c r="B525" s="9" t="s">
        <v>6705</v>
      </c>
      <c r="C525" s="9" t="s">
        <v>27730</v>
      </c>
      <c r="D525" s="114">
        <v>0.2708333333333333</v>
      </c>
      <c r="E525" s="115">
        <v>0.5416666666666666</v>
      </c>
      <c r="F525" s="116"/>
      <c r="G525" s="116"/>
    </row>
    <row r="526" ht="15.75" customHeight="1">
      <c r="A526" s="9" t="s">
        <v>28117</v>
      </c>
      <c r="B526" s="9" t="s">
        <v>6705</v>
      </c>
      <c r="C526" s="9" t="s">
        <v>27730</v>
      </c>
      <c r="D526" s="114">
        <v>0.7291666666666666</v>
      </c>
      <c r="E526" s="115">
        <v>0.875</v>
      </c>
      <c r="F526" s="116"/>
      <c r="G526" s="116"/>
    </row>
    <row r="527" ht="15.75" customHeight="1">
      <c r="A527" s="9" t="s">
        <v>28118</v>
      </c>
      <c r="B527" s="9" t="s">
        <v>6705</v>
      </c>
      <c r="C527" s="9" t="s">
        <v>27688</v>
      </c>
      <c r="D527" s="114">
        <v>0.375</v>
      </c>
      <c r="E527" s="115">
        <v>0.8541666666666666</v>
      </c>
      <c r="F527" s="116"/>
      <c r="G527" s="116"/>
    </row>
    <row r="528" ht="15.75" customHeight="1">
      <c r="A528" s="9" t="s">
        <v>28119</v>
      </c>
      <c r="B528" s="9" t="s">
        <v>6705</v>
      </c>
      <c r="C528" s="9" t="s">
        <v>27578</v>
      </c>
      <c r="D528" s="114">
        <v>0.2708333333333333</v>
      </c>
      <c r="E528" s="115">
        <v>0.5416666666666666</v>
      </c>
      <c r="F528" s="115">
        <v>0.7291666666666666</v>
      </c>
      <c r="G528" s="115">
        <v>0.875</v>
      </c>
    </row>
    <row r="529" ht="15.75" customHeight="1">
      <c r="A529" s="9" t="s">
        <v>28120</v>
      </c>
      <c r="B529" s="9" t="s">
        <v>4146</v>
      </c>
      <c r="C529" s="9" t="s">
        <v>27719</v>
      </c>
      <c r="D529" s="114">
        <v>0.7708333333333334</v>
      </c>
      <c r="E529" s="115">
        <v>0.8541666666666666</v>
      </c>
      <c r="F529" s="116"/>
      <c r="G529" s="116"/>
      <c r="H529" s="9" t="b">
        <v>1</v>
      </c>
    </row>
    <row r="530" ht="15.75" customHeight="1">
      <c r="A530" s="9" t="s">
        <v>28121</v>
      </c>
      <c r="B530" s="9" t="s">
        <v>4146</v>
      </c>
      <c r="C530" s="9" t="s">
        <v>27572</v>
      </c>
      <c r="D530" s="114">
        <v>0.4791666666666667</v>
      </c>
      <c r="E530" s="115">
        <v>0.5833333333333334</v>
      </c>
      <c r="F530" s="116"/>
      <c r="G530" s="116"/>
      <c r="H530" s="9" t="b">
        <v>1</v>
      </c>
    </row>
    <row r="531" ht="15.75" customHeight="1">
      <c r="A531" s="9" t="s">
        <v>28122</v>
      </c>
      <c r="B531" s="9" t="s">
        <v>12104</v>
      </c>
      <c r="D531" s="114">
        <v>0.625</v>
      </c>
      <c r="E531" s="115">
        <v>0.4583333333333333</v>
      </c>
      <c r="F531" s="116"/>
      <c r="G531" s="116"/>
    </row>
    <row r="532" ht="15.75" customHeight="1">
      <c r="A532" s="9" t="s">
        <v>28123</v>
      </c>
      <c r="B532" s="9" t="s">
        <v>7867</v>
      </c>
      <c r="D532" s="114">
        <v>0.4583333333333333</v>
      </c>
      <c r="E532" s="115">
        <v>0.5833333333333334</v>
      </c>
      <c r="F532" s="116"/>
      <c r="G532" s="116"/>
    </row>
    <row r="533" ht="15.75" customHeight="1">
      <c r="A533" s="9" t="s">
        <v>28124</v>
      </c>
      <c r="B533" s="9" t="s">
        <v>5823</v>
      </c>
      <c r="D533" s="114">
        <v>0.4583333333333333</v>
      </c>
      <c r="E533" s="115">
        <v>0.5833333333333334</v>
      </c>
      <c r="F533" s="116"/>
      <c r="G533" s="116"/>
    </row>
    <row r="534" ht="15.75" customHeight="1">
      <c r="A534" s="9" t="s">
        <v>28125</v>
      </c>
      <c r="B534" s="9" t="s">
        <v>1966</v>
      </c>
      <c r="D534" s="117"/>
      <c r="E534" s="116"/>
      <c r="F534" s="116"/>
      <c r="G534" s="116"/>
    </row>
    <row r="535" ht="15.75" customHeight="1">
      <c r="A535" s="9" t="s">
        <v>28126</v>
      </c>
      <c r="B535" s="9" t="s">
        <v>1722</v>
      </c>
      <c r="D535" s="114">
        <v>0.4583333333333333</v>
      </c>
      <c r="E535" s="115">
        <v>0.5833333333333334</v>
      </c>
      <c r="F535" s="116"/>
      <c r="G535" s="116"/>
    </row>
    <row r="536" ht="15.75" customHeight="1">
      <c r="A536" s="9" t="s">
        <v>28127</v>
      </c>
      <c r="B536" s="9" t="s">
        <v>5981</v>
      </c>
      <c r="D536" s="114">
        <v>0.4583333333333333</v>
      </c>
      <c r="E536" s="115">
        <v>0.5833333333333334</v>
      </c>
      <c r="F536" s="116"/>
      <c r="G536" s="116"/>
    </row>
    <row r="537" ht="15.75" customHeight="1">
      <c r="A537" s="9" t="s">
        <v>28128</v>
      </c>
      <c r="B537" s="9" t="s">
        <v>6081</v>
      </c>
      <c r="D537" s="114">
        <v>0.4583333333333333</v>
      </c>
      <c r="E537" s="115">
        <v>0.5833333333333334</v>
      </c>
      <c r="F537" s="116"/>
      <c r="G537" s="116"/>
    </row>
    <row r="538" ht="15.75" customHeight="1">
      <c r="A538" s="9" t="s">
        <v>28129</v>
      </c>
      <c r="B538" s="9" t="s">
        <v>6692</v>
      </c>
      <c r="D538" s="114">
        <v>0.4583333333333333</v>
      </c>
      <c r="E538" s="115">
        <v>0.5833333333333334</v>
      </c>
      <c r="F538" s="116"/>
      <c r="G538" s="116"/>
    </row>
    <row r="539" ht="15.75" customHeight="1">
      <c r="A539" s="9" t="s">
        <v>28130</v>
      </c>
      <c r="B539" s="9" t="s">
        <v>1088</v>
      </c>
      <c r="D539" s="114">
        <v>0.4583333333333333</v>
      </c>
      <c r="E539" s="115">
        <v>0.5833333333333334</v>
      </c>
      <c r="F539" s="116"/>
      <c r="G539" s="116"/>
    </row>
    <row r="540" ht="15.75" customHeight="1">
      <c r="A540" s="9" t="s">
        <v>28131</v>
      </c>
      <c r="B540" s="9" t="s">
        <v>6145</v>
      </c>
      <c r="D540" s="114">
        <v>0.4583333333333333</v>
      </c>
      <c r="E540" s="115">
        <v>0.5833333333333334</v>
      </c>
      <c r="F540" s="116"/>
      <c r="G540" s="116"/>
    </row>
    <row r="541" ht="15.75" customHeight="1">
      <c r="A541" s="9" t="s">
        <v>28132</v>
      </c>
      <c r="B541" s="9" t="s">
        <v>11664</v>
      </c>
      <c r="D541" s="114">
        <v>0.5833333333333334</v>
      </c>
      <c r="E541" s="115">
        <v>0.4583333333333333</v>
      </c>
      <c r="F541" s="116"/>
      <c r="G541" s="116"/>
    </row>
    <row r="542" ht="15.75" customHeight="1">
      <c r="A542" s="9" t="s">
        <v>28133</v>
      </c>
      <c r="B542" s="9" t="s">
        <v>11682</v>
      </c>
      <c r="D542" s="114">
        <v>0.625</v>
      </c>
      <c r="E542" s="115">
        <v>0.4583333333333333</v>
      </c>
      <c r="F542" s="116"/>
      <c r="G542" s="116"/>
    </row>
    <row r="543" ht="15.75" customHeight="1">
      <c r="A543" s="9" t="s">
        <v>28134</v>
      </c>
      <c r="B543" s="9" t="s">
        <v>4545</v>
      </c>
      <c r="D543" s="114">
        <v>0.6666666666666666</v>
      </c>
      <c r="E543" s="115">
        <v>0.4166666666666667</v>
      </c>
      <c r="F543" s="116"/>
      <c r="G543" s="116"/>
    </row>
    <row r="544" ht="15.75" customHeight="1">
      <c r="A544" s="9" t="s">
        <v>28135</v>
      </c>
      <c r="B544" s="9" t="s">
        <v>11373</v>
      </c>
      <c r="D544" s="114">
        <v>0.5833333333333334</v>
      </c>
      <c r="E544" s="115">
        <v>0.4583333333333333</v>
      </c>
      <c r="F544" s="116"/>
      <c r="G544" s="116"/>
    </row>
    <row r="545" ht="15.75" customHeight="1">
      <c r="A545" s="9" t="s">
        <v>28136</v>
      </c>
      <c r="B545" s="9" t="s">
        <v>4758</v>
      </c>
      <c r="C545" s="9" t="s">
        <v>27648</v>
      </c>
      <c r="D545" s="114">
        <v>0.4583333333333333</v>
      </c>
      <c r="E545" s="115">
        <v>0.875</v>
      </c>
      <c r="F545" s="116"/>
      <c r="G545" s="116"/>
    </row>
    <row r="546" ht="15.75" customHeight="1">
      <c r="A546" s="9" t="s">
        <v>28137</v>
      </c>
      <c r="B546" s="9" t="s">
        <v>4758</v>
      </c>
      <c r="C546" s="9" t="s">
        <v>27688</v>
      </c>
      <c r="D546" s="114">
        <v>0.7083333333333334</v>
      </c>
      <c r="E546" s="115">
        <v>0.875</v>
      </c>
      <c r="F546" s="116"/>
      <c r="G546" s="116"/>
    </row>
    <row r="547" ht="15.75" customHeight="1">
      <c r="A547" s="9" t="s">
        <v>28138</v>
      </c>
      <c r="B547" s="9" t="s">
        <v>11375</v>
      </c>
      <c r="C547" s="9" t="s">
        <v>27642</v>
      </c>
      <c r="D547" s="117"/>
      <c r="E547" s="116"/>
      <c r="F547" s="116"/>
      <c r="G547" s="116"/>
      <c r="H547" s="9" t="b">
        <v>1</v>
      </c>
    </row>
    <row r="548" ht="15.75" customHeight="1">
      <c r="A548" s="9" t="s">
        <v>28139</v>
      </c>
      <c r="B548" s="9" t="s">
        <v>11377</v>
      </c>
      <c r="D548" s="114">
        <v>0.625</v>
      </c>
      <c r="E548" s="115">
        <v>0.4583333333333333</v>
      </c>
      <c r="F548" s="116"/>
      <c r="G548" s="116"/>
    </row>
    <row r="549" ht="15.75" customHeight="1">
      <c r="A549" s="9" t="s">
        <v>28140</v>
      </c>
      <c r="B549" s="9" t="s">
        <v>11379</v>
      </c>
      <c r="D549" s="114">
        <v>0.625</v>
      </c>
      <c r="E549" s="115">
        <v>0.4583333333333333</v>
      </c>
      <c r="F549" s="116"/>
      <c r="G549" s="116"/>
    </row>
    <row r="550" ht="15.75" customHeight="1">
      <c r="A550" s="9" t="s">
        <v>28141</v>
      </c>
      <c r="B550" s="9" t="s">
        <v>11381</v>
      </c>
      <c r="D550" s="114">
        <v>0.6666666666666666</v>
      </c>
      <c r="E550" s="115">
        <v>0.4166666666666667</v>
      </c>
      <c r="F550" s="116"/>
      <c r="G550" s="116"/>
    </row>
    <row r="551" ht="15.75" customHeight="1">
      <c r="A551" s="9" t="s">
        <v>28142</v>
      </c>
      <c r="B551" s="9" t="s">
        <v>11383</v>
      </c>
      <c r="D551" s="114">
        <v>0.6666666666666666</v>
      </c>
      <c r="E551" s="115">
        <v>0.4166666666666667</v>
      </c>
      <c r="F551" s="116"/>
      <c r="G551" s="116"/>
    </row>
    <row r="552" ht="15.75" customHeight="1">
      <c r="A552" s="9" t="s">
        <v>28143</v>
      </c>
      <c r="B552" s="9" t="s">
        <v>11385</v>
      </c>
      <c r="D552" s="114">
        <v>0.625</v>
      </c>
      <c r="E552" s="115">
        <v>0.4583333333333333</v>
      </c>
      <c r="F552" s="116"/>
      <c r="G552" s="116"/>
    </row>
    <row r="553" ht="15.75" customHeight="1">
      <c r="A553" s="9" t="s">
        <v>28144</v>
      </c>
      <c r="B553" s="9" t="s">
        <v>11387</v>
      </c>
      <c r="D553" s="114">
        <v>0.5833333333333334</v>
      </c>
      <c r="E553" s="115">
        <v>0.4166666666666667</v>
      </c>
      <c r="F553" s="116"/>
      <c r="G553" s="116"/>
    </row>
    <row r="554" ht="15.75" customHeight="1">
      <c r="A554" s="9" t="s">
        <v>28145</v>
      </c>
      <c r="B554" s="9" t="s">
        <v>11394</v>
      </c>
      <c r="D554" s="114">
        <v>0.5416666666666666</v>
      </c>
      <c r="E554" s="115">
        <v>0.4166666666666667</v>
      </c>
      <c r="F554" s="116"/>
      <c r="G554" s="116"/>
    </row>
    <row r="555" ht="15.75" customHeight="1">
      <c r="A555" s="9" t="s">
        <v>28146</v>
      </c>
      <c r="B555" s="9" t="s">
        <v>1195</v>
      </c>
      <c r="C555" s="9" t="s">
        <v>27562</v>
      </c>
      <c r="D555" s="114">
        <v>0.20833333333333334</v>
      </c>
      <c r="E555" s="115">
        <v>0.8333333333333334</v>
      </c>
      <c r="F555" s="116"/>
      <c r="G555" s="116"/>
      <c r="H555" s="9" t="b">
        <v>1</v>
      </c>
    </row>
    <row r="556" ht="15.75" customHeight="1">
      <c r="A556" s="9" t="s">
        <v>28147</v>
      </c>
      <c r="B556" s="9" t="s">
        <v>9167</v>
      </c>
      <c r="D556" s="117"/>
      <c r="E556" s="116"/>
      <c r="F556" s="116"/>
      <c r="G556" s="116"/>
      <c r="H556" s="9" t="b">
        <v>1</v>
      </c>
    </row>
    <row r="557" ht="15.75" customHeight="1">
      <c r="A557" s="9" t="s">
        <v>28148</v>
      </c>
      <c r="B557" s="9" t="s">
        <v>11389</v>
      </c>
      <c r="D557" s="114">
        <v>0.625</v>
      </c>
      <c r="E557" s="115">
        <v>0.5</v>
      </c>
      <c r="F557" s="116"/>
      <c r="G557" s="116"/>
    </row>
    <row r="558" ht="15.75" customHeight="1">
      <c r="A558" s="9" t="s">
        <v>28149</v>
      </c>
      <c r="B558" s="9" t="s">
        <v>6620</v>
      </c>
      <c r="C558" s="9" t="s">
        <v>27583</v>
      </c>
      <c r="D558" s="114">
        <v>0.4791666666666667</v>
      </c>
      <c r="E558" s="115">
        <v>0.6666666666666666</v>
      </c>
      <c r="F558" s="115">
        <v>0.7916666666666666</v>
      </c>
      <c r="G558" s="115">
        <v>0.0</v>
      </c>
    </row>
    <row r="559" ht="15.75" customHeight="1">
      <c r="A559" s="9" t="s">
        <v>28150</v>
      </c>
      <c r="B559" s="9" t="s">
        <v>6620</v>
      </c>
      <c r="C559" s="9" t="s">
        <v>27576</v>
      </c>
      <c r="D559" s="114">
        <v>0.4791666666666667</v>
      </c>
      <c r="E559" s="115">
        <v>0.7083333333333334</v>
      </c>
      <c r="F559" s="116"/>
      <c r="G559" s="116"/>
    </row>
    <row r="560" ht="15.75" customHeight="1">
      <c r="A560" s="9" t="s">
        <v>28151</v>
      </c>
      <c r="B560" s="9" t="s">
        <v>7483</v>
      </c>
      <c r="C560" s="9" t="s">
        <v>27585</v>
      </c>
      <c r="D560" s="114">
        <v>0.7708333333333334</v>
      </c>
      <c r="E560" s="115">
        <v>0.9166666666666666</v>
      </c>
      <c r="F560" s="116"/>
      <c r="G560" s="116"/>
    </row>
    <row r="561" ht="15.75" customHeight="1">
      <c r="A561" s="9" t="s">
        <v>28152</v>
      </c>
      <c r="B561" s="9" t="s">
        <v>7483</v>
      </c>
      <c r="C561" s="9" t="s">
        <v>27734</v>
      </c>
      <c r="D561" s="114">
        <v>0.4895833333333333</v>
      </c>
      <c r="E561" s="115">
        <v>0.5833333333333334</v>
      </c>
      <c r="F561" s="115">
        <v>0.7708333333333334</v>
      </c>
      <c r="G561" s="115">
        <v>0.9166666666666666</v>
      </c>
    </row>
    <row r="562" ht="15.75" customHeight="1">
      <c r="A562" s="9" t="s">
        <v>28153</v>
      </c>
      <c r="B562" s="9" t="s">
        <v>7483</v>
      </c>
      <c r="C562" s="9" t="s">
        <v>27583</v>
      </c>
      <c r="D562" s="114">
        <v>0.4895833333333333</v>
      </c>
      <c r="E562" s="115">
        <v>0.5833333333333334</v>
      </c>
      <c r="F562" s="115">
        <v>0.7708333333333334</v>
      </c>
      <c r="G562" s="115">
        <v>0.9166666666666666</v>
      </c>
    </row>
    <row r="563" ht="15.75" customHeight="1">
      <c r="A563" s="9" t="s">
        <v>28154</v>
      </c>
      <c r="B563" s="9" t="s">
        <v>7483</v>
      </c>
      <c r="C563" s="9" t="s">
        <v>27690</v>
      </c>
      <c r="D563" s="114">
        <v>0.7708333333333334</v>
      </c>
      <c r="E563" s="115">
        <v>0.9166666666666666</v>
      </c>
      <c r="F563" s="116"/>
      <c r="G563" s="116"/>
    </row>
    <row r="564" ht="15.75" customHeight="1">
      <c r="A564" s="9" t="s">
        <v>28155</v>
      </c>
      <c r="B564" s="9" t="s">
        <v>1166</v>
      </c>
      <c r="D564" s="114">
        <v>0.5833333333333334</v>
      </c>
      <c r="E564" s="115">
        <v>0.4166666666666667</v>
      </c>
      <c r="F564" s="116"/>
      <c r="G564" s="116"/>
    </row>
    <row r="565" ht="15.75" customHeight="1">
      <c r="A565" s="52" t="s">
        <v>28156</v>
      </c>
      <c r="B565" s="9" t="s">
        <v>9491</v>
      </c>
      <c r="D565" s="114">
        <v>0.7083333333333334</v>
      </c>
      <c r="E565" s="115">
        <v>0.5</v>
      </c>
      <c r="F565" s="116"/>
      <c r="G565" s="116"/>
    </row>
    <row r="566" ht="15.75" customHeight="1">
      <c r="A566" s="9" t="s">
        <v>28157</v>
      </c>
      <c r="B566" s="9" t="s">
        <v>11398</v>
      </c>
      <c r="D566" s="114">
        <v>0.7083333333333334</v>
      </c>
      <c r="E566" s="115">
        <v>0.5</v>
      </c>
      <c r="F566" s="116"/>
      <c r="G566" s="116"/>
    </row>
    <row r="567" ht="15.75" customHeight="1">
      <c r="A567" s="9" t="s">
        <v>28158</v>
      </c>
      <c r="B567" s="9" t="s">
        <v>11400</v>
      </c>
      <c r="D567" s="114">
        <v>0.6666666666666666</v>
      </c>
      <c r="E567" s="115">
        <v>0.4583333333333333</v>
      </c>
      <c r="F567" s="116"/>
      <c r="G567" s="116"/>
    </row>
    <row r="568" ht="15.75" customHeight="1">
      <c r="A568" s="9" t="s">
        <v>28159</v>
      </c>
      <c r="B568" s="9" t="s">
        <v>11777</v>
      </c>
      <c r="D568" s="117"/>
      <c r="E568" s="116"/>
      <c r="F568" s="116"/>
      <c r="G568" s="116"/>
      <c r="H568" s="9" t="b">
        <v>1</v>
      </c>
    </row>
    <row r="569" ht="15.75" customHeight="1">
      <c r="A569" s="9" t="s">
        <v>28160</v>
      </c>
      <c r="B569" s="9" t="s">
        <v>8211</v>
      </c>
      <c r="C569" s="9" t="s">
        <v>27562</v>
      </c>
      <c r="D569" s="117"/>
      <c r="E569" s="116"/>
      <c r="F569" s="116"/>
      <c r="G569" s="116"/>
    </row>
    <row r="570" ht="15.75" customHeight="1">
      <c r="A570" s="9" t="s">
        <v>28161</v>
      </c>
      <c r="B570" s="9" t="s">
        <v>5300</v>
      </c>
      <c r="C570" s="9" t="s">
        <v>27578</v>
      </c>
      <c r="D570" s="114">
        <v>0.4583333333333333</v>
      </c>
      <c r="E570" s="115">
        <v>0.5833333333333334</v>
      </c>
      <c r="F570" s="115">
        <v>0.7916666666666666</v>
      </c>
      <c r="G570" s="115">
        <v>0.875</v>
      </c>
    </row>
    <row r="571" ht="15.75" customHeight="1">
      <c r="A571" s="9" t="s">
        <v>28162</v>
      </c>
      <c r="B571" s="9" t="s">
        <v>11404</v>
      </c>
      <c r="C571" s="9" t="s">
        <v>27562</v>
      </c>
      <c r="D571" s="114">
        <v>0.7916666666666666</v>
      </c>
      <c r="E571" s="115">
        <v>0.875</v>
      </c>
      <c r="F571" s="116"/>
      <c r="G571" s="116"/>
      <c r="H571" s="9" t="b">
        <v>1</v>
      </c>
    </row>
    <row r="572" ht="15.75" customHeight="1">
      <c r="A572" s="9" t="s">
        <v>28163</v>
      </c>
      <c r="B572" s="9" t="s">
        <v>9437</v>
      </c>
      <c r="D572" s="114">
        <v>0.5833333333333334</v>
      </c>
      <c r="E572" s="115">
        <v>0.4583333333333333</v>
      </c>
      <c r="F572" s="116"/>
      <c r="G572" s="116"/>
    </row>
    <row r="573" ht="15.75" customHeight="1">
      <c r="A573" s="9" t="s">
        <v>28164</v>
      </c>
      <c r="B573" s="9" t="s">
        <v>6130</v>
      </c>
      <c r="D573" s="114">
        <v>0.5833333333333334</v>
      </c>
      <c r="E573" s="115">
        <v>0.4583333333333333</v>
      </c>
      <c r="F573" s="116"/>
      <c r="G573" s="116"/>
    </row>
    <row r="574" ht="15.75" customHeight="1">
      <c r="A574" s="9" t="s">
        <v>28165</v>
      </c>
      <c r="B574" s="9" t="s">
        <v>260</v>
      </c>
      <c r="C574" s="9" t="s">
        <v>27684</v>
      </c>
      <c r="D574" s="114">
        <v>0.375</v>
      </c>
      <c r="E574" s="115">
        <v>0.6666666666666666</v>
      </c>
      <c r="F574" s="116"/>
      <c r="G574" s="116"/>
      <c r="H574" s="9" t="b">
        <v>0</v>
      </c>
    </row>
    <row r="575" ht="15.75" customHeight="1">
      <c r="A575" s="9" t="s">
        <v>28166</v>
      </c>
      <c r="B575" s="9" t="s">
        <v>11409</v>
      </c>
      <c r="C575" s="9" t="s">
        <v>27562</v>
      </c>
      <c r="D575" s="117"/>
      <c r="E575" s="116"/>
      <c r="F575" s="116"/>
      <c r="G575" s="116"/>
      <c r="H575" s="9" t="b">
        <v>1</v>
      </c>
    </row>
    <row r="576" ht="15.75" customHeight="1">
      <c r="A576" s="9" t="s">
        <v>28167</v>
      </c>
      <c r="B576" s="9" t="s">
        <v>11402</v>
      </c>
      <c r="D576" s="114">
        <v>0.625</v>
      </c>
      <c r="E576" s="115">
        <v>0.4583333333333333</v>
      </c>
      <c r="F576" s="116"/>
      <c r="G576" s="116"/>
    </row>
    <row r="577" ht="15.75" customHeight="1">
      <c r="A577" s="9" t="s">
        <v>28168</v>
      </c>
      <c r="B577" s="9" t="s">
        <v>8755</v>
      </c>
      <c r="D577" s="114">
        <v>0.6875</v>
      </c>
      <c r="E577" s="115">
        <v>0.5</v>
      </c>
      <c r="F577" s="116"/>
      <c r="G577" s="116"/>
    </row>
    <row r="578" ht="15.75" customHeight="1">
      <c r="A578" s="9" t="s">
        <v>28169</v>
      </c>
      <c r="B578" s="9" t="s">
        <v>9429</v>
      </c>
      <c r="D578" s="114">
        <v>0.5833333333333334</v>
      </c>
      <c r="E578" s="115">
        <v>0.4166666666666667</v>
      </c>
      <c r="F578" s="116"/>
      <c r="G578" s="116"/>
    </row>
    <row r="579" ht="15.75" customHeight="1">
      <c r="A579" s="9" t="s">
        <v>28170</v>
      </c>
      <c r="B579" s="9" t="s">
        <v>2496</v>
      </c>
      <c r="C579" s="9" t="s">
        <v>27666</v>
      </c>
      <c r="D579" s="114">
        <v>0.375</v>
      </c>
      <c r="E579" s="115">
        <v>0.6666666666666666</v>
      </c>
      <c r="F579" s="116"/>
      <c r="G579" s="116"/>
    </row>
    <row r="580" ht="15.75" customHeight="1">
      <c r="A580" s="9" t="s">
        <v>28171</v>
      </c>
      <c r="B580" s="9" t="s">
        <v>11417</v>
      </c>
      <c r="D580" s="114">
        <v>0.5833333333333334</v>
      </c>
      <c r="E580" s="115">
        <v>0.4583333333333333</v>
      </c>
      <c r="F580" s="116"/>
      <c r="G580" s="116"/>
    </row>
    <row r="581" ht="15.75" customHeight="1">
      <c r="A581" s="9" t="s">
        <v>28172</v>
      </c>
      <c r="B581" s="9" t="s">
        <v>11419</v>
      </c>
      <c r="D581" s="114">
        <v>0.5</v>
      </c>
      <c r="E581" s="115">
        <v>0.4166666666666667</v>
      </c>
      <c r="F581" s="116"/>
      <c r="G581" s="116"/>
    </row>
    <row r="582" ht="15.75" customHeight="1">
      <c r="A582" s="9" t="s">
        <v>28173</v>
      </c>
      <c r="B582" s="9" t="s">
        <v>11423</v>
      </c>
      <c r="C582" s="9" t="s">
        <v>27642</v>
      </c>
      <c r="D582" s="114">
        <v>0.375</v>
      </c>
      <c r="E582" s="115">
        <v>0.5</v>
      </c>
      <c r="F582" s="115">
        <v>0.5833333333333334</v>
      </c>
      <c r="G582" s="115">
        <v>0.75</v>
      </c>
    </row>
    <row r="583" ht="15.75" customHeight="1">
      <c r="A583" s="9" t="s">
        <v>28174</v>
      </c>
      <c r="B583" s="9" t="s">
        <v>11423</v>
      </c>
      <c r="C583" s="9" t="s">
        <v>27576</v>
      </c>
      <c r="D583" s="114">
        <v>0.375</v>
      </c>
      <c r="E583" s="115">
        <v>0.5</v>
      </c>
      <c r="F583" s="116"/>
      <c r="G583" s="116"/>
    </row>
    <row r="584" ht="15.75" customHeight="1">
      <c r="A584" s="9" t="s">
        <v>28175</v>
      </c>
      <c r="B584" s="9" t="s">
        <v>11425</v>
      </c>
      <c r="D584" s="114">
        <v>0.5833333333333334</v>
      </c>
      <c r="E584" s="115">
        <v>0.4166666666666667</v>
      </c>
      <c r="F584" s="116"/>
      <c r="G584" s="116"/>
    </row>
    <row r="585" ht="15.75" customHeight="1">
      <c r="A585" s="9" t="s">
        <v>28176</v>
      </c>
      <c r="B585" s="9" t="s">
        <v>9375</v>
      </c>
      <c r="D585" s="114">
        <v>0.5833333333333334</v>
      </c>
      <c r="E585" s="115">
        <v>0.4166666666666667</v>
      </c>
      <c r="F585" s="116"/>
      <c r="G585" s="116"/>
    </row>
    <row r="586" ht="15.75" customHeight="1">
      <c r="A586" s="9" t="s">
        <v>28177</v>
      </c>
      <c r="B586" s="9" t="s">
        <v>3497</v>
      </c>
      <c r="D586" s="114">
        <v>0.5833333333333334</v>
      </c>
      <c r="E586" s="115">
        <v>0.4166666666666667</v>
      </c>
      <c r="F586" s="116"/>
      <c r="G586" s="116"/>
    </row>
    <row r="587" ht="15.75" customHeight="1">
      <c r="A587" s="9" t="s">
        <v>28178</v>
      </c>
      <c r="B587" s="9" t="s">
        <v>11427</v>
      </c>
      <c r="C587" s="9" t="s">
        <v>27562</v>
      </c>
      <c r="D587" s="114">
        <v>0.5</v>
      </c>
      <c r="E587" s="115">
        <v>0.5833333333333334</v>
      </c>
      <c r="F587" s="115">
        <v>0.7916666666666666</v>
      </c>
      <c r="G587" s="115">
        <v>0.9166666666666666</v>
      </c>
    </row>
    <row r="588" ht="15.75" customHeight="1">
      <c r="A588" s="9" t="s">
        <v>28179</v>
      </c>
      <c r="B588" s="9" t="s">
        <v>9564</v>
      </c>
      <c r="D588" s="114">
        <v>0.5833333333333334</v>
      </c>
      <c r="E588" s="115">
        <v>0.4375</v>
      </c>
      <c r="F588" s="116"/>
      <c r="G588" s="116"/>
    </row>
    <row r="589" ht="15.75" customHeight="1">
      <c r="A589" s="9" t="s">
        <v>28180</v>
      </c>
      <c r="B589" s="9" t="s">
        <v>3158</v>
      </c>
      <c r="D589" s="114">
        <v>0.5833333333333334</v>
      </c>
      <c r="E589" s="115">
        <v>0.4583333333333333</v>
      </c>
      <c r="F589" s="116"/>
      <c r="G589" s="116"/>
    </row>
    <row r="590" ht="15.75" customHeight="1">
      <c r="A590" s="9" t="s">
        <v>28181</v>
      </c>
      <c r="B590" s="9" t="s">
        <v>11429</v>
      </c>
      <c r="C590" s="9" t="s">
        <v>27562</v>
      </c>
      <c r="D590" s="114">
        <v>0.4166666666666667</v>
      </c>
      <c r="E590" s="115">
        <v>0.7916666666666666</v>
      </c>
      <c r="F590" s="116"/>
      <c r="G590" s="116"/>
      <c r="H590" s="9" t="b">
        <v>1</v>
      </c>
    </row>
    <row r="591" ht="15.75" customHeight="1">
      <c r="A591" s="9" t="s">
        <v>28182</v>
      </c>
      <c r="B591" s="9" t="s">
        <v>3314</v>
      </c>
      <c r="D591" s="114">
        <v>0.5833333333333334</v>
      </c>
      <c r="E591" s="115">
        <v>0.4583333333333333</v>
      </c>
      <c r="F591" s="116"/>
      <c r="G591" s="116"/>
    </row>
    <row r="592" ht="15.75" customHeight="1">
      <c r="A592" s="9" t="s">
        <v>28183</v>
      </c>
      <c r="B592" s="9" t="s">
        <v>4224</v>
      </c>
      <c r="D592" s="114">
        <v>0.5833333333333334</v>
      </c>
      <c r="E592" s="115">
        <v>0.4583333333333333</v>
      </c>
      <c r="F592" s="116"/>
      <c r="G592" s="116"/>
    </row>
    <row r="593" ht="15.75" customHeight="1">
      <c r="A593" s="9" t="s">
        <v>28184</v>
      </c>
      <c r="B593" s="9" t="s">
        <v>9827</v>
      </c>
      <c r="D593" s="114">
        <v>0.7083333333333334</v>
      </c>
      <c r="E593" s="115">
        <v>0.4166666666666667</v>
      </c>
      <c r="F593" s="116"/>
      <c r="G593" s="116"/>
    </row>
    <row r="594" ht="15.75" customHeight="1">
      <c r="A594" s="9" t="s">
        <v>28185</v>
      </c>
      <c r="B594" s="9" t="s">
        <v>1291</v>
      </c>
      <c r="C594" s="9" t="s">
        <v>27572</v>
      </c>
      <c r="D594" s="117"/>
      <c r="E594" s="116"/>
      <c r="F594" s="116"/>
      <c r="G594" s="116"/>
    </row>
    <row r="595" ht="15.75" customHeight="1">
      <c r="A595" s="9" t="s">
        <v>28186</v>
      </c>
      <c r="B595" s="9" t="s">
        <v>11406</v>
      </c>
      <c r="D595" s="114">
        <v>0.625</v>
      </c>
      <c r="E595" s="115">
        <v>0.4166666666666667</v>
      </c>
      <c r="F595" s="116"/>
      <c r="G595" s="116"/>
    </row>
    <row r="596" ht="15.75" customHeight="1">
      <c r="A596" s="9" t="s">
        <v>28187</v>
      </c>
      <c r="B596" s="9" t="s">
        <v>11415</v>
      </c>
      <c r="D596" s="114">
        <v>0.625</v>
      </c>
      <c r="E596" s="115">
        <v>0.4166666666666667</v>
      </c>
      <c r="F596" s="116"/>
      <c r="G596" s="116"/>
    </row>
    <row r="597" ht="15.75" customHeight="1">
      <c r="A597" s="9" t="s">
        <v>28188</v>
      </c>
      <c r="B597" s="9" t="s">
        <v>6947</v>
      </c>
      <c r="C597" s="9" t="s">
        <v>27562</v>
      </c>
      <c r="D597" s="114">
        <v>0.46875</v>
      </c>
      <c r="E597" s="115">
        <v>0.5833333333333334</v>
      </c>
      <c r="F597" s="116"/>
      <c r="G597" s="116"/>
    </row>
    <row r="598" ht="15.75" customHeight="1">
      <c r="A598" s="9" t="s">
        <v>28189</v>
      </c>
      <c r="B598" s="9" t="s">
        <v>11431</v>
      </c>
      <c r="D598" s="114">
        <v>0.5833333333333334</v>
      </c>
      <c r="E598" s="115">
        <v>0.4166666666666667</v>
      </c>
      <c r="F598" s="116"/>
      <c r="G598" s="116"/>
    </row>
    <row r="599" ht="15.75" customHeight="1">
      <c r="A599" s="9" t="s">
        <v>28190</v>
      </c>
      <c r="B599" s="9" t="s">
        <v>11433</v>
      </c>
      <c r="C599" s="9" t="s">
        <v>27572</v>
      </c>
      <c r="D599" s="114">
        <v>0.3958333333333333</v>
      </c>
      <c r="E599" s="115">
        <v>0.5</v>
      </c>
      <c r="F599" s="115">
        <v>0.6041666666666666</v>
      </c>
      <c r="G599" s="115">
        <v>0.6875</v>
      </c>
    </row>
    <row r="600" ht="15.75" customHeight="1">
      <c r="A600" s="9" t="s">
        <v>28191</v>
      </c>
      <c r="B600" s="9" t="s">
        <v>4269</v>
      </c>
      <c r="D600" s="114">
        <v>0.375</v>
      </c>
      <c r="E600" s="115">
        <v>0.625</v>
      </c>
      <c r="F600" s="116"/>
      <c r="G600" s="116"/>
    </row>
    <row r="601" ht="15.75" customHeight="1">
      <c r="A601" s="9" t="s">
        <v>28192</v>
      </c>
      <c r="B601" s="9" t="s">
        <v>8060</v>
      </c>
      <c r="D601" s="114">
        <v>0.625</v>
      </c>
      <c r="E601" s="115">
        <v>0.4166666666666667</v>
      </c>
      <c r="F601" s="116"/>
      <c r="G601" s="116"/>
    </row>
    <row r="602" ht="15.75" customHeight="1">
      <c r="A602" s="9" t="s">
        <v>28193</v>
      </c>
      <c r="B602" s="9" t="s">
        <v>2902</v>
      </c>
      <c r="D602" s="114">
        <v>0.6458333333333334</v>
      </c>
      <c r="E602" s="115">
        <v>0.4166666666666667</v>
      </c>
      <c r="F602" s="116"/>
      <c r="G602" s="116"/>
    </row>
    <row r="603" ht="15.75" customHeight="1">
      <c r="A603" s="9" t="s">
        <v>28194</v>
      </c>
      <c r="B603" s="9" t="s">
        <v>245</v>
      </c>
      <c r="C603" s="9" t="s">
        <v>27562</v>
      </c>
      <c r="D603" s="117"/>
      <c r="E603" s="116"/>
      <c r="F603" s="116"/>
      <c r="G603" s="116"/>
      <c r="H603" s="9" t="b">
        <v>1</v>
      </c>
    </row>
    <row r="604" ht="15.75" customHeight="1">
      <c r="A604" s="9" t="s">
        <v>28195</v>
      </c>
      <c r="B604" s="9" t="s">
        <v>11884</v>
      </c>
      <c r="C604" s="9" t="s">
        <v>27562</v>
      </c>
      <c r="D604" s="117"/>
      <c r="E604" s="116"/>
      <c r="F604" s="116"/>
      <c r="G604" s="116"/>
    </row>
    <row r="605" ht="15.75" customHeight="1">
      <c r="A605" s="9" t="s">
        <v>28196</v>
      </c>
      <c r="B605" s="9" t="s">
        <v>11618</v>
      </c>
      <c r="C605" s="9" t="s">
        <v>27642</v>
      </c>
      <c r="D605" s="117"/>
      <c r="E605" s="116"/>
      <c r="F605" s="116"/>
      <c r="G605" s="116"/>
      <c r="H605" s="9" t="b">
        <v>1</v>
      </c>
    </row>
    <row r="606" ht="15.75" customHeight="1">
      <c r="A606" s="9" t="s">
        <v>28197</v>
      </c>
      <c r="B606" s="9" t="s">
        <v>11435</v>
      </c>
      <c r="D606" s="114">
        <v>0.7083333333333334</v>
      </c>
      <c r="E606" s="115">
        <v>0.5</v>
      </c>
      <c r="F606" s="116"/>
      <c r="G606" s="116"/>
    </row>
    <row r="607" ht="15.75" customHeight="1">
      <c r="A607" s="9" t="s">
        <v>28198</v>
      </c>
      <c r="B607" s="9" t="s">
        <v>10262</v>
      </c>
      <c r="C607" s="9" t="s">
        <v>27562</v>
      </c>
      <c r="D607" s="117"/>
      <c r="E607" s="116"/>
      <c r="F607" s="116"/>
      <c r="G607" s="116"/>
      <c r="H607" s="9" t="b">
        <v>1</v>
      </c>
    </row>
    <row r="608" ht="15.75" customHeight="1">
      <c r="A608" s="9" t="s">
        <v>28199</v>
      </c>
      <c r="B608" s="9" t="s">
        <v>9048</v>
      </c>
      <c r="D608" s="114">
        <v>0.7083333333333334</v>
      </c>
      <c r="E608" s="115">
        <v>0.5</v>
      </c>
      <c r="F608" s="116"/>
      <c r="G608" s="116"/>
    </row>
    <row r="609" ht="15.75" customHeight="1">
      <c r="A609" s="9" t="s">
        <v>28200</v>
      </c>
      <c r="B609" s="9" t="s">
        <v>11437</v>
      </c>
      <c r="D609" s="117"/>
      <c r="E609" s="116"/>
      <c r="F609" s="116"/>
      <c r="G609" s="116"/>
      <c r="H609" s="9" t="b">
        <v>1</v>
      </c>
    </row>
    <row r="610" ht="15.75" customHeight="1">
      <c r="A610" s="9" t="s">
        <v>28201</v>
      </c>
      <c r="B610" s="9" t="s">
        <v>11439</v>
      </c>
      <c r="D610" s="114">
        <v>0.6666666666666666</v>
      </c>
      <c r="E610" s="115">
        <v>0.4166666666666667</v>
      </c>
      <c r="F610" s="116"/>
      <c r="G610" s="116"/>
    </row>
    <row r="611" ht="15.75" customHeight="1">
      <c r="A611" s="9" t="s">
        <v>28202</v>
      </c>
      <c r="B611" s="9" t="s">
        <v>465</v>
      </c>
      <c r="C611" s="9" t="s">
        <v>27562</v>
      </c>
      <c r="D611" s="117"/>
      <c r="E611" s="116"/>
      <c r="F611" s="116"/>
      <c r="G611" s="116"/>
      <c r="H611" s="9" t="b">
        <v>1</v>
      </c>
    </row>
    <row r="612" ht="15.75" customHeight="1">
      <c r="A612" s="9" t="s">
        <v>28203</v>
      </c>
      <c r="B612" s="9" t="s">
        <v>11441</v>
      </c>
      <c r="C612" s="9" t="s">
        <v>27572</v>
      </c>
      <c r="D612" s="114">
        <v>0.3333333333333333</v>
      </c>
      <c r="E612" s="115">
        <v>0.6666666666666666</v>
      </c>
      <c r="F612" s="116"/>
      <c r="G612" s="116"/>
    </row>
    <row r="613" ht="15.75" customHeight="1">
      <c r="A613" s="9" t="s">
        <v>28204</v>
      </c>
      <c r="B613" s="9" t="s">
        <v>10493</v>
      </c>
      <c r="C613" s="9" t="s">
        <v>27642</v>
      </c>
      <c r="D613" s="117"/>
      <c r="E613" s="116"/>
      <c r="F613" s="116"/>
      <c r="G613" s="116"/>
      <c r="H613" s="9" t="b">
        <v>1</v>
      </c>
    </row>
    <row r="614" ht="15.75" customHeight="1">
      <c r="A614" s="9" t="s">
        <v>28205</v>
      </c>
      <c r="B614" s="9" t="s">
        <v>11443</v>
      </c>
      <c r="D614" s="114">
        <v>0.625</v>
      </c>
      <c r="E614" s="115">
        <v>0.4583333333333333</v>
      </c>
      <c r="F614" s="116"/>
      <c r="G614" s="116"/>
    </row>
    <row r="615" ht="15.75" customHeight="1">
      <c r="A615" s="9" t="s">
        <v>28206</v>
      </c>
      <c r="B615" s="9" t="s">
        <v>11392</v>
      </c>
      <c r="D615" s="114">
        <v>0.5833333333333334</v>
      </c>
      <c r="E615" s="115">
        <v>0.4583333333333333</v>
      </c>
      <c r="F615" s="116"/>
      <c r="G615" s="116"/>
    </row>
    <row r="616" ht="15.75" customHeight="1">
      <c r="A616" s="9" t="s">
        <v>28207</v>
      </c>
      <c r="B616" s="9" t="s">
        <v>11450</v>
      </c>
      <c r="D616" s="117"/>
      <c r="E616" s="116"/>
      <c r="F616" s="116"/>
      <c r="G616" s="116"/>
      <c r="H616" s="9" t="b">
        <v>1</v>
      </c>
    </row>
    <row r="617" ht="15.75" customHeight="1">
      <c r="A617" s="9" t="s">
        <v>28208</v>
      </c>
      <c r="B617" s="9" t="s">
        <v>11452</v>
      </c>
      <c r="D617" s="114">
        <v>0.6666666666666666</v>
      </c>
      <c r="E617" s="115">
        <v>0.4166666666666667</v>
      </c>
      <c r="F617" s="116"/>
      <c r="G617" s="116"/>
    </row>
    <row r="618" ht="15.75" customHeight="1">
      <c r="A618" s="52" t="s">
        <v>28209</v>
      </c>
      <c r="B618" s="9" t="s">
        <v>11445</v>
      </c>
      <c r="C618" s="9" t="s">
        <v>27580</v>
      </c>
      <c r="D618" s="114">
        <v>0.625</v>
      </c>
      <c r="E618" s="115">
        <v>0.7916666666666666</v>
      </c>
      <c r="F618" s="116"/>
      <c r="G618" s="116"/>
      <c r="H618" s="9" t="b">
        <v>1</v>
      </c>
    </row>
    <row r="619" ht="15.75" customHeight="1">
      <c r="A619" s="9" t="s">
        <v>28210</v>
      </c>
      <c r="B619" s="9" t="s">
        <v>11454</v>
      </c>
      <c r="D619" s="114">
        <v>0.625</v>
      </c>
      <c r="E619" s="115">
        <v>0.4583333333333333</v>
      </c>
      <c r="F619" s="116"/>
      <c r="G619" s="116"/>
    </row>
    <row r="620" ht="15.75" customHeight="1">
      <c r="A620" s="9" t="s">
        <v>28211</v>
      </c>
      <c r="B620" s="9" t="s">
        <v>11456</v>
      </c>
      <c r="D620" s="114">
        <v>0.5833333333333334</v>
      </c>
      <c r="E620" s="115">
        <v>0.4583333333333333</v>
      </c>
      <c r="F620" s="116"/>
      <c r="G620" s="116"/>
    </row>
    <row r="621" ht="15.75" customHeight="1">
      <c r="A621" s="9" t="s">
        <v>28212</v>
      </c>
      <c r="B621" s="9" t="s">
        <v>11458</v>
      </c>
      <c r="D621" s="114">
        <v>0.5833333333333334</v>
      </c>
      <c r="E621" s="115">
        <v>0.4583333333333333</v>
      </c>
      <c r="F621" s="116"/>
      <c r="G621" s="116"/>
    </row>
    <row r="622" ht="15.75" customHeight="1">
      <c r="A622" s="9" t="s">
        <v>28213</v>
      </c>
      <c r="B622" s="9" t="s">
        <v>9884</v>
      </c>
      <c r="D622" s="114">
        <v>0.4166666666666667</v>
      </c>
      <c r="E622" s="115">
        <v>0.5833333333333334</v>
      </c>
      <c r="F622" s="116"/>
      <c r="G622" s="116"/>
    </row>
    <row r="623" ht="15.75" customHeight="1">
      <c r="A623" s="9" t="s">
        <v>28214</v>
      </c>
      <c r="B623" s="9" t="s">
        <v>10616</v>
      </c>
      <c r="C623" s="9" t="s">
        <v>27752</v>
      </c>
      <c r="D623" s="114">
        <v>0.5</v>
      </c>
      <c r="E623" s="115">
        <v>0.625</v>
      </c>
      <c r="F623" s="115"/>
      <c r="G623" s="115"/>
      <c r="H623" s="9" t="b">
        <v>0</v>
      </c>
    </row>
    <row r="624" ht="15.75" customHeight="1">
      <c r="A624" s="9" t="s">
        <v>28215</v>
      </c>
      <c r="B624" s="9" t="s">
        <v>11460</v>
      </c>
      <c r="C624" s="9" t="s">
        <v>27688</v>
      </c>
      <c r="D624" s="114">
        <v>0.5416666666666666</v>
      </c>
      <c r="E624" s="115">
        <v>0.7708333333333334</v>
      </c>
      <c r="F624" s="116"/>
      <c r="G624" s="116"/>
      <c r="H624" s="9" t="b">
        <v>0</v>
      </c>
    </row>
    <row r="625" ht="15.75" customHeight="1">
      <c r="A625" s="9" t="s">
        <v>28216</v>
      </c>
      <c r="B625" s="9" t="s">
        <v>11460</v>
      </c>
      <c r="C625" s="9" t="s">
        <v>27648</v>
      </c>
      <c r="D625" s="114">
        <v>0.4166666666666667</v>
      </c>
      <c r="E625" s="115">
        <v>0.7708333333333334</v>
      </c>
      <c r="F625" s="116"/>
      <c r="G625" s="116"/>
      <c r="H625" s="9" t="b">
        <v>0</v>
      </c>
    </row>
    <row r="626" ht="15.75" customHeight="1">
      <c r="A626" s="9" t="s">
        <v>28217</v>
      </c>
      <c r="B626" s="9" t="s">
        <v>11668</v>
      </c>
      <c r="C626" s="9" t="s">
        <v>27572</v>
      </c>
      <c r="D626" s="114">
        <v>0.375</v>
      </c>
      <c r="E626" s="115">
        <v>0.75</v>
      </c>
      <c r="F626" s="116"/>
      <c r="G626" s="116"/>
      <c r="H626" s="9" t="b">
        <v>1</v>
      </c>
    </row>
    <row r="627" ht="15.75" customHeight="1">
      <c r="A627" s="9" t="s">
        <v>28218</v>
      </c>
      <c r="B627" s="9" t="s">
        <v>11464</v>
      </c>
      <c r="C627" s="9" t="s">
        <v>27642</v>
      </c>
      <c r="D627" s="114">
        <v>0.3958333333333333</v>
      </c>
      <c r="E627" s="115">
        <v>0.5</v>
      </c>
      <c r="F627" s="116"/>
      <c r="G627" s="116"/>
      <c r="H627" s="9" t="b">
        <v>1</v>
      </c>
    </row>
    <row r="628" ht="15.75" customHeight="1">
      <c r="A628" s="9" t="s">
        <v>28219</v>
      </c>
      <c r="B628" s="9" t="s">
        <v>5219</v>
      </c>
      <c r="C628" s="9" t="s">
        <v>27585</v>
      </c>
      <c r="D628" s="114">
        <v>0.375</v>
      </c>
      <c r="E628" s="115">
        <v>0.5</v>
      </c>
      <c r="F628" s="116"/>
      <c r="G628" s="116"/>
      <c r="H628" s="9" t="b">
        <v>1</v>
      </c>
    </row>
    <row r="629" ht="15.75" customHeight="1">
      <c r="A629" s="9" t="s">
        <v>28220</v>
      </c>
      <c r="B629" s="9" t="s">
        <v>11470</v>
      </c>
      <c r="D629" s="114">
        <v>0.6666666666666666</v>
      </c>
      <c r="E629" s="115">
        <v>0.5833333333333334</v>
      </c>
      <c r="F629" s="116"/>
      <c r="G629" s="116"/>
    </row>
    <row r="630" ht="15.75" customHeight="1">
      <c r="A630" s="9" t="s">
        <v>28221</v>
      </c>
      <c r="B630" s="9" t="s">
        <v>10616</v>
      </c>
      <c r="C630" s="9" t="s">
        <v>27562</v>
      </c>
      <c r="D630" s="114">
        <v>0.7916666666666666</v>
      </c>
      <c r="E630" s="115">
        <v>0.875</v>
      </c>
      <c r="F630" s="116"/>
      <c r="G630" s="116"/>
      <c r="H630" s="9" t="b">
        <v>1</v>
      </c>
    </row>
    <row r="631" ht="15.75" customHeight="1">
      <c r="A631" s="9" t="s">
        <v>28222</v>
      </c>
      <c r="B631" s="9" t="s">
        <v>11472</v>
      </c>
      <c r="D631" s="114">
        <v>0.4166666666666667</v>
      </c>
      <c r="E631" s="115">
        <v>0.5833333333333334</v>
      </c>
      <c r="F631" s="116"/>
      <c r="G631" s="116"/>
    </row>
    <row r="632" ht="15.75" customHeight="1">
      <c r="A632" s="9" t="s">
        <v>28223</v>
      </c>
      <c r="B632" s="9" t="s">
        <v>11468</v>
      </c>
      <c r="C632" s="9" t="s">
        <v>27675</v>
      </c>
      <c r="D632" s="114">
        <v>0.5416666666666666</v>
      </c>
      <c r="E632" s="115">
        <v>0.75</v>
      </c>
      <c r="F632" s="116"/>
      <c r="G632" s="116"/>
      <c r="H632" s="9" t="b">
        <v>0</v>
      </c>
    </row>
    <row r="633" ht="15.75" customHeight="1">
      <c r="A633" s="9" t="s">
        <v>28224</v>
      </c>
      <c r="B633" s="9" t="s">
        <v>11474</v>
      </c>
      <c r="D633" s="114">
        <v>0.6666666666666666</v>
      </c>
      <c r="E633" s="115">
        <v>0.4583333333333333</v>
      </c>
      <c r="F633" s="116"/>
      <c r="G633" s="116"/>
    </row>
    <row r="634" ht="15.75" customHeight="1">
      <c r="A634" s="9" t="s">
        <v>28225</v>
      </c>
      <c r="B634" s="9" t="s">
        <v>11476</v>
      </c>
      <c r="D634" s="114">
        <v>0.5833333333333334</v>
      </c>
      <c r="E634" s="115">
        <v>0.4583333333333333</v>
      </c>
      <c r="F634" s="116"/>
      <c r="G634" s="116"/>
    </row>
    <row r="635" ht="15.75" customHeight="1">
      <c r="A635" s="9" t="s">
        <v>28226</v>
      </c>
      <c r="B635" s="9" t="s">
        <v>11478</v>
      </c>
      <c r="D635" s="114">
        <v>0.6666666666666666</v>
      </c>
      <c r="E635" s="115">
        <v>0.4583333333333333</v>
      </c>
      <c r="F635" s="116"/>
      <c r="G635" s="116"/>
    </row>
    <row r="636" ht="15.75" customHeight="1">
      <c r="A636" s="9" t="s">
        <v>28227</v>
      </c>
      <c r="B636" s="9" t="s">
        <v>11482</v>
      </c>
      <c r="D636" s="114">
        <v>0.5833333333333334</v>
      </c>
      <c r="E636" s="115">
        <v>0.4583333333333333</v>
      </c>
      <c r="F636" s="116"/>
      <c r="G636" s="116"/>
    </row>
    <row r="637" ht="15.75" customHeight="1">
      <c r="A637" s="9" t="s">
        <v>28228</v>
      </c>
      <c r="B637" s="9" t="s">
        <v>11480</v>
      </c>
      <c r="D637" s="114">
        <v>0.5833333333333334</v>
      </c>
      <c r="E637" s="115">
        <v>0.4583333333333333</v>
      </c>
      <c r="F637" s="116"/>
      <c r="G637" s="116"/>
    </row>
    <row r="638" ht="15.75" customHeight="1">
      <c r="A638" s="9" t="s">
        <v>28229</v>
      </c>
      <c r="B638" s="9" t="s">
        <v>11486</v>
      </c>
      <c r="D638" s="114">
        <v>0.5833333333333334</v>
      </c>
      <c r="E638" s="115">
        <v>0.5833333333333334</v>
      </c>
      <c r="F638" s="116"/>
      <c r="G638" s="116"/>
    </row>
    <row r="639" ht="15.75" customHeight="1">
      <c r="A639" s="9" t="s">
        <v>28230</v>
      </c>
      <c r="B639" s="9" t="s">
        <v>11494</v>
      </c>
      <c r="D639" s="114">
        <v>0.6666666666666666</v>
      </c>
      <c r="E639" s="115">
        <v>0.4583333333333333</v>
      </c>
      <c r="F639" s="116"/>
      <c r="G639" s="116"/>
    </row>
    <row r="640" ht="15.75" customHeight="1">
      <c r="A640" s="9" t="s">
        <v>28231</v>
      </c>
      <c r="B640" s="9" t="s">
        <v>10113</v>
      </c>
      <c r="D640" s="114">
        <v>0.625</v>
      </c>
      <c r="E640" s="115">
        <v>0.4166666666666667</v>
      </c>
      <c r="F640" s="116"/>
      <c r="G640" s="116"/>
    </row>
    <row r="641" ht="15.75" customHeight="1">
      <c r="A641" s="9" t="s">
        <v>28232</v>
      </c>
      <c r="B641" s="9" t="s">
        <v>11489</v>
      </c>
      <c r="D641" s="114">
        <v>0.7083333333333334</v>
      </c>
      <c r="E641" s="115">
        <v>0.375</v>
      </c>
      <c r="F641" s="116"/>
      <c r="G641" s="116"/>
    </row>
    <row r="642" ht="15.75" customHeight="1">
      <c r="A642" s="9" t="s">
        <v>28233</v>
      </c>
      <c r="B642" s="9" t="s">
        <v>5461</v>
      </c>
      <c r="C642" s="9" t="s">
        <v>27562</v>
      </c>
      <c r="D642" s="114">
        <v>0.375</v>
      </c>
      <c r="E642" s="115">
        <v>0.5</v>
      </c>
      <c r="F642" s="115">
        <v>0.5625</v>
      </c>
      <c r="G642" s="115">
        <v>0.7083333333333334</v>
      </c>
    </row>
    <row r="643" ht="15.75" customHeight="1">
      <c r="A643" s="9" t="s">
        <v>28234</v>
      </c>
      <c r="B643" s="9" t="s">
        <v>11501</v>
      </c>
      <c r="C643" s="9" t="s">
        <v>27648</v>
      </c>
      <c r="D643" s="114">
        <v>0.4166666666666667</v>
      </c>
      <c r="E643" s="115">
        <v>0.7083333333333334</v>
      </c>
      <c r="F643" s="116"/>
      <c r="G643" s="116"/>
    </row>
    <row r="644" ht="15.75" customHeight="1">
      <c r="A644" s="9" t="s">
        <v>28235</v>
      </c>
      <c r="B644" s="9" t="s">
        <v>11501</v>
      </c>
      <c r="C644" s="9" t="s">
        <v>27576</v>
      </c>
      <c r="D644" s="114">
        <v>0.4166666666666667</v>
      </c>
      <c r="E644" s="115">
        <v>0.6666666666666666</v>
      </c>
      <c r="F644" s="116"/>
      <c r="G644" s="116"/>
      <c r="H644" s="9" t="b">
        <v>0</v>
      </c>
    </row>
    <row r="645" ht="15.75" customHeight="1">
      <c r="A645" s="9" t="s">
        <v>28236</v>
      </c>
      <c r="B645" s="9" t="s">
        <v>276</v>
      </c>
      <c r="C645" s="9" t="s">
        <v>27562</v>
      </c>
      <c r="D645" s="117"/>
      <c r="E645" s="116"/>
      <c r="F645" s="116"/>
      <c r="G645" s="116"/>
    </row>
    <row r="646" ht="15.75" customHeight="1">
      <c r="A646" s="9" t="s">
        <v>28237</v>
      </c>
      <c r="B646" s="9" t="s">
        <v>11509</v>
      </c>
      <c r="D646" s="114">
        <v>0.625</v>
      </c>
      <c r="E646" s="115">
        <v>0.4166666666666667</v>
      </c>
      <c r="F646" s="116"/>
      <c r="G646" s="116"/>
    </row>
    <row r="647" ht="15.75" customHeight="1">
      <c r="A647" s="9" t="s">
        <v>28238</v>
      </c>
      <c r="B647" s="9" t="s">
        <v>11503</v>
      </c>
      <c r="C647" s="9" t="s">
        <v>27648</v>
      </c>
      <c r="D647" s="114">
        <v>0.3958333333333333</v>
      </c>
      <c r="E647" s="115">
        <v>0.75</v>
      </c>
      <c r="F647" s="116"/>
      <c r="G647" s="116"/>
    </row>
    <row r="648" ht="15.75" customHeight="1">
      <c r="A648" s="9" t="s">
        <v>28239</v>
      </c>
      <c r="B648" s="9" t="s">
        <v>8795</v>
      </c>
      <c r="D648" s="114">
        <v>0.625</v>
      </c>
      <c r="E648" s="115">
        <v>0.4583333333333333</v>
      </c>
      <c r="F648" s="116"/>
      <c r="G648" s="116"/>
    </row>
    <row r="649" ht="15.75" customHeight="1">
      <c r="A649" s="9" t="s">
        <v>28240</v>
      </c>
      <c r="B649" s="9" t="s">
        <v>247</v>
      </c>
      <c r="D649" s="114">
        <v>0.5833333333333334</v>
      </c>
      <c r="E649" s="115">
        <v>0.4583333333333333</v>
      </c>
      <c r="F649" s="116"/>
      <c r="G649" s="116"/>
    </row>
    <row r="650" ht="15.75" customHeight="1">
      <c r="A650" s="9" t="s">
        <v>28241</v>
      </c>
      <c r="B650" s="9" t="s">
        <v>11516</v>
      </c>
      <c r="D650" s="114">
        <v>0.625</v>
      </c>
      <c r="E650" s="115">
        <v>0.4583333333333333</v>
      </c>
      <c r="F650" s="116"/>
      <c r="G650" s="116"/>
    </row>
    <row r="651" ht="15.75" customHeight="1">
      <c r="A651" s="9" t="s">
        <v>28242</v>
      </c>
      <c r="B651" s="9" t="s">
        <v>11462</v>
      </c>
      <c r="D651" s="114">
        <v>0.625</v>
      </c>
      <c r="E651" s="115">
        <v>0.4166666666666667</v>
      </c>
      <c r="F651" s="116"/>
      <c r="G651" s="116"/>
    </row>
    <row r="652" ht="15.75" customHeight="1">
      <c r="A652" s="9" t="s">
        <v>28243</v>
      </c>
      <c r="B652" s="9" t="s">
        <v>11505</v>
      </c>
      <c r="D652" s="114">
        <v>0.6666666666666666</v>
      </c>
      <c r="E652" s="115">
        <v>0.4583333333333333</v>
      </c>
      <c r="F652" s="116"/>
      <c r="G652" s="116"/>
    </row>
    <row r="653" ht="15.75" customHeight="1">
      <c r="A653" s="9" t="s">
        <v>28244</v>
      </c>
      <c r="B653" s="9" t="s">
        <v>11507</v>
      </c>
      <c r="D653" s="117"/>
      <c r="E653" s="116"/>
      <c r="F653" s="116"/>
      <c r="G653" s="116"/>
      <c r="H653" s="9" t="b">
        <v>1</v>
      </c>
    </row>
    <row r="654" ht="15.75" customHeight="1">
      <c r="A654" s="9" t="s">
        <v>28245</v>
      </c>
      <c r="B654" s="9" t="s">
        <v>11520</v>
      </c>
      <c r="C654" s="9" t="s">
        <v>27648</v>
      </c>
      <c r="D654" s="114">
        <v>0.375</v>
      </c>
      <c r="E654" s="115">
        <v>0.4583333333333333</v>
      </c>
      <c r="F654" s="116"/>
      <c r="G654" s="116"/>
      <c r="H654" s="9" t="b">
        <v>1</v>
      </c>
    </row>
    <row r="655" ht="15.75" customHeight="1">
      <c r="A655" s="9" t="s">
        <v>28246</v>
      </c>
      <c r="B655" s="9" t="s">
        <v>741</v>
      </c>
      <c r="D655" s="114">
        <v>0.6666666666666666</v>
      </c>
      <c r="E655" s="115">
        <v>0.4166666666666667</v>
      </c>
      <c r="F655" s="116"/>
      <c r="G655" s="116"/>
    </row>
    <row r="656" ht="15.75" customHeight="1">
      <c r="A656" s="9" t="s">
        <v>28247</v>
      </c>
      <c r="B656" s="9" t="s">
        <v>11518</v>
      </c>
      <c r="C656" s="9" t="s">
        <v>27562</v>
      </c>
      <c r="D656" s="117"/>
      <c r="E656" s="116"/>
      <c r="F656" s="116"/>
      <c r="G656" s="116"/>
      <c r="H656" s="9" t="b">
        <v>1</v>
      </c>
    </row>
    <row r="657" ht="15.75" customHeight="1">
      <c r="A657" s="9" t="s">
        <v>28248</v>
      </c>
      <c r="B657" s="9" t="s">
        <v>11498</v>
      </c>
      <c r="D657" s="114">
        <v>0.625</v>
      </c>
      <c r="E657" s="115">
        <v>0.4166666666666667</v>
      </c>
      <c r="F657" s="116"/>
      <c r="G657" s="116"/>
    </row>
    <row r="658" ht="15.75" customHeight="1">
      <c r="A658" s="9" t="s">
        <v>28249</v>
      </c>
      <c r="B658" s="9" t="s">
        <v>11522</v>
      </c>
      <c r="D658" s="114">
        <v>0.625</v>
      </c>
      <c r="E658" s="115">
        <v>0.4166666666666667</v>
      </c>
      <c r="F658" s="116"/>
      <c r="G658" s="116"/>
    </row>
    <row r="659" ht="15.75" customHeight="1">
      <c r="A659" s="9" t="s">
        <v>28250</v>
      </c>
      <c r="B659" s="52" t="s">
        <v>22842</v>
      </c>
      <c r="D659" s="114">
        <v>0.6666666666666666</v>
      </c>
      <c r="E659" s="115">
        <v>0.4166666666666667</v>
      </c>
      <c r="F659" s="116"/>
      <c r="G659" s="116"/>
    </row>
    <row r="660" ht="15.75" customHeight="1">
      <c r="A660" s="9" t="s">
        <v>28251</v>
      </c>
      <c r="B660" s="9" t="s">
        <v>11528</v>
      </c>
      <c r="D660" s="114">
        <v>0.6666666666666666</v>
      </c>
      <c r="E660" s="115">
        <v>0.4166666666666667</v>
      </c>
      <c r="F660" s="116"/>
      <c r="G660" s="116"/>
    </row>
    <row r="661" ht="15.75" customHeight="1">
      <c r="A661" s="9" t="s">
        <v>28252</v>
      </c>
      <c r="B661" s="9" t="s">
        <v>11530</v>
      </c>
      <c r="D661" s="114">
        <v>0.625</v>
      </c>
      <c r="E661" s="115">
        <v>0.4583333333333333</v>
      </c>
      <c r="F661" s="116"/>
      <c r="G661" s="116"/>
    </row>
    <row r="662" ht="15.75" customHeight="1">
      <c r="A662" s="9" t="s">
        <v>28253</v>
      </c>
      <c r="B662" s="9" t="s">
        <v>11532</v>
      </c>
      <c r="D662" s="114">
        <v>0.6666666666666666</v>
      </c>
      <c r="E662" s="115">
        <v>0.4166666666666667</v>
      </c>
      <c r="F662" s="116"/>
      <c r="G662" s="116"/>
    </row>
    <row r="663" ht="15.75" customHeight="1">
      <c r="A663" s="9" t="s">
        <v>28254</v>
      </c>
      <c r="B663" s="9" t="s">
        <v>11534</v>
      </c>
      <c r="D663" s="114">
        <v>0.5833333333333334</v>
      </c>
      <c r="E663" s="115">
        <v>0.4583333333333333</v>
      </c>
      <c r="F663" s="116"/>
      <c r="G663" s="116"/>
    </row>
    <row r="664" ht="15.75" customHeight="1">
      <c r="A664" s="9" t="s">
        <v>28255</v>
      </c>
      <c r="B664" s="9" t="s">
        <v>11448</v>
      </c>
      <c r="C664" s="9" t="s">
        <v>27562</v>
      </c>
      <c r="D664" s="117"/>
      <c r="E664" s="116"/>
      <c r="F664" s="116"/>
      <c r="G664" s="116"/>
    </row>
    <row r="665" ht="15.75" customHeight="1">
      <c r="A665" s="9" t="s">
        <v>28256</v>
      </c>
      <c r="B665" s="9" t="s">
        <v>11524</v>
      </c>
      <c r="D665" s="114">
        <v>0.625</v>
      </c>
      <c r="E665" s="115">
        <v>0.4583333333333333</v>
      </c>
      <c r="F665" s="116"/>
      <c r="G665" s="116"/>
    </row>
    <row r="666" ht="15.75" customHeight="1">
      <c r="A666" s="9" t="s">
        <v>28257</v>
      </c>
      <c r="B666" s="9" t="s">
        <v>11537</v>
      </c>
      <c r="C666" s="9" t="s">
        <v>27562</v>
      </c>
      <c r="D666" s="114">
        <v>0.3541666666666667</v>
      </c>
      <c r="E666" s="115">
        <v>0.7291666666666666</v>
      </c>
      <c r="F666" s="116"/>
      <c r="G666" s="116"/>
    </row>
    <row r="667" ht="15.75" customHeight="1">
      <c r="A667" s="9" t="s">
        <v>28258</v>
      </c>
      <c r="B667" s="9" t="s">
        <v>11421</v>
      </c>
      <c r="D667" s="114">
        <v>0.4166666666666667</v>
      </c>
      <c r="E667" s="115">
        <v>0.625</v>
      </c>
      <c r="F667" s="116"/>
      <c r="G667" s="116"/>
    </row>
    <row r="668" ht="15.75" customHeight="1">
      <c r="A668" s="9" t="s">
        <v>28259</v>
      </c>
      <c r="B668" s="9" t="s">
        <v>6554</v>
      </c>
      <c r="C668" s="9" t="s">
        <v>28260</v>
      </c>
      <c r="D668" s="114">
        <v>0.5833333333333334</v>
      </c>
      <c r="E668" s="115">
        <v>0.75</v>
      </c>
      <c r="F668" s="116"/>
      <c r="G668" s="116"/>
    </row>
    <row r="669" ht="15.75" customHeight="1">
      <c r="A669" s="9" t="s">
        <v>28261</v>
      </c>
      <c r="B669" s="9" t="s">
        <v>11539</v>
      </c>
      <c r="D669" s="114">
        <v>0.625</v>
      </c>
      <c r="E669" s="115">
        <v>0.4583333333333333</v>
      </c>
      <c r="F669" s="116"/>
      <c r="G669" s="116"/>
    </row>
    <row r="670" ht="15.75" customHeight="1">
      <c r="A670" s="9" t="s">
        <v>28262</v>
      </c>
      <c r="B670" s="9" t="s">
        <v>11541</v>
      </c>
      <c r="C670" s="9" t="s">
        <v>27562</v>
      </c>
      <c r="D670" s="117"/>
      <c r="E670" s="116"/>
      <c r="F670" s="116"/>
      <c r="G670" s="116"/>
      <c r="H670" s="9" t="b">
        <v>1</v>
      </c>
    </row>
    <row r="671" ht="15.75" customHeight="1">
      <c r="A671" s="9" t="s">
        <v>28263</v>
      </c>
      <c r="B671" s="9" t="s">
        <v>11543</v>
      </c>
      <c r="D671" s="114">
        <v>0.6666666666666666</v>
      </c>
      <c r="E671" s="115">
        <v>0.4583333333333333</v>
      </c>
      <c r="F671" s="116"/>
      <c r="G671" s="116"/>
    </row>
    <row r="672" ht="15.75" customHeight="1">
      <c r="A672" s="9" t="s">
        <v>28264</v>
      </c>
      <c r="B672" s="9" t="s">
        <v>11496</v>
      </c>
      <c r="D672" s="114">
        <v>0.6666666666666666</v>
      </c>
      <c r="E672" s="115">
        <v>0.4583333333333333</v>
      </c>
      <c r="F672" s="116"/>
      <c r="G672" s="116"/>
    </row>
    <row r="673" ht="15.75" customHeight="1">
      <c r="A673" s="9" t="s">
        <v>28265</v>
      </c>
      <c r="B673" s="9" t="s">
        <v>8114</v>
      </c>
      <c r="D673" s="114">
        <v>0.625</v>
      </c>
      <c r="E673" s="115">
        <v>0.4166666666666667</v>
      </c>
      <c r="F673" s="116"/>
      <c r="G673" s="116"/>
    </row>
    <row r="674" ht="15.75" customHeight="1">
      <c r="A674" s="9" t="s">
        <v>28266</v>
      </c>
      <c r="B674" s="9" t="s">
        <v>11547</v>
      </c>
      <c r="D674" s="114">
        <v>0.625</v>
      </c>
      <c r="E674" s="115">
        <v>0.4583333333333333</v>
      </c>
      <c r="F674" s="116"/>
      <c r="G674" s="116"/>
    </row>
    <row r="675" ht="15.75" customHeight="1">
      <c r="A675" s="9" t="s">
        <v>28267</v>
      </c>
      <c r="B675" s="9" t="s">
        <v>11549</v>
      </c>
      <c r="D675" s="114">
        <v>0.625</v>
      </c>
      <c r="E675" s="115">
        <v>0.4583333333333333</v>
      </c>
      <c r="F675" s="116"/>
      <c r="G675" s="116"/>
    </row>
    <row r="676" ht="15.75" customHeight="1">
      <c r="A676" s="9" t="s">
        <v>28268</v>
      </c>
      <c r="B676" s="9" t="s">
        <v>11551</v>
      </c>
      <c r="D676" s="114">
        <v>0.6666666666666666</v>
      </c>
      <c r="E676" s="115">
        <v>0.4166666666666667</v>
      </c>
      <c r="F676" s="116"/>
      <c r="G676" s="116"/>
    </row>
    <row r="677" ht="15.75" customHeight="1">
      <c r="A677" s="9" t="s">
        <v>28269</v>
      </c>
      <c r="B677" s="9" t="s">
        <v>11556</v>
      </c>
      <c r="C677" s="9" t="s">
        <v>27642</v>
      </c>
      <c r="D677" s="114">
        <v>0.375</v>
      </c>
      <c r="E677" s="115">
        <v>0.75</v>
      </c>
      <c r="F677" s="116"/>
      <c r="G677" s="116"/>
    </row>
    <row r="678" ht="15.75" customHeight="1">
      <c r="A678" s="9" t="s">
        <v>28270</v>
      </c>
      <c r="B678" s="9" t="s">
        <v>11558</v>
      </c>
      <c r="C678" s="9" t="s">
        <v>27562</v>
      </c>
      <c r="D678" s="114">
        <v>0.375</v>
      </c>
      <c r="E678" s="115">
        <v>0.75</v>
      </c>
      <c r="F678" s="116"/>
      <c r="G678" s="116"/>
    </row>
    <row r="679" ht="15.75" customHeight="1">
      <c r="A679" s="9" t="s">
        <v>28271</v>
      </c>
      <c r="B679" s="9" t="s">
        <v>11560</v>
      </c>
      <c r="C679" s="9" t="s">
        <v>27562</v>
      </c>
      <c r="D679" s="117"/>
      <c r="E679" s="116"/>
      <c r="F679" s="116"/>
      <c r="G679" s="116"/>
      <c r="H679" s="9" t="b">
        <v>1</v>
      </c>
    </row>
    <row r="680" ht="15.75" customHeight="1">
      <c r="A680" s="9" t="s">
        <v>28272</v>
      </c>
      <c r="B680" s="9" t="s">
        <v>11562</v>
      </c>
      <c r="C680" s="9" t="s">
        <v>27684</v>
      </c>
      <c r="D680" s="114">
        <v>0.375</v>
      </c>
      <c r="E680" s="115">
        <v>0.625</v>
      </c>
      <c r="F680" s="116"/>
      <c r="G680" s="116"/>
      <c r="H680" s="9" t="b">
        <v>1</v>
      </c>
    </row>
    <row r="681" ht="15.75" customHeight="1">
      <c r="A681" s="9" t="s">
        <v>28273</v>
      </c>
      <c r="B681" s="9" t="s">
        <v>11565</v>
      </c>
      <c r="C681" s="9" t="s">
        <v>27642</v>
      </c>
      <c r="D681" s="114">
        <v>0.375</v>
      </c>
      <c r="E681" s="115">
        <v>0.7083333333333334</v>
      </c>
      <c r="F681" s="116"/>
      <c r="G681" s="116"/>
    </row>
    <row r="682" ht="15.75" customHeight="1">
      <c r="A682" s="9" t="s">
        <v>28274</v>
      </c>
      <c r="B682" s="9" t="s">
        <v>11569</v>
      </c>
      <c r="D682" s="114">
        <v>0.5833333333333334</v>
      </c>
      <c r="E682" s="115">
        <v>0.5</v>
      </c>
      <c r="F682" s="116"/>
      <c r="G682" s="116"/>
    </row>
    <row r="683" ht="15.75" customHeight="1">
      <c r="A683" s="9" t="s">
        <v>28275</v>
      </c>
      <c r="B683" s="9" t="s">
        <v>11567</v>
      </c>
      <c r="D683" s="114">
        <v>0.5833333333333334</v>
      </c>
      <c r="E683" s="115">
        <v>0.5833333333333334</v>
      </c>
      <c r="F683" s="116"/>
      <c r="G683" s="116"/>
    </row>
    <row r="684" ht="15.75" customHeight="1">
      <c r="A684" s="9" t="s">
        <v>28276</v>
      </c>
      <c r="B684" s="9" t="s">
        <v>11571</v>
      </c>
      <c r="C684" s="9" t="s">
        <v>27850</v>
      </c>
      <c r="D684" s="114">
        <v>0.4791666666666667</v>
      </c>
      <c r="E684" s="115">
        <v>0.625</v>
      </c>
      <c r="F684" s="116"/>
      <c r="G684" s="116"/>
    </row>
    <row r="685" ht="15.75" customHeight="1">
      <c r="A685" s="9" t="s">
        <v>28277</v>
      </c>
      <c r="B685" s="9" t="s">
        <v>259</v>
      </c>
      <c r="D685" s="114">
        <v>0.6666666666666666</v>
      </c>
      <c r="E685" s="115">
        <v>0.4166666666666667</v>
      </c>
      <c r="F685" s="116"/>
      <c r="G685" s="116"/>
    </row>
    <row r="686" ht="15.75" customHeight="1">
      <c r="A686" s="9" t="s">
        <v>28278</v>
      </c>
      <c r="B686" s="9" t="s">
        <v>11583</v>
      </c>
      <c r="D686" s="114">
        <v>0.5833333333333334</v>
      </c>
      <c r="E686" s="115">
        <v>0.4583333333333333</v>
      </c>
      <c r="F686" s="116"/>
      <c r="G686" s="116"/>
    </row>
    <row r="687" ht="15.75" customHeight="1">
      <c r="A687" s="9" t="s">
        <v>28279</v>
      </c>
      <c r="B687" s="9" t="s">
        <v>11585</v>
      </c>
      <c r="C687" s="9" t="s">
        <v>27562</v>
      </c>
      <c r="D687" s="114">
        <v>0.3333333333333333</v>
      </c>
      <c r="E687" s="115">
        <v>0.7916666666666666</v>
      </c>
      <c r="F687" s="116"/>
      <c r="G687" s="116"/>
      <c r="H687" s="9" t="b">
        <v>1</v>
      </c>
    </row>
    <row r="688" ht="15.75" customHeight="1">
      <c r="A688" s="9" t="s">
        <v>28280</v>
      </c>
      <c r="B688" s="9" t="s">
        <v>11578</v>
      </c>
      <c r="D688" s="114">
        <v>0.625</v>
      </c>
      <c r="E688" s="115">
        <v>0.4583333333333333</v>
      </c>
      <c r="F688" s="116"/>
      <c r="G688" s="116"/>
    </row>
    <row r="689" ht="15.75" customHeight="1">
      <c r="A689" s="9" t="s">
        <v>28281</v>
      </c>
      <c r="B689" s="9" t="s">
        <v>11587</v>
      </c>
      <c r="D689" s="114">
        <v>0.6666666666666666</v>
      </c>
      <c r="E689" s="115">
        <v>0.4166666666666667</v>
      </c>
      <c r="F689" s="116"/>
      <c r="G689" s="116"/>
    </row>
    <row r="690" ht="15.75" customHeight="1">
      <c r="A690" s="9" t="s">
        <v>28282</v>
      </c>
      <c r="B690" s="9" t="s">
        <v>11589</v>
      </c>
      <c r="D690" s="114">
        <v>0.5833333333333334</v>
      </c>
      <c r="E690" s="115">
        <v>0.4583333333333333</v>
      </c>
      <c r="F690" s="116"/>
      <c r="G690" s="116"/>
    </row>
    <row r="691" ht="15.75" customHeight="1">
      <c r="A691" s="9" t="s">
        <v>28283</v>
      </c>
      <c r="B691" s="9" t="s">
        <v>11580</v>
      </c>
      <c r="D691" s="114">
        <v>0.625</v>
      </c>
      <c r="E691" s="116"/>
      <c r="F691" s="116"/>
      <c r="G691" s="116"/>
    </row>
    <row r="692" ht="15.75" customHeight="1">
      <c r="A692" s="9" t="s">
        <v>28284</v>
      </c>
      <c r="B692" s="9" t="s">
        <v>23273</v>
      </c>
      <c r="D692" s="114">
        <v>0.6666666666666666</v>
      </c>
      <c r="E692" s="115">
        <v>0.4166666666666667</v>
      </c>
      <c r="F692" s="116"/>
      <c r="G692" s="116"/>
    </row>
    <row r="693" ht="15.75" customHeight="1">
      <c r="A693" s="9" t="s">
        <v>28285</v>
      </c>
      <c r="B693" s="9" t="s">
        <v>10230</v>
      </c>
      <c r="D693" s="117"/>
      <c r="E693" s="116"/>
      <c r="F693" s="116"/>
      <c r="G693" s="116"/>
      <c r="H693" s="9" t="b">
        <v>1</v>
      </c>
    </row>
    <row r="694" ht="15.75" customHeight="1">
      <c r="A694" s="9" t="s">
        <v>28286</v>
      </c>
      <c r="B694" s="9" t="s">
        <v>23288</v>
      </c>
      <c r="D694" s="114">
        <v>0.625</v>
      </c>
      <c r="E694" s="115">
        <v>0.4166666666666667</v>
      </c>
      <c r="F694" s="116"/>
      <c r="G694" s="116"/>
    </row>
    <row r="695" ht="15.75" customHeight="1">
      <c r="A695" s="9" t="s">
        <v>28287</v>
      </c>
      <c r="B695" s="9" t="s">
        <v>23302</v>
      </c>
      <c r="D695" s="114">
        <v>0.6666666666666666</v>
      </c>
      <c r="E695" s="115">
        <v>0.4166666666666667</v>
      </c>
      <c r="F695" s="116"/>
      <c r="G695" s="116"/>
    </row>
    <row r="696" ht="15.75" customHeight="1">
      <c r="A696" s="9" t="s">
        <v>28288</v>
      </c>
      <c r="B696" s="9" t="s">
        <v>23317</v>
      </c>
      <c r="D696" s="117"/>
      <c r="E696" s="116"/>
      <c r="F696" s="116"/>
      <c r="G696" s="116"/>
      <c r="H696" s="9" t="b">
        <v>1</v>
      </c>
    </row>
    <row r="697" ht="15.75" customHeight="1">
      <c r="A697" s="9" t="s">
        <v>28289</v>
      </c>
      <c r="B697" s="9" t="s">
        <v>258</v>
      </c>
      <c r="D697" s="117"/>
      <c r="E697" s="116"/>
      <c r="F697" s="116"/>
      <c r="G697" s="116"/>
      <c r="H697" s="9" t="b">
        <v>1</v>
      </c>
    </row>
    <row r="698" ht="15.75" customHeight="1">
      <c r="A698" s="9" t="s">
        <v>28290</v>
      </c>
      <c r="B698" s="9" t="s">
        <v>23342</v>
      </c>
      <c r="C698" s="9" t="s">
        <v>27642</v>
      </c>
      <c r="D698" s="114">
        <v>0.3125</v>
      </c>
      <c r="E698" s="115">
        <v>0.6875</v>
      </c>
      <c r="F698" s="116"/>
      <c r="G698" s="116"/>
      <c r="H698" s="9" t="b">
        <v>1</v>
      </c>
    </row>
    <row r="699" ht="15.75" customHeight="1">
      <c r="A699" s="9" t="s">
        <v>28291</v>
      </c>
      <c r="B699" s="9" t="s">
        <v>23373</v>
      </c>
      <c r="D699" s="114">
        <v>0.5833333333333334</v>
      </c>
      <c r="E699" s="115">
        <v>0.4583333333333333</v>
      </c>
      <c r="F699" s="116"/>
      <c r="G699" s="116"/>
    </row>
    <row r="700" ht="15.75" customHeight="1">
      <c r="A700" s="9" t="s">
        <v>28292</v>
      </c>
      <c r="B700" s="9" t="s">
        <v>23387</v>
      </c>
      <c r="D700" s="114">
        <v>0.5833333333333334</v>
      </c>
      <c r="E700" s="115">
        <v>0.4583333333333333</v>
      </c>
      <c r="F700" s="116"/>
      <c r="G700" s="116"/>
    </row>
    <row r="701" ht="15.75" customHeight="1">
      <c r="A701" s="9" t="s">
        <v>28293</v>
      </c>
      <c r="B701" s="9" t="s">
        <v>23360</v>
      </c>
      <c r="C701" s="9" t="s">
        <v>27562</v>
      </c>
      <c r="D701" s="114">
        <v>0.3333333333333333</v>
      </c>
      <c r="E701" s="115">
        <v>0.75</v>
      </c>
      <c r="F701" s="116"/>
      <c r="G701" s="116"/>
    </row>
    <row r="702" ht="15.75" customHeight="1">
      <c r="A702" s="9" t="s">
        <v>28294</v>
      </c>
      <c r="B702" s="9" t="s">
        <v>6605</v>
      </c>
      <c r="D702" s="114">
        <v>0.625</v>
      </c>
      <c r="E702" s="115">
        <v>0.4166666666666667</v>
      </c>
      <c r="F702" s="116"/>
      <c r="G702" s="116"/>
    </row>
    <row r="703" ht="15.75" customHeight="1">
      <c r="A703" s="9" t="s">
        <v>28295</v>
      </c>
      <c r="B703" s="9" t="s">
        <v>23430</v>
      </c>
      <c r="D703" s="117"/>
      <c r="E703" s="116"/>
      <c r="F703" s="116"/>
      <c r="G703" s="116"/>
      <c r="H703" s="9" t="b">
        <v>1</v>
      </c>
    </row>
    <row r="704" ht="15.75" customHeight="1">
      <c r="A704" s="9" t="s">
        <v>28296</v>
      </c>
      <c r="B704" s="9" t="s">
        <v>23441</v>
      </c>
      <c r="D704" s="117"/>
      <c r="E704" s="116"/>
      <c r="F704" s="116"/>
      <c r="G704" s="116"/>
      <c r="H704" s="9" t="b">
        <v>1</v>
      </c>
    </row>
    <row r="705" ht="15.75" customHeight="1">
      <c r="A705" s="9" t="s">
        <v>28297</v>
      </c>
      <c r="B705" s="9" t="s">
        <v>23452</v>
      </c>
      <c r="C705" s="9" t="s">
        <v>27572</v>
      </c>
      <c r="D705" s="114">
        <v>0.5416666666666666</v>
      </c>
      <c r="E705" s="115">
        <v>0.625</v>
      </c>
      <c r="F705" s="116"/>
      <c r="G705" s="116"/>
      <c r="H705" s="9" t="b">
        <v>0</v>
      </c>
    </row>
    <row r="706" ht="15.75" customHeight="1">
      <c r="A706" s="9" t="s">
        <v>28298</v>
      </c>
      <c r="B706" s="9" t="s">
        <v>11574</v>
      </c>
      <c r="D706" s="114">
        <v>0.625</v>
      </c>
      <c r="E706" s="115">
        <v>0.5</v>
      </c>
      <c r="F706" s="116"/>
      <c r="G706" s="116"/>
    </row>
    <row r="707" ht="15.75" customHeight="1">
      <c r="A707" s="9" t="s">
        <v>28299</v>
      </c>
      <c r="B707" s="9" t="s">
        <v>23463</v>
      </c>
      <c r="D707" s="114">
        <v>0.625</v>
      </c>
      <c r="E707" s="115">
        <v>0.4166666666666667</v>
      </c>
      <c r="F707" s="116"/>
      <c r="G707" s="116"/>
    </row>
    <row r="708" ht="15.75" customHeight="1">
      <c r="A708" s="9" t="s">
        <v>28300</v>
      </c>
      <c r="B708" s="9" t="s">
        <v>23394</v>
      </c>
      <c r="D708" s="114">
        <v>0.625</v>
      </c>
      <c r="E708" s="115">
        <v>0.4583333333333333</v>
      </c>
      <c r="F708" s="116"/>
      <c r="G708" s="116"/>
    </row>
    <row r="709" ht="15.75" customHeight="1">
      <c r="A709" s="9" t="s">
        <v>28301</v>
      </c>
      <c r="B709" s="9" t="s">
        <v>250</v>
      </c>
      <c r="D709" s="117"/>
      <c r="E709" s="116"/>
      <c r="F709" s="116"/>
      <c r="G709" s="116"/>
      <c r="H709" s="9" t="b">
        <v>1</v>
      </c>
    </row>
    <row r="710" ht="15.75" customHeight="1">
      <c r="A710" s="9" t="s">
        <v>28302</v>
      </c>
      <c r="B710" s="9" t="s">
        <v>23500</v>
      </c>
      <c r="C710" s="9" t="s">
        <v>27562</v>
      </c>
      <c r="D710" s="117"/>
      <c r="E710" s="116"/>
      <c r="F710" s="116"/>
      <c r="G710" s="116"/>
      <c r="H710" s="9" t="b">
        <v>1</v>
      </c>
    </row>
    <row r="711" ht="15.75" customHeight="1">
      <c r="A711" s="9" t="s">
        <v>28303</v>
      </c>
      <c r="B711" s="9" t="s">
        <v>23515</v>
      </c>
      <c r="D711" s="114">
        <v>0.6666666666666666</v>
      </c>
      <c r="E711" s="115">
        <v>0.4583333333333333</v>
      </c>
      <c r="F711" s="116"/>
      <c r="G711" s="116"/>
    </row>
    <row r="712" ht="15.75" customHeight="1">
      <c r="A712" s="9" t="s">
        <v>28304</v>
      </c>
      <c r="B712" s="9" t="s">
        <v>23531</v>
      </c>
      <c r="C712" s="9" t="s">
        <v>27578</v>
      </c>
      <c r="D712" s="114">
        <v>0.7916666666666666</v>
      </c>
      <c r="E712" s="115">
        <v>0.8541666666666666</v>
      </c>
      <c r="F712" s="116"/>
      <c r="G712" s="116"/>
      <c r="H712" s="9" t="b">
        <v>0</v>
      </c>
    </row>
    <row r="713" ht="15.75" customHeight="1">
      <c r="A713" s="9" t="s">
        <v>28305</v>
      </c>
      <c r="B713" s="9" t="s">
        <v>23531</v>
      </c>
      <c r="C713" s="9" t="s">
        <v>28306</v>
      </c>
      <c r="D713" s="114">
        <v>0.5</v>
      </c>
      <c r="E713" s="115">
        <v>0.5625</v>
      </c>
      <c r="F713" s="116"/>
      <c r="G713" s="116"/>
      <c r="H713" s="9" t="b">
        <v>0</v>
      </c>
    </row>
    <row r="714" ht="15.75" customHeight="1">
      <c r="A714" s="9" t="s">
        <v>28307</v>
      </c>
      <c r="B714" s="9" t="s">
        <v>23543</v>
      </c>
      <c r="C714" s="9" t="s">
        <v>27642</v>
      </c>
      <c r="D714" s="114">
        <v>0.5833333333333334</v>
      </c>
      <c r="E714" s="116"/>
      <c r="F714" s="116"/>
      <c r="G714" s="116"/>
      <c r="H714" s="9" t="b">
        <v>1</v>
      </c>
    </row>
    <row r="715" ht="15.75" customHeight="1">
      <c r="A715" s="9" t="s">
        <v>28308</v>
      </c>
      <c r="B715" s="9" t="s">
        <v>23555</v>
      </c>
      <c r="D715" s="114">
        <v>0.625</v>
      </c>
      <c r="E715" s="115">
        <v>0.4166666666666667</v>
      </c>
      <c r="F715" s="116"/>
      <c r="G715" s="116"/>
    </row>
    <row r="716" ht="15.75" customHeight="1">
      <c r="A716" s="9" t="s">
        <v>28309</v>
      </c>
      <c r="B716" s="9" t="s">
        <v>23573</v>
      </c>
      <c r="C716" s="9" t="s">
        <v>27730</v>
      </c>
      <c r="D716" s="114">
        <v>0.3333333333333333</v>
      </c>
      <c r="E716" s="115">
        <v>0.7083333333333334</v>
      </c>
      <c r="F716" s="116"/>
      <c r="G716" s="116"/>
    </row>
    <row r="717" ht="15.75" customHeight="1">
      <c r="A717" s="9" t="s">
        <v>28310</v>
      </c>
      <c r="B717" s="9" t="s">
        <v>23573</v>
      </c>
      <c r="C717" s="9" t="s">
        <v>27583</v>
      </c>
      <c r="D717" s="114">
        <v>0.5625</v>
      </c>
      <c r="E717" s="115">
        <v>0.7083333333333334</v>
      </c>
      <c r="F717" s="116"/>
      <c r="G717" s="116"/>
    </row>
    <row r="718" ht="15.75" customHeight="1">
      <c r="A718" s="9" t="s">
        <v>28311</v>
      </c>
      <c r="B718" s="9" t="s">
        <v>23573</v>
      </c>
      <c r="C718" s="9" t="s">
        <v>27666</v>
      </c>
      <c r="D718" s="114">
        <v>0.25</v>
      </c>
      <c r="E718" s="115">
        <v>0.5416666666666666</v>
      </c>
      <c r="F718" s="116"/>
      <c r="G718" s="116"/>
    </row>
    <row r="719" ht="15.75" customHeight="1">
      <c r="A719" s="9" t="s">
        <v>28312</v>
      </c>
      <c r="B719" s="9" t="s">
        <v>23416</v>
      </c>
      <c r="D719" s="114">
        <v>0.625</v>
      </c>
      <c r="E719" s="115">
        <v>0.4583333333333333</v>
      </c>
      <c r="F719" s="116"/>
      <c r="G719" s="116"/>
    </row>
    <row r="720" ht="15.75" customHeight="1">
      <c r="A720" s="9" t="s">
        <v>28313</v>
      </c>
      <c r="B720" s="9" t="s">
        <v>23587</v>
      </c>
      <c r="D720" s="114">
        <v>0.5416666666666666</v>
      </c>
      <c r="E720" s="115">
        <v>0.4583333333333333</v>
      </c>
      <c r="F720" s="116"/>
      <c r="G720" s="116"/>
    </row>
    <row r="721" ht="15.75" customHeight="1">
      <c r="A721" s="9" t="s">
        <v>28314</v>
      </c>
      <c r="B721" s="9" t="s">
        <v>272</v>
      </c>
      <c r="D721" s="114">
        <v>0.5833333333333334</v>
      </c>
      <c r="E721" s="115">
        <v>0.4583333333333333</v>
      </c>
      <c r="F721" s="116"/>
      <c r="G721" s="116"/>
    </row>
    <row r="722" ht="15.75" customHeight="1">
      <c r="A722" s="9" t="s">
        <v>28315</v>
      </c>
      <c r="B722" s="9" t="s">
        <v>23615</v>
      </c>
      <c r="D722" s="114">
        <v>0.625</v>
      </c>
      <c r="E722" s="115">
        <v>0.4166666666666667</v>
      </c>
      <c r="F722" s="116"/>
      <c r="G722" s="116"/>
    </row>
    <row r="723" ht="15.75" customHeight="1">
      <c r="A723" s="9" t="s">
        <v>28316</v>
      </c>
      <c r="B723" s="9" t="s">
        <v>23632</v>
      </c>
      <c r="D723" s="114">
        <v>0.5833333333333334</v>
      </c>
      <c r="E723" s="115">
        <v>0.4583333333333333</v>
      </c>
      <c r="F723" s="116"/>
      <c r="G723" s="116"/>
    </row>
    <row r="724" ht="15.75" customHeight="1">
      <c r="A724" s="9" t="s">
        <v>28317</v>
      </c>
      <c r="B724" s="9" t="s">
        <v>11671</v>
      </c>
      <c r="D724" s="114">
        <v>0.5833333333333334</v>
      </c>
      <c r="E724" s="115">
        <v>0.4583333333333333</v>
      </c>
      <c r="F724" s="116"/>
      <c r="G724" s="116"/>
    </row>
    <row r="725" ht="15.75" customHeight="1">
      <c r="A725" s="9" t="s">
        <v>28318</v>
      </c>
      <c r="B725" s="9" t="s">
        <v>23647</v>
      </c>
      <c r="D725" s="114">
        <v>0.625</v>
      </c>
      <c r="E725" s="115">
        <v>0.3333333333333333</v>
      </c>
      <c r="F725" s="116"/>
      <c r="G725" s="116"/>
    </row>
    <row r="726" ht="15.75" customHeight="1">
      <c r="A726" s="9" t="s">
        <v>28319</v>
      </c>
      <c r="B726" s="9" t="s">
        <v>23677</v>
      </c>
      <c r="D726" s="114">
        <v>0.6666666666666666</v>
      </c>
      <c r="E726" s="115">
        <v>0.4583333333333333</v>
      </c>
      <c r="F726" s="116"/>
      <c r="G726" s="116"/>
    </row>
    <row r="727" ht="15.75" customHeight="1">
      <c r="A727" s="9" t="s">
        <v>28320</v>
      </c>
      <c r="B727" s="9" t="s">
        <v>23692</v>
      </c>
      <c r="D727" s="117"/>
      <c r="E727" s="116"/>
      <c r="F727" s="116"/>
      <c r="G727" s="116"/>
    </row>
    <row r="728" ht="15.75" customHeight="1">
      <c r="A728" s="9" t="s">
        <v>28321</v>
      </c>
      <c r="B728" s="9" t="s">
        <v>23706</v>
      </c>
      <c r="D728" s="114">
        <v>0.625</v>
      </c>
      <c r="E728" s="115">
        <v>0.4583333333333333</v>
      </c>
      <c r="F728" s="116"/>
      <c r="G728" s="116"/>
    </row>
    <row r="729" ht="15.75" customHeight="1">
      <c r="A729" s="9" t="s">
        <v>28322</v>
      </c>
      <c r="B729" s="9" t="s">
        <v>23720</v>
      </c>
      <c r="D729" s="114">
        <v>0.5833333333333334</v>
      </c>
      <c r="E729" s="115">
        <v>0.4583333333333333</v>
      </c>
      <c r="F729" s="116"/>
      <c r="G729" s="116"/>
    </row>
    <row r="730" ht="15.75" customHeight="1">
      <c r="A730" s="9" t="s">
        <v>28323</v>
      </c>
      <c r="B730" s="9" t="s">
        <v>23734</v>
      </c>
      <c r="D730" s="114">
        <v>0.625</v>
      </c>
      <c r="E730" s="116"/>
      <c r="F730" s="116"/>
      <c r="G730" s="116"/>
    </row>
    <row r="731" ht="15.75" customHeight="1">
      <c r="A731" s="9" t="s">
        <v>28324</v>
      </c>
      <c r="B731" s="9" t="s">
        <v>23779</v>
      </c>
      <c r="D731" s="114">
        <v>0.5833333333333334</v>
      </c>
      <c r="E731" s="115">
        <v>0.4583333333333333</v>
      </c>
      <c r="F731" s="116"/>
      <c r="G731" s="116"/>
    </row>
    <row r="732" ht="15.75" customHeight="1">
      <c r="A732" s="9" t="s">
        <v>28325</v>
      </c>
      <c r="B732" s="9" t="s">
        <v>23816</v>
      </c>
      <c r="D732" s="117"/>
      <c r="E732" s="116"/>
      <c r="F732" s="116"/>
      <c r="G732" s="116"/>
      <c r="H732" s="9" t="b">
        <v>1</v>
      </c>
    </row>
    <row r="733" ht="15.75" customHeight="1">
      <c r="A733" s="9" t="s">
        <v>28326</v>
      </c>
      <c r="B733" s="9" t="s">
        <v>23830</v>
      </c>
      <c r="D733" s="114">
        <v>0.625</v>
      </c>
      <c r="E733" s="115">
        <v>0.375</v>
      </c>
      <c r="F733" s="116"/>
      <c r="G733" s="116"/>
    </row>
    <row r="734" ht="15.75" customHeight="1">
      <c r="A734" s="9" t="s">
        <v>28327</v>
      </c>
      <c r="B734" s="9" t="s">
        <v>23862</v>
      </c>
      <c r="D734" s="114">
        <v>0.625</v>
      </c>
      <c r="E734" s="115">
        <v>0.4583333333333333</v>
      </c>
      <c r="F734" s="116"/>
      <c r="G734" s="116"/>
    </row>
    <row r="735" ht="15.75" customHeight="1">
      <c r="A735" s="9" t="s">
        <v>28328</v>
      </c>
      <c r="B735" s="9" t="s">
        <v>23878</v>
      </c>
      <c r="D735" s="114">
        <v>0.6666666666666666</v>
      </c>
      <c r="E735" s="115">
        <v>0.4583333333333333</v>
      </c>
      <c r="F735" s="116"/>
      <c r="G735" s="116"/>
    </row>
    <row r="736" ht="15.75" customHeight="1">
      <c r="A736" s="52" t="s">
        <v>28329</v>
      </c>
      <c r="B736" s="9" t="s">
        <v>23765</v>
      </c>
      <c r="D736" s="114">
        <v>0.5833333333333334</v>
      </c>
      <c r="E736" s="115">
        <v>0.4583333333333333</v>
      </c>
      <c r="F736" s="116"/>
      <c r="G736" s="116"/>
    </row>
    <row r="737" ht="15.75" customHeight="1">
      <c r="A737" s="9" t="s">
        <v>28330</v>
      </c>
      <c r="B737" s="9" t="s">
        <v>23901</v>
      </c>
      <c r="D737" s="114">
        <v>0.625</v>
      </c>
      <c r="E737" s="115">
        <v>0.4166666666666667</v>
      </c>
      <c r="F737" s="116"/>
      <c r="G737" s="116"/>
    </row>
    <row r="738" ht="15.75" customHeight="1">
      <c r="A738" s="9" t="s">
        <v>28331</v>
      </c>
      <c r="B738" s="9" t="s">
        <v>23847</v>
      </c>
      <c r="D738" s="114">
        <v>0.625</v>
      </c>
      <c r="E738" s="115">
        <v>0.4583333333333333</v>
      </c>
      <c r="F738" s="116"/>
      <c r="G738" s="116"/>
    </row>
    <row r="739" ht="15.75" customHeight="1">
      <c r="A739" s="9" t="s">
        <v>28332</v>
      </c>
      <c r="B739" s="9" t="s">
        <v>8779</v>
      </c>
      <c r="D739" s="114">
        <v>0.6458333333333334</v>
      </c>
      <c r="E739" s="115">
        <v>0.4583333333333333</v>
      </c>
      <c r="F739" s="116"/>
      <c r="G739" s="116"/>
    </row>
    <row r="740" ht="15.75" customHeight="1">
      <c r="A740" s="9" t="s">
        <v>28333</v>
      </c>
      <c r="B740" s="9" t="s">
        <v>23913</v>
      </c>
      <c r="D740" s="117"/>
      <c r="E740" s="116"/>
      <c r="F740" s="116"/>
      <c r="G740" s="116"/>
      <c r="H740" s="9" t="b">
        <v>1</v>
      </c>
    </row>
    <row r="741" ht="15.75" customHeight="1">
      <c r="A741" s="9" t="s">
        <v>28334</v>
      </c>
      <c r="B741" s="9" t="s">
        <v>23928</v>
      </c>
      <c r="D741" s="114">
        <v>0.625</v>
      </c>
      <c r="E741" s="115">
        <v>0.4583333333333333</v>
      </c>
      <c r="F741" s="116"/>
      <c r="G741" s="116"/>
    </row>
    <row r="742" ht="15.75" customHeight="1">
      <c r="A742" s="9" t="s">
        <v>28335</v>
      </c>
      <c r="B742" s="9" t="s">
        <v>23942</v>
      </c>
      <c r="D742" s="114">
        <v>0.625</v>
      </c>
      <c r="E742" s="115">
        <v>0.4583333333333333</v>
      </c>
      <c r="F742" s="116"/>
      <c r="G742" s="116"/>
    </row>
    <row r="743" ht="15.75" customHeight="1">
      <c r="A743" s="9" t="s">
        <v>28336</v>
      </c>
      <c r="B743" s="9" t="s">
        <v>9736</v>
      </c>
      <c r="D743" s="114">
        <v>0.3333333333333333</v>
      </c>
      <c r="E743" s="115">
        <v>0.75</v>
      </c>
      <c r="F743" s="116"/>
      <c r="G743" s="116"/>
    </row>
    <row r="744" ht="15.75" customHeight="1">
      <c r="A744" s="9" t="s">
        <v>28337</v>
      </c>
      <c r="B744" s="9" t="s">
        <v>23956</v>
      </c>
      <c r="D744" s="114">
        <v>0.625</v>
      </c>
      <c r="E744" s="115">
        <v>0.4166666666666667</v>
      </c>
      <c r="F744" s="116"/>
      <c r="G744" s="116"/>
    </row>
    <row r="745" ht="15.75" customHeight="1">
      <c r="A745" s="9" t="s">
        <v>28338</v>
      </c>
      <c r="B745" s="9" t="s">
        <v>23748</v>
      </c>
      <c r="D745" s="114">
        <v>0.625</v>
      </c>
      <c r="E745" s="115">
        <v>0.4583333333333333</v>
      </c>
      <c r="F745" s="116"/>
      <c r="G745" s="116"/>
    </row>
    <row r="746" ht="15.75" customHeight="1">
      <c r="A746" s="9" t="s">
        <v>28339</v>
      </c>
      <c r="B746" s="9" t="s">
        <v>23992</v>
      </c>
      <c r="C746" s="9" t="s">
        <v>27562</v>
      </c>
      <c r="D746" s="117"/>
      <c r="E746" s="116"/>
      <c r="F746" s="116"/>
      <c r="G746" s="116"/>
      <c r="H746" s="9" t="b">
        <v>1</v>
      </c>
    </row>
    <row r="747" ht="15.75" customHeight="1">
      <c r="A747" s="9" t="s">
        <v>28340</v>
      </c>
      <c r="B747" s="9" t="s">
        <v>23403</v>
      </c>
      <c r="D747" s="114">
        <v>0.625</v>
      </c>
      <c r="E747" s="115">
        <v>0.4583333333333333</v>
      </c>
      <c r="F747" s="116"/>
      <c r="G747" s="116"/>
    </row>
    <row r="748" ht="15.75" customHeight="1">
      <c r="A748" s="9" t="s">
        <v>28341</v>
      </c>
      <c r="B748" s="9" t="s">
        <v>23970</v>
      </c>
      <c r="D748" s="117"/>
      <c r="E748" s="116"/>
      <c r="F748" s="116"/>
      <c r="G748" s="116"/>
      <c r="H748" s="9" t="b">
        <v>1</v>
      </c>
    </row>
    <row r="749" ht="15.75" customHeight="1">
      <c r="A749" s="9" t="s">
        <v>28342</v>
      </c>
      <c r="B749" s="9" t="s">
        <v>24006</v>
      </c>
      <c r="D749" s="114">
        <v>0.5833333333333334</v>
      </c>
      <c r="E749" s="115">
        <v>0.4583333333333333</v>
      </c>
      <c r="F749" s="116"/>
      <c r="G749" s="116"/>
    </row>
    <row r="750" ht="15.75" customHeight="1">
      <c r="A750" s="9" t="s">
        <v>28343</v>
      </c>
      <c r="B750" s="9" t="s">
        <v>24021</v>
      </c>
      <c r="C750" s="9" t="s">
        <v>27648</v>
      </c>
      <c r="D750" s="117"/>
      <c r="E750" s="116"/>
      <c r="F750" s="116"/>
      <c r="G750" s="116"/>
      <c r="H750" s="9" t="b">
        <v>1</v>
      </c>
    </row>
    <row r="751" ht="15.75" customHeight="1">
      <c r="A751" s="9" t="s">
        <v>28344</v>
      </c>
      <c r="B751" s="9" t="s">
        <v>24038</v>
      </c>
      <c r="D751" s="114">
        <v>0.6666666666666666</v>
      </c>
      <c r="E751" s="115">
        <v>0.4166666666666667</v>
      </c>
      <c r="F751" s="116"/>
      <c r="G751" s="116"/>
    </row>
    <row r="752" ht="15.75" customHeight="1">
      <c r="A752" s="9" t="s">
        <v>28345</v>
      </c>
      <c r="B752" s="9" t="s">
        <v>24053</v>
      </c>
      <c r="D752" s="114">
        <v>0.625</v>
      </c>
      <c r="E752" s="115">
        <v>0.4166666666666667</v>
      </c>
      <c r="F752" s="116"/>
      <c r="G752" s="116"/>
    </row>
    <row r="753" ht="15.75" customHeight="1">
      <c r="A753" s="9" t="s">
        <v>28346</v>
      </c>
      <c r="B753" s="9" t="s">
        <v>24069</v>
      </c>
      <c r="D753" s="114">
        <v>0.5833333333333334</v>
      </c>
      <c r="E753" s="115">
        <v>0.4583333333333333</v>
      </c>
      <c r="F753" s="116"/>
      <c r="G753" s="116"/>
    </row>
    <row r="754" ht="15.75" customHeight="1">
      <c r="A754" s="9" t="s">
        <v>28347</v>
      </c>
      <c r="B754" s="9" t="s">
        <v>24084</v>
      </c>
      <c r="D754" s="114">
        <v>0.625</v>
      </c>
      <c r="E754" s="115">
        <v>0.4166666666666667</v>
      </c>
      <c r="F754" s="116"/>
      <c r="G754" s="116"/>
    </row>
    <row r="755" ht="15.75" customHeight="1">
      <c r="A755" s="9" t="s">
        <v>28348</v>
      </c>
      <c r="B755" s="9" t="s">
        <v>24097</v>
      </c>
      <c r="D755" s="114">
        <v>0.6666666666666666</v>
      </c>
      <c r="E755" s="115">
        <v>0.4166666666666667</v>
      </c>
      <c r="F755" s="116"/>
      <c r="G755" s="116"/>
    </row>
    <row r="756" ht="15.75" customHeight="1">
      <c r="A756" s="9" t="s">
        <v>28349</v>
      </c>
      <c r="B756" s="9" t="s">
        <v>24111</v>
      </c>
      <c r="D756" s="114">
        <v>0.6041666666666666</v>
      </c>
      <c r="E756" s="115">
        <v>0.4583333333333333</v>
      </c>
      <c r="F756" s="116"/>
      <c r="G756" s="116"/>
    </row>
    <row r="757" ht="15.75" customHeight="1">
      <c r="A757" s="9" t="s">
        <v>28350</v>
      </c>
      <c r="B757" s="9" t="s">
        <v>24136</v>
      </c>
      <c r="D757" s="117"/>
      <c r="E757" s="116"/>
      <c r="F757" s="116"/>
      <c r="G757" s="116"/>
      <c r="H757" s="9" t="b">
        <v>1</v>
      </c>
    </row>
    <row r="758" ht="15.75" customHeight="1">
      <c r="A758" s="9" t="s">
        <v>28351</v>
      </c>
      <c r="B758" s="9" t="s">
        <v>24149</v>
      </c>
      <c r="D758" s="114">
        <v>0.625</v>
      </c>
      <c r="E758" s="115">
        <v>0.4583333333333333</v>
      </c>
      <c r="F758" s="116"/>
      <c r="G758" s="116"/>
    </row>
    <row r="759" ht="15.75" customHeight="1">
      <c r="A759" s="9" t="s">
        <v>28352</v>
      </c>
      <c r="B759" s="9" t="s">
        <v>257</v>
      </c>
      <c r="D759" s="114">
        <v>0.625</v>
      </c>
      <c r="E759" s="115">
        <v>0.4166666666666667</v>
      </c>
      <c r="F759" s="116"/>
      <c r="G759" s="116"/>
    </row>
    <row r="760" ht="15.75" customHeight="1">
      <c r="A760" s="9" t="s">
        <v>28353</v>
      </c>
      <c r="B760" s="9" t="s">
        <v>24162</v>
      </c>
      <c r="D760" s="114">
        <v>0.4583333333333333</v>
      </c>
      <c r="E760" s="115">
        <v>0.6666666666666666</v>
      </c>
      <c r="F760" s="116"/>
      <c r="G760" s="116"/>
    </row>
    <row r="761" ht="15.75" customHeight="1">
      <c r="A761" s="9" t="s">
        <v>28354</v>
      </c>
      <c r="B761" s="9" t="s">
        <v>24178</v>
      </c>
      <c r="D761" s="117"/>
      <c r="E761" s="116"/>
      <c r="F761" s="116"/>
      <c r="G761" s="116"/>
      <c r="H761" s="9" t="b">
        <v>1</v>
      </c>
    </row>
    <row r="762" ht="15.75" customHeight="1">
      <c r="A762" s="9" t="s">
        <v>28355</v>
      </c>
      <c r="B762" s="9" t="s">
        <v>24189</v>
      </c>
      <c r="D762" s="117"/>
      <c r="E762" s="116"/>
      <c r="F762" s="116"/>
      <c r="G762" s="116"/>
      <c r="H762" s="9" t="b">
        <v>1</v>
      </c>
    </row>
    <row r="763" ht="15.75" customHeight="1">
      <c r="A763" s="9" t="s">
        <v>28356</v>
      </c>
      <c r="B763" s="9" t="s">
        <v>24216</v>
      </c>
      <c r="D763" s="114">
        <v>0.6666666666666666</v>
      </c>
      <c r="E763" s="115">
        <v>0.4583333333333333</v>
      </c>
      <c r="F763" s="116"/>
      <c r="G763" s="116"/>
    </row>
    <row r="764" ht="15.75" customHeight="1">
      <c r="A764" s="9" t="s">
        <v>28357</v>
      </c>
      <c r="B764" s="9" t="s">
        <v>24231</v>
      </c>
      <c r="D764" s="114">
        <v>0.625</v>
      </c>
      <c r="E764" s="115">
        <v>0.4583333333333333</v>
      </c>
      <c r="F764" s="116"/>
      <c r="G764" s="116"/>
    </row>
    <row r="765" ht="15.75" customHeight="1">
      <c r="A765" s="9" t="s">
        <v>28358</v>
      </c>
      <c r="B765" s="9" t="s">
        <v>24244</v>
      </c>
      <c r="D765" s="114">
        <v>0.625</v>
      </c>
      <c r="E765" s="115">
        <v>0.4583333333333333</v>
      </c>
      <c r="F765" s="116"/>
      <c r="G765" s="116"/>
    </row>
    <row r="766" ht="15.75" customHeight="1">
      <c r="A766" s="9" t="s">
        <v>28359</v>
      </c>
      <c r="B766" s="9" t="s">
        <v>24274</v>
      </c>
      <c r="D766" s="114">
        <v>0.625</v>
      </c>
      <c r="E766" s="115">
        <v>0.4583333333333333</v>
      </c>
      <c r="F766" s="116"/>
      <c r="G766" s="116"/>
    </row>
    <row r="767" ht="15.75" customHeight="1">
      <c r="A767" s="9" t="s">
        <v>28360</v>
      </c>
      <c r="B767" s="9" t="s">
        <v>24254</v>
      </c>
      <c r="D767" s="117"/>
      <c r="E767" s="116"/>
      <c r="F767" s="116"/>
      <c r="G767" s="116"/>
      <c r="H767" s="9" t="b">
        <v>1</v>
      </c>
    </row>
    <row r="768" ht="15.75" customHeight="1">
      <c r="A768" s="9" t="s">
        <v>28361</v>
      </c>
      <c r="B768" s="9" t="s">
        <v>24290</v>
      </c>
      <c r="D768" s="114">
        <v>0.6666666666666666</v>
      </c>
      <c r="E768" s="115">
        <v>0.5</v>
      </c>
      <c r="F768" s="116"/>
      <c r="G768" s="116"/>
    </row>
    <row r="769" ht="15.75" customHeight="1">
      <c r="A769" s="9" t="s">
        <v>28362</v>
      </c>
      <c r="B769" s="9" t="s">
        <v>24304</v>
      </c>
      <c r="C769" s="9" t="s">
        <v>27719</v>
      </c>
      <c r="D769" s="117"/>
      <c r="E769" s="116"/>
      <c r="F769" s="116"/>
      <c r="G769" s="116"/>
      <c r="H769" s="9" t="b">
        <v>1</v>
      </c>
    </row>
    <row r="770" ht="15.75" customHeight="1">
      <c r="D770" s="117"/>
      <c r="E770" s="116"/>
      <c r="F770" s="116"/>
      <c r="G770" s="116"/>
    </row>
    <row r="771" ht="15.75" customHeight="1">
      <c r="D771" s="117"/>
      <c r="E771" s="116"/>
      <c r="F771" s="116"/>
      <c r="G771" s="116"/>
    </row>
    <row r="772" ht="15.75" customHeight="1">
      <c r="D772" s="117"/>
      <c r="E772" s="116"/>
      <c r="F772" s="116"/>
      <c r="G772" s="116"/>
    </row>
    <row r="773" ht="15.75" customHeight="1">
      <c r="D773" s="117"/>
      <c r="E773" s="116"/>
      <c r="F773" s="116"/>
      <c r="G773" s="116"/>
    </row>
    <row r="774" ht="15.75" customHeight="1">
      <c r="D774" s="117"/>
      <c r="E774" s="116"/>
      <c r="F774" s="116"/>
      <c r="G774" s="116"/>
    </row>
    <row r="775" ht="15.75" customHeight="1">
      <c r="D775" s="117"/>
      <c r="E775" s="116"/>
      <c r="F775" s="116"/>
      <c r="G775" s="116"/>
    </row>
    <row r="776" ht="15.75" customHeight="1">
      <c r="D776" s="117"/>
      <c r="E776" s="116"/>
      <c r="F776" s="116"/>
      <c r="G776" s="116"/>
    </row>
    <row r="777" ht="15.75" customHeight="1">
      <c r="D777" s="117"/>
      <c r="E777" s="116"/>
      <c r="F777" s="116"/>
      <c r="G777" s="116"/>
    </row>
    <row r="778" ht="15.75" customHeight="1">
      <c r="D778" s="117"/>
      <c r="E778" s="116"/>
      <c r="F778" s="116"/>
      <c r="G778" s="116"/>
    </row>
    <row r="779" ht="15.75" customHeight="1">
      <c r="D779" s="117"/>
      <c r="E779" s="116"/>
      <c r="F779" s="116"/>
      <c r="G779" s="116"/>
    </row>
    <row r="780" ht="15.75" customHeight="1">
      <c r="D780" s="117"/>
      <c r="E780" s="116"/>
      <c r="F780" s="116"/>
      <c r="G780" s="116"/>
    </row>
    <row r="781" ht="15.75" customHeight="1">
      <c r="D781" s="117"/>
      <c r="E781" s="116"/>
      <c r="F781" s="116"/>
      <c r="G781" s="116"/>
    </row>
    <row r="782" ht="15.75" customHeight="1">
      <c r="D782" s="117"/>
      <c r="E782" s="116"/>
      <c r="F782" s="116"/>
      <c r="G782" s="116"/>
    </row>
    <row r="783" ht="15.75" customHeight="1">
      <c r="D783" s="117"/>
      <c r="E783" s="116"/>
      <c r="F783" s="116"/>
      <c r="G783" s="116"/>
    </row>
    <row r="784" ht="15.75" customHeight="1">
      <c r="D784" s="117"/>
      <c r="E784" s="116"/>
      <c r="F784" s="116"/>
      <c r="G784" s="116"/>
    </row>
    <row r="785" ht="15.75" customHeight="1">
      <c r="D785" s="117"/>
      <c r="E785" s="116"/>
      <c r="F785" s="116"/>
      <c r="G785" s="116"/>
    </row>
    <row r="786" ht="15.75" customHeight="1">
      <c r="D786" s="117"/>
      <c r="E786" s="116"/>
      <c r="F786" s="116"/>
      <c r="G786" s="116"/>
    </row>
    <row r="787" ht="15.75" customHeight="1">
      <c r="D787" s="117"/>
      <c r="E787" s="116"/>
      <c r="F787" s="116"/>
      <c r="G787" s="116"/>
    </row>
    <row r="788" ht="15.75" customHeight="1">
      <c r="D788" s="117"/>
      <c r="E788" s="116"/>
      <c r="F788" s="116"/>
      <c r="G788" s="116"/>
    </row>
    <row r="789" ht="15.75" customHeight="1">
      <c r="D789" s="117"/>
      <c r="E789" s="116"/>
      <c r="F789" s="116"/>
      <c r="G789" s="116"/>
    </row>
    <row r="790" ht="15.75" customHeight="1">
      <c r="D790" s="117"/>
      <c r="E790" s="116"/>
      <c r="F790" s="116"/>
      <c r="G790" s="116"/>
    </row>
    <row r="791" ht="15.75" customHeight="1">
      <c r="D791" s="117"/>
      <c r="E791" s="116"/>
      <c r="F791" s="116"/>
      <c r="G791" s="116"/>
    </row>
    <row r="792" ht="15.75" customHeight="1">
      <c r="D792" s="117"/>
      <c r="E792" s="116"/>
      <c r="F792" s="116"/>
      <c r="G792" s="116"/>
    </row>
    <row r="793" ht="15.75" customHeight="1">
      <c r="D793" s="117"/>
      <c r="E793" s="116"/>
      <c r="F793" s="116"/>
      <c r="G793" s="116"/>
    </row>
    <row r="794" ht="15.75" customHeight="1">
      <c r="D794" s="117"/>
      <c r="E794" s="116"/>
      <c r="F794" s="116"/>
      <c r="G794" s="116"/>
    </row>
    <row r="795" ht="15.75" customHeight="1">
      <c r="D795" s="117"/>
      <c r="E795" s="116"/>
      <c r="F795" s="116"/>
      <c r="G795" s="116"/>
    </row>
    <row r="796" ht="15.75" customHeight="1">
      <c r="D796" s="117"/>
      <c r="E796" s="116"/>
      <c r="F796" s="116"/>
      <c r="G796" s="116"/>
    </row>
    <row r="797" ht="15.75" customHeight="1">
      <c r="D797" s="117"/>
      <c r="E797" s="116"/>
      <c r="F797" s="116"/>
      <c r="G797" s="116"/>
    </row>
    <row r="798" ht="15.75" customHeight="1">
      <c r="D798" s="117"/>
      <c r="E798" s="116"/>
      <c r="F798" s="116"/>
      <c r="G798" s="116"/>
    </row>
    <row r="799" ht="15.75" customHeight="1">
      <c r="D799" s="117"/>
      <c r="E799" s="116"/>
      <c r="F799" s="116"/>
      <c r="G799" s="116"/>
    </row>
    <row r="800" ht="15.75" customHeight="1">
      <c r="D800" s="117"/>
      <c r="E800" s="116"/>
      <c r="F800" s="116"/>
      <c r="G800" s="116"/>
    </row>
    <row r="801" ht="15.75" customHeight="1">
      <c r="D801" s="117"/>
      <c r="E801" s="116"/>
      <c r="F801" s="116"/>
      <c r="G801" s="116"/>
    </row>
    <row r="802" ht="15.75" customHeight="1">
      <c r="D802" s="117"/>
      <c r="E802" s="116"/>
      <c r="F802" s="116"/>
      <c r="G802" s="116"/>
    </row>
    <row r="803" ht="15.75" customHeight="1">
      <c r="D803" s="117"/>
      <c r="E803" s="116"/>
      <c r="F803" s="116"/>
      <c r="G803" s="116"/>
    </row>
    <row r="804" ht="15.75" customHeight="1">
      <c r="D804" s="117"/>
      <c r="E804" s="116"/>
      <c r="F804" s="116"/>
      <c r="G804" s="116"/>
    </row>
    <row r="805" ht="15.75" customHeight="1">
      <c r="D805" s="117"/>
      <c r="E805" s="116"/>
      <c r="F805" s="116"/>
      <c r="G805" s="116"/>
    </row>
    <row r="806" ht="15.75" customHeight="1">
      <c r="D806" s="117"/>
      <c r="E806" s="116"/>
      <c r="F806" s="116"/>
      <c r="G806" s="116"/>
    </row>
    <row r="807" ht="15.75" customHeight="1">
      <c r="D807" s="117"/>
      <c r="E807" s="116"/>
      <c r="F807" s="116"/>
      <c r="G807" s="116"/>
    </row>
    <row r="808" ht="15.75" customHeight="1">
      <c r="D808" s="117"/>
      <c r="E808" s="116"/>
      <c r="F808" s="116"/>
      <c r="G808" s="116"/>
    </row>
    <row r="809" ht="15.75" customHeight="1">
      <c r="D809" s="117"/>
      <c r="E809" s="116"/>
      <c r="F809" s="116"/>
      <c r="G809" s="116"/>
    </row>
    <row r="810" ht="15.75" customHeight="1">
      <c r="D810" s="117"/>
      <c r="E810" s="116"/>
      <c r="F810" s="116"/>
      <c r="G810" s="116"/>
    </row>
    <row r="811" ht="15.75" customHeight="1">
      <c r="D811" s="117"/>
      <c r="E811" s="116"/>
      <c r="F811" s="116"/>
      <c r="G811" s="116"/>
    </row>
    <row r="812" ht="15.75" customHeight="1">
      <c r="D812" s="117"/>
      <c r="E812" s="116"/>
      <c r="F812" s="116"/>
      <c r="G812" s="116"/>
    </row>
    <row r="813" ht="15.75" customHeight="1">
      <c r="D813" s="117"/>
      <c r="E813" s="116"/>
      <c r="F813" s="116"/>
      <c r="G813" s="116"/>
    </row>
    <row r="814" ht="15.75" customHeight="1">
      <c r="D814" s="117"/>
      <c r="E814" s="116"/>
      <c r="F814" s="116"/>
      <c r="G814" s="116"/>
    </row>
    <row r="815" ht="15.75" customHeight="1">
      <c r="D815" s="117"/>
      <c r="E815" s="116"/>
      <c r="F815" s="116"/>
      <c r="G815" s="116"/>
    </row>
    <row r="816" ht="15.75" customHeight="1">
      <c r="D816" s="117"/>
      <c r="E816" s="116"/>
      <c r="F816" s="116"/>
      <c r="G816" s="116"/>
    </row>
    <row r="817" ht="15.75" customHeight="1">
      <c r="D817" s="117"/>
      <c r="E817" s="116"/>
      <c r="F817" s="116"/>
      <c r="G817" s="116"/>
    </row>
    <row r="818" ht="15.75" customHeight="1">
      <c r="D818" s="117"/>
      <c r="E818" s="116"/>
      <c r="F818" s="116"/>
      <c r="G818" s="116"/>
    </row>
    <row r="819" ht="15.75" customHeight="1">
      <c r="D819" s="117"/>
      <c r="E819" s="116"/>
      <c r="F819" s="116"/>
      <c r="G819" s="116"/>
    </row>
    <row r="820" ht="15.75" customHeight="1">
      <c r="D820" s="117"/>
      <c r="E820" s="116"/>
      <c r="F820" s="116"/>
      <c r="G820" s="116"/>
    </row>
    <row r="821" ht="15.75" customHeight="1">
      <c r="D821" s="117"/>
      <c r="E821" s="116"/>
      <c r="F821" s="116"/>
      <c r="G821" s="116"/>
    </row>
    <row r="822" ht="15.75" customHeight="1">
      <c r="D822" s="117"/>
      <c r="E822" s="116"/>
      <c r="F822" s="116"/>
      <c r="G822" s="116"/>
    </row>
    <row r="823" ht="15.75" customHeight="1">
      <c r="D823" s="117"/>
      <c r="E823" s="116"/>
      <c r="F823" s="116"/>
      <c r="G823" s="116"/>
    </row>
    <row r="824" ht="15.75" customHeight="1">
      <c r="D824" s="117"/>
      <c r="E824" s="116"/>
      <c r="F824" s="116"/>
      <c r="G824" s="116"/>
    </row>
    <row r="825" ht="15.75" customHeight="1">
      <c r="D825" s="117"/>
      <c r="E825" s="116"/>
      <c r="F825" s="116"/>
      <c r="G825" s="116"/>
    </row>
    <row r="826" ht="15.75" customHeight="1">
      <c r="D826" s="117"/>
      <c r="E826" s="116"/>
      <c r="F826" s="116"/>
      <c r="G826" s="116"/>
    </row>
    <row r="827" ht="15.75" customHeight="1">
      <c r="D827" s="117"/>
      <c r="E827" s="116"/>
      <c r="F827" s="116"/>
      <c r="G827" s="116"/>
    </row>
    <row r="828" ht="15.75" customHeight="1">
      <c r="D828" s="117"/>
      <c r="E828" s="116"/>
      <c r="F828" s="116"/>
      <c r="G828" s="116"/>
    </row>
    <row r="829" ht="15.75" customHeight="1">
      <c r="D829" s="117"/>
      <c r="E829" s="116"/>
      <c r="F829" s="116"/>
      <c r="G829" s="116"/>
    </row>
    <row r="830" ht="15.75" customHeight="1">
      <c r="D830" s="117"/>
      <c r="E830" s="116"/>
      <c r="F830" s="116"/>
      <c r="G830" s="116"/>
    </row>
    <row r="831" ht="15.75" customHeight="1">
      <c r="D831" s="117"/>
      <c r="E831" s="116"/>
      <c r="F831" s="116"/>
      <c r="G831" s="116"/>
    </row>
    <row r="832" ht="15.75" customHeight="1">
      <c r="D832" s="117"/>
      <c r="E832" s="116"/>
      <c r="F832" s="116"/>
      <c r="G832" s="116"/>
    </row>
    <row r="833" ht="15.75" customHeight="1">
      <c r="D833" s="117"/>
      <c r="E833" s="116"/>
      <c r="F833" s="116"/>
      <c r="G833" s="116"/>
    </row>
    <row r="834" ht="15.75" customHeight="1">
      <c r="D834" s="117"/>
      <c r="E834" s="116"/>
      <c r="F834" s="116"/>
      <c r="G834" s="116"/>
    </row>
    <row r="835" ht="15.75" customHeight="1">
      <c r="D835" s="117"/>
      <c r="E835" s="116"/>
      <c r="F835" s="116"/>
      <c r="G835" s="116"/>
    </row>
    <row r="836" ht="15.75" customHeight="1">
      <c r="D836" s="117"/>
      <c r="E836" s="116"/>
      <c r="F836" s="116"/>
      <c r="G836" s="116"/>
    </row>
    <row r="837" ht="15.75" customHeight="1">
      <c r="D837" s="117"/>
      <c r="E837" s="116"/>
      <c r="F837" s="116"/>
      <c r="G837" s="116"/>
    </row>
    <row r="838" ht="15.75" customHeight="1">
      <c r="D838" s="117"/>
      <c r="E838" s="116"/>
      <c r="F838" s="116"/>
      <c r="G838" s="116"/>
    </row>
    <row r="839" ht="15.75" customHeight="1">
      <c r="D839" s="117"/>
      <c r="E839" s="116"/>
      <c r="F839" s="116"/>
      <c r="G839" s="116"/>
    </row>
    <row r="840" ht="15.75" customHeight="1">
      <c r="D840" s="117"/>
      <c r="E840" s="116"/>
      <c r="F840" s="116"/>
      <c r="G840" s="116"/>
    </row>
    <row r="841" ht="15.75" customHeight="1">
      <c r="D841" s="117"/>
      <c r="E841" s="116"/>
      <c r="F841" s="116"/>
      <c r="G841" s="116"/>
    </row>
    <row r="842" ht="15.75" customHeight="1">
      <c r="D842" s="117"/>
      <c r="E842" s="116"/>
      <c r="F842" s="116"/>
      <c r="G842" s="116"/>
    </row>
    <row r="843" ht="15.75" customHeight="1">
      <c r="D843" s="117"/>
      <c r="E843" s="116"/>
      <c r="F843" s="116"/>
      <c r="G843" s="116"/>
    </row>
    <row r="844" ht="15.75" customHeight="1">
      <c r="D844" s="117"/>
      <c r="E844" s="116"/>
      <c r="F844" s="116"/>
      <c r="G844" s="116"/>
    </row>
    <row r="845" ht="15.75" customHeight="1">
      <c r="D845" s="117"/>
      <c r="E845" s="116"/>
      <c r="F845" s="116"/>
      <c r="G845" s="116"/>
    </row>
    <row r="846" ht="15.75" customHeight="1">
      <c r="D846" s="117"/>
      <c r="E846" s="116"/>
      <c r="F846" s="116"/>
      <c r="G846" s="116"/>
    </row>
    <row r="847" ht="15.75" customHeight="1">
      <c r="D847" s="117"/>
      <c r="E847" s="116"/>
      <c r="F847" s="116"/>
      <c r="G847" s="116"/>
    </row>
    <row r="848" ht="15.75" customHeight="1">
      <c r="D848" s="117"/>
      <c r="E848" s="116"/>
      <c r="F848" s="116"/>
      <c r="G848" s="116"/>
    </row>
    <row r="849" ht="15.75" customHeight="1">
      <c r="D849" s="117"/>
      <c r="E849" s="116"/>
      <c r="F849" s="116"/>
      <c r="G849" s="116"/>
    </row>
    <row r="850" ht="15.75" customHeight="1">
      <c r="D850" s="117"/>
      <c r="E850" s="116"/>
      <c r="F850" s="116"/>
      <c r="G850" s="116"/>
    </row>
    <row r="851" ht="15.75" customHeight="1">
      <c r="D851" s="117"/>
      <c r="E851" s="116"/>
      <c r="F851" s="116"/>
      <c r="G851" s="116"/>
    </row>
    <row r="852" ht="15.75" customHeight="1">
      <c r="D852" s="117"/>
      <c r="E852" s="116"/>
      <c r="F852" s="116"/>
      <c r="G852" s="116"/>
    </row>
    <row r="853" ht="15.75" customHeight="1">
      <c r="D853" s="117"/>
      <c r="E853" s="116"/>
      <c r="F853" s="116"/>
      <c r="G853" s="116"/>
    </row>
    <row r="854" ht="15.75" customHeight="1">
      <c r="D854" s="117"/>
      <c r="E854" s="116"/>
      <c r="F854" s="116"/>
      <c r="G854" s="116"/>
    </row>
    <row r="855" ht="15.75" customHeight="1">
      <c r="D855" s="117"/>
      <c r="E855" s="116"/>
      <c r="F855" s="116"/>
      <c r="G855" s="116"/>
    </row>
    <row r="856" ht="15.75" customHeight="1">
      <c r="D856" s="117"/>
      <c r="E856" s="116"/>
      <c r="F856" s="116"/>
      <c r="G856" s="116"/>
    </row>
    <row r="857" ht="15.75" customHeight="1">
      <c r="D857" s="117"/>
      <c r="E857" s="116"/>
      <c r="F857" s="116"/>
      <c r="G857" s="116"/>
    </row>
    <row r="858" ht="15.75" customHeight="1">
      <c r="D858" s="117"/>
      <c r="E858" s="116"/>
      <c r="F858" s="116"/>
      <c r="G858" s="116"/>
    </row>
    <row r="859" ht="15.75" customHeight="1">
      <c r="D859" s="117"/>
      <c r="E859" s="116"/>
      <c r="F859" s="116"/>
      <c r="G859" s="116"/>
    </row>
    <row r="860" ht="15.75" customHeight="1">
      <c r="D860" s="117"/>
      <c r="E860" s="116"/>
      <c r="F860" s="116"/>
      <c r="G860" s="116"/>
    </row>
    <row r="861" ht="15.75" customHeight="1">
      <c r="D861" s="117"/>
      <c r="E861" s="116"/>
      <c r="F861" s="116"/>
      <c r="G861" s="116"/>
    </row>
    <row r="862" ht="15.75" customHeight="1">
      <c r="D862" s="117"/>
      <c r="E862" s="116"/>
      <c r="F862" s="116"/>
      <c r="G862" s="116"/>
    </row>
    <row r="863" ht="15.75" customHeight="1">
      <c r="D863" s="117"/>
      <c r="E863" s="116"/>
      <c r="F863" s="116"/>
      <c r="G863" s="116"/>
    </row>
    <row r="864" ht="15.75" customHeight="1">
      <c r="D864" s="117"/>
      <c r="E864" s="116"/>
      <c r="F864" s="116"/>
      <c r="G864" s="116"/>
    </row>
    <row r="865" ht="15.75" customHeight="1">
      <c r="D865" s="117"/>
      <c r="E865" s="116"/>
      <c r="F865" s="116"/>
      <c r="G865" s="116"/>
    </row>
    <row r="866" ht="15.75" customHeight="1">
      <c r="D866" s="117"/>
      <c r="E866" s="116"/>
      <c r="F866" s="116"/>
      <c r="G866" s="116"/>
    </row>
    <row r="867" ht="15.75" customHeight="1">
      <c r="D867" s="117"/>
      <c r="E867" s="116"/>
      <c r="F867" s="116"/>
      <c r="G867" s="116"/>
    </row>
    <row r="868" ht="15.75" customHeight="1">
      <c r="D868" s="117"/>
      <c r="E868" s="116"/>
      <c r="F868" s="116"/>
      <c r="G868" s="116"/>
    </row>
    <row r="869" ht="15.75" customHeight="1">
      <c r="D869" s="117"/>
      <c r="E869" s="116"/>
      <c r="F869" s="116"/>
      <c r="G869" s="116"/>
    </row>
    <row r="870" ht="15.75" customHeight="1">
      <c r="D870" s="117"/>
      <c r="E870" s="116"/>
      <c r="F870" s="116"/>
      <c r="G870" s="116"/>
    </row>
    <row r="871" ht="15.75" customHeight="1">
      <c r="D871" s="117"/>
      <c r="E871" s="116"/>
      <c r="F871" s="116"/>
      <c r="G871" s="116"/>
    </row>
    <row r="872" ht="15.75" customHeight="1">
      <c r="D872" s="117"/>
      <c r="E872" s="116"/>
      <c r="F872" s="116"/>
      <c r="G872" s="116"/>
    </row>
    <row r="873" ht="15.75" customHeight="1">
      <c r="D873" s="117"/>
      <c r="E873" s="116"/>
      <c r="F873" s="116"/>
      <c r="G873" s="116"/>
    </row>
    <row r="874" ht="15.75" customHeight="1">
      <c r="D874" s="117"/>
      <c r="E874" s="116"/>
      <c r="F874" s="116"/>
      <c r="G874" s="116"/>
    </row>
    <row r="875" ht="15.75" customHeight="1">
      <c r="D875" s="117"/>
      <c r="E875" s="116"/>
      <c r="F875" s="116"/>
      <c r="G875" s="116"/>
    </row>
    <row r="876" ht="15.75" customHeight="1">
      <c r="D876" s="117"/>
      <c r="E876" s="116"/>
      <c r="F876" s="116"/>
      <c r="G876" s="116"/>
    </row>
    <row r="877" ht="15.75" customHeight="1">
      <c r="D877" s="117"/>
      <c r="E877" s="116"/>
      <c r="F877" s="116"/>
      <c r="G877" s="116"/>
    </row>
    <row r="878" ht="15.75" customHeight="1">
      <c r="D878" s="117"/>
      <c r="E878" s="116"/>
      <c r="F878" s="116"/>
      <c r="G878" s="116"/>
    </row>
    <row r="879" ht="15.75" customHeight="1">
      <c r="D879" s="117"/>
      <c r="E879" s="116"/>
      <c r="F879" s="116"/>
      <c r="G879" s="116"/>
    </row>
    <row r="880" ht="15.75" customHeight="1">
      <c r="D880" s="117"/>
      <c r="E880" s="116"/>
      <c r="F880" s="116"/>
      <c r="G880" s="116"/>
    </row>
    <row r="881" ht="15.75" customHeight="1">
      <c r="D881" s="117"/>
      <c r="E881" s="116"/>
      <c r="F881" s="116"/>
      <c r="G881" s="116"/>
    </row>
    <row r="882" ht="15.75" customHeight="1">
      <c r="D882" s="117"/>
      <c r="E882" s="116"/>
      <c r="F882" s="116"/>
      <c r="G882" s="116"/>
    </row>
    <row r="883" ht="15.75" customHeight="1">
      <c r="D883" s="117"/>
      <c r="E883" s="116"/>
      <c r="F883" s="116"/>
      <c r="G883" s="116"/>
    </row>
    <row r="884" ht="15.75" customHeight="1">
      <c r="D884" s="117"/>
      <c r="E884" s="116"/>
      <c r="F884" s="116"/>
      <c r="G884" s="116"/>
    </row>
    <row r="885" ht="15.75" customHeight="1">
      <c r="D885" s="117"/>
      <c r="E885" s="116"/>
      <c r="F885" s="116"/>
      <c r="G885" s="116"/>
    </row>
    <row r="886" ht="15.75" customHeight="1">
      <c r="D886" s="117"/>
      <c r="E886" s="116"/>
      <c r="F886" s="116"/>
      <c r="G886" s="116"/>
    </row>
    <row r="887" ht="15.75" customHeight="1">
      <c r="D887" s="117"/>
      <c r="E887" s="116"/>
      <c r="F887" s="116"/>
      <c r="G887" s="116"/>
    </row>
    <row r="888" ht="15.75" customHeight="1">
      <c r="D888" s="117"/>
      <c r="E888" s="116"/>
      <c r="F888" s="116"/>
      <c r="G888" s="116"/>
    </row>
    <row r="889" ht="15.75" customHeight="1">
      <c r="D889" s="117"/>
      <c r="E889" s="116"/>
      <c r="F889" s="116"/>
      <c r="G889" s="116"/>
    </row>
    <row r="890" ht="15.75" customHeight="1">
      <c r="D890" s="117"/>
      <c r="E890" s="116"/>
      <c r="F890" s="116"/>
      <c r="G890" s="116"/>
    </row>
    <row r="891" ht="15.75" customHeight="1">
      <c r="D891" s="117"/>
      <c r="E891" s="116"/>
      <c r="F891" s="116"/>
      <c r="G891" s="116"/>
    </row>
    <row r="892" ht="15.75" customHeight="1">
      <c r="D892" s="117"/>
      <c r="E892" s="116"/>
      <c r="F892" s="116"/>
      <c r="G892" s="116"/>
    </row>
    <row r="893" ht="15.75" customHeight="1">
      <c r="D893" s="117"/>
      <c r="E893" s="116"/>
      <c r="F893" s="116"/>
      <c r="G893" s="116"/>
    </row>
    <row r="894" ht="15.75" customHeight="1">
      <c r="D894" s="117"/>
      <c r="E894" s="116"/>
      <c r="F894" s="116"/>
      <c r="G894" s="116"/>
    </row>
    <row r="895" ht="15.75" customHeight="1">
      <c r="D895" s="117"/>
      <c r="E895" s="116"/>
      <c r="F895" s="116"/>
      <c r="G895" s="116"/>
    </row>
    <row r="896" ht="15.75" customHeight="1">
      <c r="D896" s="117"/>
      <c r="E896" s="116"/>
      <c r="F896" s="116"/>
      <c r="G896" s="116"/>
    </row>
    <row r="897" ht="15.75" customHeight="1">
      <c r="D897" s="117"/>
      <c r="E897" s="116"/>
      <c r="F897" s="116"/>
      <c r="G897" s="116"/>
    </row>
    <row r="898" ht="15.75" customHeight="1">
      <c r="D898" s="117"/>
      <c r="E898" s="116"/>
      <c r="F898" s="116"/>
      <c r="G898" s="116"/>
    </row>
    <row r="899" ht="15.75" customHeight="1">
      <c r="D899" s="117"/>
      <c r="E899" s="116"/>
      <c r="F899" s="116"/>
      <c r="G899" s="116"/>
    </row>
    <row r="900" ht="15.75" customHeight="1">
      <c r="D900" s="117"/>
      <c r="E900" s="116"/>
      <c r="F900" s="116"/>
      <c r="G900" s="116"/>
    </row>
    <row r="901" ht="15.75" customHeight="1">
      <c r="D901" s="117"/>
      <c r="E901" s="116"/>
      <c r="F901" s="116"/>
      <c r="G901" s="116"/>
    </row>
    <row r="902" ht="15.75" customHeight="1">
      <c r="D902" s="117"/>
      <c r="E902" s="116"/>
      <c r="F902" s="116"/>
      <c r="G902" s="116"/>
    </row>
    <row r="903" ht="15.75" customHeight="1">
      <c r="D903" s="117"/>
      <c r="E903" s="116"/>
      <c r="F903" s="116"/>
      <c r="G903" s="116"/>
    </row>
    <row r="904" ht="15.75" customHeight="1">
      <c r="D904" s="117"/>
      <c r="E904" s="116"/>
      <c r="F904" s="116"/>
      <c r="G904" s="116"/>
    </row>
    <row r="905" ht="15.75" customHeight="1">
      <c r="D905" s="117"/>
      <c r="E905" s="116"/>
      <c r="F905" s="116"/>
      <c r="G905" s="116"/>
    </row>
    <row r="906" ht="15.75" customHeight="1">
      <c r="D906" s="117"/>
      <c r="E906" s="116"/>
      <c r="F906" s="116"/>
      <c r="G906" s="116"/>
    </row>
    <row r="907" ht="15.75" customHeight="1">
      <c r="D907" s="117"/>
      <c r="E907" s="116"/>
      <c r="F907" s="116"/>
      <c r="G907" s="116"/>
    </row>
    <row r="908" ht="15.75" customHeight="1">
      <c r="D908" s="117"/>
      <c r="E908" s="116"/>
      <c r="F908" s="116"/>
      <c r="G908" s="116"/>
    </row>
    <row r="909" ht="15.75" customHeight="1">
      <c r="D909" s="117"/>
      <c r="E909" s="116"/>
      <c r="F909" s="116"/>
      <c r="G909" s="116"/>
    </row>
    <row r="910" ht="15.75" customHeight="1">
      <c r="D910" s="117"/>
      <c r="E910" s="116"/>
      <c r="F910" s="116"/>
      <c r="G910" s="116"/>
    </row>
    <row r="911" ht="15.75" customHeight="1">
      <c r="D911" s="117"/>
      <c r="E911" s="116"/>
      <c r="F911" s="116"/>
      <c r="G911" s="116"/>
    </row>
    <row r="912" ht="15.75" customHeight="1">
      <c r="D912" s="117"/>
      <c r="E912" s="116"/>
      <c r="F912" s="116"/>
      <c r="G912" s="116"/>
    </row>
    <row r="913" ht="15.75" customHeight="1">
      <c r="D913" s="117"/>
      <c r="E913" s="116"/>
      <c r="F913" s="116"/>
      <c r="G913" s="116"/>
    </row>
    <row r="914" ht="15.75" customHeight="1">
      <c r="D914" s="117"/>
      <c r="E914" s="116"/>
      <c r="F914" s="116"/>
      <c r="G914" s="116"/>
    </row>
    <row r="915" ht="15.75" customHeight="1">
      <c r="D915" s="117"/>
      <c r="E915" s="116"/>
      <c r="F915" s="116"/>
      <c r="G915" s="116"/>
    </row>
    <row r="916" ht="15.75" customHeight="1">
      <c r="D916" s="117"/>
      <c r="E916" s="116"/>
      <c r="F916" s="116"/>
      <c r="G916" s="116"/>
    </row>
    <row r="917" ht="15.75" customHeight="1">
      <c r="D917" s="117"/>
      <c r="E917" s="116"/>
      <c r="F917" s="116"/>
      <c r="G917" s="116"/>
    </row>
    <row r="918" ht="15.75" customHeight="1">
      <c r="D918" s="117"/>
      <c r="E918" s="116"/>
      <c r="F918" s="116"/>
      <c r="G918" s="116"/>
    </row>
    <row r="919" ht="15.75" customHeight="1">
      <c r="D919" s="117"/>
      <c r="E919" s="116"/>
      <c r="F919" s="116"/>
      <c r="G919" s="116"/>
    </row>
    <row r="920" ht="15.75" customHeight="1">
      <c r="D920" s="117"/>
      <c r="E920" s="116"/>
      <c r="F920" s="116"/>
      <c r="G920" s="116"/>
    </row>
    <row r="921" ht="15.75" customHeight="1">
      <c r="D921" s="117"/>
      <c r="E921" s="116"/>
      <c r="F921" s="116"/>
      <c r="G921" s="116"/>
    </row>
    <row r="922" ht="15.75" customHeight="1">
      <c r="D922" s="117"/>
      <c r="E922" s="116"/>
      <c r="F922" s="116"/>
      <c r="G922" s="116"/>
    </row>
    <row r="923" ht="15.75" customHeight="1">
      <c r="D923" s="117"/>
      <c r="E923" s="116"/>
      <c r="F923" s="116"/>
      <c r="G923" s="116"/>
    </row>
    <row r="924" ht="15.75" customHeight="1">
      <c r="D924" s="117"/>
      <c r="E924" s="116"/>
      <c r="F924" s="116"/>
      <c r="G924" s="116"/>
    </row>
    <row r="925" ht="15.75" customHeight="1">
      <c r="D925" s="117"/>
      <c r="E925" s="116"/>
      <c r="F925" s="116"/>
      <c r="G925" s="116"/>
    </row>
    <row r="926" ht="15.75" customHeight="1">
      <c r="D926" s="117"/>
      <c r="E926" s="116"/>
      <c r="F926" s="116"/>
      <c r="G926" s="116"/>
    </row>
    <row r="927" ht="15.75" customHeight="1">
      <c r="D927" s="117"/>
      <c r="E927" s="116"/>
      <c r="F927" s="116"/>
      <c r="G927" s="116"/>
    </row>
    <row r="928" ht="15.75" customHeight="1">
      <c r="D928" s="117"/>
      <c r="E928" s="116"/>
      <c r="F928" s="116"/>
      <c r="G928" s="116"/>
    </row>
    <row r="929" ht="15.75" customHeight="1">
      <c r="D929" s="117"/>
      <c r="E929" s="116"/>
      <c r="F929" s="116"/>
      <c r="G929" s="116"/>
    </row>
    <row r="930" ht="15.75" customHeight="1">
      <c r="D930" s="117"/>
      <c r="E930" s="116"/>
      <c r="F930" s="116"/>
      <c r="G930" s="116"/>
    </row>
    <row r="931" ht="15.75" customHeight="1">
      <c r="D931" s="117"/>
      <c r="E931" s="116"/>
      <c r="F931" s="116"/>
      <c r="G931" s="116"/>
    </row>
    <row r="932" ht="15.75" customHeight="1">
      <c r="D932" s="117"/>
      <c r="E932" s="116"/>
      <c r="F932" s="116"/>
      <c r="G932" s="116"/>
    </row>
    <row r="933" ht="15.75" customHeight="1">
      <c r="D933" s="117"/>
      <c r="E933" s="116"/>
      <c r="F933" s="116"/>
      <c r="G933" s="116"/>
    </row>
    <row r="934" ht="15.75" customHeight="1">
      <c r="D934" s="117"/>
      <c r="E934" s="116"/>
      <c r="F934" s="116"/>
      <c r="G934" s="116"/>
    </row>
    <row r="935" ht="15.75" customHeight="1">
      <c r="D935" s="117"/>
      <c r="E935" s="116"/>
      <c r="F935" s="116"/>
      <c r="G935" s="116"/>
    </row>
    <row r="936" ht="15.75" customHeight="1">
      <c r="D936" s="117"/>
      <c r="E936" s="116"/>
      <c r="F936" s="116"/>
      <c r="G936" s="116"/>
    </row>
    <row r="937" ht="15.75" customHeight="1">
      <c r="D937" s="117"/>
      <c r="E937" s="116"/>
      <c r="F937" s="116"/>
      <c r="G937" s="116"/>
    </row>
    <row r="938" ht="15.75" customHeight="1">
      <c r="D938" s="117"/>
      <c r="E938" s="116"/>
      <c r="F938" s="116"/>
      <c r="G938" s="116"/>
    </row>
    <row r="939" ht="15.75" customHeight="1">
      <c r="D939" s="117"/>
      <c r="E939" s="116"/>
      <c r="F939" s="116"/>
      <c r="G939" s="116"/>
    </row>
    <row r="940" ht="15.75" customHeight="1">
      <c r="D940" s="117"/>
      <c r="E940" s="116"/>
      <c r="F940" s="116"/>
      <c r="G940" s="116"/>
    </row>
    <row r="941" ht="15.75" customHeight="1">
      <c r="D941" s="117"/>
      <c r="E941" s="116"/>
      <c r="F941" s="116"/>
      <c r="G941" s="116"/>
    </row>
    <row r="942" ht="15.75" customHeight="1">
      <c r="D942" s="117"/>
      <c r="E942" s="116"/>
      <c r="F942" s="116"/>
      <c r="G942" s="116"/>
    </row>
    <row r="943" ht="15.75" customHeight="1">
      <c r="D943" s="117"/>
      <c r="E943" s="116"/>
      <c r="F943" s="116"/>
      <c r="G943" s="116"/>
    </row>
    <row r="944" ht="15.75" customHeight="1">
      <c r="D944" s="117"/>
      <c r="E944" s="116"/>
      <c r="F944" s="116"/>
      <c r="G944" s="116"/>
    </row>
    <row r="945" ht="15.75" customHeight="1">
      <c r="D945" s="117"/>
      <c r="E945" s="116"/>
      <c r="F945" s="116"/>
      <c r="G945" s="116"/>
    </row>
    <row r="946" ht="15.75" customHeight="1">
      <c r="D946" s="117"/>
      <c r="E946" s="116"/>
      <c r="F946" s="116"/>
      <c r="G946" s="116"/>
    </row>
    <row r="947" ht="15.75" customHeight="1">
      <c r="D947" s="117"/>
      <c r="E947" s="116"/>
      <c r="F947" s="116"/>
      <c r="G947" s="116"/>
    </row>
    <row r="948" ht="15.75" customHeight="1">
      <c r="D948" s="117"/>
      <c r="E948" s="116"/>
      <c r="F948" s="116"/>
      <c r="G948" s="116"/>
    </row>
    <row r="949" ht="15.75" customHeight="1">
      <c r="D949" s="117"/>
      <c r="E949" s="116"/>
      <c r="F949" s="116"/>
      <c r="G949" s="116"/>
    </row>
    <row r="950" ht="15.75" customHeight="1">
      <c r="D950" s="117"/>
      <c r="E950" s="116"/>
      <c r="F950" s="116"/>
      <c r="G950" s="116"/>
    </row>
    <row r="951" ht="15.75" customHeight="1">
      <c r="D951" s="117"/>
      <c r="E951" s="116"/>
      <c r="F951" s="116"/>
      <c r="G951" s="116"/>
    </row>
    <row r="952" ht="15.75" customHeight="1">
      <c r="D952" s="117"/>
      <c r="E952" s="116"/>
      <c r="F952" s="116"/>
      <c r="G952" s="116"/>
    </row>
    <row r="953" ht="15.75" customHeight="1">
      <c r="D953" s="117"/>
      <c r="E953" s="116"/>
      <c r="F953" s="116"/>
      <c r="G953" s="116"/>
    </row>
    <row r="954" ht="15.75" customHeight="1">
      <c r="D954" s="117"/>
      <c r="E954" s="116"/>
      <c r="F954" s="116"/>
      <c r="G954" s="116"/>
    </row>
    <row r="955" ht="15.75" customHeight="1">
      <c r="D955" s="117"/>
      <c r="E955" s="116"/>
      <c r="F955" s="116"/>
      <c r="G955" s="116"/>
    </row>
    <row r="956" ht="15.75" customHeight="1">
      <c r="D956" s="117"/>
      <c r="E956" s="116"/>
      <c r="F956" s="116"/>
      <c r="G956" s="116"/>
    </row>
    <row r="957" ht="15.75" customHeight="1">
      <c r="D957" s="117"/>
      <c r="E957" s="116"/>
      <c r="F957" s="116"/>
      <c r="G957" s="116"/>
    </row>
    <row r="958" ht="15.75" customHeight="1">
      <c r="D958" s="117"/>
      <c r="E958" s="116"/>
      <c r="F958" s="116"/>
      <c r="G958" s="116"/>
    </row>
    <row r="959" ht="15.75" customHeight="1">
      <c r="D959" s="117"/>
      <c r="E959" s="116"/>
      <c r="F959" s="116"/>
      <c r="G959" s="116"/>
    </row>
    <row r="960" ht="15.75" customHeight="1">
      <c r="D960" s="117"/>
      <c r="E960" s="116"/>
      <c r="F960" s="116"/>
      <c r="G960" s="116"/>
    </row>
    <row r="961" ht="15.75" customHeight="1">
      <c r="D961" s="117"/>
      <c r="E961" s="116"/>
      <c r="F961" s="116"/>
      <c r="G961" s="116"/>
    </row>
    <row r="962" ht="15.75" customHeight="1">
      <c r="D962" s="117"/>
      <c r="E962" s="116"/>
      <c r="F962" s="116"/>
      <c r="G962" s="116"/>
    </row>
    <row r="963" ht="15.75" customHeight="1">
      <c r="D963" s="117"/>
      <c r="E963" s="116"/>
      <c r="F963" s="116"/>
      <c r="G963" s="116"/>
    </row>
    <row r="964" ht="15.75" customHeight="1">
      <c r="D964" s="117"/>
      <c r="E964" s="116"/>
      <c r="F964" s="116"/>
      <c r="G964" s="116"/>
    </row>
    <row r="965" ht="15.75" customHeight="1">
      <c r="D965" s="117"/>
      <c r="E965" s="116"/>
      <c r="F965" s="116"/>
      <c r="G965" s="116"/>
    </row>
    <row r="966" ht="15.75" customHeight="1">
      <c r="D966" s="117"/>
      <c r="E966" s="116"/>
      <c r="F966" s="116"/>
      <c r="G966" s="116"/>
    </row>
    <row r="967" ht="15.75" customHeight="1">
      <c r="D967" s="117"/>
      <c r="E967" s="116"/>
      <c r="F967" s="116"/>
      <c r="G967" s="116"/>
    </row>
    <row r="968" ht="15.75" customHeight="1">
      <c r="D968" s="117"/>
      <c r="E968" s="116"/>
      <c r="F968" s="116"/>
      <c r="G968" s="116"/>
    </row>
    <row r="969" ht="15.75" customHeight="1">
      <c r="D969" s="117"/>
      <c r="E969" s="116"/>
      <c r="F969" s="116"/>
      <c r="G969" s="116"/>
    </row>
    <row r="970" ht="15.75" customHeight="1">
      <c r="D970" s="117"/>
      <c r="E970" s="116"/>
      <c r="F970" s="116"/>
      <c r="G970" s="116"/>
    </row>
    <row r="971" ht="15.75" customHeight="1">
      <c r="D971" s="117"/>
      <c r="E971" s="116"/>
      <c r="F971" s="116"/>
      <c r="G971" s="116"/>
    </row>
    <row r="972" ht="15.75" customHeight="1">
      <c r="D972" s="117"/>
      <c r="E972" s="116"/>
      <c r="F972" s="116"/>
      <c r="G972" s="116"/>
    </row>
    <row r="973" ht="15.75" customHeight="1">
      <c r="D973" s="117"/>
      <c r="E973" s="116"/>
      <c r="F973" s="116"/>
      <c r="G973" s="116"/>
    </row>
    <row r="974" ht="15.75" customHeight="1">
      <c r="D974" s="117"/>
      <c r="E974" s="116"/>
      <c r="F974" s="116"/>
      <c r="G974" s="116"/>
    </row>
    <row r="975" ht="15.75" customHeight="1">
      <c r="D975" s="117"/>
      <c r="E975" s="116"/>
      <c r="F975" s="116"/>
      <c r="G975" s="116"/>
    </row>
    <row r="976" ht="15.75" customHeight="1">
      <c r="D976" s="117"/>
      <c r="E976" s="116"/>
      <c r="F976" s="116"/>
      <c r="G976" s="116"/>
    </row>
    <row r="977" ht="15.75" customHeight="1">
      <c r="D977" s="117"/>
      <c r="E977" s="116"/>
      <c r="F977" s="116"/>
      <c r="G977" s="116"/>
    </row>
    <row r="978" ht="15.75" customHeight="1">
      <c r="D978" s="117"/>
      <c r="E978" s="116"/>
      <c r="F978" s="116"/>
      <c r="G978" s="116"/>
    </row>
    <row r="979" ht="15.75" customHeight="1">
      <c r="D979" s="117"/>
      <c r="E979" s="116"/>
      <c r="F979" s="116"/>
      <c r="G979" s="116"/>
    </row>
    <row r="980" ht="15.75" customHeight="1">
      <c r="D980" s="117"/>
      <c r="E980" s="116"/>
      <c r="F980" s="116"/>
      <c r="G980" s="116"/>
    </row>
    <row r="981" ht="15.75" customHeight="1">
      <c r="D981" s="117"/>
      <c r="E981" s="116"/>
      <c r="F981" s="116"/>
      <c r="G981" s="116"/>
    </row>
    <row r="982" ht="15.75" customHeight="1">
      <c r="D982" s="117"/>
      <c r="E982" s="116"/>
      <c r="F982" s="116"/>
      <c r="G982" s="116"/>
    </row>
    <row r="983" ht="15.75" customHeight="1">
      <c r="D983" s="117"/>
      <c r="E983" s="116"/>
      <c r="F983" s="116"/>
      <c r="G983" s="116"/>
    </row>
    <row r="984" ht="15.75" customHeight="1">
      <c r="D984" s="117"/>
      <c r="E984" s="116"/>
      <c r="F984" s="116"/>
      <c r="G984" s="116"/>
    </row>
    <row r="985" ht="15.75" customHeight="1">
      <c r="D985" s="117"/>
      <c r="E985" s="116"/>
      <c r="F985" s="116"/>
      <c r="G985" s="116"/>
    </row>
    <row r="986" ht="15.75" customHeight="1">
      <c r="D986" s="117"/>
      <c r="E986" s="116"/>
      <c r="F986" s="116"/>
      <c r="G986" s="116"/>
    </row>
    <row r="987" ht="15.75" customHeight="1">
      <c r="D987" s="117"/>
      <c r="E987" s="116"/>
      <c r="F987" s="116"/>
      <c r="G987" s="116"/>
    </row>
    <row r="988" ht="15.75" customHeight="1">
      <c r="D988" s="117"/>
      <c r="E988" s="116"/>
      <c r="F988" s="116"/>
      <c r="G988" s="116"/>
    </row>
    <row r="989" ht="15.75" customHeight="1">
      <c r="D989" s="117"/>
      <c r="E989" s="116"/>
      <c r="F989" s="116"/>
      <c r="G989" s="116"/>
    </row>
    <row r="990" ht="15.75" customHeight="1">
      <c r="D990" s="117"/>
      <c r="E990" s="116"/>
      <c r="F990" s="116"/>
      <c r="G990" s="116"/>
    </row>
    <row r="991" ht="15.75" customHeight="1">
      <c r="D991" s="117"/>
      <c r="E991" s="116"/>
      <c r="F991" s="116"/>
      <c r="G991" s="116"/>
    </row>
    <row r="992" ht="15.75" customHeight="1">
      <c r="D992" s="117"/>
      <c r="E992" s="116"/>
      <c r="F992" s="116"/>
      <c r="G992" s="116"/>
    </row>
    <row r="993" ht="15.75" customHeight="1">
      <c r="D993" s="117"/>
      <c r="E993" s="116"/>
      <c r="F993" s="116"/>
      <c r="G993" s="116"/>
    </row>
    <row r="994" ht="15.75" customHeight="1">
      <c r="D994" s="117"/>
      <c r="E994" s="116"/>
      <c r="F994" s="116"/>
      <c r="G994" s="116"/>
    </row>
    <row r="995" ht="15.75" customHeight="1">
      <c r="D995" s="117"/>
      <c r="E995" s="116"/>
      <c r="F995" s="116"/>
      <c r="G995" s="116"/>
    </row>
    <row r="996" ht="15.75" customHeight="1">
      <c r="D996" s="117"/>
      <c r="E996" s="116"/>
      <c r="F996" s="116"/>
      <c r="G996" s="116"/>
    </row>
    <row r="997" ht="15.75" customHeight="1">
      <c r="D997" s="117"/>
      <c r="E997" s="116"/>
      <c r="F997" s="116"/>
      <c r="G997" s="116"/>
    </row>
    <row r="998" ht="15.75" customHeight="1">
      <c r="D998" s="117"/>
      <c r="E998" s="116"/>
      <c r="F998" s="116"/>
      <c r="G998" s="11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3" width="18.75"/>
    <col customWidth="1" min="4" max="4" width="27.25"/>
    <col customWidth="1" min="5" max="5" width="21.5"/>
    <col customWidth="1" min="6" max="6" width="12.63"/>
  </cols>
  <sheetData>
    <row r="1">
      <c r="A1" s="4" t="s">
        <v>28363</v>
      </c>
      <c r="B1" s="4" t="s">
        <v>28364</v>
      </c>
      <c r="C1" s="4" t="s">
        <v>28365</v>
      </c>
      <c r="D1" s="4" t="s">
        <v>28366</v>
      </c>
      <c r="E1" s="4" t="s">
        <v>28367</v>
      </c>
      <c r="F1" s="9" t="s">
        <v>28368</v>
      </c>
    </row>
    <row r="2">
      <c r="A2" s="4" t="s">
        <v>28369</v>
      </c>
      <c r="B2" s="4" t="s">
        <v>28370</v>
      </c>
      <c r="C2" s="4" t="s">
        <v>28370</v>
      </c>
      <c r="D2" s="4" t="s">
        <v>28371</v>
      </c>
      <c r="E2" s="4" t="s">
        <v>28372</v>
      </c>
      <c r="F2" s="9" t="s">
        <v>28373</v>
      </c>
    </row>
    <row r="3">
      <c r="A3" s="4" t="s">
        <v>28374</v>
      </c>
      <c r="B3" s="4" t="s">
        <v>12271</v>
      </c>
      <c r="C3" s="4" t="s">
        <v>28375</v>
      </c>
      <c r="D3" s="4" t="s">
        <v>28376</v>
      </c>
      <c r="E3" s="4" t="s">
        <v>28377</v>
      </c>
      <c r="F3" s="9" t="s">
        <v>28373</v>
      </c>
    </row>
    <row r="4">
      <c r="A4" s="9" t="s">
        <v>28378</v>
      </c>
      <c r="B4" s="9" t="s">
        <v>28379</v>
      </c>
      <c r="C4" s="9" t="s">
        <v>28380</v>
      </c>
      <c r="D4" s="9" t="s">
        <v>28381</v>
      </c>
      <c r="E4" s="9" t="s">
        <v>28382</v>
      </c>
      <c r="F4" s="9" t="s">
        <v>28383</v>
      </c>
    </row>
    <row r="5">
      <c r="A5" s="9" t="s">
        <v>28384</v>
      </c>
      <c r="B5" s="9" t="s">
        <v>28385</v>
      </c>
      <c r="C5" s="9" t="s">
        <v>28386</v>
      </c>
      <c r="D5" s="9" t="s">
        <v>28387</v>
      </c>
      <c r="E5" s="9" t="s">
        <v>28388</v>
      </c>
      <c r="F5" s="9" t="s">
        <v>28389</v>
      </c>
    </row>
    <row r="6">
      <c r="A6" s="9" t="s">
        <v>28390</v>
      </c>
      <c r="B6" s="9" t="s">
        <v>28391</v>
      </c>
      <c r="C6" s="9" t="s">
        <v>28392</v>
      </c>
      <c r="D6" s="9" t="s">
        <v>28393</v>
      </c>
      <c r="E6" s="9" t="s">
        <v>28394</v>
      </c>
      <c r="F6" s="9" t="s">
        <v>28395</v>
      </c>
    </row>
    <row r="7">
      <c r="A7" s="9" t="s">
        <v>28396</v>
      </c>
      <c r="B7" s="9" t="s">
        <v>28397</v>
      </c>
      <c r="C7" s="9" t="s">
        <v>28398</v>
      </c>
      <c r="D7" s="9" t="s">
        <v>28399</v>
      </c>
      <c r="E7" s="9" t="s">
        <v>28400</v>
      </c>
      <c r="F7" s="9" t="s">
        <v>28401</v>
      </c>
    </row>
    <row r="8">
      <c r="A8" s="9" t="s">
        <v>28402</v>
      </c>
      <c r="B8" s="9" t="s">
        <v>28403</v>
      </c>
      <c r="C8" s="9" t="s">
        <v>28404</v>
      </c>
      <c r="D8" s="9" t="s">
        <v>28405</v>
      </c>
      <c r="E8" s="9" t="s">
        <v>28406</v>
      </c>
      <c r="F8" s="9" t="s">
        <v>28407</v>
      </c>
    </row>
    <row r="9">
      <c r="A9" s="9" t="s">
        <v>28408</v>
      </c>
      <c r="B9" s="9" t="s">
        <v>28409</v>
      </c>
      <c r="C9" s="9" t="s">
        <v>28409</v>
      </c>
      <c r="D9" s="9" t="s">
        <v>28410</v>
      </c>
      <c r="E9" s="9" t="s">
        <v>28411</v>
      </c>
      <c r="F9" s="9" t="s">
        <v>28412</v>
      </c>
    </row>
    <row r="10">
      <c r="A10" s="9" t="s">
        <v>28413</v>
      </c>
      <c r="B10" s="9" t="s">
        <v>28414</v>
      </c>
      <c r="C10" s="9" t="s">
        <v>12260</v>
      </c>
      <c r="D10" s="9" t="s">
        <v>28415</v>
      </c>
      <c r="E10" s="9" t="s">
        <v>28416</v>
      </c>
      <c r="F10" s="9" t="s">
        <v>28417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28418</v>
      </c>
      <c r="B1" s="9" t="s">
        <v>28409</v>
      </c>
      <c r="C1" s="9" t="s">
        <v>28409</v>
      </c>
      <c r="D1" s="9" t="s">
        <v>28419</v>
      </c>
      <c r="E1" s="9" t="s">
        <v>28420</v>
      </c>
      <c r="F1" s="9" t="s">
        <v>28412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88"/>
    <col customWidth="1" min="3" max="3" width="80.38"/>
    <col customWidth="1" min="4" max="4" width="12.63"/>
    <col customWidth="1" min="5" max="5" width="19.0"/>
    <col customWidth="1" min="6" max="7" width="12.63"/>
  </cols>
  <sheetData>
    <row r="1" ht="15.75" customHeight="1">
      <c r="A1" s="7" t="s">
        <v>28421</v>
      </c>
      <c r="B1" s="7" t="s">
        <v>12275</v>
      </c>
      <c r="C1" s="7" t="s">
        <v>28422</v>
      </c>
      <c r="D1" s="7" t="s">
        <v>28423</v>
      </c>
      <c r="E1" s="7" t="s">
        <v>28424</v>
      </c>
      <c r="F1" s="6"/>
      <c r="G1" s="7"/>
      <c r="H1" s="7"/>
      <c r="I1" s="7"/>
      <c r="J1" s="7"/>
      <c r="K1" s="7"/>
      <c r="L1" s="7"/>
      <c r="M1" s="7"/>
      <c r="N1" s="7"/>
      <c r="O1" s="7"/>
      <c r="P1" s="7"/>
      <c r="Q1" s="7"/>
      <c r="R1" s="7"/>
      <c r="S1" s="7"/>
      <c r="T1" s="7"/>
      <c r="U1" s="7"/>
      <c r="V1" s="7"/>
      <c r="W1" s="7"/>
      <c r="X1" s="7"/>
    </row>
    <row r="2" ht="15.75" customHeight="1">
      <c r="A2" s="7" t="s">
        <v>28425</v>
      </c>
      <c r="B2" s="7" t="s">
        <v>5808</v>
      </c>
      <c r="C2" s="68" t="s">
        <v>28426</v>
      </c>
      <c r="D2" s="6" t="b">
        <v>0</v>
      </c>
      <c r="E2" s="7" t="s">
        <v>28427</v>
      </c>
      <c r="F2" s="7"/>
      <c r="G2" s="7"/>
      <c r="H2" s="7"/>
      <c r="I2" s="7"/>
      <c r="J2" s="7"/>
      <c r="K2" s="7"/>
      <c r="L2" s="7"/>
      <c r="M2" s="7"/>
      <c r="N2" s="7"/>
      <c r="O2" s="7"/>
      <c r="P2" s="7"/>
      <c r="Q2" s="7"/>
      <c r="R2" s="7"/>
      <c r="S2" s="7"/>
      <c r="T2" s="7"/>
      <c r="U2" s="7"/>
      <c r="V2" s="7"/>
      <c r="W2" s="7"/>
      <c r="X2" s="7"/>
    </row>
    <row r="3" ht="15.75" customHeight="1">
      <c r="A3" s="7" t="s">
        <v>28428</v>
      </c>
      <c r="B3" s="7" t="s">
        <v>5808</v>
      </c>
      <c r="C3" s="68" t="s">
        <v>28429</v>
      </c>
      <c r="D3" s="6" t="b">
        <v>0</v>
      </c>
      <c r="E3" s="7" t="s">
        <v>28427</v>
      </c>
      <c r="F3" s="7"/>
      <c r="G3" s="7"/>
      <c r="H3" s="7"/>
      <c r="I3" s="7"/>
      <c r="J3" s="7"/>
      <c r="K3" s="7"/>
      <c r="L3" s="7"/>
      <c r="M3" s="7"/>
      <c r="N3" s="7"/>
      <c r="O3" s="7"/>
      <c r="P3" s="7"/>
      <c r="Q3" s="7"/>
      <c r="R3" s="7"/>
      <c r="S3" s="7"/>
      <c r="T3" s="7"/>
      <c r="U3" s="7"/>
      <c r="V3" s="7"/>
      <c r="W3" s="7"/>
      <c r="X3" s="7"/>
    </row>
    <row r="4" ht="15.75" customHeight="1">
      <c r="A4" s="7" t="s">
        <v>28430</v>
      </c>
      <c r="B4" s="7" t="s">
        <v>388</v>
      </c>
      <c r="C4" s="68" t="s">
        <v>28431</v>
      </c>
      <c r="D4" s="6" t="b">
        <v>1</v>
      </c>
      <c r="E4" s="7" t="s">
        <v>28427</v>
      </c>
      <c r="G4" s="7"/>
      <c r="H4" s="7"/>
      <c r="I4" s="7"/>
      <c r="J4" s="7"/>
      <c r="K4" s="7"/>
      <c r="L4" s="7"/>
      <c r="M4" s="7"/>
      <c r="N4" s="7"/>
      <c r="O4" s="7"/>
      <c r="P4" s="7"/>
      <c r="Q4" s="7"/>
      <c r="R4" s="7"/>
      <c r="S4" s="7"/>
      <c r="T4" s="7"/>
      <c r="U4" s="7"/>
      <c r="V4" s="7"/>
      <c r="W4" s="7"/>
      <c r="X4" s="7"/>
    </row>
    <row r="5" ht="15.75" customHeight="1">
      <c r="A5" s="7" t="s">
        <v>28432</v>
      </c>
      <c r="B5" s="7" t="s">
        <v>388</v>
      </c>
      <c r="C5" s="68" t="s">
        <v>28433</v>
      </c>
      <c r="D5" s="6" t="b">
        <v>1</v>
      </c>
      <c r="E5" s="7"/>
      <c r="F5" s="7"/>
      <c r="G5" s="7"/>
      <c r="H5" s="7"/>
      <c r="I5" s="7"/>
      <c r="J5" s="7"/>
      <c r="K5" s="7"/>
      <c r="L5" s="7"/>
      <c r="M5" s="7"/>
      <c r="N5" s="7"/>
      <c r="O5" s="7"/>
      <c r="P5" s="7"/>
      <c r="Q5" s="7"/>
      <c r="R5" s="7"/>
      <c r="S5" s="7"/>
      <c r="T5" s="7"/>
      <c r="U5" s="7"/>
      <c r="V5" s="7"/>
      <c r="W5" s="7"/>
      <c r="X5" s="7"/>
    </row>
    <row r="6" ht="15.75" customHeight="1">
      <c r="A6" s="7" t="s">
        <v>28434</v>
      </c>
      <c r="B6" s="7" t="s">
        <v>388</v>
      </c>
      <c r="C6" s="68" t="s">
        <v>28435</v>
      </c>
      <c r="D6" s="6" t="b">
        <v>1</v>
      </c>
      <c r="E6" s="7"/>
      <c r="F6" s="7"/>
      <c r="G6" s="7"/>
      <c r="H6" s="7"/>
      <c r="I6" s="7"/>
      <c r="J6" s="7"/>
      <c r="K6" s="7"/>
      <c r="L6" s="7"/>
      <c r="M6" s="7"/>
      <c r="N6" s="7"/>
      <c r="O6" s="7"/>
      <c r="P6" s="7"/>
      <c r="Q6" s="7"/>
      <c r="R6" s="7"/>
      <c r="S6" s="7"/>
      <c r="T6" s="7"/>
      <c r="U6" s="7"/>
      <c r="V6" s="7"/>
      <c r="W6" s="7"/>
      <c r="X6" s="7"/>
    </row>
    <row r="7" ht="15.75" customHeight="1">
      <c r="A7" s="6" t="s">
        <v>28436</v>
      </c>
      <c r="B7" s="6" t="s">
        <v>388</v>
      </c>
      <c r="C7" s="68" t="s">
        <v>28437</v>
      </c>
      <c r="D7" s="6" t="b">
        <v>1</v>
      </c>
      <c r="E7" s="7"/>
      <c r="F7" s="7"/>
      <c r="G7" s="7"/>
      <c r="H7" s="7"/>
      <c r="I7" s="7"/>
      <c r="J7" s="7"/>
      <c r="K7" s="7"/>
      <c r="L7" s="7"/>
      <c r="M7" s="7"/>
      <c r="N7" s="7"/>
      <c r="O7" s="7"/>
      <c r="P7" s="7"/>
      <c r="Q7" s="7"/>
      <c r="R7" s="7"/>
      <c r="S7" s="7"/>
      <c r="T7" s="7"/>
      <c r="U7" s="7"/>
      <c r="V7" s="7"/>
      <c r="W7" s="7"/>
      <c r="X7" s="7"/>
    </row>
    <row r="8" ht="15.75" customHeight="1">
      <c r="A8" s="6" t="s">
        <v>28438</v>
      </c>
      <c r="B8" s="6" t="s">
        <v>3515</v>
      </c>
      <c r="C8" s="68" t="s">
        <v>28439</v>
      </c>
      <c r="D8" s="6" t="b">
        <v>1</v>
      </c>
      <c r="E8" s="7"/>
      <c r="F8" s="6"/>
      <c r="G8" s="7"/>
      <c r="H8" s="7"/>
      <c r="I8" s="7"/>
      <c r="J8" s="7"/>
      <c r="K8" s="7"/>
      <c r="L8" s="7"/>
      <c r="M8" s="7"/>
      <c r="N8" s="7"/>
      <c r="O8" s="7"/>
      <c r="P8" s="7"/>
      <c r="Q8" s="7"/>
      <c r="R8" s="7"/>
      <c r="S8" s="7"/>
      <c r="T8" s="7"/>
      <c r="U8" s="7"/>
      <c r="V8" s="7"/>
      <c r="W8" s="7"/>
      <c r="X8" s="7"/>
    </row>
    <row r="9" ht="15.75" customHeight="1">
      <c r="A9" s="6" t="s">
        <v>28440</v>
      </c>
      <c r="B9" s="6" t="s">
        <v>3515</v>
      </c>
      <c r="C9" s="68" t="s">
        <v>28441</v>
      </c>
      <c r="D9" s="6" t="b">
        <v>0</v>
      </c>
      <c r="E9" s="7"/>
      <c r="F9" s="6"/>
      <c r="G9" s="7"/>
      <c r="H9" s="7"/>
      <c r="I9" s="7"/>
      <c r="J9" s="7"/>
      <c r="K9" s="7"/>
      <c r="L9" s="7"/>
      <c r="M9" s="7"/>
      <c r="N9" s="7"/>
      <c r="O9" s="7"/>
      <c r="P9" s="7"/>
      <c r="Q9" s="7"/>
      <c r="R9" s="7"/>
      <c r="S9" s="7"/>
      <c r="T9" s="7"/>
      <c r="U9" s="7"/>
      <c r="V9" s="7"/>
      <c r="W9" s="7"/>
      <c r="X9" s="7"/>
    </row>
    <row r="10" ht="15.75" customHeight="1">
      <c r="A10" s="6" t="s">
        <v>28442</v>
      </c>
      <c r="B10" s="6" t="s">
        <v>255</v>
      </c>
      <c r="C10" s="68" t="s">
        <v>28443</v>
      </c>
      <c r="D10" s="6" t="b">
        <v>0</v>
      </c>
      <c r="E10" s="7"/>
      <c r="F10" s="7"/>
      <c r="G10" s="7"/>
      <c r="H10" s="7"/>
      <c r="I10" s="7"/>
      <c r="J10" s="7"/>
      <c r="K10" s="7"/>
      <c r="L10" s="7"/>
      <c r="M10" s="7"/>
      <c r="N10" s="7"/>
      <c r="O10" s="7"/>
      <c r="P10" s="7"/>
      <c r="Q10" s="7"/>
      <c r="R10" s="7"/>
      <c r="S10" s="7"/>
      <c r="T10" s="7"/>
      <c r="U10" s="7"/>
      <c r="V10" s="7"/>
      <c r="W10" s="7"/>
      <c r="X10" s="7"/>
    </row>
    <row r="11" ht="15.75" customHeight="1">
      <c r="A11" s="6" t="s">
        <v>28444</v>
      </c>
      <c r="B11" s="6" t="s">
        <v>255</v>
      </c>
      <c r="C11" s="68" t="s">
        <v>28445</v>
      </c>
      <c r="D11" s="6" t="b">
        <v>1</v>
      </c>
      <c r="E11" s="7"/>
      <c r="F11" s="7"/>
      <c r="G11" s="7"/>
      <c r="H11" s="7"/>
      <c r="I11" s="7"/>
      <c r="J11" s="7"/>
      <c r="K11" s="7"/>
      <c r="L11" s="7"/>
      <c r="M11" s="7"/>
      <c r="N11" s="7"/>
      <c r="O11" s="7"/>
      <c r="P11" s="7"/>
      <c r="Q11" s="7"/>
      <c r="R11" s="7"/>
      <c r="S11" s="7"/>
      <c r="T11" s="7"/>
      <c r="U11" s="7"/>
      <c r="V11" s="7"/>
      <c r="W11" s="7"/>
      <c r="X11" s="7"/>
    </row>
    <row r="12" ht="15.75" customHeight="1">
      <c r="A12" s="6" t="s">
        <v>28446</v>
      </c>
      <c r="B12" s="6" t="s">
        <v>255</v>
      </c>
      <c r="C12" s="68" t="s">
        <v>28447</v>
      </c>
      <c r="D12" s="6" t="b">
        <v>0</v>
      </c>
      <c r="E12" s="7"/>
      <c r="F12" s="7"/>
      <c r="G12" s="7"/>
      <c r="H12" s="7"/>
      <c r="I12" s="7"/>
      <c r="J12" s="7"/>
      <c r="K12" s="7"/>
      <c r="L12" s="7"/>
      <c r="M12" s="7"/>
      <c r="N12" s="7"/>
      <c r="O12" s="7"/>
      <c r="P12" s="7"/>
      <c r="Q12" s="7"/>
      <c r="R12" s="7"/>
      <c r="S12" s="7"/>
      <c r="T12" s="7"/>
      <c r="U12" s="7"/>
      <c r="V12" s="7"/>
      <c r="W12" s="7"/>
      <c r="X12" s="7"/>
    </row>
    <row r="13" ht="15.75" customHeight="1">
      <c r="A13" s="6" t="s">
        <v>28448</v>
      </c>
      <c r="B13" s="6" t="s">
        <v>4712</v>
      </c>
      <c r="C13" s="68" t="s">
        <v>28449</v>
      </c>
      <c r="D13" s="6" t="b">
        <v>1</v>
      </c>
      <c r="E13" s="7"/>
      <c r="F13" s="7"/>
      <c r="G13" s="7"/>
      <c r="H13" s="7"/>
      <c r="I13" s="7"/>
      <c r="J13" s="7"/>
      <c r="K13" s="7"/>
      <c r="L13" s="7"/>
      <c r="M13" s="7"/>
      <c r="N13" s="7"/>
      <c r="O13" s="7"/>
      <c r="P13" s="7"/>
      <c r="Q13" s="7"/>
      <c r="R13" s="7"/>
      <c r="S13" s="7"/>
      <c r="T13" s="7"/>
      <c r="U13" s="7"/>
      <c r="V13" s="7"/>
      <c r="W13" s="7"/>
      <c r="X13" s="7"/>
    </row>
    <row r="14" ht="15.75" customHeight="1">
      <c r="A14" s="6" t="s">
        <v>28450</v>
      </c>
      <c r="B14" s="6" t="s">
        <v>4712</v>
      </c>
      <c r="C14" s="68" t="s">
        <v>28451</v>
      </c>
      <c r="D14" s="6" t="b">
        <v>0</v>
      </c>
      <c r="E14" s="7"/>
      <c r="F14" s="7"/>
      <c r="G14" s="7"/>
      <c r="H14" s="7"/>
      <c r="I14" s="7"/>
      <c r="J14" s="7"/>
      <c r="K14" s="7"/>
      <c r="L14" s="7"/>
      <c r="M14" s="7"/>
      <c r="N14" s="7"/>
      <c r="O14" s="7"/>
      <c r="P14" s="7"/>
      <c r="Q14" s="7"/>
      <c r="R14" s="7"/>
      <c r="S14" s="7"/>
      <c r="T14" s="7"/>
      <c r="U14" s="7"/>
      <c r="V14" s="7"/>
      <c r="W14" s="7"/>
      <c r="X14" s="7"/>
    </row>
    <row r="15" ht="15.75" customHeight="1">
      <c r="A15" s="6" t="s">
        <v>28452</v>
      </c>
      <c r="B15" s="6" t="s">
        <v>4712</v>
      </c>
      <c r="C15" s="68" t="s">
        <v>28453</v>
      </c>
      <c r="D15" s="6" t="b">
        <v>0</v>
      </c>
      <c r="E15" s="7"/>
      <c r="F15" s="7"/>
      <c r="G15" s="7"/>
      <c r="H15" s="7"/>
      <c r="I15" s="7"/>
      <c r="J15" s="7"/>
      <c r="K15" s="7"/>
      <c r="L15" s="7"/>
      <c r="M15" s="7"/>
      <c r="N15" s="7"/>
      <c r="O15" s="7"/>
      <c r="P15" s="7"/>
      <c r="Q15" s="7"/>
      <c r="R15" s="7"/>
      <c r="S15" s="7"/>
      <c r="T15" s="7"/>
      <c r="U15" s="7"/>
      <c r="V15" s="7"/>
      <c r="W15" s="7"/>
      <c r="X15" s="7"/>
    </row>
    <row r="16" ht="15.75" customHeight="1">
      <c r="A16" s="6" t="s">
        <v>28454</v>
      </c>
      <c r="B16" s="6" t="s">
        <v>4712</v>
      </c>
      <c r="C16" s="68" t="s">
        <v>28455</v>
      </c>
      <c r="D16" s="6" t="b">
        <v>0</v>
      </c>
      <c r="E16" s="7"/>
      <c r="F16" s="7"/>
      <c r="G16" s="7"/>
      <c r="H16" s="7"/>
      <c r="I16" s="7"/>
      <c r="J16" s="7"/>
      <c r="K16" s="7"/>
      <c r="L16" s="7"/>
      <c r="M16" s="7"/>
      <c r="N16" s="7"/>
      <c r="O16" s="7"/>
      <c r="P16" s="7"/>
      <c r="Q16" s="7"/>
      <c r="R16" s="7"/>
      <c r="S16" s="7"/>
      <c r="T16" s="7"/>
      <c r="U16" s="7"/>
      <c r="V16" s="7"/>
      <c r="W16" s="7"/>
      <c r="X16" s="7"/>
    </row>
    <row r="17" ht="15.75" customHeight="1">
      <c r="A17" s="6" t="s">
        <v>28456</v>
      </c>
      <c r="B17" s="6" t="s">
        <v>7565</v>
      </c>
      <c r="C17" s="68" t="s">
        <v>28457</v>
      </c>
      <c r="D17" s="6" t="b">
        <v>1</v>
      </c>
      <c r="E17" s="7"/>
      <c r="F17" s="7"/>
      <c r="G17" s="7"/>
      <c r="H17" s="7"/>
      <c r="I17" s="7"/>
      <c r="J17" s="7"/>
      <c r="K17" s="7"/>
      <c r="L17" s="7"/>
      <c r="M17" s="7"/>
      <c r="N17" s="7"/>
      <c r="O17" s="7"/>
      <c r="P17" s="7"/>
      <c r="Q17" s="7"/>
      <c r="R17" s="7"/>
      <c r="S17" s="7"/>
      <c r="T17" s="7"/>
      <c r="U17" s="7"/>
      <c r="V17" s="7"/>
      <c r="W17" s="7"/>
      <c r="X17" s="7"/>
    </row>
    <row r="18" ht="15.75" customHeight="1">
      <c r="A18" s="6" t="s">
        <v>28458</v>
      </c>
      <c r="B18" s="6" t="s">
        <v>7565</v>
      </c>
      <c r="C18" s="68" t="s">
        <v>28459</v>
      </c>
      <c r="D18" s="6" t="b">
        <v>0</v>
      </c>
      <c r="E18" s="7"/>
      <c r="F18" s="7"/>
      <c r="G18" s="7"/>
      <c r="H18" s="7"/>
      <c r="I18" s="7"/>
      <c r="J18" s="7"/>
      <c r="K18" s="7"/>
      <c r="L18" s="7"/>
      <c r="M18" s="7"/>
      <c r="N18" s="7"/>
      <c r="O18" s="7"/>
      <c r="P18" s="7"/>
      <c r="Q18" s="7"/>
      <c r="R18" s="7"/>
      <c r="S18" s="7"/>
      <c r="T18" s="7"/>
      <c r="U18" s="7"/>
      <c r="V18" s="7"/>
      <c r="W18" s="7"/>
      <c r="X18" s="7"/>
    </row>
    <row r="19" ht="15.75" customHeight="1">
      <c r="A19" s="6" t="s">
        <v>28460</v>
      </c>
      <c r="B19" s="6" t="s">
        <v>7565</v>
      </c>
      <c r="C19" s="68" t="s">
        <v>28461</v>
      </c>
      <c r="D19" s="6" t="b">
        <v>0</v>
      </c>
      <c r="E19" s="7"/>
      <c r="F19" s="7"/>
      <c r="G19" s="7"/>
      <c r="H19" s="7"/>
      <c r="I19" s="7"/>
      <c r="J19" s="7"/>
      <c r="K19" s="7"/>
      <c r="L19" s="7"/>
      <c r="M19" s="7"/>
      <c r="N19" s="7"/>
      <c r="O19" s="7"/>
      <c r="P19" s="7"/>
      <c r="Q19" s="7"/>
      <c r="R19" s="7"/>
      <c r="S19" s="7"/>
      <c r="T19" s="7"/>
      <c r="U19" s="7"/>
      <c r="V19" s="7"/>
      <c r="W19" s="7"/>
      <c r="X19" s="7"/>
    </row>
    <row r="20" ht="15.75" customHeight="1">
      <c r="A20" s="6" t="s">
        <v>28462</v>
      </c>
      <c r="B20" s="6" t="s">
        <v>7565</v>
      </c>
      <c r="C20" s="68" t="s">
        <v>28463</v>
      </c>
      <c r="D20" s="6" t="b">
        <v>0</v>
      </c>
      <c r="E20" s="7"/>
      <c r="F20" s="7"/>
      <c r="G20" s="7"/>
      <c r="H20" s="7"/>
      <c r="I20" s="7"/>
      <c r="J20" s="7"/>
      <c r="K20" s="7"/>
      <c r="L20" s="7"/>
      <c r="M20" s="7"/>
      <c r="N20" s="7"/>
      <c r="O20" s="7"/>
      <c r="P20" s="7"/>
      <c r="Q20" s="7"/>
      <c r="R20" s="7"/>
      <c r="S20" s="7"/>
      <c r="T20" s="7"/>
      <c r="U20" s="7"/>
      <c r="V20" s="7"/>
      <c r="W20" s="7"/>
      <c r="X20" s="7"/>
    </row>
    <row r="21" ht="15.75" customHeight="1">
      <c r="A21" s="6" t="s">
        <v>28464</v>
      </c>
      <c r="B21" s="6" t="s">
        <v>5676</v>
      </c>
      <c r="C21" s="68" t="s">
        <v>28465</v>
      </c>
      <c r="D21" s="6" t="b">
        <v>1</v>
      </c>
      <c r="E21" s="7"/>
      <c r="F21" s="7"/>
      <c r="G21" s="7"/>
      <c r="H21" s="7"/>
      <c r="I21" s="7"/>
      <c r="J21" s="7"/>
      <c r="K21" s="7"/>
      <c r="L21" s="7"/>
      <c r="M21" s="7"/>
      <c r="N21" s="7"/>
      <c r="O21" s="7"/>
      <c r="P21" s="7"/>
      <c r="Q21" s="7"/>
      <c r="R21" s="7"/>
      <c r="S21" s="7"/>
      <c r="T21" s="7"/>
      <c r="U21" s="7"/>
      <c r="V21" s="7"/>
      <c r="W21" s="7"/>
      <c r="X21" s="7"/>
    </row>
    <row r="22" ht="15.75" customHeight="1">
      <c r="A22" s="6" t="s">
        <v>28466</v>
      </c>
      <c r="B22" s="6" t="s">
        <v>1260</v>
      </c>
      <c r="C22" s="68" t="s">
        <v>28467</v>
      </c>
      <c r="D22" s="6" t="b">
        <v>1</v>
      </c>
      <c r="E22" s="7"/>
      <c r="F22" s="6"/>
      <c r="G22" s="7"/>
      <c r="H22" s="7"/>
      <c r="I22" s="7"/>
      <c r="J22" s="7"/>
      <c r="K22" s="7"/>
      <c r="L22" s="7"/>
      <c r="M22" s="7"/>
      <c r="N22" s="7"/>
      <c r="O22" s="7"/>
      <c r="P22" s="7"/>
      <c r="Q22" s="7"/>
      <c r="R22" s="7"/>
      <c r="S22" s="7"/>
      <c r="T22" s="7"/>
      <c r="U22" s="7"/>
      <c r="V22" s="7"/>
      <c r="W22" s="7"/>
      <c r="X22" s="7"/>
    </row>
    <row r="23" ht="15.75" customHeight="1">
      <c r="A23" s="6" t="s">
        <v>28468</v>
      </c>
      <c r="B23" s="6" t="s">
        <v>1260</v>
      </c>
      <c r="C23" s="68" t="s">
        <v>28469</v>
      </c>
      <c r="D23" s="6" t="b">
        <v>0</v>
      </c>
      <c r="E23" s="7"/>
      <c r="F23" s="6"/>
      <c r="G23" s="7"/>
      <c r="H23" s="7"/>
      <c r="I23" s="7"/>
      <c r="J23" s="7"/>
      <c r="K23" s="7"/>
      <c r="L23" s="7"/>
      <c r="M23" s="7"/>
      <c r="N23" s="7"/>
      <c r="O23" s="7"/>
      <c r="P23" s="7"/>
      <c r="Q23" s="7"/>
      <c r="R23" s="7"/>
      <c r="S23" s="7"/>
      <c r="T23" s="7"/>
      <c r="U23" s="7"/>
      <c r="V23" s="7"/>
      <c r="W23" s="7"/>
      <c r="X23" s="7"/>
    </row>
    <row r="24" ht="15.75" customHeight="1">
      <c r="A24" s="6" t="s">
        <v>28470</v>
      </c>
      <c r="B24" s="6" t="s">
        <v>1260</v>
      </c>
      <c r="C24" s="68" t="s">
        <v>28471</v>
      </c>
      <c r="D24" s="6" t="b">
        <v>0</v>
      </c>
      <c r="E24" s="7"/>
      <c r="F24" s="6"/>
      <c r="G24" s="7"/>
      <c r="H24" s="7"/>
      <c r="I24" s="7"/>
      <c r="J24" s="7"/>
      <c r="K24" s="7"/>
      <c r="L24" s="7"/>
      <c r="M24" s="7"/>
      <c r="N24" s="7"/>
      <c r="O24" s="7"/>
      <c r="P24" s="7"/>
      <c r="Q24" s="7"/>
      <c r="R24" s="7"/>
      <c r="S24" s="7"/>
      <c r="T24" s="7"/>
      <c r="U24" s="7"/>
      <c r="V24" s="7"/>
      <c r="W24" s="7"/>
      <c r="X24" s="7"/>
    </row>
    <row r="25" ht="15.75" customHeight="1">
      <c r="A25" s="6"/>
      <c r="B25" s="6"/>
      <c r="C25" s="6"/>
      <c r="D25" s="6"/>
      <c r="E25" s="6"/>
      <c r="F25" s="7"/>
      <c r="G25" s="7"/>
      <c r="H25" s="7"/>
      <c r="I25" s="7"/>
      <c r="J25" s="7"/>
      <c r="K25" s="7"/>
      <c r="L25" s="7"/>
      <c r="M25" s="7"/>
      <c r="N25" s="7"/>
      <c r="O25" s="7"/>
      <c r="P25" s="7"/>
      <c r="Q25" s="7"/>
      <c r="R25" s="7"/>
      <c r="S25" s="7"/>
      <c r="T25" s="7"/>
      <c r="U25" s="7"/>
      <c r="V25" s="7"/>
      <c r="W25" s="7"/>
      <c r="X25" s="7"/>
    </row>
    <row r="26" ht="15.75" customHeight="1">
      <c r="A26" s="6"/>
      <c r="B26" s="6"/>
      <c r="C26" s="6"/>
      <c r="D26" s="6"/>
      <c r="E26" s="6"/>
      <c r="F26" s="7"/>
      <c r="G26" s="7"/>
      <c r="H26" s="7"/>
      <c r="I26" s="7"/>
      <c r="J26" s="7"/>
      <c r="K26" s="7"/>
      <c r="L26" s="7"/>
      <c r="M26" s="7"/>
      <c r="N26" s="7"/>
      <c r="O26" s="7"/>
      <c r="P26" s="7"/>
      <c r="Q26" s="7"/>
      <c r="R26" s="7"/>
      <c r="S26" s="7"/>
      <c r="T26" s="7"/>
      <c r="U26" s="7"/>
      <c r="V26" s="7"/>
      <c r="W26" s="7"/>
      <c r="X26" s="7"/>
    </row>
    <row r="27" ht="15.75" customHeight="1">
      <c r="A27" s="6" t="s">
        <v>28472</v>
      </c>
      <c r="B27" s="6" t="s">
        <v>8795</v>
      </c>
      <c r="C27" s="68" t="s">
        <v>28473</v>
      </c>
      <c r="D27" s="6" t="b">
        <v>0</v>
      </c>
      <c r="E27" s="7"/>
      <c r="F27" s="7"/>
      <c r="G27" s="7"/>
      <c r="H27" s="7"/>
      <c r="I27" s="7"/>
      <c r="J27" s="7"/>
      <c r="K27" s="7"/>
      <c r="L27" s="7"/>
      <c r="M27" s="7"/>
      <c r="N27" s="7"/>
      <c r="O27" s="7"/>
      <c r="P27" s="7"/>
      <c r="Q27" s="7"/>
      <c r="R27" s="7"/>
      <c r="S27" s="7"/>
      <c r="T27" s="7"/>
      <c r="U27" s="7"/>
      <c r="V27" s="7"/>
      <c r="W27" s="7"/>
      <c r="X27" s="7"/>
    </row>
    <row r="28" ht="15.75" customHeight="1">
      <c r="A28" s="6" t="s">
        <v>28474</v>
      </c>
      <c r="B28" s="6" t="s">
        <v>8795</v>
      </c>
      <c r="C28" s="68" t="s">
        <v>28475</v>
      </c>
      <c r="D28" s="6" t="b">
        <v>0</v>
      </c>
      <c r="E28" s="7"/>
      <c r="F28" s="7"/>
      <c r="G28" s="7"/>
      <c r="H28" s="7"/>
      <c r="I28" s="7"/>
      <c r="J28" s="7"/>
      <c r="K28" s="7"/>
      <c r="L28" s="7"/>
      <c r="M28" s="7"/>
      <c r="N28" s="7"/>
      <c r="O28" s="7"/>
      <c r="P28" s="7"/>
      <c r="Q28" s="7"/>
      <c r="R28" s="7"/>
      <c r="S28" s="7"/>
      <c r="T28" s="7"/>
      <c r="U28" s="7"/>
      <c r="V28" s="7"/>
      <c r="W28" s="7"/>
      <c r="X28" s="7"/>
    </row>
    <row r="29" ht="15.75" customHeight="1">
      <c r="A29" s="6"/>
      <c r="B29" s="6"/>
      <c r="C29" s="6"/>
      <c r="D29" s="6"/>
      <c r="E29" s="7"/>
      <c r="F29" s="7"/>
      <c r="G29" s="7"/>
      <c r="H29" s="7"/>
      <c r="I29" s="7"/>
      <c r="J29" s="7"/>
      <c r="K29" s="7"/>
      <c r="L29" s="7"/>
      <c r="M29" s="7"/>
      <c r="N29" s="7"/>
      <c r="O29" s="7"/>
      <c r="P29" s="7"/>
      <c r="Q29" s="7"/>
      <c r="R29" s="7"/>
      <c r="S29" s="7"/>
      <c r="T29" s="7"/>
      <c r="U29" s="7"/>
      <c r="V29" s="7"/>
      <c r="W29" s="7"/>
      <c r="X29" s="7"/>
    </row>
    <row r="30" ht="15.75" customHeight="1">
      <c r="A30" s="6" t="s">
        <v>28476</v>
      </c>
      <c r="B30" s="6" t="s">
        <v>8795</v>
      </c>
      <c r="C30" s="68" t="s">
        <v>28477</v>
      </c>
      <c r="D30" s="6" t="b">
        <v>0</v>
      </c>
      <c r="E30" s="7"/>
      <c r="F30" s="7"/>
      <c r="G30" s="7"/>
      <c r="H30" s="7"/>
      <c r="I30" s="7"/>
      <c r="J30" s="7"/>
      <c r="K30" s="7"/>
      <c r="L30" s="7"/>
      <c r="M30" s="7"/>
      <c r="N30" s="7"/>
      <c r="O30" s="7"/>
      <c r="P30" s="7"/>
      <c r="Q30" s="7"/>
      <c r="R30" s="7"/>
      <c r="S30" s="7"/>
      <c r="T30" s="7"/>
      <c r="U30" s="7"/>
      <c r="V30" s="7"/>
      <c r="W30" s="7"/>
      <c r="X30" s="7"/>
    </row>
    <row r="31" ht="15.75" customHeight="1">
      <c r="A31" s="6" t="s">
        <v>28478</v>
      </c>
      <c r="B31" s="6" t="s">
        <v>8795</v>
      </c>
      <c r="C31" s="68" t="s">
        <v>28479</v>
      </c>
      <c r="D31" s="6" t="b">
        <v>0</v>
      </c>
      <c r="E31" s="7"/>
      <c r="F31" s="7"/>
      <c r="G31" s="7"/>
      <c r="H31" s="7"/>
      <c r="I31" s="7"/>
      <c r="J31" s="7"/>
      <c r="K31" s="7"/>
      <c r="L31" s="7"/>
      <c r="M31" s="7"/>
      <c r="N31" s="7"/>
      <c r="O31" s="7"/>
      <c r="P31" s="7"/>
      <c r="Q31" s="7"/>
      <c r="R31" s="7"/>
      <c r="S31" s="7"/>
      <c r="T31" s="7"/>
      <c r="U31" s="7"/>
      <c r="V31" s="7"/>
      <c r="W31" s="7"/>
      <c r="X31" s="7"/>
    </row>
    <row r="32" ht="15.75" customHeight="1">
      <c r="A32" s="6" t="s">
        <v>28480</v>
      </c>
      <c r="B32" s="6" t="s">
        <v>8795</v>
      </c>
      <c r="C32" s="68" t="s">
        <v>28481</v>
      </c>
      <c r="D32" s="6" t="b">
        <v>0</v>
      </c>
      <c r="E32" s="7"/>
      <c r="F32" s="7"/>
      <c r="G32" s="7"/>
      <c r="H32" s="7"/>
      <c r="I32" s="7"/>
      <c r="J32" s="7"/>
      <c r="K32" s="7"/>
      <c r="L32" s="7"/>
      <c r="M32" s="7"/>
      <c r="N32" s="7"/>
      <c r="O32" s="7"/>
      <c r="P32" s="7"/>
      <c r="Q32" s="7"/>
      <c r="R32" s="7"/>
      <c r="S32" s="7"/>
      <c r="T32" s="7"/>
      <c r="U32" s="7"/>
      <c r="V32" s="7"/>
      <c r="W32" s="7"/>
      <c r="X32" s="7"/>
    </row>
    <row r="33" ht="15.75" customHeight="1">
      <c r="A33" s="6" t="s">
        <v>28482</v>
      </c>
      <c r="B33" s="6" t="s">
        <v>8795</v>
      </c>
      <c r="C33" s="68" t="s">
        <v>28483</v>
      </c>
      <c r="D33" s="6" t="b">
        <v>0</v>
      </c>
      <c r="E33" s="7"/>
      <c r="F33" s="7"/>
      <c r="G33" s="7"/>
      <c r="H33" s="7"/>
      <c r="I33" s="7"/>
      <c r="J33" s="7"/>
      <c r="K33" s="7"/>
      <c r="L33" s="7"/>
      <c r="M33" s="7"/>
      <c r="N33" s="7"/>
      <c r="O33" s="7"/>
      <c r="P33" s="7"/>
      <c r="Q33" s="7"/>
      <c r="R33" s="7"/>
      <c r="S33" s="7"/>
      <c r="T33" s="7"/>
      <c r="U33" s="7"/>
      <c r="V33" s="7"/>
      <c r="W33" s="7"/>
      <c r="X33" s="7"/>
    </row>
    <row r="34" ht="15.75" customHeight="1">
      <c r="A34" s="6" t="s">
        <v>28484</v>
      </c>
      <c r="B34" s="6" t="s">
        <v>8795</v>
      </c>
      <c r="C34" s="68" t="s">
        <v>28485</v>
      </c>
      <c r="D34" s="6" t="b">
        <v>0</v>
      </c>
      <c r="E34" s="7"/>
      <c r="F34" s="7"/>
      <c r="G34" s="7"/>
      <c r="H34" s="7"/>
      <c r="I34" s="7"/>
      <c r="J34" s="7"/>
      <c r="K34" s="7"/>
      <c r="L34" s="7"/>
      <c r="M34" s="7"/>
      <c r="N34" s="7"/>
      <c r="O34" s="7"/>
      <c r="P34" s="7"/>
      <c r="Q34" s="7"/>
      <c r="R34" s="7"/>
      <c r="S34" s="7"/>
      <c r="T34" s="7"/>
      <c r="U34" s="7"/>
      <c r="V34" s="7"/>
      <c r="W34" s="7"/>
      <c r="X34" s="7"/>
    </row>
    <row r="35" ht="15.75" customHeight="1">
      <c r="A35" s="41" t="s">
        <v>28486</v>
      </c>
      <c r="B35" s="6" t="s">
        <v>8795</v>
      </c>
      <c r="C35" s="68" t="s">
        <v>28487</v>
      </c>
      <c r="D35" s="6" t="b">
        <v>1</v>
      </c>
      <c r="E35" s="7"/>
      <c r="F35" s="7"/>
      <c r="G35" s="7"/>
      <c r="H35" s="7"/>
      <c r="I35" s="7"/>
      <c r="J35" s="7"/>
      <c r="K35" s="7"/>
      <c r="L35" s="7"/>
      <c r="M35" s="7"/>
      <c r="N35" s="7"/>
      <c r="O35" s="7"/>
      <c r="P35" s="7"/>
      <c r="Q35" s="7"/>
      <c r="R35" s="7"/>
      <c r="S35" s="7"/>
      <c r="T35" s="7"/>
      <c r="U35" s="7"/>
      <c r="V35" s="7"/>
      <c r="W35" s="7"/>
      <c r="X35" s="7"/>
    </row>
    <row r="36" ht="15.75" customHeight="1">
      <c r="A36" s="6" t="s">
        <v>28488</v>
      </c>
      <c r="B36" s="6" t="s">
        <v>5300</v>
      </c>
      <c r="C36" s="68" t="s">
        <v>28489</v>
      </c>
      <c r="D36" s="6" t="b">
        <v>1</v>
      </c>
      <c r="E36" s="7"/>
      <c r="F36" s="7"/>
      <c r="G36" s="7"/>
      <c r="H36" s="7"/>
      <c r="I36" s="7"/>
      <c r="J36" s="7"/>
      <c r="K36" s="7"/>
      <c r="L36" s="7"/>
      <c r="M36" s="7"/>
      <c r="N36" s="7"/>
      <c r="O36" s="7"/>
      <c r="P36" s="7"/>
      <c r="Q36" s="7"/>
      <c r="R36" s="7"/>
      <c r="S36" s="7"/>
      <c r="T36" s="7"/>
      <c r="U36" s="7"/>
      <c r="V36" s="7"/>
      <c r="W36" s="7"/>
      <c r="X36" s="7"/>
    </row>
    <row r="37" ht="15.75" customHeight="1">
      <c r="A37" s="6" t="s">
        <v>28490</v>
      </c>
      <c r="B37" s="6" t="s">
        <v>7390</v>
      </c>
      <c r="C37" s="68" t="s">
        <v>28491</v>
      </c>
      <c r="D37" s="6" t="b">
        <v>1</v>
      </c>
      <c r="E37" s="7"/>
      <c r="F37" s="7"/>
      <c r="G37" s="7"/>
      <c r="H37" s="7"/>
      <c r="I37" s="7"/>
      <c r="J37" s="7"/>
      <c r="K37" s="7"/>
      <c r="L37" s="7"/>
      <c r="M37" s="7"/>
      <c r="N37" s="7"/>
      <c r="O37" s="7"/>
      <c r="P37" s="7"/>
      <c r="Q37" s="7"/>
      <c r="R37" s="7"/>
      <c r="S37" s="7"/>
      <c r="T37" s="7"/>
      <c r="U37" s="7"/>
      <c r="V37" s="7"/>
      <c r="W37" s="7"/>
      <c r="X37" s="7"/>
    </row>
    <row r="38" ht="15.75" customHeight="1">
      <c r="A38" s="6" t="s">
        <v>28492</v>
      </c>
      <c r="B38" s="6" t="s">
        <v>8275</v>
      </c>
      <c r="C38" s="68" t="s">
        <v>28493</v>
      </c>
      <c r="D38" s="6" t="b">
        <v>1</v>
      </c>
      <c r="E38" s="7"/>
      <c r="F38" s="7"/>
      <c r="G38" s="7"/>
      <c r="H38" s="7"/>
      <c r="I38" s="7"/>
      <c r="J38" s="7"/>
      <c r="K38" s="7"/>
      <c r="L38" s="7"/>
      <c r="M38" s="7"/>
      <c r="N38" s="7"/>
      <c r="O38" s="7"/>
      <c r="P38" s="7"/>
      <c r="Q38" s="7"/>
      <c r="R38" s="7"/>
      <c r="S38" s="7"/>
      <c r="T38" s="7"/>
      <c r="U38" s="7"/>
      <c r="V38" s="7"/>
      <c r="W38" s="7"/>
      <c r="X38" s="7"/>
    </row>
    <row r="39" ht="15.75" customHeight="1">
      <c r="A39" s="6" t="s">
        <v>28494</v>
      </c>
      <c r="B39" s="6" t="s">
        <v>243</v>
      </c>
      <c r="C39" s="68" t="s">
        <v>28495</v>
      </c>
      <c r="D39" s="6" t="b">
        <v>1</v>
      </c>
      <c r="E39" s="7"/>
      <c r="F39" s="7"/>
      <c r="G39" s="7"/>
      <c r="H39" s="7"/>
      <c r="I39" s="7"/>
      <c r="J39" s="7"/>
      <c r="K39" s="7"/>
      <c r="L39" s="7"/>
      <c r="M39" s="7"/>
      <c r="N39" s="7"/>
      <c r="O39" s="7"/>
      <c r="P39" s="7"/>
      <c r="Q39" s="7"/>
      <c r="R39" s="7"/>
      <c r="S39" s="7"/>
      <c r="T39" s="7"/>
      <c r="U39" s="7"/>
      <c r="V39" s="7"/>
      <c r="W39" s="7"/>
      <c r="X39" s="7"/>
    </row>
    <row r="40" ht="15.75" customHeight="1">
      <c r="A40" s="6" t="s">
        <v>28496</v>
      </c>
      <c r="B40" s="6" t="s">
        <v>8312</v>
      </c>
      <c r="C40" s="68" t="s">
        <v>28497</v>
      </c>
      <c r="D40" s="6" t="b">
        <v>1</v>
      </c>
      <c r="E40" s="7"/>
      <c r="F40" s="6"/>
      <c r="G40" s="7"/>
      <c r="H40" s="7"/>
      <c r="I40" s="7"/>
      <c r="J40" s="7"/>
      <c r="K40" s="7"/>
      <c r="L40" s="7"/>
      <c r="M40" s="7"/>
      <c r="N40" s="7"/>
      <c r="O40" s="7"/>
      <c r="P40" s="7"/>
      <c r="Q40" s="7"/>
      <c r="R40" s="7"/>
      <c r="S40" s="7"/>
      <c r="T40" s="7"/>
      <c r="U40" s="7"/>
      <c r="V40" s="7"/>
      <c r="W40" s="7"/>
      <c r="X40" s="7"/>
    </row>
    <row r="41" ht="15.75" customHeight="1">
      <c r="A41" s="6" t="s">
        <v>28498</v>
      </c>
      <c r="B41" s="6" t="s">
        <v>4674</v>
      </c>
      <c r="C41" s="68" t="s">
        <v>28499</v>
      </c>
      <c r="D41" s="6" t="b">
        <v>1</v>
      </c>
      <c r="E41" s="7"/>
      <c r="F41" s="7"/>
      <c r="G41" s="7"/>
      <c r="H41" s="7"/>
      <c r="I41" s="7"/>
      <c r="J41" s="7"/>
      <c r="K41" s="7"/>
      <c r="L41" s="7"/>
      <c r="M41" s="7"/>
      <c r="N41" s="7"/>
      <c r="O41" s="7"/>
      <c r="P41" s="7"/>
      <c r="Q41" s="7"/>
      <c r="R41" s="7"/>
      <c r="S41" s="7"/>
      <c r="T41" s="7"/>
      <c r="U41" s="7"/>
      <c r="V41" s="7"/>
      <c r="W41" s="7"/>
      <c r="X41" s="7"/>
    </row>
    <row r="42" ht="15.75" customHeight="1">
      <c r="A42" s="6" t="s">
        <v>28500</v>
      </c>
      <c r="B42" s="6" t="s">
        <v>3945</v>
      </c>
      <c r="C42" s="68" t="s">
        <v>28501</v>
      </c>
      <c r="D42" s="6" t="b">
        <v>0</v>
      </c>
      <c r="E42" s="7"/>
      <c r="F42" s="6"/>
      <c r="G42" s="7"/>
      <c r="H42" s="7"/>
      <c r="I42" s="7"/>
      <c r="J42" s="7"/>
      <c r="K42" s="7"/>
      <c r="L42" s="7"/>
      <c r="M42" s="7"/>
      <c r="N42" s="7"/>
      <c r="O42" s="7"/>
      <c r="P42" s="7"/>
      <c r="Q42" s="7"/>
      <c r="R42" s="7"/>
      <c r="S42" s="7"/>
      <c r="T42" s="7"/>
      <c r="U42" s="7"/>
      <c r="V42" s="7"/>
      <c r="W42" s="7"/>
      <c r="X42" s="7"/>
    </row>
    <row r="43" ht="15.75" customHeight="1">
      <c r="A43" s="6" t="s">
        <v>28502</v>
      </c>
      <c r="B43" s="6" t="s">
        <v>3945</v>
      </c>
      <c r="C43" s="68" t="s">
        <v>28503</v>
      </c>
      <c r="D43" s="6" t="b">
        <v>1</v>
      </c>
      <c r="E43" s="7"/>
      <c r="F43" s="6"/>
      <c r="G43" s="7"/>
      <c r="H43" s="7"/>
      <c r="I43" s="7"/>
      <c r="J43" s="7"/>
      <c r="K43" s="7"/>
      <c r="L43" s="7"/>
      <c r="M43" s="7"/>
      <c r="N43" s="7"/>
      <c r="O43" s="7"/>
      <c r="P43" s="7"/>
      <c r="Q43" s="7"/>
      <c r="R43" s="7"/>
      <c r="S43" s="7"/>
      <c r="T43" s="7"/>
      <c r="U43" s="7"/>
      <c r="V43" s="7"/>
      <c r="W43" s="7"/>
      <c r="X43" s="7"/>
    </row>
    <row r="44" ht="15.75" customHeight="1">
      <c r="A44" s="6" t="s">
        <v>28504</v>
      </c>
      <c r="B44" s="6" t="s">
        <v>8779</v>
      </c>
      <c r="C44" s="68" t="s">
        <v>28505</v>
      </c>
      <c r="D44" s="6" t="b">
        <v>0</v>
      </c>
      <c r="E44" s="7"/>
      <c r="F44" s="7"/>
      <c r="G44" s="7"/>
      <c r="H44" s="7"/>
      <c r="I44" s="7"/>
      <c r="J44" s="7"/>
      <c r="K44" s="7"/>
      <c r="L44" s="7"/>
      <c r="M44" s="7"/>
      <c r="N44" s="7"/>
      <c r="O44" s="7"/>
      <c r="P44" s="7"/>
      <c r="Q44" s="7"/>
      <c r="R44" s="7"/>
      <c r="S44" s="7"/>
      <c r="T44" s="7"/>
      <c r="U44" s="7"/>
      <c r="V44" s="7"/>
      <c r="W44" s="7"/>
      <c r="X44" s="7"/>
    </row>
    <row r="45" ht="15.75" customHeight="1">
      <c r="A45" s="6" t="s">
        <v>28506</v>
      </c>
      <c r="B45" s="6" t="s">
        <v>8779</v>
      </c>
      <c r="C45" s="68" t="s">
        <v>28507</v>
      </c>
      <c r="D45" s="6" t="b">
        <v>0</v>
      </c>
      <c r="E45" s="7"/>
      <c r="F45" s="7"/>
      <c r="G45" s="7"/>
      <c r="H45" s="7"/>
      <c r="I45" s="7"/>
      <c r="J45" s="7"/>
      <c r="K45" s="7"/>
      <c r="L45" s="7"/>
      <c r="M45" s="7"/>
      <c r="N45" s="7"/>
      <c r="O45" s="7"/>
      <c r="P45" s="7"/>
      <c r="Q45" s="7"/>
      <c r="R45" s="7"/>
      <c r="S45" s="7"/>
      <c r="T45" s="7"/>
      <c r="U45" s="7"/>
      <c r="V45" s="7"/>
      <c r="W45" s="7"/>
      <c r="X45" s="7"/>
    </row>
    <row r="46" ht="15.75" customHeight="1">
      <c r="A46" s="6"/>
      <c r="B46" s="6"/>
      <c r="C46" s="6"/>
      <c r="D46" s="6"/>
      <c r="E46" s="7"/>
      <c r="F46" s="7"/>
      <c r="G46" s="7"/>
      <c r="H46" s="7"/>
      <c r="I46" s="7"/>
      <c r="J46" s="7"/>
      <c r="K46" s="7"/>
      <c r="L46" s="7"/>
      <c r="M46" s="7"/>
      <c r="N46" s="7"/>
      <c r="O46" s="7"/>
      <c r="P46" s="7"/>
      <c r="Q46" s="7"/>
      <c r="R46" s="7"/>
      <c r="S46" s="7"/>
      <c r="T46" s="7"/>
      <c r="U46" s="7"/>
      <c r="V46" s="7"/>
      <c r="W46" s="7"/>
      <c r="X46" s="7"/>
    </row>
    <row r="47" ht="15.75" customHeight="1">
      <c r="A47" s="6"/>
      <c r="B47" s="6"/>
      <c r="C47" s="6"/>
      <c r="D47" s="6"/>
      <c r="E47" s="7"/>
      <c r="F47" s="7"/>
      <c r="G47" s="7"/>
      <c r="H47" s="7"/>
      <c r="I47" s="7"/>
      <c r="J47" s="7"/>
      <c r="K47" s="7"/>
      <c r="L47" s="7"/>
      <c r="M47" s="7"/>
      <c r="N47" s="7"/>
      <c r="O47" s="7"/>
      <c r="P47" s="7"/>
      <c r="Q47" s="7"/>
      <c r="R47" s="7"/>
      <c r="S47" s="7"/>
      <c r="T47" s="7"/>
      <c r="U47" s="7"/>
      <c r="V47" s="7"/>
      <c r="W47" s="7"/>
      <c r="X47" s="7"/>
    </row>
    <row r="48" ht="15.75" customHeight="1">
      <c r="A48" s="6" t="s">
        <v>28508</v>
      </c>
      <c r="B48" s="6" t="s">
        <v>8468</v>
      </c>
      <c r="C48" s="68" t="s">
        <v>28509</v>
      </c>
      <c r="D48" s="6" t="b">
        <v>0</v>
      </c>
      <c r="E48" s="7"/>
      <c r="F48" s="6"/>
      <c r="G48" s="7"/>
      <c r="H48" s="7"/>
      <c r="I48" s="7"/>
      <c r="J48" s="7"/>
      <c r="K48" s="7"/>
      <c r="L48" s="7"/>
      <c r="M48" s="7"/>
      <c r="N48" s="7"/>
      <c r="O48" s="7"/>
      <c r="P48" s="7"/>
      <c r="Q48" s="7"/>
      <c r="R48" s="7"/>
      <c r="S48" s="7"/>
      <c r="T48" s="7"/>
      <c r="U48" s="7"/>
      <c r="V48" s="7"/>
      <c r="W48" s="7"/>
      <c r="X48" s="7"/>
    </row>
    <row r="49" ht="15.75" customHeight="1">
      <c r="A49" s="6" t="s">
        <v>28510</v>
      </c>
      <c r="B49" s="6" t="s">
        <v>8488</v>
      </c>
      <c r="C49" s="68" t="s">
        <v>28511</v>
      </c>
      <c r="D49" s="6" t="b">
        <v>1</v>
      </c>
      <c r="E49" s="7"/>
      <c r="F49" s="7"/>
      <c r="G49" s="7"/>
      <c r="H49" s="7"/>
      <c r="I49" s="7"/>
      <c r="J49" s="7"/>
      <c r="K49" s="7"/>
      <c r="L49" s="7"/>
      <c r="M49" s="7"/>
      <c r="N49" s="7"/>
      <c r="O49" s="7"/>
      <c r="P49" s="7"/>
      <c r="Q49" s="7"/>
      <c r="R49" s="7"/>
      <c r="S49" s="7"/>
      <c r="T49" s="7"/>
      <c r="U49" s="7"/>
      <c r="V49" s="7"/>
      <c r="W49" s="7"/>
      <c r="X49" s="7"/>
    </row>
    <row r="50" ht="15.75" customHeight="1">
      <c r="A50" s="6" t="s">
        <v>28512</v>
      </c>
      <c r="B50" s="6" t="s">
        <v>267</v>
      </c>
      <c r="C50" s="118" t="s">
        <v>28513</v>
      </c>
      <c r="D50" s="6" t="b">
        <v>0</v>
      </c>
      <c r="E50" s="7"/>
      <c r="F50" s="7"/>
      <c r="G50" s="7"/>
      <c r="H50" s="7"/>
      <c r="I50" s="7"/>
      <c r="J50" s="7"/>
      <c r="K50" s="7"/>
      <c r="L50" s="7"/>
      <c r="M50" s="7"/>
      <c r="N50" s="7"/>
      <c r="O50" s="7"/>
      <c r="P50" s="7"/>
      <c r="Q50" s="7"/>
      <c r="R50" s="7"/>
      <c r="S50" s="7"/>
      <c r="T50" s="7"/>
      <c r="U50" s="7"/>
      <c r="V50" s="7"/>
      <c r="W50" s="7"/>
      <c r="X50" s="7"/>
    </row>
    <row r="51" ht="15.75" customHeight="1">
      <c r="A51" s="6" t="s">
        <v>28514</v>
      </c>
      <c r="B51" s="6" t="s">
        <v>4176</v>
      </c>
      <c r="C51" s="68" t="s">
        <v>28515</v>
      </c>
      <c r="D51" s="6" t="b">
        <v>1</v>
      </c>
      <c r="E51" s="7"/>
      <c r="F51" s="6"/>
      <c r="G51" s="7"/>
      <c r="H51" s="7"/>
      <c r="I51" s="7"/>
      <c r="J51" s="7"/>
      <c r="K51" s="7"/>
      <c r="L51" s="7"/>
      <c r="M51" s="7"/>
      <c r="N51" s="7"/>
      <c r="O51" s="7"/>
      <c r="P51" s="7"/>
      <c r="Q51" s="7"/>
      <c r="R51" s="7"/>
      <c r="S51" s="7"/>
      <c r="T51" s="7"/>
      <c r="U51" s="7"/>
      <c r="V51" s="7"/>
      <c r="W51" s="7"/>
      <c r="X51" s="7"/>
    </row>
    <row r="52" ht="15.75" customHeight="1">
      <c r="A52" s="6" t="s">
        <v>28516</v>
      </c>
      <c r="B52" s="6" t="s">
        <v>4176</v>
      </c>
      <c r="C52" s="68" t="s">
        <v>28517</v>
      </c>
      <c r="D52" s="6" t="b">
        <v>0</v>
      </c>
      <c r="E52" s="7"/>
      <c r="F52" s="6"/>
      <c r="G52" s="7"/>
      <c r="H52" s="7"/>
      <c r="I52" s="7"/>
      <c r="J52" s="7"/>
      <c r="K52" s="7"/>
      <c r="L52" s="7"/>
      <c r="M52" s="7"/>
      <c r="N52" s="7"/>
      <c r="O52" s="7"/>
      <c r="P52" s="7"/>
      <c r="Q52" s="7"/>
      <c r="R52" s="7"/>
      <c r="S52" s="7"/>
      <c r="T52" s="7"/>
      <c r="U52" s="7"/>
      <c r="V52" s="7"/>
      <c r="W52" s="7"/>
      <c r="X52" s="7"/>
    </row>
    <row r="53" ht="15.75" customHeight="1">
      <c r="A53" s="6"/>
      <c r="B53" s="6"/>
      <c r="C53" s="6"/>
      <c r="D53" s="6"/>
      <c r="E53" s="7"/>
      <c r="F53" s="7"/>
      <c r="G53" s="7"/>
      <c r="H53" s="7"/>
      <c r="I53" s="7"/>
      <c r="J53" s="7"/>
      <c r="K53" s="7"/>
      <c r="L53" s="7"/>
      <c r="M53" s="7"/>
      <c r="N53" s="7"/>
      <c r="O53" s="7"/>
      <c r="P53" s="7"/>
      <c r="Q53" s="7"/>
      <c r="R53" s="7"/>
      <c r="S53" s="7"/>
      <c r="T53" s="7"/>
      <c r="U53" s="7"/>
      <c r="V53" s="7"/>
      <c r="W53" s="7"/>
      <c r="X53" s="7"/>
    </row>
    <row r="54" ht="15.75" customHeight="1">
      <c r="A54" s="6"/>
      <c r="B54" s="6"/>
      <c r="C54" s="6"/>
      <c r="D54" s="6"/>
      <c r="E54" s="7"/>
      <c r="F54" s="7"/>
      <c r="G54" s="7"/>
      <c r="H54" s="7"/>
      <c r="I54" s="7"/>
      <c r="J54" s="7"/>
      <c r="K54" s="7"/>
      <c r="L54" s="7"/>
      <c r="M54" s="7"/>
      <c r="N54" s="7"/>
      <c r="O54" s="7"/>
      <c r="P54" s="7"/>
      <c r="Q54" s="7"/>
      <c r="R54" s="7"/>
      <c r="S54" s="7"/>
      <c r="T54" s="7"/>
      <c r="U54" s="7"/>
      <c r="V54" s="7"/>
      <c r="W54" s="7"/>
      <c r="X54" s="7"/>
    </row>
    <row r="55" ht="15.75" customHeight="1">
      <c r="A55" s="6"/>
      <c r="B55" s="6"/>
      <c r="C55" s="6"/>
      <c r="D55" s="6"/>
      <c r="E55" s="7"/>
      <c r="F55" s="7"/>
      <c r="G55" s="7"/>
      <c r="H55" s="7"/>
      <c r="I55" s="7"/>
      <c r="J55" s="7"/>
      <c r="K55" s="7"/>
      <c r="L55" s="7"/>
      <c r="M55" s="7"/>
      <c r="N55" s="7"/>
      <c r="O55" s="7"/>
      <c r="P55" s="7"/>
      <c r="Q55" s="7"/>
      <c r="R55" s="7"/>
      <c r="S55" s="7"/>
      <c r="T55" s="7"/>
      <c r="U55" s="7"/>
      <c r="V55" s="7"/>
      <c r="W55" s="7"/>
      <c r="X55" s="7"/>
    </row>
    <row r="56" ht="15.75" customHeight="1">
      <c r="A56" s="6"/>
      <c r="B56" s="6"/>
      <c r="C56" s="6"/>
      <c r="D56" s="6"/>
      <c r="E56" s="7"/>
      <c r="F56" s="7"/>
      <c r="G56" s="7"/>
      <c r="H56" s="7"/>
      <c r="I56" s="7"/>
      <c r="J56" s="7"/>
      <c r="K56" s="7"/>
      <c r="L56" s="7"/>
      <c r="M56" s="7"/>
      <c r="N56" s="7"/>
      <c r="O56" s="7"/>
      <c r="P56" s="7"/>
      <c r="Q56" s="7"/>
      <c r="R56" s="7"/>
      <c r="S56" s="7"/>
      <c r="T56" s="7"/>
      <c r="U56" s="7"/>
      <c r="V56" s="7"/>
      <c r="W56" s="7"/>
      <c r="X56" s="7"/>
    </row>
    <row r="57" ht="15.75" customHeight="1">
      <c r="A57" s="6"/>
      <c r="B57" s="6"/>
      <c r="C57" s="6"/>
      <c r="D57" s="6"/>
      <c r="E57" s="7"/>
      <c r="F57" s="7"/>
      <c r="G57" s="7"/>
      <c r="H57" s="7"/>
      <c r="I57" s="7"/>
      <c r="J57" s="7"/>
      <c r="K57" s="7"/>
      <c r="L57" s="7"/>
      <c r="M57" s="7"/>
      <c r="N57" s="7"/>
      <c r="O57" s="7"/>
      <c r="P57" s="7"/>
      <c r="Q57" s="7"/>
      <c r="R57" s="7"/>
      <c r="S57" s="7"/>
      <c r="T57" s="7"/>
      <c r="U57" s="7"/>
      <c r="V57" s="7"/>
      <c r="W57" s="7"/>
      <c r="X57" s="7"/>
    </row>
    <row r="58" ht="15.75" customHeight="1">
      <c r="A58" s="6"/>
      <c r="B58" s="6"/>
      <c r="C58" s="6"/>
      <c r="D58" s="6"/>
      <c r="E58" s="7"/>
      <c r="F58" s="7"/>
      <c r="G58" s="7"/>
      <c r="H58" s="7"/>
      <c r="I58" s="7"/>
      <c r="J58" s="7"/>
      <c r="K58" s="7"/>
      <c r="L58" s="7"/>
      <c r="M58" s="7"/>
      <c r="N58" s="7"/>
      <c r="O58" s="7"/>
      <c r="P58" s="7"/>
      <c r="Q58" s="7"/>
      <c r="R58" s="7"/>
      <c r="S58" s="7"/>
      <c r="T58" s="7"/>
      <c r="U58" s="7"/>
      <c r="V58" s="7"/>
      <c r="W58" s="7"/>
      <c r="X58" s="7"/>
    </row>
    <row r="59" ht="15.75" customHeight="1">
      <c r="A59" s="6" t="s">
        <v>28518</v>
      </c>
      <c r="B59" s="6" t="s">
        <v>8011</v>
      </c>
      <c r="C59" s="68" t="s">
        <v>28519</v>
      </c>
      <c r="D59" s="6" t="b">
        <v>1</v>
      </c>
      <c r="E59" s="7"/>
      <c r="F59" s="6"/>
      <c r="G59" s="7"/>
      <c r="H59" s="7"/>
      <c r="I59" s="7"/>
      <c r="J59" s="7"/>
      <c r="K59" s="7"/>
      <c r="L59" s="7"/>
      <c r="M59" s="7"/>
      <c r="N59" s="7"/>
      <c r="O59" s="7"/>
      <c r="P59" s="7"/>
      <c r="Q59" s="7"/>
      <c r="R59" s="7"/>
      <c r="S59" s="7"/>
      <c r="T59" s="7"/>
      <c r="U59" s="7"/>
      <c r="V59" s="7"/>
      <c r="W59" s="7"/>
      <c r="X59" s="7"/>
    </row>
    <row r="60" ht="15.75" customHeight="1">
      <c r="A60" s="6" t="s">
        <v>28520</v>
      </c>
      <c r="B60" s="6" t="s">
        <v>8011</v>
      </c>
      <c r="C60" s="68" t="s">
        <v>28521</v>
      </c>
      <c r="D60" s="6" t="b">
        <v>0</v>
      </c>
      <c r="E60" s="7"/>
      <c r="F60" s="6"/>
      <c r="G60" s="7"/>
      <c r="H60" s="7"/>
      <c r="I60" s="7"/>
      <c r="J60" s="7"/>
      <c r="K60" s="7"/>
      <c r="L60" s="7"/>
      <c r="M60" s="7"/>
      <c r="N60" s="7"/>
      <c r="O60" s="7"/>
      <c r="P60" s="7"/>
      <c r="Q60" s="7"/>
      <c r="R60" s="7"/>
      <c r="S60" s="7"/>
      <c r="T60" s="7"/>
      <c r="U60" s="7"/>
      <c r="V60" s="7"/>
      <c r="W60" s="7"/>
      <c r="X60" s="7"/>
    </row>
    <row r="61" ht="15.75" customHeight="1">
      <c r="A61" s="6" t="s">
        <v>28522</v>
      </c>
      <c r="B61" s="6" t="s">
        <v>8011</v>
      </c>
      <c r="C61" s="68" t="s">
        <v>28523</v>
      </c>
      <c r="D61" s="6" t="b">
        <v>0</v>
      </c>
      <c r="E61" s="7"/>
      <c r="F61" s="6"/>
      <c r="G61" s="7"/>
      <c r="H61" s="7"/>
      <c r="I61" s="7"/>
      <c r="J61" s="7"/>
      <c r="K61" s="7"/>
      <c r="L61" s="7"/>
      <c r="M61" s="7"/>
      <c r="N61" s="7"/>
      <c r="O61" s="7"/>
      <c r="P61" s="7"/>
      <c r="Q61" s="7"/>
      <c r="R61" s="7"/>
      <c r="S61" s="7"/>
      <c r="T61" s="7"/>
      <c r="U61" s="7"/>
      <c r="V61" s="7"/>
      <c r="W61" s="7"/>
      <c r="X61" s="7"/>
    </row>
    <row r="62" ht="15.75" customHeight="1">
      <c r="A62" s="6" t="s">
        <v>28524</v>
      </c>
      <c r="B62" s="6" t="s">
        <v>3368</v>
      </c>
      <c r="C62" s="68" t="s">
        <v>28525</v>
      </c>
      <c r="D62" s="6" t="b">
        <v>0</v>
      </c>
      <c r="E62" s="7"/>
      <c r="F62" s="6"/>
      <c r="G62" s="7"/>
      <c r="H62" s="7"/>
      <c r="I62" s="7"/>
      <c r="J62" s="7"/>
      <c r="K62" s="7"/>
      <c r="L62" s="7"/>
      <c r="M62" s="7"/>
      <c r="N62" s="7"/>
      <c r="O62" s="7"/>
      <c r="P62" s="7"/>
      <c r="Q62" s="7"/>
      <c r="R62" s="7"/>
      <c r="S62" s="7"/>
      <c r="T62" s="7"/>
      <c r="U62" s="7"/>
      <c r="V62" s="7"/>
      <c r="W62" s="7"/>
      <c r="X62" s="7"/>
    </row>
    <row r="63" ht="15.75" customHeight="1">
      <c r="A63" s="6" t="s">
        <v>28526</v>
      </c>
      <c r="B63" s="6" t="s">
        <v>3368</v>
      </c>
      <c r="C63" s="68" t="s">
        <v>28527</v>
      </c>
      <c r="D63" s="6" t="b">
        <v>1</v>
      </c>
      <c r="E63" s="7"/>
      <c r="F63" s="6"/>
      <c r="G63" s="7"/>
      <c r="H63" s="7"/>
      <c r="I63" s="7"/>
      <c r="J63" s="7"/>
      <c r="K63" s="7"/>
      <c r="L63" s="7"/>
      <c r="M63" s="7"/>
      <c r="N63" s="7"/>
      <c r="O63" s="7"/>
      <c r="P63" s="7"/>
      <c r="Q63" s="7"/>
      <c r="R63" s="7"/>
      <c r="S63" s="7"/>
      <c r="T63" s="7"/>
      <c r="U63" s="7"/>
      <c r="V63" s="7"/>
      <c r="W63" s="7"/>
      <c r="X63" s="7"/>
    </row>
    <row r="64" ht="15.75" customHeight="1">
      <c r="A64" s="6" t="s">
        <v>28528</v>
      </c>
      <c r="B64" s="6" t="s">
        <v>8644</v>
      </c>
      <c r="C64" s="68" t="s">
        <v>28529</v>
      </c>
      <c r="D64" s="6" t="b">
        <v>1</v>
      </c>
      <c r="E64" s="7"/>
      <c r="F64" s="7"/>
      <c r="G64" s="7"/>
      <c r="H64" s="7"/>
      <c r="I64" s="7"/>
      <c r="J64" s="7"/>
      <c r="K64" s="7"/>
      <c r="L64" s="7"/>
      <c r="M64" s="7"/>
      <c r="N64" s="7"/>
      <c r="O64" s="7"/>
      <c r="P64" s="7"/>
      <c r="Q64" s="7"/>
      <c r="R64" s="7"/>
      <c r="S64" s="7"/>
      <c r="T64" s="7"/>
      <c r="U64" s="7"/>
      <c r="V64" s="7"/>
      <c r="W64" s="7"/>
      <c r="X64" s="7"/>
    </row>
    <row r="65" ht="15.75" customHeight="1">
      <c r="A65" s="6" t="s">
        <v>28530</v>
      </c>
      <c r="B65" s="6" t="s">
        <v>8644</v>
      </c>
      <c r="C65" s="68" t="s">
        <v>28531</v>
      </c>
      <c r="D65" s="6" t="b">
        <v>0</v>
      </c>
      <c r="E65" s="7"/>
      <c r="F65" s="7"/>
      <c r="G65" s="7"/>
      <c r="H65" s="7"/>
      <c r="I65" s="7"/>
      <c r="J65" s="7"/>
      <c r="K65" s="7"/>
      <c r="L65" s="7"/>
      <c r="M65" s="7"/>
      <c r="N65" s="7"/>
      <c r="O65" s="7"/>
      <c r="P65" s="7"/>
      <c r="Q65" s="7"/>
      <c r="R65" s="7"/>
      <c r="S65" s="7"/>
      <c r="T65" s="7"/>
      <c r="U65" s="7"/>
      <c r="V65" s="7"/>
      <c r="W65" s="7"/>
      <c r="X65" s="7"/>
    </row>
    <row r="66" ht="15.75" customHeight="1">
      <c r="A66" s="6" t="s">
        <v>28532</v>
      </c>
      <c r="B66" s="6" t="s">
        <v>8644</v>
      </c>
      <c r="C66" s="68" t="s">
        <v>28533</v>
      </c>
      <c r="D66" s="6" t="b">
        <v>0</v>
      </c>
      <c r="E66" s="7"/>
      <c r="F66" s="7"/>
      <c r="G66" s="7"/>
      <c r="H66" s="7"/>
      <c r="I66" s="7"/>
      <c r="J66" s="7"/>
      <c r="K66" s="7"/>
      <c r="L66" s="7"/>
      <c r="M66" s="7"/>
      <c r="N66" s="7"/>
      <c r="O66" s="7"/>
      <c r="P66" s="7"/>
      <c r="Q66" s="7"/>
      <c r="R66" s="7"/>
      <c r="S66" s="7"/>
      <c r="T66" s="7"/>
      <c r="U66" s="7"/>
      <c r="V66" s="7"/>
      <c r="W66" s="7"/>
      <c r="X66" s="7"/>
    </row>
    <row r="67" ht="15.75" customHeight="1">
      <c r="A67" s="6" t="s">
        <v>28534</v>
      </c>
      <c r="B67" s="6" t="s">
        <v>8644</v>
      </c>
      <c r="C67" s="68" t="s">
        <v>28535</v>
      </c>
      <c r="D67" s="6" t="b">
        <v>0</v>
      </c>
      <c r="E67" s="7"/>
      <c r="F67" s="7"/>
      <c r="G67" s="7"/>
      <c r="H67" s="7"/>
      <c r="I67" s="7"/>
      <c r="J67" s="7"/>
      <c r="K67" s="7"/>
      <c r="L67" s="7"/>
      <c r="M67" s="7"/>
      <c r="N67" s="7"/>
      <c r="O67" s="7"/>
      <c r="P67" s="7"/>
      <c r="Q67" s="7"/>
      <c r="R67" s="7"/>
      <c r="S67" s="7"/>
      <c r="T67" s="7"/>
      <c r="U67" s="7"/>
      <c r="V67" s="7"/>
      <c r="W67" s="7"/>
      <c r="X67" s="7"/>
    </row>
    <row r="68" ht="15.75" customHeight="1">
      <c r="A68" s="6" t="s">
        <v>28536</v>
      </c>
      <c r="B68" s="6" t="s">
        <v>8644</v>
      </c>
      <c r="C68" s="68" t="s">
        <v>28537</v>
      </c>
      <c r="D68" s="6" t="b">
        <v>0</v>
      </c>
      <c r="E68" s="7"/>
      <c r="F68" s="7"/>
      <c r="G68" s="7"/>
      <c r="H68" s="7"/>
      <c r="I68" s="7"/>
      <c r="J68" s="7"/>
      <c r="K68" s="7"/>
      <c r="L68" s="7"/>
      <c r="M68" s="7"/>
      <c r="N68" s="7"/>
      <c r="O68" s="7"/>
      <c r="P68" s="7"/>
      <c r="Q68" s="7"/>
      <c r="R68" s="7"/>
      <c r="S68" s="7"/>
      <c r="T68" s="7"/>
      <c r="U68" s="7"/>
      <c r="V68" s="7"/>
      <c r="W68" s="7"/>
      <c r="X68" s="7"/>
    </row>
    <row r="69" ht="15.75" customHeight="1">
      <c r="A69" s="6" t="s">
        <v>28538</v>
      </c>
      <c r="B69" s="6" t="s">
        <v>8644</v>
      </c>
      <c r="C69" s="68" t="s">
        <v>28539</v>
      </c>
      <c r="D69" s="6" t="b">
        <v>0</v>
      </c>
      <c r="E69" s="7"/>
      <c r="F69" s="7"/>
      <c r="G69" s="7"/>
      <c r="H69" s="7"/>
      <c r="I69" s="7"/>
      <c r="J69" s="7"/>
      <c r="K69" s="7"/>
      <c r="L69" s="7"/>
      <c r="M69" s="7"/>
      <c r="N69" s="7"/>
      <c r="O69" s="7"/>
      <c r="P69" s="7"/>
      <c r="Q69" s="7"/>
      <c r="R69" s="7"/>
      <c r="S69" s="7"/>
      <c r="T69" s="7"/>
      <c r="U69" s="7"/>
      <c r="V69" s="7"/>
      <c r="W69" s="7"/>
      <c r="X69" s="7"/>
    </row>
    <row r="70" ht="15.75" customHeight="1">
      <c r="A70" s="6" t="s">
        <v>28540</v>
      </c>
      <c r="B70" s="6" t="s">
        <v>8644</v>
      </c>
      <c r="C70" s="68" t="s">
        <v>28541</v>
      </c>
      <c r="D70" s="6" t="b">
        <v>0</v>
      </c>
      <c r="E70" s="7"/>
      <c r="F70" s="7"/>
      <c r="G70" s="7"/>
      <c r="H70" s="7"/>
      <c r="I70" s="7"/>
      <c r="J70" s="7"/>
      <c r="K70" s="7"/>
      <c r="L70" s="7"/>
      <c r="M70" s="7"/>
      <c r="N70" s="7"/>
      <c r="O70" s="7"/>
      <c r="P70" s="7"/>
      <c r="Q70" s="7"/>
      <c r="R70" s="7"/>
      <c r="S70" s="7"/>
      <c r="T70" s="7"/>
      <c r="U70" s="7"/>
      <c r="V70" s="7"/>
      <c r="W70" s="7"/>
      <c r="X70" s="7"/>
    </row>
    <row r="71" ht="15.75" customHeight="1">
      <c r="A71" s="6" t="s">
        <v>28542</v>
      </c>
      <c r="B71" s="6" t="s">
        <v>8644</v>
      </c>
      <c r="C71" s="68" t="s">
        <v>28543</v>
      </c>
      <c r="D71" s="6" t="b">
        <v>0</v>
      </c>
      <c r="E71" s="7"/>
      <c r="F71" s="7"/>
      <c r="G71" s="7"/>
      <c r="H71" s="7"/>
      <c r="I71" s="7"/>
      <c r="J71" s="7"/>
      <c r="K71" s="7"/>
      <c r="L71" s="7"/>
      <c r="M71" s="7"/>
      <c r="N71" s="7"/>
      <c r="O71" s="7"/>
      <c r="P71" s="7"/>
      <c r="Q71" s="7"/>
      <c r="R71" s="7"/>
      <c r="S71" s="7"/>
      <c r="T71" s="7"/>
      <c r="U71" s="7"/>
      <c r="V71" s="7"/>
      <c r="W71" s="7"/>
      <c r="X71" s="7"/>
    </row>
    <row r="72" ht="15.75" customHeight="1">
      <c r="A72" s="6" t="s">
        <v>28544</v>
      </c>
      <c r="B72" s="6" t="s">
        <v>3497</v>
      </c>
      <c r="C72" s="68" t="s">
        <v>28545</v>
      </c>
      <c r="D72" s="6" t="b">
        <v>0</v>
      </c>
      <c r="E72" s="7"/>
      <c r="F72" s="7"/>
      <c r="G72" s="7"/>
      <c r="H72" s="7"/>
      <c r="I72" s="7"/>
      <c r="J72" s="7"/>
      <c r="K72" s="7"/>
      <c r="L72" s="7"/>
      <c r="M72" s="7"/>
      <c r="N72" s="7"/>
      <c r="O72" s="7"/>
      <c r="P72" s="7"/>
      <c r="Q72" s="7"/>
      <c r="R72" s="7"/>
      <c r="S72" s="7"/>
      <c r="T72" s="7"/>
      <c r="U72" s="7"/>
      <c r="V72" s="7"/>
      <c r="W72" s="7"/>
      <c r="X72" s="7"/>
    </row>
    <row r="73" ht="15.75" customHeight="1">
      <c r="A73" s="6" t="s">
        <v>28546</v>
      </c>
      <c r="B73" s="6" t="s">
        <v>3497</v>
      </c>
      <c r="C73" s="68" t="s">
        <v>28547</v>
      </c>
      <c r="D73" s="6" t="b">
        <v>0</v>
      </c>
      <c r="E73" s="7"/>
      <c r="F73" s="7"/>
      <c r="G73" s="7"/>
      <c r="H73" s="7"/>
      <c r="I73" s="7"/>
      <c r="J73" s="7"/>
      <c r="K73" s="7"/>
      <c r="L73" s="7"/>
      <c r="M73" s="7"/>
      <c r="N73" s="7"/>
      <c r="O73" s="7"/>
      <c r="P73" s="7"/>
      <c r="Q73" s="7"/>
      <c r="R73" s="7"/>
      <c r="S73" s="7"/>
      <c r="T73" s="7"/>
      <c r="U73" s="7"/>
      <c r="V73" s="7"/>
      <c r="W73" s="7"/>
      <c r="X73" s="7"/>
    </row>
    <row r="74" ht="15.75" customHeight="1">
      <c r="A74" s="6"/>
      <c r="B74" s="6"/>
      <c r="C74" s="6"/>
      <c r="D74" s="6"/>
      <c r="E74" s="7"/>
      <c r="F74" s="7"/>
      <c r="G74" s="7"/>
      <c r="H74" s="7"/>
      <c r="I74" s="7"/>
      <c r="J74" s="7"/>
      <c r="K74" s="7"/>
      <c r="L74" s="7"/>
      <c r="M74" s="7"/>
      <c r="N74" s="7"/>
      <c r="O74" s="7"/>
      <c r="P74" s="7"/>
      <c r="Q74" s="7"/>
      <c r="R74" s="7"/>
      <c r="S74" s="7"/>
      <c r="T74" s="7"/>
      <c r="U74" s="7"/>
      <c r="V74" s="7"/>
      <c r="W74" s="7"/>
      <c r="X74" s="7"/>
    </row>
    <row r="75" ht="15.75" customHeight="1">
      <c r="A75" s="6" t="s">
        <v>28548</v>
      </c>
      <c r="B75" s="6" t="s">
        <v>3497</v>
      </c>
      <c r="C75" s="68" t="s">
        <v>28549</v>
      </c>
      <c r="D75" s="6" t="b">
        <v>0</v>
      </c>
      <c r="E75" s="7"/>
      <c r="F75" s="7"/>
      <c r="G75" s="7"/>
      <c r="H75" s="7"/>
      <c r="I75" s="7"/>
      <c r="J75" s="7"/>
      <c r="K75" s="7"/>
      <c r="L75" s="7"/>
      <c r="M75" s="7"/>
      <c r="N75" s="7"/>
      <c r="O75" s="7"/>
      <c r="P75" s="7"/>
      <c r="Q75" s="7"/>
      <c r="R75" s="7"/>
      <c r="S75" s="7"/>
      <c r="T75" s="7"/>
      <c r="U75" s="7"/>
      <c r="V75" s="7"/>
      <c r="W75" s="7"/>
      <c r="X75" s="7"/>
    </row>
    <row r="76" ht="15.75" customHeight="1">
      <c r="A76" s="6"/>
      <c r="B76" s="6"/>
      <c r="C76" s="6"/>
      <c r="D76" s="6"/>
      <c r="E76" s="7"/>
      <c r="F76" s="7"/>
      <c r="G76" s="7"/>
      <c r="H76" s="7"/>
      <c r="I76" s="7"/>
      <c r="J76" s="7"/>
      <c r="K76" s="7"/>
      <c r="L76" s="7"/>
      <c r="M76" s="7"/>
      <c r="N76" s="7"/>
      <c r="O76" s="7"/>
      <c r="P76" s="7"/>
      <c r="Q76" s="7"/>
      <c r="R76" s="7"/>
      <c r="S76" s="7"/>
      <c r="T76" s="7"/>
      <c r="U76" s="7"/>
      <c r="V76" s="7"/>
      <c r="W76" s="7"/>
      <c r="X76" s="7"/>
    </row>
    <row r="77" ht="15.75" customHeight="1">
      <c r="A77" s="6" t="s">
        <v>28550</v>
      </c>
      <c r="B77" s="6" t="s">
        <v>3497</v>
      </c>
      <c r="C77" s="68" t="s">
        <v>28551</v>
      </c>
      <c r="D77" s="6" t="b">
        <v>0</v>
      </c>
      <c r="E77" s="7"/>
      <c r="F77" s="7"/>
      <c r="G77" s="7"/>
      <c r="H77" s="7"/>
      <c r="I77" s="7"/>
      <c r="J77" s="7"/>
      <c r="K77" s="7"/>
      <c r="L77" s="7"/>
      <c r="M77" s="7"/>
      <c r="N77" s="7"/>
      <c r="O77" s="7"/>
      <c r="P77" s="7"/>
      <c r="Q77" s="7"/>
      <c r="R77" s="7"/>
      <c r="S77" s="7"/>
      <c r="T77" s="7"/>
      <c r="U77" s="7"/>
      <c r="V77" s="7"/>
      <c r="W77" s="7"/>
      <c r="X77" s="7"/>
    </row>
    <row r="78" ht="15.75" customHeight="1">
      <c r="A78" s="6" t="s">
        <v>28552</v>
      </c>
      <c r="B78" s="6" t="s">
        <v>3497</v>
      </c>
      <c r="C78" s="68" t="s">
        <v>28553</v>
      </c>
      <c r="D78" s="6" t="b">
        <v>0</v>
      </c>
      <c r="E78" s="7"/>
      <c r="F78" s="7"/>
      <c r="G78" s="7"/>
      <c r="H78" s="7"/>
      <c r="I78" s="7"/>
      <c r="J78" s="7"/>
      <c r="K78" s="7"/>
      <c r="L78" s="7"/>
      <c r="M78" s="7"/>
      <c r="N78" s="7"/>
      <c r="O78" s="7"/>
      <c r="P78" s="7"/>
      <c r="Q78" s="7"/>
      <c r="R78" s="7"/>
      <c r="S78" s="7"/>
      <c r="T78" s="7"/>
      <c r="U78" s="7"/>
      <c r="V78" s="7"/>
      <c r="W78" s="7"/>
      <c r="X78" s="7"/>
    </row>
    <row r="79" ht="15.75" customHeight="1">
      <c r="A79" s="6" t="s">
        <v>28554</v>
      </c>
      <c r="B79" s="6" t="s">
        <v>3497</v>
      </c>
      <c r="C79" s="68" t="s">
        <v>28555</v>
      </c>
      <c r="D79" s="6" t="b">
        <v>0</v>
      </c>
      <c r="E79" s="7"/>
      <c r="F79" s="7"/>
      <c r="G79" s="7"/>
      <c r="H79" s="7"/>
      <c r="I79" s="7"/>
      <c r="J79" s="7"/>
      <c r="K79" s="7"/>
      <c r="L79" s="7"/>
      <c r="M79" s="7"/>
      <c r="N79" s="7"/>
      <c r="O79" s="7"/>
      <c r="P79" s="7"/>
      <c r="Q79" s="7"/>
      <c r="R79" s="7"/>
      <c r="S79" s="7"/>
      <c r="T79" s="7"/>
      <c r="U79" s="7"/>
      <c r="V79" s="7"/>
      <c r="W79" s="7"/>
      <c r="X79" s="7"/>
    </row>
    <row r="80" ht="15.75" customHeight="1">
      <c r="A80" s="6" t="s">
        <v>28556</v>
      </c>
      <c r="B80" s="6" t="s">
        <v>2385</v>
      </c>
      <c r="C80" s="68" t="s">
        <v>28557</v>
      </c>
      <c r="D80" s="6" t="b">
        <v>0</v>
      </c>
      <c r="E80" s="7"/>
      <c r="F80" s="7"/>
      <c r="G80" s="7"/>
      <c r="H80" s="7"/>
      <c r="I80" s="7"/>
      <c r="J80" s="7"/>
      <c r="K80" s="7"/>
      <c r="L80" s="7"/>
      <c r="M80" s="7"/>
      <c r="N80" s="7"/>
      <c r="O80" s="7"/>
      <c r="P80" s="7"/>
      <c r="Q80" s="7"/>
      <c r="R80" s="7"/>
      <c r="S80" s="7"/>
      <c r="T80" s="7"/>
      <c r="U80" s="7"/>
      <c r="V80" s="7"/>
      <c r="W80" s="7"/>
      <c r="X80" s="7"/>
    </row>
    <row r="81" ht="15.75" customHeight="1">
      <c r="A81" s="6" t="s">
        <v>28558</v>
      </c>
      <c r="B81" s="6" t="s">
        <v>2029</v>
      </c>
      <c r="C81" s="68" t="s">
        <v>28559</v>
      </c>
      <c r="D81" s="6" t="b">
        <v>1</v>
      </c>
      <c r="E81" s="7"/>
      <c r="F81" s="6"/>
      <c r="G81" s="7"/>
      <c r="H81" s="7"/>
      <c r="I81" s="7"/>
      <c r="J81" s="7"/>
      <c r="K81" s="7"/>
      <c r="L81" s="7"/>
      <c r="M81" s="7"/>
      <c r="N81" s="7"/>
      <c r="O81" s="7"/>
      <c r="P81" s="7"/>
      <c r="Q81" s="7"/>
      <c r="R81" s="7"/>
      <c r="S81" s="7"/>
      <c r="T81" s="7"/>
      <c r="U81" s="7"/>
      <c r="V81" s="7"/>
      <c r="W81" s="7"/>
      <c r="X81" s="7"/>
    </row>
    <row r="82" ht="15.75" customHeight="1">
      <c r="A82" s="6" t="s">
        <v>28560</v>
      </c>
      <c r="B82" s="6" t="s">
        <v>2029</v>
      </c>
      <c r="C82" s="68" t="s">
        <v>28561</v>
      </c>
      <c r="D82" s="6" t="b">
        <v>0</v>
      </c>
      <c r="E82" s="7"/>
      <c r="F82" s="6"/>
      <c r="G82" s="7"/>
      <c r="H82" s="7"/>
      <c r="I82" s="7"/>
      <c r="J82" s="7"/>
      <c r="K82" s="7"/>
      <c r="L82" s="7"/>
      <c r="M82" s="7"/>
      <c r="N82" s="7"/>
      <c r="O82" s="7"/>
      <c r="P82" s="7"/>
      <c r="Q82" s="7"/>
      <c r="R82" s="7"/>
      <c r="S82" s="7"/>
      <c r="T82" s="7"/>
      <c r="U82" s="7"/>
      <c r="V82" s="7"/>
      <c r="W82" s="7"/>
      <c r="X82" s="7"/>
    </row>
    <row r="83" ht="15.75" customHeight="1">
      <c r="A83" s="6" t="s">
        <v>28562</v>
      </c>
      <c r="B83" s="6" t="s">
        <v>2029</v>
      </c>
      <c r="C83" s="68" t="s">
        <v>28563</v>
      </c>
      <c r="D83" s="6" t="b">
        <v>0</v>
      </c>
      <c r="E83" s="7"/>
      <c r="F83" s="6"/>
      <c r="G83" s="7"/>
      <c r="H83" s="7"/>
      <c r="I83" s="7"/>
      <c r="J83" s="7"/>
      <c r="K83" s="7"/>
      <c r="L83" s="7"/>
      <c r="M83" s="7"/>
      <c r="N83" s="7"/>
      <c r="O83" s="7"/>
      <c r="P83" s="7"/>
      <c r="Q83" s="7"/>
      <c r="R83" s="7"/>
      <c r="S83" s="7"/>
      <c r="T83" s="7"/>
      <c r="U83" s="7"/>
      <c r="V83" s="7"/>
      <c r="W83" s="7"/>
      <c r="X83" s="7"/>
    </row>
    <row r="84" ht="15.75" customHeight="1">
      <c r="A84" s="6" t="s">
        <v>28564</v>
      </c>
      <c r="B84" s="6" t="s">
        <v>2029</v>
      </c>
      <c r="C84" s="68" t="s">
        <v>28565</v>
      </c>
      <c r="D84" s="6" t="b">
        <v>0</v>
      </c>
      <c r="E84" s="7"/>
      <c r="F84" s="6"/>
      <c r="G84" s="7"/>
      <c r="H84" s="7"/>
      <c r="I84" s="7"/>
      <c r="J84" s="7"/>
      <c r="K84" s="7"/>
      <c r="L84" s="7"/>
      <c r="M84" s="7"/>
      <c r="N84" s="7"/>
      <c r="O84" s="7"/>
      <c r="P84" s="7"/>
      <c r="Q84" s="7"/>
      <c r="R84" s="7"/>
      <c r="S84" s="7"/>
      <c r="T84" s="7"/>
      <c r="U84" s="7"/>
      <c r="V84" s="7"/>
      <c r="W84" s="7"/>
      <c r="X84" s="7"/>
    </row>
    <row r="85" ht="15.75" customHeight="1">
      <c r="A85" s="6" t="s">
        <v>28566</v>
      </c>
      <c r="B85" s="6" t="s">
        <v>565</v>
      </c>
      <c r="C85" s="68" t="s">
        <v>28567</v>
      </c>
      <c r="D85" s="6" t="b">
        <v>1</v>
      </c>
      <c r="E85" s="7"/>
      <c r="F85" s="7"/>
      <c r="G85" s="7"/>
      <c r="H85" s="7"/>
      <c r="I85" s="7"/>
      <c r="J85" s="7"/>
      <c r="K85" s="7"/>
      <c r="L85" s="7"/>
      <c r="M85" s="7"/>
      <c r="N85" s="7"/>
      <c r="O85" s="7"/>
      <c r="P85" s="7"/>
      <c r="Q85" s="7"/>
      <c r="R85" s="7"/>
      <c r="S85" s="7"/>
      <c r="T85" s="7"/>
      <c r="U85" s="7"/>
      <c r="V85" s="7"/>
      <c r="W85" s="7"/>
      <c r="X85" s="7"/>
    </row>
    <row r="86" ht="15.75" customHeight="1">
      <c r="A86" s="6" t="s">
        <v>28568</v>
      </c>
      <c r="B86" s="6" t="s">
        <v>565</v>
      </c>
      <c r="C86" s="68" t="s">
        <v>28569</v>
      </c>
      <c r="D86" s="6" t="b">
        <v>0</v>
      </c>
      <c r="E86" s="7"/>
      <c r="F86" s="7"/>
      <c r="G86" s="7"/>
      <c r="H86" s="7"/>
      <c r="I86" s="7"/>
      <c r="J86" s="7"/>
      <c r="K86" s="7"/>
      <c r="L86" s="7"/>
      <c r="M86" s="7"/>
      <c r="N86" s="7"/>
      <c r="O86" s="7"/>
      <c r="P86" s="7"/>
      <c r="Q86" s="7"/>
      <c r="R86" s="7"/>
      <c r="S86" s="7"/>
      <c r="T86" s="7"/>
      <c r="U86" s="7"/>
      <c r="V86" s="7"/>
      <c r="W86" s="7"/>
      <c r="X86" s="7"/>
    </row>
    <row r="87" ht="15.75" customHeight="1">
      <c r="A87" s="6" t="s">
        <v>28570</v>
      </c>
      <c r="B87" s="6" t="s">
        <v>565</v>
      </c>
      <c r="C87" s="68" t="s">
        <v>28571</v>
      </c>
      <c r="D87" s="6" t="b">
        <v>0</v>
      </c>
      <c r="E87" s="7"/>
      <c r="F87" s="7"/>
      <c r="G87" s="7"/>
      <c r="H87" s="7"/>
      <c r="I87" s="7"/>
      <c r="J87" s="7"/>
      <c r="K87" s="7"/>
      <c r="L87" s="7"/>
      <c r="M87" s="7"/>
      <c r="N87" s="7"/>
      <c r="O87" s="7"/>
      <c r="P87" s="7"/>
      <c r="Q87" s="7"/>
      <c r="R87" s="7"/>
      <c r="S87" s="7"/>
      <c r="T87" s="7"/>
      <c r="U87" s="7"/>
      <c r="V87" s="7"/>
      <c r="W87" s="7"/>
      <c r="X87" s="7"/>
    </row>
    <row r="88" ht="15.75" customHeight="1">
      <c r="A88" s="6" t="s">
        <v>28572</v>
      </c>
      <c r="B88" s="6" t="s">
        <v>565</v>
      </c>
      <c r="C88" s="68" t="s">
        <v>28573</v>
      </c>
      <c r="D88" s="6" t="b">
        <v>0</v>
      </c>
      <c r="E88" s="7"/>
      <c r="F88" s="7"/>
      <c r="G88" s="7"/>
      <c r="H88" s="7"/>
      <c r="I88" s="7"/>
      <c r="J88" s="7"/>
      <c r="K88" s="7"/>
      <c r="L88" s="7"/>
      <c r="M88" s="7"/>
      <c r="N88" s="7"/>
      <c r="O88" s="7"/>
      <c r="P88" s="7"/>
      <c r="Q88" s="7"/>
      <c r="R88" s="7"/>
      <c r="S88" s="7"/>
      <c r="T88" s="7"/>
      <c r="U88" s="7"/>
      <c r="V88" s="7"/>
      <c r="W88" s="7"/>
      <c r="X88" s="7"/>
    </row>
    <row r="89" ht="15.75" customHeight="1">
      <c r="A89" s="6" t="s">
        <v>28574</v>
      </c>
      <c r="B89" s="6" t="s">
        <v>565</v>
      </c>
      <c r="C89" s="68" t="s">
        <v>28575</v>
      </c>
      <c r="D89" s="6" t="b">
        <v>0</v>
      </c>
      <c r="E89" s="7"/>
      <c r="F89" s="7"/>
      <c r="G89" s="7"/>
      <c r="H89" s="7"/>
      <c r="I89" s="7"/>
      <c r="J89" s="7"/>
      <c r="K89" s="7"/>
      <c r="L89" s="7"/>
      <c r="M89" s="7"/>
      <c r="N89" s="7"/>
      <c r="O89" s="7"/>
      <c r="P89" s="7"/>
      <c r="Q89" s="7"/>
      <c r="R89" s="7"/>
      <c r="S89" s="7"/>
      <c r="T89" s="7"/>
      <c r="U89" s="7"/>
      <c r="V89" s="7"/>
      <c r="W89" s="7"/>
      <c r="X89" s="7"/>
    </row>
    <row r="90" ht="15.75" customHeight="1">
      <c r="A90" s="6" t="s">
        <v>28576</v>
      </c>
      <c r="B90" s="6" t="s">
        <v>565</v>
      </c>
      <c r="C90" s="68" t="s">
        <v>28577</v>
      </c>
      <c r="D90" s="6" t="b">
        <v>0</v>
      </c>
      <c r="E90" s="7"/>
      <c r="F90" s="7"/>
      <c r="G90" s="7"/>
      <c r="H90" s="7"/>
      <c r="I90" s="7"/>
      <c r="J90" s="7"/>
      <c r="K90" s="7"/>
      <c r="L90" s="7"/>
      <c r="M90" s="7"/>
      <c r="N90" s="7"/>
      <c r="O90" s="7"/>
      <c r="P90" s="7"/>
      <c r="Q90" s="7"/>
      <c r="R90" s="7"/>
      <c r="S90" s="7"/>
      <c r="T90" s="7"/>
      <c r="U90" s="7"/>
      <c r="V90" s="7"/>
      <c r="W90" s="7"/>
      <c r="X90" s="7"/>
    </row>
    <row r="91" ht="15.75" customHeight="1">
      <c r="A91" s="6" t="s">
        <v>28578</v>
      </c>
      <c r="B91" s="6" t="s">
        <v>2385</v>
      </c>
      <c r="C91" s="68" t="s">
        <v>28579</v>
      </c>
      <c r="D91" s="6" t="b">
        <v>0</v>
      </c>
      <c r="E91" s="7"/>
      <c r="F91" s="7"/>
      <c r="G91" s="7"/>
      <c r="H91" s="7"/>
      <c r="I91" s="7"/>
      <c r="J91" s="7"/>
      <c r="K91" s="7"/>
      <c r="L91" s="7"/>
      <c r="M91" s="7"/>
      <c r="N91" s="7"/>
      <c r="O91" s="7"/>
      <c r="P91" s="7"/>
      <c r="Q91" s="7"/>
      <c r="R91" s="7"/>
      <c r="S91" s="7"/>
      <c r="T91" s="7"/>
      <c r="U91" s="7"/>
      <c r="V91" s="7"/>
      <c r="W91" s="7"/>
      <c r="X91" s="7"/>
    </row>
    <row r="92" ht="15.75" customHeight="1">
      <c r="A92" s="6" t="s">
        <v>28580</v>
      </c>
      <c r="B92" s="6" t="s">
        <v>2385</v>
      </c>
      <c r="C92" s="68" t="s">
        <v>28581</v>
      </c>
      <c r="D92" s="6" t="b">
        <v>0</v>
      </c>
      <c r="E92" s="7"/>
      <c r="F92" s="7"/>
      <c r="G92" s="7"/>
      <c r="H92" s="7"/>
      <c r="I92" s="7"/>
      <c r="J92" s="7"/>
      <c r="K92" s="7"/>
      <c r="L92" s="7"/>
      <c r="M92" s="7"/>
      <c r="N92" s="7"/>
      <c r="O92" s="7"/>
      <c r="P92" s="7"/>
      <c r="Q92" s="7"/>
      <c r="R92" s="7"/>
      <c r="S92" s="7"/>
      <c r="T92" s="7"/>
      <c r="U92" s="7"/>
      <c r="V92" s="7"/>
      <c r="W92" s="7"/>
      <c r="X92" s="7"/>
    </row>
    <row r="93" ht="15.75" customHeight="1">
      <c r="A93" s="6" t="s">
        <v>28582</v>
      </c>
      <c r="B93" s="6" t="s">
        <v>2385</v>
      </c>
      <c r="C93" s="68" t="s">
        <v>28583</v>
      </c>
      <c r="D93" s="6" t="b">
        <v>0</v>
      </c>
      <c r="E93" s="7"/>
      <c r="F93" s="7"/>
      <c r="G93" s="7"/>
      <c r="H93" s="7"/>
      <c r="I93" s="7"/>
      <c r="J93" s="7"/>
      <c r="K93" s="7"/>
      <c r="L93" s="7"/>
      <c r="M93" s="7"/>
      <c r="N93" s="7"/>
      <c r="O93" s="7"/>
      <c r="P93" s="7"/>
      <c r="Q93" s="7"/>
      <c r="R93" s="7"/>
      <c r="S93" s="7"/>
      <c r="T93" s="7"/>
      <c r="U93" s="7"/>
      <c r="V93" s="7"/>
      <c r="W93" s="7"/>
      <c r="X93" s="7"/>
    </row>
    <row r="94" ht="15.75" customHeight="1">
      <c r="A94" s="6" t="s">
        <v>28584</v>
      </c>
      <c r="B94" s="6" t="s">
        <v>2385</v>
      </c>
      <c r="C94" s="68" t="s">
        <v>28585</v>
      </c>
      <c r="D94" s="6" t="b">
        <v>0</v>
      </c>
      <c r="E94" s="7"/>
      <c r="F94" s="7"/>
      <c r="G94" s="7"/>
      <c r="H94" s="7"/>
      <c r="I94" s="7"/>
      <c r="J94" s="7"/>
      <c r="K94" s="7"/>
      <c r="L94" s="7"/>
      <c r="M94" s="7"/>
      <c r="N94" s="7"/>
      <c r="O94" s="7"/>
      <c r="P94" s="7"/>
      <c r="Q94" s="7"/>
      <c r="R94" s="7"/>
      <c r="S94" s="7"/>
      <c r="T94" s="7"/>
      <c r="U94" s="7"/>
      <c r="V94" s="7"/>
      <c r="W94" s="7"/>
      <c r="X94" s="7"/>
    </row>
    <row r="95" ht="15.75" customHeight="1">
      <c r="A95" s="6" t="s">
        <v>28586</v>
      </c>
      <c r="B95" s="6" t="s">
        <v>2385</v>
      </c>
      <c r="C95" s="68" t="s">
        <v>28587</v>
      </c>
      <c r="D95" s="6" t="b">
        <v>1</v>
      </c>
      <c r="E95" s="7"/>
      <c r="F95" s="7"/>
      <c r="G95" s="7"/>
      <c r="H95" s="7"/>
      <c r="I95" s="7"/>
      <c r="J95" s="7"/>
      <c r="K95" s="7"/>
      <c r="L95" s="7"/>
      <c r="M95" s="7"/>
      <c r="N95" s="7"/>
      <c r="O95" s="7"/>
      <c r="P95" s="7"/>
      <c r="Q95" s="7"/>
      <c r="R95" s="7"/>
      <c r="S95" s="7"/>
      <c r="T95" s="7"/>
      <c r="U95" s="7"/>
      <c r="V95" s="7"/>
      <c r="W95" s="7"/>
      <c r="X95" s="7"/>
    </row>
    <row r="96" ht="15.75" customHeight="1">
      <c r="A96" s="6" t="s">
        <v>28588</v>
      </c>
      <c r="B96" s="6" t="s">
        <v>9835</v>
      </c>
      <c r="C96" s="68" t="s">
        <v>28589</v>
      </c>
      <c r="D96" s="6" t="b">
        <v>0</v>
      </c>
      <c r="E96" s="7"/>
      <c r="F96" s="7"/>
      <c r="G96" s="7"/>
      <c r="H96" s="7"/>
      <c r="I96" s="7"/>
      <c r="J96" s="7"/>
      <c r="K96" s="7"/>
      <c r="L96" s="7"/>
      <c r="M96" s="7"/>
      <c r="N96" s="7"/>
      <c r="O96" s="7"/>
      <c r="P96" s="7"/>
      <c r="Q96" s="7"/>
      <c r="R96" s="7"/>
      <c r="S96" s="7"/>
      <c r="T96" s="7"/>
      <c r="U96" s="7"/>
      <c r="V96" s="7"/>
      <c r="W96" s="7"/>
      <c r="X96" s="7"/>
    </row>
    <row r="97" ht="15.75" customHeight="1">
      <c r="A97" s="6" t="s">
        <v>28590</v>
      </c>
      <c r="B97" s="6" t="s">
        <v>9835</v>
      </c>
      <c r="C97" s="68" t="s">
        <v>28591</v>
      </c>
      <c r="D97" s="6" t="b">
        <v>1</v>
      </c>
      <c r="E97" s="7"/>
      <c r="F97" s="7"/>
      <c r="G97" s="7"/>
      <c r="H97" s="7"/>
      <c r="I97" s="7"/>
      <c r="J97" s="7"/>
      <c r="K97" s="7"/>
      <c r="L97" s="7"/>
      <c r="M97" s="7"/>
      <c r="N97" s="7"/>
      <c r="O97" s="7"/>
      <c r="P97" s="7"/>
      <c r="Q97" s="7"/>
      <c r="R97" s="7"/>
      <c r="S97" s="7"/>
      <c r="T97" s="7"/>
      <c r="U97" s="7"/>
      <c r="V97" s="7"/>
      <c r="W97" s="7"/>
      <c r="X97" s="7"/>
    </row>
    <row r="98" ht="15.75" customHeight="1">
      <c r="A98" s="6" t="s">
        <v>28592</v>
      </c>
      <c r="B98" s="6" t="s">
        <v>9835</v>
      </c>
      <c r="C98" s="68" t="s">
        <v>28593</v>
      </c>
      <c r="D98" s="6" t="b">
        <v>0</v>
      </c>
      <c r="E98" s="7"/>
      <c r="F98" s="7"/>
      <c r="G98" s="7"/>
      <c r="H98" s="7"/>
      <c r="I98" s="7"/>
      <c r="J98" s="7"/>
      <c r="K98" s="7"/>
      <c r="L98" s="7"/>
      <c r="M98" s="7"/>
      <c r="N98" s="7"/>
      <c r="O98" s="7"/>
      <c r="P98" s="7"/>
      <c r="Q98" s="7"/>
      <c r="R98" s="7"/>
      <c r="S98" s="7"/>
      <c r="T98" s="7"/>
      <c r="U98" s="7"/>
      <c r="V98" s="7"/>
      <c r="W98" s="7"/>
      <c r="X98" s="7"/>
    </row>
    <row r="99" ht="15.75" customHeight="1">
      <c r="A99" s="6" t="s">
        <v>28594</v>
      </c>
      <c r="B99" s="6" t="s">
        <v>9835</v>
      </c>
      <c r="C99" s="68" t="s">
        <v>28595</v>
      </c>
      <c r="D99" s="6" t="b">
        <v>0</v>
      </c>
      <c r="E99" s="7"/>
      <c r="F99" s="7"/>
      <c r="G99" s="7"/>
      <c r="H99" s="7"/>
      <c r="I99" s="7"/>
      <c r="J99" s="7"/>
      <c r="K99" s="7"/>
      <c r="L99" s="7"/>
      <c r="M99" s="7"/>
      <c r="N99" s="7"/>
      <c r="O99" s="7"/>
      <c r="P99" s="7"/>
      <c r="Q99" s="7"/>
      <c r="R99" s="7"/>
      <c r="S99" s="7"/>
      <c r="T99" s="7"/>
      <c r="U99" s="7"/>
      <c r="V99" s="7"/>
      <c r="W99" s="7"/>
      <c r="X99" s="7"/>
    </row>
    <row r="100" ht="15.75" customHeight="1">
      <c r="A100" s="6" t="s">
        <v>28596</v>
      </c>
      <c r="B100" s="6" t="s">
        <v>266</v>
      </c>
      <c r="C100" s="68" t="s">
        <v>28597</v>
      </c>
      <c r="D100" s="6" t="b">
        <v>1</v>
      </c>
      <c r="E100" s="6" t="s">
        <v>28598</v>
      </c>
      <c r="F100" s="6"/>
      <c r="G100" s="7"/>
      <c r="H100" s="7"/>
      <c r="I100" s="7"/>
      <c r="J100" s="7"/>
      <c r="K100" s="7"/>
      <c r="L100" s="7"/>
      <c r="M100" s="7"/>
      <c r="N100" s="7"/>
      <c r="O100" s="7"/>
      <c r="P100" s="7"/>
      <c r="Q100" s="7"/>
      <c r="R100" s="7"/>
      <c r="S100" s="7"/>
      <c r="T100" s="7"/>
      <c r="U100" s="7"/>
      <c r="V100" s="7"/>
      <c r="W100" s="7"/>
      <c r="X100" s="7"/>
    </row>
    <row r="101" ht="15.75" customHeight="1">
      <c r="A101" s="6" t="s">
        <v>28599</v>
      </c>
      <c r="B101" s="6" t="s">
        <v>7585</v>
      </c>
      <c r="C101" s="68" t="s">
        <v>28600</v>
      </c>
      <c r="D101" s="6" t="b">
        <v>1</v>
      </c>
      <c r="E101" s="7"/>
      <c r="F101" s="7"/>
      <c r="G101" s="7"/>
      <c r="H101" s="7"/>
      <c r="I101" s="7"/>
      <c r="J101" s="7"/>
      <c r="K101" s="7"/>
      <c r="L101" s="7"/>
      <c r="M101" s="7"/>
      <c r="N101" s="7"/>
      <c r="O101" s="7"/>
      <c r="P101" s="7"/>
      <c r="Q101" s="7"/>
      <c r="R101" s="7"/>
      <c r="S101" s="7"/>
      <c r="T101" s="7"/>
      <c r="U101" s="7"/>
      <c r="V101" s="7"/>
      <c r="W101" s="7"/>
      <c r="X101" s="7"/>
    </row>
    <row r="102" ht="15.75" customHeight="1">
      <c r="A102" s="6" t="s">
        <v>28601</v>
      </c>
      <c r="B102" s="6" t="s">
        <v>7585</v>
      </c>
      <c r="C102" s="68" t="s">
        <v>28602</v>
      </c>
      <c r="D102" s="6" t="b">
        <v>0</v>
      </c>
      <c r="E102" s="7"/>
      <c r="F102" s="7"/>
      <c r="G102" s="7"/>
      <c r="H102" s="7"/>
      <c r="I102" s="7"/>
      <c r="J102" s="7"/>
      <c r="K102" s="7"/>
      <c r="L102" s="7"/>
      <c r="M102" s="7"/>
      <c r="N102" s="7"/>
      <c r="O102" s="7"/>
      <c r="P102" s="7"/>
      <c r="Q102" s="7"/>
      <c r="R102" s="7"/>
      <c r="S102" s="7"/>
      <c r="T102" s="7"/>
      <c r="U102" s="7"/>
      <c r="V102" s="7"/>
      <c r="W102" s="7"/>
      <c r="X102" s="7"/>
    </row>
    <row r="103" ht="15.75" customHeight="1">
      <c r="A103" s="6" t="s">
        <v>28603</v>
      </c>
      <c r="B103" s="6" t="s">
        <v>7585</v>
      </c>
      <c r="C103" s="68" t="s">
        <v>28604</v>
      </c>
      <c r="D103" s="6" t="b">
        <v>0</v>
      </c>
      <c r="E103" s="7"/>
      <c r="F103" s="7"/>
      <c r="G103" s="7"/>
      <c r="H103" s="7"/>
      <c r="I103" s="7"/>
      <c r="J103" s="7"/>
      <c r="K103" s="7"/>
      <c r="L103" s="7"/>
      <c r="M103" s="7"/>
      <c r="N103" s="7"/>
      <c r="O103" s="7"/>
      <c r="P103" s="7"/>
      <c r="Q103" s="7"/>
      <c r="R103" s="7"/>
      <c r="S103" s="7"/>
      <c r="T103" s="7"/>
      <c r="U103" s="7"/>
      <c r="V103" s="7"/>
      <c r="W103" s="7"/>
      <c r="X103" s="7"/>
    </row>
    <row r="104" ht="15.75" customHeight="1">
      <c r="A104" s="6" t="s">
        <v>28605</v>
      </c>
      <c r="B104" s="6" t="s">
        <v>7585</v>
      </c>
      <c r="C104" s="68" t="s">
        <v>28606</v>
      </c>
      <c r="D104" s="6" t="b">
        <v>0</v>
      </c>
      <c r="E104" s="7"/>
      <c r="F104" s="7"/>
      <c r="G104" s="7"/>
      <c r="H104" s="7"/>
      <c r="I104" s="7"/>
      <c r="J104" s="7"/>
      <c r="K104" s="7"/>
      <c r="L104" s="7"/>
      <c r="M104" s="7"/>
      <c r="N104" s="7"/>
      <c r="O104" s="7"/>
      <c r="P104" s="7"/>
      <c r="Q104" s="7"/>
      <c r="R104" s="7"/>
      <c r="S104" s="7"/>
      <c r="T104" s="7"/>
      <c r="U104" s="7"/>
      <c r="V104" s="7"/>
      <c r="W104" s="7"/>
      <c r="X104" s="7"/>
    </row>
    <row r="105" ht="15.75" customHeight="1">
      <c r="A105" s="6" t="s">
        <v>28607</v>
      </c>
      <c r="B105" s="6" t="s">
        <v>7585</v>
      </c>
      <c r="C105" s="68" t="s">
        <v>28608</v>
      </c>
      <c r="D105" s="6" t="b">
        <v>0</v>
      </c>
      <c r="E105" s="7"/>
      <c r="F105" s="7"/>
      <c r="G105" s="7"/>
      <c r="H105" s="7"/>
      <c r="I105" s="7"/>
      <c r="J105" s="7"/>
      <c r="K105" s="7"/>
      <c r="L105" s="7"/>
      <c r="M105" s="7"/>
      <c r="N105" s="7"/>
      <c r="O105" s="7"/>
      <c r="P105" s="7"/>
      <c r="Q105" s="7"/>
      <c r="R105" s="7"/>
      <c r="S105" s="7"/>
      <c r="T105" s="7"/>
      <c r="U105" s="7"/>
      <c r="V105" s="7"/>
      <c r="W105" s="7"/>
      <c r="X105" s="7"/>
    </row>
    <row r="106" ht="15.75" customHeight="1">
      <c r="A106" s="6"/>
      <c r="B106" s="6"/>
      <c r="C106" s="6"/>
      <c r="D106" s="6"/>
      <c r="E106" s="7"/>
      <c r="F106" s="7"/>
      <c r="G106" s="7"/>
      <c r="H106" s="7"/>
      <c r="I106" s="7"/>
      <c r="J106" s="7"/>
      <c r="K106" s="7"/>
      <c r="L106" s="7"/>
      <c r="M106" s="7"/>
      <c r="N106" s="7"/>
      <c r="O106" s="7"/>
      <c r="P106" s="7"/>
      <c r="Q106" s="7"/>
      <c r="R106" s="7"/>
      <c r="S106" s="7"/>
      <c r="T106" s="7"/>
      <c r="U106" s="7"/>
      <c r="V106" s="7"/>
      <c r="W106" s="7"/>
      <c r="X106" s="7"/>
    </row>
    <row r="107" ht="15.75" customHeight="1">
      <c r="A107" s="6"/>
      <c r="B107" s="6"/>
      <c r="C107" s="6"/>
      <c r="D107" s="6"/>
      <c r="E107" s="7"/>
      <c r="F107" s="7"/>
      <c r="G107" s="7"/>
      <c r="H107" s="7"/>
      <c r="I107" s="7"/>
      <c r="J107" s="7"/>
      <c r="K107" s="7"/>
      <c r="L107" s="7"/>
      <c r="M107" s="7"/>
      <c r="N107" s="7"/>
      <c r="O107" s="7"/>
      <c r="P107" s="7"/>
      <c r="Q107" s="7"/>
      <c r="R107" s="7"/>
      <c r="S107" s="7"/>
      <c r="T107" s="7"/>
      <c r="U107" s="7"/>
      <c r="V107" s="7"/>
      <c r="W107" s="7"/>
      <c r="X107" s="7"/>
    </row>
    <row r="108" ht="15.75" customHeight="1">
      <c r="A108" s="6"/>
      <c r="B108" s="6"/>
      <c r="C108" s="6"/>
      <c r="D108" s="6"/>
      <c r="E108" s="7"/>
      <c r="F108" s="7"/>
      <c r="G108" s="7"/>
      <c r="H108" s="7"/>
      <c r="I108" s="7"/>
      <c r="J108" s="7"/>
      <c r="K108" s="7"/>
      <c r="L108" s="7"/>
      <c r="M108" s="7"/>
      <c r="N108" s="7"/>
      <c r="O108" s="7"/>
      <c r="P108" s="7"/>
      <c r="Q108" s="7"/>
      <c r="R108" s="7"/>
      <c r="S108" s="7"/>
      <c r="T108" s="7"/>
      <c r="U108" s="7"/>
      <c r="V108" s="7"/>
      <c r="W108" s="7"/>
      <c r="X108" s="7"/>
    </row>
    <row r="109" ht="15.75" customHeight="1">
      <c r="A109" s="6"/>
      <c r="B109" s="6"/>
      <c r="C109" s="6"/>
      <c r="D109" s="6"/>
      <c r="E109" s="7"/>
      <c r="F109" s="7"/>
      <c r="G109" s="7"/>
      <c r="H109" s="7"/>
      <c r="I109" s="7"/>
      <c r="J109" s="7"/>
      <c r="K109" s="7"/>
      <c r="L109" s="7"/>
      <c r="M109" s="7"/>
      <c r="N109" s="7"/>
      <c r="O109" s="7"/>
      <c r="P109" s="7"/>
      <c r="Q109" s="7"/>
      <c r="R109" s="7"/>
      <c r="S109" s="7"/>
      <c r="T109" s="7"/>
      <c r="U109" s="7"/>
      <c r="V109" s="7"/>
      <c r="W109" s="7"/>
      <c r="X109" s="7"/>
    </row>
    <row r="110" ht="15.75" customHeight="1">
      <c r="A110" s="6" t="s">
        <v>28609</v>
      </c>
      <c r="B110" s="6" t="s">
        <v>7526</v>
      </c>
      <c r="C110" s="68" t="s">
        <v>28610</v>
      </c>
      <c r="D110" s="6" t="b">
        <v>1</v>
      </c>
      <c r="E110" s="7"/>
      <c r="F110" s="7"/>
      <c r="G110" s="7"/>
      <c r="H110" s="7"/>
      <c r="I110" s="7"/>
      <c r="J110" s="7"/>
      <c r="K110" s="7"/>
      <c r="L110" s="7"/>
      <c r="M110" s="7"/>
      <c r="N110" s="7"/>
      <c r="O110" s="7"/>
      <c r="P110" s="7"/>
      <c r="Q110" s="7"/>
      <c r="R110" s="7"/>
      <c r="S110" s="7"/>
      <c r="T110" s="7"/>
      <c r="U110" s="7"/>
      <c r="V110" s="7"/>
      <c r="W110" s="7"/>
      <c r="X110" s="7"/>
    </row>
    <row r="111" ht="15.75" customHeight="1">
      <c r="A111" s="6" t="s">
        <v>28611</v>
      </c>
      <c r="B111" s="6" t="s">
        <v>7526</v>
      </c>
      <c r="C111" s="68" t="s">
        <v>28612</v>
      </c>
      <c r="D111" s="6" t="b">
        <v>0</v>
      </c>
      <c r="E111" s="7"/>
      <c r="F111" s="7"/>
      <c r="G111" s="7"/>
      <c r="H111" s="7"/>
      <c r="I111" s="7"/>
      <c r="J111" s="7"/>
      <c r="K111" s="7"/>
      <c r="L111" s="7"/>
      <c r="M111" s="7"/>
      <c r="N111" s="7"/>
      <c r="O111" s="7"/>
      <c r="P111" s="7"/>
      <c r="Q111" s="7"/>
      <c r="R111" s="7"/>
      <c r="S111" s="7"/>
      <c r="T111" s="7"/>
      <c r="U111" s="7"/>
      <c r="V111" s="7"/>
      <c r="W111" s="7"/>
      <c r="X111" s="7"/>
    </row>
    <row r="112" ht="15.75" customHeight="1">
      <c r="A112" s="6" t="s">
        <v>28613</v>
      </c>
      <c r="B112" s="6" t="s">
        <v>7526</v>
      </c>
      <c r="C112" s="68" t="s">
        <v>28614</v>
      </c>
      <c r="D112" s="6" t="b">
        <v>0</v>
      </c>
      <c r="E112" s="7"/>
      <c r="F112" s="7"/>
      <c r="G112" s="7"/>
      <c r="H112" s="7"/>
      <c r="I112" s="7"/>
      <c r="J112" s="7"/>
      <c r="K112" s="7"/>
      <c r="L112" s="7"/>
      <c r="M112" s="7"/>
      <c r="N112" s="7"/>
      <c r="O112" s="7"/>
      <c r="P112" s="7"/>
      <c r="Q112" s="7"/>
      <c r="R112" s="7"/>
      <c r="S112" s="7"/>
      <c r="T112" s="7"/>
      <c r="U112" s="7"/>
      <c r="V112" s="7"/>
      <c r="W112" s="7"/>
      <c r="X112" s="7"/>
    </row>
    <row r="113" ht="15.75" customHeight="1">
      <c r="A113" s="6" t="s">
        <v>28615</v>
      </c>
      <c r="B113" s="6" t="s">
        <v>7526</v>
      </c>
      <c r="C113" s="68" t="s">
        <v>28616</v>
      </c>
      <c r="D113" s="6" t="b">
        <v>0</v>
      </c>
      <c r="E113" s="7"/>
      <c r="F113" s="7"/>
      <c r="G113" s="7"/>
      <c r="H113" s="7"/>
      <c r="I113" s="7"/>
      <c r="J113" s="7"/>
      <c r="K113" s="7"/>
      <c r="L113" s="7"/>
      <c r="M113" s="7"/>
      <c r="N113" s="7"/>
      <c r="O113" s="7"/>
      <c r="P113" s="7"/>
      <c r="Q113" s="7"/>
      <c r="R113" s="7"/>
      <c r="S113" s="7"/>
      <c r="T113" s="7"/>
      <c r="U113" s="7"/>
      <c r="V113" s="7"/>
      <c r="W113" s="7"/>
      <c r="X113" s="7"/>
    </row>
    <row r="114" ht="15.75" customHeight="1">
      <c r="A114" s="6" t="s">
        <v>28617</v>
      </c>
      <c r="B114" s="6" t="s">
        <v>10023</v>
      </c>
      <c r="C114" s="68" t="s">
        <v>28618</v>
      </c>
      <c r="D114" s="6" t="b">
        <v>1</v>
      </c>
      <c r="E114" s="7"/>
      <c r="F114" s="6"/>
      <c r="G114" s="7"/>
      <c r="H114" s="7"/>
      <c r="I114" s="7"/>
      <c r="J114" s="7"/>
      <c r="K114" s="7"/>
      <c r="L114" s="7"/>
      <c r="M114" s="7"/>
      <c r="N114" s="7"/>
      <c r="O114" s="7"/>
      <c r="P114" s="7"/>
      <c r="Q114" s="7"/>
      <c r="R114" s="7"/>
      <c r="S114" s="7"/>
      <c r="T114" s="7"/>
      <c r="U114" s="7"/>
      <c r="V114" s="7"/>
      <c r="W114" s="7"/>
      <c r="X114" s="7"/>
    </row>
    <row r="115" ht="15.75" customHeight="1">
      <c r="A115" s="6" t="s">
        <v>28619</v>
      </c>
      <c r="B115" s="6" t="s">
        <v>10023</v>
      </c>
      <c r="C115" s="68" t="s">
        <v>28620</v>
      </c>
      <c r="D115" s="6" t="b">
        <v>0</v>
      </c>
      <c r="E115" s="7"/>
      <c r="F115" s="6"/>
      <c r="G115" s="7"/>
      <c r="H115" s="7"/>
      <c r="I115" s="7"/>
      <c r="J115" s="7"/>
      <c r="K115" s="7"/>
      <c r="L115" s="7"/>
      <c r="M115" s="7"/>
      <c r="N115" s="7"/>
      <c r="O115" s="7"/>
      <c r="P115" s="7"/>
      <c r="Q115" s="7"/>
      <c r="R115" s="7"/>
      <c r="S115" s="7"/>
      <c r="T115" s="7"/>
      <c r="U115" s="7"/>
      <c r="V115" s="7"/>
      <c r="W115" s="7"/>
      <c r="X115" s="7"/>
    </row>
    <row r="116" ht="15.75" customHeight="1">
      <c r="A116" s="6" t="s">
        <v>28621</v>
      </c>
      <c r="B116" s="6" t="s">
        <v>10023</v>
      </c>
      <c r="C116" s="68" t="s">
        <v>28622</v>
      </c>
      <c r="D116" s="6" t="b">
        <v>0</v>
      </c>
      <c r="E116" s="7"/>
      <c r="F116" s="6"/>
      <c r="G116" s="7"/>
      <c r="H116" s="7"/>
      <c r="I116" s="7"/>
      <c r="J116" s="7"/>
      <c r="K116" s="7"/>
      <c r="L116" s="7"/>
      <c r="M116" s="7"/>
      <c r="N116" s="7"/>
      <c r="O116" s="7"/>
      <c r="P116" s="7"/>
      <c r="Q116" s="7"/>
      <c r="R116" s="7"/>
      <c r="S116" s="7"/>
      <c r="T116" s="7"/>
      <c r="U116" s="7"/>
      <c r="V116" s="7"/>
      <c r="W116" s="7"/>
      <c r="X116" s="7"/>
    </row>
    <row r="117" ht="15.75" customHeight="1">
      <c r="A117" s="6" t="s">
        <v>28623</v>
      </c>
      <c r="B117" s="6" t="s">
        <v>10023</v>
      </c>
      <c r="C117" s="68" t="s">
        <v>28624</v>
      </c>
      <c r="D117" s="6" t="b">
        <v>0</v>
      </c>
      <c r="E117" s="7"/>
      <c r="F117" s="6"/>
      <c r="G117" s="7"/>
      <c r="H117" s="7"/>
      <c r="I117" s="7"/>
      <c r="J117" s="7"/>
      <c r="K117" s="7"/>
      <c r="L117" s="7"/>
      <c r="M117" s="7"/>
      <c r="N117" s="7"/>
      <c r="O117" s="7"/>
      <c r="P117" s="7"/>
      <c r="Q117" s="7"/>
      <c r="R117" s="7"/>
      <c r="S117" s="7"/>
      <c r="T117" s="7"/>
      <c r="U117" s="7"/>
      <c r="V117" s="7"/>
      <c r="W117" s="7"/>
      <c r="X117" s="7"/>
    </row>
    <row r="118" ht="15.75" customHeight="1">
      <c r="A118" s="6" t="s">
        <v>28625</v>
      </c>
      <c r="B118" s="6" t="s">
        <v>10023</v>
      </c>
      <c r="C118" s="68" t="s">
        <v>28626</v>
      </c>
      <c r="D118" s="6" t="b">
        <v>0</v>
      </c>
      <c r="E118" s="7"/>
      <c r="F118" s="6"/>
      <c r="G118" s="7"/>
      <c r="H118" s="7"/>
      <c r="I118" s="7"/>
      <c r="J118" s="7"/>
      <c r="K118" s="7"/>
      <c r="L118" s="7"/>
      <c r="M118" s="7"/>
      <c r="N118" s="7"/>
      <c r="O118" s="7"/>
      <c r="P118" s="7"/>
      <c r="Q118" s="7"/>
      <c r="R118" s="7"/>
      <c r="S118" s="7"/>
      <c r="T118" s="7"/>
      <c r="U118" s="7"/>
      <c r="V118" s="7"/>
      <c r="W118" s="7"/>
      <c r="X118" s="7"/>
    </row>
    <row r="119" ht="15.75" customHeight="1">
      <c r="A119" s="6" t="s">
        <v>28627</v>
      </c>
      <c r="B119" s="6" t="s">
        <v>9268</v>
      </c>
      <c r="C119" s="68" t="s">
        <v>28628</v>
      </c>
      <c r="D119" s="6" t="b">
        <v>0</v>
      </c>
      <c r="E119" s="7"/>
      <c r="F119" s="6"/>
      <c r="G119" s="7"/>
      <c r="H119" s="7"/>
      <c r="I119" s="7"/>
      <c r="J119" s="7"/>
      <c r="K119" s="7"/>
      <c r="L119" s="7"/>
      <c r="M119" s="7"/>
      <c r="N119" s="7"/>
      <c r="O119" s="7"/>
      <c r="P119" s="7"/>
      <c r="Q119" s="7"/>
      <c r="R119" s="7"/>
      <c r="S119" s="7"/>
      <c r="T119" s="7"/>
      <c r="U119" s="7"/>
      <c r="V119" s="7"/>
      <c r="W119" s="7"/>
      <c r="X119" s="7"/>
    </row>
    <row r="120" ht="15.75" customHeight="1">
      <c r="A120" s="6" t="s">
        <v>28629</v>
      </c>
      <c r="B120" s="6" t="s">
        <v>9268</v>
      </c>
      <c r="C120" s="68" t="s">
        <v>28630</v>
      </c>
      <c r="D120" s="6" t="b">
        <v>0</v>
      </c>
      <c r="E120" s="7"/>
      <c r="F120" s="6"/>
      <c r="G120" s="7"/>
      <c r="H120" s="7"/>
      <c r="I120" s="7"/>
      <c r="J120" s="7"/>
      <c r="K120" s="7"/>
      <c r="L120" s="7"/>
      <c r="M120" s="7"/>
      <c r="N120" s="7"/>
      <c r="O120" s="7"/>
      <c r="P120" s="7"/>
      <c r="Q120" s="7"/>
      <c r="R120" s="7"/>
      <c r="S120" s="7"/>
      <c r="T120" s="7"/>
      <c r="U120" s="7"/>
      <c r="V120" s="7"/>
      <c r="W120" s="7"/>
      <c r="X120" s="7"/>
    </row>
    <row r="121" ht="15.75" customHeight="1">
      <c r="A121" s="6" t="s">
        <v>28631</v>
      </c>
      <c r="B121" s="6" t="s">
        <v>9268</v>
      </c>
      <c r="C121" s="68" t="s">
        <v>28632</v>
      </c>
      <c r="D121" s="6" t="b">
        <v>0</v>
      </c>
      <c r="E121" s="7"/>
      <c r="F121" s="6"/>
      <c r="G121" s="7"/>
      <c r="H121" s="7"/>
      <c r="I121" s="7"/>
      <c r="J121" s="7"/>
      <c r="K121" s="7"/>
      <c r="L121" s="7"/>
      <c r="M121" s="7"/>
      <c r="N121" s="7"/>
      <c r="O121" s="7"/>
      <c r="P121" s="7"/>
      <c r="Q121" s="7"/>
      <c r="R121" s="7"/>
      <c r="S121" s="7"/>
      <c r="T121" s="7"/>
      <c r="U121" s="7"/>
      <c r="V121" s="7"/>
      <c r="W121" s="7"/>
      <c r="X121" s="7"/>
    </row>
    <row r="122" ht="15.75" customHeight="1">
      <c r="A122" s="6" t="s">
        <v>28633</v>
      </c>
      <c r="B122" s="6" t="s">
        <v>9268</v>
      </c>
      <c r="C122" s="68" t="s">
        <v>28634</v>
      </c>
      <c r="D122" s="6" t="b">
        <v>0</v>
      </c>
      <c r="E122" s="7"/>
      <c r="F122" s="6"/>
      <c r="G122" s="7"/>
      <c r="H122" s="7"/>
      <c r="I122" s="7"/>
      <c r="J122" s="7"/>
      <c r="K122" s="7"/>
      <c r="L122" s="7"/>
      <c r="M122" s="7"/>
      <c r="N122" s="7"/>
      <c r="O122" s="7"/>
      <c r="P122" s="7"/>
      <c r="Q122" s="7"/>
      <c r="R122" s="7"/>
      <c r="S122" s="7"/>
      <c r="T122" s="7"/>
      <c r="U122" s="7"/>
      <c r="V122" s="7"/>
      <c r="W122" s="7"/>
      <c r="X122" s="7"/>
    </row>
    <row r="123" ht="15.75" customHeight="1">
      <c r="A123" s="6" t="s">
        <v>28635</v>
      </c>
      <c r="B123" s="6" t="s">
        <v>9268</v>
      </c>
      <c r="C123" s="68" t="s">
        <v>28636</v>
      </c>
      <c r="D123" s="6" t="b">
        <v>0</v>
      </c>
      <c r="E123" s="7"/>
      <c r="F123" s="6"/>
      <c r="G123" s="7"/>
      <c r="H123" s="7"/>
      <c r="I123" s="7"/>
      <c r="J123" s="7"/>
      <c r="K123" s="7"/>
      <c r="L123" s="7"/>
      <c r="M123" s="7"/>
      <c r="N123" s="7"/>
      <c r="O123" s="7"/>
      <c r="P123" s="7"/>
      <c r="Q123" s="7"/>
      <c r="R123" s="7"/>
      <c r="S123" s="7"/>
      <c r="T123" s="7"/>
      <c r="U123" s="7"/>
      <c r="V123" s="7"/>
      <c r="W123" s="7"/>
      <c r="X123" s="7"/>
    </row>
    <row r="124" ht="15.75" customHeight="1">
      <c r="A124" s="6" t="s">
        <v>28637</v>
      </c>
      <c r="B124" s="6" t="s">
        <v>10079</v>
      </c>
      <c r="C124" s="68" t="s">
        <v>28638</v>
      </c>
      <c r="D124" s="6" t="b">
        <v>1</v>
      </c>
      <c r="E124" s="7"/>
      <c r="F124" s="6"/>
      <c r="G124" s="7"/>
      <c r="H124" s="7"/>
      <c r="I124" s="7"/>
      <c r="J124" s="7"/>
      <c r="K124" s="7"/>
      <c r="L124" s="7"/>
      <c r="M124" s="7"/>
      <c r="N124" s="7"/>
      <c r="O124" s="7"/>
      <c r="P124" s="7"/>
      <c r="Q124" s="7"/>
      <c r="R124" s="7"/>
      <c r="S124" s="7"/>
      <c r="T124" s="7"/>
      <c r="U124" s="7"/>
      <c r="V124" s="7"/>
      <c r="W124" s="7"/>
      <c r="X124" s="7"/>
    </row>
    <row r="125" ht="15.75" customHeight="1">
      <c r="A125" s="6" t="s">
        <v>28639</v>
      </c>
      <c r="B125" s="6" t="s">
        <v>10079</v>
      </c>
      <c r="C125" s="68" t="s">
        <v>28640</v>
      </c>
      <c r="D125" s="6" t="b">
        <v>0</v>
      </c>
      <c r="E125" s="7"/>
      <c r="F125" s="6"/>
      <c r="G125" s="7"/>
      <c r="H125" s="7"/>
      <c r="I125" s="7"/>
      <c r="J125" s="7"/>
      <c r="K125" s="7"/>
      <c r="L125" s="7"/>
      <c r="M125" s="7"/>
      <c r="N125" s="7"/>
      <c r="O125" s="7"/>
      <c r="P125" s="7"/>
      <c r="Q125" s="7"/>
      <c r="R125" s="7"/>
      <c r="S125" s="7"/>
      <c r="T125" s="7"/>
      <c r="U125" s="7"/>
      <c r="V125" s="7"/>
      <c r="W125" s="7"/>
      <c r="X125" s="7"/>
    </row>
    <row r="126" ht="15.75" customHeight="1">
      <c r="A126" s="6" t="s">
        <v>28641</v>
      </c>
      <c r="B126" s="6" t="s">
        <v>10079</v>
      </c>
      <c r="C126" s="68" t="s">
        <v>28642</v>
      </c>
      <c r="D126" s="6" t="b">
        <v>0</v>
      </c>
      <c r="E126" s="7"/>
      <c r="F126" s="6"/>
      <c r="G126" s="7"/>
      <c r="H126" s="7"/>
      <c r="I126" s="7"/>
      <c r="J126" s="7"/>
      <c r="K126" s="7"/>
      <c r="L126" s="7"/>
      <c r="M126" s="7"/>
      <c r="N126" s="7"/>
      <c r="O126" s="7"/>
      <c r="P126" s="7"/>
      <c r="Q126" s="7"/>
      <c r="R126" s="7"/>
      <c r="S126" s="7"/>
      <c r="T126" s="7"/>
      <c r="U126" s="7"/>
      <c r="V126" s="7"/>
      <c r="W126" s="7"/>
      <c r="X126" s="7"/>
    </row>
    <row r="127" ht="15.75" customHeight="1">
      <c r="A127" s="6" t="s">
        <v>28643</v>
      </c>
      <c r="B127" s="6" t="s">
        <v>5604</v>
      </c>
      <c r="C127" s="68" t="s">
        <v>28644</v>
      </c>
      <c r="D127" s="6" t="b">
        <v>1</v>
      </c>
      <c r="E127" s="7"/>
      <c r="F127" s="7"/>
      <c r="G127" s="7"/>
      <c r="H127" s="7"/>
      <c r="I127" s="7"/>
      <c r="J127" s="7"/>
      <c r="K127" s="7"/>
      <c r="L127" s="7"/>
      <c r="M127" s="7"/>
      <c r="N127" s="7"/>
      <c r="O127" s="7"/>
      <c r="P127" s="7"/>
      <c r="Q127" s="7"/>
      <c r="R127" s="7"/>
      <c r="S127" s="7"/>
      <c r="T127" s="7"/>
      <c r="U127" s="7"/>
      <c r="V127" s="7"/>
      <c r="W127" s="7"/>
      <c r="X127" s="7"/>
    </row>
    <row r="128" ht="15.75" customHeight="1">
      <c r="A128" s="6" t="s">
        <v>28645</v>
      </c>
      <c r="B128" s="6" t="s">
        <v>5604</v>
      </c>
      <c r="C128" s="68" t="s">
        <v>28646</v>
      </c>
      <c r="D128" s="6" t="b">
        <v>0</v>
      </c>
      <c r="E128" s="7"/>
      <c r="F128" s="7"/>
      <c r="G128" s="7"/>
      <c r="H128" s="7"/>
      <c r="I128" s="7"/>
      <c r="J128" s="7"/>
      <c r="K128" s="7"/>
      <c r="L128" s="7"/>
      <c r="M128" s="7"/>
      <c r="N128" s="7"/>
      <c r="O128" s="7"/>
      <c r="P128" s="7"/>
      <c r="Q128" s="7"/>
      <c r="R128" s="7"/>
      <c r="S128" s="7"/>
      <c r="T128" s="7"/>
      <c r="U128" s="7"/>
      <c r="V128" s="7"/>
      <c r="W128" s="7"/>
      <c r="X128" s="7"/>
    </row>
    <row r="129" ht="15.75" customHeight="1">
      <c r="A129" s="6" t="s">
        <v>28647</v>
      </c>
      <c r="B129" s="6" t="s">
        <v>5604</v>
      </c>
      <c r="C129" s="68" t="s">
        <v>28648</v>
      </c>
      <c r="D129" s="6" t="b">
        <v>0</v>
      </c>
      <c r="E129" s="7"/>
      <c r="F129" s="7"/>
      <c r="G129" s="7"/>
      <c r="H129" s="7"/>
      <c r="I129" s="7"/>
      <c r="J129" s="7"/>
      <c r="K129" s="7"/>
      <c r="L129" s="7"/>
      <c r="M129" s="7"/>
      <c r="N129" s="7"/>
      <c r="O129" s="7"/>
      <c r="P129" s="7"/>
      <c r="Q129" s="7"/>
      <c r="R129" s="7"/>
      <c r="S129" s="7"/>
      <c r="T129" s="7"/>
      <c r="U129" s="7"/>
      <c r="V129" s="7"/>
      <c r="W129" s="7"/>
      <c r="X129" s="7"/>
    </row>
    <row r="130" ht="15.75" customHeight="1">
      <c r="A130" s="6" t="s">
        <v>28649</v>
      </c>
      <c r="B130" s="6" t="s">
        <v>5604</v>
      </c>
      <c r="C130" s="68" t="s">
        <v>28650</v>
      </c>
      <c r="D130" s="6" t="b">
        <v>0</v>
      </c>
      <c r="E130" s="7"/>
      <c r="F130" s="7"/>
      <c r="G130" s="7"/>
      <c r="H130" s="7"/>
      <c r="I130" s="7"/>
      <c r="J130" s="7"/>
      <c r="K130" s="7"/>
      <c r="L130" s="7"/>
      <c r="M130" s="7"/>
      <c r="N130" s="7"/>
      <c r="O130" s="7"/>
      <c r="P130" s="7"/>
      <c r="Q130" s="7"/>
      <c r="R130" s="7"/>
      <c r="S130" s="7"/>
      <c r="T130" s="7"/>
      <c r="U130" s="7"/>
      <c r="V130" s="7"/>
      <c r="W130" s="7"/>
      <c r="X130" s="7"/>
    </row>
    <row r="131" ht="15.75" customHeight="1">
      <c r="A131" s="6" t="s">
        <v>28651</v>
      </c>
      <c r="B131" s="6" t="s">
        <v>5604</v>
      </c>
      <c r="C131" s="68" t="s">
        <v>28652</v>
      </c>
      <c r="D131" s="6" t="b">
        <v>0</v>
      </c>
      <c r="E131" s="7"/>
      <c r="F131" s="7"/>
      <c r="G131" s="7"/>
      <c r="H131" s="7"/>
      <c r="I131" s="7"/>
      <c r="J131" s="7"/>
      <c r="K131" s="7"/>
      <c r="L131" s="7"/>
      <c r="M131" s="7"/>
      <c r="N131" s="7"/>
      <c r="O131" s="7"/>
      <c r="P131" s="7"/>
      <c r="Q131" s="7"/>
      <c r="R131" s="7"/>
      <c r="S131" s="7"/>
      <c r="T131" s="7"/>
      <c r="U131" s="7"/>
      <c r="V131" s="7"/>
      <c r="W131" s="7"/>
      <c r="X131" s="7"/>
    </row>
    <row r="132" ht="15.75" customHeight="1">
      <c r="A132" s="6" t="s">
        <v>28653</v>
      </c>
      <c r="B132" s="6" t="s">
        <v>4121</v>
      </c>
      <c r="C132" s="68" t="s">
        <v>28654</v>
      </c>
      <c r="D132" s="6" t="b">
        <v>1</v>
      </c>
      <c r="E132" s="7"/>
      <c r="F132" s="7"/>
      <c r="G132" s="7"/>
      <c r="H132" s="7"/>
      <c r="I132" s="7"/>
      <c r="J132" s="7"/>
      <c r="K132" s="7"/>
      <c r="L132" s="7"/>
      <c r="M132" s="7"/>
      <c r="N132" s="7"/>
      <c r="O132" s="7"/>
      <c r="P132" s="7"/>
      <c r="Q132" s="7"/>
      <c r="R132" s="7"/>
      <c r="S132" s="7"/>
      <c r="T132" s="7"/>
      <c r="U132" s="7"/>
      <c r="V132" s="7"/>
      <c r="W132" s="7"/>
      <c r="X132" s="7"/>
    </row>
    <row r="133" ht="15.75" customHeight="1">
      <c r="A133" s="6" t="s">
        <v>28655</v>
      </c>
      <c r="B133" s="6" t="s">
        <v>4121</v>
      </c>
      <c r="C133" s="68" t="s">
        <v>28656</v>
      </c>
      <c r="D133" s="6" t="b">
        <v>0</v>
      </c>
      <c r="E133" s="7"/>
      <c r="F133" s="7"/>
      <c r="G133" s="7"/>
      <c r="H133" s="7"/>
      <c r="I133" s="7"/>
      <c r="J133" s="7"/>
      <c r="K133" s="7"/>
      <c r="L133" s="7"/>
      <c r="M133" s="7"/>
      <c r="N133" s="7"/>
      <c r="O133" s="7"/>
      <c r="P133" s="7"/>
      <c r="Q133" s="7"/>
      <c r="R133" s="7"/>
      <c r="S133" s="7"/>
      <c r="T133" s="7"/>
      <c r="U133" s="7"/>
      <c r="V133" s="7"/>
      <c r="W133" s="7"/>
      <c r="X133" s="7"/>
    </row>
    <row r="134" ht="15.75" customHeight="1">
      <c r="A134" s="6" t="s">
        <v>28657</v>
      </c>
      <c r="B134" s="6" t="s">
        <v>4121</v>
      </c>
      <c r="C134" s="68" t="s">
        <v>28658</v>
      </c>
      <c r="D134" s="6" t="b">
        <v>0</v>
      </c>
      <c r="E134" s="7"/>
      <c r="F134" s="7"/>
      <c r="G134" s="7"/>
      <c r="H134" s="7"/>
      <c r="I134" s="7"/>
      <c r="J134" s="7"/>
      <c r="K134" s="7"/>
      <c r="L134" s="7"/>
      <c r="M134" s="7"/>
      <c r="N134" s="7"/>
      <c r="O134" s="7"/>
      <c r="P134" s="7"/>
      <c r="Q134" s="7"/>
      <c r="R134" s="7"/>
      <c r="S134" s="7"/>
      <c r="T134" s="7"/>
      <c r="U134" s="7"/>
      <c r="V134" s="7"/>
      <c r="W134" s="7"/>
      <c r="X134" s="7"/>
    </row>
    <row r="135" ht="15.75" customHeight="1">
      <c r="A135" s="6" t="s">
        <v>28659</v>
      </c>
      <c r="B135" s="6" t="s">
        <v>4121</v>
      </c>
      <c r="C135" s="68" t="s">
        <v>28660</v>
      </c>
      <c r="D135" s="6" t="b">
        <v>0</v>
      </c>
      <c r="E135" s="7"/>
      <c r="F135" s="7"/>
      <c r="G135" s="7"/>
      <c r="H135" s="7"/>
      <c r="I135" s="7"/>
      <c r="J135" s="7"/>
      <c r="K135" s="7"/>
      <c r="L135" s="7"/>
      <c r="M135" s="7"/>
      <c r="N135" s="7"/>
      <c r="O135" s="7"/>
      <c r="P135" s="7"/>
      <c r="Q135" s="7"/>
      <c r="R135" s="7"/>
      <c r="S135" s="7"/>
      <c r="T135" s="7"/>
      <c r="U135" s="7"/>
      <c r="V135" s="7"/>
      <c r="W135" s="7"/>
      <c r="X135" s="7"/>
    </row>
    <row r="136" ht="15.75" customHeight="1">
      <c r="A136" s="6" t="s">
        <v>28661</v>
      </c>
      <c r="B136" s="6" t="s">
        <v>5604</v>
      </c>
      <c r="C136" s="68" t="s">
        <v>28662</v>
      </c>
      <c r="D136" s="6" t="b">
        <v>0</v>
      </c>
      <c r="E136" s="7"/>
      <c r="F136" s="7"/>
      <c r="G136" s="7"/>
      <c r="H136" s="7"/>
      <c r="I136" s="7"/>
      <c r="J136" s="7"/>
      <c r="K136" s="7"/>
      <c r="L136" s="7"/>
      <c r="M136" s="7"/>
      <c r="N136" s="7"/>
      <c r="O136" s="7"/>
      <c r="P136" s="7"/>
      <c r="Q136" s="7"/>
      <c r="R136" s="7"/>
      <c r="S136" s="7"/>
      <c r="T136" s="7"/>
      <c r="U136" s="7"/>
      <c r="V136" s="7"/>
      <c r="W136" s="7"/>
      <c r="X136" s="7"/>
    </row>
    <row r="137" ht="15.75" customHeight="1">
      <c r="A137" s="6" t="s">
        <v>28663</v>
      </c>
      <c r="B137" s="6" t="s">
        <v>5604</v>
      </c>
      <c r="C137" s="68" t="s">
        <v>28664</v>
      </c>
      <c r="D137" s="6" t="b">
        <v>0</v>
      </c>
      <c r="E137" s="7"/>
      <c r="F137" s="7"/>
      <c r="G137" s="7"/>
      <c r="H137" s="7"/>
      <c r="I137" s="7"/>
      <c r="J137" s="7"/>
      <c r="K137" s="7"/>
      <c r="L137" s="7"/>
      <c r="M137" s="7"/>
      <c r="N137" s="7"/>
      <c r="O137" s="7"/>
      <c r="P137" s="7"/>
      <c r="Q137" s="7"/>
      <c r="R137" s="7"/>
      <c r="S137" s="7"/>
      <c r="T137" s="7"/>
      <c r="U137" s="7"/>
      <c r="V137" s="7"/>
      <c r="W137" s="7"/>
      <c r="X137" s="7"/>
    </row>
    <row r="138" ht="15.75" customHeight="1">
      <c r="A138" s="6" t="s">
        <v>28665</v>
      </c>
      <c r="B138" s="6" t="s">
        <v>5604</v>
      </c>
      <c r="C138" s="68" t="s">
        <v>28666</v>
      </c>
      <c r="D138" s="6" t="b">
        <v>0</v>
      </c>
      <c r="E138" s="7"/>
      <c r="F138" s="7"/>
      <c r="G138" s="7"/>
      <c r="H138" s="7"/>
      <c r="I138" s="7"/>
      <c r="J138" s="7"/>
      <c r="K138" s="7"/>
      <c r="L138" s="7"/>
      <c r="M138" s="7"/>
      <c r="N138" s="7"/>
      <c r="O138" s="7"/>
      <c r="P138" s="7"/>
      <c r="Q138" s="7"/>
      <c r="R138" s="7"/>
      <c r="S138" s="7"/>
      <c r="T138" s="7"/>
      <c r="U138" s="7"/>
      <c r="V138" s="7"/>
      <c r="W138" s="7"/>
      <c r="X138" s="7"/>
    </row>
    <row r="139" ht="15.75" customHeight="1">
      <c r="A139" s="6" t="s">
        <v>28667</v>
      </c>
      <c r="B139" s="6" t="s">
        <v>9746</v>
      </c>
      <c r="C139" s="68" t="s">
        <v>28668</v>
      </c>
      <c r="D139" s="6" t="b">
        <v>0</v>
      </c>
      <c r="E139" s="7"/>
      <c r="F139" s="7"/>
      <c r="G139" s="7"/>
      <c r="H139" s="7"/>
      <c r="I139" s="7"/>
      <c r="J139" s="7"/>
      <c r="K139" s="7"/>
      <c r="L139" s="7"/>
      <c r="M139" s="7"/>
      <c r="N139" s="7"/>
      <c r="O139" s="7"/>
      <c r="P139" s="7"/>
      <c r="Q139" s="7"/>
      <c r="R139" s="7"/>
      <c r="S139" s="7"/>
      <c r="T139" s="7"/>
      <c r="U139" s="7"/>
      <c r="V139" s="7"/>
      <c r="W139" s="7"/>
      <c r="X139" s="7"/>
    </row>
    <row r="140" ht="15.75" customHeight="1">
      <c r="A140" s="6" t="s">
        <v>28669</v>
      </c>
      <c r="B140" s="6" t="s">
        <v>9746</v>
      </c>
      <c r="C140" s="68" t="s">
        <v>28670</v>
      </c>
      <c r="D140" s="6" t="b">
        <v>1</v>
      </c>
      <c r="E140" s="7"/>
      <c r="F140" s="7"/>
      <c r="G140" s="7"/>
      <c r="H140" s="7"/>
      <c r="I140" s="7"/>
      <c r="J140" s="7"/>
      <c r="K140" s="7"/>
      <c r="L140" s="7"/>
      <c r="M140" s="7"/>
      <c r="N140" s="7"/>
      <c r="O140" s="7"/>
      <c r="P140" s="7"/>
      <c r="Q140" s="7"/>
      <c r="R140" s="7"/>
      <c r="S140" s="7"/>
      <c r="T140" s="7"/>
      <c r="U140" s="7"/>
      <c r="V140" s="7"/>
      <c r="W140" s="7"/>
      <c r="X140" s="7"/>
    </row>
    <row r="141" ht="15.75" customHeight="1">
      <c r="A141" s="6" t="s">
        <v>28671</v>
      </c>
      <c r="B141" s="6" t="s">
        <v>9746</v>
      </c>
      <c r="C141" s="68" t="s">
        <v>28672</v>
      </c>
      <c r="D141" s="6" t="b">
        <v>0</v>
      </c>
      <c r="E141" s="7"/>
      <c r="F141" s="7"/>
      <c r="G141" s="7"/>
      <c r="H141" s="7"/>
      <c r="I141" s="7"/>
      <c r="J141" s="7"/>
      <c r="K141" s="7"/>
      <c r="L141" s="7"/>
      <c r="M141" s="7"/>
      <c r="N141" s="7"/>
      <c r="O141" s="7"/>
      <c r="P141" s="7"/>
      <c r="Q141" s="7"/>
      <c r="R141" s="7"/>
      <c r="S141" s="7"/>
      <c r="T141" s="7"/>
      <c r="U141" s="7"/>
      <c r="V141" s="7"/>
      <c r="W141" s="7"/>
      <c r="X141" s="7"/>
    </row>
    <row r="142" ht="15.75" customHeight="1">
      <c r="A142" s="6" t="s">
        <v>28673</v>
      </c>
      <c r="B142" s="6" t="s">
        <v>9746</v>
      </c>
      <c r="C142" s="68" t="s">
        <v>28674</v>
      </c>
      <c r="D142" s="6" t="b">
        <v>0</v>
      </c>
      <c r="E142" s="7"/>
      <c r="F142" s="7"/>
      <c r="G142" s="7"/>
      <c r="H142" s="7"/>
      <c r="I142" s="7"/>
      <c r="J142" s="7"/>
      <c r="K142" s="7"/>
      <c r="L142" s="7"/>
      <c r="M142" s="7"/>
      <c r="N142" s="7"/>
      <c r="O142" s="7"/>
      <c r="P142" s="7"/>
      <c r="Q142" s="7"/>
      <c r="R142" s="7"/>
      <c r="S142" s="7"/>
      <c r="T142" s="7"/>
      <c r="U142" s="7"/>
      <c r="V142" s="7"/>
      <c r="W142" s="7"/>
      <c r="X142" s="7"/>
    </row>
    <row r="143" ht="15.75" customHeight="1">
      <c r="A143" s="6" t="s">
        <v>28675</v>
      </c>
      <c r="B143" s="6" t="s">
        <v>9746</v>
      </c>
      <c r="C143" s="68" t="s">
        <v>28676</v>
      </c>
      <c r="D143" s="6" t="b">
        <v>0</v>
      </c>
      <c r="E143" s="7"/>
      <c r="F143" s="7"/>
      <c r="G143" s="7"/>
      <c r="H143" s="7"/>
      <c r="I143" s="7"/>
      <c r="J143" s="7"/>
      <c r="K143" s="7"/>
      <c r="L143" s="7"/>
      <c r="M143" s="7"/>
      <c r="N143" s="7"/>
      <c r="O143" s="7"/>
      <c r="P143" s="7"/>
      <c r="Q143" s="7"/>
      <c r="R143" s="7"/>
      <c r="S143" s="7"/>
      <c r="T143" s="7"/>
      <c r="U143" s="7"/>
      <c r="V143" s="7"/>
      <c r="W143" s="7"/>
      <c r="X143" s="7"/>
    </row>
    <row r="144" ht="15.75" customHeight="1">
      <c r="A144" s="6" t="s">
        <v>28677</v>
      </c>
      <c r="B144" s="6" t="s">
        <v>1904</v>
      </c>
      <c r="C144" s="68" t="s">
        <v>28678</v>
      </c>
      <c r="D144" s="6" t="b">
        <v>1</v>
      </c>
      <c r="E144" s="7"/>
      <c r="F144" s="7"/>
      <c r="G144" s="7"/>
      <c r="H144" s="7"/>
      <c r="I144" s="7"/>
      <c r="J144" s="7"/>
      <c r="K144" s="7"/>
      <c r="L144" s="7"/>
      <c r="M144" s="7"/>
      <c r="N144" s="7"/>
      <c r="O144" s="7"/>
      <c r="P144" s="7"/>
      <c r="Q144" s="7"/>
      <c r="R144" s="7"/>
      <c r="S144" s="7"/>
      <c r="T144" s="7"/>
      <c r="U144" s="7"/>
      <c r="V144" s="7"/>
      <c r="W144" s="7"/>
      <c r="X144" s="7"/>
    </row>
    <row r="145" ht="15.75" customHeight="1">
      <c r="A145" s="6" t="s">
        <v>28679</v>
      </c>
      <c r="B145" s="6" t="s">
        <v>1904</v>
      </c>
      <c r="C145" s="68" t="s">
        <v>28680</v>
      </c>
      <c r="D145" s="6" t="b">
        <v>0</v>
      </c>
      <c r="E145" s="7"/>
      <c r="F145" s="7"/>
      <c r="G145" s="7"/>
      <c r="H145" s="7"/>
      <c r="I145" s="7"/>
      <c r="J145" s="7"/>
      <c r="K145" s="7"/>
      <c r="L145" s="7"/>
      <c r="M145" s="7"/>
      <c r="N145" s="7"/>
      <c r="O145" s="7"/>
      <c r="P145" s="7"/>
      <c r="Q145" s="7"/>
      <c r="R145" s="7"/>
      <c r="S145" s="7"/>
      <c r="T145" s="7"/>
      <c r="U145" s="7"/>
      <c r="V145" s="7"/>
      <c r="W145" s="7"/>
      <c r="X145" s="7"/>
    </row>
    <row r="146" ht="15.75" customHeight="1">
      <c r="A146" s="41" t="s">
        <v>28681</v>
      </c>
      <c r="B146" s="6" t="s">
        <v>1904</v>
      </c>
      <c r="C146" s="68" t="s">
        <v>28682</v>
      </c>
      <c r="D146" s="6" t="b">
        <v>0</v>
      </c>
      <c r="E146" s="7"/>
      <c r="F146" s="7"/>
      <c r="G146" s="7"/>
      <c r="H146" s="7"/>
      <c r="I146" s="7"/>
      <c r="J146" s="7"/>
      <c r="K146" s="7"/>
      <c r="L146" s="7"/>
      <c r="M146" s="7"/>
      <c r="N146" s="7"/>
      <c r="O146" s="7"/>
      <c r="P146" s="7"/>
      <c r="Q146" s="7"/>
      <c r="R146" s="7"/>
      <c r="S146" s="7"/>
      <c r="T146" s="7"/>
      <c r="U146" s="7"/>
      <c r="V146" s="7"/>
      <c r="W146" s="7"/>
      <c r="X146" s="7"/>
    </row>
    <row r="147" ht="15.75" customHeight="1">
      <c r="A147" s="6" t="s">
        <v>28683</v>
      </c>
      <c r="B147" s="6" t="s">
        <v>808</v>
      </c>
      <c r="C147" s="68" t="s">
        <v>28684</v>
      </c>
      <c r="D147" s="6" t="b">
        <v>1</v>
      </c>
      <c r="E147" s="7"/>
      <c r="F147" s="7"/>
      <c r="G147" s="7"/>
      <c r="H147" s="7"/>
      <c r="I147" s="7"/>
      <c r="J147" s="7"/>
      <c r="K147" s="7"/>
      <c r="L147" s="7"/>
      <c r="M147" s="7"/>
      <c r="N147" s="7"/>
      <c r="O147" s="7"/>
      <c r="P147" s="7"/>
      <c r="Q147" s="7"/>
      <c r="R147" s="7"/>
      <c r="S147" s="7"/>
      <c r="T147" s="7"/>
      <c r="U147" s="7"/>
      <c r="V147" s="7"/>
      <c r="W147" s="7"/>
      <c r="X147" s="7"/>
    </row>
    <row r="148" ht="15.75" customHeight="1">
      <c r="A148" s="6" t="s">
        <v>28685</v>
      </c>
      <c r="B148" s="6" t="s">
        <v>808</v>
      </c>
      <c r="C148" s="68" t="s">
        <v>28686</v>
      </c>
      <c r="D148" s="6" t="b">
        <v>0</v>
      </c>
      <c r="E148" s="7"/>
      <c r="F148" s="7"/>
      <c r="G148" s="7"/>
      <c r="H148" s="7"/>
      <c r="I148" s="7"/>
      <c r="J148" s="7"/>
      <c r="K148" s="7"/>
      <c r="L148" s="7"/>
      <c r="M148" s="7"/>
      <c r="N148" s="7"/>
      <c r="O148" s="7"/>
      <c r="P148" s="7"/>
      <c r="Q148" s="7"/>
      <c r="R148" s="7"/>
      <c r="S148" s="7"/>
      <c r="T148" s="7"/>
      <c r="U148" s="7"/>
      <c r="V148" s="7"/>
      <c r="W148" s="7"/>
      <c r="X148" s="7"/>
    </row>
    <row r="149" ht="15.75" customHeight="1">
      <c r="A149" s="6" t="s">
        <v>28687</v>
      </c>
      <c r="B149" s="6" t="s">
        <v>8224</v>
      </c>
      <c r="C149" s="68" t="s">
        <v>28688</v>
      </c>
      <c r="D149" s="6" t="b">
        <v>0</v>
      </c>
      <c r="E149" s="7"/>
      <c r="F149" s="7"/>
      <c r="G149" s="7"/>
      <c r="H149" s="7"/>
      <c r="I149" s="7"/>
      <c r="J149" s="7"/>
      <c r="K149" s="7"/>
      <c r="L149" s="7"/>
      <c r="M149" s="7"/>
      <c r="N149" s="7"/>
      <c r="O149" s="7"/>
      <c r="P149" s="7"/>
      <c r="Q149" s="7"/>
      <c r="R149" s="7"/>
      <c r="S149" s="7"/>
      <c r="T149" s="7"/>
      <c r="U149" s="7"/>
      <c r="V149" s="7"/>
      <c r="W149" s="7"/>
      <c r="X149" s="7"/>
    </row>
    <row r="150" ht="15.75" customHeight="1">
      <c r="A150" s="6" t="s">
        <v>28689</v>
      </c>
      <c r="B150" s="6" t="s">
        <v>8224</v>
      </c>
      <c r="C150" s="68" t="s">
        <v>28690</v>
      </c>
      <c r="D150" s="6" t="b">
        <v>0</v>
      </c>
      <c r="E150" s="7"/>
      <c r="F150" s="7"/>
      <c r="G150" s="7"/>
      <c r="H150" s="7"/>
      <c r="I150" s="7"/>
      <c r="J150" s="7"/>
      <c r="K150" s="7"/>
      <c r="L150" s="7"/>
      <c r="M150" s="7"/>
      <c r="N150" s="7"/>
      <c r="O150" s="7"/>
      <c r="P150" s="7"/>
      <c r="Q150" s="7"/>
      <c r="R150" s="7"/>
      <c r="S150" s="7"/>
      <c r="T150" s="7"/>
      <c r="U150" s="7"/>
      <c r="V150" s="7"/>
      <c r="W150" s="7"/>
      <c r="X150" s="7"/>
    </row>
    <row r="151" ht="15.75" customHeight="1">
      <c r="A151" s="6" t="s">
        <v>28691</v>
      </c>
      <c r="B151" s="6" t="s">
        <v>8224</v>
      </c>
      <c r="C151" s="68" t="s">
        <v>28692</v>
      </c>
      <c r="D151" s="6" t="b">
        <v>0</v>
      </c>
      <c r="E151" s="7"/>
      <c r="F151" s="7"/>
      <c r="G151" s="7"/>
      <c r="H151" s="7"/>
      <c r="I151" s="7"/>
      <c r="J151" s="7"/>
      <c r="K151" s="7"/>
      <c r="L151" s="7"/>
      <c r="M151" s="7"/>
      <c r="N151" s="7"/>
      <c r="O151" s="7"/>
      <c r="P151" s="7"/>
      <c r="Q151" s="7"/>
      <c r="R151" s="7"/>
      <c r="S151" s="7"/>
      <c r="T151" s="7"/>
      <c r="U151" s="7"/>
      <c r="V151" s="7"/>
      <c r="W151" s="7"/>
      <c r="X151" s="7"/>
    </row>
    <row r="152" ht="15.75" customHeight="1">
      <c r="A152" s="6" t="s">
        <v>28693</v>
      </c>
      <c r="B152" s="6" t="s">
        <v>8224</v>
      </c>
      <c r="C152" s="68" t="s">
        <v>28694</v>
      </c>
      <c r="D152" s="6" t="b">
        <v>0</v>
      </c>
      <c r="E152" s="7"/>
      <c r="F152" s="7"/>
      <c r="G152" s="7"/>
      <c r="H152" s="7"/>
      <c r="I152" s="7"/>
      <c r="J152" s="7"/>
      <c r="K152" s="7"/>
      <c r="L152" s="7"/>
      <c r="M152" s="7"/>
      <c r="N152" s="7"/>
      <c r="O152" s="7"/>
      <c r="P152" s="7"/>
      <c r="Q152" s="7"/>
      <c r="R152" s="7"/>
      <c r="S152" s="7"/>
      <c r="T152" s="7"/>
      <c r="U152" s="7"/>
      <c r="V152" s="7"/>
      <c r="W152" s="7"/>
      <c r="X152" s="7"/>
    </row>
    <row r="153" ht="15.75" customHeight="1">
      <c r="A153" s="6" t="s">
        <v>28695</v>
      </c>
      <c r="B153" s="6" t="s">
        <v>8224</v>
      </c>
      <c r="C153" s="68" t="s">
        <v>28696</v>
      </c>
      <c r="D153" s="6" t="b">
        <v>1</v>
      </c>
      <c r="E153" s="7"/>
      <c r="F153" s="7"/>
      <c r="G153" s="7"/>
      <c r="H153" s="7"/>
      <c r="I153" s="7"/>
      <c r="J153" s="7"/>
      <c r="K153" s="7"/>
      <c r="L153" s="7"/>
      <c r="M153" s="7"/>
      <c r="N153" s="7"/>
      <c r="O153" s="7"/>
      <c r="P153" s="7"/>
      <c r="Q153" s="7"/>
      <c r="R153" s="7"/>
      <c r="S153" s="7"/>
      <c r="T153" s="7"/>
      <c r="U153" s="7"/>
      <c r="V153" s="7"/>
      <c r="W153" s="7"/>
      <c r="X153" s="7"/>
    </row>
    <row r="154" ht="15.75" customHeight="1">
      <c r="A154" s="6" t="s">
        <v>28697</v>
      </c>
      <c r="B154" s="6" t="s">
        <v>8224</v>
      </c>
      <c r="C154" s="68" t="s">
        <v>28698</v>
      </c>
      <c r="D154" s="6" t="b">
        <v>0</v>
      </c>
      <c r="E154" s="7"/>
      <c r="F154" s="7"/>
      <c r="G154" s="7"/>
      <c r="H154" s="7"/>
      <c r="I154" s="7"/>
      <c r="J154" s="7"/>
      <c r="K154" s="7"/>
      <c r="L154" s="7"/>
      <c r="M154" s="7"/>
      <c r="N154" s="7"/>
      <c r="O154" s="7"/>
      <c r="P154" s="7"/>
      <c r="Q154" s="7"/>
      <c r="R154" s="7"/>
      <c r="S154" s="7"/>
      <c r="T154" s="7"/>
      <c r="U154" s="7"/>
      <c r="V154" s="7"/>
      <c r="W154" s="7"/>
      <c r="X154" s="7"/>
    </row>
    <row r="155" ht="15.75" customHeight="1">
      <c r="A155" s="6" t="s">
        <v>28699</v>
      </c>
      <c r="B155" s="6" t="s">
        <v>8224</v>
      </c>
      <c r="C155" s="68" t="s">
        <v>28700</v>
      </c>
      <c r="D155" s="6" t="b">
        <v>0</v>
      </c>
      <c r="E155" s="7"/>
      <c r="F155" s="7"/>
      <c r="G155" s="7"/>
      <c r="H155" s="7"/>
      <c r="I155" s="7"/>
      <c r="J155" s="7"/>
      <c r="K155" s="7"/>
      <c r="L155" s="7"/>
      <c r="M155" s="7"/>
      <c r="N155" s="7"/>
      <c r="O155" s="7"/>
      <c r="P155" s="7"/>
      <c r="Q155" s="7"/>
      <c r="R155" s="7"/>
      <c r="S155" s="7"/>
      <c r="T155" s="7"/>
      <c r="U155" s="7"/>
      <c r="V155" s="7"/>
      <c r="W155" s="7"/>
      <c r="X155" s="7"/>
    </row>
    <row r="156" ht="15.75" customHeight="1">
      <c r="A156" s="6"/>
      <c r="B156" s="6"/>
      <c r="C156" s="6"/>
      <c r="D156" s="6"/>
      <c r="E156" s="7"/>
      <c r="F156" s="7"/>
      <c r="G156" s="7"/>
      <c r="H156" s="7"/>
      <c r="I156" s="7"/>
      <c r="J156" s="7"/>
      <c r="K156" s="7"/>
      <c r="L156" s="7"/>
      <c r="M156" s="7"/>
      <c r="N156" s="7"/>
      <c r="O156" s="7"/>
      <c r="P156" s="7"/>
      <c r="Q156" s="7"/>
      <c r="R156" s="7"/>
      <c r="S156" s="7"/>
      <c r="T156" s="7"/>
      <c r="U156" s="7"/>
      <c r="V156" s="7"/>
      <c r="W156" s="7"/>
      <c r="X156" s="7"/>
    </row>
    <row r="157" ht="15.75" customHeight="1">
      <c r="A157" s="6"/>
      <c r="B157" s="6"/>
      <c r="C157" s="6"/>
      <c r="D157" s="6"/>
      <c r="E157" s="7"/>
      <c r="F157" s="7"/>
      <c r="G157" s="7"/>
      <c r="H157" s="7"/>
      <c r="I157" s="7"/>
      <c r="J157" s="7"/>
      <c r="K157" s="7"/>
      <c r="L157" s="7"/>
      <c r="M157" s="7"/>
      <c r="N157" s="7"/>
      <c r="O157" s="7"/>
      <c r="P157" s="7"/>
      <c r="Q157" s="7"/>
      <c r="R157" s="7"/>
      <c r="S157" s="7"/>
      <c r="T157" s="7"/>
      <c r="U157" s="7"/>
      <c r="V157" s="7"/>
      <c r="W157" s="7"/>
      <c r="X157" s="7"/>
    </row>
    <row r="158" ht="15.75" customHeight="1">
      <c r="A158" s="6"/>
      <c r="B158" s="6"/>
      <c r="C158" s="6"/>
      <c r="D158" s="6"/>
      <c r="E158" s="7"/>
      <c r="F158" s="7"/>
      <c r="G158" s="7"/>
      <c r="H158" s="7"/>
      <c r="I158" s="7"/>
      <c r="J158" s="7"/>
      <c r="K158" s="7"/>
      <c r="L158" s="7"/>
      <c r="M158" s="7"/>
      <c r="N158" s="7"/>
      <c r="O158" s="7"/>
      <c r="P158" s="7"/>
      <c r="Q158" s="7"/>
      <c r="R158" s="7"/>
      <c r="S158" s="7"/>
      <c r="T158" s="7"/>
      <c r="U158" s="7"/>
      <c r="V158" s="7"/>
      <c r="W158" s="7"/>
      <c r="X158" s="7"/>
    </row>
    <row r="159" ht="15.75" customHeight="1">
      <c r="A159" s="6"/>
      <c r="B159" s="6"/>
      <c r="C159" s="6"/>
      <c r="D159" s="6"/>
      <c r="E159" s="7"/>
      <c r="F159" s="7"/>
      <c r="G159" s="7"/>
      <c r="H159" s="7"/>
      <c r="I159" s="7"/>
      <c r="J159" s="7"/>
      <c r="K159" s="7"/>
      <c r="L159" s="7"/>
      <c r="M159" s="7"/>
      <c r="N159" s="7"/>
      <c r="O159" s="7"/>
      <c r="P159" s="7"/>
      <c r="Q159" s="7"/>
      <c r="R159" s="7"/>
      <c r="S159" s="7"/>
      <c r="T159" s="7"/>
      <c r="U159" s="7"/>
      <c r="V159" s="7"/>
      <c r="W159" s="7"/>
      <c r="X159" s="7"/>
    </row>
    <row r="160" ht="15.75" customHeight="1">
      <c r="A160" s="6" t="s">
        <v>28701</v>
      </c>
      <c r="B160" s="6" t="s">
        <v>8608</v>
      </c>
      <c r="C160" s="68" t="s">
        <v>28702</v>
      </c>
      <c r="D160" s="6" t="b">
        <v>0</v>
      </c>
      <c r="E160" s="7"/>
      <c r="F160" s="7"/>
      <c r="G160" s="7"/>
      <c r="H160" s="7"/>
      <c r="I160" s="7"/>
      <c r="J160" s="7"/>
      <c r="K160" s="7"/>
      <c r="L160" s="7"/>
      <c r="M160" s="7"/>
      <c r="N160" s="7"/>
      <c r="O160" s="7"/>
      <c r="P160" s="7"/>
      <c r="Q160" s="7"/>
      <c r="R160" s="7"/>
      <c r="S160" s="7"/>
      <c r="T160" s="7"/>
      <c r="U160" s="7"/>
      <c r="V160" s="7"/>
      <c r="W160" s="7"/>
      <c r="X160" s="7"/>
    </row>
    <row r="161" ht="15.75" customHeight="1">
      <c r="A161" s="6" t="s">
        <v>28703</v>
      </c>
      <c r="B161" s="6" t="s">
        <v>8608</v>
      </c>
      <c r="C161" s="68" t="s">
        <v>28704</v>
      </c>
      <c r="D161" s="6" t="b">
        <v>0</v>
      </c>
      <c r="E161" s="7"/>
      <c r="F161" s="7"/>
      <c r="G161" s="7"/>
      <c r="H161" s="7"/>
      <c r="I161" s="7"/>
      <c r="J161" s="7"/>
      <c r="K161" s="7"/>
      <c r="L161" s="7"/>
      <c r="M161" s="7"/>
      <c r="N161" s="7"/>
      <c r="O161" s="7"/>
      <c r="P161" s="7"/>
      <c r="Q161" s="7"/>
      <c r="R161" s="7"/>
      <c r="S161" s="7"/>
      <c r="T161" s="7"/>
      <c r="U161" s="7"/>
      <c r="V161" s="7"/>
      <c r="W161" s="7"/>
      <c r="X161" s="7"/>
    </row>
    <row r="162" ht="15.75" customHeight="1">
      <c r="A162" s="6" t="s">
        <v>28705</v>
      </c>
      <c r="B162" s="6" t="s">
        <v>8608</v>
      </c>
      <c r="C162" s="68" t="s">
        <v>28706</v>
      </c>
      <c r="D162" s="6" t="b">
        <v>0</v>
      </c>
      <c r="E162" s="7"/>
      <c r="F162" s="7"/>
      <c r="G162" s="7"/>
      <c r="H162" s="7"/>
      <c r="I162" s="7"/>
      <c r="J162" s="7"/>
      <c r="K162" s="7"/>
      <c r="L162" s="7"/>
      <c r="M162" s="7"/>
      <c r="N162" s="7"/>
      <c r="O162" s="7"/>
      <c r="P162" s="7"/>
      <c r="Q162" s="7"/>
      <c r="R162" s="7"/>
      <c r="S162" s="7"/>
      <c r="T162" s="7"/>
      <c r="U162" s="7"/>
      <c r="V162" s="7"/>
      <c r="W162" s="7"/>
      <c r="X162" s="7"/>
    </row>
    <row r="163" ht="15.75" customHeight="1">
      <c r="A163" s="6" t="s">
        <v>28707</v>
      </c>
      <c r="B163" s="6" t="s">
        <v>8608</v>
      </c>
      <c r="C163" s="68" t="s">
        <v>28708</v>
      </c>
      <c r="D163" s="6" t="b">
        <v>0</v>
      </c>
      <c r="E163" s="7"/>
      <c r="F163" s="7"/>
      <c r="G163" s="7"/>
      <c r="H163" s="7"/>
      <c r="I163" s="7"/>
      <c r="J163" s="7"/>
      <c r="K163" s="7"/>
      <c r="L163" s="7"/>
      <c r="M163" s="7"/>
      <c r="N163" s="7"/>
      <c r="O163" s="7"/>
      <c r="P163" s="7"/>
      <c r="Q163" s="7"/>
      <c r="R163" s="7"/>
      <c r="S163" s="7"/>
      <c r="T163" s="7"/>
      <c r="U163" s="7"/>
      <c r="V163" s="7"/>
      <c r="W163" s="7"/>
      <c r="X163" s="7"/>
    </row>
    <row r="164" ht="15.75" customHeight="1">
      <c r="A164" s="6" t="s">
        <v>28709</v>
      </c>
      <c r="B164" s="6" t="s">
        <v>8608</v>
      </c>
      <c r="C164" s="68" t="s">
        <v>28710</v>
      </c>
      <c r="D164" s="6" t="b">
        <v>0</v>
      </c>
      <c r="E164" s="7"/>
      <c r="F164" s="7"/>
      <c r="G164" s="7"/>
      <c r="H164" s="7"/>
      <c r="I164" s="7"/>
      <c r="J164" s="7"/>
      <c r="K164" s="7"/>
      <c r="L164" s="7"/>
      <c r="M164" s="7"/>
      <c r="N164" s="7"/>
      <c r="O164" s="7"/>
      <c r="P164" s="7"/>
      <c r="Q164" s="7"/>
      <c r="R164" s="7"/>
      <c r="S164" s="7"/>
      <c r="T164" s="7"/>
      <c r="U164" s="7"/>
      <c r="V164" s="7"/>
      <c r="W164" s="7"/>
      <c r="X164" s="7"/>
    </row>
    <row r="165" ht="15.75" customHeight="1">
      <c r="A165" s="6" t="s">
        <v>28711</v>
      </c>
      <c r="B165" s="6" t="s">
        <v>8608</v>
      </c>
      <c r="C165" s="68" t="s">
        <v>28712</v>
      </c>
      <c r="D165" s="6" t="b">
        <v>0</v>
      </c>
      <c r="E165" s="7"/>
      <c r="F165" s="7"/>
      <c r="G165" s="7"/>
      <c r="H165" s="7"/>
      <c r="I165" s="7"/>
      <c r="J165" s="7"/>
      <c r="K165" s="7"/>
      <c r="L165" s="7"/>
      <c r="M165" s="7"/>
      <c r="N165" s="7"/>
      <c r="O165" s="7"/>
      <c r="P165" s="7"/>
      <c r="Q165" s="7"/>
      <c r="R165" s="7"/>
      <c r="S165" s="7"/>
      <c r="T165" s="7"/>
      <c r="U165" s="7"/>
      <c r="V165" s="7"/>
      <c r="W165" s="7"/>
      <c r="X165" s="7"/>
    </row>
    <row r="166" ht="15.75" customHeight="1">
      <c r="A166" s="6" t="s">
        <v>28713</v>
      </c>
      <c r="B166" s="6" t="s">
        <v>8608</v>
      </c>
      <c r="C166" s="68" t="s">
        <v>28714</v>
      </c>
      <c r="D166" s="6" t="b">
        <v>1</v>
      </c>
      <c r="E166" s="7"/>
      <c r="F166" s="7"/>
      <c r="G166" s="7"/>
      <c r="H166" s="7"/>
      <c r="I166" s="7"/>
      <c r="J166" s="7"/>
      <c r="K166" s="7"/>
      <c r="L166" s="7"/>
      <c r="M166" s="7"/>
      <c r="N166" s="7"/>
      <c r="O166" s="7"/>
      <c r="P166" s="7"/>
      <c r="Q166" s="7"/>
      <c r="R166" s="7"/>
      <c r="S166" s="7"/>
      <c r="T166" s="7"/>
      <c r="U166" s="7"/>
      <c r="V166" s="7"/>
      <c r="W166" s="7"/>
      <c r="X166" s="7"/>
    </row>
    <row r="167" ht="15.75" customHeight="1">
      <c r="A167" s="6" t="s">
        <v>28715</v>
      </c>
      <c r="B167" s="6" t="s">
        <v>10318</v>
      </c>
      <c r="C167" s="68" t="s">
        <v>28716</v>
      </c>
      <c r="D167" s="6" t="b">
        <v>0</v>
      </c>
      <c r="E167" s="6" t="s">
        <v>28717</v>
      </c>
      <c r="F167" s="7"/>
      <c r="G167" s="7"/>
      <c r="H167" s="7"/>
      <c r="I167" s="7"/>
      <c r="J167" s="7"/>
      <c r="K167" s="7"/>
      <c r="L167" s="7"/>
      <c r="M167" s="7"/>
      <c r="N167" s="7"/>
      <c r="O167" s="7"/>
      <c r="P167" s="7"/>
      <c r="Q167" s="7"/>
      <c r="R167" s="7"/>
      <c r="S167" s="7"/>
      <c r="T167" s="7"/>
      <c r="U167" s="7"/>
      <c r="V167" s="7"/>
      <c r="W167" s="7"/>
      <c r="X167" s="7"/>
    </row>
    <row r="168" ht="15.75" customHeight="1">
      <c r="A168" s="6" t="s">
        <v>28718</v>
      </c>
      <c r="B168" s="6" t="s">
        <v>10318</v>
      </c>
      <c r="C168" s="68" t="s">
        <v>28719</v>
      </c>
      <c r="D168" s="6" t="b">
        <v>0</v>
      </c>
      <c r="E168" s="7"/>
      <c r="F168" s="7"/>
      <c r="G168" s="7"/>
      <c r="H168" s="7"/>
      <c r="I168" s="7"/>
      <c r="J168" s="7"/>
      <c r="K168" s="7"/>
      <c r="L168" s="7"/>
      <c r="M168" s="7"/>
      <c r="N168" s="7"/>
      <c r="O168" s="7"/>
      <c r="P168" s="7"/>
      <c r="Q168" s="7"/>
      <c r="R168" s="7"/>
      <c r="S168" s="7"/>
      <c r="T168" s="7"/>
      <c r="U168" s="7"/>
      <c r="V168" s="7"/>
      <c r="W168" s="7"/>
      <c r="X168" s="7"/>
    </row>
    <row r="169" ht="15.75" customHeight="1">
      <c r="A169" s="6" t="s">
        <v>28720</v>
      </c>
      <c r="B169" s="6" t="s">
        <v>10318</v>
      </c>
      <c r="C169" s="68" t="s">
        <v>28721</v>
      </c>
      <c r="D169" s="6" t="b">
        <v>0</v>
      </c>
      <c r="E169" s="7"/>
      <c r="F169" s="7"/>
      <c r="G169" s="7"/>
      <c r="H169" s="7"/>
      <c r="I169" s="7"/>
      <c r="J169" s="7"/>
      <c r="K169" s="7"/>
      <c r="L169" s="7"/>
      <c r="M169" s="7"/>
      <c r="N169" s="7"/>
      <c r="O169" s="7"/>
      <c r="P169" s="7"/>
      <c r="Q169" s="7"/>
      <c r="R169" s="7"/>
      <c r="S169" s="7"/>
      <c r="T169" s="7"/>
      <c r="U169" s="7"/>
      <c r="V169" s="7"/>
      <c r="W169" s="7"/>
      <c r="X169" s="7"/>
    </row>
    <row r="170" ht="15.75" customHeight="1">
      <c r="A170" s="6" t="s">
        <v>28722</v>
      </c>
      <c r="B170" s="6" t="s">
        <v>10318</v>
      </c>
      <c r="C170" s="68" t="s">
        <v>28723</v>
      </c>
      <c r="D170" s="6" t="b">
        <v>0</v>
      </c>
      <c r="E170" s="7"/>
      <c r="F170" s="7"/>
      <c r="G170" s="7"/>
      <c r="H170" s="7"/>
      <c r="I170" s="7"/>
      <c r="J170" s="7"/>
      <c r="K170" s="7"/>
      <c r="L170" s="7"/>
      <c r="M170" s="7"/>
      <c r="N170" s="7"/>
      <c r="O170" s="7"/>
      <c r="P170" s="7"/>
      <c r="Q170" s="7"/>
      <c r="R170" s="7"/>
      <c r="S170" s="7"/>
      <c r="T170" s="7"/>
      <c r="U170" s="7"/>
      <c r="V170" s="7"/>
      <c r="W170" s="7"/>
      <c r="X170" s="7"/>
    </row>
    <row r="171" ht="15.75" customHeight="1">
      <c r="A171" s="6"/>
      <c r="B171" s="6"/>
      <c r="C171" s="6"/>
      <c r="D171" s="6"/>
      <c r="E171" s="7"/>
      <c r="F171" s="7"/>
      <c r="G171" s="7"/>
      <c r="H171" s="7"/>
      <c r="I171" s="7"/>
      <c r="J171" s="7"/>
      <c r="K171" s="7"/>
      <c r="L171" s="7"/>
      <c r="M171" s="7"/>
      <c r="N171" s="7"/>
      <c r="O171" s="7"/>
      <c r="P171" s="7"/>
      <c r="Q171" s="7"/>
      <c r="R171" s="7"/>
      <c r="S171" s="7"/>
      <c r="T171" s="7"/>
      <c r="U171" s="7"/>
      <c r="V171" s="7"/>
      <c r="W171" s="7"/>
      <c r="X171" s="7"/>
    </row>
    <row r="172" ht="15.75" customHeight="1">
      <c r="A172" s="6"/>
      <c r="B172" s="6"/>
      <c r="C172" s="6"/>
      <c r="D172" s="6"/>
      <c r="E172" s="7"/>
      <c r="F172" s="7"/>
      <c r="G172" s="7"/>
      <c r="H172" s="7"/>
      <c r="I172" s="7"/>
      <c r="J172" s="7"/>
      <c r="K172" s="7"/>
      <c r="L172" s="7"/>
      <c r="M172" s="7"/>
      <c r="N172" s="7"/>
      <c r="O172" s="7"/>
      <c r="P172" s="7"/>
      <c r="Q172" s="7"/>
      <c r="R172" s="7"/>
      <c r="S172" s="7"/>
      <c r="T172" s="7"/>
      <c r="U172" s="7"/>
      <c r="V172" s="7"/>
      <c r="W172" s="7"/>
      <c r="X172" s="7"/>
    </row>
    <row r="173" ht="15.75" customHeight="1">
      <c r="A173" s="6"/>
      <c r="B173" s="6"/>
      <c r="C173" s="6"/>
      <c r="D173" s="6"/>
      <c r="E173" s="7"/>
      <c r="F173" s="7"/>
      <c r="G173" s="7"/>
      <c r="H173" s="7"/>
      <c r="I173" s="7"/>
      <c r="J173" s="7"/>
      <c r="K173" s="7"/>
      <c r="L173" s="7"/>
      <c r="M173" s="7"/>
      <c r="N173" s="7"/>
      <c r="O173" s="7"/>
      <c r="P173" s="7"/>
      <c r="Q173" s="7"/>
      <c r="R173" s="7"/>
      <c r="S173" s="7"/>
      <c r="T173" s="7"/>
      <c r="U173" s="7"/>
      <c r="V173" s="7"/>
      <c r="W173" s="7"/>
      <c r="X173" s="7"/>
    </row>
    <row r="174" ht="15.75" customHeight="1">
      <c r="A174" s="6"/>
      <c r="B174" s="6"/>
      <c r="C174" s="6"/>
      <c r="D174" s="6"/>
      <c r="E174" s="7"/>
      <c r="F174" s="7"/>
      <c r="G174" s="7"/>
      <c r="H174" s="7"/>
      <c r="I174" s="7"/>
      <c r="J174" s="7"/>
      <c r="K174" s="7"/>
      <c r="L174" s="7"/>
      <c r="M174" s="7"/>
      <c r="N174" s="7"/>
      <c r="O174" s="7"/>
      <c r="P174" s="7"/>
      <c r="Q174" s="7"/>
      <c r="R174" s="7"/>
      <c r="S174" s="7"/>
      <c r="T174" s="7"/>
      <c r="U174" s="7"/>
      <c r="V174" s="7"/>
      <c r="W174" s="7"/>
      <c r="X174" s="7"/>
    </row>
    <row r="175" ht="15.75" customHeight="1">
      <c r="A175" s="6"/>
      <c r="B175" s="6"/>
      <c r="C175" s="6"/>
      <c r="D175" s="6"/>
      <c r="E175" s="7"/>
      <c r="F175" s="7"/>
      <c r="G175" s="7"/>
      <c r="H175" s="7"/>
      <c r="I175" s="7"/>
      <c r="J175" s="7"/>
      <c r="K175" s="7"/>
      <c r="L175" s="7"/>
      <c r="M175" s="7"/>
      <c r="N175" s="7"/>
      <c r="O175" s="7"/>
      <c r="P175" s="7"/>
      <c r="Q175" s="7"/>
      <c r="R175" s="7"/>
      <c r="S175" s="7"/>
      <c r="T175" s="7"/>
      <c r="U175" s="7"/>
      <c r="V175" s="7"/>
      <c r="W175" s="7"/>
      <c r="X175" s="7"/>
    </row>
    <row r="176" ht="15.75" customHeight="1">
      <c r="A176" s="6" t="s">
        <v>28724</v>
      </c>
      <c r="B176" s="6" t="s">
        <v>10130</v>
      </c>
      <c r="C176" s="68" t="s">
        <v>28725</v>
      </c>
      <c r="D176" s="6" t="b">
        <v>0</v>
      </c>
      <c r="E176" s="7"/>
      <c r="F176" s="7"/>
      <c r="G176" s="7"/>
      <c r="H176" s="7"/>
      <c r="I176" s="7"/>
      <c r="J176" s="7"/>
      <c r="K176" s="7"/>
      <c r="L176" s="7"/>
      <c r="M176" s="7"/>
      <c r="N176" s="7"/>
      <c r="O176" s="7"/>
      <c r="P176" s="7"/>
      <c r="Q176" s="7"/>
      <c r="R176" s="7"/>
      <c r="S176" s="7"/>
      <c r="T176" s="7"/>
      <c r="U176" s="7"/>
      <c r="V176" s="7"/>
      <c r="W176" s="7"/>
      <c r="X176" s="7"/>
    </row>
    <row r="177" ht="15.75" customHeight="1">
      <c r="A177" s="6" t="s">
        <v>28726</v>
      </c>
      <c r="B177" s="6" t="s">
        <v>10130</v>
      </c>
      <c r="C177" s="68" t="s">
        <v>28727</v>
      </c>
      <c r="D177" s="6" t="b">
        <v>1</v>
      </c>
      <c r="E177" s="7"/>
      <c r="F177" s="7"/>
      <c r="G177" s="7"/>
      <c r="H177" s="7"/>
      <c r="I177" s="7"/>
      <c r="J177" s="7"/>
      <c r="K177" s="7"/>
      <c r="L177" s="7"/>
      <c r="M177" s="7"/>
      <c r="N177" s="7"/>
      <c r="O177" s="7"/>
      <c r="P177" s="7"/>
      <c r="Q177" s="7"/>
      <c r="R177" s="7"/>
      <c r="S177" s="7"/>
      <c r="T177" s="7"/>
      <c r="U177" s="7"/>
      <c r="V177" s="7"/>
      <c r="W177" s="7"/>
      <c r="X177" s="7"/>
    </row>
    <row r="178" ht="15.75" customHeight="1">
      <c r="A178" s="6" t="s">
        <v>28728</v>
      </c>
      <c r="B178" s="6" t="s">
        <v>10130</v>
      </c>
      <c r="C178" s="68" t="s">
        <v>28729</v>
      </c>
      <c r="D178" s="6" t="b">
        <v>0</v>
      </c>
      <c r="E178" s="7"/>
      <c r="F178" s="7"/>
      <c r="G178" s="7"/>
      <c r="H178" s="7"/>
      <c r="I178" s="7"/>
      <c r="J178" s="7"/>
      <c r="K178" s="7"/>
      <c r="L178" s="7"/>
      <c r="M178" s="7"/>
      <c r="N178" s="7"/>
      <c r="O178" s="7"/>
      <c r="P178" s="7"/>
      <c r="Q178" s="7"/>
      <c r="R178" s="7"/>
      <c r="S178" s="7"/>
      <c r="T178" s="7"/>
      <c r="U178" s="7"/>
      <c r="V178" s="7"/>
      <c r="W178" s="7"/>
      <c r="X178" s="7"/>
    </row>
    <row r="179" ht="15.75" customHeight="1">
      <c r="A179" s="6" t="s">
        <v>28730</v>
      </c>
      <c r="B179" s="6" t="s">
        <v>10130</v>
      </c>
      <c r="C179" s="68" t="s">
        <v>28731</v>
      </c>
      <c r="D179" s="6" t="b">
        <v>0</v>
      </c>
      <c r="E179" s="6" t="s">
        <v>28732</v>
      </c>
      <c r="F179" s="7"/>
      <c r="G179" s="7"/>
      <c r="H179" s="7"/>
      <c r="I179" s="7"/>
      <c r="J179" s="7"/>
      <c r="K179" s="7"/>
      <c r="L179" s="7"/>
      <c r="M179" s="7"/>
      <c r="N179" s="7"/>
      <c r="O179" s="7"/>
      <c r="P179" s="7"/>
      <c r="Q179" s="7"/>
      <c r="R179" s="7"/>
      <c r="S179" s="7"/>
      <c r="T179" s="7"/>
      <c r="U179" s="7"/>
      <c r="V179" s="7"/>
      <c r="W179" s="7"/>
      <c r="X179" s="7"/>
    </row>
    <row r="180" ht="15.75" customHeight="1">
      <c r="A180" s="6" t="s">
        <v>28733</v>
      </c>
      <c r="B180" s="6" t="s">
        <v>10130</v>
      </c>
      <c r="C180" s="68" t="s">
        <v>28734</v>
      </c>
      <c r="D180" s="6" t="b">
        <v>0</v>
      </c>
      <c r="E180" s="6" t="s">
        <v>28735</v>
      </c>
      <c r="F180" s="7"/>
      <c r="G180" s="7"/>
      <c r="H180" s="7"/>
      <c r="I180" s="7"/>
      <c r="J180" s="7"/>
      <c r="K180" s="7"/>
      <c r="L180" s="7"/>
      <c r="M180" s="7"/>
      <c r="N180" s="7"/>
      <c r="O180" s="7"/>
      <c r="P180" s="7"/>
      <c r="Q180" s="7"/>
      <c r="R180" s="7"/>
      <c r="S180" s="7"/>
      <c r="T180" s="7"/>
      <c r="U180" s="7"/>
      <c r="V180" s="7"/>
      <c r="W180" s="7"/>
      <c r="X180" s="7"/>
    </row>
    <row r="181" ht="15.75" customHeight="1">
      <c r="A181" s="6" t="s">
        <v>28736</v>
      </c>
      <c r="B181" s="6" t="s">
        <v>10130</v>
      </c>
      <c r="C181" s="68" t="s">
        <v>28737</v>
      </c>
      <c r="D181" s="6" t="b">
        <v>0</v>
      </c>
      <c r="E181" s="6" t="s">
        <v>28738</v>
      </c>
      <c r="F181" s="7"/>
      <c r="G181" s="7"/>
      <c r="H181" s="7"/>
      <c r="I181" s="7"/>
      <c r="J181" s="7"/>
      <c r="K181" s="7"/>
      <c r="L181" s="7"/>
      <c r="M181" s="7"/>
      <c r="N181" s="7"/>
      <c r="O181" s="7"/>
      <c r="P181" s="7"/>
      <c r="Q181" s="7"/>
      <c r="R181" s="7"/>
      <c r="S181" s="7"/>
      <c r="T181" s="7"/>
      <c r="U181" s="7"/>
      <c r="V181" s="7"/>
      <c r="W181" s="7"/>
      <c r="X181" s="7"/>
    </row>
    <row r="182" ht="15.75" customHeight="1">
      <c r="A182" s="6" t="s">
        <v>28739</v>
      </c>
      <c r="B182" s="6" t="s">
        <v>10130</v>
      </c>
      <c r="C182" s="68" t="s">
        <v>28740</v>
      </c>
      <c r="D182" s="6" t="b">
        <v>0</v>
      </c>
      <c r="E182" s="7"/>
      <c r="F182" s="7"/>
      <c r="G182" s="7"/>
      <c r="H182" s="7"/>
      <c r="I182" s="7"/>
      <c r="J182" s="7"/>
      <c r="K182" s="7"/>
      <c r="L182" s="7"/>
      <c r="M182" s="7"/>
      <c r="N182" s="7"/>
      <c r="O182" s="7"/>
      <c r="P182" s="7"/>
      <c r="Q182" s="7"/>
      <c r="R182" s="7"/>
      <c r="S182" s="7"/>
      <c r="T182" s="7"/>
      <c r="U182" s="7"/>
      <c r="V182" s="7"/>
      <c r="W182" s="7"/>
      <c r="X182" s="7"/>
    </row>
    <row r="183" ht="15.75" customHeight="1">
      <c r="A183" s="6"/>
      <c r="B183" s="6"/>
      <c r="C183" s="6"/>
      <c r="D183" s="6"/>
      <c r="E183" s="7"/>
      <c r="F183" s="7"/>
      <c r="G183" s="7"/>
      <c r="H183" s="7"/>
      <c r="I183" s="7"/>
      <c r="J183" s="7"/>
      <c r="K183" s="7"/>
      <c r="L183" s="7"/>
      <c r="M183" s="7"/>
      <c r="N183" s="7"/>
      <c r="O183" s="7"/>
      <c r="P183" s="7"/>
      <c r="Q183" s="7"/>
      <c r="R183" s="7"/>
      <c r="S183" s="7"/>
      <c r="T183" s="7"/>
      <c r="U183" s="7"/>
      <c r="V183" s="7"/>
      <c r="W183" s="7"/>
      <c r="X183" s="7"/>
    </row>
    <row r="184" ht="15.75" customHeight="1">
      <c r="A184" s="6"/>
      <c r="B184" s="6"/>
      <c r="C184" s="6"/>
      <c r="D184" s="6"/>
      <c r="E184" s="7"/>
      <c r="F184" s="7"/>
      <c r="G184" s="7"/>
      <c r="H184" s="7"/>
      <c r="I184" s="7"/>
      <c r="J184" s="7"/>
      <c r="K184" s="7"/>
      <c r="L184" s="7"/>
      <c r="M184" s="7"/>
      <c r="N184" s="7"/>
      <c r="O184" s="7"/>
      <c r="P184" s="7"/>
      <c r="Q184" s="7"/>
      <c r="R184" s="7"/>
      <c r="S184" s="7"/>
      <c r="T184" s="7"/>
      <c r="U184" s="7"/>
      <c r="V184" s="7"/>
      <c r="W184" s="7"/>
      <c r="X184" s="7"/>
    </row>
    <row r="185" ht="15.75" customHeight="1">
      <c r="A185" s="6" t="s">
        <v>28741</v>
      </c>
      <c r="B185" s="6" t="s">
        <v>10509</v>
      </c>
      <c r="C185" s="68" t="s">
        <v>28742</v>
      </c>
      <c r="D185" s="6" t="b">
        <v>0</v>
      </c>
      <c r="E185" s="7"/>
      <c r="F185" s="7"/>
      <c r="G185" s="7"/>
      <c r="H185" s="7"/>
      <c r="I185" s="7"/>
      <c r="J185" s="7"/>
      <c r="K185" s="7"/>
      <c r="L185" s="7"/>
      <c r="M185" s="7"/>
      <c r="N185" s="7"/>
      <c r="O185" s="7"/>
      <c r="P185" s="7"/>
      <c r="Q185" s="7"/>
      <c r="R185" s="7"/>
      <c r="S185" s="7"/>
      <c r="T185" s="7"/>
      <c r="U185" s="7"/>
      <c r="V185" s="7"/>
      <c r="W185" s="7"/>
      <c r="X185" s="7"/>
    </row>
    <row r="186" ht="15.75" customHeight="1">
      <c r="A186" s="6" t="s">
        <v>28743</v>
      </c>
      <c r="B186" s="6" t="s">
        <v>10509</v>
      </c>
      <c r="C186" s="68" t="s">
        <v>28744</v>
      </c>
      <c r="D186" s="6" t="b">
        <v>0</v>
      </c>
      <c r="E186" s="7"/>
      <c r="F186" s="7"/>
      <c r="G186" s="7"/>
      <c r="H186" s="7"/>
      <c r="I186" s="7"/>
      <c r="J186" s="7"/>
      <c r="K186" s="7"/>
      <c r="L186" s="7"/>
      <c r="M186" s="7"/>
      <c r="N186" s="7"/>
      <c r="O186" s="7"/>
      <c r="P186" s="7"/>
      <c r="Q186" s="7"/>
      <c r="R186" s="7"/>
      <c r="S186" s="7"/>
      <c r="T186" s="7"/>
      <c r="U186" s="7"/>
      <c r="V186" s="7"/>
      <c r="W186" s="7"/>
      <c r="X186" s="7"/>
    </row>
    <row r="187" ht="15.75" customHeight="1">
      <c r="A187" s="6" t="s">
        <v>28745</v>
      </c>
      <c r="B187" s="6" t="s">
        <v>11750</v>
      </c>
      <c r="C187" s="68" t="s">
        <v>28746</v>
      </c>
      <c r="D187" s="6" t="b">
        <v>1</v>
      </c>
      <c r="E187" s="7"/>
      <c r="F187" s="7"/>
      <c r="G187" s="7"/>
      <c r="H187" s="7"/>
      <c r="I187" s="7"/>
      <c r="J187" s="7"/>
      <c r="K187" s="7"/>
      <c r="L187" s="7"/>
      <c r="M187" s="7"/>
      <c r="N187" s="7"/>
      <c r="O187" s="7"/>
      <c r="P187" s="7"/>
      <c r="Q187" s="7"/>
      <c r="R187" s="7"/>
      <c r="S187" s="7"/>
      <c r="T187" s="7"/>
      <c r="U187" s="7"/>
      <c r="V187" s="7"/>
      <c r="W187" s="7"/>
      <c r="X187" s="7"/>
    </row>
    <row r="188" ht="15.75" customHeight="1">
      <c r="A188" s="6" t="s">
        <v>28747</v>
      </c>
      <c r="B188" s="6" t="s">
        <v>11750</v>
      </c>
      <c r="C188" s="68" t="s">
        <v>28748</v>
      </c>
      <c r="D188" s="6" t="b">
        <v>0</v>
      </c>
      <c r="E188" s="6" t="s">
        <v>28749</v>
      </c>
      <c r="F188" s="7"/>
      <c r="G188" s="7"/>
      <c r="H188" s="7"/>
      <c r="I188" s="7"/>
      <c r="J188" s="7"/>
      <c r="K188" s="7"/>
      <c r="L188" s="7"/>
      <c r="M188" s="7"/>
      <c r="N188" s="7"/>
      <c r="O188" s="7"/>
      <c r="P188" s="7"/>
      <c r="Q188" s="7"/>
      <c r="R188" s="7"/>
      <c r="S188" s="7"/>
      <c r="T188" s="7"/>
      <c r="U188" s="7"/>
      <c r="V188" s="7"/>
      <c r="W188" s="7"/>
      <c r="X188" s="7"/>
    </row>
    <row r="189" ht="15.75" customHeight="1">
      <c r="A189" s="6" t="s">
        <v>28750</v>
      </c>
      <c r="B189" s="6" t="s">
        <v>11750</v>
      </c>
      <c r="C189" s="68" t="s">
        <v>28751</v>
      </c>
      <c r="D189" s="6" t="b">
        <v>0</v>
      </c>
      <c r="E189" s="6" t="s">
        <v>28752</v>
      </c>
      <c r="F189" s="7"/>
      <c r="G189" s="7"/>
      <c r="H189" s="7"/>
      <c r="I189" s="7"/>
      <c r="J189" s="7"/>
      <c r="K189" s="7"/>
      <c r="L189" s="7"/>
      <c r="M189" s="7"/>
      <c r="N189" s="7"/>
      <c r="O189" s="7"/>
      <c r="P189" s="7"/>
      <c r="Q189" s="7"/>
      <c r="R189" s="7"/>
      <c r="S189" s="7"/>
      <c r="T189" s="7"/>
      <c r="U189" s="7"/>
      <c r="V189" s="7"/>
      <c r="W189" s="7"/>
      <c r="X189" s="7"/>
    </row>
    <row r="190" ht="15.75" customHeight="1">
      <c r="A190" s="6" t="s">
        <v>28753</v>
      </c>
      <c r="B190" s="6" t="s">
        <v>10552</v>
      </c>
      <c r="C190" s="68" t="s">
        <v>28754</v>
      </c>
      <c r="D190" s="6" t="b">
        <v>0</v>
      </c>
      <c r="E190" s="7"/>
      <c r="F190" s="7"/>
      <c r="G190" s="7"/>
      <c r="H190" s="7"/>
      <c r="I190" s="7"/>
      <c r="J190" s="7"/>
      <c r="K190" s="7"/>
      <c r="L190" s="7"/>
      <c r="M190" s="7"/>
      <c r="N190" s="7"/>
      <c r="O190" s="7"/>
      <c r="P190" s="7"/>
      <c r="Q190" s="7"/>
      <c r="R190" s="7"/>
      <c r="S190" s="7"/>
      <c r="T190" s="7"/>
      <c r="U190" s="7"/>
      <c r="V190" s="7"/>
      <c r="W190" s="7"/>
      <c r="X190" s="7"/>
    </row>
    <row r="191" ht="15.75" customHeight="1">
      <c r="A191" s="6" t="s">
        <v>28755</v>
      </c>
      <c r="B191" s="6" t="s">
        <v>10552</v>
      </c>
      <c r="C191" s="68" t="s">
        <v>28756</v>
      </c>
      <c r="D191" s="6" t="b">
        <v>0</v>
      </c>
      <c r="E191" s="7"/>
      <c r="F191" s="7"/>
      <c r="G191" s="7"/>
      <c r="H191" s="7"/>
      <c r="I191" s="7"/>
      <c r="J191" s="7"/>
      <c r="K191" s="7"/>
      <c r="L191" s="7"/>
      <c r="M191" s="7"/>
      <c r="N191" s="7"/>
      <c r="O191" s="7"/>
      <c r="P191" s="7"/>
      <c r="Q191" s="7"/>
      <c r="R191" s="7"/>
      <c r="S191" s="7"/>
      <c r="T191" s="7"/>
      <c r="U191" s="7"/>
      <c r="V191" s="7"/>
      <c r="W191" s="7"/>
      <c r="X191" s="7"/>
    </row>
    <row r="192" ht="15.75" customHeight="1">
      <c r="A192" s="6" t="s">
        <v>28757</v>
      </c>
      <c r="B192" s="6" t="s">
        <v>10552</v>
      </c>
      <c r="C192" s="68" t="s">
        <v>28758</v>
      </c>
      <c r="D192" s="6" t="b">
        <v>0</v>
      </c>
      <c r="E192" s="7"/>
      <c r="F192" s="7"/>
      <c r="G192" s="7"/>
      <c r="H192" s="7"/>
      <c r="I192" s="7"/>
      <c r="J192" s="7"/>
      <c r="K192" s="7"/>
      <c r="L192" s="7"/>
      <c r="M192" s="7"/>
      <c r="N192" s="7"/>
      <c r="O192" s="7"/>
      <c r="P192" s="7"/>
      <c r="Q192" s="7"/>
      <c r="R192" s="7"/>
      <c r="S192" s="7"/>
      <c r="T192" s="7"/>
      <c r="U192" s="7"/>
      <c r="V192" s="7"/>
      <c r="W192" s="7"/>
      <c r="X192" s="7"/>
    </row>
    <row r="193" ht="15.75" customHeight="1">
      <c r="A193" s="6" t="s">
        <v>28759</v>
      </c>
      <c r="B193" s="6" t="s">
        <v>10552</v>
      </c>
      <c r="C193" s="68" t="s">
        <v>28760</v>
      </c>
      <c r="D193" s="6" t="b">
        <v>0</v>
      </c>
      <c r="E193" s="7"/>
      <c r="F193" s="7"/>
      <c r="G193" s="7"/>
      <c r="H193" s="7"/>
      <c r="I193" s="7"/>
      <c r="J193" s="7"/>
      <c r="K193" s="7"/>
      <c r="L193" s="7"/>
      <c r="M193" s="7"/>
      <c r="N193" s="7"/>
      <c r="O193" s="7"/>
      <c r="P193" s="7"/>
      <c r="Q193" s="7"/>
      <c r="R193" s="7"/>
      <c r="S193" s="7"/>
      <c r="T193" s="7"/>
      <c r="U193" s="7"/>
      <c r="V193" s="7"/>
      <c r="W193" s="7"/>
      <c r="X193" s="7"/>
    </row>
    <row r="194" ht="15.75" customHeight="1">
      <c r="A194" s="6" t="s">
        <v>28761</v>
      </c>
      <c r="B194" s="6" t="s">
        <v>10552</v>
      </c>
      <c r="C194" s="68" t="s">
        <v>28762</v>
      </c>
      <c r="D194" s="6" t="b">
        <v>0</v>
      </c>
      <c r="E194" s="7"/>
      <c r="F194" s="7"/>
      <c r="G194" s="7"/>
      <c r="H194" s="7"/>
      <c r="I194" s="7"/>
      <c r="J194" s="7"/>
      <c r="K194" s="7"/>
      <c r="L194" s="7"/>
      <c r="M194" s="7"/>
      <c r="N194" s="7"/>
      <c r="O194" s="7"/>
      <c r="P194" s="7"/>
      <c r="Q194" s="7"/>
      <c r="R194" s="7"/>
      <c r="S194" s="7"/>
      <c r="T194" s="7"/>
      <c r="U194" s="7"/>
      <c r="V194" s="7"/>
      <c r="W194" s="7"/>
      <c r="X194" s="7"/>
    </row>
    <row r="195" ht="15.75" customHeight="1">
      <c r="A195" s="6" t="s">
        <v>28763</v>
      </c>
      <c r="B195" s="6" t="s">
        <v>4253</v>
      </c>
      <c r="C195" s="68" t="s">
        <v>28764</v>
      </c>
      <c r="D195" s="6" t="b">
        <v>1</v>
      </c>
      <c r="E195" s="7"/>
      <c r="F195" s="7"/>
      <c r="G195" s="7"/>
      <c r="H195" s="7"/>
      <c r="I195" s="7"/>
      <c r="J195" s="7"/>
      <c r="K195" s="7"/>
      <c r="L195" s="7"/>
      <c r="M195" s="7"/>
      <c r="N195" s="7"/>
      <c r="O195" s="7"/>
      <c r="P195" s="7"/>
      <c r="Q195" s="7"/>
      <c r="R195" s="7"/>
      <c r="S195" s="7"/>
      <c r="T195" s="7"/>
      <c r="U195" s="7"/>
      <c r="V195" s="7"/>
      <c r="W195" s="7"/>
      <c r="X195" s="7"/>
    </row>
    <row r="196" ht="15.75" customHeight="1">
      <c r="A196" s="6" t="s">
        <v>28765</v>
      </c>
      <c r="B196" s="6" t="s">
        <v>4253</v>
      </c>
      <c r="C196" s="68" t="s">
        <v>28766</v>
      </c>
      <c r="D196" s="6" t="b">
        <v>0</v>
      </c>
      <c r="E196" s="7"/>
      <c r="F196" s="7"/>
      <c r="G196" s="7"/>
      <c r="H196" s="7"/>
      <c r="I196" s="7"/>
      <c r="J196" s="7"/>
      <c r="K196" s="7"/>
      <c r="L196" s="7"/>
      <c r="M196" s="7"/>
      <c r="N196" s="7"/>
      <c r="O196" s="7"/>
      <c r="P196" s="7"/>
      <c r="Q196" s="7"/>
      <c r="R196" s="7"/>
      <c r="S196" s="7"/>
      <c r="T196" s="7"/>
      <c r="U196" s="7"/>
      <c r="V196" s="7"/>
      <c r="W196" s="7"/>
      <c r="X196" s="7"/>
    </row>
    <row r="197" ht="15.75" customHeight="1">
      <c r="A197" s="6" t="s">
        <v>28767</v>
      </c>
      <c r="B197" s="6" t="s">
        <v>4253</v>
      </c>
      <c r="C197" s="68" t="s">
        <v>28768</v>
      </c>
      <c r="D197" s="6" t="b">
        <v>0</v>
      </c>
      <c r="E197" s="7"/>
      <c r="F197" s="7"/>
      <c r="G197" s="7"/>
      <c r="H197" s="7"/>
      <c r="I197" s="7"/>
      <c r="J197" s="7"/>
      <c r="K197" s="7"/>
      <c r="L197" s="7"/>
      <c r="M197" s="7"/>
      <c r="N197" s="7"/>
      <c r="O197" s="7"/>
      <c r="P197" s="7"/>
      <c r="Q197" s="7"/>
      <c r="R197" s="7"/>
      <c r="S197" s="7"/>
      <c r="T197" s="7"/>
      <c r="U197" s="7"/>
      <c r="V197" s="7"/>
      <c r="W197" s="7"/>
      <c r="X197" s="7"/>
    </row>
    <row r="198" ht="15.75" customHeight="1">
      <c r="A198" s="6" t="s">
        <v>28769</v>
      </c>
      <c r="B198" s="6" t="s">
        <v>4253</v>
      </c>
      <c r="C198" s="68" t="s">
        <v>28770</v>
      </c>
      <c r="D198" s="6" t="b">
        <v>0</v>
      </c>
      <c r="E198" s="7"/>
      <c r="F198" s="7"/>
      <c r="G198" s="7"/>
      <c r="H198" s="7"/>
      <c r="I198" s="7"/>
      <c r="J198" s="7"/>
      <c r="K198" s="7"/>
      <c r="L198" s="7"/>
      <c r="M198" s="7"/>
      <c r="N198" s="7"/>
      <c r="O198" s="7"/>
      <c r="P198" s="7"/>
      <c r="Q198" s="7"/>
      <c r="R198" s="7"/>
      <c r="S198" s="7"/>
      <c r="T198" s="7"/>
      <c r="U198" s="7"/>
      <c r="V198" s="7"/>
      <c r="W198" s="7"/>
      <c r="X198" s="7"/>
    </row>
    <row r="199" ht="15.75" customHeight="1">
      <c r="A199" s="6" t="s">
        <v>28771</v>
      </c>
      <c r="B199" s="6" t="s">
        <v>4253</v>
      </c>
      <c r="C199" s="68" t="s">
        <v>28772</v>
      </c>
      <c r="D199" s="6" t="b">
        <v>0</v>
      </c>
      <c r="E199" s="7"/>
      <c r="F199" s="7"/>
      <c r="G199" s="7"/>
      <c r="H199" s="7"/>
      <c r="I199" s="7"/>
      <c r="J199" s="7"/>
      <c r="K199" s="7"/>
      <c r="L199" s="7"/>
      <c r="M199" s="7"/>
      <c r="N199" s="7"/>
      <c r="O199" s="7"/>
      <c r="P199" s="7"/>
      <c r="Q199" s="7"/>
      <c r="R199" s="7"/>
      <c r="S199" s="7"/>
      <c r="T199" s="7"/>
      <c r="U199" s="7"/>
      <c r="V199" s="7"/>
      <c r="W199" s="7"/>
      <c r="X199" s="7"/>
    </row>
    <row r="200" ht="15.75" customHeight="1">
      <c r="A200" s="6" t="s">
        <v>28773</v>
      </c>
      <c r="B200" s="6" t="s">
        <v>688</v>
      </c>
      <c r="C200" s="68" t="s">
        <v>28774</v>
      </c>
      <c r="D200" s="6" t="b">
        <v>1</v>
      </c>
      <c r="E200" s="7"/>
      <c r="F200" s="7"/>
      <c r="G200" s="7"/>
      <c r="H200" s="7"/>
      <c r="I200" s="7"/>
      <c r="J200" s="7"/>
      <c r="K200" s="7"/>
      <c r="L200" s="7"/>
      <c r="M200" s="7"/>
      <c r="N200" s="7"/>
      <c r="O200" s="7"/>
      <c r="P200" s="7"/>
      <c r="Q200" s="7"/>
      <c r="R200" s="7"/>
      <c r="S200" s="7"/>
      <c r="T200" s="7"/>
      <c r="U200" s="7"/>
      <c r="V200" s="7"/>
      <c r="W200" s="7"/>
      <c r="X200" s="7"/>
    </row>
    <row r="201" ht="15.75" customHeight="1">
      <c r="A201" s="6" t="s">
        <v>28775</v>
      </c>
      <c r="B201" s="6" t="s">
        <v>688</v>
      </c>
      <c r="C201" s="68" t="s">
        <v>28776</v>
      </c>
      <c r="D201" s="6" t="b">
        <v>0</v>
      </c>
      <c r="E201" s="7"/>
      <c r="F201" s="7"/>
      <c r="G201" s="7"/>
      <c r="H201" s="7"/>
      <c r="I201" s="7"/>
      <c r="J201" s="7"/>
      <c r="K201" s="7"/>
      <c r="L201" s="7"/>
      <c r="M201" s="7"/>
      <c r="N201" s="7"/>
      <c r="O201" s="7"/>
      <c r="P201" s="7"/>
      <c r="Q201" s="7"/>
      <c r="R201" s="7"/>
      <c r="S201" s="7"/>
      <c r="T201" s="7"/>
      <c r="U201" s="7"/>
      <c r="V201" s="7"/>
      <c r="W201" s="7"/>
      <c r="X201" s="7"/>
    </row>
    <row r="202" ht="15.75" customHeight="1">
      <c r="A202" s="6" t="s">
        <v>28777</v>
      </c>
      <c r="B202" s="6" t="s">
        <v>688</v>
      </c>
      <c r="C202" s="68" t="s">
        <v>28778</v>
      </c>
      <c r="D202" s="6" t="b">
        <v>0</v>
      </c>
      <c r="E202" s="7"/>
      <c r="F202" s="7"/>
      <c r="G202" s="7"/>
      <c r="H202" s="7"/>
      <c r="I202" s="7"/>
      <c r="J202" s="7"/>
      <c r="K202" s="7"/>
      <c r="L202" s="7"/>
      <c r="M202" s="7"/>
      <c r="N202" s="7"/>
      <c r="O202" s="7"/>
      <c r="P202" s="7"/>
      <c r="Q202" s="7"/>
      <c r="R202" s="7"/>
      <c r="S202" s="7"/>
      <c r="T202" s="7"/>
      <c r="U202" s="7"/>
      <c r="V202" s="7"/>
      <c r="W202" s="7"/>
      <c r="X202" s="7"/>
    </row>
    <row r="203" ht="15.75" customHeight="1">
      <c r="A203" s="6" t="s">
        <v>28779</v>
      </c>
      <c r="B203" s="6" t="s">
        <v>688</v>
      </c>
      <c r="C203" s="68" t="s">
        <v>28780</v>
      </c>
      <c r="D203" s="6" t="b">
        <v>0</v>
      </c>
      <c r="E203" s="7"/>
      <c r="F203" s="7"/>
      <c r="G203" s="7"/>
      <c r="H203" s="7"/>
      <c r="I203" s="7"/>
      <c r="J203" s="7"/>
      <c r="K203" s="7"/>
      <c r="L203" s="7"/>
      <c r="M203" s="7"/>
      <c r="N203" s="7"/>
      <c r="O203" s="7"/>
      <c r="P203" s="7"/>
      <c r="Q203" s="7"/>
      <c r="R203" s="7"/>
      <c r="S203" s="7"/>
      <c r="T203" s="7"/>
      <c r="U203" s="7"/>
      <c r="V203" s="7"/>
      <c r="W203" s="7"/>
      <c r="X203" s="7"/>
    </row>
    <row r="204" ht="15.75" customHeight="1">
      <c r="A204" s="6" t="s">
        <v>28781</v>
      </c>
      <c r="B204" s="6" t="s">
        <v>12118</v>
      </c>
      <c r="C204" s="68" t="s">
        <v>28782</v>
      </c>
      <c r="D204" s="6" t="b">
        <v>1</v>
      </c>
      <c r="E204" s="7"/>
      <c r="F204" s="7"/>
      <c r="G204" s="7"/>
      <c r="H204" s="7"/>
      <c r="I204" s="7"/>
      <c r="J204" s="7"/>
      <c r="K204" s="7"/>
      <c r="L204" s="7"/>
      <c r="M204" s="7"/>
      <c r="N204" s="7"/>
      <c r="O204" s="7"/>
      <c r="P204" s="7"/>
      <c r="Q204" s="7"/>
      <c r="R204" s="7"/>
      <c r="S204" s="7"/>
      <c r="T204" s="7"/>
      <c r="U204" s="7"/>
      <c r="V204" s="7"/>
      <c r="W204" s="7"/>
      <c r="X204" s="7"/>
    </row>
    <row r="205" ht="15.75" customHeight="1">
      <c r="A205" s="6" t="s">
        <v>28783</v>
      </c>
      <c r="B205" s="6" t="s">
        <v>12118</v>
      </c>
      <c r="C205" s="68" t="s">
        <v>28784</v>
      </c>
      <c r="D205" s="6" t="b">
        <v>0</v>
      </c>
      <c r="E205" s="7"/>
      <c r="F205" s="7"/>
      <c r="G205" s="7"/>
      <c r="H205" s="7"/>
      <c r="I205" s="7"/>
      <c r="J205" s="7"/>
      <c r="K205" s="7"/>
      <c r="L205" s="7"/>
      <c r="M205" s="7"/>
      <c r="N205" s="7"/>
      <c r="O205" s="7"/>
      <c r="P205" s="7"/>
      <c r="Q205" s="7"/>
      <c r="R205" s="7"/>
      <c r="S205" s="7"/>
      <c r="T205" s="7"/>
      <c r="U205" s="7"/>
      <c r="V205" s="7"/>
      <c r="W205" s="7"/>
      <c r="X205" s="7"/>
    </row>
    <row r="206" ht="15.75" customHeight="1">
      <c r="A206" s="6" t="s">
        <v>28785</v>
      </c>
      <c r="B206" s="6" t="s">
        <v>12118</v>
      </c>
      <c r="C206" s="68" t="s">
        <v>28786</v>
      </c>
      <c r="D206" s="6" t="b">
        <v>0</v>
      </c>
      <c r="E206" s="7"/>
      <c r="F206" s="7"/>
      <c r="G206" s="7"/>
      <c r="H206" s="7"/>
      <c r="I206" s="7"/>
      <c r="J206" s="7"/>
      <c r="K206" s="7"/>
      <c r="L206" s="7"/>
      <c r="M206" s="7"/>
      <c r="N206" s="7"/>
      <c r="O206" s="7"/>
      <c r="P206" s="7"/>
      <c r="Q206" s="7"/>
      <c r="R206" s="7"/>
      <c r="S206" s="7"/>
      <c r="T206" s="7"/>
      <c r="U206" s="7"/>
      <c r="V206" s="7"/>
      <c r="W206" s="7"/>
      <c r="X206" s="7"/>
    </row>
    <row r="207" ht="15.75" customHeight="1">
      <c r="A207" s="6" t="s">
        <v>28787</v>
      </c>
      <c r="B207" s="6" t="s">
        <v>12118</v>
      </c>
      <c r="C207" s="68" t="s">
        <v>28788</v>
      </c>
      <c r="D207" s="6" t="b">
        <v>0</v>
      </c>
      <c r="E207" s="7"/>
      <c r="F207" s="7"/>
      <c r="G207" s="7"/>
      <c r="H207" s="7"/>
      <c r="I207" s="7"/>
      <c r="J207" s="7"/>
      <c r="K207" s="7"/>
      <c r="L207" s="7"/>
      <c r="M207" s="7"/>
      <c r="N207" s="7"/>
      <c r="O207" s="7"/>
      <c r="P207" s="7"/>
      <c r="Q207" s="7"/>
      <c r="R207" s="7"/>
      <c r="S207" s="7"/>
      <c r="T207" s="7"/>
      <c r="U207" s="7"/>
      <c r="V207" s="7"/>
      <c r="W207" s="7"/>
      <c r="X207" s="7"/>
    </row>
    <row r="208" ht="15.75" customHeight="1">
      <c r="A208" s="6" t="s">
        <v>28789</v>
      </c>
      <c r="B208" s="6" t="s">
        <v>10344</v>
      </c>
      <c r="C208" s="68" t="s">
        <v>28790</v>
      </c>
      <c r="D208" s="6" t="b">
        <v>0</v>
      </c>
      <c r="E208" s="7"/>
      <c r="F208" s="7"/>
      <c r="G208" s="7"/>
      <c r="H208" s="7"/>
      <c r="I208" s="7"/>
      <c r="J208" s="7"/>
      <c r="K208" s="7"/>
      <c r="L208" s="7"/>
      <c r="M208" s="7"/>
      <c r="N208" s="7"/>
      <c r="O208" s="7"/>
      <c r="P208" s="7"/>
      <c r="Q208" s="7"/>
      <c r="R208" s="7"/>
      <c r="S208" s="7"/>
      <c r="T208" s="7"/>
      <c r="U208" s="7"/>
      <c r="V208" s="7"/>
      <c r="W208" s="7"/>
      <c r="X208" s="7"/>
    </row>
    <row r="209" ht="15.75" customHeight="1">
      <c r="A209" s="6" t="s">
        <v>28791</v>
      </c>
      <c r="B209" s="6" t="s">
        <v>10344</v>
      </c>
      <c r="C209" s="68" t="s">
        <v>28792</v>
      </c>
      <c r="D209" s="6" t="b">
        <v>0</v>
      </c>
      <c r="E209" s="7"/>
      <c r="F209" s="7"/>
      <c r="G209" s="7"/>
      <c r="H209" s="7"/>
      <c r="I209" s="7"/>
      <c r="J209" s="7"/>
      <c r="K209" s="7"/>
      <c r="L209" s="7"/>
      <c r="M209" s="7"/>
      <c r="N209" s="7"/>
      <c r="O209" s="7"/>
      <c r="P209" s="7"/>
      <c r="Q209" s="7"/>
      <c r="R209" s="7"/>
      <c r="S209" s="7"/>
      <c r="T209" s="7"/>
      <c r="U209" s="7"/>
      <c r="V209" s="7"/>
      <c r="W209" s="7"/>
      <c r="X209" s="7"/>
    </row>
    <row r="210" ht="15.75" customHeight="1">
      <c r="A210" s="9" t="s">
        <v>28793</v>
      </c>
      <c r="B210" s="9" t="s">
        <v>10344</v>
      </c>
      <c r="C210" s="8" t="s">
        <v>28794</v>
      </c>
      <c r="D210" s="9" t="b">
        <v>0</v>
      </c>
    </row>
    <row r="211" ht="15.75" customHeight="1">
      <c r="A211" s="9" t="s">
        <v>28795</v>
      </c>
      <c r="B211" s="9" t="s">
        <v>10344</v>
      </c>
      <c r="C211" s="8" t="s">
        <v>28796</v>
      </c>
      <c r="D211" s="9" t="b">
        <v>0</v>
      </c>
    </row>
    <row r="212" ht="15.75" customHeight="1">
      <c r="A212" s="9" t="s">
        <v>28797</v>
      </c>
      <c r="B212" s="9" t="s">
        <v>10344</v>
      </c>
      <c r="C212" s="8" t="s">
        <v>28798</v>
      </c>
      <c r="D212" s="9" t="b">
        <v>0</v>
      </c>
    </row>
    <row r="213" ht="15.75" customHeight="1">
      <c r="A213" s="9" t="s">
        <v>28799</v>
      </c>
      <c r="B213" s="9" t="s">
        <v>10344</v>
      </c>
      <c r="C213" s="8" t="s">
        <v>28800</v>
      </c>
      <c r="D213" s="9" t="b">
        <v>0</v>
      </c>
    </row>
    <row r="214" ht="15.75" customHeight="1">
      <c r="A214" s="9" t="s">
        <v>28801</v>
      </c>
      <c r="B214" s="9" t="s">
        <v>10344</v>
      </c>
      <c r="C214" s="8" t="s">
        <v>28802</v>
      </c>
      <c r="D214" s="9" t="b">
        <v>0</v>
      </c>
    </row>
    <row r="215" ht="15.75" customHeight="1">
      <c r="A215" s="9" t="s">
        <v>28803</v>
      </c>
      <c r="B215" s="9" t="s">
        <v>10344</v>
      </c>
      <c r="C215" s="8" t="s">
        <v>28804</v>
      </c>
      <c r="D215" s="9" t="b">
        <v>0</v>
      </c>
    </row>
    <row r="216" ht="15.75" customHeight="1">
      <c r="A216" s="9" t="s">
        <v>28805</v>
      </c>
      <c r="B216" s="9" t="s">
        <v>10344</v>
      </c>
      <c r="C216" s="8" t="s">
        <v>28806</v>
      </c>
      <c r="D216" s="9" t="b">
        <v>0</v>
      </c>
    </row>
    <row r="217" ht="15.75" customHeight="1">
      <c r="A217" s="9" t="s">
        <v>28807</v>
      </c>
      <c r="B217" s="9" t="s">
        <v>10344</v>
      </c>
      <c r="C217" s="8" t="s">
        <v>28808</v>
      </c>
      <c r="D217" s="9" t="b">
        <v>1</v>
      </c>
    </row>
    <row r="218" ht="15.75" customHeight="1">
      <c r="A218" s="9" t="s">
        <v>28809</v>
      </c>
      <c r="B218" s="9" t="s">
        <v>10344</v>
      </c>
      <c r="C218" s="8" t="s">
        <v>28810</v>
      </c>
      <c r="D218" s="9" t="b">
        <v>0</v>
      </c>
    </row>
    <row r="219" ht="15.75" customHeight="1">
      <c r="A219" s="9" t="s">
        <v>28811</v>
      </c>
      <c r="B219" s="9" t="s">
        <v>10344</v>
      </c>
      <c r="C219" s="8" t="s">
        <v>28812</v>
      </c>
      <c r="D219" s="9" t="b">
        <v>0</v>
      </c>
    </row>
    <row r="220" ht="15.75" customHeight="1">
      <c r="A220" s="9" t="s">
        <v>28813</v>
      </c>
      <c r="B220" s="9" t="s">
        <v>10344</v>
      </c>
      <c r="C220" s="8" t="s">
        <v>28814</v>
      </c>
      <c r="D220" s="9" t="b">
        <v>0</v>
      </c>
    </row>
    <row r="221" ht="15.75" customHeight="1">
      <c r="A221" s="9" t="s">
        <v>28815</v>
      </c>
      <c r="B221" s="9" t="s">
        <v>12118</v>
      </c>
      <c r="C221" s="8" t="s">
        <v>28816</v>
      </c>
      <c r="D221" s="9" t="b">
        <v>0</v>
      </c>
    </row>
    <row r="222" ht="15.75" customHeight="1">
      <c r="A222" s="9" t="s">
        <v>28817</v>
      </c>
      <c r="B222" s="9" t="s">
        <v>11999</v>
      </c>
      <c r="C222" s="8" t="s">
        <v>28818</v>
      </c>
      <c r="D222" s="9" t="b">
        <v>0</v>
      </c>
    </row>
    <row r="223" ht="15.75" customHeight="1">
      <c r="A223" s="9" t="s">
        <v>28819</v>
      </c>
      <c r="B223" s="9" t="s">
        <v>11999</v>
      </c>
      <c r="C223" s="8" t="s">
        <v>28820</v>
      </c>
      <c r="D223" s="9" t="b">
        <v>0</v>
      </c>
    </row>
    <row r="224" ht="15.75" customHeight="1">
      <c r="A224" s="9" t="s">
        <v>28821</v>
      </c>
      <c r="B224" s="9" t="s">
        <v>11999</v>
      </c>
      <c r="C224" s="8" t="s">
        <v>28822</v>
      </c>
      <c r="D224" s="9" t="b">
        <v>0</v>
      </c>
    </row>
    <row r="225" ht="15.75" customHeight="1">
      <c r="A225" s="9" t="s">
        <v>28823</v>
      </c>
      <c r="B225" s="9" t="s">
        <v>11999</v>
      </c>
      <c r="C225" s="8" t="s">
        <v>28824</v>
      </c>
      <c r="D225" s="9" t="b">
        <v>0</v>
      </c>
    </row>
    <row r="226" ht="15.75" customHeight="1">
      <c r="A226" s="9"/>
      <c r="B226" s="9"/>
      <c r="C226" s="9"/>
      <c r="D226" s="9"/>
      <c r="E226" s="9"/>
    </row>
    <row r="227" ht="15.75" customHeight="1">
      <c r="A227" s="9"/>
      <c r="B227" s="9"/>
      <c r="C227" s="9"/>
      <c r="D227" s="9"/>
    </row>
    <row r="228" ht="15.75" customHeight="1">
      <c r="A228" s="9"/>
      <c r="B228" s="9"/>
      <c r="C228" s="9"/>
      <c r="D228" s="9"/>
    </row>
    <row r="229" ht="15.75" customHeight="1">
      <c r="A229" s="9"/>
      <c r="B229" s="9"/>
      <c r="C229" s="9"/>
      <c r="D229" s="9"/>
    </row>
    <row r="230" ht="15.75" customHeight="1">
      <c r="A230" s="9"/>
      <c r="B230" s="9"/>
      <c r="C230" s="9"/>
      <c r="D230" s="9"/>
    </row>
    <row r="231" ht="15.75" customHeight="1">
      <c r="A231" s="9"/>
      <c r="B231" s="9"/>
      <c r="C231" s="9"/>
      <c r="D231" s="9"/>
    </row>
    <row r="232" ht="15.75" customHeight="1">
      <c r="A232" s="9"/>
      <c r="B232" s="9"/>
      <c r="C232" s="9"/>
      <c r="D232" s="9"/>
    </row>
    <row r="233" ht="15.75" customHeight="1">
      <c r="A233" s="9"/>
      <c r="B233" s="9"/>
      <c r="C233" s="9"/>
      <c r="D233" s="9"/>
    </row>
    <row r="234" ht="15.75" customHeight="1">
      <c r="A234" s="9"/>
      <c r="B234" s="9"/>
      <c r="C234" s="9"/>
      <c r="D234" s="9"/>
    </row>
    <row r="235" ht="15.75" customHeight="1">
      <c r="A235" s="9"/>
      <c r="B235" s="9"/>
      <c r="C235" s="9"/>
      <c r="D235" s="9"/>
    </row>
    <row r="236" ht="15.75" customHeight="1">
      <c r="A236" s="9"/>
      <c r="B236" s="9"/>
      <c r="C236" s="9"/>
      <c r="D236" s="9"/>
    </row>
    <row r="237" ht="15.75" customHeight="1">
      <c r="A237" s="9" t="s">
        <v>28825</v>
      </c>
      <c r="B237" s="9" t="s">
        <v>2136</v>
      </c>
      <c r="C237" s="8" t="s">
        <v>28826</v>
      </c>
      <c r="D237" s="9" t="b">
        <v>1</v>
      </c>
    </row>
    <row r="238" ht="15.75" customHeight="1">
      <c r="A238" s="9" t="s">
        <v>28827</v>
      </c>
      <c r="B238" s="9" t="s">
        <v>2136</v>
      </c>
      <c r="C238" s="8" t="s">
        <v>28828</v>
      </c>
      <c r="D238" s="9" t="b">
        <v>0</v>
      </c>
    </row>
    <row r="239" ht="15.75" customHeight="1">
      <c r="A239" s="9" t="s">
        <v>28829</v>
      </c>
      <c r="B239" s="9" t="s">
        <v>2136</v>
      </c>
      <c r="C239" s="8" t="s">
        <v>28830</v>
      </c>
      <c r="D239" s="9" t="b">
        <v>0</v>
      </c>
    </row>
    <row r="240" ht="15.75" customHeight="1">
      <c r="A240" s="9" t="s">
        <v>28831</v>
      </c>
      <c r="B240" s="9" t="s">
        <v>2136</v>
      </c>
      <c r="C240" s="8" t="s">
        <v>28832</v>
      </c>
      <c r="D240" s="9" t="b">
        <v>1</v>
      </c>
    </row>
    <row r="241" ht="15.75" customHeight="1">
      <c r="A241" s="9" t="s">
        <v>28833</v>
      </c>
      <c r="B241" s="9" t="s">
        <v>2136</v>
      </c>
      <c r="C241" s="8" t="s">
        <v>28834</v>
      </c>
      <c r="D241" s="9" t="b">
        <v>0</v>
      </c>
    </row>
    <row r="242" ht="15.75" customHeight="1">
      <c r="A242" s="9" t="s">
        <v>28835</v>
      </c>
      <c r="B242" s="9" t="s">
        <v>2136</v>
      </c>
      <c r="C242" s="8" t="s">
        <v>28836</v>
      </c>
      <c r="D242" s="9" t="b">
        <v>0</v>
      </c>
    </row>
    <row r="243" ht="15.75" customHeight="1">
      <c r="A243" s="9" t="s">
        <v>28837</v>
      </c>
      <c r="B243" s="9" t="s">
        <v>2136</v>
      </c>
      <c r="C243" s="8" t="s">
        <v>28838</v>
      </c>
      <c r="D243" s="9" t="b">
        <v>0</v>
      </c>
    </row>
    <row r="244" ht="15.75" customHeight="1">
      <c r="A244" s="9" t="s">
        <v>28839</v>
      </c>
      <c r="B244" s="9" t="s">
        <v>2136</v>
      </c>
      <c r="C244" s="8" t="s">
        <v>28840</v>
      </c>
      <c r="D244" s="9" t="b">
        <v>0</v>
      </c>
    </row>
    <row r="245" ht="15.75" customHeight="1">
      <c r="A245" s="9" t="s">
        <v>28841</v>
      </c>
      <c r="B245" s="9" t="s">
        <v>2136</v>
      </c>
      <c r="C245" s="8" t="s">
        <v>28842</v>
      </c>
      <c r="D245" s="9" t="b">
        <v>0</v>
      </c>
    </row>
    <row r="246" ht="15.75" customHeight="1">
      <c r="A246" s="9" t="s">
        <v>28843</v>
      </c>
      <c r="B246" s="9" t="s">
        <v>2136</v>
      </c>
      <c r="C246" s="8" t="s">
        <v>28844</v>
      </c>
      <c r="D246" s="9" t="b">
        <v>0</v>
      </c>
    </row>
    <row r="247" ht="15.75" customHeight="1">
      <c r="A247" s="9" t="s">
        <v>28845</v>
      </c>
      <c r="B247" s="9" t="s">
        <v>11999</v>
      </c>
      <c r="C247" s="8" t="s">
        <v>28846</v>
      </c>
      <c r="D247" s="9" t="b">
        <v>0</v>
      </c>
    </row>
    <row r="248" ht="15.75" customHeight="1">
      <c r="A248" s="9" t="s">
        <v>28847</v>
      </c>
      <c r="B248" s="9" t="s">
        <v>11999</v>
      </c>
      <c r="C248" s="8" t="s">
        <v>28848</v>
      </c>
      <c r="D248" s="9" t="b">
        <v>0</v>
      </c>
    </row>
    <row r="249" ht="15.75" customHeight="1">
      <c r="A249" s="9" t="s">
        <v>28849</v>
      </c>
      <c r="B249" s="9" t="s">
        <v>11999</v>
      </c>
      <c r="C249" s="8" t="s">
        <v>28850</v>
      </c>
      <c r="D249" s="9" t="b">
        <v>0</v>
      </c>
    </row>
    <row r="250" ht="15.75" customHeight="1">
      <c r="A250" s="9" t="s">
        <v>28851</v>
      </c>
      <c r="B250" s="9" t="s">
        <v>11999</v>
      </c>
      <c r="C250" s="8" t="s">
        <v>28852</v>
      </c>
      <c r="D250" s="9" t="b">
        <v>0</v>
      </c>
    </row>
    <row r="251" ht="15.75" customHeight="1">
      <c r="A251" s="9" t="s">
        <v>28853</v>
      </c>
      <c r="B251" s="9" t="s">
        <v>11999</v>
      </c>
      <c r="C251" s="8" t="s">
        <v>28854</v>
      </c>
      <c r="D251" s="9" t="b">
        <v>1</v>
      </c>
    </row>
    <row r="252" ht="15.75" customHeight="1">
      <c r="A252" s="9" t="s">
        <v>28855</v>
      </c>
      <c r="B252" s="9" t="s">
        <v>10285</v>
      </c>
      <c r="C252" s="8" t="s">
        <v>28856</v>
      </c>
      <c r="D252" s="9" t="b">
        <v>0</v>
      </c>
    </row>
    <row r="253" ht="15.75" customHeight="1">
      <c r="A253" s="9" t="s">
        <v>28857</v>
      </c>
      <c r="B253" s="9" t="s">
        <v>10285</v>
      </c>
      <c r="C253" s="8" t="s">
        <v>28858</v>
      </c>
      <c r="D253" s="9" t="b">
        <v>0</v>
      </c>
    </row>
    <row r="254" ht="15.75" customHeight="1">
      <c r="A254" s="9" t="s">
        <v>28859</v>
      </c>
      <c r="B254" s="9" t="s">
        <v>10285</v>
      </c>
      <c r="C254" s="8" t="s">
        <v>28860</v>
      </c>
      <c r="D254" s="9" t="b">
        <v>0</v>
      </c>
    </row>
    <row r="255" ht="15.75" customHeight="1">
      <c r="A255" s="9" t="s">
        <v>28861</v>
      </c>
      <c r="B255" s="9" t="s">
        <v>10285</v>
      </c>
      <c r="C255" s="8" t="s">
        <v>28862</v>
      </c>
      <c r="D255" s="9" t="b">
        <v>0</v>
      </c>
    </row>
    <row r="256" ht="15.75" customHeight="1">
      <c r="A256" s="9" t="s">
        <v>28863</v>
      </c>
      <c r="B256" s="9" t="s">
        <v>10285</v>
      </c>
      <c r="C256" s="8" t="s">
        <v>28864</v>
      </c>
      <c r="D256" s="9" t="b">
        <v>1</v>
      </c>
    </row>
    <row r="257" ht="15.75" customHeight="1">
      <c r="A257" s="9" t="s">
        <v>28865</v>
      </c>
      <c r="B257" s="9" t="s">
        <v>10285</v>
      </c>
      <c r="C257" s="8" t="s">
        <v>28866</v>
      </c>
      <c r="D257" s="9" t="b">
        <v>0</v>
      </c>
    </row>
    <row r="258" ht="15.75" customHeight="1">
      <c r="A258" s="9" t="s">
        <v>28867</v>
      </c>
      <c r="B258" s="9" t="s">
        <v>9639</v>
      </c>
      <c r="C258" s="8" t="s">
        <v>28868</v>
      </c>
      <c r="D258" s="9" t="b">
        <v>1</v>
      </c>
    </row>
    <row r="259" ht="15.75" customHeight="1">
      <c r="A259" s="9" t="s">
        <v>28869</v>
      </c>
      <c r="B259" s="9" t="s">
        <v>9639</v>
      </c>
      <c r="C259" s="8" t="s">
        <v>28870</v>
      </c>
      <c r="D259" s="9" t="b">
        <v>0</v>
      </c>
    </row>
    <row r="260" ht="15.75" customHeight="1">
      <c r="A260" s="9" t="s">
        <v>28871</v>
      </c>
      <c r="B260" s="9" t="s">
        <v>9639</v>
      </c>
      <c r="C260" s="8" t="s">
        <v>28872</v>
      </c>
      <c r="D260" s="9" t="b">
        <v>0</v>
      </c>
    </row>
    <row r="261" ht="15.75" customHeight="1">
      <c r="A261" s="9" t="s">
        <v>28873</v>
      </c>
      <c r="B261" s="9" t="s">
        <v>9639</v>
      </c>
      <c r="C261" s="8" t="s">
        <v>28874</v>
      </c>
      <c r="D261" s="9" t="b">
        <v>0</v>
      </c>
    </row>
    <row r="262" ht="15.75" customHeight="1">
      <c r="A262" s="9" t="s">
        <v>28875</v>
      </c>
      <c r="B262" s="9" t="s">
        <v>9639</v>
      </c>
      <c r="C262" s="8" t="s">
        <v>28876</v>
      </c>
      <c r="D262" s="9" t="b">
        <v>0</v>
      </c>
    </row>
    <row r="263" ht="15.75" customHeight="1">
      <c r="A263" s="9" t="s">
        <v>28877</v>
      </c>
      <c r="B263" s="9" t="s">
        <v>9639</v>
      </c>
      <c r="C263" s="8" t="s">
        <v>28878</v>
      </c>
      <c r="D263" s="9" t="b">
        <v>0</v>
      </c>
    </row>
    <row r="264" ht="15.75" customHeight="1">
      <c r="A264" s="9" t="s">
        <v>28879</v>
      </c>
      <c r="B264" s="9" t="s">
        <v>9639</v>
      </c>
      <c r="C264" s="8" t="s">
        <v>28880</v>
      </c>
      <c r="D264" s="9" t="b">
        <v>0</v>
      </c>
    </row>
    <row r="265" ht="15.75" customHeight="1">
      <c r="A265" s="9" t="s">
        <v>28881</v>
      </c>
      <c r="B265" s="9" t="s">
        <v>9639</v>
      </c>
      <c r="C265" s="8" t="s">
        <v>28882</v>
      </c>
      <c r="D265" s="9" t="b">
        <v>0</v>
      </c>
    </row>
    <row r="266" ht="15.75" customHeight="1">
      <c r="A266" s="9" t="s">
        <v>28883</v>
      </c>
      <c r="B266" s="9" t="s">
        <v>7640</v>
      </c>
      <c r="C266" s="8" t="s">
        <v>28884</v>
      </c>
      <c r="D266" s="9" t="b">
        <v>0</v>
      </c>
    </row>
    <row r="267" ht="15.75" customHeight="1">
      <c r="A267" s="9" t="s">
        <v>28885</v>
      </c>
      <c r="B267" s="9" t="s">
        <v>7640</v>
      </c>
      <c r="C267" s="8" t="s">
        <v>28886</v>
      </c>
      <c r="D267" s="9" t="b">
        <v>0</v>
      </c>
    </row>
    <row r="268" ht="15.75" customHeight="1">
      <c r="A268" s="9" t="s">
        <v>28887</v>
      </c>
      <c r="B268" s="9" t="s">
        <v>7640</v>
      </c>
      <c r="C268" s="8" t="s">
        <v>28888</v>
      </c>
      <c r="D268" s="9" t="b">
        <v>0</v>
      </c>
    </row>
    <row r="269" ht="15.75" customHeight="1">
      <c r="A269" s="9" t="s">
        <v>28889</v>
      </c>
      <c r="B269" s="9" t="s">
        <v>7640</v>
      </c>
      <c r="C269" s="8" t="s">
        <v>28890</v>
      </c>
      <c r="D269" s="9" t="b">
        <v>0</v>
      </c>
    </row>
    <row r="270" ht="15.75" customHeight="1">
      <c r="A270" s="9" t="s">
        <v>28891</v>
      </c>
      <c r="B270" s="9" t="s">
        <v>7640</v>
      </c>
      <c r="C270" s="8" t="s">
        <v>28892</v>
      </c>
      <c r="D270" s="9" t="b">
        <v>0</v>
      </c>
    </row>
    <row r="271" ht="15.75" customHeight="1">
      <c r="A271" s="9" t="s">
        <v>28893</v>
      </c>
      <c r="B271" s="9" t="s">
        <v>7640</v>
      </c>
      <c r="C271" s="8" t="s">
        <v>28894</v>
      </c>
      <c r="D271" s="9" t="b">
        <v>0</v>
      </c>
    </row>
    <row r="272" ht="15.75" customHeight="1">
      <c r="A272" s="9" t="s">
        <v>28895</v>
      </c>
      <c r="B272" s="9" t="s">
        <v>7640</v>
      </c>
      <c r="C272" s="8" t="s">
        <v>28896</v>
      </c>
      <c r="D272" s="9" t="b">
        <v>1</v>
      </c>
    </row>
    <row r="273" ht="15.75" customHeight="1">
      <c r="A273" s="9" t="s">
        <v>28897</v>
      </c>
      <c r="B273" s="9" t="s">
        <v>9514</v>
      </c>
      <c r="C273" s="8" t="s">
        <v>28898</v>
      </c>
      <c r="D273" s="9" t="b">
        <v>0</v>
      </c>
    </row>
    <row r="274" ht="15.75" customHeight="1">
      <c r="A274" s="9" t="s">
        <v>28899</v>
      </c>
      <c r="B274" s="9" t="s">
        <v>9514</v>
      </c>
      <c r="C274" s="8" t="s">
        <v>28900</v>
      </c>
      <c r="D274" s="9" t="b">
        <v>0</v>
      </c>
    </row>
    <row r="275" ht="15.75" customHeight="1">
      <c r="A275" s="9" t="s">
        <v>28901</v>
      </c>
      <c r="B275" s="9" t="s">
        <v>9514</v>
      </c>
      <c r="C275" s="8" t="s">
        <v>28902</v>
      </c>
      <c r="D275" s="9" t="b">
        <v>1</v>
      </c>
    </row>
    <row r="276" ht="15.75" customHeight="1">
      <c r="A276" s="9" t="s">
        <v>28903</v>
      </c>
      <c r="B276" s="9" t="s">
        <v>9514</v>
      </c>
      <c r="C276" s="8" t="s">
        <v>28904</v>
      </c>
      <c r="D276" s="9" t="b">
        <v>0</v>
      </c>
    </row>
    <row r="277" ht="15.75" customHeight="1">
      <c r="A277" s="9" t="s">
        <v>28905</v>
      </c>
      <c r="B277" s="9" t="s">
        <v>9514</v>
      </c>
      <c r="C277" s="8" t="s">
        <v>28906</v>
      </c>
      <c r="D277" s="9" t="b">
        <v>0</v>
      </c>
    </row>
    <row r="278" ht="15.75" customHeight="1">
      <c r="A278" s="9"/>
      <c r="B278" s="9"/>
      <c r="C278" s="9"/>
      <c r="D278" s="9"/>
    </row>
    <row r="279" ht="15.75" customHeight="1">
      <c r="A279" s="9" t="s">
        <v>28907</v>
      </c>
      <c r="B279" s="9" t="s">
        <v>9429</v>
      </c>
      <c r="C279" s="8" t="s">
        <v>28908</v>
      </c>
      <c r="D279" s="9" t="b">
        <v>0</v>
      </c>
    </row>
    <row r="280" ht="15.75" customHeight="1">
      <c r="A280" s="9" t="s">
        <v>28909</v>
      </c>
      <c r="B280" s="9" t="s">
        <v>9429</v>
      </c>
      <c r="C280" s="8" t="s">
        <v>28910</v>
      </c>
      <c r="D280" s="9" t="b">
        <v>0</v>
      </c>
    </row>
    <row r="281" ht="15.75" customHeight="1">
      <c r="A281" s="9" t="s">
        <v>28911</v>
      </c>
      <c r="B281" s="9" t="s">
        <v>9429</v>
      </c>
      <c r="C281" s="8" t="s">
        <v>28912</v>
      </c>
      <c r="D281" s="9" t="b">
        <v>0</v>
      </c>
    </row>
    <row r="282" ht="15.75" customHeight="1">
      <c r="A282" s="9" t="s">
        <v>28913</v>
      </c>
      <c r="B282" s="9" t="s">
        <v>9429</v>
      </c>
      <c r="C282" s="8" t="s">
        <v>28914</v>
      </c>
      <c r="D282" s="9" t="b">
        <v>0</v>
      </c>
    </row>
    <row r="283" ht="15.75" customHeight="1">
      <c r="A283" s="9" t="s">
        <v>28915</v>
      </c>
      <c r="B283" s="9" t="s">
        <v>9429</v>
      </c>
      <c r="C283" s="8" t="s">
        <v>28916</v>
      </c>
      <c r="D283" s="9" t="b">
        <v>0</v>
      </c>
    </row>
    <row r="284" ht="15.75" customHeight="1">
      <c r="A284" s="9" t="s">
        <v>28917</v>
      </c>
      <c r="B284" s="9" t="s">
        <v>9429</v>
      </c>
      <c r="C284" s="8" t="s">
        <v>28918</v>
      </c>
      <c r="D284" s="9" t="b">
        <v>0</v>
      </c>
    </row>
    <row r="285" ht="15.75" customHeight="1">
      <c r="A285" s="9" t="s">
        <v>28919</v>
      </c>
      <c r="B285" s="9" t="s">
        <v>2193</v>
      </c>
      <c r="C285" s="8" t="s">
        <v>28920</v>
      </c>
      <c r="D285" s="9" t="b">
        <v>0</v>
      </c>
    </row>
    <row r="286" ht="15.75" customHeight="1">
      <c r="A286" s="9" t="s">
        <v>28921</v>
      </c>
      <c r="B286" s="9" t="s">
        <v>2193</v>
      </c>
      <c r="C286" s="8" t="s">
        <v>28922</v>
      </c>
      <c r="D286" s="9" t="b">
        <v>0</v>
      </c>
    </row>
    <row r="287" ht="15.75" customHeight="1">
      <c r="A287" s="9" t="s">
        <v>28923</v>
      </c>
      <c r="B287" s="9" t="s">
        <v>2193</v>
      </c>
      <c r="C287" s="8" t="s">
        <v>28924</v>
      </c>
      <c r="D287" s="9" t="b">
        <v>0</v>
      </c>
    </row>
    <row r="288" ht="15.75" customHeight="1">
      <c r="A288" s="9" t="s">
        <v>28925</v>
      </c>
      <c r="B288" s="9" t="s">
        <v>2193</v>
      </c>
      <c r="C288" s="8" t="s">
        <v>28926</v>
      </c>
      <c r="D288" s="9" t="b">
        <v>0</v>
      </c>
    </row>
    <row r="289" ht="15.75" customHeight="1">
      <c r="A289" s="52" t="s">
        <v>28927</v>
      </c>
      <c r="B289" s="9" t="s">
        <v>2193</v>
      </c>
      <c r="C289" s="8" t="s">
        <v>28928</v>
      </c>
      <c r="D289" s="9" t="b">
        <v>0</v>
      </c>
    </row>
    <row r="290" ht="15.75" customHeight="1">
      <c r="A290" s="9" t="s">
        <v>28929</v>
      </c>
      <c r="B290" s="9" t="s">
        <v>2193</v>
      </c>
      <c r="C290" s="8" t="s">
        <v>28930</v>
      </c>
      <c r="D290" s="9" t="b">
        <v>0</v>
      </c>
    </row>
    <row r="291" ht="15.75" customHeight="1">
      <c r="A291" s="9" t="s">
        <v>28931</v>
      </c>
      <c r="B291" s="9" t="s">
        <v>8568</v>
      </c>
      <c r="C291" s="8" t="s">
        <v>28932</v>
      </c>
      <c r="D291" s="9" t="b">
        <v>1</v>
      </c>
    </row>
    <row r="292" ht="15.75" customHeight="1">
      <c r="A292" s="9" t="s">
        <v>28933</v>
      </c>
      <c r="B292" s="9" t="s">
        <v>8568</v>
      </c>
      <c r="C292" s="8" t="s">
        <v>28934</v>
      </c>
      <c r="D292" s="9" t="b">
        <v>0</v>
      </c>
    </row>
    <row r="293" ht="15.75" customHeight="1">
      <c r="A293" s="9" t="s">
        <v>28935</v>
      </c>
      <c r="B293" s="9" t="s">
        <v>8568</v>
      </c>
      <c r="C293" s="8" t="s">
        <v>28936</v>
      </c>
      <c r="D293" s="9" t="b">
        <v>0</v>
      </c>
    </row>
    <row r="294" ht="15.75" customHeight="1">
      <c r="A294" s="9" t="s">
        <v>28937</v>
      </c>
      <c r="B294" s="9" t="s">
        <v>8568</v>
      </c>
      <c r="C294" s="8" t="s">
        <v>28938</v>
      </c>
      <c r="D294" s="9" t="b">
        <v>0</v>
      </c>
    </row>
    <row r="295" ht="15.75" customHeight="1">
      <c r="A295" s="9" t="s">
        <v>28939</v>
      </c>
      <c r="B295" s="9" t="s">
        <v>8568</v>
      </c>
      <c r="C295" s="8" t="s">
        <v>28940</v>
      </c>
      <c r="D295" s="9" t="b">
        <v>0</v>
      </c>
    </row>
    <row r="296" ht="15.75" customHeight="1">
      <c r="A296" s="9" t="s">
        <v>28941</v>
      </c>
      <c r="B296" s="9" t="s">
        <v>8568</v>
      </c>
      <c r="C296" s="8" t="s">
        <v>28942</v>
      </c>
      <c r="D296" s="9" t="b">
        <v>0</v>
      </c>
    </row>
    <row r="297" ht="15.75" customHeight="1">
      <c r="A297" s="9" t="s">
        <v>28943</v>
      </c>
      <c r="B297" s="9" t="s">
        <v>8568</v>
      </c>
      <c r="C297" s="8" t="s">
        <v>28944</v>
      </c>
      <c r="D297" s="9" t="b">
        <v>0</v>
      </c>
    </row>
    <row r="298" ht="15.75" customHeight="1">
      <c r="A298" s="9" t="s">
        <v>28945</v>
      </c>
      <c r="B298" s="9" t="s">
        <v>8568</v>
      </c>
      <c r="C298" s="8" t="s">
        <v>28946</v>
      </c>
      <c r="D298" s="9" t="b">
        <v>0</v>
      </c>
    </row>
    <row r="299" ht="15.75" customHeight="1">
      <c r="A299" s="9" t="s">
        <v>28947</v>
      </c>
      <c r="B299" s="9" t="s">
        <v>261</v>
      </c>
      <c r="C299" s="8" t="s">
        <v>28948</v>
      </c>
      <c r="D299" s="9" t="b">
        <v>0</v>
      </c>
    </row>
    <row r="300" ht="15.75" customHeight="1">
      <c r="A300" s="9" t="s">
        <v>28949</v>
      </c>
      <c r="B300" s="9" t="s">
        <v>261</v>
      </c>
      <c r="C300" s="8" t="s">
        <v>28950</v>
      </c>
      <c r="D300" s="9" t="b">
        <v>0</v>
      </c>
    </row>
    <row r="301" ht="15.75" customHeight="1">
      <c r="A301" s="9" t="s">
        <v>28951</v>
      </c>
      <c r="B301" s="9" t="s">
        <v>261</v>
      </c>
      <c r="C301" s="8" t="s">
        <v>28952</v>
      </c>
      <c r="D301" s="9" t="b">
        <v>0</v>
      </c>
    </row>
    <row r="302" ht="15.75" customHeight="1">
      <c r="A302" s="9" t="s">
        <v>28953</v>
      </c>
      <c r="B302" s="9" t="s">
        <v>261</v>
      </c>
      <c r="C302" s="8" t="s">
        <v>28954</v>
      </c>
      <c r="D302" s="9" t="b">
        <v>0</v>
      </c>
    </row>
    <row r="303" ht="15.75" customHeight="1">
      <c r="A303" s="9" t="s">
        <v>28955</v>
      </c>
      <c r="B303" s="9" t="s">
        <v>261</v>
      </c>
      <c r="C303" s="8" t="s">
        <v>28956</v>
      </c>
      <c r="D303" s="9" t="b">
        <v>0</v>
      </c>
    </row>
    <row r="304" ht="15.75" customHeight="1">
      <c r="A304" s="9" t="s">
        <v>28957</v>
      </c>
      <c r="B304" s="9" t="s">
        <v>261</v>
      </c>
      <c r="C304" s="8" t="s">
        <v>28958</v>
      </c>
      <c r="D304" s="9" t="b">
        <v>0</v>
      </c>
    </row>
    <row r="305" ht="15.75" customHeight="1">
      <c r="A305" s="9" t="s">
        <v>28959</v>
      </c>
      <c r="B305" s="9" t="s">
        <v>261</v>
      </c>
      <c r="C305" s="8" t="s">
        <v>28960</v>
      </c>
      <c r="D305" s="9" t="b">
        <v>0</v>
      </c>
    </row>
    <row r="306" ht="15.75" customHeight="1">
      <c r="A306" s="9" t="s">
        <v>28961</v>
      </c>
      <c r="B306" s="9" t="s">
        <v>3527</v>
      </c>
      <c r="C306" s="8" t="s">
        <v>28962</v>
      </c>
      <c r="D306" s="9" t="b">
        <v>1</v>
      </c>
    </row>
    <row r="307" ht="15.75" customHeight="1">
      <c r="A307" s="9" t="s">
        <v>28963</v>
      </c>
      <c r="B307" s="9" t="s">
        <v>3527</v>
      </c>
      <c r="C307" s="8" t="s">
        <v>28964</v>
      </c>
      <c r="D307" s="9" t="b">
        <v>0</v>
      </c>
    </row>
    <row r="308" ht="15.75" customHeight="1">
      <c r="A308" s="9" t="s">
        <v>28965</v>
      </c>
      <c r="B308" s="9" t="s">
        <v>3527</v>
      </c>
      <c r="C308" s="8" t="s">
        <v>28966</v>
      </c>
      <c r="D308" s="9" t="b">
        <v>0</v>
      </c>
    </row>
    <row r="309" ht="15.75" customHeight="1">
      <c r="A309" s="9" t="s">
        <v>28967</v>
      </c>
      <c r="B309" s="9" t="s">
        <v>3527</v>
      </c>
      <c r="C309" s="8" t="s">
        <v>28968</v>
      </c>
      <c r="D309" s="9" t="b">
        <v>0</v>
      </c>
    </row>
    <row r="310" ht="15.75" customHeight="1">
      <c r="A310" s="9" t="s">
        <v>28969</v>
      </c>
      <c r="B310" s="9" t="s">
        <v>3527</v>
      </c>
      <c r="C310" s="8" t="s">
        <v>28970</v>
      </c>
      <c r="D310" s="9" t="b">
        <v>0</v>
      </c>
    </row>
    <row r="311" ht="15.75" customHeight="1">
      <c r="A311" s="9" t="s">
        <v>28971</v>
      </c>
      <c r="B311" s="9" t="s">
        <v>3527</v>
      </c>
      <c r="C311" s="8" t="s">
        <v>28972</v>
      </c>
      <c r="D311" s="9" t="b">
        <v>0</v>
      </c>
    </row>
    <row r="312" ht="15.75" customHeight="1">
      <c r="A312" s="9" t="s">
        <v>28973</v>
      </c>
      <c r="B312" s="9" t="s">
        <v>3527</v>
      </c>
      <c r="C312" s="8" t="s">
        <v>28974</v>
      </c>
      <c r="D312" s="9" t="b">
        <v>0</v>
      </c>
    </row>
    <row r="313" ht="15.75" customHeight="1">
      <c r="A313" s="9" t="s">
        <v>28975</v>
      </c>
      <c r="B313" s="9" t="s">
        <v>3527</v>
      </c>
      <c r="C313" s="8" t="s">
        <v>28976</v>
      </c>
      <c r="D313" s="9" t="b">
        <v>0</v>
      </c>
    </row>
    <row r="314" ht="15.75" customHeight="1">
      <c r="A314" s="9"/>
      <c r="B314" s="9"/>
      <c r="C314" s="9"/>
      <c r="D314" s="9"/>
    </row>
    <row r="315" ht="15.75" customHeight="1">
      <c r="A315" s="9"/>
      <c r="B315" s="9"/>
      <c r="C315" s="9"/>
      <c r="D315" s="9"/>
    </row>
    <row r="316" ht="15.75" customHeight="1">
      <c r="A316" s="9" t="s">
        <v>28977</v>
      </c>
      <c r="B316" s="9" t="s">
        <v>9583</v>
      </c>
      <c r="C316" s="8" t="s">
        <v>28978</v>
      </c>
      <c r="D316" s="9" t="b">
        <v>1</v>
      </c>
    </row>
    <row r="317" ht="15.75" customHeight="1">
      <c r="A317" s="9" t="s">
        <v>28979</v>
      </c>
      <c r="B317" s="9" t="s">
        <v>9583</v>
      </c>
      <c r="C317" s="8" t="s">
        <v>28980</v>
      </c>
      <c r="D317" s="9" t="b">
        <v>0</v>
      </c>
    </row>
    <row r="318" ht="15.75" customHeight="1">
      <c r="A318" s="9" t="s">
        <v>28981</v>
      </c>
      <c r="B318" s="9" t="s">
        <v>9583</v>
      </c>
      <c r="C318" s="8" t="s">
        <v>28982</v>
      </c>
      <c r="D318" s="9" t="b">
        <v>0</v>
      </c>
    </row>
    <row r="319" ht="15.75" customHeight="1">
      <c r="A319" s="9" t="s">
        <v>28983</v>
      </c>
      <c r="B319" s="9" t="s">
        <v>9218</v>
      </c>
      <c r="C319" s="8" t="s">
        <v>28984</v>
      </c>
      <c r="D319" s="9" t="b">
        <v>0</v>
      </c>
    </row>
    <row r="320" ht="15.75" customHeight="1">
      <c r="A320" s="9" t="s">
        <v>28985</v>
      </c>
      <c r="B320" s="9" t="s">
        <v>9218</v>
      </c>
      <c r="C320" s="8" t="s">
        <v>28986</v>
      </c>
      <c r="D320" s="9" t="b">
        <v>0</v>
      </c>
    </row>
    <row r="321" ht="15.75" customHeight="1">
      <c r="A321" s="9" t="s">
        <v>28987</v>
      </c>
      <c r="B321" s="9" t="s">
        <v>9218</v>
      </c>
      <c r="C321" s="8" t="s">
        <v>28988</v>
      </c>
      <c r="D321" s="9" t="b">
        <v>0</v>
      </c>
    </row>
    <row r="322" ht="15.75" customHeight="1">
      <c r="A322" s="9" t="s">
        <v>28989</v>
      </c>
      <c r="B322" s="9" t="s">
        <v>9218</v>
      </c>
      <c r="C322" s="8" t="s">
        <v>28990</v>
      </c>
      <c r="D322" s="9" t="b">
        <v>0</v>
      </c>
    </row>
    <row r="323" ht="15.75" customHeight="1">
      <c r="A323" s="9" t="s">
        <v>28991</v>
      </c>
      <c r="B323" s="9" t="s">
        <v>9218</v>
      </c>
      <c r="C323" s="8" t="s">
        <v>28992</v>
      </c>
      <c r="D323" s="9" t="b">
        <v>1</v>
      </c>
    </row>
    <row r="324" ht="15.75" customHeight="1">
      <c r="A324" s="9" t="s">
        <v>28993</v>
      </c>
      <c r="B324" s="9" t="s">
        <v>9218</v>
      </c>
      <c r="C324" s="8" t="s">
        <v>28994</v>
      </c>
      <c r="D324" s="9" t="b">
        <v>0</v>
      </c>
    </row>
    <row r="325" ht="15.75" customHeight="1">
      <c r="A325" s="9" t="s">
        <v>28995</v>
      </c>
      <c r="B325" s="9" t="s">
        <v>9218</v>
      </c>
      <c r="C325" s="8" t="s">
        <v>28996</v>
      </c>
      <c r="D325" s="9" t="b">
        <v>0</v>
      </c>
    </row>
    <row r="326" ht="15.75" customHeight="1">
      <c r="A326" s="9" t="s">
        <v>28997</v>
      </c>
      <c r="B326" s="9" t="s">
        <v>9218</v>
      </c>
      <c r="C326" s="8" t="s">
        <v>28998</v>
      </c>
      <c r="D326" s="9" t="b">
        <v>0</v>
      </c>
    </row>
    <row r="327" ht="15.75" customHeight="1">
      <c r="A327" s="9" t="s">
        <v>28999</v>
      </c>
      <c r="B327" s="9" t="s">
        <v>9218</v>
      </c>
      <c r="C327" s="8" t="s">
        <v>29000</v>
      </c>
      <c r="D327" s="9" t="b">
        <v>0</v>
      </c>
    </row>
    <row r="328" ht="15.75" customHeight="1">
      <c r="A328" s="9" t="s">
        <v>29001</v>
      </c>
      <c r="B328" s="9" t="s">
        <v>9639</v>
      </c>
      <c r="C328" s="8" t="s">
        <v>29002</v>
      </c>
      <c r="D328" s="9" t="b">
        <v>0</v>
      </c>
    </row>
    <row r="329" ht="15.75" customHeight="1">
      <c r="A329" s="9" t="s">
        <v>29003</v>
      </c>
      <c r="B329" s="9" t="s">
        <v>11657</v>
      </c>
      <c r="C329" s="8" t="s">
        <v>29004</v>
      </c>
      <c r="D329" s="9" t="b">
        <v>0</v>
      </c>
    </row>
    <row r="330" ht="15.75" customHeight="1">
      <c r="A330" s="9" t="s">
        <v>29005</v>
      </c>
      <c r="B330" s="9" t="s">
        <v>11657</v>
      </c>
      <c r="C330" s="8" t="s">
        <v>29006</v>
      </c>
      <c r="D330" s="9" t="b">
        <v>0</v>
      </c>
    </row>
    <row r="331" ht="15.75" customHeight="1">
      <c r="A331" s="9" t="s">
        <v>29007</v>
      </c>
      <c r="B331" s="9" t="s">
        <v>11657</v>
      </c>
      <c r="C331" s="8" t="s">
        <v>29008</v>
      </c>
      <c r="D331" s="9" t="b">
        <v>0</v>
      </c>
    </row>
    <row r="332" ht="15.75" customHeight="1">
      <c r="A332" s="9" t="s">
        <v>29009</v>
      </c>
      <c r="B332" s="9" t="s">
        <v>11657</v>
      </c>
      <c r="C332" s="8" t="s">
        <v>29010</v>
      </c>
      <c r="D332" s="9" t="b">
        <v>0</v>
      </c>
    </row>
    <row r="333" ht="15.75" customHeight="1">
      <c r="A333" s="9" t="s">
        <v>29011</v>
      </c>
      <c r="B333" s="9" t="s">
        <v>11657</v>
      </c>
      <c r="C333" s="8" t="s">
        <v>29012</v>
      </c>
      <c r="D333" s="9" t="b">
        <v>0</v>
      </c>
    </row>
    <row r="334" ht="15.75" customHeight="1">
      <c r="A334" s="52" t="s">
        <v>29013</v>
      </c>
      <c r="B334" s="9" t="s">
        <v>255</v>
      </c>
      <c r="C334" s="8" t="s">
        <v>29014</v>
      </c>
      <c r="D334" s="9" t="b">
        <v>0</v>
      </c>
    </row>
    <row r="335" ht="15.75" customHeight="1">
      <c r="A335" s="9" t="s">
        <v>29015</v>
      </c>
      <c r="B335" s="9" t="s">
        <v>255</v>
      </c>
      <c r="C335" s="8" t="s">
        <v>29016</v>
      </c>
      <c r="D335" s="9" t="b">
        <v>0</v>
      </c>
    </row>
    <row r="336" ht="15.75" customHeight="1">
      <c r="A336" s="9" t="s">
        <v>29017</v>
      </c>
      <c r="B336" s="9" t="s">
        <v>255</v>
      </c>
      <c r="C336" s="8" t="s">
        <v>29018</v>
      </c>
      <c r="D336" s="9" t="b">
        <v>0</v>
      </c>
    </row>
    <row r="337" ht="15.75" customHeight="1">
      <c r="A337" s="9" t="s">
        <v>29019</v>
      </c>
      <c r="B337" s="9" t="s">
        <v>255</v>
      </c>
      <c r="C337" s="8" t="s">
        <v>29020</v>
      </c>
      <c r="D337" s="9" t="b">
        <v>0</v>
      </c>
    </row>
    <row r="338" ht="15.75" customHeight="1">
      <c r="A338" s="9" t="s">
        <v>29021</v>
      </c>
      <c r="B338" s="9" t="s">
        <v>255</v>
      </c>
      <c r="C338" s="8" t="s">
        <v>29022</v>
      </c>
      <c r="D338" s="9" t="b">
        <v>0</v>
      </c>
    </row>
    <row r="339" ht="15.75" customHeight="1">
      <c r="A339" s="9" t="s">
        <v>29023</v>
      </c>
      <c r="B339" s="9" t="s">
        <v>255</v>
      </c>
      <c r="C339" s="8" t="s">
        <v>29024</v>
      </c>
      <c r="D339" s="9" t="b">
        <v>0</v>
      </c>
    </row>
    <row r="340" ht="15.75" customHeight="1">
      <c r="A340" s="9" t="s">
        <v>29025</v>
      </c>
      <c r="B340" s="9" t="s">
        <v>255</v>
      </c>
      <c r="C340" s="8" t="s">
        <v>29026</v>
      </c>
      <c r="D340" s="9" t="b">
        <v>0</v>
      </c>
    </row>
    <row r="341" ht="15.75" customHeight="1">
      <c r="A341" s="9" t="s">
        <v>29027</v>
      </c>
      <c r="B341" s="9" t="s">
        <v>11849</v>
      </c>
      <c r="C341" s="8" t="s">
        <v>29028</v>
      </c>
      <c r="D341" s="9" t="b">
        <v>1</v>
      </c>
    </row>
    <row r="342" ht="15.75" customHeight="1">
      <c r="A342" s="9" t="s">
        <v>29029</v>
      </c>
      <c r="B342" s="9" t="s">
        <v>11849</v>
      </c>
      <c r="C342" s="8" t="s">
        <v>29030</v>
      </c>
      <c r="D342" s="9" t="b">
        <v>0</v>
      </c>
    </row>
    <row r="343" ht="15.75" customHeight="1">
      <c r="A343" s="9" t="s">
        <v>29031</v>
      </c>
      <c r="B343" s="9" t="s">
        <v>11849</v>
      </c>
      <c r="C343" s="8" t="s">
        <v>29032</v>
      </c>
      <c r="D343" s="9" t="b">
        <v>0</v>
      </c>
    </row>
    <row r="344" ht="15.75" customHeight="1">
      <c r="A344" s="9" t="s">
        <v>29033</v>
      </c>
      <c r="B344" s="9" t="s">
        <v>11849</v>
      </c>
      <c r="C344" s="8" t="s">
        <v>29034</v>
      </c>
      <c r="D344" s="9" t="b">
        <v>0</v>
      </c>
    </row>
    <row r="345" ht="15.75" customHeight="1">
      <c r="A345" s="9" t="s">
        <v>29035</v>
      </c>
      <c r="B345" s="9" t="s">
        <v>10378</v>
      </c>
      <c r="C345" s="8" t="s">
        <v>29036</v>
      </c>
      <c r="D345" s="9" t="b">
        <v>0</v>
      </c>
    </row>
    <row r="346" ht="15.75" customHeight="1">
      <c r="A346" s="9" t="s">
        <v>29037</v>
      </c>
      <c r="B346" s="9" t="s">
        <v>10378</v>
      </c>
      <c r="C346" s="8" t="s">
        <v>29038</v>
      </c>
      <c r="D346" s="9" t="b">
        <v>0</v>
      </c>
    </row>
    <row r="347" ht="15.75" customHeight="1">
      <c r="A347" s="9" t="s">
        <v>29039</v>
      </c>
      <c r="B347" s="9" t="s">
        <v>10378</v>
      </c>
      <c r="C347" s="8" t="s">
        <v>29040</v>
      </c>
      <c r="D347" s="9" t="b">
        <v>0</v>
      </c>
    </row>
    <row r="348" ht="15.75" customHeight="1">
      <c r="A348" s="9" t="s">
        <v>29041</v>
      </c>
      <c r="B348" s="9" t="s">
        <v>10725</v>
      </c>
      <c r="C348" s="8" t="s">
        <v>29042</v>
      </c>
      <c r="D348" s="9" t="b">
        <v>0</v>
      </c>
    </row>
    <row r="349" ht="15.75" customHeight="1">
      <c r="A349" s="9" t="s">
        <v>29043</v>
      </c>
      <c r="B349" s="9" t="s">
        <v>10725</v>
      </c>
      <c r="C349" s="8" t="s">
        <v>29044</v>
      </c>
      <c r="D349" s="9" t="b">
        <v>0</v>
      </c>
    </row>
    <row r="350" ht="15.75" customHeight="1">
      <c r="A350" s="9" t="s">
        <v>29045</v>
      </c>
      <c r="B350" s="9" t="s">
        <v>10725</v>
      </c>
      <c r="C350" s="8" t="s">
        <v>29046</v>
      </c>
      <c r="D350" s="9" t="b">
        <v>0</v>
      </c>
    </row>
    <row r="351" ht="15.75" customHeight="1">
      <c r="A351" s="9" t="s">
        <v>29047</v>
      </c>
      <c r="B351" s="9" t="s">
        <v>10725</v>
      </c>
      <c r="C351" s="8" t="s">
        <v>29048</v>
      </c>
      <c r="D351" s="9" t="b">
        <v>0</v>
      </c>
    </row>
    <row r="352" ht="15.75" customHeight="1">
      <c r="A352" s="9" t="s">
        <v>29049</v>
      </c>
      <c r="B352" s="9" t="s">
        <v>10725</v>
      </c>
      <c r="C352" s="8" t="s">
        <v>29050</v>
      </c>
      <c r="D352" s="9" t="b">
        <v>0</v>
      </c>
    </row>
    <row r="353" ht="15.75" customHeight="1">
      <c r="A353" s="9" t="s">
        <v>29051</v>
      </c>
      <c r="B353" s="9" t="s">
        <v>10725</v>
      </c>
      <c r="C353" s="8" t="s">
        <v>29052</v>
      </c>
      <c r="D353" s="9" t="b">
        <v>0</v>
      </c>
    </row>
    <row r="354" ht="15.75" customHeight="1">
      <c r="A354" s="9" t="s">
        <v>29053</v>
      </c>
      <c r="B354" s="9" t="s">
        <v>10725</v>
      </c>
      <c r="C354" s="8" t="s">
        <v>29054</v>
      </c>
      <c r="D354" s="9" t="b">
        <v>0</v>
      </c>
    </row>
    <row r="355" ht="15.75" customHeight="1">
      <c r="A355" s="9" t="s">
        <v>29055</v>
      </c>
      <c r="B355" s="9" t="s">
        <v>10725</v>
      </c>
      <c r="C355" s="8" t="s">
        <v>29056</v>
      </c>
      <c r="D355" s="9" t="b">
        <v>0</v>
      </c>
    </row>
    <row r="356" ht="15.75" customHeight="1">
      <c r="A356" s="9" t="s">
        <v>29057</v>
      </c>
      <c r="B356" s="9" t="s">
        <v>10725</v>
      </c>
      <c r="C356" s="8" t="s">
        <v>29058</v>
      </c>
      <c r="D356" s="9" t="b">
        <v>0</v>
      </c>
    </row>
    <row r="357" ht="15.75" customHeight="1">
      <c r="A357" s="9" t="s">
        <v>29059</v>
      </c>
      <c r="B357" s="9" t="s">
        <v>10725</v>
      </c>
      <c r="C357" s="8" t="s">
        <v>29060</v>
      </c>
      <c r="D357" s="9" t="b">
        <v>0</v>
      </c>
    </row>
    <row r="358" ht="15.75" customHeight="1">
      <c r="A358" s="9" t="s">
        <v>29061</v>
      </c>
      <c r="B358" s="9" t="s">
        <v>10725</v>
      </c>
      <c r="C358" s="8" t="s">
        <v>29062</v>
      </c>
      <c r="D358" s="9" t="b">
        <v>0</v>
      </c>
    </row>
    <row r="359" ht="15.75" customHeight="1">
      <c r="A359" s="9" t="s">
        <v>29063</v>
      </c>
      <c r="B359" s="9" t="s">
        <v>10725</v>
      </c>
      <c r="C359" s="8" t="s">
        <v>29064</v>
      </c>
      <c r="D359" s="9" t="b">
        <v>0</v>
      </c>
    </row>
    <row r="360" ht="15.75" customHeight="1">
      <c r="A360" s="9" t="s">
        <v>29065</v>
      </c>
      <c r="B360" s="9" t="s">
        <v>10725</v>
      </c>
      <c r="C360" s="8" t="s">
        <v>29066</v>
      </c>
      <c r="D360" s="9" t="b">
        <v>0</v>
      </c>
    </row>
    <row r="361" ht="15.75" customHeight="1">
      <c r="A361" s="9" t="s">
        <v>29067</v>
      </c>
      <c r="B361" s="9" t="s">
        <v>9429</v>
      </c>
      <c r="C361" s="8" t="s">
        <v>29068</v>
      </c>
      <c r="D361" s="9" t="b">
        <v>0</v>
      </c>
    </row>
    <row r="362" ht="15.75" customHeight="1">
      <c r="A362" s="9" t="s">
        <v>29069</v>
      </c>
      <c r="B362" s="9" t="s">
        <v>9429</v>
      </c>
      <c r="C362" s="8" t="s">
        <v>29070</v>
      </c>
      <c r="D362" s="9" t="b">
        <v>0</v>
      </c>
    </row>
    <row r="363" ht="15.75" customHeight="1">
      <c r="A363" s="9" t="s">
        <v>29071</v>
      </c>
      <c r="B363" s="9" t="s">
        <v>9429</v>
      </c>
      <c r="C363" s="8" t="s">
        <v>29072</v>
      </c>
      <c r="D363" s="9" t="b">
        <v>0</v>
      </c>
    </row>
    <row r="364" ht="15.75" customHeight="1">
      <c r="A364" s="9" t="s">
        <v>29073</v>
      </c>
      <c r="B364" s="9" t="s">
        <v>9429</v>
      </c>
      <c r="C364" s="8" t="s">
        <v>29074</v>
      </c>
      <c r="D364" s="9" t="b">
        <v>0</v>
      </c>
    </row>
    <row r="365" ht="15.75" customHeight="1">
      <c r="A365" s="9" t="s">
        <v>29075</v>
      </c>
      <c r="B365" s="9" t="s">
        <v>9429</v>
      </c>
      <c r="C365" s="8" t="s">
        <v>29076</v>
      </c>
      <c r="D365" s="9" t="b">
        <v>1</v>
      </c>
    </row>
    <row r="366" ht="15.75" customHeight="1">
      <c r="A366" s="9" t="s">
        <v>29077</v>
      </c>
      <c r="B366" s="9" t="s">
        <v>10658</v>
      </c>
      <c r="C366" s="8" t="s">
        <v>29078</v>
      </c>
      <c r="D366" s="9" t="b">
        <v>1</v>
      </c>
    </row>
    <row r="367" ht="15.75" customHeight="1">
      <c r="A367" s="9" t="s">
        <v>29079</v>
      </c>
      <c r="B367" s="9" t="s">
        <v>10658</v>
      </c>
      <c r="C367" s="8" t="s">
        <v>29080</v>
      </c>
      <c r="D367" s="9" t="b">
        <v>0</v>
      </c>
    </row>
    <row r="368" ht="15.75" customHeight="1">
      <c r="A368" s="9" t="s">
        <v>29081</v>
      </c>
      <c r="B368" s="9" t="s">
        <v>10658</v>
      </c>
      <c r="C368" s="8" t="s">
        <v>29082</v>
      </c>
      <c r="D368" s="9" t="b">
        <v>0</v>
      </c>
    </row>
    <row r="369" ht="15.75" customHeight="1">
      <c r="A369" s="9" t="s">
        <v>29083</v>
      </c>
      <c r="B369" s="9" t="s">
        <v>10658</v>
      </c>
      <c r="C369" s="8" t="s">
        <v>29084</v>
      </c>
      <c r="D369" s="9" t="b">
        <v>0</v>
      </c>
    </row>
    <row r="370" ht="15.75" customHeight="1">
      <c r="A370" s="9" t="s">
        <v>29085</v>
      </c>
      <c r="B370" s="9" t="s">
        <v>10658</v>
      </c>
      <c r="C370" s="8" t="s">
        <v>29086</v>
      </c>
      <c r="D370" s="9" t="b">
        <v>0</v>
      </c>
    </row>
    <row r="371" ht="15.75" customHeight="1">
      <c r="A371" s="9" t="s">
        <v>29087</v>
      </c>
      <c r="B371" s="9" t="s">
        <v>10658</v>
      </c>
      <c r="C371" s="8" t="s">
        <v>29088</v>
      </c>
      <c r="D371" s="9" t="b">
        <v>0</v>
      </c>
    </row>
    <row r="372" ht="15.75" customHeight="1">
      <c r="A372" s="9" t="s">
        <v>29089</v>
      </c>
      <c r="B372" s="9" t="s">
        <v>10658</v>
      </c>
      <c r="C372" s="8" t="s">
        <v>29090</v>
      </c>
      <c r="D372" s="9" t="b">
        <v>0</v>
      </c>
    </row>
    <row r="373" ht="15.75" customHeight="1">
      <c r="A373" s="9" t="s">
        <v>29091</v>
      </c>
      <c r="B373" s="9" t="s">
        <v>10658</v>
      </c>
      <c r="C373" s="8" t="s">
        <v>29092</v>
      </c>
      <c r="D373" s="9" t="b">
        <v>0</v>
      </c>
    </row>
    <row r="374" ht="15.75" customHeight="1">
      <c r="A374" s="9" t="s">
        <v>29093</v>
      </c>
      <c r="B374" s="9" t="s">
        <v>1530</v>
      </c>
      <c r="C374" s="8" t="s">
        <v>29094</v>
      </c>
      <c r="D374" s="9" t="b">
        <v>0</v>
      </c>
    </row>
    <row r="375" ht="15.75" customHeight="1">
      <c r="A375" s="9" t="s">
        <v>29095</v>
      </c>
      <c r="B375" s="9" t="s">
        <v>1530</v>
      </c>
      <c r="C375" s="8" t="s">
        <v>29096</v>
      </c>
      <c r="D375" s="9" t="b">
        <v>0</v>
      </c>
    </row>
    <row r="376" ht="15.75" customHeight="1">
      <c r="A376" s="9" t="s">
        <v>29097</v>
      </c>
      <c r="B376" s="9" t="s">
        <v>1530</v>
      </c>
      <c r="C376" s="8" t="s">
        <v>29098</v>
      </c>
      <c r="D376" s="9" t="b">
        <v>0</v>
      </c>
    </row>
    <row r="377" ht="15.75" customHeight="1">
      <c r="A377" s="9" t="s">
        <v>29099</v>
      </c>
      <c r="B377" s="9" t="s">
        <v>1530</v>
      </c>
      <c r="C377" s="8" t="s">
        <v>29100</v>
      </c>
      <c r="D377" s="9" t="b">
        <v>0</v>
      </c>
    </row>
    <row r="378" ht="15.75" customHeight="1">
      <c r="A378" s="9" t="s">
        <v>29101</v>
      </c>
      <c r="B378" s="9" t="s">
        <v>6224</v>
      </c>
      <c r="C378" s="8" t="s">
        <v>29102</v>
      </c>
      <c r="D378" s="9" t="b">
        <v>0</v>
      </c>
    </row>
    <row r="379" ht="15.75" customHeight="1">
      <c r="A379" s="9" t="s">
        <v>29103</v>
      </c>
      <c r="B379" s="9" t="s">
        <v>6224</v>
      </c>
      <c r="C379" s="8" t="s">
        <v>29104</v>
      </c>
      <c r="D379" s="9" t="b">
        <v>0</v>
      </c>
    </row>
    <row r="380" ht="15.75" customHeight="1">
      <c r="A380" s="9" t="s">
        <v>29105</v>
      </c>
      <c r="B380" s="9" t="s">
        <v>6224</v>
      </c>
      <c r="C380" s="8" t="s">
        <v>29106</v>
      </c>
      <c r="D380" s="9" t="b">
        <v>0</v>
      </c>
    </row>
    <row r="381" ht="15.75" customHeight="1">
      <c r="A381" s="9" t="s">
        <v>29107</v>
      </c>
      <c r="B381" s="9" t="s">
        <v>6224</v>
      </c>
      <c r="C381" s="8" t="s">
        <v>29108</v>
      </c>
      <c r="D381" s="9" t="b">
        <v>0</v>
      </c>
    </row>
    <row r="382" ht="15.75" customHeight="1">
      <c r="A382" s="9" t="s">
        <v>29109</v>
      </c>
      <c r="B382" s="9" t="s">
        <v>3274</v>
      </c>
      <c r="C382" s="8" t="s">
        <v>29110</v>
      </c>
      <c r="D382" s="9" t="b">
        <v>0</v>
      </c>
    </row>
    <row r="383" ht="15.75" customHeight="1">
      <c r="A383" s="9" t="s">
        <v>29111</v>
      </c>
      <c r="B383" s="9" t="s">
        <v>3274</v>
      </c>
      <c r="C383" s="8" t="s">
        <v>29112</v>
      </c>
      <c r="D383" s="9" t="b">
        <v>0</v>
      </c>
    </row>
    <row r="384" ht="15.75" customHeight="1">
      <c r="A384" s="9" t="s">
        <v>29113</v>
      </c>
      <c r="B384" s="9" t="s">
        <v>3274</v>
      </c>
      <c r="C384" s="8" t="s">
        <v>29114</v>
      </c>
      <c r="D384" s="9" t="b">
        <v>0</v>
      </c>
    </row>
    <row r="385" ht="15.75" customHeight="1">
      <c r="A385" s="9" t="s">
        <v>29115</v>
      </c>
      <c r="B385" s="9" t="s">
        <v>3274</v>
      </c>
      <c r="C385" s="8" t="s">
        <v>29116</v>
      </c>
      <c r="D385" s="9" t="b">
        <v>0</v>
      </c>
    </row>
    <row r="386" ht="15.75" customHeight="1">
      <c r="A386" s="9" t="s">
        <v>29117</v>
      </c>
      <c r="B386" s="9" t="s">
        <v>3274</v>
      </c>
      <c r="C386" s="8" t="s">
        <v>29118</v>
      </c>
      <c r="D386" s="9" t="b">
        <v>0</v>
      </c>
    </row>
    <row r="387" ht="15.75" customHeight="1">
      <c r="A387" s="9" t="s">
        <v>29119</v>
      </c>
      <c r="B387" s="9" t="s">
        <v>3274</v>
      </c>
      <c r="C387" s="8" t="s">
        <v>29120</v>
      </c>
      <c r="D387" s="9" t="b">
        <v>0</v>
      </c>
    </row>
    <row r="388" ht="15.75" customHeight="1">
      <c r="A388" s="9" t="s">
        <v>29121</v>
      </c>
      <c r="B388" s="9" t="s">
        <v>3274</v>
      </c>
      <c r="C388" s="8" t="s">
        <v>29122</v>
      </c>
      <c r="D388" s="9" t="b">
        <v>0</v>
      </c>
    </row>
    <row r="389" ht="15.75" customHeight="1">
      <c r="A389" s="9" t="s">
        <v>29123</v>
      </c>
      <c r="B389" s="9" t="s">
        <v>3274</v>
      </c>
      <c r="C389" s="8" t="s">
        <v>29124</v>
      </c>
      <c r="D389" s="9" t="b">
        <v>0</v>
      </c>
    </row>
    <row r="390" ht="15.75" customHeight="1">
      <c r="A390" s="9" t="s">
        <v>29125</v>
      </c>
      <c r="B390" s="9" t="s">
        <v>3274</v>
      </c>
      <c r="C390" s="8" t="s">
        <v>29126</v>
      </c>
      <c r="D390" s="9" t="b">
        <v>0</v>
      </c>
    </row>
    <row r="391" ht="15.75" customHeight="1">
      <c r="A391" s="9" t="s">
        <v>29127</v>
      </c>
      <c r="B391" s="9" t="s">
        <v>3274</v>
      </c>
      <c r="C391" s="8" t="s">
        <v>29128</v>
      </c>
      <c r="D391" s="9" t="b">
        <v>0</v>
      </c>
    </row>
    <row r="392" ht="15.75" customHeight="1">
      <c r="A392" s="9" t="s">
        <v>29129</v>
      </c>
      <c r="B392" s="9" t="s">
        <v>3274</v>
      </c>
      <c r="C392" s="8" t="s">
        <v>29130</v>
      </c>
      <c r="D392" s="9" t="b">
        <v>0</v>
      </c>
    </row>
    <row r="393" ht="15.75" customHeight="1">
      <c r="A393" s="9" t="s">
        <v>29131</v>
      </c>
      <c r="B393" s="9" t="s">
        <v>3274</v>
      </c>
      <c r="C393" s="8" t="s">
        <v>29132</v>
      </c>
      <c r="D393" s="9" t="b">
        <v>1</v>
      </c>
    </row>
    <row r="394" ht="15.75" customHeight="1">
      <c r="A394" s="9" t="s">
        <v>29133</v>
      </c>
      <c r="B394" s="9" t="s">
        <v>3274</v>
      </c>
      <c r="C394" s="8" t="s">
        <v>29134</v>
      </c>
      <c r="D394" s="9" t="b">
        <v>0</v>
      </c>
    </row>
    <row r="395" ht="15.75" customHeight="1">
      <c r="A395" s="9" t="s">
        <v>29135</v>
      </c>
      <c r="B395" s="9" t="s">
        <v>10603</v>
      </c>
      <c r="C395" s="8" t="s">
        <v>29136</v>
      </c>
      <c r="D395" s="9" t="b">
        <v>0</v>
      </c>
      <c r="E395" s="9" t="s">
        <v>29137</v>
      </c>
    </row>
    <row r="396" ht="15.75" customHeight="1">
      <c r="A396" s="9" t="s">
        <v>29138</v>
      </c>
      <c r="B396" s="9" t="s">
        <v>10603</v>
      </c>
      <c r="C396" s="8" t="s">
        <v>29139</v>
      </c>
      <c r="D396" s="9" t="b">
        <v>0</v>
      </c>
      <c r="E396" s="9" t="s">
        <v>29140</v>
      </c>
    </row>
    <row r="397" ht="15.75" customHeight="1">
      <c r="A397" s="9" t="s">
        <v>29141</v>
      </c>
      <c r="B397" s="9" t="s">
        <v>10603</v>
      </c>
      <c r="C397" s="8" t="s">
        <v>29142</v>
      </c>
      <c r="D397" s="9" t="b">
        <v>0</v>
      </c>
      <c r="E397" s="9" t="s">
        <v>29143</v>
      </c>
    </row>
    <row r="398" ht="15.75" customHeight="1">
      <c r="A398" s="9" t="s">
        <v>29144</v>
      </c>
      <c r="B398" s="9" t="s">
        <v>10603</v>
      </c>
      <c r="C398" s="8" t="s">
        <v>29145</v>
      </c>
      <c r="D398" s="9" t="b">
        <v>1</v>
      </c>
      <c r="E398" s="9" t="s">
        <v>29146</v>
      </c>
    </row>
    <row r="399" ht="15.75" customHeight="1">
      <c r="A399" s="9" t="s">
        <v>29147</v>
      </c>
      <c r="B399" s="9" t="s">
        <v>10603</v>
      </c>
      <c r="C399" s="8" t="s">
        <v>29148</v>
      </c>
      <c r="D399" s="9" t="b">
        <v>0</v>
      </c>
      <c r="E399" s="9" t="s">
        <v>646</v>
      </c>
    </row>
    <row r="400" ht="15.75" customHeight="1">
      <c r="A400" s="9" t="s">
        <v>29149</v>
      </c>
      <c r="B400" s="9" t="s">
        <v>10603</v>
      </c>
      <c r="C400" s="8" t="s">
        <v>29150</v>
      </c>
      <c r="D400" s="9" t="b">
        <v>0</v>
      </c>
      <c r="E400" s="9" t="s">
        <v>29151</v>
      </c>
    </row>
    <row r="401" ht="15.75" customHeight="1">
      <c r="A401" s="9" t="s">
        <v>29152</v>
      </c>
      <c r="B401" s="9" t="s">
        <v>10603</v>
      </c>
      <c r="C401" s="8" t="s">
        <v>29153</v>
      </c>
      <c r="D401" s="9" t="b">
        <v>1</v>
      </c>
      <c r="E401" s="9" t="s">
        <v>29154</v>
      </c>
    </row>
    <row r="402" ht="15.75" customHeight="1">
      <c r="A402" s="9" t="s">
        <v>29155</v>
      </c>
      <c r="B402" s="9" t="s">
        <v>10603</v>
      </c>
      <c r="C402" s="8" t="s">
        <v>29156</v>
      </c>
      <c r="D402" s="9" t="b">
        <v>0</v>
      </c>
      <c r="E402" s="9" t="s">
        <v>29157</v>
      </c>
    </row>
    <row r="403" ht="15.75" customHeight="1">
      <c r="A403" s="9" t="s">
        <v>29158</v>
      </c>
      <c r="B403" s="9" t="s">
        <v>11657</v>
      </c>
      <c r="C403" s="8" t="s">
        <v>29159</v>
      </c>
      <c r="D403" s="9" t="b">
        <v>0</v>
      </c>
    </row>
    <row r="404" ht="15.75" customHeight="1">
      <c r="A404" s="52" t="s">
        <v>29160</v>
      </c>
      <c r="B404" s="9" t="s">
        <v>11657</v>
      </c>
      <c r="C404" s="8" t="s">
        <v>29161</v>
      </c>
      <c r="D404" s="9" t="b">
        <v>0</v>
      </c>
    </row>
    <row r="405" ht="15.75" customHeight="1">
      <c r="A405" s="9" t="s">
        <v>29162</v>
      </c>
      <c r="B405" s="9" t="s">
        <v>10432</v>
      </c>
      <c r="C405" s="8" t="s">
        <v>29163</v>
      </c>
      <c r="D405" s="9" t="b">
        <v>1</v>
      </c>
    </row>
    <row r="406" ht="15.75" customHeight="1">
      <c r="A406" s="9" t="s">
        <v>29164</v>
      </c>
      <c r="B406" s="9" t="s">
        <v>10432</v>
      </c>
      <c r="C406" s="8" t="s">
        <v>29165</v>
      </c>
      <c r="D406" s="9" t="b">
        <v>0</v>
      </c>
    </row>
    <row r="407" ht="15.75" customHeight="1">
      <c r="A407" s="52" t="s">
        <v>29166</v>
      </c>
      <c r="B407" s="9" t="s">
        <v>10432</v>
      </c>
      <c r="C407" s="8" t="s">
        <v>29167</v>
      </c>
      <c r="D407" s="9" t="b">
        <v>0</v>
      </c>
    </row>
    <row r="408" ht="15.75" customHeight="1">
      <c r="A408" s="9" t="s">
        <v>29168</v>
      </c>
      <c r="B408" s="9" t="s">
        <v>10432</v>
      </c>
      <c r="C408" s="8" t="s">
        <v>29169</v>
      </c>
      <c r="D408" s="9" t="b">
        <v>0</v>
      </c>
    </row>
    <row r="409" ht="15.75" customHeight="1">
      <c r="A409" s="9" t="s">
        <v>29170</v>
      </c>
      <c r="B409" s="9" t="s">
        <v>9594</v>
      </c>
      <c r="C409" s="8" t="s">
        <v>29171</v>
      </c>
      <c r="D409" s="9" t="b">
        <v>1</v>
      </c>
    </row>
    <row r="410" ht="15.75" customHeight="1">
      <c r="A410" s="9" t="s">
        <v>29172</v>
      </c>
      <c r="B410" s="9" t="s">
        <v>9594</v>
      </c>
      <c r="C410" s="8" t="s">
        <v>29173</v>
      </c>
      <c r="D410" s="9" t="b">
        <v>0</v>
      </c>
    </row>
    <row r="411" ht="15.75" customHeight="1">
      <c r="A411" s="9" t="s">
        <v>29174</v>
      </c>
      <c r="B411" s="9" t="s">
        <v>9594</v>
      </c>
      <c r="C411" s="8" t="s">
        <v>29175</v>
      </c>
      <c r="D411" s="9" t="b">
        <v>0</v>
      </c>
    </row>
    <row r="412" ht="15.75" customHeight="1">
      <c r="A412" s="9" t="s">
        <v>29176</v>
      </c>
      <c r="B412" s="9" t="s">
        <v>9594</v>
      </c>
      <c r="C412" s="8" t="s">
        <v>29177</v>
      </c>
      <c r="D412" s="9" t="b">
        <v>0</v>
      </c>
    </row>
    <row r="413" ht="15.75" customHeight="1">
      <c r="A413" s="9" t="s">
        <v>29178</v>
      </c>
      <c r="B413" s="9" t="s">
        <v>9594</v>
      </c>
      <c r="C413" s="8" t="s">
        <v>29179</v>
      </c>
      <c r="D413" s="9" t="b">
        <v>0</v>
      </c>
    </row>
    <row r="414" ht="15.75" customHeight="1">
      <c r="A414" s="9" t="s">
        <v>29180</v>
      </c>
      <c r="B414" s="9" t="s">
        <v>9594</v>
      </c>
      <c r="C414" s="8" t="s">
        <v>29181</v>
      </c>
      <c r="D414" s="9" t="b">
        <v>0</v>
      </c>
    </row>
    <row r="415" ht="15.75" customHeight="1">
      <c r="A415" s="9" t="s">
        <v>29182</v>
      </c>
      <c r="B415" s="9" t="s">
        <v>9594</v>
      </c>
      <c r="C415" s="8" t="s">
        <v>29183</v>
      </c>
      <c r="D415" s="9" t="b">
        <v>0</v>
      </c>
    </row>
    <row r="416" ht="15.75" customHeight="1">
      <c r="A416" s="9" t="s">
        <v>29184</v>
      </c>
      <c r="B416" s="9" t="s">
        <v>9594</v>
      </c>
      <c r="C416" s="8" t="s">
        <v>29185</v>
      </c>
      <c r="D416" s="9" t="b">
        <v>0</v>
      </c>
    </row>
    <row r="417" ht="15.75" customHeight="1">
      <c r="A417" s="9" t="s">
        <v>29186</v>
      </c>
      <c r="B417" s="9" t="s">
        <v>9594</v>
      </c>
      <c r="C417" s="8" t="s">
        <v>29187</v>
      </c>
      <c r="D417" s="9" t="b">
        <v>0</v>
      </c>
    </row>
    <row r="418" ht="15.75" customHeight="1">
      <c r="A418" s="9" t="s">
        <v>29188</v>
      </c>
      <c r="B418" s="9" t="s">
        <v>9594</v>
      </c>
      <c r="C418" s="8" t="s">
        <v>29189</v>
      </c>
      <c r="D418" s="9" t="b">
        <v>0</v>
      </c>
    </row>
    <row r="419" ht="15.75" customHeight="1">
      <c r="A419" s="9" t="s">
        <v>29190</v>
      </c>
      <c r="B419" s="9" t="s">
        <v>9594</v>
      </c>
      <c r="C419" s="8" t="s">
        <v>29191</v>
      </c>
      <c r="D419" s="9" t="b">
        <v>0</v>
      </c>
    </row>
    <row r="420" ht="15.75" customHeight="1">
      <c r="A420" s="9" t="s">
        <v>29192</v>
      </c>
      <c r="B420" s="9" t="s">
        <v>9594</v>
      </c>
      <c r="C420" s="8" t="s">
        <v>29193</v>
      </c>
      <c r="D420" s="9" t="b">
        <v>0</v>
      </c>
    </row>
    <row r="421" ht="15.75" customHeight="1">
      <c r="A421" s="9" t="s">
        <v>29194</v>
      </c>
      <c r="B421" s="9" t="s">
        <v>8871</v>
      </c>
      <c r="C421" s="8" t="s">
        <v>29195</v>
      </c>
      <c r="D421" s="9" t="b">
        <v>1</v>
      </c>
    </row>
    <row r="422" ht="15.75" customHeight="1">
      <c r="A422" s="9" t="s">
        <v>29196</v>
      </c>
      <c r="B422" s="9" t="s">
        <v>10378</v>
      </c>
      <c r="C422" s="8" t="s">
        <v>29197</v>
      </c>
      <c r="D422" s="9" t="b">
        <v>0</v>
      </c>
    </row>
    <row r="423" ht="15.75" customHeight="1">
      <c r="A423" s="9" t="s">
        <v>29198</v>
      </c>
      <c r="B423" s="9" t="s">
        <v>10378</v>
      </c>
      <c r="C423" s="8" t="s">
        <v>29199</v>
      </c>
      <c r="D423" s="9" t="b">
        <v>0</v>
      </c>
    </row>
    <row r="424" ht="15.75" customHeight="1">
      <c r="A424" s="9" t="s">
        <v>29200</v>
      </c>
      <c r="B424" s="9" t="s">
        <v>10378</v>
      </c>
      <c r="C424" s="8" t="s">
        <v>29201</v>
      </c>
      <c r="D424" s="9" t="b">
        <v>0</v>
      </c>
    </row>
    <row r="425" ht="15.75" customHeight="1">
      <c r="A425" s="9" t="s">
        <v>29202</v>
      </c>
      <c r="B425" s="9" t="s">
        <v>10378</v>
      </c>
      <c r="C425" s="8" t="s">
        <v>29203</v>
      </c>
      <c r="D425" s="9" t="b">
        <v>0</v>
      </c>
    </row>
    <row r="426" ht="15.75" customHeight="1">
      <c r="A426" s="9" t="s">
        <v>29204</v>
      </c>
      <c r="B426" s="9" t="s">
        <v>10378</v>
      </c>
      <c r="C426" s="8" t="s">
        <v>29205</v>
      </c>
      <c r="D426" s="9" t="b">
        <v>0</v>
      </c>
    </row>
    <row r="427" ht="15.75" customHeight="1">
      <c r="A427" s="9" t="s">
        <v>29206</v>
      </c>
      <c r="B427" s="9" t="s">
        <v>10378</v>
      </c>
      <c r="C427" s="8" t="s">
        <v>29207</v>
      </c>
      <c r="D427" s="9" t="b">
        <v>0</v>
      </c>
    </row>
    <row r="428" ht="15.75" customHeight="1">
      <c r="A428" s="9" t="s">
        <v>29208</v>
      </c>
      <c r="B428" s="9" t="s">
        <v>10740</v>
      </c>
      <c r="C428" s="8" t="s">
        <v>29209</v>
      </c>
      <c r="D428" s="9" t="b">
        <v>1</v>
      </c>
    </row>
    <row r="429" ht="15.75" customHeight="1">
      <c r="A429" s="9" t="s">
        <v>29210</v>
      </c>
      <c r="B429" s="9" t="s">
        <v>10740</v>
      </c>
      <c r="C429" s="8" t="s">
        <v>29211</v>
      </c>
      <c r="D429" s="9" t="b">
        <v>0</v>
      </c>
    </row>
    <row r="430" ht="15.75" customHeight="1">
      <c r="A430" s="9"/>
      <c r="B430" s="9"/>
      <c r="C430" s="9"/>
      <c r="D430" s="9"/>
    </row>
    <row r="431" ht="15.75" customHeight="1">
      <c r="A431" s="9"/>
      <c r="B431" s="9"/>
      <c r="C431" s="9"/>
      <c r="D431" s="9"/>
    </row>
    <row r="432" ht="15.75" customHeight="1">
      <c r="A432" s="9"/>
      <c r="B432" s="9"/>
      <c r="C432" s="9"/>
      <c r="D432" s="9"/>
    </row>
    <row r="433" ht="15.75" customHeight="1">
      <c r="A433" s="9"/>
      <c r="B433" s="9"/>
      <c r="C433" s="9"/>
      <c r="D433" s="9"/>
    </row>
    <row r="434" ht="15.75" customHeight="1">
      <c r="A434" s="9" t="s">
        <v>29212</v>
      </c>
      <c r="B434" s="9" t="s">
        <v>10378</v>
      </c>
      <c r="C434" s="8" t="s">
        <v>29213</v>
      </c>
      <c r="D434" s="9" t="b">
        <v>0</v>
      </c>
    </row>
    <row r="435" ht="15.75" customHeight="1">
      <c r="A435" s="9" t="s">
        <v>29214</v>
      </c>
      <c r="B435" s="9" t="s">
        <v>10378</v>
      </c>
      <c r="C435" s="8" t="s">
        <v>29215</v>
      </c>
      <c r="D435" s="9" t="b">
        <v>0</v>
      </c>
    </row>
    <row r="436" ht="15.75" customHeight="1">
      <c r="A436" s="9" t="s">
        <v>29216</v>
      </c>
      <c r="B436" s="9" t="s">
        <v>10378</v>
      </c>
      <c r="C436" s="8" t="s">
        <v>29217</v>
      </c>
      <c r="D436" s="9" t="b">
        <v>0</v>
      </c>
    </row>
    <row r="437" ht="15.75" customHeight="1">
      <c r="A437" s="9" t="s">
        <v>29218</v>
      </c>
      <c r="B437" s="9" t="s">
        <v>266</v>
      </c>
      <c r="C437" s="8" t="s">
        <v>29219</v>
      </c>
      <c r="D437" s="9" t="b">
        <v>0</v>
      </c>
    </row>
    <row r="438" ht="15.75" customHeight="1">
      <c r="A438" s="9" t="s">
        <v>29220</v>
      </c>
      <c r="B438" s="9" t="s">
        <v>266</v>
      </c>
      <c r="C438" s="8" t="s">
        <v>29221</v>
      </c>
      <c r="D438" s="9" t="b">
        <v>0</v>
      </c>
      <c r="E438" s="9" t="s">
        <v>29222</v>
      </c>
    </row>
    <row r="439" ht="15.75" customHeight="1">
      <c r="A439" s="9" t="s">
        <v>29223</v>
      </c>
      <c r="B439" s="9" t="s">
        <v>266</v>
      </c>
      <c r="C439" s="8" t="s">
        <v>29224</v>
      </c>
      <c r="D439" s="9" t="b">
        <v>0</v>
      </c>
    </row>
    <row r="440" ht="15.75" customHeight="1">
      <c r="A440" s="9" t="s">
        <v>29225</v>
      </c>
      <c r="B440" s="9" t="s">
        <v>266</v>
      </c>
      <c r="C440" s="8" t="s">
        <v>29226</v>
      </c>
      <c r="D440" s="9" t="b">
        <v>0</v>
      </c>
    </row>
    <row r="441" ht="15.75" customHeight="1">
      <c r="A441" s="9" t="s">
        <v>29227</v>
      </c>
      <c r="B441" s="9" t="s">
        <v>266</v>
      </c>
      <c r="C441" s="8" t="s">
        <v>29228</v>
      </c>
      <c r="D441" s="9" t="b">
        <v>0</v>
      </c>
    </row>
    <row r="442" ht="15.75" customHeight="1">
      <c r="A442" s="9" t="s">
        <v>29229</v>
      </c>
      <c r="B442" s="9" t="s">
        <v>266</v>
      </c>
      <c r="C442" s="8" t="s">
        <v>29230</v>
      </c>
      <c r="D442" s="9" t="b">
        <v>0</v>
      </c>
    </row>
    <row r="443" ht="15.75" customHeight="1">
      <c r="A443" s="9" t="s">
        <v>29231</v>
      </c>
      <c r="B443" s="9" t="s">
        <v>266</v>
      </c>
      <c r="C443" s="8" t="s">
        <v>29232</v>
      </c>
      <c r="D443" s="9" t="b">
        <v>0</v>
      </c>
    </row>
    <row r="444" ht="15.75" customHeight="1">
      <c r="A444" s="9" t="s">
        <v>29233</v>
      </c>
      <c r="B444" s="9" t="s">
        <v>266</v>
      </c>
      <c r="C444" s="8" t="s">
        <v>29234</v>
      </c>
      <c r="D444" s="9" t="b">
        <v>0</v>
      </c>
    </row>
    <row r="445" ht="15.75" customHeight="1">
      <c r="A445" s="9" t="s">
        <v>29235</v>
      </c>
      <c r="B445" s="9" t="s">
        <v>266</v>
      </c>
      <c r="C445" s="8" t="s">
        <v>29236</v>
      </c>
      <c r="D445" s="9" t="b">
        <v>0</v>
      </c>
    </row>
    <row r="446" ht="15.75" customHeight="1">
      <c r="A446" s="9" t="s">
        <v>29237</v>
      </c>
      <c r="B446" s="9" t="s">
        <v>11817</v>
      </c>
      <c r="C446" s="8" t="s">
        <v>29238</v>
      </c>
      <c r="D446" s="9" t="b">
        <v>0</v>
      </c>
    </row>
    <row r="447" ht="15.75" customHeight="1">
      <c r="A447" s="9" t="s">
        <v>29239</v>
      </c>
      <c r="B447" s="9" t="s">
        <v>11817</v>
      </c>
      <c r="C447" s="8" t="s">
        <v>29240</v>
      </c>
      <c r="D447" s="9" t="b">
        <v>1</v>
      </c>
    </row>
    <row r="448" ht="15.75" customHeight="1">
      <c r="A448" s="9" t="s">
        <v>29241</v>
      </c>
      <c r="B448" s="9" t="s">
        <v>11817</v>
      </c>
      <c r="C448" s="8" t="s">
        <v>29242</v>
      </c>
      <c r="D448" s="9" t="b">
        <v>0</v>
      </c>
    </row>
    <row r="449" ht="15.75" customHeight="1">
      <c r="A449" s="9" t="s">
        <v>29243</v>
      </c>
      <c r="B449" s="9" t="s">
        <v>6411</v>
      </c>
      <c r="C449" s="8" t="s">
        <v>29244</v>
      </c>
      <c r="D449" s="9" t="b">
        <v>0</v>
      </c>
    </row>
    <row r="450" ht="15.75" customHeight="1">
      <c r="A450" s="9" t="s">
        <v>29245</v>
      </c>
      <c r="B450" s="9" t="s">
        <v>6411</v>
      </c>
      <c r="C450" s="8" t="s">
        <v>29246</v>
      </c>
      <c r="D450" s="9" t="b">
        <v>0</v>
      </c>
    </row>
    <row r="451" ht="15.75" customHeight="1">
      <c r="A451" s="9" t="s">
        <v>29247</v>
      </c>
      <c r="B451" s="9" t="s">
        <v>6411</v>
      </c>
      <c r="C451" s="8" t="s">
        <v>29248</v>
      </c>
      <c r="D451" s="9" t="b">
        <v>0</v>
      </c>
    </row>
    <row r="452" ht="15.75" customHeight="1">
      <c r="A452" s="9" t="s">
        <v>29249</v>
      </c>
      <c r="B452" s="9" t="s">
        <v>6411</v>
      </c>
      <c r="C452" s="8" t="s">
        <v>29250</v>
      </c>
      <c r="D452" s="9" t="b">
        <v>0</v>
      </c>
    </row>
    <row r="453" ht="15.75" customHeight="1">
      <c r="A453" s="9" t="s">
        <v>29251</v>
      </c>
      <c r="B453" s="9" t="s">
        <v>6411</v>
      </c>
      <c r="C453" s="8" t="s">
        <v>29252</v>
      </c>
      <c r="D453" s="9" t="b">
        <v>0</v>
      </c>
    </row>
    <row r="454" ht="15.75" customHeight="1">
      <c r="A454" s="9" t="s">
        <v>29253</v>
      </c>
      <c r="B454" s="9" t="s">
        <v>6411</v>
      </c>
      <c r="C454" s="8" t="s">
        <v>29254</v>
      </c>
      <c r="D454" s="9" t="b">
        <v>0</v>
      </c>
    </row>
    <row r="455" ht="15.75" customHeight="1">
      <c r="A455" s="9" t="s">
        <v>29255</v>
      </c>
      <c r="B455" s="9" t="s">
        <v>6411</v>
      </c>
      <c r="C455" s="8" t="s">
        <v>29256</v>
      </c>
      <c r="D455" s="9" t="b">
        <v>0</v>
      </c>
    </row>
    <row r="456" ht="15.75" customHeight="1">
      <c r="A456" s="9" t="s">
        <v>29257</v>
      </c>
      <c r="B456" s="9" t="s">
        <v>6411</v>
      </c>
      <c r="C456" s="8" t="s">
        <v>29258</v>
      </c>
      <c r="D456" s="9" t="b">
        <v>1</v>
      </c>
    </row>
    <row r="457" ht="15.75" customHeight="1">
      <c r="A457" s="9" t="s">
        <v>29259</v>
      </c>
      <c r="B457" s="9" t="s">
        <v>6411</v>
      </c>
      <c r="C457" s="8" t="s">
        <v>29260</v>
      </c>
      <c r="D457" s="9" t="b">
        <v>0</v>
      </c>
    </row>
    <row r="458" ht="15.75" customHeight="1">
      <c r="A458" s="9" t="s">
        <v>29261</v>
      </c>
      <c r="B458" s="9" t="s">
        <v>10378</v>
      </c>
      <c r="C458" s="8" t="s">
        <v>29262</v>
      </c>
      <c r="D458" s="9" t="b">
        <v>0</v>
      </c>
    </row>
    <row r="459" ht="15.75" customHeight="1">
      <c r="A459" s="9" t="s">
        <v>29263</v>
      </c>
      <c r="B459" s="9" t="s">
        <v>10378</v>
      </c>
      <c r="C459" s="8" t="s">
        <v>29264</v>
      </c>
      <c r="D459" s="9" t="b">
        <v>0</v>
      </c>
    </row>
    <row r="460" ht="15.75" customHeight="1">
      <c r="A460" s="9" t="s">
        <v>29265</v>
      </c>
      <c r="B460" s="9" t="s">
        <v>10378</v>
      </c>
      <c r="C460" s="8" t="s">
        <v>29266</v>
      </c>
      <c r="D460" s="9" t="b">
        <v>0</v>
      </c>
    </row>
    <row r="461" ht="15.75" customHeight="1">
      <c r="A461" s="9" t="s">
        <v>29267</v>
      </c>
      <c r="B461" s="9" t="s">
        <v>10378</v>
      </c>
      <c r="C461" s="8" t="s">
        <v>29268</v>
      </c>
      <c r="D461" s="9" t="b">
        <v>0</v>
      </c>
    </row>
    <row r="462" ht="15.75" customHeight="1">
      <c r="A462" s="9" t="s">
        <v>29269</v>
      </c>
      <c r="B462" s="9" t="s">
        <v>10378</v>
      </c>
      <c r="C462" s="8" t="s">
        <v>29270</v>
      </c>
      <c r="D462" s="9" t="b">
        <v>0</v>
      </c>
    </row>
    <row r="463" ht="15.75" customHeight="1">
      <c r="A463" s="9" t="s">
        <v>29271</v>
      </c>
      <c r="B463" s="9" t="s">
        <v>10378</v>
      </c>
      <c r="C463" s="8" t="s">
        <v>29272</v>
      </c>
      <c r="D463" s="9" t="b">
        <v>0</v>
      </c>
    </row>
    <row r="464" ht="15.75" customHeight="1">
      <c r="A464" s="9" t="s">
        <v>29273</v>
      </c>
      <c r="B464" s="9" t="s">
        <v>10378</v>
      </c>
      <c r="C464" s="8" t="s">
        <v>29274</v>
      </c>
      <c r="D464" s="9" t="b">
        <v>0</v>
      </c>
    </row>
    <row r="465" ht="15.75" customHeight="1">
      <c r="A465" s="9" t="s">
        <v>29275</v>
      </c>
      <c r="B465" s="9" t="s">
        <v>10378</v>
      </c>
      <c r="C465" s="8" t="s">
        <v>29276</v>
      </c>
      <c r="D465" s="9" t="b">
        <v>1</v>
      </c>
    </row>
    <row r="466" ht="15.75" customHeight="1">
      <c r="A466" s="9" t="s">
        <v>29277</v>
      </c>
      <c r="B466" s="9" t="s">
        <v>1491</v>
      </c>
      <c r="C466" s="8" t="s">
        <v>29278</v>
      </c>
      <c r="D466" s="9" t="b">
        <v>1</v>
      </c>
    </row>
    <row r="467" ht="15.75" customHeight="1">
      <c r="A467" s="9" t="s">
        <v>29279</v>
      </c>
      <c r="B467" s="9" t="s">
        <v>7631</v>
      </c>
      <c r="C467" s="8" t="s">
        <v>29280</v>
      </c>
      <c r="D467" s="9" t="b">
        <v>1</v>
      </c>
    </row>
    <row r="468" ht="15.75" customHeight="1">
      <c r="A468" s="9" t="s">
        <v>29281</v>
      </c>
      <c r="B468" s="9" t="s">
        <v>10437</v>
      </c>
      <c r="C468" s="8" t="s">
        <v>29282</v>
      </c>
      <c r="D468" s="9" t="b">
        <v>0</v>
      </c>
    </row>
    <row r="469" ht="15.75" customHeight="1">
      <c r="A469" s="9" t="s">
        <v>29283</v>
      </c>
      <c r="B469" s="9" t="s">
        <v>4176</v>
      </c>
      <c r="C469" s="8" t="s">
        <v>29284</v>
      </c>
      <c r="D469" s="9" t="b">
        <v>0</v>
      </c>
    </row>
    <row r="470" ht="15.75" customHeight="1">
      <c r="A470" s="9" t="s">
        <v>29285</v>
      </c>
      <c r="B470" s="9" t="s">
        <v>4176</v>
      </c>
      <c r="C470" s="8" t="s">
        <v>29286</v>
      </c>
      <c r="D470" s="9" t="b">
        <v>0</v>
      </c>
    </row>
    <row r="471" ht="15.75" customHeight="1">
      <c r="A471" s="9" t="s">
        <v>29287</v>
      </c>
      <c r="B471" s="9" t="s">
        <v>4176</v>
      </c>
      <c r="C471" s="8" t="s">
        <v>29288</v>
      </c>
      <c r="D471" s="9" t="b">
        <v>0</v>
      </c>
    </row>
    <row r="472" ht="15.75" customHeight="1">
      <c r="A472" s="9" t="s">
        <v>29289</v>
      </c>
      <c r="B472" s="9" t="s">
        <v>4176</v>
      </c>
      <c r="C472" s="8" t="s">
        <v>29290</v>
      </c>
      <c r="D472" s="9" t="b">
        <v>0</v>
      </c>
    </row>
    <row r="473" ht="15.75" customHeight="1">
      <c r="A473" s="9" t="s">
        <v>29291</v>
      </c>
      <c r="B473" s="9" t="s">
        <v>4176</v>
      </c>
      <c r="C473" s="8" t="s">
        <v>29292</v>
      </c>
      <c r="D473" s="9" t="b">
        <v>0</v>
      </c>
    </row>
    <row r="474" ht="15.75" customHeight="1">
      <c r="A474" s="9" t="s">
        <v>29293</v>
      </c>
      <c r="B474" s="9" t="s">
        <v>4176</v>
      </c>
      <c r="C474" s="8" t="s">
        <v>29294</v>
      </c>
      <c r="D474" s="9" t="b">
        <v>0</v>
      </c>
    </row>
    <row r="475" ht="15.75" customHeight="1">
      <c r="A475" s="9" t="s">
        <v>29295</v>
      </c>
      <c r="B475" s="9" t="s">
        <v>4176</v>
      </c>
      <c r="C475" s="8" t="s">
        <v>29296</v>
      </c>
      <c r="D475" s="9" t="b">
        <v>0</v>
      </c>
    </row>
    <row r="476" ht="15.75" customHeight="1">
      <c r="A476" s="9" t="s">
        <v>29297</v>
      </c>
      <c r="B476" s="9" t="s">
        <v>4176</v>
      </c>
      <c r="C476" s="8" t="s">
        <v>29298</v>
      </c>
      <c r="D476" s="9" t="b">
        <v>0</v>
      </c>
    </row>
    <row r="477" ht="15.75" customHeight="1">
      <c r="A477" s="9" t="s">
        <v>29299</v>
      </c>
      <c r="B477" s="9" t="s">
        <v>4176</v>
      </c>
      <c r="C477" s="8" t="s">
        <v>29300</v>
      </c>
      <c r="D477" s="9" t="b">
        <v>0</v>
      </c>
    </row>
    <row r="478" ht="15.75" customHeight="1">
      <c r="A478" s="9" t="s">
        <v>29301</v>
      </c>
      <c r="B478" s="9" t="s">
        <v>4176</v>
      </c>
      <c r="C478" s="8" t="s">
        <v>29302</v>
      </c>
      <c r="D478" s="9" t="b">
        <v>0</v>
      </c>
    </row>
    <row r="479" ht="15.75" customHeight="1">
      <c r="A479" s="9" t="s">
        <v>29303</v>
      </c>
      <c r="B479" s="9" t="s">
        <v>4176</v>
      </c>
      <c r="C479" s="8" t="s">
        <v>29304</v>
      </c>
      <c r="D479" s="9" t="b">
        <v>0</v>
      </c>
    </row>
    <row r="480" ht="15.75" customHeight="1">
      <c r="A480" s="9" t="s">
        <v>29305</v>
      </c>
      <c r="B480" s="9" t="s">
        <v>4176</v>
      </c>
      <c r="C480" s="8" t="s">
        <v>29306</v>
      </c>
      <c r="D480" s="9" t="b">
        <v>0</v>
      </c>
    </row>
    <row r="481" ht="15.75" customHeight="1">
      <c r="A481" s="9" t="s">
        <v>29307</v>
      </c>
      <c r="B481" s="9" t="s">
        <v>4176</v>
      </c>
      <c r="C481" s="8" t="s">
        <v>29308</v>
      </c>
      <c r="D481" s="9" t="b">
        <v>0</v>
      </c>
    </row>
    <row r="482" ht="15.75" customHeight="1">
      <c r="A482" s="9"/>
      <c r="B482" s="9"/>
      <c r="C482" s="9"/>
      <c r="D482" s="9"/>
    </row>
    <row r="483" ht="15.75" customHeight="1">
      <c r="A483" s="9"/>
      <c r="B483" s="9"/>
      <c r="C483" s="9"/>
      <c r="D483" s="9"/>
    </row>
    <row r="484" ht="15.75" customHeight="1">
      <c r="A484" s="9"/>
      <c r="B484" s="9"/>
      <c r="C484" s="9"/>
      <c r="D484" s="9"/>
    </row>
    <row r="485" ht="15.75" customHeight="1">
      <c r="A485" s="9"/>
      <c r="B485" s="9"/>
      <c r="C485" s="9"/>
      <c r="D485" s="9"/>
    </row>
    <row r="486" ht="15.75" customHeight="1">
      <c r="A486" s="9" t="s">
        <v>29309</v>
      </c>
      <c r="B486" s="9" t="s">
        <v>10711</v>
      </c>
      <c r="C486" s="8" t="s">
        <v>29310</v>
      </c>
      <c r="D486" s="9" t="b">
        <v>0</v>
      </c>
    </row>
    <row r="487" ht="15.75" customHeight="1">
      <c r="A487" s="9"/>
      <c r="B487" s="9"/>
      <c r="C487" s="9"/>
      <c r="D487" s="9"/>
    </row>
    <row r="488" ht="15.75" customHeight="1">
      <c r="A488" s="9"/>
      <c r="B488" s="9"/>
      <c r="C488" s="9"/>
      <c r="D488" s="9"/>
    </row>
    <row r="489" ht="15.75" customHeight="1">
      <c r="A489" s="9" t="s">
        <v>29311</v>
      </c>
      <c r="B489" s="9" t="s">
        <v>10711</v>
      </c>
      <c r="C489" s="8" t="s">
        <v>29312</v>
      </c>
      <c r="D489" s="9" t="b">
        <v>0</v>
      </c>
    </row>
    <row r="490" ht="15.75" customHeight="1">
      <c r="A490" s="9"/>
      <c r="B490" s="9"/>
      <c r="C490" s="9"/>
      <c r="D490" s="9"/>
    </row>
    <row r="491" ht="15.75" customHeight="1">
      <c r="A491" s="9" t="s">
        <v>29313</v>
      </c>
      <c r="B491" s="9" t="s">
        <v>9801</v>
      </c>
      <c r="C491" s="8" t="s">
        <v>29314</v>
      </c>
      <c r="D491" s="9" t="b">
        <v>0</v>
      </c>
    </row>
    <row r="492" ht="15.75" customHeight="1">
      <c r="A492" s="9" t="s">
        <v>29315</v>
      </c>
      <c r="B492" s="9" t="s">
        <v>9801</v>
      </c>
      <c r="C492" s="8" t="s">
        <v>29316</v>
      </c>
      <c r="D492" s="9" t="b">
        <v>1</v>
      </c>
    </row>
    <row r="493" ht="15.75" customHeight="1">
      <c r="A493" s="9" t="s">
        <v>29317</v>
      </c>
      <c r="B493" s="9" t="s">
        <v>12018</v>
      </c>
      <c r="C493" s="8" t="s">
        <v>29318</v>
      </c>
      <c r="D493" s="9" t="b">
        <v>1</v>
      </c>
    </row>
    <row r="494" ht="15.75" customHeight="1">
      <c r="A494" s="9"/>
      <c r="B494" s="9"/>
      <c r="C494" s="9"/>
      <c r="D494" s="9"/>
    </row>
    <row r="495" ht="15.75" customHeight="1">
      <c r="A495" s="9"/>
      <c r="B495" s="9"/>
      <c r="C495" s="9"/>
      <c r="D495" s="9"/>
    </row>
    <row r="496" ht="15.75" customHeight="1">
      <c r="A496" s="9"/>
      <c r="B496" s="9"/>
      <c r="C496" s="9"/>
      <c r="D496" s="9"/>
    </row>
    <row r="497" ht="15.75" customHeight="1">
      <c r="A497" s="9"/>
      <c r="B497" s="9"/>
      <c r="C497" s="9"/>
      <c r="D497" s="9"/>
    </row>
    <row r="498" ht="15.75" customHeight="1">
      <c r="A498" s="9"/>
      <c r="B498" s="9"/>
      <c r="C498" s="9"/>
      <c r="D498" s="9"/>
    </row>
    <row r="499" ht="15.75" customHeight="1">
      <c r="A499" s="9"/>
      <c r="B499" s="9"/>
      <c r="C499" s="9"/>
      <c r="D499" s="9"/>
    </row>
    <row r="500" ht="15.75" customHeight="1">
      <c r="A500" s="9" t="s">
        <v>29319</v>
      </c>
      <c r="B500" s="9" t="s">
        <v>12148</v>
      </c>
      <c r="C500" s="8" t="s">
        <v>29320</v>
      </c>
      <c r="D500" s="9" t="b">
        <v>0</v>
      </c>
    </row>
    <row r="501" ht="15.75" customHeight="1">
      <c r="A501" s="9"/>
      <c r="B501" s="9"/>
      <c r="C501" s="9"/>
      <c r="D501" s="9"/>
    </row>
    <row r="502" ht="15.75" customHeight="1">
      <c r="A502" s="9"/>
      <c r="B502" s="9"/>
      <c r="C502" s="9"/>
      <c r="D502" s="9"/>
    </row>
    <row r="503" ht="15.75" customHeight="1">
      <c r="A503" s="9"/>
      <c r="B503" s="9"/>
      <c r="C503" s="9"/>
      <c r="D503" s="9"/>
    </row>
    <row r="504" ht="15.75" customHeight="1">
      <c r="A504" s="9"/>
      <c r="B504" s="9"/>
      <c r="C504" s="9"/>
      <c r="D504" s="9"/>
    </row>
    <row r="505" ht="15.75" customHeight="1">
      <c r="A505" s="9" t="s">
        <v>29321</v>
      </c>
      <c r="B505" s="9" t="s">
        <v>10672</v>
      </c>
      <c r="C505" s="8" t="s">
        <v>29322</v>
      </c>
      <c r="D505" s="9" t="b">
        <v>1</v>
      </c>
    </row>
    <row r="506" ht="15.75" customHeight="1">
      <c r="A506" s="9" t="s">
        <v>29323</v>
      </c>
      <c r="B506" s="9" t="s">
        <v>10672</v>
      </c>
      <c r="C506" s="8" t="s">
        <v>29324</v>
      </c>
      <c r="D506" s="9" t="b">
        <v>0</v>
      </c>
    </row>
    <row r="507" ht="15.75" customHeight="1">
      <c r="A507" s="9" t="s">
        <v>29325</v>
      </c>
      <c r="B507" s="9" t="s">
        <v>10672</v>
      </c>
      <c r="C507" s="8" t="s">
        <v>29326</v>
      </c>
      <c r="D507" s="9" t="b">
        <v>0</v>
      </c>
    </row>
    <row r="508" ht="15.75" customHeight="1">
      <c r="A508" s="9" t="s">
        <v>29327</v>
      </c>
      <c r="B508" s="9" t="s">
        <v>10672</v>
      </c>
      <c r="C508" s="8" t="s">
        <v>29328</v>
      </c>
      <c r="D508" s="9" t="b">
        <v>0</v>
      </c>
    </row>
    <row r="509" ht="15.75" customHeight="1">
      <c r="A509" s="9" t="s">
        <v>29329</v>
      </c>
      <c r="B509" s="9" t="s">
        <v>10672</v>
      </c>
      <c r="C509" s="8" t="s">
        <v>29330</v>
      </c>
      <c r="D509" s="9" t="b">
        <v>0</v>
      </c>
    </row>
    <row r="510" ht="15.75" customHeight="1">
      <c r="A510" s="9" t="s">
        <v>29331</v>
      </c>
      <c r="B510" s="9" t="s">
        <v>11847</v>
      </c>
      <c r="C510" s="8" t="s">
        <v>29332</v>
      </c>
      <c r="D510" s="9" t="b">
        <v>0</v>
      </c>
    </row>
    <row r="511" ht="15.75" customHeight="1">
      <c r="A511" s="9" t="s">
        <v>29333</v>
      </c>
      <c r="B511" s="9" t="s">
        <v>11847</v>
      </c>
      <c r="C511" s="8" t="s">
        <v>29334</v>
      </c>
      <c r="D511" s="9" t="b">
        <v>0</v>
      </c>
    </row>
    <row r="512" ht="15.75" customHeight="1">
      <c r="A512" s="9" t="s">
        <v>29335</v>
      </c>
      <c r="B512" s="9" t="s">
        <v>11847</v>
      </c>
      <c r="C512" s="8" t="s">
        <v>29336</v>
      </c>
      <c r="D512" s="9" t="b">
        <v>0</v>
      </c>
    </row>
    <row r="513" ht="15.75" customHeight="1">
      <c r="A513" s="9" t="s">
        <v>29337</v>
      </c>
      <c r="B513" s="9" t="s">
        <v>10225</v>
      </c>
      <c r="C513" s="8" t="s">
        <v>29338</v>
      </c>
      <c r="D513" s="9" t="b">
        <v>1</v>
      </c>
    </row>
    <row r="514" ht="15.75" customHeight="1">
      <c r="A514" s="9"/>
      <c r="B514" s="9"/>
      <c r="C514" s="9"/>
      <c r="D514" s="9"/>
    </row>
    <row r="515" ht="15.75" customHeight="1">
      <c r="A515" s="9" t="s">
        <v>29339</v>
      </c>
      <c r="B515" s="9" t="s">
        <v>10225</v>
      </c>
      <c r="C515" s="8" t="s">
        <v>29340</v>
      </c>
      <c r="D515" s="9" t="b">
        <v>0</v>
      </c>
    </row>
    <row r="516" ht="15.75" customHeight="1">
      <c r="A516" s="9" t="s">
        <v>29341</v>
      </c>
      <c r="B516" s="9" t="s">
        <v>11847</v>
      </c>
      <c r="C516" s="8" t="s">
        <v>29342</v>
      </c>
      <c r="D516" s="9" t="b">
        <v>1</v>
      </c>
    </row>
    <row r="517" ht="15.75" customHeight="1">
      <c r="A517" s="9" t="s">
        <v>29343</v>
      </c>
      <c r="B517" s="9" t="s">
        <v>4176</v>
      </c>
      <c r="C517" s="8" t="s">
        <v>29344</v>
      </c>
      <c r="D517" s="9" t="b">
        <v>0</v>
      </c>
    </row>
    <row r="518" ht="15.75" customHeight="1">
      <c r="A518" s="9" t="s">
        <v>29345</v>
      </c>
      <c r="B518" s="9" t="s">
        <v>263</v>
      </c>
      <c r="C518" s="8" t="s">
        <v>29346</v>
      </c>
      <c r="D518" s="9" t="b">
        <v>1</v>
      </c>
    </row>
    <row r="519" ht="15.75" customHeight="1">
      <c r="A519" s="9" t="s">
        <v>29347</v>
      </c>
      <c r="B519" s="9" t="s">
        <v>263</v>
      </c>
      <c r="C519" s="8" t="s">
        <v>29348</v>
      </c>
      <c r="D519" s="9" t="b">
        <v>0</v>
      </c>
    </row>
    <row r="520" ht="15.75" customHeight="1">
      <c r="A520" s="9" t="s">
        <v>29349</v>
      </c>
      <c r="B520" s="9" t="s">
        <v>263</v>
      </c>
      <c r="C520" s="8" t="s">
        <v>29350</v>
      </c>
      <c r="D520" s="9" t="b">
        <v>0</v>
      </c>
    </row>
    <row r="521" ht="15.75" customHeight="1">
      <c r="A521" s="9" t="s">
        <v>29351</v>
      </c>
      <c r="B521" s="9" t="s">
        <v>263</v>
      </c>
      <c r="C521" s="8" t="s">
        <v>29352</v>
      </c>
      <c r="D521" s="9" t="b">
        <v>0</v>
      </c>
    </row>
    <row r="522" ht="15.75" customHeight="1">
      <c r="A522" s="9" t="s">
        <v>29353</v>
      </c>
      <c r="B522" s="9" t="s">
        <v>263</v>
      </c>
      <c r="C522" s="8" t="s">
        <v>29354</v>
      </c>
      <c r="D522" s="9" t="b">
        <v>0</v>
      </c>
    </row>
    <row r="523" ht="15.75" customHeight="1">
      <c r="A523" s="9" t="s">
        <v>29355</v>
      </c>
      <c r="B523" s="9" t="s">
        <v>263</v>
      </c>
      <c r="C523" s="8" t="s">
        <v>29356</v>
      </c>
      <c r="D523" s="9" t="b">
        <v>0</v>
      </c>
    </row>
    <row r="524" ht="15.75" customHeight="1">
      <c r="A524" s="9" t="s">
        <v>29357</v>
      </c>
      <c r="B524" s="9" t="s">
        <v>263</v>
      </c>
      <c r="C524" s="8" t="s">
        <v>29358</v>
      </c>
      <c r="D524" s="9" t="b">
        <v>0</v>
      </c>
    </row>
    <row r="525" ht="15.75" customHeight="1">
      <c r="A525" s="9" t="s">
        <v>29359</v>
      </c>
      <c r="B525" s="9" t="s">
        <v>8306</v>
      </c>
      <c r="C525" s="8" t="s">
        <v>29360</v>
      </c>
      <c r="D525" s="9" t="b">
        <v>1</v>
      </c>
    </row>
    <row r="526" ht="15.75" customHeight="1">
      <c r="A526" s="9" t="s">
        <v>29361</v>
      </c>
      <c r="B526" s="9" t="s">
        <v>8306</v>
      </c>
      <c r="C526" s="8" t="s">
        <v>29362</v>
      </c>
      <c r="D526" s="9" t="b">
        <v>0</v>
      </c>
    </row>
    <row r="527" ht="15.75" customHeight="1">
      <c r="A527" s="9" t="s">
        <v>29363</v>
      </c>
      <c r="B527" s="9" t="s">
        <v>8306</v>
      </c>
      <c r="C527" s="8" t="s">
        <v>29364</v>
      </c>
      <c r="D527" s="9" t="b">
        <v>0</v>
      </c>
    </row>
    <row r="528" ht="15.75" customHeight="1">
      <c r="A528" s="9" t="s">
        <v>29365</v>
      </c>
      <c r="B528" s="9" t="s">
        <v>8306</v>
      </c>
      <c r="C528" s="8" t="s">
        <v>29366</v>
      </c>
      <c r="D528" s="9" t="b">
        <v>0</v>
      </c>
    </row>
    <row r="529" ht="15.75" customHeight="1">
      <c r="A529" s="9" t="s">
        <v>29367</v>
      </c>
      <c r="B529" s="9" t="s">
        <v>8306</v>
      </c>
      <c r="C529" s="8" t="s">
        <v>29368</v>
      </c>
      <c r="D529" s="9" t="b">
        <v>0</v>
      </c>
    </row>
    <row r="530" ht="15.75" customHeight="1">
      <c r="A530" s="9" t="s">
        <v>29369</v>
      </c>
      <c r="B530" s="9" t="s">
        <v>8306</v>
      </c>
      <c r="C530" s="8" t="s">
        <v>29370</v>
      </c>
      <c r="D530" s="9" t="b">
        <v>0</v>
      </c>
    </row>
    <row r="531" ht="15.75" customHeight="1">
      <c r="A531" s="9" t="s">
        <v>29371</v>
      </c>
      <c r="B531" s="9" t="s">
        <v>8306</v>
      </c>
      <c r="C531" s="8" t="s">
        <v>29372</v>
      </c>
      <c r="D531" s="9" t="b">
        <v>0</v>
      </c>
    </row>
    <row r="532" ht="15.75" customHeight="1">
      <c r="A532" s="9" t="s">
        <v>29373</v>
      </c>
      <c r="B532" s="9" t="s">
        <v>8306</v>
      </c>
      <c r="C532" s="8" t="s">
        <v>29374</v>
      </c>
      <c r="D532" s="9" t="b">
        <v>0</v>
      </c>
    </row>
    <row r="533" ht="15.75" customHeight="1">
      <c r="A533" s="9" t="s">
        <v>29375</v>
      </c>
      <c r="B533" s="9" t="s">
        <v>8502</v>
      </c>
      <c r="C533" s="8" t="s">
        <v>29376</v>
      </c>
      <c r="D533" s="9" t="b">
        <v>1</v>
      </c>
    </row>
    <row r="534" ht="15.75" customHeight="1">
      <c r="A534" s="9" t="s">
        <v>29377</v>
      </c>
      <c r="B534" s="9" t="s">
        <v>8502</v>
      </c>
      <c r="C534" s="8" t="s">
        <v>29378</v>
      </c>
      <c r="D534" s="9" t="b">
        <v>0</v>
      </c>
    </row>
    <row r="535" ht="15.75" customHeight="1">
      <c r="A535" s="9" t="s">
        <v>29379</v>
      </c>
      <c r="B535" s="9" t="s">
        <v>8502</v>
      </c>
      <c r="C535" s="8" t="s">
        <v>29380</v>
      </c>
      <c r="D535" s="9" t="b">
        <v>0</v>
      </c>
    </row>
    <row r="536" ht="15.75" customHeight="1">
      <c r="A536" s="9" t="s">
        <v>29381</v>
      </c>
      <c r="B536" s="9" t="s">
        <v>8502</v>
      </c>
      <c r="C536" s="8" t="s">
        <v>29382</v>
      </c>
      <c r="D536" s="9" t="b">
        <v>0</v>
      </c>
    </row>
    <row r="537" ht="15.75" customHeight="1">
      <c r="A537" s="9" t="s">
        <v>29383</v>
      </c>
      <c r="B537" s="9" t="s">
        <v>8502</v>
      </c>
      <c r="C537" s="8" t="s">
        <v>29384</v>
      </c>
      <c r="D537" s="9" t="b">
        <v>0</v>
      </c>
    </row>
    <row r="538" ht="15.75" customHeight="1">
      <c r="A538" s="9" t="s">
        <v>29385</v>
      </c>
      <c r="B538" s="9" t="s">
        <v>8502</v>
      </c>
      <c r="C538" s="8" t="s">
        <v>29386</v>
      </c>
      <c r="D538" s="9" t="b">
        <v>0</v>
      </c>
    </row>
    <row r="539" ht="15.75" customHeight="1">
      <c r="A539" s="9" t="s">
        <v>29387</v>
      </c>
      <c r="B539" s="9" t="s">
        <v>8502</v>
      </c>
      <c r="C539" s="8" t="s">
        <v>29388</v>
      </c>
      <c r="D539" s="9" t="b">
        <v>0</v>
      </c>
    </row>
    <row r="540" ht="15.75" customHeight="1">
      <c r="A540" s="9" t="s">
        <v>29389</v>
      </c>
      <c r="B540" s="9" t="s">
        <v>8502</v>
      </c>
      <c r="C540" s="8" t="s">
        <v>29390</v>
      </c>
      <c r="D540" s="9" t="b">
        <v>0</v>
      </c>
    </row>
    <row r="541" ht="15.75" customHeight="1">
      <c r="A541" s="9" t="s">
        <v>29391</v>
      </c>
      <c r="B541" s="9" t="s">
        <v>3852</v>
      </c>
      <c r="C541" s="8" t="s">
        <v>29392</v>
      </c>
      <c r="D541" s="9" t="b">
        <v>1</v>
      </c>
    </row>
    <row r="542" ht="15.75" customHeight="1">
      <c r="A542" s="9" t="s">
        <v>29393</v>
      </c>
      <c r="B542" s="9" t="s">
        <v>3852</v>
      </c>
      <c r="C542" s="8" t="s">
        <v>29394</v>
      </c>
      <c r="D542" s="9" t="b">
        <v>0</v>
      </c>
    </row>
    <row r="543" ht="15.75" customHeight="1">
      <c r="A543" s="9" t="s">
        <v>29395</v>
      </c>
      <c r="B543" s="9" t="s">
        <v>3852</v>
      </c>
      <c r="C543" s="8" t="s">
        <v>29396</v>
      </c>
      <c r="D543" s="9" t="b">
        <v>0</v>
      </c>
    </row>
    <row r="544" ht="15.75" customHeight="1">
      <c r="A544" s="9" t="s">
        <v>29397</v>
      </c>
      <c r="B544" s="9" t="s">
        <v>3852</v>
      </c>
      <c r="C544" s="8" t="s">
        <v>29398</v>
      </c>
      <c r="D544" s="9" t="b">
        <v>0</v>
      </c>
    </row>
    <row r="545" ht="15.75" customHeight="1">
      <c r="A545" s="9" t="s">
        <v>29399</v>
      </c>
      <c r="B545" s="9" t="s">
        <v>3852</v>
      </c>
      <c r="C545" s="8" t="s">
        <v>29400</v>
      </c>
      <c r="D545" s="9" t="b">
        <v>0</v>
      </c>
    </row>
    <row r="546" ht="15.75" customHeight="1">
      <c r="A546" s="9" t="s">
        <v>29401</v>
      </c>
      <c r="B546" s="9" t="s">
        <v>3852</v>
      </c>
      <c r="C546" s="8" t="s">
        <v>29402</v>
      </c>
      <c r="D546" s="9" t="b">
        <v>0</v>
      </c>
    </row>
    <row r="547" ht="15.75" customHeight="1">
      <c r="A547" s="9" t="s">
        <v>29403</v>
      </c>
      <c r="B547" s="9" t="s">
        <v>7773</v>
      </c>
      <c r="C547" s="8" t="s">
        <v>29404</v>
      </c>
      <c r="D547" s="9" t="b">
        <v>1</v>
      </c>
    </row>
    <row r="548" ht="15.75" customHeight="1">
      <c r="A548" s="9" t="s">
        <v>29405</v>
      </c>
      <c r="B548" s="9" t="s">
        <v>7773</v>
      </c>
      <c r="C548" s="8" t="s">
        <v>29406</v>
      </c>
      <c r="D548" s="9" t="b">
        <v>0</v>
      </c>
    </row>
    <row r="549" ht="15.75" customHeight="1">
      <c r="A549" s="9" t="s">
        <v>29407</v>
      </c>
      <c r="B549" s="9" t="s">
        <v>7773</v>
      </c>
      <c r="C549" s="8" t="s">
        <v>29408</v>
      </c>
      <c r="D549" s="9" t="b">
        <v>0</v>
      </c>
    </row>
    <row r="550" ht="15.75" customHeight="1">
      <c r="A550" s="9" t="s">
        <v>29409</v>
      </c>
      <c r="B550" s="9" t="s">
        <v>7773</v>
      </c>
      <c r="C550" s="8" t="s">
        <v>29410</v>
      </c>
      <c r="D550" s="9" t="b">
        <v>0</v>
      </c>
    </row>
    <row r="551" ht="15.75" customHeight="1">
      <c r="A551" s="9" t="s">
        <v>29411</v>
      </c>
      <c r="B551" s="9" t="s">
        <v>7773</v>
      </c>
      <c r="C551" s="8" t="s">
        <v>29412</v>
      </c>
      <c r="D551" s="9" t="b">
        <v>0</v>
      </c>
    </row>
    <row r="552" ht="15.75" customHeight="1">
      <c r="A552" s="9" t="s">
        <v>29413</v>
      </c>
      <c r="B552" s="9" t="s">
        <v>7773</v>
      </c>
      <c r="C552" s="8" t="s">
        <v>29414</v>
      </c>
      <c r="D552" s="9" t="b">
        <v>0</v>
      </c>
    </row>
    <row r="553" ht="15.75" customHeight="1">
      <c r="A553" s="9" t="s">
        <v>29415</v>
      </c>
      <c r="B553" s="9" t="s">
        <v>7773</v>
      </c>
      <c r="C553" s="8" t="s">
        <v>29416</v>
      </c>
      <c r="D553" s="9" t="b">
        <v>0</v>
      </c>
    </row>
    <row r="554" ht="15.75" customHeight="1">
      <c r="A554" s="9" t="s">
        <v>29417</v>
      </c>
      <c r="B554" s="9" t="s">
        <v>7773</v>
      </c>
      <c r="C554" s="8" t="s">
        <v>29418</v>
      </c>
      <c r="D554" s="9" t="b">
        <v>0</v>
      </c>
    </row>
    <row r="555" ht="15.75" customHeight="1">
      <c r="A555" s="9" t="s">
        <v>29419</v>
      </c>
      <c r="B555" s="9" t="s">
        <v>3606</v>
      </c>
      <c r="C555" s="8" t="s">
        <v>29420</v>
      </c>
      <c r="D555" s="9" t="b">
        <v>1</v>
      </c>
    </row>
    <row r="556" ht="15.75" customHeight="1">
      <c r="A556" s="9" t="s">
        <v>29421</v>
      </c>
      <c r="B556" s="9" t="s">
        <v>3606</v>
      </c>
      <c r="C556" s="8" t="s">
        <v>29422</v>
      </c>
      <c r="D556" s="9" t="b">
        <v>0</v>
      </c>
    </row>
    <row r="557" ht="15.75" customHeight="1">
      <c r="A557" s="9" t="s">
        <v>29423</v>
      </c>
      <c r="B557" s="9" t="s">
        <v>3606</v>
      </c>
      <c r="C557" s="8" t="s">
        <v>29424</v>
      </c>
      <c r="D557" s="9" t="b">
        <v>0</v>
      </c>
    </row>
    <row r="558" ht="15.75" customHeight="1">
      <c r="A558" s="9" t="s">
        <v>29425</v>
      </c>
      <c r="B558" s="9" t="s">
        <v>3606</v>
      </c>
      <c r="C558" s="8" t="s">
        <v>29426</v>
      </c>
      <c r="D558" s="9" t="b">
        <v>0</v>
      </c>
    </row>
    <row r="559" ht="15.75" customHeight="1">
      <c r="A559" s="9" t="s">
        <v>29427</v>
      </c>
      <c r="B559" s="9" t="s">
        <v>3606</v>
      </c>
      <c r="C559" s="8" t="s">
        <v>29428</v>
      </c>
      <c r="D559" s="9" t="b">
        <v>0</v>
      </c>
    </row>
    <row r="560" ht="15.75" customHeight="1">
      <c r="A560" s="9" t="s">
        <v>29429</v>
      </c>
      <c r="B560" s="9" t="s">
        <v>3606</v>
      </c>
      <c r="C560" s="8" t="s">
        <v>29430</v>
      </c>
      <c r="D560" s="9" t="b">
        <v>0</v>
      </c>
    </row>
    <row r="561" ht="15.75" customHeight="1">
      <c r="A561" s="9" t="s">
        <v>29431</v>
      </c>
      <c r="B561" s="9" t="s">
        <v>3606</v>
      </c>
      <c r="C561" s="8" t="s">
        <v>29432</v>
      </c>
      <c r="D561" s="9" t="b">
        <v>0</v>
      </c>
    </row>
    <row r="562" ht="15.75" customHeight="1">
      <c r="A562" s="9" t="s">
        <v>29433</v>
      </c>
      <c r="B562" s="9" t="s">
        <v>3663</v>
      </c>
      <c r="C562" s="8" t="s">
        <v>29434</v>
      </c>
      <c r="D562" s="9" t="b">
        <v>1</v>
      </c>
    </row>
    <row r="563" ht="15.75" customHeight="1">
      <c r="A563" s="9" t="s">
        <v>29435</v>
      </c>
      <c r="B563" s="9" t="s">
        <v>3663</v>
      </c>
      <c r="C563" s="8" t="s">
        <v>29436</v>
      </c>
      <c r="D563" s="9" t="b">
        <v>0</v>
      </c>
    </row>
    <row r="564" ht="15.75" customHeight="1">
      <c r="A564" s="9" t="s">
        <v>29437</v>
      </c>
      <c r="B564" s="9" t="s">
        <v>3663</v>
      </c>
      <c r="C564" s="8" t="s">
        <v>29438</v>
      </c>
      <c r="D564" s="9" t="b">
        <v>0</v>
      </c>
    </row>
    <row r="565" ht="15.75" customHeight="1">
      <c r="A565" s="9" t="s">
        <v>29439</v>
      </c>
      <c r="B565" s="9" t="s">
        <v>3663</v>
      </c>
      <c r="C565" s="8" t="s">
        <v>29440</v>
      </c>
      <c r="D565" s="9" t="b">
        <v>0</v>
      </c>
    </row>
    <row r="566" ht="15.75" customHeight="1">
      <c r="A566" s="9" t="s">
        <v>29441</v>
      </c>
      <c r="B566" s="9" t="s">
        <v>7556</v>
      </c>
      <c r="C566" s="8" t="s">
        <v>29442</v>
      </c>
      <c r="D566" s="9" t="b">
        <v>1</v>
      </c>
    </row>
    <row r="567" ht="15.75" customHeight="1">
      <c r="A567" s="9" t="s">
        <v>29443</v>
      </c>
      <c r="B567" s="9" t="s">
        <v>7556</v>
      </c>
      <c r="C567" s="8" t="s">
        <v>29444</v>
      </c>
      <c r="D567" s="9" t="b">
        <v>0</v>
      </c>
    </row>
    <row r="568" ht="15.75" customHeight="1">
      <c r="A568" s="9" t="s">
        <v>29445</v>
      </c>
      <c r="B568" s="9" t="s">
        <v>7556</v>
      </c>
      <c r="C568" s="8" t="s">
        <v>29446</v>
      </c>
      <c r="D568" s="9" t="b">
        <v>0</v>
      </c>
    </row>
    <row r="569" ht="15.75" customHeight="1">
      <c r="A569" s="9" t="s">
        <v>29447</v>
      </c>
      <c r="B569" s="9" t="s">
        <v>5249</v>
      </c>
      <c r="C569" s="8" t="s">
        <v>29448</v>
      </c>
      <c r="D569" s="9" t="b">
        <v>0</v>
      </c>
    </row>
    <row r="570" ht="15.75" customHeight="1">
      <c r="A570" s="9" t="s">
        <v>29449</v>
      </c>
      <c r="B570" s="9" t="s">
        <v>5361</v>
      </c>
      <c r="C570" s="8" t="s">
        <v>29450</v>
      </c>
      <c r="D570" s="9" t="b">
        <v>1</v>
      </c>
    </row>
    <row r="571" ht="15.75" customHeight="1">
      <c r="A571" s="9" t="s">
        <v>29451</v>
      </c>
      <c r="B571" s="9" t="s">
        <v>5361</v>
      </c>
      <c r="C571" s="8" t="s">
        <v>29452</v>
      </c>
      <c r="D571" s="9" t="b">
        <v>0</v>
      </c>
    </row>
    <row r="572" ht="15.75" customHeight="1">
      <c r="A572" s="9" t="s">
        <v>29453</v>
      </c>
      <c r="B572" s="9" t="s">
        <v>5361</v>
      </c>
      <c r="C572" s="8" t="s">
        <v>29454</v>
      </c>
      <c r="D572" s="9" t="b">
        <v>0</v>
      </c>
    </row>
    <row r="573" ht="15.75" customHeight="1">
      <c r="A573" s="9" t="s">
        <v>29455</v>
      </c>
      <c r="B573" s="9" t="s">
        <v>6928</v>
      </c>
      <c r="C573" s="8" t="s">
        <v>29456</v>
      </c>
      <c r="D573" s="9" t="b">
        <v>1</v>
      </c>
    </row>
    <row r="574" ht="15.75" customHeight="1">
      <c r="A574" s="9" t="s">
        <v>29457</v>
      </c>
      <c r="B574" s="9" t="s">
        <v>6928</v>
      </c>
      <c r="C574" s="8" t="s">
        <v>29458</v>
      </c>
      <c r="D574" s="9" t="b">
        <v>0</v>
      </c>
    </row>
    <row r="575" ht="15.75" customHeight="1">
      <c r="A575" s="9" t="s">
        <v>29459</v>
      </c>
      <c r="B575" s="9" t="s">
        <v>6928</v>
      </c>
      <c r="C575" s="8" t="s">
        <v>29460</v>
      </c>
      <c r="D575" s="9" t="b">
        <v>0</v>
      </c>
    </row>
    <row r="576" ht="15.75" customHeight="1">
      <c r="A576" s="9" t="s">
        <v>29461</v>
      </c>
      <c r="B576" s="9" t="s">
        <v>6928</v>
      </c>
      <c r="C576" s="8" t="s">
        <v>29462</v>
      </c>
      <c r="D576" s="9" t="b">
        <v>0</v>
      </c>
    </row>
    <row r="577" ht="15.75" customHeight="1">
      <c r="A577" s="9" t="s">
        <v>29463</v>
      </c>
      <c r="B577" s="9" t="s">
        <v>6928</v>
      </c>
      <c r="C577" s="8" t="s">
        <v>29464</v>
      </c>
      <c r="D577" s="9" t="b">
        <v>0</v>
      </c>
    </row>
    <row r="578" ht="15.75" customHeight="1">
      <c r="A578" s="9" t="s">
        <v>29465</v>
      </c>
      <c r="B578" s="9" t="s">
        <v>7889</v>
      </c>
      <c r="C578" s="8" t="s">
        <v>29466</v>
      </c>
      <c r="D578" s="9" t="b">
        <v>1</v>
      </c>
    </row>
    <row r="579" ht="15.75" customHeight="1">
      <c r="A579" s="9" t="s">
        <v>29467</v>
      </c>
      <c r="B579" s="9" t="s">
        <v>7889</v>
      </c>
      <c r="C579" s="8" t="s">
        <v>29468</v>
      </c>
      <c r="D579" s="9" t="b">
        <v>0</v>
      </c>
    </row>
    <row r="580" ht="15.75" customHeight="1">
      <c r="A580" s="52" t="s">
        <v>29469</v>
      </c>
      <c r="B580" s="9" t="s">
        <v>7889</v>
      </c>
      <c r="C580" s="8" t="s">
        <v>29470</v>
      </c>
      <c r="D580" s="9" t="b">
        <v>0</v>
      </c>
    </row>
    <row r="581" ht="15.75" customHeight="1">
      <c r="A581" s="9" t="s">
        <v>29471</v>
      </c>
      <c r="B581" s="9" t="s">
        <v>267</v>
      </c>
      <c r="C581" s="8" t="s">
        <v>29472</v>
      </c>
      <c r="D581" s="9" t="b">
        <v>0</v>
      </c>
    </row>
    <row r="582" ht="15.75" customHeight="1">
      <c r="A582" s="9" t="s">
        <v>29473</v>
      </c>
      <c r="B582" s="9" t="s">
        <v>267</v>
      </c>
      <c r="C582" s="8" t="s">
        <v>29474</v>
      </c>
      <c r="D582" s="9" t="b">
        <v>0</v>
      </c>
    </row>
    <row r="583" ht="15.75" customHeight="1">
      <c r="A583" s="9" t="s">
        <v>29475</v>
      </c>
      <c r="B583" s="9" t="s">
        <v>267</v>
      </c>
      <c r="C583" s="8" t="s">
        <v>29476</v>
      </c>
      <c r="D583" s="9" t="b">
        <v>0</v>
      </c>
    </row>
    <row r="584" ht="15.75" customHeight="1">
      <c r="A584" s="9" t="s">
        <v>29477</v>
      </c>
      <c r="B584" s="9" t="s">
        <v>5472</v>
      </c>
      <c r="C584" s="8" t="s">
        <v>29478</v>
      </c>
      <c r="D584" s="9" t="b">
        <v>1</v>
      </c>
    </row>
    <row r="585" ht="15.75" customHeight="1">
      <c r="A585" s="9" t="s">
        <v>29479</v>
      </c>
      <c r="B585" s="9" t="s">
        <v>5472</v>
      </c>
      <c r="C585" s="8" t="s">
        <v>29480</v>
      </c>
      <c r="D585" s="9" t="b">
        <v>0</v>
      </c>
    </row>
    <row r="586" ht="15.75" customHeight="1">
      <c r="A586" s="52" t="s">
        <v>29481</v>
      </c>
      <c r="B586" s="9" t="s">
        <v>5472</v>
      </c>
      <c r="C586" s="8" t="s">
        <v>29482</v>
      </c>
      <c r="D586" s="9" t="b">
        <v>0</v>
      </c>
    </row>
    <row r="587" ht="15.75" customHeight="1">
      <c r="A587" s="9" t="s">
        <v>29483</v>
      </c>
      <c r="B587" s="9" t="s">
        <v>4785</v>
      </c>
      <c r="C587" s="8" t="s">
        <v>29484</v>
      </c>
      <c r="D587" s="9" t="b">
        <v>1</v>
      </c>
    </row>
    <row r="588" ht="15.75" customHeight="1">
      <c r="A588" s="9" t="s">
        <v>29485</v>
      </c>
      <c r="B588" s="9" t="s">
        <v>4785</v>
      </c>
      <c r="C588" s="8" t="s">
        <v>29486</v>
      </c>
      <c r="D588" s="9" t="b">
        <v>0</v>
      </c>
    </row>
    <row r="589" ht="15.75" customHeight="1">
      <c r="A589" s="9" t="s">
        <v>29487</v>
      </c>
      <c r="B589" s="9" t="s">
        <v>4785</v>
      </c>
      <c r="C589" s="8" t="s">
        <v>29488</v>
      </c>
      <c r="D589" s="9" t="b">
        <v>0</v>
      </c>
    </row>
    <row r="590" ht="15.75" customHeight="1">
      <c r="A590" s="9" t="s">
        <v>29489</v>
      </c>
      <c r="B590" s="9" t="s">
        <v>10171</v>
      </c>
      <c r="C590" s="8" t="s">
        <v>29490</v>
      </c>
      <c r="D590" s="9" t="b">
        <v>1</v>
      </c>
    </row>
    <row r="591" ht="15.75" customHeight="1">
      <c r="A591" s="9" t="s">
        <v>29491</v>
      </c>
      <c r="B591" s="9" t="s">
        <v>10171</v>
      </c>
      <c r="C591" s="8" t="s">
        <v>29492</v>
      </c>
      <c r="D591" s="9" t="b">
        <v>0</v>
      </c>
    </row>
    <row r="592" ht="15.75" customHeight="1">
      <c r="A592" s="9" t="s">
        <v>29493</v>
      </c>
      <c r="B592" s="9" t="s">
        <v>10171</v>
      </c>
      <c r="C592" s="8" t="s">
        <v>29494</v>
      </c>
      <c r="D592" s="9" t="b">
        <v>0</v>
      </c>
    </row>
    <row r="593" ht="15.75" customHeight="1">
      <c r="A593" s="9" t="s">
        <v>29495</v>
      </c>
      <c r="B593" s="9" t="s">
        <v>11731</v>
      </c>
      <c r="C593" s="8" t="s">
        <v>29496</v>
      </c>
      <c r="D593" s="9" t="b">
        <v>1</v>
      </c>
    </row>
    <row r="594" ht="15.75" customHeight="1">
      <c r="A594" s="9" t="s">
        <v>29497</v>
      </c>
      <c r="B594" s="9" t="s">
        <v>11731</v>
      </c>
      <c r="C594" s="8" t="s">
        <v>29498</v>
      </c>
      <c r="D594" s="9" t="b">
        <v>0</v>
      </c>
    </row>
    <row r="595" ht="15.75" customHeight="1">
      <c r="A595" s="9" t="s">
        <v>29499</v>
      </c>
      <c r="B595" s="9" t="s">
        <v>11731</v>
      </c>
      <c r="C595" s="8" t="s">
        <v>29500</v>
      </c>
      <c r="D595" s="9" t="b">
        <v>0</v>
      </c>
    </row>
    <row r="596" ht="15.75" customHeight="1">
      <c r="A596" s="9" t="s">
        <v>29501</v>
      </c>
      <c r="B596" s="9" t="s">
        <v>11731</v>
      </c>
      <c r="C596" s="8" t="s">
        <v>29502</v>
      </c>
      <c r="D596" s="9" t="b">
        <v>0</v>
      </c>
    </row>
    <row r="597" ht="15.75" customHeight="1">
      <c r="A597" s="9" t="s">
        <v>29503</v>
      </c>
      <c r="B597" s="9" t="s">
        <v>11731</v>
      </c>
      <c r="C597" s="8" t="s">
        <v>29504</v>
      </c>
      <c r="D597" s="9" t="b">
        <v>0</v>
      </c>
    </row>
    <row r="598" ht="15.75" customHeight="1">
      <c r="A598" s="9" t="s">
        <v>29505</v>
      </c>
      <c r="B598" s="9" t="s">
        <v>11731</v>
      </c>
      <c r="C598" s="8" t="s">
        <v>29506</v>
      </c>
      <c r="D598" s="9" t="b">
        <v>0</v>
      </c>
    </row>
    <row r="599" ht="15.75" customHeight="1">
      <c r="A599" s="9" t="s">
        <v>29507</v>
      </c>
      <c r="B599" s="9" t="s">
        <v>11731</v>
      </c>
      <c r="C599" s="8" t="s">
        <v>29508</v>
      </c>
      <c r="D599" s="9" t="b">
        <v>0</v>
      </c>
    </row>
    <row r="600" ht="15.75" customHeight="1">
      <c r="A600" s="9" t="s">
        <v>29509</v>
      </c>
      <c r="B600" s="9" t="s">
        <v>11731</v>
      </c>
      <c r="C600" s="8" t="s">
        <v>29510</v>
      </c>
      <c r="D600" s="9" t="b">
        <v>0</v>
      </c>
    </row>
    <row r="601" ht="15.75" customHeight="1">
      <c r="A601" s="9" t="s">
        <v>29511</v>
      </c>
      <c r="B601" s="9" t="s">
        <v>11731</v>
      </c>
      <c r="C601" s="8" t="s">
        <v>29512</v>
      </c>
      <c r="D601" s="9" t="b">
        <v>0</v>
      </c>
    </row>
    <row r="602" ht="15.75" customHeight="1">
      <c r="A602" s="9" t="s">
        <v>29513</v>
      </c>
      <c r="B602" s="9" t="s">
        <v>11731</v>
      </c>
      <c r="C602" s="8" t="s">
        <v>29514</v>
      </c>
      <c r="D602" s="9" t="b">
        <v>0</v>
      </c>
    </row>
    <row r="603" ht="15.75" customHeight="1">
      <c r="A603" s="9" t="s">
        <v>29515</v>
      </c>
      <c r="B603" s="9" t="s">
        <v>11731</v>
      </c>
      <c r="C603" s="8" t="s">
        <v>29516</v>
      </c>
      <c r="D603" s="9" t="b">
        <v>0</v>
      </c>
    </row>
    <row r="604" ht="15.75" customHeight="1">
      <c r="A604" s="9" t="s">
        <v>29517</v>
      </c>
      <c r="B604" s="9" t="s">
        <v>10730</v>
      </c>
      <c r="C604" s="8" t="s">
        <v>29518</v>
      </c>
      <c r="D604" s="9" t="b">
        <v>1</v>
      </c>
    </row>
    <row r="605" ht="15.75" customHeight="1">
      <c r="A605" s="9" t="s">
        <v>29519</v>
      </c>
      <c r="B605" s="9" t="s">
        <v>10730</v>
      </c>
      <c r="C605" s="8" t="s">
        <v>29520</v>
      </c>
      <c r="D605" s="9" t="b">
        <v>0</v>
      </c>
    </row>
    <row r="606" ht="15.75" customHeight="1">
      <c r="A606" s="9" t="s">
        <v>29521</v>
      </c>
      <c r="B606" s="9" t="s">
        <v>10730</v>
      </c>
      <c r="C606" s="8" t="s">
        <v>29522</v>
      </c>
      <c r="D606" s="9" t="b">
        <v>0</v>
      </c>
    </row>
    <row r="607" ht="15.75" customHeight="1">
      <c r="A607" s="9" t="s">
        <v>29523</v>
      </c>
      <c r="B607" s="9" t="s">
        <v>10730</v>
      </c>
      <c r="C607" s="8" t="s">
        <v>29524</v>
      </c>
      <c r="D607" s="9" t="b">
        <v>0</v>
      </c>
    </row>
    <row r="608" ht="15.75" customHeight="1">
      <c r="A608" s="9" t="s">
        <v>29525</v>
      </c>
      <c r="B608" s="9" t="s">
        <v>10730</v>
      </c>
      <c r="C608" s="8" t="s">
        <v>29526</v>
      </c>
      <c r="D608" s="9" t="b">
        <v>0</v>
      </c>
    </row>
    <row r="609" ht="15.75" customHeight="1">
      <c r="A609" s="9" t="s">
        <v>29527</v>
      </c>
      <c r="B609" s="9" t="s">
        <v>10730</v>
      </c>
      <c r="C609" s="8" t="s">
        <v>29528</v>
      </c>
      <c r="D609" s="9" t="b">
        <v>0</v>
      </c>
    </row>
    <row r="610" ht="15.75" customHeight="1">
      <c r="A610" s="9" t="s">
        <v>29529</v>
      </c>
      <c r="B610" s="9" t="s">
        <v>10730</v>
      </c>
      <c r="C610" s="8" t="s">
        <v>29530</v>
      </c>
      <c r="D610" s="9" t="b">
        <v>0</v>
      </c>
    </row>
    <row r="611" ht="15.75" customHeight="1">
      <c r="A611" s="9" t="s">
        <v>29531</v>
      </c>
      <c r="B611" s="9" t="s">
        <v>12091</v>
      </c>
      <c r="C611" s="8" t="s">
        <v>29532</v>
      </c>
      <c r="D611" s="9" t="b">
        <v>0</v>
      </c>
    </row>
    <row r="612" ht="15.75" customHeight="1">
      <c r="A612" s="9" t="s">
        <v>29533</v>
      </c>
      <c r="B612" s="9" t="s">
        <v>12091</v>
      </c>
      <c r="C612" s="8" t="s">
        <v>29534</v>
      </c>
      <c r="D612" s="9" t="b">
        <v>0</v>
      </c>
    </row>
    <row r="613" ht="15.75" customHeight="1">
      <c r="A613" s="9" t="s">
        <v>29535</v>
      </c>
      <c r="B613" s="9" t="s">
        <v>12091</v>
      </c>
      <c r="C613" s="8" t="s">
        <v>29536</v>
      </c>
      <c r="D613" s="9" t="b">
        <v>0</v>
      </c>
    </row>
    <row r="614" ht="15.75" customHeight="1">
      <c r="A614" s="9" t="s">
        <v>29537</v>
      </c>
      <c r="B614" s="9" t="s">
        <v>12091</v>
      </c>
      <c r="C614" s="8" t="s">
        <v>29538</v>
      </c>
      <c r="D614" s="9" t="b">
        <v>0</v>
      </c>
    </row>
    <row r="615" ht="15.75" customHeight="1">
      <c r="A615" s="9" t="s">
        <v>29539</v>
      </c>
      <c r="B615" s="9" t="s">
        <v>12091</v>
      </c>
      <c r="C615" s="8" t="s">
        <v>29540</v>
      </c>
      <c r="D615" s="9" t="b">
        <v>0</v>
      </c>
    </row>
    <row r="616" ht="15.75" customHeight="1">
      <c r="A616" s="9" t="s">
        <v>29541</v>
      </c>
      <c r="B616" s="9" t="s">
        <v>12091</v>
      </c>
      <c r="C616" s="8" t="s">
        <v>29542</v>
      </c>
      <c r="D616" s="9" t="b">
        <v>1</v>
      </c>
    </row>
    <row r="617" ht="15.75" customHeight="1">
      <c r="A617" s="9" t="s">
        <v>29543</v>
      </c>
      <c r="B617" s="9" t="s">
        <v>12091</v>
      </c>
      <c r="C617" s="8" t="s">
        <v>29544</v>
      </c>
      <c r="D617" s="9" t="b">
        <v>0</v>
      </c>
    </row>
    <row r="618" ht="15.75" customHeight="1">
      <c r="A618" s="52" t="s">
        <v>29545</v>
      </c>
      <c r="B618" s="9" t="s">
        <v>6314</v>
      </c>
      <c r="C618" s="8" t="s">
        <v>29546</v>
      </c>
      <c r="D618" s="9" t="b">
        <v>1</v>
      </c>
    </row>
    <row r="619" ht="15.75" customHeight="1">
      <c r="A619" s="9" t="s">
        <v>29547</v>
      </c>
      <c r="B619" s="9" t="s">
        <v>6314</v>
      </c>
      <c r="C619" s="8" t="s">
        <v>29548</v>
      </c>
      <c r="D619" s="9" t="b">
        <v>0</v>
      </c>
    </row>
    <row r="620" ht="15.75" customHeight="1">
      <c r="A620" s="9" t="s">
        <v>29549</v>
      </c>
      <c r="B620" s="9" t="s">
        <v>6314</v>
      </c>
      <c r="C620" s="8" t="s">
        <v>29550</v>
      </c>
      <c r="D620" s="9" t="b">
        <v>0</v>
      </c>
    </row>
    <row r="621" ht="15.75" customHeight="1">
      <c r="A621" s="9"/>
      <c r="B621" s="9"/>
      <c r="C621" s="9"/>
      <c r="D621" s="9"/>
    </row>
    <row r="622" ht="15.75" customHeight="1">
      <c r="A622" s="9" t="s">
        <v>29551</v>
      </c>
      <c r="B622" s="9" t="s">
        <v>12091</v>
      </c>
      <c r="C622" s="8" t="s">
        <v>29552</v>
      </c>
      <c r="D622" s="9" t="b">
        <v>1</v>
      </c>
    </row>
    <row r="623" ht="15.75" customHeight="1">
      <c r="A623" s="9" t="s">
        <v>29553</v>
      </c>
      <c r="B623" s="9" t="s">
        <v>4639</v>
      </c>
      <c r="C623" s="8" t="s">
        <v>29554</v>
      </c>
      <c r="D623" s="9" t="b">
        <v>1</v>
      </c>
    </row>
    <row r="624" ht="15.75" customHeight="1">
      <c r="A624" s="9" t="s">
        <v>29555</v>
      </c>
      <c r="B624" s="9" t="s">
        <v>4639</v>
      </c>
      <c r="C624" s="8" t="s">
        <v>29556</v>
      </c>
      <c r="D624" s="9" t="b">
        <v>0</v>
      </c>
    </row>
    <row r="625" ht="15.75" customHeight="1">
      <c r="A625" s="9" t="s">
        <v>29557</v>
      </c>
      <c r="B625" s="9" t="s">
        <v>4639</v>
      </c>
      <c r="C625" s="8" t="s">
        <v>29558</v>
      </c>
      <c r="D625" s="9" t="b">
        <v>0</v>
      </c>
    </row>
    <row r="626" ht="15.75" customHeight="1">
      <c r="A626" s="9" t="s">
        <v>29559</v>
      </c>
      <c r="B626" s="9" t="s">
        <v>4639</v>
      </c>
      <c r="C626" s="8" t="s">
        <v>29560</v>
      </c>
      <c r="D626" s="9" t="b">
        <v>0</v>
      </c>
    </row>
    <row r="627" ht="15.75" customHeight="1">
      <c r="A627" s="9" t="s">
        <v>29561</v>
      </c>
      <c r="B627" s="9" t="s">
        <v>4639</v>
      </c>
      <c r="C627" s="8" t="s">
        <v>29562</v>
      </c>
      <c r="D627" s="9" t="b">
        <v>0</v>
      </c>
    </row>
    <row r="628" ht="15.75" customHeight="1">
      <c r="A628" s="9" t="s">
        <v>29563</v>
      </c>
      <c r="B628" s="9" t="s">
        <v>8211</v>
      </c>
      <c r="C628" s="8" t="s">
        <v>29564</v>
      </c>
      <c r="D628" s="9" t="b">
        <v>1</v>
      </c>
    </row>
    <row r="629" ht="15.75" customHeight="1">
      <c r="A629" s="9" t="s">
        <v>29565</v>
      </c>
      <c r="B629" s="9" t="s">
        <v>8948</v>
      </c>
      <c r="C629" s="8" t="s">
        <v>29566</v>
      </c>
      <c r="D629" s="9" t="b">
        <v>1</v>
      </c>
    </row>
    <row r="630" ht="15.75" customHeight="1">
      <c r="A630" s="9" t="s">
        <v>29567</v>
      </c>
      <c r="B630" s="9" t="s">
        <v>8948</v>
      </c>
      <c r="C630" s="8" t="s">
        <v>29568</v>
      </c>
      <c r="D630" s="9" t="b">
        <v>0</v>
      </c>
    </row>
    <row r="631" ht="15.75" customHeight="1">
      <c r="A631" s="9" t="s">
        <v>29569</v>
      </c>
      <c r="B631" s="9" t="s">
        <v>8948</v>
      </c>
      <c r="C631" s="8" t="s">
        <v>29570</v>
      </c>
      <c r="D631" s="9" t="b">
        <v>0</v>
      </c>
    </row>
    <row r="632" ht="15.75" customHeight="1">
      <c r="A632" s="9" t="s">
        <v>29571</v>
      </c>
      <c r="B632" s="9" t="s">
        <v>8956</v>
      </c>
      <c r="C632" s="8" t="s">
        <v>29572</v>
      </c>
      <c r="D632" s="9" t="b">
        <v>1</v>
      </c>
    </row>
    <row r="633" ht="15.75" customHeight="1">
      <c r="A633" s="9" t="s">
        <v>29573</v>
      </c>
      <c r="B633" s="9" t="s">
        <v>9030</v>
      </c>
      <c r="C633" s="8" t="s">
        <v>29574</v>
      </c>
      <c r="D633" s="9" t="b">
        <v>1</v>
      </c>
    </row>
    <row r="634" ht="15.75" customHeight="1">
      <c r="A634" s="9" t="s">
        <v>29575</v>
      </c>
      <c r="B634" s="9" t="s">
        <v>9030</v>
      </c>
      <c r="C634" s="8" t="s">
        <v>29576</v>
      </c>
      <c r="D634" s="9" t="b">
        <v>0</v>
      </c>
    </row>
    <row r="635" ht="15.75" customHeight="1">
      <c r="A635" s="9" t="s">
        <v>29577</v>
      </c>
      <c r="B635" s="9" t="s">
        <v>9030</v>
      </c>
      <c r="C635" s="8" t="s">
        <v>29578</v>
      </c>
      <c r="D635" s="9" t="b">
        <v>0</v>
      </c>
    </row>
    <row r="636" ht="15.75" customHeight="1">
      <c r="A636" s="9" t="s">
        <v>29579</v>
      </c>
      <c r="B636" s="9" t="s">
        <v>9030</v>
      </c>
      <c r="C636" s="8" t="s">
        <v>29580</v>
      </c>
      <c r="D636" s="9" t="b">
        <v>0</v>
      </c>
    </row>
    <row r="637" ht="15.75" customHeight="1">
      <c r="A637" s="9" t="s">
        <v>29581</v>
      </c>
      <c r="B637" s="9" t="s">
        <v>9972</v>
      </c>
      <c r="C637" s="8" t="s">
        <v>29582</v>
      </c>
      <c r="D637" s="9" t="b">
        <v>1</v>
      </c>
    </row>
    <row r="638" ht="15.75" customHeight="1">
      <c r="A638" s="9" t="s">
        <v>29583</v>
      </c>
      <c r="B638" s="9" t="s">
        <v>9972</v>
      </c>
      <c r="C638" s="8" t="s">
        <v>29584</v>
      </c>
      <c r="D638" s="9" t="b">
        <v>0</v>
      </c>
    </row>
    <row r="639" ht="15.75" customHeight="1">
      <c r="A639" s="9" t="s">
        <v>29585</v>
      </c>
      <c r="B639" s="9" t="s">
        <v>9972</v>
      </c>
      <c r="C639" s="8" t="s">
        <v>29586</v>
      </c>
      <c r="D639" s="9" t="b">
        <v>0</v>
      </c>
    </row>
    <row r="640" ht="15.75" customHeight="1">
      <c r="A640" s="9" t="s">
        <v>29587</v>
      </c>
      <c r="B640" s="9" t="s">
        <v>9972</v>
      </c>
      <c r="C640" s="8" t="s">
        <v>29588</v>
      </c>
      <c r="D640" s="9" t="b">
        <v>0</v>
      </c>
    </row>
    <row r="641" ht="15.75" customHeight="1">
      <c r="A641" s="9" t="s">
        <v>29589</v>
      </c>
      <c r="B641" s="9" t="s">
        <v>276</v>
      </c>
      <c r="C641" s="8" t="s">
        <v>29590</v>
      </c>
      <c r="D641" s="9" t="b">
        <v>1</v>
      </c>
    </row>
    <row r="642" ht="15.75" customHeight="1">
      <c r="A642" s="9" t="s">
        <v>29591</v>
      </c>
      <c r="B642" s="9" t="s">
        <v>276</v>
      </c>
      <c r="C642" s="8" t="s">
        <v>29592</v>
      </c>
      <c r="D642" s="9" t="b">
        <v>0</v>
      </c>
    </row>
    <row r="643" ht="15.75" customHeight="1">
      <c r="A643" s="9" t="s">
        <v>29593</v>
      </c>
      <c r="B643" s="9" t="s">
        <v>276</v>
      </c>
      <c r="C643" s="8" t="s">
        <v>29594</v>
      </c>
      <c r="D643" s="9" t="b">
        <v>0</v>
      </c>
    </row>
    <row r="644" ht="15.75" customHeight="1">
      <c r="A644" s="9" t="s">
        <v>29595</v>
      </c>
      <c r="B644" s="9" t="s">
        <v>465</v>
      </c>
      <c r="C644" s="8" t="s">
        <v>29596</v>
      </c>
      <c r="D644" s="9" t="b">
        <v>0</v>
      </c>
    </row>
    <row r="645" ht="15.75" customHeight="1">
      <c r="A645" s="9" t="s">
        <v>29597</v>
      </c>
      <c r="B645" s="9" t="s">
        <v>465</v>
      </c>
      <c r="C645" s="8" t="s">
        <v>29598</v>
      </c>
      <c r="D645" s="9" t="b">
        <v>0</v>
      </c>
    </row>
    <row r="646" ht="15.75" customHeight="1">
      <c r="A646" s="9" t="s">
        <v>29599</v>
      </c>
      <c r="B646" s="9" t="s">
        <v>465</v>
      </c>
      <c r="C646" s="8" t="s">
        <v>29600</v>
      </c>
      <c r="D646" s="9" t="b">
        <v>0</v>
      </c>
    </row>
    <row r="647" ht="15.75" customHeight="1">
      <c r="A647" s="9" t="s">
        <v>29601</v>
      </c>
      <c r="B647" s="9" t="s">
        <v>1656</v>
      </c>
      <c r="C647" s="8" t="s">
        <v>29602</v>
      </c>
      <c r="D647" s="9" t="b">
        <v>1</v>
      </c>
    </row>
    <row r="648" ht="15.75" customHeight="1">
      <c r="A648" s="9" t="s">
        <v>29603</v>
      </c>
      <c r="B648" s="9" t="s">
        <v>1307</v>
      </c>
      <c r="C648" s="8" t="s">
        <v>29604</v>
      </c>
      <c r="D648" s="9" t="b">
        <v>1</v>
      </c>
    </row>
    <row r="649" ht="15.75" customHeight="1">
      <c r="A649" s="9" t="s">
        <v>29605</v>
      </c>
      <c r="B649" s="9" t="s">
        <v>1307</v>
      </c>
      <c r="C649" s="8" t="s">
        <v>29606</v>
      </c>
      <c r="D649" s="9" t="b">
        <v>0</v>
      </c>
    </row>
    <row r="650" ht="15.75" customHeight="1">
      <c r="A650" s="9" t="s">
        <v>29607</v>
      </c>
      <c r="B650" s="9" t="s">
        <v>7838</v>
      </c>
      <c r="C650" s="8" t="s">
        <v>29608</v>
      </c>
      <c r="D650" s="9" t="b">
        <v>1</v>
      </c>
    </row>
    <row r="651" ht="15.75" customHeight="1">
      <c r="A651" s="9" t="s">
        <v>29609</v>
      </c>
      <c r="B651" s="9" t="s">
        <v>7838</v>
      </c>
      <c r="C651" s="8" t="s">
        <v>29610</v>
      </c>
      <c r="D651" s="9" t="b">
        <v>1</v>
      </c>
    </row>
    <row r="652" ht="15.75" customHeight="1">
      <c r="A652" s="9" t="s">
        <v>29611</v>
      </c>
      <c r="B652" s="9" t="s">
        <v>3420</v>
      </c>
      <c r="C652" s="8" t="s">
        <v>29612</v>
      </c>
      <c r="D652" s="9" t="b">
        <v>1</v>
      </c>
    </row>
    <row r="653" ht="15.75" customHeight="1">
      <c r="A653" s="9" t="s">
        <v>29613</v>
      </c>
      <c r="B653" s="9" t="s">
        <v>3420</v>
      </c>
      <c r="C653" s="8" t="s">
        <v>29614</v>
      </c>
      <c r="D653" s="9" t="b">
        <v>0</v>
      </c>
    </row>
    <row r="654" ht="15.75" customHeight="1">
      <c r="A654" s="9" t="s">
        <v>29615</v>
      </c>
      <c r="B654" s="9" t="s">
        <v>3420</v>
      </c>
      <c r="C654" s="8" t="s">
        <v>29616</v>
      </c>
      <c r="D654" s="9" t="b">
        <v>0</v>
      </c>
    </row>
    <row r="655" ht="15.75" customHeight="1">
      <c r="A655" s="9" t="s">
        <v>29617</v>
      </c>
      <c r="B655" s="9" t="s">
        <v>3420</v>
      </c>
      <c r="C655" s="8" t="s">
        <v>29618</v>
      </c>
      <c r="D655" s="9" t="b">
        <v>0</v>
      </c>
    </row>
    <row r="656" ht="15.75" customHeight="1">
      <c r="A656" s="9" t="s">
        <v>29619</v>
      </c>
      <c r="B656" s="9" t="s">
        <v>3420</v>
      </c>
      <c r="C656" s="8" t="s">
        <v>29620</v>
      </c>
      <c r="D656" s="9" t="b">
        <v>0</v>
      </c>
    </row>
    <row r="657" ht="15.75" customHeight="1">
      <c r="A657" s="9" t="s">
        <v>29621</v>
      </c>
      <c r="B657" s="9" t="s">
        <v>10437</v>
      </c>
      <c r="C657" s="8" t="s">
        <v>29622</v>
      </c>
      <c r="D657" s="9" t="b">
        <v>1</v>
      </c>
    </row>
    <row r="658" ht="15.75" customHeight="1">
      <c r="A658" s="9" t="s">
        <v>29623</v>
      </c>
      <c r="B658" s="9" t="s">
        <v>10437</v>
      </c>
      <c r="C658" s="8" t="s">
        <v>29624</v>
      </c>
      <c r="D658" s="9" t="b">
        <v>0</v>
      </c>
    </row>
    <row r="659" ht="15.75" customHeight="1">
      <c r="A659" s="9" t="s">
        <v>29625</v>
      </c>
      <c r="B659" s="9" t="s">
        <v>10437</v>
      </c>
      <c r="C659" s="8" t="s">
        <v>29626</v>
      </c>
      <c r="D659" s="9" t="b">
        <v>0</v>
      </c>
    </row>
    <row r="660" ht="15.75" customHeight="1">
      <c r="A660" s="9" t="s">
        <v>29627</v>
      </c>
      <c r="B660" s="9" t="s">
        <v>10437</v>
      </c>
      <c r="C660" s="8" t="s">
        <v>29628</v>
      </c>
      <c r="D660" s="9" t="b">
        <v>0</v>
      </c>
    </row>
    <row r="661" ht="15.75" customHeight="1">
      <c r="A661" s="9" t="s">
        <v>29629</v>
      </c>
      <c r="B661" s="9" t="s">
        <v>10437</v>
      </c>
      <c r="C661" s="8" t="s">
        <v>29630</v>
      </c>
      <c r="D661" s="9" t="b">
        <v>0</v>
      </c>
    </row>
    <row r="662" ht="15.75" customHeight="1">
      <c r="A662" s="9" t="s">
        <v>29631</v>
      </c>
      <c r="B662" s="9" t="s">
        <v>251</v>
      </c>
      <c r="C662" s="8" t="s">
        <v>29632</v>
      </c>
      <c r="D662" s="9" t="b">
        <v>1</v>
      </c>
    </row>
    <row r="663" ht="15.75" customHeight="1">
      <c r="A663" s="9" t="s">
        <v>29633</v>
      </c>
      <c r="B663" s="9" t="s">
        <v>251</v>
      </c>
      <c r="C663" s="8" t="s">
        <v>29634</v>
      </c>
      <c r="D663" s="9" t="b">
        <v>0</v>
      </c>
    </row>
    <row r="664" ht="15.75" customHeight="1">
      <c r="A664" s="9" t="s">
        <v>29635</v>
      </c>
      <c r="B664" s="9" t="s">
        <v>251</v>
      </c>
      <c r="C664" s="8" t="s">
        <v>29636</v>
      </c>
      <c r="D664" s="9" t="b">
        <v>0</v>
      </c>
    </row>
    <row r="665" ht="15.75" customHeight="1">
      <c r="A665" s="9" t="s">
        <v>29637</v>
      </c>
      <c r="B665" s="9" t="s">
        <v>5718</v>
      </c>
      <c r="C665" s="8" t="s">
        <v>29638</v>
      </c>
      <c r="D665" s="9" t="b">
        <v>1</v>
      </c>
    </row>
    <row r="666" ht="15.75" customHeight="1">
      <c r="A666" s="9" t="s">
        <v>29639</v>
      </c>
      <c r="B666" s="9" t="s">
        <v>5718</v>
      </c>
      <c r="C666" s="8" t="s">
        <v>29640</v>
      </c>
      <c r="D666" s="9" t="b">
        <v>0</v>
      </c>
    </row>
    <row r="667" ht="15.75" customHeight="1">
      <c r="A667" s="9"/>
      <c r="B667" s="9"/>
      <c r="C667" s="9"/>
      <c r="D667" s="9"/>
    </row>
    <row r="668" ht="15.75" customHeight="1">
      <c r="A668" s="9" t="s">
        <v>29641</v>
      </c>
      <c r="B668" s="9" t="s">
        <v>3331</v>
      </c>
      <c r="C668" s="8" t="s">
        <v>29642</v>
      </c>
      <c r="D668" s="9" t="b">
        <v>1</v>
      </c>
    </row>
    <row r="669" ht="15.75" customHeight="1">
      <c r="A669" s="9" t="s">
        <v>29643</v>
      </c>
      <c r="B669" s="9" t="s">
        <v>3331</v>
      </c>
      <c r="C669" s="8" t="s">
        <v>29644</v>
      </c>
      <c r="D669" s="9" t="b">
        <v>0</v>
      </c>
    </row>
    <row r="670" ht="15.75" customHeight="1">
      <c r="A670" s="9" t="s">
        <v>29645</v>
      </c>
      <c r="B670" s="9" t="s">
        <v>3331</v>
      </c>
      <c r="C670" s="8" t="s">
        <v>29646</v>
      </c>
      <c r="D670" s="9" t="b">
        <v>0</v>
      </c>
    </row>
    <row r="671" ht="15.75" customHeight="1">
      <c r="A671" s="9" t="s">
        <v>29647</v>
      </c>
      <c r="B671" s="9" t="s">
        <v>3331</v>
      </c>
      <c r="C671" s="8" t="s">
        <v>29648</v>
      </c>
      <c r="D671" s="9" t="b">
        <v>0</v>
      </c>
    </row>
    <row r="672" ht="15.75" customHeight="1">
      <c r="A672" s="9" t="s">
        <v>29649</v>
      </c>
      <c r="B672" s="9" t="s">
        <v>3331</v>
      </c>
      <c r="C672" s="8" t="s">
        <v>29650</v>
      </c>
      <c r="D672" s="9" t="b">
        <v>0</v>
      </c>
    </row>
    <row r="673" ht="15.75" customHeight="1">
      <c r="A673" s="9" t="s">
        <v>29651</v>
      </c>
      <c r="B673" s="9" t="s">
        <v>6185</v>
      </c>
      <c r="C673" s="8" t="s">
        <v>29652</v>
      </c>
      <c r="D673" s="9" t="b">
        <v>1</v>
      </c>
    </row>
    <row r="674" ht="15.75" customHeight="1">
      <c r="A674" s="9" t="s">
        <v>29653</v>
      </c>
      <c r="B674" s="9" t="s">
        <v>6185</v>
      </c>
      <c r="C674" s="8" t="s">
        <v>29654</v>
      </c>
      <c r="D674" s="9" t="b">
        <v>0</v>
      </c>
    </row>
    <row r="675" ht="15.75" customHeight="1">
      <c r="A675" s="9" t="s">
        <v>29655</v>
      </c>
      <c r="B675" s="9" t="s">
        <v>6185</v>
      </c>
      <c r="C675" s="8" t="s">
        <v>29656</v>
      </c>
      <c r="D675" s="9" t="b">
        <v>0</v>
      </c>
    </row>
    <row r="676" ht="15.75" customHeight="1">
      <c r="A676" s="9" t="s">
        <v>29657</v>
      </c>
      <c r="B676" s="9" t="s">
        <v>6185</v>
      </c>
      <c r="C676" s="8" t="s">
        <v>29658</v>
      </c>
      <c r="D676" s="9" t="b">
        <v>0</v>
      </c>
    </row>
    <row r="677" ht="15.75" customHeight="1">
      <c r="A677" s="9" t="s">
        <v>29659</v>
      </c>
      <c r="B677" s="9" t="s">
        <v>6185</v>
      </c>
      <c r="C677" s="8" t="s">
        <v>29660</v>
      </c>
      <c r="D677" s="9" t="b">
        <v>0</v>
      </c>
    </row>
    <row r="678" ht="15.75" customHeight="1">
      <c r="A678" s="9" t="s">
        <v>29661</v>
      </c>
      <c r="B678" s="9" t="s">
        <v>5067</v>
      </c>
      <c r="C678" s="8" t="s">
        <v>29662</v>
      </c>
      <c r="D678" s="9" t="b">
        <v>1</v>
      </c>
    </row>
    <row r="679" ht="15.75" customHeight="1">
      <c r="A679" s="9" t="s">
        <v>29663</v>
      </c>
      <c r="B679" s="9" t="s">
        <v>5067</v>
      </c>
      <c r="C679" s="8" t="s">
        <v>29664</v>
      </c>
      <c r="D679" s="9" t="b">
        <v>0</v>
      </c>
    </row>
    <row r="680" ht="15.75" customHeight="1">
      <c r="A680" s="9" t="s">
        <v>29665</v>
      </c>
      <c r="B680" s="9" t="s">
        <v>5067</v>
      </c>
      <c r="C680" s="8" t="s">
        <v>29666</v>
      </c>
      <c r="D680" s="9" t="b">
        <v>0</v>
      </c>
    </row>
    <row r="681" ht="15.75" customHeight="1">
      <c r="A681" s="9" t="s">
        <v>29667</v>
      </c>
      <c r="B681" s="9" t="s">
        <v>5067</v>
      </c>
      <c r="C681" s="8" t="s">
        <v>29668</v>
      </c>
      <c r="D681" s="9" t="b">
        <v>0</v>
      </c>
    </row>
    <row r="682" ht="15.75" customHeight="1">
      <c r="A682" s="9" t="s">
        <v>29669</v>
      </c>
      <c r="B682" s="9" t="s">
        <v>7447</v>
      </c>
      <c r="C682" s="8" t="s">
        <v>29670</v>
      </c>
      <c r="D682" s="9" t="b">
        <v>1</v>
      </c>
    </row>
    <row r="683" ht="15.75" customHeight="1">
      <c r="A683" s="9" t="s">
        <v>29671</v>
      </c>
      <c r="B683" s="9" t="s">
        <v>7447</v>
      </c>
      <c r="C683" s="8" t="s">
        <v>29672</v>
      </c>
      <c r="D683" s="9" t="b">
        <v>0</v>
      </c>
    </row>
    <row r="684" ht="15.75" customHeight="1">
      <c r="A684" s="9" t="s">
        <v>29673</v>
      </c>
      <c r="B684" s="9" t="s">
        <v>7447</v>
      </c>
      <c r="C684" s="8" t="s">
        <v>29674</v>
      </c>
      <c r="D684" s="9" t="b">
        <v>0</v>
      </c>
    </row>
    <row r="685" ht="15.75" customHeight="1">
      <c r="A685" s="9" t="s">
        <v>29675</v>
      </c>
      <c r="B685" s="9" t="s">
        <v>3056</v>
      </c>
      <c r="C685" s="8" t="s">
        <v>29676</v>
      </c>
      <c r="D685" s="9" t="b">
        <v>1</v>
      </c>
    </row>
    <row r="686" ht="15.75" customHeight="1">
      <c r="A686" s="9" t="s">
        <v>29677</v>
      </c>
      <c r="B686" s="9" t="s">
        <v>3056</v>
      </c>
      <c r="C686" s="8" t="s">
        <v>29678</v>
      </c>
      <c r="D686" s="9" t="b">
        <v>0</v>
      </c>
    </row>
    <row r="687" ht="15.75" customHeight="1">
      <c r="A687" s="9" t="s">
        <v>29679</v>
      </c>
      <c r="B687" s="9" t="s">
        <v>3056</v>
      </c>
      <c r="C687" s="8" t="s">
        <v>29680</v>
      </c>
      <c r="D687" s="9" t="b">
        <v>0</v>
      </c>
    </row>
    <row r="688" ht="15.75" customHeight="1">
      <c r="A688" s="9" t="s">
        <v>29681</v>
      </c>
      <c r="B688" s="9" t="s">
        <v>3056</v>
      </c>
      <c r="C688" s="8" t="s">
        <v>29682</v>
      </c>
      <c r="D688" s="9" t="b">
        <v>0</v>
      </c>
    </row>
    <row r="689" ht="15.75" customHeight="1">
      <c r="A689" s="9" t="s">
        <v>29683</v>
      </c>
      <c r="B689" s="9" t="s">
        <v>5692</v>
      </c>
      <c r="C689" s="8" t="s">
        <v>29684</v>
      </c>
      <c r="D689" s="9" t="b">
        <v>1</v>
      </c>
    </row>
    <row r="690" ht="15.75" customHeight="1">
      <c r="A690" s="9" t="s">
        <v>29685</v>
      </c>
      <c r="B690" s="9" t="s">
        <v>4302</v>
      </c>
      <c r="C690" s="8" t="s">
        <v>29686</v>
      </c>
      <c r="D690" s="9" t="b">
        <v>1</v>
      </c>
    </row>
    <row r="691" ht="15.75" customHeight="1">
      <c r="A691" s="9" t="s">
        <v>29687</v>
      </c>
      <c r="B691" s="9" t="s">
        <v>4302</v>
      </c>
      <c r="C691" s="8" t="s">
        <v>29688</v>
      </c>
      <c r="D691" s="9" t="b">
        <v>0</v>
      </c>
    </row>
    <row r="692" ht="15.75" customHeight="1">
      <c r="A692" s="9" t="s">
        <v>29689</v>
      </c>
      <c r="B692" s="9" t="s">
        <v>4302</v>
      </c>
      <c r="C692" s="8" t="s">
        <v>29690</v>
      </c>
      <c r="D692" s="9" t="b">
        <v>0</v>
      </c>
    </row>
    <row r="693" ht="15.75" customHeight="1">
      <c r="A693" s="9" t="s">
        <v>29691</v>
      </c>
      <c r="B693" s="9" t="s">
        <v>4302</v>
      </c>
      <c r="C693" s="8" t="s">
        <v>29692</v>
      </c>
      <c r="D693" s="9" t="b">
        <v>0</v>
      </c>
    </row>
    <row r="694" ht="15.75" customHeight="1">
      <c r="A694" s="9" t="s">
        <v>29693</v>
      </c>
      <c r="B694" s="9" t="s">
        <v>4302</v>
      </c>
      <c r="C694" s="8" t="s">
        <v>29694</v>
      </c>
      <c r="D694" s="9" t="b">
        <v>0</v>
      </c>
    </row>
    <row r="695" ht="15.75" customHeight="1">
      <c r="A695" s="9" t="s">
        <v>29695</v>
      </c>
      <c r="B695" s="9" t="s">
        <v>8331</v>
      </c>
      <c r="C695" s="8" t="s">
        <v>29696</v>
      </c>
      <c r="D695" s="9" t="b">
        <v>1</v>
      </c>
    </row>
    <row r="696" ht="15.75" customHeight="1">
      <c r="A696" s="9" t="s">
        <v>29697</v>
      </c>
      <c r="B696" s="9" t="s">
        <v>8331</v>
      </c>
      <c r="C696" s="8" t="s">
        <v>29698</v>
      </c>
      <c r="D696" s="9" t="b">
        <v>0</v>
      </c>
    </row>
    <row r="697" ht="15.75" customHeight="1">
      <c r="A697" s="9" t="s">
        <v>29699</v>
      </c>
      <c r="B697" s="9" t="s">
        <v>8331</v>
      </c>
      <c r="C697" s="8" t="s">
        <v>29700</v>
      </c>
      <c r="D697" s="9" t="b">
        <v>0</v>
      </c>
    </row>
    <row r="698" ht="15.75" customHeight="1">
      <c r="A698" s="9" t="s">
        <v>29701</v>
      </c>
      <c r="B698" s="9" t="s">
        <v>8331</v>
      </c>
      <c r="C698" s="8" t="s">
        <v>29702</v>
      </c>
      <c r="D698" s="9" t="b">
        <v>0</v>
      </c>
    </row>
    <row r="699" ht="15.75" customHeight="1">
      <c r="A699" s="9" t="s">
        <v>29703</v>
      </c>
      <c r="B699" s="9" t="s">
        <v>8331</v>
      </c>
      <c r="C699" s="8" t="s">
        <v>29704</v>
      </c>
      <c r="D699" s="9" t="b">
        <v>0</v>
      </c>
    </row>
    <row r="700" ht="15.75" customHeight="1">
      <c r="A700" s="9" t="s">
        <v>29705</v>
      </c>
      <c r="B700" s="9" t="s">
        <v>8331</v>
      </c>
      <c r="C700" s="8" t="s">
        <v>29706</v>
      </c>
      <c r="D700" s="9" t="b">
        <v>0</v>
      </c>
    </row>
    <row r="701" ht="15.75" customHeight="1">
      <c r="A701" s="9" t="s">
        <v>29707</v>
      </c>
      <c r="B701" s="9" t="s">
        <v>8331</v>
      </c>
      <c r="C701" s="8" t="s">
        <v>29708</v>
      </c>
      <c r="D701" s="9" t="b">
        <v>0</v>
      </c>
    </row>
    <row r="702" ht="15.75" customHeight="1">
      <c r="A702" s="9" t="s">
        <v>29709</v>
      </c>
      <c r="B702" s="9" t="s">
        <v>8370</v>
      </c>
      <c r="C702" s="8" t="s">
        <v>29710</v>
      </c>
      <c r="D702" s="9" t="b">
        <v>1</v>
      </c>
    </row>
    <row r="703" ht="15.75" customHeight="1">
      <c r="A703" s="9" t="s">
        <v>29711</v>
      </c>
      <c r="B703" s="9" t="s">
        <v>8370</v>
      </c>
      <c r="C703" s="8" t="s">
        <v>29712</v>
      </c>
      <c r="D703" s="9" t="b">
        <v>0</v>
      </c>
    </row>
    <row r="704" ht="15.75" customHeight="1">
      <c r="A704" s="9" t="s">
        <v>29713</v>
      </c>
      <c r="B704" s="9" t="s">
        <v>8370</v>
      </c>
      <c r="C704" s="8" t="s">
        <v>29714</v>
      </c>
      <c r="D704" s="9" t="b">
        <v>0</v>
      </c>
    </row>
    <row r="705" ht="15.75" customHeight="1">
      <c r="A705" s="9" t="s">
        <v>29715</v>
      </c>
      <c r="B705" s="9" t="s">
        <v>8370</v>
      </c>
      <c r="C705" s="8" t="s">
        <v>29716</v>
      </c>
      <c r="D705" s="9" t="b">
        <v>0</v>
      </c>
    </row>
    <row r="706" ht="15.75" customHeight="1">
      <c r="A706" s="9" t="s">
        <v>29717</v>
      </c>
      <c r="B706" s="9" t="s">
        <v>8490</v>
      </c>
      <c r="C706" s="8" t="s">
        <v>29718</v>
      </c>
      <c r="D706" s="9" t="b">
        <v>1</v>
      </c>
    </row>
    <row r="707" ht="15.75" customHeight="1">
      <c r="A707" s="9" t="s">
        <v>29719</v>
      </c>
      <c r="B707" s="9" t="s">
        <v>8490</v>
      </c>
      <c r="C707" s="8" t="s">
        <v>29720</v>
      </c>
      <c r="D707" s="9" t="b">
        <v>0</v>
      </c>
    </row>
    <row r="708" ht="15.75" customHeight="1">
      <c r="A708" s="9" t="s">
        <v>29721</v>
      </c>
      <c r="B708" s="9" t="s">
        <v>8490</v>
      </c>
      <c r="C708" s="8" t="s">
        <v>29722</v>
      </c>
      <c r="D708" s="9" t="b">
        <v>0</v>
      </c>
    </row>
    <row r="709" ht="15.75" customHeight="1">
      <c r="A709" s="9" t="s">
        <v>29723</v>
      </c>
      <c r="B709" s="9" t="s">
        <v>8490</v>
      </c>
      <c r="C709" s="8" t="s">
        <v>29724</v>
      </c>
      <c r="D709" s="9" t="b">
        <v>0</v>
      </c>
    </row>
    <row r="710" ht="15.75" customHeight="1">
      <c r="A710" s="9" t="s">
        <v>29725</v>
      </c>
      <c r="B710" s="9" t="s">
        <v>8635</v>
      </c>
      <c r="C710" s="8" t="s">
        <v>29726</v>
      </c>
      <c r="D710" s="9" t="b">
        <v>1</v>
      </c>
    </row>
    <row r="711" ht="15.75" customHeight="1">
      <c r="A711" s="9" t="s">
        <v>29727</v>
      </c>
      <c r="B711" s="9" t="s">
        <v>8635</v>
      </c>
      <c r="C711" s="8" t="s">
        <v>29728</v>
      </c>
      <c r="D711" s="9" t="b">
        <v>0</v>
      </c>
    </row>
    <row r="712" ht="15.75" customHeight="1">
      <c r="A712" s="9" t="s">
        <v>29729</v>
      </c>
      <c r="B712" s="9" t="s">
        <v>8635</v>
      </c>
      <c r="C712" s="8" t="s">
        <v>29730</v>
      </c>
      <c r="D712" s="9" t="b">
        <v>0</v>
      </c>
    </row>
    <row r="713" ht="15.75" customHeight="1">
      <c r="A713" s="52" t="s">
        <v>29731</v>
      </c>
      <c r="B713" s="9" t="s">
        <v>8635</v>
      </c>
      <c r="C713" s="8" t="s">
        <v>29732</v>
      </c>
      <c r="D713" s="9" t="b">
        <v>0</v>
      </c>
    </row>
    <row r="714" ht="15.75" customHeight="1">
      <c r="A714" s="9" t="s">
        <v>29733</v>
      </c>
      <c r="B714" s="9" t="s">
        <v>8635</v>
      </c>
      <c r="C714" s="8" t="s">
        <v>29734</v>
      </c>
      <c r="D714" s="9" t="b">
        <v>0</v>
      </c>
    </row>
    <row r="715" ht="15.75" customHeight="1">
      <c r="A715" s="9" t="s">
        <v>29735</v>
      </c>
      <c r="B715" s="9" t="s">
        <v>8635</v>
      </c>
      <c r="C715" s="8" t="s">
        <v>29736</v>
      </c>
      <c r="D715" s="9" t="b">
        <v>0</v>
      </c>
    </row>
    <row r="716" ht="15.75" customHeight="1">
      <c r="A716" s="9" t="s">
        <v>29737</v>
      </c>
      <c r="B716" s="9" t="s">
        <v>8635</v>
      </c>
      <c r="C716" s="8" t="s">
        <v>29738</v>
      </c>
      <c r="D716" s="9" t="b">
        <v>0</v>
      </c>
    </row>
    <row r="717" ht="15.75" customHeight="1">
      <c r="A717" s="9" t="s">
        <v>29739</v>
      </c>
      <c r="B717" s="9" t="s">
        <v>8635</v>
      </c>
      <c r="C717" s="8" t="s">
        <v>29740</v>
      </c>
      <c r="D717" s="9" t="b">
        <v>0</v>
      </c>
    </row>
    <row r="718" ht="15.75" customHeight="1">
      <c r="A718" s="9" t="s">
        <v>29741</v>
      </c>
      <c r="B718" s="9" t="s">
        <v>8711</v>
      </c>
      <c r="C718" s="8" t="s">
        <v>29742</v>
      </c>
      <c r="D718" s="9" t="b">
        <v>1</v>
      </c>
    </row>
    <row r="719" ht="15.75" customHeight="1">
      <c r="A719" s="9" t="s">
        <v>29743</v>
      </c>
      <c r="B719" s="9" t="s">
        <v>8711</v>
      </c>
      <c r="C719" s="8" t="s">
        <v>29744</v>
      </c>
      <c r="D719" s="9" t="b">
        <v>0</v>
      </c>
    </row>
    <row r="720" ht="15.75" customHeight="1">
      <c r="A720" s="9" t="s">
        <v>29745</v>
      </c>
      <c r="B720" s="9" t="s">
        <v>8711</v>
      </c>
      <c r="C720" s="8" t="s">
        <v>29746</v>
      </c>
      <c r="D720" s="9" t="b">
        <v>0</v>
      </c>
    </row>
    <row r="721" ht="15.75" customHeight="1">
      <c r="A721" s="9" t="s">
        <v>29747</v>
      </c>
      <c r="B721" s="9" t="s">
        <v>8711</v>
      </c>
      <c r="C721" s="8" t="s">
        <v>29748</v>
      </c>
      <c r="D721" s="9" t="b">
        <v>0</v>
      </c>
    </row>
    <row r="722" ht="15.75" customHeight="1">
      <c r="A722" s="9" t="s">
        <v>29749</v>
      </c>
      <c r="B722" s="9" t="s">
        <v>8711</v>
      </c>
      <c r="C722" s="8" t="s">
        <v>29750</v>
      </c>
      <c r="D722" s="9" t="b">
        <v>0</v>
      </c>
    </row>
    <row r="723" ht="15.75" customHeight="1">
      <c r="A723" s="9" t="s">
        <v>29751</v>
      </c>
      <c r="B723" s="9" t="s">
        <v>8711</v>
      </c>
      <c r="C723" s="8" t="s">
        <v>29752</v>
      </c>
      <c r="D723" s="9" t="b">
        <v>0</v>
      </c>
    </row>
    <row r="724" ht="15.75" customHeight="1">
      <c r="A724" s="9" t="s">
        <v>29753</v>
      </c>
      <c r="B724" s="9" t="s">
        <v>8711</v>
      </c>
      <c r="C724" s="8" t="s">
        <v>29754</v>
      </c>
      <c r="D724" s="9" t="b">
        <v>0</v>
      </c>
    </row>
    <row r="725" ht="15.75" customHeight="1">
      <c r="A725" s="9" t="s">
        <v>29755</v>
      </c>
      <c r="B725" s="9" t="s">
        <v>8711</v>
      </c>
      <c r="C725" s="8" t="s">
        <v>29756</v>
      </c>
      <c r="D725" s="9" t="b">
        <v>0</v>
      </c>
    </row>
    <row r="726" ht="15.75" customHeight="1">
      <c r="A726" s="9" t="s">
        <v>29757</v>
      </c>
      <c r="B726" s="9" t="s">
        <v>8361</v>
      </c>
      <c r="C726" s="8" t="s">
        <v>29758</v>
      </c>
      <c r="D726" s="9" t="b">
        <v>1</v>
      </c>
    </row>
    <row r="727" ht="15.75" customHeight="1">
      <c r="A727" s="9" t="s">
        <v>29759</v>
      </c>
      <c r="B727" s="9" t="s">
        <v>8361</v>
      </c>
      <c r="C727" s="8" t="s">
        <v>29760</v>
      </c>
      <c r="D727" s="9" t="b">
        <v>0</v>
      </c>
    </row>
    <row r="728" ht="15.75" customHeight="1">
      <c r="A728" s="9" t="s">
        <v>29761</v>
      </c>
      <c r="B728" s="9" t="s">
        <v>8361</v>
      </c>
      <c r="C728" s="8" t="s">
        <v>29762</v>
      </c>
      <c r="D728" s="9" t="b">
        <v>0</v>
      </c>
    </row>
    <row r="729" ht="15.75" customHeight="1">
      <c r="A729" s="9" t="s">
        <v>29763</v>
      </c>
      <c r="B729" s="9" t="s">
        <v>1247</v>
      </c>
      <c r="C729" s="8" t="s">
        <v>29764</v>
      </c>
      <c r="D729" s="9" t="b">
        <v>0</v>
      </c>
    </row>
    <row r="730" ht="15.75" customHeight="1">
      <c r="A730" s="9" t="s">
        <v>29765</v>
      </c>
      <c r="B730" s="9" t="s">
        <v>1344</v>
      </c>
      <c r="C730" s="8" t="s">
        <v>29766</v>
      </c>
      <c r="D730" s="9" t="b">
        <v>0</v>
      </c>
    </row>
    <row r="731" ht="15.75" customHeight="1">
      <c r="A731" s="9" t="s">
        <v>29767</v>
      </c>
      <c r="B731" s="9" t="s">
        <v>1344</v>
      </c>
      <c r="C731" s="8" t="s">
        <v>29768</v>
      </c>
      <c r="D731" s="9" t="b">
        <v>1</v>
      </c>
    </row>
    <row r="732" ht="15.75" customHeight="1">
      <c r="A732" s="9" t="s">
        <v>29769</v>
      </c>
      <c r="B732" s="9" t="s">
        <v>1344</v>
      </c>
      <c r="C732" s="8" t="s">
        <v>29770</v>
      </c>
      <c r="D732" s="9" t="b">
        <v>0</v>
      </c>
    </row>
    <row r="733" ht="15.75" customHeight="1">
      <c r="A733" s="9" t="s">
        <v>29771</v>
      </c>
      <c r="B733" s="9" t="s">
        <v>2242</v>
      </c>
      <c r="C733" s="8" t="s">
        <v>29772</v>
      </c>
      <c r="D733" s="9" t="b">
        <v>1</v>
      </c>
    </row>
    <row r="734" ht="15.75" customHeight="1">
      <c r="A734" s="9" t="s">
        <v>29773</v>
      </c>
      <c r="B734" s="9" t="s">
        <v>2242</v>
      </c>
      <c r="C734" s="8" t="s">
        <v>29774</v>
      </c>
      <c r="D734" s="9" t="b">
        <v>0</v>
      </c>
    </row>
    <row r="735" ht="15.75" customHeight="1">
      <c r="A735" s="9" t="s">
        <v>29775</v>
      </c>
      <c r="B735" s="9" t="s">
        <v>2242</v>
      </c>
      <c r="C735" s="8" t="s">
        <v>29776</v>
      </c>
      <c r="D735" s="9" t="b">
        <v>0</v>
      </c>
    </row>
    <row r="736" ht="15.75" customHeight="1">
      <c r="A736" s="9" t="s">
        <v>29777</v>
      </c>
      <c r="B736" s="9" t="s">
        <v>2242</v>
      </c>
      <c r="C736" s="8" t="s">
        <v>29778</v>
      </c>
      <c r="D736" s="9" t="b">
        <v>0</v>
      </c>
    </row>
    <row r="737" ht="15.75" customHeight="1">
      <c r="A737" s="9" t="s">
        <v>29779</v>
      </c>
      <c r="B737" s="9" t="s">
        <v>3384</v>
      </c>
      <c r="C737" s="8" t="s">
        <v>29780</v>
      </c>
      <c r="D737" s="9" t="b">
        <v>0</v>
      </c>
    </row>
    <row r="738" ht="15.75" customHeight="1">
      <c r="A738" s="9" t="s">
        <v>29781</v>
      </c>
      <c r="B738" s="9" t="s">
        <v>3384</v>
      </c>
      <c r="C738" s="8" t="s">
        <v>29782</v>
      </c>
      <c r="D738" s="9" t="b">
        <v>0</v>
      </c>
    </row>
    <row r="739" ht="15.75" customHeight="1">
      <c r="A739" s="9" t="s">
        <v>29783</v>
      </c>
      <c r="B739" s="9" t="s">
        <v>3384</v>
      </c>
      <c r="C739" s="8" t="s">
        <v>29784</v>
      </c>
      <c r="D739" s="9" t="b">
        <v>0</v>
      </c>
    </row>
    <row r="740" ht="15.75" customHeight="1">
      <c r="A740" s="9"/>
      <c r="B740" s="9"/>
      <c r="C740" s="9"/>
      <c r="D740" s="9"/>
    </row>
    <row r="741" ht="15.75" customHeight="1">
      <c r="A741" s="9"/>
      <c r="B741" s="9"/>
      <c r="C741" s="9"/>
      <c r="D741" s="9"/>
    </row>
    <row r="742" ht="15.75" customHeight="1">
      <c r="A742" s="9"/>
      <c r="B742" s="9"/>
      <c r="C742" s="9"/>
      <c r="D742" s="9"/>
    </row>
    <row r="743" ht="15.75" customHeight="1">
      <c r="A743" s="9"/>
      <c r="B743" s="9"/>
      <c r="C743" s="9"/>
      <c r="D743" s="9"/>
    </row>
    <row r="744" ht="15.75" customHeight="1">
      <c r="A744" s="9" t="s">
        <v>29785</v>
      </c>
      <c r="B744" s="9" t="s">
        <v>8291</v>
      </c>
      <c r="C744" s="8" t="s">
        <v>29786</v>
      </c>
      <c r="D744" s="9" t="b">
        <v>0</v>
      </c>
    </row>
    <row r="745" ht="15.75" customHeight="1">
      <c r="A745" s="9" t="s">
        <v>29787</v>
      </c>
      <c r="B745" s="9" t="s">
        <v>8291</v>
      </c>
      <c r="C745" s="8" t="s">
        <v>29788</v>
      </c>
      <c r="D745" s="9" t="b">
        <v>0</v>
      </c>
    </row>
    <row r="746" ht="15.75" customHeight="1">
      <c r="A746" s="9" t="s">
        <v>29789</v>
      </c>
      <c r="B746" s="9" t="s">
        <v>8291</v>
      </c>
      <c r="C746" s="8" t="s">
        <v>29790</v>
      </c>
      <c r="D746" s="9" t="b">
        <v>0</v>
      </c>
    </row>
    <row r="747" ht="15.75" customHeight="1">
      <c r="A747" s="9"/>
      <c r="B747" s="9"/>
      <c r="C747" s="9"/>
      <c r="D747" s="9"/>
    </row>
    <row r="748" ht="15.75" customHeight="1">
      <c r="A748" s="9"/>
      <c r="B748" s="9"/>
      <c r="C748" s="9"/>
      <c r="D748" s="9"/>
    </row>
    <row r="749" ht="15.75" customHeight="1">
      <c r="A749" s="9" t="s">
        <v>29791</v>
      </c>
      <c r="B749" s="9" t="s">
        <v>3410</v>
      </c>
      <c r="C749" s="8" t="s">
        <v>29792</v>
      </c>
      <c r="D749" s="9" t="b">
        <v>1</v>
      </c>
    </row>
    <row r="750" ht="15.75" customHeight="1">
      <c r="A750" s="9" t="s">
        <v>29793</v>
      </c>
      <c r="B750" s="9" t="s">
        <v>3410</v>
      </c>
      <c r="C750" s="8" t="s">
        <v>29794</v>
      </c>
      <c r="D750" s="9" t="b">
        <v>0</v>
      </c>
    </row>
    <row r="751" ht="15.75" customHeight="1">
      <c r="A751" s="9" t="s">
        <v>29795</v>
      </c>
      <c r="B751" s="9" t="s">
        <v>3410</v>
      </c>
      <c r="C751" s="8" t="s">
        <v>29796</v>
      </c>
      <c r="D751" s="9" t="b">
        <v>0</v>
      </c>
    </row>
    <row r="752" ht="15.75" customHeight="1">
      <c r="A752" s="9" t="s">
        <v>29797</v>
      </c>
      <c r="B752" s="9" t="s">
        <v>3744</v>
      </c>
      <c r="C752" s="8" t="s">
        <v>29798</v>
      </c>
      <c r="D752" s="9" t="b">
        <v>1</v>
      </c>
    </row>
    <row r="753" ht="15.75" customHeight="1">
      <c r="A753" s="9" t="s">
        <v>29799</v>
      </c>
      <c r="B753" s="9" t="s">
        <v>3744</v>
      </c>
      <c r="C753" s="8" t="s">
        <v>29800</v>
      </c>
      <c r="D753" s="9" t="b">
        <v>0</v>
      </c>
    </row>
    <row r="754" ht="15.75" customHeight="1">
      <c r="A754" s="9" t="s">
        <v>29801</v>
      </c>
      <c r="B754" s="9" t="s">
        <v>3744</v>
      </c>
      <c r="C754" s="8" t="s">
        <v>29802</v>
      </c>
      <c r="D754" s="9" t="b">
        <v>0</v>
      </c>
    </row>
    <row r="755" ht="15.75" customHeight="1">
      <c r="A755" s="9" t="s">
        <v>29803</v>
      </c>
      <c r="B755" s="9" t="s">
        <v>3744</v>
      </c>
      <c r="C755" s="8" t="s">
        <v>29804</v>
      </c>
      <c r="D755" s="9" t="b">
        <v>0</v>
      </c>
    </row>
    <row r="756" ht="15.75" customHeight="1">
      <c r="A756" s="9" t="s">
        <v>29805</v>
      </c>
      <c r="B756" s="9" t="s">
        <v>3864</v>
      </c>
      <c r="C756" s="8" t="s">
        <v>29806</v>
      </c>
      <c r="D756" s="9" t="b">
        <v>0</v>
      </c>
    </row>
    <row r="757" ht="15.75" customHeight="1">
      <c r="A757" s="9"/>
      <c r="B757" s="9"/>
      <c r="C757" s="9"/>
      <c r="D757" s="9"/>
    </row>
    <row r="758" ht="15.75" customHeight="1">
      <c r="A758" s="9" t="s">
        <v>29807</v>
      </c>
      <c r="B758" s="9" t="s">
        <v>3864</v>
      </c>
      <c r="C758" s="8" t="s">
        <v>29808</v>
      </c>
      <c r="D758" s="9" t="b">
        <v>0</v>
      </c>
    </row>
    <row r="759" ht="15.75" customHeight="1">
      <c r="A759" s="9" t="s">
        <v>29809</v>
      </c>
      <c r="B759" s="9" t="s">
        <v>3864</v>
      </c>
      <c r="C759" s="8" t="s">
        <v>29810</v>
      </c>
      <c r="D759" s="9" t="b">
        <v>0</v>
      </c>
    </row>
    <row r="760" ht="15.75" customHeight="1">
      <c r="A760" s="9" t="s">
        <v>29811</v>
      </c>
      <c r="B760" s="9" t="s">
        <v>3864</v>
      </c>
      <c r="C760" s="8" t="s">
        <v>29812</v>
      </c>
      <c r="D760" s="9" t="b">
        <v>0</v>
      </c>
    </row>
    <row r="761" ht="15.75" customHeight="1">
      <c r="A761" s="9" t="s">
        <v>29813</v>
      </c>
      <c r="B761" s="9" t="s">
        <v>3864</v>
      </c>
      <c r="C761" s="8" t="s">
        <v>29814</v>
      </c>
      <c r="D761" s="9" t="b">
        <v>0</v>
      </c>
    </row>
    <row r="762" ht="15.75" customHeight="1">
      <c r="A762" s="9" t="s">
        <v>29815</v>
      </c>
      <c r="B762" s="9" t="s">
        <v>3864</v>
      </c>
      <c r="C762" s="8" t="s">
        <v>29816</v>
      </c>
      <c r="D762" s="9" t="b">
        <v>0</v>
      </c>
    </row>
    <row r="763" ht="15.75" customHeight="1">
      <c r="A763" s="9" t="s">
        <v>29817</v>
      </c>
      <c r="B763" s="9" t="s">
        <v>3864</v>
      </c>
      <c r="C763" s="8" t="s">
        <v>29818</v>
      </c>
      <c r="D763" s="9" t="b">
        <v>0</v>
      </c>
    </row>
    <row r="764" ht="15.75" customHeight="1">
      <c r="A764" s="9" t="s">
        <v>29819</v>
      </c>
      <c r="B764" s="9" t="s">
        <v>3864</v>
      </c>
      <c r="C764" s="8" t="s">
        <v>29820</v>
      </c>
      <c r="D764" s="9" t="b">
        <v>0</v>
      </c>
    </row>
    <row r="765" ht="15.75" customHeight="1">
      <c r="A765" s="9" t="s">
        <v>29821</v>
      </c>
      <c r="B765" s="9" t="s">
        <v>3864</v>
      </c>
      <c r="C765" s="8" t="s">
        <v>29822</v>
      </c>
      <c r="D765" s="9" t="b">
        <v>0</v>
      </c>
    </row>
    <row r="766" ht="15.75" customHeight="1">
      <c r="A766" s="9"/>
      <c r="B766" s="9"/>
      <c r="C766" s="9"/>
      <c r="D766" s="9"/>
    </row>
    <row r="767" ht="15.75" customHeight="1">
      <c r="A767" s="9" t="s">
        <v>29823</v>
      </c>
      <c r="B767" s="9" t="s">
        <v>4521</v>
      </c>
      <c r="C767" s="8" t="s">
        <v>29824</v>
      </c>
      <c r="D767" s="9" t="b">
        <v>0</v>
      </c>
    </row>
    <row r="768" ht="15.75" customHeight="1">
      <c r="A768" s="9" t="s">
        <v>29825</v>
      </c>
      <c r="B768" s="9" t="s">
        <v>4521</v>
      </c>
      <c r="C768" s="8" t="s">
        <v>29826</v>
      </c>
      <c r="D768" s="9" t="b">
        <v>1</v>
      </c>
    </row>
    <row r="769" ht="15.75" customHeight="1">
      <c r="A769" s="9" t="s">
        <v>29827</v>
      </c>
      <c r="B769" s="9" t="s">
        <v>4521</v>
      </c>
      <c r="C769" s="8" t="s">
        <v>29828</v>
      </c>
      <c r="D769" s="9" t="b">
        <v>0</v>
      </c>
    </row>
    <row r="770" ht="15.75" customHeight="1">
      <c r="A770" s="9" t="s">
        <v>29829</v>
      </c>
      <c r="B770" s="9" t="s">
        <v>4521</v>
      </c>
      <c r="C770" s="8" t="s">
        <v>29830</v>
      </c>
      <c r="D770" s="9" t="b">
        <v>0</v>
      </c>
    </row>
    <row r="771" ht="15.75" customHeight="1">
      <c r="A771" s="9" t="s">
        <v>29831</v>
      </c>
      <c r="B771" s="9" t="s">
        <v>4521</v>
      </c>
      <c r="C771" s="8" t="s">
        <v>29832</v>
      </c>
      <c r="D771" s="9" t="b">
        <v>0</v>
      </c>
    </row>
    <row r="772" ht="15.75" customHeight="1">
      <c r="A772" s="9" t="s">
        <v>29833</v>
      </c>
      <c r="B772" s="9" t="s">
        <v>4521</v>
      </c>
      <c r="C772" s="8" t="s">
        <v>29834</v>
      </c>
      <c r="D772" s="9" t="b">
        <v>0</v>
      </c>
    </row>
    <row r="773" ht="15.75" customHeight="1">
      <c r="A773" s="9" t="s">
        <v>29835</v>
      </c>
      <c r="B773" s="9" t="s">
        <v>4838</v>
      </c>
      <c r="C773" s="8" t="s">
        <v>29836</v>
      </c>
      <c r="D773" s="9" t="b">
        <v>1</v>
      </c>
    </row>
    <row r="774" ht="15.75" customHeight="1">
      <c r="A774" s="9" t="s">
        <v>29837</v>
      </c>
      <c r="B774" s="9" t="s">
        <v>4838</v>
      </c>
      <c r="C774" s="8" t="s">
        <v>29838</v>
      </c>
      <c r="D774" s="9" t="b">
        <v>0</v>
      </c>
    </row>
    <row r="775" ht="15.75" customHeight="1">
      <c r="A775" s="9" t="s">
        <v>29839</v>
      </c>
      <c r="B775" s="9" t="s">
        <v>4838</v>
      </c>
      <c r="C775" s="8" t="s">
        <v>29840</v>
      </c>
      <c r="D775" s="9" t="b">
        <v>0</v>
      </c>
    </row>
    <row r="776" ht="15.75" customHeight="1">
      <c r="A776" s="9" t="s">
        <v>29841</v>
      </c>
      <c r="B776" s="9" t="s">
        <v>4838</v>
      </c>
      <c r="C776" s="8" t="s">
        <v>29842</v>
      </c>
      <c r="D776" s="9" t="b">
        <v>0</v>
      </c>
    </row>
    <row r="777" ht="15.75" customHeight="1">
      <c r="A777" s="9" t="s">
        <v>29843</v>
      </c>
      <c r="B777" s="9" t="s">
        <v>4838</v>
      </c>
      <c r="C777" s="8" t="s">
        <v>29844</v>
      </c>
      <c r="D777" s="9" t="b">
        <v>0</v>
      </c>
    </row>
    <row r="778" ht="15.75" customHeight="1">
      <c r="A778" s="9" t="s">
        <v>29845</v>
      </c>
      <c r="B778" s="9" t="s">
        <v>4838</v>
      </c>
      <c r="C778" s="8" t="s">
        <v>29846</v>
      </c>
      <c r="D778" s="9" t="b">
        <v>0</v>
      </c>
    </row>
    <row r="779" ht="15.75" customHeight="1">
      <c r="A779" s="9" t="s">
        <v>29847</v>
      </c>
      <c r="B779" s="9" t="s">
        <v>5119</v>
      </c>
      <c r="C779" s="8" t="s">
        <v>29848</v>
      </c>
      <c r="D779" s="9" t="b">
        <v>1</v>
      </c>
    </row>
    <row r="780" ht="15.75" customHeight="1">
      <c r="A780" s="9" t="s">
        <v>29849</v>
      </c>
      <c r="B780" s="9" t="s">
        <v>5119</v>
      </c>
      <c r="C780" s="8" t="s">
        <v>29850</v>
      </c>
      <c r="D780" s="9" t="b">
        <v>0</v>
      </c>
    </row>
    <row r="781" ht="15.75" customHeight="1">
      <c r="A781" s="9" t="s">
        <v>29851</v>
      </c>
      <c r="B781" s="9" t="s">
        <v>5119</v>
      </c>
      <c r="C781" s="8" t="s">
        <v>29852</v>
      </c>
      <c r="D781" s="9" t="b">
        <v>0</v>
      </c>
    </row>
    <row r="782" ht="15.75" customHeight="1">
      <c r="A782" s="9" t="s">
        <v>29853</v>
      </c>
      <c r="B782" s="9" t="s">
        <v>5119</v>
      </c>
      <c r="C782" s="8" t="s">
        <v>29854</v>
      </c>
      <c r="D782" s="9" t="b">
        <v>0</v>
      </c>
    </row>
    <row r="783" ht="15.75" customHeight="1">
      <c r="A783" s="9" t="s">
        <v>29855</v>
      </c>
      <c r="B783" s="9" t="s">
        <v>5314</v>
      </c>
      <c r="C783" s="8" t="s">
        <v>29856</v>
      </c>
      <c r="D783" s="9" t="b">
        <v>1</v>
      </c>
    </row>
    <row r="784" ht="15.75" customHeight="1">
      <c r="A784" s="9" t="s">
        <v>29857</v>
      </c>
      <c r="B784" s="9" t="s">
        <v>5314</v>
      </c>
      <c r="C784" s="8" t="s">
        <v>29858</v>
      </c>
      <c r="D784" s="9" t="b">
        <v>0</v>
      </c>
    </row>
    <row r="785" ht="15.75" customHeight="1">
      <c r="A785" s="9" t="s">
        <v>29859</v>
      </c>
      <c r="B785" s="9" t="s">
        <v>5314</v>
      </c>
      <c r="C785" s="8" t="s">
        <v>29860</v>
      </c>
      <c r="D785" s="9" t="b">
        <v>0</v>
      </c>
    </row>
    <row r="786" ht="15.75" customHeight="1">
      <c r="A786" s="9" t="s">
        <v>29861</v>
      </c>
      <c r="B786" s="9" t="s">
        <v>5426</v>
      </c>
      <c r="C786" s="8" t="s">
        <v>29862</v>
      </c>
      <c r="D786" s="9" t="b">
        <v>1</v>
      </c>
    </row>
    <row r="787" ht="15.75" customHeight="1">
      <c r="A787" s="9" t="s">
        <v>29863</v>
      </c>
      <c r="B787" s="9" t="s">
        <v>5426</v>
      </c>
      <c r="C787" s="8" t="s">
        <v>29864</v>
      </c>
      <c r="D787" s="9" t="b">
        <v>0</v>
      </c>
    </row>
    <row r="788" ht="15.75" customHeight="1">
      <c r="A788" s="9" t="s">
        <v>29865</v>
      </c>
      <c r="B788" s="9" t="s">
        <v>5426</v>
      </c>
      <c r="C788" s="8" t="s">
        <v>29866</v>
      </c>
      <c r="D788" s="9" t="b">
        <v>0</v>
      </c>
    </row>
    <row r="789" ht="15.75" customHeight="1">
      <c r="A789" s="9" t="s">
        <v>29867</v>
      </c>
      <c r="B789" s="9" t="s">
        <v>5426</v>
      </c>
      <c r="C789" s="8" t="s">
        <v>29868</v>
      </c>
      <c r="D789" s="9" t="b">
        <v>0</v>
      </c>
    </row>
    <row r="790" ht="15.75" customHeight="1">
      <c r="A790" s="9" t="s">
        <v>29869</v>
      </c>
      <c r="B790" s="9" t="s">
        <v>5426</v>
      </c>
      <c r="C790" s="8" t="s">
        <v>29870</v>
      </c>
      <c r="D790" s="9" t="b">
        <v>0</v>
      </c>
    </row>
    <row r="791" ht="15.75" customHeight="1">
      <c r="A791" s="9" t="s">
        <v>29871</v>
      </c>
      <c r="B791" s="9" t="s">
        <v>5426</v>
      </c>
      <c r="C791" s="8" t="s">
        <v>29872</v>
      </c>
      <c r="D791" s="9" t="b">
        <v>0</v>
      </c>
    </row>
    <row r="792" ht="15.75" customHeight="1">
      <c r="A792" s="9" t="s">
        <v>29873</v>
      </c>
      <c r="B792" s="9" t="s">
        <v>5426</v>
      </c>
      <c r="C792" s="8" t="s">
        <v>29874</v>
      </c>
      <c r="D792" s="9" t="b">
        <v>0</v>
      </c>
    </row>
    <row r="793" ht="15.75" customHeight="1">
      <c r="A793" s="9" t="s">
        <v>29875</v>
      </c>
      <c r="B793" s="9" t="s">
        <v>5426</v>
      </c>
      <c r="C793" s="8" t="s">
        <v>29876</v>
      </c>
      <c r="D793" s="9" t="b">
        <v>0</v>
      </c>
    </row>
    <row r="794" ht="15.75" customHeight="1">
      <c r="A794" s="9" t="s">
        <v>29877</v>
      </c>
      <c r="B794" s="9" t="s">
        <v>5426</v>
      </c>
      <c r="C794" s="8" t="s">
        <v>29878</v>
      </c>
      <c r="D794" s="9" t="b">
        <v>0</v>
      </c>
    </row>
    <row r="795" ht="15.75" customHeight="1">
      <c r="A795" s="9" t="s">
        <v>29879</v>
      </c>
      <c r="B795" s="9" t="s">
        <v>6094</v>
      </c>
      <c r="C795" s="8" t="s">
        <v>29880</v>
      </c>
      <c r="D795" s="9" t="b">
        <v>1</v>
      </c>
    </row>
    <row r="796" ht="15.75" customHeight="1">
      <c r="A796" s="9" t="s">
        <v>29881</v>
      </c>
      <c r="B796" s="9" t="s">
        <v>6094</v>
      </c>
      <c r="C796" s="8" t="s">
        <v>29882</v>
      </c>
      <c r="D796" s="9" t="b">
        <v>0</v>
      </c>
    </row>
    <row r="797" ht="15.75" customHeight="1">
      <c r="A797" s="9" t="s">
        <v>29883</v>
      </c>
      <c r="B797" s="9" t="s">
        <v>6094</v>
      </c>
      <c r="C797" s="8" t="s">
        <v>29884</v>
      </c>
      <c r="D797" s="9" t="b">
        <v>0</v>
      </c>
    </row>
    <row r="798" ht="15.75" customHeight="1">
      <c r="A798" s="9" t="s">
        <v>29885</v>
      </c>
      <c r="B798" s="9" t="s">
        <v>6094</v>
      </c>
      <c r="C798" s="8" t="s">
        <v>29886</v>
      </c>
      <c r="D798" s="9" t="b">
        <v>0</v>
      </c>
    </row>
    <row r="799" ht="15.75" customHeight="1">
      <c r="A799" s="9" t="s">
        <v>29887</v>
      </c>
      <c r="B799" s="9" t="s">
        <v>6094</v>
      </c>
      <c r="C799" s="8" t="s">
        <v>29888</v>
      </c>
      <c r="D799" s="9" t="b">
        <v>0</v>
      </c>
    </row>
    <row r="800" ht="15.75" customHeight="1">
      <c r="A800" s="9" t="s">
        <v>29889</v>
      </c>
      <c r="B800" s="9" t="s">
        <v>7219</v>
      </c>
      <c r="C800" s="8" t="s">
        <v>29890</v>
      </c>
      <c r="D800" s="9" t="b">
        <v>1</v>
      </c>
    </row>
    <row r="801" ht="15.75" customHeight="1">
      <c r="A801" s="9" t="s">
        <v>29891</v>
      </c>
      <c r="B801" s="9" t="s">
        <v>7219</v>
      </c>
      <c r="C801" s="8" t="s">
        <v>29892</v>
      </c>
      <c r="D801" s="9" t="b">
        <v>0</v>
      </c>
    </row>
    <row r="802" ht="15.75" customHeight="1">
      <c r="A802" s="9" t="s">
        <v>29893</v>
      </c>
      <c r="B802" s="9" t="s">
        <v>7231</v>
      </c>
      <c r="C802" s="8" t="s">
        <v>29894</v>
      </c>
      <c r="D802" s="9" t="b">
        <v>1</v>
      </c>
    </row>
    <row r="803" ht="15.75" customHeight="1">
      <c r="A803" s="9" t="s">
        <v>29895</v>
      </c>
      <c r="B803" s="9" t="s">
        <v>7231</v>
      </c>
      <c r="C803" s="8" t="s">
        <v>29896</v>
      </c>
      <c r="D803" s="9" t="b">
        <v>0</v>
      </c>
    </row>
    <row r="804" ht="15.75" customHeight="1">
      <c r="A804" s="9" t="s">
        <v>29897</v>
      </c>
      <c r="B804" s="9" t="s">
        <v>7231</v>
      </c>
      <c r="C804" s="8" t="s">
        <v>29898</v>
      </c>
      <c r="D804" s="9" t="b">
        <v>0</v>
      </c>
    </row>
    <row r="805" ht="15.75" customHeight="1">
      <c r="A805" s="9" t="s">
        <v>29899</v>
      </c>
      <c r="B805" s="9" t="s">
        <v>7231</v>
      </c>
      <c r="C805" s="8" t="s">
        <v>29900</v>
      </c>
      <c r="D805" s="9" t="b">
        <v>0</v>
      </c>
    </row>
    <row r="806" ht="15.75" customHeight="1">
      <c r="A806" s="9" t="s">
        <v>29901</v>
      </c>
      <c r="B806" s="9" t="s">
        <v>7231</v>
      </c>
      <c r="C806" s="8" t="s">
        <v>29902</v>
      </c>
      <c r="D806" s="9" t="b">
        <v>0</v>
      </c>
    </row>
    <row r="807" ht="15.75" customHeight="1">
      <c r="A807" s="9"/>
      <c r="B807" s="9"/>
      <c r="C807" s="9"/>
      <c r="D807" s="9"/>
    </row>
    <row r="808" ht="15.75" customHeight="1">
      <c r="A808" s="9" t="s">
        <v>29903</v>
      </c>
      <c r="B808" s="9" t="s">
        <v>7240</v>
      </c>
      <c r="C808" s="8" t="s">
        <v>29904</v>
      </c>
      <c r="D808" s="9" t="b">
        <v>0</v>
      </c>
    </row>
    <row r="809" ht="15.75" customHeight="1">
      <c r="A809" s="9" t="s">
        <v>29905</v>
      </c>
      <c r="B809" s="9" t="s">
        <v>7240</v>
      </c>
      <c r="C809" s="8" t="s">
        <v>29906</v>
      </c>
      <c r="D809" s="9" t="b">
        <v>0</v>
      </c>
    </row>
    <row r="810" ht="15.75" customHeight="1">
      <c r="A810" s="9" t="s">
        <v>29907</v>
      </c>
      <c r="B810" s="9" t="s">
        <v>7240</v>
      </c>
      <c r="C810" s="8" t="s">
        <v>29908</v>
      </c>
      <c r="D810" s="9" t="b">
        <v>0</v>
      </c>
    </row>
    <row r="811" ht="15.75" customHeight="1">
      <c r="A811" s="9" t="s">
        <v>29909</v>
      </c>
      <c r="B811" s="9" t="s">
        <v>8965</v>
      </c>
      <c r="C811" s="8" t="s">
        <v>29910</v>
      </c>
      <c r="D811" s="9" t="b">
        <v>1</v>
      </c>
    </row>
    <row r="812" ht="15.75" customHeight="1">
      <c r="A812" s="9" t="s">
        <v>29911</v>
      </c>
      <c r="B812" s="9" t="s">
        <v>8965</v>
      </c>
      <c r="C812" s="8" t="s">
        <v>29912</v>
      </c>
      <c r="D812" s="9" t="b">
        <v>0</v>
      </c>
    </row>
    <row r="813" ht="15.75" customHeight="1">
      <c r="A813" s="9" t="s">
        <v>29913</v>
      </c>
      <c r="B813" s="9" t="s">
        <v>8965</v>
      </c>
      <c r="C813" s="8" t="s">
        <v>29914</v>
      </c>
      <c r="D813" s="9" t="b">
        <v>0</v>
      </c>
    </row>
    <row r="814" ht="15.75" customHeight="1">
      <c r="A814" s="9" t="s">
        <v>29915</v>
      </c>
      <c r="B814" s="9" t="s">
        <v>8965</v>
      </c>
      <c r="C814" s="8" t="s">
        <v>29916</v>
      </c>
      <c r="D814" s="9" t="b">
        <v>0</v>
      </c>
    </row>
    <row r="815" ht="15.75" customHeight="1">
      <c r="A815" s="9" t="s">
        <v>29917</v>
      </c>
      <c r="B815" s="9" t="s">
        <v>8965</v>
      </c>
      <c r="C815" s="8" t="s">
        <v>29918</v>
      </c>
      <c r="D815" s="9" t="b">
        <v>0</v>
      </c>
    </row>
    <row r="816" ht="15.75" customHeight="1">
      <c r="A816" s="9" t="s">
        <v>29919</v>
      </c>
      <c r="B816" s="9" t="s">
        <v>8965</v>
      </c>
      <c r="C816" s="8" t="s">
        <v>29920</v>
      </c>
      <c r="D816" s="9" t="b">
        <v>0</v>
      </c>
    </row>
    <row r="817" ht="15.75" customHeight="1">
      <c r="A817" s="9" t="s">
        <v>29921</v>
      </c>
      <c r="B817" s="9" t="s">
        <v>11758</v>
      </c>
      <c r="C817" s="8" t="s">
        <v>29922</v>
      </c>
      <c r="D817" s="9" t="b">
        <v>0</v>
      </c>
    </row>
    <row r="818" ht="15.75" customHeight="1">
      <c r="A818" s="9" t="s">
        <v>29923</v>
      </c>
      <c r="B818" s="9" t="s">
        <v>11758</v>
      </c>
      <c r="C818" s="8" t="s">
        <v>29924</v>
      </c>
      <c r="D818" s="9" t="b">
        <v>0</v>
      </c>
    </row>
    <row r="819" ht="15.75" customHeight="1">
      <c r="A819" s="9" t="s">
        <v>29925</v>
      </c>
      <c r="B819" s="9" t="s">
        <v>11758</v>
      </c>
      <c r="C819" s="8" t="s">
        <v>29926</v>
      </c>
      <c r="D819" s="9" t="b">
        <v>0</v>
      </c>
    </row>
    <row r="820" ht="15.75" customHeight="1">
      <c r="A820" s="9" t="s">
        <v>29927</v>
      </c>
      <c r="B820" s="9" t="s">
        <v>11758</v>
      </c>
      <c r="C820" s="8" t="s">
        <v>29928</v>
      </c>
      <c r="D820" s="9" t="b">
        <v>0</v>
      </c>
    </row>
    <row r="821" ht="15.75" customHeight="1">
      <c r="A821" s="9" t="s">
        <v>29929</v>
      </c>
      <c r="B821" s="9" t="s">
        <v>11758</v>
      </c>
      <c r="C821" s="8" t="s">
        <v>29930</v>
      </c>
      <c r="D821" s="9" t="b">
        <v>0</v>
      </c>
    </row>
    <row r="822" ht="15.75" customHeight="1">
      <c r="A822" s="9" t="s">
        <v>29931</v>
      </c>
      <c r="B822" s="9" t="s">
        <v>11758</v>
      </c>
      <c r="C822" s="8" t="s">
        <v>29932</v>
      </c>
      <c r="D822" s="9" t="b">
        <v>0</v>
      </c>
    </row>
    <row r="823" ht="15.75" customHeight="1">
      <c r="A823" s="9" t="s">
        <v>29933</v>
      </c>
      <c r="B823" s="9" t="s">
        <v>11758</v>
      </c>
      <c r="C823" s="8" t="s">
        <v>29934</v>
      </c>
      <c r="D823" s="9" t="b">
        <v>0</v>
      </c>
    </row>
    <row r="824" ht="15.75" customHeight="1">
      <c r="A824" s="9" t="s">
        <v>29935</v>
      </c>
      <c r="B824" s="9" t="s">
        <v>11758</v>
      </c>
      <c r="C824" s="8" t="s">
        <v>29936</v>
      </c>
      <c r="D824" s="9" t="b">
        <v>0</v>
      </c>
    </row>
    <row r="825" ht="15.75" customHeight="1">
      <c r="A825" s="9" t="s">
        <v>29937</v>
      </c>
      <c r="B825" s="9" t="s">
        <v>11758</v>
      </c>
      <c r="C825" s="8" t="s">
        <v>29938</v>
      </c>
      <c r="D825" s="9" t="b">
        <v>0</v>
      </c>
    </row>
    <row r="826" ht="15.75" customHeight="1">
      <c r="A826" s="9" t="s">
        <v>29939</v>
      </c>
      <c r="B826" s="9" t="s">
        <v>11758</v>
      </c>
      <c r="C826" s="8" t="s">
        <v>29940</v>
      </c>
      <c r="D826" s="9" t="b">
        <v>0</v>
      </c>
    </row>
    <row r="827" ht="15.75" customHeight="1">
      <c r="A827" s="9" t="s">
        <v>29941</v>
      </c>
      <c r="B827" s="9" t="s">
        <v>11758</v>
      </c>
      <c r="C827" s="8" t="s">
        <v>29942</v>
      </c>
      <c r="D827" s="9" t="b">
        <v>0</v>
      </c>
    </row>
    <row r="828" ht="15.75" customHeight="1">
      <c r="A828" s="9" t="s">
        <v>29943</v>
      </c>
      <c r="B828" s="9" t="s">
        <v>11758</v>
      </c>
      <c r="C828" s="8" t="s">
        <v>29944</v>
      </c>
      <c r="D828" s="9" t="b">
        <v>0</v>
      </c>
    </row>
    <row r="829" ht="15.75" customHeight="1">
      <c r="A829" s="9" t="s">
        <v>29945</v>
      </c>
      <c r="B829" s="9" t="s">
        <v>11758</v>
      </c>
      <c r="C829" s="8" t="s">
        <v>29946</v>
      </c>
      <c r="D829" s="9" t="b">
        <v>0</v>
      </c>
    </row>
    <row r="830" ht="15.75" customHeight="1">
      <c r="A830" s="9" t="s">
        <v>29947</v>
      </c>
      <c r="B830" s="9" t="s">
        <v>11758</v>
      </c>
      <c r="C830" s="8" t="s">
        <v>29948</v>
      </c>
      <c r="D830" s="9" t="b">
        <v>1</v>
      </c>
    </row>
    <row r="831" ht="15.75" customHeight="1">
      <c r="A831" s="9" t="s">
        <v>29949</v>
      </c>
      <c r="B831" s="9" t="s">
        <v>11788</v>
      </c>
      <c r="C831" s="8" t="s">
        <v>29950</v>
      </c>
      <c r="D831" s="9" t="b">
        <v>0</v>
      </c>
    </row>
    <row r="832" ht="15.75" customHeight="1">
      <c r="A832" s="9" t="s">
        <v>29951</v>
      </c>
      <c r="B832" s="9" t="s">
        <v>11788</v>
      </c>
      <c r="C832" s="8" t="s">
        <v>29952</v>
      </c>
      <c r="D832" s="9" t="b">
        <v>0</v>
      </c>
    </row>
    <row r="833" ht="15.75" customHeight="1">
      <c r="A833" s="9" t="s">
        <v>29953</v>
      </c>
      <c r="B833" s="9" t="s">
        <v>11788</v>
      </c>
      <c r="C833" s="8" t="s">
        <v>29954</v>
      </c>
      <c r="D833" s="9" t="b">
        <v>1</v>
      </c>
    </row>
    <row r="834" ht="15.75" customHeight="1">
      <c r="A834" s="9" t="s">
        <v>29955</v>
      </c>
      <c r="B834" s="9" t="s">
        <v>11788</v>
      </c>
      <c r="C834" s="8" t="s">
        <v>29956</v>
      </c>
      <c r="D834" s="9" t="b">
        <v>0</v>
      </c>
    </row>
    <row r="835" ht="15.75" customHeight="1">
      <c r="A835" s="9" t="s">
        <v>29957</v>
      </c>
      <c r="B835" s="9" t="s">
        <v>11788</v>
      </c>
      <c r="C835" s="8" t="s">
        <v>29958</v>
      </c>
      <c r="D835" s="9" t="b">
        <v>0</v>
      </c>
    </row>
    <row r="836" ht="15.75" customHeight="1">
      <c r="A836" s="9" t="s">
        <v>29959</v>
      </c>
      <c r="B836" s="9" t="s">
        <v>11788</v>
      </c>
      <c r="C836" s="8" t="s">
        <v>29960</v>
      </c>
      <c r="D836" s="9" t="b">
        <v>1</v>
      </c>
    </row>
    <row r="837" ht="15.75" customHeight="1">
      <c r="A837" s="9" t="s">
        <v>29961</v>
      </c>
      <c r="B837" s="9" t="s">
        <v>3384</v>
      </c>
      <c r="C837" s="8" t="s">
        <v>29962</v>
      </c>
      <c r="D837" s="9" t="b">
        <v>1</v>
      </c>
    </row>
    <row r="838" ht="15.75" customHeight="1">
      <c r="A838" s="9" t="s">
        <v>29963</v>
      </c>
      <c r="B838" s="9" t="s">
        <v>3384</v>
      </c>
      <c r="C838" s="8" t="s">
        <v>29964</v>
      </c>
      <c r="D838" s="9" t="b">
        <v>0</v>
      </c>
    </row>
    <row r="839" ht="15.75" customHeight="1">
      <c r="A839" s="9" t="s">
        <v>29965</v>
      </c>
      <c r="B839" s="9" t="s">
        <v>5314</v>
      </c>
      <c r="C839" s="8" t="s">
        <v>29966</v>
      </c>
      <c r="D839" s="9" t="b">
        <v>0</v>
      </c>
    </row>
    <row r="840" ht="15.75" customHeight="1">
      <c r="A840" s="9" t="s">
        <v>29967</v>
      </c>
      <c r="B840" s="9" t="s">
        <v>5314</v>
      </c>
      <c r="C840" s="8" t="s">
        <v>29968</v>
      </c>
      <c r="D840" s="9" t="b">
        <v>0</v>
      </c>
    </row>
    <row r="841" ht="15.75" customHeight="1">
      <c r="A841" s="9" t="s">
        <v>29969</v>
      </c>
      <c r="B841" s="9" t="s">
        <v>5314</v>
      </c>
      <c r="C841" s="8" t="s">
        <v>29970</v>
      </c>
      <c r="D841" s="9" t="b">
        <v>0</v>
      </c>
    </row>
    <row r="842" ht="15.75" customHeight="1">
      <c r="A842" s="9" t="s">
        <v>29971</v>
      </c>
      <c r="B842" s="9" t="s">
        <v>7240</v>
      </c>
      <c r="C842" s="8" t="s">
        <v>29972</v>
      </c>
      <c r="D842" s="9" t="b">
        <v>0</v>
      </c>
    </row>
    <row r="843" ht="15.75" customHeight="1">
      <c r="A843" s="9" t="s">
        <v>29973</v>
      </c>
      <c r="B843" s="9" t="s">
        <v>7240</v>
      </c>
      <c r="C843" s="8" t="s">
        <v>29974</v>
      </c>
      <c r="D843" s="9" t="b">
        <v>0</v>
      </c>
    </row>
    <row r="844" ht="15.75" customHeight="1">
      <c r="A844" s="9" t="s">
        <v>29975</v>
      </c>
      <c r="B844" s="9" t="s">
        <v>7565</v>
      </c>
      <c r="C844" s="8" t="s">
        <v>29976</v>
      </c>
      <c r="D844" s="9" t="b">
        <v>0</v>
      </c>
    </row>
    <row r="845" ht="15.75" customHeight="1">
      <c r="A845" s="9" t="s">
        <v>29977</v>
      </c>
      <c r="B845" s="9" t="s">
        <v>7565</v>
      </c>
      <c r="C845" s="8" t="s">
        <v>29978</v>
      </c>
      <c r="D845" s="9" t="b">
        <v>0</v>
      </c>
    </row>
    <row r="846" ht="15.75" customHeight="1">
      <c r="A846" s="9" t="s">
        <v>29979</v>
      </c>
      <c r="B846" s="9" t="s">
        <v>7612</v>
      </c>
      <c r="C846" s="8" t="s">
        <v>29980</v>
      </c>
      <c r="D846" s="9" t="b">
        <v>0</v>
      </c>
    </row>
    <row r="847" ht="15.75" customHeight="1">
      <c r="A847" s="9" t="s">
        <v>29981</v>
      </c>
      <c r="B847" s="9" t="s">
        <v>7612</v>
      </c>
      <c r="C847" s="8" t="s">
        <v>29982</v>
      </c>
      <c r="D847" s="9" t="b">
        <v>0</v>
      </c>
    </row>
    <row r="848" ht="15.75" customHeight="1">
      <c r="A848" s="9" t="s">
        <v>29983</v>
      </c>
      <c r="B848" s="9" t="s">
        <v>7612</v>
      </c>
      <c r="C848" s="8" t="s">
        <v>29984</v>
      </c>
      <c r="D848" s="9" t="b">
        <v>1</v>
      </c>
    </row>
    <row r="849" ht="15.75" customHeight="1">
      <c r="A849" s="9" t="s">
        <v>29985</v>
      </c>
      <c r="B849" s="9" t="s">
        <v>7612</v>
      </c>
      <c r="C849" s="8" t="s">
        <v>29986</v>
      </c>
      <c r="D849" s="9" t="b">
        <v>0</v>
      </c>
    </row>
    <row r="850" ht="15.75" customHeight="1">
      <c r="A850" s="9" t="s">
        <v>29987</v>
      </c>
      <c r="B850" s="9" t="s">
        <v>7667</v>
      </c>
      <c r="C850" s="8" t="s">
        <v>29988</v>
      </c>
      <c r="D850" s="9" t="b">
        <v>0</v>
      </c>
    </row>
    <row r="851" ht="15.75" customHeight="1">
      <c r="A851" s="9" t="s">
        <v>29989</v>
      </c>
      <c r="B851" s="9" t="s">
        <v>7667</v>
      </c>
      <c r="C851" s="8" t="s">
        <v>29990</v>
      </c>
      <c r="D851" s="9" t="b">
        <v>1</v>
      </c>
    </row>
    <row r="852" ht="15.75" customHeight="1">
      <c r="A852" s="9" t="s">
        <v>29991</v>
      </c>
      <c r="B852" s="9" t="s">
        <v>7667</v>
      </c>
      <c r="C852" s="8" t="s">
        <v>29992</v>
      </c>
      <c r="D852" s="9" t="b">
        <v>0</v>
      </c>
    </row>
    <row r="853" ht="15.75" customHeight="1">
      <c r="A853" s="9" t="s">
        <v>29993</v>
      </c>
      <c r="B853" s="9" t="s">
        <v>7879</v>
      </c>
      <c r="C853" s="8" t="s">
        <v>29994</v>
      </c>
      <c r="D853" s="9" t="b">
        <v>0</v>
      </c>
    </row>
    <row r="854" ht="15.75" customHeight="1">
      <c r="A854" s="9" t="s">
        <v>29995</v>
      </c>
      <c r="B854" s="9" t="s">
        <v>7879</v>
      </c>
      <c r="C854" s="8" t="s">
        <v>29996</v>
      </c>
      <c r="D854" s="9" t="b">
        <v>0</v>
      </c>
    </row>
    <row r="855" ht="15.75" customHeight="1">
      <c r="A855" s="9" t="s">
        <v>29997</v>
      </c>
      <c r="B855" s="9" t="s">
        <v>7879</v>
      </c>
      <c r="C855" s="8" t="s">
        <v>29998</v>
      </c>
      <c r="D855" s="9" t="b">
        <v>0</v>
      </c>
    </row>
    <row r="856" ht="15.75" customHeight="1">
      <c r="A856" s="9" t="s">
        <v>29999</v>
      </c>
      <c r="B856" s="9" t="s">
        <v>7879</v>
      </c>
      <c r="C856" s="8" t="s">
        <v>30000</v>
      </c>
      <c r="D856" s="9" t="b">
        <v>0</v>
      </c>
    </row>
    <row r="857" ht="15.75" customHeight="1">
      <c r="A857" s="9" t="s">
        <v>30001</v>
      </c>
      <c r="B857" s="9" t="s">
        <v>9147</v>
      </c>
      <c r="C857" s="8" t="s">
        <v>30002</v>
      </c>
      <c r="D857" s="9" t="b">
        <v>1</v>
      </c>
    </row>
    <row r="858" ht="15.75" customHeight="1">
      <c r="A858" s="9" t="s">
        <v>30003</v>
      </c>
      <c r="B858" s="9" t="s">
        <v>9778</v>
      </c>
      <c r="C858" s="8" t="s">
        <v>30004</v>
      </c>
      <c r="D858" s="9" t="b">
        <v>0</v>
      </c>
    </row>
    <row r="859" ht="15.75" customHeight="1">
      <c r="A859" s="9" t="s">
        <v>30005</v>
      </c>
      <c r="B859" s="9" t="s">
        <v>9778</v>
      </c>
      <c r="C859" s="8" t="s">
        <v>30006</v>
      </c>
      <c r="D859" s="9" t="b">
        <v>0</v>
      </c>
    </row>
    <row r="860" ht="15.75" customHeight="1">
      <c r="A860" s="9" t="s">
        <v>30007</v>
      </c>
      <c r="B860" s="9" t="s">
        <v>9778</v>
      </c>
      <c r="C860" s="8" t="s">
        <v>30008</v>
      </c>
      <c r="D860" s="9" t="b">
        <v>0</v>
      </c>
    </row>
    <row r="861" ht="15.75" customHeight="1">
      <c r="A861" s="9" t="s">
        <v>30009</v>
      </c>
      <c r="B861" s="9" t="s">
        <v>9778</v>
      </c>
      <c r="C861" s="8" t="s">
        <v>30010</v>
      </c>
      <c r="D861" s="9" t="b">
        <v>0</v>
      </c>
    </row>
    <row r="862" ht="15.75" customHeight="1">
      <c r="A862" s="9" t="s">
        <v>30011</v>
      </c>
      <c r="B862" s="9" t="s">
        <v>9778</v>
      </c>
      <c r="C862" s="8" t="s">
        <v>30012</v>
      </c>
      <c r="D862" s="9" t="b">
        <v>0</v>
      </c>
    </row>
    <row r="863" ht="15.75" customHeight="1">
      <c r="A863" s="9" t="s">
        <v>30013</v>
      </c>
      <c r="B863" s="9" t="s">
        <v>9778</v>
      </c>
      <c r="C863" s="8" t="s">
        <v>30014</v>
      </c>
      <c r="D863" s="9" t="b">
        <v>0</v>
      </c>
    </row>
    <row r="864" ht="15.75" customHeight="1">
      <c r="A864" s="9" t="s">
        <v>30015</v>
      </c>
      <c r="B864" s="9" t="s">
        <v>9835</v>
      </c>
      <c r="C864" s="8" t="s">
        <v>30016</v>
      </c>
      <c r="D864" s="9" t="b">
        <v>0</v>
      </c>
    </row>
    <row r="865" ht="15.75" customHeight="1">
      <c r="A865" s="9" t="s">
        <v>30017</v>
      </c>
      <c r="B865" s="9" t="s">
        <v>9835</v>
      </c>
      <c r="C865" s="8" t="s">
        <v>30018</v>
      </c>
      <c r="D865" s="9" t="b">
        <v>0</v>
      </c>
    </row>
    <row r="866" ht="15.75" customHeight="1">
      <c r="A866" s="9" t="s">
        <v>30019</v>
      </c>
      <c r="B866" s="9" t="s">
        <v>1880</v>
      </c>
      <c r="C866" s="8" t="s">
        <v>30020</v>
      </c>
      <c r="D866" s="9" t="b">
        <v>1</v>
      </c>
    </row>
    <row r="867" ht="15.75" customHeight="1">
      <c r="A867" s="9" t="s">
        <v>30021</v>
      </c>
      <c r="B867" s="9" t="s">
        <v>1880</v>
      </c>
      <c r="C867" s="8" t="s">
        <v>30022</v>
      </c>
      <c r="D867" s="9" t="b">
        <v>0</v>
      </c>
    </row>
    <row r="868" ht="15.75" customHeight="1">
      <c r="A868" s="9" t="s">
        <v>30023</v>
      </c>
      <c r="B868" s="9" t="s">
        <v>1880</v>
      </c>
      <c r="C868" s="8" t="s">
        <v>30024</v>
      </c>
      <c r="D868" s="9" t="b">
        <v>0</v>
      </c>
    </row>
    <row r="869" ht="15.75" customHeight="1">
      <c r="A869" s="9" t="s">
        <v>30025</v>
      </c>
      <c r="B869" s="9" t="s">
        <v>5129</v>
      </c>
      <c r="C869" s="8" t="s">
        <v>30026</v>
      </c>
      <c r="D869" s="9" t="b">
        <v>1</v>
      </c>
    </row>
    <row r="870" ht="15.75" customHeight="1">
      <c r="A870" s="9" t="s">
        <v>30027</v>
      </c>
      <c r="B870" s="9" t="s">
        <v>5129</v>
      </c>
      <c r="C870" s="8" t="s">
        <v>30028</v>
      </c>
      <c r="D870" s="9" t="b">
        <v>0</v>
      </c>
    </row>
    <row r="871" ht="15.75" customHeight="1">
      <c r="A871" s="9" t="s">
        <v>30029</v>
      </c>
      <c r="B871" s="9" t="s">
        <v>5129</v>
      </c>
      <c r="C871" s="8" t="s">
        <v>30030</v>
      </c>
      <c r="D871" s="9" t="b">
        <v>0</v>
      </c>
    </row>
    <row r="872" ht="15.75" customHeight="1">
      <c r="A872" s="9" t="s">
        <v>30031</v>
      </c>
      <c r="B872" s="9" t="s">
        <v>5129</v>
      </c>
      <c r="C872" s="8" t="s">
        <v>30032</v>
      </c>
      <c r="D872" s="9" t="b">
        <v>0</v>
      </c>
    </row>
    <row r="873" ht="15.75" customHeight="1">
      <c r="A873" s="52" t="s">
        <v>30033</v>
      </c>
      <c r="B873" s="9" t="s">
        <v>5129</v>
      </c>
      <c r="C873" s="8" t="s">
        <v>30034</v>
      </c>
      <c r="D873" s="9" t="b">
        <v>0</v>
      </c>
    </row>
    <row r="874" ht="15.75" customHeight="1">
      <c r="A874" s="9" t="s">
        <v>30035</v>
      </c>
      <c r="B874" s="9" t="s">
        <v>6049</v>
      </c>
      <c r="C874" s="8" t="s">
        <v>30036</v>
      </c>
      <c r="D874" s="9" t="b">
        <v>1</v>
      </c>
    </row>
    <row r="875" ht="15.75" customHeight="1">
      <c r="A875" s="9" t="s">
        <v>30037</v>
      </c>
      <c r="B875" s="9" t="s">
        <v>6049</v>
      </c>
      <c r="C875" s="8" t="s">
        <v>30038</v>
      </c>
      <c r="D875" s="9" t="b">
        <v>0</v>
      </c>
    </row>
    <row r="876" ht="15.75" customHeight="1">
      <c r="A876" s="9" t="s">
        <v>30039</v>
      </c>
      <c r="B876" s="9" t="s">
        <v>6049</v>
      </c>
      <c r="C876" s="8" t="s">
        <v>30040</v>
      </c>
      <c r="D876" s="9" t="b">
        <v>0</v>
      </c>
    </row>
    <row r="877" ht="15.75" customHeight="1">
      <c r="A877" s="52" t="s">
        <v>30041</v>
      </c>
      <c r="B877" s="9" t="s">
        <v>6049</v>
      </c>
      <c r="C877" s="8" t="s">
        <v>30042</v>
      </c>
      <c r="D877" s="9" t="b">
        <v>0</v>
      </c>
    </row>
    <row r="878" ht="15.75" customHeight="1">
      <c r="A878" s="9" t="s">
        <v>30043</v>
      </c>
      <c r="B878" s="9" t="s">
        <v>7145</v>
      </c>
      <c r="C878" s="8" t="s">
        <v>30044</v>
      </c>
      <c r="D878" s="9" t="b">
        <v>1</v>
      </c>
    </row>
    <row r="879" ht="15.75" customHeight="1">
      <c r="A879" s="9" t="s">
        <v>30045</v>
      </c>
      <c r="B879" s="9" t="s">
        <v>7145</v>
      </c>
      <c r="C879" s="8" t="s">
        <v>30046</v>
      </c>
      <c r="D879" s="9" t="b">
        <v>0</v>
      </c>
    </row>
    <row r="880" ht="15.75" customHeight="1">
      <c r="A880" s="9" t="s">
        <v>30047</v>
      </c>
      <c r="B880" s="9" t="s">
        <v>643</v>
      </c>
      <c r="C880" s="8" t="s">
        <v>30048</v>
      </c>
      <c r="D880" s="9" t="b">
        <v>1</v>
      </c>
    </row>
    <row r="881" ht="15.75" customHeight="1">
      <c r="A881" s="9" t="s">
        <v>30049</v>
      </c>
      <c r="B881" s="9" t="s">
        <v>643</v>
      </c>
      <c r="C881" s="8" t="s">
        <v>30050</v>
      </c>
      <c r="D881" s="9" t="b">
        <v>0</v>
      </c>
    </row>
    <row r="882" ht="15.75" customHeight="1">
      <c r="A882" s="9" t="s">
        <v>30051</v>
      </c>
      <c r="B882" s="9" t="s">
        <v>643</v>
      </c>
      <c r="C882" s="8" t="s">
        <v>30052</v>
      </c>
      <c r="D882" s="9" t="b">
        <v>0</v>
      </c>
    </row>
    <row r="883" ht="15.75" customHeight="1">
      <c r="A883" s="9" t="s">
        <v>30053</v>
      </c>
      <c r="B883" s="9" t="s">
        <v>3827</v>
      </c>
      <c r="C883" s="8" t="s">
        <v>30054</v>
      </c>
      <c r="D883" s="9" t="b">
        <v>1</v>
      </c>
    </row>
    <row r="884" ht="15.75" customHeight="1">
      <c r="A884" s="9" t="s">
        <v>30055</v>
      </c>
      <c r="B884" s="9" t="s">
        <v>3827</v>
      </c>
      <c r="C884" s="8" t="s">
        <v>30056</v>
      </c>
      <c r="D884" s="9" t="b">
        <v>0</v>
      </c>
    </row>
    <row r="885" ht="15.75" customHeight="1">
      <c r="A885" s="9" t="s">
        <v>30057</v>
      </c>
      <c r="B885" s="9" t="s">
        <v>3827</v>
      </c>
      <c r="C885" s="8" t="s">
        <v>30058</v>
      </c>
      <c r="D885" s="9" t="b">
        <v>0</v>
      </c>
    </row>
    <row r="886" ht="15.75" customHeight="1">
      <c r="A886" s="9" t="s">
        <v>30059</v>
      </c>
      <c r="B886" s="9" t="s">
        <v>6620</v>
      </c>
      <c r="C886" s="8" t="s">
        <v>30060</v>
      </c>
      <c r="D886" s="9" t="b">
        <v>1</v>
      </c>
    </row>
    <row r="887" ht="15.75" customHeight="1">
      <c r="A887" s="9" t="s">
        <v>30061</v>
      </c>
      <c r="B887" s="9" t="s">
        <v>6620</v>
      </c>
      <c r="C887" s="8" t="s">
        <v>30062</v>
      </c>
      <c r="D887" s="9" t="b">
        <v>0</v>
      </c>
    </row>
    <row r="888" ht="15.75" customHeight="1">
      <c r="A888" s="9" t="s">
        <v>30063</v>
      </c>
      <c r="B888" s="9" t="s">
        <v>6620</v>
      </c>
      <c r="C888" s="8" t="s">
        <v>30064</v>
      </c>
      <c r="D888" s="9" t="b">
        <v>0</v>
      </c>
    </row>
    <row r="889" ht="15.75" customHeight="1">
      <c r="A889" s="9" t="s">
        <v>30065</v>
      </c>
      <c r="B889" s="9" t="s">
        <v>6620</v>
      </c>
      <c r="C889" s="8" t="s">
        <v>30066</v>
      </c>
      <c r="D889" s="9" t="b">
        <v>0</v>
      </c>
    </row>
    <row r="890" ht="15.75" customHeight="1">
      <c r="A890" s="9" t="s">
        <v>30067</v>
      </c>
      <c r="B890" s="9" t="s">
        <v>7495</v>
      </c>
      <c r="C890" s="8" t="s">
        <v>30068</v>
      </c>
      <c r="D890" s="9" t="b">
        <v>1</v>
      </c>
    </row>
    <row r="891" ht="15.75" customHeight="1">
      <c r="A891" s="9" t="s">
        <v>30069</v>
      </c>
      <c r="B891" s="9" t="s">
        <v>7495</v>
      </c>
      <c r="C891" s="8" t="s">
        <v>30070</v>
      </c>
      <c r="D891" s="9" t="b">
        <v>0</v>
      </c>
    </row>
    <row r="892" ht="15.75" customHeight="1">
      <c r="A892" s="9" t="s">
        <v>30071</v>
      </c>
      <c r="B892" s="9" t="s">
        <v>7315</v>
      </c>
      <c r="C892" s="8" t="s">
        <v>30072</v>
      </c>
      <c r="D892" s="9" t="b">
        <v>0</v>
      </c>
    </row>
    <row r="893" ht="15.75" customHeight="1">
      <c r="A893" s="9" t="s">
        <v>30073</v>
      </c>
      <c r="B893" s="9" t="s">
        <v>7315</v>
      </c>
      <c r="C893" s="8" t="s">
        <v>30074</v>
      </c>
      <c r="D893" s="9" t="b">
        <v>1</v>
      </c>
    </row>
    <row r="894" ht="15.75" customHeight="1">
      <c r="A894" s="9" t="s">
        <v>30075</v>
      </c>
      <c r="B894" s="9" t="s">
        <v>7315</v>
      </c>
      <c r="C894" s="8" t="s">
        <v>30076</v>
      </c>
      <c r="D894" s="9" t="b">
        <v>0</v>
      </c>
    </row>
    <row r="895" ht="15.75" customHeight="1">
      <c r="A895" s="9"/>
      <c r="B895" s="9"/>
      <c r="C895" s="9"/>
      <c r="D895" s="9"/>
    </row>
    <row r="896" ht="15.75" customHeight="1">
      <c r="A896" s="9"/>
      <c r="B896" s="9"/>
      <c r="C896" s="9"/>
      <c r="D896" s="9"/>
    </row>
    <row r="897" ht="15.75" customHeight="1">
      <c r="A897" s="9"/>
      <c r="B897" s="9"/>
      <c r="C897" s="9"/>
      <c r="D897" s="9"/>
    </row>
    <row r="898" ht="15.75" customHeight="1">
      <c r="A898" s="9" t="s">
        <v>30077</v>
      </c>
      <c r="B898" s="9" t="s">
        <v>931</v>
      </c>
      <c r="C898" s="8" t="s">
        <v>30078</v>
      </c>
      <c r="D898" s="9" t="b">
        <v>0</v>
      </c>
    </row>
    <row r="899" ht="15.75" customHeight="1">
      <c r="A899" s="9" t="s">
        <v>30079</v>
      </c>
      <c r="B899" s="9" t="s">
        <v>931</v>
      </c>
      <c r="C899" s="8" t="s">
        <v>30080</v>
      </c>
      <c r="D899" s="9" t="b">
        <v>0</v>
      </c>
    </row>
    <row r="900" ht="15.75" customHeight="1">
      <c r="A900" s="9" t="s">
        <v>30081</v>
      </c>
      <c r="B900" s="9" t="s">
        <v>931</v>
      </c>
      <c r="C900" s="8" t="s">
        <v>30082</v>
      </c>
      <c r="D900" s="9" t="b">
        <v>0</v>
      </c>
    </row>
    <row r="901" ht="15.75" customHeight="1">
      <c r="A901" s="9" t="s">
        <v>30083</v>
      </c>
      <c r="B901" s="9" t="s">
        <v>2471</v>
      </c>
      <c r="C901" s="8" t="s">
        <v>30084</v>
      </c>
      <c r="D901" s="9" t="b">
        <v>1</v>
      </c>
    </row>
    <row r="902" ht="15.75" customHeight="1">
      <c r="A902" s="9" t="s">
        <v>30085</v>
      </c>
      <c r="B902" s="9" t="s">
        <v>1594</v>
      </c>
      <c r="C902" s="8" t="s">
        <v>30086</v>
      </c>
      <c r="D902" s="9" t="b">
        <v>0</v>
      </c>
    </row>
    <row r="903" ht="15.75" customHeight="1">
      <c r="A903" s="9" t="s">
        <v>30087</v>
      </c>
      <c r="B903" s="9" t="s">
        <v>1594</v>
      </c>
      <c r="C903" s="8" t="s">
        <v>30088</v>
      </c>
      <c r="D903" s="9" t="b">
        <v>0</v>
      </c>
    </row>
    <row r="904" ht="15.75" customHeight="1">
      <c r="A904" s="9" t="s">
        <v>30089</v>
      </c>
      <c r="B904" s="9" t="s">
        <v>6292</v>
      </c>
      <c r="C904" s="8" t="s">
        <v>30090</v>
      </c>
      <c r="D904" s="9" t="b">
        <v>0</v>
      </c>
    </row>
    <row r="905" ht="15.75" customHeight="1">
      <c r="A905" s="9" t="s">
        <v>30091</v>
      </c>
      <c r="B905" s="9" t="s">
        <v>4568</v>
      </c>
      <c r="C905" s="8" t="s">
        <v>30092</v>
      </c>
      <c r="D905" s="9" t="b">
        <v>1</v>
      </c>
    </row>
    <row r="906" ht="15.75" customHeight="1">
      <c r="A906" s="9" t="s">
        <v>30093</v>
      </c>
      <c r="B906" s="9" t="s">
        <v>6752</v>
      </c>
      <c r="C906" s="8" t="s">
        <v>30094</v>
      </c>
      <c r="D906" s="9" t="b">
        <v>1</v>
      </c>
    </row>
    <row r="907" ht="15.75" customHeight="1">
      <c r="A907" s="9" t="s">
        <v>30095</v>
      </c>
      <c r="B907" s="9" t="s">
        <v>6752</v>
      </c>
      <c r="C907" s="8" t="s">
        <v>30096</v>
      </c>
      <c r="D907" s="9" t="b">
        <v>0</v>
      </c>
    </row>
    <row r="908" ht="15.75" customHeight="1">
      <c r="A908" s="9" t="s">
        <v>30097</v>
      </c>
      <c r="B908" s="9" t="s">
        <v>6752</v>
      </c>
      <c r="C908" s="8" t="s">
        <v>30098</v>
      </c>
      <c r="D908" s="9" t="b">
        <v>0</v>
      </c>
    </row>
    <row r="909" ht="15.75" customHeight="1">
      <c r="A909" s="9" t="s">
        <v>30099</v>
      </c>
      <c r="B909" s="9" t="s">
        <v>6752</v>
      </c>
      <c r="C909" s="8" t="s">
        <v>30100</v>
      </c>
      <c r="D909" s="9" t="b">
        <v>0</v>
      </c>
    </row>
    <row r="910" ht="15.75" customHeight="1">
      <c r="A910" s="9"/>
      <c r="B910" s="9"/>
      <c r="C910" s="9"/>
      <c r="D910" s="9"/>
    </row>
    <row r="911" ht="15.75" customHeight="1">
      <c r="A911" s="9" t="s">
        <v>30101</v>
      </c>
      <c r="B911" s="9" t="s">
        <v>3721</v>
      </c>
      <c r="C911" s="8" t="s">
        <v>30102</v>
      </c>
      <c r="D911" s="9" t="b">
        <v>1</v>
      </c>
    </row>
    <row r="912" ht="15.75" customHeight="1">
      <c r="A912" s="9" t="s">
        <v>30103</v>
      </c>
      <c r="B912" s="9" t="s">
        <v>10719</v>
      </c>
      <c r="C912" s="8" t="s">
        <v>30104</v>
      </c>
      <c r="D912" s="9" t="b">
        <v>1</v>
      </c>
    </row>
    <row r="913" ht="15.75" customHeight="1">
      <c r="A913" s="9" t="s">
        <v>30105</v>
      </c>
      <c r="B913" s="9" t="s">
        <v>10719</v>
      </c>
      <c r="C913" s="8" t="s">
        <v>30106</v>
      </c>
      <c r="D913" s="9" t="b">
        <v>0</v>
      </c>
    </row>
    <row r="914" ht="15.75" customHeight="1">
      <c r="A914" s="9" t="s">
        <v>30107</v>
      </c>
      <c r="B914" s="9" t="s">
        <v>10719</v>
      </c>
      <c r="C914" s="8" t="s">
        <v>30108</v>
      </c>
      <c r="D914" s="9" t="b">
        <v>0</v>
      </c>
    </row>
    <row r="915" ht="15.75" customHeight="1">
      <c r="A915" s="9" t="s">
        <v>30109</v>
      </c>
      <c r="B915" s="9" t="s">
        <v>10719</v>
      </c>
      <c r="C915" s="8" t="s">
        <v>30110</v>
      </c>
      <c r="D915" s="9" t="b">
        <v>0</v>
      </c>
    </row>
    <row r="916" ht="15.75" customHeight="1">
      <c r="A916" s="9" t="s">
        <v>30111</v>
      </c>
      <c r="B916" s="9" t="s">
        <v>10719</v>
      </c>
      <c r="C916" s="8" t="s">
        <v>30112</v>
      </c>
      <c r="D916" s="9" t="b">
        <v>0</v>
      </c>
    </row>
    <row r="917" ht="15.75" customHeight="1">
      <c r="A917" s="9" t="s">
        <v>30113</v>
      </c>
      <c r="B917" s="9" t="s">
        <v>10719</v>
      </c>
      <c r="C917" s="8" t="s">
        <v>30114</v>
      </c>
      <c r="D917" s="9" t="b">
        <v>0</v>
      </c>
    </row>
    <row r="918" ht="15.75" customHeight="1">
      <c r="A918" s="9" t="s">
        <v>30115</v>
      </c>
      <c r="B918" s="9" t="s">
        <v>10719</v>
      </c>
      <c r="C918" s="8" t="s">
        <v>30116</v>
      </c>
      <c r="D918" s="9" t="b">
        <v>0</v>
      </c>
    </row>
    <row r="919" ht="15.75" customHeight="1">
      <c r="A919" s="9" t="s">
        <v>30117</v>
      </c>
      <c r="B919" s="9" t="s">
        <v>10719</v>
      </c>
      <c r="C919" s="8" t="s">
        <v>30118</v>
      </c>
      <c r="D919" s="9" t="b">
        <v>0</v>
      </c>
    </row>
    <row r="920" ht="15.75" customHeight="1">
      <c r="A920" s="9" t="s">
        <v>30119</v>
      </c>
      <c r="B920" s="9" t="s">
        <v>12172</v>
      </c>
      <c r="C920" s="8" t="s">
        <v>30120</v>
      </c>
      <c r="D920" s="9" t="b">
        <v>0</v>
      </c>
    </row>
    <row r="921" ht="15.75" customHeight="1">
      <c r="A921" s="9" t="s">
        <v>30121</v>
      </c>
      <c r="B921" s="9" t="s">
        <v>12172</v>
      </c>
      <c r="C921" s="8" t="s">
        <v>30122</v>
      </c>
      <c r="D921" s="9" t="b">
        <v>0</v>
      </c>
    </row>
    <row r="922" ht="15.75" customHeight="1">
      <c r="A922" s="9" t="s">
        <v>30123</v>
      </c>
      <c r="B922" s="9" t="s">
        <v>12172</v>
      </c>
      <c r="C922" s="8" t="s">
        <v>30124</v>
      </c>
      <c r="D922" s="9" t="b">
        <v>0</v>
      </c>
    </row>
    <row r="923" ht="15.75" customHeight="1">
      <c r="A923" s="9" t="s">
        <v>30125</v>
      </c>
      <c r="B923" s="9" t="s">
        <v>12172</v>
      </c>
      <c r="C923" s="8" t="s">
        <v>30126</v>
      </c>
      <c r="D923" s="9" t="b">
        <v>0</v>
      </c>
    </row>
    <row r="924" ht="15.75" customHeight="1">
      <c r="A924" s="9" t="s">
        <v>30127</v>
      </c>
      <c r="B924" s="9" t="s">
        <v>12172</v>
      </c>
      <c r="C924" s="8" t="s">
        <v>30128</v>
      </c>
      <c r="D924" s="9" t="b">
        <v>0</v>
      </c>
    </row>
    <row r="925" ht="15.75" customHeight="1">
      <c r="A925" s="9" t="s">
        <v>30129</v>
      </c>
      <c r="B925" s="9" t="s">
        <v>6458</v>
      </c>
      <c r="C925" s="8" t="s">
        <v>30130</v>
      </c>
      <c r="D925" s="9" t="b">
        <v>1</v>
      </c>
    </row>
    <row r="926" ht="15.75" customHeight="1">
      <c r="A926" s="9" t="s">
        <v>30131</v>
      </c>
      <c r="B926" s="9" t="s">
        <v>6458</v>
      </c>
      <c r="C926" s="8" t="s">
        <v>30132</v>
      </c>
      <c r="D926" s="9" t="b">
        <v>0</v>
      </c>
    </row>
    <row r="927" ht="15.75" customHeight="1">
      <c r="A927" s="9" t="s">
        <v>30133</v>
      </c>
      <c r="B927" s="9" t="s">
        <v>2483</v>
      </c>
      <c r="C927" s="8" t="s">
        <v>30134</v>
      </c>
      <c r="D927" s="9" t="b">
        <v>1</v>
      </c>
    </row>
    <row r="928" ht="15.75" customHeight="1">
      <c r="A928" s="9" t="s">
        <v>30135</v>
      </c>
      <c r="B928" s="9" t="s">
        <v>2483</v>
      </c>
      <c r="C928" s="8" t="s">
        <v>30136</v>
      </c>
      <c r="D928" s="9" t="b">
        <v>0</v>
      </c>
    </row>
    <row r="929" ht="15.75" customHeight="1">
      <c r="A929" s="9" t="s">
        <v>30137</v>
      </c>
      <c r="B929" s="9" t="s">
        <v>2483</v>
      </c>
      <c r="C929" s="8" t="s">
        <v>30138</v>
      </c>
      <c r="D929" s="9" t="b">
        <v>0</v>
      </c>
    </row>
    <row r="930" ht="15.75" customHeight="1">
      <c r="A930" s="9"/>
      <c r="B930" s="9"/>
      <c r="C930" s="9"/>
      <c r="D930" s="9"/>
    </row>
    <row r="931" ht="15.75" customHeight="1">
      <c r="A931" s="9"/>
      <c r="B931" s="9"/>
      <c r="C931" s="9"/>
      <c r="D931" s="9"/>
    </row>
    <row r="932" ht="15.75" customHeight="1">
      <c r="A932" s="9"/>
      <c r="B932" s="9"/>
      <c r="C932" s="9"/>
      <c r="D932" s="9"/>
    </row>
    <row r="933" ht="15.75" customHeight="1">
      <c r="A933" s="9"/>
      <c r="B933" s="9"/>
      <c r="C933" s="9"/>
      <c r="D933" s="9"/>
    </row>
    <row r="934" ht="15.75" customHeight="1">
      <c r="A934" s="9"/>
      <c r="B934" s="9"/>
      <c r="C934" s="9"/>
      <c r="D934" s="9"/>
    </row>
    <row r="935" ht="15.75" customHeight="1">
      <c r="A935" s="9"/>
      <c r="B935" s="9"/>
      <c r="C935" s="9"/>
      <c r="D935" s="9"/>
    </row>
    <row r="936" ht="15.75" customHeight="1">
      <c r="A936" s="9" t="s">
        <v>30139</v>
      </c>
      <c r="B936" s="9" t="s">
        <v>11700</v>
      </c>
      <c r="C936" s="8" t="s">
        <v>30140</v>
      </c>
      <c r="D936" s="9" t="b">
        <v>0</v>
      </c>
    </row>
    <row r="937" ht="15.75" customHeight="1">
      <c r="A937" s="9"/>
      <c r="B937" s="9"/>
      <c r="C937" s="9"/>
      <c r="D937" s="9"/>
    </row>
    <row r="938" ht="15.75" customHeight="1">
      <c r="A938" s="9"/>
      <c r="B938" s="9"/>
      <c r="C938" s="9"/>
      <c r="D938" s="9"/>
    </row>
    <row r="939" ht="15.75" customHeight="1">
      <c r="A939" s="9" t="s">
        <v>30141</v>
      </c>
      <c r="B939" s="9" t="s">
        <v>9039</v>
      </c>
      <c r="C939" s="8" t="s">
        <v>30142</v>
      </c>
      <c r="D939" s="9" t="b">
        <v>1</v>
      </c>
    </row>
    <row r="940" ht="15.75" customHeight="1">
      <c r="A940" s="9" t="s">
        <v>30143</v>
      </c>
      <c r="B940" s="9" t="s">
        <v>3079</v>
      </c>
      <c r="C940" s="8" t="s">
        <v>30144</v>
      </c>
      <c r="D940" s="9" t="b">
        <v>1</v>
      </c>
    </row>
    <row r="941" ht="15.75" customHeight="1">
      <c r="A941" s="9" t="s">
        <v>30145</v>
      </c>
      <c r="B941" s="9" t="s">
        <v>3079</v>
      </c>
      <c r="C941" s="8" t="s">
        <v>30146</v>
      </c>
      <c r="D941" s="9" t="b">
        <v>0</v>
      </c>
    </row>
    <row r="942" ht="15.75" customHeight="1">
      <c r="A942" s="9" t="s">
        <v>30147</v>
      </c>
      <c r="B942" s="9" t="s">
        <v>3079</v>
      </c>
      <c r="C942" s="8" t="s">
        <v>30148</v>
      </c>
      <c r="D942" s="9" t="b">
        <v>0</v>
      </c>
    </row>
    <row r="943" ht="15.75" customHeight="1">
      <c r="A943" s="9" t="s">
        <v>30149</v>
      </c>
      <c r="B943" s="9" t="s">
        <v>6473</v>
      </c>
      <c r="C943" s="8" t="s">
        <v>30150</v>
      </c>
      <c r="D943" s="9" t="b">
        <v>0</v>
      </c>
    </row>
    <row r="944" ht="15.75" customHeight="1">
      <c r="A944" s="9" t="s">
        <v>30151</v>
      </c>
      <c r="B944" s="9" t="s">
        <v>6473</v>
      </c>
      <c r="C944" s="8" t="s">
        <v>30152</v>
      </c>
      <c r="D944" s="9" t="b">
        <v>1</v>
      </c>
    </row>
    <row r="945" ht="15.75" customHeight="1">
      <c r="A945" s="9" t="s">
        <v>30153</v>
      </c>
      <c r="B945" s="9" t="s">
        <v>6473</v>
      </c>
      <c r="C945" s="8" t="s">
        <v>30154</v>
      </c>
      <c r="D945" s="9" t="b">
        <v>0</v>
      </c>
    </row>
    <row r="946" ht="15.75" customHeight="1">
      <c r="A946" s="9" t="s">
        <v>30155</v>
      </c>
      <c r="B946" s="9" t="s">
        <v>6473</v>
      </c>
      <c r="C946" s="8" t="s">
        <v>30156</v>
      </c>
      <c r="D946" s="9" t="b">
        <v>0</v>
      </c>
    </row>
    <row r="947" ht="15.75" customHeight="1">
      <c r="A947" s="9" t="s">
        <v>30157</v>
      </c>
      <c r="B947" s="9" t="s">
        <v>6473</v>
      </c>
      <c r="C947" s="8" t="s">
        <v>30158</v>
      </c>
      <c r="D947" s="9" t="b">
        <v>0</v>
      </c>
    </row>
    <row r="948" ht="15.75" customHeight="1">
      <c r="A948" s="9"/>
      <c r="B948" s="9"/>
      <c r="C948" s="9"/>
      <c r="D948" s="9"/>
    </row>
    <row r="949" ht="15.75" customHeight="1">
      <c r="A949" s="9" t="s">
        <v>30159</v>
      </c>
      <c r="B949" s="52" t="s">
        <v>15642</v>
      </c>
      <c r="C949" s="8" t="s">
        <v>30160</v>
      </c>
      <c r="D949" s="9" t="b">
        <v>0</v>
      </c>
    </row>
    <row r="950" ht="15.75" customHeight="1">
      <c r="A950" s="9" t="s">
        <v>30161</v>
      </c>
      <c r="B950" s="52" t="s">
        <v>15642</v>
      </c>
      <c r="C950" s="8" t="s">
        <v>30162</v>
      </c>
      <c r="D950" s="9" t="b">
        <v>0</v>
      </c>
    </row>
    <row r="951" ht="15.75" customHeight="1">
      <c r="A951" s="9" t="s">
        <v>30163</v>
      </c>
      <c r="B951" s="52" t="s">
        <v>15642</v>
      </c>
      <c r="C951" s="8" t="s">
        <v>30164</v>
      </c>
      <c r="D951" s="9" t="b">
        <v>0</v>
      </c>
    </row>
    <row r="952" ht="15.75" customHeight="1">
      <c r="A952" s="9" t="s">
        <v>30165</v>
      </c>
      <c r="B952" s="9" t="s">
        <v>7545</v>
      </c>
      <c r="C952" s="8" t="s">
        <v>30166</v>
      </c>
      <c r="D952" s="9" t="b">
        <v>1</v>
      </c>
    </row>
    <row r="953" ht="15.75" customHeight="1">
      <c r="A953" s="9" t="s">
        <v>30167</v>
      </c>
      <c r="B953" s="9" t="s">
        <v>7545</v>
      </c>
      <c r="C953" s="8" t="s">
        <v>30168</v>
      </c>
      <c r="D953" s="9" t="b">
        <v>0</v>
      </c>
    </row>
    <row r="954" ht="15.75" customHeight="1">
      <c r="A954" s="9" t="s">
        <v>30169</v>
      </c>
      <c r="B954" s="9" t="s">
        <v>1393</v>
      </c>
      <c r="C954" s="8" t="s">
        <v>30170</v>
      </c>
      <c r="D954" s="9" t="b">
        <v>1</v>
      </c>
    </row>
    <row r="955" ht="15.75" customHeight="1">
      <c r="A955" s="9" t="s">
        <v>30171</v>
      </c>
      <c r="B955" s="9" t="s">
        <v>4821</v>
      </c>
      <c r="C955" s="8" t="s">
        <v>30172</v>
      </c>
      <c r="D955" s="9" t="b">
        <v>1</v>
      </c>
    </row>
    <row r="956" ht="15.75" customHeight="1">
      <c r="A956" s="9" t="s">
        <v>30173</v>
      </c>
      <c r="B956" s="9" t="s">
        <v>10354</v>
      </c>
      <c r="C956" s="8" t="s">
        <v>30174</v>
      </c>
      <c r="D956" s="9" t="b">
        <v>0</v>
      </c>
    </row>
    <row r="957" ht="15.75" customHeight="1">
      <c r="A957" s="9" t="s">
        <v>30175</v>
      </c>
      <c r="B957" s="9" t="s">
        <v>10354</v>
      </c>
      <c r="C957" s="8" t="s">
        <v>30176</v>
      </c>
      <c r="D957" s="9" t="b">
        <v>0</v>
      </c>
    </row>
    <row r="958" ht="15.75" customHeight="1">
      <c r="A958" s="9" t="s">
        <v>30177</v>
      </c>
      <c r="B958" s="9" t="s">
        <v>10354</v>
      </c>
      <c r="C958" s="8" t="s">
        <v>30178</v>
      </c>
      <c r="D958" s="9" t="b">
        <v>0</v>
      </c>
    </row>
    <row r="959" ht="15.75" customHeight="1">
      <c r="A959" s="9" t="s">
        <v>30179</v>
      </c>
      <c r="B959" s="9" t="s">
        <v>10354</v>
      </c>
      <c r="C959" s="8" t="s">
        <v>30180</v>
      </c>
      <c r="D959" s="9" t="b">
        <v>0</v>
      </c>
    </row>
    <row r="960" ht="15.75" customHeight="1">
      <c r="A960" s="9" t="s">
        <v>30181</v>
      </c>
      <c r="B960" s="9" t="s">
        <v>10354</v>
      </c>
      <c r="C960" s="8" t="s">
        <v>30182</v>
      </c>
      <c r="D960" s="9" t="b">
        <v>0</v>
      </c>
    </row>
    <row r="961" ht="15.75" customHeight="1">
      <c r="A961" s="9" t="s">
        <v>30183</v>
      </c>
      <c r="B961" s="9" t="s">
        <v>10354</v>
      </c>
      <c r="C961" s="8" t="s">
        <v>30184</v>
      </c>
      <c r="D961" s="9" t="b">
        <v>0</v>
      </c>
    </row>
    <row r="962" ht="15.75" customHeight="1">
      <c r="A962" s="9" t="s">
        <v>30185</v>
      </c>
      <c r="B962" s="9" t="s">
        <v>10354</v>
      </c>
      <c r="C962" s="8" t="s">
        <v>30186</v>
      </c>
      <c r="D962" s="9" t="b">
        <v>0</v>
      </c>
    </row>
    <row r="963" ht="15.75" customHeight="1">
      <c r="A963" s="9" t="s">
        <v>30187</v>
      </c>
      <c r="B963" s="9" t="s">
        <v>10354</v>
      </c>
      <c r="C963" s="8" t="s">
        <v>30188</v>
      </c>
      <c r="D963" s="9" t="b">
        <v>0</v>
      </c>
    </row>
    <row r="964" ht="15.75" customHeight="1">
      <c r="A964" s="9" t="s">
        <v>30189</v>
      </c>
      <c r="B964" s="9" t="s">
        <v>10354</v>
      </c>
      <c r="C964" s="8" t="s">
        <v>30190</v>
      </c>
      <c r="D964" s="9" t="b">
        <v>0</v>
      </c>
    </row>
    <row r="965" ht="15.75" customHeight="1">
      <c r="A965" s="9" t="s">
        <v>30191</v>
      </c>
      <c r="B965" s="9" t="s">
        <v>10354</v>
      </c>
      <c r="C965" s="8" t="s">
        <v>30192</v>
      </c>
      <c r="D965" s="9" t="b">
        <v>0</v>
      </c>
    </row>
    <row r="966" ht="15.75" customHeight="1">
      <c r="A966" s="9" t="s">
        <v>30193</v>
      </c>
      <c r="B966" s="9" t="s">
        <v>10354</v>
      </c>
      <c r="C966" s="8" t="s">
        <v>30194</v>
      </c>
      <c r="D966" s="9" t="b">
        <v>0</v>
      </c>
    </row>
    <row r="967" ht="15.75" customHeight="1">
      <c r="A967" s="9" t="s">
        <v>30195</v>
      </c>
      <c r="B967" s="9" t="s">
        <v>10354</v>
      </c>
      <c r="C967" s="8" t="s">
        <v>30196</v>
      </c>
      <c r="D967" s="9" t="b">
        <v>0</v>
      </c>
    </row>
    <row r="968" ht="15.75" customHeight="1">
      <c r="A968" s="9" t="s">
        <v>30197</v>
      </c>
      <c r="B968" s="9" t="s">
        <v>10354</v>
      </c>
      <c r="C968" s="8" t="s">
        <v>30198</v>
      </c>
      <c r="D968" s="9" t="b">
        <v>0</v>
      </c>
    </row>
    <row r="969" ht="15.75" customHeight="1">
      <c r="A969" s="9" t="s">
        <v>30199</v>
      </c>
      <c r="B969" s="9" t="s">
        <v>10354</v>
      </c>
      <c r="C969" s="8" t="s">
        <v>30200</v>
      </c>
      <c r="D969" s="9" t="b">
        <v>0</v>
      </c>
    </row>
    <row r="970" ht="15.75" customHeight="1">
      <c r="A970" s="9" t="s">
        <v>30201</v>
      </c>
      <c r="B970" s="9" t="s">
        <v>10354</v>
      </c>
      <c r="C970" s="8" t="s">
        <v>30202</v>
      </c>
      <c r="D970" s="9" t="b">
        <v>0</v>
      </c>
    </row>
    <row r="971" ht="15.75" customHeight="1">
      <c r="A971" s="9" t="s">
        <v>30203</v>
      </c>
      <c r="B971" s="9" t="s">
        <v>10354</v>
      </c>
      <c r="C971" s="8" t="s">
        <v>30204</v>
      </c>
      <c r="D971" s="9" t="b">
        <v>1</v>
      </c>
    </row>
    <row r="972" ht="15.75" customHeight="1">
      <c r="A972" s="9" t="s">
        <v>30205</v>
      </c>
      <c r="B972" s="9" t="s">
        <v>10354</v>
      </c>
      <c r="C972" s="8" t="s">
        <v>30206</v>
      </c>
      <c r="D972" s="9" t="b">
        <v>0</v>
      </c>
    </row>
    <row r="973" ht="15.75" customHeight="1">
      <c r="A973" s="52" t="s">
        <v>30207</v>
      </c>
      <c r="B973" s="9" t="s">
        <v>11686</v>
      </c>
      <c r="C973" s="8" t="s">
        <v>30208</v>
      </c>
      <c r="D973" s="9" t="b">
        <v>0</v>
      </c>
    </row>
    <row r="974" ht="15.75" customHeight="1">
      <c r="A974" s="9" t="s">
        <v>30209</v>
      </c>
      <c r="B974" s="9" t="s">
        <v>11686</v>
      </c>
      <c r="C974" s="8" t="s">
        <v>30210</v>
      </c>
      <c r="D974" s="9" t="b">
        <v>0</v>
      </c>
    </row>
    <row r="975" ht="15.75" customHeight="1">
      <c r="A975" s="9" t="s">
        <v>30211</v>
      </c>
      <c r="B975" s="9" t="s">
        <v>11686</v>
      </c>
      <c r="C975" s="8" t="s">
        <v>30212</v>
      </c>
      <c r="D975" s="9" t="b">
        <v>0</v>
      </c>
    </row>
    <row r="976" ht="15.75" customHeight="1">
      <c r="A976" s="9" t="s">
        <v>30213</v>
      </c>
      <c r="B976" s="9" t="s">
        <v>11686</v>
      </c>
      <c r="C976" s="8" t="s">
        <v>30214</v>
      </c>
      <c r="D976" s="9" t="b">
        <v>0</v>
      </c>
    </row>
    <row r="977" ht="15.75" customHeight="1">
      <c r="A977" s="9" t="s">
        <v>30215</v>
      </c>
      <c r="B977" s="9" t="s">
        <v>11686</v>
      </c>
      <c r="C977" s="8" t="s">
        <v>30216</v>
      </c>
      <c r="D977" s="9" t="b">
        <v>0</v>
      </c>
    </row>
    <row r="978" ht="15.75" customHeight="1">
      <c r="A978" s="9" t="s">
        <v>30217</v>
      </c>
      <c r="B978" s="9" t="s">
        <v>11686</v>
      </c>
      <c r="C978" s="8" t="s">
        <v>30218</v>
      </c>
      <c r="D978" s="9" t="b">
        <v>0</v>
      </c>
    </row>
    <row r="979" ht="15.75" customHeight="1">
      <c r="A979" s="9" t="s">
        <v>30219</v>
      </c>
      <c r="B979" s="9" t="s">
        <v>11686</v>
      </c>
      <c r="C979" s="8" t="s">
        <v>30220</v>
      </c>
      <c r="D979" s="9" t="b">
        <v>0</v>
      </c>
    </row>
    <row r="980" ht="15.75" customHeight="1">
      <c r="A980" s="9" t="s">
        <v>30221</v>
      </c>
      <c r="B980" s="9" t="s">
        <v>11686</v>
      </c>
      <c r="C980" s="8" t="s">
        <v>30222</v>
      </c>
      <c r="D980" s="9" t="b">
        <v>0</v>
      </c>
    </row>
    <row r="981" ht="15.75" customHeight="1">
      <c r="A981" s="9" t="s">
        <v>30223</v>
      </c>
      <c r="B981" s="9" t="s">
        <v>11686</v>
      </c>
      <c r="C981" s="8" t="s">
        <v>30224</v>
      </c>
      <c r="D981" s="9" t="b">
        <v>0</v>
      </c>
    </row>
    <row r="982" ht="15.75" customHeight="1">
      <c r="A982" s="9" t="s">
        <v>30225</v>
      </c>
      <c r="B982" s="9" t="s">
        <v>11686</v>
      </c>
      <c r="C982" s="8" t="s">
        <v>30226</v>
      </c>
      <c r="D982" s="9" t="b">
        <v>0</v>
      </c>
    </row>
    <row r="983" ht="15.75" customHeight="1">
      <c r="A983" s="9" t="s">
        <v>30227</v>
      </c>
      <c r="B983" s="9" t="s">
        <v>11686</v>
      </c>
      <c r="C983" s="8" t="s">
        <v>30228</v>
      </c>
      <c r="D983" s="9" t="b">
        <v>0</v>
      </c>
    </row>
    <row r="984" ht="15.75" customHeight="1">
      <c r="A984" s="9" t="s">
        <v>30229</v>
      </c>
      <c r="B984" s="9" t="s">
        <v>10622</v>
      </c>
      <c r="C984" s="8" t="s">
        <v>30230</v>
      </c>
      <c r="D984" s="9" t="b">
        <v>0</v>
      </c>
    </row>
    <row r="985" ht="15.75" customHeight="1">
      <c r="A985" s="9" t="s">
        <v>30231</v>
      </c>
      <c r="B985" s="9" t="s">
        <v>10622</v>
      </c>
      <c r="C985" s="8" t="s">
        <v>30232</v>
      </c>
      <c r="D985" s="9" t="b">
        <v>0</v>
      </c>
    </row>
    <row r="986" ht="15.75" customHeight="1">
      <c r="A986" s="9"/>
      <c r="B986" s="9"/>
      <c r="C986" s="9"/>
      <c r="D986" s="9"/>
    </row>
    <row r="987" ht="15.75" customHeight="1">
      <c r="A987" s="9" t="s">
        <v>30233</v>
      </c>
      <c r="B987" s="9" t="s">
        <v>10622</v>
      </c>
      <c r="C987" s="8" t="s">
        <v>30234</v>
      </c>
      <c r="D987" s="9" t="b">
        <v>0</v>
      </c>
    </row>
    <row r="988" ht="15.75" customHeight="1">
      <c r="A988" s="9"/>
      <c r="B988" s="9"/>
      <c r="C988" s="9"/>
      <c r="D988" s="9"/>
    </row>
    <row r="989" ht="15.75" customHeight="1">
      <c r="A989" s="9" t="s">
        <v>30235</v>
      </c>
      <c r="B989" s="9" t="s">
        <v>12048</v>
      </c>
      <c r="C989" s="8" t="s">
        <v>30236</v>
      </c>
      <c r="D989" s="9" t="b">
        <v>0</v>
      </c>
    </row>
    <row r="990" ht="15.75" customHeight="1">
      <c r="A990" s="9" t="s">
        <v>30237</v>
      </c>
      <c r="B990" s="9" t="s">
        <v>12048</v>
      </c>
      <c r="C990" s="8" t="s">
        <v>30238</v>
      </c>
      <c r="D990" s="9" t="b">
        <v>0</v>
      </c>
    </row>
    <row r="991" ht="15.75" customHeight="1">
      <c r="A991" s="9" t="s">
        <v>30239</v>
      </c>
      <c r="B991" s="9" t="s">
        <v>12048</v>
      </c>
      <c r="C991" s="8" t="s">
        <v>30240</v>
      </c>
      <c r="D991" s="9" t="b">
        <v>0</v>
      </c>
    </row>
    <row r="992" ht="15.75" customHeight="1">
      <c r="A992" s="9" t="s">
        <v>30241</v>
      </c>
      <c r="B992" s="9" t="s">
        <v>12048</v>
      </c>
      <c r="C992" s="8" t="s">
        <v>30242</v>
      </c>
      <c r="D992" s="9" t="b">
        <v>0</v>
      </c>
    </row>
    <row r="993" ht="15.75" customHeight="1">
      <c r="A993" s="9" t="s">
        <v>30243</v>
      </c>
      <c r="B993" s="9" t="s">
        <v>12213</v>
      </c>
      <c r="C993" s="8" t="s">
        <v>30244</v>
      </c>
      <c r="D993" s="9" t="b">
        <v>1</v>
      </c>
    </row>
    <row r="994" ht="15.75" customHeight="1">
      <c r="A994" s="9" t="s">
        <v>30245</v>
      </c>
      <c r="B994" s="9" t="s">
        <v>12213</v>
      </c>
      <c r="C994" s="8" t="s">
        <v>30246</v>
      </c>
      <c r="D994" s="9" t="b">
        <v>0</v>
      </c>
    </row>
    <row r="995" ht="15.75" customHeight="1">
      <c r="A995" s="9" t="s">
        <v>30247</v>
      </c>
      <c r="B995" s="9" t="s">
        <v>5633</v>
      </c>
      <c r="C995" s="8" t="s">
        <v>30248</v>
      </c>
      <c r="D995" s="9" t="b">
        <v>0</v>
      </c>
    </row>
    <row r="996" ht="15.75" customHeight="1">
      <c r="A996" s="9" t="s">
        <v>30249</v>
      </c>
      <c r="B996" s="9" t="s">
        <v>5633</v>
      </c>
      <c r="C996" s="8" t="s">
        <v>30250</v>
      </c>
      <c r="D996" s="9" t="b">
        <v>1</v>
      </c>
    </row>
    <row r="997" ht="15.75" customHeight="1">
      <c r="A997" s="9" t="s">
        <v>30251</v>
      </c>
      <c r="B997" s="9" t="s">
        <v>5633</v>
      </c>
      <c r="C997" s="8" t="s">
        <v>30252</v>
      </c>
      <c r="D997" s="9" t="b">
        <v>0</v>
      </c>
    </row>
    <row r="998" ht="15.75" customHeight="1">
      <c r="A998" s="9" t="s">
        <v>30253</v>
      </c>
      <c r="B998" s="9" t="s">
        <v>6908</v>
      </c>
      <c r="C998" s="8" t="s">
        <v>30254</v>
      </c>
      <c r="D998" s="9" t="b">
        <v>0</v>
      </c>
    </row>
    <row r="999" ht="15.75" customHeight="1">
      <c r="A999" s="9" t="s">
        <v>30255</v>
      </c>
      <c r="B999" s="9" t="s">
        <v>997</v>
      </c>
      <c r="C999" s="8" t="s">
        <v>30256</v>
      </c>
      <c r="D999" s="9" t="b">
        <v>1</v>
      </c>
    </row>
    <row r="1000" ht="15.75" customHeight="1">
      <c r="A1000" s="9" t="s">
        <v>30257</v>
      </c>
      <c r="B1000" s="9" t="s">
        <v>9329</v>
      </c>
      <c r="C1000" s="8" t="s">
        <v>30258</v>
      </c>
      <c r="D1000" s="9" t="b">
        <v>1</v>
      </c>
    </row>
    <row r="1001" ht="15.75" customHeight="1">
      <c r="A1001" s="9" t="s">
        <v>30259</v>
      </c>
      <c r="B1001" s="9" t="s">
        <v>9329</v>
      </c>
      <c r="C1001" s="8" t="s">
        <v>30260</v>
      </c>
      <c r="D1001" s="9" t="b">
        <v>0</v>
      </c>
    </row>
    <row r="1002" ht="15.75" customHeight="1">
      <c r="A1002" s="52" t="s">
        <v>30261</v>
      </c>
      <c r="B1002" s="9" t="s">
        <v>8351</v>
      </c>
      <c r="C1002" s="8" t="s">
        <v>30262</v>
      </c>
      <c r="D1002" s="9" t="b">
        <v>1</v>
      </c>
    </row>
    <row r="1003" ht="15.75" customHeight="1">
      <c r="A1003" s="9" t="s">
        <v>30263</v>
      </c>
      <c r="B1003" s="9" t="s">
        <v>8351</v>
      </c>
      <c r="C1003" s="8" t="s">
        <v>30264</v>
      </c>
      <c r="D1003" s="9" t="b">
        <v>0</v>
      </c>
    </row>
    <row r="1004" ht="15.75" customHeight="1">
      <c r="A1004" s="9" t="s">
        <v>30265</v>
      </c>
      <c r="B1004" s="9" t="s">
        <v>1013</v>
      </c>
      <c r="C1004" s="8" t="s">
        <v>30266</v>
      </c>
      <c r="D1004" s="9" t="b">
        <v>0</v>
      </c>
    </row>
    <row r="1005" ht="15.75" customHeight="1">
      <c r="A1005" s="9" t="s">
        <v>30267</v>
      </c>
      <c r="B1005" s="9" t="s">
        <v>11691</v>
      </c>
      <c r="C1005" s="8" t="s">
        <v>30268</v>
      </c>
      <c r="D1005" s="9" t="b">
        <v>0</v>
      </c>
    </row>
    <row r="1006" ht="15.75" customHeight="1">
      <c r="A1006" s="9" t="s">
        <v>30269</v>
      </c>
      <c r="B1006" s="9" t="s">
        <v>11691</v>
      </c>
      <c r="C1006" s="8" t="s">
        <v>30270</v>
      </c>
      <c r="D1006" s="9" t="b">
        <v>0</v>
      </c>
    </row>
    <row r="1007" ht="15.75" customHeight="1">
      <c r="A1007" s="9" t="s">
        <v>30271</v>
      </c>
      <c r="B1007" s="9" t="s">
        <v>11691</v>
      </c>
      <c r="C1007" s="8" t="s">
        <v>30272</v>
      </c>
      <c r="D1007" s="9" t="b">
        <v>1</v>
      </c>
    </row>
    <row r="1008" ht="15.75" customHeight="1">
      <c r="A1008" s="9"/>
      <c r="B1008" s="9"/>
      <c r="C1008" s="9"/>
      <c r="D1008" s="9"/>
    </row>
    <row r="1009" ht="15.75" customHeight="1">
      <c r="A1009" s="9" t="s">
        <v>30273</v>
      </c>
      <c r="B1009" s="9" t="s">
        <v>5899</v>
      </c>
      <c r="C1009" s="8" t="s">
        <v>30274</v>
      </c>
      <c r="D1009" s="9" t="b">
        <v>1</v>
      </c>
    </row>
    <row r="1010" ht="15.75" customHeight="1">
      <c r="A1010" s="9" t="s">
        <v>30275</v>
      </c>
      <c r="B1010" s="9" t="s">
        <v>10427</v>
      </c>
      <c r="C1010" s="8" t="s">
        <v>30276</v>
      </c>
      <c r="D1010" s="9" t="b">
        <v>1</v>
      </c>
    </row>
    <row r="1011" ht="15.75" customHeight="1">
      <c r="A1011" s="9" t="s">
        <v>30277</v>
      </c>
      <c r="B1011" s="9" t="s">
        <v>10427</v>
      </c>
      <c r="C1011" s="8" t="s">
        <v>30278</v>
      </c>
      <c r="D1011" s="9" t="b">
        <v>0</v>
      </c>
    </row>
    <row r="1012" ht="15.75" customHeight="1">
      <c r="A1012" s="9" t="s">
        <v>30279</v>
      </c>
      <c r="B1012" s="9" t="s">
        <v>10571</v>
      </c>
      <c r="C1012" s="8" t="s">
        <v>30280</v>
      </c>
      <c r="D1012" s="9" t="b">
        <v>0</v>
      </c>
    </row>
    <row r="1013" ht="15.75" customHeight="1">
      <c r="A1013" s="9" t="s">
        <v>30281</v>
      </c>
      <c r="B1013" s="9" t="s">
        <v>10571</v>
      </c>
      <c r="C1013" s="8" t="s">
        <v>30282</v>
      </c>
      <c r="D1013" s="9" t="b">
        <v>0</v>
      </c>
    </row>
    <row r="1014" ht="15.75" customHeight="1">
      <c r="A1014" s="9" t="s">
        <v>30283</v>
      </c>
      <c r="B1014" s="9" t="s">
        <v>10571</v>
      </c>
      <c r="C1014" s="8" t="s">
        <v>30284</v>
      </c>
      <c r="D1014" s="9" t="b">
        <v>0</v>
      </c>
    </row>
    <row r="1015" ht="15.75" customHeight="1">
      <c r="A1015" s="9" t="s">
        <v>30285</v>
      </c>
      <c r="B1015" s="9" t="s">
        <v>10571</v>
      </c>
      <c r="C1015" s="8" t="s">
        <v>30286</v>
      </c>
      <c r="D1015" s="9" t="b">
        <v>1</v>
      </c>
    </row>
    <row r="1016" ht="15.75" customHeight="1">
      <c r="A1016" s="9" t="s">
        <v>30287</v>
      </c>
      <c r="B1016" s="9" t="s">
        <v>10571</v>
      </c>
      <c r="C1016" s="8" t="s">
        <v>30288</v>
      </c>
      <c r="D1016" s="9" t="b">
        <v>0</v>
      </c>
    </row>
    <row r="1017" ht="15.75" customHeight="1">
      <c r="A1017" s="9" t="s">
        <v>30289</v>
      </c>
      <c r="B1017" s="9" t="s">
        <v>10571</v>
      </c>
      <c r="C1017" s="8" t="s">
        <v>30290</v>
      </c>
      <c r="D1017" s="9" t="b">
        <v>0</v>
      </c>
    </row>
    <row r="1018" ht="15.75" customHeight="1">
      <c r="A1018" s="9" t="s">
        <v>30291</v>
      </c>
      <c r="B1018" s="9" t="s">
        <v>10571</v>
      </c>
      <c r="C1018" s="8" t="s">
        <v>30292</v>
      </c>
      <c r="D1018" s="9" t="b">
        <v>0</v>
      </c>
    </row>
    <row r="1019" ht="15.75" customHeight="1">
      <c r="A1019" s="9" t="s">
        <v>30293</v>
      </c>
      <c r="B1019" s="9" t="s">
        <v>10571</v>
      </c>
      <c r="C1019" s="8" t="s">
        <v>30294</v>
      </c>
      <c r="D1019" s="9" t="b">
        <v>0</v>
      </c>
    </row>
    <row r="1020" ht="15.75" customHeight="1">
      <c r="A1020" s="9" t="s">
        <v>30295</v>
      </c>
      <c r="B1020" s="9" t="s">
        <v>10571</v>
      </c>
      <c r="C1020" s="8" t="s">
        <v>30296</v>
      </c>
      <c r="D1020" s="9" t="b">
        <v>0</v>
      </c>
    </row>
    <row r="1021" ht="15.75" customHeight="1">
      <c r="A1021" s="9" t="s">
        <v>30297</v>
      </c>
      <c r="B1021" s="9" t="s">
        <v>10571</v>
      </c>
      <c r="C1021" s="8" t="s">
        <v>30298</v>
      </c>
      <c r="D1021" s="9" t="b">
        <v>0</v>
      </c>
    </row>
    <row r="1022" ht="15.75" customHeight="1">
      <c r="A1022" s="9" t="s">
        <v>30299</v>
      </c>
      <c r="B1022" s="9" t="s">
        <v>10571</v>
      </c>
      <c r="C1022" s="8" t="s">
        <v>30300</v>
      </c>
      <c r="D1022" s="9" t="b">
        <v>0</v>
      </c>
    </row>
    <row r="1023" ht="15.75" customHeight="1">
      <c r="A1023" s="9" t="s">
        <v>30301</v>
      </c>
      <c r="B1023" s="9" t="s">
        <v>10571</v>
      </c>
      <c r="C1023" s="8" t="s">
        <v>30302</v>
      </c>
      <c r="D1023" s="9" t="b">
        <v>0</v>
      </c>
    </row>
    <row r="1024" ht="15.75" customHeight="1">
      <c r="A1024" s="9" t="s">
        <v>30303</v>
      </c>
      <c r="B1024" s="9" t="s">
        <v>10571</v>
      </c>
      <c r="C1024" s="8" t="s">
        <v>30304</v>
      </c>
      <c r="D1024" s="9" t="b">
        <v>0</v>
      </c>
    </row>
    <row r="1025" ht="15.75" customHeight="1">
      <c r="A1025" s="9" t="s">
        <v>30305</v>
      </c>
      <c r="B1025" s="9" t="s">
        <v>10571</v>
      </c>
      <c r="C1025" s="8" t="s">
        <v>30306</v>
      </c>
      <c r="D1025" s="9" t="b">
        <v>0</v>
      </c>
    </row>
    <row r="1026" ht="15.75" customHeight="1">
      <c r="A1026" s="52" t="s">
        <v>30307</v>
      </c>
      <c r="B1026" s="9" t="s">
        <v>10571</v>
      </c>
      <c r="C1026" s="8" t="s">
        <v>30308</v>
      </c>
      <c r="D1026" s="9" t="b">
        <v>0</v>
      </c>
    </row>
    <row r="1027" ht="15.75" customHeight="1">
      <c r="A1027" s="9" t="s">
        <v>30309</v>
      </c>
      <c r="B1027" s="9" t="s">
        <v>10564</v>
      </c>
      <c r="C1027" s="8" t="s">
        <v>30310</v>
      </c>
      <c r="D1027" s="9" t="b">
        <v>0</v>
      </c>
    </row>
    <row r="1028" ht="15.75" customHeight="1">
      <c r="A1028" s="52" t="s">
        <v>30311</v>
      </c>
      <c r="B1028" s="9" t="s">
        <v>10564</v>
      </c>
      <c r="C1028" s="8" t="s">
        <v>30312</v>
      </c>
      <c r="D1028" s="9" t="b">
        <v>0</v>
      </c>
    </row>
    <row r="1029" ht="15.75" customHeight="1">
      <c r="A1029" s="9" t="s">
        <v>30313</v>
      </c>
      <c r="B1029" s="9" t="s">
        <v>10564</v>
      </c>
      <c r="C1029" s="8" t="s">
        <v>30314</v>
      </c>
      <c r="D1029" s="9" t="b">
        <v>0</v>
      </c>
    </row>
    <row r="1030" ht="15.75" customHeight="1">
      <c r="A1030" s="9" t="s">
        <v>30315</v>
      </c>
      <c r="B1030" s="9" t="s">
        <v>10564</v>
      </c>
      <c r="C1030" s="8" t="s">
        <v>30316</v>
      </c>
      <c r="D1030" s="9" t="b">
        <v>0</v>
      </c>
    </row>
    <row r="1031" ht="15.75" customHeight="1">
      <c r="A1031" s="52" t="s">
        <v>30317</v>
      </c>
      <c r="B1031" s="9" t="s">
        <v>10564</v>
      </c>
      <c r="C1031" s="8" t="s">
        <v>30318</v>
      </c>
      <c r="D1031" s="9" t="b">
        <v>0</v>
      </c>
    </row>
    <row r="1032" ht="15.75" customHeight="1">
      <c r="A1032" s="9" t="s">
        <v>30319</v>
      </c>
      <c r="B1032" s="9" t="s">
        <v>12207</v>
      </c>
      <c r="C1032" s="8" t="s">
        <v>30320</v>
      </c>
      <c r="D1032" s="9" t="b">
        <v>1</v>
      </c>
    </row>
    <row r="1033" ht="15.75" customHeight="1">
      <c r="A1033" s="9"/>
      <c r="B1033" s="9"/>
      <c r="C1033" s="9"/>
      <c r="D1033" s="9"/>
    </row>
    <row r="1034" ht="15.75" customHeight="1">
      <c r="A1034" s="9" t="s">
        <v>30321</v>
      </c>
      <c r="B1034" s="9" t="s">
        <v>12207</v>
      </c>
      <c r="C1034" s="8" t="s">
        <v>30322</v>
      </c>
      <c r="D1034" s="9" t="b">
        <v>0</v>
      </c>
    </row>
    <row r="1035" ht="15.75" customHeight="1">
      <c r="A1035" s="9" t="s">
        <v>30323</v>
      </c>
      <c r="B1035" s="9" t="s">
        <v>12207</v>
      </c>
      <c r="C1035" s="8" t="s">
        <v>30324</v>
      </c>
      <c r="D1035" s="9" t="b">
        <v>0</v>
      </c>
    </row>
    <row r="1036" ht="15.75" customHeight="1">
      <c r="A1036" s="9" t="s">
        <v>30325</v>
      </c>
      <c r="B1036" s="9" t="s">
        <v>12207</v>
      </c>
      <c r="C1036" s="8" t="s">
        <v>30326</v>
      </c>
      <c r="D1036" s="9" t="b">
        <v>0</v>
      </c>
    </row>
    <row r="1037" ht="15.75" customHeight="1">
      <c r="A1037" s="9" t="s">
        <v>30327</v>
      </c>
      <c r="B1037" s="9" t="s">
        <v>11866</v>
      </c>
      <c r="C1037" s="8" t="s">
        <v>30328</v>
      </c>
      <c r="D1037" s="9" t="b">
        <v>1</v>
      </c>
      <c r="E1037" s="9" t="s">
        <v>30329</v>
      </c>
    </row>
    <row r="1038" ht="15.75" customHeight="1">
      <c r="A1038" s="9" t="s">
        <v>30330</v>
      </c>
      <c r="B1038" s="9" t="s">
        <v>11866</v>
      </c>
      <c r="C1038" s="8" t="s">
        <v>30331</v>
      </c>
      <c r="D1038" s="9" t="b">
        <v>0</v>
      </c>
      <c r="E1038" s="9" t="s">
        <v>15564</v>
      </c>
    </row>
    <row r="1039" ht="15.75" customHeight="1">
      <c r="A1039" s="9" t="s">
        <v>30332</v>
      </c>
      <c r="B1039" s="9" t="s">
        <v>11866</v>
      </c>
      <c r="C1039" s="8" t="s">
        <v>30333</v>
      </c>
      <c r="D1039" s="9" t="b">
        <v>0</v>
      </c>
      <c r="E1039" s="9" t="s">
        <v>29140</v>
      </c>
    </row>
    <row r="1040" ht="15.75" customHeight="1">
      <c r="A1040" s="9" t="s">
        <v>30334</v>
      </c>
      <c r="B1040" s="9" t="s">
        <v>11866</v>
      </c>
      <c r="C1040" s="8" t="s">
        <v>30335</v>
      </c>
      <c r="D1040" s="9" t="b">
        <v>0</v>
      </c>
      <c r="E1040" s="9" t="s">
        <v>30336</v>
      </c>
    </row>
    <row r="1041" ht="15.75" customHeight="1">
      <c r="A1041" s="9" t="s">
        <v>30337</v>
      </c>
      <c r="B1041" s="9" t="s">
        <v>11866</v>
      </c>
      <c r="C1041" s="8" t="s">
        <v>30338</v>
      </c>
      <c r="D1041" s="9" t="b">
        <v>0</v>
      </c>
      <c r="E1041" s="9" t="s">
        <v>30339</v>
      </c>
    </row>
    <row r="1042" ht="15.75" customHeight="1">
      <c r="A1042" s="9" t="s">
        <v>30340</v>
      </c>
      <c r="B1042" s="9" t="s">
        <v>11866</v>
      </c>
      <c r="C1042" s="8" t="s">
        <v>30341</v>
      </c>
      <c r="D1042" s="9" t="b">
        <v>0</v>
      </c>
      <c r="E1042" s="9" t="s">
        <v>30342</v>
      </c>
    </row>
    <row r="1043" ht="15.75" customHeight="1">
      <c r="A1043" s="9" t="s">
        <v>30343</v>
      </c>
      <c r="B1043" s="9" t="s">
        <v>11866</v>
      </c>
      <c r="C1043" s="8" t="s">
        <v>30344</v>
      </c>
      <c r="D1043" s="9" t="b">
        <v>0</v>
      </c>
      <c r="E1043" s="9" t="s">
        <v>30342</v>
      </c>
    </row>
    <row r="1044" ht="15.75" customHeight="1">
      <c r="A1044" s="9" t="s">
        <v>30345</v>
      </c>
      <c r="B1044" s="9" t="s">
        <v>11866</v>
      </c>
      <c r="C1044" s="8" t="s">
        <v>30346</v>
      </c>
      <c r="D1044" s="9" t="b">
        <v>0</v>
      </c>
      <c r="E1044" s="9" t="s">
        <v>30347</v>
      </c>
    </row>
    <row r="1045" ht="15.75" customHeight="1">
      <c r="A1045" s="9" t="s">
        <v>30348</v>
      </c>
      <c r="B1045" s="9" t="s">
        <v>11866</v>
      </c>
      <c r="C1045" s="8" t="s">
        <v>30349</v>
      </c>
      <c r="D1045" s="9" t="b">
        <v>0</v>
      </c>
      <c r="E1045" s="9" t="s">
        <v>30342</v>
      </c>
    </row>
    <row r="1046" ht="15.75" customHeight="1">
      <c r="A1046" s="9" t="s">
        <v>30350</v>
      </c>
      <c r="B1046" s="9" t="s">
        <v>11866</v>
      </c>
      <c r="C1046" s="8" t="s">
        <v>30351</v>
      </c>
      <c r="D1046" s="9" t="b">
        <v>0</v>
      </c>
      <c r="E1046" s="9" t="s">
        <v>30352</v>
      </c>
    </row>
    <row r="1047" ht="15.75" customHeight="1">
      <c r="A1047" s="9" t="s">
        <v>30353</v>
      </c>
      <c r="B1047" s="9" t="s">
        <v>11866</v>
      </c>
      <c r="C1047" s="8" t="s">
        <v>30354</v>
      </c>
      <c r="D1047" s="9" t="b">
        <v>0</v>
      </c>
      <c r="E1047" s="9" t="s">
        <v>30355</v>
      </c>
    </row>
    <row r="1048" ht="15.75" customHeight="1">
      <c r="A1048" s="9" t="s">
        <v>30356</v>
      </c>
      <c r="B1048" s="9" t="s">
        <v>11866</v>
      </c>
      <c r="C1048" s="8" t="s">
        <v>30357</v>
      </c>
      <c r="D1048" s="9" t="b">
        <v>0</v>
      </c>
      <c r="E1048" s="9" t="s">
        <v>30358</v>
      </c>
    </row>
    <row r="1049" ht="15.75" customHeight="1">
      <c r="A1049" s="9" t="s">
        <v>30359</v>
      </c>
      <c r="B1049" s="9" t="s">
        <v>11866</v>
      </c>
      <c r="C1049" s="8" t="s">
        <v>30360</v>
      </c>
      <c r="D1049" s="9" t="b">
        <v>0</v>
      </c>
      <c r="E1049" s="9" t="s">
        <v>29154</v>
      </c>
    </row>
    <row r="1050" ht="15.75" customHeight="1">
      <c r="A1050" s="9" t="s">
        <v>30361</v>
      </c>
      <c r="B1050" s="9" t="s">
        <v>11866</v>
      </c>
      <c r="C1050" s="8" t="s">
        <v>30362</v>
      </c>
      <c r="D1050" s="9" t="b">
        <v>0</v>
      </c>
      <c r="E1050" s="9" t="s">
        <v>30363</v>
      </c>
    </row>
    <row r="1051" ht="15.75" customHeight="1">
      <c r="A1051" s="9" t="s">
        <v>30364</v>
      </c>
      <c r="B1051" s="9" t="s">
        <v>10564</v>
      </c>
      <c r="C1051" s="8" t="s">
        <v>30365</v>
      </c>
      <c r="D1051" s="9" t="b">
        <v>0</v>
      </c>
      <c r="E1051" s="9"/>
    </row>
    <row r="1052" ht="15.75" customHeight="1">
      <c r="A1052" s="9" t="s">
        <v>30366</v>
      </c>
      <c r="B1052" s="9" t="s">
        <v>11861</v>
      </c>
      <c r="C1052" s="8" t="s">
        <v>30367</v>
      </c>
      <c r="D1052" s="9" t="b">
        <v>1</v>
      </c>
      <c r="E1052" s="9"/>
    </row>
    <row r="1053" ht="15.75" customHeight="1">
      <c r="A1053" s="9" t="s">
        <v>30368</v>
      </c>
      <c r="B1053" s="9" t="s">
        <v>11861</v>
      </c>
      <c r="C1053" s="8" t="s">
        <v>30369</v>
      </c>
      <c r="D1053" s="9" t="b">
        <v>0</v>
      </c>
      <c r="E1053" s="9"/>
    </row>
    <row r="1054" ht="15.75" customHeight="1">
      <c r="A1054" s="9" t="s">
        <v>30370</v>
      </c>
      <c r="B1054" s="9" t="s">
        <v>11861</v>
      </c>
      <c r="C1054" s="8" t="s">
        <v>30371</v>
      </c>
      <c r="D1054" s="9" t="b">
        <v>0</v>
      </c>
      <c r="E1054" s="9"/>
    </row>
    <row r="1055" ht="15.75" customHeight="1">
      <c r="A1055" s="9" t="s">
        <v>30372</v>
      </c>
      <c r="B1055" s="9" t="s">
        <v>11861</v>
      </c>
      <c r="C1055" s="8" t="s">
        <v>30373</v>
      </c>
      <c r="D1055" s="9" t="b">
        <v>0</v>
      </c>
      <c r="E1055" s="9"/>
    </row>
    <row r="1056" ht="15.75" customHeight="1">
      <c r="A1056" s="9" t="s">
        <v>30374</v>
      </c>
      <c r="B1056" s="9" t="s">
        <v>11861</v>
      </c>
      <c r="C1056" s="8" t="s">
        <v>30375</v>
      </c>
      <c r="D1056" s="9" t="b">
        <v>0</v>
      </c>
      <c r="E1056" s="9"/>
    </row>
    <row r="1057" ht="15.75" customHeight="1">
      <c r="A1057" s="9" t="s">
        <v>30376</v>
      </c>
      <c r="B1057" s="9" t="s">
        <v>11861</v>
      </c>
      <c r="C1057" s="8" t="s">
        <v>30377</v>
      </c>
      <c r="D1057" s="9" t="b">
        <v>0</v>
      </c>
      <c r="E1057" s="9"/>
    </row>
    <row r="1058" ht="15.75" customHeight="1">
      <c r="A1058" s="9" t="s">
        <v>30378</v>
      </c>
      <c r="B1058" s="9" t="s">
        <v>11861</v>
      </c>
      <c r="C1058" s="8" t="s">
        <v>30379</v>
      </c>
      <c r="D1058" s="9" t="b">
        <v>0</v>
      </c>
      <c r="E1058" s="9"/>
    </row>
    <row r="1059" ht="15.75" customHeight="1">
      <c r="A1059" s="9" t="s">
        <v>30380</v>
      </c>
      <c r="B1059" s="9" t="s">
        <v>11861</v>
      </c>
      <c r="C1059" s="8" t="s">
        <v>30381</v>
      </c>
      <c r="D1059" s="9" t="b">
        <v>0</v>
      </c>
      <c r="E1059" s="9"/>
    </row>
    <row r="1060" ht="15.75" customHeight="1">
      <c r="A1060" s="9" t="s">
        <v>30382</v>
      </c>
      <c r="B1060" s="9" t="s">
        <v>11945</v>
      </c>
      <c r="C1060" s="8" t="s">
        <v>30383</v>
      </c>
      <c r="D1060" s="9" t="b">
        <v>0</v>
      </c>
      <c r="E1060" s="9"/>
    </row>
    <row r="1061" ht="15.75" customHeight="1">
      <c r="A1061" s="9" t="s">
        <v>30384</v>
      </c>
      <c r="B1061" s="9" t="s">
        <v>11945</v>
      </c>
      <c r="C1061" s="8" t="s">
        <v>30385</v>
      </c>
      <c r="D1061" s="9" t="b">
        <v>0</v>
      </c>
      <c r="E1061" s="9"/>
    </row>
    <row r="1062" ht="15.75" customHeight="1">
      <c r="A1062" s="9" t="s">
        <v>30386</v>
      </c>
      <c r="B1062" s="9" t="s">
        <v>11945</v>
      </c>
      <c r="C1062" s="8" t="s">
        <v>30387</v>
      </c>
      <c r="D1062" s="9" t="b">
        <v>0</v>
      </c>
      <c r="E1062" s="9"/>
    </row>
    <row r="1063" ht="15.75" customHeight="1">
      <c r="A1063" s="9" t="s">
        <v>30388</v>
      </c>
      <c r="B1063" s="9" t="s">
        <v>11945</v>
      </c>
      <c r="C1063" s="8" t="s">
        <v>30389</v>
      </c>
      <c r="D1063" s="9" t="b">
        <v>0</v>
      </c>
      <c r="E1063" s="9"/>
    </row>
    <row r="1064" ht="15.75" customHeight="1">
      <c r="A1064" s="9" t="s">
        <v>30390</v>
      </c>
      <c r="B1064" s="9" t="s">
        <v>11945</v>
      </c>
      <c r="C1064" s="8" t="s">
        <v>30391</v>
      </c>
      <c r="D1064" s="9" t="b">
        <v>1</v>
      </c>
      <c r="E1064" s="9"/>
    </row>
    <row r="1065" ht="15.75" customHeight="1">
      <c r="A1065" s="9" t="s">
        <v>30392</v>
      </c>
      <c r="B1065" s="9" t="s">
        <v>11945</v>
      </c>
      <c r="C1065" s="8" t="s">
        <v>30393</v>
      </c>
      <c r="D1065" s="9" t="b">
        <v>0</v>
      </c>
      <c r="E1065" s="9"/>
    </row>
    <row r="1066" ht="15.75" customHeight="1">
      <c r="A1066" s="9" t="s">
        <v>30394</v>
      </c>
      <c r="B1066" s="9" t="s">
        <v>11945</v>
      </c>
      <c r="C1066" s="8" t="s">
        <v>30395</v>
      </c>
      <c r="D1066" s="9" t="b">
        <v>0</v>
      </c>
      <c r="E1066" s="9"/>
    </row>
    <row r="1067" ht="15.75" customHeight="1">
      <c r="A1067" s="9" t="s">
        <v>30396</v>
      </c>
      <c r="B1067" s="9" t="s">
        <v>11945</v>
      </c>
      <c r="C1067" s="8" t="s">
        <v>30397</v>
      </c>
      <c r="D1067" s="9" t="b">
        <v>0</v>
      </c>
      <c r="E1067" s="9"/>
    </row>
    <row r="1068" ht="15.75" customHeight="1">
      <c r="A1068" s="9" t="s">
        <v>30398</v>
      </c>
      <c r="B1068" s="9" t="s">
        <v>10646</v>
      </c>
      <c r="C1068" s="8" t="s">
        <v>30399</v>
      </c>
      <c r="D1068" s="9" t="b">
        <v>1</v>
      </c>
      <c r="E1068" s="9"/>
    </row>
    <row r="1069" ht="15.75" customHeight="1">
      <c r="A1069" s="9" t="s">
        <v>30400</v>
      </c>
      <c r="B1069" s="9" t="s">
        <v>10646</v>
      </c>
      <c r="C1069" s="8" t="s">
        <v>30401</v>
      </c>
      <c r="D1069" s="9" t="b">
        <v>0</v>
      </c>
      <c r="E1069" s="9"/>
    </row>
    <row r="1070" ht="15.75" customHeight="1">
      <c r="A1070" s="9" t="s">
        <v>30402</v>
      </c>
      <c r="B1070" s="9" t="s">
        <v>10646</v>
      </c>
      <c r="C1070" s="8" t="s">
        <v>30403</v>
      </c>
      <c r="D1070" s="9" t="b">
        <v>0</v>
      </c>
      <c r="E1070" s="9"/>
    </row>
    <row r="1071" ht="15.75" customHeight="1">
      <c r="A1071" s="9" t="s">
        <v>30404</v>
      </c>
      <c r="B1071" s="9" t="s">
        <v>10646</v>
      </c>
      <c r="C1071" s="8" t="s">
        <v>30405</v>
      </c>
      <c r="D1071" s="9" t="b">
        <v>0</v>
      </c>
      <c r="E1071" s="9"/>
    </row>
    <row r="1072" ht="15.75" customHeight="1">
      <c r="A1072" s="9" t="s">
        <v>30406</v>
      </c>
      <c r="B1072" s="9" t="s">
        <v>10646</v>
      </c>
      <c r="C1072" s="8" t="s">
        <v>30407</v>
      </c>
      <c r="D1072" s="9" t="b">
        <v>0</v>
      </c>
      <c r="E1072" s="9"/>
    </row>
    <row r="1073" ht="15.75" customHeight="1">
      <c r="A1073" s="9" t="s">
        <v>30408</v>
      </c>
      <c r="B1073" s="9" t="s">
        <v>10646</v>
      </c>
      <c r="C1073" s="8" t="s">
        <v>30409</v>
      </c>
      <c r="D1073" s="9" t="b">
        <v>0</v>
      </c>
      <c r="E1073" s="9"/>
    </row>
    <row r="1074" ht="15.75" customHeight="1">
      <c r="A1074" s="9" t="s">
        <v>30410</v>
      </c>
      <c r="B1074" s="9" t="s">
        <v>10756</v>
      </c>
      <c r="C1074" s="8" t="s">
        <v>30411</v>
      </c>
      <c r="D1074" s="9" t="b">
        <v>1</v>
      </c>
      <c r="E1074" s="9"/>
    </row>
    <row r="1075" ht="15.75" customHeight="1">
      <c r="A1075" s="9" t="s">
        <v>30412</v>
      </c>
      <c r="B1075" s="9" t="s">
        <v>10756</v>
      </c>
      <c r="C1075" s="8" t="s">
        <v>30413</v>
      </c>
      <c r="D1075" s="9" t="b">
        <v>0</v>
      </c>
      <c r="E1075" s="9"/>
    </row>
    <row r="1076" ht="15.75" customHeight="1">
      <c r="A1076" s="9" t="s">
        <v>30414</v>
      </c>
      <c r="B1076" s="9" t="s">
        <v>10756</v>
      </c>
      <c r="C1076" s="8" t="s">
        <v>30415</v>
      </c>
      <c r="D1076" s="9" t="b">
        <v>0</v>
      </c>
      <c r="E1076" s="9"/>
    </row>
    <row r="1077" ht="15.75" customHeight="1">
      <c r="A1077" s="9" t="s">
        <v>30416</v>
      </c>
      <c r="B1077" s="9" t="s">
        <v>10756</v>
      </c>
      <c r="C1077" s="8" t="s">
        <v>30417</v>
      </c>
      <c r="D1077" s="9" t="b">
        <v>0</v>
      </c>
      <c r="E1077" s="9"/>
    </row>
    <row r="1078" ht="15.75" customHeight="1">
      <c r="A1078" s="9" t="s">
        <v>30418</v>
      </c>
      <c r="B1078" s="9" t="s">
        <v>10756</v>
      </c>
      <c r="C1078" s="8" t="s">
        <v>30419</v>
      </c>
      <c r="D1078" s="9" t="b">
        <v>0</v>
      </c>
      <c r="E1078" s="9"/>
    </row>
    <row r="1079" ht="15.75" customHeight="1">
      <c r="A1079" s="9" t="s">
        <v>30420</v>
      </c>
      <c r="B1079" s="9" t="s">
        <v>10756</v>
      </c>
      <c r="C1079" s="8" t="s">
        <v>30421</v>
      </c>
      <c r="D1079" s="9" t="b">
        <v>0</v>
      </c>
      <c r="E1079" s="9"/>
    </row>
    <row r="1080" ht="15.75" customHeight="1">
      <c r="A1080" s="9" t="s">
        <v>30422</v>
      </c>
      <c r="B1080" s="9" t="s">
        <v>10705</v>
      </c>
      <c r="C1080" s="8" t="s">
        <v>30423</v>
      </c>
      <c r="D1080" s="9" t="b">
        <v>0</v>
      </c>
      <c r="E1080" s="9"/>
    </row>
    <row r="1081" ht="15.75" customHeight="1">
      <c r="A1081" s="9" t="s">
        <v>30424</v>
      </c>
      <c r="B1081" s="9" t="s">
        <v>10705</v>
      </c>
      <c r="C1081" s="8" t="s">
        <v>30425</v>
      </c>
      <c r="D1081" s="9" t="b">
        <v>0</v>
      </c>
      <c r="E1081" s="9"/>
    </row>
    <row r="1082" ht="15.75" customHeight="1">
      <c r="A1082" s="9" t="s">
        <v>30426</v>
      </c>
      <c r="B1082" s="9" t="s">
        <v>10705</v>
      </c>
      <c r="C1082" s="8" t="s">
        <v>30427</v>
      </c>
      <c r="D1082" s="9" t="b">
        <v>1</v>
      </c>
      <c r="E1082" s="9"/>
    </row>
    <row r="1083" ht="15.75" customHeight="1">
      <c r="A1083" s="9" t="s">
        <v>30428</v>
      </c>
      <c r="B1083" s="9" t="s">
        <v>10705</v>
      </c>
      <c r="C1083" s="8" t="s">
        <v>30429</v>
      </c>
      <c r="D1083" s="9" t="b">
        <v>0</v>
      </c>
      <c r="E1083" s="9"/>
    </row>
    <row r="1084" ht="15.75" customHeight="1">
      <c r="A1084" s="9" t="s">
        <v>30430</v>
      </c>
      <c r="B1084" s="9" t="s">
        <v>10705</v>
      </c>
      <c r="C1084" s="8" t="s">
        <v>30431</v>
      </c>
      <c r="D1084" s="9" t="b">
        <v>0</v>
      </c>
      <c r="E1084" s="9"/>
    </row>
    <row r="1085" ht="15.75" customHeight="1">
      <c r="A1085" s="9" t="s">
        <v>30432</v>
      </c>
      <c r="B1085" s="9" t="s">
        <v>10705</v>
      </c>
      <c r="C1085" s="8" t="s">
        <v>30433</v>
      </c>
      <c r="D1085" s="9" t="b">
        <v>0</v>
      </c>
      <c r="E1085" s="9"/>
    </row>
    <row r="1086" ht="15.75" customHeight="1">
      <c r="A1086" s="9" t="s">
        <v>30434</v>
      </c>
      <c r="B1086" s="9" t="s">
        <v>10705</v>
      </c>
      <c r="C1086" s="8" t="s">
        <v>30435</v>
      </c>
      <c r="D1086" s="9" t="b">
        <v>0</v>
      </c>
      <c r="E1086" s="9"/>
    </row>
    <row r="1087" ht="15.75" customHeight="1">
      <c r="A1087" s="9" t="s">
        <v>30436</v>
      </c>
      <c r="B1087" s="9" t="s">
        <v>4800</v>
      </c>
      <c r="C1087" s="8" t="s">
        <v>30437</v>
      </c>
      <c r="D1087" s="9" t="b">
        <v>0</v>
      </c>
      <c r="E1087" s="9"/>
    </row>
    <row r="1088" ht="15.75" customHeight="1">
      <c r="A1088" s="9"/>
      <c r="B1088" s="9"/>
      <c r="C1088" s="9"/>
      <c r="D1088" s="9"/>
      <c r="E1088" s="9"/>
    </row>
    <row r="1089" ht="15.75" customHeight="1">
      <c r="A1089" s="9"/>
      <c r="B1089" s="9"/>
      <c r="C1089" s="9"/>
      <c r="D1089" s="9"/>
      <c r="E1089" s="9"/>
    </row>
    <row r="1090" ht="15.75" customHeight="1">
      <c r="A1090" s="9" t="s">
        <v>30438</v>
      </c>
      <c r="B1090" s="52" t="s">
        <v>15642</v>
      </c>
      <c r="C1090" s="8" t="s">
        <v>30439</v>
      </c>
      <c r="D1090" s="9" t="b">
        <v>0</v>
      </c>
      <c r="E1090" s="9"/>
    </row>
    <row r="1091" ht="15.75" customHeight="1">
      <c r="A1091" s="9" t="s">
        <v>30440</v>
      </c>
      <c r="B1091" s="52" t="s">
        <v>15642</v>
      </c>
      <c r="C1091" s="8" t="s">
        <v>30441</v>
      </c>
      <c r="D1091" s="9" t="b">
        <v>0</v>
      </c>
      <c r="E1091" s="9"/>
    </row>
    <row r="1092" ht="15.75" customHeight="1">
      <c r="A1092" s="9" t="s">
        <v>30442</v>
      </c>
      <c r="B1092" s="52" t="s">
        <v>15642</v>
      </c>
      <c r="C1092" s="8" t="s">
        <v>30443</v>
      </c>
      <c r="D1092" s="9" t="b">
        <v>0</v>
      </c>
      <c r="E1092" s="9"/>
    </row>
    <row r="1093" ht="15.75" customHeight="1">
      <c r="A1093" s="9" t="s">
        <v>30444</v>
      </c>
      <c r="B1093" s="52" t="s">
        <v>15642</v>
      </c>
      <c r="C1093" s="8" t="s">
        <v>30445</v>
      </c>
      <c r="D1093" s="9" t="b">
        <v>0</v>
      </c>
      <c r="E1093" s="9"/>
    </row>
    <row r="1094" ht="15.75" customHeight="1">
      <c r="A1094" s="9" t="s">
        <v>30446</v>
      </c>
      <c r="B1094" s="52" t="s">
        <v>15642</v>
      </c>
      <c r="C1094" s="8" t="s">
        <v>30447</v>
      </c>
      <c r="D1094" s="9" t="b">
        <v>0</v>
      </c>
      <c r="E1094" s="9"/>
    </row>
    <row r="1095" ht="15.75" customHeight="1">
      <c r="A1095" s="9" t="s">
        <v>30448</v>
      </c>
      <c r="B1095" s="52" t="s">
        <v>15642</v>
      </c>
      <c r="C1095" s="8" t="s">
        <v>30449</v>
      </c>
      <c r="D1095" s="9" t="b">
        <v>0</v>
      </c>
      <c r="E1095" s="9"/>
    </row>
    <row r="1096" ht="15.75" customHeight="1">
      <c r="A1096" s="9" t="s">
        <v>30450</v>
      </c>
      <c r="B1096" s="52" t="s">
        <v>15642</v>
      </c>
      <c r="C1096" s="8" t="s">
        <v>30451</v>
      </c>
      <c r="D1096" s="9" t="b">
        <v>0</v>
      </c>
      <c r="E1096" s="9"/>
    </row>
    <row r="1097" ht="15.75" customHeight="1">
      <c r="A1097" s="9" t="s">
        <v>30452</v>
      </c>
      <c r="B1097" s="52" t="s">
        <v>15642</v>
      </c>
      <c r="C1097" s="8" t="s">
        <v>30453</v>
      </c>
      <c r="D1097" s="9" t="b">
        <v>0</v>
      </c>
      <c r="E1097" s="9"/>
    </row>
    <row r="1098" ht="15.75" customHeight="1">
      <c r="A1098" s="9" t="s">
        <v>30454</v>
      </c>
      <c r="B1098" s="9" t="s">
        <v>10562</v>
      </c>
      <c r="C1098" s="8" t="s">
        <v>30455</v>
      </c>
      <c r="D1098" s="9" t="b">
        <v>0</v>
      </c>
      <c r="E1098" s="9"/>
    </row>
    <row r="1099" ht="15.75" customHeight="1">
      <c r="A1099" s="9" t="s">
        <v>30456</v>
      </c>
      <c r="B1099" s="9" t="s">
        <v>10562</v>
      </c>
      <c r="C1099" s="8" t="s">
        <v>30457</v>
      </c>
      <c r="D1099" s="9" t="b">
        <v>0</v>
      </c>
      <c r="E1099" s="9"/>
    </row>
    <row r="1100" ht="15.75" customHeight="1">
      <c r="A1100" s="9" t="s">
        <v>30458</v>
      </c>
      <c r="B1100" s="9" t="s">
        <v>10562</v>
      </c>
      <c r="C1100" s="8" t="s">
        <v>30459</v>
      </c>
      <c r="D1100" s="9" t="b">
        <v>0</v>
      </c>
      <c r="E1100" s="9"/>
    </row>
    <row r="1101" ht="15.75" customHeight="1">
      <c r="A1101" s="9" t="s">
        <v>30460</v>
      </c>
      <c r="B1101" s="9" t="s">
        <v>10562</v>
      </c>
      <c r="C1101" s="8" t="s">
        <v>30461</v>
      </c>
      <c r="D1101" s="9" t="b">
        <v>0</v>
      </c>
      <c r="E1101" s="9"/>
    </row>
    <row r="1102" ht="15.75" customHeight="1">
      <c r="A1102" s="9" t="s">
        <v>30462</v>
      </c>
      <c r="B1102" s="9" t="s">
        <v>10562</v>
      </c>
      <c r="C1102" s="8" t="s">
        <v>30463</v>
      </c>
      <c r="D1102" s="9" t="b">
        <v>0</v>
      </c>
      <c r="E1102" s="9"/>
    </row>
    <row r="1103" ht="15.75" customHeight="1">
      <c r="A1103" s="52" t="s">
        <v>30464</v>
      </c>
      <c r="B1103" s="9" t="s">
        <v>10562</v>
      </c>
      <c r="C1103" s="8" t="s">
        <v>30465</v>
      </c>
      <c r="D1103" s="9" t="b">
        <v>0</v>
      </c>
      <c r="E1103" s="9"/>
    </row>
    <row r="1104" ht="15.75" customHeight="1">
      <c r="A1104" s="9" t="s">
        <v>30466</v>
      </c>
      <c r="B1104" s="9" t="s">
        <v>10562</v>
      </c>
      <c r="C1104" s="8" t="s">
        <v>30467</v>
      </c>
      <c r="D1104" s="9" t="b">
        <v>0</v>
      </c>
      <c r="E1104" s="9"/>
    </row>
    <row r="1105" ht="15.75" customHeight="1">
      <c r="A1105" s="9" t="s">
        <v>30468</v>
      </c>
      <c r="B1105" s="9" t="s">
        <v>10562</v>
      </c>
      <c r="C1105" s="8" t="s">
        <v>30469</v>
      </c>
      <c r="D1105" s="9" t="b">
        <v>1</v>
      </c>
      <c r="E1105" s="9"/>
    </row>
    <row r="1106" ht="15.75" customHeight="1">
      <c r="A1106" s="9" t="s">
        <v>30470</v>
      </c>
      <c r="B1106" s="9" t="s">
        <v>10721</v>
      </c>
      <c r="C1106" s="8" t="s">
        <v>30471</v>
      </c>
      <c r="D1106" s="9" t="b">
        <v>0</v>
      </c>
      <c r="E1106" s="9"/>
    </row>
    <row r="1107" ht="15.75" customHeight="1">
      <c r="A1107" s="9" t="s">
        <v>30472</v>
      </c>
      <c r="B1107" s="9" t="s">
        <v>10721</v>
      </c>
      <c r="C1107" s="8" t="s">
        <v>30473</v>
      </c>
      <c r="D1107" s="9" t="b">
        <v>0</v>
      </c>
      <c r="E1107" s="9"/>
    </row>
    <row r="1108" ht="15.75" customHeight="1">
      <c r="A1108" s="9" t="s">
        <v>30474</v>
      </c>
      <c r="B1108" s="9" t="s">
        <v>10721</v>
      </c>
      <c r="C1108" s="8" t="s">
        <v>30475</v>
      </c>
      <c r="D1108" s="9" t="b">
        <v>0</v>
      </c>
      <c r="E1108" s="9"/>
    </row>
    <row r="1109" ht="15.75" customHeight="1">
      <c r="A1109" s="9" t="s">
        <v>30476</v>
      </c>
      <c r="B1109" s="9" t="s">
        <v>10721</v>
      </c>
      <c r="C1109" s="8" t="s">
        <v>30477</v>
      </c>
      <c r="D1109" s="9" t="b">
        <v>0</v>
      </c>
      <c r="E1109" s="9"/>
    </row>
    <row r="1110" ht="15.75" customHeight="1">
      <c r="A1110" s="9" t="s">
        <v>30478</v>
      </c>
      <c r="B1110" s="9" t="s">
        <v>10721</v>
      </c>
      <c r="C1110" s="8" t="s">
        <v>30479</v>
      </c>
      <c r="D1110" s="9" t="b">
        <v>0</v>
      </c>
      <c r="E1110" s="9"/>
    </row>
    <row r="1111" ht="15.75" customHeight="1">
      <c r="A1111" s="9" t="s">
        <v>30480</v>
      </c>
      <c r="B1111" s="9" t="s">
        <v>10721</v>
      </c>
      <c r="C1111" s="8" t="s">
        <v>30481</v>
      </c>
      <c r="D1111" s="9" t="b">
        <v>0</v>
      </c>
      <c r="E1111" s="9"/>
    </row>
    <row r="1112" ht="15.75" customHeight="1">
      <c r="A1112" s="9" t="s">
        <v>30482</v>
      </c>
      <c r="B1112" s="9" t="s">
        <v>10721</v>
      </c>
      <c r="C1112" s="8" t="s">
        <v>30483</v>
      </c>
      <c r="D1112" s="9" t="b">
        <v>1</v>
      </c>
      <c r="E1112" s="9"/>
    </row>
    <row r="1113" ht="15.75" customHeight="1">
      <c r="A1113" s="9" t="s">
        <v>30484</v>
      </c>
      <c r="B1113" s="9" t="s">
        <v>10721</v>
      </c>
      <c r="C1113" s="8" t="s">
        <v>30485</v>
      </c>
      <c r="D1113" s="9" t="b">
        <v>0</v>
      </c>
      <c r="E1113" s="9"/>
    </row>
    <row r="1114" ht="15.75" customHeight="1">
      <c r="A1114" s="9" t="s">
        <v>30486</v>
      </c>
      <c r="B1114" s="9" t="s">
        <v>10721</v>
      </c>
      <c r="C1114" s="8" t="s">
        <v>30487</v>
      </c>
      <c r="D1114" s="9" t="b">
        <v>0</v>
      </c>
      <c r="E1114" s="9"/>
    </row>
    <row r="1115" ht="15.75" customHeight="1">
      <c r="A1115" s="9" t="s">
        <v>30488</v>
      </c>
      <c r="B1115" s="9" t="s">
        <v>10721</v>
      </c>
      <c r="C1115" s="8" t="s">
        <v>30489</v>
      </c>
      <c r="D1115" s="9" t="b">
        <v>0</v>
      </c>
      <c r="E1115" s="9"/>
    </row>
    <row r="1116" ht="15.75" customHeight="1">
      <c r="A1116" s="9" t="s">
        <v>30490</v>
      </c>
      <c r="B1116" s="9" t="s">
        <v>10721</v>
      </c>
      <c r="C1116" s="8" t="s">
        <v>30491</v>
      </c>
      <c r="D1116" s="9" t="b">
        <v>0</v>
      </c>
      <c r="E1116" s="9"/>
    </row>
    <row r="1117" ht="15.75" customHeight="1">
      <c r="A1117" s="9" t="s">
        <v>30492</v>
      </c>
      <c r="B1117" s="9" t="s">
        <v>11767</v>
      </c>
      <c r="C1117" s="8" t="s">
        <v>30493</v>
      </c>
      <c r="D1117" s="9" t="b">
        <v>1</v>
      </c>
      <c r="E1117" s="9"/>
    </row>
    <row r="1118" ht="15.75" customHeight="1">
      <c r="A1118" s="9" t="s">
        <v>30494</v>
      </c>
      <c r="B1118" s="9" t="s">
        <v>11767</v>
      </c>
      <c r="C1118" s="8" t="s">
        <v>30495</v>
      </c>
      <c r="D1118" s="9" t="b">
        <v>0</v>
      </c>
      <c r="E1118" s="9"/>
    </row>
    <row r="1119" ht="15.75" customHeight="1">
      <c r="A1119" s="9" t="s">
        <v>30496</v>
      </c>
      <c r="B1119" s="9" t="s">
        <v>11767</v>
      </c>
      <c r="C1119" s="8" t="s">
        <v>30497</v>
      </c>
      <c r="D1119" s="9" t="b">
        <v>0</v>
      </c>
      <c r="E1119" s="9"/>
    </row>
    <row r="1120" ht="15.75" customHeight="1">
      <c r="A1120" s="9" t="s">
        <v>30498</v>
      </c>
      <c r="B1120" s="9" t="s">
        <v>11767</v>
      </c>
      <c r="C1120" s="8" t="s">
        <v>30499</v>
      </c>
      <c r="D1120" s="9" t="b">
        <v>0</v>
      </c>
      <c r="E1120" s="9"/>
    </row>
    <row r="1121" ht="15.75" customHeight="1">
      <c r="A1121" s="9" t="s">
        <v>30500</v>
      </c>
      <c r="B1121" s="9" t="s">
        <v>11767</v>
      </c>
      <c r="C1121" s="8" t="s">
        <v>30501</v>
      </c>
      <c r="D1121" s="9" t="b">
        <v>0</v>
      </c>
      <c r="E1121" s="9"/>
    </row>
    <row r="1122" ht="15.75" customHeight="1">
      <c r="A1122" s="9" t="s">
        <v>30502</v>
      </c>
      <c r="B1122" s="9" t="s">
        <v>11767</v>
      </c>
      <c r="C1122" s="8" t="s">
        <v>30503</v>
      </c>
      <c r="D1122" s="9" t="b">
        <v>0</v>
      </c>
      <c r="E1122" s="9"/>
    </row>
    <row r="1123" ht="15.75" customHeight="1">
      <c r="A1123" s="9" t="s">
        <v>30504</v>
      </c>
      <c r="B1123" s="9" t="s">
        <v>11767</v>
      </c>
      <c r="C1123" s="8" t="s">
        <v>30505</v>
      </c>
      <c r="D1123" s="9" t="b">
        <v>0</v>
      </c>
      <c r="E1123" s="9"/>
    </row>
    <row r="1124" ht="15.75" customHeight="1">
      <c r="A1124" s="9" t="s">
        <v>30506</v>
      </c>
      <c r="B1124" s="9" t="s">
        <v>11767</v>
      </c>
      <c r="C1124" s="8" t="s">
        <v>30507</v>
      </c>
      <c r="D1124" s="9" t="b">
        <v>0</v>
      </c>
      <c r="E1124" s="9"/>
    </row>
    <row r="1125" ht="15.75" customHeight="1">
      <c r="A1125" s="9" t="s">
        <v>30508</v>
      </c>
      <c r="B1125" s="9" t="s">
        <v>11767</v>
      </c>
      <c r="C1125" s="8" t="s">
        <v>30509</v>
      </c>
      <c r="D1125" s="9" t="b">
        <v>0</v>
      </c>
      <c r="E1125" s="9"/>
    </row>
    <row r="1126" ht="15.75" customHeight="1">
      <c r="A1126" s="9" t="s">
        <v>30510</v>
      </c>
      <c r="B1126" s="9" t="s">
        <v>11767</v>
      </c>
      <c r="C1126" s="8" t="s">
        <v>30511</v>
      </c>
      <c r="D1126" s="9" t="b">
        <v>0</v>
      </c>
      <c r="E1126" s="9"/>
    </row>
    <row r="1127" ht="15.75" customHeight="1">
      <c r="A1127" s="9" t="s">
        <v>30512</v>
      </c>
      <c r="B1127" s="9" t="s">
        <v>10498</v>
      </c>
      <c r="C1127" s="8" t="s">
        <v>30513</v>
      </c>
      <c r="D1127" s="9" t="b">
        <v>0</v>
      </c>
      <c r="E1127" s="9"/>
    </row>
    <row r="1128" ht="15.75" customHeight="1">
      <c r="A1128" s="9" t="s">
        <v>30514</v>
      </c>
      <c r="B1128" s="9" t="s">
        <v>10498</v>
      </c>
      <c r="C1128" s="8" t="s">
        <v>30515</v>
      </c>
      <c r="D1128" s="9" t="b">
        <v>0</v>
      </c>
      <c r="E1128" s="9"/>
    </row>
    <row r="1129" ht="15.75" customHeight="1">
      <c r="A1129" s="9" t="s">
        <v>30516</v>
      </c>
      <c r="B1129" s="9" t="s">
        <v>10498</v>
      </c>
      <c r="C1129" s="8" t="s">
        <v>30517</v>
      </c>
      <c r="D1129" s="9" t="b">
        <v>0</v>
      </c>
      <c r="E1129" s="9"/>
    </row>
    <row r="1130" ht="15.75" customHeight="1">
      <c r="A1130" s="9" t="s">
        <v>30518</v>
      </c>
      <c r="B1130" s="9" t="s">
        <v>10498</v>
      </c>
      <c r="C1130" s="8" t="s">
        <v>30519</v>
      </c>
      <c r="D1130" s="9" t="b">
        <v>0</v>
      </c>
      <c r="E1130" s="9"/>
    </row>
    <row r="1131" ht="15.75" customHeight="1">
      <c r="A1131" s="9" t="s">
        <v>30520</v>
      </c>
      <c r="B1131" s="9" t="s">
        <v>10498</v>
      </c>
      <c r="C1131" s="8" t="s">
        <v>30521</v>
      </c>
      <c r="D1131" s="9" t="b">
        <v>0</v>
      </c>
      <c r="E1131" s="9"/>
    </row>
    <row r="1132" ht="15.75" customHeight="1">
      <c r="A1132" s="9" t="s">
        <v>30522</v>
      </c>
      <c r="B1132" s="9" t="s">
        <v>10498</v>
      </c>
      <c r="C1132" s="8" t="s">
        <v>30523</v>
      </c>
      <c r="D1132" s="9" t="b">
        <v>0</v>
      </c>
      <c r="E1132" s="9"/>
    </row>
    <row r="1133" ht="15.75" customHeight="1">
      <c r="A1133" s="9" t="s">
        <v>30524</v>
      </c>
      <c r="B1133" s="9" t="s">
        <v>10498</v>
      </c>
      <c r="C1133" s="8" t="s">
        <v>30525</v>
      </c>
      <c r="D1133" s="9" t="b">
        <v>1</v>
      </c>
      <c r="E1133" s="9"/>
    </row>
    <row r="1134" ht="15.75" customHeight="1">
      <c r="A1134" s="9" t="s">
        <v>30526</v>
      </c>
      <c r="B1134" s="9" t="s">
        <v>10498</v>
      </c>
      <c r="C1134" s="8" t="s">
        <v>30527</v>
      </c>
      <c r="D1134" s="9" t="b">
        <v>0</v>
      </c>
      <c r="E1134" s="9"/>
    </row>
    <row r="1135" ht="15.75" customHeight="1">
      <c r="A1135" s="9" t="s">
        <v>30528</v>
      </c>
      <c r="B1135" s="9" t="s">
        <v>10498</v>
      </c>
      <c r="C1135" s="8" t="s">
        <v>30529</v>
      </c>
      <c r="D1135" s="9" t="b">
        <v>0</v>
      </c>
      <c r="E1135" s="9"/>
    </row>
    <row r="1136" ht="15.75" customHeight="1">
      <c r="A1136" s="9" t="s">
        <v>30530</v>
      </c>
      <c r="B1136" s="9" t="s">
        <v>10498</v>
      </c>
      <c r="C1136" s="8" t="s">
        <v>30531</v>
      </c>
      <c r="D1136" s="9" t="b">
        <v>0</v>
      </c>
      <c r="E1136" s="9"/>
    </row>
    <row r="1137" ht="15.75" customHeight="1">
      <c r="A1137" s="9" t="s">
        <v>30532</v>
      </c>
      <c r="B1137" s="9" t="s">
        <v>10498</v>
      </c>
      <c r="C1137" s="8" t="s">
        <v>30533</v>
      </c>
      <c r="D1137" s="9" t="b">
        <v>0</v>
      </c>
      <c r="E1137" s="9"/>
    </row>
    <row r="1138" ht="15.75" customHeight="1">
      <c r="A1138" s="9" t="s">
        <v>30534</v>
      </c>
      <c r="B1138" s="9" t="s">
        <v>10498</v>
      </c>
      <c r="C1138" s="8" t="s">
        <v>30535</v>
      </c>
      <c r="D1138" s="9" t="b">
        <v>0</v>
      </c>
      <c r="E1138" s="9"/>
    </row>
    <row r="1139" ht="15.75" customHeight="1">
      <c r="A1139" s="9" t="s">
        <v>30536</v>
      </c>
      <c r="B1139" s="9" t="s">
        <v>11623</v>
      </c>
      <c r="C1139" s="8" t="s">
        <v>30537</v>
      </c>
      <c r="D1139" s="9" t="b">
        <v>0</v>
      </c>
      <c r="E1139" s="9"/>
    </row>
    <row r="1140" ht="15.75" customHeight="1">
      <c r="A1140" s="9" t="s">
        <v>30538</v>
      </c>
      <c r="B1140" s="9" t="s">
        <v>11623</v>
      </c>
      <c r="C1140" s="8" t="s">
        <v>30539</v>
      </c>
      <c r="D1140" s="9" t="b">
        <v>1</v>
      </c>
      <c r="E1140" s="9"/>
    </row>
    <row r="1141" ht="15.75" customHeight="1">
      <c r="A1141" s="9" t="s">
        <v>30540</v>
      </c>
      <c r="B1141" s="9" t="s">
        <v>11623</v>
      </c>
      <c r="C1141" s="8" t="s">
        <v>30541</v>
      </c>
      <c r="D1141" s="9" t="b">
        <v>0</v>
      </c>
      <c r="E1141" s="9"/>
    </row>
    <row r="1142" ht="15.75" customHeight="1">
      <c r="A1142" s="9" t="s">
        <v>30542</v>
      </c>
      <c r="B1142" s="9" t="s">
        <v>11623</v>
      </c>
      <c r="C1142" s="8" t="s">
        <v>30543</v>
      </c>
      <c r="D1142" s="9" t="b">
        <v>0</v>
      </c>
      <c r="E1142" s="9"/>
    </row>
    <row r="1143" ht="15.75" customHeight="1">
      <c r="A1143" s="9" t="s">
        <v>30544</v>
      </c>
      <c r="B1143" s="9" t="s">
        <v>11623</v>
      </c>
      <c r="C1143" s="8" t="s">
        <v>30545</v>
      </c>
      <c r="D1143" s="9" t="b">
        <v>0</v>
      </c>
      <c r="E1143" s="9"/>
    </row>
    <row r="1144" ht="15.75" customHeight="1">
      <c r="A1144" s="9" t="s">
        <v>30546</v>
      </c>
      <c r="B1144" s="9" t="s">
        <v>11623</v>
      </c>
      <c r="C1144" s="8" t="s">
        <v>30547</v>
      </c>
      <c r="D1144" s="9" t="b">
        <v>0</v>
      </c>
      <c r="E1144" s="9"/>
    </row>
    <row r="1145" ht="15.75" customHeight="1">
      <c r="A1145" s="9" t="s">
        <v>30548</v>
      </c>
      <c r="B1145" s="9" t="s">
        <v>11623</v>
      </c>
      <c r="C1145" s="8" t="s">
        <v>30549</v>
      </c>
      <c r="D1145" s="9" t="b">
        <v>0</v>
      </c>
      <c r="E1145" s="9"/>
    </row>
    <row r="1146" ht="15.75" customHeight="1">
      <c r="A1146" s="9" t="s">
        <v>30550</v>
      </c>
      <c r="B1146" s="9" t="s">
        <v>11623</v>
      </c>
      <c r="C1146" s="8" t="s">
        <v>30551</v>
      </c>
      <c r="D1146" s="9" t="b">
        <v>0</v>
      </c>
      <c r="E1146" s="9"/>
    </row>
    <row r="1147" ht="15.75" customHeight="1">
      <c r="A1147" s="9" t="s">
        <v>30552</v>
      </c>
      <c r="B1147" s="9" t="s">
        <v>12144</v>
      </c>
      <c r="C1147" s="8" t="s">
        <v>30553</v>
      </c>
      <c r="D1147" s="9" t="b">
        <v>0</v>
      </c>
      <c r="E1147" s="9"/>
    </row>
    <row r="1148" ht="15.75" customHeight="1">
      <c r="A1148" s="9"/>
      <c r="B1148" s="9"/>
      <c r="C1148" s="9"/>
      <c r="D1148" s="9"/>
      <c r="E1148" s="9"/>
    </row>
    <row r="1149" ht="15.75" customHeight="1">
      <c r="A1149" s="9" t="s">
        <v>30554</v>
      </c>
      <c r="B1149" s="9" t="s">
        <v>12144</v>
      </c>
      <c r="C1149" s="8" t="s">
        <v>30555</v>
      </c>
      <c r="D1149" s="9" t="b">
        <v>0</v>
      </c>
      <c r="E1149" s="9"/>
    </row>
    <row r="1150" ht="15.75" customHeight="1">
      <c r="A1150" s="9" t="s">
        <v>30556</v>
      </c>
      <c r="B1150" s="9" t="s">
        <v>12144</v>
      </c>
      <c r="C1150" s="8" t="s">
        <v>30557</v>
      </c>
      <c r="D1150" s="9" t="b">
        <v>0</v>
      </c>
      <c r="E1150" s="9"/>
    </row>
    <row r="1151" ht="15.75" customHeight="1">
      <c r="A1151" s="9" t="s">
        <v>30558</v>
      </c>
      <c r="B1151" s="9" t="s">
        <v>12144</v>
      </c>
      <c r="C1151" s="8" t="s">
        <v>30559</v>
      </c>
      <c r="D1151" s="9" t="b">
        <v>0</v>
      </c>
      <c r="E1151" s="9"/>
    </row>
    <row r="1152" ht="15.75" customHeight="1">
      <c r="A1152" s="9" t="s">
        <v>30560</v>
      </c>
      <c r="B1152" s="9" t="s">
        <v>12144</v>
      </c>
      <c r="C1152" s="8" t="s">
        <v>30561</v>
      </c>
      <c r="D1152" s="9" t="b">
        <v>0</v>
      </c>
      <c r="E1152" s="9"/>
    </row>
    <row r="1153" ht="15.75" customHeight="1">
      <c r="A1153" s="9" t="s">
        <v>30562</v>
      </c>
      <c r="B1153" s="9" t="s">
        <v>12144</v>
      </c>
      <c r="C1153" s="8" t="s">
        <v>30563</v>
      </c>
      <c r="D1153" s="9" t="b">
        <v>0</v>
      </c>
      <c r="E1153" s="9"/>
    </row>
    <row r="1154" ht="15.75" customHeight="1">
      <c r="A1154" s="9" t="s">
        <v>30564</v>
      </c>
      <c r="B1154" s="9" t="s">
        <v>12144</v>
      </c>
      <c r="C1154" s="8" t="s">
        <v>30565</v>
      </c>
      <c r="D1154" s="9" t="b">
        <v>0</v>
      </c>
      <c r="E1154" s="9"/>
    </row>
    <row r="1155" ht="15.75" customHeight="1">
      <c r="A1155" s="9" t="s">
        <v>30566</v>
      </c>
      <c r="B1155" s="9" t="s">
        <v>12144</v>
      </c>
      <c r="C1155" s="8" t="s">
        <v>30567</v>
      </c>
      <c r="D1155" s="9" t="b">
        <v>0</v>
      </c>
      <c r="E1155" s="9"/>
    </row>
    <row r="1156" ht="15.75" customHeight="1">
      <c r="A1156" s="9" t="s">
        <v>30568</v>
      </c>
      <c r="B1156" s="9" t="s">
        <v>12144</v>
      </c>
      <c r="C1156" s="8" t="s">
        <v>30569</v>
      </c>
      <c r="D1156" s="9" t="b">
        <v>0</v>
      </c>
      <c r="E1156" s="9"/>
    </row>
    <row r="1157" ht="15.75" customHeight="1">
      <c r="A1157" s="9" t="s">
        <v>30570</v>
      </c>
      <c r="B1157" s="9" t="s">
        <v>12144</v>
      </c>
      <c r="C1157" s="8" t="s">
        <v>30571</v>
      </c>
      <c r="D1157" s="9" t="b">
        <v>0</v>
      </c>
      <c r="E1157" s="9"/>
    </row>
    <row r="1158" ht="15.75" customHeight="1">
      <c r="A1158" s="9"/>
      <c r="B1158" s="9"/>
      <c r="C1158" s="9"/>
      <c r="D1158" s="9"/>
      <c r="E1158" s="9"/>
    </row>
    <row r="1159" ht="15.75" customHeight="1">
      <c r="A1159" s="9"/>
      <c r="B1159" s="9"/>
      <c r="C1159" s="9"/>
      <c r="D1159" s="9"/>
      <c r="E1159" s="9"/>
    </row>
    <row r="1160" ht="15.75" customHeight="1">
      <c r="A1160" s="9" t="s">
        <v>30572</v>
      </c>
      <c r="B1160" s="9" t="s">
        <v>11805</v>
      </c>
      <c r="C1160" s="8" t="s">
        <v>30573</v>
      </c>
      <c r="D1160" s="9" t="b">
        <v>0</v>
      </c>
      <c r="E1160" s="9"/>
    </row>
    <row r="1161" ht="15.75" customHeight="1">
      <c r="A1161" s="9"/>
      <c r="B1161" s="9"/>
      <c r="C1161" s="9"/>
      <c r="D1161" s="9"/>
      <c r="E1161" s="9"/>
    </row>
    <row r="1162" ht="15.75" customHeight="1">
      <c r="A1162" s="9" t="s">
        <v>30574</v>
      </c>
      <c r="B1162" s="9" t="s">
        <v>11805</v>
      </c>
      <c r="C1162" s="8" t="s">
        <v>30575</v>
      </c>
      <c r="D1162" s="9" t="b">
        <v>0</v>
      </c>
      <c r="E1162" s="9"/>
    </row>
    <row r="1163" ht="15.75" customHeight="1">
      <c r="A1163" s="9"/>
      <c r="B1163" s="9"/>
      <c r="C1163" s="9"/>
      <c r="D1163" s="9"/>
      <c r="E1163" s="9"/>
    </row>
    <row r="1164" ht="15.75" customHeight="1">
      <c r="A1164" s="9" t="s">
        <v>30576</v>
      </c>
      <c r="B1164" s="9" t="s">
        <v>11805</v>
      </c>
      <c r="C1164" s="8" t="s">
        <v>30577</v>
      </c>
      <c r="D1164" s="9" t="b">
        <v>0</v>
      </c>
      <c r="E1164" s="9"/>
    </row>
    <row r="1165" ht="15.75" customHeight="1">
      <c r="A1165" s="9" t="s">
        <v>30578</v>
      </c>
      <c r="B1165" s="9" t="s">
        <v>11805</v>
      </c>
      <c r="C1165" s="8" t="s">
        <v>30579</v>
      </c>
      <c r="D1165" s="9" t="b">
        <v>0</v>
      </c>
      <c r="E1165" s="9"/>
    </row>
    <row r="1166" ht="15.75" customHeight="1">
      <c r="A1166" s="9"/>
      <c r="B1166" s="9"/>
      <c r="C1166" s="9"/>
      <c r="D1166" s="9"/>
      <c r="E1166" s="9"/>
    </row>
    <row r="1167" ht="15.75" customHeight="1">
      <c r="A1167" s="9"/>
      <c r="B1167" s="9"/>
      <c r="C1167" s="9"/>
      <c r="D1167" s="9"/>
      <c r="E1167" s="9"/>
    </row>
    <row r="1168" ht="15.75" customHeight="1">
      <c r="A1168" s="9"/>
      <c r="B1168" s="9"/>
      <c r="C1168" s="9"/>
      <c r="D1168" s="9"/>
      <c r="E1168" s="9"/>
    </row>
    <row r="1169" ht="15.75" customHeight="1">
      <c r="A1169" s="9"/>
      <c r="B1169" s="9"/>
      <c r="C1169" s="9"/>
      <c r="D1169" s="9"/>
      <c r="E1169" s="9"/>
    </row>
    <row r="1170" ht="15.75" customHeight="1">
      <c r="A1170" s="9"/>
      <c r="B1170" s="9"/>
      <c r="C1170" s="9"/>
      <c r="D1170" s="9"/>
      <c r="E1170" s="9"/>
    </row>
    <row r="1171" ht="15.75" customHeight="1">
      <c r="A1171" s="9"/>
      <c r="B1171" s="9"/>
      <c r="C1171" s="9"/>
      <c r="D1171" s="9"/>
      <c r="E1171" s="9"/>
    </row>
    <row r="1172" ht="15.75" customHeight="1">
      <c r="A1172" s="9" t="s">
        <v>30580</v>
      </c>
      <c r="B1172" s="9" t="s">
        <v>11875</v>
      </c>
      <c r="C1172" s="8" t="s">
        <v>30581</v>
      </c>
      <c r="D1172" s="9" t="b">
        <v>0</v>
      </c>
      <c r="E1172" s="9"/>
    </row>
    <row r="1173" ht="15.75" customHeight="1">
      <c r="A1173" s="9" t="s">
        <v>30582</v>
      </c>
      <c r="B1173" s="9" t="s">
        <v>11875</v>
      </c>
      <c r="C1173" s="8" t="s">
        <v>30583</v>
      </c>
      <c r="D1173" s="9" t="b">
        <v>0</v>
      </c>
      <c r="E1173" s="9"/>
    </row>
    <row r="1174" ht="15.75" customHeight="1">
      <c r="A1174" s="9" t="s">
        <v>30584</v>
      </c>
      <c r="B1174" s="9" t="s">
        <v>11875</v>
      </c>
      <c r="C1174" s="8" t="s">
        <v>30585</v>
      </c>
      <c r="D1174" s="9" t="b">
        <v>0</v>
      </c>
      <c r="E1174" s="9"/>
    </row>
    <row r="1175" ht="15.75" customHeight="1">
      <c r="A1175" s="9"/>
      <c r="B1175" s="9"/>
      <c r="C1175" s="9"/>
      <c r="D1175" s="9"/>
      <c r="E1175" s="9"/>
    </row>
    <row r="1176" ht="15.75" customHeight="1">
      <c r="A1176" s="9" t="s">
        <v>30586</v>
      </c>
      <c r="B1176" s="9" t="s">
        <v>11875</v>
      </c>
      <c r="C1176" s="8" t="s">
        <v>30587</v>
      </c>
      <c r="D1176" s="9" t="b">
        <v>0</v>
      </c>
      <c r="E1176" s="9"/>
    </row>
    <row r="1177" ht="15.75" customHeight="1">
      <c r="A1177" s="9" t="s">
        <v>30588</v>
      </c>
      <c r="B1177" s="9" t="s">
        <v>11655</v>
      </c>
      <c r="C1177" s="8" t="s">
        <v>30589</v>
      </c>
      <c r="D1177" s="9" t="b">
        <v>0</v>
      </c>
      <c r="E1177" s="9"/>
    </row>
    <row r="1178" ht="15.75" customHeight="1">
      <c r="A1178" s="9" t="s">
        <v>30590</v>
      </c>
      <c r="B1178" s="9" t="s">
        <v>11655</v>
      </c>
      <c r="C1178" s="8" t="s">
        <v>30591</v>
      </c>
      <c r="D1178" s="9" t="b">
        <v>0</v>
      </c>
      <c r="E1178" s="9"/>
    </row>
    <row r="1179" ht="15.75" customHeight="1">
      <c r="A1179" s="9" t="s">
        <v>30592</v>
      </c>
      <c r="B1179" s="9" t="s">
        <v>11655</v>
      </c>
      <c r="C1179" s="8" t="s">
        <v>30593</v>
      </c>
      <c r="D1179" s="9" t="b">
        <v>0</v>
      </c>
      <c r="E1179" s="9"/>
    </row>
    <row r="1180" ht="15.75" customHeight="1">
      <c r="A1180" s="9" t="s">
        <v>30594</v>
      </c>
      <c r="B1180" s="9" t="s">
        <v>11655</v>
      </c>
      <c r="C1180" s="8" t="s">
        <v>30595</v>
      </c>
      <c r="D1180" s="9" t="b">
        <v>0</v>
      </c>
      <c r="E1180" s="9"/>
    </row>
    <row r="1181" ht="15.75" customHeight="1">
      <c r="A1181" s="9" t="s">
        <v>30596</v>
      </c>
      <c r="B1181" s="9" t="s">
        <v>11655</v>
      </c>
      <c r="C1181" s="8" t="s">
        <v>30597</v>
      </c>
      <c r="D1181" s="9" t="b">
        <v>0</v>
      </c>
      <c r="E1181" s="9"/>
    </row>
    <row r="1182" ht="15.75" customHeight="1">
      <c r="A1182" s="9" t="s">
        <v>30598</v>
      </c>
      <c r="B1182" s="9" t="s">
        <v>11655</v>
      </c>
      <c r="C1182" s="8" t="s">
        <v>30599</v>
      </c>
      <c r="D1182" s="9" t="b">
        <v>0</v>
      </c>
      <c r="E1182" s="9"/>
    </row>
    <row r="1183" ht="15.75" customHeight="1">
      <c r="A1183" s="9" t="s">
        <v>30600</v>
      </c>
      <c r="B1183" s="9" t="s">
        <v>11655</v>
      </c>
      <c r="C1183" s="8" t="s">
        <v>30601</v>
      </c>
      <c r="D1183" s="9" t="b">
        <v>0</v>
      </c>
      <c r="E1183" s="9"/>
    </row>
    <row r="1184" ht="15.75" customHeight="1">
      <c r="A1184" s="9" t="s">
        <v>30602</v>
      </c>
      <c r="B1184" s="9" t="s">
        <v>11655</v>
      </c>
      <c r="C1184" s="8" t="s">
        <v>30603</v>
      </c>
      <c r="D1184" s="9" t="b">
        <v>1</v>
      </c>
      <c r="E1184" s="9"/>
    </row>
    <row r="1185" ht="15.75" customHeight="1">
      <c r="A1185" s="9" t="s">
        <v>30604</v>
      </c>
      <c r="B1185" s="9" t="s">
        <v>11655</v>
      </c>
      <c r="C1185" s="8" t="s">
        <v>30605</v>
      </c>
      <c r="D1185" s="9" t="b">
        <v>0</v>
      </c>
      <c r="E1185" s="9"/>
    </row>
    <row r="1186" ht="15.75" customHeight="1">
      <c r="A1186" s="9" t="s">
        <v>30606</v>
      </c>
      <c r="B1186" s="9" t="s">
        <v>11813</v>
      </c>
      <c r="C1186" s="8" t="s">
        <v>30607</v>
      </c>
      <c r="D1186" s="9" t="b">
        <v>0</v>
      </c>
      <c r="E1186" s="9"/>
    </row>
    <row r="1187" ht="15.75" customHeight="1">
      <c r="A1187" s="9"/>
      <c r="B1187" s="9"/>
      <c r="C1187" s="9"/>
      <c r="D1187" s="9"/>
      <c r="E1187" s="9"/>
    </row>
    <row r="1188" ht="15.75" customHeight="1">
      <c r="A1188" s="9" t="s">
        <v>30608</v>
      </c>
      <c r="B1188" s="9" t="s">
        <v>11813</v>
      </c>
      <c r="C1188" s="8" t="s">
        <v>30609</v>
      </c>
      <c r="D1188" s="9" t="b">
        <v>0</v>
      </c>
      <c r="E1188" s="9"/>
    </row>
    <row r="1189" ht="15.75" customHeight="1">
      <c r="A1189" s="9" t="s">
        <v>30610</v>
      </c>
      <c r="B1189" s="9" t="s">
        <v>11813</v>
      </c>
      <c r="C1189" s="8" t="s">
        <v>30611</v>
      </c>
      <c r="D1189" s="9" t="b">
        <v>0</v>
      </c>
      <c r="E1189" s="9"/>
    </row>
    <row r="1190" ht="15.75" customHeight="1">
      <c r="A1190" s="9"/>
      <c r="B1190" s="9"/>
      <c r="C1190" s="9"/>
      <c r="D1190" s="9"/>
      <c r="E1190" s="9"/>
    </row>
    <row r="1191" ht="15.75" customHeight="1">
      <c r="A1191" s="9"/>
      <c r="B1191" s="9"/>
      <c r="C1191" s="9"/>
      <c r="D1191" s="9"/>
      <c r="E1191" s="9"/>
    </row>
    <row r="1192" ht="15.75" customHeight="1">
      <c r="A1192" s="9"/>
      <c r="B1192" s="9"/>
      <c r="C1192" s="9"/>
      <c r="D1192" s="9"/>
      <c r="E1192" s="9"/>
    </row>
    <row r="1193" ht="15.75" customHeight="1">
      <c r="A1193" s="9" t="s">
        <v>30612</v>
      </c>
      <c r="B1193" s="9" t="s">
        <v>11813</v>
      </c>
      <c r="C1193" s="8" t="s">
        <v>30613</v>
      </c>
      <c r="D1193" s="9" t="b">
        <v>0</v>
      </c>
      <c r="E1193" s="9"/>
    </row>
    <row r="1194" ht="15.75" customHeight="1">
      <c r="A1194" s="9" t="s">
        <v>30614</v>
      </c>
      <c r="B1194" s="9" t="s">
        <v>11813</v>
      </c>
      <c r="C1194" s="8" t="s">
        <v>30615</v>
      </c>
      <c r="D1194" s="9" t="b">
        <v>0</v>
      </c>
      <c r="E1194" s="9"/>
    </row>
    <row r="1195" ht="15.75" customHeight="1">
      <c r="A1195" s="9" t="s">
        <v>30616</v>
      </c>
      <c r="B1195" s="9" t="s">
        <v>11813</v>
      </c>
      <c r="C1195" s="8" t="s">
        <v>30617</v>
      </c>
      <c r="D1195" s="9" t="b">
        <v>0</v>
      </c>
      <c r="E1195" s="9"/>
    </row>
    <row r="1196" ht="15.75" customHeight="1">
      <c r="A1196" s="9"/>
      <c r="B1196" s="9"/>
      <c r="C1196" s="9"/>
      <c r="D1196" s="9"/>
      <c r="E1196" s="9"/>
    </row>
    <row r="1197" ht="15.75" customHeight="1">
      <c r="A1197" s="9"/>
      <c r="B1197" s="9"/>
      <c r="C1197" s="9"/>
      <c r="D1197" s="9"/>
      <c r="E1197" s="9"/>
    </row>
    <row r="1198" ht="15.75" customHeight="1">
      <c r="A1198" s="9" t="s">
        <v>30618</v>
      </c>
      <c r="B1198" s="9" t="s">
        <v>11836</v>
      </c>
      <c r="C1198" s="8" t="s">
        <v>30619</v>
      </c>
      <c r="D1198" s="9" t="b">
        <v>0</v>
      </c>
      <c r="E1198" s="9"/>
    </row>
    <row r="1199" ht="15.75" customHeight="1">
      <c r="A1199" s="9" t="s">
        <v>30620</v>
      </c>
      <c r="B1199" s="9" t="s">
        <v>11836</v>
      </c>
      <c r="C1199" s="8" t="s">
        <v>30621</v>
      </c>
      <c r="D1199" s="9" t="b">
        <v>0</v>
      </c>
      <c r="E1199" s="9"/>
    </row>
    <row r="1200" ht="15.75" customHeight="1">
      <c r="A1200" s="9" t="s">
        <v>30622</v>
      </c>
      <c r="B1200" s="9" t="s">
        <v>11836</v>
      </c>
      <c r="C1200" s="8" t="s">
        <v>30623</v>
      </c>
      <c r="D1200" s="9" t="b">
        <v>0</v>
      </c>
      <c r="E1200" s="9"/>
    </row>
    <row r="1201" ht="15.75" customHeight="1">
      <c r="A1201" s="9" t="s">
        <v>30624</v>
      </c>
      <c r="B1201" s="9" t="s">
        <v>11836</v>
      </c>
      <c r="C1201" s="8" t="s">
        <v>30625</v>
      </c>
      <c r="D1201" s="9" t="b">
        <v>0</v>
      </c>
      <c r="E1201" s="9"/>
    </row>
    <row r="1202" ht="15.75" customHeight="1">
      <c r="A1202" s="9" t="s">
        <v>30626</v>
      </c>
      <c r="B1202" s="9" t="s">
        <v>11836</v>
      </c>
      <c r="C1202" s="8" t="s">
        <v>30627</v>
      </c>
      <c r="D1202" s="9" t="b">
        <v>0</v>
      </c>
      <c r="E1202" s="9"/>
    </row>
    <row r="1203" ht="15.75" customHeight="1">
      <c r="A1203" s="9" t="s">
        <v>30628</v>
      </c>
      <c r="B1203" s="9" t="s">
        <v>11836</v>
      </c>
      <c r="C1203" s="8" t="s">
        <v>30629</v>
      </c>
      <c r="D1203" s="9" t="b">
        <v>0</v>
      </c>
      <c r="E1203" s="9"/>
    </row>
    <row r="1204" ht="15.75" customHeight="1">
      <c r="A1204" s="9" t="s">
        <v>30630</v>
      </c>
      <c r="B1204" s="9" t="s">
        <v>11836</v>
      </c>
      <c r="C1204" s="8" t="s">
        <v>30631</v>
      </c>
      <c r="D1204" s="9" t="b">
        <v>1</v>
      </c>
      <c r="E1204" s="9"/>
    </row>
    <row r="1205" ht="15.75" customHeight="1">
      <c r="A1205" s="9" t="s">
        <v>30632</v>
      </c>
      <c r="B1205" s="9" t="s">
        <v>11836</v>
      </c>
      <c r="C1205" s="8" t="s">
        <v>30633</v>
      </c>
      <c r="D1205" s="9" t="b">
        <v>0</v>
      </c>
      <c r="E1205" s="9"/>
    </row>
    <row r="1206" ht="15.75" customHeight="1">
      <c r="A1206" s="9" t="s">
        <v>30634</v>
      </c>
      <c r="B1206" s="9" t="s">
        <v>11836</v>
      </c>
      <c r="C1206" s="8" t="s">
        <v>30635</v>
      </c>
      <c r="D1206" s="9" t="b">
        <v>0</v>
      </c>
      <c r="E1206" s="9"/>
    </row>
    <row r="1207" ht="15.75" customHeight="1">
      <c r="A1207" s="9" t="s">
        <v>30636</v>
      </c>
      <c r="B1207" s="9" t="s">
        <v>6239</v>
      </c>
      <c r="C1207" s="8" t="s">
        <v>30637</v>
      </c>
      <c r="D1207" s="9" t="b">
        <v>1</v>
      </c>
      <c r="E1207" s="9"/>
    </row>
    <row r="1208" ht="15.75" customHeight="1">
      <c r="A1208" s="9" t="s">
        <v>30638</v>
      </c>
      <c r="B1208" s="9" t="s">
        <v>6239</v>
      </c>
      <c r="C1208" s="8" t="s">
        <v>30639</v>
      </c>
      <c r="D1208" s="9" t="b">
        <v>0</v>
      </c>
      <c r="E1208" s="9"/>
    </row>
    <row r="1209" ht="15.75" customHeight="1">
      <c r="A1209" s="9"/>
      <c r="B1209" s="9"/>
      <c r="C1209" s="9"/>
      <c r="D1209" s="9"/>
      <c r="E1209" s="9"/>
    </row>
    <row r="1210" ht="15.75" customHeight="1">
      <c r="A1210" s="9" t="s">
        <v>30640</v>
      </c>
      <c r="B1210" s="9" t="s">
        <v>6239</v>
      </c>
      <c r="C1210" s="8" t="s">
        <v>30641</v>
      </c>
      <c r="D1210" s="9" t="b">
        <v>0</v>
      </c>
      <c r="E1210" s="9"/>
    </row>
    <row r="1211" ht="15.75" customHeight="1">
      <c r="A1211" s="9" t="s">
        <v>30642</v>
      </c>
      <c r="B1211" s="9" t="s">
        <v>6239</v>
      </c>
      <c r="C1211" s="8" t="s">
        <v>30643</v>
      </c>
      <c r="D1211" s="9" t="b">
        <v>0</v>
      </c>
      <c r="E1211" s="9"/>
    </row>
    <row r="1212" ht="15.75" customHeight="1">
      <c r="A1212" s="52" t="s">
        <v>30644</v>
      </c>
      <c r="B1212" s="9" t="s">
        <v>6239</v>
      </c>
      <c r="C1212" s="8" t="s">
        <v>30645</v>
      </c>
      <c r="D1212" s="9" t="b">
        <v>0</v>
      </c>
      <c r="E1212" s="9"/>
    </row>
    <row r="1213" ht="15.75" customHeight="1">
      <c r="A1213" s="9" t="s">
        <v>30646</v>
      </c>
      <c r="B1213" s="9" t="s">
        <v>10608</v>
      </c>
      <c r="C1213" s="8" t="s">
        <v>30647</v>
      </c>
      <c r="D1213" s="9" t="b">
        <v>1</v>
      </c>
      <c r="E1213" s="9"/>
    </row>
    <row r="1214" ht="15.75" customHeight="1">
      <c r="A1214" s="9" t="s">
        <v>30648</v>
      </c>
      <c r="B1214" s="9" t="s">
        <v>11947</v>
      </c>
      <c r="C1214" s="8" t="s">
        <v>30649</v>
      </c>
      <c r="D1214" s="9" t="b">
        <v>1</v>
      </c>
      <c r="E1214" s="9"/>
    </row>
    <row r="1215" ht="15.75" customHeight="1">
      <c r="A1215" s="9" t="s">
        <v>30650</v>
      </c>
      <c r="B1215" s="9" t="s">
        <v>11947</v>
      </c>
      <c r="C1215" s="8" t="s">
        <v>30651</v>
      </c>
      <c r="D1215" s="9" t="b">
        <v>0</v>
      </c>
      <c r="E1215" s="9"/>
    </row>
    <row r="1216" ht="15.75" customHeight="1">
      <c r="A1216" s="9" t="s">
        <v>30652</v>
      </c>
      <c r="B1216" s="9" t="s">
        <v>11947</v>
      </c>
      <c r="C1216" s="8" t="s">
        <v>30653</v>
      </c>
      <c r="D1216" s="9" t="b">
        <v>0</v>
      </c>
      <c r="E1216" s="9"/>
    </row>
    <row r="1217" ht="15.75" customHeight="1">
      <c r="A1217" s="9" t="s">
        <v>30654</v>
      </c>
      <c r="B1217" s="9" t="s">
        <v>11947</v>
      </c>
      <c r="C1217" s="8" t="s">
        <v>30655</v>
      </c>
      <c r="D1217" s="9" t="b">
        <v>0</v>
      </c>
      <c r="E1217" s="9"/>
    </row>
    <row r="1218" ht="15.75" customHeight="1">
      <c r="A1218" s="9" t="s">
        <v>30656</v>
      </c>
      <c r="B1218" s="9" t="s">
        <v>11947</v>
      </c>
      <c r="C1218" s="8" t="s">
        <v>30657</v>
      </c>
      <c r="D1218" s="9" t="b">
        <v>0</v>
      </c>
      <c r="E1218" s="9"/>
    </row>
    <row r="1219" ht="15.75" customHeight="1">
      <c r="A1219" s="9" t="s">
        <v>30658</v>
      </c>
      <c r="B1219" s="9" t="s">
        <v>11947</v>
      </c>
      <c r="C1219" s="8" t="s">
        <v>30659</v>
      </c>
      <c r="D1219" s="9" t="b">
        <v>0</v>
      </c>
      <c r="E1219" s="9"/>
    </row>
    <row r="1220" ht="15.75" customHeight="1">
      <c r="A1220" s="9" t="s">
        <v>30660</v>
      </c>
      <c r="B1220" s="9" t="s">
        <v>12030</v>
      </c>
      <c r="C1220" s="8" t="s">
        <v>30661</v>
      </c>
      <c r="D1220" s="9" t="b">
        <v>1</v>
      </c>
      <c r="E1220" s="9"/>
    </row>
    <row r="1221" ht="15.75" customHeight="1">
      <c r="A1221" s="9" t="s">
        <v>30662</v>
      </c>
      <c r="B1221" s="9" t="s">
        <v>12030</v>
      </c>
      <c r="C1221" s="8" t="s">
        <v>30663</v>
      </c>
      <c r="D1221" s="9" t="b">
        <v>0</v>
      </c>
      <c r="E1221" s="9"/>
    </row>
    <row r="1222" ht="15.75" customHeight="1">
      <c r="A1222" s="9" t="s">
        <v>30664</v>
      </c>
      <c r="B1222" s="9" t="s">
        <v>12030</v>
      </c>
      <c r="C1222" s="8" t="s">
        <v>30665</v>
      </c>
      <c r="D1222" s="9" t="b">
        <v>0</v>
      </c>
      <c r="E1222" s="9"/>
    </row>
    <row r="1223" ht="15.75" customHeight="1">
      <c r="A1223" s="9" t="s">
        <v>30666</v>
      </c>
      <c r="B1223" s="9" t="s">
        <v>12030</v>
      </c>
      <c r="C1223" s="8" t="s">
        <v>30667</v>
      </c>
      <c r="D1223" s="9" t="b">
        <v>0</v>
      </c>
      <c r="E1223" s="9"/>
    </row>
    <row r="1224" ht="15.75" customHeight="1">
      <c r="A1224" s="9" t="s">
        <v>30668</v>
      </c>
      <c r="B1224" s="9" t="s">
        <v>12030</v>
      </c>
      <c r="C1224" s="8" t="s">
        <v>30669</v>
      </c>
      <c r="D1224" s="9" t="b">
        <v>0</v>
      </c>
      <c r="E1224" s="9"/>
    </row>
    <row r="1225" ht="15.75" customHeight="1">
      <c r="A1225" s="9" t="s">
        <v>30670</v>
      </c>
      <c r="B1225" s="9" t="s">
        <v>9087</v>
      </c>
      <c r="C1225" s="8" t="s">
        <v>30671</v>
      </c>
      <c r="D1225" s="9" t="b">
        <v>0</v>
      </c>
      <c r="E1225" s="9"/>
    </row>
    <row r="1226" ht="15.75" customHeight="1">
      <c r="A1226" s="9" t="s">
        <v>30672</v>
      </c>
      <c r="B1226" s="9" t="s">
        <v>9087</v>
      </c>
      <c r="C1226" s="8" t="s">
        <v>30673</v>
      </c>
      <c r="D1226" s="9" t="b">
        <v>1</v>
      </c>
      <c r="E1226" s="9"/>
    </row>
    <row r="1227" ht="15.75" customHeight="1">
      <c r="A1227" s="9" t="s">
        <v>30674</v>
      </c>
      <c r="B1227" s="9" t="s">
        <v>9087</v>
      </c>
      <c r="C1227" s="8" t="s">
        <v>30675</v>
      </c>
      <c r="D1227" s="9" t="b">
        <v>0</v>
      </c>
      <c r="E1227" s="9"/>
    </row>
    <row r="1228" ht="15.75" customHeight="1">
      <c r="A1228" s="9" t="s">
        <v>30676</v>
      </c>
      <c r="B1228" s="9" t="s">
        <v>9087</v>
      </c>
      <c r="C1228" s="8" t="s">
        <v>30677</v>
      </c>
      <c r="D1228" s="9" t="b">
        <v>0</v>
      </c>
      <c r="E1228" s="9"/>
    </row>
    <row r="1229" ht="15.75" customHeight="1">
      <c r="A1229" s="9" t="s">
        <v>30678</v>
      </c>
      <c r="B1229" s="9" t="s">
        <v>9087</v>
      </c>
      <c r="C1229" s="8" t="s">
        <v>30679</v>
      </c>
      <c r="D1229" s="9" t="b">
        <v>0</v>
      </c>
      <c r="E1229" s="9"/>
    </row>
    <row r="1230" ht="15.75" customHeight="1">
      <c r="A1230" s="9" t="s">
        <v>30680</v>
      </c>
      <c r="B1230" s="9" t="s">
        <v>4952</v>
      </c>
      <c r="C1230" s="8" t="s">
        <v>30681</v>
      </c>
      <c r="D1230" s="9" t="b">
        <v>0</v>
      </c>
      <c r="E1230" s="9"/>
    </row>
    <row r="1231" ht="15.75" customHeight="1">
      <c r="A1231" s="9" t="s">
        <v>30682</v>
      </c>
      <c r="B1231" s="9" t="s">
        <v>4952</v>
      </c>
      <c r="C1231" s="8" t="s">
        <v>30683</v>
      </c>
      <c r="D1231" s="9" t="b">
        <v>0</v>
      </c>
      <c r="E1231" s="9"/>
    </row>
    <row r="1232" ht="15.75" customHeight="1">
      <c r="A1232" s="9" t="s">
        <v>30684</v>
      </c>
      <c r="B1232" s="9" t="s">
        <v>4952</v>
      </c>
      <c r="C1232" s="8" t="s">
        <v>30685</v>
      </c>
      <c r="D1232" s="9" t="b">
        <v>0</v>
      </c>
      <c r="E1232" s="9"/>
    </row>
    <row r="1233" ht="15.75" customHeight="1">
      <c r="A1233" s="9" t="s">
        <v>30686</v>
      </c>
      <c r="B1233" s="9" t="s">
        <v>4952</v>
      </c>
      <c r="C1233" s="8" t="s">
        <v>30687</v>
      </c>
      <c r="D1233" s="9" t="b">
        <v>0</v>
      </c>
      <c r="E1233" s="9"/>
    </row>
    <row r="1234" ht="15.75" customHeight="1">
      <c r="A1234" s="9" t="s">
        <v>30688</v>
      </c>
      <c r="B1234" s="9" t="s">
        <v>4952</v>
      </c>
      <c r="C1234" s="8" t="s">
        <v>30689</v>
      </c>
      <c r="D1234" s="9" t="b">
        <v>0</v>
      </c>
      <c r="E1234" s="9"/>
    </row>
    <row r="1235" ht="15.75" customHeight="1">
      <c r="A1235" s="9" t="s">
        <v>30690</v>
      </c>
      <c r="B1235" s="9" t="s">
        <v>4952</v>
      </c>
      <c r="C1235" s="8" t="s">
        <v>30691</v>
      </c>
      <c r="D1235" s="9" t="b">
        <v>0</v>
      </c>
      <c r="E1235" s="9"/>
    </row>
    <row r="1236" ht="15.75" customHeight="1">
      <c r="A1236" s="9" t="s">
        <v>30692</v>
      </c>
      <c r="B1236" s="9" t="s">
        <v>4952</v>
      </c>
      <c r="C1236" s="8" t="s">
        <v>30693</v>
      </c>
      <c r="D1236" s="9" t="b">
        <v>0</v>
      </c>
      <c r="E1236" s="9"/>
    </row>
    <row r="1237" ht="15.75" customHeight="1">
      <c r="A1237" s="9" t="s">
        <v>30694</v>
      </c>
      <c r="B1237" s="9" t="s">
        <v>4952</v>
      </c>
      <c r="C1237" s="8" t="s">
        <v>30695</v>
      </c>
      <c r="D1237" s="9" t="b">
        <v>0</v>
      </c>
      <c r="E1237" s="9"/>
    </row>
    <row r="1238" ht="15.75" customHeight="1">
      <c r="A1238" s="9" t="s">
        <v>30696</v>
      </c>
      <c r="B1238" s="9" t="s">
        <v>4952</v>
      </c>
      <c r="C1238" s="8" t="s">
        <v>30697</v>
      </c>
      <c r="D1238" s="9" t="b">
        <v>1</v>
      </c>
      <c r="E1238" s="9"/>
    </row>
    <row r="1239" ht="15.75" customHeight="1">
      <c r="A1239" s="9" t="s">
        <v>30698</v>
      </c>
      <c r="B1239" s="9" t="s">
        <v>4935</v>
      </c>
      <c r="C1239" s="8" t="s">
        <v>30699</v>
      </c>
      <c r="D1239" s="9" t="b">
        <v>0</v>
      </c>
      <c r="E1239" s="9"/>
    </row>
    <row r="1240" ht="15.75" customHeight="1">
      <c r="A1240" s="9" t="s">
        <v>30700</v>
      </c>
      <c r="B1240" s="9" t="s">
        <v>4935</v>
      </c>
      <c r="C1240" s="8" t="s">
        <v>30701</v>
      </c>
      <c r="D1240" s="9" t="b">
        <v>1</v>
      </c>
      <c r="E1240" s="9"/>
    </row>
    <row r="1241" ht="15.75" customHeight="1">
      <c r="A1241" s="9" t="s">
        <v>30702</v>
      </c>
      <c r="B1241" s="9" t="s">
        <v>4935</v>
      </c>
      <c r="C1241" s="8" t="s">
        <v>30703</v>
      </c>
      <c r="D1241" s="9" t="b">
        <v>0</v>
      </c>
      <c r="E1241" s="9"/>
    </row>
    <row r="1242" ht="15.75" customHeight="1">
      <c r="A1242" s="9" t="s">
        <v>30704</v>
      </c>
      <c r="B1242" s="9" t="s">
        <v>4935</v>
      </c>
      <c r="C1242" s="8" t="s">
        <v>30705</v>
      </c>
      <c r="D1242" s="9" t="b">
        <v>0</v>
      </c>
      <c r="E1242" s="9"/>
    </row>
    <row r="1243" ht="15.75" customHeight="1">
      <c r="A1243" s="9" t="s">
        <v>30706</v>
      </c>
      <c r="B1243" s="9" t="s">
        <v>4935</v>
      </c>
      <c r="C1243" s="8" t="s">
        <v>30707</v>
      </c>
      <c r="D1243" s="9" t="b">
        <v>0</v>
      </c>
      <c r="E1243" s="9"/>
    </row>
    <row r="1244" ht="15.75" customHeight="1">
      <c r="A1244" s="52" t="s">
        <v>30708</v>
      </c>
      <c r="B1244" s="9" t="s">
        <v>4935</v>
      </c>
      <c r="C1244" s="8" t="s">
        <v>30709</v>
      </c>
      <c r="D1244" s="9" t="b">
        <v>0</v>
      </c>
      <c r="E1244" s="9"/>
    </row>
    <row r="1245" ht="15.75" customHeight="1">
      <c r="A1245" s="9" t="s">
        <v>30710</v>
      </c>
      <c r="B1245" s="9" t="s">
        <v>4935</v>
      </c>
      <c r="C1245" s="8" t="s">
        <v>30711</v>
      </c>
      <c r="D1245" s="9" t="b">
        <v>0</v>
      </c>
      <c r="E1245" s="9"/>
    </row>
    <row r="1246" ht="15.75" customHeight="1">
      <c r="A1246" s="9" t="s">
        <v>30712</v>
      </c>
      <c r="B1246" s="9" t="s">
        <v>11875</v>
      </c>
      <c r="C1246" s="8" t="s">
        <v>30713</v>
      </c>
      <c r="D1246" s="9" t="b">
        <v>0</v>
      </c>
      <c r="E1246" s="9"/>
    </row>
    <row r="1247" ht="15.75" customHeight="1">
      <c r="A1247" s="9" t="s">
        <v>30714</v>
      </c>
      <c r="B1247" s="9" t="s">
        <v>11875</v>
      </c>
      <c r="C1247" s="8" t="s">
        <v>30715</v>
      </c>
      <c r="D1247" s="9" t="b">
        <v>0</v>
      </c>
      <c r="E1247" s="9"/>
    </row>
    <row r="1248" ht="15.75" customHeight="1">
      <c r="A1248" s="9" t="s">
        <v>30716</v>
      </c>
      <c r="B1248" s="9" t="s">
        <v>11875</v>
      </c>
      <c r="C1248" s="8" t="s">
        <v>30717</v>
      </c>
      <c r="D1248" s="9" t="b">
        <v>0</v>
      </c>
      <c r="E1248" s="9"/>
    </row>
    <row r="1249" ht="15.75" customHeight="1">
      <c r="A1249" s="9" t="s">
        <v>30718</v>
      </c>
      <c r="B1249" s="9" t="s">
        <v>11875</v>
      </c>
      <c r="C1249" s="8" t="s">
        <v>30719</v>
      </c>
      <c r="D1249" s="9" t="b">
        <v>0</v>
      </c>
      <c r="E1249" s="9"/>
    </row>
    <row r="1250" ht="15.75" customHeight="1">
      <c r="A1250" s="9" t="s">
        <v>30720</v>
      </c>
      <c r="B1250" s="9" t="s">
        <v>11875</v>
      </c>
      <c r="C1250" s="8" t="s">
        <v>30721</v>
      </c>
      <c r="D1250" s="9" t="b">
        <v>0</v>
      </c>
      <c r="E1250" s="9"/>
    </row>
    <row r="1251" ht="15.75" customHeight="1">
      <c r="A1251" s="9" t="s">
        <v>30722</v>
      </c>
      <c r="B1251" s="9" t="s">
        <v>11875</v>
      </c>
      <c r="C1251" s="8" t="s">
        <v>30723</v>
      </c>
      <c r="D1251" s="9" t="b">
        <v>0</v>
      </c>
      <c r="E1251" s="9"/>
    </row>
    <row r="1252" ht="15.75" customHeight="1">
      <c r="A1252" s="9" t="s">
        <v>30724</v>
      </c>
      <c r="B1252" s="9" t="s">
        <v>11875</v>
      </c>
      <c r="C1252" s="8" t="s">
        <v>30725</v>
      </c>
      <c r="D1252" s="9" t="b">
        <v>0</v>
      </c>
      <c r="E1252" s="9"/>
    </row>
    <row r="1253" ht="15.75" customHeight="1">
      <c r="A1253" s="9" t="s">
        <v>30726</v>
      </c>
      <c r="B1253" s="9" t="s">
        <v>11875</v>
      </c>
      <c r="C1253" s="8" t="s">
        <v>30727</v>
      </c>
      <c r="D1253" s="9" t="b">
        <v>0</v>
      </c>
      <c r="E1253" s="9"/>
    </row>
    <row r="1254" ht="15.75" customHeight="1">
      <c r="A1254" s="9" t="s">
        <v>30728</v>
      </c>
      <c r="B1254" s="9" t="s">
        <v>11875</v>
      </c>
      <c r="C1254" s="8" t="s">
        <v>30729</v>
      </c>
      <c r="D1254" s="9" t="b">
        <v>1</v>
      </c>
      <c r="E1254" s="9"/>
    </row>
    <row r="1255" ht="15.75" customHeight="1">
      <c r="A1255" s="9" t="s">
        <v>30730</v>
      </c>
      <c r="B1255" s="9" t="s">
        <v>3793</v>
      </c>
      <c r="C1255" s="8" t="s">
        <v>30731</v>
      </c>
      <c r="D1255" s="9" t="b">
        <v>0</v>
      </c>
      <c r="E1255" s="9"/>
    </row>
    <row r="1256" ht="15.75" customHeight="1">
      <c r="A1256" s="9" t="s">
        <v>30732</v>
      </c>
      <c r="B1256" s="9" t="s">
        <v>3793</v>
      </c>
      <c r="C1256" s="8" t="s">
        <v>30733</v>
      </c>
      <c r="D1256" s="9" t="b">
        <v>0</v>
      </c>
      <c r="E1256" s="9"/>
    </row>
    <row r="1257" ht="15.75" customHeight="1">
      <c r="A1257" s="9" t="s">
        <v>30734</v>
      </c>
      <c r="B1257" s="9" t="s">
        <v>3793</v>
      </c>
      <c r="C1257" s="8" t="s">
        <v>30735</v>
      </c>
      <c r="D1257" s="9" t="b">
        <v>0</v>
      </c>
      <c r="E1257" s="9"/>
    </row>
    <row r="1258" ht="15.75" customHeight="1">
      <c r="A1258" s="9" t="s">
        <v>30736</v>
      </c>
      <c r="B1258" s="9" t="s">
        <v>3793</v>
      </c>
      <c r="C1258" s="8" t="s">
        <v>30737</v>
      </c>
      <c r="D1258" s="9" t="b">
        <v>1</v>
      </c>
      <c r="E1258" s="9"/>
    </row>
    <row r="1259" ht="15.75" customHeight="1">
      <c r="A1259" s="9" t="s">
        <v>30738</v>
      </c>
      <c r="B1259" s="9" t="s">
        <v>2568</v>
      </c>
      <c r="C1259" s="8" t="s">
        <v>30739</v>
      </c>
      <c r="D1259" s="9" t="b">
        <v>0</v>
      </c>
      <c r="E1259" s="9"/>
    </row>
    <row r="1260" ht="15.75" customHeight="1">
      <c r="A1260" s="9" t="s">
        <v>30740</v>
      </c>
      <c r="B1260" s="9" t="s">
        <v>2568</v>
      </c>
      <c r="C1260" s="8" t="s">
        <v>30741</v>
      </c>
      <c r="D1260" s="9" t="b">
        <v>0</v>
      </c>
      <c r="E1260" s="9"/>
    </row>
    <row r="1261" ht="15.75" customHeight="1">
      <c r="A1261" s="52" t="s">
        <v>30742</v>
      </c>
      <c r="B1261" s="9" t="s">
        <v>2568</v>
      </c>
      <c r="C1261" s="8" t="s">
        <v>30743</v>
      </c>
      <c r="D1261" s="9" t="b">
        <v>1</v>
      </c>
      <c r="E1261" s="9"/>
    </row>
    <row r="1262" ht="15.75" customHeight="1">
      <c r="A1262" s="9" t="s">
        <v>30744</v>
      </c>
      <c r="B1262" s="9" t="s">
        <v>2568</v>
      </c>
      <c r="C1262" s="8" t="s">
        <v>30745</v>
      </c>
      <c r="D1262" s="9" t="b">
        <v>0</v>
      </c>
      <c r="E1262" s="9"/>
    </row>
    <row r="1263" ht="15.75" customHeight="1">
      <c r="A1263" s="9" t="s">
        <v>30746</v>
      </c>
      <c r="B1263" s="9" t="s">
        <v>9972</v>
      </c>
      <c r="C1263" s="8" t="s">
        <v>30747</v>
      </c>
      <c r="D1263" s="9" t="b">
        <v>1</v>
      </c>
      <c r="E1263" s="9"/>
    </row>
    <row r="1264" ht="15.75" customHeight="1">
      <c r="A1264" s="9" t="s">
        <v>30748</v>
      </c>
      <c r="B1264" s="9" t="s">
        <v>9972</v>
      </c>
      <c r="C1264" s="8" t="s">
        <v>30749</v>
      </c>
      <c r="D1264" s="9" t="b">
        <v>0</v>
      </c>
      <c r="E1264" s="9"/>
    </row>
    <row r="1265" ht="15.75" customHeight="1">
      <c r="A1265" s="9" t="s">
        <v>30750</v>
      </c>
      <c r="B1265" s="9" t="s">
        <v>9972</v>
      </c>
      <c r="C1265" s="8" t="s">
        <v>30751</v>
      </c>
      <c r="D1265" s="9" t="b">
        <v>0</v>
      </c>
      <c r="E1265" s="9"/>
    </row>
    <row r="1266" ht="15.75" customHeight="1">
      <c r="A1266" s="9" t="s">
        <v>30752</v>
      </c>
      <c r="B1266" s="9" t="s">
        <v>8549</v>
      </c>
      <c r="C1266" s="8" t="s">
        <v>30753</v>
      </c>
      <c r="D1266" s="9" t="b">
        <v>0</v>
      </c>
      <c r="E1266" s="9"/>
    </row>
    <row r="1267" ht="15.75" customHeight="1">
      <c r="A1267" s="9" t="s">
        <v>30754</v>
      </c>
      <c r="B1267" s="9" t="s">
        <v>8549</v>
      </c>
      <c r="C1267" s="8" t="s">
        <v>30755</v>
      </c>
      <c r="D1267" s="9" t="b">
        <v>1</v>
      </c>
      <c r="E1267" s="9"/>
    </row>
    <row r="1268" ht="15.75" customHeight="1">
      <c r="A1268" s="9" t="s">
        <v>30756</v>
      </c>
      <c r="B1268" s="9" t="s">
        <v>8549</v>
      </c>
      <c r="C1268" s="8" t="s">
        <v>30757</v>
      </c>
      <c r="D1268" s="9" t="b">
        <v>0</v>
      </c>
      <c r="E1268" s="9"/>
    </row>
    <row r="1269" ht="15.75" customHeight="1">
      <c r="A1269" s="52" t="s">
        <v>30758</v>
      </c>
      <c r="B1269" s="9" t="s">
        <v>9683</v>
      </c>
      <c r="C1269" s="8" t="s">
        <v>30759</v>
      </c>
      <c r="D1269" s="9" t="b">
        <v>1</v>
      </c>
      <c r="E1269" s="9"/>
    </row>
    <row r="1270" ht="15.75" customHeight="1">
      <c r="A1270" s="9" t="s">
        <v>30760</v>
      </c>
      <c r="B1270" s="9" t="s">
        <v>9683</v>
      </c>
      <c r="C1270" s="8" t="s">
        <v>30761</v>
      </c>
      <c r="D1270" s="9" t="b">
        <v>0</v>
      </c>
      <c r="E1270" s="9"/>
    </row>
    <row r="1271" ht="15.75" customHeight="1">
      <c r="A1271" s="9" t="s">
        <v>30762</v>
      </c>
      <c r="B1271" s="9" t="s">
        <v>9683</v>
      </c>
      <c r="C1271" s="8" t="s">
        <v>30763</v>
      </c>
      <c r="D1271" s="9" t="b">
        <v>0</v>
      </c>
      <c r="E1271" s="9"/>
    </row>
    <row r="1272" ht="15.75" customHeight="1">
      <c r="A1272" s="9" t="s">
        <v>30764</v>
      </c>
      <c r="B1272" s="9" t="s">
        <v>9577</v>
      </c>
      <c r="C1272" s="8" t="s">
        <v>30765</v>
      </c>
      <c r="D1272" s="9" t="b">
        <v>1</v>
      </c>
      <c r="E1272" s="9"/>
    </row>
    <row r="1273" ht="15.75" customHeight="1">
      <c r="A1273" s="9" t="s">
        <v>30766</v>
      </c>
      <c r="B1273" s="9" t="s">
        <v>10591</v>
      </c>
      <c r="C1273" s="8" t="s">
        <v>30767</v>
      </c>
      <c r="D1273" s="9" t="b">
        <v>1</v>
      </c>
      <c r="E1273" s="9"/>
    </row>
    <row r="1274" ht="15.75" customHeight="1">
      <c r="A1274" s="9" t="s">
        <v>30768</v>
      </c>
      <c r="B1274" s="9" t="s">
        <v>10591</v>
      </c>
      <c r="C1274" s="8" t="s">
        <v>30769</v>
      </c>
      <c r="D1274" s="9" t="b">
        <v>0</v>
      </c>
      <c r="E1274" s="9"/>
    </row>
    <row r="1275" ht="15.75" customHeight="1">
      <c r="A1275" s="9" t="s">
        <v>30770</v>
      </c>
      <c r="B1275" s="9" t="s">
        <v>10591</v>
      </c>
      <c r="C1275" s="8" t="s">
        <v>30771</v>
      </c>
      <c r="D1275" s="9" t="b">
        <v>0</v>
      </c>
      <c r="E1275" s="9"/>
    </row>
    <row r="1276" ht="15.75" customHeight="1">
      <c r="A1276" s="9" t="s">
        <v>30772</v>
      </c>
      <c r="B1276" s="9" t="s">
        <v>10591</v>
      </c>
      <c r="C1276" s="8" t="s">
        <v>30773</v>
      </c>
      <c r="D1276" s="9" t="b">
        <v>0</v>
      </c>
      <c r="E1276" s="9"/>
    </row>
    <row r="1277" ht="15.75" customHeight="1">
      <c r="A1277" s="9" t="s">
        <v>30774</v>
      </c>
      <c r="B1277" s="9" t="s">
        <v>11777</v>
      </c>
      <c r="C1277" s="8" t="s">
        <v>30775</v>
      </c>
      <c r="D1277" s="9" t="b">
        <v>1</v>
      </c>
      <c r="E1277" s="9"/>
    </row>
    <row r="1278" ht="15.75" customHeight="1">
      <c r="A1278" s="9" t="s">
        <v>30776</v>
      </c>
      <c r="B1278" s="9" t="s">
        <v>11777</v>
      </c>
      <c r="C1278" s="8" t="s">
        <v>30777</v>
      </c>
      <c r="D1278" s="9" t="b">
        <v>0</v>
      </c>
      <c r="E1278" s="9"/>
    </row>
    <row r="1279" ht="15.75" customHeight="1">
      <c r="A1279" s="9" t="s">
        <v>30778</v>
      </c>
      <c r="B1279" s="9" t="s">
        <v>11777</v>
      </c>
      <c r="C1279" s="8" t="s">
        <v>30779</v>
      </c>
      <c r="D1279" s="9" t="b">
        <v>0</v>
      </c>
      <c r="E1279" s="9"/>
    </row>
    <row r="1280" ht="15.75" customHeight="1">
      <c r="A1280" s="9" t="s">
        <v>30780</v>
      </c>
      <c r="B1280" s="9" t="s">
        <v>10310</v>
      </c>
      <c r="C1280" s="8" t="s">
        <v>30781</v>
      </c>
      <c r="D1280" s="9" t="b">
        <v>0</v>
      </c>
      <c r="E1280" s="9" t="s">
        <v>30782</v>
      </c>
    </row>
    <row r="1281" ht="15.75" customHeight="1">
      <c r="A1281" s="9" t="s">
        <v>30783</v>
      </c>
      <c r="B1281" s="9" t="s">
        <v>10310</v>
      </c>
      <c r="C1281" s="8" t="s">
        <v>30784</v>
      </c>
      <c r="D1281" s="9" t="b">
        <v>0</v>
      </c>
      <c r="E1281" s="9" t="s">
        <v>30785</v>
      </c>
    </row>
    <row r="1282" ht="15.75" customHeight="1">
      <c r="A1282" s="9" t="s">
        <v>30786</v>
      </c>
      <c r="B1282" s="9" t="s">
        <v>10310</v>
      </c>
      <c r="C1282" s="8" t="s">
        <v>30787</v>
      </c>
      <c r="D1282" s="9" t="b">
        <v>0</v>
      </c>
      <c r="E1282" s="9" t="s">
        <v>30788</v>
      </c>
    </row>
    <row r="1283" ht="15.75" customHeight="1">
      <c r="A1283" s="9" t="s">
        <v>30789</v>
      </c>
      <c r="B1283" s="9" t="s">
        <v>10310</v>
      </c>
      <c r="C1283" s="8" t="s">
        <v>30790</v>
      </c>
      <c r="D1283" s="9" t="b">
        <v>0</v>
      </c>
      <c r="E1283" s="9" t="s">
        <v>30791</v>
      </c>
    </row>
    <row r="1284" ht="15.75" customHeight="1">
      <c r="A1284" s="9" t="s">
        <v>30792</v>
      </c>
      <c r="B1284" s="9" t="s">
        <v>10310</v>
      </c>
      <c r="C1284" s="8" t="s">
        <v>30793</v>
      </c>
      <c r="D1284" s="9" t="b">
        <v>0</v>
      </c>
      <c r="E1284" s="9" t="s">
        <v>30791</v>
      </c>
    </row>
    <row r="1285" ht="15.75" customHeight="1">
      <c r="A1285" s="9" t="s">
        <v>30794</v>
      </c>
      <c r="B1285" s="9" t="s">
        <v>10310</v>
      </c>
      <c r="C1285" s="8" t="s">
        <v>30795</v>
      </c>
      <c r="D1285" s="9" t="b">
        <v>0</v>
      </c>
      <c r="E1285" s="9" t="s">
        <v>30796</v>
      </c>
    </row>
    <row r="1286" ht="15.75" customHeight="1">
      <c r="A1286" s="9" t="s">
        <v>30797</v>
      </c>
      <c r="B1286" s="9" t="s">
        <v>10310</v>
      </c>
      <c r="C1286" s="8" t="s">
        <v>30798</v>
      </c>
      <c r="D1286" s="9" t="b">
        <v>0</v>
      </c>
      <c r="E1286" s="9" t="s">
        <v>29154</v>
      </c>
    </row>
    <row r="1287" ht="15.75" customHeight="1">
      <c r="A1287" s="9" t="s">
        <v>30799</v>
      </c>
      <c r="B1287" s="9" t="s">
        <v>10310</v>
      </c>
      <c r="C1287" s="8" t="s">
        <v>30800</v>
      </c>
      <c r="D1287" s="9" t="b">
        <v>0</v>
      </c>
      <c r="E1287" s="9" t="s">
        <v>29140</v>
      </c>
    </row>
    <row r="1288" ht="15.75" customHeight="1">
      <c r="A1288" s="9" t="s">
        <v>30801</v>
      </c>
      <c r="B1288" s="9" t="s">
        <v>10310</v>
      </c>
      <c r="C1288" s="8" t="s">
        <v>30802</v>
      </c>
      <c r="D1288" s="9" t="b">
        <v>1</v>
      </c>
      <c r="E1288" s="9" t="s">
        <v>30803</v>
      </c>
    </row>
    <row r="1289" ht="15.75" customHeight="1">
      <c r="A1289" s="9" t="s">
        <v>30804</v>
      </c>
      <c r="B1289" s="9" t="s">
        <v>10310</v>
      </c>
      <c r="C1289" s="8" t="s">
        <v>30805</v>
      </c>
      <c r="D1289" s="9" t="b">
        <v>0</v>
      </c>
      <c r="E1289" s="9" t="s">
        <v>646</v>
      </c>
    </row>
    <row r="1290" ht="15.75" customHeight="1">
      <c r="A1290" s="9" t="s">
        <v>30806</v>
      </c>
      <c r="B1290" s="9" t="s">
        <v>10310</v>
      </c>
      <c r="C1290" s="8" t="s">
        <v>30807</v>
      </c>
      <c r="D1290" s="9" t="b">
        <v>0</v>
      </c>
      <c r="E1290" s="9" t="s">
        <v>15564</v>
      </c>
    </row>
    <row r="1291" ht="15.75" customHeight="1">
      <c r="A1291" s="9" t="s">
        <v>30808</v>
      </c>
      <c r="B1291" s="9" t="s">
        <v>10310</v>
      </c>
      <c r="C1291" s="8" t="s">
        <v>30809</v>
      </c>
      <c r="D1291" s="9" t="b">
        <v>0</v>
      </c>
      <c r="E1291" s="9" t="s">
        <v>30810</v>
      </c>
    </row>
    <row r="1292" ht="15.75" customHeight="1">
      <c r="A1292" s="9" t="s">
        <v>30811</v>
      </c>
      <c r="B1292" s="9" t="s">
        <v>10310</v>
      </c>
      <c r="C1292" s="8" t="s">
        <v>30812</v>
      </c>
      <c r="D1292" s="9" t="b">
        <v>0</v>
      </c>
      <c r="E1292" s="9" t="s">
        <v>30813</v>
      </c>
    </row>
    <row r="1293" ht="15.75" customHeight="1">
      <c r="A1293" s="9" t="s">
        <v>30814</v>
      </c>
      <c r="B1293" s="9" t="s">
        <v>10310</v>
      </c>
      <c r="C1293" s="8" t="s">
        <v>30815</v>
      </c>
      <c r="D1293" s="9" t="b">
        <v>0</v>
      </c>
      <c r="E1293" s="9" t="s">
        <v>30336</v>
      </c>
    </row>
    <row r="1294" ht="15.75" customHeight="1">
      <c r="A1294" s="9" t="s">
        <v>30816</v>
      </c>
      <c r="B1294" s="9" t="s">
        <v>268</v>
      </c>
      <c r="C1294" s="8" t="s">
        <v>30817</v>
      </c>
      <c r="D1294" s="9" t="b">
        <v>1</v>
      </c>
      <c r="E1294" s="9"/>
    </row>
    <row r="1295" ht="15.75" customHeight="1">
      <c r="A1295" s="9" t="s">
        <v>30818</v>
      </c>
      <c r="B1295" s="9" t="s">
        <v>268</v>
      </c>
      <c r="C1295" s="8" t="s">
        <v>30819</v>
      </c>
      <c r="D1295" s="9" t="b">
        <v>0</v>
      </c>
      <c r="E1295" s="9"/>
    </row>
    <row r="1296" ht="15.75" customHeight="1">
      <c r="A1296" s="9" t="s">
        <v>30820</v>
      </c>
      <c r="B1296" s="9" t="s">
        <v>268</v>
      </c>
      <c r="C1296" s="8" t="s">
        <v>30821</v>
      </c>
      <c r="D1296" s="9" t="b">
        <v>0</v>
      </c>
      <c r="E1296" s="9"/>
    </row>
    <row r="1297" ht="15.75" customHeight="1">
      <c r="A1297" s="9" t="s">
        <v>30822</v>
      </c>
      <c r="B1297" s="9" t="s">
        <v>8201</v>
      </c>
      <c r="C1297" s="8" t="s">
        <v>30823</v>
      </c>
      <c r="D1297" s="9" t="b">
        <v>1</v>
      </c>
      <c r="E1297" s="9"/>
    </row>
    <row r="1298" ht="15.75" customHeight="1">
      <c r="A1298" s="9" t="s">
        <v>30824</v>
      </c>
      <c r="B1298" s="9" t="s">
        <v>8201</v>
      </c>
      <c r="C1298" s="8" t="s">
        <v>30825</v>
      </c>
      <c r="D1298" s="9" t="b">
        <v>0</v>
      </c>
      <c r="E1298" s="9"/>
    </row>
    <row r="1299" ht="15.75" customHeight="1">
      <c r="A1299" s="9" t="s">
        <v>30826</v>
      </c>
      <c r="B1299" s="9" t="s">
        <v>8201</v>
      </c>
      <c r="C1299" s="8" t="s">
        <v>30827</v>
      </c>
      <c r="D1299" s="9" t="b">
        <v>0</v>
      </c>
      <c r="E1299" s="9"/>
    </row>
    <row r="1300" ht="15.75" customHeight="1">
      <c r="A1300" s="9" t="s">
        <v>30828</v>
      </c>
      <c r="B1300" s="9" t="s">
        <v>11981</v>
      </c>
      <c r="C1300" s="8" t="s">
        <v>30829</v>
      </c>
      <c r="D1300" s="9" t="b">
        <v>1</v>
      </c>
      <c r="E1300" s="9"/>
    </row>
    <row r="1301" ht="15.75" customHeight="1">
      <c r="A1301" s="9" t="s">
        <v>30830</v>
      </c>
      <c r="B1301" s="9" t="s">
        <v>8522</v>
      </c>
      <c r="C1301" s="8" t="s">
        <v>30831</v>
      </c>
      <c r="D1301" s="9" t="b">
        <v>1</v>
      </c>
      <c r="E1301" s="9"/>
    </row>
    <row r="1302" ht="15.75" customHeight="1">
      <c r="A1302" s="9" t="s">
        <v>30832</v>
      </c>
      <c r="B1302" s="9" t="s">
        <v>9151</v>
      </c>
      <c r="C1302" s="8" t="s">
        <v>30833</v>
      </c>
      <c r="D1302" s="9" t="b">
        <v>1</v>
      </c>
      <c r="E1302" s="9"/>
    </row>
    <row r="1303" ht="15.75" customHeight="1">
      <c r="A1303" s="9" t="s">
        <v>30834</v>
      </c>
      <c r="B1303" s="9" t="s">
        <v>9151</v>
      </c>
      <c r="C1303" s="8" t="s">
        <v>30835</v>
      </c>
      <c r="D1303" s="9" t="b">
        <v>0</v>
      </c>
      <c r="E1303" s="9"/>
    </row>
    <row r="1304" ht="15.75" customHeight="1">
      <c r="A1304" s="9" t="s">
        <v>30836</v>
      </c>
      <c r="B1304" s="9" t="s">
        <v>9151</v>
      </c>
      <c r="C1304" s="8" t="s">
        <v>30837</v>
      </c>
      <c r="D1304" s="9" t="b">
        <v>0</v>
      </c>
      <c r="E1304" s="9"/>
    </row>
    <row r="1305" ht="15.75" customHeight="1">
      <c r="A1305" s="9" t="s">
        <v>30838</v>
      </c>
      <c r="B1305" s="9" t="s">
        <v>8153</v>
      </c>
      <c r="C1305" s="8" t="s">
        <v>30839</v>
      </c>
      <c r="D1305" s="9" t="b">
        <v>0</v>
      </c>
      <c r="E1305" s="9"/>
    </row>
    <row r="1306" ht="15.75" customHeight="1">
      <c r="A1306" s="9" t="s">
        <v>30840</v>
      </c>
      <c r="B1306" s="9" t="s">
        <v>8153</v>
      </c>
      <c r="C1306" s="8" t="s">
        <v>30841</v>
      </c>
      <c r="D1306" s="9" t="b">
        <v>1</v>
      </c>
      <c r="E1306" s="9"/>
    </row>
    <row r="1307" ht="15.75" customHeight="1">
      <c r="A1307" s="9" t="s">
        <v>30842</v>
      </c>
      <c r="B1307" s="9" t="s">
        <v>8153</v>
      </c>
      <c r="C1307" s="8" t="s">
        <v>30843</v>
      </c>
      <c r="D1307" s="9" t="b">
        <v>0</v>
      </c>
      <c r="E1307" s="9"/>
    </row>
    <row r="1308" ht="15.75" customHeight="1">
      <c r="A1308" s="9" t="s">
        <v>30844</v>
      </c>
      <c r="B1308" s="9" t="s">
        <v>586</v>
      </c>
      <c r="C1308" s="8" t="s">
        <v>30845</v>
      </c>
      <c r="D1308" s="9" t="b">
        <v>1</v>
      </c>
      <c r="E1308" s="9"/>
    </row>
    <row r="1309" ht="15.75" customHeight="1">
      <c r="A1309" s="9" t="s">
        <v>30846</v>
      </c>
      <c r="B1309" s="9" t="s">
        <v>586</v>
      </c>
      <c r="C1309" s="8" t="s">
        <v>30847</v>
      </c>
      <c r="D1309" s="9" t="b">
        <v>0</v>
      </c>
      <c r="E1309" s="9"/>
    </row>
    <row r="1310" ht="15.75" customHeight="1">
      <c r="A1310" s="9"/>
      <c r="B1310" s="9"/>
      <c r="C1310" s="9"/>
      <c r="D1310" s="9"/>
      <c r="E1310" s="9"/>
    </row>
    <row r="1311" ht="15.75" customHeight="1">
      <c r="A1311" s="9"/>
      <c r="B1311" s="9"/>
      <c r="C1311" s="9"/>
      <c r="D1311" s="9"/>
      <c r="E1311" s="9"/>
    </row>
    <row r="1312" ht="15.75" customHeight="1">
      <c r="A1312" s="9" t="s">
        <v>30848</v>
      </c>
      <c r="B1312" s="9" t="s">
        <v>4089</v>
      </c>
      <c r="C1312" s="8" t="s">
        <v>30849</v>
      </c>
      <c r="D1312" s="9" t="b">
        <v>0</v>
      </c>
      <c r="E1312" s="9"/>
    </row>
    <row r="1313" ht="15.75" customHeight="1">
      <c r="A1313" s="9" t="s">
        <v>30850</v>
      </c>
      <c r="B1313" s="9" t="s">
        <v>4089</v>
      </c>
      <c r="C1313" s="8" t="s">
        <v>30851</v>
      </c>
      <c r="D1313" s="9" t="b">
        <v>0</v>
      </c>
      <c r="E1313" s="9"/>
    </row>
    <row r="1314" ht="15.75" customHeight="1">
      <c r="A1314" s="9" t="s">
        <v>30852</v>
      </c>
      <c r="B1314" s="9" t="s">
        <v>4089</v>
      </c>
      <c r="C1314" s="8" t="s">
        <v>30853</v>
      </c>
      <c r="D1314" s="9" t="b">
        <v>0</v>
      </c>
      <c r="E1314" s="9"/>
    </row>
    <row r="1315" ht="15.75" customHeight="1">
      <c r="A1315" s="9" t="s">
        <v>30854</v>
      </c>
      <c r="B1315" s="9" t="s">
        <v>4089</v>
      </c>
      <c r="C1315" s="8" t="s">
        <v>30855</v>
      </c>
      <c r="D1315" s="9" t="b">
        <v>1</v>
      </c>
      <c r="E1315" s="9"/>
    </row>
    <row r="1316" ht="15.75" customHeight="1">
      <c r="A1316" s="9" t="s">
        <v>30856</v>
      </c>
      <c r="B1316" s="9" t="s">
        <v>4106</v>
      </c>
      <c r="C1316" s="8" t="s">
        <v>30857</v>
      </c>
      <c r="D1316" s="9" t="b">
        <v>1</v>
      </c>
      <c r="E1316" s="9"/>
    </row>
    <row r="1317" ht="15.75" customHeight="1">
      <c r="A1317" s="9" t="s">
        <v>30858</v>
      </c>
      <c r="B1317" s="9" t="s">
        <v>4106</v>
      </c>
      <c r="C1317" s="8" t="s">
        <v>30859</v>
      </c>
      <c r="D1317" s="9" t="b">
        <v>0</v>
      </c>
      <c r="E1317" s="9"/>
    </row>
    <row r="1318" ht="15.75" customHeight="1">
      <c r="A1318" s="9"/>
      <c r="B1318" s="9"/>
      <c r="C1318" s="9"/>
      <c r="D1318" s="9"/>
      <c r="E1318" s="9"/>
    </row>
    <row r="1319" ht="15.75" customHeight="1">
      <c r="A1319" s="9"/>
      <c r="B1319" s="9"/>
      <c r="C1319" s="9"/>
      <c r="D1319" s="9"/>
      <c r="E1319" s="9"/>
    </row>
    <row r="1320" ht="15.75" customHeight="1">
      <c r="A1320" s="9"/>
      <c r="B1320" s="9"/>
      <c r="C1320" s="9"/>
      <c r="D1320" s="9"/>
      <c r="E1320" s="9"/>
    </row>
    <row r="1321" ht="15.75" customHeight="1">
      <c r="A1321" s="9"/>
      <c r="B1321" s="9"/>
      <c r="C1321" s="9"/>
      <c r="D1321" s="9"/>
      <c r="E1321" s="9"/>
    </row>
    <row r="1322" ht="15.75" customHeight="1">
      <c r="A1322" s="9"/>
      <c r="B1322" s="9"/>
      <c r="C1322" s="9"/>
      <c r="D1322" s="9"/>
      <c r="E1322" s="9"/>
    </row>
    <row r="1323" ht="15.75" customHeight="1">
      <c r="A1323" s="9"/>
      <c r="B1323" s="9"/>
      <c r="C1323" s="9"/>
      <c r="D1323" s="9"/>
      <c r="E1323" s="9"/>
    </row>
    <row r="1324" ht="15.75" customHeight="1">
      <c r="A1324" s="9"/>
      <c r="B1324" s="9"/>
      <c r="C1324" s="9"/>
      <c r="D1324" s="9"/>
      <c r="E1324" s="9"/>
    </row>
    <row r="1325" ht="15.75" customHeight="1">
      <c r="A1325" s="9"/>
      <c r="B1325" s="9"/>
      <c r="C1325" s="9"/>
      <c r="D1325" s="9"/>
      <c r="E1325" s="9"/>
    </row>
    <row r="1326" ht="15.75" customHeight="1">
      <c r="A1326" s="9"/>
      <c r="B1326" s="9"/>
      <c r="C1326" s="9"/>
      <c r="D1326" s="9"/>
      <c r="E1326" s="9"/>
    </row>
    <row r="1327" ht="15.75" customHeight="1">
      <c r="A1327" s="9"/>
      <c r="B1327" s="9"/>
      <c r="C1327" s="9"/>
      <c r="D1327" s="9"/>
      <c r="E1327" s="9"/>
    </row>
    <row r="1328" ht="15.75" customHeight="1">
      <c r="A1328" s="9"/>
      <c r="B1328" s="9"/>
      <c r="C1328" s="9"/>
      <c r="D1328" s="9"/>
      <c r="E1328" s="9"/>
    </row>
    <row r="1329" ht="15.75" customHeight="1">
      <c r="A1329" s="9"/>
      <c r="B1329" s="9"/>
      <c r="C1329" s="9"/>
      <c r="D1329" s="9"/>
      <c r="E1329" s="9"/>
    </row>
    <row r="1330" ht="15.75" customHeight="1">
      <c r="A1330" s="9" t="s">
        <v>30860</v>
      </c>
      <c r="B1330" s="9" t="s">
        <v>4000</v>
      </c>
      <c r="C1330" s="8" t="s">
        <v>30861</v>
      </c>
      <c r="D1330" s="9" t="b">
        <v>1</v>
      </c>
      <c r="E1330" s="9"/>
    </row>
    <row r="1331" ht="15.75" customHeight="1">
      <c r="A1331" s="9" t="s">
        <v>30862</v>
      </c>
      <c r="B1331" s="9" t="s">
        <v>4000</v>
      </c>
      <c r="C1331" s="8" t="s">
        <v>30863</v>
      </c>
      <c r="D1331" s="9" t="b">
        <v>0</v>
      </c>
      <c r="E1331" s="9"/>
    </row>
    <row r="1332" ht="15.75" customHeight="1">
      <c r="A1332" s="9" t="s">
        <v>30864</v>
      </c>
      <c r="B1332" s="9" t="s">
        <v>4000</v>
      </c>
      <c r="C1332" s="8" t="s">
        <v>30865</v>
      </c>
      <c r="D1332" s="9" t="b">
        <v>0</v>
      </c>
      <c r="E1332" s="9"/>
    </row>
    <row r="1333" ht="15.75" customHeight="1">
      <c r="A1333" s="9" t="s">
        <v>30866</v>
      </c>
      <c r="B1333" s="9" t="s">
        <v>4000</v>
      </c>
      <c r="C1333" s="8" t="s">
        <v>30867</v>
      </c>
      <c r="D1333" s="9" t="b">
        <v>0</v>
      </c>
      <c r="E1333" s="9"/>
    </row>
    <row r="1334" ht="15.75" customHeight="1">
      <c r="A1334" s="9" t="s">
        <v>30868</v>
      </c>
      <c r="B1334" s="9" t="s">
        <v>4000</v>
      </c>
      <c r="C1334" s="8" t="s">
        <v>30869</v>
      </c>
      <c r="D1334" s="9" t="b">
        <v>0</v>
      </c>
      <c r="E1334" s="9"/>
    </row>
    <row r="1335" ht="15.75" customHeight="1">
      <c r="A1335" s="9"/>
      <c r="B1335" s="9"/>
      <c r="C1335" s="9"/>
      <c r="D1335" s="9"/>
      <c r="E1335" s="9"/>
    </row>
    <row r="1336" ht="15.75" customHeight="1">
      <c r="A1336" s="9" t="s">
        <v>30870</v>
      </c>
      <c r="B1336" s="9" t="s">
        <v>3810</v>
      </c>
      <c r="C1336" s="8" t="s">
        <v>30871</v>
      </c>
      <c r="D1336" s="9" t="b">
        <v>0</v>
      </c>
      <c r="E1336" s="9"/>
    </row>
    <row r="1337" ht="15.75" customHeight="1">
      <c r="A1337" s="9" t="s">
        <v>30872</v>
      </c>
      <c r="B1337" s="9" t="s">
        <v>3810</v>
      </c>
      <c r="C1337" s="8" t="s">
        <v>30873</v>
      </c>
      <c r="D1337" s="9" t="b">
        <v>0</v>
      </c>
      <c r="E1337" s="9"/>
    </row>
    <row r="1338" ht="15.75" customHeight="1">
      <c r="A1338" s="9" t="s">
        <v>30874</v>
      </c>
      <c r="B1338" s="9" t="s">
        <v>11629</v>
      </c>
      <c r="C1338" s="8" t="s">
        <v>30875</v>
      </c>
      <c r="D1338" s="9" t="b">
        <v>0</v>
      </c>
      <c r="E1338" s="9"/>
    </row>
    <row r="1339" ht="15.75" customHeight="1">
      <c r="A1339" s="9"/>
      <c r="B1339" s="9"/>
      <c r="C1339" s="9"/>
      <c r="D1339" s="9"/>
      <c r="E1339" s="9"/>
    </row>
    <row r="1340" ht="15.75" customHeight="1">
      <c r="A1340" s="9" t="s">
        <v>30876</v>
      </c>
      <c r="B1340" s="9" t="s">
        <v>11629</v>
      </c>
      <c r="C1340" s="8" t="s">
        <v>30877</v>
      </c>
      <c r="D1340" s="9" t="b">
        <v>0</v>
      </c>
      <c r="E1340" s="9"/>
    </row>
    <row r="1341" ht="15.75" customHeight="1">
      <c r="A1341" s="9" t="s">
        <v>30878</v>
      </c>
      <c r="B1341" s="9" t="s">
        <v>11629</v>
      </c>
      <c r="C1341" s="8" t="s">
        <v>30879</v>
      </c>
      <c r="D1341" s="9" t="b">
        <v>0</v>
      </c>
      <c r="E1341" s="9"/>
    </row>
    <row r="1342" ht="15.75" customHeight="1">
      <c r="A1342" s="9" t="s">
        <v>30880</v>
      </c>
      <c r="B1342" s="9" t="s">
        <v>3810</v>
      </c>
      <c r="C1342" s="8" t="s">
        <v>30881</v>
      </c>
      <c r="D1342" s="9" t="b">
        <v>1</v>
      </c>
      <c r="E1342" s="9"/>
    </row>
    <row r="1343" ht="15.75" customHeight="1">
      <c r="A1343" s="9" t="s">
        <v>30882</v>
      </c>
      <c r="B1343" s="9" t="s">
        <v>11629</v>
      </c>
      <c r="C1343" s="8" t="s">
        <v>30883</v>
      </c>
      <c r="D1343" s="9" t="b">
        <v>0</v>
      </c>
      <c r="E1343" s="9"/>
    </row>
    <row r="1344" ht="15.75" customHeight="1">
      <c r="A1344" s="9" t="s">
        <v>30884</v>
      </c>
      <c r="B1344" s="9" t="s">
        <v>11629</v>
      </c>
      <c r="C1344" s="8" t="s">
        <v>30885</v>
      </c>
      <c r="D1344" s="9" t="b">
        <v>0</v>
      </c>
      <c r="E1344" s="9"/>
    </row>
    <row r="1345" ht="15.75" customHeight="1">
      <c r="A1345" s="52" t="s">
        <v>30886</v>
      </c>
      <c r="B1345" s="9" t="s">
        <v>11629</v>
      </c>
      <c r="C1345" s="8" t="s">
        <v>30887</v>
      </c>
      <c r="D1345" s="9" t="b">
        <v>0</v>
      </c>
      <c r="E1345" s="9"/>
    </row>
    <row r="1346" ht="15.75" customHeight="1">
      <c r="A1346" s="9" t="s">
        <v>30888</v>
      </c>
      <c r="B1346" s="9" t="s">
        <v>11629</v>
      </c>
      <c r="C1346" s="8" t="s">
        <v>30889</v>
      </c>
      <c r="D1346" s="9" t="b">
        <v>1</v>
      </c>
      <c r="E1346" s="9"/>
    </row>
    <row r="1347" ht="15.75" customHeight="1">
      <c r="A1347" s="9" t="s">
        <v>30890</v>
      </c>
      <c r="B1347" s="9" t="s">
        <v>10391</v>
      </c>
      <c r="C1347" s="8" t="s">
        <v>30891</v>
      </c>
      <c r="D1347" s="9" t="b">
        <v>1</v>
      </c>
      <c r="E1347" s="9"/>
    </row>
    <row r="1348" ht="15.75" customHeight="1">
      <c r="A1348" s="9" t="s">
        <v>30892</v>
      </c>
      <c r="B1348" s="9" t="s">
        <v>10391</v>
      </c>
      <c r="C1348" s="8" t="s">
        <v>30893</v>
      </c>
      <c r="D1348" s="9" t="b">
        <v>0</v>
      </c>
      <c r="E1348" s="9"/>
    </row>
    <row r="1349" ht="15.75" customHeight="1">
      <c r="A1349" s="9" t="s">
        <v>30894</v>
      </c>
      <c r="B1349" s="9" t="s">
        <v>10391</v>
      </c>
      <c r="C1349" s="8" t="s">
        <v>30895</v>
      </c>
      <c r="D1349" s="9" t="b">
        <v>0</v>
      </c>
      <c r="E1349" s="9"/>
    </row>
    <row r="1350" ht="15.75" customHeight="1">
      <c r="A1350" s="9" t="s">
        <v>30896</v>
      </c>
      <c r="B1350" s="9" t="s">
        <v>10391</v>
      </c>
      <c r="C1350" s="8" t="s">
        <v>30897</v>
      </c>
      <c r="D1350" s="9" t="b">
        <v>0</v>
      </c>
      <c r="E1350" s="9"/>
    </row>
    <row r="1351" ht="15.75" customHeight="1">
      <c r="A1351" s="9" t="s">
        <v>30898</v>
      </c>
      <c r="B1351" s="9" t="s">
        <v>10391</v>
      </c>
      <c r="C1351" s="8" t="s">
        <v>30899</v>
      </c>
      <c r="D1351" s="9" t="b">
        <v>0</v>
      </c>
      <c r="E1351" s="9"/>
    </row>
    <row r="1352" ht="15.75" customHeight="1">
      <c r="A1352" s="9" t="s">
        <v>30900</v>
      </c>
      <c r="B1352" s="9" t="s">
        <v>10391</v>
      </c>
      <c r="C1352" s="8" t="s">
        <v>30901</v>
      </c>
      <c r="D1352" s="9" t="b">
        <v>0</v>
      </c>
      <c r="E1352" s="9"/>
    </row>
    <row r="1353" ht="15.75" customHeight="1">
      <c r="A1353" s="9" t="s">
        <v>30902</v>
      </c>
      <c r="B1353" s="9" t="s">
        <v>11875</v>
      </c>
      <c r="C1353" s="8" t="s">
        <v>30903</v>
      </c>
      <c r="D1353" s="9" t="b">
        <v>0</v>
      </c>
      <c r="E1353" s="9"/>
    </row>
    <row r="1354" ht="15.75" customHeight="1">
      <c r="A1354" s="9" t="s">
        <v>30904</v>
      </c>
      <c r="B1354" s="9" t="s">
        <v>10391</v>
      </c>
      <c r="C1354" s="8" t="s">
        <v>30905</v>
      </c>
      <c r="D1354" s="9" t="b">
        <v>0</v>
      </c>
      <c r="E1354" s="9"/>
    </row>
    <row r="1355" ht="15.75" customHeight="1">
      <c r="A1355" s="9" t="s">
        <v>30906</v>
      </c>
      <c r="B1355" s="9" t="s">
        <v>3810</v>
      </c>
      <c r="C1355" s="8" t="s">
        <v>30907</v>
      </c>
      <c r="D1355" s="9" t="b">
        <v>0</v>
      </c>
      <c r="E1355" s="9"/>
    </row>
    <row r="1356" ht="15.75" customHeight="1">
      <c r="A1356" s="9" t="s">
        <v>30908</v>
      </c>
      <c r="B1356" s="9" t="s">
        <v>3810</v>
      </c>
      <c r="C1356" s="8" t="s">
        <v>30909</v>
      </c>
      <c r="D1356" s="9" t="b">
        <v>1</v>
      </c>
      <c r="E1356" s="9"/>
    </row>
    <row r="1357" ht="15.75" customHeight="1">
      <c r="A1357" s="9" t="s">
        <v>30910</v>
      </c>
      <c r="B1357" s="9" t="s">
        <v>3810</v>
      </c>
      <c r="C1357" s="8" t="s">
        <v>30911</v>
      </c>
      <c r="D1357" s="9" t="b">
        <v>0</v>
      </c>
      <c r="E1357" s="9"/>
    </row>
    <row r="1358" ht="15.75" customHeight="1">
      <c r="A1358" s="9" t="s">
        <v>30912</v>
      </c>
      <c r="B1358" s="9" t="s">
        <v>3810</v>
      </c>
      <c r="C1358" s="8" t="s">
        <v>30913</v>
      </c>
      <c r="D1358" s="9" t="b">
        <v>0</v>
      </c>
      <c r="E1358" s="9"/>
    </row>
    <row r="1359" ht="15.75" customHeight="1">
      <c r="A1359" s="9" t="s">
        <v>30914</v>
      </c>
      <c r="B1359" s="9" t="s">
        <v>11983</v>
      </c>
      <c r="C1359" s="8" t="s">
        <v>30915</v>
      </c>
      <c r="D1359" s="9" t="b">
        <v>1</v>
      </c>
      <c r="E1359" s="9"/>
    </row>
    <row r="1360" ht="15.75" customHeight="1">
      <c r="A1360" s="9" t="s">
        <v>30916</v>
      </c>
      <c r="B1360" s="9" t="s">
        <v>11983</v>
      </c>
      <c r="C1360" s="8" t="s">
        <v>30917</v>
      </c>
      <c r="D1360" s="9" t="b">
        <v>0</v>
      </c>
      <c r="E1360" s="9"/>
    </row>
    <row r="1361" ht="15.75" customHeight="1">
      <c r="A1361" s="9" t="s">
        <v>30918</v>
      </c>
      <c r="B1361" s="9" t="s">
        <v>11983</v>
      </c>
      <c r="C1361" s="8" t="s">
        <v>30919</v>
      </c>
      <c r="D1361" s="9" t="b">
        <v>0</v>
      </c>
      <c r="E1361" s="9"/>
    </row>
    <row r="1362" ht="15.75" customHeight="1">
      <c r="A1362" s="9" t="s">
        <v>30920</v>
      </c>
      <c r="B1362" s="9" t="s">
        <v>9087</v>
      </c>
      <c r="C1362" s="8" t="s">
        <v>30921</v>
      </c>
      <c r="D1362" s="9" t="b">
        <v>0</v>
      </c>
      <c r="E1362" s="9"/>
    </row>
    <row r="1363" ht="15.75" customHeight="1">
      <c r="A1363" s="9" t="s">
        <v>30922</v>
      </c>
      <c r="B1363" s="9" t="s">
        <v>9087</v>
      </c>
      <c r="C1363" s="8" t="s">
        <v>30923</v>
      </c>
      <c r="D1363" s="9" t="b">
        <v>0</v>
      </c>
      <c r="E1363" s="9"/>
    </row>
    <row r="1364" ht="15.75" customHeight="1">
      <c r="A1364" s="9" t="s">
        <v>30924</v>
      </c>
      <c r="B1364" s="9" t="s">
        <v>9087</v>
      </c>
      <c r="C1364" s="8" t="s">
        <v>30925</v>
      </c>
      <c r="D1364" s="9" t="b">
        <v>0</v>
      </c>
      <c r="E1364" s="9"/>
    </row>
    <row r="1365" ht="15.75" customHeight="1">
      <c r="A1365" s="9" t="s">
        <v>30926</v>
      </c>
      <c r="B1365" s="9" t="s">
        <v>12027</v>
      </c>
      <c r="C1365" s="8" t="s">
        <v>30927</v>
      </c>
      <c r="D1365" s="9" t="b">
        <v>0</v>
      </c>
      <c r="E1365" s="9"/>
    </row>
    <row r="1366" ht="15.75" customHeight="1">
      <c r="A1366" s="9" t="s">
        <v>30928</v>
      </c>
      <c r="B1366" s="9" t="s">
        <v>12027</v>
      </c>
      <c r="C1366" s="8" t="s">
        <v>30929</v>
      </c>
      <c r="D1366" s="9" t="b">
        <v>0</v>
      </c>
      <c r="E1366" s="9"/>
    </row>
    <row r="1367" ht="15.75" customHeight="1">
      <c r="A1367" s="9" t="s">
        <v>30930</v>
      </c>
      <c r="B1367" s="9" t="s">
        <v>12027</v>
      </c>
      <c r="C1367" s="8" t="s">
        <v>30931</v>
      </c>
      <c r="D1367" s="9" t="b">
        <v>0</v>
      </c>
      <c r="E1367" s="9"/>
    </row>
    <row r="1368" ht="15.75" customHeight="1">
      <c r="A1368" s="9" t="s">
        <v>30932</v>
      </c>
      <c r="B1368" s="9" t="s">
        <v>12027</v>
      </c>
      <c r="C1368" s="8" t="s">
        <v>30933</v>
      </c>
      <c r="D1368" s="9" t="b">
        <v>0</v>
      </c>
      <c r="E1368" s="9"/>
    </row>
    <row r="1369" ht="15.75" customHeight="1">
      <c r="A1369" s="9" t="s">
        <v>30934</v>
      </c>
      <c r="B1369" s="9" t="s">
        <v>12027</v>
      </c>
      <c r="C1369" s="8" t="s">
        <v>30935</v>
      </c>
      <c r="D1369" s="9" t="b">
        <v>0</v>
      </c>
      <c r="E1369" s="9"/>
    </row>
    <row r="1370" ht="15.75" customHeight="1">
      <c r="A1370" s="9" t="s">
        <v>30936</v>
      </c>
      <c r="B1370" s="9" t="s">
        <v>12027</v>
      </c>
      <c r="C1370" s="8" t="s">
        <v>30937</v>
      </c>
      <c r="D1370" s="9" t="b">
        <v>1</v>
      </c>
      <c r="E1370" s="9"/>
    </row>
    <row r="1371" ht="15.75" customHeight="1">
      <c r="A1371" s="9" t="s">
        <v>30938</v>
      </c>
      <c r="B1371" s="9" t="s">
        <v>8926</v>
      </c>
      <c r="C1371" s="8" t="s">
        <v>30939</v>
      </c>
      <c r="D1371" s="9" t="b">
        <v>1</v>
      </c>
      <c r="E1371" s="9"/>
    </row>
    <row r="1372" ht="15.75" customHeight="1">
      <c r="A1372" s="9" t="s">
        <v>30940</v>
      </c>
      <c r="B1372" s="9" t="s">
        <v>8926</v>
      </c>
      <c r="C1372" s="8" t="s">
        <v>30941</v>
      </c>
      <c r="D1372" s="9" t="b">
        <v>0</v>
      </c>
      <c r="E1372" s="9"/>
    </row>
    <row r="1373" ht="15.75" customHeight="1">
      <c r="A1373" s="9" t="s">
        <v>30942</v>
      </c>
      <c r="B1373" s="9" t="s">
        <v>10384</v>
      </c>
      <c r="C1373" s="8" t="s">
        <v>30943</v>
      </c>
      <c r="D1373" s="9" t="b">
        <v>1</v>
      </c>
      <c r="E1373" s="9"/>
    </row>
    <row r="1374" ht="15.75" customHeight="1">
      <c r="A1374" s="9" t="s">
        <v>30944</v>
      </c>
      <c r="B1374" s="9" t="s">
        <v>10384</v>
      </c>
      <c r="C1374" s="8" t="s">
        <v>30945</v>
      </c>
      <c r="D1374" s="9" t="b">
        <v>0</v>
      </c>
      <c r="E1374" s="9"/>
    </row>
    <row r="1375" ht="15.75" customHeight="1">
      <c r="A1375" s="9" t="s">
        <v>30946</v>
      </c>
      <c r="B1375" s="9" t="s">
        <v>10384</v>
      </c>
      <c r="C1375" s="8" t="s">
        <v>30947</v>
      </c>
      <c r="D1375" s="9" t="b">
        <v>0</v>
      </c>
      <c r="E1375" s="9"/>
    </row>
    <row r="1376" ht="15.75" customHeight="1">
      <c r="A1376" s="9" t="s">
        <v>30948</v>
      </c>
      <c r="B1376" s="9" t="s">
        <v>10384</v>
      </c>
      <c r="C1376" s="8" t="s">
        <v>30949</v>
      </c>
      <c r="D1376" s="9" t="b">
        <v>0</v>
      </c>
      <c r="E1376" s="9"/>
    </row>
    <row r="1377" ht="15.75" customHeight="1">
      <c r="A1377" s="9" t="s">
        <v>30950</v>
      </c>
      <c r="B1377" s="9" t="s">
        <v>10384</v>
      </c>
      <c r="C1377" s="8" t="s">
        <v>30951</v>
      </c>
      <c r="D1377" s="9" t="b">
        <v>0</v>
      </c>
      <c r="E1377" s="9"/>
    </row>
    <row r="1378" ht="15.75" customHeight="1">
      <c r="A1378" s="9" t="s">
        <v>30952</v>
      </c>
      <c r="B1378" s="9" t="s">
        <v>10384</v>
      </c>
      <c r="C1378" s="8" t="s">
        <v>30953</v>
      </c>
      <c r="D1378" s="9" t="b">
        <v>0</v>
      </c>
      <c r="E1378" s="9"/>
    </row>
    <row r="1379" ht="15.75" customHeight="1">
      <c r="A1379" s="9" t="s">
        <v>30954</v>
      </c>
      <c r="B1379" s="9" t="s">
        <v>10384</v>
      </c>
      <c r="C1379" s="8" t="s">
        <v>30955</v>
      </c>
      <c r="D1379" s="9" t="b">
        <v>0</v>
      </c>
      <c r="E1379" s="9"/>
    </row>
    <row r="1380" ht="15.75" customHeight="1">
      <c r="A1380" s="9" t="s">
        <v>30956</v>
      </c>
      <c r="B1380" s="9" t="s">
        <v>10384</v>
      </c>
      <c r="C1380" s="8" t="s">
        <v>30957</v>
      </c>
      <c r="D1380" s="9" t="b">
        <v>0</v>
      </c>
      <c r="E1380" s="9"/>
    </row>
    <row r="1381" ht="15.75" customHeight="1">
      <c r="A1381" s="9"/>
      <c r="B1381" s="9"/>
      <c r="C1381" s="9"/>
      <c r="D1381" s="9"/>
      <c r="E1381" s="9"/>
    </row>
    <row r="1382" ht="15.75" customHeight="1">
      <c r="A1382" s="9" t="s">
        <v>30958</v>
      </c>
      <c r="B1382" s="9" t="s">
        <v>9054</v>
      </c>
      <c r="C1382" s="8" t="s">
        <v>30959</v>
      </c>
      <c r="D1382" s="9" t="b">
        <v>1</v>
      </c>
      <c r="E1382" s="9"/>
    </row>
    <row r="1383" ht="15.75" customHeight="1">
      <c r="A1383" s="9" t="s">
        <v>30960</v>
      </c>
      <c r="B1383" s="9" t="s">
        <v>9054</v>
      </c>
      <c r="C1383" s="8" t="s">
        <v>30961</v>
      </c>
      <c r="D1383" s="9" t="b">
        <v>0</v>
      </c>
      <c r="E1383" s="9"/>
    </row>
    <row r="1384" ht="15.75" customHeight="1">
      <c r="A1384" s="9"/>
      <c r="B1384" s="9"/>
      <c r="C1384" s="9"/>
      <c r="D1384" s="9"/>
      <c r="E1384" s="9"/>
    </row>
    <row r="1385" ht="15.75" customHeight="1">
      <c r="A1385" s="9" t="s">
        <v>30962</v>
      </c>
      <c r="B1385" s="9" t="s">
        <v>9054</v>
      </c>
      <c r="C1385" s="8" t="s">
        <v>30963</v>
      </c>
      <c r="D1385" s="9" t="b">
        <v>0</v>
      </c>
      <c r="E1385" s="9" t="s">
        <v>30964</v>
      </c>
    </row>
    <row r="1386" ht="15.75" customHeight="1">
      <c r="A1386" s="9" t="s">
        <v>30965</v>
      </c>
      <c r="B1386" s="9" t="s">
        <v>9237</v>
      </c>
      <c r="C1386" s="8" t="s">
        <v>30966</v>
      </c>
      <c r="D1386" s="9" t="b">
        <v>0</v>
      </c>
      <c r="E1386" s="9"/>
    </row>
    <row r="1387" ht="15.75" customHeight="1">
      <c r="A1387" s="9" t="s">
        <v>30967</v>
      </c>
      <c r="B1387" s="9" t="s">
        <v>9237</v>
      </c>
      <c r="C1387" s="8" t="s">
        <v>30968</v>
      </c>
      <c r="D1387" s="9" t="b">
        <v>0</v>
      </c>
      <c r="E1387" s="9"/>
    </row>
    <row r="1388" ht="15.75" customHeight="1">
      <c r="A1388" s="9" t="s">
        <v>30969</v>
      </c>
      <c r="B1388" s="9" t="s">
        <v>9237</v>
      </c>
      <c r="C1388" s="8" t="s">
        <v>30970</v>
      </c>
      <c r="D1388" s="9" t="b">
        <v>0</v>
      </c>
      <c r="E1388" s="9"/>
    </row>
    <row r="1389" ht="15.75" customHeight="1">
      <c r="A1389" s="9" t="s">
        <v>30971</v>
      </c>
      <c r="B1389" s="9" t="s">
        <v>9237</v>
      </c>
      <c r="C1389" s="8" t="s">
        <v>30972</v>
      </c>
      <c r="D1389" s="9" t="b">
        <v>0</v>
      </c>
      <c r="E1389" s="9"/>
    </row>
    <row r="1390" ht="15.75" customHeight="1">
      <c r="A1390" s="9" t="s">
        <v>30973</v>
      </c>
      <c r="B1390" s="9" t="s">
        <v>9237</v>
      </c>
      <c r="C1390" s="8" t="s">
        <v>30974</v>
      </c>
      <c r="D1390" s="9" t="b">
        <v>1</v>
      </c>
      <c r="E1390" s="9"/>
    </row>
    <row r="1391" ht="15.75" customHeight="1">
      <c r="A1391" s="9" t="s">
        <v>30975</v>
      </c>
      <c r="B1391" s="9" t="s">
        <v>9237</v>
      </c>
      <c r="C1391" s="8" t="s">
        <v>30976</v>
      </c>
      <c r="D1391" s="9" t="b">
        <v>0</v>
      </c>
      <c r="E1391" s="9"/>
    </row>
    <row r="1392" ht="15.75" customHeight="1">
      <c r="A1392" s="9" t="s">
        <v>30977</v>
      </c>
      <c r="B1392" s="9" t="s">
        <v>9237</v>
      </c>
      <c r="C1392" s="8" t="s">
        <v>30978</v>
      </c>
      <c r="D1392" s="9" t="b">
        <v>0</v>
      </c>
      <c r="E1392" s="9"/>
    </row>
    <row r="1393" ht="15.75" customHeight="1">
      <c r="A1393" s="9" t="s">
        <v>30979</v>
      </c>
      <c r="B1393" s="9" t="s">
        <v>9237</v>
      </c>
      <c r="C1393" s="8" t="s">
        <v>30980</v>
      </c>
      <c r="D1393" s="9" t="b">
        <v>0</v>
      </c>
      <c r="E1393" s="9"/>
    </row>
    <row r="1394" ht="15.75" customHeight="1">
      <c r="A1394" s="9" t="s">
        <v>30981</v>
      </c>
      <c r="B1394" s="9" t="s">
        <v>8926</v>
      </c>
      <c r="C1394" s="8" t="s">
        <v>30982</v>
      </c>
      <c r="D1394" s="9" t="b">
        <v>0</v>
      </c>
      <c r="E1394" s="9"/>
    </row>
    <row r="1395" ht="15.75" customHeight="1">
      <c r="A1395" s="9"/>
      <c r="B1395" s="9"/>
      <c r="C1395" s="9"/>
      <c r="D1395" s="9"/>
      <c r="E1395" s="9"/>
    </row>
    <row r="1396" ht="15.75" customHeight="1">
      <c r="A1396" s="9" t="s">
        <v>30983</v>
      </c>
      <c r="B1396" s="9" t="s">
        <v>3346</v>
      </c>
      <c r="C1396" s="8" t="s">
        <v>30984</v>
      </c>
      <c r="D1396" s="9" t="b">
        <v>0</v>
      </c>
      <c r="E1396" s="9"/>
    </row>
    <row r="1397" ht="15.75" customHeight="1">
      <c r="A1397" s="9" t="s">
        <v>30985</v>
      </c>
      <c r="B1397" s="9" t="s">
        <v>1291</v>
      </c>
      <c r="C1397" s="8" t="s">
        <v>30986</v>
      </c>
      <c r="D1397" s="9" t="b">
        <v>0</v>
      </c>
      <c r="E1397" s="9"/>
    </row>
    <row r="1398" ht="15.75" customHeight="1">
      <c r="A1398" s="9" t="s">
        <v>30987</v>
      </c>
      <c r="B1398" s="9" t="s">
        <v>1291</v>
      </c>
      <c r="C1398" s="8" t="s">
        <v>30988</v>
      </c>
      <c r="D1398" s="9" t="b">
        <v>1</v>
      </c>
      <c r="E1398" s="9"/>
    </row>
    <row r="1399" ht="15.75" customHeight="1">
      <c r="A1399" s="9" t="s">
        <v>30989</v>
      </c>
      <c r="B1399" s="9" t="s">
        <v>1291</v>
      </c>
      <c r="C1399" s="8" t="s">
        <v>30990</v>
      </c>
      <c r="D1399" s="9" t="b">
        <v>0</v>
      </c>
      <c r="E1399" s="9"/>
    </row>
    <row r="1400" ht="15.75" customHeight="1">
      <c r="A1400" s="9" t="s">
        <v>30991</v>
      </c>
      <c r="B1400" s="9" t="s">
        <v>2933</v>
      </c>
      <c r="C1400" s="8" t="s">
        <v>30992</v>
      </c>
      <c r="D1400" s="9" t="b">
        <v>0</v>
      </c>
      <c r="E1400" s="9"/>
    </row>
    <row r="1401" ht="15.75" customHeight="1">
      <c r="A1401" s="52" t="s">
        <v>30993</v>
      </c>
      <c r="B1401" s="9" t="s">
        <v>2933</v>
      </c>
      <c r="C1401" s="8" t="s">
        <v>30994</v>
      </c>
      <c r="D1401" s="9" t="b">
        <v>1</v>
      </c>
      <c r="E1401" s="9"/>
    </row>
    <row r="1402" ht="15.75" customHeight="1">
      <c r="A1402" s="9" t="s">
        <v>30995</v>
      </c>
      <c r="B1402" s="9" t="s">
        <v>2848</v>
      </c>
      <c r="C1402" s="8" t="s">
        <v>30996</v>
      </c>
      <c r="D1402" s="9" t="b">
        <v>1</v>
      </c>
      <c r="E1402" s="9"/>
    </row>
    <row r="1403" ht="15.75" customHeight="1">
      <c r="A1403" s="9" t="s">
        <v>30997</v>
      </c>
      <c r="B1403" s="9" t="s">
        <v>11979</v>
      </c>
      <c r="C1403" s="8" t="s">
        <v>30998</v>
      </c>
      <c r="D1403" s="9" t="b">
        <v>1</v>
      </c>
      <c r="E1403" s="9"/>
    </row>
    <row r="1404" ht="15.75" customHeight="1">
      <c r="A1404" s="9" t="s">
        <v>30999</v>
      </c>
      <c r="B1404" s="9" t="s">
        <v>8993</v>
      </c>
      <c r="C1404" s="8" t="s">
        <v>31000</v>
      </c>
      <c r="D1404" s="9" t="b">
        <v>0</v>
      </c>
      <c r="E1404" s="9"/>
    </row>
    <row r="1405" ht="15.75" customHeight="1">
      <c r="A1405" s="9" t="s">
        <v>31001</v>
      </c>
      <c r="B1405" s="9" t="s">
        <v>8993</v>
      </c>
      <c r="C1405" s="8" t="s">
        <v>31002</v>
      </c>
      <c r="D1405" s="9" t="b">
        <v>0</v>
      </c>
      <c r="E1405" s="9"/>
    </row>
    <row r="1406" ht="15.75" customHeight="1">
      <c r="A1406" s="9" t="s">
        <v>31003</v>
      </c>
      <c r="B1406" s="9" t="s">
        <v>11983</v>
      </c>
      <c r="C1406" s="8" t="s">
        <v>31004</v>
      </c>
      <c r="D1406" s="9" t="b">
        <v>0</v>
      </c>
      <c r="E1406" s="9"/>
    </row>
    <row r="1407" ht="15.75" customHeight="1">
      <c r="A1407" s="9" t="s">
        <v>31005</v>
      </c>
      <c r="B1407" s="9" t="s">
        <v>11660</v>
      </c>
      <c r="C1407" s="8" t="s">
        <v>31006</v>
      </c>
      <c r="D1407" s="9" t="b">
        <v>1</v>
      </c>
      <c r="E1407" s="9" t="s">
        <v>31007</v>
      </c>
    </row>
    <row r="1408" ht="15.75" customHeight="1">
      <c r="A1408" s="9" t="s">
        <v>31008</v>
      </c>
      <c r="B1408" s="9" t="s">
        <v>11660</v>
      </c>
      <c r="C1408" s="8" t="s">
        <v>31009</v>
      </c>
      <c r="D1408" s="9" t="b">
        <v>0</v>
      </c>
      <c r="E1408" s="9" t="s">
        <v>646</v>
      </c>
    </row>
    <row r="1409" ht="15.75" customHeight="1">
      <c r="A1409" s="9" t="s">
        <v>31010</v>
      </c>
      <c r="B1409" s="9" t="s">
        <v>11660</v>
      </c>
      <c r="C1409" s="8" t="s">
        <v>31011</v>
      </c>
      <c r="D1409" s="9" t="b">
        <v>0</v>
      </c>
      <c r="E1409" s="9" t="s">
        <v>24921</v>
      </c>
    </row>
    <row r="1410" ht="15.75" customHeight="1">
      <c r="A1410" s="9" t="s">
        <v>31012</v>
      </c>
      <c r="B1410" s="9" t="s">
        <v>11660</v>
      </c>
      <c r="C1410" s="8" t="s">
        <v>31013</v>
      </c>
      <c r="D1410" s="9" t="b">
        <v>0</v>
      </c>
      <c r="E1410" s="9" t="s">
        <v>30336</v>
      </c>
    </row>
    <row r="1411" ht="15.75" customHeight="1">
      <c r="A1411" s="9" t="s">
        <v>31014</v>
      </c>
      <c r="B1411" s="9" t="s">
        <v>11660</v>
      </c>
      <c r="C1411" s="8" t="s">
        <v>31015</v>
      </c>
      <c r="D1411" s="9" t="b">
        <v>0</v>
      </c>
      <c r="E1411" s="9" t="s">
        <v>29154</v>
      </c>
    </row>
    <row r="1412" ht="15.75" customHeight="1">
      <c r="A1412" s="9" t="s">
        <v>31016</v>
      </c>
      <c r="B1412" s="9" t="s">
        <v>11660</v>
      </c>
      <c r="C1412" s="8" t="s">
        <v>31017</v>
      </c>
      <c r="D1412" s="9" t="b">
        <v>0</v>
      </c>
      <c r="E1412" s="9" t="s">
        <v>12467</v>
      </c>
    </row>
    <row r="1413" ht="15.75" customHeight="1">
      <c r="A1413" s="9" t="s">
        <v>31018</v>
      </c>
      <c r="B1413" s="9" t="s">
        <v>11660</v>
      </c>
      <c r="C1413" s="8" t="s">
        <v>31019</v>
      </c>
      <c r="D1413" s="9" t="b">
        <v>0</v>
      </c>
      <c r="E1413" s="9" t="s">
        <v>31020</v>
      </c>
    </row>
    <row r="1414" ht="15.75" customHeight="1">
      <c r="A1414" s="9" t="s">
        <v>31021</v>
      </c>
      <c r="B1414" s="9" t="s">
        <v>11660</v>
      </c>
      <c r="C1414" s="8" t="s">
        <v>31022</v>
      </c>
      <c r="D1414" s="9" t="b">
        <v>0</v>
      </c>
      <c r="E1414" s="9" t="s">
        <v>31023</v>
      </c>
    </row>
    <row r="1415" ht="15.75" customHeight="1">
      <c r="A1415" s="9" t="s">
        <v>31024</v>
      </c>
      <c r="B1415" s="9" t="s">
        <v>11660</v>
      </c>
      <c r="C1415" s="8" t="s">
        <v>31025</v>
      </c>
      <c r="D1415" s="9" t="b">
        <v>0</v>
      </c>
      <c r="E1415" s="9" t="s">
        <v>29140</v>
      </c>
    </row>
    <row r="1416" ht="15.75" customHeight="1">
      <c r="A1416" s="9" t="s">
        <v>31026</v>
      </c>
      <c r="B1416" s="9" t="s">
        <v>11660</v>
      </c>
      <c r="C1416" s="8" t="s">
        <v>31027</v>
      </c>
      <c r="D1416" s="9" t="b">
        <v>0</v>
      </c>
      <c r="E1416" s="9" t="s">
        <v>30363</v>
      </c>
    </row>
    <row r="1417" ht="15.75" customHeight="1">
      <c r="A1417" s="9" t="s">
        <v>31028</v>
      </c>
      <c r="B1417" s="9" t="s">
        <v>11660</v>
      </c>
      <c r="C1417" s="8" t="s">
        <v>31029</v>
      </c>
      <c r="D1417" s="9" t="b">
        <v>0</v>
      </c>
      <c r="E1417" s="9" t="s">
        <v>31030</v>
      </c>
    </row>
    <row r="1418" ht="15.75" customHeight="1">
      <c r="A1418" s="9" t="s">
        <v>31031</v>
      </c>
      <c r="B1418" s="9" t="s">
        <v>11660</v>
      </c>
      <c r="C1418" s="8" t="s">
        <v>31032</v>
      </c>
      <c r="D1418" s="9" t="b">
        <v>0</v>
      </c>
      <c r="E1418" s="9" t="s">
        <v>31033</v>
      </c>
    </row>
    <row r="1419" ht="15.75" customHeight="1">
      <c r="A1419" s="9" t="s">
        <v>31034</v>
      </c>
      <c r="B1419" s="9" t="s">
        <v>11645</v>
      </c>
      <c r="C1419" s="8" t="s">
        <v>31035</v>
      </c>
      <c r="D1419" s="9" t="b">
        <v>1</v>
      </c>
      <c r="E1419" s="9" t="s">
        <v>31036</v>
      </c>
    </row>
    <row r="1420" ht="15.75" customHeight="1">
      <c r="A1420" s="9" t="s">
        <v>31037</v>
      </c>
      <c r="B1420" s="9" t="s">
        <v>11645</v>
      </c>
      <c r="C1420" s="8" t="s">
        <v>31038</v>
      </c>
      <c r="D1420" s="9" t="b">
        <v>0</v>
      </c>
      <c r="E1420" s="9" t="s">
        <v>15564</v>
      </c>
    </row>
    <row r="1421" ht="15.75" customHeight="1">
      <c r="A1421" s="9" t="s">
        <v>31039</v>
      </c>
      <c r="B1421" s="9" t="s">
        <v>11645</v>
      </c>
      <c r="C1421" s="8" t="s">
        <v>31040</v>
      </c>
      <c r="D1421" s="9" t="b">
        <v>0</v>
      </c>
      <c r="E1421" s="9" t="s">
        <v>31041</v>
      </c>
    </row>
    <row r="1422" ht="15.75" customHeight="1">
      <c r="A1422" s="9" t="s">
        <v>31042</v>
      </c>
      <c r="B1422" s="9" t="s">
        <v>11645</v>
      </c>
      <c r="C1422" s="8" t="s">
        <v>31043</v>
      </c>
      <c r="D1422" s="9" t="b">
        <v>0</v>
      </c>
      <c r="E1422" s="9" t="s">
        <v>31044</v>
      </c>
    </row>
    <row r="1423" ht="15.75" customHeight="1">
      <c r="A1423" s="9" t="s">
        <v>31045</v>
      </c>
      <c r="B1423" s="9" t="s">
        <v>11645</v>
      </c>
      <c r="C1423" s="8" t="s">
        <v>31046</v>
      </c>
      <c r="D1423" s="9" t="b">
        <v>0</v>
      </c>
      <c r="E1423" s="9" t="s">
        <v>29140</v>
      </c>
    </row>
    <row r="1424" ht="15.75" customHeight="1">
      <c r="A1424" s="9" t="s">
        <v>31047</v>
      </c>
      <c r="B1424" s="9" t="s">
        <v>11645</v>
      </c>
      <c r="C1424" s="8" t="s">
        <v>31048</v>
      </c>
      <c r="D1424" s="9" t="b">
        <v>0</v>
      </c>
      <c r="E1424" s="9" t="s">
        <v>30363</v>
      </c>
    </row>
    <row r="1425" ht="15.75" customHeight="1">
      <c r="A1425" s="9" t="s">
        <v>31049</v>
      </c>
      <c r="B1425" s="9" t="s">
        <v>11645</v>
      </c>
      <c r="C1425" s="8" t="s">
        <v>31050</v>
      </c>
      <c r="D1425" s="9" t="b">
        <v>0</v>
      </c>
      <c r="E1425" s="9" t="s">
        <v>29154</v>
      </c>
    </row>
    <row r="1426" ht="15.75" customHeight="1">
      <c r="A1426" s="9" t="s">
        <v>31051</v>
      </c>
      <c r="B1426" s="9" t="s">
        <v>11645</v>
      </c>
      <c r="C1426" s="8" t="s">
        <v>31052</v>
      </c>
      <c r="D1426" s="9" t="b">
        <v>0</v>
      </c>
      <c r="E1426" s="9" t="s">
        <v>31030</v>
      </c>
    </row>
    <row r="1427" ht="15.75" customHeight="1">
      <c r="A1427" s="9" t="s">
        <v>31053</v>
      </c>
      <c r="B1427" s="9" t="s">
        <v>11645</v>
      </c>
      <c r="C1427" s="8" t="s">
        <v>31054</v>
      </c>
      <c r="D1427" s="9" t="b">
        <v>0</v>
      </c>
      <c r="E1427" s="9" t="s">
        <v>31020</v>
      </c>
    </row>
    <row r="1428" ht="15.75" customHeight="1">
      <c r="A1428" s="9" t="s">
        <v>31055</v>
      </c>
      <c r="B1428" s="9" t="s">
        <v>11645</v>
      </c>
      <c r="C1428" s="8" t="s">
        <v>31056</v>
      </c>
      <c r="D1428" s="9" t="b">
        <v>0</v>
      </c>
      <c r="E1428" s="9" t="s">
        <v>12467</v>
      </c>
    </row>
    <row r="1429" ht="15.75" customHeight="1">
      <c r="A1429" s="9" t="s">
        <v>31057</v>
      </c>
      <c r="B1429" s="9" t="s">
        <v>11645</v>
      </c>
      <c r="C1429" s="8" t="s">
        <v>31058</v>
      </c>
      <c r="D1429" s="9" t="b">
        <v>0</v>
      </c>
      <c r="E1429" s="9" t="s">
        <v>30363</v>
      </c>
    </row>
    <row r="1430" ht="15.75" customHeight="1">
      <c r="A1430" s="9" t="s">
        <v>31059</v>
      </c>
      <c r="B1430" s="9" t="s">
        <v>11645</v>
      </c>
      <c r="C1430" s="8" t="s">
        <v>31060</v>
      </c>
      <c r="D1430" s="9" t="b">
        <v>0</v>
      </c>
      <c r="E1430" s="9" t="s">
        <v>31061</v>
      </c>
    </row>
    <row r="1431" ht="15.75" customHeight="1">
      <c r="A1431" s="9" t="s">
        <v>31062</v>
      </c>
      <c r="B1431" s="9" t="s">
        <v>11645</v>
      </c>
      <c r="C1431" s="8" t="s">
        <v>31063</v>
      </c>
      <c r="D1431" s="9" t="b">
        <v>0</v>
      </c>
      <c r="E1431" s="9" t="s">
        <v>31020</v>
      </c>
    </row>
    <row r="1432" ht="15.75" customHeight="1">
      <c r="A1432" s="9" t="s">
        <v>31064</v>
      </c>
      <c r="B1432" s="9" t="s">
        <v>11645</v>
      </c>
      <c r="C1432" s="8" t="s">
        <v>31065</v>
      </c>
      <c r="D1432" s="9" t="b">
        <v>0</v>
      </c>
      <c r="E1432" s="9" t="s">
        <v>801</v>
      </c>
    </row>
    <row r="1433" ht="15.75" customHeight="1">
      <c r="A1433" s="9" t="s">
        <v>31066</v>
      </c>
      <c r="B1433" s="9" t="s">
        <v>11645</v>
      </c>
      <c r="C1433" s="8" t="s">
        <v>31067</v>
      </c>
      <c r="D1433" s="9" t="b">
        <v>0</v>
      </c>
      <c r="E1433" s="9" t="s">
        <v>31068</v>
      </c>
    </row>
    <row r="1434" ht="15.75" customHeight="1">
      <c r="A1434" s="9" t="s">
        <v>31069</v>
      </c>
      <c r="B1434" s="9" t="s">
        <v>11645</v>
      </c>
      <c r="C1434" s="8" t="s">
        <v>31070</v>
      </c>
      <c r="D1434" s="9" t="b">
        <v>0</v>
      </c>
      <c r="E1434" s="9" t="s">
        <v>29140</v>
      </c>
    </row>
    <row r="1435" ht="15.75" customHeight="1">
      <c r="A1435" s="52" t="s">
        <v>31071</v>
      </c>
      <c r="B1435" s="9" t="s">
        <v>11645</v>
      </c>
      <c r="C1435" s="8" t="s">
        <v>31072</v>
      </c>
      <c r="D1435" s="9" t="b">
        <v>0</v>
      </c>
      <c r="E1435" s="9" t="s">
        <v>15564</v>
      </c>
    </row>
    <row r="1436" ht="15.75" customHeight="1">
      <c r="A1436" s="9" t="s">
        <v>31073</v>
      </c>
      <c r="B1436" s="9" t="s">
        <v>11645</v>
      </c>
      <c r="C1436" s="8" t="s">
        <v>31074</v>
      </c>
      <c r="D1436" s="9" t="b">
        <v>0</v>
      </c>
      <c r="E1436" s="9" t="s">
        <v>646</v>
      </c>
    </row>
    <row r="1437" ht="15.75" customHeight="1">
      <c r="A1437" s="9" t="s">
        <v>31075</v>
      </c>
      <c r="B1437" s="9" t="s">
        <v>11645</v>
      </c>
      <c r="C1437" s="8" t="s">
        <v>31076</v>
      </c>
      <c r="D1437" s="9" t="b">
        <v>0</v>
      </c>
      <c r="E1437" s="9" t="s">
        <v>31077</v>
      </c>
    </row>
    <row r="1438" ht="15.75" customHeight="1">
      <c r="A1438" s="9" t="s">
        <v>31078</v>
      </c>
      <c r="B1438" s="9" t="s">
        <v>10486</v>
      </c>
      <c r="C1438" s="8" t="s">
        <v>31079</v>
      </c>
      <c r="D1438" s="9" t="b">
        <v>1</v>
      </c>
      <c r="E1438" s="9"/>
    </row>
    <row r="1439" ht="15.75" customHeight="1">
      <c r="A1439" s="9" t="s">
        <v>31080</v>
      </c>
      <c r="B1439" s="9" t="s">
        <v>10486</v>
      </c>
      <c r="C1439" s="8" t="s">
        <v>31081</v>
      </c>
      <c r="D1439" s="9" t="b">
        <v>0</v>
      </c>
      <c r="E1439" s="9"/>
    </row>
    <row r="1440" ht="15.75" customHeight="1">
      <c r="A1440" s="9" t="s">
        <v>31082</v>
      </c>
      <c r="B1440" s="9" t="s">
        <v>10486</v>
      </c>
      <c r="C1440" s="8" t="s">
        <v>31083</v>
      </c>
      <c r="D1440" s="9" t="b">
        <v>0</v>
      </c>
      <c r="E1440" s="9"/>
    </row>
    <row r="1441" ht="15.75" customHeight="1">
      <c r="A1441" s="9" t="s">
        <v>31084</v>
      </c>
      <c r="B1441" s="9" t="s">
        <v>10486</v>
      </c>
      <c r="C1441" s="8" t="s">
        <v>31085</v>
      </c>
      <c r="D1441" s="9" t="b">
        <v>0</v>
      </c>
      <c r="E1441" s="9"/>
    </row>
    <row r="1442" ht="15.75" customHeight="1">
      <c r="A1442" s="9" t="s">
        <v>31086</v>
      </c>
      <c r="B1442" s="9" t="s">
        <v>10486</v>
      </c>
      <c r="C1442" s="8" t="s">
        <v>31087</v>
      </c>
      <c r="D1442" s="9" t="b">
        <v>0</v>
      </c>
      <c r="E1442" s="9"/>
    </row>
    <row r="1443" ht="15.75" customHeight="1">
      <c r="A1443" s="9" t="s">
        <v>31088</v>
      </c>
      <c r="B1443" s="9" t="s">
        <v>10486</v>
      </c>
      <c r="C1443" s="8" t="s">
        <v>31089</v>
      </c>
      <c r="D1443" s="9" t="b">
        <v>0</v>
      </c>
      <c r="E1443" s="9"/>
    </row>
    <row r="1444" ht="15.75" customHeight="1">
      <c r="A1444" s="9" t="s">
        <v>31090</v>
      </c>
      <c r="B1444" s="9" t="s">
        <v>10486</v>
      </c>
      <c r="C1444" s="8" t="s">
        <v>31091</v>
      </c>
      <c r="D1444" s="9" t="b">
        <v>0</v>
      </c>
      <c r="E1444" s="9"/>
    </row>
    <row r="1445" ht="15.75" customHeight="1">
      <c r="A1445" s="9" t="s">
        <v>31092</v>
      </c>
      <c r="B1445" s="9" t="s">
        <v>10486</v>
      </c>
      <c r="C1445" s="8" t="s">
        <v>31093</v>
      </c>
      <c r="D1445" s="9" t="b">
        <v>0</v>
      </c>
      <c r="E1445" s="9"/>
    </row>
    <row r="1446" ht="15.75" customHeight="1">
      <c r="A1446" s="9" t="s">
        <v>31094</v>
      </c>
      <c r="B1446" s="9" t="s">
        <v>10486</v>
      </c>
      <c r="C1446" s="8" t="s">
        <v>31095</v>
      </c>
      <c r="D1446" s="9" t="b">
        <v>0</v>
      </c>
      <c r="E1446" s="9"/>
    </row>
    <row r="1447" ht="15.75" customHeight="1">
      <c r="A1447" s="9" t="s">
        <v>31096</v>
      </c>
      <c r="B1447" s="9" t="s">
        <v>10486</v>
      </c>
      <c r="C1447" s="8" t="s">
        <v>31097</v>
      </c>
      <c r="D1447" s="9" t="b">
        <v>0</v>
      </c>
      <c r="E1447" s="9"/>
    </row>
    <row r="1448" ht="15.75" customHeight="1">
      <c r="A1448" s="9" t="s">
        <v>31098</v>
      </c>
      <c r="B1448" s="9" t="s">
        <v>10486</v>
      </c>
      <c r="C1448" s="8" t="s">
        <v>31099</v>
      </c>
      <c r="D1448" s="9" t="b">
        <v>0</v>
      </c>
      <c r="E1448" s="9"/>
    </row>
    <row r="1449" ht="15.75" customHeight="1">
      <c r="A1449" s="9" t="s">
        <v>31100</v>
      </c>
      <c r="B1449" s="9" t="s">
        <v>10486</v>
      </c>
      <c r="C1449" s="8" t="s">
        <v>31101</v>
      </c>
      <c r="D1449" s="9" t="b">
        <v>0</v>
      </c>
      <c r="E1449" s="9"/>
    </row>
    <row r="1450" ht="15.75" customHeight="1">
      <c r="A1450" s="9"/>
      <c r="B1450" s="9"/>
      <c r="C1450" s="9"/>
      <c r="D1450" s="9"/>
      <c r="E1450" s="9"/>
    </row>
    <row r="1451" ht="15.75" customHeight="1">
      <c r="A1451" s="9"/>
      <c r="B1451" s="9"/>
      <c r="C1451" s="9"/>
      <c r="D1451" s="9"/>
      <c r="E1451" s="9"/>
    </row>
    <row r="1452" ht="15.75" customHeight="1">
      <c r="A1452" s="9" t="s">
        <v>31102</v>
      </c>
      <c r="B1452" s="9" t="s">
        <v>12185</v>
      </c>
      <c r="C1452" s="8" t="s">
        <v>31103</v>
      </c>
      <c r="D1452" s="9" t="b">
        <v>0</v>
      </c>
      <c r="E1452" s="9"/>
    </row>
    <row r="1453" ht="15.75" customHeight="1">
      <c r="A1453" s="9" t="s">
        <v>31104</v>
      </c>
      <c r="B1453" s="9" t="s">
        <v>12185</v>
      </c>
      <c r="C1453" s="8" t="s">
        <v>31105</v>
      </c>
      <c r="D1453" s="9" t="b">
        <v>0</v>
      </c>
      <c r="E1453" s="9"/>
    </row>
    <row r="1454" ht="15.75" customHeight="1">
      <c r="A1454" s="9" t="s">
        <v>31106</v>
      </c>
      <c r="B1454" s="9" t="s">
        <v>12185</v>
      </c>
      <c r="C1454" s="8" t="s">
        <v>31107</v>
      </c>
      <c r="D1454" s="9" t="b">
        <v>0</v>
      </c>
      <c r="E1454" s="9"/>
    </row>
    <row r="1455" ht="15.75" customHeight="1">
      <c r="A1455" s="9" t="s">
        <v>31108</v>
      </c>
      <c r="B1455" s="9" t="s">
        <v>12185</v>
      </c>
      <c r="C1455" s="8" t="s">
        <v>31109</v>
      </c>
      <c r="D1455" s="9" t="b">
        <v>1</v>
      </c>
      <c r="E1455" s="9"/>
    </row>
    <row r="1456" ht="15.75" customHeight="1">
      <c r="A1456" s="9" t="s">
        <v>31110</v>
      </c>
      <c r="B1456" s="9" t="s">
        <v>12185</v>
      </c>
      <c r="C1456" s="8" t="s">
        <v>31111</v>
      </c>
      <c r="D1456" s="9" t="b">
        <v>0</v>
      </c>
      <c r="E1456" s="9"/>
    </row>
    <row r="1457" ht="15.75" customHeight="1">
      <c r="A1457" s="9" t="s">
        <v>31112</v>
      </c>
      <c r="B1457" s="9" t="s">
        <v>11884</v>
      </c>
      <c r="C1457" s="8" t="s">
        <v>31113</v>
      </c>
      <c r="D1457" s="9" t="b">
        <v>1</v>
      </c>
      <c r="E1457" s="9" t="s">
        <v>31114</v>
      </c>
    </row>
    <row r="1458" ht="15.75" customHeight="1">
      <c r="A1458" s="9" t="s">
        <v>31115</v>
      </c>
      <c r="B1458" s="9" t="s">
        <v>11884</v>
      </c>
      <c r="C1458" s="8" t="s">
        <v>31116</v>
      </c>
      <c r="D1458" s="9" t="b">
        <v>0</v>
      </c>
      <c r="E1458" s="9" t="s">
        <v>31117</v>
      </c>
    </row>
    <row r="1459" ht="15.75" customHeight="1">
      <c r="A1459" s="9" t="s">
        <v>31118</v>
      </c>
      <c r="B1459" s="9" t="s">
        <v>11884</v>
      </c>
      <c r="C1459" s="8" t="s">
        <v>31119</v>
      </c>
      <c r="D1459" s="9" t="b">
        <v>0</v>
      </c>
      <c r="E1459" s="9" t="s">
        <v>31120</v>
      </c>
    </row>
    <row r="1460" ht="15.75" customHeight="1">
      <c r="A1460" s="9" t="s">
        <v>31121</v>
      </c>
      <c r="B1460" s="9" t="s">
        <v>11805</v>
      </c>
      <c r="C1460" s="8" t="s">
        <v>31122</v>
      </c>
      <c r="D1460" s="9" t="b">
        <v>0</v>
      </c>
      <c r="E1460" s="9"/>
    </row>
    <row r="1461" ht="15.75" customHeight="1">
      <c r="A1461" s="9" t="s">
        <v>31123</v>
      </c>
      <c r="B1461" s="9" t="s">
        <v>11805</v>
      </c>
      <c r="C1461" s="8" t="s">
        <v>31124</v>
      </c>
      <c r="D1461" s="9" t="b">
        <v>0</v>
      </c>
      <c r="E1461" s="9"/>
    </row>
    <row r="1462" ht="15.75" customHeight="1">
      <c r="A1462" s="9" t="s">
        <v>31125</v>
      </c>
      <c r="B1462" s="9" t="s">
        <v>11805</v>
      </c>
      <c r="C1462" s="8" t="s">
        <v>31126</v>
      </c>
      <c r="D1462" s="9" t="b">
        <v>0</v>
      </c>
      <c r="E1462" s="9"/>
    </row>
    <row r="1463" ht="15.75" customHeight="1">
      <c r="A1463" s="9" t="s">
        <v>31127</v>
      </c>
      <c r="B1463" s="9" t="s">
        <v>11805</v>
      </c>
      <c r="C1463" s="8" t="s">
        <v>31128</v>
      </c>
      <c r="D1463" s="9" t="b">
        <v>1</v>
      </c>
      <c r="E1463" s="9"/>
    </row>
    <row r="1464" ht="15.75" customHeight="1">
      <c r="A1464" s="9" t="s">
        <v>31129</v>
      </c>
      <c r="B1464" s="9" t="s">
        <v>11805</v>
      </c>
      <c r="C1464" s="8" t="s">
        <v>31130</v>
      </c>
      <c r="D1464" s="9" t="b">
        <v>0</v>
      </c>
      <c r="E1464" s="9"/>
    </row>
    <row r="1465" ht="15.75" customHeight="1">
      <c r="A1465" s="9" t="s">
        <v>31131</v>
      </c>
      <c r="B1465" s="9" t="s">
        <v>11805</v>
      </c>
      <c r="C1465" s="8" t="s">
        <v>31132</v>
      </c>
      <c r="D1465" s="9" t="b">
        <v>0</v>
      </c>
      <c r="E1465" s="9"/>
    </row>
    <row r="1466" ht="15.75" customHeight="1">
      <c r="A1466" s="9" t="s">
        <v>31133</v>
      </c>
      <c r="B1466" s="9" t="s">
        <v>10600</v>
      </c>
      <c r="C1466" s="8" t="s">
        <v>31134</v>
      </c>
      <c r="D1466" s="9" t="b">
        <v>0</v>
      </c>
      <c r="E1466" s="9"/>
    </row>
    <row r="1467" ht="15.75" customHeight="1">
      <c r="A1467" s="9" t="s">
        <v>31135</v>
      </c>
      <c r="B1467" s="9" t="s">
        <v>10600</v>
      </c>
      <c r="C1467" s="8" t="s">
        <v>31136</v>
      </c>
      <c r="D1467" s="9" t="b">
        <v>0</v>
      </c>
      <c r="E1467" s="9"/>
    </row>
    <row r="1468" ht="15.75" customHeight="1">
      <c r="A1468" s="9" t="s">
        <v>31137</v>
      </c>
      <c r="B1468" s="9" t="s">
        <v>10600</v>
      </c>
      <c r="C1468" s="8" t="s">
        <v>31138</v>
      </c>
      <c r="D1468" s="9" t="b">
        <v>0</v>
      </c>
      <c r="E1468" s="9"/>
    </row>
    <row r="1469" ht="15.75" customHeight="1">
      <c r="A1469" s="9" t="s">
        <v>31139</v>
      </c>
      <c r="B1469" s="9" t="s">
        <v>10600</v>
      </c>
      <c r="C1469" s="8" t="s">
        <v>31140</v>
      </c>
      <c r="D1469" s="9" t="b">
        <v>0</v>
      </c>
      <c r="E1469" s="9"/>
    </row>
    <row r="1470" ht="15.75" customHeight="1">
      <c r="A1470" s="9" t="s">
        <v>31141</v>
      </c>
      <c r="B1470" s="9" t="s">
        <v>10600</v>
      </c>
      <c r="C1470" s="8" t="s">
        <v>31142</v>
      </c>
      <c r="D1470" s="9" t="b">
        <v>0</v>
      </c>
      <c r="E1470" s="9"/>
    </row>
    <row r="1471" ht="15.75" customHeight="1">
      <c r="A1471" s="9" t="s">
        <v>31143</v>
      </c>
      <c r="B1471" s="9" t="s">
        <v>10600</v>
      </c>
      <c r="C1471" s="8" t="s">
        <v>31144</v>
      </c>
      <c r="D1471" s="9" t="b">
        <v>1</v>
      </c>
      <c r="E1471" s="9"/>
    </row>
    <row r="1472" ht="15.75" customHeight="1">
      <c r="A1472" s="9" t="s">
        <v>31145</v>
      </c>
      <c r="B1472" s="9" t="s">
        <v>10600</v>
      </c>
      <c r="C1472" s="8" t="s">
        <v>31146</v>
      </c>
      <c r="D1472" s="9" t="b">
        <v>0</v>
      </c>
      <c r="E1472" s="9"/>
    </row>
    <row r="1473" ht="15.75" customHeight="1">
      <c r="A1473" s="9" t="s">
        <v>31147</v>
      </c>
      <c r="B1473" s="9" t="s">
        <v>10600</v>
      </c>
      <c r="C1473" s="8" t="s">
        <v>31148</v>
      </c>
      <c r="D1473" s="9" t="b">
        <v>0</v>
      </c>
      <c r="E1473" s="9"/>
    </row>
    <row r="1474" ht="15.75" customHeight="1">
      <c r="A1474" s="9" t="s">
        <v>31149</v>
      </c>
      <c r="B1474" s="9" t="s">
        <v>11805</v>
      </c>
      <c r="C1474" s="8" t="s">
        <v>31150</v>
      </c>
      <c r="D1474" s="9" t="b">
        <v>0</v>
      </c>
      <c r="E1474" s="9"/>
    </row>
    <row r="1475" ht="15.75" customHeight="1">
      <c r="A1475" s="9" t="s">
        <v>31151</v>
      </c>
      <c r="B1475" s="9" t="s">
        <v>8779</v>
      </c>
      <c r="C1475" s="8" t="s">
        <v>31152</v>
      </c>
      <c r="D1475" s="9" t="b">
        <v>0</v>
      </c>
      <c r="E1475" s="9"/>
    </row>
    <row r="1476" ht="15.75" customHeight="1">
      <c r="A1476" s="9" t="s">
        <v>31153</v>
      </c>
      <c r="B1476" s="9" t="s">
        <v>8779</v>
      </c>
      <c r="C1476" s="8" t="s">
        <v>31154</v>
      </c>
      <c r="D1476" s="9" t="b">
        <v>0</v>
      </c>
      <c r="E1476" s="9"/>
    </row>
    <row r="1477" ht="15.75" customHeight="1">
      <c r="A1477" s="52" t="s">
        <v>31155</v>
      </c>
      <c r="B1477" s="9" t="s">
        <v>8779</v>
      </c>
      <c r="C1477" s="8" t="s">
        <v>31156</v>
      </c>
      <c r="D1477" s="9" t="b">
        <v>1</v>
      </c>
      <c r="E1477" s="9"/>
    </row>
    <row r="1478" ht="15.75" customHeight="1">
      <c r="A1478" s="9" t="s">
        <v>31157</v>
      </c>
      <c r="B1478" s="9" t="s">
        <v>8779</v>
      </c>
      <c r="C1478" s="8" t="s">
        <v>31158</v>
      </c>
      <c r="D1478" s="9" t="b">
        <v>0</v>
      </c>
      <c r="E1478" s="9"/>
    </row>
    <row r="1479" ht="15.75" customHeight="1">
      <c r="A1479" s="9" t="s">
        <v>31159</v>
      </c>
      <c r="B1479" s="9" t="s">
        <v>8779</v>
      </c>
      <c r="C1479" s="8" t="s">
        <v>31160</v>
      </c>
      <c r="D1479" s="9" t="b">
        <v>0</v>
      </c>
      <c r="E1479" s="9"/>
    </row>
    <row r="1480" ht="15.75" customHeight="1">
      <c r="A1480" s="9" t="s">
        <v>31161</v>
      </c>
      <c r="B1480" s="9" t="s">
        <v>8779</v>
      </c>
      <c r="C1480" s="8" t="s">
        <v>31162</v>
      </c>
      <c r="D1480" s="9" t="b">
        <v>0</v>
      </c>
      <c r="E1480" s="9"/>
    </row>
    <row r="1481" ht="15.75" customHeight="1">
      <c r="A1481" s="9" t="s">
        <v>31163</v>
      </c>
      <c r="B1481" s="9" t="s">
        <v>8779</v>
      </c>
      <c r="C1481" s="8" t="s">
        <v>31164</v>
      </c>
      <c r="D1481" s="9" t="b">
        <v>0</v>
      </c>
      <c r="E1481" s="9"/>
    </row>
    <row r="1482" ht="15.75" customHeight="1">
      <c r="A1482" s="9" t="s">
        <v>31165</v>
      </c>
      <c r="B1482" s="9" t="s">
        <v>8779</v>
      </c>
      <c r="C1482" s="8" t="s">
        <v>31166</v>
      </c>
      <c r="D1482" s="9" t="b">
        <v>0</v>
      </c>
      <c r="E1482" s="9"/>
    </row>
    <row r="1483" ht="15.75" customHeight="1">
      <c r="A1483" s="9" t="s">
        <v>31167</v>
      </c>
      <c r="B1483" s="9" t="s">
        <v>8779</v>
      </c>
      <c r="C1483" s="8" t="s">
        <v>31168</v>
      </c>
      <c r="D1483" s="9" t="b">
        <v>0</v>
      </c>
      <c r="E1483" s="9"/>
    </row>
    <row r="1484" ht="15.75" customHeight="1">
      <c r="A1484" s="9" t="s">
        <v>31169</v>
      </c>
      <c r="B1484" s="9" t="s">
        <v>8779</v>
      </c>
      <c r="C1484" s="8" t="s">
        <v>31170</v>
      </c>
      <c r="D1484" s="9" t="b">
        <v>0</v>
      </c>
      <c r="E1484" s="9"/>
    </row>
    <row r="1485" ht="15.75" customHeight="1">
      <c r="A1485" s="9" t="s">
        <v>31171</v>
      </c>
      <c r="B1485" s="9" t="s">
        <v>8779</v>
      </c>
      <c r="C1485" s="8" t="s">
        <v>31172</v>
      </c>
      <c r="D1485" s="9" t="b">
        <v>0</v>
      </c>
      <c r="E1485" s="9"/>
    </row>
    <row r="1486" ht="15.75" customHeight="1">
      <c r="A1486" s="9" t="s">
        <v>31173</v>
      </c>
      <c r="B1486" s="9" t="s">
        <v>11917</v>
      </c>
      <c r="C1486" s="8" t="s">
        <v>31174</v>
      </c>
      <c r="D1486" s="9" t="b">
        <v>0</v>
      </c>
      <c r="E1486" s="9"/>
    </row>
    <row r="1487" ht="15.75" customHeight="1">
      <c r="A1487" s="9" t="s">
        <v>31175</v>
      </c>
      <c r="B1487" s="9" t="s">
        <v>11917</v>
      </c>
      <c r="C1487" s="8" t="s">
        <v>31176</v>
      </c>
      <c r="D1487" s="9" t="b">
        <v>0</v>
      </c>
      <c r="E1487" s="9"/>
    </row>
    <row r="1488" ht="15.75" customHeight="1">
      <c r="A1488" s="9" t="s">
        <v>31177</v>
      </c>
      <c r="B1488" s="9" t="s">
        <v>11917</v>
      </c>
      <c r="C1488" s="8" t="s">
        <v>31178</v>
      </c>
      <c r="D1488" s="9" t="b">
        <v>0</v>
      </c>
      <c r="E1488" s="9"/>
    </row>
    <row r="1489" ht="15.75" customHeight="1">
      <c r="A1489" s="9" t="s">
        <v>31179</v>
      </c>
      <c r="B1489" s="9" t="s">
        <v>11917</v>
      </c>
      <c r="C1489" s="8" t="s">
        <v>31180</v>
      </c>
      <c r="D1489" s="9" t="b">
        <v>0</v>
      </c>
      <c r="E1489" s="9"/>
    </row>
    <row r="1490" ht="15.75" customHeight="1">
      <c r="A1490" s="9" t="s">
        <v>31181</v>
      </c>
      <c r="B1490" s="9" t="s">
        <v>11917</v>
      </c>
      <c r="C1490" s="8" t="s">
        <v>31182</v>
      </c>
      <c r="D1490" s="9" t="b">
        <v>0</v>
      </c>
      <c r="E1490" s="9"/>
    </row>
    <row r="1491" ht="15.75" customHeight="1">
      <c r="A1491" s="9" t="s">
        <v>31183</v>
      </c>
      <c r="B1491" s="9" t="s">
        <v>11917</v>
      </c>
      <c r="C1491" s="8" t="s">
        <v>31184</v>
      </c>
      <c r="D1491" s="9" t="b">
        <v>0</v>
      </c>
      <c r="E1491" s="9"/>
    </row>
    <row r="1492" ht="15.75" customHeight="1">
      <c r="A1492" s="9" t="s">
        <v>31185</v>
      </c>
      <c r="B1492" s="9" t="s">
        <v>11917</v>
      </c>
      <c r="C1492" s="8" t="s">
        <v>31186</v>
      </c>
      <c r="D1492" s="9" t="b">
        <v>0</v>
      </c>
      <c r="E1492" s="9"/>
    </row>
    <row r="1493" ht="15.75" customHeight="1">
      <c r="A1493" s="9" t="s">
        <v>31187</v>
      </c>
      <c r="B1493" s="9" t="s">
        <v>11917</v>
      </c>
      <c r="C1493" s="8" t="s">
        <v>31188</v>
      </c>
      <c r="D1493" s="9" t="b">
        <v>1</v>
      </c>
      <c r="E1493" s="9"/>
    </row>
    <row r="1494" ht="15.75" customHeight="1">
      <c r="A1494" s="9" t="s">
        <v>31189</v>
      </c>
      <c r="B1494" s="9" t="s">
        <v>11870</v>
      </c>
      <c r="C1494" s="8" t="s">
        <v>31190</v>
      </c>
      <c r="D1494" s="9" t="b">
        <v>0</v>
      </c>
      <c r="E1494" s="9"/>
    </row>
    <row r="1495" ht="15.75" customHeight="1">
      <c r="A1495" s="9" t="s">
        <v>31191</v>
      </c>
      <c r="B1495" s="9" t="s">
        <v>11870</v>
      </c>
      <c r="C1495" s="8" t="s">
        <v>31192</v>
      </c>
      <c r="D1495" s="9" t="b">
        <v>0</v>
      </c>
      <c r="E1495" s="9"/>
    </row>
    <row r="1496" ht="15.75" customHeight="1">
      <c r="A1496" s="9" t="s">
        <v>31193</v>
      </c>
      <c r="B1496" s="9" t="s">
        <v>11870</v>
      </c>
      <c r="C1496" s="8" t="s">
        <v>31194</v>
      </c>
      <c r="D1496" s="9" t="b">
        <v>0</v>
      </c>
      <c r="E1496" s="9"/>
    </row>
    <row r="1497" ht="15.75" customHeight="1">
      <c r="A1497" s="9" t="s">
        <v>31195</v>
      </c>
      <c r="B1497" s="9" t="s">
        <v>11870</v>
      </c>
      <c r="C1497" s="8" t="s">
        <v>31196</v>
      </c>
      <c r="D1497" s="9" t="b">
        <v>0</v>
      </c>
      <c r="E1497" s="9"/>
    </row>
    <row r="1498" ht="15.75" customHeight="1">
      <c r="A1498" s="9" t="s">
        <v>31197</v>
      </c>
      <c r="B1498" s="9" t="s">
        <v>11870</v>
      </c>
      <c r="C1498" s="8" t="s">
        <v>31198</v>
      </c>
      <c r="D1498" s="9" t="b">
        <v>0</v>
      </c>
      <c r="E1498" s="9"/>
    </row>
    <row r="1499" ht="15.75" customHeight="1">
      <c r="A1499" s="9" t="s">
        <v>31199</v>
      </c>
      <c r="B1499" s="9" t="s">
        <v>11870</v>
      </c>
      <c r="C1499" s="8" t="s">
        <v>31200</v>
      </c>
      <c r="D1499" s="9" t="b">
        <v>0</v>
      </c>
      <c r="E1499" s="9"/>
    </row>
    <row r="1500" ht="15.75" customHeight="1">
      <c r="A1500" s="9" t="s">
        <v>31201</v>
      </c>
      <c r="B1500" s="9" t="s">
        <v>11870</v>
      </c>
      <c r="C1500" s="8" t="s">
        <v>31202</v>
      </c>
      <c r="D1500" s="9" t="b">
        <v>0</v>
      </c>
      <c r="E1500" s="9"/>
    </row>
    <row r="1501" ht="15.75" customHeight="1">
      <c r="A1501" s="9" t="s">
        <v>31203</v>
      </c>
      <c r="B1501" s="9" t="s">
        <v>11870</v>
      </c>
      <c r="C1501" s="8" t="s">
        <v>31204</v>
      </c>
      <c r="D1501" s="9" t="b">
        <v>0</v>
      </c>
      <c r="E1501" s="9"/>
    </row>
    <row r="1502" ht="15.75" customHeight="1">
      <c r="A1502" s="9" t="s">
        <v>31205</v>
      </c>
      <c r="B1502" s="9" t="s">
        <v>11870</v>
      </c>
      <c r="C1502" s="8" t="s">
        <v>31206</v>
      </c>
      <c r="D1502" s="9" t="b">
        <v>0</v>
      </c>
      <c r="E1502" s="9"/>
    </row>
    <row r="1503" ht="15.75" customHeight="1">
      <c r="A1503" s="9" t="s">
        <v>31207</v>
      </c>
      <c r="B1503" s="9" t="s">
        <v>11870</v>
      </c>
      <c r="C1503" s="8" t="s">
        <v>31208</v>
      </c>
      <c r="D1503" s="9" t="b">
        <v>0</v>
      </c>
      <c r="E1503" s="9"/>
    </row>
    <row r="1504" ht="15.75" customHeight="1">
      <c r="A1504" s="52" t="s">
        <v>31209</v>
      </c>
      <c r="B1504" s="9" t="s">
        <v>11870</v>
      </c>
      <c r="C1504" s="8" t="s">
        <v>31210</v>
      </c>
      <c r="D1504" s="9" t="b">
        <v>1</v>
      </c>
      <c r="E1504" s="9"/>
    </row>
    <row r="1505" ht="15.75" customHeight="1">
      <c r="A1505" s="9" t="s">
        <v>31211</v>
      </c>
      <c r="B1505" s="9" t="s">
        <v>11870</v>
      </c>
      <c r="C1505" s="8" t="s">
        <v>31212</v>
      </c>
      <c r="D1505" s="9" t="b">
        <v>0</v>
      </c>
      <c r="E1505" s="9"/>
    </row>
    <row r="1506" ht="15.75" customHeight="1">
      <c r="A1506" s="9" t="s">
        <v>31213</v>
      </c>
      <c r="B1506" s="9" t="s">
        <v>11870</v>
      </c>
      <c r="C1506" s="8" t="s">
        <v>31214</v>
      </c>
      <c r="D1506" s="9" t="b">
        <v>0</v>
      </c>
      <c r="E1506" s="9"/>
    </row>
    <row r="1507" ht="15.75" customHeight="1">
      <c r="A1507" s="9" t="s">
        <v>31215</v>
      </c>
      <c r="B1507" s="9" t="s">
        <v>11870</v>
      </c>
      <c r="C1507" s="8" t="s">
        <v>31216</v>
      </c>
      <c r="D1507" s="9" t="b">
        <v>0</v>
      </c>
      <c r="E1507" s="9"/>
    </row>
    <row r="1508" ht="15.75" customHeight="1">
      <c r="A1508" s="9" t="s">
        <v>31217</v>
      </c>
      <c r="B1508" s="9" t="s">
        <v>11870</v>
      </c>
      <c r="C1508" s="8" t="s">
        <v>31218</v>
      </c>
      <c r="D1508" s="9" t="b">
        <v>0</v>
      </c>
      <c r="E1508" s="9"/>
    </row>
    <row r="1509" ht="15.75" customHeight="1">
      <c r="A1509" s="9" t="s">
        <v>31219</v>
      </c>
      <c r="B1509" s="9" t="s">
        <v>11870</v>
      </c>
      <c r="C1509" s="8" t="s">
        <v>31220</v>
      </c>
      <c r="D1509" s="9" t="b">
        <v>0</v>
      </c>
      <c r="E1509" s="9"/>
    </row>
    <row r="1510" ht="15.75" customHeight="1">
      <c r="A1510" s="9" t="s">
        <v>31221</v>
      </c>
      <c r="B1510" s="9" t="s">
        <v>10725</v>
      </c>
      <c r="C1510" s="8" t="s">
        <v>31222</v>
      </c>
      <c r="D1510" s="9" t="b">
        <v>1</v>
      </c>
      <c r="E1510" s="9" t="s">
        <v>31223</v>
      </c>
    </row>
    <row r="1511" ht="15.75" customHeight="1">
      <c r="A1511" s="9" t="s">
        <v>31224</v>
      </c>
      <c r="B1511" s="9" t="s">
        <v>10725</v>
      </c>
      <c r="C1511" s="8" t="s">
        <v>31225</v>
      </c>
      <c r="D1511" s="9" t="b">
        <v>0</v>
      </c>
      <c r="E1511" s="9" t="s">
        <v>30803</v>
      </c>
    </row>
    <row r="1512" ht="15.75" customHeight="1">
      <c r="A1512" s="9" t="s">
        <v>31226</v>
      </c>
      <c r="B1512" s="9" t="s">
        <v>10725</v>
      </c>
      <c r="C1512" s="8" t="s">
        <v>31227</v>
      </c>
      <c r="D1512" s="9" t="b">
        <v>0</v>
      </c>
      <c r="E1512" s="9" t="s">
        <v>31228</v>
      </c>
    </row>
    <row r="1513" ht="15.75" customHeight="1">
      <c r="A1513" s="9" t="s">
        <v>31229</v>
      </c>
      <c r="B1513" s="9" t="s">
        <v>10725</v>
      </c>
      <c r="C1513" s="8" t="s">
        <v>31230</v>
      </c>
      <c r="D1513" s="9" t="b">
        <v>0</v>
      </c>
      <c r="E1513" s="9" t="s">
        <v>29154</v>
      </c>
    </row>
    <row r="1514" ht="15.75" customHeight="1">
      <c r="A1514" s="9" t="s">
        <v>31231</v>
      </c>
      <c r="B1514" s="9" t="s">
        <v>10725</v>
      </c>
      <c r="C1514" s="8" t="s">
        <v>31232</v>
      </c>
      <c r="D1514" s="9" t="b">
        <v>0</v>
      </c>
      <c r="E1514" s="9" t="s">
        <v>31233</v>
      </c>
    </row>
    <row r="1515" ht="15.75" customHeight="1">
      <c r="A1515" s="9" t="s">
        <v>31234</v>
      </c>
      <c r="B1515" s="9" t="s">
        <v>10725</v>
      </c>
      <c r="C1515" s="8" t="s">
        <v>31235</v>
      </c>
      <c r="D1515" s="9" t="b">
        <v>0</v>
      </c>
      <c r="E1515" s="9" t="s">
        <v>12467</v>
      </c>
    </row>
    <row r="1516" ht="15.75" customHeight="1">
      <c r="A1516" s="9" t="s">
        <v>31236</v>
      </c>
      <c r="B1516" s="9" t="s">
        <v>10725</v>
      </c>
      <c r="C1516" s="8" t="s">
        <v>31237</v>
      </c>
      <c r="D1516" s="9" t="b">
        <v>0</v>
      </c>
      <c r="E1516" s="9" t="s">
        <v>31238</v>
      </c>
    </row>
    <row r="1517" ht="15.75" customHeight="1">
      <c r="A1517" s="9" t="s">
        <v>31239</v>
      </c>
      <c r="B1517" s="9" t="s">
        <v>10725</v>
      </c>
      <c r="C1517" s="8" t="s">
        <v>31240</v>
      </c>
      <c r="D1517" s="9" t="b">
        <v>0</v>
      </c>
      <c r="E1517" s="9" t="s">
        <v>30347</v>
      </c>
    </row>
    <row r="1518" ht="15.75" customHeight="1">
      <c r="A1518" s="9" t="s">
        <v>31241</v>
      </c>
      <c r="B1518" s="9" t="s">
        <v>10725</v>
      </c>
      <c r="C1518" s="8" t="s">
        <v>31242</v>
      </c>
      <c r="D1518" s="9" t="b">
        <v>0</v>
      </c>
      <c r="E1518" s="9" t="s">
        <v>31243</v>
      </c>
    </row>
    <row r="1519" ht="15.75" customHeight="1">
      <c r="A1519" s="9" t="s">
        <v>31244</v>
      </c>
      <c r="B1519" s="9" t="s">
        <v>10725</v>
      </c>
      <c r="C1519" s="8" t="s">
        <v>31245</v>
      </c>
      <c r="D1519" s="9" t="b">
        <v>0</v>
      </c>
      <c r="E1519" s="9" t="s">
        <v>30363</v>
      </c>
    </row>
    <row r="1520" ht="15.75" customHeight="1">
      <c r="A1520" s="9" t="s">
        <v>31246</v>
      </c>
      <c r="B1520" s="9" t="s">
        <v>10725</v>
      </c>
      <c r="C1520" s="8" t="s">
        <v>31247</v>
      </c>
      <c r="D1520" s="9" t="b">
        <v>0</v>
      </c>
      <c r="E1520" s="9" t="s">
        <v>30363</v>
      </c>
    </row>
    <row r="1521" ht="15.75" customHeight="1">
      <c r="A1521" s="9" t="s">
        <v>31248</v>
      </c>
      <c r="B1521" s="9" t="s">
        <v>10705</v>
      </c>
      <c r="C1521" s="8" t="s">
        <v>31249</v>
      </c>
      <c r="D1521" s="9" t="b">
        <v>0</v>
      </c>
      <c r="E1521" s="9" t="s">
        <v>12467</v>
      </c>
    </row>
    <row r="1522" ht="15.75" customHeight="1">
      <c r="A1522" s="9" t="s">
        <v>31250</v>
      </c>
      <c r="B1522" s="9" t="s">
        <v>10705</v>
      </c>
      <c r="C1522" s="8" t="s">
        <v>31251</v>
      </c>
      <c r="D1522" s="9" t="b">
        <v>0</v>
      </c>
      <c r="E1522" s="9" t="s">
        <v>29140</v>
      </c>
    </row>
    <row r="1523" ht="15.75" customHeight="1">
      <c r="A1523" s="9" t="s">
        <v>31252</v>
      </c>
      <c r="B1523" s="9" t="s">
        <v>10705</v>
      </c>
      <c r="C1523" s="8" t="s">
        <v>31253</v>
      </c>
      <c r="D1523" s="9" t="b">
        <v>0</v>
      </c>
      <c r="E1523" s="9" t="s">
        <v>15564</v>
      </c>
    </row>
    <row r="1524" ht="15.75" customHeight="1">
      <c r="A1524" s="9" t="s">
        <v>31254</v>
      </c>
      <c r="B1524" s="9" t="s">
        <v>10705</v>
      </c>
      <c r="C1524" s="8" t="s">
        <v>31255</v>
      </c>
      <c r="D1524" s="9" t="b">
        <v>0</v>
      </c>
      <c r="E1524" s="9" t="s">
        <v>30347</v>
      </c>
    </row>
    <row r="1525" ht="15.75" customHeight="1">
      <c r="A1525" s="9" t="s">
        <v>31256</v>
      </c>
      <c r="B1525" s="9" t="s">
        <v>10705</v>
      </c>
      <c r="C1525" s="8" t="s">
        <v>31257</v>
      </c>
      <c r="D1525" s="9" t="b">
        <v>0</v>
      </c>
      <c r="E1525" s="9" t="s">
        <v>30363</v>
      </c>
    </row>
    <row r="1526" ht="15.75" customHeight="1">
      <c r="A1526" s="9" t="s">
        <v>31258</v>
      </c>
      <c r="B1526" s="9" t="s">
        <v>10608</v>
      </c>
      <c r="C1526" s="8" t="s">
        <v>31259</v>
      </c>
      <c r="D1526" s="9" t="b">
        <v>0</v>
      </c>
      <c r="E1526" s="9"/>
    </row>
    <row r="1527" ht="15.75" customHeight="1">
      <c r="A1527" s="9" t="s">
        <v>31260</v>
      </c>
      <c r="B1527" s="9" t="s">
        <v>10608</v>
      </c>
      <c r="C1527" s="8" t="s">
        <v>31261</v>
      </c>
      <c r="D1527" s="9" t="b">
        <v>0</v>
      </c>
      <c r="E1527" s="9"/>
    </row>
    <row r="1528" ht="15.75" customHeight="1">
      <c r="A1528" s="9" t="s">
        <v>31262</v>
      </c>
      <c r="B1528" s="9" t="s">
        <v>10608</v>
      </c>
      <c r="C1528" s="8" t="s">
        <v>31263</v>
      </c>
      <c r="D1528" s="9" t="b">
        <v>0</v>
      </c>
      <c r="E1528" s="9"/>
    </row>
    <row r="1529" ht="15.75" customHeight="1">
      <c r="A1529" s="9" t="s">
        <v>31264</v>
      </c>
      <c r="B1529" s="9" t="s">
        <v>10608</v>
      </c>
      <c r="C1529" s="8" t="s">
        <v>31265</v>
      </c>
      <c r="D1529" s="9" t="b">
        <v>0</v>
      </c>
      <c r="E1529" s="9"/>
    </row>
    <row r="1530" ht="15.75" customHeight="1">
      <c r="A1530" s="9" t="s">
        <v>31266</v>
      </c>
      <c r="B1530" s="9" t="s">
        <v>10608</v>
      </c>
      <c r="C1530" s="8" t="s">
        <v>31267</v>
      </c>
      <c r="D1530" s="9" t="b">
        <v>0</v>
      </c>
      <c r="E1530" s="9"/>
    </row>
    <row r="1531" ht="15.75" customHeight="1">
      <c r="A1531" s="9" t="s">
        <v>31268</v>
      </c>
      <c r="B1531" s="9" t="s">
        <v>10608</v>
      </c>
      <c r="C1531" s="8" t="s">
        <v>31269</v>
      </c>
      <c r="D1531" s="9" t="b">
        <v>0</v>
      </c>
      <c r="E1531" s="9"/>
    </row>
    <row r="1532" ht="15.75" customHeight="1">
      <c r="A1532" s="9" t="s">
        <v>31270</v>
      </c>
      <c r="B1532" s="9" t="s">
        <v>6679</v>
      </c>
      <c r="C1532" s="8" t="s">
        <v>31271</v>
      </c>
      <c r="D1532" s="9" t="b">
        <v>0</v>
      </c>
      <c r="E1532" s="9"/>
    </row>
    <row r="1533" ht="15.75" customHeight="1">
      <c r="A1533" s="9" t="s">
        <v>31272</v>
      </c>
      <c r="B1533" s="9" t="s">
        <v>10225</v>
      </c>
      <c r="C1533" s="8" t="s">
        <v>31273</v>
      </c>
      <c r="D1533" s="9" t="b">
        <v>0</v>
      </c>
      <c r="E1533" s="9"/>
    </row>
    <row r="1534" ht="15.75" customHeight="1">
      <c r="A1534" s="9" t="s">
        <v>31274</v>
      </c>
      <c r="B1534" s="9" t="s">
        <v>10225</v>
      </c>
      <c r="C1534" s="8" t="s">
        <v>31275</v>
      </c>
      <c r="D1534" s="9" t="b">
        <v>0</v>
      </c>
      <c r="E1534" s="9"/>
    </row>
    <row r="1535" ht="15.75" customHeight="1">
      <c r="A1535" s="9" t="s">
        <v>31276</v>
      </c>
      <c r="B1535" s="9" t="s">
        <v>10225</v>
      </c>
      <c r="C1535" s="8" t="s">
        <v>31277</v>
      </c>
      <c r="D1535" s="9" t="b">
        <v>0</v>
      </c>
      <c r="E1535" s="9"/>
    </row>
    <row r="1536" ht="15.75" customHeight="1">
      <c r="A1536" s="9" t="s">
        <v>31278</v>
      </c>
      <c r="B1536" s="9" t="s">
        <v>10225</v>
      </c>
      <c r="C1536" s="8" t="s">
        <v>31279</v>
      </c>
      <c r="D1536" s="9" t="b">
        <v>0</v>
      </c>
      <c r="E1536" s="9"/>
    </row>
    <row r="1537" ht="15.75" customHeight="1">
      <c r="A1537" s="9" t="s">
        <v>31280</v>
      </c>
      <c r="B1537" s="9" t="s">
        <v>10225</v>
      </c>
      <c r="C1537" s="8" t="s">
        <v>31281</v>
      </c>
      <c r="D1537" s="9" t="b">
        <v>0</v>
      </c>
      <c r="E1537" s="9"/>
    </row>
    <row r="1538" ht="15.75" customHeight="1">
      <c r="A1538" s="9" t="s">
        <v>31282</v>
      </c>
      <c r="B1538" s="9" t="s">
        <v>10225</v>
      </c>
      <c r="C1538" s="8" t="s">
        <v>31283</v>
      </c>
      <c r="D1538" s="9" t="b">
        <v>0</v>
      </c>
      <c r="E1538" s="9"/>
    </row>
    <row r="1539" ht="15.75" customHeight="1">
      <c r="A1539" s="52" t="s">
        <v>31284</v>
      </c>
      <c r="B1539" s="9" t="s">
        <v>10225</v>
      </c>
      <c r="C1539" s="8" t="s">
        <v>31285</v>
      </c>
      <c r="D1539" s="9" t="b">
        <v>0</v>
      </c>
      <c r="E1539" s="9"/>
    </row>
    <row r="1540" ht="15.75" customHeight="1">
      <c r="A1540" s="9" t="s">
        <v>31286</v>
      </c>
      <c r="B1540" s="9" t="s">
        <v>10225</v>
      </c>
      <c r="C1540" s="8" t="s">
        <v>31287</v>
      </c>
      <c r="D1540" s="9" t="b">
        <v>0</v>
      </c>
      <c r="E1540" s="9"/>
    </row>
    <row r="1541" ht="15.75" customHeight="1">
      <c r="A1541" s="9" t="s">
        <v>31288</v>
      </c>
      <c r="B1541" s="9" t="s">
        <v>10225</v>
      </c>
      <c r="C1541" s="8" t="s">
        <v>31289</v>
      </c>
      <c r="D1541" s="9" t="b">
        <v>0</v>
      </c>
      <c r="E1541" s="9"/>
    </row>
    <row r="1542" ht="15.75" customHeight="1">
      <c r="A1542" s="9" t="s">
        <v>31290</v>
      </c>
      <c r="B1542" s="9" t="s">
        <v>10225</v>
      </c>
      <c r="C1542" s="8" t="s">
        <v>31291</v>
      </c>
      <c r="D1542" s="9" t="b">
        <v>0</v>
      </c>
      <c r="E1542" s="9"/>
    </row>
    <row r="1543" ht="15.75" customHeight="1">
      <c r="A1543" s="9" t="s">
        <v>31292</v>
      </c>
      <c r="B1543" s="9" t="s">
        <v>8956</v>
      </c>
      <c r="C1543" s="8" t="s">
        <v>31293</v>
      </c>
      <c r="D1543" s="9" t="b">
        <v>0</v>
      </c>
      <c r="E1543" s="9"/>
    </row>
    <row r="1544" ht="15.75" customHeight="1">
      <c r="A1544" s="9" t="s">
        <v>31294</v>
      </c>
      <c r="B1544" s="9" t="s">
        <v>2978</v>
      </c>
      <c r="C1544" s="8" t="s">
        <v>31295</v>
      </c>
      <c r="D1544" s="9" t="b">
        <v>0</v>
      </c>
      <c r="E1544" s="9"/>
    </row>
    <row r="1545" ht="15.75" customHeight="1">
      <c r="A1545" s="9" t="s">
        <v>31296</v>
      </c>
      <c r="B1545" s="9" t="s">
        <v>2978</v>
      </c>
      <c r="C1545" s="8" t="s">
        <v>31297</v>
      </c>
      <c r="D1545" s="9" t="b">
        <v>1</v>
      </c>
      <c r="E1545" s="9"/>
    </row>
    <row r="1546" ht="15.75" customHeight="1">
      <c r="A1546" s="9" t="s">
        <v>31298</v>
      </c>
      <c r="B1546" s="9" t="s">
        <v>2978</v>
      </c>
      <c r="C1546" s="8" t="s">
        <v>31299</v>
      </c>
      <c r="D1546" s="9" t="b">
        <v>0</v>
      </c>
      <c r="E1546" s="9"/>
    </row>
    <row r="1547" ht="15.75" customHeight="1">
      <c r="A1547" s="9" t="s">
        <v>31300</v>
      </c>
      <c r="B1547" s="9" t="s">
        <v>2978</v>
      </c>
      <c r="C1547" s="8" t="s">
        <v>31301</v>
      </c>
      <c r="D1547" s="9" t="b">
        <v>0</v>
      </c>
      <c r="E1547" s="9"/>
    </row>
    <row r="1548" ht="15.75" customHeight="1">
      <c r="A1548" s="9" t="s">
        <v>31302</v>
      </c>
      <c r="B1548" s="9" t="s">
        <v>8284</v>
      </c>
      <c r="C1548" s="8" t="s">
        <v>31303</v>
      </c>
      <c r="D1548" s="9" t="b">
        <v>1</v>
      </c>
      <c r="E1548" s="9"/>
    </row>
    <row r="1549" ht="15.75" customHeight="1">
      <c r="A1549" s="9" t="s">
        <v>31304</v>
      </c>
      <c r="B1549" s="9" t="s">
        <v>8871</v>
      </c>
      <c r="C1549" s="8" t="s">
        <v>31305</v>
      </c>
      <c r="D1549" s="9" t="b">
        <v>0</v>
      </c>
      <c r="E1549" s="9"/>
    </row>
    <row r="1550" ht="15.75" customHeight="1">
      <c r="A1550" s="9" t="s">
        <v>31306</v>
      </c>
      <c r="B1550" s="9" t="s">
        <v>8871</v>
      </c>
      <c r="C1550" s="8" t="s">
        <v>31307</v>
      </c>
      <c r="D1550" s="9" t="b">
        <v>0</v>
      </c>
      <c r="E1550" s="9"/>
    </row>
    <row r="1551" ht="15.75" customHeight="1">
      <c r="A1551" s="9" t="s">
        <v>31308</v>
      </c>
      <c r="B1551" s="9" t="s">
        <v>8871</v>
      </c>
      <c r="C1551" s="8" t="s">
        <v>31309</v>
      </c>
      <c r="D1551" s="9" t="b">
        <v>0</v>
      </c>
      <c r="E1551" s="9"/>
    </row>
    <row r="1552" ht="15.75" customHeight="1">
      <c r="A1552" s="9" t="s">
        <v>31310</v>
      </c>
      <c r="B1552" s="9" t="s">
        <v>9724</v>
      </c>
      <c r="C1552" s="8" t="s">
        <v>31311</v>
      </c>
      <c r="D1552" s="9" t="b">
        <v>1</v>
      </c>
      <c r="E1552" s="9"/>
    </row>
    <row r="1553" ht="15.75" customHeight="1">
      <c r="A1553" s="9" t="s">
        <v>31312</v>
      </c>
      <c r="B1553" s="9" t="s">
        <v>9724</v>
      </c>
      <c r="C1553" s="8" t="s">
        <v>31313</v>
      </c>
      <c r="D1553" s="9" t="b">
        <v>0</v>
      </c>
      <c r="E1553" s="9"/>
    </row>
    <row r="1554" ht="15.75" customHeight="1">
      <c r="A1554" s="9" t="s">
        <v>31314</v>
      </c>
      <c r="B1554" s="9" t="s">
        <v>11947</v>
      </c>
      <c r="C1554" s="8" t="s">
        <v>31315</v>
      </c>
      <c r="D1554" s="9" t="b">
        <v>0</v>
      </c>
      <c r="E1554" s="9"/>
    </row>
    <row r="1555" ht="15.75" customHeight="1">
      <c r="A1555" s="9" t="s">
        <v>31316</v>
      </c>
      <c r="B1555" s="9" t="s">
        <v>11947</v>
      </c>
      <c r="C1555" s="8" t="s">
        <v>31317</v>
      </c>
      <c r="D1555" s="9" t="b">
        <v>0</v>
      </c>
      <c r="E1555" s="9"/>
    </row>
    <row r="1556" ht="15.75" customHeight="1">
      <c r="A1556" s="9" t="s">
        <v>31318</v>
      </c>
      <c r="B1556" s="9" t="s">
        <v>11947</v>
      </c>
      <c r="C1556" s="8" t="s">
        <v>31319</v>
      </c>
      <c r="D1556" s="9" t="b">
        <v>0</v>
      </c>
      <c r="E1556" s="9"/>
    </row>
    <row r="1557" ht="15.75" customHeight="1">
      <c r="A1557" s="9" t="s">
        <v>31320</v>
      </c>
      <c r="B1557" s="9" t="s">
        <v>11947</v>
      </c>
      <c r="C1557" s="8" t="s">
        <v>31321</v>
      </c>
      <c r="D1557" s="9" t="b">
        <v>0</v>
      </c>
      <c r="E1557" s="9"/>
    </row>
    <row r="1558" ht="15.75" customHeight="1">
      <c r="A1558" s="9" t="s">
        <v>31322</v>
      </c>
      <c r="B1558" s="9" t="s">
        <v>11947</v>
      </c>
      <c r="C1558" s="8" t="s">
        <v>31323</v>
      </c>
      <c r="D1558" s="9" t="b">
        <v>0</v>
      </c>
      <c r="E1558" s="9"/>
    </row>
    <row r="1559" ht="15.75" customHeight="1">
      <c r="A1559" s="9" t="s">
        <v>31324</v>
      </c>
      <c r="B1559" s="52" t="s">
        <v>12886</v>
      </c>
      <c r="C1559" s="8" t="s">
        <v>31325</v>
      </c>
      <c r="D1559" s="9" t="b">
        <v>1</v>
      </c>
      <c r="E1559" s="9"/>
    </row>
    <row r="1560" ht="15.75" customHeight="1">
      <c r="A1560" s="9" t="s">
        <v>31326</v>
      </c>
      <c r="B1560" s="52" t="s">
        <v>12886</v>
      </c>
      <c r="C1560" s="8" t="s">
        <v>31327</v>
      </c>
      <c r="D1560" s="9" t="b">
        <v>0</v>
      </c>
      <c r="E1560" s="9"/>
    </row>
    <row r="1561" ht="15.75" customHeight="1">
      <c r="A1561" s="9" t="s">
        <v>31328</v>
      </c>
      <c r="B1561" s="52" t="s">
        <v>12886</v>
      </c>
      <c r="C1561" s="8" t="s">
        <v>31329</v>
      </c>
      <c r="D1561" s="9" t="b">
        <v>0</v>
      </c>
      <c r="E1561" s="9"/>
    </row>
    <row r="1562" ht="15.75" customHeight="1">
      <c r="A1562" s="9" t="s">
        <v>31330</v>
      </c>
      <c r="B1562" s="52" t="s">
        <v>12886</v>
      </c>
      <c r="C1562" s="8" t="s">
        <v>31331</v>
      </c>
      <c r="D1562" s="9" t="b">
        <v>0</v>
      </c>
      <c r="E1562" s="9"/>
    </row>
    <row r="1563" ht="15.75" customHeight="1">
      <c r="A1563" s="9" t="s">
        <v>31332</v>
      </c>
      <c r="B1563" s="52" t="s">
        <v>12886</v>
      </c>
      <c r="C1563" s="8" t="s">
        <v>31333</v>
      </c>
      <c r="D1563" s="9" t="b">
        <v>0</v>
      </c>
      <c r="E1563" s="9"/>
    </row>
    <row r="1564" ht="15.75" customHeight="1">
      <c r="A1564" s="9" t="s">
        <v>31334</v>
      </c>
      <c r="B1564" s="52" t="s">
        <v>12886</v>
      </c>
      <c r="C1564" s="8" t="s">
        <v>31335</v>
      </c>
      <c r="D1564" s="9" t="b">
        <v>0</v>
      </c>
      <c r="E1564" s="9"/>
    </row>
    <row r="1565" ht="15.75" customHeight="1">
      <c r="A1565" s="9" t="s">
        <v>31336</v>
      </c>
      <c r="B1565" s="52" t="s">
        <v>12886</v>
      </c>
      <c r="C1565" s="8" t="s">
        <v>31337</v>
      </c>
      <c r="D1565" s="9" t="b">
        <v>0</v>
      </c>
      <c r="E1565" s="9"/>
    </row>
    <row r="1566" ht="15.75" customHeight="1">
      <c r="A1566" s="9" t="s">
        <v>31338</v>
      </c>
      <c r="B1566" s="52" t="s">
        <v>12886</v>
      </c>
      <c r="C1566" s="8" t="s">
        <v>31339</v>
      </c>
      <c r="D1566" s="9" t="b">
        <v>0</v>
      </c>
      <c r="E1566" s="9"/>
    </row>
    <row r="1567" ht="15.75" customHeight="1">
      <c r="A1567" s="9" t="s">
        <v>31340</v>
      </c>
      <c r="B1567" s="52" t="s">
        <v>12886</v>
      </c>
      <c r="C1567" s="8" t="s">
        <v>31341</v>
      </c>
      <c r="D1567" s="9" t="b">
        <v>0</v>
      </c>
      <c r="E1567" s="9"/>
    </row>
    <row r="1568" ht="15.75" customHeight="1">
      <c r="A1568" s="9" t="s">
        <v>31342</v>
      </c>
      <c r="B1568" s="52" t="s">
        <v>12886</v>
      </c>
      <c r="C1568" s="8" t="s">
        <v>31343</v>
      </c>
      <c r="D1568" s="9" t="b">
        <v>0</v>
      </c>
      <c r="E1568" s="9"/>
    </row>
    <row r="1569" ht="15.75" customHeight="1">
      <c r="A1569" s="9" t="s">
        <v>31344</v>
      </c>
      <c r="B1569" s="52" t="s">
        <v>12886</v>
      </c>
      <c r="C1569" s="8" t="s">
        <v>31345</v>
      </c>
      <c r="D1569" s="9" t="b">
        <v>0</v>
      </c>
      <c r="E1569" s="9"/>
    </row>
    <row r="1570" ht="15.75" customHeight="1">
      <c r="A1570" s="9" t="s">
        <v>31346</v>
      </c>
      <c r="B1570" s="52" t="s">
        <v>12886</v>
      </c>
      <c r="C1570" s="8" t="s">
        <v>31347</v>
      </c>
      <c r="D1570" s="9" t="b">
        <v>0</v>
      </c>
      <c r="E1570" s="9"/>
    </row>
    <row r="1571" ht="15.75" customHeight="1">
      <c r="A1571" s="9" t="s">
        <v>31348</v>
      </c>
      <c r="B1571" s="52" t="s">
        <v>12886</v>
      </c>
      <c r="C1571" s="8" t="s">
        <v>31349</v>
      </c>
      <c r="D1571" s="9" t="b">
        <v>0</v>
      </c>
      <c r="E1571" s="9"/>
    </row>
    <row r="1572" ht="15.75" customHeight="1">
      <c r="A1572" s="9" t="s">
        <v>31350</v>
      </c>
      <c r="B1572" s="9" t="s">
        <v>11795</v>
      </c>
      <c r="C1572" s="8" t="s">
        <v>31351</v>
      </c>
      <c r="D1572" s="9" t="b">
        <v>1</v>
      </c>
      <c r="E1572" s="9"/>
    </row>
    <row r="1573" ht="15.75" customHeight="1">
      <c r="A1573" s="9" t="s">
        <v>31352</v>
      </c>
      <c r="B1573" s="9" t="s">
        <v>11795</v>
      </c>
      <c r="C1573" s="8" t="s">
        <v>31353</v>
      </c>
      <c r="D1573" s="9" t="b">
        <v>0</v>
      </c>
      <c r="E1573" s="9"/>
    </row>
    <row r="1574" ht="15.75" customHeight="1">
      <c r="A1574" s="9" t="s">
        <v>31354</v>
      </c>
      <c r="B1574" s="9" t="s">
        <v>11795</v>
      </c>
      <c r="C1574" s="8" t="s">
        <v>31355</v>
      </c>
      <c r="D1574" s="9" t="b">
        <v>0</v>
      </c>
      <c r="E1574" s="9"/>
    </row>
    <row r="1575" ht="15.75" customHeight="1">
      <c r="A1575" s="9" t="s">
        <v>31356</v>
      </c>
      <c r="B1575" s="9" t="s">
        <v>11795</v>
      </c>
      <c r="C1575" s="8" t="s">
        <v>31357</v>
      </c>
      <c r="D1575" s="9" t="b">
        <v>0</v>
      </c>
      <c r="E1575" s="9"/>
    </row>
    <row r="1576" ht="15.75" customHeight="1">
      <c r="A1576" s="9" t="s">
        <v>31358</v>
      </c>
      <c r="B1576" s="9" t="s">
        <v>11795</v>
      </c>
      <c r="C1576" s="8" t="s">
        <v>31359</v>
      </c>
      <c r="D1576" s="9" t="b">
        <v>0</v>
      </c>
      <c r="E1576" s="9"/>
    </row>
    <row r="1577" ht="15.75" customHeight="1">
      <c r="A1577" s="9" t="s">
        <v>31360</v>
      </c>
      <c r="B1577" s="9" t="s">
        <v>11795</v>
      </c>
      <c r="C1577" s="8" t="s">
        <v>31361</v>
      </c>
      <c r="D1577" s="9" t="b">
        <v>0</v>
      </c>
      <c r="E1577" s="9"/>
    </row>
    <row r="1578" ht="15.75" customHeight="1">
      <c r="A1578" s="9" t="s">
        <v>31362</v>
      </c>
      <c r="B1578" s="9" t="s">
        <v>11795</v>
      </c>
      <c r="C1578" s="8" t="s">
        <v>31363</v>
      </c>
      <c r="D1578" s="9" t="b">
        <v>0</v>
      </c>
      <c r="E1578" s="9"/>
    </row>
    <row r="1579" ht="15.75" customHeight="1">
      <c r="A1579" s="9" t="s">
        <v>31364</v>
      </c>
      <c r="B1579" s="9" t="s">
        <v>11795</v>
      </c>
      <c r="C1579" s="8" t="s">
        <v>31365</v>
      </c>
      <c r="D1579" s="9" t="b">
        <v>0</v>
      </c>
      <c r="E1579" s="9"/>
    </row>
    <row r="1580" ht="15.75" customHeight="1">
      <c r="A1580" s="9" t="s">
        <v>31366</v>
      </c>
      <c r="B1580" s="9" t="s">
        <v>11795</v>
      </c>
      <c r="C1580" s="8" t="s">
        <v>31367</v>
      </c>
      <c r="D1580" s="9" t="b">
        <v>0</v>
      </c>
      <c r="E1580" s="9"/>
    </row>
    <row r="1581" ht="15.75" customHeight="1">
      <c r="A1581" s="9" t="s">
        <v>31368</v>
      </c>
      <c r="B1581" s="9" t="s">
        <v>11795</v>
      </c>
      <c r="C1581" s="8" t="s">
        <v>31369</v>
      </c>
      <c r="D1581" s="9" t="b">
        <v>0</v>
      </c>
      <c r="E1581" s="9"/>
    </row>
    <row r="1582" ht="15.75" customHeight="1">
      <c r="A1582" s="9" t="s">
        <v>31370</v>
      </c>
      <c r="B1582" s="9" t="s">
        <v>11795</v>
      </c>
      <c r="C1582" s="8" t="s">
        <v>31371</v>
      </c>
      <c r="D1582" s="9" t="b">
        <v>0</v>
      </c>
      <c r="E1582" s="9"/>
    </row>
    <row r="1583" ht="15.75" customHeight="1">
      <c r="A1583" s="52" t="s">
        <v>31372</v>
      </c>
      <c r="B1583" s="9" t="s">
        <v>11795</v>
      </c>
      <c r="C1583" s="8" t="s">
        <v>31373</v>
      </c>
      <c r="D1583" s="9" t="b">
        <v>0</v>
      </c>
      <c r="E1583" s="9"/>
    </row>
    <row r="1584" ht="15.75" customHeight="1">
      <c r="A1584" s="9" t="s">
        <v>31374</v>
      </c>
      <c r="B1584" s="9" t="s">
        <v>11795</v>
      </c>
      <c r="C1584" s="8" t="s">
        <v>31375</v>
      </c>
      <c r="D1584" s="9" t="b">
        <v>0</v>
      </c>
      <c r="E1584" s="9"/>
    </row>
    <row r="1585" ht="15.75" customHeight="1">
      <c r="A1585" s="9" t="s">
        <v>31376</v>
      </c>
      <c r="B1585" s="9" t="s">
        <v>10564</v>
      </c>
      <c r="C1585" s="8" t="s">
        <v>31377</v>
      </c>
      <c r="D1585" s="9" t="b">
        <v>1</v>
      </c>
      <c r="E1585" s="9" t="s">
        <v>29143</v>
      </c>
    </row>
    <row r="1586" ht="15.75" customHeight="1">
      <c r="A1586" s="9" t="s">
        <v>31378</v>
      </c>
      <c r="B1586" s="9" t="s">
        <v>10564</v>
      </c>
      <c r="C1586" s="8" t="s">
        <v>31379</v>
      </c>
      <c r="D1586" s="9" t="b">
        <v>0</v>
      </c>
      <c r="E1586" s="9"/>
    </row>
    <row r="1587" ht="15.75" customHeight="1">
      <c r="A1587" s="9" t="s">
        <v>31380</v>
      </c>
      <c r="B1587" s="9" t="s">
        <v>10564</v>
      </c>
      <c r="C1587" s="8" t="s">
        <v>31381</v>
      </c>
      <c r="D1587" s="9" t="b">
        <v>0</v>
      </c>
      <c r="E1587" s="9"/>
    </row>
    <row r="1588" ht="15.75" customHeight="1">
      <c r="A1588" s="9" t="s">
        <v>31382</v>
      </c>
      <c r="B1588" s="9" t="s">
        <v>10141</v>
      </c>
      <c r="C1588" s="8" t="s">
        <v>31383</v>
      </c>
      <c r="D1588" s="9" t="b">
        <v>0</v>
      </c>
      <c r="E1588" s="9"/>
    </row>
    <row r="1589" ht="15.75" customHeight="1">
      <c r="A1589" s="9" t="s">
        <v>31384</v>
      </c>
      <c r="B1589" s="9" t="s">
        <v>10141</v>
      </c>
      <c r="C1589" s="8" t="s">
        <v>31385</v>
      </c>
      <c r="D1589" s="9" t="b">
        <v>0</v>
      </c>
      <c r="E1589" s="9"/>
    </row>
    <row r="1590" ht="15.75" customHeight="1">
      <c r="A1590" s="9" t="s">
        <v>31386</v>
      </c>
      <c r="B1590" s="9" t="s">
        <v>10141</v>
      </c>
      <c r="C1590" s="8" t="s">
        <v>31387</v>
      </c>
      <c r="D1590" s="9" t="b">
        <v>0</v>
      </c>
      <c r="E1590" s="9"/>
    </row>
    <row r="1591" ht="15.75" customHeight="1">
      <c r="A1591" s="9" t="s">
        <v>31388</v>
      </c>
      <c r="B1591" s="9" t="s">
        <v>10141</v>
      </c>
      <c r="C1591" s="8" t="s">
        <v>31389</v>
      </c>
      <c r="D1591" s="9" t="b">
        <v>0</v>
      </c>
      <c r="E1591" s="9"/>
    </row>
    <row r="1592" ht="15.75" customHeight="1">
      <c r="A1592" s="9" t="s">
        <v>31390</v>
      </c>
      <c r="B1592" s="9" t="s">
        <v>10141</v>
      </c>
      <c r="C1592" s="8" t="s">
        <v>31391</v>
      </c>
      <c r="D1592" s="9" t="b">
        <v>1</v>
      </c>
      <c r="E1592" s="9"/>
    </row>
    <row r="1593" ht="15.75" customHeight="1">
      <c r="A1593" s="9" t="s">
        <v>31392</v>
      </c>
      <c r="B1593" s="9" t="s">
        <v>10745</v>
      </c>
      <c r="C1593" s="8" t="s">
        <v>31393</v>
      </c>
      <c r="D1593" s="9" t="b">
        <v>1</v>
      </c>
      <c r="E1593" s="9"/>
    </row>
    <row r="1594" ht="15.75" customHeight="1">
      <c r="A1594" s="9" t="s">
        <v>31394</v>
      </c>
      <c r="B1594" s="9" t="s">
        <v>10745</v>
      </c>
      <c r="C1594" s="8" t="s">
        <v>31395</v>
      </c>
      <c r="D1594" s="9" t="b">
        <v>0</v>
      </c>
      <c r="E1594" s="9"/>
    </row>
    <row r="1595" ht="15.75" customHeight="1">
      <c r="A1595" s="9" t="s">
        <v>31396</v>
      </c>
      <c r="B1595" s="9" t="s">
        <v>10745</v>
      </c>
      <c r="C1595" s="8" t="s">
        <v>31397</v>
      </c>
      <c r="D1595" s="9" t="b">
        <v>0</v>
      </c>
      <c r="E1595" s="9"/>
    </row>
    <row r="1596" ht="15.75" customHeight="1">
      <c r="A1596" s="9" t="s">
        <v>31398</v>
      </c>
      <c r="B1596" s="9" t="s">
        <v>10745</v>
      </c>
      <c r="C1596" s="8" t="s">
        <v>31399</v>
      </c>
      <c r="D1596" s="9" t="b">
        <v>0</v>
      </c>
      <c r="E1596" s="9"/>
    </row>
    <row r="1597" ht="15.75" customHeight="1">
      <c r="A1597" s="9" t="s">
        <v>31400</v>
      </c>
      <c r="B1597" s="9" t="s">
        <v>10745</v>
      </c>
      <c r="C1597" s="8" t="s">
        <v>31401</v>
      </c>
      <c r="D1597" s="9" t="b">
        <v>0</v>
      </c>
      <c r="E1597" s="9"/>
    </row>
    <row r="1598" ht="15.75" customHeight="1">
      <c r="A1598" s="9" t="s">
        <v>31402</v>
      </c>
      <c r="B1598" s="9" t="s">
        <v>10745</v>
      </c>
      <c r="C1598" s="8" t="s">
        <v>31403</v>
      </c>
      <c r="D1598" s="9" t="b">
        <v>0</v>
      </c>
      <c r="E1598" s="9"/>
    </row>
    <row r="1599" ht="15.75" customHeight="1">
      <c r="A1599" s="9" t="s">
        <v>31404</v>
      </c>
      <c r="B1599" s="9" t="s">
        <v>10745</v>
      </c>
      <c r="C1599" s="8" t="s">
        <v>31405</v>
      </c>
      <c r="D1599" s="9" t="b">
        <v>0</v>
      </c>
      <c r="E1599" s="9"/>
    </row>
    <row r="1600" ht="15.75" customHeight="1">
      <c r="A1600" s="9" t="s">
        <v>31406</v>
      </c>
      <c r="B1600" s="9" t="s">
        <v>10745</v>
      </c>
      <c r="C1600" s="8" t="s">
        <v>31407</v>
      </c>
      <c r="D1600" s="9" t="b">
        <v>0</v>
      </c>
      <c r="E1600" s="9"/>
    </row>
    <row r="1601" ht="15.75" customHeight="1">
      <c r="A1601" s="9" t="s">
        <v>31408</v>
      </c>
      <c r="B1601" s="9" t="s">
        <v>10745</v>
      </c>
      <c r="C1601" s="8" t="s">
        <v>31409</v>
      </c>
      <c r="D1601" s="9" t="b">
        <v>0</v>
      </c>
      <c r="E1601" s="9"/>
    </row>
    <row r="1602" ht="15.75" customHeight="1">
      <c r="A1602" s="9" t="s">
        <v>31410</v>
      </c>
      <c r="B1602" s="9" t="s">
        <v>10745</v>
      </c>
      <c r="C1602" s="8" t="s">
        <v>31411</v>
      </c>
      <c r="D1602" s="9" t="b">
        <v>0</v>
      </c>
      <c r="E1602" s="9"/>
    </row>
    <row r="1603" ht="15.75" customHeight="1">
      <c r="A1603" s="9" t="s">
        <v>31412</v>
      </c>
      <c r="B1603" s="9" t="s">
        <v>10745</v>
      </c>
      <c r="C1603" s="8" t="s">
        <v>31413</v>
      </c>
      <c r="D1603" s="9" t="b">
        <v>0</v>
      </c>
      <c r="E1603" s="9"/>
    </row>
    <row r="1604" ht="15.75" customHeight="1">
      <c r="A1604" s="9" t="s">
        <v>31414</v>
      </c>
      <c r="B1604" s="9" t="s">
        <v>10745</v>
      </c>
      <c r="C1604" s="8" t="s">
        <v>31415</v>
      </c>
      <c r="D1604" s="9" t="b">
        <v>0</v>
      </c>
      <c r="E1604" s="9"/>
    </row>
    <row r="1605" ht="15.75" customHeight="1">
      <c r="A1605" s="9" t="s">
        <v>31416</v>
      </c>
      <c r="B1605" s="9" t="s">
        <v>10745</v>
      </c>
      <c r="C1605" s="8" t="s">
        <v>31417</v>
      </c>
      <c r="D1605" s="9" t="b">
        <v>0</v>
      </c>
      <c r="E1605" s="9"/>
    </row>
    <row r="1606" ht="15.75" customHeight="1">
      <c r="A1606" s="9" t="s">
        <v>31418</v>
      </c>
      <c r="B1606" s="9" t="s">
        <v>10745</v>
      </c>
      <c r="C1606" s="8" t="s">
        <v>31419</v>
      </c>
      <c r="D1606" s="9" t="b">
        <v>0</v>
      </c>
      <c r="E1606" s="9"/>
    </row>
    <row r="1607" ht="15.75" customHeight="1">
      <c r="A1607" s="9" t="s">
        <v>31420</v>
      </c>
      <c r="B1607" s="9" t="s">
        <v>10745</v>
      </c>
      <c r="C1607" s="8" t="s">
        <v>31421</v>
      </c>
      <c r="D1607" s="9" t="b">
        <v>0</v>
      </c>
      <c r="E1607" s="9"/>
    </row>
    <row r="1608" ht="15.75" customHeight="1">
      <c r="A1608" s="9" t="s">
        <v>31422</v>
      </c>
      <c r="B1608" s="9" t="s">
        <v>10533</v>
      </c>
      <c r="C1608" s="8" t="s">
        <v>31423</v>
      </c>
      <c r="D1608" s="9" t="b">
        <v>1</v>
      </c>
      <c r="E1608" s="9"/>
    </row>
    <row r="1609" ht="15.75" customHeight="1">
      <c r="A1609" s="9" t="s">
        <v>31424</v>
      </c>
      <c r="B1609" s="9" t="s">
        <v>10533</v>
      </c>
      <c r="C1609" s="8" t="s">
        <v>31425</v>
      </c>
      <c r="D1609" s="9" t="b">
        <v>0</v>
      </c>
      <c r="E1609" s="9"/>
    </row>
    <row r="1610" ht="15.75" customHeight="1">
      <c r="A1610" s="9" t="s">
        <v>31426</v>
      </c>
      <c r="B1610" s="9" t="s">
        <v>10531</v>
      </c>
      <c r="C1610" s="8" t="s">
        <v>31427</v>
      </c>
      <c r="D1610" s="9" t="b">
        <v>0</v>
      </c>
      <c r="E1610" s="9"/>
    </row>
    <row r="1611" ht="15.75" customHeight="1">
      <c r="A1611" s="9" t="s">
        <v>31428</v>
      </c>
      <c r="B1611" s="9" t="s">
        <v>10531</v>
      </c>
      <c r="C1611" s="8" t="s">
        <v>31429</v>
      </c>
      <c r="D1611" s="9" t="b">
        <v>0</v>
      </c>
      <c r="E1611" s="9"/>
    </row>
    <row r="1612" ht="15.75" customHeight="1">
      <c r="A1612" s="9" t="s">
        <v>31430</v>
      </c>
      <c r="B1612" s="9" t="s">
        <v>10531</v>
      </c>
      <c r="C1612" s="8" t="s">
        <v>31431</v>
      </c>
      <c r="D1612" s="9" t="b">
        <v>0</v>
      </c>
      <c r="E1612" s="9"/>
    </row>
    <row r="1613" ht="15.75" customHeight="1">
      <c r="A1613" s="9" t="s">
        <v>31432</v>
      </c>
      <c r="B1613" s="9" t="s">
        <v>10531</v>
      </c>
      <c r="C1613" s="8" t="s">
        <v>31433</v>
      </c>
      <c r="D1613" s="9" t="b">
        <v>1</v>
      </c>
      <c r="E1613" s="9"/>
    </row>
    <row r="1614" ht="15.75" customHeight="1">
      <c r="A1614" s="9" t="s">
        <v>31434</v>
      </c>
      <c r="B1614" s="9" t="s">
        <v>10531</v>
      </c>
      <c r="C1614" s="8" t="s">
        <v>31435</v>
      </c>
      <c r="D1614" s="9" t="b">
        <v>0</v>
      </c>
      <c r="E1614" s="9"/>
    </row>
    <row r="1615" ht="15.75" customHeight="1">
      <c r="A1615" s="9" t="s">
        <v>31436</v>
      </c>
      <c r="B1615" s="9" t="s">
        <v>10368</v>
      </c>
      <c r="C1615" s="8" t="s">
        <v>31437</v>
      </c>
      <c r="D1615" s="9" t="b">
        <v>1</v>
      </c>
      <c r="E1615" s="9"/>
    </row>
    <row r="1616" ht="15.75" customHeight="1">
      <c r="A1616" s="9"/>
      <c r="B1616" s="9"/>
      <c r="C1616" s="9"/>
      <c r="D1616" s="9"/>
      <c r="E1616" s="9"/>
    </row>
    <row r="1617" ht="15.75" customHeight="1">
      <c r="A1617" s="9" t="s">
        <v>31438</v>
      </c>
      <c r="B1617" s="9" t="s">
        <v>10368</v>
      </c>
      <c r="C1617" s="8" t="s">
        <v>31439</v>
      </c>
      <c r="D1617" s="9" t="b">
        <v>0</v>
      </c>
      <c r="E1617" s="9"/>
    </row>
    <row r="1618" ht="15.75" customHeight="1">
      <c r="A1618" s="9" t="s">
        <v>31440</v>
      </c>
      <c r="B1618" s="9" t="s">
        <v>10368</v>
      </c>
      <c r="C1618" s="8" t="s">
        <v>31441</v>
      </c>
      <c r="D1618" s="9" t="b">
        <v>0</v>
      </c>
      <c r="E1618" s="9"/>
    </row>
    <row r="1619" ht="15.75" customHeight="1">
      <c r="A1619" s="9" t="s">
        <v>31442</v>
      </c>
      <c r="B1619" s="9" t="s">
        <v>10368</v>
      </c>
      <c r="C1619" s="8" t="s">
        <v>31443</v>
      </c>
      <c r="D1619" s="9" t="b">
        <v>0</v>
      </c>
      <c r="E1619" s="9"/>
    </row>
    <row r="1620" ht="15.75" customHeight="1">
      <c r="A1620" s="9" t="s">
        <v>31444</v>
      </c>
      <c r="B1620" s="9" t="s">
        <v>10368</v>
      </c>
      <c r="C1620" s="8" t="s">
        <v>31445</v>
      </c>
      <c r="D1620" s="9" t="b">
        <v>0</v>
      </c>
      <c r="E1620" s="9"/>
    </row>
    <row r="1621" ht="15.75" customHeight="1">
      <c r="A1621" s="9" t="s">
        <v>31446</v>
      </c>
      <c r="B1621" s="9" t="s">
        <v>10368</v>
      </c>
      <c r="C1621" s="8" t="s">
        <v>31447</v>
      </c>
      <c r="D1621" s="9" t="b">
        <v>0</v>
      </c>
      <c r="E1621" s="9"/>
    </row>
    <row r="1622" ht="15.75" customHeight="1">
      <c r="A1622" s="9" t="s">
        <v>31448</v>
      </c>
      <c r="B1622" s="9" t="s">
        <v>10368</v>
      </c>
      <c r="C1622" s="8" t="s">
        <v>31449</v>
      </c>
      <c r="D1622" s="9" t="b">
        <v>0</v>
      </c>
      <c r="E1622" s="9"/>
    </row>
    <row r="1623" ht="15.75" customHeight="1">
      <c r="A1623" s="9" t="s">
        <v>31450</v>
      </c>
      <c r="B1623" s="9" t="s">
        <v>1247</v>
      </c>
      <c r="C1623" s="8" t="s">
        <v>31451</v>
      </c>
      <c r="D1623" s="9" t="b">
        <v>1</v>
      </c>
      <c r="E1623" s="9"/>
    </row>
    <row r="1624" ht="15.75" customHeight="1">
      <c r="A1624" s="9" t="s">
        <v>31452</v>
      </c>
      <c r="B1624" s="9" t="s">
        <v>10715</v>
      </c>
      <c r="C1624" s="8" t="s">
        <v>31453</v>
      </c>
      <c r="D1624" s="9" t="b">
        <v>0</v>
      </c>
      <c r="E1624" s="9"/>
    </row>
    <row r="1625" ht="15.75" customHeight="1">
      <c r="A1625" s="9" t="s">
        <v>31454</v>
      </c>
      <c r="B1625" s="9" t="s">
        <v>10715</v>
      </c>
      <c r="C1625" s="8" t="s">
        <v>31455</v>
      </c>
      <c r="D1625" s="9" t="b">
        <v>0</v>
      </c>
      <c r="E1625" s="9"/>
    </row>
    <row r="1626" ht="15.75" customHeight="1">
      <c r="A1626" s="9" t="s">
        <v>31456</v>
      </c>
      <c r="B1626" s="9" t="s">
        <v>10715</v>
      </c>
      <c r="C1626" s="8" t="s">
        <v>31457</v>
      </c>
      <c r="D1626" s="9" t="b">
        <v>0</v>
      </c>
      <c r="E1626" s="9"/>
    </row>
    <row r="1627" ht="15.75" customHeight="1">
      <c r="A1627" s="9" t="s">
        <v>31458</v>
      </c>
      <c r="B1627" s="9" t="s">
        <v>10715</v>
      </c>
      <c r="C1627" s="8" t="s">
        <v>31459</v>
      </c>
      <c r="D1627" s="9" t="b">
        <v>0</v>
      </c>
      <c r="E1627" s="9"/>
    </row>
    <row r="1628" ht="15.75" customHeight="1">
      <c r="A1628" s="9" t="s">
        <v>31460</v>
      </c>
      <c r="B1628" s="9" t="s">
        <v>10715</v>
      </c>
      <c r="C1628" s="8" t="s">
        <v>31461</v>
      </c>
      <c r="D1628" s="9" t="b">
        <v>0</v>
      </c>
      <c r="E1628" s="9"/>
    </row>
    <row r="1629" ht="15.75" customHeight="1">
      <c r="A1629" s="9" t="s">
        <v>31462</v>
      </c>
      <c r="B1629" s="9" t="s">
        <v>10715</v>
      </c>
      <c r="C1629" s="8" t="s">
        <v>31463</v>
      </c>
      <c r="D1629" s="9" t="b">
        <v>1</v>
      </c>
      <c r="E1629" s="9"/>
    </row>
    <row r="1630" ht="15.75" customHeight="1">
      <c r="A1630" s="9" t="s">
        <v>31464</v>
      </c>
      <c r="B1630" s="9" t="s">
        <v>10715</v>
      </c>
      <c r="C1630" s="8" t="s">
        <v>31465</v>
      </c>
      <c r="D1630" s="9" t="b">
        <v>0</v>
      </c>
      <c r="E1630" s="9"/>
    </row>
    <row r="1631" ht="15.75" customHeight="1">
      <c r="A1631" s="9" t="s">
        <v>31466</v>
      </c>
      <c r="B1631" s="9" t="s">
        <v>11992</v>
      </c>
      <c r="C1631" s="8" t="s">
        <v>31467</v>
      </c>
      <c r="D1631" s="9" t="b">
        <v>0</v>
      </c>
      <c r="E1631" s="9" t="s">
        <v>12467</v>
      </c>
    </row>
    <row r="1632" ht="15.75" customHeight="1">
      <c r="A1632" s="9" t="s">
        <v>31468</v>
      </c>
      <c r="B1632" s="9" t="s">
        <v>11992</v>
      </c>
      <c r="C1632" s="8" t="s">
        <v>31469</v>
      </c>
      <c r="D1632" s="9" t="b">
        <v>0</v>
      </c>
      <c r="E1632" s="9" t="s">
        <v>29154</v>
      </c>
    </row>
    <row r="1633" ht="15.75" customHeight="1">
      <c r="A1633" s="9" t="s">
        <v>31470</v>
      </c>
      <c r="B1633" s="9" t="s">
        <v>11992</v>
      </c>
      <c r="C1633" s="8" t="s">
        <v>31471</v>
      </c>
      <c r="D1633" s="9" t="b">
        <v>0</v>
      </c>
      <c r="E1633" s="9" t="s">
        <v>29140</v>
      </c>
    </row>
    <row r="1634" ht="15.75" customHeight="1">
      <c r="A1634" s="9" t="s">
        <v>31472</v>
      </c>
      <c r="B1634" s="9" t="s">
        <v>11992</v>
      </c>
      <c r="C1634" s="8" t="s">
        <v>31473</v>
      </c>
      <c r="D1634" s="9" t="b">
        <v>0</v>
      </c>
      <c r="E1634" s="9" t="s">
        <v>30363</v>
      </c>
    </row>
    <row r="1635" ht="15.75" customHeight="1">
      <c r="A1635" s="9" t="s">
        <v>31474</v>
      </c>
      <c r="B1635" s="9" t="s">
        <v>11992</v>
      </c>
      <c r="C1635" s="8" t="s">
        <v>31475</v>
      </c>
      <c r="D1635" s="9" t="b">
        <v>0</v>
      </c>
      <c r="E1635" s="9" t="s">
        <v>31476</v>
      </c>
    </row>
    <row r="1636" ht="15.75" customHeight="1">
      <c r="A1636" s="9" t="s">
        <v>31477</v>
      </c>
      <c r="B1636" s="9" t="s">
        <v>11992</v>
      </c>
      <c r="C1636" s="8" t="s">
        <v>31478</v>
      </c>
      <c r="D1636" s="9" t="b">
        <v>1</v>
      </c>
      <c r="E1636" s="9" t="s">
        <v>30803</v>
      </c>
    </row>
    <row r="1637" ht="15.75" customHeight="1">
      <c r="A1637" s="9" t="s">
        <v>31479</v>
      </c>
      <c r="B1637" s="9" t="s">
        <v>10616</v>
      </c>
      <c r="C1637" s="8" t="s">
        <v>31480</v>
      </c>
      <c r="D1637" s="9" t="b">
        <v>0</v>
      </c>
      <c r="E1637" s="9"/>
    </row>
    <row r="1638" ht="15.75" customHeight="1">
      <c r="A1638" s="9" t="s">
        <v>31481</v>
      </c>
      <c r="B1638" s="9" t="s">
        <v>10616</v>
      </c>
      <c r="C1638" s="8" t="s">
        <v>31482</v>
      </c>
      <c r="D1638" s="9" t="b">
        <v>0</v>
      </c>
      <c r="E1638" s="9"/>
    </row>
    <row r="1639" ht="15.75" customHeight="1">
      <c r="A1639" s="9" t="s">
        <v>31483</v>
      </c>
      <c r="B1639" s="9" t="s">
        <v>10616</v>
      </c>
      <c r="C1639" s="8" t="s">
        <v>31484</v>
      </c>
      <c r="D1639" s="9" t="b">
        <v>0</v>
      </c>
      <c r="E1639" s="9"/>
    </row>
    <row r="1640" ht="15.75" customHeight="1">
      <c r="A1640" s="9" t="s">
        <v>31485</v>
      </c>
      <c r="B1640" s="9" t="s">
        <v>10616</v>
      </c>
      <c r="C1640" s="8" t="s">
        <v>31486</v>
      </c>
      <c r="D1640" s="9" t="b">
        <v>0</v>
      </c>
      <c r="E1640" s="9"/>
    </row>
    <row r="1641" ht="15.75" customHeight="1">
      <c r="A1641" s="9"/>
      <c r="B1641" s="9"/>
      <c r="C1641" s="9"/>
      <c r="D1641" s="9"/>
      <c r="E1641" s="9"/>
    </row>
    <row r="1642" ht="15.75" customHeight="1">
      <c r="A1642" s="9" t="s">
        <v>31487</v>
      </c>
      <c r="B1642" s="9" t="s">
        <v>10622</v>
      </c>
      <c r="C1642" s="8" t="s">
        <v>31488</v>
      </c>
      <c r="D1642" s="9" t="b">
        <v>0</v>
      </c>
      <c r="E1642" s="9"/>
    </row>
    <row r="1643" ht="15.75" customHeight="1">
      <c r="A1643" s="9" t="s">
        <v>31489</v>
      </c>
      <c r="B1643" s="9" t="s">
        <v>10622</v>
      </c>
      <c r="C1643" s="8" t="s">
        <v>31490</v>
      </c>
      <c r="D1643" s="9" t="b">
        <v>0</v>
      </c>
      <c r="E1643" s="9"/>
    </row>
    <row r="1644" ht="15.75" customHeight="1">
      <c r="A1644" s="9" t="s">
        <v>31491</v>
      </c>
      <c r="B1644" s="9" t="s">
        <v>10622</v>
      </c>
      <c r="C1644" s="8" t="s">
        <v>31492</v>
      </c>
      <c r="D1644" s="9" t="b">
        <v>0</v>
      </c>
      <c r="E1644" s="9"/>
    </row>
    <row r="1645" ht="15.75" customHeight="1">
      <c r="A1645" s="9" t="s">
        <v>31493</v>
      </c>
      <c r="B1645" s="9" t="s">
        <v>10622</v>
      </c>
      <c r="C1645" s="8" t="s">
        <v>31494</v>
      </c>
      <c r="D1645" s="9" t="b">
        <v>0</v>
      </c>
      <c r="E1645" s="9"/>
    </row>
    <row r="1646" ht="15.75" customHeight="1">
      <c r="A1646" s="9" t="s">
        <v>31495</v>
      </c>
      <c r="B1646" s="9" t="s">
        <v>4800</v>
      </c>
      <c r="C1646" s="8" t="s">
        <v>31496</v>
      </c>
      <c r="D1646" s="9" t="b">
        <v>0</v>
      </c>
      <c r="E1646" s="9"/>
    </row>
    <row r="1647" ht="15.75" customHeight="1">
      <c r="A1647" s="9" t="s">
        <v>31497</v>
      </c>
      <c r="B1647" s="9" t="s">
        <v>4800</v>
      </c>
      <c r="C1647" s="8" t="s">
        <v>31498</v>
      </c>
      <c r="D1647" s="9" t="b">
        <v>1</v>
      </c>
      <c r="E1647" s="9"/>
    </row>
    <row r="1648" ht="15.75" customHeight="1">
      <c r="A1648" s="9" t="s">
        <v>31499</v>
      </c>
      <c r="B1648" s="9" t="s">
        <v>4800</v>
      </c>
      <c r="C1648" s="8" t="s">
        <v>31500</v>
      </c>
      <c r="D1648" s="9" t="b">
        <v>0</v>
      </c>
      <c r="E1648" s="9"/>
    </row>
    <row r="1649" ht="15.75" customHeight="1">
      <c r="A1649" s="9" t="s">
        <v>31501</v>
      </c>
      <c r="B1649" s="9" t="s">
        <v>4800</v>
      </c>
      <c r="C1649" s="8" t="s">
        <v>31502</v>
      </c>
      <c r="D1649" s="9" t="b">
        <v>0</v>
      </c>
      <c r="E1649" s="9"/>
    </row>
    <row r="1650" ht="15.75" customHeight="1">
      <c r="A1650" s="9" t="s">
        <v>31503</v>
      </c>
      <c r="B1650" s="9" t="s">
        <v>4800</v>
      </c>
      <c r="C1650" s="8" t="s">
        <v>31504</v>
      </c>
      <c r="D1650" s="9" t="b">
        <v>0</v>
      </c>
      <c r="E1650" s="9"/>
    </row>
    <row r="1651" ht="15.75" customHeight="1">
      <c r="A1651" s="9" t="s">
        <v>31505</v>
      </c>
      <c r="B1651" s="9" t="s">
        <v>4800</v>
      </c>
      <c r="C1651" s="8" t="s">
        <v>31506</v>
      </c>
      <c r="D1651" s="9" t="b">
        <v>0</v>
      </c>
      <c r="E1651" s="9"/>
    </row>
    <row r="1652" ht="15.75" customHeight="1">
      <c r="A1652" s="9" t="s">
        <v>31507</v>
      </c>
      <c r="B1652" s="9" t="s">
        <v>4800</v>
      </c>
      <c r="C1652" s="8" t="s">
        <v>31508</v>
      </c>
      <c r="D1652" s="9" t="b">
        <v>0</v>
      </c>
      <c r="E1652" s="9"/>
    </row>
    <row r="1653" ht="15.75" customHeight="1">
      <c r="A1653" s="9" t="s">
        <v>31509</v>
      </c>
      <c r="B1653" s="9" t="s">
        <v>4800</v>
      </c>
      <c r="C1653" s="8" t="s">
        <v>31510</v>
      </c>
      <c r="D1653" s="9" t="b">
        <v>0</v>
      </c>
      <c r="E1653" s="9"/>
    </row>
    <row r="1654" ht="15.75" customHeight="1">
      <c r="A1654" s="9" t="s">
        <v>31511</v>
      </c>
      <c r="B1654" s="9" t="s">
        <v>4800</v>
      </c>
      <c r="C1654" s="8" t="s">
        <v>31512</v>
      </c>
      <c r="D1654" s="9" t="b">
        <v>0</v>
      </c>
      <c r="E1654" s="9"/>
    </row>
    <row r="1655" ht="15.75" customHeight="1">
      <c r="A1655" s="9" t="s">
        <v>31513</v>
      </c>
      <c r="B1655" s="9" t="s">
        <v>4800</v>
      </c>
      <c r="C1655" s="8" t="s">
        <v>31514</v>
      </c>
      <c r="D1655" s="9" t="b">
        <v>0</v>
      </c>
      <c r="E1655" s="9"/>
    </row>
    <row r="1656" ht="15.75" customHeight="1">
      <c r="A1656" s="9" t="s">
        <v>31515</v>
      </c>
      <c r="B1656" s="9" t="s">
        <v>4800</v>
      </c>
      <c r="C1656" s="8" t="s">
        <v>31516</v>
      </c>
      <c r="D1656" s="9" t="b">
        <v>0</v>
      </c>
      <c r="E1656" s="9"/>
    </row>
    <row r="1657" ht="15.75" customHeight="1">
      <c r="A1657" s="9" t="s">
        <v>31517</v>
      </c>
      <c r="B1657" s="9" t="s">
        <v>4800</v>
      </c>
      <c r="C1657" s="8" t="s">
        <v>31518</v>
      </c>
      <c r="D1657" s="9" t="b">
        <v>0</v>
      </c>
      <c r="E1657" s="9"/>
    </row>
    <row r="1658" ht="15.75" customHeight="1">
      <c r="A1658" s="9" t="s">
        <v>31519</v>
      </c>
      <c r="B1658" s="9" t="s">
        <v>4800</v>
      </c>
      <c r="C1658" s="8" t="s">
        <v>31520</v>
      </c>
      <c r="D1658" s="9" t="b">
        <v>0</v>
      </c>
      <c r="E1658" s="9"/>
    </row>
    <row r="1659" ht="15.75" customHeight="1">
      <c r="A1659" s="9" t="s">
        <v>31521</v>
      </c>
      <c r="B1659" s="9" t="s">
        <v>4800</v>
      </c>
      <c r="C1659" s="8" t="s">
        <v>31522</v>
      </c>
      <c r="D1659" s="9" t="b">
        <v>0</v>
      </c>
      <c r="E1659" s="9"/>
    </row>
    <row r="1660" ht="15.75" customHeight="1">
      <c r="A1660" s="9" t="s">
        <v>31523</v>
      </c>
      <c r="B1660" s="9" t="s">
        <v>11864</v>
      </c>
      <c r="C1660" s="8" t="s">
        <v>31524</v>
      </c>
      <c r="D1660" s="9" t="b">
        <v>0</v>
      </c>
      <c r="E1660" s="9"/>
    </row>
    <row r="1661" ht="15.75" customHeight="1">
      <c r="A1661" s="9" t="s">
        <v>31525</v>
      </c>
      <c r="B1661" s="9" t="s">
        <v>11864</v>
      </c>
      <c r="C1661" s="8" t="s">
        <v>31526</v>
      </c>
      <c r="D1661" s="9" t="b">
        <v>0</v>
      </c>
      <c r="E1661" s="9"/>
    </row>
    <row r="1662" ht="15.75" customHeight="1">
      <c r="A1662" s="9" t="s">
        <v>31527</v>
      </c>
      <c r="B1662" s="9" t="s">
        <v>9571</v>
      </c>
      <c r="C1662" s="8" t="s">
        <v>31528</v>
      </c>
      <c r="D1662" s="9" t="b">
        <v>1</v>
      </c>
      <c r="E1662" s="9"/>
    </row>
    <row r="1663" ht="15.75" customHeight="1">
      <c r="A1663" s="9" t="s">
        <v>31529</v>
      </c>
      <c r="B1663" s="9" t="s">
        <v>11864</v>
      </c>
      <c r="C1663" s="8" t="s">
        <v>31530</v>
      </c>
      <c r="D1663" s="9" t="b">
        <v>0</v>
      </c>
      <c r="E1663" s="9" t="s">
        <v>31531</v>
      </c>
    </row>
    <row r="1664" ht="15.75" customHeight="1">
      <c r="A1664" s="9" t="s">
        <v>31532</v>
      </c>
      <c r="B1664" s="9" t="s">
        <v>11864</v>
      </c>
      <c r="C1664" s="8" t="s">
        <v>31533</v>
      </c>
      <c r="D1664" s="9" t="b">
        <v>0</v>
      </c>
      <c r="E1664" s="9"/>
    </row>
    <row r="1665" ht="15.75" customHeight="1">
      <c r="A1665" s="9" t="s">
        <v>31534</v>
      </c>
      <c r="B1665" s="9" t="s">
        <v>11864</v>
      </c>
      <c r="C1665" s="8" t="s">
        <v>31535</v>
      </c>
      <c r="D1665" s="9" t="b">
        <v>0</v>
      </c>
      <c r="E1665" s="9"/>
    </row>
    <row r="1666" ht="15.75" customHeight="1">
      <c r="A1666" s="9" t="s">
        <v>31536</v>
      </c>
      <c r="B1666" s="9" t="s">
        <v>11864</v>
      </c>
      <c r="C1666" s="8" t="s">
        <v>31537</v>
      </c>
      <c r="D1666" s="9" t="b">
        <v>0</v>
      </c>
      <c r="E1666" s="9"/>
    </row>
    <row r="1667" ht="15.75" customHeight="1">
      <c r="A1667" s="9" t="s">
        <v>31538</v>
      </c>
      <c r="B1667" s="9" t="s">
        <v>11864</v>
      </c>
      <c r="C1667" s="8" t="s">
        <v>31539</v>
      </c>
      <c r="D1667" s="9" t="b">
        <v>1</v>
      </c>
      <c r="E1667" s="9"/>
    </row>
    <row r="1668" ht="15.75" customHeight="1">
      <c r="A1668" s="9" t="s">
        <v>31540</v>
      </c>
      <c r="B1668" s="9" t="s">
        <v>11864</v>
      </c>
      <c r="C1668" s="8" t="s">
        <v>31541</v>
      </c>
      <c r="D1668" s="9" t="b">
        <v>0</v>
      </c>
      <c r="E1668" s="9"/>
    </row>
    <row r="1669" ht="15.75" customHeight="1">
      <c r="A1669" s="9" t="s">
        <v>31542</v>
      </c>
      <c r="B1669" s="9" t="s">
        <v>11864</v>
      </c>
      <c r="C1669" s="8" t="s">
        <v>31543</v>
      </c>
      <c r="D1669" s="9" t="b">
        <v>0</v>
      </c>
      <c r="E1669" s="9"/>
    </row>
    <row r="1670" ht="15.75" customHeight="1">
      <c r="A1670" s="9" t="s">
        <v>31544</v>
      </c>
      <c r="B1670" s="9" t="s">
        <v>11864</v>
      </c>
      <c r="C1670" s="8" t="s">
        <v>31545</v>
      </c>
      <c r="D1670" s="9" t="b">
        <v>0</v>
      </c>
      <c r="E1670" s="9"/>
    </row>
    <row r="1671" ht="15.75" customHeight="1">
      <c r="A1671" s="9" t="s">
        <v>31546</v>
      </c>
      <c r="B1671" s="9" t="s">
        <v>11864</v>
      </c>
      <c r="C1671" s="8" t="s">
        <v>31547</v>
      </c>
      <c r="D1671" s="9" t="b">
        <v>0</v>
      </c>
      <c r="E1671" s="9"/>
    </row>
    <row r="1672" ht="15.75" customHeight="1">
      <c r="A1672" s="9" t="s">
        <v>31548</v>
      </c>
      <c r="B1672" s="9" t="s">
        <v>11864</v>
      </c>
      <c r="C1672" s="8" t="s">
        <v>31549</v>
      </c>
      <c r="D1672" s="9" t="b">
        <v>0</v>
      </c>
      <c r="E1672" s="9"/>
    </row>
    <row r="1673" ht="15.75" customHeight="1">
      <c r="A1673" s="9" t="s">
        <v>31550</v>
      </c>
      <c r="B1673" s="9" t="s">
        <v>11864</v>
      </c>
      <c r="C1673" s="8" t="s">
        <v>31551</v>
      </c>
      <c r="D1673" s="9" t="b">
        <v>0</v>
      </c>
      <c r="E1673" s="9"/>
    </row>
    <row r="1674" ht="15.75" customHeight="1">
      <c r="A1674" s="9" t="s">
        <v>31552</v>
      </c>
      <c r="B1674" s="9" t="s">
        <v>11864</v>
      </c>
      <c r="C1674" s="8" t="s">
        <v>31553</v>
      </c>
      <c r="D1674" s="9" t="b">
        <v>0</v>
      </c>
      <c r="E1674" s="9"/>
    </row>
    <row r="1675" ht="15.75" customHeight="1">
      <c r="A1675" s="9" t="s">
        <v>31554</v>
      </c>
      <c r="B1675" s="9" t="s">
        <v>11864</v>
      </c>
      <c r="C1675" s="8" t="s">
        <v>31555</v>
      </c>
      <c r="D1675" s="9" t="b">
        <v>0</v>
      </c>
      <c r="E1675" s="9"/>
    </row>
    <row r="1676" ht="15.75" customHeight="1">
      <c r="A1676" s="9" t="s">
        <v>31556</v>
      </c>
      <c r="B1676" s="9" t="s">
        <v>11864</v>
      </c>
      <c r="C1676" s="8" t="s">
        <v>31557</v>
      </c>
      <c r="D1676" s="9" t="b">
        <v>0</v>
      </c>
      <c r="E1676" s="9"/>
    </row>
    <row r="1677" ht="15.75" customHeight="1">
      <c r="A1677" s="9" t="s">
        <v>31558</v>
      </c>
      <c r="B1677" s="9" t="s">
        <v>11887</v>
      </c>
      <c r="C1677" s="8" t="s">
        <v>31559</v>
      </c>
      <c r="D1677" s="9" t="b">
        <v>0</v>
      </c>
      <c r="E1677" s="9"/>
    </row>
    <row r="1678" ht="15.75" customHeight="1">
      <c r="A1678" s="9" t="s">
        <v>31560</v>
      </c>
      <c r="B1678" s="9" t="s">
        <v>11887</v>
      </c>
      <c r="C1678" s="8" t="s">
        <v>31561</v>
      </c>
      <c r="D1678" s="9" t="b">
        <v>1</v>
      </c>
      <c r="E1678" s="9"/>
    </row>
    <row r="1679" ht="15.75" customHeight="1">
      <c r="A1679" s="9" t="s">
        <v>31562</v>
      </c>
      <c r="B1679" s="9" t="s">
        <v>11887</v>
      </c>
      <c r="C1679" s="8" t="s">
        <v>31563</v>
      </c>
      <c r="D1679" s="9" t="b">
        <v>0</v>
      </c>
      <c r="E1679" s="9"/>
    </row>
    <row r="1680" ht="15.75" customHeight="1">
      <c r="A1680" s="9" t="s">
        <v>31564</v>
      </c>
      <c r="B1680" s="9" t="s">
        <v>11887</v>
      </c>
      <c r="C1680" s="8" t="s">
        <v>31565</v>
      </c>
      <c r="D1680" s="9" t="b">
        <v>0</v>
      </c>
      <c r="E1680" s="9"/>
    </row>
    <row r="1681" ht="15.75" customHeight="1">
      <c r="A1681" s="9" t="s">
        <v>31566</v>
      </c>
      <c r="B1681" s="9" t="s">
        <v>11887</v>
      </c>
      <c r="C1681" s="8" t="s">
        <v>31567</v>
      </c>
      <c r="D1681" s="9" t="b">
        <v>0</v>
      </c>
      <c r="E1681" s="9"/>
    </row>
    <row r="1682" ht="15.75" customHeight="1">
      <c r="A1682" s="9" t="s">
        <v>31568</v>
      </c>
      <c r="B1682" s="9" t="s">
        <v>11887</v>
      </c>
      <c r="C1682" s="8" t="s">
        <v>31569</v>
      </c>
      <c r="D1682" s="9" t="b">
        <v>0</v>
      </c>
      <c r="E1682" s="9"/>
    </row>
    <row r="1683" ht="15.75" customHeight="1">
      <c r="A1683" s="9" t="s">
        <v>31570</v>
      </c>
      <c r="B1683" s="9" t="s">
        <v>11887</v>
      </c>
      <c r="C1683" s="8" t="s">
        <v>31571</v>
      </c>
      <c r="D1683" s="9" t="b">
        <v>0</v>
      </c>
      <c r="E1683" s="9"/>
    </row>
    <row r="1684" ht="15.75" customHeight="1">
      <c r="A1684" s="9" t="s">
        <v>31572</v>
      </c>
      <c r="B1684" s="9" t="s">
        <v>11887</v>
      </c>
      <c r="C1684" s="8" t="s">
        <v>31573</v>
      </c>
      <c r="D1684" s="9" t="b">
        <v>0</v>
      </c>
      <c r="E1684" s="9"/>
    </row>
    <row r="1685" ht="15.75" customHeight="1">
      <c r="A1685" s="9" t="s">
        <v>31574</v>
      </c>
      <c r="B1685" s="9" t="s">
        <v>10662</v>
      </c>
      <c r="C1685" s="8" t="s">
        <v>31575</v>
      </c>
      <c r="D1685" s="9" t="b">
        <v>1</v>
      </c>
      <c r="E1685" s="9"/>
    </row>
    <row r="1686" ht="15.75" customHeight="1">
      <c r="A1686" s="9" t="s">
        <v>31576</v>
      </c>
      <c r="B1686" s="9" t="s">
        <v>10662</v>
      </c>
      <c r="C1686" s="8" t="s">
        <v>31577</v>
      </c>
      <c r="D1686" s="9" t="b">
        <v>0</v>
      </c>
      <c r="E1686" s="9"/>
    </row>
    <row r="1687" ht="15.75" customHeight="1">
      <c r="A1687" s="9" t="s">
        <v>31578</v>
      </c>
      <c r="B1687" s="9" t="s">
        <v>10662</v>
      </c>
      <c r="C1687" s="8" t="s">
        <v>31579</v>
      </c>
      <c r="D1687" s="9" t="b">
        <v>0</v>
      </c>
      <c r="E1687" s="9"/>
    </row>
    <row r="1688" ht="15.75" customHeight="1">
      <c r="A1688" s="9" t="s">
        <v>31580</v>
      </c>
      <c r="B1688" s="9" t="s">
        <v>10662</v>
      </c>
      <c r="C1688" s="8" t="s">
        <v>31581</v>
      </c>
      <c r="D1688" s="9" t="b">
        <v>0</v>
      </c>
      <c r="E1688" s="9"/>
    </row>
    <row r="1689" ht="15.75" customHeight="1">
      <c r="A1689" s="9" t="s">
        <v>31582</v>
      </c>
      <c r="B1689" s="9" t="s">
        <v>10662</v>
      </c>
      <c r="C1689" s="8" t="s">
        <v>31583</v>
      </c>
      <c r="D1689" s="9" t="b">
        <v>0</v>
      </c>
      <c r="E1689" s="9"/>
    </row>
    <row r="1690" ht="15.75" customHeight="1">
      <c r="A1690" s="9" t="s">
        <v>31584</v>
      </c>
      <c r="B1690" s="9" t="s">
        <v>10662</v>
      </c>
      <c r="C1690" s="8" t="s">
        <v>31585</v>
      </c>
      <c r="D1690" s="9" t="b">
        <v>0</v>
      </c>
      <c r="E1690" s="9"/>
    </row>
    <row r="1691" ht="15.75" customHeight="1">
      <c r="A1691" s="9" t="s">
        <v>31586</v>
      </c>
      <c r="B1691" s="9" t="s">
        <v>10662</v>
      </c>
      <c r="C1691" s="8" t="s">
        <v>31587</v>
      </c>
      <c r="D1691" s="9" t="b">
        <v>0</v>
      </c>
      <c r="E1691" s="9"/>
    </row>
    <row r="1692" ht="15.75" customHeight="1">
      <c r="A1692" s="9" t="s">
        <v>31588</v>
      </c>
      <c r="B1692" s="9" t="s">
        <v>10662</v>
      </c>
      <c r="C1692" s="8" t="s">
        <v>31589</v>
      </c>
      <c r="D1692" s="9" t="b">
        <v>0</v>
      </c>
      <c r="E1692" s="9"/>
    </row>
    <row r="1693" ht="15.75" customHeight="1">
      <c r="A1693" s="9" t="s">
        <v>31590</v>
      </c>
      <c r="B1693" s="9" t="s">
        <v>10662</v>
      </c>
      <c r="C1693" s="8" t="s">
        <v>31591</v>
      </c>
      <c r="D1693" s="9" t="b">
        <v>0</v>
      </c>
      <c r="E1693" s="9"/>
    </row>
    <row r="1694" ht="15.75" customHeight="1">
      <c r="A1694" s="9" t="s">
        <v>31592</v>
      </c>
      <c r="B1694" s="9" t="s">
        <v>11703</v>
      </c>
      <c r="C1694" s="8" t="s">
        <v>31593</v>
      </c>
      <c r="D1694" s="9" t="b">
        <v>1</v>
      </c>
      <c r="E1694" s="9"/>
    </row>
    <row r="1695" ht="15.75" customHeight="1">
      <c r="A1695" s="9" t="s">
        <v>31594</v>
      </c>
      <c r="B1695" s="9" t="s">
        <v>11703</v>
      </c>
      <c r="C1695" s="8" t="s">
        <v>31595</v>
      </c>
      <c r="D1695" s="9" t="b">
        <v>0</v>
      </c>
      <c r="E1695" s="9"/>
    </row>
    <row r="1696" ht="15.75" customHeight="1">
      <c r="A1696" s="9" t="s">
        <v>31596</v>
      </c>
      <c r="B1696" s="9" t="s">
        <v>11703</v>
      </c>
      <c r="C1696" s="8" t="s">
        <v>31597</v>
      </c>
      <c r="D1696" s="9" t="b">
        <v>0</v>
      </c>
      <c r="E1696" s="9"/>
    </row>
    <row r="1697" ht="15.75" customHeight="1">
      <c r="A1697" s="9" t="s">
        <v>31598</v>
      </c>
      <c r="B1697" s="9" t="s">
        <v>11703</v>
      </c>
      <c r="C1697" s="8" t="s">
        <v>31599</v>
      </c>
      <c r="D1697" s="9" t="b">
        <v>0</v>
      </c>
      <c r="E1697" s="9"/>
    </row>
    <row r="1698" ht="15.75" customHeight="1">
      <c r="A1698" s="9" t="s">
        <v>31600</v>
      </c>
      <c r="B1698" s="9" t="s">
        <v>11703</v>
      </c>
      <c r="C1698" s="8" t="s">
        <v>31601</v>
      </c>
      <c r="D1698" s="9" t="b">
        <v>0</v>
      </c>
      <c r="E1698" s="9"/>
    </row>
    <row r="1699" ht="15.75" customHeight="1">
      <c r="A1699" s="9" t="s">
        <v>31602</v>
      </c>
      <c r="B1699" s="9" t="s">
        <v>11703</v>
      </c>
      <c r="C1699" s="8" t="s">
        <v>31603</v>
      </c>
      <c r="D1699" s="9" t="b">
        <v>0</v>
      </c>
      <c r="E1699" s="9"/>
    </row>
    <row r="1700" ht="15.75" customHeight="1">
      <c r="A1700" s="9" t="s">
        <v>31604</v>
      </c>
      <c r="B1700" s="9" t="s">
        <v>11703</v>
      </c>
      <c r="C1700" s="8" t="s">
        <v>31605</v>
      </c>
      <c r="D1700" s="9" t="b">
        <v>0</v>
      </c>
      <c r="E1700" s="9"/>
    </row>
    <row r="1701" ht="15.75" customHeight="1">
      <c r="A1701" s="9" t="s">
        <v>31606</v>
      </c>
      <c r="B1701" s="9" t="s">
        <v>11703</v>
      </c>
      <c r="C1701" s="8" t="s">
        <v>31607</v>
      </c>
      <c r="D1701" s="9" t="b">
        <v>0</v>
      </c>
      <c r="E1701" s="9"/>
    </row>
    <row r="1702" ht="15.75" customHeight="1">
      <c r="A1702" s="9" t="s">
        <v>31608</v>
      </c>
      <c r="B1702" s="9" t="s">
        <v>11703</v>
      </c>
      <c r="C1702" s="8" t="s">
        <v>31609</v>
      </c>
      <c r="D1702" s="9" t="b">
        <v>0</v>
      </c>
      <c r="E1702" s="9"/>
    </row>
    <row r="1703" ht="15.75" customHeight="1">
      <c r="A1703" s="9" t="s">
        <v>31610</v>
      </c>
      <c r="B1703" s="9" t="s">
        <v>11703</v>
      </c>
      <c r="C1703" s="8" t="s">
        <v>31611</v>
      </c>
      <c r="D1703" s="9" t="b">
        <v>0</v>
      </c>
      <c r="E1703" s="9"/>
    </row>
    <row r="1704" ht="15.75" customHeight="1">
      <c r="A1704" s="9" t="s">
        <v>31612</v>
      </c>
      <c r="B1704" s="9" t="s">
        <v>11703</v>
      </c>
      <c r="C1704" s="8" t="s">
        <v>31613</v>
      </c>
      <c r="D1704" s="9" t="b">
        <v>0</v>
      </c>
      <c r="E1704" s="9"/>
    </row>
    <row r="1705" ht="15.75" customHeight="1">
      <c r="A1705" s="9" t="s">
        <v>31614</v>
      </c>
      <c r="B1705" s="9" t="s">
        <v>11703</v>
      </c>
      <c r="C1705" s="8" t="s">
        <v>31615</v>
      </c>
      <c r="D1705" s="9" t="b">
        <v>0</v>
      </c>
      <c r="E1705" s="9"/>
    </row>
    <row r="1706" ht="15.75" customHeight="1">
      <c r="A1706" s="9" t="s">
        <v>31616</v>
      </c>
      <c r="B1706" s="9" t="s">
        <v>11703</v>
      </c>
      <c r="C1706" s="8" t="s">
        <v>31617</v>
      </c>
      <c r="D1706" s="9" t="b">
        <v>0</v>
      </c>
      <c r="E1706" s="9"/>
    </row>
    <row r="1707" ht="15.75" customHeight="1">
      <c r="A1707" s="9" t="s">
        <v>31618</v>
      </c>
      <c r="B1707" s="9" t="s">
        <v>10613</v>
      </c>
      <c r="C1707" s="8" t="s">
        <v>31619</v>
      </c>
      <c r="D1707" s="9" t="b">
        <v>0</v>
      </c>
      <c r="E1707" s="9"/>
    </row>
    <row r="1708" ht="15.75" customHeight="1">
      <c r="A1708" s="9" t="s">
        <v>31620</v>
      </c>
      <c r="B1708" s="9" t="s">
        <v>10613</v>
      </c>
      <c r="C1708" s="8" t="s">
        <v>31621</v>
      </c>
      <c r="D1708" s="9" t="b">
        <v>1</v>
      </c>
      <c r="E1708" s="9"/>
    </row>
    <row r="1709" ht="15.75" customHeight="1">
      <c r="A1709" s="9" t="s">
        <v>31622</v>
      </c>
      <c r="B1709" s="9" t="s">
        <v>10613</v>
      </c>
      <c r="C1709" s="8" t="s">
        <v>31623</v>
      </c>
      <c r="D1709" s="9" t="b">
        <v>0</v>
      </c>
      <c r="E1709" s="9"/>
    </row>
    <row r="1710" ht="15.75" customHeight="1">
      <c r="A1710" s="9" t="s">
        <v>31624</v>
      </c>
      <c r="B1710" s="9" t="s">
        <v>10613</v>
      </c>
      <c r="C1710" s="8" t="s">
        <v>31625</v>
      </c>
      <c r="D1710" s="9" t="b">
        <v>0</v>
      </c>
      <c r="E1710" s="9"/>
    </row>
    <row r="1711" ht="15.75" customHeight="1">
      <c r="A1711" s="9" t="s">
        <v>31626</v>
      </c>
      <c r="B1711" s="9" t="s">
        <v>10613</v>
      </c>
      <c r="C1711" s="8" t="s">
        <v>31627</v>
      </c>
      <c r="D1711" s="9" t="b">
        <v>0</v>
      </c>
      <c r="E1711" s="9"/>
    </row>
    <row r="1712" ht="15.75" customHeight="1">
      <c r="A1712" s="9" t="s">
        <v>31628</v>
      </c>
      <c r="B1712" s="9" t="s">
        <v>10613</v>
      </c>
      <c r="C1712" s="8" t="s">
        <v>31629</v>
      </c>
      <c r="D1712" s="9" t="b">
        <v>0</v>
      </c>
      <c r="E1712" s="9"/>
    </row>
    <row r="1713" ht="15.75" customHeight="1">
      <c r="A1713" s="9" t="s">
        <v>31630</v>
      </c>
      <c r="B1713" s="9" t="s">
        <v>11703</v>
      </c>
      <c r="C1713" s="8" t="s">
        <v>31631</v>
      </c>
      <c r="D1713" s="9" t="b">
        <v>0</v>
      </c>
      <c r="E1713" s="9"/>
    </row>
    <row r="1714" ht="15.75" customHeight="1">
      <c r="A1714" s="9" t="s">
        <v>31632</v>
      </c>
      <c r="B1714" s="9" t="s">
        <v>10711</v>
      </c>
      <c r="C1714" s="8" t="s">
        <v>31633</v>
      </c>
      <c r="D1714" s="9" t="b">
        <v>0</v>
      </c>
      <c r="E1714" s="9"/>
    </row>
    <row r="1715" ht="15.75" customHeight="1">
      <c r="A1715" s="9" t="s">
        <v>31634</v>
      </c>
      <c r="B1715" s="9" t="s">
        <v>10711</v>
      </c>
      <c r="C1715" s="8" t="s">
        <v>31635</v>
      </c>
      <c r="D1715" s="9" t="b">
        <v>0</v>
      </c>
      <c r="E1715" s="9"/>
    </row>
    <row r="1716" ht="15.75" customHeight="1">
      <c r="A1716" s="9"/>
      <c r="B1716" s="9"/>
      <c r="C1716" s="9"/>
      <c r="D1716" s="9"/>
      <c r="E1716" s="9"/>
    </row>
    <row r="1717" ht="15.75" customHeight="1">
      <c r="A1717" s="9" t="s">
        <v>31636</v>
      </c>
      <c r="B1717" s="9" t="s">
        <v>10711</v>
      </c>
      <c r="C1717" s="8" t="s">
        <v>31637</v>
      </c>
      <c r="D1717" s="9" t="b">
        <v>0</v>
      </c>
      <c r="E1717" s="9"/>
    </row>
    <row r="1718" ht="15.75" customHeight="1">
      <c r="A1718" s="9" t="s">
        <v>31638</v>
      </c>
      <c r="B1718" s="9" t="s">
        <v>10711</v>
      </c>
      <c r="C1718" s="8" t="s">
        <v>31639</v>
      </c>
      <c r="D1718" s="9" t="b">
        <v>0</v>
      </c>
      <c r="E1718" s="9"/>
    </row>
    <row r="1719" ht="15.75" customHeight="1">
      <c r="A1719" s="9" t="s">
        <v>31640</v>
      </c>
      <c r="B1719" s="9" t="s">
        <v>10711</v>
      </c>
      <c r="C1719" s="8" t="s">
        <v>31641</v>
      </c>
      <c r="D1719" s="9" t="b">
        <v>1</v>
      </c>
      <c r="E1719" s="9"/>
    </row>
    <row r="1720" ht="15.75" customHeight="1">
      <c r="A1720" s="9" t="s">
        <v>31642</v>
      </c>
      <c r="B1720" s="9" t="s">
        <v>10711</v>
      </c>
      <c r="C1720" s="8" t="s">
        <v>31643</v>
      </c>
      <c r="D1720" s="9" t="b">
        <v>0</v>
      </c>
      <c r="E1720" s="9"/>
    </row>
    <row r="1721" ht="15.75" customHeight="1">
      <c r="A1721" s="9" t="s">
        <v>31644</v>
      </c>
      <c r="B1721" s="9" t="s">
        <v>7511</v>
      </c>
      <c r="C1721" s="8" t="s">
        <v>31645</v>
      </c>
      <c r="D1721" s="9" t="b">
        <v>1</v>
      </c>
      <c r="E1721" s="9"/>
    </row>
    <row r="1722" ht="15.75" customHeight="1">
      <c r="A1722" s="9" t="s">
        <v>31646</v>
      </c>
      <c r="B1722" s="9" t="s">
        <v>7511</v>
      </c>
      <c r="C1722" s="8" t="s">
        <v>31647</v>
      </c>
      <c r="D1722" s="9" t="b">
        <v>0</v>
      </c>
      <c r="E1722" s="9"/>
    </row>
    <row r="1723" ht="15.75" customHeight="1">
      <c r="A1723" s="9" t="s">
        <v>31648</v>
      </c>
      <c r="B1723" s="9" t="s">
        <v>7511</v>
      </c>
      <c r="C1723" s="8" t="s">
        <v>31649</v>
      </c>
      <c r="D1723" s="9" t="b">
        <v>0</v>
      </c>
      <c r="E1723" s="9"/>
    </row>
    <row r="1724" ht="15.75" customHeight="1">
      <c r="A1724" s="9" t="s">
        <v>31650</v>
      </c>
      <c r="B1724" s="9" t="s">
        <v>7511</v>
      </c>
      <c r="C1724" s="8" t="s">
        <v>31651</v>
      </c>
      <c r="D1724" s="9" t="b">
        <v>0</v>
      </c>
      <c r="E1724" s="9"/>
    </row>
    <row r="1725" ht="15.75" customHeight="1">
      <c r="A1725" s="9" t="s">
        <v>31652</v>
      </c>
      <c r="B1725" s="9" t="s">
        <v>7511</v>
      </c>
      <c r="C1725" s="8" t="s">
        <v>31653</v>
      </c>
      <c r="D1725" s="9" t="b">
        <v>0</v>
      </c>
      <c r="E1725" s="9"/>
    </row>
    <row r="1726" ht="15.75" customHeight="1">
      <c r="A1726" s="9" t="s">
        <v>31654</v>
      </c>
      <c r="B1726" s="9" t="s">
        <v>7511</v>
      </c>
      <c r="C1726" s="8" t="s">
        <v>31655</v>
      </c>
      <c r="D1726" s="9" t="b">
        <v>0</v>
      </c>
      <c r="E1726" s="9"/>
    </row>
    <row r="1727" ht="15.75" customHeight="1">
      <c r="A1727" s="9" t="s">
        <v>31656</v>
      </c>
      <c r="B1727" s="9" t="s">
        <v>7511</v>
      </c>
      <c r="C1727" s="8" t="s">
        <v>31657</v>
      </c>
      <c r="D1727" s="9" t="b">
        <v>0</v>
      </c>
      <c r="E1727" s="9"/>
    </row>
    <row r="1728" ht="15.75" customHeight="1">
      <c r="A1728" s="9" t="s">
        <v>31658</v>
      </c>
      <c r="B1728" s="9" t="s">
        <v>7600</v>
      </c>
      <c r="C1728" s="8" t="s">
        <v>31659</v>
      </c>
      <c r="D1728" s="9" t="b">
        <v>1</v>
      </c>
      <c r="E1728" s="9"/>
    </row>
    <row r="1729" ht="15.75" customHeight="1">
      <c r="A1729" s="9" t="s">
        <v>31660</v>
      </c>
      <c r="B1729" s="9" t="s">
        <v>7600</v>
      </c>
      <c r="C1729" s="8" t="s">
        <v>31661</v>
      </c>
      <c r="D1729" s="9" t="b">
        <v>0</v>
      </c>
      <c r="E1729" s="9"/>
    </row>
    <row r="1730" ht="15.75" customHeight="1">
      <c r="A1730" s="52" t="s">
        <v>31662</v>
      </c>
      <c r="B1730" s="9" t="s">
        <v>7600</v>
      </c>
      <c r="C1730" s="8" t="s">
        <v>31663</v>
      </c>
      <c r="D1730" s="9" t="b">
        <v>0</v>
      </c>
      <c r="E1730" s="9"/>
    </row>
    <row r="1731" ht="15.75" customHeight="1">
      <c r="A1731" s="9" t="s">
        <v>31664</v>
      </c>
      <c r="B1731" s="9" t="s">
        <v>7600</v>
      </c>
      <c r="C1731" s="8" t="s">
        <v>31665</v>
      </c>
      <c r="D1731" s="9" t="b">
        <v>0</v>
      </c>
      <c r="E1731" s="9"/>
    </row>
    <row r="1732" ht="15.75" customHeight="1">
      <c r="A1732" s="9" t="s">
        <v>31666</v>
      </c>
      <c r="B1732" s="9" t="s">
        <v>7600</v>
      </c>
      <c r="C1732" s="8" t="s">
        <v>31667</v>
      </c>
      <c r="D1732" s="9" t="b">
        <v>0</v>
      </c>
      <c r="E1732" s="9"/>
    </row>
    <row r="1733" ht="15.75" customHeight="1">
      <c r="A1733" s="9" t="s">
        <v>31668</v>
      </c>
      <c r="B1733" s="9" t="s">
        <v>10161</v>
      </c>
      <c r="C1733" s="8" t="s">
        <v>31669</v>
      </c>
      <c r="D1733" s="9" t="b">
        <v>1</v>
      </c>
      <c r="E1733" s="9"/>
    </row>
    <row r="1734" ht="15.75" customHeight="1">
      <c r="A1734" s="9" t="s">
        <v>31670</v>
      </c>
      <c r="B1734" s="9" t="s">
        <v>10161</v>
      </c>
      <c r="C1734" s="8" t="s">
        <v>31671</v>
      </c>
      <c r="D1734" s="9" t="b">
        <v>0</v>
      </c>
      <c r="E1734" s="9"/>
    </row>
    <row r="1735" ht="15.75" customHeight="1">
      <c r="A1735" s="9" t="s">
        <v>31672</v>
      </c>
      <c r="B1735" s="9" t="s">
        <v>10161</v>
      </c>
      <c r="C1735" s="8" t="s">
        <v>31673</v>
      </c>
      <c r="D1735" s="9" t="b">
        <v>0</v>
      </c>
      <c r="E1735" s="9"/>
    </row>
    <row r="1736" ht="15.75" customHeight="1">
      <c r="A1736" s="9" t="s">
        <v>31674</v>
      </c>
      <c r="B1736" s="9" t="s">
        <v>12038</v>
      </c>
      <c r="C1736" s="8" t="s">
        <v>31675</v>
      </c>
      <c r="D1736" s="9" t="b">
        <v>1</v>
      </c>
      <c r="E1736" s="9"/>
    </row>
    <row r="1737" ht="15.75" customHeight="1">
      <c r="A1737" s="9" t="s">
        <v>31676</v>
      </c>
      <c r="B1737" s="9" t="s">
        <v>12038</v>
      </c>
      <c r="C1737" s="8" t="s">
        <v>31677</v>
      </c>
      <c r="D1737" s="9" t="b">
        <v>0</v>
      </c>
      <c r="E1737" s="9" t="s">
        <v>31678</v>
      </c>
    </row>
    <row r="1738" ht="15.75" customHeight="1">
      <c r="A1738" s="9" t="s">
        <v>31679</v>
      </c>
      <c r="B1738" s="9" t="s">
        <v>12038</v>
      </c>
      <c r="C1738" s="8" t="s">
        <v>31680</v>
      </c>
      <c r="D1738" s="9" t="b">
        <v>0</v>
      </c>
      <c r="E1738" s="9"/>
    </row>
    <row r="1739" ht="15.75" customHeight="1">
      <c r="A1739" s="9" t="s">
        <v>31681</v>
      </c>
      <c r="B1739" s="9" t="s">
        <v>10477</v>
      </c>
      <c r="C1739" s="8" t="s">
        <v>31682</v>
      </c>
      <c r="D1739" s="9" t="b">
        <v>1</v>
      </c>
      <c r="E1739" s="9"/>
    </row>
    <row r="1740" ht="15.75" customHeight="1">
      <c r="A1740" s="9" t="s">
        <v>31683</v>
      </c>
      <c r="B1740" s="9" t="s">
        <v>10477</v>
      </c>
      <c r="C1740" s="8" t="s">
        <v>31684</v>
      </c>
      <c r="D1740" s="9" t="b">
        <v>0</v>
      </c>
      <c r="E1740" s="9"/>
    </row>
    <row r="1741" ht="15.75" customHeight="1">
      <c r="A1741" s="9" t="s">
        <v>31685</v>
      </c>
      <c r="B1741" s="9" t="s">
        <v>10477</v>
      </c>
      <c r="C1741" s="8" t="s">
        <v>31686</v>
      </c>
      <c r="D1741" s="9" t="b">
        <v>0</v>
      </c>
      <c r="E1741" s="9"/>
    </row>
    <row r="1742" ht="15.75" customHeight="1">
      <c r="A1742" s="9" t="s">
        <v>31687</v>
      </c>
      <c r="B1742" s="9" t="s">
        <v>10477</v>
      </c>
      <c r="C1742" s="8" t="s">
        <v>31688</v>
      </c>
      <c r="D1742" s="9" t="b">
        <v>0</v>
      </c>
      <c r="E1742" s="9"/>
    </row>
    <row r="1743" ht="15.75" customHeight="1">
      <c r="A1743" s="9" t="s">
        <v>31689</v>
      </c>
      <c r="B1743" s="9" t="s">
        <v>10477</v>
      </c>
      <c r="C1743" s="8" t="s">
        <v>31690</v>
      </c>
      <c r="D1743" s="9" t="b">
        <v>0</v>
      </c>
      <c r="E1743" s="9"/>
    </row>
    <row r="1744" ht="15.75" customHeight="1">
      <c r="A1744" s="9" t="s">
        <v>31691</v>
      </c>
      <c r="B1744" s="9" t="s">
        <v>10477</v>
      </c>
      <c r="C1744" s="8" t="s">
        <v>31692</v>
      </c>
      <c r="D1744" s="9" t="b">
        <v>0</v>
      </c>
      <c r="E1744" s="9"/>
    </row>
    <row r="1745" ht="15.75" customHeight="1">
      <c r="A1745" s="9" t="s">
        <v>31693</v>
      </c>
      <c r="B1745" s="9" t="s">
        <v>10477</v>
      </c>
      <c r="C1745" s="8" t="s">
        <v>31694</v>
      </c>
      <c r="D1745" s="9" t="b">
        <v>0</v>
      </c>
      <c r="E1745" s="9"/>
    </row>
    <row r="1746" ht="15.75" customHeight="1">
      <c r="A1746" s="9" t="s">
        <v>31695</v>
      </c>
      <c r="B1746" s="9" t="s">
        <v>10477</v>
      </c>
      <c r="C1746" s="8" t="s">
        <v>31696</v>
      </c>
      <c r="D1746" s="9" t="b">
        <v>0</v>
      </c>
      <c r="E1746" s="9"/>
    </row>
    <row r="1747" ht="15.75" customHeight="1">
      <c r="A1747" s="9" t="s">
        <v>31697</v>
      </c>
      <c r="B1747" s="9" t="s">
        <v>10477</v>
      </c>
      <c r="C1747" s="8" t="s">
        <v>31698</v>
      </c>
      <c r="D1747" s="9" t="b">
        <v>0</v>
      </c>
      <c r="E1747" s="9"/>
    </row>
    <row r="1748" ht="15.75" customHeight="1">
      <c r="A1748" s="9" t="s">
        <v>31699</v>
      </c>
      <c r="B1748" s="9" t="s">
        <v>10477</v>
      </c>
      <c r="C1748" s="8" t="s">
        <v>31700</v>
      </c>
      <c r="D1748" s="9" t="b">
        <v>0</v>
      </c>
      <c r="E1748" s="9"/>
    </row>
    <row r="1749" ht="15.75" customHeight="1">
      <c r="A1749" s="9" t="s">
        <v>31701</v>
      </c>
      <c r="B1749" s="9" t="s">
        <v>10477</v>
      </c>
      <c r="C1749" s="8" t="s">
        <v>31702</v>
      </c>
      <c r="D1749" s="9" t="b">
        <v>0</v>
      </c>
      <c r="E1749" s="9"/>
    </row>
    <row r="1750" ht="15.75" customHeight="1">
      <c r="A1750" s="9" t="s">
        <v>31703</v>
      </c>
      <c r="B1750" s="9" t="s">
        <v>11763</v>
      </c>
      <c r="C1750" s="8" t="s">
        <v>31704</v>
      </c>
      <c r="D1750" s="9" t="b">
        <v>0</v>
      </c>
      <c r="E1750" s="9"/>
    </row>
    <row r="1751" ht="15.75" customHeight="1">
      <c r="A1751" s="9" t="s">
        <v>31705</v>
      </c>
      <c r="B1751" s="9" t="s">
        <v>11763</v>
      </c>
      <c r="C1751" s="8" t="s">
        <v>31706</v>
      </c>
      <c r="D1751" s="9" t="b">
        <v>0</v>
      </c>
      <c r="E1751" s="9" t="s">
        <v>8015</v>
      </c>
    </row>
    <row r="1752" ht="15.75" customHeight="1">
      <c r="A1752" s="9" t="s">
        <v>31707</v>
      </c>
      <c r="B1752" s="9" t="s">
        <v>11763</v>
      </c>
      <c r="C1752" s="8" t="s">
        <v>31708</v>
      </c>
      <c r="D1752" s="9" t="b">
        <v>0</v>
      </c>
      <c r="E1752" s="9" t="s">
        <v>15564</v>
      </c>
    </row>
    <row r="1753" ht="15.75" customHeight="1">
      <c r="A1753" s="9" t="s">
        <v>31709</v>
      </c>
      <c r="B1753" s="9" t="s">
        <v>11763</v>
      </c>
      <c r="C1753" s="8" t="s">
        <v>31710</v>
      </c>
      <c r="D1753" s="9" t="b">
        <v>0</v>
      </c>
      <c r="E1753" s="9" t="s">
        <v>29140</v>
      </c>
    </row>
    <row r="1754" ht="15.75" customHeight="1">
      <c r="A1754" s="9" t="s">
        <v>31711</v>
      </c>
      <c r="B1754" s="9" t="s">
        <v>11763</v>
      </c>
      <c r="C1754" s="8" t="s">
        <v>31712</v>
      </c>
      <c r="D1754" s="9" t="b">
        <v>0</v>
      </c>
      <c r="E1754" s="9" t="s">
        <v>31713</v>
      </c>
    </row>
    <row r="1755" ht="15.75" customHeight="1">
      <c r="A1755" s="9" t="s">
        <v>31714</v>
      </c>
      <c r="B1755" s="9" t="s">
        <v>11763</v>
      </c>
      <c r="C1755" s="8" t="s">
        <v>31715</v>
      </c>
      <c r="D1755" s="9" t="b">
        <v>0</v>
      </c>
      <c r="E1755" s="9"/>
    </row>
    <row r="1756" ht="15.75" customHeight="1">
      <c r="A1756" s="9" t="s">
        <v>31716</v>
      </c>
      <c r="B1756" s="9" t="s">
        <v>11763</v>
      </c>
      <c r="C1756" s="8" t="s">
        <v>31717</v>
      </c>
      <c r="D1756" s="9" t="b">
        <v>1</v>
      </c>
      <c r="E1756" s="9" t="s">
        <v>12467</v>
      </c>
    </row>
    <row r="1757" ht="15.75" customHeight="1">
      <c r="A1757" s="9" t="s">
        <v>31718</v>
      </c>
      <c r="B1757" s="9" t="s">
        <v>10594</v>
      </c>
      <c r="C1757" s="8" t="s">
        <v>31719</v>
      </c>
      <c r="D1757" s="9" t="b">
        <v>0</v>
      </c>
      <c r="E1757" s="9"/>
    </row>
    <row r="1758" ht="15.75" customHeight="1">
      <c r="A1758" s="9" t="s">
        <v>31720</v>
      </c>
      <c r="B1758" s="9" t="s">
        <v>10594</v>
      </c>
      <c r="C1758" s="8" t="s">
        <v>31721</v>
      </c>
      <c r="D1758" s="9" t="b">
        <v>0</v>
      </c>
      <c r="E1758" s="9" t="s">
        <v>31722</v>
      </c>
    </row>
    <row r="1759" ht="15.75" customHeight="1">
      <c r="A1759" s="9" t="s">
        <v>31723</v>
      </c>
      <c r="B1759" s="9" t="s">
        <v>10594</v>
      </c>
      <c r="C1759" s="8" t="s">
        <v>31724</v>
      </c>
      <c r="D1759" s="9" t="b">
        <v>0</v>
      </c>
      <c r="E1759" s="9" t="s">
        <v>31722</v>
      </c>
    </row>
    <row r="1760" ht="15.75" customHeight="1">
      <c r="A1760" s="9" t="s">
        <v>31725</v>
      </c>
      <c r="B1760" s="9" t="s">
        <v>10594</v>
      </c>
      <c r="C1760" s="8" t="s">
        <v>31726</v>
      </c>
      <c r="D1760" s="9" t="b">
        <v>0</v>
      </c>
      <c r="E1760" s="9"/>
    </row>
    <row r="1761" ht="15.75" customHeight="1">
      <c r="A1761" s="9" t="s">
        <v>31727</v>
      </c>
      <c r="B1761" s="9" t="s">
        <v>10594</v>
      </c>
      <c r="C1761" s="8" t="s">
        <v>31728</v>
      </c>
      <c r="D1761" s="9" t="b">
        <v>0</v>
      </c>
      <c r="E1761" s="9"/>
    </row>
    <row r="1762" ht="15.75" customHeight="1">
      <c r="A1762" s="9" t="s">
        <v>31729</v>
      </c>
      <c r="B1762" s="9" t="s">
        <v>10594</v>
      </c>
      <c r="C1762" s="8" t="s">
        <v>31730</v>
      </c>
      <c r="D1762" s="9" t="b">
        <v>0</v>
      </c>
      <c r="E1762" s="9"/>
    </row>
    <row r="1763" ht="15.75" customHeight="1">
      <c r="A1763" s="9" t="s">
        <v>31731</v>
      </c>
      <c r="B1763" s="9" t="s">
        <v>10594</v>
      </c>
      <c r="C1763" s="8" t="s">
        <v>31732</v>
      </c>
      <c r="D1763" s="9" t="b">
        <v>0</v>
      </c>
      <c r="E1763" s="9"/>
    </row>
    <row r="1764" ht="15.75" customHeight="1">
      <c r="A1764" s="9" t="s">
        <v>31733</v>
      </c>
      <c r="B1764" s="9" t="s">
        <v>10594</v>
      </c>
      <c r="C1764" s="8" t="s">
        <v>31734</v>
      </c>
      <c r="D1764" s="9" t="b">
        <v>0</v>
      </c>
      <c r="E1764" s="9"/>
    </row>
    <row r="1765" ht="15.75" customHeight="1">
      <c r="A1765" s="9" t="s">
        <v>31735</v>
      </c>
      <c r="B1765" s="9" t="s">
        <v>10594</v>
      </c>
      <c r="C1765" s="8" t="s">
        <v>31736</v>
      </c>
      <c r="D1765" s="9" t="b">
        <v>0</v>
      </c>
      <c r="E1765" s="9"/>
    </row>
    <row r="1766" ht="15.75" customHeight="1">
      <c r="A1766" s="9" t="s">
        <v>31737</v>
      </c>
      <c r="B1766" s="9" t="s">
        <v>10594</v>
      </c>
      <c r="C1766" s="8" t="s">
        <v>31738</v>
      </c>
      <c r="D1766" s="9" t="b">
        <v>0</v>
      </c>
      <c r="E1766" s="9"/>
    </row>
    <row r="1767" ht="15.75" customHeight="1">
      <c r="A1767" s="9" t="s">
        <v>31739</v>
      </c>
      <c r="B1767" s="9" t="s">
        <v>10594</v>
      </c>
      <c r="C1767" s="8" t="s">
        <v>31740</v>
      </c>
      <c r="D1767" s="9" t="b">
        <v>1</v>
      </c>
      <c r="E1767" s="9"/>
    </row>
    <row r="1768" ht="15.75" customHeight="1">
      <c r="A1768" s="9" t="s">
        <v>31741</v>
      </c>
      <c r="B1768" s="9" t="s">
        <v>10616</v>
      </c>
      <c r="C1768" s="8" t="s">
        <v>31742</v>
      </c>
      <c r="D1768" s="9" t="b">
        <v>0</v>
      </c>
      <c r="E1768" s="9"/>
    </row>
    <row r="1769" ht="15.75" customHeight="1">
      <c r="A1769" s="9" t="s">
        <v>31743</v>
      </c>
      <c r="B1769" s="9" t="s">
        <v>10616</v>
      </c>
      <c r="C1769" s="8" t="s">
        <v>31744</v>
      </c>
      <c r="D1769" s="9" t="b">
        <v>0</v>
      </c>
      <c r="E1769" s="9"/>
    </row>
    <row r="1770" ht="15.75" customHeight="1">
      <c r="A1770" s="9" t="s">
        <v>31745</v>
      </c>
      <c r="B1770" s="9" t="s">
        <v>10616</v>
      </c>
      <c r="C1770" s="8" t="s">
        <v>31746</v>
      </c>
      <c r="D1770" s="9" t="b">
        <v>0</v>
      </c>
      <c r="E1770" s="9"/>
    </row>
    <row r="1771" ht="15.75" customHeight="1">
      <c r="A1771" s="9" t="s">
        <v>31747</v>
      </c>
      <c r="B1771" s="9" t="s">
        <v>12061</v>
      </c>
      <c r="C1771" s="8" t="s">
        <v>31748</v>
      </c>
      <c r="D1771" s="9" t="b">
        <v>0</v>
      </c>
      <c r="E1771" s="9" t="s">
        <v>29140</v>
      </c>
    </row>
    <row r="1772" ht="15.75" customHeight="1">
      <c r="A1772" s="9" t="s">
        <v>31749</v>
      </c>
      <c r="B1772" s="9" t="s">
        <v>12061</v>
      </c>
      <c r="C1772" s="8" t="s">
        <v>31750</v>
      </c>
      <c r="D1772" s="9" t="b">
        <v>0</v>
      </c>
      <c r="E1772" s="9" t="s">
        <v>31751</v>
      </c>
    </row>
    <row r="1773" ht="15.75" customHeight="1">
      <c r="A1773" s="9" t="s">
        <v>31752</v>
      </c>
      <c r="B1773" s="9" t="s">
        <v>12061</v>
      </c>
      <c r="C1773" s="8" t="s">
        <v>31753</v>
      </c>
      <c r="D1773" s="9" t="b">
        <v>0</v>
      </c>
      <c r="E1773" s="9" t="s">
        <v>29154</v>
      </c>
    </row>
    <row r="1774" ht="15.75" customHeight="1">
      <c r="A1774" s="9" t="s">
        <v>31754</v>
      </c>
      <c r="B1774" s="9" t="s">
        <v>12061</v>
      </c>
      <c r="C1774" s="8" t="s">
        <v>31755</v>
      </c>
      <c r="D1774" s="9" t="b">
        <v>0</v>
      </c>
      <c r="E1774" s="9" t="s">
        <v>8015</v>
      </c>
    </row>
    <row r="1775" ht="15.75" customHeight="1">
      <c r="A1775" s="9" t="s">
        <v>31756</v>
      </c>
      <c r="B1775" s="9" t="s">
        <v>12061</v>
      </c>
      <c r="C1775" s="8" t="s">
        <v>31757</v>
      </c>
      <c r="D1775" s="9" t="b">
        <v>0</v>
      </c>
      <c r="E1775" s="9" t="s">
        <v>31758</v>
      </c>
    </row>
    <row r="1776" ht="15.75" customHeight="1">
      <c r="A1776" s="9" t="s">
        <v>31759</v>
      </c>
      <c r="B1776" s="9" t="s">
        <v>12061</v>
      </c>
      <c r="C1776" s="8" t="s">
        <v>31760</v>
      </c>
      <c r="D1776" s="9" t="b">
        <v>1</v>
      </c>
      <c r="E1776" s="9" t="s">
        <v>31761</v>
      </c>
    </row>
    <row r="1777" ht="15.75" customHeight="1">
      <c r="A1777" s="9" t="s">
        <v>31762</v>
      </c>
      <c r="B1777" s="9" t="s">
        <v>12061</v>
      </c>
      <c r="C1777" s="8" t="s">
        <v>31763</v>
      </c>
      <c r="D1777" s="9" t="b">
        <v>0</v>
      </c>
      <c r="E1777" s="9" t="s">
        <v>31764</v>
      </c>
    </row>
    <row r="1778" ht="15.75" customHeight="1">
      <c r="A1778" s="9" t="s">
        <v>31765</v>
      </c>
      <c r="B1778" s="9" t="s">
        <v>12061</v>
      </c>
      <c r="C1778" s="8" t="s">
        <v>31766</v>
      </c>
      <c r="D1778" s="9" t="b">
        <v>0</v>
      </c>
      <c r="E1778" s="9" t="s">
        <v>31767</v>
      </c>
    </row>
    <row r="1779" ht="15.75" customHeight="1">
      <c r="A1779" s="9" t="s">
        <v>31768</v>
      </c>
      <c r="B1779" s="9" t="s">
        <v>12061</v>
      </c>
      <c r="C1779" s="8" t="s">
        <v>31769</v>
      </c>
      <c r="D1779" s="9" t="b">
        <v>0</v>
      </c>
      <c r="E1779" s="9" t="s">
        <v>30336</v>
      </c>
    </row>
    <row r="1780" ht="15.75" customHeight="1">
      <c r="A1780" s="9" t="s">
        <v>31770</v>
      </c>
      <c r="B1780" s="9" t="s">
        <v>12061</v>
      </c>
      <c r="C1780" s="8" t="s">
        <v>31771</v>
      </c>
      <c r="D1780" s="9" t="b">
        <v>0</v>
      </c>
      <c r="E1780" s="9" t="s">
        <v>30342</v>
      </c>
    </row>
    <row r="1781" ht="15.75" customHeight="1">
      <c r="A1781" s="9" t="s">
        <v>31772</v>
      </c>
      <c r="B1781" s="9" t="s">
        <v>12061</v>
      </c>
      <c r="C1781" s="8" t="s">
        <v>31773</v>
      </c>
      <c r="D1781" s="9" t="b">
        <v>0</v>
      </c>
      <c r="E1781" s="9" t="s">
        <v>31774</v>
      </c>
    </row>
    <row r="1782" ht="15.75" customHeight="1">
      <c r="A1782" s="9" t="s">
        <v>31775</v>
      </c>
      <c r="B1782" s="9" t="s">
        <v>12061</v>
      </c>
      <c r="C1782" s="8" t="s">
        <v>31776</v>
      </c>
      <c r="D1782" s="9" t="b">
        <v>0</v>
      </c>
      <c r="E1782" s="9" t="s">
        <v>30347</v>
      </c>
    </row>
    <row r="1783" ht="15.75" customHeight="1">
      <c r="A1783" s="9" t="s">
        <v>31777</v>
      </c>
      <c r="B1783" s="9" t="s">
        <v>12061</v>
      </c>
      <c r="C1783" s="8" t="s">
        <v>31778</v>
      </c>
      <c r="D1783" s="9" t="b">
        <v>0</v>
      </c>
      <c r="E1783" s="9" t="s">
        <v>31779</v>
      </c>
    </row>
    <row r="1784" ht="15.75" customHeight="1">
      <c r="A1784" s="9" t="s">
        <v>31780</v>
      </c>
      <c r="B1784" s="9" t="s">
        <v>12061</v>
      </c>
      <c r="C1784" s="8" t="s">
        <v>31781</v>
      </c>
      <c r="D1784" s="9" t="b">
        <v>0</v>
      </c>
      <c r="E1784" s="9" t="s">
        <v>30352</v>
      </c>
    </row>
    <row r="1785" ht="15.75" customHeight="1">
      <c r="A1785" s="9" t="s">
        <v>31782</v>
      </c>
      <c r="B1785" s="9" t="s">
        <v>12061</v>
      </c>
      <c r="C1785" s="8" t="s">
        <v>31783</v>
      </c>
      <c r="D1785" s="9" t="b">
        <v>0</v>
      </c>
      <c r="E1785" s="9" t="s">
        <v>30355</v>
      </c>
    </row>
    <row r="1786" ht="15.75" customHeight="1">
      <c r="A1786" s="9" t="s">
        <v>31784</v>
      </c>
      <c r="B1786" s="9" t="s">
        <v>12061</v>
      </c>
      <c r="C1786" s="8" t="s">
        <v>31785</v>
      </c>
      <c r="D1786" s="9" t="b">
        <v>0</v>
      </c>
      <c r="E1786" s="9" t="s">
        <v>30358</v>
      </c>
    </row>
    <row r="1787" ht="15.75" customHeight="1">
      <c r="A1787" s="9" t="s">
        <v>31786</v>
      </c>
      <c r="B1787" s="9" t="s">
        <v>12061</v>
      </c>
      <c r="C1787" s="8" t="s">
        <v>31787</v>
      </c>
      <c r="D1787" s="9" t="b">
        <v>0</v>
      </c>
      <c r="E1787" s="9" t="s">
        <v>31788</v>
      </c>
    </row>
    <row r="1788" ht="15.75" customHeight="1">
      <c r="A1788" s="9" t="s">
        <v>31789</v>
      </c>
      <c r="B1788" s="9" t="s">
        <v>12061</v>
      </c>
      <c r="C1788" s="8" t="s">
        <v>31790</v>
      </c>
      <c r="D1788" s="9" t="b">
        <v>0</v>
      </c>
      <c r="E1788" s="9" t="s">
        <v>31791</v>
      </c>
    </row>
    <row r="1789" ht="15.75" customHeight="1">
      <c r="A1789" s="9" t="s">
        <v>31792</v>
      </c>
      <c r="B1789" s="9" t="s">
        <v>12061</v>
      </c>
      <c r="C1789" s="8" t="s">
        <v>31793</v>
      </c>
      <c r="D1789" s="9" t="b">
        <v>0</v>
      </c>
      <c r="E1789" s="9" t="s">
        <v>8015</v>
      </c>
    </row>
    <row r="1790" ht="15.75" customHeight="1">
      <c r="A1790" s="9" t="s">
        <v>31794</v>
      </c>
      <c r="B1790" s="9" t="s">
        <v>12061</v>
      </c>
      <c r="C1790" s="8" t="s">
        <v>31795</v>
      </c>
      <c r="D1790" s="9" t="b">
        <v>0</v>
      </c>
      <c r="E1790" s="9" t="s">
        <v>31796</v>
      </c>
    </row>
    <row r="1791" ht="15.75" customHeight="1">
      <c r="A1791" s="9" t="s">
        <v>31797</v>
      </c>
      <c r="B1791" s="9" t="s">
        <v>12030</v>
      </c>
      <c r="C1791" s="8" t="s">
        <v>31798</v>
      </c>
      <c r="D1791" s="9" t="b">
        <v>0</v>
      </c>
      <c r="E1791" s="9"/>
    </row>
    <row r="1792" ht="15.75" customHeight="1">
      <c r="A1792" s="9" t="s">
        <v>31799</v>
      </c>
      <c r="B1792" s="9" t="s">
        <v>11680</v>
      </c>
      <c r="C1792" s="8" t="s">
        <v>31800</v>
      </c>
      <c r="D1792" s="9" t="b">
        <v>0</v>
      </c>
      <c r="E1792" s="9"/>
    </row>
    <row r="1793" ht="15.75" customHeight="1">
      <c r="A1793" s="9" t="s">
        <v>31801</v>
      </c>
      <c r="B1793" s="9" t="s">
        <v>10271</v>
      </c>
      <c r="C1793" s="8" t="s">
        <v>31802</v>
      </c>
      <c r="D1793" s="9" t="b">
        <v>0</v>
      </c>
      <c r="E1793" s="9"/>
    </row>
    <row r="1794" ht="15.75" customHeight="1">
      <c r="A1794" s="9" t="s">
        <v>31803</v>
      </c>
      <c r="B1794" s="9" t="s">
        <v>10271</v>
      </c>
      <c r="C1794" s="8" t="s">
        <v>31804</v>
      </c>
      <c r="D1794" s="9" t="b">
        <v>0</v>
      </c>
      <c r="E1794" s="9"/>
    </row>
    <row r="1795" ht="15.75" customHeight="1">
      <c r="A1795" s="9" t="s">
        <v>31805</v>
      </c>
      <c r="B1795" s="9" t="s">
        <v>10271</v>
      </c>
      <c r="C1795" s="8" t="s">
        <v>31806</v>
      </c>
      <c r="D1795" s="9" t="b">
        <v>0</v>
      </c>
      <c r="E1795" s="9"/>
    </row>
    <row r="1796" ht="15.75" customHeight="1">
      <c r="A1796" s="9" t="s">
        <v>31807</v>
      </c>
      <c r="B1796" s="9" t="s">
        <v>10271</v>
      </c>
      <c r="C1796" s="8" t="s">
        <v>31808</v>
      </c>
      <c r="D1796" s="9" t="b">
        <v>0</v>
      </c>
      <c r="E1796" s="9"/>
    </row>
    <row r="1797" ht="15.75" customHeight="1">
      <c r="A1797" s="9" t="s">
        <v>31809</v>
      </c>
      <c r="B1797" s="9" t="s">
        <v>10271</v>
      </c>
      <c r="C1797" s="8" t="s">
        <v>31810</v>
      </c>
      <c r="D1797" s="9" t="b">
        <v>0</v>
      </c>
      <c r="E1797" s="9"/>
    </row>
    <row r="1798" ht="15.75" customHeight="1">
      <c r="A1798" s="9" t="s">
        <v>31811</v>
      </c>
      <c r="B1798" s="9" t="s">
        <v>10271</v>
      </c>
      <c r="C1798" s="8" t="s">
        <v>31812</v>
      </c>
      <c r="D1798" s="9" t="b">
        <v>0</v>
      </c>
      <c r="E1798" s="9"/>
    </row>
    <row r="1799" ht="15.75" customHeight="1">
      <c r="A1799" s="9" t="s">
        <v>31813</v>
      </c>
      <c r="B1799" s="9" t="s">
        <v>10271</v>
      </c>
      <c r="C1799" s="8" t="s">
        <v>31814</v>
      </c>
      <c r="D1799" s="9" t="b">
        <v>1</v>
      </c>
      <c r="E1799" s="9"/>
    </row>
    <row r="1800" ht="15.75" customHeight="1">
      <c r="A1800" s="9" t="s">
        <v>31815</v>
      </c>
      <c r="B1800" s="9" t="s">
        <v>11684</v>
      </c>
      <c r="C1800" s="8" t="s">
        <v>31816</v>
      </c>
      <c r="D1800" s="9" t="b">
        <v>1</v>
      </c>
      <c r="E1800" s="9"/>
    </row>
    <row r="1801" ht="15.75" customHeight="1">
      <c r="A1801" s="9" t="s">
        <v>31817</v>
      </c>
      <c r="B1801" s="9" t="s">
        <v>11684</v>
      </c>
      <c r="C1801" s="8" t="s">
        <v>31818</v>
      </c>
      <c r="D1801" s="9" t="b">
        <v>0</v>
      </c>
      <c r="E1801" s="9"/>
    </row>
    <row r="1802" ht="15.75" customHeight="1">
      <c r="A1802" s="9" t="s">
        <v>31819</v>
      </c>
      <c r="B1802" s="9" t="s">
        <v>11987</v>
      </c>
      <c r="C1802" s="8" t="s">
        <v>31820</v>
      </c>
      <c r="D1802" s="9" t="b">
        <v>0</v>
      </c>
      <c r="E1802" s="9"/>
    </row>
    <row r="1803" ht="15.75" customHeight="1">
      <c r="A1803" s="9" t="s">
        <v>31821</v>
      </c>
      <c r="B1803" s="9" t="s">
        <v>11987</v>
      </c>
      <c r="C1803" s="8" t="s">
        <v>31822</v>
      </c>
      <c r="D1803" s="9" t="b">
        <v>0</v>
      </c>
      <c r="E1803" s="9"/>
    </row>
    <row r="1804" ht="15.75" customHeight="1">
      <c r="A1804" s="9" t="s">
        <v>31823</v>
      </c>
      <c r="B1804" s="9" t="s">
        <v>11987</v>
      </c>
      <c r="C1804" s="8" t="s">
        <v>31824</v>
      </c>
      <c r="D1804" s="9" t="b">
        <v>0</v>
      </c>
      <c r="E1804" s="9"/>
    </row>
    <row r="1805" ht="15.75" customHeight="1">
      <c r="A1805" s="9" t="s">
        <v>31825</v>
      </c>
      <c r="B1805" s="9" t="s">
        <v>11987</v>
      </c>
      <c r="C1805" s="8" t="s">
        <v>31826</v>
      </c>
      <c r="D1805" s="9" t="b">
        <v>0</v>
      </c>
      <c r="E1805" s="9"/>
    </row>
    <row r="1806" ht="15.75" customHeight="1">
      <c r="A1806" s="9" t="s">
        <v>31827</v>
      </c>
      <c r="B1806" s="9" t="s">
        <v>11987</v>
      </c>
      <c r="C1806" s="8" t="s">
        <v>31828</v>
      </c>
      <c r="D1806" s="9" t="b">
        <v>0</v>
      </c>
      <c r="E1806" s="9"/>
    </row>
    <row r="1807" ht="15.75" customHeight="1">
      <c r="A1807" s="9" t="s">
        <v>31829</v>
      </c>
      <c r="B1807" s="9" t="s">
        <v>11987</v>
      </c>
      <c r="C1807" s="8" t="s">
        <v>31830</v>
      </c>
      <c r="D1807" s="9" t="b">
        <v>0</v>
      </c>
      <c r="E1807" s="9"/>
    </row>
    <row r="1808" ht="15.75" customHeight="1">
      <c r="A1808" s="9"/>
      <c r="B1808" s="9"/>
      <c r="C1808" s="9"/>
      <c r="D1808" s="9"/>
      <c r="E1808" s="9"/>
    </row>
    <row r="1809" ht="15.75" customHeight="1">
      <c r="A1809" s="9" t="s">
        <v>31831</v>
      </c>
      <c r="B1809" s="9" t="s">
        <v>11987</v>
      </c>
      <c r="C1809" s="8" t="s">
        <v>31832</v>
      </c>
      <c r="D1809" s="9" t="b">
        <v>0</v>
      </c>
      <c r="E1809" s="9"/>
    </row>
    <row r="1810" ht="15.75" customHeight="1">
      <c r="A1810" s="9"/>
      <c r="B1810" s="9"/>
      <c r="C1810" s="9"/>
      <c r="D1810" s="9"/>
      <c r="E1810" s="9"/>
    </row>
    <row r="1811" ht="15.75" customHeight="1">
      <c r="A1811" s="9" t="s">
        <v>31833</v>
      </c>
      <c r="B1811" s="9" t="s">
        <v>11987</v>
      </c>
      <c r="C1811" s="8" t="s">
        <v>31834</v>
      </c>
      <c r="D1811" s="9" t="b">
        <v>0</v>
      </c>
      <c r="E1811" s="9"/>
    </row>
    <row r="1812" ht="15.75" customHeight="1">
      <c r="A1812" s="9" t="s">
        <v>31835</v>
      </c>
      <c r="B1812" s="9" t="s">
        <v>11987</v>
      </c>
      <c r="C1812" s="8" t="s">
        <v>31836</v>
      </c>
      <c r="D1812" s="9" t="b">
        <v>1</v>
      </c>
      <c r="E1812" s="9"/>
    </row>
    <row r="1813" ht="15.75" customHeight="1">
      <c r="A1813" s="9" t="s">
        <v>31837</v>
      </c>
      <c r="B1813" s="9" t="s">
        <v>10368</v>
      </c>
      <c r="C1813" s="8" t="s">
        <v>31838</v>
      </c>
      <c r="D1813" s="9" t="b">
        <v>0</v>
      </c>
      <c r="E1813" s="9"/>
    </row>
    <row r="1814" ht="15.75" customHeight="1">
      <c r="A1814" s="9" t="s">
        <v>31839</v>
      </c>
      <c r="B1814" s="9" t="s">
        <v>10368</v>
      </c>
      <c r="C1814" s="8" t="s">
        <v>31840</v>
      </c>
      <c r="D1814" s="9" t="b">
        <v>0</v>
      </c>
      <c r="E1814" s="9" t="s">
        <v>31841</v>
      </c>
    </row>
    <row r="1815" ht="15.75" customHeight="1">
      <c r="A1815" s="9" t="s">
        <v>31842</v>
      </c>
      <c r="B1815" s="9" t="s">
        <v>10368</v>
      </c>
      <c r="C1815" s="8" t="s">
        <v>31843</v>
      </c>
      <c r="D1815" s="9" t="b">
        <v>0</v>
      </c>
      <c r="E1815" s="9"/>
    </row>
    <row r="1816" ht="15.75" customHeight="1">
      <c r="A1816" s="9" t="s">
        <v>31844</v>
      </c>
      <c r="B1816" s="9" t="s">
        <v>12024</v>
      </c>
      <c r="C1816" s="8" t="s">
        <v>31845</v>
      </c>
      <c r="D1816" s="9" t="b">
        <v>0</v>
      </c>
      <c r="E1816" s="9"/>
    </row>
    <row r="1817" ht="15.75" customHeight="1">
      <c r="A1817" s="9" t="s">
        <v>31846</v>
      </c>
      <c r="B1817" s="9" t="s">
        <v>12024</v>
      </c>
      <c r="C1817" s="8" t="s">
        <v>31847</v>
      </c>
      <c r="D1817" s="9" t="b">
        <v>1</v>
      </c>
      <c r="E1817" s="9"/>
    </row>
    <row r="1818" ht="15.75" customHeight="1">
      <c r="A1818" s="9" t="s">
        <v>31848</v>
      </c>
      <c r="B1818" s="9" t="s">
        <v>12024</v>
      </c>
      <c r="C1818" s="8" t="s">
        <v>31849</v>
      </c>
      <c r="D1818" s="9" t="b">
        <v>0</v>
      </c>
      <c r="E1818" s="9"/>
    </row>
    <row r="1819" ht="15.75" customHeight="1">
      <c r="A1819" s="9" t="s">
        <v>31850</v>
      </c>
      <c r="B1819" s="9" t="s">
        <v>12024</v>
      </c>
      <c r="C1819" s="8" t="s">
        <v>31851</v>
      </c>
      <c r="D1819" s="9" t="b">
        <v>0</v>
      </c>
      <c r="E1819" s="9"/>
    </row>
    <row r="1820" ht="15.75" customHeight="1">
      <c r="A1820" s="9" t="s">
        <v>31852</v>
      </c>
      <c r="B1820" s="9" t="s">
        <v>12024</v>
      </c>
      <c r="C1820" s="8" t="s">
        <v>31853</v>
      </c>
      <c r="D1820" s="9" t="b">
        <v>0</v>
      </c>
      <c r="E1820" s="9"/>
    </row>
    <row r="1821" ht="15.75" customHeight="1">
      <c r="A1821" s="9" t="s">
        <v>31854</v>
      </c>
      <c r="B1821" s="9" t="s">
        <v>12024</v>
      </c>
      <c r="C1821" s="8" t="s">
        <v>31855</v>
      </c>
      <c r="D1821" s="9" t="b">
        <v>0</v>
      </c>
      <c r="E1821" s="9"/>
    </row>
    <row r="1822" ht="15.75" customHeight="1">
      <c r="A1822" s="9" t="s">
        <v>31856</v>
      </c>
      <c r="B1822" s="9" t="s">
        <v>12024</v>
      </c>
      <c r="C1822" s="8" t="s">
        <v>31857</v>
      </c>
      <c r="D1822" s="9" t="b">
        <v>0</v>
      </c>
      <c r="E1822" s="9"/>
    </row>
    <row r="1823" ht="15.75" customHeight="1">
      <c r="A1823" s="9" t="s">
        <v>31858</v>
      </c>
      <c r="B1823" s="9" t="s">
        <v>12024</v>
      </c>
      <c r="C1823" s="8" t="s">
        <v>31859</v>
      </c>
      <c r="D1823" s="9" t="b">
        <v>0</v>
      </c>
      <c r="E1823" s="9"/>
    </row>
    <row r="1824" ht="15.75" customHeight="1">
      <c r="A1824" s="9" t="s">
        <v>31860</v>
      </c>
      <c r="B1824" s="9" t="s">
        <v>7298</v>
      </c>
      <c r="C1824" s="8" t="s">
        <v>31861</v>
      </c>
      <c r="D1824" s="9" t="b">
        <v>1</v>
      </c>
      <c r="E1824" s="9"/>
    </row>
    <row r="1825" ht="15.75" customHeight="1">
      <c r="A1825" s="9" t="s">
        <v>31862</v>
      </c>
      <c r="B1825" s="9" t="s">
        <v>7298</v>
      </c>
      <c r="C1825" s="8" t="s">
        <v>31863</v>
      </c>
      <c r="D1825" s="9" t="b">
        <v>0</v>
      </c>
      <c r="E1825" s="9"/>
    </row>
    <row r="1826" ht="15.75" customHeight="1">
      <c r="A1826" s="9" t="s">
        <v>31864</v>
      </c>
      <c r="B1826" s="9" t="s">
        <v>7298</v>
      </c>
      <c r="C1826" s="8" t="s">
        <v>31865</v>
      </c>
      <c r="D1826" s="9" t="b">
        <v>0</v>
      </c>
      <c r="E1826" s="9"/>
    </row>
    <row r="1827" ht="15.75" customHeight="1">
      <c r="A1827" s="9" t="s">
        <v>31866</v>
      </c>
      <c r="B1827" s="9" t="s">
        <v>7298</v>
      </c>
      <c r="C1827" s="8" t="s">
        <v>31867</v>
      </c>
      <c r="D1827" s="9" t="b">
        <v>0</v>
      </c>
      <c r="E1827" s="9"/>
    </row>
    <row r="1828" ht="15.75" customHeight="1">
      <c r="A1828" s="9" t="s">
        <v>31868</v>
      </c>
      <c r="B1828" s="9" t="s">
        <v>7298</v>
      </c>
      <c r="C1828" s="8" t="s">
        <v>31869</v>
      </c>
      <c r="D1828" s="9" t="b">
        <v>0</v>
      </c>
      <c r="E1828" s="9"/>
    </row>
    <row r="1829" ht="15.75" customHeight="1">
      <c r="A1829" s="9" t="s">
        <v>31870</v>
      </c>
      <c r="B1829" s="9" t="s">
        <v>7298</v>
      </c>
      <c r="C1829" s="8" t="s">
        <v>31871</v>
      </c>
      <c r="D1829" s="9" t="b">
        <v>0</v>
      </c>
      <c r="E1829" s="9"/>
    </row>
    <row r="1830" ht="15.75" customHeight="1">
      <c r="A1830" s="9" t="s">
        <v>31872</v>
      </c>
      <c r="B1830" s="9" t="s">
        <v>7298</v>
      </c>
      <c r="C1830" s="8" t="s">
        <v>31873</v>
      </c>
      <c r="D1830" s="9" t="b">
        <v>0</v>
      </c>
      <c r="E1830" s="9"/>
    </row>
    <row r="1831" ht="15.75" customHeight="1">
      <c r="A1831" s="9" t="s">
        <v>31874</v>
      </c>
      <c r="B1831" s="9" t="s">
        <v>12080</v>
      </c>
      <c r="C1831" s="8" t="s">
        <v>31875</v>
      </c>
      <c r="D1831" s="9" t="b">
        <v>1</v>
      </c>
      <c r="E1831" s="9"/>
    </row>
    <row r="1832" ht="15.75" customHeight="1">
      <c r="A1832" s="9" t="s">
        <v>31876</v>
      </c>
      <c r="B1832" s="9" t="s">
        <v>12080</v>
      </c>
      <c r="C1832" s="8" t="s">
        <v>31877</v>
      </c>
      <c r="D1832" s="9" t="b">
        <v>0</v>
      </c>
      <c r="E1832" s="9"/>
    </row>
    <row r="1833" ht="15.75" customHeight="1">
      <c r="A1833" s="9"/>
      <c r="B1833" s="9"/>
      <c r="C1833" s="9"/>
      <c r="D1833" s="9"/>
      <c r="E1833" s="9"/>
    </row>
    <row r="1834" ht="15.75" customHeight="1">
      <c r="A1834" s="9"/>
      <c r="B1834" s="9"/>
      <c r="C1834" s="9"/>
      <c r="D1834" s="9"/>
      <c r="E1834" s="9"/>
    </row>
    <row r="1835" ht="15.75" customHeight="1">
      <c r="A1835" s="9"/>
      <c r="B1835" s="9"/>
      <c r="C1835" s="9"/>
      <c r="D1835" s="9"/>
      <c r="E1835" s="9"/>
    </row>
    <row r="1836" ht="15.75" customHeight="1">
      <c r="A1836" s="9"/>
      <c r="B1836" s="9"/>
      <c r="C1836" s="9"/>
      <c r="D1836" s="9"/>
      <c r="E1836" s="9"/>
    </row>
    <row r="1837" ht="15.75" customHeight="1">
      <c r="A1837" s="9" t="s">
        <v>31878</v>
      </c>
      <c r="B1837" s="9" t="s">
        <v>11813</v>
      </c>
      <c r="C1837" s="8" t="s">
        <v>31879</v>
      </c>
      <c r="D1837" s="9" t="b">
        <v>0</v>
      </c>
      <c r="E1837" s="9"/>
    </row>
    <row r="1838" ht="15.75" customHeight="1">
      <c r="A1838" s="9" t="s">
        <v>31880</v>
      </c>
      <c r="B1838" s="9" t="s">
        <v>11813</v>
      </c>
      <c r="C1838" s="8" t="s">
        <v>31881</v>
      </c>
      <c r="D1838" s="9" t="b">
        <v>0</v>
      </c>
      <c r="E1838" s="9"/>
    </row>
    <row r="1839" ht="15.75" customHeight="1">
      <c r="A1839" s="9"/>
      <c r="B1839" s="9"/>
      <c r="C1839" s="9"/>
      <c r="D1839" s="9"/>
      <c r="E1839" s="9"/>
    </row>
    <row r="1840" ht="15.75" customHeight="1">
      <c r="A1840" s="9"/>
      <c r="B1840" s="9"/>
      <c r="C1840" s="9"/>
      <c r="D1840" s="9"/>
      <c r="E1840" s="9"/>
    </row>
    <row r="1841" ht="15.75" customHeight="1">
      <c r="A1841" s="9"/>
      <c r="B1841" s="9"/>
      <c r="C1841" s="9"/>
      <c r="D1841" s="9"/>
      <c r="E1841" s="9"/>
    </row>
    <row r="1842" ht="15.75" customHeight="1">
      <c r="A1842" s="9"/>
      <c r="B1842" s="9"/>
      <c r="C1842" s="9"/>
      <c r="D1842" s="9"/>
      <c r="E1842" s="9"/>
    </row>
    <row r="1843" ht="15.75" customHeight="1">
      <c r="A1843" s="9"/>
      <c r="B1843" s="9"/>
      <c r="C1843" s="9"/>
      <c r="D1843" s="9"/>
      <c r="E1843" s="9"/>
    </row>
    <row r="1844" ht="15.75" customHeight="1">
      <c r="A1844" s="9"/>
      <c r="B1844" s="9"/>
      <c r="C1844" s="9"/>
      <c r="D1844" s="9"/>
      <c r="E1844" s="9"/>
    </row>
    <row r="1845" ht="15.75" customHeight="1">
      <c r="A1845" s="9"/>
      <c r="B1845" s="9"/>
      <c r="C1845" s="9"/>
      <c r="D1845" s="9"/>
      <c r="E1845" s="9"/>
    </row>
    <row r="1846" ht="15.75" customHeight="1">
      <c r="A1846" s="9"/>
      <c r="B1846" s="9"/>
      <c r="C1846" s="9"/>
      <c r="D1846" s="9"/>
      <c r="E1846" s="9"/>
    </row>
    <row r="1847" ht="15.75" customHeight="1">
      <c r="A1847" s="9"/>
      <c r="B1847" s="9"/>
      <c r="C1847" s="9"/>
      <c r="D1847" s="9"/>
      <c r="E1847" s="9"/>
    </row>
    <row r="1848" ht="15.75" customHeight="1">
      <c r="A1848" s="9"/>
      <c r="B1848" s="9"/>
      <c r="C1848" s="9"/>
      <c r="D1848" s="9"/>
      <c r="E1848" s="9"/>
    </row>
    <row r="1849" ht="15.75" customHeight="1">
      <c r="A1849" s="9"/>
      <c r="B1849" s="9"/>
      <c r="C1849" s="9"/>
      <c r="D1849" s="9"/>
      <c r="E1849" s="9"/>
    </row>
    <row r="1850" ht="15.75" customHeight="1">
      <c r="A1850" s="9"/>
      <c r="B1850" s="9"/>
      <c r="C1850" s="9"/>
      <c r="D1850" s="9"/>
      <c r="E1850" s="9"/>
    </row>
    <row r="1851" ht="15.75" customHeight="1">
      <c r="A1851" s="9"/>
      <c r="B1851" s="9"/>
      <c r="C1851" s="9"/>
      <c r="D1851" s="9"/>
      <c r="E1851" s="9"/>
    </row>
    <row r="1852" ht="15.75" customHeight="1">
      <c r="A1852" s="9"/>
      <c r="B1852" s="9"/>
      <c r="C1852" s="9"/>
      <c r="D1852" s="9"/>
      <c r="E1852" s="9"/>
    </row>
    <row r="1853" ht="15.75" customHeight="1">
      <c r="A1853" s="9" t="s">
        <v>31882</v>
      </c>
      <c r="B1853" s="9" t="s">
        <v>11680</v>
      </c>
      <c r="C1853" s="8" t="s">
        <v>31883</v>
      </c>
      <c r="D1853" s="9" t="b">
        <v>0</v>
      </c>
      <c r="E1853" s="9"/>
    </row>
    <row r="1854" ht="15.75" customHeight="1">
      <c r="A1854" s="9" t="s">
        <v>31884</v>
      </c>
      <c r="B1854" s="9" t="s">
        <v>11680</v>
      </c>
      <c r="C1854" s="8" t="s">
        <v>31885</v>
      </c>
      <c r="D1854" s="9" t="b">
        <v>0</v>
      </c>
      <c r="E1854" s="9"/>
    </row>
    <row r="1855" ht="15.75" customHeight="1">
      <c r="A1855" s="9" t="s">
        <v>31886</v>
      </c>
      <c r="B1855" s="9" t="s">
        <v>11680</v>
      </c>
      <c r="C1855" s="8" t="s">
        <v>31887</v>
      </c>
      <c r="D1855" s="9" t="b">
        <v>0</v>
      </c>
      <c r="E1855" s="9"/>
    </row>
    <row r="1856" ht="15.75" customHeight="1">
      <c r="A1856" s="9" t="s">
        <v>31888</v>
      </c>
      <c r="B1856" s="9" t="s">
        <v>11680</v>
      </c>
      <c r="C1856" s="8" t="s">
        <v>31889</v>
      </c>
      <c r="D1856" s="9" t="b">
        <v>0</v>
      </c>
      <c r="E1856" s="9"/>
    </row>
    <row r="1857" ht="15.75" customHeight="1">
      <c r="A1857" s="9" t="s">
        <v>31890</v>
      </c>
      <c r="B1857" s="9" t="s">
        <v>11680</v>
      </c>
      <c r="C1857" s="8" t="s">
        <v>31891</v>
      </c>
      <c r="D1857" s="9" t="b">
        <v>0</v>
      </c>
      <c r="E1857" s="9"/>
    </row>
    <row r="1858" ht="15.75" customHeight="1">
      <c r="A1858" s="9" t="s">
        <v>31892</v>
      </c>
      <c r="B1858" s="9" t="s">
        <v>11680</v>
      </c>
      <c r="C1858" s="8" t="s">
        <v>31893</v>
      </c>
      <c r="D1858" s="9" t="b">
        <v>0</v>
      </c>
      <c r="E1858" s="9"/>
    </row>
    <row r="1859" ht="15.75" customHeight="1">
      <c r="A1859" s="9" t="s">
        <v>31894</v>
      </c>
      <c r="B1859" s="9" t="s">
        <v>11680</v>
      </c>
      <c r="C1859" s="8" t="s">
        <v>31895</v>
      </c>
      <c r="D1859" s="9" t="b">
        <v>1</v>
      </c>
      <c r="E1859" s="9" t="s">
        <v>29143</v>
      </c>
    </row>
    <row r="1860" ht="15.75" customHeight="1">
      <c r="A1860" s="9" t="s">
        <v>31896</v>
      </c>
      <c r="B1860" s="9" t="s">
        <v>11992</v>
      </c>
      <c r="C1860" s="8" t="s">
        <v>31897</v>
      </c>
      <c r="D1860" s="9" t="b">
        <v>0</v>
      </c>
      <c r="E1860" s="9"/>
    </row>
    <row r="1861" ht="15.75" customHeight="1">
      <c r="A1861" s="9" t="s">
        <v>31898</v>
      </c>
      <c r="B1861" s="9" t="s">
        <v>11992</v>
      </c>
      <c r="C1861" s="8" t="s">
        <v>31899</v>
      </c>
      <c r="D1861" s="9" t="b">
        <v>0</v>
      </c>
      <c r="E1861" s="9"/>
    </row>
    <row r="1862" ht="15.75" customHeight="1">
      <c r="A1862" s="9" t="s">
        <v>31900</v>
      </c>
      <c r="B1862" s="9" t="s">
        <v>11992</v>
      </c>
      <c r="C1862" s="8" t="s">
        <v>31901</v>
      </c>
      <c r="D1862" s="9" t="b">
        <v>0</v>
      </c>
      <c r="E1862" s="9"/>
    </row>
    <row r="1863" ht="15.75" customHeight="1">
      <c r="A1863" s="9" t="s">
        <v>31902</v>
      </c>
      <c r="B1863" s="9" t="s">
        <v>11992</v>
      </c>
      <c r="C1863" s="8" t="s">
        <v>31903</v>
      </c>
      <c r="D1863" s="9" t="b">
        <v>0</v>
      </c>
      <c r="E1863" s="9"/>
    </row>
    <row r="1864" ht="15.75" customHeight="1">
      <c r="A1864" s="9" t="s">
        <v>31904</v>
      </c>
      <c r="B1864" s="9" t="s">
        <v>11992</v>
      </c>
      <c r="C1864" s="8" t="s">
        <v>31905</v>
      </c>
      <c r="D1864" s="9" t="b">
        <v>0</v>
      </c>
      <c r="E1864" s="9"/>
    </row>
    <row r="1865" ht="15.75" customHeight="1">
      <c r="A1865" s="9" t="s">
        <v>31906</v>
      </c>
      <c r="B1865" s="9" t="s">
        <v>11992</v>
      </c>
      <c r="C1865" s="8" t="s">
        <v>31907</v>
      </c>
      <c r="D1865" s="9" t="b">
        <v>0</v>
      </c>
      <c r="E1865" s="9"/>
    </row>
    <row r="1866" ht="15.75" customHeight="1">
      <c r="A1866" s="9" t="s">
        <v>31908</v>
      </c>
      <c r="B1866" s="9" t="s">
        <v>11992</v>
      </c>
      <c r="C1866" s="8" t="s">
        <v>31909</v>
      </c>
      <c r="D1866" s="9" t="b">
        <v>0</v>
      </c>
      <c r="E1866" s="9"/>
    </row>
    <row r="1867" ht="15.75" customHeight="1">
      <c r="A1867" s="9" t="s">
        <v>31910</v>
      </c>
      <c r="B1867" s="9" t="s">
        <v>11992</v>
      </c>
      <c r="C1867" s="8" t="s">
        <v>31911</v>
      </c>
      <c r="D1867" s="9" t="b">
        <v>0</v>
      </c>
      <c r="E1867" s="9"/>
    </row>
    <row r="1868" ht="15.75" customHeight="1">
      <c r="A1868" s="9" t="s">
        <v>31912</v>
      </c>
      <c r="B1868" s="9" t="s">
        <v>11992</v>
      </c>
      <c r="C1868" s="8" t="s">
        <v>31913</v>
      </c>
      <c r="D1868" s="9" t="b">
        <v>0</v>
      </c>
      <c r="E1868" s="9"/>
    </row>
    <row r="1869" ht="15.75" customHeight="1">
      <c r="A1869" s="9" t="s">
        <v>31914</v>
      </c>
      <c r="B1869" s="9" t="s">
        <v>11992</v>
      </c>
      <c r="C1869" s="8" t="s">
        <v>31915</v>
      </c>
      <c r="D1869" s="9" t="b">
        <v>1</v>
      </c>
      <c r="E1869" s="9"/>
    </row>
    <row r="1870" ht="15.75" customHeight="1">
      <c r="A1870" s="9"/>
      <c r="B1870" s="9"/>
      <c r="C1870" s="9"/>
      <c r="D1870" s="9"/>
      <c r="E1870" s="9"/>
    </row>
    <row r="1871" ht="15.75" customHeight="1">
      <c r="A1871" s="9" t="s">
        <v>31916</v>
      </c>
      <c r="B1871" s="9" t="s">
        <v>2736</v>
      </c>
      <c r="C1871" s="8" t="s">
        <v>31917</v>
      </c>
      <c r="D1871" s="9" t="b">
        <v>0</v>
      </c>
      <c r="E1871" s="9"/>
    </row>
    <row r="1872" ht="15.75" customHeight="1">
      <c r="A1872" s="9"/>
      <c r="B1872" s="9"/>
      <c r="C1872" s="9"/>
      <c r="D1872" s="9"/>
      <c r="E1872" s="9"/>
    </row>
    <row r="1873" ht="15.75" customHeight="1">
      <c r="A1873" s="9"/>
      <c r="B1873" s="9"/>
      <c r="C1873" s="9"/>
      <c r="D1873" s="9"/>
      <c r="E1873" s="9"/>
    </row>
    <row r="1874" ht="15.75" customHeight="1">
      <c r="A1874" s="9"/>
      <c r="B1874" s="9"/>
      <c r="C1874" s="9"/>
      <c r="D1874" s="9"/>
      <c r="E1874" s="9"/>
    </row>
    <row r="1875" ht="15.75" customHeight="1">
      <c r="A1875" s="9" t="s">
        <v>31918</v>
      </c>
      <c r="B1875" s="9" t="s">
        <v>10735</v>
      </c>
      <c r="C1875" s="8" t="s">
        <v>31919</v>
      </c>
      <c r="D1875" s="9" t="b">
        <v>1</v>
      </c>
      <c r="E1875" s="9"/>
    </row>
    <row r="1876" ht="15.75" customHeight="1">
      <c r="A1876" s="9" t="s">
        <v>31920</v>
      </c>
      <c r="B1876" s="9" t="s">
        <v>10735</v>
      </c>
      <c r="C1876" s="8" t="s">
        <v>31921</v>
      </c>
      <c r="D1876" s="9" t="b">
        <v>0</v>
      </c>
      <c r="E1876" s="9"/>
    </row>
    <row r="1877" ht="15.75" customHeight="1">
      <c r="A1877" s="9" t="s">
        <v>31922</v>
      </c>
      <c r="B1877" s="9" t="s">
        <v>10735</v>
      </c>
      <c r="C1877" s="8" t="s">
        <v>31923</v>
      </c>
      <c r="D1877" s="9" t="b">
        <v>0</v>
      </c>
      <c r="E1877" s="9"/>
    </row>
    <row r="1878" ht="15.75" customHeight="1">
      <c r="A1878" s="9" t="s">
        <v>31924</v>
      </c>
      <c r="B1878" s="9" t="s">
        <v>10735</v>
      </c>
      <c r="C1878" s="8" t="s">
        <v>31925</v>
      </c>
      <c r="D1878" s="9" t="b">
        <v>0</v>
      </c>
      <c r="E1878" s="9"/>
    </row>
    <row r="1879" ht="15.75" customHeight="1">
      <c r="A1879" s="9" t="s">
        <v>31926</v>
      </c>
      <c r="B1879" s="9" t="s">
        <v>10735</v>
      </c>
      <c r="C1879" s="8" t="s">
        <v>31927</v>
      </c>
      <c r="D1879" s="9" t="b">
        <v>0</v>
      </c>
      <c r="E1879" s="9"/>
    </row>
    <row r="1880" ht="15.75" customHeight="1">
      <c r="A1880" s="9" t="s">
        <v>31928</v>
      </c>
      <c r="B1880" s="9" t="s">
        <v>10735</v>
      </c>
      <c r="C1880" s="8" t="s">
        <v>31929</v>
      </c>
      <c r="D1880" s="9" t="b">
        <v>0</v>
      </c>
      <c r="E1880" s="9"/>
    </row>
    <row r="1881" ht="15.75" customHeight="1">
      <c r="A1881" s="9" t="s">
        <v>31930</v>
      </c>
      <c r="B1881" s="9" t="s">
        <v>10735</v>
      </c>
      <c r="C1881" s="8" t="s">
        <v>31931</v>
      </c>
      <c r="D1881" s="9" t="b">
        <v>0</v>
      </c>
      <c r="E1881" s="9"/>
    </row>
    <row r="1882" ht="15.75" customHeight="1">
      <c r="A1882" s="9" t="s">
        <v>31932</v>
      </c>
      <c r="B1882" s="9" t="s">
        <v>10735</v>
      </c>
      <c r="C1882" s="8" t="s">
        <v>31933</v>
      </c>
      <c r="D1882" s="9" t="b">
        <v>0</v>
      </c>
      <c r="E1882" s="9"/>
    </row>
    <row r="1883" ht="15.75" customHeight="1">
      <c r="A1883" s="9" t="s">
        <v>31934</v>
      </c>
      <c r="B1883" s="9" t="s">
        <v>7328</v>
      </c>
      <c r="C1883" s="8" t="s">
        <v>31935</v>
      </c>
      <c r="D1883" s="9" t="b">
        <v>1</v>
      </c>
      <c r="E1883" s="9"/>
    </row>
    <row r="1884" ht="15.75" customHeight="1">
      <c r="A1884" s="9" t="s">
        <v>31936</v>
      </c>
      <c r="B1884" s="9" t="s">
        <v>7328</v>
      </c>
      <c r="C1884" s="8" t="s">
        <v>31937</v>
      </c>
      <c r="D1884" s="9" t="b">
        <v>0</v>
      </c>
      <c r="E1884" s="9"/>
    </row>
    <row r="1885" ht="15.75" customHeight="1">
      <c r="A1885" s="9" t="s">
        <v>31938</v>
      </c>
      <c r="B1885" s="9" t="s">
        <v>7328</v>
      </c>
      <c r="C1885" s="8" t="s">
        <v>31939</v>
      </c>
      <c r="D1885" s="9" t="b">
        <v>0</v>
      </c>
      <c r="E1885" s="9"/>
    </row>
    <row r="1886" ht="15.75" customHeight="1">
      <c r="A1886" s="9" t="s">
        <v>31940</v>
      </c>
      <c r="B1886" s="9" t="s">
        <v>7328</v>
      </c>
      <c r="C1886" s="8" t="s">
        <v>31941</v>
      </c>
      <c r="D1886" s="9" t="b">
        <v>0</v>
      </c>
      <c r="E1886" s="9"/>
    </row>
    <row r="1887" ht="15.75" customHeight="1">
      <c r="A1887" s="9" t="s">
        <v>31942</v>
      </c>
      <c r="B1887" s="9" t="s">
        <v>7328</v>
      </c>
      <c r="C1887" s="8" t="s">
        <v>31943</v>
      </c>
      <c r="D1887" s="9" t="b">
        <v>0</v>
      </c>
      <c r="E1887" s="9"/>
    </row>
    <row r="1888" ht="15.75" customHeight="1">
      <c r="A1888" s="9" t="s">
        <v>31944</v>
      </c>
      <c r="B1888" s="9" t="s">
        <v>10472</v>
      </c>
      <c r="C1888" s="8" t="s">
        <v>31945</v>
      </c>
      <c r="D1888" s="9" t="b">
        <v>1</v>
      </c>
      <c r="E1888" s="9"/>
    </row>
    <row r="1889" ht="15.75" customHeight="1">
      <c r="A1889" s="9" t="s">
        <v>31946</v>
      </c>
      <c r="B1889" s="9" t="s">
        <v>10472</v>
      </c>
      <c r="C1889" s="8" t="s">
        <v>31947</v>
      </c>
      <c r="D1889" s="9" t="b">
        <v>0</v>
      </c>
      <c r="E1889" s="9"/>
    </row>
    <row r="1890" ht="15.75" customHeight="1">
      <c r="A1890" s="9" t="s">
        <v>31948</v>
      </c>
      <c r="B1890" s="9" t="s">
        <v>10472</v>
      </c>
      <c r="C1890" s="8" t="s">
        <v>31949</v>
      </c>
      <c r="D1890" s="9" t="b">
        <v>0</v>
      </c>
      <c r="E1890" s="9"/>
    </row>
    <row r="1891" ht="15.75" customHeight="1">
      <c r="A1891" s="9" t="s">
        <v>31950</v>
      </c>
      <c r="B1891" s="9" t="s">
        <v>10472</v>
      </c>
      <c r="C1891" s="8" t="s">
        <v>31951</v>
      </c>
      <c r="D1891" s="9" t="b">
        <v>0</v>
      </c>
      <c r="E1891" s="9"/>
    </row>
    <row r="1892" ht="15.75" customHeight="1">
      <c r="A1892" s="9" t="s">
        <v>31952</v>
      </c>
      <c r="B1892" s="9" t="s">
        <v>10472</v>
      </c>
      <c r="C1892" s="8" t="s">
        <v>31953</v>
      </c>
      <c r="D1892" s="9" t="b">
        <v>0</v>
      </c>
      <c r="E1892" s="9"/>
    </row>
    <row r="1893" ht="15.75" customHeight="1">
      <c r="A1893" s="9" t="s">
        <v>31954</v>
      </c>
      <c r="B1893" s="9" t="s">
        <v>10472</v>
      </c>
      <c r="C1893" s="8" t="s">
        <v>31955</v>
      </c>
      <c r="D1893" s="9" t="b">
        <v>0</v>
      </c>
      <c r="E1893" s="9"/>
    </row>
    <row r="1894" ht="15.75" customHeight="1">
      <c r="A1894" s="9" t="s">
        <v>31956</v>
      </c>
      <c r="B1894" s="9" t="s">
        <v>7537</v>
      </c>
      <c r="C1894" s="8" t="s">
        <v>31957</v>
      </c>
      <c r="D1894" s="9" t="b">
        <v>1</v>
      </c>
      <c r="E1894" s="9"/>
    </row>
    <row r="1895" ht="15.75" customHeight="1">
      <c r="A1895" s="9" t="s">
        <v>31958</v>
      </c>
      <c r="B1895" s="9" t="s">
        <v>7537</v>
      </c>
      <c r="C1895" s="8" t="s">
        <v>31959</v>
      </c>
      <c r="D1895" s="9" t="b">
        <v>0</v>
      </c>
      <c r="E1895" s="9"/>
    </row>
    <row r="1896" ht="15.75" customHeight="1">
      <c r="A1896" s="9" t="s">
        <v>31960</v>
      </c>
      <c r="B1896" s="9" t="s">
        <v>8430</v>
      </c>
      <c r="C1896" s="8" t="s">
        <v>31961</v>
      </c>
      <c r="D1896" s="9" t="b">
        <v>0</v>
      </c>
      <c r="E1896" s="9"/>
    </row>
    <row r="1897" ht="15.75" customHeight="1">
      <c r="A1897" s="9" t="s">
        <v>31962</v>
      </c>
      <c r="B1897" s="9" t="s">
        <v>8430</v>
      </c>
      <c r="C1897" s="8" t="s">
        <v>31963</v>
      </c>
      <c r="D1897" s="9" t="b">
        <v>0</v>
      </c>
      <c r="E1897" s="9"/>
    </row>
    <row r="1898" ht="15.75" customHeight="1">
      <c r="A1898" s="9" t="s">
        <v>31964</v>
      </c>
      <c r="B1898" s="9" t="s">
        <v>8430</v>
      </c>
      <c r="C1898" s="8" t="s">
        <v>31965</v>
      </c>
      <c r="D1898" s="9" t="b">
        <v>0</v>
      </c>
      <c r="E1898" s="9"/>
    </row>
    <row r="1899" ht="15.75" customHeight="1">
      <c r="A1899" s="9" t="s">
        <v>31966</v>
      </c>
      <c r="B1899" s="9" t="s">
        <v>8430</v>
      </c>
      <c r="C1899" s="8" t="s">
        <v>31967</v>
      </c>
      <c r="D1899" s="9" t="b">
        <v>1</v>
      </c>
      <c r="E1899" s="9"/>
    </row>
    <row r="1900" ht="15.75" customHeight="1">
      <c r="A1900" s="9" t="s">
        <v>31968</v>
      </c>
      <c r="B1900" s="9" t="s">
        <v>8430</v>
      </c>
      <c r="C1900" s="8" t="s">
        <v>31969</v>
      </c>
      <c r="D1900" s="9" t="b">
        <v>0</v>
      </c>
      <c r="E1900" s="9"/>
    </row>
    <row r="1901" ht="15.75" customHeight="1">
      <c r="A1901" s="9" t="s">
        <v>31970</v>
      </c>
      <c r="B1901" s="9" t="s">
        <v>8430</v>
      </c>
      <c r="C1901" s="8" t="s">
        <v>31971</v>
      </c>
      <c r="D1901" s="9" t="b">
        <v>0</v>
      </c>
      <c r="E1901" s="9"/>
    </row>
    <row r="1902" ht="15.75" customHeight="1">
      <c r="A1902" s="52" t="s">
        <v>31972</v>
      </c>
      <c r="B1902" s="9" t="s">
        <v>8430</v>
      </c>
      <c r="C1902" s="8" t="s">
        <v>31973</v>
      </c>
      <c r="D1902" s="9" t="b">
        <v>0</v>
      </c>
      <c r="E1902" s="9"/>
    </row>
    <row r="1903" ht="15.75" customHeight="1">
      <c r="A1903" s="9" t="s">
        <v>31974</v>
      </c>
      <c r="B1903" s="9" t="s">
        <v>8430</v>
      </c>
      <c r="C1903" s="8" t="s">
        <v>31975</v>
      </c>
      <c r="D1903" s="9" t="b">
        <v>0</v>
      </c>
      <c r="E1903" s="9"/>
    </row>
    <row r="1904" ht="15.75" customHeight="1">
      <c r="A1904" s="9" t="s">
        <v>31976</v>
      </c>
      <c r="B1904" s="9" t="s">
        <v>8430</v>
      </c>
      <c r="C1904" s="8" t="s">
        <v>31977</v>
      </c>
      <c r="D1904" s="9" t="b">
        <v>0</v>
      </c>
      <c r="E1904" s="9"/>
    </row>
    <row r="1905" ht="15.75" customHeight="1">
      <c r="A1905" s="9" t="s">
        <v>31978</v>
      </c>
      <c r="B1905" s="9" t="s">
        <v>8430</v>
      </c>
      <c r="C1905" s="8" t="s">
        <v>31979</v>
      </c>
      <c r="D1905" s="9" t="b">
        <v>0</v>
      </c>
      <c r="E1905" s="9"/>
    </row>
    <row r="1906" ht="15.75" customHeight="1">
      <c r="A1906" s="9" t="s">
        <v>31980</v>
      </c>
      <c r="B1906" s="9" t="s">
        <v>8430</v>
      </c>
      <c r="C1906" s="8" t="s">
        <v>31981</v>
      </c>
      <c r="D1906" s="9" t="b">
        <v>0</v>
      </c>
      <c r="E1906" s="9"/>
    </row>
    <row r="1907" ht="15.75" customHeight="1">
      <c r="A1907" s="9" t="s">
        <v>31982</v>
      </c>
      <c r="B1907" s="9" t="s">
        <v>12050</v>
      </c>
      <c r="C1907" s="8" t="s">
        <v>31983</v>
      </c>
      <c r="D1907" s="9" t="b">
        <v>1</v>
      </c>
      <c r="E1907" s="9"/>
    </row>
    <row r="1908" ht="15.75" customHeight="1">
      <c r="A1908" s="9" t="s">
        <v>31984</v>
      </c>
      <c r="B1908" s="9" t="s">
        <v>12050</v>
      </c>
      <c r="C1908" s="8" t="s">
        <v>31985</v>
      </c>
      <c r="D1908" s="9" t="b">
        <v>0</v>
      </c>
      <c r="E1908" s="9"/>
    </row>
    <row r="1909" ht="15.75" customHeight="1">
      <c r="A1909" s="9" t="s">
        <v>31986</v>
      </c>
      <c r="B1909" s="9" t="s">
        <v>12050</v>
      </c>
      <c r="C1909" s="8" t="s">
        <v>31987</v>
      </c>
      <c r="D1909" s="9" t="b">
        <v>0</v>
      </c>
      <c r="E1909" s="9"/>
    </row>
    <row r="1910" ht="15.75" customHeight="1">
      <c r="A1910" s="9" t="s">
        <v>31988</v>
      </c>
      <c r="B1910" s="9" t="s">
        <v>12050</v>
      </c>
      <c r="C1910" s="8" t="s">
        <v>31989</v>
      </c>
      <c r="D1910" s="9" t="b">
        <v>0</v>
      </c>
      <c r="E1910" s="9"/>
    </row>
    <row r="1911" ht="15.75" customHeight="1">
      <c r="A1911" s="9" t="s">
        <v>31990</v>
      </c>
      <c r="B1911" s="9" t="s">
        <v>12050</v>
      </c>
      <c r="C1911" s="8" t="s">
        <v>31991</v>
      </c>
      <c r="D1911" s="9" t="b">
        <v>0</v>
      </c>
      <c r="E1911" s="9"/>
    </row>
    <row r="1912" ht="15.75" customHeight="1">
      <c r="A1912" s="9" t="s">
        <v>31992</v>
      </c>
      <c r="B1912" s="9" t="s">
        <v>12050</v>
      </c>
      <c r="C1912" s="8" t="s">
        <v>31993</v>
      </c>
      <c r="D1912" s="9" t="b">
        <v>0</v>
      </c>
      <c r="E1912" s="9"/>
    </row>
    <row r="1913" ht="15.75" customHeight="1">
      <c r="A1913" s="9" t="s">
        <v>31994</v>
      </c>
      <c r="B1913" s="9" t="s">
        <v>12050</v>
      </c>
      <c r="C1913" s="8" t="s">
        <v>31995</v>
      </c>
      <c r="D1913" s="9" t="b">
        <v>0</v>
      </c>
      <c r="E1913" s="9"/>
    </row>
    <row r="1914" ht="15.75" customHeight="1">
      <c r="A1914" s="9" t="s">
        <v>31996</v>
      </c>
      <c r="B1914" s="9" t="s">
        <v>11700</v>
      </c>
      <c r="C1914" s="8" t="s">
        <v>31997</v>
      </c>
      <c r="D1914" s="9" t="b">
        <v>0</v>
      </c>
      <c r="E1914" s="9"/>
    </row>
    <row r="1915" ht="15.75" customHeight="1">
      <c r="A1915" s="9" t="s">
        <v>31998</v>
      </c>
      <c r="B1915" s="9" t="s">
        <v>11700</v>
      </c>
      <c r="C1915" s="8" t="s">
        <v>31999</v>
      </c>
      <c r="D1915" s="9" t="b">
        <v>0</v>
      </c>
      <c r="E1915" s="9"/>
    </row>
    <row r="1916" ht="15.75" customHeight="1">
      <c r="A1916" s="9" t="s">
        <v>32000</v>
      </c>
      <c r="B1916" s="9" t="s">
        <v>11700</v>
      </c>
      <c r="C1916" s="8" t="s">
        <v>32001</v>
      </c>
      <c r="D1916" s="9" t="b">
        <v>0</v>
      </c>
      <c r="E1916" s="9"/>
    </row>
    <row r="1917" ht="15.75" customHeight="1">
      <c r="A1917" s="9" t="s">
        <v>32002</v>
      </c>
      <c r="B1917" s="9" t="s">
        <v>11700</v>
      </c>
      <c r="C1917" s="8" t="s">
        <v>32003</v>
      </c>
      <c r="D1917" s="9" t="b">
        <v>0</v>
      </c>
      <c r="E1917" s="9"/>
    </row>
    <row r="1918" ht="15.75" customHeight="1">
      <c r="A1918" s="9" t="s">
        <v>32004</v>
      </c>
      <c r="B1918" s="9" t="s">
        <v>11700</v>
      </c>
      <c r="C1918" s="8" t="s">
        <v>32005</v>
      </c>
      <c r="D1918" s="9" t="b">
        <v>1</v>
      </c>
      <c r="E1918" s="9"/>
    </row>
    <row r="1919" ht="15.75" customHeight="1">
      <c r="A1919" s="9" t="s">
        <v>32006</v>
      </c>
      <c r="B1919" s="9" t="s">
        <v>11700</v>
      </c>
      <c r="C1919" s="8" t="s">
        <v>32007</v>
      </c>
      <c r="D1919" s="9" t="b">
        <v>0</v>
      </c>
      <c r="E1919" s="9"/>
    </row>
    <row r="1920" ht="15.75" customHeight="1">
      <c r="A1920" s="9" t="s">
        <v>32008</v>
      </c>
      <c r="B1920" s="9" t="s">
        <v>11700</v>
      </c>
      <c r="C1920" s="8" t="s">
        <v>32009</v>
      </c>
      <c r="D1920" s="9" t="b">
        <v>0</v>
      </c>
      <c r="E1920" s="9"/>
    </row>
    <row r="1921" ht="15.75" customHeight="1">
      <c r="A1921" s="9" t="s">
        <v>32010</v>
      </c>
      <c r="B1921" s="9" t="s">
        <v>11700</v>
      </c>
      <c r="C1921" s="8" t="s">
        <v>32011</v>
      </c>
      <c r="D1921" s="9" t="b">
        <v>0</v>
      </c>
      <c r="E1921" s="9"/>
    </row>
    <row r="1922" ht="15.75" customHeight="1">
      <c r="A1922" s="9" t="s">
        <v>32012</v>
      </c>
      <c r="B1922" s="9" t="s">
        <v>11700</v>
      </c>
      <c r="C1922" s="8" t="s">
        <v>32013</v>
      </c>
      <c r="D1922" s="9" t="b">
        <v>0</v>
      </c>
      <c r="E1922" s="9"/>
    </row>
    <row r="1923" ht="15.75" customHeight="1">
      <c r="A1923" s="9" t="s">
        <v>32014</v>
      </c>
      <c r="B1923" s="9" t="s">
        <v>3455</v>
      </c>
      <c r="C1923" s="8" t="s">
        <v>32015</v>
      </c>
      <c r="D1923" s="9" t="b">
        <v>1</v>
      </c>
      <c r="E1923" s="9"/>
    </row>
    <row r="1924" ht="15.75" customHeight="1">
      <c r="A1924" s="9" t="s">
        <v>32016</v>
      </c>
      <c r="B1924" s="9" t="s">
        <v>3455</v>
      </c>
      <c r="C1924" s="8" t="s">
        <v>32017</v>
      </c>
      <c r="D1924" s="9" t="b">
        <v>0</v>
      </c>
      <c r="E1924" s="9"/>
    </row>
    <row r="1925" ht="15.75" customHeight="1">
      <c r="A1925" s="9" t="s">
        <v>32018</v>
      </c>
      <c r="B1925" s="9" t="s">
        <v>3455</v>
      </c>
      <c r="C1925" s="8" t="s">
        <v>32019</v>
      </c>
      <c r="D1925" s="9" t="b">
        <v>0</v>
      </c>
      <c r="E1925" s="9"/>
    </row>
    <row r="1926" ht="15.75" customHeight="1">
      <c r="A1926" s="9" t="s">
        <v>32020</v>
      </c>
      <c r="B1926" s="9" t="s">
        <v>3455</v>
      </c>
      <c r="C1926" s="8" t="s">
        <v>32021</v>
      </c>
      <c r="D1926" s="9" t="b">
        <v>0</v>
      </c>
      <c r="E1926" s="9"/>
    </row>
    <row r="1927" ht="15.75" customHeight="1">
      <c r="A1927" s="9" t="s">
        <v>32022</v>
      </c>
      <c r="B1927" s="9" t="s">
        <v>3455</v>
      </c>
      <c r="C1927" s="8" t="s">
        <v>32023</v>
      </c>
      <c r="D1927" s="9" t="b">
        <v>0</v>
      </c>
      <c r="E1927" s="9"/>
    </row>
    <row r="1928" ht="15.75" customHeight="1">
      <c r="A1928" s="9" t="s">
        <v>32024</v>
      </c>
      <c r="B1928" s="9" t="s">
        <v>3464</v>
      </c>
      <c r="C1928" s="8" t="s">
        <v>32025</v>
      </c>
      <c r="D1928" s="9" t="b">
        <v>0</v>
      </c>
      <c r="E1928" s="9"/>
    </row>
    <row r="1929" ht="15.75" customHeight="1">
      <c r="A1929" s="9" t="s">
        <v>32026</v>
      </c>
      <c r="B1929" s="9" t="s">
        <v>3464</v>
      </c>
      <c r="C1929" s="8" t="s">
        <v>32027</v>
      </c>
      <c r="D1929" s="9" t="b">
        <v>0</v>
      </c>
      <c r="E1929" s="9"/>
    </row>
    <row r="1930" ht="15.75" customHeight="1">
      <c r="A1930" s="9" t="s">
        <v>32028</v>
      </c>
      <c r="B1930" s="9" t="s">
        <v>3464</v>
      </c>
      <c r="C1930" s="8" t="s">
        <v>32029</v>
      </c>
      <c r="D1930" s="9" t="b">
        <v>0</v>
      </c>
      <c r="E1930" s="9"/>
    </row>
    <row r="1931" ht="15.75" customHeight="1">
      <c r="A1931" s="9" t="s">
        <v>32030</v>
      </c>
      <c r="B1931" s="9" t="s">
        <v>3464</v>
      </c>
      <c r="C1931" s="8" t="s">
        <v>32031</v>
      </c>
      <c r="D1931" s="9" t="b">
        <v>0</v>
      </c>
      <c r="E1931" s="9"/>
    </row>
    <row r="1932" ht="15.75" customHeight="1">
      <c r="A1932" s="9" t="s">
        <v>32032</v>
      </c>
      <c r="B1932" s="9" t="s">
        <v>3464</v>
      </c>
      <c r="C1932" s="8" t="s">
        <v>32033</v>
      </c>
      <c r="D1932" s="9" t="b">
        <v>0</v>
      </c>
      <c r="E1932" s="9"/>
    </row>
    <row r="1933" ht="15.75" customHeight="1">
      <c r="A1933" s="9" t="s">
        <v>32034</v>
      </c>
      <c r="B1933" s="9" t="s">
        <v>3464</v>
      </c>
      <c r="C1933" s="8" t="s">
        <v>32035</v>
      </c>
      <c r="D1933" s="9" t="b">
        <v>0</v>
      </c>
      <c r="E1933" s="9"/>
    </row>
    <row r="1934" ht="15.75" customHeight="1">
      <c r="A1934" s="9" t="s">
        <v>32036</v>
      </c>
      <c r="B1934" s="9" t="s">
        <v>3464</v>
      </c>
      <c r="C1934" s="8" t="s">
        <v>32037</v>
      </c>
      <c r="D1934" s="9" t="b">
        <v>0</v>
      </c>
      <c r="E1934" s="9"/>
    </row>
    <row r="1935" ht="15.75" customHeight="1">
      <c r="A1935" s="9" t="s">
        <v>32038</v>
      </c>
      <c r="B1935" s="9" t="s">
        <v>3436</v>
      </c>
      <c r="C1935" s="8" t="s">
        <v>32039</v>
      </c>
      <c r="D1935" s="9" t="b">
        <v>0</v>
      </c>
      <c r="E1935" s="9" t="s">
        <v>32040</v>
      </c>
    </row>
    <row r="1936" ht="15.75" customHeight="1">
      <c r="A1936" s="9" t="s">
        <v>32041</v>
      </c>
      <c r="B1936" s="9" t="s">
        <v>3436</v>
      </c>
      <c r="C1936" s="8" t="s">
        <v>32042</v>
      </c>
      <c r="D1936" s="9" t="b">
        <v>0</v>
      </c>
      <c r="E1936" s="9"/>
    </row>
    <row r="1937" ht="15.75" customHeight="1">
      <c r="A1937" s="9" t="s">
        <v>32043</v>
      </c>
      <c r="B1937" s="9" t="s">
        <v>3436</v>
      </c>
      <c r="C1937" s="8" t="s">
        <v>32044</v>
      </c>
      <c r="D1937" s="9" t="b">
        <v>0</v>
      </c>
      <c r="E1937" s="9" t="s">
        <v>32040</v>
      </c>
    </row>
    <row r="1938" ht="15.75" customHeight="1">
      <c r="A1938" s="9" t="s">
        <v>32045</v>
      </c>
      <c r="B1938" s="9" t="s">
        <v>3436</v>
      </c>
      <c r="C1938" s="8" t="s">
        <v>32046</v>
      </c>
      <c r="D1938" s="9" t="b">
        <v>0</v>
      </c>
      <c r="E1938" s="9" t="s">
        <v>32047</v>
      </c>
    </row>
    <row r="1939" ht="15.75" customHeight="1">
      <c r="A1939" s="9" t="s">
        <v>32048</v>
      </c>
      <c r="B1939" s="9" t="s">
        <v>3436</v>
      </c>
      <c r="C1939" s="8" t="s">
        <v>32049</v>
      </c>
      <c r="D1939" s="9" t="b">
        <v>0</v>
      </c>
      <c r="E1939" s="9" t="s">
        <v>32050</v>
      </c>
    </row>
    <row r="1940" ht="15.75" customHeight="1">
      <c r="A1940" s="9" t="s">
        <v>32051</v>
      </c>
      <c r="B1940" s="9" t="s">
        <v>3436</v>
      </c>
      <c r="C1940" s="8" t="s">
        <v>32052</v>
      </c>
      <c r="D1940" s="9" t="b">
        <v>0</v>
      </c>
      <c r="E1940" s="9"/>
    </row>
    <row r="1941" ht="15.75" customHeight="1">
      <c r="A1941" s="9" t="s">
        <v>32053</v>
      </c>
      <c r="B1941" s="9" t="s">
        <v>3436</v>
      </c>
      <c r="C1941" s="8" t="s">
        <v>32054</v>
      </c>
      <c r="D1941" s="9" t="b">
        <v>1</v>
      </c>
      <c r="E1941" s="9" t="s">
        <v>32055</v>
      </c>
    </row>
    <row r="1942" ht="15.75" customHeight="1">
      <c r="A1942" s="9" t="s">
        <v>32056</v>
      </c>
      <c r="B1942" s="9" t="s">
        <v>3436</v>
      </c>
      <c r="C1942" s="8" t="s">
        <v>32057</v>
      </c>
      <c r="D1942" s="9" t="b">
        <v>0</v>
      </c>
      <c r="E1942" s="9" t="s">
        <v>32055</v>
      </c>
    </row>
    <row r="1943" ht="15.75" customHeight="1">
      <c r="A1943" s="9" t="s">
        <v>32058</v>
      </c>
      <c r="B1943" s="9" t="s">
        <v>3436</v>
      </c>
      <c r="C1943" s="8" t="s">
        <v>32059</v>
      </c>
      <c r="D1943" s="9" t="b">
        <v>0</v>
      </c>
      <c r="E1943" s="9" t="s">
        <v>32060</v>
      </c>
    </row>
    <row r="1944" ht="15.75" customHeight="1">
      <c r="A1944" s="9" t="s">
        <v>32061</v>
      </c>
      <c r="B1944" s="9" t="s">
        <v>3436</v>
      </c>
      <c r="C1944" s="8" t="s">
        <v>32062</v>
      </c>
      <c r="D1944" s="9" t="b">
        <v>0</v>
      </c>
      <c r="E1944" s="9" t="s">
        <v>32063</v>
      </c>
    </row>
    <row r="1945" ht="15.75" customHeight="1">
      <c r="A1945" s="9" t="s">
        <v>32064</v>
      </c>
      <c r="B1945" s="9" t="s">
        <v>3436</v>
      </c>
      <c r="C1945" s="8" t="s">
        <v>32065</v>
      </c>
      <c r="D1945" s="9" t="b">
        <v>0</v>
      </c>
      <c r="E1945" s="9" t="s">
        <v>32066</v>
      </c>
    </row>
    <row r="1946" ht="15.75" customHeight="1">
      <c r="A1946" s="9" t="s">
        <v>32067</v>
      </c>
      <c r="B1946" s="9" t="s">
        <v>3436</v>
      </c>
      <c r="C1946" s="8" t="s">
        <v>32068</v>
      </c>
      <c r="D1946" s="9" t="b">
        <v>0</v>
      </c>
      <c r="E1946" s="9" t="s">
        <v>32069</v>
      </c>
    </row>
    <row r="1947" ht="15.75" customHeight="1">
      <c r="A1947" s="9" t="s">
        <v>32070</v>
      </c>
      <c r="B1947" s="9" t="s">
        <v>3436</v>
      </c>
      <c r="C1947" s="8" t="s">
        <v>32071</v>
      </c>
      <c r="D1947" s="9" t="b">
        <v>0</v>
      </c>
      <c r="E1947" s="9" t="s">
        <v>32072</v>
      </c>
    </row>
    <row r="1948" ht="15.75" customHeight="1">
      <c r="A1948" s="9" t="s">
        <v>32073</v>
      </c>
      <c r="B1948" s="9" t="s">
        <v>3436</v>
      </c>
      <c r="C1948" s="8" t="s">
        <v>32074</v>
      </c>
      <c r="D1948" s="9" t="b">
        <v>0</v>
      </c>
      <c r="E1948" s="9" t="s">
        <v>32075</v>
      </c>
    </row>
    <row r="1949" ht="15.75" customHeight="1">
      <c r="A1949" s="9" t="s">
        <v>32076</v>
      </c>
      <c r="B1949" s="9" t="s">
        <v>3436</v>
      </c>
      <c r="C1949" s="8" t="s">
        <v>32077</v>
      </c>
      <c r="D1949" s="9" t="b">
        <v>0</v>
      </c>
      <c r="E1949" s="9" t="s">
        <v>32078</v>
      </c>
    </row>
    <row r="1950" ht="15.75" customHeight="1">
      <c r="A1950" s="9" t="s">
        <v>32079</v>
      </c>
      <c r="B1950" s="9" t="s">
        <v>3436</v>
      </c>
      <c r="C1950" s="8" t="s">
        <v>32080</v>
      </c>
      <c r="D1950" s="9" t="b">
        <v>0</v>
      </c>
      <c r="E1950" s="9" t="s">
        <v>32081</v>
      </c>
    </row>
    <row r="1951" ht="15.75" customHeight="1">
      <c r="A1951" s="9" t="s">
        <v>32082</v>
      </c>
      <c r="B1951" s="9" t="s">
        <v>3436</v>
      </c>
      <c r="C1951" s="8" t="s">
        <v>32083</v>
      </c>
      <c r="D1951" s="9" t="b">
        <v>0</v>
      </c>
      <c r="E1951" s="9" t="s">
        <v>32084</v>
      </c>
    </row>
    <row r="1952" ht="15.75" customHeight="1">
      <c r="A1952" s="9" t="s">
        <v>32085</v>
      </c>
      <c r="B1952" s="9" t="s">
        <v>3436</v>
      </c>
      <c r="C1952" s="8" t="s">
        <v>32086</v>
      </c>
      <c r="D1952" s="9" t="b">
        <v>0</v>
      </c>
      <c r="E1952" s="9" t="s">
        <v>32087</v>
      </c>
    </row>
    <row r="1953" ht="15.75" customHeight="1">
      <c r="A1953" s="9" t="s">
        <v>32088</v>
      </c>
      <c r="B1953" s="9" t="s">
        <v>3436</v>
      </c>
      <c r="C1953" s="8" t="s">
        <v>32089</v>
      </c>
      <c r="D1953" s="9" t="b">
        <v>0</v>
      </c>
      <c r="E1953" s="9" t="s">
        <v>32087</v>
      </c>
    </row>
    <row r="1954" ht="15.75" customHeight="1">
      <c r="A1954" s="9" t="s">
        <v>32090</v>
      </c>
      <c r="B1954" s="9" t="s">
        <v>3436</v>
      </c>
      <c r="C1954" s="8" t="s">
        <v>32091</v>
      </c>
      <c r="D1954" s="9" t="b">
        <v>0</v>
      </c>
      <c r="E1954" s="9" t="s">
        <v>32087</v>
      </c>
    </row>
    <row r="1955" ht="15.75" customHeight="1">
      <c r="A1955" s="9" t="s">
        <v>32092</v>
      </c>
      <c r="B1955" s="9" t="s">
        <v>3436</v>
      </c>
      <c r="C1955" s="8" t="s">
        <v>32093</v>
      </c>
      <c r="D1955" s="9" t="b">
        <v>0</v>
      </c>
      <c r="E1955" s="9" t="s">
        <v>32094</v>
      </c>
    </row>
    <row r="1956" ht="15.75" customHeight="1">
      <c r="A1956" s="9" t="s">
        <v>32095</v>
      </c>
      <c r="B1956" s="9" t="s">
        <v>3436</v>
      </c>
      <c r="C1956" s="8" t="s">
        <v>32096</v>
      </c>
      <c r="D1956" s="9" t="b">
        <v>0</v>
      </c>
      <c r="E1956" s="9" t="s">
        <v>32097</v>
      </c>
    </row>
    <row r="1957" ht="15.75" customHeight="1">
      <c r="A1957" s="9" t="s">
        <v>32098</v>
      </c>
      <c r="B1957" s="9" t="s">
        <v>3436</v>
      </c>
      <c r="C1957" s="8" t="s">
        <v>32099</v>
      </c>
      <c r="D1957" s="9" t="b">
        <v>0</v>
      </c>
      <c r="E1957" s="9" t="s">
        <v>32100</v>
      </c>
    </row>
    <row r="1958" ht="15.75" customHeight="1">
      <c r="A1958" s="9" t="s">
        <v>32101</v>
      </c>
      <c r="B1958" s="9" t="s">
        <v>3436</v>
      </c>
      <c r="C1958" s="8" t="s">
        <v>32102</v>
      </c>
      <c r="D1958" s="9" t="b">
        <v>0</v>
      </c>
      <c r="E1958" s="9" t="s">
        <v>32103</v>
      </c>
    </row>
    <row r="1959" ht="15.75" customHeight="1">
      <c r="A1959" s="9" t="s">
        <v>32104</v>
      </c>
      <c r="B1959" s="9" t="s">
        <v>3436</v>
      </c>
      <c r="C1959" s="8" t="s">
        <v>32105</v>
      </c>
      <c r="D1959" s="9" t="b">
        <v>0</v>
      </c>
      <c r="E1959" s="9" t="s">
        <v>32106</v>
      </c>
    </row>
    <row r="1960" ht="15.75" customHeight="1">
      <c r="A1960" s="9" t="s">
        <v>32107</v>
      </c>
      <c r="B1960" s="9" t="s">
        <v>3455</v>
      </c>
      <c r="C1960" s="8" t="s">
        <v>32108</v>
      </c>
      <c r="D1960" s="9" t="b">
        <v>0</v>
      </c>
      <c r="E1960" s="9"/>
    </row>
    <row r="1961" ht="15.75" customHeight="1">
      <c r="A1961" s="9" t="s">
        <v>32109</v>
      </c>
      <c r="B1961" s="9" t="s">
        <v>3455</v>
      </c>
      <c r="C1961" s="8" t="s">
        <v>32110</v>
      </c>
      <c r="D1961" s="9" t="b">
        <v>0</v>
      </c>
      <c r="E1961" s="9"/>
    </row>
    <row r="1962" ht="15.75" customHeight="1">
      <c r="A1962" s="9" t="s">
        <v>32111</v>
      </c>
      <c r="B1962" s="9" t="s">
        <v>3455</v>
      </c>
      <c r="C1962" s="8" t="s">
        <v>32112</v>
      </c>
      <c r="D1962" s="9" t="b">
        <v>0</v>
      </c>
      <c r="E1962" s="9" t="s">
        <v>30363</v>
      </c>
    </row>
    <row r="1963" ht="15.75" customHeight="1">
      <c r="A1963" s="9" t="s">
        <v>32113</v>
      </c>
      <c r="B1963" s="9" t="s">
        <v>3455</v>
      </c>
      <c r="C1963" s="8" t="s">
        <v>32114</v>
      </c>
      <c r="D1963" s="9" t="b">
        <v>0</v>
      </c>
      <c r="E1963" s="9" t="s">
        <v>32115</v>
      </c>
    </row>
    <row r="1964" ht="15.75" customHeight="1">
      <c r="A1964" s="9" t="s">
        <v>32116</v>
      </c>
      <c r="B1964" s="9" t="s">
        <v>3455</v>
      </c>
      <c r="C1964" s="8" t="s">
        <v>32117</v>
      </c>
      <c r="D1964" s="9" t="b">
        <v>0</v>
      </c>
      <c r="E1964" s="9" t="s">
        <v>32118</v>
      </c>
    </row>
    <row r="1965" ht="15.75" customHeight="1">
      <c r="A1965" s="9" t="s">
        <v>32119</v>
      </c>
      <c r="B1965" s="9" t="s">
        <v>3455</v>
      </c>
      <c r="C1965" s="8" t="s">
        <v>32120</v>
      </c>
      <c r="D1965" s="9" t="b">
        <v>0</v>
      </c>
      <c r="E1965" s="9" t="s">
        <v>32097</v>
      </c>
    </row>
    <row r="1966" ht="15.75" customHeight="1">
      <c r="A1966" s="9" t="s">
        <v>32121</v>
      </c>
      <c r="B1966" s="9" t="s">
        <v>3455</v>
      </c>
      <c r="C1966" s="8" t="s">
        <v>32122</v>
      </c>
      <c r="D1966" s="9" t="b">
        <v>0</v>
      </c>
      <c r="E1966" s="9" t="s">
        <v>31020</v>
      </c>
    </row>
    <row r="1967" ht="15.75" customHeight="1">
      <c r="A1967" s="9" t="s">
        <v>32123</v>
      </c>
      <c r="B1967" s="9" t="s">
        <v>3455</v>
      </c>
      <c r="C1967" s="8" t="s">
        <v>32124</v>
      </c>
      <c r="D1967" s="9" t="b">
        <v>0</v>
      </c>
      <c r="E1967" s="9" t="s">
        <v>32125</v>
      </c>
    </row>
    <row r="1968" ht="15.75" customHeight="1">
      <c r="A1968" s="9" t="s">
        <v>32126</v>
      </c>
      <c r="B1968" s="9" t="s">
        <v>3455</v>
      </c>
      <c r="C1968" s="8" t="s">
        <v>32127</v>
      </c>
      <c r="D1968" s="9" t="b">
        <v>0</v>
      </c>
      <c r="E1968" s="9" t="s">
        <v>15564</v>
      </c>
    </row>
    <row r="1969" ht="15.75" customHeight="1">
      <c r="A1969" s="9" t="s">
        <v>32128</v>
      </c>
      <c r="B1969" s="9" t="s">
        <v>3455</v>
      </c>
      <c r="C1969" s="8" t="s">
        <v>32129</v>
      </c>
      <c r="D1969" s="9" t="b">
        <v>0</v>
      </c>
      <c r="E1969" s="9" t="s">
        <v>8015</v>
      </c>
    </row>
    <row r="1970" ht="15.75" customHeight="1">
      <c r="A1970" s="9" t="s">
        <v>32130</v>
      </c>
      <c r="B1970" s="9" t="s">
        <v>3455</v>
      </c>
      <c r="C1970" s="8" t="s">
        <v>32131</v>
      </c>
      <c r="D1970" s="9" t="b">
        <v>0</v>
      </c>
      <c r="E1970" s="9" t="s">
        <v>32087</v>
      </c>
    </row>
    <row r="1971" ht="15.75" customHeight="1">
      <c r="A1971" s="9" t="s">
        <v>32132</v>
      </c>
      <c r="B1971" s="9" t="s">
        <v>3464</v>
      </c>
      <c r="C1971" s="8" t="s">
        <v>32133</v>
      </c>
      <c r="D1971" s="9" t="b">
        <v>0</v>
      </c>
      <c r="E1971" s="9"/>
    </row>
    <row r="1972" ht="15.75" customHeight="1">
      <c r="A1972" s="9" t="s">
        <v>32134</v>
      </c>
      <c r="B1972" s="9" t="s">
        <v>3464</v>
      </c>
      <c r="C1972" s="8" t="s">
        <v>32135</v>
      </c>
      <c r="D1972" s="9" t="b">
        <v>1</v>
      </c>
      <c r="E1972" s="9"/>
    </row>
    <row r="1973" ht="15.75" customHeight="1">
      <c r="A1973" s="9" t="s">
        <v>32136</v>
      </c>
      <c r="B1973" s="9" t="s">
        <v>3464</v>
      </c>
      <c r="C1973" s="8" t="s">
        <v>32137</v>
      </c>
      <c r="D1973" s="9" t="b">
        <v>0</v>
      </c>
      <c r="E1973" s="9" t="s">
        <v>32138</v>
      </c>
    </row>
    <row r="1974" ht="15.75" customHeight="1">
      <c r="A1974" s="9" t="s">
        <v>32139</v>
      </c>
      <c r="B1974" s="9" t="s">
        <v>3464</v>
      </c>
      <c r="C1974" s="8" t="s">
        <v>32140</v>
      </c>
      <c r="D1974" s="9" t="b">
        <v>0</v>
      </c>
      <c r="E1974" s="9" t="s">
        <v>32141</v>
      </c>
    </row>
    <row r="1975" ht="15.75" customHeight="1">
      <c r="A1975" s="9" t="s">
        <v>32142</v>
      </c>
      <c r="B1975" s="9" t="s">
        <v>3464</v>
      </c>
      <c r="C1975" s="8" t="s">
        <v>32143</v>
      </c>
      <c r="D1975" s="9" t="b">
        <v>0</v>
      </c>
      <c r="E1975" s="9" t="s">
        <v>8015</v>
      </c>
    </row>
    <row r="1976" ht="15.75" customHeight="1">
      <c r="A1976" s="9" t="s">
        <v>32144</v>
      </c>
      <c r="B1976" s="9" t="s">
        <v>3464</v>
      </c>
      <c r="C1976" s="8" t="s">
        <v>32145</v>
      </c>
      <c r="D1976" s="9" t="b">
        <v>0</v>
      </c>
      <c r="E1976" s="9" t="s">
        <v>32097</v>
      </c>
    </row>
    <row r="1977" ht="15.75" customHeight="1">
      <c r="A1977" s="9" t="s">
        <v>32146</v>
      </c>
      <c r="B1977" s="9" t="s">
        <v>3464</v>
      </c>
      <c r="C1977" s="8" t="s">
        <v>32147</v>
      </c>
      <c r="D1977" s="9" t="b">
        <v>0</v>
      </c>
      <c r="E1977" s="9" t="s">
        <v>31020</v>
      </c>
    </row>
    <row r="1978" ht="15.75" customHeight="1">
      <c r="A1978" s="9" t="s">
        <v>32148</v>
      </c>
      <c r="B1978" s="9" t="s">
        <v>3464</v>
      </c>
      <c r="C1978" s="8" t="s">
        <v>32149</v>
      </c>
      <c r="D1978" s="9" t="b">
        <v>0</v>
      </c>
      <c r="E1978" s="9"/>
    </row>
    <row r="1979" ht="15.75" customHeight="1">
      <c r="A1979" s="9" t="s">
        <v>32150</v>
      </c>
      <c r="B1979" s="9" t="s">
        <v>256</v>
      </c>
      <c r="C1979" s="8" t="s">
        <v>32151</v>
      </c>
      <c r="D1979" s="9" t="b">
        <v>0</v>
      </c>
      <c r="E1979" s="9"/>
    </row>
    <row r="1980" ht="15.75" customHeight="1">
      <c r="A1980" s="9" t="s">
        <v>32152</v>
      </c>
      <c r="B1980" s="9" t="s">
        <v>256</v>
      </c>
      <c r="C1980" s="8" t="s">
        <v>32153</v>
      </c>
      <c r="D1980" s="9" t="b">
        <v>0</v>
      </c>
      <c r="E1980" s="9"/>
    </row>
    <row r="1981" ht="15.75" customHeight="1">
      <c r="A1981" s="9" t="s">
        <v>32154</v>
      </c>
      <c r="B1981" s="9" t="s">
        <v>256</v>
      </c>
      <c r="C1981" s="8" t="s">
        <v>32155</v>
      </c>
      <c r="D1981" s="9" t="b">
        <v>0</v>
      </c>
      <c r="E1981" s="9"/>
    </row>
    <row r="1982" ht="15.75" customHeight="1">
      <c r="A1982" s="9" t="s">
        <v>32156</v>
      </c>
      <c r="B1982" s="9" t="s">
        <v>256</v>
      </c>
      <c r="C1982" s="8" t="s">
        <v>32157</v>
      </c>
      <c r="D1982" s="9" t="b">
        <v>0</v>
      </c>
      <c r="E1982" s="9"/>
    </row>
    <row r="1983" ht="15.75" customHeight="1">
      <c r="A1983" s="9" t="s">
        <v>32158</v>
      </c>
      <c r="B1983" s="9" t="s">
        <v>256</v>
      </c>
      <c r="C1983" s="8" t="s">
        <v>32159</v>
      </c>
      <c r="D1983" s="9" t="b">
        <v>0</v>
      </c>
      <c r="E1983" s="9"/>
    </row>
    <row r="1984" ht="15.75" customHeight="1">
      <c r="A1984" s="9" t="s">
        <v>32160</v>
      </c>
      <c r="B1984" s="9" t="s">
        <v>256</v>
      </c>
      <c r="C1984" s="8" t="s">
        <v>32161</v>
      </c>
      <c r="D1984" s="9" t="b">
        <v>0</v>
      </c>
      <c r="E1984" s="9"/>
    </row>
    <row r="1985" ht="15.75" customHeight="1">
      <c r="A1985" s="9" t="s">
        <v>32162</v>
      </c>
      <c r="B1985" s="9" t="s">
        <v>256</v>
      </c>
      <c r="C1985" s="8" t="s">
        <v>32163</v>
      </c>
      <c r="D1985" s="9" t="b">
        <v>0</v>
      </c>
      <c r="E1985" s="9"/>
    </row>
    <row r="1986" ht="15.75" customHeight="1">
      <c r="A1986" s="9" t="s">
        <v>32164</v>
      </c>
      <c r="B1986" s="9" t="s">
        <v>256</v>
      </c>
      <c r="C1986" s="8" t="s">
        <v>32165</v>
      </c>
      <c r="D1986" s="9" t="b">
        <v>0</v>
      </c>
      <c r="E1986" s="9"/>
    </row>
    <row r="1987" ht="15.75" customHeight="1">
      <c r="A1987" s="52" t="s">
        <v>32166</v>
      </c>
      <c r="B1987" s="9" t="s">
        <v>256</v>
      </c>
      <c r="C1987" s="8" t="s">
        <v>32167</v>
      </c>
      <c r="D1987" s="9" t="b">
        <v>0</v>
      </c>
      <c r="E1987" s="9"/>
    </row>
    <row r="1988" ht="15.75" customHeight="1">
      <c r="A1988" s="9" t="s">
        <v>32168</v>
      </c>
      <c r="B1988" s="9" t="s">
        <v>256</v>
      </c>
      <c r="C1988" s="8" t="s">
        <v>32169</v>
      </c>
      <c r="D1988" s="9" t="b">
        <v>0</v>
      </c>
      <c r="E1988" s="9"/>
    </row>
    <row r="1989" ht="15.75" customHeight="1">
      <c r="A1989" s="9" t="s">
        <v>32170</v>
      </c>
      <c r="B1989" s="9" t="s">
        <v>256</v>
      </c>
      <c r="C1989" s="8" t="s">
        <v>32171</v>
      </c>
      <c r="D1989" s="9" t="b">
        <v>0</v>
      </c>
      <c r="E1989" s="9"/>
    </row>
    <row r="1990" ht="15.75" customHeight="1">
      <c r="A1990" s="9" t="s">
        <v>32172</v>
      </c>
      <c r="B1990" s="9" t="s">
        <v>256</v>
      </c>
      <c r="C1990" s="8" t="s">
        <v>32173</v>
      </c>
      <c r="D1990" s="9" t="b">
        <v>0</v>
      </c>
      <c r="E1990" s="9"/>
    </row>
    <row r="1991" ht="15.75" customHeight="1">
      <c r="A1991" s="9" t="s">
        <v>32174</v>
      </c>
      <c r="B1991" s="9" t="s">
        <v>256</v>
      </c>
      <c r="C1991" s="8" t="s">
        <v>32175</v>
      </c>
      <c r="D1991" s="9" t="b">
        <v>0</v>
      </c>
      <c r="E1991" s="9"/>
    </row>
    <row r="1992" ht="15.75" customHeight="1">
      <c r="A1992" s="9" t="s">
        <v>32176</v>
      </c>
      <c r="B1992" s="9" t="s">
        <v>256</v>
      </c>
      <c r="C1992" s="8" t="s">
        <v>32177</v>
      </c>
      <c r="D1992" s="9" t="b">
        <v>0</v>
      </c>
      <c r="E1992" s="9"/>
    </row>
    <row r="1993" ht="15.75" customHeight="1">
      <c r="A1993" s="9" t="s">
        <v>32178</v>
      </c>
      <c r="B1993" s="9" t="s">
        <v>256</v>
      </c>
      <c r="C1993" s="8" t="s">
        <v>32179</v>
      </c>
      <c r="D1993" s="9" t="b">
        <v>0</v>
      </c>
      <c r="E1993" s="9"/>
    </row>
    <row r="1994" ht="15.75" customHeight="1">
      <c r="A1994" s="9" t="s">
        <v>32180</v>
      </c>
      <c r="B1994" s="9" t="s">
        <v>256</v>
      </c>
      <c r="C1994" s="8" t="s">
        <v>32181</v>
      </c>
      <c r="D1994" s="9" t="b">
        <v>1</v>
      </c>
      <c r="E1994" s="9"/>
    </row>
    <row r="1995" ht="15.75" customHeight="1">
      <c r="A1995" s="9" t="s">
        <v>32182</v>
      </c>
      <c r="B1995" s="9" t="s">
        <v>12048</v>
      </c>
      <c r="C1995" s="8" t="s">
        <v>32183</v>
      </c>
      <c r="D1995" s="9" t="b">
        <v>0</v>
      </c>
      <c r="E1995" s="9"/>
    </row>
    <row r="1996" ht="15.75" customHeight="1">
      <c r="A1996" s="9" t="s">
        <v>32184</v>
      </c>
      <c r="B1996" s="9" t="s">
        <v>12048</v>
      </c>
      <c r="C1996" s="8" t="s">
        <v>32185</v>
      </c>
      <c r="D1996" s="9" t="b">
        <v>0</v>
      </c>
      <c r="E1996" s="9"/>
    </row>
    <row r="1997" ht="15.75" customHeight="1">
      <c r="A1997" s="9" t="s">
        <v>32186</v>
      </c>
      <c r="B1997" s="9" t="s">
        <v>12048</v>
      </c>
      <c r="C1997" s="8" t="s">
        <v>32187</v>
      </c>
      <c r="D1997" s="9" t="b">
        <v>1</v>
      </c>
      <c r="E1997" s="9"/>
    </row>
    <row r="1998" ht="15.75" customHeight="1">
      <c r="A1998" s="9" t="s">
        <v>32188</v>
      </c>
      <c r="B1998" s="9" t="s">
        <v>12048</v>
      </c>
      <c r="C1998" s="8" t="s">
        <v>32189</v>
      </c>
      <c r="D1998" s="9" t="b">
        <v>0</v>
      </c>
      <c r="E1998" s="9"/>
    </row>
    <row r="1999" ht="15.75" customHeight="1">
      <c r="A1999" s="9" t="s">
        <v>32190</v>
      </c>
      <c r="B1999" s="9" t="s">
        <v>2814</v>
      </c>
      <c r="C1999" s="8" t="s">
        <v>32191</v>
      </c>
      <c r="D1999" s="9" t="b">
        <v>0</v>
      </c>
      <c r="E1999" s="9" t="s">
        <v>29154</v>
      </c>
    </row>
    <row r="2000" ht="15.75" customHeight="1">
      <c r="A2000" s="9" t="s">
        <v>32192</v>
      </c>
      <c r="B2000" s="9" t="s">
        <v>2814</v>
      </c>
      <c r="C2000" s="8" t="s">
        <v>32193</v>
      </c>
      <c r="D2000" s="9" t="b">
        <v>0</v>
      </c>
      <c r="E2000" s="9" t="s">
        <v>29154</v>
      </c>
    </row>
    <row r="2001" ht="15.75" customHeight="1">
      <c r="A2001" s="9" t="s">
        <v>32194</v>
      </c>
      <c r="B2001" s="9" t="s">
        <v>2814</v>
      </c>
      <c r="C2001" s="8" t="s">
        <v>32195</v>
      </c>
      <c r="D2001" s="9" t="b">
        <v>0</v>
      </c>
      <c r="E2001" s="9" t="s">
        <v>32196</v>
      </c>
    </row>
    <row r="2002" ht="15.75" customHeight="1">
      <c r="A2002" s="9" t="s">
        <v>32197</v>
      </c>
      <c r="B2002" s="9" t="s">
        <v>2814</v>
      </c>
      <c r="C2002" s="8" t="s">
        <v>32198</v>
      </c>
      <c r="D2002" s="9" t="b">
        <v>0</v>
      </c>
      <c r="E2002" s="9" t="s">
        <v>32199</v>
      </c>
    </row>
    <row r="2003" ht="15.75" customHeight="1">
      <c r="A2003" s="9" t="s">
        <v>32200</v>
      </c>
      <c r="B2003" s="9" t="s">
        <v>2814</v>
      </c>
      <c r="C2003" s="8" t="s">
        <v>32201</v>
      </c>
      <c r="D2003" s="9" t="b">
        <v>0</v>
      </c>
      <c r="E2003" s="9" t="s">
        <v>29143</v>
      </c>
    </row>
    <row r="2004" ht="15.75" customHeight="1">
      <c r="A2004" s="9" t="s">
        <v>32202</v>
      </c>
      <c r="B2004" s="9" t="s">
        <v>2814</v>
      </c>
      <c r="C2004" s="8" t="s">
        <v>32203</v>
      </c>
      <c r="D2004" s="9" t="b">
        <v>0</v>
      </c>
      <c r="E2004" s="9" t="s">
        <v>32204</v>
      </c>
    </row>
    <row r="2005" ht="15.75" customHeight="1">
      <c r="A2005" s="9" t="s">
        <v>32205</v>
      </c>
      <c r="B2005" s="9" t="s">
        <v>2814</v>
      </c>
      <c r="C2005" s="8" t="s">
        <v>32206</v>
      </c>
      <c r="D2005" s="9" t="b">
        <v>1</v>
      </c>
      <c r="E2005" s="9" t="s">
        <v>32204</v>
      </c>
    </row>
    <row r="2006" ht="15.75" customHeight="1">
      <c r="A2006" s="9" t="s">
        <v>32207</v>
      </c>
      <c r="B2006" s="9" t="s">
        <v>2814</v>
      </c>
      <c r="C2006" s="8" t="s">
        <v>32208</v>
      </c>
      <c r="D2006" s="9" t="b">
        <v>0</v>
      </c>
      <c r="E2006" s="9" t="s">
        <v>32209</v>
      </c>
    </row>
    <row r="2007" ht="15.75" customHeight="1">
      <c r="A2007" s="9" t="s">
        <v>32210</v>
      </c>
      <c r="B2007" s="9" t="s">
        <v>2814</v>
      </c>
      <c r="C2007" s="8" t="s">
        <v>32211</v>
      </c>
      <c r="D2007" s="9" t="b">
        <v>0</v>
      </c>
      <c r="E2007" s="9" t="s">
        <v>12226</v>
      </c>
    </row>
    <row r="2008" ht="15.75" customHeight="1">
      <c r="A2008" s="9" t="s">
        <v>32212</v>
      </c>
      <c r="B2008" s="9" t="s">
        <v>2814</v>
      </c>
      <c r="C2008" s="8" t="s">
        <v>32213</v>
      </c>
      <c r="D2008" s="9" t="b">
        <v>0</v>
      </c>
      <c r="E2008" s="9" t="s">
        <v>31764</v>
      </c>
    </row>
    <row r="2009" ht="15.75" customHeight="1">
      <c r="A2009" s="9" t="s">
        <v>32214</v>
      </c>
      <c r="B2009" s="9" t="s">
        <v>2814</v>
      </c>
      <c r="C2009" s="8" t="s">
        <v>32215</v>
      </c>
      <c r="D2009" s="9" t="b">
        <v>0</v>
      </c>
      <c r="E2009" s="9" t="s">
        <v>31767</v>
      </c>
    </row>
    <row r="2010" ht="15.75" customHeight="1">
      <c r="A2010" s="9" t="s">
        <v>32216</v>
      </c>
      <c r="B2010" s="9" t="s">
        <v>9522</v>
      </c>
      <c r="C2010" s="8" t="s">
        <v>32217</v>
      </c>
      <c r="D2010" s="9" t="b">
        <v>1</v>
      </c>
      <c r="E2010" s="9"/>
    </row>
    <row r="2011" ht="15.75" customHeight="1">
      <c r="A2011" s="9" t="s">
        <v>32218</v>
      </c>
      <c r="B2011" s="9" t="s">
        <v>9522</v>
      </c>
      <c r="C2011" s="8" t="s">
        <v>32219</v>
      </c>
      <c r="D2011" s="9" t="b">
        <v>0</v>
      </c>
      <c r="E2011" s="9"/>
    </row>
    <row r="2012" ht="15.75" customHeight="1">
      <c r="A2012" s="9" t="s">
        <v>32220</v>
      </c>
      <c r="B2012" s="9" t="s">
        <v>9522</v>
      </c>
      <c r="C2012" s="8" t="s">
        <v>32221</v>
      </c>
      <c r="D2012" s="9" t="b">
        <v>0</v>
      </c>
      <c r="E2012" s="9"/>
    </row>
    <row r="2013" ht="15.75" customHeight="1">
      <c r="A2013" s="9" t="s">
        <v>32222</v>
      </c>
      <c r="B2013" s="9" t="s">
        <v>9189</v>
      </c>
      <c r="C2013" s="8" t="s">
        <v>32223</v>
      </c>
      <c r="D2013" s="9" t="b">
        <v>1</v>
      </c>
      <c r="E2013" s="9"/>
    </row>
    <row r="2014" ht="15.75" customHeight="1">
      <c r="A2014" s="9" t="s">
        <v>32224</v>
      </c>
      <c r="B2014" s="9" t="s">
        <v>9522</v>
      </c>
      <c r="C2014" s="8" t="s">
        <v>32225</v>
      </c>
      <c r="D2014" s="9" t="b">
        <v>0</v>
      </c>
      <c r="E2014" s="9"/>
    </row>
    <row r="2015" ht="15.75" customHeight="1">
      <c r="A2015" s="9" t="s">
        <v>32226</v>
      </c>
      <c r="B2015" s="9" t="s">
        <v>9522</v>
      </c>
      <c r="C2015" s="8" t="s">
        <v>32227</v>
      </c>
      <c r="D2015" s="9" t="b">
        <v>0</v>
      </c>
      <c r="E2015" s="9"/>
    </row>
    <row r="2016" ht="15.75" customHeight="1">
      <c r="A2016" s="9" t="s">
        <v>32228</v>
      </c>
      <c r="B2016" s="52" t="s">
        <v>16638</v>
      </c>
      <c r="C2016" s="8" t="s">
        <v>32229</v>
      </c>
      <c r="D2016" s="9" t="b">
        <v>1</v>
      </c>
      <c r="E2016" s="9"/>
    </row>
    <row r="2017" ht="15.75" customHeight="1">
      <c r="A2017" s="9" t="s">
        <v>32230</v>
      </c>
      <c r="B2017" s="52" t="s">
        <v>16638</v>
      </c>
      <c r="C2017" s="8" t="s">
        <v>32231</v>
      </c>
      <c r="D2017" s="9" t="b">
        <v>0</v>
      </c>
      <c r="E2017" s="9" t="s">
        <v>32232</v>
      </c>
    </row>
    <row r="2018" ht="15.75" customHeight="1">
      <c r="A2018" s="9" t="s">
        <v>32233</v>
      </c>
      <c r="B2018" s="52" t="s">
        <v>16638</v>
      </c>
      <c r="C2018" s="8" t="s">
        <v>32234</v>
      </c>
      <c r="D2018" s="9" t="b">
        <v>0</v>
      </c>
      <c r="E2018" s="9"/>
    </row>
    <row r="2019" ht="15.75" customHeight="1">
      <c r="A2019" s="9" t="s">
        <v>32235</v>
      </c>
      <c r="B2019" s="52" t="s">
        <v>16638</v>
      </c>
      <c r="C2019" s="8" t="s">
        <v>32236</v>
      </c>
      <c r="D2019" s="9" t="b">
        <v>0</v>
      </c>
      <c r="E2019" s="9"/>
    </row>
    <row r="2020" ht="15.75" customHeight="1">
      <c r="A2020" s="9" t="s">
        <v>32237</v>
      </c>
      <c r="B2020" s="52" t="s">
        <v>16638</v>
      </c>
      <c r="C2020" s="8" t="s">
        <v>32238</v>
      </c>
      <c r="D2020" s="9" t="b">
        <v>0</v>
      </c>
      <c r="E2020" s="9"/>
    </row>
    <row r="2021" ht="15.75" customHeight="1">
      <c r="A2021" s="9" t="s">
        <v>32239</v>
      </c>
      <c r="B2021" s="9" t="s">
        <v>11813</v>
      </c>
      <c r="C2021" s="8" t="s">
        <v>32240</v>
      </c>
      <c r="D2021" s="9" t="b">
        <v>0</v>
      </c>
      <c r="E2021" s="9"/>
    </row>
    <row r="2022" ht="15.75" customHeight="1">
      <c r="A2022" s="9" t="s">
        <v>32241</v>
      </c>
      <c r="B2022" s="9" t="s">
        <v>11813</v>
      </c>
      <c r="C2022" s="8" t="s">
        <v>32242</v>
      </c>
      <c r="D2022" s="9" t="b">
        <v>0</v>
      </c>
      <c r="E2022" s="9"/>
    </row>
    <row r="2023" ht="15.75" customHeight="1">
      <c r="A2023" s="9" t="s">
        <v>32243</v>
      </c>
      <c r="B2023" s="9" t="s">
        <v>11813</v>
      </c>
      <c r="C2023" s="8" t="s">
        <v>32244</v>
      </c>
      <c r="D2023" s="9" t="b">
        <v>0</v>
      </c>
      <c r="E2023" s="9"/>
    </row>
    <row r="2024" ht="15.75" customHeight="1">
      <c r="A2024" s="9" t="s">
        <v>32245</v>
      </c>
      <c r="B2024" s="9" t="s">
        <v>11813</v>
      </c>
      <c r="C2024" s="8" t="s">
        <v>32246</v>
      </c>
      <c r="D2024" s="9" t="b">
        <v>0</v>
      </c>
      <c r="E2024" s="9"/>
    </row>
    <row r="2025" ht="15.75" customHeight="1">
      <c r="A2025" s="9" t="s">
        <v>32247</v>
      </c>
      <c r="B2025" s="9" t="s">
        <v>11813</v>
      </c>
      <c r="C2025" s="8" t="s">
        <v>32248</v>
      </c>
      <c r="D2025" s="9" t="b">
        <v>0</v>
      </c>
      <c r="E2025" s="9"/>
    </row>
    <row r="2026" ht="15.75" customHeight="1">
      <c r="A2026" s="9" t="s">
        <v>32249</v>
      </c>
      <c r="B2026" s="9" t="s">
        <v>11813</v>
      </c>
      <c r="C2026" s="8" t="s">
        <v>32250</v>
      </c>
      <c r="D2026" s="9" t="b">
        <v>0</v>
      </c>
      <c r="E2026" s="9"/>
    </row>
    <row r="2027" ht="15.75" customHeight="1">
      <c r="A2027" s="9" t="s">
        <v>32251</v>
      </c>
      <c r="B2027" s="9" t="s">
        <v>11813</v>
      </c>
      <c r="C2027" s="8" t="s">
        <v>32252</v>
      </c>
      <c r="D2027" s="9" t="b">
        <v>0</v>
      </c>
      <c r="E2027" s="9"/>
    </row>
    <row r="2028" ht="15.75" customHeight="1">
      <c r="A2028" s="9" t="s">
        <v>32253</v>
      </c>
      <c r="B2028" s="9" t="s">
        <v>11813</v>
      </c>
      <c r="C2028" s="8" t="s">
        <v>32254</v>
      </c>
      <c r="D2028" s="9" t="b">
        <v>1</v>
      </c>
      <c r="E2028" s="9"/>
    </row>
    <row r="2029" ht="15.75" customHeight="1"/>
    <row r="2030" ht="15.75" customHeight="1"/>
    <row r="2031" ht="15.75" customHeight="1"/>
    <row r="2032" ht="15.75" customHeight="1">
      <c r="A2032" s="9" t="s">
        <v>32255</v>
      </c>
      <c r="B2032" s="9" t="s">
        <v>12115</v>
      </c>
      <c r="C2032" s="8" t="s">
        <v>32256</v>
      </c>
      <c r="D2032" s="9" t="b">
        <v>1</v>
      </c>
      <c r="E2032" s="9"/>
    </row>
    <row r="2033" ht="15.75" customHeight="1">
      <c r="A2033" s="9" t="s">
        <v>32257</v>
      </c>
      <c r="B2033" s="9" t="s">
        <v>12115</v>
      </c>
      <c r="C2033" s="8" t="s">
        <v>32258</v>
      </c>
      <c r="D2033" s="9" t="b">
        <v>0</v>
      </c>
      <c r="E2033" s="9"/>
    </row>
    <row r="2034" ht="15.75" customHeight="1">
      <c r="A2034" s="9" t="s">
        <v>32259</v>
      </c>
      <c r="B2034" s="9" t="s">
        <v>12115</v>
      </c>
      <c r="C2034" s="8" t="s">
        <v>32260</v>
      </c>
      <c r="D2034" s="9" t="b">
        <v>0</v>
      </c>
      <c r="E2034" s="9"/>
    </row>
    <row r="2035" ht="15.75" customHeight="1">
      <c r="A2035" s="9" t="s">
        <v>32261</v>
      </c>
      <c r="B2035" s="9" t="s">
        <v>12115</v>
      </c>
      <c r="C2035" s="8" t="s">
        <v>32262</v>
      </c>
      <c r="D2035" s="9" t="b">
        <v>0</v>
      </c>
      <c r="E2035" s="9"/>
    </row>
    <row r="2036" ht="15.75" customHeight="1">
      <c r="A2036" s="9" t="s">
        <v>32263</v>
      </c>
      <c r="B2036" s="9" t="s">
        <v>12115</v>
      </c>
      <c r="C2036" s="8" t="s">
        <v>32264</v>
      </c>
      <c r="D2036" s="9" t="b">
        <v>0</v>
      </c>
      <c r="E2036" s="9"/>
    </row>
    <row r="2037" ht="15.75" customHeight="1">
      <c r="A2037" s="9" t="s">
        <v>32265</v>
      </c>
      <c r="B2037" s="9" t="s">
        <v>12115</v>
      </c>
      <c r="C2037" s="8" t="s">
        <v>32266</v>
      </c>
      <c r="D2037" s="9" t="b">
        <v>0</v>
      </c>
      <c r="E2037" s="9"/>
    </row>
    <row r="2038" ht="15.75" customHeight="1">
      <c r="A2038" s="9" t="s">
        <v>32267</v>
      </c>
      <c r="B2038" s="9" t="s">
        <v>12115</v>
      </c>
      <c r="C2038" s="8" t="s">
        <v>32268</v>
      </c>
      <c r="D2038" s="9" t="b">
        <v>0</v>
      </c>
      <c r="E2038" s="9"/>
    </row>
    <row r="2039" ht="15.75" customHeight="1">
      <c r="A2039" s="9" t="s">
        <v>32269</v>
      </c>
      <c r="B2039" s="9" t="s">
        <v>12115</v>
      </c>
      <c r="C2039" s="8" t="s">
        <v>32270</v>
      </c>
      <c r="D2039" s="9" t="b">
        <v>0</v>
      </c>
      <c r="E2039" s="9"/>
    </row>
    <row r="2040" ht="15.75" customHeight="1">
      <c r="A2040" s="9" t="s">
        <v>32271</v>
      </c>
      <c r="B2040" s="9" t="s">
        <v>9268</v>
      </c>
      <c r="C2040" s="8" t="s">
        <v>32272</v>
      </c>
      <c r="D2040" s="9" t="b">
        <v>0</v>
      </c>
      <c r="E2040" s="9"/>
    </row>
    <row r="2041" ht="15.75" customHeight="1">
      <c r="A2041" s="9" t="s">
        <v>32273</v>
      </c>
      <c r="B2041" s="9" t="s">
        <v>9268</v>
      </c>
      <c r="C2041" s="8" t="s">
        <v>32274</v>
      </c>
      <c r="D2041" s="9" t="b">
        <v>0</v>
      </c>
      <c r="E2041" s="9" t="s">
        <v>32275</v>
      </c>
    </row>
    <row r="2042" ht="15.75" customHeight="1">
      <c r="A2042" s="9" t="s">
        <v>32276</v>
      </c>
      <c r="B2042" s="9" t="s">
        <v>9268</v>
      </c>
      <c r="C2042" s="8" t="s">
        <v>32277</v>
      </c>
      <c r="D2042" s="9" t="b">
        <v>1</v>
      </c>
      <c r="E2042" s="9"/>
    </row>
    <row r="2043" ht="15.75" customHeight="1">
      <c r="A2043" s="9" t="s">
        <v>32278</v>
      </c>
      <c r="B2043" s="9" t="s">
        <v>9268</v>
      </c>
      <c r="C2043" s="8" t="s">
        <v>32279</v>
      </c>
      <c r="D2043" s="9" t="b">
        <v>0</v>
      </c>
      <c r="E2043" s="9"/>
    </row>
    <row r="2044" ht="15.75" customHeight="1">
      <c r="A2044" s="9" t="s">
        <v>32280</v>
      </c>
      <c r="B2044" s="9" t="s">
        <v>9268</v>
      </c>
      <c r="C2044" s="8" t="s">
        <v>32281</v>
      </c>
      <c r="D2044" s="9" t="b">
        <v>0</v>
      </c>
      <c r="E2044" s="9"/>
    </row>
    <row r="2045" ht="15.75" customHeight="1">
      <c r="A2045" s="9" t="s">
        <v>32282</v>
      </c>
      <c r="B2045" s="9" t="s">
        <v>11971</v>
      </c>
      <c r="C2045" s="8" t="s">
        <v>32283</v>
      </c>
      <c r="D2045" s="9" t="b">
        <v>0</v>
      </c>
      <c r="E2045" s="9"/>
    </row>
    <row r="2046" ht="15.75" customHeight="1">
      <c r="A2046" s="9"/>
      <c r="B2046" s="9"/>
      <c r="C2046" s="9"/>
      <c r="D2046" s="9"/>
      <c r="E2046" s="9"/>
    </row>
    <row r="2047" ht="15.75" customHeight="1">
      <c r="A2047" s="9" t="s">
        <v>32284</v>
      </c>
      <c r="B2047" s="9" t="s">
        <v>11971</v>
      </c>
      <c r="C2047" s="8" t="s">
        <v>32285</v>
      </c>
      <c r="D2047" s="9" t="b">
        <v>0</v>
      </c>
      <c r="E2047" s="9" t="s">
        <v>32286</v>
      </c>
    </row>
    <row r="2048" ht="15.75" customHeight="1">
      <c r="A2048" s="9" t="s">
        <v>32287</v>
      </c>
      <c r="B2048" s="9" t="s">
        <v>11971</v>
      </c>
      <c r="C2048" s="8" t="s">
        <v>32288</v>
      </c>
      <c r="D2048" s="9" t="b">
        <v>0</v>
      </c>
      <c r="E2048" s="9" t="s">
        <v>32289</v>
      </c>
    </row>
    <row r="2049" ht="15.75" customHeight="1">
      <c r="A2049" s="9" t="s">
        <v>32290</v>
      </c>
      <c r="B2049" s="9" t="s">
        <v>12082</v>
      </c>
      <c r="C2049" s="8" t="s">
        <v>32291</v>
      </c>
      <c r="D2049" s="9" t="b">
        <v>1</v>
      </c>
      <c r="E2049" s="9"/>
    </row>
    <row r="2050" ht="15.75" customHeight="1">
      <c r="A2050" s="9" t="s">
        <v>32292</v>
      </c>
      <c r="B2050" s="9" t="s">
        <v>12082</v>
      </c>
      <c r="C2050" s="8" t="s">
        <v>32293</v>
      </c>
      <c r="D2050" s="9" t="b">
        <v>0</v>
      </c>
      <c r="E2050" s="9"/>
    </row>
    <row r="2051" ht="15.75" customHeight="1">
      <c r="A2051" s="9" t="s">
        <v>32294</v>
      </c>
      <c r="B2051" s="9" t="s">
        <v>12082</v>
      </c>
      <c r="C2051" s="8" t="s">
        <v>32295</v>
      </c>
      <c r="D2051" s="9" t="b">
        <v>0</v>
      </c>
      <c r="E2051" s="9"/>
    </row>
    <row r="2052" ht="15.75" customHeight="1">
      <c r="A2052" s="9" t="s">
        <v>32296</v>
      </c>
      <c r="B2052" s="9" t="s">
        <v>12082</v>
      </c>
      <c r="C2052" s="8" t="s">
        <v>32297</v>
      </c>
      <c r="D2052" s="9" t="b">
        <v>0</v>
      </c>
      <c r="E2052" s="9"/>
    </row>
    <row r="2053" ht="15.75" customHeight="1">
      <c r="A2053" s="9" t="s">
        <v>32298</v>
      </c>
      <c r="B2053" s="9" t="s">
        <v>12082</v>
      </c>
      <c r="C2053" s="8" t="s">
        <v>32299</v>
      </c>
      <c r="D2053" s="9" t="b">
        <v>0</v>
      </c>
      <c r="E2053" s="9"/>
    </row>
    <row r="2054" ht="15.75" customHeight="1">
      <c r="A2054" s="9" t="s">
        <v>32300</v>
      </c>
      <c r="B2054" s="9" t="s">
        <v>7988</v>
      </c>
      <c r="C2054" s="8" t="s">
        <v>32301</v>
      </c>
      <c r="D2054" s="9" t="b">
        <v>0</v>
      </c>
      <c r="E2054" s="9"/>
    </row>
    <row r="2055" ht="15.75" customHeight="1">
      <c r="A2055" s="9" t="s">
        <v>32302</v>
      </c>
      <c r="B2055" s="9" t="s">
        <v>7988</v>
      </c>
      <c r="C2055" s="8" t="s">
        <v>32303</v>
      </c>
      <c r="D2055" s="9" t="b">
        <v>1</v>
      </c>
      <c r="E2055" s="9"/>
    </row>
    <row r="2056" ht="15.75" customHeight="1">
      <c r="A2056" s="9" t="s">
        <v>32304</v>
      </c>
      <c r="B2056" s="9" t="s">
        <v>7988</v>
      </c>
      <c r="C2056" s="8" t="s">
        <v>32305</v>
      </c>
      <c r="D2056" s="9" t="b">
        <v>0</v>
      </c>
      <c r="E2056" s="9"/>
    </row>
    <row r="2057" ht="15.75" customHeight="1">
      <c r="A2057" s="9" t="s">
        <v>32306</v>
      </c>
      <c r="B2057" s="9" t="s">
        <v>7988</v>
      </c>
      <c r="C2057" s="8" t="s">
        <v>32307</v>
      </c>
      <c r="D2057" s="9" t="b">
        <v>0</v>
      </c>
      <c r="E2057" s="9"/>
    </row>
    <row r="2058" ht="15.75" customHeight="1">
      <c r="A2058" s="9" t="s">
        <v>32308</v>
      </c>
      <c r="B2058" s="9" t="s">
        <v>7988</v>
      </c>
      <c r="C2058" s="8" t="s">
        <v>32309</v>
      </c>
      <c r="D2058" s="9" t="b">
        <v>0</v>
      </c>
      <c r="E2058" s="9"/>
    </row>
    <row r="2059" ht="15.75" customHeight="1">
      <c r="A2059" s="9" t="s">
        <v>32310</v>
      </c>
      <c r="B2059" s="9" t="s">
        <v>7988</v>
      </c>
      <c r="C2059" s="8" t="s">
        <v>32311</v>
      </c>
      <c r="D2059" s="9" t="b">
        <v>0</v>
      </c>
      <c r="E2059" s="9"/>
    </row>
    <row r="2060" ht="15.75" customHeight="1">
      <c r="A2060" s="9" t="s">
        <v>32312</v>
      </c>
      <c r="B2060" s="9" t="s">
        <v>7988</v>
      </c>
      <c r="C2060" s="8" t="s">
        <v>32313</v>
      </c>
      <c r="D2060" s="9" t="b">
        <v>0</v>
      </c>
      <c r="E2060" s="9"/>
    </row>
    <row r="2061" ht="15.75" customHeight="1">
      <c r="A2061" s="9" t="s">
        <v>32314</v>
      </c>
      <c r="B2061" s="9" t="s">
        <v>7988</v>
      </c>
      <c r="C2061" s="8" t="s">
        <v>32315</v>
      </c>
      <c r="D2061" s="9" t="b">
        <v>0</v>
      </c>
      <c r="E2061" s="9"/>
    </row>
    <row r="2062" ht="15.75" customHeight="1">
      <c r="A2062" s="9" t="s">
        <v>32316</v>
      </c>
      <c r="B2062" s="9" t="s">
        <v>7988</v>
      </c>
      <c r="C2062" s="8" t="s">
        <v>32317</v>
      </c>
      <c r="D2062" s="9" t="b">
        <v>0</v>
      </c>
      <c r="E2062" s="9"/>
    </row>
    <row r="2063" ht="15.75" customHeight="1">
      <c r="A2063" s="9" t="s">
        <v>32318</v>
      </c>
      <c r="B2063" s="9" t="s">
        <v>10556</v>
      </c>
      <c r="C2063" s="8" t="s">
        <v>32319</v>
      </c>
      <c r="D2063" s="9" t="b">
        <v>1</v>
      </c>
      <c r="E2063" s="9"/>
    </row>
    <row r="2064" ht="15.75" customHeight="1">
      <c r="A2064" s="9" t="s">
        <v>32320</v>
      </c>
      <c r="B2064" s="9" t="s">
        <v>10556</v>
      </c>
      <c r="C2064" s="8" t="s">
        <v>32321</v>
      </c>
      <c r="D2064" s="9" t="b">
        <v>0</v>
      </c>
      <c r="E2064" s="9"/>
    </row>
    <row r="2065" ht="15.75" customHeight="1">
      <c r="A2065" s="9" t="s">
        <v>32322</v>
      </c>
      <c r="B2065" s="9" t="s">
        <v>10556</v>
      </c>
      <c r="C2065" s="8" t="s">
        <v>32323</v>
      </c>
      <c r="D2065" s="9" t="b">
        <v>0</v>
      </c>
      <c r="E2065" s="9"/>
    </row>
    <row r="2066" ht="15.75" customHeight="1">
      <c r="A2066" s="9" t="s">
        <v>32324</v>
      </c>
      <c r="B2066" s="9" t="s">
        <v>10556</v>
      </c>
      <c r="C2066" s="8" t="s">
        <v>32325</v>
      </c>
      <c r="D2066" s="9" t="b">
        <v>0</v>
      </c>
      <c r="E2066" s="9"/>
    </row>
    <row r="2067" ht="15.75" customHeight="1">
      <c r="A2067" s="9" t="s">
        <v>32326</v>
      </c>
      <c r="B2067" s="9" t="s">
        <v>10556</v>
      </c>
      <c r="C2067" s="8" t="s">
        <v>32327</v>
      </c>
      <c r="D2067" s="9" t="b">
        <v>0</v>
      </c>
      <c r="E2067" s="9"/>
    </row>
    <row r="2068" ht="15.75" customHeight="1">
      <c r="A2068" s="9" t="s">
        <v>32328</v>
      </c>
      <c r="B2068" s="9" t="s">
        <v>10556</v>
      </c>
      <c r="C2068" s="8" t="s">
        <v>32329</v>
      </c>
      <c r="D2068" s="9" t="b">
        <v>0</v>
      </c>
      <c r="E2068" s="9"/>
    </row>
    <row r="2069" ht="15.75" customHeight="1">
      <c r="A2069" s="9" t="s">
        <v>32330</v>
      </c>
      <c r="B2069" s="9" t="s">
        <v>10556</v>
      </c>
      <c r="C2069" s="8" t="s">
        <v>32331</v>
      </c>
      <c r="D2069" s="9" t="b">
        <v>0</v>
      </c>
      <c r="E2069" s="9"/>
    </row>
    <row r="2070" ht="15.75" customHeight="1">
      <c r="A2070" s="9" t="s">
        <v>32332</v>
      </c>
      <c r="B2070" s="9" t="s">
        <v>8993</v>
      </c>
      <c r="C2070" s="8" t="s">
        <v>32333</v>
      </c>
      <c r="D2070" s="9" t="b">
        <v>0</v>
      </c>
      <c r="E2070" s="9"/>
    </row>
    <row r="2071" ht="15.75" customHeight="1">
      <c r="A2071" s="9" t="s">
        <v>32334</v>
      </c>
      <c r="B2071" s="9" t="s">
        <v>8993</v>
      </c>
      <c r="C2071" s="8" t="s">
        <v>32335</v>
      </c>
      <c r="D2071" s="9" t="b">
        <v>1</v>
      </c>
      <c r="E2071" s="9"/>
    </row>
    <row r="2072" ht="15.75" customHeight="1">
      <c r="A2072" s="9" t="s">
        <v>32336</v>
      </c>
      <c r="B2072" s="52" t="s">
        <v>15642</v>
      </c>
      <c r="C2072" s="8" t="s">
        <v>32337</v>
      </c>
      <c r="D2072" s="9" t="b">
        <v>0</v>
      </c>
      <c r="E2072" s="9"/>
    </row>
    <row r="2073" ht="15.75" customHeight="1">
      <c r="A2073" s="9" t="s">
        <v>32338</v>
      </c>
      <c r="B2073" s="52" t="s">
        <v>15642</v>
      </c>
      <c r="C2073" s="8" t="s">
        <v>32339</v>
      </c>
      <c r="D2073" s="9" t="b">
        <v>1</v>
      </c>
      <c r="E2073" s="9"/>
    </row>
    <row r="2074" ht="15.75" customHeight="1">
      <c r="A2074" s="9"/>
      <c r="B2074" s="9"/>
      <c r="C2074" s="9"/>
      <c r="D2074" s="9"/>
      <c r="E2074" s="9"/>
    </row>
    <row r="2075" ht="15.75" customHeight="1">
      <c r="A2075" s="9" t="s">
        <v>32340</v>
      </c>
      <c r="B2075" s="9" t="s">
        <v>10567</v>
      </c>
      <c r="C2075" s="8" t="s">
        <v>32341</v>
      </c>
      <c r="D2075" s="9" t="b">
        <v>0</v>
      </c>
      <c r="E2075" s="9"/>
    </row>
    <row r="2076" ht="15.75" customHeight="1">
      <c r="A2076" s="9" t="s">
        <v>32342</v>
      </c>
      <c r="B2076" s="9" t="s">
        <v>10567</v>
      </c>
      <c r="C2076" s="8" t="s">
        <v>32343</v>
      </c>
      <c r="D2076" s="9" t="b">
        <v>0</v>
      </c>
      <c r="E2076" s="9"/>
    </row>
    <row r="2077" ht="15.75" customHeight="1">
      <c r="A2077" s="9" t="s">
        <v>32344</v>
      </c>
      <c r="B2077" s="9" t="s">
        <v>10567</v>
      </c>
      <c r="C2077" s="8" t="s">
        <v>32345</v>
      </c>
      <c r="D2077" s="9" t="b">
        <v>0</v>
      </c>
      <c r="E2077" s="9"/>
    </row>
    <row r="2078" ht="15.75" customHeight="1">
      <c r="A2078" s="9" t="s">
        <v>32346</v>
      </c>
      <c r="B2078" s="9" t="s">
        <v>10567</v>
      </c>
      <c r="C2078" s="8" t="s">
        <v>32347</v>
      </c>
      <c r="D2078" s="9" t="b">
        <v>0</v>
      </c>
      <c r="E2078" s="9"/>
    </row>
    <row r="2079" ht="15.75" customHeight="1">
      <c r="A2079" s="9" t="s">
        <v>32348</v>
      </c>
      <c r="B2079" s="9" t="s">
        <v>10567</v>
      </c>
      <c r="C2079" s="8" t="s">
        <v>32349</v>
      </c>
      <c r="D2079" s="9" t="b">
        <v>0</v>
      </c>
      <c r="E2079" s="9"/>
    </row>
    <row r="2080" ht="15.75" customHeight="1">
      <c r="A2080" s="9" t="s">
        <v>32350</v>
      </c>
      <c r="B2080" s="9" t="s">
        <v>10567</v>
      </c>
      <c r="C2080" s="8" t="s">
        <v>32351</v>
      </c>
      <c r="D2080" s="9" t="b">
        <v>0</v>
      </c>
      <c r="E2080" s="9"/>
    </row>
    <row r="2081" ht="15.75" customHeight="1">
      <c r="A2081" s="9" t="s">
        <v>32352</v>
      </c>
      <c r="B2081" s="9" t="s">
        <v>10738</v>
      </c>
      <c r="C2081" s="8" t="s">
        <v>32353</v>
      </c>
      <c r="D2081" s="9" t="b">
        <v>0</v>
      </c>
      <c r="E2081" s="9"/>
    </row>
    <row r="2082" ht="15.75" customHeight="1">
      <c r="A2082" s="9" t="s">
        <v>32354</v>
      </c>
      <c r="B2082" s="9" t="s">
        <v>10738</v>
      </c>
      <c r="C2082" s="8" t="s">
        <v>32355</v>
      </c>
      <c r="D2082" s="9" t="b">
        <v>0</v>
      </c>
      <c r="E2082" s="9"/>
    </row>
    <row r="2083" ht="15.75" customHeight="1">
      <c r="A2083" s="9" t="s">
        <v>32356</v>
      </c>
      <c r="B2083" s="9" t="s">
        <v>10738</v>
      </c>
      <c r="C2083" s="8" t="s">
        <v>32357</v>
      </c>
      <c r="D2083" s="9" t="b">
        <v>1</v>
      </c>
      <c r="E2083" s="9"/>
    </row>
    <row r="2084" ht="15.75" customHeight="1">
      <c r="A2084" s="9" t="s">
        <v>32358</v>
      </c>
      <c r="B2084" s="9" t="s">
        <v>10738</v>
      </c>
      <c r="C2084" s="8" t="s">
        <v>32359</v>
      </c>
      <c r="D2084" s="9" t="b">
        <v>0</v>
      </c>
      <c r="E2084" s="9"/>
    </row>
    <row r="2085" ht="15.75" customHeight="1">
      <c r="A2085" s="9" t="s">
        <v>32360</v>
      </c>
      <c r="B2085" s="9" t="s">
        <v>10738</v>
      </c>
      <c r="C2085" s="8" t="s">
        <v>32361</v>
      </c>
      <c r="D2085" s="9" t="b">
        <v>0</v>
      </c>
      <c r="E2085" s="9"/>
    </row>
    <row r="2086" ht="15.75" customHeight="1">
      <c r="A2086" s="9" t="s">
        <v>32362</v>
      </c>
      <c r="B2086" s="9" t="s">
        <v>10738</v>
      </c>
      <c r="C2086" s="8" t="s">
        <v>32363</v>
      </c>
      <c r="D2086" s="9" t="b">
        <v>0</v>
      </c>
      <c r="E2086" s="9"/>
    </row>
    <row r="2087" ht="15.75" customHeight="1">
      <c r="A2087" s="9" t="s">
        <v>32364</v>
      </c>
      <c r="B2087" s="9" t="s">
        <v>10738</v>
      </c>
      <c r="C2087" s="8" t="s">
        <v>32365</v>
      </c>
      <c r="D2087" s="9" t="b">
        <v>0</v>
      </c>
      <c r="E2087" s="9"/>
    </row>
    <row r="2088" ht="15.75" customHeight="1">
      <c r="A2088" s="9" t="s">
        <v>32366</v>
      </c>
      <c r="B2088" s="9" t="s">
        <v>10738</v>
      </c>
      <c r="C2088" s="8" t="s">
        <v>32367</v>
      </c>
      <c r="D2088" s="9" t="b">
        <v>0</v>
      </c>
      <c r="E2088" s="9"/>
    </row>
    <row r="2089" ht="15.75" customHeight="1">
      <c r="A2089" s="9" t="s">
        <v>32368</v>
      </c>
      <c r="B2089" s="9" t="s">
        <v>10738</v>
      </c>
      <c r="C2089" s="8" t="s">
        <v>32369</v>
      </c>
      <c r="D2089" s="9" t="b">
        <v>0</v>
      </c>
      <c r="E2089" s="9"/>
    </row>
    <row r="2090" ht="15.75" customHeight="1">
      <c r="A2090" s="9" t="s">
        <v>32370</v>
      </c>
      <c r="B2090" s="9" t="s">
        <v>11637</v>
      </c>
      <c r="C2090" s="8" t="s">
        <v>32371</v>
      </c>
      <c r="D2090" s="9" t="b">
        <v>1</v>
      </c>
      <c r="E2090" s="9"/>
    </row>
    <row r="2091" ht="15.75" customHeight="1">
      <c r="A2091" s="9" t="s">
        <v>32372</v>
      </c>
      <c r="B2091" s="9" t="s">
        <v>1561</v>
      </c>
      <c r="C2091" s="8" t="s">
        <v>32373</v>
      </c>
      <c r="D2091" s="9" t="b">
        <v>1</v>
      </c>
      <c r="E2091" s="9"/>
    </row>
    <row r="2092" ht="15.75" customHeight="1">
      <c r="A2092" s="9" t="s">
        <v>32374</v>
      </c>
      <c r="B2092" s="9" t="s">
        <v>1561</v>
      </c>
      <c r="C2092" s="8" t="s">
        <v>32375</v>
      </c>
      <c r="D2092" s="9" t="b">
        <v>0</v>
      </c>
      <c r="E2092" s="9"/>
    </row>
    <row r="2093" ht="15.75" customHeight="1">
      <c r="A2093" s="9" t="s">
        <v>32376</v>
      </c>
      <c r="B2093" s="9" t="s">
        <v>11914</v>
      </c>
      <c r="C2093" s="8" t="s">
        <v>32377</v>
      </c>
      <c r="D2093" s="9" t="b">
        <v>1</v>
      </c>
      <c r="E2093" s="9"/>
    </row>
    <row r="2094" ht="15.75" customHeight="1">
      <c r="A2094" s="9" t="s">
        <v>32378</v>
      </c>
      <c r="B2094" s="9" t="s">
        <v>11914</v>
      </c>
      <c r="C2094" s="8" t="s">
        <v>32379</v>
      </c>
      <c r="D2094" s="9" t="b">
        <v>0</v>
      </c>
      <c r="E2094" s="9"/>
    </row>
    <row r="2095" ht="15.75" customHeight="1">
      <c r="A2095" s="9" t="s">
        <v>32380</v>
      </c>
      <c r="B2095" s="9" t="s">
        <v>11914</v>
      </c>
      <c r="C2095" s="8" t="s">
        <v>32381</v>
      </c>
      <c r="D2095" s="9" t="b">
        <v>0</v>
      </c>
      <c r="E2095" s="9"/>
    </row>
    <row r="2096" ht="15.75" customHeight="1">
      <c r="A2096" s="9" t="s">
        <v>32382</v>
      </c>
      <c r="B2096" s="9" t="s">
        <v>11914</v>
      </c>
      <c r="C2096" s="8" t="s">
        <v>32383</v>
      </c>
      <c r="D2096" s="9" t="b">
        <v>0</v>
      </c>
      <c r="E2096" s="9"/>
    </row>
    <row r="2097" ht="15.75" customHeight="1">
      <c r="A2097" s="9" t="s">
        <v>32384</v>
      </c>
      <c r="B2097" s="9" t="s">
        <v>11914</v>
      </c>
      <c r="C2097" s="8" t="s">
        <v>32385</v>
      </c>
      <c r="D2097" s="9" t="b">
        <v>0</v>
      </c>
      <c r="E2097" s="9"/>
    </row>
    <row r="2098" ht="15.75" customHeight="1">
      <c r="A2098" s="9" t="s">
        <v>32386</v>
      </c>
      <c r="B2098" s="9" t="s">
        <v>11914</v>
      </c>
      <c r="C2098" s="8" t="s">
        <v>32387</v>
      </c>
      <c r="D2098" s="9" t="b">
        <v>0</v>
      </c>
      <c r="E2098" s="9"/>
    </row>
    <row r="2099" ht="15.75" customHeight="1">
      <c r="A2099" s="9"/>
      <c r="B2099" s="9"/>
      <c r="C2099" s="9"/>
      <c r="D2099" s="9"/>
      <c r="E2099" s="9"/>
    </row>
    <row r="2100" ht="15.75" customHeight="1">
      <c r="A2100" s="9" t="s">
        <v>32388</v>
      </c>
      <c r="B2100" s="9" t="s">
        <v>11914</v>
      </c>
      <c r="C2100" s="8" t="s">
        <v>32389</v>
      </c>
      <c r="D2100" s="9" t="b">
        <v>0</v>
      </c>
      <c r="E2100" s="9"/>
    </row>
    <row r="2101" ht="15.75" customHeight="1">
      <c r="A2101" s="9" t="s">
        <v>32390</v>
      </c>
      <c r="B2101" s="9" t="s">
        <v>11914</v>
      </c>
      <c r="C2101" s="8" t="s">
        <v>32391</v>
      </c>
      <c r="D2101" s="9" t="b">
        <v>0</v>
      </c>
      <c r="E2101" s="9"/>
    </row>
    <row r="2102" ht="15.75" customHeight="1">
      <c r="A2102" s="9" t="s">
        <v>32392</v>
      </c>
      <c r="B2102" s="9" t="s">
        <v>11914</v>
      </c>
      <c r="C2102" s="8" t="s">
        <v>32393</v>
      </c>
      <c r="D2102" s="9" t="b">
        <v>0</v>
      </c>
      <c r="E2102" s="9"/>
    </row>
    <row r="2103" ht="15.75" customHeight="1">
      <c r="A2103" s="9" t="s">
        <v>32394</v>
      </c>
      <c r="B2103" s="9" t="s">
        <v>11914</v>
      </c>
      <c r="C2103" s="8" t="s">
        <v>32395</v>
      </c>
      <c r="D2103" s="9" t="b">
        <v>0</v>
      </c>
      <c r="E2103" s="9"/>
    </row>
    <row r="2104" ht="15.75" customHeight="1">
      <c r="A2104" s="9" t="s">
        <v>32396</v>
      </c>
      <c r="B2104" s="9" t="s">
        <v>275</v>
      </c>
      <c r="C2104" s="8" t="s">
        <v>32397</v>
      </c>
      <c r="D2104" s="9" t="b">
        <v>1</v>
      </c>
      <c r="E2104" s="9"/>
    </row>
    <row r="2105" ht="15.75" customHeight="1">
      <c r="A2105" s="9" t="s">
        <v>32398</v>
      </c>
      <c r="B2105" s="9" t="s">
        <v>8322</v>
      </c>
      <c r="C2105" s="8" t="s">
        <v>32399</v>
      </c>
      <c r="D2105" s="9" t="b">
        <v>1</v>
      </c>
      <c r="E2105" s="9"/>
    </row>
    <row r="2106" ht="15.75" customHeight="1">
      <c r="A2106" s="9" t="s">
        <v>32400</v>
      </c>
      <c r="B2106" s="9" t="s">
        <v>8341</v>
      </c>
      <c r="C2106" s="8" t="s">
        <v>32401</v>
      </c>
      <c r="D2106" s="9" t="b">
        <v>1</v>
      </c>
      <c r="E2106" s="9"/>
    </row>
    <row r="2107" ht="15.75" customHeight="1">
      <c r="A2107" s="9" t="s">
        <v>32402</v>
      </c>
      <c r="B2107" s="9" t="s">
        <v>8341</v>
      </c>
      <c r="C2107" s="8" t="s">
        <v>32403</v>
      </c>
      <c r="D2107" s="9" t="b">
        <v>0</v>
      </c>
      <c r="E2107" s="9"/>
    </row>
    <row r="2108" ht="15.75" customHeight="1">
      <c r="A2108" s="9" t="s">
        <v>32404</v>
      </c>
      <c r="B2108" s="9" t="s">
        <v>6989</v>
      </c>
      <c r="C2108" s="8" t="s">
        <v>32405</v>
      </c>
      <c r="D2108" s="9" t="b">
        <v>1</v>
      </c>
      <c r="E2108" s="9"/>
    </row>
    <row r="2109" ht="15.75" customHeight="1">
      <c r="A2109" s="9" t="s">
        <v>32406</v>
      </c>
      <c r="B2109" s="9" t="s">
        <v>6989</v>
      </c>
      <c r="C2109" s="8" t="s">
        <v>32407</v>
      </c>
      <c r="D2109" s="9" t="b">
        <v>0</v>
      </c>
      <c r="E2109" s="9"/>
    </row>
    <row r="2110" ht="15.75" customHeight="1">
      <c r="A2110" s="9" t="s">
        <v>32408</v>
      </c>
      <c r="B2110" s="9" t="s">
        <v>2483</v>
      </c>
      <c r="C2110" s="8" t="s">
        <v>32409</v>
      </c>
      <c r="D2110" s="9" t="b">
        <v>1</v>
      </c>
      <c r="E2110" s="9"/>
    </row>
    <row r="2111" ht="15.75" customHeight="1">
      <c r="A2111" s="9" t="s">
        <v>32410</v>
      </c>
      <c r="B2111" s="9" t="s">
        <v>6209</v>
      </c>
      <c r="C2111" s="8" t="s">
        <v>32411</v>
      </c>
      <c r="D2111" s="9" t="b">
        <v>1</v>
      </c>
      <c r="E2111" s="9"/>
    </row>
    <row r="2112" ht="15.75" customHeight="1">
      <c r="A2112" s="9" t="s">
        <v>32412</v>
      </c>
      <c r="B2112" s="9" t="s">
        <v>6209</v>
      </c>
      <c r="C2112" s="8" t="s">
        <v>32413</v>
      </c>
      <c r="D2112" s="9" t="b">
        <v>0</v>
      </c>
      <c r="E2112" s="9"/>
    </row>
    <row r="2113" ht="15.75" customHeight="1">
      <c r="A2113" s="9" t="s">
        <v>32414</v>
      </c>
      <c r="B2113" s="9" t="s">
        <v>6209</v>
      </c>
      <c r="C2113" s="8" t="s">
        <v>32415</v>
      </c>
      <c r="D2113" s="9" t="b">
        <v>0</v>
      </c>
      <c r="E2113" s="9"/>
    </row>
    <row r="2114" ht="15.75" customHeight="1">
      <c r="A2114" s="52" t="s">
        <v>32416</v>
      </c>
      <c r="B2114" s="9" t="s">
        <v>2181</v>
      </c>
      <c r="C2114" s="8" t="s">
        <v>32417</v>
      </c>
      <c r="D2114" s="9" t="b">
        <v>0</v>
      </c>
      <c r="E2114" s="9" t="s">
        <v>32418</v>
      </c>
    </row>
    <row r="2115" ht="15.75" customHeight="1">
      <c r="A2115" s="9" t="s">
        <v>32419</v>
      </c>
      <c r="B2115" s="9" t="s">
        <v>2181</v>
      </c>
      <c r="C2115" s="8" t="s">
        <v>32420</v>
      </c>
      <c r="D2115" s="9" t="b">
        <v>0</v>
      </c>
      <c r="E2115" s="9" t="s">
        <v>32421</v>
      </c>
    </row>
    <row r="2116" ht="15.75" customHeight="1">
      <c r="A2116" s="9" t="s">
        <v>32422</v>
      </c>
      <c r="B2116" s="9" t="s">
        <v>2181</v>
      </c>
      <c r="C2116" s="8" t="s">
        <v>32423</v>
      </c>
      <c r="D2116" s="9" t="b">
        <v>0</v>
      </c>
      <c r="E2116" s="9" t="s">
        <v>32424</v>
      </c>
    </row>
    <row r="2117" ht="15.75" customHeight="1">
      <c r="A2117" s="9" t="s">
        <v>32425</v>
      </c>
      <c r="B2117" s="9" t="s">
        <v>2181</v>
      </c>
      <c r="C2117" s="8" t="s">
        <v>32426</v>
      </c>
      <c r="D2117" s="9" t="b">
        <v>1</v>
      </c>
      <c r="E2117" s="9" t="s">
        <v>32427</v>
      </c>
    </row>
    <row r="2118" ht="15.75" customHeight="1">
      <c r="A2118" s="9" t="s">
        <v>32428</v>
      </c>
      <c r="B2118" s="9" t="s">
        <v>2568</v>
      </c>
      <c r="C2118" s="8" t="s">
        <v>32429</v>
      </c>
      <c r="D2118" s="9" t="b">
        <v>0</v>
      </c>
      <c r="E2118" s="9" t="s">
        <v>30803</v>
      </c>
    </row>
    <row r="2119" ht="15.75" customHeight="1">
      <c r="A2119" s="9" t="s">
        <v>32430</v>
      </c>
      <c r="B2119" s="9" t="s">
        <v>1013</v>
      </c>
      <c r="C2119" s="8" t="s">
        <v>32431</v>
      </c>
      <c r="D2119" s="9" t="b">
        <v>0</v>
      </c>
      <c r="E2119" s="9"/>
    </row>
    <row r="2120" ht="15.75" customHeight="1">
      <c r="A2120" s="9" t="s">
        <v>32432</v>
      </c>
      <c r="B2120" s="9" t="s">
        <v>1013</v>
      </c>
      <c r="C2120" s="8" t="s">
        <v>32433</v>
      </c>
      <c r="D2120" s="9" t="b">
        <v>0</v>
      </c>
      <c r="E2120" s="9"/>
    </row>
    <row r="2121" ht="15.75" customHeight="1">
      <c r="A2121" s="9" t="s">
        <v>32434</v>
      </c>
      <c r="B2121" s="9" t="s">
        <v>1013</v>
      </c>
      <c r="C2121" s="8" t="s">
        <v>32435</v>
      </c>
      <c r="D2121" s="9" t="b">
        <v>1</v>
      </c>
      <c r="E2121" s="9"/>
    </row>
    <row r="2122" ht="15.75" customHeight="1">
      <c r="A2122" s="9" t="s">
        <v>32436</v>
      </c>
      <c r="B2122" s="9" t="s">
        <v>997</v>
      </c>
      <c r="C2122" s="8" t="s">
        <v>32437</v>
      </c>
      <c r="D2122" s="9" t="b">
        <v>0</v>
      </c>
      <c r="E2122" s="9"/>
    </row>
    <row r="2123" ht="15.75" customHeight="1">
      <c r="A2123" s="9" t="s">
        <v>32438</v>
      </c>
      <c r="B2123" s="9" t="s">
        <v>997</v>
      </c>
      <c r="C2123" s="8" t="s">
        <v>32439</v>
      </c>
      <c r="D2123" s="9" t="b">
        <v>0</v>
      </c>
      <c r="E2123" s="9"/>
    </row>
    <row r="2124" ht="15.75" customHeight="1">
      <c r="A2124" s="9" t="s">
        <v>32440</v>
      </c>
      <c r="B2124" s="9" t="s">
        <v>267</v>
      </c>
      <c r="C2124" s="8" t="s">
        <v>32441</v>
      </c>
      <c r="D2124" s="9" t="b">
        <v>0</v>
      </c>
      <c r="E2124" s="9"/>
    </row>
    <row r="2125" ht="15.75" customHeight="1">
      <c r="A2125" s="9" t="s">
        <v>32442</v>
      </c>
      <c r="B2125" s="9" t="s">
        <v>1919</v>
      </c>
      <c r="C2125" s="8" t="s">
        <v>32443</v>
      </c>
      <c r="D2125" s="9" t="b">
        <v>0</v>
      </c>
      <c r="E2125" s="9"/>
    </row>
    <row r="2126" ht="15.75" customHeight="1">
      <c r="A2126" s="9" t="s">
        <v>32444</v>
      </c>
      <c r="B2126" s="9" t="s">
        <v>1919</v>
      </c>
      <c r="C2126" s="8" t="s">
        <v>32445</v>
      </c>
      <c r="D2126" s="9" t="b">
        <v>1</v>
      </c>
      <c r="E2126" s="9"/>
    </row>
    <row r="2127" ht="15.75" customHeight="1">
      <c r="A2127" s="9" t="s">
        <v>32446</v>
      </c>
      <c r="B2127" s="9" t="s">
        <v>6908</v>
      </c>
      <c r="C2127" s="8" t="s">
        <v>32447</v>
      </c>
      <c r="D2127" s="9" t="b">
        <v>0</v>
      </c>
      <c r="E2127" s="9" t="s">
        <v>32448</v>
      </c>
    </row>
    <row r="2128" ht="15.75" customHeight="1">
      <c r="A2128" s="9" t="s">
        <v>32449</v>
      </c>
      <c r="B2128" s="9" t="s">
        <v>6908</v>
      </c>
      <c r="C2128" s="8" t="s">
        <v>32450</v>
      </c>
      <c r="D2128" s="9" t="b">
        <v>1</v>
      </c>
      <c r="E2128" s="9"/>
    </row>
    <row r="2129" ht="15.75" customHeight="1">
      <c r="A2129" s="9" t="s">
        <v>32451</v>
      </c>
      <c r="B2129" s="9" t="s">
        <v>5728</v>
      </c>
      <c r="C2129" s="8" t="s">
        <v>32452</v>
      </c>
      <c r="D2129" s="9" t="b">
        <v>1</v>
      </c>
      <c r="E2129" s="9"/>
    </row>
    <row r="2130" ht="15.75" customHeight="1">
      <c r="A2130" s="9" t="s">
        <v>32453</v>
      </c>
      <c r="B2130" s="9" t="s">
        <v>5728</v>
      </c>
      <c r="C2130" s="8" t="s">
        <v>32454</v>
      </c>
      <c r="D2130" s="9" t="b">
        <v>0</v>
      </c>
      <c r="E2130" s="9"/>
    </row>
    <row r="2131" ht="15.75" customHeight="1">
      <c r="A2131" s="9" t="s">
        <v>32455</v>
      </c>
      <c r="B2131" s="9" t="s">
        <v>5728</v>
      </c>
      <c r="C2131" s="8" t="s">
        <v>32456</v>
      </c>
      <c r="D2131" s="9" t="b">
        <v>0</v>
      </c>
      <c r="E2131" s="9"/>
    </row>
    <row r="2132" ht="15.75" customHeight="1">
      <c r="A2132" s="9" t="s">
        <v>32457</v>
      </c>
      <c r="B2132" s="9" t="s">
        <v>5249</v>
      </c>
      <c r="C2132" s="8" t="s">
        <v>32458</v>
      </c>
      <c r="D2132" s="9" t="b">
        <v>0</v>
      </c>
      <c r="E2132" s="9"/>
    </row>
    <row r="2133" ht="15.75" customHeight="1">
      <c r="A2133" s="9" t="s">
        <v>32459</v>
      </c>
      <c r="B2133" s="9" t="s">
        <v>5249</v>
      </c>
      <c r="C2133" s="8" t="s">
        <v>32460</v>
      </c>
      <c r="D2133" s="9" t="b">
        <v>0</v>
      </c>
      <c r="E2133" s="9"/>
    </row>
    <row r="2134" ht="15.75" customHeight="1">
      <c r="A2134" s="9" t="s">
        <v>32461</v>
      </c>
      <c r="B2134" s="9" t="s">
        <v>5249</v>
      </c>
      <c r="C2134" s="8" t="s">
        <v>32462</v>
      </c>
      <c r="D2134" s="9" t="b">
        <v>0</v>
      </c>
      <c r="E2134" s="9" t="s">
        <v>32463</v>
      </c>
    </row>
    <row r="2135" ht="15.75" customHeight="1">
      <c r="A2135" s="9" t="s">
        <v>32464</v>
      </c>
      <c r="B2135" s="9" t="s">
        <v>5249</v>
      </c>
      <c r="C2135" s="8" t="s">
        <v>32465</v>
      </c>
      <c r="D2135" s="9" t="b">
        <v>1</v>
      </c>
      <c r="E2135" s="9" t="s">
        <v>15564</v>
      </c>
    </row>
    <row r="2136" ht="15.75" customHeight="1">
      <c r="A2136" s="9" t="s">
        <v>32466</v>
      </c>
      <c r="B2136" s="9" t="s">
        <v>10453</v>
      </c>
      <c r="C2136" s="8" t="s">
        <v>32467</v>
      </c>
      <c r="D2136" s="9" t="b">
        <v>1</v>
      </c>
      <c r="E2136" s="9"/>
    </row>
    <row r="2137" ht="15.75" customHeight="1">
      <c r="A2137" s="9" t="s">
        <v>32468</v>
      </c>
      <c r="B2137" s="9" t="s">
        <v>10453</v>
      </c>
      <c r="C2137" s="8" t="s">
        <v>32469</v>
      </c>
      <c r="D2137" s="9" t="b">
        <v>0</v>
      </c>
      <c r="E2137" s="9"/>
    </row>
    <row r="2138" ht="15.75" customHeight="1">
      <c r="A2138" s="9" t="s">
        <v>32470</v>
      </c>
      <c r="B2138" s="9" t="s">
        <v>10453</v>
      </c>
      <c r="C2138" s="8" t="s">
        <v>32471</v>
      </c>
      <c r="D2138" s="9" t="b">
        <v>0</v>
      </c>
      <c r="E2138" s="9"/>
    </row>
    <row r="2139" ht="15.75" customHeight="1">
      <c r="A2139" s="9" t="s">
        <v>32472</v>
      </c>
      <c r="B2139" s="9" t="s">
        <v>10453</v>
      </c>
      <c r="C2139" s="8" t="s">
        <v>32473</v>
      </c>
      <c r="D2139" s="9" t="b">
        <v>0</v>
      </c>
      <c r="E2139" s="9"/>
    </row>
    <row r="2140" ht="15.75" customHeight="1">
      <c r="A2140" s="9" t="s">
        <v>32474</v>
      </c>
      <c r="B2140" s="9" t="s">
        <v>10453</v>
      </c>
      <c r="C2140" s="8" t="s">
        <v>32475</v>
      </c>
      <c r="D2140" s="9" t="b">
        <v>0</v>
      </c>
      <c r="E2140" s="9"/>
    </row>
    <row r="2141" ht="15.75" customHeight="1">
      <c r="A2141" s="9" t="s">
        <v>32476</v>
      </c>
      <c r="B2141" s="9" t="s">
        <v>10453</v>
      </c>
      <c r="C2141" s="8" t="s">
        <v>32477</v>
      </c>
      <c r="D2141" s="9" t="b">
        <v>0</v>
      </c>
      <c r="E2141" s="9"/>
    </row>
    <row r="2142" ht="15.75" customHeight="1">
      <c r="A2142" s="9" t="s">
        <v>32478</v>
      </c>
      <c r="B2142" s="9" t="s">
        <v>10453</v>
      </c>
      <c r="C2142" s="8" t="s">
        <v>32479</v>
      </c>
      <c r="D2142" s="9" t="b">
        <v>0</v>
      </c>
      <c r="E2142" s="9"/>
    </row>
    <row r="2143" ht="15.75" customHeight="1">
      <c r="A2143" s="9" t="s">
        <v>32480</v>
      </c>
      <c r="B2143" s="9" t="s">
        <v>10453</v>
      </c>
      <c r="C2143" s="8" t="s">
        <v>32481</v>
      </c>
      <c r="D2143" s="9" t="b">
        <v>0</v>
      </c>
      <c r="E2143" s="9"/>
    </row>
    <row r="2144" ht="15.75" customHeight="1">
      <c r="A2144" s="9" t="s">
        <v>32482</v>
      </c>
      <c r="B2144" s="9" t="s">
        <v>9054</v>
      </c>
      <c r="C2144" s="8" t="s">
        <v>32483</v>
      </c>
      <c r="D2144" s="9" t="b">
        <v>0</v>
      </c>
      <c r="E2144" s="9"/>
    </row>
    <row r="2145" ht="15.75" customHeight="1">
      <c r="A2145" s="9" t="s">
        <v>32484</v>
      </c>
      <c r="B2145" s="9" t="s">
        <v>9054</v>
      </c>
      <c r="C2145" s="8" t="s">
        <v>32485</v>
      </c>
      <c r="D2145" s="9" t="b">
        <v>0</v>
      </c>
      <c r="E2145" s="9"/>
    </row>
    <row r="2146" ht="15.75" customHeight="1">
      <c r="A2146" s="9" t="s">
        <v>32486</v>
      </c>
      <c r="B2146" s="9" t="s">
        <v>9054</v>
      </c>
      <c r="C2146" s="8" t="s">
        <v>32487</v>
      </c>
      <c r="D2146" s="9" t="b">
        <v>0</v>
      </c>
      <c r="E2146" s="9"/>
    </row>
    <row r="2147" ht="15.75" customHeight="1">
      <c r="A2147" s="9" t="s">
        <v>32488</v>
      </c>
      <c r="B2147" s="9" t="s">
        <v>9054</v>
      </c>
      <c r="C2147" s="8" t="s">
        <v>32489</v>
      </c>
      <c r="D2147" s="9" t="b">
        <v>0</v>
      </c>
      <c r="E2147" s="9"/>
    </row>
    <row r="2148" ht="15.75" customHeight="1">
      <c r="A2148" s="9" t="s">
        <v>32490</v>
      </c>
      <c r="B2148" s="9" t="s">
        <v>9054</v>
      </c>
      <c r="C2148" s="8" t="s">
        <v>32491</v>
      </c>
      <c r="D2148" s="9" t="b">
        <v>0</v>
      </c>
      <c r="E2148" s="9"/>
    </row>
    <row r="2149" ht="15.75" customHeight="1">
      <c r="A2149" s="9" t="s">
        <v>32492</v>
      </c>
      <c r="B2149" s="9" t="s">
        <v>11627</v>
      </c>
      <c r="C2149" s="8" t="s">
        <v>32493</v>
      </c>
      <c r="D2149" s="9" t="b">
        <v>0</v>
      </c>
      <c r="E2149" s="9"/>
    </row>
    <row r="2150" ht="15.75" customHeight="1">
      <c r="A2150" s="9" t="s">
        <v>32494</v>
      </c>
      <c r="B2150" s="9" t="s">
        <v>11627</v>
      </c>
      <c r="C2150" s="8" t="s">
        <v>32495</v>
      </c>
      <c r="D2150" s="9" t="b">
        <v>1</v>
      </c>
      <c r="E2150" s="9"/>
    </row>
    <row r="2151" ht="15.75" customHeight="1">
      <c r="A2151" s="9" t="s">
        <v>32496</v>
      </c>
      <c r="B2151" s="9" t="s">
        <v>11627</v>
      </c>
      <c r="C2151" s="8" t="s">
        <v>32497</v>
      </c>
      <c r="D2151" s="9" t="b">
        <v>0</v>
      </c>
      <c r="E2151" s="9"/>
    </row>
    <row r="2152" ht="15.75" customHeight="1">
      <c r="A2152" s="9" t="s">
        <v>32498</v>
      </c>
      <c r="B2152" s="9" t="s">
        <v>11627</v>
      </c>
      <c r="C2152" s="8" t="s">
        <v>32499</v>
      </c>
      <c r="D2152" s="9" t="b">
        <v>0</v>
      </c>
      <c r="E2152" s="9"/>
    </row>
    <row r="2153" ht="15.75" customHeight="1">
      <c r="A2153" s="9" t="s">
        <v>32500</v>
      </c>
      <c r="B2153" s="9" t="s">
        <v>3663</v>
      </c>
      <c r="C2153" s="8" t="s">
        <v>32501</v>
      </c>
      <c r="D2153" s="9" t="b">
        <v>0</v>
      </c>
      <c r="E2153" s="9"/>
    </row>
    <row r="2154" ht="15.75" customHeight="1">
      <c r="A2154" s="9" t="s">
        <v>32502</v>
      </c>
      <c r="B2154" s="9" t="s">
        <v>3663</v>
      </c>
      <c r="C2154" s="8" t="s">
        <v>32503</v>
      </c>
      <c r="D2154" s="9" t="b">
        <v>0</v>
      </c>
      <c r="E2154" s="9"/>
    </row>
    <row r="2155" ht="15.75" customHeight="1">
      <c r="A2155" s="9" t="s">
        <v>32504</v>
      </c>
      <c r="B2155" s="9" t="s">
        <v>3663</v>
      </c>
      <c r="C2155" s="8" t="s">
        <v>32505</v>
      </c>
      <c r="D2155" s="9" t="b">
        <v>0</v>
      </c>
      <c r="E2155" s="9"/>
    </row>
    <row r="2156" ht="15.75" customHeight="1">
      <c r="A2156" s="9" t="s">
        <v>32506</v>
      </c>
      <c r="B2156" s="9" t="s">
        <v>267</v>
      </c>
      <c r="C2156" s="8" t="s">
        <v>32507</v>
      </c>
      <c r="D2156" s="9" t="b">
        <v>0</v>
      </c>
      <c r="E2156" s="9"/>
    </row>
    <row r="2157" ht="15.75" customHeight="1">
      <c r="A2157" s="9" t="s">
        <v>32508</v>
      </c>
      <c r="B2157" s="9" t="s">
        <v>267</v>
      </c>
      <c r="C2157" s="8" t="s">
        <v>32509</v>
      </c>
      <c r="D2157" s="9" t="b">
        <v>1</v>
      </c>
      <c r="E2157" s="9"/>
    </row>
    <row r="2158" ht="15.75" customHeight="1">
      <c r="A2158" s="9" t="s">
        <v>32510</v>
      </c>
      <c r="B2158" s="9" t="s">
        <v>267</v>
      </c>
      <c r="C2158" s="8" t="s">
        <v>32511</v>
      </c>
      <c r="D2158" s="9" t="b">
        <v>0</v>
      </c>
      <c r="E2158" s="9"/>
    </row>
    <row r="2159" ht="15.75" customHeight="1">
      <c r="A2159" s="9" t="s">
        <v>32512</v>
      </c>
      <c r="B2159" s="9" t="s">
        <v>267</v>
      </c>
      <c r="C2159" s="8" t="s">
        <v>32513</v>
      </c>
      <c r="D2159" s="9" t="b">
        <v>0</v>
      </c>
      <c r="E2159" s="9"/>
    </row>
    <row r="2160" ht="15.75" customHeight="1">
      <c r="A2160" s="9" t="s">
        <v>32514</v>
      </c>
      <c r="B2160" s="9" t="s">
        <v>4034</v>
      </c>
      <c r="C2160" s="8" t="s">
        <v>32515</v>
      </c>
      <c r="D2160" s="9" t="b">
        <v>1</v>
      </c>
      <c r="E2160" s="9"/>
    </row>
    <row r="2161" ht="15.75" customHeight="1">
      <c r="A2161" s="52" t="s">
        <v>32516</v>
      </c>
      <c r="B2161" s="9" t="s">
        <v>4034</v>
      </c>
      <c r="C2161" s="8" t="s">
        <v>32517</v>
      </c>
      <c r="D2161" s="9" t="b">
        <v>0</v>
      </c>
      <c r="E2161" s="9"/>
    </row>
    <row r="2162" ht="15.75" customHeight="1">
      <c r="A2162" s="9" t="s">
        <v>32518</v>
      </c>
      <c r="B2162" s="9" t="s">
        <v>4034</v>
      </c>
      <c r="C2162" s="8" t="s">
        <v>32519</v>
      </c>
      <c r="D2162" s="9" t="b">
        <v>0</v>
      </c>
      <c r="E2162" s="9"/>
    </row>
    <row r="2163" ht="15.75" customHeight="1">
      <c r="A2163" s="9" t="s">
        <v>32520</v>
      </c>
      <c r="B2163" s="9" t="s">
        <v>12207</v>
      </c>
      <c r="C2163" s="8" t="s">
        <v>32521</v>
      </c>
      <c r="D2163" s="9" t="b">
        <v>0</v>
      </c>
      <c r="E2163" s="9"/>
    </row>
    <row r="2164" ht="15.75" customHeight="1">
      <c r="A2164" s="9" t="s">
        <v>32522</v>
      </c>
      <c r="B2164" s="9" t="s">
        <v>12207</v>
      </c>
      <c r="C2164" s="8" t="s">
        <v>32523</v>
      </c>
      <c r="D2164" s="9" t="b">
        <v>0</v>
      </c>
      <c r="E2164" s="9"/>
    </row>
    <row r="2165" ht="15.75" customHeight="1">
      <c r="A2165" s="9" t="s">
        <v>32524</v>
      </c>
      <c r="B2165" s="9" t="s">
        <v>12207</v>
      </c>
      <c r="C2165" s="8" t="s">
        <v>32525</v>
      </c>
      <c r="D2165" s="9" t="b">
        <v>0</v>
      </c>
      <c r="E2165" s="9"/>
    </row>
    <row r="2166" ht="15.75" customHeight="1">
      <c r="A2166" s="9" t="s">
        <v>32526</v>
      </c>
      <c r="B2166" s="9" t="s">
        <v>12207</v>
      </c>
      <c r="C2166" s="8" t="s">
        <v>32527</v>
      </c>
      <c r="D2166" s="9" t="b">
        <v>0</v>
      </c>
      <c r="E2166" s="9"/>
    </row>
    <row r="2167" ht="15.75" customHeight="1">
      <c r="A2167" s="9" t="s">
        <v>32528</v>
      </c>
      <c r="B2167" s="9" t="s">
        <v>12207</v>
      </c>
      <c r="C2167" s="8" t="s">
        <v>32529</v>
      </c>
      <c r="D2167" s="9" t="b">
        <v>0</v>
      </c>
      <c r="E2167" s="9"/>
    </row>
    <row r="2168" ht="15.75" customHeight="1">
      <c r="A2168" s="9" t="s">
        <v>32530</v>
      </c>
      <c r="B2168" s="9" t="s">
        <v>12207</v>
      </c>
      <c r="C2168" s="8" t="s">
        <v>32531</v>
      </c>
      <c r="D2168" s="9" t="b">
        <v>0</v>
      </c>
      <c r="E2168" s="9"/>
    </row>
    <row r="2169" ht="15.75" customHeight="1">
      <c r="A2169" s="9" t="s">
        <v>32532</v>
      </c>
      <c r="B2169" s="9" t="s">
        <v>12207</v>
      </c>
      <c r="C2169" s="8" t="s">
        <v>32533</v>
      </c>
      <c r="D2169" s="9" t="b">
        <v>0</v>
      </c>
      <c r="E2169" s="9"/>
    </row>
    <row r="2170" ht="15.75" customHeight="1">
      <c r="A2170" s="9" t="s">
        <v>32534</v>
      </c>
      <c r="B2170" s="9" t="s">
        <v>10506</v>
      </c>
      <c r="C2170" s="8" t="s">
        <v>32535</v>
      </c>
      <c r="D2170" s="9" t="b">
        <v>0</v>
      </c>
      <c r="E2170" s="9"/>
    </row>
    <row r="2171" ht="15.75" customHeight="1">
      <c r="A2171" s="9" t="s">
        <v>32536</v>
      </c>
      <c r="B2171" s="9" t="s">
        <v>10506</v>
      </c>
      <c r="C2171" s="8" t="s">
        <v>32537</v>
      </c>
      <c r="D2171" s="9" t="b">
        <v>0</v>
      </c>
      <c r="E2171" s="9"/>
    </row>
    <row r="2172" ht="15.75" customHeight="1">
      <c r="A2172" s="9" t="s">
        <v>32538</v>
      </c>
      <c r="B2172" s="9" t="s">
        <v>10506</v>
      </c>
      <c r="C2172" s="8" t="s">
        <v>32539</v>
      </c>
      <c r="D2172" s="9" t="b">
        <v>0</v>
      </c>
      <c r="E2172" s="9"/>
    </row>
    <row r="2173" ht="15.75" customHeight="1">
      <c r="A2173" s="9" t="s">
        <v>32540</v>
      </c>
      <c r="B2173" s="9" t="s">
        <v>10506</v>
      </c>
      <c r="C2173" s="8" t="s">
        <v>32541</v>
      </c>
      <c r="D2173" s="9" t="b">
        <v>1</v>
      </c>
      <c r="E2173" s="9"/>
    </row>
    <row r="2174" ht="15.75" customHeight="1">
      <c r="A2174" s="9" t="s">
        <v>32542</v>
      </c>
      <c r="B2174" s="9" t="s">
        <v>10506</v>
      </c>
      <c r="C2174" s="8" t="s">
        <v>32543</v>
      </c>
      <c r="D2174" s="9" t="b">
        <v>0</v>
      </c>
      <c r="E2174" s="9"/>
    </row>
    <row r="2175" ht="15.75" customHeight="1">
      <c r="A2175" s="9" t="s">
        <v>32544</v>
      </c>
      <c r="B2175" s="9" t="s">
        <v>10506</v>
      </c>
      <c r="C2175" s="8" t="s">
        <v>32545</v>
      </c>
      <c r="D2175" s="9" t="b">
        <v>0</v>
      </c>
      <c r="E2175" s="9"/>
    </row>
    <row r="2176" ht="15.75" customHeight="1">
      <c r="A2176" s="9" t="s">
        <v>32546</v>
      </c>
      <c r="B2176" s="9" t="s">
        <v>10506</v>
      </c>
      <c r="C2176" s="8" t="s">
        <v>32547</v>
      </c>
      <c r="D2176" s="9" t="b">
        <v>0</v>
      </c>
      <c r="E2176" s="9"/>
    </row>
    <row r="2177" ht="15.75" customHeight="1">
      <c r="A2177" s="9" t="s">
        <v>32548</v>
      </c>
      <c r="B2177" s="9" t="s">
        <v>10506</v>
      </c>
      <c r="C2177" s="8" t="s">
        <v>32549</v>
      </c>
      <c r="D2177" s="9" t="b">
        <v>0</v>
      </c>
      <c r="E2177" s="9"/>
    </row>
    <row r="2178" ht="15.75" customHeight="1">
      <c r="A2178" s="9" t="s">
        <v>32550</v>
      </c>
      <c r="B2178" s="9" t="s">
        <v>10506</v>
      </c>
      <c r="C2178" s="8" t="s">
        <v>32551</v>
      </c>
      <c r="D2178" s="9" t="b">
        <v>0</v>
      </c>
      <c r="E2178" s="9"/>
    </row>
    <row r="2179" ht="15.75" customHeight="1">
      <c r="A2179" s="9" t="s">
        <v>32552</v>
      </c>
      <c r="B2179" s="9" t="s">
        <v>10529</v>
      </c>
      <c r="C2179" s="8" t="s">
        <v>32553</v>
      </c>
      <c r="D2179" s="9" t="b">
        <v>1</v>
      </c>
      <c r="E2179" s="9"/>
    </row>
    <row r="2180" ht="15.75" customHeight="1">
      <c r="A2180" s="9" t="s">
        <v>32554</v>
      </c>
      <c r="B2180" s="9" t="s">
        <v>10529</v>
      </c>
      <c r="C2180" s="8" t="s">
        <v>32555</v>
      </c>
      <c r="D2180" s="9" t="b">
        <v>0</v>
      </c>
      <c r="E2180" s="9"/>
    </row>
    <row r="2181" ht="15.75" customHeight="1">
      <c r="A2181" s="9" t="s">
        <v>32556</v>
      </c>
      <c r="B2181" s="9" t="s">
        <v>10529</v>
      </c>
      <c r="C2181" s="8" t="s">
        <v>32557</v>
      </c>
      <c r="D2181" s="9" t="b">
        <v>0</v>
      </c>
      <c r="E2181" s="9"/>
    </row>
    <row r="2182" ht="15.75" customHeight="1">
      <c r="A2182" s="9" t="s">
        <v>32558</v>
      </c>
      <c r="B2182" s="9" t="s">
        <v>10529</v>
      </c>
      <c r="C2182" s="8" t="s">
        <v>32559</v>
      </c>
      <c r="D2182" s="9" t="b">
        <v>0</v>
      </c>
      <c r="E2182" s="9"/>
    </row>
    <row r="2183" ht="15.75" customHeight="1">
      <c r="A2183" s="9" t="s">
        <v>32560</v>
      </c>
      <c r="B2183" s="9" t="s">
        <v>10529</v>
      </c>
      <c r="C2183" s="8" t="s">
        <v>32561</v>
      </c>
      <c r="D2183" s="9" t="b">
        <v>0</v>
      </c>
      <c r="E2183" s="9"/>
    </row>
    <row r="2184" ht="15.75" customHeight="1">
      <c r="A2184" s="9" t="s">
        <v>32562</v>
      </c>
      <c r="B2184" s="9" t="s">
        <v>10529</v>
      </c>
      <c r="C2184" s="8" t="s">
        <v>32563</v>
      </c>
      <c r="D2184" s="9" t="b">
        <v>0</v>
      </c>
      <c r="E2184" s="9"/>
    </row>
    <row r="2185" ht="15.75" customHeight="1">
      <c r="A2185" s="9" t="s">
        <v>32564</v>
      </c>
      <c r="B2185" s="9" t="s">
        <v>10529</v>
      </c>
      <c r="C2185" s="8" t="s">
        <v>32565</v>
      </c>
      <c r="D2185" s="9" t="b">
        <v>0</v>
      </c>
      <c r="E2185" s="9"/>
    </row>
    <row r="2186" ht="15.75" customHeight="1">
      <c r="A2186" s="9" t="s">
        <v>32566</v>
      </c>
      <c r="B2186" s="9" t="s">
        <v>10486</v>
      </c>
      <c r="C2186" s="8" t="s">
        <v>32567</v>
      </c>
      <c r="D2186" s="9" t="b">
        <v>0</v>
      </c>
      <c r="E2186" s="9"/>
    </row>
    <row r="2187" ht="15.75" customHeight="1">
      <c r="A2187" s="9" t="s">
        <v>32568</v>
      </c>
      <c r="B2187" s="9" t="s">
        <v>10486</v>
      </c>
      <c r="C2187" s="8" t="s">
        <v>32569</v>
      </c>
      <c r="D2187" s="9" t="b">
        <v>0</v>
      </c>
      <c r="E2187" s="9"/>
    </row>
    <row r="2188" ht="15.75" customHeight="1">
      <c r="A2188" s="9" t="s">
        <v>32570</v>
      </c>
      <c r="B2188" s="9" t="s">
        <v>9054</v>
      </c>
      <c r="C2188" s="8" t="s">
        <v>32571</v>
      </c>
      <c r="D2188" s="9" t="b">
        <v>0</v>
      </c>
      <c r="E2188" s="9"/>
    </row>
    <row r="2189" ht="15.75" customHeight="1">
      <c r="A2189" s="9" t="s">
        <v>32572</v>
      </c>
      <c r="B2189" s="9" t="s">
        <v>9054</v>
      </c>
      <c r="C2189" s="8" t="s">
        <v>32573</v>
      </c>
      <c r="D2189" s="9" t="b">
        <v>0</v>
      </c>
      <c r="E2189" s="9"/>
    </row>
    <row r="2190" ht="15.75" customHeight="1">
      <c r="A2190" s="9" t="s">
        <v>32574</v>
      </c>
      <c r="B2190" s="9" t="s">
        <v>9054</v>
      </c>
      <c r="C2190" s="8" t="s">
        <v>32575</v>
      </c>
      <c r="D2190" s="9" t="b">
        <v>0</v>
      </c>
      <c r="E2190" s="9"/>
    </row>
    <row r="2191" ht="15.75" customHeight="1">
      <c r="A2191" s="9" t="s">
        <v>32576</v>
      </c>
      <c r="B2191" s="9" t="s">
        <v>9054</v>
      </c>
      <c r="C2191" s="8" t="s">
        <v>32577</v>
      </c>
      <c r="D2191" s="9" t="b">
        <v>0</v>
      </c>
      <c r="E2191" s="9"/>
    </row>
    <row r="2192" ht="15.75" customHeight="1">
      <c r="A2192" s="9" t="s">
        <v>32578</v>
      </c>
      <c r="B2192" s="9" t="s">
        <v>9054</v>
      </c>
      <c r="C2192" s="8" t="s">
        <v>32579</v>
      </c>
      <c r="D2192" s="9" t="b">
        <v>0</v>
      </c>
      <c r="E2192" s="9"/>
    </row>
    <row r="2193" ht="15.75" customHeight="1">
      <c r="A2193" s="9" t="s">
        <v>32580</v>
      </c>
      <c r="B2193" s="9" t="s">
        <v>9054</v>
      </c>
      <c r="C2193" s="8" t="s">
        <v>32581</v>
      </c>
      <c r="D2193" s="9" t="b">
        <v>0</v>
      </c>
      <c r="E2193" s="9"/>
    </row>
    <row r="2194" ht="15.75" customHeight="1">
      <c r="A2194" s="9" t="s">
        <v>32582</v>
      </c>
      <c r="B2194" s="9" t="s">
        <v>9054</v>
      </c>
      <c r="C2194" s="8" t="s">
        <v>32583</v>
      </c>
      <c r="D2194" s="9" t="b">
        <v>0</v>
      </c>
      <c r="E2194" s="9"/>
    </row>
    <row r="2195" ht="15.75" customHeight="1">
      <c r="A2195" s="9" t="s">
        <v>32584</v>
      </c>
      <c r="B2195" s="9" t="s">
        <v>6444</v>
      </c>
      <c r="C2195" s="8" t="s">
        <v>32585</v>
      </c>
      <c r="D2195" s="9" t="b">
        <v>1</v>
      </c>
      <c r="E2195" s="9"/>
    </row>
    <row r="2196" ht="15.75" customHeight="1">
      <c r="A2196" s="9" t="s">
        <v>32586</v>
      </c>
      <c r="B2196" s="9" t="s">
        <v>6444</v>
      </c>
      <c r="C2196" s="8" t="s">
        <v>32587</v>
      </c>
      <c r="D2196" s="9" t="b">
        <v>0</v>
      </c>
      <c r="E2196" s="9"/>
    </row>
    <row r="2197" ht="15.75" customHeight="1">
      <c r="A2197" s="9" t="s">
        <v>32588</v>
      </c>
      <c r="B2197" s="9" t="s">
        <v>6444</v>
      </c>
      <c r="C2197" s="8" t="s">
        <v>32589</v>
      </c>
      <c r="D2197" s="9" t="b">
        <v>0</v>
      </c>
      <c r="E2197" s="9"/>
    </row>
    <row r="2198" ht="15.75" customHeight="1">
      <c r="A2198" s="9" t="s">
        <v>32590</v>
      </c>
      <c r="B2198" s="9" t="s">
        <v>6444</v>
      </c>
      <c r="C2198" s="8" t="s">
        <v>32591</v>
      </c>
      <c r="D2198" s="9" t="b">
        <v>0</v>
      </c>
      <c r="E2198" s="9"/>
    </row>
    <row r="2199" ht="15.75" customHeight="1">
      <c r="A2199" s="9" t="s">
        <v>32592</v>
      </c>
      <c r="B2199" s="9" t="s">
        <v>11875</v>
      </c>
      <c r="C2199" s="8" t="s">
        <v>32593</v>
      </c>
      <c r="D2199" s="9" t="b">
        <v>1</v>
      </c>
      <c r="E2199" s="9"/>
    </row>
    <row r="2200" ht="15.75" customHeight="1">
      <c r="A2200" s="9" t="s">
        <v>32594</v>
      </c>
      <c r="B2200" s="9" t="s">
        <v>10425</v>
      </c>
      <c r="C2200" s="8" t="s">
        <v>32595</v>
      </c>
      <c r="D2200" s="9" t="b">
        <v>0</v>
      </c>
      <c r="E2200" s="9" t="s">
        <v>29143</v>
      </c>
    </row>
    <row r="2201" ht="15.75" customHeight="1">
      <c r="A2201" s="9" t="s">
        <v>32596</v>
      </c>
      <c r="B2201" s="9" t="s">
        <v>10425</v>
      </c>
      <c r="C2201" s="8" t="s">
        <v>32597</v>
      </c>
      <c r="D2201" s="9" t="b">
        <v>0</v>
      </c>
      <c r="E2201" s="9" t="s">
        <v>30803</v>
      </c>
    </row>
    <row r="2202" ht="15.75" customHeight="1">
      <c r="A2202" s="9" t="s">
        <v>32598</v>
      </c>
      <c r="B2202" s="9" t="s">
        <v>10425</v>
      </c>
      <c r="C2202" s="8" t="s">
        <v>32599</v>
      </c>
      <c r="D2202" s="9" t="b">
        <v>0</v>
      </c>
      <c r="E2202" s="9"/>
    </row>
    <row r="2203" ht="15.75" customHeight="1">
      <c r="A2203" s="9" t="s">
        <v>32600</v>
      </c>
      <c r="B2203" s="9" t="s">
        <v>10425</v>
      </c>
      <c r="C2203" s="8" t="s">
        <v>32601</v>
      </c>
      <c r="D2203" s="9" t="b">
        <v>0</v>
      </c>
      <c r="E2203" s="9"/>
    </row>
    <row r="2204" ht="15.75" customHeight="1">
      <c r="A2204" s="9" t="s">
        <v>32602</v>
      </c>
      <c r="B2204" s="9" t="s">
        <v>10425</v>
      </c>
      <c r="C2204" s="8" t="s">
        <v>32603</v>
      </c>
      <c r="D2204" s="9" t="b">
        <v>0</v>
      </c>
      <c r="E2204" s="9" t="s">
        <v>32604</v>
      </c>
    </row>
    <row r="2205" ht="15.75" customHeight="1">
      <c r="A2205" s="9" t="s">
        <v>32605</v>
      </c>
      <c r="B2205" s="9" t="s">
        <v>10425</v>
      </c>
      <c r="C2205" s="8" t="s">
        <v>32606</v>
      </c>
      <c r="D2205" s="9" t="b">
        <v>0</v>
      </c>
      <c r="E2205" s="9" t="s">
        <v>32607</v>
      </c>
    </row>
    <row r="2206" ht="15.75" customHeight="1">
      <c r="A2206" s="9" t="s">
        <v>32608</v>
      </c>
      <c r="B2206" s="9" t="s">
        <v>10425</v>
      </c>
      <c r="C2206" s="8" t="s">
        <v>32609</v>
      </c>
      <c r="D2206" s="9" t="b">
        <v>1</v>
      </c>
      <c r="E2206" s="9" t="s">
        <v>8015</v>
      </c>
    </row>
    <row r="2207" ht="15.75" customHeight="1">
      <c r="A2207" s="9" t="s">
        <v>32610</v>
      </c>
      <c r="B2207" s="9" t="s">
        <v>10425</v>
      </c>
      <c r="C2207" s="8" t="s">
        <v>32611</v>
      </c>
      <c r="D2207" s="9" t="b">
        <v>0</v>
      </c>
      <c r="E2207" s="9" t="s">
        <v>29140</v>
      </c>
    </row>
    <row r="2208" ht="15.75" customHeight="1">
      <c r="A2208" s="9" t="s">
        <v>32612</v>
      </c>
      <c r="B2208" s="9" t="s">
        <v>10425</v>
      </c>
      <c r="C2208" s="8" t="s">
        <v>32613</v>
      </c>
      <c r="D2208" s="9" t="b">
        <v>0</v>
      </c>
      <c r="E2208" s="9" t="s">
        <v>32614</v>
      </c>
    </row>
    <row r="2209" ht="15.75" customHeight="1">
      <c r="A2209" s="9" t="s">
        <v>32615</v>
      </c>
      <c r="B2209" s="9" t="s">
        <v>252</v>
      </c>
      <c r="C2209" s="8" t="s">
        <v>32616</v>
      </c>
      <c r="D2209" s="9" t="b">
        <v>0</v>
      </c>
      <c r="E2209" s="9"/>
    </row>
    <row r="2210" ht="15.75" customHeight="1">
      <c r="A2210" s="52" t="s">
        <v>32617</v>
      </c>
      <c r="B2210" s="9" t="s">
        <v>252</v>
      </c>
      <c r="C2210" s="8" t="s">
        <v>32618</v>
      </c>
      <c r="D2210" s="9" t="b">
        <v>1</v>
      </c>
      <c r="E2210" s="9"/>
    </row>
    <row r="2211" ht="15.75" customHeight="1">
      <c r="A2211" s="9" t="s">
        <v>32619</v>
      </c>
      <c r="B2211" s="9" t="s">
        <v>252</v>
      </c>
      <c r="C2211" s="8" t="s">
        <v>32620</v>
      </c>
      <c r="D2211" s="9" t="b">
        <v>0</v>
      </c>
      <c r="E2211" s="9"/>
    </row>
    <row r="2212" ht="15.75" customHeight="1">
      <c r="A2212" s="9" t="s">
        <v>32621</v>
      </c>
      <c r="B2212" s="9" t="s">
        <v>252</v>
      </c>
      <c r="C2212" s="8" t="s">
        <v>32622</v>
      </c>
      <c r="D2212" s="9" t="b">
        <v>0</v>
      </c>
      <c r="E2212" s="9"/>
    </row>
    <row r="2213" ht="15.75" customHeight="1">
      <c r="A2213" s="9" t="s">
        <v>32623</v>
      </c>
      <c r="B2213" s="9" t="s">
        <v>252</v>
      </c>
      <c r="C2213" s="8" t="s">
        <v>32624</v>
      </c>
      <c r="D2213" s="9" t="b">
        <v>0</v>
      </c>
      <c r="E2213" s="9"/>
    </row>
    <row r="2214" ht="15.75" customHeight="1">
      <c r="A2214" s="9" t="s">
        <v>32625</v>
      </c>
      <c r="B2214" s="9" t="s">
        <v>252</v>
      </c>
      <c r="C2214" s="8" t="s">
        <v>32626</v>
      </c>
      <c r="D2214" s="9" t="b">
        <v>0</v>
      </c>
      <c r="E2214" s="9"/>
    </row>
    <row r="2215" ht="15.75" customHeight="1">
      <c r="A2215" s="9" t="s">
        <v>32627</v>
      </c>
      <c r="B2215" s="9" t="s">
        <v>252</v>
      </c>
      <c r="C2215" s="8" t="s">
        <v>32628</v>
      </c>
      <c r="D2215" s="9" t="b">
        <v>0</v>
      </c>
      <c r="E2215" s="9"/>
    </row>
    <row r="2216" ht="15.75" customHeight="1">
      <c r="A2216" s="9" t="s">
        <v>32629</v>
      </c>
      <c r="B2216" s="9" t="s">
        <v>10318</v>
      </c>
      <c r="C2216" s="8" t="s">
        <v>32630</v>
      </c>
      <c r="D2216" s="9" t="b">
        <v>0</v>
      </c>
      <c r="E2216" s="9"/>
    </row>
    <row r="2217" ht="15.75" customHeight="1">
      <c r="A2217" s="9" t="s">
        <v>32631</v>
      </c>
      <c r="B2217" s="9" t="s">
        <v>10318</v>
      </c>
      <c r="C2217" s="8" t="s">
        <v>32632</v>
      </c>
      <c r="D2217" s="9" t="b">
        <v>0</v>
      </c>
      <c r="E2217" s="9"/>
    </row>
    <row r="2218" ht="15.75" customHeight="1">
      <c r="A2218" s="9" t="s">
        <v>32633</v>
      </c>
      <c r="B2218" s="9" t="s">
        <v>10318</v>
      </c>
      <c r="C2218" s="8" t="s">
        <v>32634</v>
      </c>
      <c r="D2218" s="9" t="b">
        <v>0</v>
      </c>
      <c r="E2218" s="9"/>
    </row>
    <row r="2219" ht="15.75" customHeight="1">
      <c r="A2219" s="9" t="s">
        <v>32635</v>
      </c>
      <c r="B2219" s="9" t="s">
        <v>10318</v>
      </c>
      <c r="C2219" s="8" t="s">
        <v>32636</v>
      </c>
      <c r="D2219" s="9" t="b">
        <v>0</v>
      </c>
      <c r="E2219" s="9"/>
    </row>
    <row r="2220" ht="15.75" customHeight="1">
      <c r="A2220" s="9" t="s">
        <v>32637</v>
      </c>
      <c r="B2220" s="9" t="s">
        <v>10318</v>
      </c>
      <c r="C2220" s="8" t="s">
        <v>32638</v>
      </c>
      <c r="D2220" s="9" t="b">
        <v>0</v>
      </c>
      <c r="E2220" s="9"/>
    </row>
    <row r="2221" ht="15.75" customHeight="1">
      <c r="A2221" s="9" t="s">
        <v>32639</v>
      </c>
      <c r="B2221" s="9" t="s">
        <v>10318</v>
      </c>
      <c r="C2221" s="8" t="s">
        <v>32640</v>
      </c>
      <c r="D2221" s="9" t="b">
        <v>0</v>
      </c>
      <c r="E2221" s="9"/>
    </row>
    <row r="2222" ht="15.75" customHeight="1">
      <c r="A2222" s="9" t="s">
        <v>32641</v>
      </c>
      <c r="B2222" s="9" t="s">
        <v>5586</v>
      </c>
      <c r="C2222" s="8" t="s">
        <v>32642</v>
      </c>
      <c r="D2222" s="9" t="b">
        <v>1</v>
      </c>
      <c r="E2222" s="9"/>
    </row>
    <row r="2223" ht="15.75" customHeight="1">
      <c r="A2223" s="9" t="s">
        <v>32643</v>
      </c>
      <c r="B2223" s="9" t="s">
        <v>5586</v>
      </c>
      <c r="C2223" s="8" t="s">
        <v>32644</v>
      </c>
      <c r="D2223" s="9" t="b">
        <v>0</v>
      </c>
      <c r="E2223" s="9" t="s">
        <v>32645</v>
      </c>
    </row>
    <row r="2224" ht="15.75" customHeight="1">
      <c r="A2224" s="9" t="s">
        <v>32646</v>
      </c>
      <c r="B2224" s="9" t="s">
        <v>5586</v>
      </c>
      <c r="C2224" s="8" t="s">
        <v>32647</v>
      </c>
      <c r="D2224" s="9" t="b">
        <v>0</v>
      </c>
      <c r="E2224" s="9" t="s">
        <v>32648</v>
      </c>
    </row>
    <row r="2225" ht="15.75" customHeight="1">
      <c r="A2225" s="9" t="s">
        <v>32649</v>
      </c>
      <c r="B2225" s="9" t="s">
        <v>5586</v>
      </c>
      <c r="C2225" s="8" t="s">
        <v>32650</v>
      </c>
      <c r="D2225" s="9" t="b">
        <v>0</v>
      </c>
      <c r="E2225" s="9" t="s">
        <v>32651</v>
      </c>
    </row>
    <row r="2226" ht="15.75" customHeight="1">
      <c r="A2226" s="9" t="s">
        <v>32652</v>
      </c>
      <c r="B2226" s="9" t="s">
        <v>5586</v>
      </c>
      <c r="C2226" s="8" t="s">
        <v>32653</v>
      </c>
      <c r="D2226" s="9" t="b">
        <v>0</v>
      </c>
      <c r="E2226" s="9"/>
    </row>
    <row r="2227" ht="15.75" customHeight="1">
      <c r="A2227" s="9" t="s">
        <v>32654</v>
      </c>
      <c r="B2227" s="9" t="s">
        <v>5586</v>
      </c>
      <c r="C2227" s="8" t="s">
        <v>32655</v>
      </c>
      <c r="D2227" s="9" t="b">
        <v>0</v>
      </c>
      <c r="E2227" s="9" t="s">
        <v>32656</v>
      </c>
    </row>
    <row r="2228" ht="15.75" customHeight="1">
      <c r="A2228" s="9" t="s">
        <v>32657</v>
      </c>
      <c r="B2228" s="9" t="s">
        <v>5586</v>
      </c>
      <c r="C2228" s="8" t="s">
        <v>32658</v>
      </c>
      <c r="D2228" s="9" t="b">
        <v>0</v>
      </c>
      <c r="E2228" s="9"/>
    </row>
    <row r="2229" ht="15.75" customHeight="1">
      <c r="A2229" s="9" t="s">
        <v>32659</v>
      </c>
      <c r="B2229" s="9" t="s">
        <v>5586</v>
      </c>
      <c r="C2229" s="8" t="s">
        <v>32660</v>
      </c>
      <c r="D2229" s="9" t="b">
        <v>0</v>
      </c>
      <c r="E2229" s="9" t="s">
        <v>32661</v>
      </c>
    </row>
    <row r="2230" ht="15.75" customHeight="1">
      <c r="A2230" s="9" t="s">
        <v>32662</v>
      </c>
      <c r="B2230" s="9" t="s">
        <v>5586</v>
      </c>
      <c r="C2230" s="8" t="s">
        <v>32663</v>
      </c>
      <c r="D2230" s="9" t="b">
        <v>0</v>
      </c>
      <c r="E2230" s="9" t="s">
        <v>32664</v>
      </c>
    </row>
    <row r="2231" ht="15.75" customHeight="1">
      <c r="A2231" s="9" t="s">
        <v>32665</v>
      </c>
      <c r="B2231" s="9" t="s">
        <v>11911</v>
      </c>
      <c r="C2231" s="8" t="s">
        <v>32666</v>
      </c>
      <c r="D2231" s="9" t="b">
        <v>0</v>
      </c>
      <c r="E2231" s="9"/>
    </row>
    <row r="2232" ht="15.75" customHeight="1">
      <c r="A2232" s="9" t="s">
        <v>32667</v>
      </c>
      <c r="B2232" s="9" t="s">
        <v>11911</v>
      </c>
      <c r="C2232" s="8" t="s">
        <v>32668</v>
      </c>
      <c r="D2232" s="9" t="b">
        <v>0</v>
      </c>
      <c r="E2232" s="9"/>
    </row>
    <row r="2233" ht="15.75" customHeight="1">
      <c r="A2233" s="9" t="s">
        <v>32669</v>
      </c>
      <c r="B2233" s="9" t="s">
        <v>11911</v>
      </c>
      <c r="C2233" s="8" t="s">
        <v>32670</v>
      </c>
      <c r="D2233" s="9" t="b">
        <v>0</v>
      </c>
      <c r="E2233" s="9"/>
    </row>
    <row r="2234" ht="15.75" customHeight="1">
      <c r="A2234" s="9" t="s">
        <v>32671</v>
      </c>
      <c r="B2234" s="9" t="s">
        <v>11911</v>
      </c>
      <c r="C2234" s="8" t="s">
        <v>32672</v>
      </c>
      <c r="D2234" s="9" t="b">
        <v>0</v>
      </c>
      <c r="E2234" s="9"/>
    </row>
    <row r="2235" ht="15.75" customHeight="1">
      <c r="A2235" s="9" t="s">
        <v>32673</v>
      </c>
      <c r="B2235" s="9" t="s">
        <v>11911</v>
      </c>
      <c r="C2235" s="8" t="s">
        <v>32674</v>
      </c>
      <c r="D2235" s="9" t="b">
        <v>1</v>
      </c>
      <c r="E2235" s="9"/>
    </row>
    <row r="2236" ht="15.75" customHeight="1">
      <c r="A2236" s="9" t="s">
        <v>32675</v>
      </c>
      <c r="B2236" s="9" t="s">
        <v>11911</v>
      </c>
      <c r="C2236" s="8" t="s">
        <v>32676</v>
      </c>
      <c r="D2236" s="9" t="b">
        <v>0</v>
      </c>
      <c r="E2236" s="9"/>
    </row>
    <row r="2237" ht="15.75" customHeight="1">
      <c r="A2237" s="9" t="s">
        <v>32677</v>
      </c>
      <c r="B2237" s="9" t="s">
        <v>8871</v>
      </c>
      <c r="C2237" s="8" t="s">
        <v>32678</v>
      </c>
      <c r="D2237" s="9" t="b">
        <v>0</v>
      </c>
      <c r="E2237" s="9"/>
    </row>
    <row r="2238" ht="15.75" customHeight="1">
      <c r="A2238" s="9" t="s">
        <v>32679</v>
      </c>
      <c r="B2238" s="9" t="s">
        <v>8871</v>
      </c>
      <c r="C2238" s="8" t="s">
        <v>32680</v>
      </c>
      <c r="D2238" s="9" t="b">
        <v>0</v>
      </c>
      <c r="E2238" s="9"/>
    </row>
    <row r="2239" ht="15.75" customHeight="1">
      <c r="A2239" s="9" t="s">
        <v>32681</v>
      </c>
      <c r="B2239" s="9" t="s">
        <v>8871</v>
      </c>
      <c r="C2239" s="8" t="s">
        <v>32682</v>
      </c>
      <c r="D2239" s="9" t="b">
        <v>0</v>
      </c>
      <c r="E2239" s="9"/>
    </row>
    <row r="2240" ht="15.75" customHeight="1">
      <c r="A2240" s="9" t="s">
        <v>32683</v>
      </c>
      <c r="B2240" s="9" t="s">
        <v>11911</v>
      </c>
      <c r="C2240" s="8" t="s">
        <v>32684</v>
      </c>
      <c r="D2240" s="9" t="b">
        <v>0</v>
      </c>
      <c r="E2240" s="9"/>
    </row>
    <row r="2241" ht="15.75" customHeight="1">
      <c r="A2241" s="9" t="s">
        <v>32685</v>
      </c>
      <c r="B2241" s="9" t="s">
        <v>11911</v>
      </c>
      <c r="C2241" s="8" t="s">
        <v>32686</v>
      </c>
      <c r="D2241" s="9" t="b">
        <v>0</v>
      </c>
      <c r="E2241" s="9"/>
    </row>
    <row r="2242" ht="15.75" customHeight="1">
      <c r="A2242" s="9" t="s">
        <v>32687</v>
      </c>
      <c r="B2242" s="9" t="s">
        <v>11911</v>
      </c>
      <c r="C2242" s="8" t="s">
        <v>32688</v>
      </c>
      <c r="D2242" s="9" t="b">
        <v>0</v>
      </c>
      <c r="E2242" s="9"/>
    </row>
    <row r="2243" ht="15.75" customHeight="1">
      <c r="A2243" s="9" t="s">
        <v>32689</v>
      </c>
      <c r="B2243" s="9" t="s">
        <v>11911</v>
      </c>
      <c r="C2243" s="8" t="s">
        <v>32690</v>
      </c>
      <c r="D2243" s="9" t="b">
        <v>0</v>
      </c>
      <c r="E2243" s="9"/>
    </row>
    <row r="2244" ht="15.75" customHeight="1">
      <c r="A2244" s="9" t="s">
        <v>32691</v>
      </c>
      <c r="B2244" s="9" t="s">
        <v>11911</v>
      </c>
      <c r="C2244" s="8" t="s">
        <v>32692</v>
      </c>
      <c r="D2244" s="9" t="b">
        <v>0</v>
      </c>
      <c r="E2244" s="9"/>
    </row>
    <row r="2245" ht="15.75" customHeight="1">
      <c r="A2245" s="9" t="s">
        <v>32693</v>
      </c>
      <c r="B2245" s="9" t="s">
        <v>11911</v>
      </c>
      <c r="C2245" s="8" t="s">
        <v>32694</v>
      </c>
      <c r="D2245" s="9" t="b">
        <v>0</v>
      </c>
      <c r="E2245" s="9"/>
    </row>
    <row r="2246" ht="15.75" customHeight="1">
      <c r="A2246" s="9" t="s">
        <v>32695</v>
      </c>
      <c r="B2246" s="9" t="s">
        <v>11911</v>
      </c>
      <c r="C2246" s="8" t="s">
        <v>32696</v>
      </c>
      <c r="D2246" s="9" t="b">
        <v>0</v>
      </c>
      <c r="E2246" s="9"/>
    </row>
    <row r="2247" ht="15.75" customHeight="1">
      <c r="A2247" s="9" t="s">
        <v>32697</v>
      </c>
      <c r="B2247" s="9" t="s">
        <v>12108</v>
      </c>
      <c r="C2247" s="8" t="s">
        <v>32698</v>
      </c>
      <c r="D2247" s="9" t="b">
        <v>0</v>
      </c>
      <c r="E2247" s="9"/>
    </row>
    <row r="2248" ht="15.75" customHeight="1">
      <c r="A2248" s="9" t="s">
        <v>32699</v>
      </c>
      <c r="B2248" s="9" t="s">
        <v>12108</v>
      </c>
      <c r="C2248" s="8" t="s">
        <v>32700</v>
      </c>
      <c r="D2248" s="9" t="b">
        <v>1</v>
      </c>
      <c r="E2248" s="9"/>
    </row>
    <row r="2249" ht="15.75" customHeight="1">
      <c r="A2249" s="9" t="s">
        <v>32701</v>
      </c>
      <c r="B2249" s="9" t="s">
        <v>12108</v>
      </c>
      <c r="C2249" s="8" t="s">
        <v>32702</v>
      </c>
      <c r="D2249" s="9" t="b">
        <v>0</v>
      </c>
      <c r="E2249" s="9"/>
    </row>
    <row r="2250" ht="15.75" customHeight="1">
      <c r="A2250" s="9" t="s">
        <v>32703</v>
      </c>
      <c r="B2250" s="9" t="s">
        <v>12108</v>
      </c>
      <c r="C2250" s="8" t="s">
        <v>32704</v>
      </c>
      <c r="D2250" s="9" t="b">
        <v>0</v>
      </c>
      <c r="E2250" s="9"/>
    </row>
    <row r="2251" ht="15.75" customHeight="1">
      <c r="A2251" s="9" t="s">
        <v>32705</v>
      </c>
      <c r="B2251" s="9" t="s">
        <v>12108</v>
      </c>
      <c r="C2251" s="8" t="s">
        <v>32706</v>
      </c>
      <c r="D2251" s="9" t="b">
        <v>0</v>
      </c>
      <c r="E2251" s="9"/>
    </row>
    <row r="2252" ht="15.75" customHeight="1">
      <c r="A2252" s="9" t="s">
        <v>32707</v>
      </c>
      <c r="B2252" s="9" t="s">
        <v>12102</v>
      </c>
      <c r="C2252" s="8" t="s">
        <v>32708</v>
      </c>
      <c r="D2252" s="9" t="b">
        <v>1</v>
      </c>
      <c r="E2252" s="9"/>
    </row>
    <row r="2253" ht="15.75" customHeight="1">
      <c r="A2253" s="9" t="s">
        <v>32709</v>
      </c>
      <c r="B2253" s="9" t="s">
        <v>12138</v>
      </c>
      <c r="C2253" s="8" t="s">
        <v>32710</v>
      </c>
      <c r="D2253" s="9" t="b">
        <v>0</v>
      </c>
      <c r="E2253" s="9"/>
    </row>
    <row r="2254" ht="15.75" customHeight="1">
      <c r="A2254" s="9" t="s">
        <v>32711</v>
      </c>
      <c r="B2254" s="9" t="s">
        <v>12138</v>
      </c>
      <c r="C2254" s="8" t="s">
        <v>32712</v>
      </c>
      <c r="D2254" s="9" t="b">
        <v>0</v>
      </c>
      <c r="E2254" s="9"/>
    </row>
    <row r="2255" ht="15.75" customHeight="1">
      <c r="A2255" s="9" t="s">
        <v>32713</v>
      </c>
      <c r="B2255" s="9" t="s">
        <v>12138</v>
      </c>
      <c r="C2255" s="8" t="s">
        <v>32714</v>
      </c>
      <c r="D2255" s="9" t="b">
        <v>0</v>
      </c>
      <c r="E2255" s="9"/>
    </row>
    <row r="2256" ht="15.75" customHeight="1">
      <c r="A2256" s="9" t="s">
        <v>32715</v>
      </c>
      <c r="B2256" s="9" t="s">
        <v>12138</v>
      </c>
      <c r="C2256" s="8" t="s">
        <v>32716</v>
      </c>
      <c r="D2256" s="9" t="b">
        <v>1</v>
      </c>
      <c r="E2256" s="9"/>
    </row>
    <row r="2257" ht="15.75" customHeight="1">
      <c r="A2257" s="9" t="s">
        <v>32717</v>
      </c>
      <c r="B2257" s="9" t="s">
        <v>11545</v>
      </c>
      <c r="C2257" s="8" t="s">
        <v>32718</v>
      </c>
      <c r="D2257" s="9" t="b">
        <v>1</v>
      </c>
      <c r="E2257" s="9"/>
    </row>
    <row r="2258" ht="15.75" customHeight="1">
      <c r="A2258" s="9" t="s">
        <v>32719</v>
      </c>
      <c r="B2258" s="9" t="s">
        <v>11545</v>
      </c>
      <c r="C2258" s="8" t="s">
        <v>32720</v>
      </c>
      <c r="D2258" s="9" t="b">
        <v>0</v>
      </c>
      <c r="E2258" s="9"/>
    </row>
    <row r="2259" ht="15.75" customHeight="1">
      <c r="A2259" s="9" t="s">
        <v>32721</v>
      </c>
      <c r="B2259" s="9" t="s">
        <v>11545</v>
      </c>
      <c r="C2259" s="8" t="s">
        <v>32722</v>
      </c>
      <c r="D2259" s="9" t="b">
        <v>0</v>
      </c>
      <c r="E2259" s="9"/>
    </row>
    <row r="2260" ht="15.75" customHeight="1">
      <c r="A2260" s="9" t="s">
        <v>32723</v>
      </c>
      <c r="B2260" s="9" t="s">
        <v>11545</v>
      </c>
      <c r="C2260" s="8" t="s">
        <v>32724</v>
      </c>
      <c r="D2260" s="9" t="b">
        <v>0</v>
      </c>
      <c r="E2260" s="9"/>
    </row>
    <row r="2261" ht="15.75" customHeight="1">
      <c r="A2261" s="9" t="s">
        <v>32725</v>
      </c>
      <c r="B2261" s="9" t="s">
        <v>11545</v>
      </c>
      <c r="C2261" s="8" t="s">
        <v>32726</v>
      </c>
      <c r="D2261" s="9" t="b">
        <v>0</v>
      </c>
      <c r="E2261" s="9"/>
    </row>
    <row r="2262" ht="15.75" customHeight="1">
      <c r="A2262" s="9" t="s">
        <v>32727</v>
      </c>
      <c r="B2262" s="9" t="s">
        <v>11545</v>
      </c>
      <c r="C2262" s="8" t="s">
        <v>32728</v>
      </c>
      <c r="D2262" s="9" t="b">
        <v>0</v>
      </c>
      <c r="E2262" s="9"/>
    </row>
    <row r="2263" ht="15.75" customHeight="1">
      <c r="A2263" s="9" t="s">
        <v>32729</v>
      </c>
      <c r="B2263" s="9" t="s">
        <v>11545</v>
      </c>
      <c r="C2263" s="8" t="s">
        <v>32730</v>
      </c>
      <c r="D2263" s="9" t="b">
        <v>0</v>
      </c>
      <c r="E2263" s="9"/>
    </row>
    <row r="2264" ht="15.75" customHeight="1">
      <c r="A2264" s="9" t="s">
        <v>32731</v>
      </c>
      <c r="B2264" s="9" t="s">
        <v>11545</v>
      </c>
      <c r="C2264" s="8" t="s">
        <v>32732</v>
      </c>
      <c r="D2264" s="9" t="b">
        <v>0</v>
      </c>
      <c r="E2264" s="9"/>
    </row>
    <row r="2265" ht="15.75" customHeight="1">
      <c r="A2265" s="9" t="s">
        <v>32733</v>
      </c>
      <c r="B2265" s="9" t="s">
        <v>11545</v>
      </c>
      <c r="C2265" s="8" t="s">
        <v>32734</v>
      </c>
      <c r="D2265" s="9" t="b">
        <v>0</v>
      </c>
      <c r="E2265" s="9"/>
    </row>
    <row r="2266" ht="15.75" customHeight="1">
      <c r="A2266" s="9" t="s">
        <v>32735</v>
      </c>
      <c r="B2266" s="9" t="s">
        <v>11545</v>
      </c>
      <c r="C2266" s="8" t="s">
        <v>32736</v>
      </c>
      <c r="D2266" s="9" t="b">
        <v>0</v>
      </c>
      <c r="E2266" s="9"/>
    </row>
    <row r="2267" ht="15.75" customHeight="1">
      <c r="A2267" s="9" t="s">
        <v>32737</v>
      </c>
      <c r="B2267" s="9" t="s">
        <v>10490</v>
      </c>
      <c r="C2267" s="8" t="s">
        <v>32738</v>
      </c>
      <c r="D2267" s="9" t="b">
        <v>0</v>
      </c>
      <c r="E2267" s="9" t="s">
        <v>30363</v>
      </c>
    </row>
    <row r="2268" ht="15.75" customHeight="1">
      <c r="A2268" s="9" t="s">
        <v>32739</v>
      </c>
      <c r="B2268" s="9" t="s">
        <v>10490</v>
      </c>
      <c r="C2268" s="8" t="s">
        <v>32740</v>
      </c>
      <c r="D2268" s="9" t="b">
        <v>0</v>
      </c>
      <c r="E2268" s="9" t="s">
        <v>32604</v>
      </c>
    </row>
    <row r="2269" ht="15.75" customHeight="1">
      <c r="A2269" s="9" t="s">
        <v>32741</v>
      </c>
      <c r="B2269" s="9" t="s">
        <v>10490</v>
      </c>
      <c r="C2269" s="8" t="s">
        <v>32742</v>
      </c>
      <c r="D2269" s="9" t="b">
        <v>0</v>
      </c>
      <c r="E2269" s="9" t="s">
        <v>29154</v>
      </c>
    </row>
    <row r="2270" ht="15.75" customHeight="1">
      <c r="A2270" s="9" t="s">
        <v>32743</v>
      </c>
      <c r="B2270" s="9" t="s">
        <v>10490</v>
      </c>
      <c r="C2270" s="8" t="s">
        <v>32744</v>
      </c>
      <c r="D2270" s="9" t="b">
        <v>0</v>
      </c>
      <c r="E2270" s="9" t="s">
        <v>30336</v>
      </c>
    </row>
    <row r="2271" ht="15.75" customHeight="1">
      <c r="A2271" s="9" t="s">
        <v>32745</v>
      </c>
      <c r="B2271" s="9" t="s">
        <v>10490</v>
      </c>
      <c r="C2271" s="8" t="s">
        <v>32746</v>
      </c>
      <c r="D2271" s="9" t="b">
        <v>1</v>
      </c>
      <c r="E2271" s="9" t="s">
        <v>29140</v>
      </c>
    </row>
    <row r="2272" ht="15.75" customHeight="1">
      <c r="A2272" s="9" t="s">
        <v>32747</v>
      </c>
      <c r="B2272" s="9" t="s">
        <v>11945</v>
      </c>
      <c r="C2272" s="8" t="s">
        <v>32748</v>
      </c>
      <c r="D2272" s="9" t="b">
        <v>0</v>
      </c>
      <c r="E2272" s="9"/>
    </row>
    <row r="2273" ht="15.75" customHeight="1">
      <c r="A2273" s="9" t="s">
        <v>32749</v>
      </c>
      <c r="B2273" s="9" t="s">
        <v>10322</v>
      </c>
      <c r="C2273" s="8" t="s">
        <v>32750</v>
      </c>
      <c r="D2273" s="9" t="b">
        <v>0</v>
      </c>
      <c r="E2273" s="9"/>
    </row>
    <row r="2274" ht="15.75" customHeight="1">
      <c r="A2274" s="9" t="s">
        <v>32751</v>
      </c>
      <c r="B2274" s="9" t="s">
        <v>10069</v>
      </c>
      <c r="C2274" s="8" t="s">
        <v>32752</v>
      </c>
      <c r="D2274" s="9" t="b">
        <v>1</v>
      </c>
      <c r="E2274" s="9"/>
    </row>
    <row r="2275" ht="15.75" customHeight="1">
      <c r="A2275" s="9" t="s">
        <v>32753</v>
      </c>
      <c r="B2275" s="9" t="s">
        <v>10069</v>
      </c>
      <c r="C2275" s="8" t="s">
        <v>32754</v>
      </c>
      <c r="D2275" s="9" t="b">
        <v>0</v>
      </c>
      <c r="E2275" s="9"/>
    </row>
    <row r="2276" ht="15.75" customHeight="1">
      <c r="A2276" s="9" t="s">
        <v>32755</v>
      </c>
      <c r="B2276" s="9" t="s">
        <v>10069</v>
      </c>
      <c r="C2276" s="8" t="s">
        <v>32756</v>
      </c>
      <c r="D2276" s="9" t="b">
        <v>0</v>
      </c>
      <c r="E2276" s="9"/>
    </row>
    <row r="2277" ht="15.75" customHeight="1">
      <c r="A2277" s="9" t="s">
        <v>32757</v>
      </c>
      <c r="B2277" s="9" t="s">
        <v>10069</v>
      </c>
      <c r="C2277" s="8" t="s">
        <v>32758</v>
      </c>
      <c r="D2277" s="9" t="b">
        <v>0</v>
      </c>
      <c r="E2277" s="9"/>
    </row>
    <row r="2278" ht="15.75" customHeight="1">
      <c r="A2278" s="9" t="s">
        <v>32759</v>
      </c>
      <c r="B2278" s="9" t="s">
        <v>7975</v>
      </c>
      <c r="C2278" s="8" t="s">
        <v>32760</v>
      </c>
      <c r="D2278" s="9" t="b">
        <v>1</v>
      </c>
      <c r="E2278" s="9"/>
    </row>
    <row r="2279" ht="15.75" customHeight="1">
      <c r="A2279" s="9" t="s">
        <v>32761</v>
      </c>
      <c r="B2279" s="9" t="s">
        <v>7975</v>
      </c>
      <c r="C2279" s="8" t="s">
        <v>32762</v>
      </c>
      <c r="D2279" s="9" t="b">
        <v>0</v>
      </c>
      <c r="E2279" s="9"/>
    </row>
    <row r="2280" ht="15.75" customHeight="1">
      <c r="A2280" s="9" t="s">
        <v>32763</v>
      </c>
      <c r="B2280" s="9" t="s">
        <v>7975</v>
      </c>
      <c r="C2280" s="8" t="s">
        <v>32764</v>
      </c>
      <c r="D2280" s="9" t="b">
        <v>0</v>
      </c>
      <c r="E2280" s="9"/>
    </row>
    <row r="2281" ht="15.75" customHeight="1">
      <c r="A2281" s="9" t="s">
        <v>32765</v>
      </c>
      <c r="B2281" s="9" t="s">
        <v>7975</v>
      </c>
      <c r="C2281" s="8" t="s">
        <v>32766</v>
      </c>
      <c r="D2281" s="9" t="b">
        <v>0</v>
      </c>
      <c r="E2281" s="9"/>
    </row>
    <row r="2282" ht="15.75" customHeight="1">
      <c r="A2282" s="9" t="s">
        <v>32767</v>
      </c>
      <c r="B2282" s="9" t="s">
        <v>7975</v>
      </c>
      <c r="C2282" s="8" t="s">
        <v>32768</v>
      </c>
      <c r="D2282" s="9" t="b">
        <v>0</v>
      </c>
      <c r="E2282" s="9"/>
    </row>
    <row r="2283" ht="15.75" customHeight="1">
      <c r="A2283" s="9" t="s">
        <v>32769</v>
      </c>
      <c r="B2283" s="9" t="s">
        <v>8558</v>
      </c>
      <c r="C2283" s="8" t="s">
        <v>32770</v>
      </c>
      <c r="D2283" s="9" t="b">
        <v>1</v>
      </c>
      <c r="E2283" s="9"/>
    </row>
    <row r="2284" ht="15.75" customHeight="1">
      <c r="A2284" s="9" t="s">
        <v>32771</v>
      </c>
      <c r="B2284" s="9" t="s">
        <v>8558</v>
      </c>
      <c r="C2284" s="8" t="s">
        <v>32772</v>
      </c>
      <c r="D2284" s="9" t="b">
        <v>0</v>
      </c>
      <c r="E2284" s="9"/>
    </row>
    <row r="2285" ht="15.75" customHeight="1">
      <c r="A2285" s="9" t="s">
        <v>32773</v>
      </c>
      <c r="B2285" s="9" t="s">
        <v>8558</v>
      </c>
      <c r="C2285" s="8" t="s">
        <v>32774</v>
      </c>
      <c r="D2285" s="9" t="b">
        <v>0</v>
      </c>
      <c r="E2285" s="9"/>
    </row>
    <row r="2286" ht="15.75" customHeight="1">
      <c r="A2286" s="9" t="s">
        <v>32775</v>
      </c>
      <c r="B2286" s="9" t="s">
        <v>8558</v>
      </c>
      <c r="C2286" s="8" t="s">
        <v>32776</v>
      </c>
      <c r="D2286" s="9" t="b">
        <v>0</v>
      </c>
      <c r="E2286" s="9"/>
    </row>
    <row r="2287" ht="15.75" customHeight="1">
      <c r="A2287" s="9" t="s">
        <v>32777</v>
      </c>
      <c r="B2287" s="9" t="s">
        <v>8558</v>
      </c>
      <c r="C2287" s="8" t="s">
        <v>32778</v>
      </c>
      <c r="D2287" s="9" t="b">
        <v>0</v>
      </c>
      <c r="E2287" s="9"/>
    </row>
    <row r="2288" ht="15.75" customHeight="1">
      <c r="A2288" s="9" t="s">
        <v>32779</v>
      </c>
      <c r="B2288" s="9" t="s">
        <v>8558</v>
      </c>
      <c r="C2288" s="8" t="s">
        <v>32780</v>
      </c>
      <c r="D2288" s="9" t="b">
        <v>0</v>
      </c>
      <c r="E2288" s="9"/>
    </row>
    <row r="2289" ht="15.75" customHeight="1">
      <c r="A2289" s="9" t="s">
        <v>32781</v>
      </c>
      <c r="B2289" s="9" t="s">
        <v>10490</v>
      </c>
      <c r="C2289" s="8" t="s">
        <v>32782</v>
      </c>
      <c r="D2289" s="9" t="b">
        <v>0</v>
      </c>
      <c r="E2289" s="9" t="s">
        <v>32604</v>
      </c>
    </row>
    <row r="2290" ht="15.75" customHeight="1">
      <c r="A2290" s="9" t="s">
        <v>32783</v>
      </c>
      <c r="B2290" s="9" t="s">
        <v>10490</v>
      </c>
      <c r="C2290" s="8" t="s">
        <v>32784</v>
      </c>
      <c r="D2290" s="9" t="b">
        <v>0</v>
      </c>
      <c r="E2290" s="9" t="s">
        <v>32607</v>
      </c>
    </row>
    <row r="2291" ht="15.75" customHeight="1">
      <c r="A2291" s="9" t="s">
        <v>32785</v>
      </c>
      <c r="B2291" s="9" t="s">
        <v>10490</v>
      </c>
      <c r="C2291" s="8" t="s">
        <v>32786</v>
      </c>
      <c r="D2291" s="9" t="b">
        <v>0</v>
      </c>
      <c r="E2291" s="9" t="s">
        <v>32787</v>
      </c>
    </row>
    <row r="2292" ht="15.75" customHeight="1">
      <c r="A2292" s="9" t="s">
        <v>32788</v>
      </c>
      <c r="B2292" s="9" t="s">
        <v>10490</v>
      </c>
      <c r="C2292" s="8" t="s">
        <v>32789</v>
      </c>
      <c r="D2292" s="9" t="b">
        <v>0</v>
      </c>
      <c r="E2292" s="9" t="s">
        <v>31788</v>
      </c>
    </row>
    <row r="2293" ht="15.75" customHeight="1">
      <c r="A2293" s="9" t="s">
        <v>32790</v>
      </c>
      <c r="B2293" s="9" t="s">
        <v>6433</v>
      </c>
      <c r="C2293" s="8" t="s">
        <v>32791</v>
      </c>
      <c r="D2293" s="9" t="b">
        <v>0</v>
      </c>
      <c r="E2293" s="9"/>
    </row>
    <row r="2294" ht="15.75" customHeight="1">
      <c r="A2294" s="9" t="s">
        <v>32792</v>
      </c>
      <c r="B2294" s="9" t="s">
        <v>11975</v>
      </c>
      <c r="C2294" s="8" t="s">
        <v>32793</v>
      </c>
      <c r="D2294" s="9" t="b">
        <v>1</v>
      </c>
      <c r="E2294" s="9"/>
    </row>
    <row r="2295" ht="15.75" customHeight="1">
      <c r="A2295" s="9" t="s">
        <v>32794</v>
      </c>
      <c r="B2295" s="9" t="s">
        <v>11975</v>
      </c>
      <c r="C2295" s="8" t="s">
        <v>32795</v>
      </c>
      <c r="D2295" s="9" t="b">
        <v>0</v>
      </c>
      <c r="E2295" s="9"/>
    </row>
    <row r="2296" ht="15.75" customHeight="1">
      <c r="A2296" s="9" t="s">
        <v>32796</v>
      </c>
      <c r="B2296" s="9" t="s">
        <v>11975</v>
      </c>
      <c r="C2296" s="8" t="s">
        <v>32797</v>
      </c>
      <c r="D2296" s="9" t="b">
        <v>0</v>
      </c>
      <c r="E2296" s="9"/>
    </row>
    <row r="2297" ht="15.75" customHeight="1">
      <c r="A2297" s="9" t="s">
        <v>32798</v>
      </c>
      <c r="B2297" s="9" t="s">
        <v>11975</v>
      </c>
      <c r="C2297" s="8" t="s">
        <v>32799</v>
      </c>
      <c r="D2297" s="9" t="b">
        <v>0</v>
      </c>
      <c r="E2297" s="9"/>
    </row>
    <row r="2298" ht="15.75" customHeight="1">
      <c r="A2298" s="9" t="s">
        <v>32800</v>
      </c>
      <c r="B2298" s="9" t="s">
        <v>11975</v>
      </c>
      <c r="C2298" s="8" t="s">
        <v>32801</v>
      </c>
      <c r="D2298" s="9" t="b">
        <v>0</v>
      </c>
      <c r="E2298" s="9"/>
    </row>
    <row r="2299" ht="15.75" customHeight="1">
      <c r="A2299" s="9" t="s">
        <v>32802</v>
      </c>
      <c r="B2299" s="9" t="s">
        <v>11975</v>
      </c>
      <c r="C2299" s="8" t="s">
        <v>32803</v>
      </c>
      <c r="D2299" s="9" t="b">
        <v>0</v>
      </c>
      <c r="E2299" s="9"/>
    </row>
    <row r="2300" ht="15.75" customHeight="1">
      <c r="A2300" s="9" t="s">
        <v>32804</v>
      </c>
      <c r="B2300" s="9" t="s">
        <v>11975</v>
      </c>
      <c r="C2300" s="8" t="s">
        <v>32805</v>
      </c>
      <c r="D2300" s="9" t="b">
        <v>0</v>
      </c>
      <c r="E2300" s="9"/>
    </row>
    <row r="2301" ht="15.75" customHeight="1">
      <c r="A2301" s="9"/>
      <c r="B2301" s="9"/>
      <c r="C2301" s="9"/>
      <c r="D2301" s="9"/>
      <c r="E2301" s="9"/>
    </row>
    <row r="2302" ht="15.75" customHeight="1">
      <c r="A2302" s="9" t="s">
        <v>32806</v>
      </c>
      <c r="B2302" s="9" t="s">
        <v>3256</v>
      </c>
      <c r="C2302" s="8" t="s">
        <v>32807</v>
      </c>
      <c r="D2302" s="9" t="b">
        <v>0</v>
      </c>
      <c r="E2302" s="9"/>
    </row>
    <row r="2303" ht="15.75" customHeight="1">
      <c r="A2303" s="9" t="s">
        <v>32808</v>
      </c>
      <c r="B2303" s="9" t="s">
        <v>3256</v>
      </c>
      <c r="C2303" s="8" t="s">
        <v>32809</v>
      </c>
      <c r="D2303" s="9" t="b">
        <v>0</v>
      </c>
      <c r="E2303" s="9"/>
    </row>
    <row r="2304" ht="15.75" customHeight="1">
      <c r="A2304" s="9" t="s">
        <v>32810</v>
      </c>
      <c r="B2304" s="9" t="s">
        <v>3256</v>
      </c>
      <c r="C2304" s="8" t="s">
        <v>32811</v>
      </c>
      <c r="D2304" s="9" t="b">
        <v>1</v>
      </c>
      <c r="E2304" s="9"/>
    </row>
    <row r="2305" ht="15.75" customHeight="1">
      <c r="A2305" s="9" t="s">
        <v>32812</v>
      </c>
      <c r="B2305" s="9" t="s">
        <v>3256</v>
      </c>
      <c r="C2305" s="8" t="s">
        <v>32813</v>
      </c>
      <c r="D2305" s="9" t="b">
        <v>0</v>
      </c>
      <c r="E2305" s="9"/>
    </row>
    <row r="2306" ht="15.75" customHeight="1">
      <c r="A2306" s="9" t="s">
        <v>32814</v>
      </c>
      <c r="B2306" s="9" t="s">
        <v>10303</v>
      </c>
      <c r="C2306" s="8" t="s">
        <v>32815</v>
      </c>
      <c r="D2306" s="9" t="b">
        <v>1</v>
      </c>
      <c r="E2306" s="9"/>
    </row>
    <row r="2307" ht="15.75" customHeight="1">
      <c r="A2307" s="9" t="s">
        <v>32816</v>
      </c>
      <c r="B2307" s="9" t="s">
        <v>10303</v>
      </c>
      <c r="C2307" s="8" t="s">
        <v>32817</v>
      </c>
      <c r="D2307" s="9" t="b">
        <v>0</v>
      </c>
      <c r="E2307" s="9"/>
    </row>
    <row r="2308" ht="15.75" customHeight="1">
      <c r="A2308" s="9" t="s">
        <v>32818</v>
      </c>
      <c r="B2308" s="9" t="s">
        <v>10303</v>
      </c>
      <c r="C2308" s="8" t="s">
        <v>32819</v>
      </c>
      <c r="D2308" s="9" t="b">
        <v>0</v>
      </c>
      <c r="E2308" s="9"/>
    </row>
    <row r="2309" ht="15.75" customHeight="1">
      <c r="A2309" s="9" t="s">
        <v>32820</v>
      </c>
      <c r="B2309" s="9" t="s">
        <v>10303</v>
      </c>
      <c r="C2309" s="8" t="s">
        <v>32821</v>
      </c>
      <c r="D2309" s="9" t="b">
        <v>0</v>
      </c>
      <c r="E2309" s="9"/>
    </row>
    <row r="2310" ht="15.75" customHeight="1">
      <c r="A2310" s="9" t="s">
        <v>32822</v>
      </c>
      <c r="B2310" s="9" t="s">
        <v>12038</v>
      </c>
      <c r="C2310" s="8" t="s">
        <v>32823</v>
      </c>
      <c r="D2310" s="9" t="b">
        <v>0</v>
      </c>
      <c r="E2310" s="9"/>
    </row>
    <row r="2311" ht="15.75" customHeight="1">
      <c r="A2311" s="9" t="s">
        <v>32824</v>
      </c>
      <c r="B2311" s="9" t="s">
        <v>12038</v>
      </c>
      <c r="C2311" s="8" t="s">
        <v>32825</v>
      </c>
      <c r="D2311" s="9" t="b">
        <v>0</v>
      </c>
      <c r="E2311" s="9"/>
    </row>
    <row r="2312" ht="15.75" customHeight="1">
      <c r="A2312" s="9" t="s">
        <v>32826</v>
      </c>
      <c r="B2312" s="9" t="s">
        <v>12038</v>
      </c>
      <c r="C2312" s="8" t="s">
        <v>32827</v>
      </c>
      <c r="D2312" s="9" t="b">
        <v>0</v>
      </c>
      <c r="E2312" s="9"/>
    </row>
    <row r="2313" ht="15.75" customHeight="1">
      <c r="A2313" s="9" t="s">
        <v>32828</v>
      </c>
      <c r="B2313" s="9" t="s">
        <v>12038</v>
      </c>
      <c r="C2313" s="8" t="s">
        <v>32829</v>
      </c>
      <c r="D2313" s="9" t="b">
        <v>0</v>
      </c>
      <c r="E2313" s="9"/>
    </row>
    <row r="2314" ht="15.75" customHeight="1">
      <c r="A2314" s="9" t="s">
        <v>32830</v>
      </c>
      <c r="B2314" s="9" t="s">
        <v>10303</v>
      </c>
      <c r="C2314" s="8" t="s">
        <v>32831</v>
      </c>
      <c r="D2314" s="9" t="b">
        <v>0</v>
      </c>
      <c r="E2314" s="9"/>
    </row>
    <row r="2315" ht="15.75" customHeight="1">
      <c r="A2315" s="9" t="s">
        <v>32832</v>
      </c>
      <c r="B2315" s="9" t="s">
        <v>6433</v>
      </c>
      <c r="C2315" s="8" t="s">
        <v>32833</v>
      </c>
      <c r="D2315" s="9" t="b">
        <v>1</v>
      </c>
      <c r="E2315" s="9"/>
    </row>
    <row r="2316" ht="15.75" customHeight="1">
      <c r="A2316" s="9" t="s">
        <v>32834</v>
      </c>
      <c r="B2316" s="9" t="s">
        <v>6433</v>
      </c>
      <c r="C2316" s="8" t="s">
        <v>32835</v>
      </c>
      <c r="D2316" s="9" t="b">
        <v>0</v>
      </c>
      <c r="E2316" s="9"/>
    </row>
    <row r="2317" ht="15.75" customHeight="1">
      <c r="A2317" s="9" t="s">
        <v>32836</v>
      </c>
      <c r="B2317" s="9" t="s">
        <v>10322</v>
      </c>
      <c r="C2317" s="8" t="s">
        <v>32837</v>
      </c>
      <c r="D2317" s="9" t="b">
        <v>0</v>
      </c>
      <c r="E2317" s="9"/>
    </row>
    <row r="2318" ht="15.75" customHeight="1">
      <c r="A2318" s="9" t="s">
        <v>32838</v>
      </c>
      <c r="B2318" s="9" t="s">
        <v>10322</v>
      </c>
      <c r="C2318" s="8" t="s">
        <v>32839</v>
      </c>
      <c r="D2318" s="9" t="b">
        <v>0</v>
      </c>
      <c r="E2318" s="9"/>
    </row>
    <row r="2319" ht="15.75" customHeight="1">
      <c r="A2319" s="9" t="s">
        <v>32840</v>
      </c>
      <c r="B2319" s="9" t="s">
        <v>10322</v>
      </c>
      <c r="C2319" s="8" t="s">
        <v>32841</v>
      </c>
      <c r="D2319" s="9" t="b">
        <v>1</v>
      </c>
      <c r="E2319" s="9"/>
    </row>
    <row r="2320" ht="15.75" customHeight="1">
      <c r="A2320" s="9" t="s">
        <v>32842</v>
      </c>
      <c r="B2320" s="9" t="s">
        <v>10322</v>
      </c>
      <c r="C2320" s="8" t="s">
        <v>32843</v>
      </c>
      <c r="D2320" s="9" t="b">
        <v>0</v>
      </c>
      <c r="E2320" s="9"/>
    </row>
    <row r="2321" ht="15.75" customHeight="1">
      <c r="A2321" s="9" t="s">
        <v>32844</v>
      </c>
      <c r="B2321" s="9" t="s">
        <v>10322</v>
      </c>
      <c r="C2321" s="8" t="s">
        <v>32845</v>
      </c>
      <c r="D2321" s="9" t="b">
        <v>0</v>
      </c>
      <c r="E2321" s="9"/>
    </row>
    <row r="2322" ht="15.75" customHeight="1">
      <c r="A2322" s="9" t="s">
        <v>32846</v>
      </c>
      <c r="B2322" s="9" t="s">
        <v>10322</v>
      </c>
      <c r="C2322" s="8" t="s">
        <v>32847</v>
      </c>
      <c r="D2322" s="9" t="b">
        <v>0</v>
      </c>
      <c r="E2322" s="9"/>
    </row>
    <row r="2323" ht="15.75" customHeight="1">
      <c r="A2323" s="9" t="s">
        <v>32848</v>
      </c>
      <c r="B2323" s="9" t="s">
        <v>10322</v>
      </c>
      <c r="C2323" s="8" t="s">
        <v>32849</v>
      </c>
      <c r="D2323" s="9" t="b">
        <v>0</v>
      </c>
      <c r="E2323" s="9"/>
    </row>
    <row r="2324" ht="15.75" customHeight="1">
      <c r="A2324" s="9" t="s">
        <v>32850</v>
      </c>
      <c r="B2324" s="9" t="s">
        <v>10322</v>
      </c>
      <c r="C2324" s="8" t="s">
        <v>32851</v>
      </c>
      <c r="D2324" s="9" t="b">
        <v>0</v>
      </c>
      <c r="E2324" s="9"/>
    </row>
    <row r="2325" ht="15.75" customHeight="1">
      <c r="A2325" s="9" t="s">
        <v>32852</v>
      </c>
      <c r="B2325" s="9" t="s">
        <v>10322</v>
      </c>
      <c r="C2325" s="8" t="s">
        <v>32853</v>
      </c>
      <c r="D2325" s="9" t="b">
        <v>0</v>
      </c>
      <c r="E2325" s="9"/>
    </row>
    <row r="2326" ht="15.75" customHeight="1">
      <c r="A2326" s="9" t="s">
        <v>32854</v>
      </c>
      <c r="B2326" s="9" t="s">
        <v>10322</v>
      </c>
      <c r="C2326" s="8" t="s">
        <v>32855</v>
      </c>
      <c r="D2326" s="9" t="b">
        <v>0</v>
      </c>
      <c r="E2326" s="9"/>
    </row>
    <row r="2327" ht="15.75" customHeight="1">
      <c r="A2327" s="9" t="s">
        <v>32856</v>
      </c>
      <c r="B2327" s="9" t="s">
        <v>10322</v>
      </c>
      <c r="C2327" s="8" t="s">
        <v>32857</v>
      </c>
      <c r="D2327" s="9" t="b">
        <v>0</v>
      </c>
      <c r="E2327" s="9"/>
    </row>
    <row r="2328" ht="15.75" customHeight="1">
      <c r="A2328" s="9" t="s">
        <v>32858</v>
      </c>
      <c r="B2328" s="9" t="s">
        <v>10322</v>
      </c>
      <c r="C2328" s="8" t="s">
        <v>32859</v>
      </c>
      <c r="D2328" s="9" t="b">
        <v>0</v>
      </c>
      <c r="E2328" s="9"/>
    </row>
    <row r="2329" ht="15.75" customHeight="1">
      <c r="A2329" s="9" t="s">
        <v>32860</v>
      </c>
      <c r="B2329" s="9" t="s">
        <v>10322</v>
      </c>
      <c r="C2329" s="8" t="s">
        <v>32861</v>
      </c>
      <c r="D2329" s="9" t="b">
        <v>0</v>
      </c>
      <c r="E2329" s="9"/>
    </row>
    <row r="2330" ht="15.75" customHeight="1">
      <c r="A2330" s="9" t="s">
        <v>32862</v>
      </c>
      <c r="B2330" s="9" t="s">
        <v>10322</v>
      </c>
      <c r="C2330" s="8" t="s">
        <v>32863</v>
      </c>
      <c r="D2330" s="9" t="b">
        <v>0</v>
      </c>
      <c r="E2330" s="9"/>
    </row>
    <row r="2331" ht="15.75" customHeight="1">
      <c r="A2331" s="9" t="s">
        <v>32864</v>
      </c>
      <c r="B2331" s="9" t="s">
        <v>10322</v>
      </c>
      <c r="C2331" s="8" t="s">
        <v>32865</v>
      </c>
      <c r="D2331" s="9" t="b">
        <v>0</v>
      </c>
      <c r="E2331" s="9"/>
    </row>
    <row r="2332" ht="15.75" customHeight="1">
      <c r="A2332" s="9" t="s">
        <v>32866</v>
      </c>
      <c r="B2332" s="9" t="s">
        <v>10322</v>
      </c>
      <c r="C2332" s="8" t="s">
        <v>32867</v>
      </c>
      <c r="D2332" s="9" t="b">
        <v>0</v>
      </c>
      <c r="E2332" s="9"/>
    </row>
    <row r="2333" ht="15.75" customHeight="1">
      <c r="A2333" s="9" t="s">
        <v>32868</v>
      </c>
      <c r="B2333" s="9" t="s">
        <v>10322</v>
      </c>
      <c r="C2333" s="8" t="s">
        <v>32869</v>
      </c>
      <c r="D2333" s="9" t="b">
        <v>0</v>
      </c>
      <c r="E2333" s="9"/>
    </row>
    <row r="2334" ht="15.75" customHeight="1">
      <c r="A2334" s="9" t="s">
        <v>32870</v>
      </c>
      <c r="B2334" s="9" t="s">
        <v>10562</v>
      </c>
      <c r="C2334" s="8" t="s">
        <v>32871</v>
      </c>
      <c r="D2334" s="9" t="b">
        <v>0</v>
      </c>
      <c r="E2334" s="9"/>
    </row>
    <row r="2335" ht="15.75" customHeight="1">
      <c r="A2335" s="9" t="s">
        <v>32872</v>
      </c>
      <c r="B2335" s="9" t="s">
        <v>10562</v>
      </c>
      <c r="C2335" s="8" t="s">
        <v>32873</v>
      </c>
      <c r="D2335" s="9" t="b">
        <v>0</v>
      </c>
      <c r="E2335" s="9"/>
    </row>
    <row r="2336" ht="15.75" customHeight="1">
      <c r="A2336" s="9" t="s">
        <v>32874</v>
      </c>
      <c r="B2336" s="9" t="s">
        <v>10562</v>
      </c>
      <c r="C2336" s="8" t="s">
        <v>32875</v>
      </c>
      <c r="D2336" s="9" t="b">
        <v>0</v>
      </c>
      <c r="E2336" s="9"/>
    </row>
    <row r="2337" ht="15.75" customHeight="1">
      <c r="A2337" s="9" t="s">
        <v>32876</v>
      </c>
      <c r="B2337" s="9" t="s">
        <v>10562</v>
      </c>
      <c r="C2337" s="8" t="s">
        <v>32877</v>
      </c>
      <c r="D2337" s="9" t="b">
        <v>0</v>
      </c>
      <c r="E2337" s="9"/>
    </row>
    <row r="2338" ht="15.75" customHeight="1">
      <c r="A2338" s="9" t="s">
        <v>32878</v>
      </c>
      <c r="B2338" s="9" t="s">
        <v>862</v>
      </c>
      <c r="C2338" s="8" t="s">
        <v>32879</v>
      </c>
      <c r="D2338" s="9" t="b">
        <v>1</v>
      </c>
      <c r="E2338" s="9"/>
    </row>
    <row r="2339" ht="15.75" customHeight="1">
      <c r="A2339" s="9" t="s">
        <v>32880</v>
      </c>
      <c r="B2339" s="9" t="s">
        <v>862</v>
      </c>
      <c r="C2339" s="8" t="s">
        <v>32881</v>
      </c>
      <c r="D2339" s="9" t="b">
        <v>0</v>
      </c>
      <c r="E2339" s="9"/>
    </row>
    <row r="2340" ht="15.75" customHeight="1">
      <c r="A2340" s="9" t="s">
        <v>32882</v>
      </c>
      <c r="B2340" s="9" t="s">
        <v>862</v>
      </c>
      <c r="C2340" s="8" t="s">
        <v>32883</v>
      </c>
      <c r="D2340" s="9" t="b">
        <v>0</v>
      </c>
      <c r="E2340" s="9"/>
    </row>
    <row r="2341" ht="15.75" customHeight="1">
      <c r="A2341" s="9" t="s">
        <v>32884</v>
      </c>
      <c r="B2341" s="9" t="s">
        <v>862</v>
      </c>
      <c r="C2341" s="8" t="s">
        <v>32885</v>
      </c>
      <c r="D2341" s="9" t="b">
        <v>0</v>
      </c>
      <c r="E2341" s="9"/>
    </row>
    <row r="2342" ht="15.75" customHeight="1">
      <c r="A2342" s="9" t="s">
        <v>32886</v>
      </c>
      <c r="B2342" s="9" t="s">
        <v>862</v>
      </c>
      <c r="C2342" s="8" t="s">
        <v>32887</v>
      </c>
      <c r="D2342" s="9" t="b">
        <v>0</v>
      </c>
      <c r="E2342" s="9"/>
    </row>
    <row r="2343" ht="15.75" customHeight="1">
      <c r="A2343" s="9" t="s">
        <v>32888</v>
      </c>
      <c r="B2343" s="9" t="s">
        <v>862</v>
      </c>
      <c r="C2343" s="8" t="s">
        <v>32889</v>
      </c>
      <c r="D2343" s="9" t="b">
        <v>0</v>
      </c>
      <c r="E2343" s="9"/>
    </row>
    <row r="2344" ht="15.75" customHeight="1">
      <c r="A2344" s="9" t="s">
        <v>32890</v>
      </c>
      <c r="B2344" s="9" t="s">
        <v>11840</v>
      </c>
      <c r="C2344" s="8" t="s">
        <v>32891</v>
      </c>
      <c r="D2344" s="9" t="b">
        <v>1</v>
      </c>
      <c r="E2344" s="9"/>
    </row>
    <row r="2345" ht="15.75" customHeight="1">
      <c r="A2345" s="9" t="s">
        <v>32892</v>
      </c>
      <c r="B2345" s="52" t="s">
        <v>16353</v>
      </c>
      <c r="C2345" s="8" t="s">
        <v>32893</v>
      </c>
      <c r="D2345" s="9" t="b">
        <v>1</v>
      </c>
      <c r="E2345" s="9"/>
    </row>
    <row r="2346" ht="15.75" customHeight="1">
      <c r="A2346" s="9" t="s">
        <v>32894</v>
      </c>
      <c r="B2346" s="52" t="s">
        <v>16353</v>
      </c>
      <c r="C2346" s="8" t="s">
        <v>32895</v>
      </c>
      <c r="D2346" s="9" t="b">
        <v>0</v>
      </c>
      <c r="E2346" s="9"/>
    </row>
    <row r="2347" ht="15.75" customHeight="1">
      <c r="A2347" s="9" t="s">
        <v>32896</v>
      </c>
      <c r="B2347" s="52" t="s">
        <v>16353</v>
      </c>
      <c r="C2347" s="8" t="s">
        <v>32897</v>
      </c>
      <c r="D2347" s="9" t="b">
        <v>0</v>
      </c>
      <c r="E2347" s="9"/>
    </row>
    <row r="2348" ht="15.75" customHeight="1">
      <c r="A2348" s="9" t="s">
        <v>32898</v>
      </c>
      <c r="B2348" s="52" t="s">
        <v>16353</v>
      </c>
      <c r="C2348" s="8" t="s">
        <v>32899</v>
      </c>
      <c r="D2348" s="9" t="b">
        <v>0</v>
      </c>
      <c r="E2348" s="9"/>
    </row>
    <row r="2349" ht="15.75" customHeight="1">
      <c r="A2349" s="9" t="s">
        <v>32900</v>
      </c>
      <c r="B2349" s="9" t="s">
        <v>942</v>
      </c>
      <c r="C2349" s="8" t="s">
        <v>32901</v>
      </c>
      <c r="D2349" s="9" t="b">
        <v>1</v>
      </c>
      <c r="E2349" s="9"/>
    </row>
    <row r="2350" ht="15.75" customHeight="1">
      <c r="A2350" s="9" t="s">
        <v>32902</v>
      </c>
      <c r="B2350" s="9" t="s">
        <v>942</v>
      </c>
      <c r="C2350" s="8" t="s">
        <v>32903</v>
      </c>
      <c r="D2350" s="9" t="b">
        <v>0</v>
      </c>
      <c r="E2350" s="9"/>
    </row>
    <row r="2351" ht="15.75" customHeight="1">
      <c r="A2351" s="9" t="s">
        <v>32904</v>
      </c>
      <c r="B2351" s="9" t="s">
        <v>942</v>
      </c>
      <c r="C2351" s="8" t="s">
        <v>32905</v>
      </c>
      <c r="D2351" s="9" t="b">
        <v>0</v>
      </c>
      <c r="E2351" s="9"/>
    </row>
    <row r="2352" ht="15.75" customHeight="1">
      <c r="A2352" s="9" t="s">
        <v>32906</v>
      </c>
      <c r="B2352" s="9" t="s">
        <v>942</v>
      </c>
      <c r="C2352" s="8" t="s">
        <v>32907</v>
      </c>
      <c r="D2352" s="9" t="b">
        <v>0</v>
      </c>
      <c r="E2352" s="9"/>
    </row>
    <row r="2353" ht="15.75" customHeight="1">
      <c r="A2353" s="9" t="s">
        <v>32908</v>
      </c>
      <c r="B2353" s="9" t="s">
        <v>942</v>
      </c>
      <c r="C2353" s="8" t="s">
        <v>32909</v>
      </c>
      <c r="D2353" s="9" t="b">
        <v>0</v>
      </c>
      <c r="E2353" s="9"/>
    </row>
    <row r="2354" ht="15.75" customHeight="1">
      <c r="A2354" s="9" t="s">
        <v>32910</v>
      </c>
      <c r="B2354" s="9" t="s">
        <v>942</v>
      </c>
      <c r="C2354" s="8" t="s">
        <v>32911</v>
      </c>
      <c r="D2354" s="9" t="b">
        <v>0</v>
      </c>
      <c r="E2354" s="9"/>
    </row>
    <row r="2355" ht="15.75" customHeight="1">
      <c r="A2355" s="9" t="s">
        <v>32912</v>
      </c>
      <c r="B2355" s="9" t="s">
        <v>942</v>
      </c>
      <c r="C2355" s="8" t="s">
        <v>32913</v>
      </c>
      <c r="D2355" s="9" t="b">
        <v>0</v>
      </c>
      <c r="E2355" s="9"/>
    </row>
    <row r="2356" ht="15.75" customHeight="1">
      <c r="A2356" s="9" t="s">
        <v>32914</v>
      </c>
      <c r="B2356" s="9" t="s">
        <v>942</v>
      </c>
      <c r="C2356" s="8" t="s">
        <v>32915</v>
      </c>
      <c r="D2356" s="9" t="b">
        <v>0</v>
      </c>
      <c r="E2356" s="9"/>
    </row>
    <row r="2357" ht="15.75" customHeight="1">
      <c r="A2357" s="9" t="s">
        <v>32916</v>
      </c>
      <c r="B2357" s="9" t="s">
        <v>942</v>
      </c>
      <c r="C2357" s="8" t="s">
        <v>32917</v>
      </c>
      <c r="D2357" s="9" t="b">
        <v>0</v>
      </c>
      <c r="E2357" s="9"/>
    </row>
    <row r="2358" ht="15.75" customHeight="1">
      <c r="A2358" s="9" t="s">
        <v>32918</v>
      </c>
      <c r="B2358" s="9" t="s">
        <v>10547</v>
      </c>
      <c r="C2358" s="8" t="s">
        <v>32919</v>
      </c>
      <c r="D2358" s="9" t="b">
        <v>0</v>
      </c>
      <c r="E2358" s="9"/>
    </row>
    <row r="2359" ht="15.75" customHeight="1">
      <c r="A2359" s="9" t="s">
        <v>32920</v>
      </c>
      <c r="B2359" s="9" t="s">
        <v>10547</v>
      </c>
      <c r="C2359" s="8" t="s">
        <v>32921</v>
      </c>
      <c r="D2359" s="9" t="b">
        <v>0</v>
      </c>
      <c r="E2359" s="9"/>
    </row>
    <row r="2360" ht="15.75" customHeight="1">
      <c r="A2360" s="9" t="s">
        <v>32922</v>
      </c>
      <c r="B2360" s="9" t="s">
        <v>10547</v>
      </c>
      <c r="C2360" s="8" t="s">
        <v>32923</v>
      </c>
      <c r="D2360" s="9" t="b">
        <v>0</v>
      </c>
      <c r="E2360" s="9"/>
    </row>
    <row r="2361" ht="15.75" customHeight="1">
      <c r="A2361" s="9" t="s">
        <v>32924</v>
      </c>
      <c r="B2361" s="9" t="s">
        <v>10547</v>
      </c>
      <c r="C2361" s="8" t="s">
        <v>32925</v>
      </c>
      <c r="D2361" s="9" t="b">
        <v>0</v>
      </c>
      <c r="E2361" s="9"/>
    </row>
    <row r="2362" ht="15.75" customHeight="1">
      <c r="A2362" s="9" t="s">
        <v>32926</v>
      </c>
      <c r="B2362" s="9" t="s">
        <v>10547</v>
      </c>
      <c r="C2362" s="8" t="s">
        <v>32927</v>
      </c>
      <c r="D2362" s="9" t="b">
        <v>0</v>
      </c>
      <c r="E2362" s="9"/>
    </row>
    <row r="2363" ht="15.75" customHeight="1">
      <c r="A2363" s="9" t="s">
        <v>32928</v>
      </c>
      <c r="B2363" s="9" t="s">
        <v>10547</v>
      </c>
      <c r="C2363" s="8" t="s">
        <v>32929</v>
      </c>
      <c r="D2363" s="9" t="b">
        <v>0</v>
      </c>
      <c r="E2363" s="9"/>
    </row>
    <row r="2364" ht="15.75" customHeight="1">
      <c r="A2364" s="9"/>
      <c r="B2364" s="9"/>
      <c r="C2364" s="9"/>
      <c r="D2364" s="9"/>
      <c r="E2364" s="9"/>
    </row>
    <row r="2365" ht="15.75" customHeight="1">
      <c r="A2365" s="9" t="s">
        <v>32930</v>
      </c>
      <c r="B2365" s="9" t="s">
        <v>10547</v>
      </c>
      <c r="C2365" s="8" t="s">
        <v>32931</v>
      </c>
      <c r="D2365" s="9" t="b">
        <v>0</v>
      </c>
      <c r="E2365" s="9"/>
    </row>
    <row r="2366" ht="15.75" customHeight="1">
      <c r="A2366" s="9" t="s">
        <v>32932</v>
      </c>
      <c r="B2366" s="9" t="s">
        <v>10547</v>
      </c>
      <c r="C2366" s="8" t="s">
        <v>32933</v>
      </c>
      <c r="D2366" s="9" t="b">
        <v>0</v>
      </c>
      <c r="E2366" s="9"/>
    </row>
    <row r="2367" ht="15.75" customHeight="1">
      <c r="A2367" s="9" t="s">
        <v>32934</v>
      </c>
      <c r="B2367" s="9" t="s">
        <v>10547</v>
      </c>
      <c r="C2367" s="8" t="s">
        <v>32935</v>
      </c>
      <c r="D2367" s="9" t="b">
        <v>1</v>
      </c>
      <c r="E2367" s="9"/>
    </row>
    <row r="2368" ht="15.75" customHeight="1">
      <c r="A2368" s="9" t="s">
        <v>32936</v>
      </c>
      <c r="B2368" s="9" t="s">
        <v>11840</v>
      </c>
      <c r="C2368" s="8" t="s">
        <v>32937</v>
      </c>
      <c r="D2368" s="9" t="b">
        <v>0</v>
      </c>
      <c r="E2368" s="9"/>
    </row>
    <row r="2369" ht="15.75" customHeight="1">
      <c r="A2369" s="9" t="s">
        <v>32938</v>
      </c>
      <c r="B2369" s="9" t="s">
        <v>6145</v>
      </c>
      <c r="C2369" s="8" t="s">
        <v>32939</v>
      </c>
      <c r="D2369" s="9" t="b">
        <v>1</v>
      </c>
      <c r="E2369" s="9"/>
    </row>
    <row r="2370" ht="15.75" customHeight="1">
      <c r="A2370" s="9" t="s">
        <v>32940</v>
      </c>
      <c r="B2370" s="9" t="s">
        <v>6145</v>
      </c>
      <c r="C2370" s="8" t="s">
        <v>32941</v>
      </c>
      <c r="D2370" s="9" t="b">
        <v>0</v>
      </c>
      <c r="E2370" s="9"/>
    </row>
    <row r="2371" ht="15.75" customHeight="1">
      <c r="A2371" s="9" t="s">
        <v>32942</v>
      </c>
      <c r="B2371" s="9" t="s">
        <v>6145</v>
      </c>
      <c r="C2371" s="8" t="s">
        <v>32943</v>
      </c>
      <c r="D2371" s="9" t="b">
        <v>0</v>
      </c>
      <c r="E2371" s="9"/>
    </row>
    <row r="2372" ht="15.75" customHeight="1">
      <c r="A2372" s="9" t="s">
        <v>32944</v>
      </c>
      <c r="B2372" s="9" t="s">
        <v>9933</v>
      </c>
      <c r="C2372" s="8" t="s">
        <v>32945</v>
      </c>
      <c r="D2372" s="9" t="b">
        <v>1</v>
      </c>
      <c r="E2372" s="9"/>
    </row>
    <row r="2373" ht="15.75" customHeight="1">
      <c r="A2373" s="9" t="s">
        <v>32946</v>
      </c>
      <c r="B2373" s="9" t="s">
        <v>9933</v>
      </c>
      <c r="C2373" s="8" t="s">
        <v>32947</v>
      </c>
      <c r="D2373" s="9" t="b">
        <v>0</v>
      </c>
      <c r="E2373" s="9"/>
    </row>
    <row r="2374" ht="15.75" customHeight="1">
      <c r="A2374" s="9" t="s">
        <v>32948</v>
      </c>
      <c r="B2374" s="9" t="s">
        <v>9933</v>
      </c>
      <c r="C2374" s="8" t="s">
        <v>32949</v>
      </c>
      <c r="D2374" s="9" t="b">
        <v>0</v>
      </c>
      <c r="E2374" s="9"/>
    </row>
    <row r="2375" ht="15.75" customHeight="1">
      <c r="A2375" s="9" t="s">
        <v>32950</v>
      </c>
      <c r="B2375" s="9" t="s">
        <v>9933</v>
      </c>
      <c r="C2375" s="8" t="s">
        <v>32951</v>
      </c>
      <c r="D2375" s="9" t="b">
        <v>0</v>
      </c>
      <c r="E2375" s="9"/>
    </row>
    <row r="2376" ht="15.75" customHeight="1">
      <c r="A2376" s="9" t="s">
        <v>32952</v>
      </c>
      <c r="B2376" s="9" t="s">
        <v>9933</v>
      </c>
      <c r="C2376" s="8" t="s">
        <v>32953</v>
      </c>
      <c r="D2376" s="9" t="b">
        <v>0</v>
      </c>
      <c r="E2376" s="9"/>
    </row>
    <row r="2377" ht="15.75" customHeight="1">
      <c r="A2377" s="9" t="s">
        <v>32954</v>
      </c>
      <c r="B2377" s="9" t="s">
        <v>9394</v>
      </c>
      <c r="C2377" s="8" t="s">
        <v>32955</v>
      </c>
      <c r="D2377" s="9" t="b">
        <v>1</v>
      </c>
      <c r="E2377" s="9"/>
    </row>
    <row r="2378" ht="15.75" customHeight="1">
      <c r="A2378" s="9" t="s">
        <v>32956</v>
      </c>
      <c r="B2378" s="9" t="s">
        <v>9394</v>
      </c>
      <c r="C2378" s="8" t="s">
        <v>32957</v>
      </c>
      <c r="D2378" s="9" t="b">
        <v>0</v>
      </c>
      <c r="E2378" s="9"/>
    </row>
    <row r="2379" ht="15.75" customHeight="1">
      <c r="A2379" s="9" t="s">
        <v>32958</v>
      </c>
      <c r="B2379" s="9" t="s">
        <v>9394</v>
      </c>
      <c r="C2379" s="8" t="s">
        <v>32959</v>
      </c>
      <c r="D2379" s="9" t="b">
        <v>0</v>
      </c>
      <c r="E2379" s="9"/>
    </row>
    <row r="2380" ht="15.75" customHeight="1">
      <c r="A2380" s="9" t="s">
        <v>32960</v>
      </c>
      <c r="B2380" s="9" t="s">
        <v>9394</v>
      </c>
      <c r="C2380" s="8" t="s">
        <v>32961</v>
      </c>
      <c r="D2380" s="9" t="b">
        <v>0</v>
      </c>
      <c r="E2380" s="9"/>
    </row>
    <row r="2381" ht="15.75" customHeight="1">
      <c r="A2381" s="9" t="s">
        <v>32962</v>
      </c>
      <c r="B2381" s="9" t="s">
        <v>9394</v>
      </c>
      <c r="C2381" s="8" t="s">
        <v>32963</v>
      </c>
      <c r="D2381" s="9" t="b">
        <v>0</v>
      </c>
      <c r="E2381" s="9"/>
    </row>
    <row r="2382" ht="15.75" customHeight="1">
      <c r="A2382" s="9" t="s">
        <v>32964</v>
      </c>
      <c r="B2382" s="9" t="s">
        <v>9394</v>
      </c>
      <c r="C2382" s="8" t="s">
        <v>32965</v>
      </c>
      <c r="D2382" s="9" t="b">
        <v>0</v>
      </c>
      <c r="E2382" s="9"/>
    </row>
    <row r="2383" ht="15.75" customHeight="1">
      <c r="A2383" s="9" t="s">
        <v>32966</v>
      </c>
      <c r="B2383" s="9" t="s">
        <v>9394</v>
      </c>
      <c r="C2383" s="8" t="s">
        <v>32967</v>
      </c>
      <c r="D2383" s="9" t="b">
        <v>0</v>
      </c>
      <c r="E2383" s="9"/>
    </row>
    <row r="2384" ht="15.75" customHeight="1">
      <c r="A2384" s="9" t="s">
        <v>32968</v>
      </c>
      <c r="B2384" s="9" t="s">
        <v>9394</v>
      </c>
      <c r="C2384" s="8" t="s">
        <v>32969</v>
      </c>
      <c r="D2384" s="9" t="b">
        <v>0</v>
      </c>
      <c r="E2384" s="9"/>
    </row>
    <row r="2385" ht="15.75" customHeight="1">
      <c r="A2385" s="9" t="s">
        <v>32970</v>
      </c>
      <c r="B2385" s="9" t="s">
        <v>9394</v>
      </c>
      <c r="C2385" s="8" t="s">
        <v>32971</v>
      </c>
      <c r="D2385" s="9" t="b">
        <v>0</v>
      </c>
      <c r="E2385" s="9"/>
    </row>
    <row r="2386" ht="15.75" customHeight="1">
      <c r="A2386" s="9" t="s">
        <v>32972</v>
      </c>
      <c r="B2386" s="9" t="s">
        <v>12191</v>
      </c>
      <c r="C2386" s="8" t="s">
        <v>32973</v>
      </c>
      <c r="D2386" s="9" t="b">
        <v>1</v>
      </c>
      <c r="E2386" s="9"/>
    </row>
    <row r="2387" ht="15.75" customHeight="1">
      <c r="A2387" s="9" t="s">
        <v>32974</v>
      </c>
      <c r="B2387" s="9" t="s">
        <v>12191</v>
      </c>
      <c r="C2387" s="8" t="s">
        <v>32975</v>
      </c>
      <c r="D2387" s="9" t="b">
        <v>0</v>
      </c>
      <c r="E2387" s="9"/>
    </row>
    <row r="2388" ht="15.75" customHeight="1">
      <c r="A2388" s="9" t="s">
        <v>32976</v>
      </c>
      <c r="B2388" s="9" t="s">
        <v>12191</v>
      </c>
      <c r="C2388" s="8" t="s">
        <v>32977</v>
      </c>
      <c r="D2388" s="9" t="b">
        <v>0</v>
      </c>
      <c r="E2388" s="9"/>
    </row>
    <row r="2389" ht="15.75" customHeight="1">
      <c r="A2389" s="9" t="s">
        <v>32978</v>
      </c>
      <c r="B2389" s="9" t="s">
        <v>12191</v>
      </c>
      <c r="C2389" s="8" t="s">
        <v>32979</v>
      </c>
      <c r="D2389" s="9" t="b">
        <v>0</v>
      </c>
      <c r="E2389" s="9"/>
    </row>
    <row r="2390" ht="15.75" customHeight="1">
      <c r="A2390" s="9" t="s">
        <v>32980</v>
      </c>
      <c r="B2390" s="9" t="s">
        <v>12191</v>
      </c>
      <c r="C2390" s="8" t="s">
        <v>32981</v>
      </c>
      <c r="D2390" s="9" t="b">
        <v>0</v>
      </c>
      <c r="E2390" s="9"/>
    </row>
    <row r="2391" ht="15.75" customHeight="1">
      <c r="A2391" s="9" t="s">
        <v>32982</v>
      </c>
      <c r="B2391" s="9" t="s">
        <v>3963</v>
      </c>
      <c r="C2391" s="8" t="s">
        <v>32983</v>
      </c>
      <c r="D2391" s="9" t="b">
        <v>1</v>
      </c>
      <c r="E2391" s="9"/>
    </row>
    <row r="2392" ht="15.75" customHeight="1">
      <c r="A2392" s="9"/>
      <c r="B2392" s="9"/>
      <c r="C2392" s="9"/>
      <c r="D2392" s="9"/>
      <c r="E2392" s="9"/>
    </row>
    <row r="2393" ht="15.75" customHeight="1">
      <c r="A2393" s="9"/>
      <c r="B2393" s="9"/>
      <c r="C2393" s="9"/>
      <c r="D2393" s="9"/>
      <c r="E2393" s="9"/>
    </row>
    <row r="2394" ht="15.75" customHeight="1">
      <c r="A2394" s="9" t="s">
        <v>32984</v>
      </c>
      <c r="B2394" s="9" t="s">
        <v>3963</v>
      </c>
      <c r="C2394" s="8" t="s">
        <v>32985</v>
      </c>
      <c r="D2394" s="9" t="b">
        <v>0</v>
      </c>
      <c r="E2394" s="9"/>
    </row>
    <row r="2395" ht="15.75" customHeight="1">
      <c r="A2395" s="9" t="s">
        <v>32986</v>
      </c>
      <c r="B2395" s="9" t="s">
        <v>3963</v>
      </c>
      <c r="C2395" s="8" t="s">
        <v>32987</v>
      </c>
      <c r="D2395" s="9" t="b">
        <v>0</v>
      </c>
      <c r="E2395" s="9"/>
    </row>
    <row r="2396" ht="15.75" customHeight="1">
      <c r="A2396" s="9" t="s">
        <v>32988</v>
      </c>
      <c r="B2396" s="9" t="s">
        <v>3963</v>
      </c>
      <c r="C2396" s="8" t="s">
        <v>32989</v>
      </c>
      <c r="D2396" s="9" t="b">
        <v>0</v>
      </c>
      <c r="E2396" s="9"/>
    </row>
    <row r="2397" ht="15.75" customHeight="1">
      <c r="A2397" s="9" t="s">
        <v>32990</v>
      </c>
      <c r="B2397" s="9" t="s">
        <v>246</v>
      </c>
      <c r="C2397" s="8" t="s">
        <v>32991</v>
      </c>
      <c r="D2397" s="9" t="b">
        <v>1</v>
      </c>
      <c r="E2397" s="9"/>
    </row>
    <row r="2398" ht="15.75" customHeight="1">
      <c r="A2398" s="9" t="s">
        <v>32992</v>
      </c>
      <c r="B2398" s="9" t="s">
        <v>246</v>
      </c>
      <c r="C2398" s="8" t="s">
        <v>32993</v>
      </c>
      <c r="D2398" s="9" t="b">
        <v>0</v>
      </c>
      <c r="E2398" s="9"/>
    </row>
    <row r="2399" ht="15.75" customHeight="1">
      <c r="A2399" s="9" t="s">
        <v>32994</v>
      </c>
      <c r="B2399" s="9" t="s">
        <v>246</v>
      </c>
      <c r="C2399" s="8" t="s">
        <v>32995</v>
      </c>
      <c r="D2399" s="9" t="b">
        <v>0</v>
      </c>
      <c r="E2399" s="9"/>
    </row>
    <row r="2400" ht="15.75" customHeight="1">
      <c r="A2400" s="9" t="s">
        <v>32996</v>
      </c>
      <c r="B2400" s="9" t="s">
        <v>246</v>
      </c>
      <c r="C2400" s="8" t="s">
        <v>32997</v>
      </c>
      <c r="D2400" s="9" t="b">
        <v>0</v>
      </c>
      <c r="E2400" s="9"/>
    </row>
    <row r="2401" ht="15.75" customHeight="1">
      <c r="A2401" s="9" t="s">
        <v>32998</v>
      </c>
      <c r="B2401" s="9" t="s">
        <v>246</v>
      </c>
      <c r="C2401" s="8" t="s">
        <v>32999</v>
      </c>
      <c r="D2401" s="9" t="b">
        <v>0</v>
      </c>
      <c r="E2401" s="9"/>
    </row>
    <row r="2402" ht="15.75" customHeight="1">
      <c r="A2402" s="9" t="s">
        <v>33000</v>
      </c>
      <c r="B2402" s="9" t="s">
        <v>246</v>
      </c>
      <c r="C2402" s="8" t="s">
        <v>33001</v>
      </c>
      <c r="D2402" s="9" t="b">
        <v>0</v>
      </c>
      <c r="E2402" s="9"/>
    </row>
    <row r="2403" ht="15.75" customHeight="1">
      <c r="A2403" s="9" t="s">
        <v>33002</v>
      </c>
      <c r="B2403" s="9" t="s">
        <v>246</v>
      </c>
      <c r="C2403" s="8" t="s">
        <v>33003</v>
      </c>
      <c r="D2403" s="9" t="b">
        <v>0</v>
      </c>
      <c r="E2403" s="9"/>
    </row>
    <row r="2404" ht="15.75" customHeight="1">
      <c r="A2404" s="9" t="s">
        <v>33004</v>
      </c>
      <c r="B2404" s="9" t="s">
        <v>246</v>
      </c>
      <c r="C2404" s="8" t="s">
        <v>33005</v>
      </c>
      <c r="D2404" s="9" t="b">
        <v>0</v>
      </c>
      <c r="E2404" s="9"/>
    </row>
    <row r="2405" ht="15.75" customHeight="1">
      <c r="A2405" s="9" t="s">
        <v>33006</v>
      </c>
      <c r="B2405" s="9" t="s">
        <v>12067</v>
      </c>
      <c r="C2405" s="8" t="s">
        <v>33007</v>
      </c>
      <c r="D2405" s="9" t="b">
        <v>1</v>
      </c>
      <c r="E2405" s="9"/>
    </row>
    <row r="2406" ht="15.75" customHeight="1">
      <c r="A2406" s="9" t="s">
        <v>33008</v>
      </c>
      <c r="B2406" s="9" t="s">
        <v>12067</v>
      </c>
      <c r="C2406" s="8" t="s">
        <v>33009</v>
      </c>
      <c r="D2406" s="9" t="b">
        <v>0</v>
      </c>
      <c r="E2406" s="9"/>
    </row>
    <row r="2407" ht="15.75" customHeight="1">
      <c r="A2407" s="9" t="s">
        <v>33010</v>
      </c>
      <c r="B2407" s="9" t="s">
        <v>12067</v>
      </c>
      <c r="C2407" s="8" t="s">
        <v>33011</v>
      </c>
      <c r="D2407" s="9" t="b">
        <v>0</v>
      </c>
      <c r="E2407" s="9"/>
    </row>
    <row r="2408" ht="15.75" customHeight="1">
      <c r="A2408" s="9" t="s">
        <v>33012</v>
      </c>
      <c r="B2408" s="9" t="s">
        <v>12067</v>
      </c>
      <c r="C2408" s="8" t="s">
        <v>33013</v>
      </c>
      <c r="D2408" s="9" t="b">
        <v>0</v>
      </c>
      <c r="E2408" s="9"/>
    </row>
    <row r="2409" ht="15.75" customHeight="1">
      <c r="A2409" s="9" t="s">
        <v>33014</v>
      </c>
      <c r="B2409" s="9" t="s">
        <v>12067</v>
      </c>
      <c r="C2409" s="8" t="s">
        <v>33015</v>
      </c>
      <c r="D2409" s="9" t="b">
        <v>0</v>
      </c>
      <c r="E2409" s="9"/>
    </row>
    <row r="2410" ht="15.75" customHeight="1">
      <c r="A2410" s="9" t="s">
        <v>33016</v>
      </c>
      <c r="B2410" s="9" t="s">
        <v>12067</v>
      </c>
      <c r="C2410" s="8" t="s">
        <v>33017</v>
      </c>
      <c r="D2410" s="9" t="b">
        <v>0</v>
      </c>
      <c r="E2410" s="9"/>
    </row>
    <row r="2411" ht="15.75" customHeight="1">
      <c r="A2411" s="9" t="s">
        <v>33018</v>
      </c>
      <c r="B2411" s="9" t="s">
        <v>11772</v>
      </c>
      <c r="C2411" s="8" t="s">
        <v>33019</v>
      </c>
      <c r="D2411" s="9" t="b">
        <v>1</v>
      </c>
      <c r="E2411" s="9"/>
    </row>
    <row r="2412" ht="15.75" customHeight="1">
      <c r="A2412" s="9" t="s">
        <v>33020</v>
      </c>
      <c r="B2412" s="9" t="s">
        <v>11772</v>
      </c>
      <c r="C2412" s="8" t="s">
        <v>33021</v>
      </c>
      <c r="D2412" s="9" t="b">
        <v>0</v>
      </c>
      <c r="E2412" s="9"/>
    </row>
    <row r="2413" ht="15.75" customHeight="1">
      <c r="A2413" s="9" t="s">
        <v>33022</v>
      </c>
      <c r="B2413" s="9" t="s">
        <v>11772</v>
      </c>
      <c r="C2413" s="8" t="s">
        <v>33023</v>
      </c>
      <c r="D2413" s="9" t="b">
        <v>0</v>
      </c>
      <c r="E2413" s="9"/>
    </row>
    <row r="2414" ht="15.75" customHeight="1">
      <c r="A2414" s="9" t="s">
        <v>33024</v>
      </c>
      <c r="B2414" s="9" t="s">
        <v>11772</v>
      </c>
      <c r="C2414" s="8" t="s">
        <v>33025</v>
      </c>
      <c r="D2414" s="9" t="b">
        <v>0</v>
      </c>
      <c r="E2414" s="9"/>
    </row>
    <row r="2415" ht="15.75" customHeight="1">
      <c r="A2415" s="9" t="s">
        <v>33026</v>
      </c>
      <c r="B2415" s="9" t="s">
        <v>11724</v>
      </c>
      <c r="C2415" s="8" t="s">
        <v>33027</v>
      </c>
      <c r="D2415" s="9" t="b">
        <v>0</v>
      </c>
      <c r="E2415" s="9" t="s">
        <v>32604</v>
      </c>
    </row>
    <row r="2416" ht="15.75" customHeight="1">
      <c r="A2416" s="9" t="s">
        <v>33028</v>
      </c>
      <c r="B2416" s="9" t="s">
        <v>11724</v>
      </c>
      <c r="C2416" s="8" t="s">
        <v>33029</v>
      </c>
      <c r="D2416" s="9" t="b">
        <v>0</v>
      </c>
      <c r="E2416" s="9" t="s">
        <v>32607</v>
      </c>
    </row>
    <row r="2417" ht="15.75" customHeight="1">
      <c r="A2417" s="9" t="s">
        <v>33030</v>
      </c>
      <c r="B2417" s="9" t="s">
        <v>11724</v>
      </c>
      <c r="C2417" s="8" t="s">
        <v>33031</v>
      </c>
      <c r="D2417" s="9" t="b">
        <v>1</v>
      </c>
      <c r="E2417" s="9" t="s">
        <v>15564</v>
      </c>
    </row>
    <row r="2418" ht="15.75" customHeight="1">
      <c r="A2418" s="9" t="s">
        <v>33032</v>
      </c>
      <c r="B2418" s="9" t="s">
        <v>11724</v>
      </c>
      <c r="C2418" s="8" t="s">
        <v>33033</v>
      </c>
      <c r="D2418" s="9" t="b">
        <v>1</v>
      </c>
      <c r="E2418" s="9" t="s">
        <v>646</v>
      </c>
    </row>
    <row r="2419" ht="15.75" customHeight="1">
      <c r="A2419" s="9" t="s">
        <v>33034</v>
      </c>
      <c r="B2419" s="9" t="s">
        <v>11724</v>
      </c>
      <c r="C2419" s="8" t="s">
        <v>33035</v>
      </c>
      <c r="D2419" s="9" t="b">
        <v>0</v>
      </c>
      <c r="E2419" s="9" t="s">
        <v>31751</v>
      </c>
    </row>
    <row r="2420" ht="15.75" customHeight="1">
      <c r="A2420" s="9" t="s">
        <v>33036</v>
      </c>
      <c r="B2420" s="9" t="s">
        <v>11724</v>
      </c>
      <c r="C2420" s="8" t="s">
        <v>33037</v>
      </c>
      <c r="D2420" s="9" t="b">
        <v>0</v>
      </c>
      <c r="E2420" s="9" t="s">
        <v>30363</v>
      </c>
    </row>
    <row r="2421" ht="15.75" customHeight="1">
      <c r="A2421" s="9" t="s">
        <v>33038</v>
      </c>
      <c r="B2421" s="9" t="s">
        <v>9749</v>
      </c>
      <c r="C2421" s="8" t="s">
        <v>33039</v>
      </c>
      <c r="D2421" s="9" t="b">
        <v>0</v>
      </c>
      <c r="E2421" s="9"/>
    </row>
    <row r="2422" ht="15.75" customHeight="1">
      <c r="A2422" s="9" t="s">
        <v>33040</v>
      </c>
      <c r="B2422" s="9" t="s">
        <v>9749</v>
      </c>
      <c r="C2422" s="8" t="s">
        <v>33041</v>
      </c>
      <c r="D2422" s="9" t="b">
        <v>0</v>
      </c>
      <c r="E2422" s="9"/>
    </row>
    <row r="2423" ht="15.75" customHeight="1">
      <c r="A2423" s="9" t="s">
        <v>33042</v>
      </c>
      <c r="B2423" s="9" t="s">
        <v>9749</v>
      </c>
      <c r="C2423" s="8" t="s">
        <v>33043</v>
      </c>
      <c r="D2423" s="9" t="b">
        <v>0</v>
      </c>
      <c r="E2423" s="9"/>
    </row>
    <row r="2424" ht="15.75" customHeight="1">
      <c r="A2424" s="9" t="s">
        <v>33044</v>
      </c>
      <c r="B2424" s="9" t="s">
        <v>9749</v>
      </c>
      <c r="C2424" s="8" t="s">
        <v>33045</v>
      </c>
      <c r="D2424" s="9" t="b">
        <v>1</v>
      </c>
      <c r="E2424" s="9"/>
    </row>
    <row r="2425" ht="15.75" customHeight="1">
      <c r="A2425" s="9" t="s">
        <v>33046</v>
      </c>
      <c r="B2425" s="9" t="s">
        <v>9749</v>
      </c>
      <c r="C2425" s="8" t="s">
        <v>33047</v>
      </c>
      <c r="D2425" s="9" t="b">
        <v>0</v>
      </c>
      <c r="E2425" s="9"/>
    </row>
    <row r="2426" ht="15.75" customHeight="1">
      <c r="A2426" s="9" t="s">
        <v>33048</v>
      </c>
      <c r="B2426" s="9" t="s">
        <v>9749</v>
      </c>
      <c r="C2426" s="8" t="s">
        <v>33049</v>
      </c>
      <c r="D2426" s="9" t="b">
        <v>0</v>
      </c>
      <c r="E2426" s="9"/>
    </row>
    <row r="2427" ht="15.75" customHeight="1">
      <c r="A2427" s="9" t="s">
        <v>33050</v>
      </c>
      <c r="B2427" s="9" t="s">
        <v>9749</v>
      </c>
      <c r="C2427" s="8" t="s">
        <v>33051</v>
      </c>
      <c r="D2427" s="9" t="b">
        <v>0</v>
      </c>
      <c r="E2427" s="9"/>
    </row>
    <row r="2428" ht="15.75" customHeight="1">
      <c r="A2428" s="9" t="s">
        <v>33052</v>
      </c>
      <c r="B2428" s="9" t="s">
        <v>9749</v>
      </c>
      <c r="C2428" s="8" t="s">
        <v>33053</v>
      </c>
      <c r="D2428" s="9" t="b">
        <v>0</v>
      </c>
      <c r="E2428" s="9"/>
    </row>
    <row r="2429" ht="15.75" customHeight="1">
      <c r="A2429" s="9" t="s">
        <v>33054</v>
      </c>
      <c r="B2429" s="9" t="s">
        <v>9039</v>
      </c>
      <c r="C2429" s="8" t="s">
        <v>33055</v>
      </c>
      <c r="D2429" s="9" t="b">
        <v>0</v>
      </c>
      <c r="E2429" s="9"/>
    </row>
    <row r="2430" ht="15.75" customHeight="1">
      <c r="A2430" s="9" t="s">
        <v>33056</v>
      </c>
      <c r="B2430" s="9" t="s">
        <v>4193</v>
      </c>
      <c r="C2430" s="8" t="s">
        <v>33057</v>
      </c>
      <c r="D2430" s="9" t="b">
        <v>1</v>
      </c>
      <c r="E2430" s="9"/>
    </row>
    <row r="2431" ht="15.75" customHeight="1">
      <c r="A2431" s="9" t="s">
        <v>33058</v>
      </c>
      <c r="B2431" s="9" t="s">
        <v>4193</v>
      </c>
      <c r="C2431" s="8" t="s">
        <v>33059</v>
      </c>
      <c r="D2431" s="9" t="b">
        <v>0</v>
      </c>
      <c r="E2431" s="9"/>
    </row>
    <row r="2432" ht="15.75" customHeight="1">
      <c r="A2432" s="9" t="s">
        <v>33060</v>
      </c>
      <c r="B2432" s="9" t="s">
        <v>4193</v>
      </c>
      <c r="C2432" s="8" t="s">
        <v>33061</v>
      </c>
      <c r="D2432" s="9" t="b">
        <v>0</v>
      </c>
      <c r="E2432" s="9"/>
    </row>
    <row r="2433" ht="15.75" customHeight="1">
      <c r="A2433" s="9" t="s">
        <v>33062</v>
      </c>
      <c r="B2433" s="9" t="s">
        <v>4193</v>
      </c>
      <c r="C2433" s="8" t="s">
        <v>33063</v>
      </c>
      <c r="D2433" s="9" t="b">
        <v>0</v>
      </c>
      <c r="E2433" s="9"/>
    </row>
    <row r="2434" ht="15.75" customHeight="1">
      <c r="A2434" s="9" t="s">
        <v>33064</v>
      </c>
      <c r="B2434" s="9" t="s">
        <v>4193</v>
      </c>
      <c r="C2434" s="8" t="s">
        <v>33065</v>
      </c>
      <c r="D2434" s="9" t="b">
        <v>0</v>
      </c>
      <c r="E2434" s="9"/>
    </row>
    <row r="2435" ht="15.75" customHeight="1">
      <c r="A2435" s="9" t="s">
        <v>33066</v>
      </c>
      <c r="B2435" s="9" t="s">
        <v>5446</v>
      </c>
      <c r="C2435" s="8" t="s">
        <v>33067</v>
      </c>
      <c r="D2435" s="9" t="b">
        <v>1</v>
      </c>
      <c r="E2435" s="9"/>
    </row>
    <row r="2436" ht="15.75" customHeight="1">
      <c r="A2436" s="9" t="s">
        <v>33068</v>
      </c>
      <c r="B2436" s="9" t="s">
        <v>5446</v>
      </c>
      <c r="C2436" s="8" t="s">
        <v>33069</v>
      </c>
      <c r="D2436" s="9" t="b">
        <v>0</v>
      </c>
      <c r="E2436" s="9" t="s">
        <v>33070</v>
      </c>
    </row>
    <row r="2437" ht="15.75" customHeight="1">
      <c r="A2437" s="9" t="s">
        <v>33071</v>
      </c>
      <c r="B2437" s="9" t="s">
        <v>5446</v>
      </c>
      <c r="C2437" s="8" t="s">
        <v>33072</v>
      </c>
      <c r="D2437" s="9" t="b">
        <v>0</v>
      </c>
      <c r="E2437" s="9" t="s">
        <v>33073</v>
      </c>
    </row>
    <row r="2438" ht="15.75" customHeight="1">
      <c r="A2438" s="9" t="s">
        <v>33074</v>
      </c>
      <c r="B2438" s="9" t="s">
        <v>5446</v>
      </c>
      <c r="C2438" s="8" t="s">
        <v>33075</v>
      </c>
      <c r="D2438" s="9" t="b">
        <v>0</v>
      </c>
      <c r="E2438" s="9" t="s">
        <v>33076</v>
      </c>
    </row>
    <row r="2439" ht="15.75" customHeight="1">
      <c r="A2439" s="9" t="s">
        <v>33077</v>
      </c>
      <c r="B2439" s="9" t="s">
        <v>5446</v>
      </c>
      <c r="C2439" s="8" t="s">
        <v>33078</v>
      </c>
      <c r="D2439" s="9" t="b">
        <v>0</v>
      </c>
      <c r="E2439" s="9"/>
    </row>
    <row r="2440" ht="15.75" customHeight="1">
      <c r="A2440" s="9" t="s">
        <v>33079</v>
      </c>
      <c r="B2440" s="9" t="s">
        <v>5446</v>
      </c>
      <c r="C2440" s="8" t="s">
        <v>33080</v>
      </c>
      <c r="D2440" s="9" t="b">
        <v>0</v>
      </c>
      <c r="E2440" s="9"/>
    </row>
    <row r="2441" ht="15.75" customHeight="1">
      <c r="A2441" s="9" t="s">
        <v>33081</v>
      </c>
      <c r="B2441" s="9" t="s">
        <v>11802</v>
      </c>
      <c r="C2441" s="8" t="s">
        <v>33082</v>
      </c>
      <c r="D2441" s="9" t="b">
        <v>0</v>
      </c>
      <c r="E2441" s="9"/>
    </row>
    <row r="2442" ht="15.75" customHeight="1">
      <c r="A2442" s="9" t="s">
        <v>33083</v>
      </c>
      <c r="B2442" s="9" t="s">
        <v>11802</v>
      </c>
      <c r="C2442" s="8" t="s">
        <v>33084</v>
      </c>
      <c r="D2442" s="9" t="b">
        <v>0</v>
      </c>
      <c r="E2442" s="9"/>
    </row>
    <row r="2443" ht="15.75" customHeight="1">
      <c r="A2443" s="9" t="s">
        <v>33085</v>
      </c>
      <c r="B2443" s="9" t="s">
        <v>11802</v>
      </c>
      <c r="C2443" s="8" t="s">
        <v>33086</v>
      </c>
      <c r="D2443" s="9" t="b">
        <v>0</v>
      </c>
      <c r="E2443" s="9"/>
    </row>
    <row r="2444" ht="15.75" customHeight="1">
      <c r="A2444" s="9" t="s">
        <v>33087</v>
      </c>
      <c r="B2444" s="9" t="s">
        <v>9039</v>
      </c>
      <c r="C2444" s="8" t="s">
        <v>33088</v>
      </c>
      <c r="D2444" s="9" t="b">
        <v>0</v>
      </c>
      <c r="E2444" s="9"/>
    </row>
    <row r="2445" ht="15.75" customHeight="1">
      <c r="A2445" s="9" t="s">
        <v>33089</v>
      </c>
      <c r="B2445" s="9" t="s">
        <v>9039</v>
      </c>
      <c r="C2445" s="8" t="s">
        <v>33090</v>
      </c>
      <c r="D2445" s="9" t="b">
        <v>0</v>
      </c>
      <c r="E2445" s="9"/>
    </row>
    <row r="2446" ht="15.75" customHeight="1">
      <c r="A2446" s="9" t="s">
        <v>33091</v>
      </c>
      <c r="B2446" s="9" t="s">
        <v>9039</v>
      </c>
      <c r="C2446" s="8" t="s">
        <v>33092</v>
      </c>
      <c r="D2446" s="9" t="b">
        <v>0</v>
      </c>
      <c r="E2446" s="9"/>
    </row>
    <row r="2447" ht="15.75" customHeight="1">
      <c r="A2447" s="9" t="s">
        <v>33093</v>
      </c>
      <c r="B2447" s="9" t="s">
        <v>4423</v>
      </c>
      <c r="C2447" s="8" t="s">
        <v>33094</v>
      </c>
      <c r="D2447" s="9" t="b">
        <v>0</v>
      </c>
      <c r="E2447" s="9"/>
    </row>
    <row r="2448" ht="15.75" customHeight="1">
      <c r="A2448" s="9" t="s">
        <v>33095</v>
      </c>
      <c r="B2448" s="9" t="s">
        <v>4423</v>
      </c>
      <c r="C2448" s="8" t="s">
        <v>33096</v>
      </c>
      <c r="D2448" s="9" t="b">
        <v>0</v>
      </c>
      <c r="E2448" s="9" t="s">
        <v>33097</v>
      </c>
    </row>
    <row r="2449" ht="15.75" customHeight="1">
      <c r="A2449" s="9" t="s">
        <v>33098</v>
      </c>
      <c r="B2449" s="9" t="s">
        <v>4423</v>
      </c>
      <c r="C2449" s="8" t="s">
        <v>33099</v>
      </c>
      <c r="D2449" s="9" t="b">
        <v>0</v>
      </c>
      <c r="E2449" s="9"/>
    </row>
    <row r="2450" ht="15.75" customHeight="1">
      <c r="A2450" s="9" t="s">
        <v>33100</v>
      </c>
      <c r="B2450" s="9" t="s">
        <v>4423</v>
      </c>
      <c r="C2450" s="8" t="s">
        <v>33101</v>
      </c>
      <c r="D2450" s="9" t="b">
        <v>0</v>
      </c>
      <c r="E2450" s="9"/>
    </row>
    <row r="2451" ht="15.75" customHeight="1">
      <c r="A2451" s="9" t="s">
        <v>33102</v>
      </c>
      <c r="B2451" s="9" t="s">
        <v>4423</v>
      </c>
      <c r="C2451" s="8" t="s">
        <v>33103</v>
      </c>
      <c r="D2451" s="9" t="b">
        <v>0</v>
      </c>
      <c r="E2451" s="9"/>
    </row>
    <row r="2452" ht="15.75" customHeight="1">
      <c r="A2452" s="9" t="s">
        <v>33104</v>
      </c>
      <c r="B2452" s="9" t="s">
        <v>4423</v>
      </c>
      <c r="C2452" s="8" t="s">
        <v>33105</v>
      </c>
      <c r="D2452" s="9" t="b">
        <v>0</v>
      </c>
      <c r="E2452" s="9"/>
    </row>
    <row r="2453" ht="15.75" customHeight="1">
      <c r="A2453" s="9" t="s">
        <v>33106</v>
      </c>
      <c r="B2453" s="9" t="s">
        <v>4423</v>
      </c>
      <c r="C2453" s="8" t="s">
        <v>33107</v>
      </c>
      <c r="D2453" s="9" t="b">
        <v>1</v>
      </c>
      <c r="E2453" s="9"/>
    </row>
    <row r="2454" ht="15.75" customHeight="1">
      <c r="A2454" s="9" t="s">
        <v>33108</v>
      </c>
      <c r="B2454" s="9" t="s">
        <v>4423</v>
      </c>
      <c r="C2454" s="8" t="s">
        <v>33109</v>
      </c>
      <c r="D2454" s="9" t="b">
        <v>0</v>
      </c>
      <c r="E2454" s="9" t="s">
        <v>33110</v>
      </c>
    </row>
    <row r="2455" ht="15.75" customHeight="1">
      <c r="A2455" s="9" t="s">
        <v>33111</v>
      </c>
      <c r="B2455" s="9" t="s">
        <v>8439</v>
      </c>
      <c r="C2455" s="8" t="s">
        <v>33112</v>
      </c>
      <c r="D2455" s="9" t="b">
        <v>1</v>
      </c>
      <c r="E2455" s="9"/>
    </row>
    <row r="2456" ht="15.75" customHeight="1">
      <c r="A2456" s="9" t="s">
        <v>33113</v>
      </c>
      <c r="B2456" s="9" t="s">
        <v>8439</v>
      </c>
      <c r="C2456" s="8" t="s">
        <v>33114</v>
      </c>
      <c r="D2456" s="9" t="b">
        <v>0</v>
      </c>
      <c r="E2456" s="9"/>
    </row>
    <row r="2457" ht="15.75" customHeight="1">
      <c r="A2457" s="9" t="s">
        <v>33115</v>
      </c>
      <c r="B2457" s="9" t="s">
        <v>8439</v>
      </c>
      <c r="C2457" s="8" t="s">
        <v>33116</v>
      </c>
      <c r="D2457" s="9" t="b">
        <v>0</v>
      </c>
      <c r="E2457" s="9"/>
    </row>
    <row r="2458" ht="15.75" customHeight="1">
      <c r="A2458" s="9" t="s">
        <v>33117</v>
      </c>
      <c r="B2458" s="9" t="s">
        <v>8439</v>
      </c>
      <c r="C2458" s="8" t="s">
        <v>33118</v>
      </c>
      <c r="D2458" s="9" t="b">
        <v>0</v>
      </c>
      <c r="E2458" s="9"/>
    </row>
    <row r="2459" ht="15.75" customHeight="1">
      <c r="A2459" s="9" t="s">
        <v>33119</v>
      </c>
      <c r="B2459" s="9" t="s">
        <v>8439</v>
      </c>
      <c r="C2459" s="8" t="s">
        <v>33120</v>
      </c>
      <c r="D2459" s="9" t="b">
        <v>0</v>
      </c>
      <c r="E2459" s="9"/>
    </row>
    <row r="2460" ht="15.75" customHeight="1">
      <c r="A2460" s="9" t="s">
        <v>33121</v>
      </c>
      <c r="B2460" s="9" t="s">
        <v>8439</v>
      </c>
      <c r="C2460" s="8" t="s">
        <v>33122</v>
      </c>
      <c r="D2460" s="9" t="b">
        <v>0</v>
      </c>
      <c r="E2460" s="9"/>
    </row>
    <row r="2461" ht="15.75" customHeight="1">
      <c r="A2461" s="9" t="s">
        <v>33123</v>
      </c>
      <c r="B2461" s="9" t="s">
        <v>10453</v>
      </c>
      <c r="C2461" s="8" t="s">
        <v>33124</v>
      </c>
      <c r="D2461" s="9" t="b">
        <v>0</v>
      </c>
      <c r="E2461" s="9"/>
    </row>
    <row r="2462" ht="15.75" customHeight="1">
      <c r="A2462" s="9" t="s">
        <v>33125</v>
      </c>
      <c r="B2462" s="9" t="s">
        <v>10496</v>
      </c>
      <c r="C2462" s="8" t="s">
        <v>33126</v>
      </c>
      <c r="D2462" s="9" t="b">
        <v>0</v>
      </c>
      <c r="E2462" s="9"/>
    </row>
    <row r="2463" ht="15.75" customHeight="1">
      <c r="A2463" s="9" t="s">
        <v>33127</v>
      </c>
      <c r="B2463" s="9" t="s">
        <v>10496</v>
      </c>
      <c r="C2463" s="8" t="s">
        <v>33128</v>
      </c>
      <c r="D2463" s="9" t="b">
        <v>0</v>
      </c>
      <c r="E2463" s="9"/>
    </row>
    <row r="2464" ht="15.75" customHeight="1">
      <c r="A2464" s="9" t="s">
        <v>33129</v>
      </c>
      <c r="B2464" s="9" t="s">
        <v>10496</v>
      </c>
      <c r="C2464" s="8" t="s">
        <v>33130</v>
      </c>
      <c r="D2464" s="9" t="b">
        <v>0</v>
      </c>
      <c r="E2464" s="9"/>
    </row>
    <row r="2465" ht="15.75" customHeight="1">
      <c r="A2465" s="9" t="s">
        <v>33131</v>
      </c>
      <c r="B2465" s="9" t="s">
        <v>10496</v>
      </c>
      <c r="C2465" s="8" t="s">
        <v>33132</v>
      </c>
      <c r="D2465" s="9" t="b">
        <v>0</v>
      </c>
      <c r="E2465" s="9"/>
    </row>
    <row r="2466" ht="15.75" customHeight="1">
      <c r="A2466" s="9" t="s">
        <v>33133</v>
      </c>
      <c r="B2466" s="9" t="s">
        <v>10496</v>
      </c>
      <c r="C2466" s="8" t="s">
        <v>33134</v>
      </c>
      <c r="D2466" s="9" t="b">
        <v>0</v>
      </c>
      <c r="E2466" s="9"/>
    </row>
    <row r="2467" ht="15.75" customHeight="1">
      <c r="A2467" s="9" t="s">
        <v>33135</v>
      </c>
      <c r="B2467" s="9" t="s">
        <v>10496</v>
      </c>
      <c r="C2467" s="8" t="s">
        <v>33136</v>
      </c>
      <c r="D2467" s="9" t="b">
        <v>0</v>
      </c>
      <c r="E2467" s="9"/>
    </row>
    <row r="2468" ht="15.75" customHeight="1">
      <c r="A2468" s="9" t="s">
        <v>33137</v>
      </c>
      <c r="B2468" s="9" t="s">
        <v>10496</v>
      </c>
      <c r="C2468" s="8" t="s">
        <v>33138</v>
      </c>
      <c r="D2468" s="9" t="b">
        <v>0</v>
      </c>
      <c r="E2468" s="9"/>
    </row>
    <row r="2469" ht="15.75" customHeight="1">
      <c r="A2469" s="9" t="s">
        <v>33139</v>
      </c>
      <c r="B2469" s="9" t="s">
        <v>10496</v>
      </c>
      <c r="C2469" s="8" t="s">
        <v>33140</v>
      </c>
      <c r="D2469" s="9" t="b">
        <v>0</v>
      </c>
      <c r="E2469" s="9"/>
    </row>
    <row r="2470" ht="15.75" customHeight="1">
      <c r="A2470" s="9" t="s">
        <v>33141</v>
      </c>
      <c r="B2470" s="9" t="s">
        <v>10496</v>
      </c>
      <c r="C2470" s="8" t="s">
        <v>33142</v>
      </c>
      <c r="D2470" s="9" t="b">
        <v>0</v>
      </c>
      <c r="E2470" s="9"/>
    </row>
    <row r="2471" ht="15.75" customHeight="1">
      <c r="A2471" s="9" t="s">
        <v>33143</v>
      </c>
      <c r="B2471" s="9" t="s">
        <v>10496</v>
      </c>
      <c r="C2471" s="8" t="s">
        <v>33144</v>
      </c>
      <c r="D2471" s="9" t="b">
        <v>0</v>
      </c>
      <c r="E2471" s="9"/>
    </row>
    <row r="2472" ht="15.75" customHeight="1">
      <c r="A2472" s="9" t="s">
        <v>33145</v>
      </c>
      <c r="B2472" s="9" t="s">
        <v>10496</v>
      </c>
      <c r="C2472" s="8" t="s">
        <v>33146</v>
      </c>
      <c r="D2472" s="9" t="b">
        <v>0</v>
      </c>
      <c r="E2472" s="9"/>
    </row>
    <row r="2473" ht="15.75" customHeight="1">
      <c r="A2473" s="9" t="s">
        <v>33147</v>
      </c>
      <c r="B2473" s="9" t="s">
        <v>10496</v>
      </c>
      <c r="C2473" s="8" t="s">
        <v>33148</v>
      </c>
      <c r="D2473" s="9" t="b">
        <v>0</v>
      </c>
      <c r="E2473" s="9"/>
    </row>
    <row r="2474" ht="15.75" customHeight="1">
      <c r="A2474" s="9" t="s">
        <v>33149</v>
      </c>
      <c r="B2474" s="9" t="s">
        <v>10496</v>
      </c>
      <c r="C2474" s="8" t="s">
        <v>33150</v>
      </c>
      <c r="D2474" s="9" t="b">
        <v>0</v>
      </c>
      <c r="E2474" s="9"/>
    </row>
    <row r="2475" ht="15.75" customHeight="1">
      <c r="A2475" s="9" t="s">
        <v>33151</v>
      </c>
      <c r="B2475" s="9" t="s">
        <v>10496</v>
      </c>
      <c r="C2475" s="8" t="s">
        <v>33152</v>
      </c>
      <c r="D2475" s="9" t="b">
        <v>0</v>
      </c>
      <c r="E2475" s="9"/>
    </row>
    <row r="2476" ht="15.75" customHeight="1">
      <c r="A2476" s="9" t="s">
        <v>33153</v>
      </c>
      <c r="B2476" s="9" t="s">
        <v>10496</v>
      </c>
      <c r="C2476" s="8" t="s">
        <v>33154</v>
      </c>
      <c r="D2476" s="9" t="b">
        <v>1</v>
      </c>
      <c r="E2476" s="9"/>
    </row>
    <row r="2477" ht="15.75" customHeight="1">
      <c r="A2477" s="9" t="s">
        <v>33155</v>
      </c>
      <c r="B2477" s="9" t="s">
        <v>10459</v>
      </c>
      <c r="C2477" s="8" t="s">
        <v>33156</v>
      </c>
      <c r="D2477" s="9" t="b">
        <v>0</v>
      </c>
      <c r="E2477" s="9"/>
    </row>
    <row r="2478" ht="15.75" customHeight="1">
      <c r="A2478" s="9" t="s">
        <v>33157</v>
      </c>
      <c r="B2478" s="9" t="s">
        <v>10459</v>
      </c>
      <c r="C2478" s="8" t="s">
        <v>33158</v>
      </c>
      <c r="D2478" s="9" t="b">
        <v>0</v>
      </c>
      <c r="E2478" s="9"/>
    </row>
    <row r="2479" ht="15.75" customHeight="1">
      <c r="A2479" s="9" t="s">
        <v>33159</v>
      </c>
      <c r="B2479" s="9" t="s">
        <v>10459</v>
      </c>
      <c r="C2479" s="8" t="s">
        <v>33160</v>
      </c>
      <c r="D2479" s="9" t="b">
        <v>0</v>
      </c>
      <c r="E2479" s="9" t="s">
        <v>33161</v>
      </c>
    </row>
    <row r="2480" ht="15.75" customHeight="1">
      <c r="A2480" s="9" t="s">
        <v>33162</v>
      </c>
      <c r="B2480" s="9" t="s">
        <v>10695</v>
      </c>
      <c r="C2480" s="8" t="s">
        <v>33163</v>
      </c>
      <c r="D2480" s="9" t="b">
        <v>1</v>
      </c>
      <c r="E2480" s="9"/>
    </row>
    <row r="2481" ht="15.75" customHeight="1">
      <c r="A2481" s="9" t="s">
        <v>33164</v>
      </c>
      <c r="B2481" s="9" t="s">
        <v>10695</v>
      </c>
      <c r="C2481" s="8" t="s">
        <v>33165</v>
      </c>
      <c r="D2481" s="9" t="b">
        <v>0</v>
      </c>
      <c r="E2481" s="9"/>
    </row>
    <row r="2482" ht="15.75" customHeight="1">
      <c r="A2482" s="9" t="s">
        <v>33166</v>
      </c>
      <c r="B2482" s="9" t="s">
        <v>10695</v>
      </c>
      <c r="C2482" s="8" t="s">
        <v>33167</v>
      </c>
      <c r="D2482" s="9" t="b">
        <v>0</v>
      </c>
      <c r="E2482" s="9"/>
    </row>
    <row r="2483" ht="15.75" customHeight="1">
      <c r="A2483" s="9" t="s">
        <v>33168</v>
      </c>
      <c r="B2483" s="9" t="s">
        <v>10695</v>
      </c>
      <c r="C2483" s="8" t="s">
        <v>33169</v>
      </c>
      <c r="D2483" s="9" t="b">
        <v>0</v>
      </c>
      <c r="E2483" s="9"/>
    </row>
    <row r="2484" ht="15.75" customHeight="1">
      <c r="A2484" s="9" t="s">
        <v>33170</v>
      </c>
      <c r="B2484" s="9" t="s">
        <v>10695</v>
      </c>
      <c r="C2484" s="8" t="s">
        <v>33171</v>
      </c>
      <c r="D2484" s="9" t="b">
        <v>0</v>
      </c>
      <c r="E2484" s="9"/>
    </row>
    <row r="2485" ht="15.75" customHeight="1">
      <c r="A2485" s="9" t="s">
        <v>33172</v>
      </c>
      <c r="B2485" s="9" t="s">
        <v>10695</v>
      </c>
      <c r="C2485" s="8" t="s">
        <v>33173</v>
      </c>
      <c r="D2485" s="9" t="b">
        <v>0</v>
      </c>
      <c r="E2485" s="9"/>
    </row>
    <row r="2486" ht="15.75" customHeight="1">
      <c r="A2486" s="9" t="s">
        <v>33174</v>
      </c>
      <c r="B2486" s="9" t="s">
        <v>10679</v>
      </c>
      <c r="C2486" s="8" t="s">
        <v>33175</v>
      </c>
      <c r="D2486" s="9" t="b">
        <v>1</v>
      </c>
      <c r="E2486" s="9"/>
    </row>
    <row r="2487" ht="15.75" customHeight="1">
      <c r="A2487" s="9" t="s">
        <v>33176</v>
      </c>
      <c r="B2487" s="9" t="s">
        <v>10679</v>
      </c>
      <c r="C2487" s="8" t="s">
        <v>33177</v>
      </c>
      <c r="D2487" s="9" t="b">
        <v>0</v>
      </c>
      <c r="E2487" s="9"/>
    </row>
    <row r="2488" ht="15.75" customHeight="1">
      <c r="A2488" s="9" t="s">
        <v>33178</v>
      </c>
      <c r="B2488" s="9" t="s">
        <v>10679</v>
      </c>
      <c r="C2488" s="8" t="s">
        <v>33179</v>
      </c>
      <c r="D2488" s="9" t="b">
        <v>0</v>
      </c>
      <c r="E2488" s="9"/>
    </row>
    <row r="2489" ht="15.75" customHeight="1">
      <c r="A2489" s="9" t="s">
        <v>33180</v>
      </c>
      <c r="B2489" s="9" t="s">
        <v>10679</v>
      </c>
      <c r="C2489" s="8" t="s">
        <v>33181</v>
      </c>
      <c r="D2489" s="9" t="b">
        <v>0</v>
      </c>
      <c r="E2489" s="9"/>
    </row>
    <row r="2490" ht="15.75" customHeight="1">
      <c r="A2490" s="9" t="s">
        <v>33182</v>
      </c>
      <c r="B2490" s="9" t="s">
        <v>10679</v>
      </c>
      <c r="C2490" s="8" t="s">
        <v>33183</v>
      </c>
      <c r="D2490" s="9" t="b">
        <v>0</v>
      </c>
      <c r="E2490" s="9"/>
    </row>
    <row r="2491" ht="15.75" customHeight="1">
      <c r="A2491" s="9" t="s">
        <v>33184</v>
      </c>
      <c r="B2491" s="9" t="s">
        <v>10679</v>
      </c>
      <c r="C2491" s="8" t="s">
        <v>33185</v>
      </c>
      <c r="D2491" s="9" t="b">
        <v>0</v>
      </c>
      <c r="E2491" s="9"/>
    </row>
    <row r="2492" ht="15.75" customHeight="1">
      <c r="A2492" s="9" t="s">
        <v>33186</v>
      </c>
      <c r="B2492" s="9" t="s">
        <v>10679</v>
      </c>
      <c r="C2492" s="8" t="s">
        <v>33187</v>
      </c>
      <c r="D2492" s="9" t="b">
        <v>0</v>
      </c>
      <c r="E2492" s="9"/>
    </row>
    <row r="2493" ht="15.75" customHeight="1">
      <c r="A2493" s="9" t="s">
        <v>33188</v>
      </c>
      <c r="B2493" s="9" t="s">
        <v>10522</v>
      </c>
      <c r="C2493" s="8" t="s">
        <v>33189</v>
      </c>
      <c r="D2493" s="9" t="b">
        <v>1</v>
      </c>
      <c r="E2493" s="9"/>
    </row>
    <row r="2494" ht="15.75" customHeight="1">
      <c r="A2494" s="9" t="s">
        <v>33190</v>
      </c>
      <c r="B2494" s="9" t="s">
        <v>10522</v>
      </c>
      <c r="C2494" s="8" t="s">
        <v>33191</v>
      </c>
      <c r="D2494" s="9" t="b">
        <v>0</v>
      </c>
      <c r="E2494" s="9"/>
    </row>
    <row r="2495" ht="15.75" customHeight="1">
      <c r="A2495" s="52" t="s">
        <v>33192</v>
      </c>
      <c r="B2495" s="9" t="s">
        <v>10522</v>
      </c>
      <c r="C2495" s="8" t="s">
        <v>33193</v>
      </c>
      <c r="D2495" s="9" t="b">
        <v>0</v>
      </c>
      <c r="E2495" s="9"/>
    </row>
    <row r="2496" ht="15.75" customHeight="1">
      <c r="A2496" s="9" t="s">
        <v>33194</v>
      </c>
      <c r="B2496" s="9" t="s">
        <v>10522</v>
      </c>
      <c r="C2496" s="8" t="s">
        <v>33195</v>
      </c>
      <c r="D2496" s="9" t="b">
        <v>0</v>
      </c>
      <c r="E2496" s="9"/>
    </row>
    <row r="2497" ht="15.75" customHeight="1">
      <c r="A2497" s="9" t="s">
        <v>33196</v>
      </c>
      <c r="B2497" s="9" t="s">
        <v>10522</v>
      </c>
      <c r="C2497" s="8" t="s">
        <v>33197</v>
      </c>
      <c r="D2497" s="9" t="b">
        <v>0</v>
      </c>
      <c r="E2497" s="9"/>
    </row>
    <row r="2498" ht="15.75" customHeight="1">
      <c r="A2498" s="9" t="s">
        <v>33198</v>
      </c>
      <c r="B2498" s="9" t="s">
        <v>10522</v>
      </c>
      <c r="C2498" s="8" t="s">
        <v>33199</v>
      </c>
      <c r="D2498" s="9" t="b">
        <v>0</v>
      </c>
      <c r="E2498" s="9"/>
    </row>
    <row r="2499" ht="15.75" customHeight="1">
      <c r="A2499" s="9" t="s">
        <v>33200</v>
      </c>
      <c r="B2499" s="9" t="s">
        <v>10522</v>
      </c>
      <c r="C2499" s="8" t="s">
        <v>33201</v>
      </c>
      <c r="D2499" s="9" t="b">
        <v>0</v>
      </c>
      <c r="E2499" s="9"/>
    </row>
    <row r="2500" ht="15.75" customHeight="1">
      <c r="A2500" s="9" t="s">
        <v>33202</v>
      </c>
      <c r="B2500" s="9" t="s">
        <v>10522</v>
      </c>
      <c r="C2500" s="8" t="s">
        <v>33203</v>
      </c>
      <c r="D2500" s="9" t="b">
        <v>0</v>
      </c>
      <c r="E2500" s="9" t="s">
        <v>33204</v>
      </c>
    </row>
    <row r="2501" ht="15.75" customHeight="1">
      <c r="A2501" s="9" t="s">
        <v>33205</v>
      </c>
      <c r="B2501" s="9" t="s">
        <v>11621</v>
      </c>
      <c r="C2501" s="8" t="s">
        <v>33206</v>
      </c>
      <c r="D2501" s="9" t="b">
        <v>1</v>
      </c>
      <c r="E2501" s="9"/>
    </row>
    <row r="2502" ht="15.75" customHeight="1">
      <c r="A2502" s="9" t="s">
        <v>33207</v>
      </c>
      <c r="B2502" s="9" t="s">
        <v>11621</v>
      </c>
      <c r="C2502" s="8" t="s">
        <v>33208</v>
      </c>
      <c r="D2502" s="9" t="b">
        <v>0</v>
      </c>
      <c r="E2502" s="9"/>
    </row>
    <row r="2503" ht="15.75" customHeight="1">
      <c r="A2503" s="9" t="s">
        <v>33209</v>
      </c>
      <c r="B2503" s="9" t="s">
        <v>11621</v>
      </c>
      <c r="C2503" s="8" t="s">
        <v>33210</v>
      </c>
      <c r="D2503" s="9" t="b">
        <v>0</v>
      </c>
      <c r="E2503" s="9"/>
    </row>
    <row r="2504" ht="15.75" customHeight="1">
      <c r="A2504" s="9" t="s">
        <v>33211</v>
      </c>
      <c r="B2504" s="9" t="s">
        <v>11621</v>
      </c>
      <c r="C2504" s="8" t="s">
        <v>33212</v>
      </c>
      <c r="D2504" s="9" t="b">
        <v>0</v>
      </c>
      <c r="E2504" s="9"/>
    </row>
    <row r="2505" ht="15.75" customHeight="1">
      <c r="A2505" s="9" t="s">
        <v>33213</v>
      </c>
      <c r="B2505" s="9" t="s">
        <v>11621</v>
      </c>
      <c r="C2505" s="8" t="s">
        <v>33214</v>
      </c>
      <c r="D2505" s="9" t="b">
        <v>0</v>
      </c>
      <c r="E2505" s="9"/>
    </row>
    <row r="2506" ht="15.75" customHeight="1">
      <c r="A2506" s="9" t="s">
        <v>33215</v>
      </c>
      <c r="B2506" s="9" t="s">
        <v>7925</v>
      </c>
      <c r="C2506" s="8" t="s">
        <v>33216</v>
      </c>
      <c r="D2506" s="9" t="b">
        <v>1</v>
      </c>
      <c r="E2506" s="9"/>
    </row>
    <row r="2507" ht="15.75" customHeight="1">
      <c r="A2507" s="9" t="s">
        <v>33217</v>
      </c>
      <c r="B2507" s="9" t="s">
        <v>7925</v>
      </c>
      <c r="C2507" s="8" t="s">
        <v>33218</v>
      </c>
      <c r="D2507" s="9" t="b">
        <v>0</v>
      </c>
      <c r="E2507" s="9"/>
    </row>
    <row r="2508" ht="15.75" customHeight="1">
      <c r="A2508" s="9" t="s">
        <v>33219</v>
      </c>
      <c r="B2508" s="9" t="s">
        <v>7925</v>
      </c>
      <c r="C2508" s="8" t="s">
        <v>33220</v>
      </c>
      <c r="D2508" s="9" t="b">
        <v>0</v>
      </c>
      <c r="E2508" s="9"/>
    </row>
    <row r="2509" ht="15.75" customHeight="1">
      <c r="A2509" s="9" t="s">
        <v>33221</v>
      </c>
      <c r="B2509" s="9" t="s">
        <v>8833</v>
      </c>
      <c r="C2509" s="8" t="s">
        <v>33222</v>
      </c>
      <c r="D2509" s="9" t="b">
        <v>1</v>
      </c>
      <c r="E2509" s="9"/>
    </row>
    <row r="2510" ht="15.75" customHeight="1">
      <c r="A2510" s="9" t="s">
        <v>33223</v>
      </c>
      <c r="B2510" s="9" t="s">
        <v>9361</v>
      </c>
      <c r="C2510" s="8" t="s">
        <v>33224</v>
      </c>
      <c r="D2510" s="9" t="b">
        <v>1</v>
      </c>
      <c r="E2510" s="9"/>
    </row>
    <row r="2511" ht="15.75" customHeight="1">
      <c r="A2511" s="9" t="s">
        <v>33225</v>
      </c>
      <c r="B2511" s="9" t="s">
        <v>9361</v>
      </c>
      <c r="C2511" s="8" t="s">
        <v>33226</v>
      </c>
      <c r="D2511" s="9" t="b">
        <v>0</v>
      </c>
      <c r="E2511" s="9"/>
    </row>
    <row r="2512" ht="15.75" customHeight="1">
      <c r="A2512" s="9" t="s">
        <v>33227</v>
      </c>
      <c r="B2512" s="9" t="s">
        <v>9361</v>
      </c>
      <c r="C2512" s="8" t="s">
        <v>33228</v>
      </c>
      <c r="D2512" s="9" t="b">
        <v>0</v>
      </c>
      <c r="E2512" s="9"/>
    </row>
    <row r="2513" ht="15.75" customHeight="1">
      <c r="A2513" s="9" t="s">
        <v>33229</v>
      </c>
      <c r="B2513" s="9" t="s">
        <v>9361</v>
      </c>
      <c r="C2513" s="8" t="s">
        <v>33230</v>
      </c>
      <c r="D2513" s="9" t="b">
        <v>0</v>
      </c>
      <c r="E2513" s="9"/>
    </row>
    <row r="2514" ht="15.75" customHeight="1">
      <c r="A2514" s="9" t="s">
        <v>33231</v>
      </c>
      <c r="B2514" s="9" t="s">
        <v>9361</v>
      </c>
      <c r="C2514" s="8" t="s">
        <v>33232</v>
      </c>
      <c r="D2514" s="9" t="b">
        <v>0</v>
      </c>
      <c r="E2514" s="9"/>
    </row>
    <row r="2515" ht="15.75" customHeight="1">
      <c r="A2515" s="9" t="s">
        <v>33233</v>
      </c>
      <c r="B2515" s="9" t="s">
        <v>9361</v>
      </c>
      <c r="C2515" s="8" t="s">
        <v>33234</v>
      </c>
      <c r="D2515" s="9" t="b">
        <v>0</v>
      </c>
      <c r="E2515" s="9"/>
    </row>
    <row r="2516" ht="15.75" customHeight="1">
      <c r="A2516" s="9" t="s">
        <v>33235</v>
      </c>
      <c r="B2516" s="9" t="s">
        <v>251</v>
      </c>
      <c r="C2516" s="8" t="s">
        <v>33236</v>
      </c>
      <c r="D2516" s="9" t="b">
        <v>0</v>
      </c>
      <c r="E2516" s="9"/>
    </row>
    <row r="2517" ht="15.75" customHeight="1">
      <c r="A2517" s="52" t="s">
        <v>33237</v>
      </c>
      <c r="B2517" s="9" t="s">
        <v>251</v>
      </c>
      <c r="C2517" s="8" t="s">
        <v>33238</v>
      </c>
      <c r="D2517" s="9" t="b">
        <v>0</v>
      </c>
      <c r="E2517" s="9"/>
    </row>
    <row r="2518" ht="15.75" customHeight="1">
      <c r="A2518" s="9" t="s">
        <v>33239</v>
      </c>
      <c r="B2518" s="9" t="s">
        <v>11733</v>
      </c>
      <c r="C2518" s="8" t="s">
        <v>33240</v>
      </c>
      <c r="D2518" s="9" t="b">
        <v>0</v>
      </c>
      <c r="E2518" s="9"/>
    </row>
    <row r="2519" ht="15.75" customHeight="1">
      <c r="A2519" s="9" t="s">
        <v>33241</v>
      </c>
      <c r="B2519" s="9" t="s">
        <v>11733</v>
      </c>
      <c r="C2519" s="8" t="s">
        <v>33242</v>
      </c>
      <c r="D2519" s="9" t="b">
        <v>1</v>
      </c>
      <c r="E2519" s="9"/>
    </row>
    <row r="2520" ht="15.75" customHeight="1">
      <c r="A2520" s="9" t="s">
        <v>33243</v>
      </c>
      <c r="B2520" s="9" t="s">
        <v>11733</v>
      </c>
      <c r="C2520" s="8" t="s">
        <v>33244</v>
      </c>
      <c r="D2520" s="9" t="b">
        <v>0</v>
      </c>
      <c r="E2520" s="9"/>
    </row>
    <row r="2521" ht="15.75" customHeight="1">
      <c r="A2521" s="9" t="s">
        <v>33245</v>
      </c>
      <c r="B2521" s="9" t="s">
        <v>3346</v>
      </c>
      <c r="C2521" s="8" t="s">
        <v>33246</v>
      </c>
      <c r="D2521" s="9" t="b">
        <v>1</v>
      </c>
      <c r="E2521" s="9"/>
    </row>
    <row r="2522" ht="15.75" customHeight="1">
      <c r="A2522" s="9" t="s">
        <v>33247</v>
      </c>
      <c r="B2522" s="9" t="s">
        <v>3346</v>
      </c>
      <c r="C2522" s="8" t="s">
        <v>33248</v>
      </c>
      <c r="D2522" s="9" t="b">
        <v>0</v>
      </c>
      <c r="E2522" s="9"/>
    </row>
    <row r="2523" ht="15.75" customHeight="1">
      <c r="A2523" s="9" t="s">
        <v>33249</v>
      </c>
      <c r="B2523" s="9" t="s">
        <v>3346</v>
      </c>
      <c r="C2523" s="8" t="s">
        <v>33250</v>
      </c>
      <c r="D2523" s="9" t="b">
        <v>0</v>
      </c>
      <c r="E2523" s="9"/>
    </row>
    <row r="2524" ht="15.75" customHeight="1">
      <c r="A2524" s="9" t="s">
        <v>33251</v>
      </c>
      <c r="B2524" s="9" t="s">
        <v>3346</v>
      </c>
      <c r="C2524" s="8" t="s">
        <v>33252</v>
      </c>
      <c r="D2524" s="9" t="b">
        <v>0</v>
      </c>
      <c r="E2524" s="9"/>
    </row>
    <row r="2525" ht="15.75" customHeight="1">
      <c r="A2525" s="9" t="s">
        <v>33253</v>
      </c>
      <c r="B2525" s="9" t="s">
        <v>3346</v>
      </c>
      <c r="C2525" s="8" t="s">
        <v>33254</v>
      </c>
      <c r="D2525" s="9" t="b">
        <v>0</v>
      </c>
      <c r="E2525" s="9"/>
    </row>
    <row r="2526" ht="15.75" customHeight="1">
      <c r="A2526" s="9" t="s">
        <v>33255</v>
      </c>
      <c r="B2526" s="9" t="s">
        <v>3346</v>
      </c>
      <c r="C2526" s="8" t="s">
        <v>33256</v>
      </c>
      <c r="D2526" s="9" t="b">
        <v>0</v>
      </c>
      <c r="E2526" s="9"/>
    </row>
    <row r="2527" ht="15.75" customHeight="1">
      <c r="A2527" s="9" t="s">
        <v>33257</v>
      </c>
      <c r="B2527" s="9" t="s">
        <v>3346</v>
      </c>
      <c r="C2527" s="8" t="s">
        <v>33258</v>
      </c>
      <c r="D2527" s="9" t="b">
        <v>0</v>
      </c>
      <c r="E2527" s="9"/>
    </row>
    <row r="2528" ht="15.75" customHeight="1">
      <c r="A2528" s="9" t="s">
        <v>33259</v>
      </c>
      <c r="B2528" s="9" t="s">
        <v>3346</v>
      </c>
      <c r="C2528" s="8" t="s">
        <v>33260</v>
      </c>
      <c r="D2528" s="9" t="b">
        <v>0</v>
      </c>
      <c r="E2528" s="9"/>
    </row>
    <row r="2529" ht="15.75" customHeight="1">
      <c r="A2529" s="9" t="s">
        <v>33261</v>
      </c>
      <c r="B2529" s="9" t="s">
        <v>3346</v>
      </c>
      <c r="C2529" s="8" t="s">
        <v>33262</v>
      </c>
      <c r="D2529" s="9" t="b">
        <v>0</v>
      </c>
      <c r="E2529" s="9"/>
    </row>
    <row r="2530" ht="15.75" customHeight="1">
      <c r="A2530" s="9" t="s">
        <v>33263</v>
      </c>
      <c r="B2530" s="9" t="s">
        <v>3346</v>
      </c>
      <c r="C2530" s="8" t="s">
        <v>33264</v>
      </c>
      <c r="D2530" s="9" t="b">
        <v>0</v>
      </c>
      <c r="E2530" s="9" t="s">
        <v>33265</v>
      </c>
    </row>
    <row r="2531" ht="15.75" customHeight="1">
      <c r="A2531" s="9" t="s">
        <v>33266</v>
      </c>
      <c r="B2531" s="9" t="s">
        <v>3346</v>
      </c>
      <c r="C2531" s="8" t="s">
        <v>33267</v>
      </c>
      <c r="D2531" s="9" t="b">
        <v>0</v>
      </c>
      <c r="E2531" s="9" t="s">
        <v>33268</v>
      </c>
    </row>
    <row r="2532" ht="15.75" customHeight="1">
      <c r="A2532" s="9" t="s">
        <v>33269</v>
      </c>
      <c r="B2532" s="9" t="s">
        <v>10318</v>
      </c>
      <c r="C2532" s="8" t="s">
        <v>33270</v>
      </c>
      <c r="D2532" s="9" t="b">
        <v>1</v>
      </c>
      <c r="E2532" s="9"/>
    </row>
    <row r="2533" ht="15.75" customHeight="1">
      <c r="A2533" s="9" t="s">
        <v>33271</v>
      </c>
      <c r="B2533" s="9" t="s">
        <v>10707</v>
      </c>
      <c r="C2533" s="8" t="s">
        <v>33272</v>
      </c>
      <c r="D2533" s="9" t="b">
        <v>0</v>
      </c>
      <c r="E2533" s="9" t="s">
        <v>33273</v>
      </c>
    </row>
    <row r="2534" ht="15.75" customHeight="1">
      <c r="A2534" s="9" t="s">
        <v>33274</v>
      </c>
      <c r="B2534" s="9" t="s">
        <v>10707</v>
      </c>
      <c r="C2534" s="8" t="s">
        <v>33275</v>
      </c>
      <c r="D2534" s="9" t="b">
        <v>0</v>
      </c>
      <c r="E2534" s="9" t="s">
        <v>33276</v>
      </c>
    </row>
    <row r="2535" ht="15.75" customHeight="1">
      <c r="A2535" s="9" t="s">
        <v>33277</v>
      </c>
      <c r="B2535" s="9" t="s">
        <v>10707</v>
      </c>
      <c r="C2535" s="8" t="s">
        <v>33278</v>
      </c>
      <c r="D2535" s="9" t="b">
        <v>0</v>
      </c>
      <c r="E2535" s="9" t="s">
        <v>33279</v>
      </c>
    </row>
    <row r="2536" ht="15.75" customHeight="1">
      <c r="A2536" s="9" t="s">
        <v>33280</v>
      </c>
      <c r="B2536" s="9" t="s">
        <v>10707</v>
      </c>
      <c r="C2536" s="8" t="s">
        <v>33281</v>
      </c>
      <c r="D2536" s="9" t="b">
        <v>1</v>
      </c>
      <c r="E2536" s="9" t="s">
        <v>33282</v>
      </c>
    </row>
    <row r="2537" ht="15.75" customHeight="1">
      <c r="A2537" s="9" t="s">
        <v>33283</v>
      </c>
      <c r="B2537" s="9" t="s">
        <v>10707</v>
      </c>
      <c r="C2537" s="8" t="s">
        <v>33284</v>
      </c>
      <c r="D2537" s="9" t="b">
        <v>0</v>
      </c>
      <c r="E2537" s="9" t="s">
        <v>33285</v>
      </c>
    </row>
    <row r="2538" ht="15.75" customHeight="1">
      <c r="A2538" s="9" t="s">
        <v>33286</v>
      </c>
      <c r="B2538" s="9" t="s">
        <v>10707</v>
      </c>
      <c r="C2538" s="8" t="s">
        <v>33287</v>
      </c>
      <c r="D2538" s="9" t="b">
        <v>0</v>
      </c>
      <c r="E2538" s="9" t="s">
        <v>33288</v>
      </c>
    </row>
    <row r="2539" ht="15.75" customHeight="1">
      <c r="A2539" s="9" t="s">
        <v>33289</v>
      </c>
      <c r="B2539" s="9" t="s">
        <v>10707</v>
      </c>
      <c r="C2539" s="8" t="s">
        <v>33290</v>
      </c>
      <c r="D2539" s="9" t="b">
        <v>0</v>
      </c>
      <c r="E2539" s="9" t="s">
        <v>33291</v>
      </c>
    </row>
    <row r="2540" ht="15.75" customHeight="1">
      <c r="A2540" s="9" t="s">
        <v>33292</v>
      </c>
      <c r="B2540" s="9" t="s">
        <v>10707</v>
      </c>
      <c r="C2540" s="8" t="s">
        <v>33293</v>
      </c>
      <c r="D2540" s="9" t="b">
        <v>0</v>
      </c>
      <c r="E2540" s="9" t="s">
        <v>33294</v>
      </c>
    </row>
    <row r="2541" ht="15.75" customHeight="1">
      <c r="A2541" s="9" t="s">
        <v>33295</v>
      </c>
      <c r="B2541" s="9" t="s">
        <v>10707</v>
      </c>
      <c r="C2541" s="8" t="s">
        <v>33296</v>
      </c>
      <c r="D2541" s="9" t="b">
        <v>0</v>
      </c>
      <c r="E2541" s="9" t="s">
        <v>33297</v>
      </c>
    </row>
    <row r="2542" ht="15.75" customHeight="1">
      <c r="A2542" s="9" t="s">
        <v>33298</v>
      </c>
      <c r="B2542" s="9" t="s">
        <v>10707</v>
      </c>
      <c r="C2542" s="8" t="s">
        <v>33299</v>
      </c>
      <c r="D2542" s="9" t="b">
        <v>0</v>
      </c>
      <c r="E2542" s="9" t="s">
        <v>33300</v>
      </c>
    </row>
    <row r="2543" ht="15.75" customHeight="1">
      <c r="A2543" s="9" t="s">
        <v>33301</v>
      </c>
      <c r="B2543" s="9" t="s">
        <v>10707</v>
      </c>
      <c r="C2543" s="8" t="s">
        <v>33302</v>
      </c>
      <c r="D2543" s="9" t="b">
        <v>0</v>
      </c>
      <c r="E2543" s="9" t="s">
        <v>33303</v>
      </c>
    </row>
    <row r="2544" ht="15.75" customHeight="1">
      <c r="A2544" s="9" t="s">
        <v>33304</v>
      </c>
      <c r="B2544" s="9" t="s">
        <v>5461</v>
      </c>
      <c r="C2544" s="8" t="s">
        <v>33305</v>
      </c>
      <c r="D2544" s="9" t="b">
        <v>0</v>
      </c>
      <c r="E2544" s="9"/>
    </row>
    <row r="2545" ht="15.75" customHeight="1">
      <c r="A2545" s="9" t="s">
        <v>33306</v>
      </c>
      <c r="B2545" s="9" t="s">
        <v>5461</v>
      </c>
      <c r="C2545" s="8" t="s">
        <v>33307</v>
      </c>
      <c r="D2545" s="9" t="b">
        <v>0</v>
      </c>
      <c r="E2545" s="9"/>
    </row>
    <row r="2546" ht="15.75" customHeight="1">
      <c r="A2546" s="9" t="s">
        <v>33308</v>
      </c>
      <c r="B2546" s="9" t="s">
        <v>5461</v>
      </c>
      <c r="C2546" s="8" t="s">
        <v>33309</v>
      </c>
      <c r="D2546" s="9" t="b">
        <v>1</v>
      </c>
      <c r="E2546" s="9"/>
    </row>
    <row r="2547" ht="15.75" customHeight="1">
      <c r="A2547" s="9" t="s">
        <v>33310</v>
      </c>
      <c r="B2547" s="9" t="s">
        <v>5461</v>
      </c>
      <c r="C2547" s="8" t="s">
        <v>33311</v>
      </c>
      <c r="D2547" s="9" t="b">
        <v>0</v>
      </c>
      <c r="E2547" s="9"/>
    </row>
    <row r="2548" ht="15.75" customHeight="1">
      <c r="A2548" s="9" t="s">
        <v>33312</v>
      </c>
      <c r="B2548" s="9" t="s">
        <v>5461</v>
      </c>
      <c r="C2548" s="8" t="s">
        <v>33313</v>
      </c>
      <c r="D2548" s="9" t="b">
        <v>0</v>
      </c>
      <c r="E2548" s="9"/>
    </row>
    <row r="2549" ht="15.75" customHeight="1">
      <c r="A2549" s="9" t="s">
        <v>33314</v>
      </c>
      <c r="B2549" s="9" t="s">
        <v>5461</v>
      </c>
      <c r="C2549" s="8" t="s">
        <v>33315</v>
      </c>
      <c r="D2549" s="9" t="b">
        <v>0</v>
      </c>
      <c r="E2549" s="9"/>
    </row>
    <row r="2550" ht="15.75" customHeight="1">
      <c r="A2550" s="9" t="s">
        <v>33316</v>
      </c>
      <c r="B2550" s="9" t="s">
        <v>11668</v>
      </c>
      <c r="C2550" s="8" t="s">
        <v>33317</v>
      </c>
      <c r="D2550" s="9" t="b">
        <v>1</v>
      </c>
      <c r="E2550" s="9"/>
    </row>
    <row r="2551" ht="15.75" customHeight="1">
      <c r="A2551" s="9"/>
      <c r="B2551" s="9"/>
      <c r="C2551" s="9"/>
      <c r="D2551" s="9"/>
      <c r="E2551" s="9"/>
    </row>
    <row r="2552" ht="15.75" customHeight="1">
      <c r="A2552" s="9" t="s">
        <v>33318</v>
      </c>
      <c r="B2552" s="9" t="s">
        <v>11903</v>
      </c>
      <c r="C2552" s="8" t="s">
        <v>33319</v>
      </c>
      <c r="D2552" s="9" t="b">
        <v>1</v>
      </c>
      <c r="E2552" s="9"/>
    </row>
    <row r="2553" ht="15.75" customHeight="1">
      <c r="A2553" s="9" t="s">
        <v>33320</v>
      </c>
      <c r="B2553" s="9" t="s">
        <v>251</v>
      </c>
      <c r="C2553" s="8" t="s">
        <v>33321</v>
      </c>
      <c r="D2553" s="9" t="b">
        <v>0</v>
      </c>
      <c r="E2553" s="9"/>
    </row>
    <row r="2554" ht="15.75" customHeight="1">
      <c r="A2554" s="9" t="s">
        <v>33322</v>
      </c>
      <c r="B2554" s="9" t="s">
        <v>10535</v>
      </c>
      <c r="C2554" s="8" t="s">
        <v>33323</v>
      </c>
      <c r="D2554" s="9" t="b">
        <v>1</v>
      </c>
      <c r="E2554" s="9"/>
    </row>
    <row r="2555" ht="15.75" customHeight="1">
      <c r="A2555" s="9" t="s">
        <v>33324</v>
      </c>
      <c r="B2555" s="9" t="s">
        <v>10535</v>
      </c>
      <c r="C2555" s="8" t="s">
        <v>33325</v>
      </c>
      <c r="D2555" s="9" t="b">
        <v>0</v>
      </c>
      <c r="E2555" s="9"/>
    </row>
    <row r="2556" ht="15.75" customHeight="1">
      <c r="A2556" s="9" t="s">
        <v>33326</v>
      </c>
      <c r="B2556" s="9" t="s">
        <v>10535</v>
      </c>
      <c r="C2556" s="8" t="s">
        <v>33327</v>
      </c>
      <c r="D2556" s="9" t="b">
        <v>0</v>
      </c>
      <c r="E2556" s="9"/>
    </row>
    <row r="2557" ht="15.75" customHeight="1">
      <c r="A2557" s="9" t="s">
        <v>33328</v>
      </c>
      <c r="B2557" s="9" t="s">
        <v>10535</v>
      </c>
      <c r="C2557" s="8" t="s">
        <v>33329</v>
      </c>
      <c r="D2557" s="9" t="b">
        <v>0</v>
      </c>
      <c r="E2557" s="9"/>
    </row>
    <row r="2558" ht="15.75" customHeight="1">
      <c r="A2558" s="9" t="s">
        <v>33330</v>
      </c>
      <c r="B2558" s="9" t="s">
        <v>10535</v>
      </c>
      <c r="C2558" s="8" t="s">
        <v>33331</v>
      </c>
      <c r="D2558" s="9" t="b">
        <v>0</v>
      </c>
      <c r="E2558" s="9"/>
    </row>
    <row r="2559" ht="15.75" customHeight="1">
      <c r="A2559" s="9" t="s">
        <v>33332</v>
      </c>
      <c r="B2559" s="9" t="s">
        <v>11949</v>
      </c>
      <c r="C2559" s="8" t="s">
        <v>33333</v>
      </c>
      <c r="D2559" s="9" t="b">
        <v>0</v>
      </c>
      <c r="E2559" s="9"/>
    </row>
    <row r="2560" ht="15.75" customHeight="1">
      <c r="A2560" s="9" t="s">
        <v>33334</v>
      </c>
      <c r="B2560" s="9" t="s">
        <v>11949</v>
      </c>
      <c r="C2560" s="8" t="s">
        <v>33335</v>
      </c>
      <c r="D2560" s="9" t="b">
        <v>0</v>
      </c>
      <c r="E2560" s="9"/>
    </row>
    <row r="2561" ht="15.75" customHeight="1">
      <c r="A2561" s="9" t="s">
        <v>33336</v>
      </c>
      <c r="B2561" s="9" t="s">
        <v>11949</v>
      </c>
      <c r="C2561" s="8" t="s">
        <v>33337</v>
      </c>
      <c r="D2561" s="9" t="b">
        <v>0</v>
      </c>
      <c r="E2561" s="9"/>
    </row>
    <row r="2562" ht="15.75" customHeight="1">
      <c r="A2562" s="9" t="s">
        <v>33338</v>
      </c>
      <c r="B2562" s="9" t="s">
        <v>11949</v>
      </c>
      <c r="C2562" s="8" t="s">
        <v>33339</v>
      </c>
      <c r="D2562" s="9" t="b">
        <v>0</v>
      </c>
      <c r="E2562" s="9"/>
    </row>
    <row r="2563" ht="15.75" customHeight="1">
      <c r="A2563" s="9" t="s">
        <v>33340</v>
      </c>
      <c r="B2563" s="9" t="s">
        <v>11802</v>
      </c>
      <c r="C2563" s="8" t="s">
        <v>33341</v>
      </c>
      <c r="D2563" s="9" t="b">
        <v>0</v>
      </c>
      <c r="E2563" s="9"/>
    </row>
    <row r="2564" ht="15.75" customHeight="1">
      <c r="A2564" s="9" t="s">
        <v>33342</v>
      </c>
      <c r="B2564" s="9" t="s">
        <v>11951</v>
      </c>
      <c r="C2564" s="8" t="s">
        <v>33343</v>
      </c>
      <c r="D2564" s="9" t="b">
        <v>0</v>
      </c>
      <c r="E2564" s="9"/>
    </row>
    <row r="2565" ht="15.75" customHeight="1">
      <c r="A2565" s="9" t="s">
        <v>33344</v>
      </c>
      <c r="B2565" s="9" t="s">
        <v>11951</v>
      </c>
      <c r="C2565" s="8" t="s">
        <v>33345</v>
      </c>
      <c r="D2565" s="9" t="b">
        <v>0</v>
      </c>
      <c r="E2565" s="9"/>
    </row>
    <row r="2566" ht="15.75" customHeight="1">
      <c r="A2566" s="9" t="s">
        <v>33346</v>
      </c>
      <c r="B2566" s="9" t="s">
        <v>11951</v>
      </c>
      <c r="C2566" s="8" t="s">
        <v>33347</v>
      </c>
      <c r="D2566" s="9" t="b">
        <v>0</v>
      </c>
      <c r="E2566" s="9"/>
    </row>
    <row r="2567" ht="15.75" customHeight="1">
      <c r="A2567" s="9" t="s">
        <v>33348</v>
      </c>
      <c r="B2567" s="9" t="s">
        <v>11951</v>
      </c>
      <c r="C2567" s="8" t="s">
        <v>33349</v>
      </c>
      <c r="D2567" s="9" t="b">
        <v>1</v>
      </c>
      <c r="E2567" s="9"/>
    </row>
    <row r="2568" ht="15.75" customHeight="1">
      <c r="A2568" s="9" t="s">
        <v>33350</v>
      </c>
      <c r="B2568" s="9" t="s">
        <v>11951</v>
      </c>
      <c r="C2568" s="8" t="s">
        <v>33351</v>
      </c>
      <c r="D2568" s="9" t="b">
        <v>0</v>
      </c>
      <c r="E2568" s="9"/>
    </row>
    <row r="2569" ht="15.75" customHeight="1">
      <c r="A2569" s="9" t="s">
        <v>33352</v>
      </c>
      <c r="B2569" s="9" t="s">
        <v>11951</v>
      </c>
      <c r="C2569" s="8" t="s">
        <v>33353</v>
      </c>
      <c r="D2569" s="9" t="b">
        <v>0</v>
      </c>
      <c r="E2569" s="9"/>
    </row>
    <row r="2570" ht="15.75" customHeight="1">
      <c r="A2570" s="9" t="s">
        <v>33354</v>
      </c>
      <c r="B2570" s="9" t="s">
        <v>11951</v>
      </c>
      <c r="C2570" s="8" t="s">
        <v>33355</v>
      </c>
      <c r="D2570" s="9" t="b">
        <v>0</v>
      </c>
      <c r="E2570" s="9"/>
    </row>
    <row r="2571" ht="15.75" customHeight="1">
      <c r="A2571" s="9" t="s">
        <v>33356</v>
      </c>
      <c r="B2571" s="9" t="s">
        <v>11951</v>
      </c>
      <c r="C2571" s="8" t="s">
        <v>33357</v>
      </c>
      <c r="D2571" s="9" t="b">
        <v>0</v>
      </c>
      <c r="E2571" s="9"/>
    </row>
    <row r="2572" ht="15.75" customHeight="1">
      <c r="A2572" s="9" t="s">
        <v>33358</v>
      </c>
      <c r="B2572" s="9" t="s">
        <v>1546</v>
      </c>
      <c r="C2572" s="8" t="s">
        <v>33359</v>
      </c>
      <c r="D2572" s="9" t="b">
        <v>1</v>
      </c>
      <c r="E2572" s="9"/>
    </row>
    <row r="2573" ht="15.75" customHeight="1">
      <c r="A2573" s="9" t="s">
        <v>33360</v>
      </c>
      <c r="B2573" s="9" t="s">
        <v>1546</v>
      </c>
      <c r="C2573" s="8" t="s">
        <v>33361</v>
      </c>
      <c r="D2573" s="9" t="b">
        <v>0</v>
      </c>
      <c r="E2573" s="9"/>
    </row>
    <row r="2574" ht="15.75" customHeight="1">
      <c r="A2574" s="9" t="s">
        <v>33362</v>
      </c>
      <c r="B2574" s="9" t="s">
        <v>1546</v>
      </c>
      <c r="C2574" s="8" t="s">
        <v>33363</v>
      </c>
      <c r="D2574" s="9" t="b">
        <v>0</v>
      </c>
      <c r="E2574" s="9"/>
    </row>
    <row r="2575" ht="15.75" customHeight="1">
      <c r="A2575" s="9" t="s">
        <v>33364</v>
      </c>
      <c r="B2575" s="9" t="s">
        <v>1546</v>
      </c>
      <c r="C2575" s="8" t="s">
        <v>33365</v>
      </c>
      <c r="D2575" s="9" t="b">
        <v>0</v>
      </c>
      <c r="E2575" s="9"/>
    </row>
    <row r="2576" ht="15.75" customHeight="1">
      <c r="A2576" s="9" t="s">
        <v>33366</v>
      </c>
      <c r="B2576" s="9" t="s">
        <v>1546</v>
      </c>
      <c r="C2576" s="8" t="s">
        <v>33367</v>
      </c>
      <c r="D2576" s="9" t="b">
        <v>0</v>
      </c>
      <c r="E2576" s="9"/>
    </row>
    <row r="2577" ht="15.75" customHeight="1">
      <c r="A2577" s="9" t="s">
        <v>33368</v>
      </c>
      <c r="B2577" s="9" t="s">
        <v>5139</v>
      </c>
      <c r="C2577" s="8" t="s">
        <v>33369</v>
      </c>
      <c r="D2577" s="9" t="b">
        <v>1</v>
      </c>
      <c r="E2577" s="9"/>
    </row>
    <row r="2578" ht="15.75" customHeight="1">
      <c r="A2578" s="9" t="s">
        <v>33370</v>
      </c>
      <c r="B2578" s="9" t="s">
        <v>5139</v>
      </c>
      <c r="C2578" s="8" t="s">
        <v>33371</v>
      </c>
      <c r="D2578" s="9" t="b">
        <v>0</v>
      </c>
      <c r="E2578" s="9"/>
    </row>
    <row r="2579" ht="15.75" customHeight="1">
      <c r="A2579" s="9" t="s">
        <v>33372</v>
      </c>
      <c r="B2579" s="9" t="s">
        <v>11938</v>
      </c>
      <c r="C2579" s="8" t="s">
        <v>33373</v>
      </c>
      <c r="D2579" s="9" t="b">
        <v>1</v>
      </c>
      <c r="E2579" s="9"/>
    </row>
    <row r="2580" ht="15.75" customHeight="1">
      <c r="A2580" s="9" t="s">
        <v>33374</v>
      </c>
      <c r="B2580" s="9" t="s">
        <v>11938</v>
      </c>
      <c r="C2580" s="8" t="s">
        <v>33375</v>
      </c>
      <c r="D2580" s="9" t="b">
        <v>0</v>
      </c>
      <c r="E2580" s="9"/>
    </row>
    <row r="2581" ht="15.75" customHeight="1">
      <c r="A2581" s="9" t="s">
        <v>33376</v>
      </c>
      <c r="B2581" s="9" t="s">
        <v>11938</v>
      </c>
      <c r="C2581" s="8" t="s">
        <v>33377</v>
      </c>
      <c r="D2581" s="9" t="b">
        <v>0</v>
      </c>
      <c r="E2581" s="9"/>
    </row>
    <row r="2582" ht="15.75" customHeight="1">
      <c r="A2582" s="9" t="s">
        <v>33378</v>
      </c>
      <c r="B2582" s="9" t="s">
        <v>11938</v>
      </c>
      <c r="C2582" s="8" t="s">
        <v>33379</v>
      </c>
      <c r="D2582" s="9" t="b">
        <v>0</v>
      </c>
      <c r="E2582" s="9"/>
    </row>
    <row r="2583" ht="15.75" customHeight="1">
      <c r="A2583" s="9" t="s">
        <v>33380</v>
      </c>
      <c r="B2583" s="9" t="s">
        <v>12013</v>
      </c>
      <c r="C2583" s="8" t="s">
        <v>33381</v>
      </c>
      <c r="D2583" s="9" t="b">
        <v>1</v>
      </c>
      <c r="E2583" s="9"/>
    </row>
    <row r="2584" ht="15.75" customHeight="1">
      <c r="A2584" s="9" t="s">
        <v>33382</v>
      </c>
      <c r="B2584" s="9" t="s">
        <v>12013</v>
      </c>
      <c r="C2584" s="8" t="s">
        <v>33383</v>
      </c>
      <c r="D2584" s="9" t="b">
        <v>0</v>
      </c>
      <c r="E2584" s="9"/>
    </row>
    <row r="2585" ht="15.75" customHeight="1">
      <c r="A2585" s="9" t="s">
        <v>33384</v>
      </c>
      <c r="B2585" s="9" t="s">
        <v>12013</v>
      </c>
      <c r="C2585" s="8" t="s">
        <v>33385</v>
      </c>
      <c r="D2585" s="9" t="b">
        <v>0</v>
      </c>
      <c r="E2585" s="9"/>
    </row>
    <row r="2586" ht="15.75" customHeight="1">
      <c r="A2586" s="9" t="s">
        <v>33386</v>
      </c>
      <c r="B2586" s="9" t="s">
        <v>11938</v>
      </c>
      <c r="C2586" s="8" t="s">
        <v>33387</v>
      </c>
      <c r="D2586" s="9" t="b">
        <v>0</v>
      </c>
      <c r="E2586" s="9"/>
    </row>
    <row r="2587" ht="15.75" customHeight="1">
      <c r="A2587" s="9" t="s">
        <v>33388</v>
      </c>
      <c r="B2587" s="9" t="s">
        <v>11938</v>
      </c>
      <c r="C2587" s="8" t="s">
        <v>33389</v>
      </c>
      <c r="D2587" s="9" t="b">
        <v>0</v>
      </c>
      <c r="E2587" s="9"/>
    </row>
    <row r="2588" ht="15.75" customHeight="1">
      <c r="A2588" s="9" t="s">
        <v>33390</v>
      </c>
      <c r="B2588" s="9" t="s">
        <v>11938</v>
      </c>
      <c r="C2588" s="8" t="s">
        <v>33391</v>
      </c>
      <c r="D2588" s="9" t="b">
        <v>0</v>
      </c>
      <c r="E2588" s="9"/>
    </row>
    <row r="2589" ht="15.75" customHeight="1">
      <c r="A2589" s="9" t="s">
        <v>33392</v>
      </c>
      <c r="B2589" s="9" t="s">
        <v>11938</v>
      </c>
      <c r="C2589" s="8" t="s">
        <v>33393</v>
      </c>
      <c r="D2589" s="9" t="b">
        <v>0</v>
      </c>
      <c r="E2589" s="9"/>
    </row>
    <row r="2590" ht="15.75" customHeight="1">
      <c r="A2590" s="9" t="s">
        <v>33394</v>
      </c>
      <c r="B2590" s="9" t="s">
        <v>1034</v>
      </c>
      <c r="C2590" s="8" t="s">
        <v>33395</v>
      </c>
      <c r="D2590" s="9" t="b">
        <v>0</v>
      </c>
      <c r="E2590" s="9"/>
    </row>
    <row r="2591" ht="15.75" customHeight="1">
      <c r="A2591" s="9" t="s">
        <v>33396</v>
      </c>
      <c r="B2591" s="9" t="s">
        <v>1034</v>
      </c>
      <c r="C2591" s="8" t="s">
        <v>33397</v>
      </c>
      <c r="D2591" s="9" t="b">
        <v>0</v>
      </c>
      <c r="E2591" s="9"/>
    </row>
    <row r="2592" ht="15.75" customHeight="1">
      <c r="A2592" s="9" t="s">
        <v>33398</v>
      </c>
      <c r="B2592" s="9" t="s">
        <v>1034</v>
      </c>
      <c r="C2592" s="8" t="s">
        <v>33399</v>
      </c>
      <c r="D2592" s="9" t="b">
        <v>0</v>
      </c>
      <c r="E2592" s="9"/>
    </row>
    <row r="2593" ht="15.75" customHeight="1">
      <c r="A2593" s="9" t="s">
        <v>33400</v>
      </c>
      <c r="B2593" s="9" t="s">
        <v>1034</v>
      </c>
      <c r="C2593" s="8" t="s">
        <v>33401</v>
      </c>
      <c r="D2593" s="9" t="b">
        <v>0</v>
      </c>
      <c r="E2593" s="9"/>
    </row>
    <row r="2594" ht="15.75" customHeight="1">
      <c r="A2594" s="9"/>
      <c r="B2594" s="9"/>
      <c r="C2594" s="9"/>
      <c r="D2594" s="9"/>
      <c r="E2594" s="9"/>
    </row>
    <row r="2595" ht="15.75" customHeight="1">
      <c r="A2595" s="9" t="s">
        <v>33402</v>
      </c>
      <c r="B2595" s="9" t="s">
        <v>1034</v>
      </c>
      <c r="C2595" s="8" t="s">
        <v>33403</v>
      </c>
      <c r="D2595" s="9" t="b">
        <v>0</v>
      </c>
      <c r="E2595" s="9"/>
    </row>
    <row r="2596" ht="15.75" customHeight="1">
      <c r="A2596" s="9" t="s">
        <v>33404</v>
      </c>
      <c r="B2596" s="9" t="s">
        <v>1034</v>
      </c>
      <c r="C2596" s="8" t="s">
        <v>33405</v>
      </c>
      <c r="D2596" s="9" t="b">
        <v>0</v>
      </c>
      <c r="E2596" s="9"/>
    </row>
    <row r="2597" ht="15.75" customHeight="1">
      <c r="A2597" s="9" t="s">
        <v>33406</v>
      </c>
      <c r="B2597" s="9" t="s">
        <v>1034</v>
      </c>
      <c r="C2597" s="8" t="s">
        <v>33407</v>
      </c>
      <c r="D2597" s="9" t="b">
        <v>0</v>
      </c>
      <c r="E2597" s="9"/>
    </row>
    <row r="2598" ht="15.75" customHeight="1">
      <c r="A2598" s="9" t="s">
        <v>33408</v>
      </c>
      <c r="B2598" s="9" t="s">
        <v>1034</v>
      </c>
      <c r="C2598" s="8" t="s">
        <v>33409</v>
      </c>
      <c r="D2598" s="9" t="b">
        <v>0</v>
      </c>
      <c r="E2598" s="9"/>
    </row>
    <row r="2599" ht="15.75" customHeight="1">
      <c r="A2599" s="9" t="s">
        <v>33410</v>
      </c>
      <c r="B2599" s="9" t="s">
        <v>1034</v>
      </c>
      <c r="C2599" s="8" t="s">
        <v>33411</v>
      </c>
      <c r="D2599" s="9" t="b">
        <v>0</v>
      </c>
      <c r="E2599" s="9"/>
    </row>
    <row r="2600" ht="15.75" customHeight="1">
      <c r="A2600" s="9" t="s">
        <v>33412</v>
      </c>
      <c r="B2600" s="9" t="s">
        <v>10518</v>
      </c>
      <c r="C2600" s="8" t="s">
        <v>33413</v>
      </c>
      <c r="D2600" s="9" t="b">
        <v>1</v>
      </c>
      <c r="E2600" s="9"/>
    </row>
    <row r="2601" ht="15.75" customHeight="1">
      <c r="A2601" s="9" t="s">
        <v>33414</v>
      </c>
      <c r="B2601" s="9" t="s">
        <v>10518</v>
      </c>
      <c r="C2601" s="8" t="s">
        <v>33415</v>
      </c>
      <c r="D2601" s="9" t="b">
        <v>0</v>
      </c>
      <c r="E2601" s="9"/>
    </row>
    <row r="2602" ht="15.75" customHeight="1">
      <c r="A2602" s="9" t="s">
        <v>33416</v>
      </c>
      <c r="B2602" s="9" t="s">
        <v>10518</v>
      </c>
      <c r="C2602" s="8" t="s">
        <v>33417</v>
      </c>
      <c r="D2602" s="9" t="b">
        <v>0</v>
      </c>
      <c r="E2602" s="9"/>
    </row>
    <row r="2603" ht="15.75" customHeight="1">
      <c r="A2603" s="9" t="s">
        <v>33418</v>
      </c>
      <c r="B2603" s="9" t="s">
        <v>10518</v>
      </c>
      <c r="C2603" s="8" t="s">
        <v>33419</v>
      </c>
      <c r="D2603" s="9" t="b">
        <v>0</v>
      </c>
      <c r="E2603" s="9"/>
    </row>
    <row r="2604" ht="15.75" customHeight="1">
      <c r="A2604" s="9" t="s">
        <v>33420</v>
      </c>
      <c r="B2604" s="9" t="s">
        <v>10518</v>
      </c>
      <c r="C2604" s="8" t="s">
        <v>33421</v>
      </c>
      <c r="D2604" s="9" t="b">
        <v>0</v>
      </c>
      <c r="E2604" s="9"/>
    </row>
    <row r="2605" ht="15.75" customHeight="1">
      <c r="A2605" s="9" t="s">
        <v>33422</v>
      </c>
      <c r="B2605" s="9" t="s">
        <v>10518</v>
      </c>
      <c r="C2605" s="8" t="s">
        <v>33423</v>
      </c>
      <c r="D2605" s="9" t="b">
        <v>0</v>
      </c>
      <c r="E2605" s="9"/>
    </row>
    <row r="2606" ht="15.75" customHeight="1">
      <c r="A2606" s="9" t="s">
        <v>33424</v>
      </c>
      <c r="B2606" s="9" t="s">
        <v>10518</v>
      </c>
      <c r="C2606" s="8" t="s">
        <v>33425</v>
      </c>
      <c r="D2606" s="9" t="b">
        <v>0</v>
      </c>
      <c r="E2606" s="9"/>
    </row>
    <row r="2607" ht="15.75" customHeight="1">
      <c r="A2607" s="9" t="s">
        <v>33426</v>
      </c>
      <c r="B2607" s="9" t="s">
        <v>1561</v>
      </c>
      <c r="C2607" s="8" t="s">
        <v>33427</v>
      </c>
      <c r="D2607" s="9" t="b">
        <v>0</v>
      </c>
      <c r="E2607" s="9"/>
    </row>
    <row r="2608" ht="15.75" customHeight="1">
      <c r="A2608" s="9" t="s">
        <v>33428</v>
      </c>
      <c r="B2608" s="9" t="s">
        <v>1561</v>
      </c>
      <c r="C2608" s="8" t="s">
        <v>33429</v>
      </c>
      <c r="D2608" s="9" t="b">
        <v>0</v>
      </c>
      <c r="E2608" s="9"/>
    </row>
    <row r="2609" ht="15.75" customHeight="1">
      <c r="A2609" s="9" t="s">
        <v>33430</v>
      </c>
      <c r="B2609" s="9" t="s">
        <v>1561</v>
      </c>
      <c r="C2609" s="8" t="s">
        <v>33431</v>
      </c>
      <c r="D2609" s="9" t="b">
        <v>0</v>
      </c>
      <c r="E2609" s="9"/>
    </row>
    <row r="2610" ht="15.75" customHeight="1">
      <c r="A2610" s="9" t="s">
        <v>33432</v>
      </c>
      <c r="B2610" s="9" t="s">
        <v>1561</v>
      </c>
      <c r="C2610" s="8" t="s">
        <v>33433</v>
      </c>
      <c r="D2610" s="9" t="b">
        <v>0</v>
      </c>
      <c r="E2610" s="9"/>
    </row>
    <row r="2611" ht="15.75" customHeight="1">
      <c r="A2611" s="9" t="s">
        <v>33434</v>
      </c>
      <c r="B2611" s="9" t="s">
        <v>1561</v>
      </c>
      <c r="C2611" s="8" t="s">
        <v>33435</v>
      </c>
      <c r="D2611" s="9" t="b">
        <v>0</v>
      </c>
      <c r="E2611" s="9"/>
    </row>
    <row r="2612" ht="15.75" customHeight="1">
      <c r="A2612" s="9" t="s">
        <v>33436</v>
      </c>
      <c r="B2612" s="9" t="s">
        <v>1561</v>
      </c>
      <c r="C2612" s="8" t="s">
        <v>33437</v>
      </c>
      <c r="D2612" s="9" t="b">
        <v>0</v>
      </c>
      <c r="E2612" s="9"/>
    </row>
    <row r="2613" ht="15.75" customHeight="1">
      <c r="A2613" s="9" t="s">
        <v>33438</v>
      </c>
      <c r="B2613" s="9" t="s">
        <v>1561</v>
      </c>
      <c r="C2613" s="8" t="s">
        <v>33439</v>
      </c>
      <c r="D2613" s="9" t="b">
        <v>0</v>
      </c>
      <c r="E2613" s="9"/>
    </row>
    <row r="2614" ht="15.75" customHeight="1">
      <c r="A2614" s="9" t="s">
        <v>33440</v>
      </c>
      <c r="B2614" s="9" t="s">
        <v>12093</v>
      </c>
      <c r="C2614" s="8" t="s">
        <v>33441</v>
      </c>
      <c r="D2614" s="9" t="b">
        <v>0</v>
      </c>
      <c r="E2614" s="9"/>
    </row>
    <row r="2615" ht="15.75" customHeight="1">
      <c r="A2615" s="9" t="s">
        <v>33442</v>
      </c>
      <c r="B2615" s="9" t="s">
        <v>12093</v>
      </c>
      <c r="C2615" s="8" t="s">
        <v>33443</v>
      </c>
      <c r="D2615" s="9" t="b">
        <v>0</v>
      </c>
      <c r="E2615" s="9"/>
    </row>
    <row r="2616" ht="15.75" customHeight="1">
      <c r="A2616" s="9" t="s">
        <v>33444</v>
      </c>
      <c r="B2616" s="9" t="s">
        <v>12093</v>
      </c>
      <c r="C2616" s="8" t="s">
        <v>33445</v>
      </c>
      <c r="D2616" s="9" t="b">
        <v>0</v>
      </c>
      <c r="E2616" s="9"/>
    </row>
    <row r="2617" ht="15.75" customHeight="1">
      <c r="A2617" s="9" t="s">
        <v>33446</v>
      </c>
      <c r="B2617" s="9" t="s">
        <v>12093</v>
      </c>
      <c r="C2617" s="8" t="s">
        <v>33447</v>
      </c>
      <c r="D2617" s="9" t="b">
        <v>0</v>
      </c>
      <c r="E2617" s="9"/>
    </row>
    <row r="2618" ht="15.75" customHeight="1">
      <c r="A2618" s="9" t="s">
        <v>33448</v>
      </c>
      <c r="B2618" s="9" t="s">
        <v>12093</v>
      </c>
      <c r="C2618" s="8" t="s">
        <v>33449</v>
      </c>
      <c r="D2618" s="9" t="b">
        <v>1</v>
      </c>
      <c r="E2618" s="9"/>
    </row>
    <row r="2619" ht="15.75" customHeight="1">
      <c r="A2619" s="9" t="s">
        <v>33450</v>
      </c>
      <c r="B2619" s="9" t="s">
        <v>12093</v>
      </c>
      <c r="C2619" s="8" t="s">
        <v>33451</v>
      </c>
      <c r="D2619" s="9" t="b">
        <v>0</v>
      </c>
      <c r="E2619" s="9"/>
    </row>
    <row r="2620" ht="15.75" customHeight="1">
      <c r="A2620" s="9" t="s">
        <v>33452</v>
      </c>
      <c r="B2620" s="9" t="s">
        <v>12093</v>
      </c>
      <c r="C2620" s="8" t="s">
        <v>33453</v>
      </c>
      <c r="D2620" s="9" t="b">
        <v>0</v>
      </c>
      <c r="E2620" s="9"/>
    </row>
    <row r="2621" ht="15.75" customHeight="1">
      <c r="A2621" s="9" t="s">
        <v>33454</v>
      </c>
      <c r="B2621" s="9" t="s">
        <v>12093</v>
      </c>
      <c r="C2621" s="8" t="s">
        <v>33455</v>
      </c>
      <c r="D2621" s="9" t="b">
        <v>0</v>
      </c>
      <c r="E2621" s="9"/>
    </row>
    <row r="2622" ht="15.75" customHeight="1">
      <c r="A2622" s="9" t="s">
        <v>33456</v>
      </c>
      <c r="B2622" s="9" t="s">
        <v>12093</v>
      </c>
      <c r="C2622" s="8" t="s">
        <v>33457</v>
      </c>
      <c r="D2622" s="9" t="b">
        <v>0</v>
      </c>
      <c r="E2622" s="9"/>
    </row>
    <row r="2623" ht="15.75" customHeight="1">
      <c r="A2623" s="9" t="s">
        <v>33458</v>
      </c>
      <c r="B2623" s="9" t="s">
        <v>12093</v>
      </c>
      <c r="C2623" s="8" t="s">
        <v>33459</v>
      </c>
      <c r="D2623" s="9" t="b">
        <v>0</v>
      </c>
      <c r="E2623" s="9"/>
    </row>
    <row r="2624" ht="15.75" customHeight="1">
      <c r="A2624" s="9" t="s">
        <v>33460</v>
      </c>
      <c r="B2624" s="9" t="s">
        <v>12093</v>
      </c>
      <c r="C2624" s="8" t="s">
        <v>33461</v>
      </c>
      <c r="D2624" s="9" t="b">
        <v>0</v>
      </c>
      <c r="E2624" s="9"/>
    </row>
    <row r="2625" ht="15.75" customHeight="1">
      <c r="A2625" s="9" t="s">
        <v>33462</v>
      </c>
      <c r="B2625" s="9" t="s">
        <v>10400</v>
      </c>
      <c r="C2625" s="8" t="s">
        <v>33463</v>
      </c>
      <c r="D2625" s="9" t="b">
        <v>0</v>
      </c>
      <c r="E2625" s="9"/>
    </row>
    <row r="2626" ht="15.75" customHeight="1">
      <c r="A2626" s="9" t="s">
        <v>33464</v>
      </c>
      <c r="B2626" s="9" t="s">
        <v>10400</v>
      </c>
      <c r="C2626" s="8" t="s">
        <v>33465</v>
      </c>
      <c r="D2626" s="9" t="b">
        <v>0</v>
      </c>
      <c r="E2626" s="9"/>
    </row>
    <row r="2627" ht="15.75" customHeight="1">
      <c r="A2627" s="9" t="s">
        <v>33466</v>
      </c>
      <c r="B2627" s="9" t="s">
        <v>10400</v>
      </c>
      <c r="C2627" s="8" t="s">
        <v>33467</v>
      </c>
      <c r="D2627" s="9" t="b">
        <v>0</v>
      </c>
      <c r="E2627" s="9"/>
    </row>
    <row r="2628" ht="15.75" customHeight="1">
      <c r="A2628" s="9" t="s">
        <v>33468</v>
      </c>
      <c r="B2628" s="9" t="s">
        <v>10400</v>
      </c>
      <c r="C2628" s="8" t="s">
        <v>33469</v>
      </c>
      <c r="D2628" s="9" t="b">
        <v>0</v>
      </c>
      <c r="E2628" s="9"/>
    </row>
    <row r="2629" ht="15.75" customHeight="1">
      <c r="A2629" s="9" t="s">
        <v>33470</v>
      </c>
      <c r="B2629" s="9" t="s">
        <v>10400</v>
      </c>
      <c r="C2629" s="8" t="s">
        <v>33471</v>
      </c>
      <c r="D2629" s="9" t="b">
        <v>0</v>
      </c>
      <c r="E2629" s="9"/>
    </row>
    <row r="2630" ht="15.75" customHeight="1">
      <c r="A2630" s="9" t="s">
        <v>33472</v>
      </c>
      <c r="B2630" s="9" t="s">
        <v>10400</v>
      </c>
      <c r="C2630" s="8" t="s">
        <v>33473</v>
      </c>
      <c r="D2630" s="9" t="b">
        <v>0</v>
      </c>
      <c r="E2630" s="9"/>
    </row>
    <row r="2631" ht="15.75" customHeight="1">
      <c r="A2631" s="9" t="s">
        <v>33474</v>
      </c>
      <c r="B2631" s="9" t="s">
        <v>10400</v>
      </c>
      <c r="C2631" s="8" t="s">
        <v>33475</v>
      </c>
      <c r="D2631" s="9" t="b">
        <v>1</v>
      </c>
      <c r="E2631" s="9"/>
    </row>
    <row r="2632" ht="15.75" customHeight="1">
      <c r="A2632" s="9" t="s">
        <v>33476</v>
      </c>
      <c r="B2632" s="9" t="s">
        <v>10400</v>
      </c>
      <c r="C2632" s="8" t="s">
        <v>33477</v>
      </c>
      <c r="D2632" s="9" t="b">
        <v>1</v>
      </c>
      <c r="E2632" s="9"/>
    </row>
    <row r="2633" ht="15.75" customHeight="1">
      <c r="A2633" s="9" t="s">
        <v>33478</v>
      </c>
      <c r="B2633" s="9" t="s">
        <v>10400</v>
      </c>
      <c r="C2633" s="8" t="s">
        <v>33479</v>
      </c>
      <c r="D2633" s="9" t="b">
        <v>0</v>
      </c>
      <c r="E2633" s="9"/>
    </row>
    <row r="2634" ht="15.75" customHeight="1">
      <c r="A2634" s="9" t="s">
        <v>33480</v>
      </c>
      <c r="B2634" s="9" t="s">
        <v>10400</v>
      </c>
      <c r="C2634" s="8" t="s">
        <v>33481</v>
      </c>
      <c r="D2634" s="9" t="b">
        <v>0</v>
      </c>
      <c r="E2634" s="9"/>
    </row>
    <row r="2635" ht="15.75" customHeight="1">
      <c r="A2635" s="9" t="s">
        <v>33482</v>
      </c>
      <c r="B2635" s="9" t="s">
        <v>10400</v>
      </c>
      <c r="C2635" s="8" t="s">
        <v>33483</v>
      </c>
      <c r="D2635" s="9" t="b">
        <v>0</v>
      </c>
      <c r="E2635" s="9"/>
    </row>
    <row r="2636" ht="15.75" customHeight="1">
      <c r="A2636" s="9" t="s">
        <v>33484</v>
      </c>
      <c r="B2636" s="9" t="s">
        <v>10467</v>
      </c>
      <c r="C2636" s="8" t="s">
        <v>33485</v>
      </c>
      <c r="D2636" s="9" t="b">
        <v>0</v>
      </c>
      <c r="E2636" s="9"/>
    </row>
    <row r="2637" ht="15.75" customHeight="1">
      <c r="A2637" s="9" t="s">
        <v>33486</v>
      </c>
      <c r="B2637" s="9" t="s">
        <v>10467</v>
      </c>
      <c r="C2637" s="8" t="s">
        <v>33487</v>
      </c>
      <c r="D2637" s="9" t="b">
        <v>0</v>
      </c>
      <c r="E2637" s="9"/>
    </row>
    <row r="2638" ht="15.75" customHeight="1">
      <c r="A2638" s="9" t="s">
        <v>33488</v>
      </c>
      <c r="B2638" s="9" t="s">
        <v>10467</v>
      </c>
      <c r="C2638" s="8" t="s">
        <v>33489</v>
      </c>
      <c r="D2638" s="9" t="b">
        <v>0</v>
      </c>
      <c r="E2638" s="9"/>
    </row>
    <row r="2639" ht="15.75" customHeight="1">
      <c r="A2639" s="9" t="s">
        <v>33490</v>
      </c>
      <c r="B2639" s="9" t="s">
        <v>10467</v>
      </c>
      <c r="C2639" s="8" t="s">
        <v>33491</v>
      </c>
      <c r="D2639" s="9" t="b">
        <v>0</v>
      </c>
      <c r="E2639" s="9"/>
    </row>
    <row r="2640" ht="15.75" customHeight="1">
      <c r="A2640" s="9" t="s">
        <v>33492</v>
      </c>
      <c r="B2640" s="9" t="s">
        <v>10467</v>
      </c>
      <c r="C2640" s="8" t="s">
        <v>33493</v>
      </c>
      <c r="D2640" s="9" t="b">
        <v>0</v>
      </c>
      <c r="E2640" s="9"/>
    </row>
    <row r="2641" ht="15.75" customHeight="1">
      <c r="A2641" s="52" t="s">
        <v>33494</v>
      </c>
      <c r="B2641" s="9" t="s">
        <v>10467</v>
      </c>
      <c r="C2641" s="8" t="s">
        <v>33495</v>
      </c>
      <c r="D2641" s="9" t="b">
        <v>0</v>
      </c>
      <c r="E2641" s="9"/>
    </row>
    <row r="2642" ht="15.75" customHeight="1">
      <c r="A2642" s="9" t="s">
        <v>33496</v>
      </c>
      <c r="B2642" s="9" t="s">
        <v>10467</v>
      </c>
      <c r="C2642" s="8" t="s">
        <v>33497</v>
      </c>
      <c r="D2642" s="9" t="b">
        <v>0</v>
      </c>
      <c r="E2642" s="9"/>
    </row>
    <row r="2643" ht="15.75" customHeight="1">
      <c r="A2643" s="9" t="s">
        <v>33498</v>
      </c>
      <c r="B2643" s="9" t="s">
        <v>10467</v>
      </c>
      <c r="C2643" s="8" t="s">
        <v>33499</v>
      </c>
      <c r="D2643" s="9" t="b">
        <v>1</v>
      </c>
      <c r="E2643" s="9"/>
    </row>
    <row r="2644" ht="15.75" customHeight="1">
      <c r="A2644" s="9" t="s">
        <v>33500</v>
      </c>
      <c r="B2644" s="9" t="s">
        <v>10467</v>
      </c>
      <c r="C2644" s="8" t="s">
        <v>33501</v>
      </c>
      <c r="D2644" s="9" t="b">
        <v>0</v>
      </c>
      <c r="E2644" s="9"/>
    </row>
    <row r="2645" ht="15.75" customHeight="1">
      <c r="A2645" s="9" t="s">
        <v>33502</v>
      </c>
      <c r="B2645" s="9" t="s">
        <v>10467</v>
      </c>
      <c r="C2645" s="11" t="s">
        <v>33503</v>
      </c>
      <c r="D2645" s="9" t="b">
        <v>0</v>
      </c>
      <c r="E2645" s="9"/>
    </row>
    <row r="2646" ht="15.75" customHeight="1">
      <c r="A2646" s="9" t="s">
        <v>33504</v>
      </c>
      <c r="B2646" s="9" t="s">
        <v>10467</v>
      </c>
      <c r="C2646" s="8" t="s">
        <v>33505</v>
      </c>
      <c r="D2646" s="9" t="b">
        <v>0</v>
      </c>
      <c r="E2646" s="9"/>
    </row>
    <row r="2647" ht="15.75" customHeight="1">
      <c r="A2647" s="9" t="s">
        <v>33506</v>
      </c>
      <c r="B2647" s="9" t="s">
        <v>10493</v>
      </c>
      <c r="C2647" s="8" t="s">
        <v>33507</v>
      </c>
      <c r="D2647" s="9" t="b">
        <v>0</v>
      </c>
      <c r="E2647" s="9"/>
    </row>
    <row r="2648" ht="15.75" customHeight="1">
      <c r="A2648" s="9" t="s">
        <v>33508</v>
      </c>
      <c r="B2648" s="52" t="s">
        <v>16619</v>
      </c>
      <c r="C2648" s="8" t="s">
        <v>33509</v>
      </c>
      <c r="D2648" s="9" t="b">
        <v>0</v>
      </c>
      <c r="E2648" s="9"/>
    </row>
    <row r="2649" ht="15.75" customHeight="1">
      <c r="A2649" s="9" t="s">
        <v>33510</v>
      </c>
      <c r="B2649" s="52" t="s">
        <v>16619</v>
      </c>
      <c r="C2649" s="8" t="s">
        <v>33511</v>
      </c>
      <c r="D2649" s="9" t="b">
        <v>0</v>
      </c>
      <c r="E2649" s="9"/>
    </row>
    <row r="2650" ht="15.75" customHeight="1">
      <c r="A2650" s="9" t="s">
        <v>33512</v>
      </c>
      <c r="B2650" s="52" t="s">
        <v>16619</v>
      </c>
      <c r="C2650" s="8" t="s">
        <v>33513</v>
      </c>
      <c r="D2650" s="9" t="b">
        <v>0</v>
      </c>
      <c r="E2650" s="9"/>
    </row>
    <row r="2651" ht="15.75" customHeight="1">
      <c r="A2651" s="9" t="s">
        <v>33514</v>
      </c>
      <c r="B2651" s="52" t="s">
        <v>16619</v>
      </c>
      <c r="C2651" s="8" t="s">
        <v>33515</v>
      </c>
      <c r="D2651" s="9" t="b">
        <v>0</v>
      </c>
      <c r="E2651" s="9"/>
    </row>
    <row r="2652" ht="15.75" customHeight="1">
      <c r="A2652" s="9" t="s">
        <v>33516</v>
      </c>
      <c r="B2652" s="52" t="s">
        <v>16619</v>
      </c>
      <c r="C2652" s="8" t="s">
        <v>33517</v>
      </c>
      <c r="D2652" s="9" t="b">
        <v>0</v>
      </c>
      <c r="E2652" s="9"/>
    </row>
    <row r="2653" ht="15.75" customHeight="1">
      <c r="A2653" s="9" t="s">
        <v>33518</v>
      </c>
      <c r="B2653" s="52" t="s">
        <v>16619</v>
      </c>
      <c r="C2653" s="8" t="s">
        <v>33519</v>
      </c>
      <c r="D2653" s="9" t="b">
        <v>0</v>
      </c>
      <c r="E2653" s="9"/>
    </row>
    <row r="2654" ht="15.75" customHeight="1">
      <c r="A2654" s="9" t="s">
        <v>33520</v>
      </c>
      <c r="B2654" s="52" t="s">
        <v>16619</v>
      </c>
      <c r="C2654" s="8" t="s">
        <v>33521</v>
      </c>
      <c r="D2654" s="9" t="b">
        <v>0</v>
      </c>
      <c r="E2654" s="9"/>
    </row>
    <row r="2655" ht="15.75" customHeight="1">
      <c r="A2655" s="9" t="s">
        <v>33522</v>
      </c>
      <c r="B2655" s="52" t="s">
        <v>16619</v>
      </c>
      <c r="C2655" s="8" t="s">
        <v>33523</v>
      </c>
      <c r="D2655" s="9" t="b">
        <v>0</v>
      </c>
      <c r="E2655" s="9"/>
    </row>
    <row r="2656" ht="15.75" customHeight="1">
      <c r="A2656" s="9" t="s">
        <v>33524</v>
      </c>
      <c r="B2656" s="52" t="s">
        <v>16619</v>
      </c>
      <c r="C2656" s="8" t="s">
        <v>33525</v>
      </c>
      <c r="D2656" s="9" t="b">
        <v>1</v>
      </c>
      <c r="E2656" s="9"/>
    </row>
    <row r="2657" ht="15.75" customHeight="1">
      <c r="A2657" s="9" t="s">
        <v>33526</v>
      </c>
      <c r="B2657" s="52" t="s">
        <v>16619</v>
      </c>
      <c r="C2657" s="8" t="s">
        <v>33527</v>
      </c>
      <c r="D2657" s="9" t="b">
        <v>0</v>
      </c>
      <c r="E2657" s="9"/>
    </row>
    <row r="2658" ht="15.75" customHeight="1">
      <c r="A2658" s="9" t="s">
        <v>33528</v>
      </c>
      <c r="B2658" s="52" t="s">
        <v>16619</v>
      </c>
      <c r="C2658" s="8" t="s">
        <v>33529</v>
      </c>
      <c r="D2658" s="9" t="b">
        <v>0</v>
      </c>
      <c r="E2658" s="9"/>
    </row>
    <row r="2659" ht="15.75" customHeight="1">
      <c r="A2659" s="52" t="s">
        <v>33530</v>
      </c>
      <c r="B2659" s="52" t="s">
        <v>16619</v>
      </c>
      <c r="C2659" s="8" t="s">
        <v>33531</v>
      </c>
      <c r="D2659" s="9" t="b">
        <v>0</v>
      </c>
      <c r="E2659" s="9"/>
    </row>
    <row r="2660" ht="15.75" customHeight="1">
      <c r="A2660" s="9" t="s">
        <v>33532</v>
      </c>
      <c r="B2660" s="52" t="s">
        <v>16619</v>
      </c>
      <c r="C2660" s="8" t="s">
        <v>33533</v>
      </c>
      <c r="D2660" s="9" t="b">
        <v>0</v>
      </c>
      <c r="E2660" s="9"/>
    </row>
    <row r="2661" ht="15.75" customHeight="1">
      <c r="A2661" s="9" t="s">
        <v>33534</v>
      </c>
      <c r="B2661" s="9" t="s">
        <v>11911</v>
      </c>
      <c r="C2661" s="8" t="s">
        <v>33535</v>
      </c>
      <c r="D2661" s="9" t="b">
        <v>0</v>
      </c>
      <c r="E2661" s="9"/>
    </row>
    <row r="2662" ht="15.75" customHeight="1">
      <c r="A2662" s="9" t="s">
        <v>33536</v>
      </c>
      <c r="B2662" s="9" t="s">
        <v>9048</v>
      </c>
      <c r="C2662" s="8" t="s">
        <v>33537</v>
      </c>
      <c r="D2662" s="9" t="b">
        <v>0</v>
      </c>
      <c r="E2662" s="9"/>
    </row>
    <row r="2663" ht="15.75" customHeight="1">
      <c r="A2663" s="9" t="s">
        <v>33538</v>
      </c>
      <c r="B2663" s="9" t="s">
        <v>11849</v>
      </c>
      <c r="C2663" s="8" t="s">
        <v>33539</v>
      </c>
      <c r="D2663" s="9" t="b">
        <v>0</v>
      </c>
      <c r="E2663" s="9"/>
    </row>
    <row r="2664" ht="15.75" customHeight="1">
      <c r="A2664" s="9" t="s">
        <v>33540</v>
      </c>
      <c r="B2664" s="9" t="s">
        <v>10488</v>
      </c>
      <c r="C2664" s="8" t="s">
        <v>33541</v>
      </c>
      <c r="D2664" s="9" t="b">
        <v>0</v>
      </c>
      <c r="E2664" s="9"/>
    </row>
    <row r="2665" ht="15.75" customHeight="1">
      <c r="A2665" s="9" t="s">
        <v>33542</v>
      </c>
      <c r="B2665" s="9" t="s">
        <v>10488</v>
      </c>
      <c r="C2665" s="8" t="s">
        <v>33543</v>
      </c>
      <c r="D2665" s="9" t="b">
        <v>0</v>
      </c>
      <c r="E2665" s="9"/>
    </row>
    <row r="2666" ht="15.75" customHeight="1">
      <c r="A2666" s="9" t="s">
        <v>33544</v>
      </c>
      <c r="B2666" s="9" t="s">
        <v>10488</v>
      </c>
      <c r="C2666" s="8" t="s">
        <v>33545</v>
      </c>
      <c r="D2666" s="9" t="b">
        <v>0</v>
      </c>
      <c r="E2666" s="9"/>
    </row>
    <row r="2667" ht="15.75" customHeight="1">
      <c r="A2667" s="9" t="s">
        <v>33546</v>
      </c>
      <c r="B2667" s="9" t="s">
        <v>10488</v>
      </c>
      <c r="C2667" s="8" t="s">
        <v>33547</v>
      </c>
      <c r="D2667" s="9" t="b">
        <v>0</v>
      </c>
      <c r="E2667" s="9"/>
    </row>
    <row r="2668" ht="15.75" customHeight="1">
      <c r="A2668" s="9" t="s">
        <v>33548</v>
      </c>
      <c r="B2668" s="9" t="s">
        <v>10488</v>
      </c>
      <c r="C2668" s="8" t="s">
        <v>33549</v>
      </c>
      <c r="D2668" s="9" t="b">
        <v>0</v>
      </c>
      <c r="E2668" s="9"/>
    </row>
    <row r="2669" ht="15.75" customHeight="1">
      <c r="A2669" s="9" t="s">
        <v>33550</v>
      </c>
      <c r="B2669" s="9" t="s">
        <v>10488</v>
      </c>
      <c r="C2669" s="8" t="s">
        <v>33551</v>
      </c>
      <c r="D2669" s="9" t="b">
        <v>1</v>
      </c>
      <c r="E2669" s="9"/>
    </row>
    <row r="2670" ht="15.75" customHeight="1">
      <c r="A2670" s="9" t="s">
        <v>33552</v>
      </c>
      <c r="B2670" s="9" t="s">
        <v>10488</v>
      </c>
      <c r="C2670" s="8" t="s">
        <v>33553</v>
      </c>
      <c r="D2670" s="9" t="b">
        <v>0</v>
      </c>
      <c r="E2670" s="9"/>
    </row>
    <row r="2671" ht="15.75" customHeight="1">
      <c r="A2671" s="9" t="s">
        <v>33554</v>
      </c>
      <c r="B2671" s="9" t="s">
        <v>10488</v>
      </c>
      <c r="C2671" s="8" t="s">
        <v>33555</v>
      </c>
      <c r="D2671" s="9" t="b">
        <v>0</v>
      </c>
      <c r="E2671" s="9"/>
    </row>
    <row r="2672" ht="15.75" customHeight="1">
      <c r="A2672" s="9" t="s">
        <v>33556</v>
      </c>
      <c r="B2672" s="9" t="s">
        <v>10488</v>
      </c>
      <c r="C2672" s="8" t="s">
        <v>33557</v>
      </c>
      <c r="D2672" s="9" t="b">
        <v>0</v>
      </c>
      <c r="E2672" s="9"/>
    </row>
    <row r="2673" ht="15.75" customHeight="1">
      <c r="A2673" s="9" t="s">
        <v>33558</v>
      </c>
      <c r="B2673" s="9" t="s">
        <v>10488</v>
      </c>
      <c r="C2673" s="8" t="s">
        <v>33559</v>
      </c>
      <c r="D2673" s="9" t="b">
        <v>0</v>
      </c>
      <c r="E2673" s="9"/>
    </row>
    <row r="2674" ht="15.75" customHeight="1">
      <c r="A2674" s="9" t="s">
        <v>33560</v>
      </c>
      <c r="B2674" s="9" t="s">
        <v>10488</v>
      </c>
      <c r="C2674" s="8" t="s">
        <v>33561</v>
      </c>
      <c r="D2674" s="9" t="b">
        <v>0</v>
      </c>
      <c r="E2674" s="9"/>
    </row>
    <row r="2675" ht="15.75" customHeight="1">
      <c r="A2675" s="9" t="s">
        <v>33562</v>
      </c>
      <c r="B2675" s="9" t="s">
        <v>5676</v>
      </c>
      <c r="C2675" s="8" t="s">
        <v>33563</v>
      </c>
      <c r="D2675" s="9" t="b">
        <v>0</v>
      </c>
      <c r="E2675" s="9"/>
    </row>
    <row r="2676" ht="15.75" customHeight="1">
      <c r="A2676" s="9" t="s">
        <v>33564</v>
      </c>
      <c r="B2676" s="9" t="s">
        <v>5676</v>
      </c>
      <c r="C2676" s="8" t="s">
        <v>33565</v>
      </c>
      <c r="D2676" s="9" t="b">
        <v>0</v>
      </c>
      <c r="E2676" s="9"/>
    </row>
    <row r="2677" ht="15.75" customHeight="1">
      <c r="A2677" s="9" t="s">
        <v>33566</v>
      </c>
      <c r="B2677" s="9" t="s">
        <v>5676</v>
      </c>
      <c r="C2677" s="8" t="s">
        <v>33567</v>
      </c>
      <c r="D2677" s="9" t="b">
        <v>0</v>
      </c>
      <c r="E2677" s="9"/>
    </row>
    <row r="2678" ht="15.75" customHeight="1">
      <c r="A2678" s="9" t="s">
        <v>33568</v>
      </c>
      <c r="B2678" s="9" t="s">
        <v>5676</v>
      </c>
      <c r="C2678" s="8" t="s">
        <v>33569</v>
      </c>
      <c r="D2678" s="9" t="b">
        <v>0</v>
      </c>
      <c r="E2678" s="9"/>
    </row>
    <row r="2679" ht="15.0" customHeight="1">
      <c r="A2679" s="9" t="s">
        <v>33570</v>
      </c>
      <c r="B2679" s="9" t="s">
        <v>5676</v>
      </c>
      <c r="C2679" s="11" t="s">
        <v>33571</v>
      </c>
      <c r="D2679" s="9" t="b">
        <v>0</v>
      </c>
      <c r="E2679" s="9"/>
    </row>
    <row r="2680" ht="15.75" customHeight="1">
      <c r="A2680" s="9" t="s">
        <v>33572</v>
      </c>
      <c r="B2680" s="9" t="s">
        <v>10500</v>
      </c>
      <c r="C2680" s="8" t="s">
        <v>33573</v>
      </c>
      <c r="D2680" s="9" t="b">
        <v>1</v>
      </c>
      <c r="E2680" s="9"/>
    </row>
    <row r="2681" ht="15.75" customHeight="1">
      <c r="A2681" s="9" t="s">
        <v>33574</v>
      </c>
      <c r="B2681" s="9" t="s">
        <v>10500</v>
      </c>
      <c r="C2681" s="8" t="s">
        <v>33575</v>
      </c>
      <c r="D2681" s="9" t="b">
        <v>0</v>
      </c>
      <c r="E2681" s="9"/>
    </row>
    <row r="2682" ht="15.75" customHeight="1">
      <c r="A2682" s="9"/>
      <c r="B2682" s="9"/>
      <c r="C2682" s="9"/>
      <c r="D2682" s="9"/>
      <c r="E2682" s="9"/>
    </row>
    <row r="2683" ht="15.75" customHeight="1">
      <c r="A2683" s="9" t="s">
        <v>33576</v>
      </c>
      <c r="B2683" s="9" t="s">
        <v>270</v>
      </c>
      <c r="C2683" s="8" t="s">
        <v>33577</v>
      </c>
      <c r="D2683" s="9" t="b">
        <v>1</v>
      </c>
      <c r="E2683" s="9"/>
    </row>
    <row r="2684" ht="15.75" customHeight="1">
      <c r="A2684" s="9"/>
      <c r="B2684" s="9"/>
      <c r="C2684" s="9"/>
      <c r="D2684" s="9"/>
      <c r="E2684" s="9"/>
    </row>
    <row r="2685" ht="15.75" customHeight="1">
      <c r="A2685" s="9"/>
      <c r="B2685" s="9"/>
      <c r="C2685" s="9"/>
      <c r="D2685" s="9"/>
      <c r="E2685" s="9"/>
    </row>
    <row r="2686" ht="15.75" customHeight="1">
      <c r="A2686" s="9" t="s">
        <v>33578</v>
      </c>
      <c r="B2686" s="52" t="s">
        <v>16353</v>
      </c>
      <c r="C2686" s="8" t="s">
        <v>33579</v>
      </c>
      <c r="D2686" s="9" t="b">
        <v>0</v>
      </c>
      <c r="E2686" s="9"/>
    </row>
    <row r="2687" ht="15.75" customHeight="1">
      <c r="A2687" s="52" t="s">
        <v>33580</v>
      </c>
      <c r="B2687" s="52" t="s">
        <v>16353</v>
      </c>
      <c r="C2687" s="8" t="s">
        <v>33581</v>
      </c>
      <c r="D2687" s="9" t="b">
        <v>0</v>
      </c>
      <c r="E2687" s="9"/>
    </row>
    <row r="2688" ht="15.75" customHeight="1">
      <c r="A2688" s="9" t="s">
        <v>33582</v>
      </c>
      <c r="B2688" s="52" t="s">
        <v>16353</v>
      </c>
      <c r="C2688" s="8" t="s">
        <v>33583</v>
      </c>
      <c r="D2688" s="9" t="b">
        <v>0</v>
      </c>
      <c r="E2688" s="9"/>
    </row>
    <row r="2689" ht="15.75" customHeight="1">
      <c r="A2689" s="9" t="s">
        <v>33584</v>
      </c>
      <c r="B2689" s="52" t="s">
        <v>16353</v>
      </c>
      <c r="C2689" s="8" t="s">
        <v>33585</v>
      </c>
      <c r="D2689" s="9" t="b">
        <v>0</v>
      </c>
      <c r="E2689" s="9"/>
    </row>
    <row r="2690" ht="15.75" customHeight="1">
      <c r="A2690" s="9" t="s">
        <v>33586</v>
      </c>
      <c r="B2690" s="52" t="s">
        <v>16353</v>
      </c>
      <c r="C2690" s="8" t="s">
        <v>33587</v>
      </c>
      <c r="D2690" s="9" t="b">
        <v>0</v>
      </c>
      <c r="E2690" s="9"/>
    </row>
    <row r="2691" ht="15.75" customHeight="1">
      <c r="A2691" s="9" t="s">
        <v>33588</v>
      </c>
      <c r="B2691" s="52" t="s">
        <v>16353</v>
      </c>
      <c r="C2691" s="8" t="s">
        <v>33589</v>
      </c>
      <c r="D2691" s="9" t="b">
        <v>0</v>
      </c>
      <c r="E2691" s="9"/>
    </row>
    <row r="2692" ht="15.75" customHeight="1">
      <c r="A2692" s="9" t="s">
        <v>33590</v>
      </c>
      <c r="B2692" s="9" t="s">
        <v>9746</v>
      </c>
      <c r="C2692" s="8" t="s">
        <v>33591</v>
      </c>
      <c r="D2692" s="9" t="b">
        <v>0</v>
      </c>
      <c r="E2692" s="9"/>
    </row>
    <row r="2693" ht="15.75" customHeight="1">
      <c r="A2693" s="9" t="s">
        <v>33592</v>
      </c>
      <c r="B2693" s="9" t="s">
        <v>9746</v>
      </c>
      <c r="C2693" s="8" t="s">
        <v>33593</v>
      </c>
      <c r="D2693" s="9" t="b">
        <v>0</v>
      </c>
      <c r="E2693" s="9"/>
    </row>
    <row r="2694" ht="15.75" customHeight="1">
      <c r="A2694" s="9" t="s">
        <v>33594</v>
      </c>
      <c r="B2694" s="9" t="s">
        <v>244</v>
      </c>
      <c r="C2694" s="8" t="s">
        <v>16380</v>
      </c>
      <c r="D2694" s="9" t="b">
        <v>0</v>
      </c>
      <c r="E2694" s="9"/>
    </row>
    <row r="2695" ht="15.75" customHeight="1">
      <c r="A2695" s="9" t="s">
        <v>33595</v>
      </c>
      <c r="B2695" s="9" t="s">
        <v>244</v>
      </c>
      <c r="C2695" s="8" t="s">
        <v>33596</v>
      </c>
      <c r="D2695" s="9" t="b">
        <v>0</v>
      </c>
      <c r="E2695" s="9"/>
    </row>
    <row r="2696" ht="15.75" customHeight="1">
      <c r="A2696" s="9" t="s">
        <v>33597</v>
      </c>
      <c r="B2696" s="9" t="s">
        <v>244</v>
      </c>
      <c r="C2696" s="8" t="s">
        <v>33598</v>
      </c>
      <c r="D2696" s="9" t="b">
        <v>0</v>
      </c>
      <c r="E2696" s="9"/>
    </row>
    <row r="2697" ht="15.75" customHeight="1">
      <c r="A2697" s="9" t="s">
        <v>33599</v>
      </c>
      <c r="B2697" s="9" t="s">
        <v>244</v>
      </c>
      <c r="C2697" s="8" t="s">
        <v>33600</v>
      </c>
      <c r="D2697" s="9" t="b">
        <v>0</v>
      </c>
      <c r="E2697" s="9"/>
    </row>
    <row r="2698" ht="15.75" customHeight="1">
      <c r="A2698" s="9" t="s">
        <v>33601</v>
      </c>
      <c r="B2698" s="9" t="s">
        <v>244</v>
      </c>
      <c r="C2698" s="8" t="s">
        <v>33602</v>
      </c>
      <c r="D2698" s="9" t="b">
        <v>1</v>
      </c>
      <c r="E2698" s="9"/>
    </row>
    <row r="2699" ht="15.75" customHeight="1">
      <c r="A2699" s="52" t="s">
        <v>33603</v>
      </c>
      <c r="B2699" s="9" t="s">
        <v>244</v>
      </c>
      <c r="C2699" s="8" t="s">
        <v>33604</v>
      </c>
      <c r="D2699" s="9" t="b">
        <v>0</v>
      </c>
      <c r="E2699" s="9"/>
    </row>
    <row r="2700" ht="15.75" customHeight="1">
      <c r="A2700" s="9" t="s">
        <v>33605</v>
      </c>
      <c r="B2700" s="9" t="s">
        <v>244</v>
      </c>
      <c r="C2700" s="8" t="s">
        <v>33606</v>
      </c>
      <c r="D2700" s="9" t="b">
        <v>0</v>
      </c>
      <c r="E2700" s="9"/>
    </row>
    <row r="2701" ht="15.75" customHeight="1">
      <c r="A2701" s="9" t="s">
        <v>33607</v>
      </c>
      <c r="B2701" s="9" t="s">
        <v>11719</v>
      </c>
      <c r="C2701" s="8" t="s">
        <v>33608</v>
      </c>
      <c r="D2701" s="9" t="b">
        <v>1</v>
      </c>
      <c r="E2701" s="9" t="s">
        <v>30803</v>
      </c>
    </row>
    <row r="2702" ht="15.75" customHeight="1">
      <c r="A2702" s="9" t="s">
        <v>33609</v>
      </c>
      <c r="B2702" s="9" t="s">
        <v>11719</v>
      </c>
      <c r="C2702" s="8" t="s">
        <v>33610</v>
      </c>
      <c r="D2702" s="9" t="b">
        <v>0</v>
      </c>
      <c r="E2702" s="9" t="s">
        <v>31788</v>
      </c>
    </row>
    <row r="2703" ht="15.75" customHeight="1">
      <c r="A2703" s="9" t="s">
        <v>33611</v>
      </c>
      <c r="B2703" s="9" t="s">
        <v>11719</v>
      </c>
      <c r="C2703" s="8" t="s">
        <v>33612</v>
      </c>
      <c r="D2703" s="9" t="b">
        <v>0</v>
      </c>
      <c r="E2703" s="9"/>
    </row>
    <row r="2704" ht="15.75" customHeight="1">
      <c r="A2704" s="9" t="s">
        <v>33613</v>
      </c>
      <c r="B2704" s="9" t="s">
        <v>11719</v>
      </c>
      <c r="C2704" s="8" t="s">
        <v>33614</v>
      </c>
      <c r="D2704" s="9" t="b">
        <v>0</v>
      </c>
      <c r="E2704" s="9" t="s">
        <v>32604</v>
      </c>
    </row>
    <row r="2705" ht="15.75" customHeight="1">
      <c r="A2705" s="9" t="s">
        <v>33615</v>
      </c>
      <c r="B2705" s="9" t="s">
        <v>11719</v>
      </c>
      <c r="C2705" s="8" t="s">
        <v>33616</v>
      </c>
      <c r="D2705" s="9" t="b">
        <v>0</v>
      </c>
      <c r="E2705" s="9" t="s">
        <v>30363</v>
      </c>
    </row>
    <row r="2706" ht="15.75" customHeight="1">
      <c r="A2706" s="9" t="s">
        <v>33617</v>
      </c>
      <c r="B2706" s="9" t="s">
        <v>11719</v>
      </c>
      <c r="C2706" s="8" t="s">
        <v>33618</v>
      </c>
      <c r="D2706" s="9" t="b">
        <v>0</v>
      </c>
      <c r="E2706" s="9" t="s">
        <v>30363</v>
      </c>
    </row>
    <row r="2707" ht="15.75" customHeight="1">
      <c r="A2707" s="9" t="s">
        <v>33619</v>
      </c>
      <c r="B2707" s="9" t="s">
        <v>11719</v>
      </c>
      <c r="C2707" s="8" t="s">
        <v>33620</v>
      </c>
      <c r="D2707" s="9" t="b">
        <v>0</v>
      </c>
      <c r="E2707" s="9" t="s">
        <v>32607</v>
      </c>
    </row>
    <row r="2708" ht="15.75" customHeight="1">
      <c r="A2708" s="9" t="s">
        <v>33621</v>
      </c>
      <c r="B2708" s="9" t="s">
        <v>11719</v>
      </c>
      <c r="C2708" s="8" t="s">
        <v>33622</v>
      </c>
      <c r="D2708" s="9" t="b">
        <v>0</v>
      </c>
      <c r="E2708" s="9" t="s">
        <v>32787</v>
      </c>
    </row>
    <row r="2709" ht="15.75" customHeight="1">
      <c r="A2709" s="9" t="s">
        <v>33623</v>
      </c>
      <c r="B2709" s="9" t="s">
        <v>11719</v>
      </c>
      <c r="C2709" s="8" t="s">
        <v>33624</v>
      </c>
      <c r="D2709" s="9" t="b">
        <v>0</v>
      </c>
      <c r="E2709" s="9" t="s">
        <v>32607</v>
      </c>
    </row>
    <row r="2710" ht="15.75" customHeight="1">
      <c r="A2710" s="9" t="s">
        <v>33625</v>
      </c>
      <c r="B2710" s="9" t="s">
        <v>11719</v>
      </c>
      <c r="C2710" s="8" t="s">
        <v>33626</v>
      </c>
      <c r="D2710" s="9" t="b">
        <v>0</v>
      </c>
      <c r="E2710" s="9" t="s">
        <v>32787</v>
      </c>
    </row>
    <row r="2711" ht="15.75" customHeight="1">
      <c r="A2711" s="9" t="s">
        <v>33627</v>
      </c>
      <c r="B2711" s="9" t="s">
        <v>11719</v>
      </c>
      <c r="C2711" s="8" t="s">
        <v>33628</v>
      </c>
      <c r="D2711" s="9" t="b">
        <v>0</v>
      </c>
      <c r="E2711" s="9"/>
    </row>
    <row r="2712" ht="15.75" customHeight="1">
      <c r="A2712" s="9" t="s">
        <v>33629</v>
      </c>
      <c r="B2712" s="9" t="s">
        <v>11719</v>
      </c>
      <c r="C2712" s="8" t="s">
        <v>33630</v>
      </c>
      <c r="D2712" s="9" t="b">
        <v>0</v>
      </c>
      <c r="E2712" s="9" t="s">
        <v>29140</v>
      </c>
    </row>
    <row r="2713" ht="15.75" customHeight="1">
      <c r="A2713" s="9" t="s">
        <v>33631</v>
      </c>
      <c r="B2713" s="9" t="s">
        <v>11719</v>
      </c>
      <c r="C2713" s="8" t="s">
        <v>33632</v>
      </c>
      <c r="D2713" s="9" t="b">
        <v>0</v>
      </c>
      <c r="E2713" s="9" t="s">
        <v>29140</v>
      </c>
    </row>
    <row r="2714" ht="15.75" customHeight="1">
      <c r="A2714" s="9" t="s">
        <v>33633</v>
      </c>
      <c r="B2714" s="9" t="s">
        <v>11719</v>
      </c>
      <c r="C2714" s="8" t="s">
        <v>33634</v>
      </c>
      <c r="D2714" s="9" t="b">
        <v>0</v>
      </c>
      <c r="E2714" s="9" t="s">
        <v>29140</v>
      </c>
    </row>
    <row r="2715" ht="15.75" customHeight="1">
      <c r="A2715" s="9" t="s">
        <v>33635</v>
      </c>
      <c r="B2715" s="9" t="s">
        <v>11719</v>
      </c>
      <c r="C2715" s="8" t="s">
        <v>33636</v>
      </c>
      <c r="D2715" s="9" t="b">
        <v>0</v>
      </c>
      <c r="E2715" s="9" t="s">
        <v>33637</v>
      </c>
    </row>
    <row r="2716" ht="15.75" customHeight="1">
      <c r="A2716" s="9" t="s">
        <v>33638</v>
      </c>
      <c r="B2716" s="9" t="s">
        <v>11719</v>
      </c>
      <c r="C2716" s="8" t="s">
        <v>33639</v>
      </c>
      <c r="D2716" s="9" t="b">
        <v>0</v>
      </c>
      <c r="E2716" s="9" t="s">
        <v>33640</v>
      </c>
    </row>
    <row r="2717" ht="15.75" customHeight="1">
      <c r="A2717" s="9" t="s">
        <v>33641</v>
      </c>
      <c r="B2717" s="9" t="s">
        <v>11719</v>
      </c>
      <c r="C2717" s="8" t="s">
        <v>33642</v>
      </c>
      <c r="D2717" s="9" t="b">
        <v>0</v>
      </c>
      <c r="E2717" s="9" t="s">
        <v>8015</v>
      </c>
    </row>
    <row r="2718" ht="15.75" customHeight="1">
      <c r="A2718" s="9" t="s">
        <v>33643</v>
      </c>
      <c r="B2718" s="9" t="s">
        <v>11719</v>
      </c>
      <c r="C2718" s="8" t="s">
        <v>33644</v>
      </c>
      <c r="D2718" s="9" t="b">
        <v>0</v>
      </c>
      <c r="E2718" s="9" t="s">
        <v>31761</v>
      </c>
    </row>
    <row r="2719" ht="15.75" customHeight="1">
      <c r="A2719" s="9" t="s">
        <v>33645</v>
      </c>
      <c r="B2719" s="9" t="s">
        <v>11719</v>
      </c>
      <c r="C2719" s="8" t="s">
        <v>33646</v>
      </c>
      <c r="D2719" s="9" t="b">
        <v>0</v>
      </c>
      <c r="E2719" s="9" t="s">
        <v>33647</v>
      </c>
    </row>
    <row r="2720" ht="15.75" customHeight="1">
      <c r="A2720" s="9" t="s">
        <v>33648</v>
      </c>
      <c r="B2720" s="9" t="s">
        <v>11719</v>
      </c>
      <c r="C2720" s="8" t="s">
        <v>33649</v>
      </c>
      <c r="D2720" s="9" t="b">
        <v>0</v>
      </c>
      <c r="E2720" s="9" t="s">
        <v>33650</v>
      </c>
    </row>
    <row r="2721" ht="15.75" customHeight="1">
      <c r="A2721" s="9" t="s">
        <v>33651</v>
      </c>
      <c r="B2721" s="9" t="s">
        <v>11834</v>
      </c>
      <c r="C2721" s="8" t="s">
        <v>33652</v>
      </c>
      <c r="D2721" s="9" t="b">
        <v>0</v>
      </c>
      <c r="E2721" s="9"/>
    </row>
    <row r="2722" ht="15.75" customHeight="1">
      <c r="A2722" s="9" t="s">
        <v>33653</v>
      </c>
      <c r="B2722" s="9" t="s">
        <v>11834</v>
      </c>
      <c r="C2722" s="8" t="s">
        <v>33654</v>
      </c>
      <c r="D2722" s="9" t="b">
        <v>0</v>
      </c>
      <c r="E2722" s="9"/>
    </row>
    <row r="2723" ht="15.75" customHeight="1">
      <c r="A2723" s="9" t="s">
        <v>33655</v>
      </c>
      <c r="B2723" s="9" t="s">
        <v>11834</v>
      </c>
      <c r="C2723" s="8" t="s">
        <v>33656</v>
      </c>
      <c r="D2723" s="9" t="b">
        <v>0</v>
      </c>
      <c r="E2723" s="9"/>
    </row>
    <row r="2724" ht="15.75" customHeight="1">
      <c r="A2724" s="9" t="s">
        <v>33657</v>
      </c>
      <c r="B2724" s="9" t="s">
        <v>11834</v>
      </c>
      <c r="C2724" s="8" t="s">
        <v>33658</v>
      </c>
      <c r="D2724" s="9" t="b">
        <v>0</v>
      </c>
      <c r="E2724" s="9"/>
    </row>
    <row r="2725" ht="15.75" customHeight="1">
      <c r="A2725" s="9" t="s">
        <v>33659</v>
      </c>
      <c r="B2725" s="9" t="s">
        <v>11834</v>
      </c>
      <c r="C2725" s="8" t="s">
        <v>33660</v>
      </c>
      <c r="D2725" s="9" t="b">
        <v>0</v>
      </c>
      <c r="E2725" s="9"/>
    </row>
    <row r="2726" ht="15.75" customHeight="1">
      <c r="A2726" s="9" t="s">
        <v>33661</v>
      </c>
      <c r="B2726" s="9" t="s">
        <v>11834</v>
      </c>
      <c r="C2726" s="8" t="s">
        <v>33662</v>
      </c>
      <c r="D2726" s="9" t="b">
        <v>0</v>
      </c>
      <c r="E2726" s="9"/>
    </row>
    <row r="2727" ht="15.75" customHeight="1">
      <c r="A2727" s="52" t="s">
        <v>33663</v>
      </c>
      <c r="B2727" s="9" t="s">
        <v>11834</v>
      </c>
      <c r="C2727" s="8" t="s">
        <v>33664</v>
      </c>
      <c r="D2727" s="9" t="b">
        <v>0</v>
      </c>
      <c r="E2727" s="9"/>
    </row>
    <row r="2728" ht="15.75" customHeight="1">
      <c r="A2728" s="9" t="s">
        <v>33665</v>
      </c>
      <c r="B2728" s="9" t="s">
        <v>11834</v>
      </c>
      <c r="C2728" s="8" t="s">
        <v>33666</v>
      </c>
      <c r="D2728" s="9" t="b">
        <v>0</v>
      </c>
      <c r="E2728" s="9"/>
    </row>
    <row r="2729" ht="15.75" customHeight="1">
      <c r="A2729" s="9" t="s">
        <v>33667</v>
      </c>
      <c r="B2729" s="9" t="s">
        <v>11834</v>
      </c>
      <c r="C2729" s="8" t="s">
        <v>33668</v>
      </c>
      <c r="D2729" s="9" t="b">
        <v>0</v>
      </c>
      <c r="E2729" s="9"/>
    </row>
    <row r="2730" ht="15.75" customHeight="1">
      <c r="A2730" s="9" t="s">
        <v>33669</v>
      </c>
      <c r="B2730" s="9" t="s">
        <v>11834</v>
      </c>
      <c r="C2730" s="8" t="s">
        <v>33670</v>
      </c>
      <c r="D2730" s="9" t="b">
        <v>0</v>
      </c>
      <c r="E2730" s="9"/>
    </row>
    <row r="2731" ht="15.75" customHeight="1">
      <c r="A2731" s="9" t="s">
        <v>33671</v>
      </c>
      <c r="B2731" s="9" t="s">
        <v>11834</v>
      </c>
      <c r="C2731" s="8" t="s">
        <v>33672</v>
      </c>
      <c r="D2731" s="9" t="b">
        <v>1</v>
      </c>
      <c r="E2731" s="9"/>
    </row>
    <row r="2732" ht="15.75" customHeight="1">
      <c r="A2732" s="9" t="s">
        <v>33673</v>
      </c>
      <c r="B2732" s="9" t="s">
        <v>11834</v>
      </c>
      <c r="C2732" s="8" t="s">
        <v>33674</v>
      </c>
      <c r="D2732" s="9" t="b">
        <v>0</v>
      </c>
      <c r="E2732" s="9"/>
    </row>
    <row r="2733" ht="15.75" customHeight="1">
      <c r="A2733" s="9" t="s">
        <v>33675</v>
      </c>
      <c r="B2733" s="9" t="s">
        <v>11834</v>
      </c>
      <c r="C2733" s="8" t="s">
        <v>33676</v>
      </c>
      <c r="D2733" s="9" t="b">
        <v>0</v>
      </c>
      <c r="E2733" s="9"/>
    </row>
    <row r="2734" ht="15.75" customHeight="1">
      <c r="A2734" s="9" t="s">
        <v>33677</v>
      </c>
      <c r="B2734" s="9" t="s">
        <v>11834</v>
      </c>
      <c r="C2734" s="8" t="s">
        <v>33678</v>
      </c>
      <c r="D2734" s="9" t="b">
        <v>0</v>
      </c>
      <c r="E2734" s="9"/>
    </row>
    <row r="2735" ht="15.75" customHeight="1">
      <c r="A2735" s="9" t="s">
        <v>33679</v>
      </c>
      <c r="B2735" s="9" t="s">
        <v>10502</v>
      </c>
      <c r="C2735" s="8" t="s">
        <v>33680</v>
      </c>
      <c r="D2735" s="9" t="b">
        <v>0</v>
      </c>
      <c r="E2735" s="9"/>
    </row>
    <row r="2736" ht="15.75" customHeight="1">
      <c r="A2736" s="9" t="s">
        <v>33681</v>
      </c>
      <c r="B2736" s="9" t="s">
        <v>10502</v>
      </c>
      <c r="C2736" s="8" t="s">
        <v>33682</v>
      </c>
      <c r="D2736" s="9" t="b">
        <v>0</v>
      </c>
      <c r="E2736" s="9"/>
    </row>
    <row r="2737" ht="15.75" customHeight="1">
      <c r="A2737" s="9" t="s">
        <v>33683</v>
      </c>
      <c r="B2737" s="9" t="s">
        <v>10502</v>
      </c>
      <c r="C2737" s="8" t="s">
        <v>33684</v>
      </c>
      <c r="D2737" s="9" t="b">
        <v>0</v>
      </c>
      <c r="E2737" s="9"/>
    </row>
    <row r="2738" ht="15.75" customHeight="1">
      <c r="A2738" s="9" t="s">
        <v>33685</v>
      </c>
      <c r="B2738" s="9" t="s">
        <v>10502</v>
      </c>
      <c r="C2738" s="8" t="s">
        <v>33686</v>
      </c>
      <c r="D2738" s="9" t="b">
        <v>0</v>
      </c>
      <c r="E2738" s="9"/>
    </row>
    <row r="2739" ht="15.75" customHeight="1">
      <c r="A2739" s="9" t="s">
        <v>33687</v>
      </c>
      <c r="B2739" s="9" t="s">
        <v>10502</v>
      </c>
      <c r="C2739" s="8" t="s">
        <v>33688</v>
      </c>
      <c r="D2739" s="9" t="b">
        <v>1</v>
      </c>
      <c r="E2739" s="9"/>
    </row>
    <row r="2740" ht="15.75" customHeight="1">
      <c r="A2740" s="9" t="s">
        <v>33689</v>
      </c>
      <c r="B2740" s="9" t="s">
        <v>10502</v>
      </c>
      <c r="C2740" s="8" t="s">
        <v>33690</v>
      </c>
      <c r="D2740" s="9" t="b">
        <v>0</v>
      </c>
      <c r="E2740" s="9"/>
    </row>
    <row r="2741" ht="15.75" customHeight="1">
      <c r="A2741" s="9" t="s">
        <v>33691</v>
      </c>
      <c r="B2741" s="9" t="s">
        <v>10506</v>
      </c>
      <c r="C2741" s="8" t="s">
        <v>33692</v>
      </c>
      <c r="D2741" s="9" t="b">
        <v>0</v>
      </c>
      <c r="E2741" s="9"/>
    </row>
    <row r="2742" ht="15.75" customHeight="1">
      <c r="A2742" s="9" t="s">
        <v>33693</v>
      </c>
      <c r="B2742" s="9" t="s">
        <v>12016</v>
      </c>
      <c r="C2742" s="8" t="s">
        <v>33694</v>
      </c>
      <c r="D2742" s="9" t="b">
        <v>1</v>
      </c>
      <c r="E2742" s="9"/>
    </row>
    <row r="2743" ht="15.75" customHeight="1">
      <c r="A2743" s="9" t="s">
        <v>33695</v>
      </c>
      <c r="B2743" s="9" t="s">
        <v>12016</v>
      </c>
      <c r="C2743" s="8" t="s">
        <v>33696</v>
      </c>
      <c r="D2743" s="9" t="b">
        <v>0</v>
      </c>
      <c r="E2743" s="9"/>
    </row>
    <row r="2744" ht="15.75" customHeight="1">
      <c r="A2744" s="9" t="s">
        <v>33697</v>
      </c>
      <c r="B2744" s="9" t="s">
        <v>12016</v>
      </c>
      <c r="C2744" s="8" t="s">
        <v>33698</v>
      </c>
      <c r="D2744" s="9" t="b">
        <v>0</v>
      </c>
      <c r="E2744" s="9"/>
    </row>
    <row r="2745" ht="15.75" customHeight="1">
      <c r="A2745" s="9" t="s">
        <v>33699</v>
      </c>
      <c r="B2745" s="9" t="s">
        <v>12016</v>
      </c>
      <c r="C2745" s="8" t="s">
        <v>33700</v>
      </c>
      <c r="D2745" s="9" t="b">
        <v>0</v>
      </c>
      <c r="E2745" s="9"/>
    </row>
    <row r="2746" ht="15.75" customHeight="1">
      <c r="A2746" s="9" t="s">
        <v>33701</v>
      </c>
      <c r="B2746" s="9" t="s">
        <v>261</v>
      </c>
      <c r="C2746" s="8" t="s">
        <v>33702</v>
      </c>
      <c r="D2746" s="9" t="b">
        <v>0</v>
      </c>
      <c r="E2746" s="9"/>
    </row>
    <row r="2747" ht="15.75" customHeight="1">
      <c r="A2747" s="9" t="s">
        <v>33703</v>
      </c>
      <c r="B2747" s="9" t="s">
        <v>261</v>
      </c>
      <c r="C2747" s="8" t="s">
        <v>33704</v>
      </c>
      <c r="D2747" s="9" t="b">
        <v>0</v>
      </c>
      <c r="E2747" s="9"/>
    </row>
    <row r="2748" ht="15.75" customHeight="1">
      <c r="A2748" s="9" t="s">
        <v>33705</v>
      </c>
      <c r="B2748" s="9" t="s">
        <v>261</v>
      </c>
      <c r="C2748" s="8" t="s">
        <v>33706</v>
      </c>
      <c r="D2748" s="9" t="b">
        <v>0</v>
      </c>
      <c r="E2748" s="9"/>
    </row>
    <row r="2749" ht="15.75" customHeight="1">
      <c r="A2749" s="9" t="s">
        <v>33707</v>
      </c>
      <c r="B2749" s="9" t="s">
        <v>261</v>
      </c>
      <c r="C2749" s="8" t="s">
        <v>33708</v>
      </c>
      <c r="D2749" s="9" t="b">
        <v>0</v>
      </c>
      <c r="E2749" s="9"/>
    </row>
    <row r="2750" ht="15.75" customHeight="1">
      <c r="A2750" s="9" t="s">
        <v>33709</v>
      </c>
      <c r="B2750" s="9" t="s">
        <v>261</v>
      </c>
      <c r="C2750" s="8" t="s">
        <v>33710</v>
      </c>
      <c r="D2750" s="9" t="b">
        <v>0</v>
      </c>
      <c r="E2750" s="9"/>
    </row>
    <row r="2751" ht="15.75" customHeight="1">
      <c r="A2751" s="9" t="s">
        <v>33711</v>
      </c>
      <c r="B2751" s="9" t="s">
        <v>261</v>
      </c>
      <c r="C2751" s="8" t="s">
        <v>33712</v>
      </c>
      <c r="D2751" s="9" t="b">
        <v>0</v>
      </c>
      <c r="E2751" s="9"/>
    </row>
    <row r="2752" ht="15.75" customHeight="1">
      <c r="A2752" s="9" t="s">
        <v>33713</v>
      </c>
      <c r="B2752" s="9" t="s">
        <v>261</v>
      </c>
      <c r="C2752" s="8" t="s">
        <v>33714</v>
      </c>
      <c r="D2752" s="9" t="b">
        <v>0</v>
      </c>
      <c r="E2752" s="9"/>
    </row>
    <row r="2753" ht="15.75" customHeight="1">
      <c r="A2753" s="9" t="s">
        <v>33715</v>
      </c>
      <c r="B2753" s="9" t="s">
        <v>12165</v>
      </c>
      <c r="C2753" s="8" t="s">
        <v>33716</v>
      </c>
      <c r="D2753" s="9" t="b">
        <v>1</v>
      </c>
      <c r="E2753" s="9"/>
    </row>
    <row r="2754" ht="15.75" customHeight="1">
      <c r="A2754" s="9" t="s">
        <v>33717</v>
      </c>
      <c r="B2754" s="9" t="s">
        <v>12165</v>
      </c>
      <c r="C2754" s="8" t="s">
        <v>33718</v>
      </c>
      <c r="D2754" s="9" t="b">
        <v>0</v>
      </c>
      <c r="E2754" s="9"/>
    </row>
    <row r="2755" ht="15.75" customHeight="1">
      <c r="A2755" s="9" t="s">
        <v>33719</v>
      </c>
      <c r="B2755" s="9" t="s">
        <v>7483</v>
      </c>
      <c r="C2755" s="8" t="s">
        <v>33720</v>
      </c>
      <c r="D2755" s="9" t="b">
        <v>1</v>
      </c>
      <c r="E2755" s="9"/>
    </row>
    <row r="2756" ht="15.75" customHeight="1">
      <c r="A2756" s="9" t="s">
        <v>33721</v>
      </c>
      <c r="B2756" s="9" t="s">
        <v>7483</v>
      </c>
      <c r="C2756" s="8" t="s">
        <v>33722</v>
      </c>
      <c r="D2756" s="9" t="b">
        <v>0</v>
      </c>
      <c r="E2756" s="9"/>
    </row>
    <row r="2757" ht="15.75" customHeight="1">
      <c r="A2757" s="9" t="s">
        <v>33723</v>
      </c>
      <c r="B2757" s="9" t="s">
        <v>7483</v>
      </c>
      <c r="C2757" s="8" t="s">
        <v>33724</v>
      </c>
      <c r="D2757" s="9" t="b">
        <v>0</v>
      </c>
      <c r="E2757" s="9"/>
    </row>
    <row r="2758" ht="15.75" customHeight="1">
      <c r="A2758" s="9" t="s">
        <v>33725</v>
      </c>
      <c r="B2758" s="9" t="s">
        <v>7483</v>
      </c>
      <c r="C2758" s="8" t="s">
        <v>33726</v>
      </c>
      <c r="D2758" s="9" t="b">
        <v>0</v>
      </c>
      <c r="E2758" s="9"/>
    </row>
    <row r="2759" ht="15.75" customHeight="1">
      <c r="A2759" s="9" t="s">
        <v>33727</v>
      </c>
      <c r="B2759" s="9" t="s">
        <v>10262</v>
      </c>
      <c r="C2759" s="8" t="s">
        <v>33728</v>
      </c>
      <c r="D2759" s="9" t="b">
        <v>0</v>
      </c>
      <c r="E2759" s="9"/>
    </row>
    <row r="2760" ht="15.75" customHeight="1">
      <c r="A2760" s="9" t="s">
        <v>33729</v>
      </c>
      <c r="B2760" s="9" t="s">
        <v>10262</v>
      </c>
      <c r="C2760" s="8" t="s">
        <v>33730</v>
      </c>
      <c r="D2760" s="9" t="b">
        <v>0</v>
      </c>
      <c r="E2760" s="9"/>
    </row>
    <row r="2761" ht="15.75" customHeight="1">
      <c r="A2761" s="9" t="s">
        <v>33731</v>
      </c>
      <c r="B2761" s="9" t="s">
        <v>10262</v>
      </c>
      <c r="C2761" s="8" t="s">
        <v>33732</v>
      </c>
      <c r="D2761" s="9" t="b">
        <v>0</v>
      </c>
      <c r="E2761" s="9"/>
    </row>
    <row r="2762" ht="15.75" customHeight="1">
      <c r="A2762" s="9" t="s">
        <v>33733</v>
      </c>
      <c r="B2762" s="9" t="s">
        <v>10262</v>
      </c>
      <c r="C2762" s="8" t="s">
        <v>33734</v>
      </c>
      <c r="D2762" s="9" t="b">
        <v>0</v>
      </c>
      <c r="E2762" s="9"/>
    </row>
    <row r="2763" ht="15.75" customHeight="1">
      <c r="A2763" s="9" t="s">
        <v>33735</v>
      </c>
      <c r="B2763" s="9" t="s">
        <v>10262</v>
      </c>
      <c r="C2763" s="8" t="s">
        <v>33736</v>
      </c>
      <c r="D2763" s="9" t="b">
        <v>0</v>
      </c>
      <c r="E2763" s="9"/>
    </row>
    <row r="2764" ht="15.75" customHeight="1">
      <c r="A2764" s="9" t="s">
        <v>33737</v>
      </c>
      <c r="B2764" s="9" t="s">
        <v>10262</v>
      </c>
      <c r="C2764" s="8" t="s">
        <v>33738</v>
      </c>
      <c r="D2764" s="9" t="b">
        <v>0</v>
      </c>
      <c r="E2764" s="9"/>
    </row>
    <row r="2765" ht="15.75" customHeight="1">
      <c r="A2765" s="9" t="s">
        <v>33739</v>
      </c>
      <c r="B2765" s="9" t="s">
        <v>10262</v>
      </c>
      <c r="C2765" s="8" t="s">
        <v>33740</v>
      </c>
      <c r="D2765" s="9" t="b">
        <v>0</v>
      </c>
      <c r="E2765" s="9"/>
    </row>
    <row r="2766" ht="15.75" customHeight="1">
      <c r="A2766" s="9" t="s">
        <v>33741</v>
      </c>
      <c r="B2766" s="9" t="s">
        <v>10262</v>
      </c>
      <c r="C2766" s="8" t="s">
        <v>33742</v>
      </c>
      <c r="D2766" s="9" t="b">
        <v>0</v>
      </c>
      <c r="E2766" s="9"/>
    </row>
    <row r="2767" ht="15.75" customHeight="1">
      <c r="A2767" s="9" t="s">
        <v>33743</v>
      </c>
      <c r="B2767" s="9" t="s">
        <v>10262</v>
      </c>
      <c r="C2767" s="8" t="s">
        <v>33744</v>
      </c>
      <c r="D2767" s="9" t="b">
        <v>1</v>
      </c>
      <c r="E2767" s="9"/>
    </row>
    <row r="2768" ht="15.75" customHeight="1">
      <c r="A2768" s="9" t="s">
        <v>33745</v>
      </c>
      <c r="B2768" s="9" t="s">
        <v>10262</v>
      </c>
      <c r="C2768" s="8" t="s">
        <v>33746</v>
      </c>
      <c r="D2768" s="9" t="b">
        <v>0</v>
      </c>
      <c r="E2768" s="9"/>
    </row>
    <row r="2769" ht="15.75" customHeight="1">
      <c r="A2769" s="9" t="s">
        <v>33747</v>
      </c>
      <c r="B2769" s="9" t="s">
        <v>10262</v>
      </c>
      <c r="C2769" s="8" t="s">
        <v>33748</v>
      </c>
      <c r="D2769" s="9" t="b">
        <v>0</v>
      </c>
      <c r="E2769" s="9"/>
    </row>
    <row r="2770" ht="15.75" customHeight="1">
      <c r="A2770" s="9" t="s">
        <v>33749</v>
      </c>
      <c r="B2770" s="9" t="s">
        <v>10262</v>
      </c>
      <c r="C2770" s="8" t="s">
        <v>33750</v>
      </c>
      <c r="D2770" s="9" t="b">
        <v>0</v>
      </c>
      <c r="E2770" s="9"/>
    </row>
    <row r="2771" ht="15.75" customHeight="1">
      <c r="A2771" s="9" t="s">
        <v>33751</v>
      </c>
      <c r="B2771" s="9" t="s">
        <v>10447</v>
      </c>
      <c r="C2771" s="8" t="s">
        <v>33752</v>
      </c>
      <c r="D2771" s="9" t="b">
        <v>0</v>
      </c>
      <c r="E2771" s="9" t="s">
        <v>33753</v>
      </c>
    </row>
    <row r="2772" ht="15.75" customHeight="1">
      <c r="A2772" s="9" t="s">
        <v>33754</v>
      </c>
      <c r="B2772" s="9" t="s">
        <v>10447</v>
      </c>
      <c r="C2772" s="8" t="s">
        <v>33755</v>
      </c>
      <c r="D2772" s="9" t="b">
        <v>0</v>
      </c>
      <c r="E2772" s="9" t="s">
        <v>30336</v>
      </c>
    </row>
    <row r="2773" ht="15.75" customHeight="1">
      <c r="A2773" s="9" t="s">
        <v>33756</v>
      </c>
      <c r="B2773" s="9" t="s">
        <v>10447</v>
      </c>
      <c r="C2773" s="8" t="s">
        <v>33757</v>
      </c>
      <c r="D2773" s="9" t="b">
        <v>0</v>
      </c>
      <c r="E2773" s="9" t="s">
        <v>12467</v>
      </c>
    </row>
    <row r="2774" ht="15.75" customHeight="1">
      <c r="A2774" s="9" t="s">
        <v>33758</v>
      </c>
      <c r="B2774" s="9" t="s">
        <v>10447</v>
      </c>
      <c r="C2774" s="8" t="s">
        <v>33759</v>
      </c>
      <c r="D2774" s="9" t="b">
        <v>0</v>
      </c>
      <c r="E2774" s="9" t="s">
        <v>30363</v>
      </c>
    </row>
    <row r="2775" ht="15.75" customHeight="1">
      <c r="A2775" s="9" t="s">
        <v>33760</v>
      </c>
      <c r="B2775" s="9" t="s">
        <v>10447</v>
      </c>
      <c r="C2775" s="8" t="s">
        <v>33761</v>
      </c>
      <c r="D2775" s="9" t="b">
        <v>0</v>
      </c>
      <c r="E2775" s="9" t="s">
        <v>32607</v>
      </c>
    </row>
    <row r="2776" ht="15.75" customHeight="1">
      <c r="A2776" s="9" t="s">
        <v>33762</v>
      </c>
      <c r="B2776" s="9" t="s">
        <v>10447</v>
      </c>
      <c r="C2776" s="8" t="s">
        <v>33763</v>
      </c>
      <c r="D2776" s="9" t="b">
        <v>0</v>
      </c>
      <c r="E2776" s="9" t="s">
        <v>33640</v>
      </c>
    </row>
    <row r="2777" ht="15.75" customHeight="1">
      <c r="A2777" s="9" t="s">
        <v>33764</v>
      </c>
      <c r="B2777" s="9" t="s">
        <v>10447</v>
      </c>
      <c r="C2777" s="8" t="s">
        <v>33765</v>
      </c>
      <c r="D2777" s="9" t="b">
        <v>0</v>
      </c>
      <c r="E2777" s="9" t="s">
        <v>29140</v>
      </c>
    </row>
    <row r="2778" ht="15.75" customHeight="1">
      <c r="A2778" s="9" t="s">
        <v>33766</v>
      </c>
      <c r="B2778" s="9" t="s">
        <v>10447</v>
      </c>
      <c r="C2778" s="8" t="s">
        <v>33767</v>
      </c>
      <c r="D2778" s="9" t="b">
        <v>0</v>
      </c>
      <c r="E2778" s="9" t="s">
        <v>33768</v>
      </c>
    </row>
    <row r="2779" ht="15.75" customHeight="1">
      <c r="A2779" s="9" t="s">
        <v>33769</v>
      </c>
      <c r="B2779" s="9" t="s">
        <v>10447</v>
      </c>
      <c r="C2779" s="8" t="s">
        <v>33770</v>
      </c>
      <c r="D2779" s="9" t="b">
        <v>0</v>
      </c>
      <c r="E2779" s="9" t="s">
        <v>33768</v>
      </c>
    </row>
    <row r="2780" ht="15.75" customHeight="1">
      <c r="A2780" s="9" t="s">
        <v>33771</v>
      </c>
      <c r="B2780" s="9" t="s">
        <v>10447</v>
      </c>
      <c r="C2780" s="8" t="s">
        <v>33772</v>
      </c>
      <c r="D2780" s="9" t="b">
        <v>0</v>
      </c>
      <c r="E2780" s="9" t="s">
        <v>31788</v>
      </c>
    </row>
    <row r="2781" ht="15.75" customHeight="1">
      <c r="A2781" s="9" t="s">
        <v>33773</v>
      </c>
      <c r="B2781" s="9" t="s">
        <v>10447</v>
      </c>
      <c r="C2781" s="8" t="s">
        <v>33774</v>
      </c>
      <c r="D2781" s="9" t="b">
        <v>1</v>
      </c>
      <c r="E2781" s="9" t="s">
        <v>33637</v>
      </c>
    </row>
    <row r="2782" ht="15.75" customHeight="1">
      <c r="A2782" s="9" t="s">
        <v>33775</v>
      </c>
      <c r="B2782" s="9" t="s">
        <v>10447</v>
      </c>
      <c r="C2782" s="8" t="s">
        <v>33776</v>
      </c>
      <c r="D2782" s="9" t="b">
        <v>0</v>
      </c>
      <c r="E2782" s="9" t="s">
        <v>33777</v>
      </c>
    </row>
    <row r="2783" ht="15.75" customHeight="1">
      <c r="A2783" s="9" t="s">
        <v>33778</v>
      </c>
      <c r="B2783" s="9" t="s">
        <v>3233</v>
      </c>
      <c r="C2783" s="8" t="s">
        <v>33779</v>
      </c>
      <c r="D2783" s="9" t="b">
        <v>0</v>
      </c>
      <c r="E2783" s="9"/>
    </row>
    <row r="2784" ht="15.75" customHeight="1">
      <c r="A2784" s="9" t="s">
        <v>33780</v>
      </c>
      <c r="B2784" s="9" t="s">
        <v>3233</v>
      </c>
      <c r="C2784" s="8" t="s">
        <v>33781</v>
      </c>
      <c r="D2784" s="9" t="b">
        <v>0</v>
      </c>
      <c r="E2784" s="9"/>
    </row>
    <row r="2785" ht="15.75" customHeight="1">
      <c r="A2785" s="9" t="s">
        <v>33782</v>
      </c>
      <c r="B2785" s="9" t="s">
        <v>3233</v>
      </c>
      <c r="C2785" s="8" t="s">
        <v>33783</v>
      </c>
      <c r="D2785" s="9" t="b">
        <v>0</v>
      </c>
      <c r="E2785" s="9"/>
    </row>
    <row r="2786" ht="15.75" customHeight="1">
      <c r="A2786" s="9" t="s">
        <v>33784</v>
      </c>
      <c r="B2786" s="9" t="s">
        <v>3233</v>
      </c>
      <c r="C2786" s="8" t="s">
        <v>33785</v>
      </c>
      <c r="D2786" s="9" t="b">
        <v>0</v>
      </c>
      <c r="E2786" s="9"/>
    </row>
    <row r="2787" ht="15.75" customHeight="1">
      <c r="A2787" s="9" t="s">
        <v>33786</v>
      </c>
      <c r="B2787" s="9" t="s">
        <v>3233</v>
      </c>
      <c r="C2787" s="8" t="s">
        <v>33787</v>
      </c>
      <c r="D2787" s="9" t="b">
        <v>1</v>
      </c>
      <c r="E2787" s="9"/>
    </row>
    <row r="2788" ht="15.75" customHeight="1">
      <c r="A2788" s="9" t="s">
        <v>33788</v>
      </c>
      <c r="B2788" s="9" t="s">
        <v>3233</v>
      </c>
      <c r="C2788" s="8" t="s">
        <v>33789</v>
      </c>
      <c r="D2788" s="9" t="b">
        <v>0</v>
      </c>
      <c r="E2788" s="9"/>
    </row>
    <row r="2789" ht="15.75" customHeight="1">
      <c r="A2789" s="9" t="s">
        <v>33790</v>
      </c>
      <c r="B2789" s="9" t="s">
        <v>10482</v>
      </c>
      <c r="C2789" s="8" t="s">
        <v>33791</v>
      </c>
      <c r="D2789" s="9" t="b">
        <v>1</v>
      </c>
      <c r="E2789" s="9"/>
    </row>
    <row r="2790" ht="15.75" customHeight="1">
      <c r="A2790" s="9" t="s">
        <v>33792</v>
      </c>
      <c r="B2790" s="9" t="s">
        <v>10482</v>
      </c>
      <c r="C2790" s="8" t="s">
        <v>33793</v>
      </c>
      <c r="D2790" s="9" t="b">
        <v>0</v>
      </c>
      <c r="E2790" s="9"/>
    </row>
    <row r="2791" ht="15.75" customHeight="1">
      <c r="A2791" s="9" t="s">
        <v>33794</v>
      </c>
      <c r="B2791" s="9" t="s">
        <v>10482</v>
      </c>
      <c r="C2791" s="8" t="s">
        <v>33795</v>
      </c>
      <c r="D2791" s="9" t="b">
        <v>0</v>
      </c>
      <c r="E2791" s="9"/>
    </row>
    <row r="2792" ht="15.75" customHeight="1">
      <c r="A2792" s="9" t="s">
        <v>33796</v>
      </c>
      <c r="B2792" s="9" t="s">
        <v>10482</v>
      </c>
      <c r="C2792" s="8" t="s">
        <v>33797</v>
      </c>
      <c r="D2792" s="9" t="b">
        <v>0</v>
      </c>
      <c r="E2792" s="9"/>
    </row>
    <row r="2793" ht="15.75" customHeight="1">
      <c r="A2793" s="9" t="s">
        <v>33798</v>
      </c>
      <c r="B2793" s="9" t="s">
        <v>10482</v>
      </c>
      <c r="C2793" s="8" t="s">
        <v>33799</v>
      </c>
      <c r="D2793" s="9" t="b">
        <v>0</v>
      </c>
      <c r="E2793" s="9"/>
    </row>
    <row r="2794" ht="15.75" customHeight="1">
      <c r="A2794" s="9" t="s">
        <v>33800</v>
      </c>
      <c r="B2794" s="9" t="s">
        <v>10482</v>
      </c>
      <c r="C2794" s="8" t="s">
        <v>33801</v>
      </c>
      <c r="D2794" s="9" t="b">
        <v>0</v>
      </c>
      <c r="E2794" s="9"/>
    </row>
    <row r="2795" ht="15.75" customHeight="1">
      <c r="A2795" s="9" t="s">
        <v>33802</v>
      </c>
      <c r="B2795" s="9" t="s">
        <v>10482</v>
      </c>
      <c r="C2795" s="8" t="s">
        <v>33803</v>
      </c>
      <c r="D2795" s="9" t="b">
        <v>0</v>
      </c>
      <c r="E2795" s="9"/>
    </row>
    <row r="2796" ht="15.75" customHeight="1">
      <c r="A2796" s="9" t="s">
        <v>33804</v>
      </c>
      <c r="B2796" s="9" t="s">
        <v>10482</v>
      </c>
      <c r="C2796" s="8" t="s">
        <v>33805</v>
      </c>
      <c r="D2796" s="9" t="b">
        <v>0</v>
      </c>
      <c r="E2796" s="9"/>
    </row>
    <row r="2797" ht="15.75" customHeight="1">
      <c r="A2797" s="9" t="s">
        <v>33806</v>
      </c>
      <c r="B2797" s="9" t="s">
        <v>10482</v>
      </c>
      <c r="C2797" s="8" t="s">
        <v>33807</v>
      </c>
      <c r="D2797" s="9" t="b">
        <v>0</v>
      </c>
      <c r="E2797" s="9"/>
    </row>
    <row r="2798" ht="15.75" customHeight="1">
      <c r="A2798" s="9" t="s">
        <v>33808</v>
      </c>
      <c r="B2798" s="9" t="s">
        <v>10482</v>
      </c>
      <c r="C2798" s="8" t="s">
        <v>33809</v>
      </c>
      <c r="D2798" s="9" t="b">
        <v>0</v>
      </c>
      <c r="E2798" s="9"/>
    </row>
    <row r="2799" ht="15.75" customHeight="1">
      <c r="A2799" s="9" t="s">
        <v>33810</v>
      </c>
      <c r="B2799" s="9" t="s">
        <v>10482</v>
      </c>
      <c r="C2799" s="8" t="s">
        <v>33811</v>
      </c>
      <c r="D2799" s="9" t="b">
        <v>0</v>
      </c>
      <c r="E2799" s="9"/>
    </row>
    <row r="2800" ht="15.75" customHeight="1">
      <c r="A2800" s="9" t="s">
        <v>33812</v>
      </c>
      <c r="B2800" s="9" t="s">
        <v>10482</v>
      </c>
      <c r="C2800" s="8" t="s">
        <v>33813</v>
      </c>
      <c r="D2800" s="9" t="b">
        <v>0</v>
      </c>
      <c r="E2800" s="9"/>
    </row>
    <row r="2801" ht="15.75" customHeight="1">
      <c r="A2801" s="9" t="s">
        <v>33814</v>
      </c>
      <c r="B2801" s="9" t="s">
        <v>10480</v>
      </c>
      <c r="C2801" s="8" t="s">
        <v>33815</v>
      </c>
      <c r="D2801" s="9" t="b">
        <v>1</v>
      </c>
      <c r="E2801" s="9"/>
    </row>
    <row r="2802" ht="15.75" customHeight="1">
      <c r="A2802" s="9" t="s">
        <v>33816</v>
      </c>
      <c r="B2802" s="9" t="s">
        <v>10480</v>
      </c>
      <c r="C2802" s="8" t="s">
        <v>33817</v>
      </c>
      <c r="D2802" s="9" t="b">
        <v>0</v>
      </c>
      <c r="E2802" s="9"/>
    </row>
    <row r="2803" ht="15.75" customHeight="1">
      <c r="A2803" s="9"/>
      <c r="B2803" s="9"/>
      <c r="C2803" s="9"/>
      <c r="D2803" s="9"/>
      <c r="E2803" s="9"/>
    </row>
    <row r="2804" ht="15.75" customHeight="1">
      <c r="A2804" s="9"/>
      <c r="B2804" s="9"/>
      <c r="C2804" s="9"/>
      <c r="D2804" s="9"/>
      <c r="E2804" s="9"/>
    </row>
    <row r="2805" ht="15.75" customHeight="1">
      <c r="A2805" s="9"/>
      <c r="B2805" s="9"/>
      <c r="C2805" s="9"/>
      <c r="D2805" s="9"/>
      <c r="E2805" s="9"/>
    </row>
    <row r="2806" ht="15.75" customHeight="1">
      <c r="A2806" s="9" t="s">
        <v>33818</v>
      </c>
      <c r="B2806" s="9" t="s">
        <v>10480</v>
      </c>
      <c r="C2806" s="8" t="s">
        <v>33819</v>
      </c>
      <c r="D2806" s="9" t="b">
        <v>0</v>
      </c>
      <c r="E2806" s="9"/>
    </row>
    <row r="2807" ht="15.75" customHeight="1">
      <c r="A2807" s="9"/>
      <c r="B2807" s="9"/>
      <c r="C2807" s="9"/>
      <c r="D2807" s="9"/>
      <c r="E2807" s="9"/>
    </row>
    <row r="2808" ht="15.75" customHeight="1">
      <c r="A2808" s="9" t="s">
        <v>33820</v>
      </c>
      <c r="B2808" s="9" t="s">
        <v>10480</v>
      </c>
      <c r="C2808" s="8" t="s">
        <v>33821</v>
      </c>
      <c r="D2808" s="9" t="b">
        <v>0</v>
      </c>
      <c r="E2808" s="9"/>
    </row>
    <row r="2809" ht="15.75" customHeight="1">
      <c r="A2809" s="9" t="s">
        <v>33822</v>
      </c>
      <c r="B2809" s="9" t="s">
        <v>10480</v>
      </c>
      <c r="C2809" s="8" t="s">
        <v>33823</v>
      </c>
      <c r="D2809" s="9" t="b">
        <v>0</v>
      </c>
      <c r="E2809" s="9"/>
    </row>
    <row r="2810" ht="15.75" customHeight="1">
      <c r="A2810" s="9" t="s">
        <v>33824</v>
      </c>
      <c r="B2810" s="9" t="s">
        <v>10480</v>
      </c>
      <c r="C2810" s="8" t="s">
        <v>33825</v>
      </c>
      <c r="D2810" s="9" t="b">
        <v>0</v>
      </c>
      <c r="E2810" s="9"/>
    </row>
    <row r="2811" ht="15.75" customHeight="1">
      <c r="A2811" s="9" t="s">
        <v>33826</v>
      </c>
      <c r="B2811" s="9" t="s">
        <v>12176</v>
      </c>
      <c r="C2811" s="8" t="s">
        <v>33827</v>
      </c>
      <c r="D2811" s="9" t="b">
        <v>1</v>
      </c>
      <c r="E2811" s="9"/>
    </row>
    <row r="2812" ht="15.75" customHeight="1">
      <c r="A2812" s="9"/>
      <c r="B2812" s="9"/>
      <c r="C2812" s="9"/>
      <c r="D2812" s="9"/>
      <c r="E2812" s="9"/>
    </row>
    <row r="2813" ht="15.75" customHeight="1">
      <c r="A2813" s="9" t="s">
        <v>33828</v>
      </c>
      <c r="B2813" s="9" t="s">
        <v>12176</v>
      </c>
      <c r="C2813" s="8" t="s">
        <v>33829</v>
      </c>
      <c r="D2813" s="9" t="b">
        <v>0</v>
      </c>
      <c r="E2813" s="9"/>
    </row>
    <row r="2814" ht="15.75" customHeight="1">
      <c r="A2814" s="52" t="s">
        <v>33830</v>
      </c>
      <c r="B2814" s="9" t="s">
        <v>12176</v>
      </c>
      <c r="C2814" s="8" t="s">
        <v>33831</v>
      </c>
      <c r="D2814" s="9" t="b">
        <v>0</v>
      </c>
      <c r="E2814" s="9"/>
    </row>
    <row r="2815" ht="15.75" customHeight="1">
      <c r="A2815" s="9" t="s">
        <v>33832</v>
      </c>
      <c r="B2815" s="9" t="s">
        <v>12176</v>
      </c>
      <c r="C2815" s="8" t="s">
        <v>33833</v>
      </c>
      <c r="D2815" s="9" t="b">
        <v>0</v>
      </c>
      <c r="E2815" s="9"/>
    </row>
    <row r="2816" ht="15.75" customHeight="1">
      <c r="A2816" s="9"/>
      <c r="B2816" s="9"/>
      <c r="C2816" s="9"/>
      <c r="D2816" s="9"/>
      <c r="E2816" s="9"/>
    </row>
    <row r="2817" ht="15.75" customHeight="1">
      <c r="A2817" s="9" t="s">
        <v>33834</v>
      </c>
      <c r="B2817" s="9" t="s">
        <v>12176</v>
      </c>
      <c r="C2817" s="8" t="s">
        <v>33835</v>
      </c>
      <c r="D2817" s="9" t="b">
        <v>0</v>
      </c>
      <c r="E2817" s="9"/>
    </row>
    <row r="2818" ht="15.75" customHeight="1">
      <c r="A2818" s="9" t="s">
        <v>33836</v>
      </c>
      <c r="B2818" s="9" t="s">
        <v>12176</v>
      </c>
      <c r="C2818" s="8" t="s">
        <v>33837</v>
      </c>
      <c r="D2818" s="9" t="b">
        <v>0</v>
      </c>
      <c r="E2818" s="9"/>
    </row>
    <row r="2819" ht="15.75" customHeight="1">
      <c r="A2819" s="9" t="s">
        <v>33838</v>
      </c>
      <c r="B2819" s="9" t="s">
        <v>11618</v>
      </c>
      <c r="C2819" s="8" t="s">
        <v>33839</v>
      </c>
      <c r="D2819" s="9" t="b">
        <v>0</v>
      </c>
      <c r="E2819" s="9"/>
    </row>
    <row r="2820" ht="15.75" customHeight="1">
      <c r="A2820" s="9" t="s">
        <v>33840</v>
      </c>
      <c r="B2820" s="9" t="s">
        <v>11618</v>
      </c>
      <c r="C2820" s="8" t="s">
        <v>33841</v>
      </c>
      <c r="D2820" s="9" t="b">
        <v>0</v>
      </c>
      <c r="E2820" s="9"/>
    </row>
    <row r="2821" ht="15.75" customHeight="1">
      <c r="A2821" s="9" t="s">
        <v>33842</v>
      </c>
      <c r="B2821" s="9" t="s">
        <v>11618</v>
      </c>
      <c r="C2821" s="8" t="s">
        <v>33843</v>
      </c>
      <c r="D2821" s="9" t="b">
        <v>1</v>
      </c>
      <c r="E2821" s="9"/>
    </row>
    <row r="2822" ht="15.75" customHeight="1">
      <c r="A2822" s="9" t="s">
        <v>33844</v>
      </c>
      <c r="B2822" s="9" t="s">
        <v>11618</v>
      </c>
      <c r="C2822" s="8" t="s">
        <v>33845</v>
      </c>
      <c r="D2822" s="9" t="b">
        <v>0</v>
      </c>
      <c r="E2822" s="9"/>
    </row>
    <row r="2823" ht="15.75" customHeight="1">
      <c r="A2823" s="9" t="s">
        <v>33846</v>
      </c>
      <c r="B2823" s="9" t="s">
        <v>11618</v>
      </c>
      <c r="C2823" s="8" t="s">
        <v>33847</v>
      </c>
      <c r="D2823" s="9" t="b">
        <v>0</v>
      </c>
      <c r="E2823" s="9"/>
    </row>
    <row r="2824" ht="15.75" customHeight="1">
      <c r="A2824" s="9" t="s">
        <v>33848</v>
      </c>
      <c r="B2824" s="9" t="s">
        <v>11618</v>
      </c>
      <c r="C2824" s="8" t="s">
        <v>33849</v>
      </c>
      <c r="D2824" s="9" t="b">
        <v>0</v>
      </c>
      <c r="E2824" s="9"/>
    </row>
    <row r="2825" ht="15.75" customHeight="1">
      <c r="A2825" s="9" t="s">
        <v>33850</v>
      </c>
      <c r="B2825" s="9" t="s">
        <v>11618</v>
      </c>
      <c r="C2825" s="8" t="s">
        <v>33851</v>
      </c>
      <c r="D2825" s="9" t="b">
        <v>0</v>
      </c>
      <c r="E2825" s="9"/>
    </row>
    <row r="2826" ht="15.75" customHeight="1">
      <c r="A2826" s="9" t="s">
        <v>33852</v>
      </c>
      <c r="B2826" s="9" t="s">
        <v>11618</v>
      </c>
      <c r="C2826" s="8" t="s">
        <v>33853</v>
      </c>
      <c r="D2826" s="9" t="b">
        <v>0</v>
      </c>
      <c r="E2826" s="9"/>
    </row>
    <row r="2827" ht="15.75" customHeight="1">
      <c r="A2827" s="9" t="s">
        <v>33854</v>
      </c>
      <c r="B2827" s="9" t="s">
        <v>11618</v>
      </c>
      <c r="C2827" s="8" t="s">
        <v>33855</v>
      </c>
      <c r="D2827" s="9" t="b">
        <v>0</v>
      </c>
      <c r="E2827" s="9"/>
    </row>
    <row r="2828" ht="15.75" customHeight="1">
      <c r="A2828" s="52" t="s">
        <v>33856</v>
      </c>
      <c r="B2828" s="9" t="s">
        <v>11618</v>
      </c>
      <c r="C2828" s="8" t="s">
        <v>33857</v>
      </c>
      <c r="D2828" s="9" t="b">
        <v>0</v>
      </c>
      <c r="E2828" s="9"/>
    </row>
    <row r="2829" ht="15.75" customHeight="1">
      <c r="A2829" s="9" t="s">
        <v>33858</v>
      </c>
      <c r="B2829" s="9" t="s">
        <v>11618</v>
      </c>
      <c r="C2829" s="8" t="s">
        <v>33859</v>
      </c>
      <c r="D2829" s="9" t="b">
        <v>1</v>
      </c>
      <c r="E2829" s="9"/>
    </row>
    <row r="2830" ht="15.75" customHeight="1">
      <c r="A2830" s="9" t="s">
        <v>33860</v>
      </c>
      <c r="B2830" s="9" t="s">
        <v>10493</v>
      </c>
      <c r="C2830" s="8" t="s">
        <v>33861</v>
      </c>
      <c r="D2830" s="9" t="b">
        <v>0</v>
      </c>
      <c r="E2830" s="9"/>
    </row>
    <row r="2831" ht="15.75" customHeight="1">
      <c r="A2831" s="9" t="s">
        <v>33862</v>
      </c>
      <c r="B2831" s="9" t="s">
        <v>10493</v>
      </c>
      <c r="C2831" s="8" t="s">
        <v>33863</v>
      </c>
      <c r="D2831" s="9" t="b">
        <v>0</v>
      </c>
      <c r="E2831" s="9"/>
    </row>
    <row r="2832" ht="15.75" customHeight="1">
      <c r="A2832" s="9" t="s">
        <v>33864</v>
      </c>
      <c r="B2832" s="9" t="s">
        <v>11744</v>
      </c>
      <c r="C2832" s="8" t="s">
        <v>33865</v>
      </c>
      <c r="D2832" s="9" t="b">
        <v>1</v>
      </c>
      <c r="E2832" s="9"/>
    </row>
    <row r="2833" ht="15.75" customHeight="1">
      <c r="A2833" s="9" t="s">
        <v>33866</v>
      </c>
      <c r="B2833" s="9" t="s">
        <v>11744</v>
      </c>
      <c r="C2833" s="8" t="s">
        <v>33867</v>
      </c>
      <c r="D2833" s="9" t="b">
        <v>0</v>
      </c>
      <c r="E2833" s="9"/>
    </row>
    <row r="2834" ht="15.75" customHeight="1">
      <c r="A2834" s="9" t="s">
        <v>33868</v>
      </c>
      <c r="B2834" s="9" t="s">
        <v>11744</v>
      </c>
      <c r="C2834" s="8" t="s">
        <v>33869</v>
      </c>
      <c r="D2834" s="9" t="b">
        <v>0</v>
      </c>
      <c r="E2834" s="9"/>
    </row>
    <row r="2835" ht="15.75" customHeight="1">
      <c r="A2835" s="9" t="s">
        <v>33870</v>
      </c>
      <c r="B2835" s="9" t="s">
        <v>11744</v>
      </c>
      <c r="C2835" s="8" t="s">
        <v>33871</v>
      </c>
      <c r="D2835" s="9" t="b">
        <v>0</v>
      </c>
      <c r="E2835" s="9"/>
    </row>
    <row r="2836" ht="15.75" customHeight="1">
      <c r="A2836" s="9" t="s">
        <v>33872</v>
      </c>
      <c r="B2836" s="9" t="s">
        <v>6071</v>
      </c>
      <c r="C2836" s="8" t="s">
        <v>33873</v>
      </c>
      <c r="D2836" s="9" t="b">
        <v>0</v>
      </c>
      <c r="E2836" s="9"/>
    </row>
    <row r="2837" ht="15.75" customHeight="1">
      <c r="A2837" s="9" t="s">
        <v>33874</v>
      </c>
      <c r="B2837" s="9" t="s">
        <v>6071</v>
      </c>
      <c r="C2837" s="8" t="s">
        <v>33875</v>
      </c>
      <c r="D2837" s="9" t="b">
        <v>1</v>
      </c>
      <c r="E2837" s="9"/>
    </row>
    <row r="2838" ht="15.75" customHeight="1">
      <c r="A2838" s="9" t="s">
        <v>33876</v>
      </c>
      <c r="B2838" s="9" t="s">
        <v>6071</v>
      </c>
      <c r="C2838" s="8" t="s">
        <v>33877</v>
      </c>
      <c r="D2838" s="9" t="b">
        <v>0</v>
      </c>
      <c r="E2838" s="9"/>
    </row>
    <row r="2839" ht="15.75" customHeight="1">
      <c r="A2839" s="9" t="s">
        <v>33878</v>
      </c>
      <c r="B2839" s="9" t="s">
        <v>8867</v>
      </c>
      <c r="C2839" s="8" t="s">
        <v>33879</v>
      </c>
      <c r="D2839" s="9" t="b">
        <v>1</v>
      </c>
      <c r="E2839" s="9"/>
    </row>
    <row r="2840" ht="15.75" customHeight="1">
      <c r="A2840" s="9" t="s">
        <v>33880</v>
      </c>
      <c r="B2840" s="9" t="s">
        <v>8867</v>
      </c>
      <c r="C2840" s="8" t="s">
        <v>33881</v>
      </c>
      <c r="D2840" s="9" t="b">
        <v>0</v>
      </c>
      <c r="E2840" s="9"/>
    </row>
    <row r="2841" ht="15.75" customHeight="1">
      <c r="A2841" s="9" t="s">
        <v>33882</v>
      </c>
      <c r="B2841" s="9" t="s">
        <v>9012</v>
      </c>
      <c r="C2841" s="8" t="s">
        <v>33883</v>
      </c>
      <c r="D2841" s="9" t="b">
        <v>1</v>
      </c>
      <c r="E2841" s="9"/>
    </row>
    <row r="2842" ht="15.75" customHeight="1">
      <c r="A2842" s="9" t="s">
        <v>33884</v>
      </c>
      <c r="B2842" s="9" t="s">
        <v>9012</v>
      </c>
      <c r="C2842" s="8" t="s">
        <v>33885</v>
      </c>
      <c r="D2842" s="9" t="b">
        <v>0</v>
      </c>
      <c r="E2842" s="9"/>
    </row>
    <row r="2843" ht="15.75" customHeight="1">
      <c r="A2843" s="9" t="s">
        <v>33886</v>
      </c>
      <c r="B2843" s="9" t="s">
        <v>9012</v>
      </c>
      <c r="C2843" s="8" t="s">
        <v>33887</v>
      </c>
      <c r="D2843" s="9" t="b">
        <v>0</v>
      </c>
      <c r="E2843" s="9"/>
    </row>
    <row r="2844" ht="15.75" customHeight="1">
      <c r="A2844" s="9" t="s">
        <v>33888</v>
      </c>
      <c r="B2844" s="9" t="s">
        <v>9012</v>
      </c>
      <c r="C2844" s="8" t="s">
        <v>33889</v>
      </c>
      <c r="D2844" s="9" t="b">
        <v>0</v>
      </c>
      <c r="E2844" s="9"/>
    </row>
    <row r="2845" ht="15.75" customHeight="1">
      <c r="A2845" s="9" t="s">
        <v>33890</v>
      </c>
      <c r="B2845" s="9" t="s">
        <v>11971</v>
      </c>
      <c r="C2845" s="8" t="s">
        <v>33891</v>
      </c>
      <c r="D2845" s="9" t="b">
        <v>0</v>
      </c>
      <c r="E2845" s="9"/>
    </row>
    <row r="2846" ht="15.75" customHeight="1">
      <c r="A2846" s="9" t="s">
        <v>33892</v>
      </c>
      <c r="B2846" s="9" t="s">
        <v>11971</v>
      </c>
      <c r="C2846" s="8" t="s">
        <v>33893</v>
      </c>
      <c r="D2846" s="9" t="b">
        <v>1</v>
      </c>
      <c r="E2846" s="9"/>
    </row>
    <row r="2847" ht="15.75" customHeight="1">
      <c r="A2847" s="9" t="s">
        <v>33894</v>
      </c>
      <c r="B2847" s="9" t="s">
        <v>11971</v>
      </c>
      <c r="C2847" s="8" t="s">
        <v>33895</v>
      </c>
      <c r="D2847" s="9" t="b">
        <v>0</v>
      </c>
      <c r="E2847" s="9"/>
    </row>
    <row r="2848" ht="15.75" customHeight="1">
      <c r="A2848" s="9" t="s">
        <v>33896</v>
      </c>
      <c r="B2848" s="9" t="s">
        <v>11971</v>
      </c>
      <c r="C2848" s="8" t="s">
        <v>33897</v>
      </c>
      <c r="D2848" s="9" t="b">
        <v>0</v>
      </c>
      <c r="E2848" s="9"/>
    </row>
    <row r="2849" ht="15.75" customHeight="1">
      <c r="A2849" s="9" t="s">
        <v>33898</v>
      </c>
      <c r="B2849" s="9" t="s">
        <v>11971</v>
      </c>
      <c r="C2849" s="8" t="s">
        <v>33899</v>
      </c>
      <c r="D2849" s="9" t="b">
        <v>0</v>
      </c>
      <c r="E2849" s="9"/>
    </row>
    <row r="2850" ht="15.75" customHeight="1">
      <c r="A2850" s="9" t="s">
        <v>33900</v>
      </c>
      <c r="B2850" s="9" t="s">
        <v>9626</v>
      </c>
      <c r="C2850" s="8" t="s">
        <v>33901</v>
      </c>
      <c r="D2850" s="9" t="b">
        <v>0</v>
      </c>
      <c r="E2850" s="9"/>
    </row>
    <row r="2851" ht="15.75" customHeight="1">
      <c r="A2851" s="9" t="s">
        <v>33902</v>
      </c>
      <c r="B2851" s="9" t="s">
        <v>9626</v>
      </c>
      <c r="C2851" s="8" t="s">
        <v>33903</v>
      </c>
      <c r="D2851" s="9" t="b">
        <v>0</v>
      </c>
      <c r="E2851" s="9"/>
    </row>
    <row r="2852" ht="15.75" customHeight="1">
      <c r="A2852" s="9" t="s">
        <v>33904</v>
      </c>
      <c r="B2852" s="9" t="s">
        <v>9626</v>
      </c>
      <c r="C2852" s="8" t="s">
        <v>33905</v>
      </c>
      <c r="D2852" s="9" t="b">
        <v>1</v>
      </c>
      <c r="E2852" s="9"/>
    </row>
    <row r="2853" ht="15.75" customHeight="1">
      <c r="A2853" s="9" t="s">
        <v>33906</v>
      </c>
      <c r="B2853" s="9" t="s">
        <v>9626</v>
      </c>
      <c r="C2853" s="8" t="s">
        <v>33907</v>
      </c>
      <c r="D2853" s="9" t="b">
        <v>0</v>
      </c>
      <c r="E2853" s="9"/>
    </row>
    <row r="2854" ht="15.75" customHeight="1">
      <c r="A2854" s="9" t="s">
        <v>33908</v>
      </c>
      <c r="B2854" s="9" t="s">
        <v>9626</v>
      </c>
      <c r="C2854" s="8" t="s">
        <v>33909</v>
      </c>
      <c r="D2854" s="9" t="b">
        <v>0</v>
      </c>
      <c r="E2854" s="9"/>
    </row>
    <row r="2855" ht="15.75" customHeight="1">
      <c r="A2855" s="9" t="s">
        <v>33910</v>
      </c>
      <c r="B2855" s="9" t="s">
        <v>9626</v>
      </c>
      <c r="C2855" s="8" t="s">
        <v>33911</v>
      </c>
      <c r="D2855" s="9" t="b">
        <v>0</v>
      </c>
      <c r="E2855" s="9"/>
    </row>
    <row r="2856" ht="15.75" customHeight="1">
      <c r="A2856" s="9" t="s">
        <v>33912</v>
      </c>
      <c r="B2856" s="9" t="s">
        <v>9626</v>
      </c>
      <c r="C2856" s="8" t="s">
        <v>33913</v>
      </c>
      <c r="D2856" s="9" t="b">
        <v>0</v>
      </c>
      <c r="E2856" s="9"/>
    </row>
    <row r="2857" ht="15.75" customHeight="1">
      <c r="A2857" s="9" t="s">
        <v>33914</v>
      </c>
      <c r="B2857" s="9" t="s">
        <v>9626</v>
      </c>
      <c r="C2857" s="8" t="s">
        <v>33915</v>
      </c>
      <c r="D2857" s="9" t="b">
        <v>0</v>
      </c>
      <c r="E2857" s="9"/>
    </row>
    <row r="2858" ht="15.75" customHeight="1">
      <c r="A2858" s="9" t="s">
        <v>33916</v>
      </c>
      <c r="B2858" s="9" t="s">
        <v>10480</v>
      </c>
      <c r="C2858" s="8" t="s">
        <v>33917</v>
      </c>
      <c r="D2858" s="9" t="b">
        <v>0</v>
      </c>
      <c r="E2858" s="9"/>
    </row>
    <row r="2859" ht="15.75" customHeight="1">
      <c r="A2859" s="9" t="s">
        <v>33918</v>
      </c>
      <c r="B2859" s="9" t="s">
        <v>10480</v>
      </c>
      <c r="C2859" s="8" t="s">
        <v>33919</v>
      </c>
      <c r="D2859" s="9" t="b">
        <v>0</v>
      </c>
      <c r="E2859" s="9"/>
    </row>
    <row r="2860" ht="15.75" customHeight="1">
      <c r="A2860" s="9" t="s">
        <v>33920</v>
      </c>
      <c r="B2860" s="9" t="s">
        <v>10480</v>
      </c>
      <c r="C2860" s="8" t="s">
        <v>33921</v>
      </c>
      <c r="D2860" s="9" t="b">
        <v>0</v>
      </c>
      <c r="E2860" s="9"/>
    </row>
    <row r="2861" ht="15.75" customHeight="1">
      <c r="A2861" s="9" t="s">
        <v>33922</v>
      </c>
      <c r="B2861" s="9" t="s">
        <v>12176</v>
      </c>
      <c r="C2861" s="8" t="s">
        <v>33923</v>
      </c>
      <c r="D2861" s="9" t="b">
        <v>0</v>
      </c>
      <c r="E2861" s="9"/>
    </row>
    <row r="2862" ht="15.75" customHeight="1">
      <c r="A2862" s="9" t="s">
        <v>33924</v>
      </c>
      <c r="B2862" s="9" t="s">
        <v>12176</v>
      </c>
      <c r="C2862" s="8" t="s">
        <v>33925</v>
      </c>
      <c r="D2862" s="9" t="b">
        <v>0</v>
      </c>
      <c r="E2862" s="9"/>
    </row>
    <row r="2863" ht="15.75" customHeight="1">
      <c r="A2863" s="52" t="s">
        <v>33926</v>
      </c>
      <c r="B2863" s="9" t="s">
        <v>12176</v>
      </c>
      <c r="C2863" s="8" t="s">
        <v>33927</v>
      </c>
      <c r="D2863" s="9" t="b">
        <v>0</v>
      </c>
      <c r="E2863" s="9"/>
    </row>
    <row r="2864" ht="15.75" customHeight="1">
      <c r="A2864" s="9" t="s">
        <v>33928</v>
      </c>
      <c r="B2864" s="9" t="s">
        <v>12176</v>
      </c>
      <c r="C2864" s="8" t="s">
        <v>33929</v>
      </c>
      <c r="D2864" s="9" t="b">
        <v>0</v>
      </c>
      <c r="E2864" s="9"/>
    </row>
    <row r="2865" ht="15.75" customHeight="1">
      <c r="A2865" s="9" t="s">
        <v>33930</v>
      </c>
      <c r="B2865" s="9" t="s">
        <v>12176</v>
      </c>
      <c r="C2865" s="8" t="s">
        <v>33931</v>
      </c>
      <c r="D2865" s="9" t="b">
        <v>0</v>
      </c>
      <c r="E2865" s="9"/>
    </row>
    <row r="2866" ht="15.75" customHeight="1">
      <c r="A2866" s="9" t="s">
        <v>33932</v>
      </c>
      <c r="B2866" s="9" t="s">
        <v>10482</v>
      </c>
      <c r="C2866" s="8" t="s">
        <v>33933</v>
      </c>
      <c r="D2866" s="9" t="b">
        <v>0</v>
      </c>
      <c r="E2866" s="9"/>
    </row>
    <row r="2867" ht="15.75" customHeight="1">
      <c r="A2867" s="9" t="s">
        <v>33934</v>
      </c>
      <c r="B2867" s="9" t="s">
        <v>10480</v>
      </c>
      <c r="C2867" s="8" t="s">
        <v>33935</v>
      </c>
      <c r="D2867" s="9" t="b">
        <v>0</v>
      </c>
      <c r="E2867" s="9"/>
    </row>
    <row r="2868" ht="15.75" customHeight="1">
      <c r="A2868" s="9" t="s">
        <v>33936</v>
      </c>
      <c r="B2868" s="9" t="s">
        <v>10709</v>
      </c>
      <c r="C2868" s="8" t="s">
        <v>33937</v>
      </c>
      <c r="D2868" s="9" t="b">
        <v>0</v>
      </c>
      <c r="E2868" s="9"/>
    </row>
    <row r="2869" ht="15.75" customHeight="1">
      <c r="A2869" s="52" t="s">
        <v>33938</v>
      </c>
      <c r="B2869" s="9" t="s">
        <v>10709</v>
      </c>
      <c r="C2869" s="8" t="s">
        <v>33939</v>
      </c>
      <c r="D2869" s="9" t="b">
        <v>0</v>
      </c>
      <c r="E2869" s="9"/>
    </row>
    <row r="2870" ht="15.75" customHeight="1">
      <c r="A2870" s="9" t="s">
        <v>33940</v>
      </c>
      <c r="B2870" s="9" t="s">
        <v>10709</v>
      </c>
      <c r="C2870" s="8" t="s">
        <v>33941</v>
      </c>
      <c r="D2870" s="9" t="b">
        <v>0</v>
      </c>
      <c r="E2870" s="9"/>
    </row>
    <row r="2871" ht="15.75" customHeight="1">
      <c r="A2871" s="9" t="s">
        <v>33942</v>
      </c>
      <c r="B2871" s="9" t="s">
        <v>10709</v>
      </c>
      <c r="C2871" s="8" t="s">
        <v>33943</v>
      </c>
      <c r="D2871" s="9" t="b">
        <v>1</v>
      </c>
      <c r="E2871" s="9"/>
    </row>
    <row r="2872" ht="15.75" customHeight="1">
      <c r="A2872" s="9" t="s">
        <v>33944</v>
      </c>
      <c r="B2872" s="9" t="s">
        <v>10709</v>
      </c>
      <c r="C2872" s="8" t="s">
        <v>33945</v>
      </c>
      <c r="D2872" s="9" t="b">
        <v>0</v>
      </c>
      <c r="E2872" s="9"/>
    </row>
    <row r="2873" ht="15.75" customHeight="1">
      <c r="A2873" s="9" t="s">
        <v>33946</v>
      </c>
      <c r="B2873" s="9" t="s">
        <v>10709</v>
      </c>
      <c r="C2873" s="8" t="s">
        <v>33947</v>
      </c>
      <c r="D2873" s="9" t="b">
        <v>0</v>
      </c>
      <c r="E2873" s="9"/>
    </row>
    <row r="2874" ht="15.75" customHeight="1">
      <c r="A2874" s="9" t="s">
        <v>33948</v>
      </c>
      <c r="B2874" s="9" t="s">
        <v>10709</v>
      </c>
      <c r="C2874" s="8" t="s">
        <v>33949</v>
      </c>
      <c r="D2874" s="9" t="b">
        <v>0</v>
      </c>
      <c r="E2874" s="9"/>
    </row>
    <row r="2875" ht="15.75" customHeight="1">
      <c r="A2875" s="52" t="s">
        <v>33950</v>
      </c>
      <c r="B2875" s="9" t="s">
        <v>10475</v>
      </c>
      <c r="C2875" s="8" t="s">
        <v>33951</v>
      </c>
      <c r="D2875" s="9" t="b">
        <v>0</v>
      </c>
      <c r="E2875" s="9" t="s">
        <v>33952</v>
      </c>
    </row>
    <row r="2876" ht="15.75" customHeight="1">
      <c r="A2876" s="9"/>
      <c r="B2876" s="9"/>
      <c r="C2876" s="9"/>
      <c r="D2876" s="9"/>
      <c r="E2876" s="9"/>
    </row>
    <row r="2877" ht="15.75" customHeight="1">
      <c r="A2877" s="9" t="s">
        <v>33953</v>
      </c>
      <c r="B2877" s="9" t="s">
        <v>10475</v>
      </c>
      <c r="C2877" s="8" t="s">
        <v>33954</v>
      </c>
      <c r="D2877" s="9" t="b">
        <v>0</v>
      </c>
      <c r="E2877" s="9" t="s">
        <v>33955</v>
      </c>
    </row>
    <row r="2878" ht="15.75" customHeight="1">
      <c r="A2878" s="9" t="s">
        <v>33956</v>
      </c>
      <c r="B2878" s="9" t="s">
        <v>10475</v>
      </c>
      <c r="C2878" s="8" t="s">
        <v>33957</v>
      </c>
      <c r="D2878" s="9" t="b">
        <v>0</v>
      </c>
      <c r="E2878" s="9" t="s">
        <v>33958</v>
      </c>
    </row>
    <row r="2879" ht="15.75" customHeight="1">
      <c r="A2879" s="9" t="s">
        <v>33959</v>
      </c>
      <c r="B2879" s="9" t="s">
        <v>10475</v>
      </c>
      <c r="C2879" s="8" t="s">
        <v>33960</v>
      </c>
      <c r="D2879" s="9" t="b">
        <v>1</v>
      </c>
      <c r="E2879" s="9" t="s">
        <v>33961</v>
      </c>
    </row>
    <row r="2880" ht="15.75" customHeight="1">
      <c r="A2880" s="9" t="s">
        <v>33962</v>
      </c>
      <c r="B2880" s="9" t="s">
        <v>11921</v>
      </c>
      <c r="C2880" s="8" t="s">
        <v>33963</v>
      </c>
      <c r="D2880" s="9" t="b">
        <v>0</v>
      </c>
      <c r="E2880" s="9" t="s">
        <v>33964</v>
      </c>
    </row>
    <row r="2881" ht="15.75" customHeight="1">
      <c r="A2881" s="9" t="s">
        <v>33965</v>
      </c>
      <c r="B2881" s="9" t="s">
        <v>11921</v>
      </c>
      <c r="C2881" s="8" t="s">
        <v>33966</v>
      </c>
      <c r="D2881" s="9" t="b">
        <v>0</v>
      </c>
      <c r="E2881" s="9" t="s">
        <v>33967</v>
      </c>
    </row>
    <row r="2882" ht="15.75" customHeight="1">
      <c r="A2882" s="9" t="s">
        <v>33968</v>
      </c>
      <c r="B2882" s="9" t="s">
        <v>11921</v>
      </c>
      <c r="C2882" s="8" t="s">
        <v>33969</v>
      </c>
      <c r="D2882" s="9" t="b">
        <v>1</v>
      </c>
      <c r="E2882" s="9"/>
    </row>
    <row r="2883" ht="15.75" customHeight="1">
      <c r="A2883" s="9" t="s">
        <v>33970</v>
      </c>
      <c r="B2883" s="9" t="s">
        <v>10500</v>
      </c>
      <c r="C2883" s="8" t="s">
        <v>33971</v>
      </c>
      <c r="D2883" s="9" t="b">
        <v>0</v>
      </c>
      <c r="E2883" s="9"/>
    </row>
    <row r="2884" ht="15.75" customHeight="1">
      <c r="A2884" s="9" t="s">
        <v>33972</v>
      </c>
      <c r="B2884" s="9" t="s">
        <v>12128</v>
      </c>
      <c r="C2884" s="8" t="s">
        <v>33973</v>
      </c>
      <c r="D2884" s="9" t="b">
        <v>1</v>
      </c>
      <c r="E2884" s="9"/>
    </row>
    <row r="2885" ht="15.75" customHeight="1">
      <c r="A2885" s="9" t="s">
        <v>33974</v>
      </c>
      <c r="B2885" s="9" t="s">
        <v>12128</v>
      </c>
      <c r="C2885" s="8" t="s">
        <v>33975</v>
      </c>
      <c r="D2885" s="9" t="b">
        <v>0</v>
      </c>
      <c r="E2885" s="9"/>
    </row>
    <row r="2886" ht="15.75" customHeight="1">
      <c r="A2886" s="9" t="s">
        <v>33976</v>
      </c>
      <c r="B2886" s="9" t="s">
        <v>12128</v>
      </c>
      <c r="C2886" s="8" t="s">
        <v>33977</v>
      </c>
      <c r="D2886" s="9" t="b">
        <v>0</v>
      </c>
      <c r="E2886" s="9"/>
    </row>
    <row r="2887" ht="15.75" customHeight="1">
      <c r="A2887" s="9" t="s">
        <v>33978</v>
      </c>
      <c r="B2887" s="9" t="s">
        <v>12128</v>
      </c>
      <c r="C2887" s="8" t="s">
        <v>33979</v>
      </c>
      <c r="D2887" s="9" t="b">
        <v>0</v>
      </c>
      <c r="E2887" s="9"/>
    </row>
    <row r="2888" ht="15.75" customHeight="1">
      <c r="A2888" s="9" t="s">
        <v>33980</v>
      </c>
      <c r="B2888" s="9" t="s">
        <v>1530</v>
      </c>
      <c r="C2888" s="8" t="s">
        <v>33981</v>
      </c>
      <c r="D2888" s="9" t="b">
        <v>1</v>
      </c>
      <c r="E2888" s="9"/>
    </row>
    <row r="2889" ht="15.75" customHeight="1">
      <c r="A2889" s="9" t="s">
        <v>33982</v>
      </c>
      <c r="B2889" s="9" t="s">
        <v>10707</v>
      </c>
      <c r="C2889" s="8" t="s">
        <v>33983</v>
      </c>
      <c r="D2889" s="9" t="b">
        <v>0</v>
      </c>
      <c r="E2889" s="9"/>
    </row>
    <row r="2890" ht="15.75" customHeight="1">
      <c r="A2890" s="9" t="s">
        <v>33984</v>
      </c>
      <c r="B2890" s="9" t="s">
        <v>12004</v>
      </c>
      <c r="C2890" s="8" t="s">
        <v>33985</v>
      </c>
      <c r="D2890" s="9" t="b">
        <v>0</v>
      </c>
      <c r="E2890" s="9"/>
    </row>
    <row r="2891" ht="15.75" customHeight="1">
      <c r="A2891" s="9" t="s">
        <v>33986</v>
      </c>
      <c r="B2891" s="9" t="s">
        <v>12004</v>
      </c>
      <c r="C2891" s="8" t="s">
        <v>33987</v>
      </c>
      <c r="D2891" s="9" t="b">
        <v>0</v>
      </c>
      <c r="E2891" s="9"/>
    </row>
    <row r="2892" ht="15.75" customHeight="1">
      <c r="A2892" s="9" t="s">
        <v>33988</v>
      </c>
      <c r="B2892" s="9" t="s">
        <v>12004</v>
      </c>
      <c r="C2892" s="8" t="s">
        <v>33989</v>
      </c>
      <c r="D2892" s="9" t="b">
        <v>1</v>
      </c>
      <c r="E2892" s="9"/>
    </row>
    <row r="2893" ht="15.75" customHeight="1">
      <c r="A2893" s="9" t="s">
        <v>33990</v>
      </c>
      <c r="B2893" s="9" t="s">
        <v>12004</v>
      </c>
      <c r="C2893" s="8" t="s">
        <v>33991</v>
      </c>
      <c r="D2893" s="9" t="b">
        <v>0</v>
      </c>
      <c r="E2893" s="9"/>
    </row>
    <row r="2894" ht="15.75" customHeight="1">
      <c r="A2894" s="9" t="s">
        <v>33992</v>
      </c>
      <c r="B2894" s="9" t="s">
        <v>12004</v>
      </c>
      <c r="C2894" s="8" t="s">
        <v>33993</v>
      </c>
      <c r="D2894" s="9" t="b">
        <v>0</v>
      </c>
      <c r="E2894" s="9"/>
    </row>
    <row r="2895" ht="15.75" customHeight="1">
      <c r="A2895" s="9" t="s">
        <v>33994</v>
      </c>
      <c r="B2895" s="9" t="s">
        <v>12004</v>
      </c>
      <c r="C2895" s="8" t="s">
        <v>33995</v>
      </c>
      <c r="D2895" s="9" t="b">
        <v>0</v>
      </c>
      <c r="E2895" s="9"/>
    </row>
    <row r="2896" ht="15.75" customHeight="1">
      <c r="A2896" s="9" t="s">
        <v>33996</v>
      </c>
      <c r="B2896" s="9" t="s">
        <v>12004</v>
      </c>
      <c r="C2896" s="8" t="s">
        <v>33997</v>
      </c>
      <c r="D2896" s="9" t="b">
        <v>0</v>
      </c>
      <c r="E2896" s="9"/>
    </row>
    <row r="2897" ht="15.75" customHeight="1">
      <c r="A2897" s="9" t="s">
        <v>33998</v>
      </c>
      <c r="B2897" s="9" t="s">
        <v>12004</v>
      </c>
      <c r="C2897" s="8" t="s">
        <v>33999</v>
      </c>
      <c r="D2897" s="9" t="b">
        <v>0</v>
      </c>
      <c r="E2897" s="9"/>
    </row>
    <row r="2898" ht="15.75" customHeight="1">
      <c r="A2898" s="9" t="s">
        <v>34000</v>
      </c>
      <c r="B2898" s="9" t="s">
        <v>12004</v>
      </c>
      <c r="C2898" s="8" t="s">
        <v>34001</v>
      </c>
      <c r="D2898" s="9" t="b">
        <v>0</v>
      </c>
      <c r="E2898" s="9"/>
    </row>
    <row r="2899" ht="15.75" customHeight="1">
      <c r="A2899" s="9" t="s">
        <v>34002</v>
      </c>
      <c r="B2899" s="9" t="s">
        <v>12004</v>
      </c>
      <c r="C2899" s="8" t="s">
        <v>34003</v>
      </c>
      <c r="D2899" s="9" t="b">
        <v>0</v>
      </c>
      <c r="E2899" s="9"/>
    </row>
    <row r="2900" ht="15.75" customHeight="1">
      <c r="A2900" s="9" t="s">
        <v>34004</v>
      </c>
      <c r="B2900" s="9" t="s">
        <v>11358</v>
      </c>
      <c r="C2900" s="8" t="s">
        <v>34005</v>
      </c>
      <c r="D2900" s="9" t="b">
        <v>0</v>
      </c>
      <c r="E2900" s="9"/>
    </row>
    <row r="2901" ht="15.75" customHeight="1">
      <c r="A2901" s="52" t="s">
        <v>34006</v>
      </c>
      <c r="B2901" s="9" t="s">
        <v>11358</v>
      </c>
      <c r="C2901" s="8" t="s">
        <v>34007</v>
      </c>
      <c r="D2901" s="9" t="b">
        <v>0</v>
      </c>
      <c r="E2901" s="9"/>
    </row>
    <row r="2902" ht="15.75" customHeight="1">
      <c r="A2902" s="9" t="s">
        <v>34008</v>
      </c>
      <c r="B2902" s="9" t="s">
        <v>11358</v>
      </c>
      <c r="C2902" s="8" t="s">
        <v>34009</v>
      </c>
      <c r="D2902" s="9" t="b">
        <v>0</v>
      </c>
      <c r="E2902" s="9"/>
    </row>
    <row r="2903" ht="15.75" customHeight="1">
      <c r="A2903" s="9" t="s">
        <v>34010</v>
      </c>
      <c r="B2903" s="9" t="s">
        <v>11358</v>
      </c>
      <c r="C2903" s="8" t="s">
        <v>34011</v>
      </c>
      <c r="D2903" s="9" t="b">
        <v>1</v>
      </c>
      <c r="E2903" s="9"/>
    </row>
    <row r="2904" ht="15.75" customHeight="1">
      <c r="A2904" s="9" t="s">
        <v>34012</v>
      </c>
      <c r="B2904" s="9" t="s">
        <v>11358</v>
      </c>
      <c r="C2904" s="8" t="s">
        <v>34013</v>
      </c>
      <c r="D2904" s="9" t="b">
        <v>0</v>
      </c>
      <c r="E2904" s="9"/>
    </row>
    <row r="2905" ht="15.75" customHeight="1">
      <c r="A2905" s="9" t="s">
        <v>34014</v>
      </c>
      <c r="B2905" s="9" t="s">
        <v>1546</v>
      </c>
      <c r="C2905" s="8" t="s">
        <v>34015</v>
      </c>
      <c r="D2905" s="9" t="b">
        <v>0</v>
      </c>
      <c r="E2905" s="9"/>
    </row>
    <row r="2906" ht="15.75" customHeight="1">
      <c r="A2906" s="9" t="s">
        <v>34016</v>
      </c>
      <c r="B2906" s="9" t="s">
        <v>1546</v>
      </c>
      <c r="C2906" s="8" t="s">
        <v>34017</v>
      </c>
      <c r="D2906" s="9" t="b">
        <v>0</v>
      </c>
      <c r="E2906" s="9"/>
    </row>
    <row r="2907" ht="15.75" customHeight="1">
      <c r="A2907" s="9" t="s">
        <v>34018</v>
      </c>
      <c r="B2907" s="9" t="s">
        <v>1546</v>
      </c>
      <c r="C2907" s="8" t="s">
        <v>34019</v>
      </c>
      <c r="D2907" s="9" t="b">
        <v>0</v>
      </c>
      <c r="E2907" s="9"/>
    </row>
    <row r="2908" ht="15.75" customHeight="1">
      <c r="A2908" s="9" t="s">
        <v>34020</v>
      </c>
      <c r="B2908" s="9" t="s">
        <v>1546</v>
      </c>
      <c r="C2908" s="8" t="s">
        <v>34021</v>
      </c>
      <c r="D2908" s="9" t="b">
        <v>0</v>
      </c>
      <c r="E2908" s="9"/>
    </row>
    <row r="2909" ht="15.75" customHeight="1">
      <c r="A2909" s="9" t="s">
        <v>34022</v>
      </c>
      <c r="B2909" s="9" t="s">
        <v>1546</v>
      </c>
      <c r="C2909" s="8" t="s">
        <v>34023</v>
      </c>
      <c r="D2909" s="9" t="b">
        <v>0</v>
      </c>
      <c r="E2909" s="9"/>
    </row>
    <row r="2910" ht="15.75" customHeight="1">
      <c r="A2910" s="9" t="s">
        <v>34024</v>
      </c>
      <c r="B2910" s="9" t="s">
        <v>1546</v>
      </c>
      <c r="C2910" s="8" t="s">
        <v>34025</v>
      </c>
      <c r="D2910" s="9" t="b">
        <v>0</v>
      </c>
      <c r="E2910" s="9"/>
    </row>
    <row r="2911" ht="15.75" customHeight="1">
      <c r="A2911" s="52" t="s">
        <v>34026</v>
      </c>
      <c r="B2911" s="9" t="s">
        <v>1546</v>
      </c>
      <c r="C2911" s="8" t="s">
        <v>34027</v>
      </c>
      <c r="D2911" s="9" t="b">
        <v>0</v>
      </c>
      <c r="E2911" s="9"/>
    </row>
    <row r="2912" ht="15.75" customHeight="1">
      <c r="A2912" s="9" t="s">
        <v>34028</v>
      </c>
      <c r="B2912" s="9" t="s">
        <v>12041</v>
      </c>
      <c r="C2912" s="8" t="s">
        <v>34029</v>
      </c>
      <c r="D2912" s="9" t="b">
        <v>1</v>
      </c>
      <c r="E2912" s="9"/>
    </row>
    <row r="2913" ht="15.75" customHeight="1">
      <c r="A2913" s="9" t="s">
        <v>34030</v>
      </c>
      <c r="B2913" s="9" t="s">
        <v>12041</v>
      </c>
      <c r="C2913" s="8" t="s">
        <v>34031</v>
      </c>
      <c r="D2913" s="9" t="b">
        <v>0</v>
      </c>
      <c r="E2913" s="9"/>
    </row>
    <row r="2914" ht="15.75" customHeight="1">
      <c r="A2914" s="52" t="s">
        <v>34032</v>
      </c>
      <c r="B2914" s="9" t="s">
        <v>12041</v>
      </c>
      <c r="C2914" s="8" t="s">
        <v>34033</v>
      </c>
      <c r="D2914" s="9" t="b">
        <v>0</v>
      </c>
      <c r="E2914" s="9"/>
    </row>
    <row r="2915" ht="15.75" customHeight="1">
      <c r="A2915" s="9" t="s">
        <v>34034</v>
      </c>
      <c r="B2915" s="9" t="s">
        <v>12041</v>
      </c>
      <c r="C2915" s="8" t="s">
        <v>34035</v>
      </c>
      <c r="D2915" s="9" t="b">
        <v>0</v>
      </c>
      <c r="E2915" s="9"/>
    </row>
    <row r="2916" ht="15.75" customHeight="1">
      <c r="A2916" s="9" t="s">
        <v>34036</v>
      </c>
      <c r="B2916" s="9" t="s">
        <v>12041</v>
      </c>
      <c r="C2916" s="8" t="s">
        <v>34037</v>
      </c>
      <c r="D2916" s="9" t="b">
        <v>0</v>
      </c>
      <c r="E2916" s="9"/>
    </row>
    <row r="2917" ht="15.75" customHeight="1">
      <c r="A2917" s="9" t="s">
        <v>34038</v>
      </c>
      <c r="B2917" s="9" t="s">
        <v>11413</v>
      </c>
      <c r="C2917" s="8" t="s">
        <v>34039</v>
      </c>
      <c r="D2917" s="9" t="b">
        <v>1</v>
      </c>
      <c r="E2917" s="9"/>
    </row>
    <row r="2918" ht="15.75" customHeight="1">
      <c r="A2918" s="9" t="s">
        <v>34040</v>
      </c>
      <c r="B2918" s="9" t="s">
        <v>11413</v>
      </c>
      <c r="C2918" s="8" t="s">
        <v>34041</v>
      </c>
      <c r="D2918" s="9" t="b">
        <v>0</v>
      </c>
      <c r="E2918" s="9"/>
    </row>
    <row r="2919" ht="15.75" customHeight="1">
      <c r="A2919" s="9" t="s">
        <v>34042</v>
      </c>
      <c r="B2919" s="9" t="s">
        <v>11413</v>
      </c>
      <c r="C2919" s="8" t="s">
        <v>34043</v>
      </c>
      <c r="D2919" s="9" t="b">
        <v>0</v>
      </c>
      <c r="E2919" s="9"/>
    </row>
    <row r="2920" ht="15.75" customHeight="1">
      <c r="A2920" s="9" t="s">
        <v>34044</v>
      </c>
      <c r="B2920" s="9" t="s">
        <v>11413</v>
      </c>
      <c r="C2920" s="8" t="s">
        <v>34045</v>
      </c>
      <c r="D2920" s="9" t="b">
        <v>0</v>
      </c>
      <c r="E2920" s="9"/>
    </row>
    <row r="2921" ht="15.75" customHeight="1">
      <c r="A2921" s="9" t="s">
        <v>34046</v>
      </c>
      <c r="B2921" s="9" t="s">
        <v>11413</v>
      </c>
      <c r="C2921" s="8" t="s">
        <v>34047</v>
      </c>
      <c r="D2921" s="9" t="b">
        <v>0</v>
      </c>
      <c r="E2921" s="9"/>
    </row>
    <row r="2922" ht="15.75" customHeight="1">
      <c r="A2922" s="9" t="s">
        <v>34048</v>
      </c>
      <c r="B2922" s="9" t="s">
        <v>12118</v>
      </c>
      <c r="C2922" s="8" t="s">
        <v>34049</v>
      </c>
      <c r="D2922" s="9" t="b">
        <v>0</v>
      </c>
      <c r="E2922" s="9"/>
    </row>
    <row r="2923" ht="15.75" customHeight="1">
      <c r="A2923" s="9" t="s">
        <v>34050</v>
      </c>
      <c r="B2923" s="9" t="s">
        <v>10552</v>
      </c>
      <c r="C2923" s="8" t="s">
        <v>34051</v>
      </c>
      <c r="D2923" s="9" t="b">
        <v>0</v>
      </c>
      <c r="E2923" s="9"/>
    </row>
    <row r="2924" ht="15.75" customHeight="1">
      <c r="A2924" s="9" t="s">
        <v>34052</v>
      </c>
      <c r="B2924" s="9" t="s">
        <v>10552</v>
      </c>
      <c r="C2924" s="8" t="s">
        <v>34053</v>
      </c>
      <c r="D2924" s="9" t="b">
        <v>0</v>
      </c>
      <c r="E2924" s="9"/>
    </row>
    <row r="2925" ht="15.75" customHeight="1">
      <c r="A2925" s="9" t="s">
        <v>34054</v>
      </c>
      <c r="B2925" s="9" t="s">
        <v>10552</v>
      </c>
      <c r="C2925" s="8" t="s">
        <v>34055</v>
      </c>
      <c r="D2925" s="9" t="b">
        <v>0</v>
      </c>
      <c r="E2925" s="9"/>
    </row>
    <row r="2926" ht="15.75" customHeight="1">
      <c r="A2926" s="9" t="s">
        <v>34056</v>
      </c>
      <c r="B2926" s="9" t="s">
        <v>10552</v>
      </c>
      <c r="C2926" s="8" t="s">
        <v>34057</v>
      </c>
      <c r="D2926" s="9" t="b">
        <v>0</v>
      </c>
      <c r="E2926" s="9"/>
    </row>
    <row r="2927" ht="15.75" customHeight="1">
      <c r="A2927" s="9" t="s">
        <v>34058</v>
      </c>
      <c r="B2927" s="9" t="s">
        <v>10552</v>
      </c>
      <c r="C2927" s="8" t="s">
        <v>34059</v>
      </c>
      <c r="D2927" s="9" t="b">
        <v>1</v>
      </c>
      <c r="E2927" s="9"/>
    </row>
    <row r="2928" ht="15.75" customHeight="1">
      <c r="A2928" s="9" t="s">
        <v>34060</v>
      </c>
      <c r="B2928" s="9" t="s">
        <v>10552</v>
      </c>
      <c r="C2928" s="8" t="s">
        <v>34061</v>
      </c>
      <c r="D2928" s="9" t="b">
        <v>0</v>
      </c>
      <c r="E2928" s="9"/>
    </row>
    <row r="2929" ht="15.75" customHeight="1">
      <c r="A2929" s="9" t="s">
        <v>34062</v>
      </c>
      <c r="B2929" s="9" t="s">
        <v>10552</v>
      </c>
      <c r="C2929" s="8" t="s">
        <v>34063</v>
      </c>
      <c r="D2929" s="9" t="b">
        <v>0</v>
      </c>
      <c r="E2929" s="9"/>
    </row>
    <row r="2930" ht="15.75" customHeight="1">
      <c r="A2930" s="9" t="s">
        <v>34064</v>
      </c>
      <c r="B2930" s="9" t="s">
        <v>2902</v>
      </c>
      <c r="C2930" s="8" t="s">
        <v>34065</v>
      </c>
      <c r="D2930" s="9" t="b">
        <v>0</v>
      </c>
      <c r="E2930" s="9"/>
    </row>
    <row r="2931" ht="15.75" customHeight="1">
      <c r="A2931" s="9" t="s">
        <v>34066</v>
      </c>
      <c r="B2931" s="9" t="s">
        <v>2902</v>
      </c>
      <c r="C2931" s="8" t="s">
        <v>34067</v>
      </c>
      <c r="D2931" s="9" t="b">
        <v>0</v>
      </c>
      <c r="E2931" s="9"/>
    </row>
    <row r="2932" ht="15.75" customHeight="1">
      <c r="A2932" s="9" t="s">
        <v>34068</v>
      </c>
      <c r="B2932" s="9" t="s">
        <v>2902</v>
      </c>
      <c r="C2932" s="8" t="s">
        <v>34069</v>
      </c>
      <c r="D2932" s="9" t="b">
        <v>0</v>
      </c>
      <c r="E2932" s="9"/>
    </row>
    <row r="2933" ht="15.75" customHeight="1">
      <c r="A2933" s="9" t="s">
        <v>34070</v>
      </c>
      <c r="B2933" s="9" t="s">
        <v>2902</v>
      </c>
      <c r="C2933" s="8" t="s">
        <v>34071</v>
      </c>
      <c r="D2933" s="9" t="b">
        <v>0</v>
      </c>
      <c r="E2933" s="9"/>
    </row>
    <row r="2934" ht="15.75" customHeight="1">
      <c r="A2934" s="9" t="s">
        <v>34072</v>
      </c>
      <c r="B2934" s="9" t="s">
        <v>2902</v>
      </c>
      <c r="C2934" s="8" t="s">
        <v>34073</v>
      </c>
      <c r="D2934" s="9" t="b">
        <v>0</v>
      </c>
      <c r="E2934" s="9"/>
    </row>
    <row r="2935" ht="15.75" customHeight="1">
      <c r="A2935" s="9"/>
      <c r="B2935" s="9"/>
      <c r="C2935" s="9"/>
      <c r="D2935" s="9"/>
      <c r="E2935" s="9"/>
    </row>
    <row r="2936" ht="15.75" customHeight="1">
      <c r="A2936" s="9" t="s">
        <v>34074</v>
      </c>
      <c r="B2936" s="9" t="s">
        <v>2902</v>
      </c>
      <c r="C2936" s="8" t="s">
        <v>34075</v>
      </c>
      <c r="D2936" s="9" t="b">
        <v>0</v>
      </c>
      <c r="E2936" s="9"/>
    </row>
    <row r="2937" ht="15.75" customHeight="1">
      <c r="A2937" s="52" t="s">
        <v>34076</v>
      </c>
      <c r="B2937" s="9" t="s">
        <v>2902</v>
      </c>
      <c r="C2937" s="8" t="s">
        <v>34077</v>
      </c>
      <c r="D2937" s="9" t="b">
        <v>0</v>
      </c>
      <c r="E2937" s="9"/>
    </row>
    <row r="2938" ht="15.75" customHeight="1">
      <c r="A2938" s="9"/>
      <c r="B2938" s="9"/>
      <c r="C2938" s="9"/>
      <c r="D2938" s="9"/>
      <c r="E2938" s="9"/>
    </row>
    <row r="2939" ht="15.75" customHeight="1">
      <c r="A2939" s="9" t="s">
        <v>34078</v>
      </c>
      <c r="B2939" s="9" t="s">
        <v>2902</v>
      </c>
      <c r="C2939" s="8" t="s">
        <v>34079</v>
      </c>
      <c r="D2939" s="9" t="b">
        <v>0</v>
      </c>
      <c r="E2939" s="9"/>
    </row>
    <row r="2940" ht="15.75" customHeight="1">
      <c r="A2940" s="9" t="s">
        <v>34080</v>
      </c>
      <c r="B2940" s="9" t="s">
        <v>2902</v>
      </c>
      <c r="C2940" s="8" t="s">
        <v>34081</v>
      </c>
      <c r="D2940" s="9" t="b">
        <v>0</v>
      </c>
      <c r="E2940" s="9"/>
    </row>
    <row r="2941" ht="15.75" customHeight="1">
      <c r="A2941" s="52" t="s">
        <v>34082</v>
      </c>
      <c r="B2941" s="9" t="s">
        <v>2902</v>
      </c>
      <c r="C2941" s="8" t="s">
        <v>34083</v>
      </c>
      <c r="D2941" s="9" t="b">
        <v>0</v>
      </c>
      <c r="E2941" s="9"/>
    </row>
    <row r="2942" ht="15.75" customHeight="1">
      <c r="A2942" s="9" t="s">
        <v>34084</v>
      </c>
      <c r="B2942" s="9" t="s">
        <v>2902</v>
      </c>
      <c r="C2942" s="8" t="s">
        <v>34085</v>
      </c>
      <c r="D2942" s="9" t="b">
        <v>0</v>
      </c>
      <c r="E2942" s="9"/>
    </row>
    <row r="2943" ht="15.75" customHeight="1">
      <c r="A2943" s="52" t="s">
        <v>34086</v>
      </c>
      <c r="B2943" s="9" t="s">
        <v>2902</v>
      </c>
      <c r="C2943" s="8" t="s">
        <v>34087</v>
      </c>
      <c r="D2943" s="9" t="b">
        <v>0</v>
      </c>
      <c r="E2943" s="9"/>
    </row>
    <row r="2944" ht="15.75" customHeight="1">
      <c r="A2944" s="52" t="s">
        <v>34088</v>
      </c>
      <c r="B2944" s="9" t="s">
        <v>2902</v>
      </c>
      <c r="C2944" s="8" t="s">
        <v>34089</v>
      </c>
      <c r="D2944" s="9" t="b">
        <v>0</v>
      </c>
      <c r="E2944" s="9"/>
    </row>
    <row r="2945" ht="15.75" customHeight="1">
      <c r="A2945" s="9" t="s">
        <v>34090</v>
      </c>
      <c r="B2945" s="9" t="s">
        <v>2902</v>
      </c>
      <c r="C2945" s="8" t="s">
        <v>34091</v>
      </c>
      <c r="D2945" s="9" t="b">
        <v>0</v>
      </c>
      <c r="E2945" s="9"/>
    </row>
    <row r="2946" ht="15.75" customHeight="1">
      <c r="A2946" s="52" t="s">
        <v>34092</v>
      </c>
      <c r="B2946" s="9" t="s">
        <v>2902</v>
      </c>
      <c r="C2946" s="8" t="s">
        <v>34093</v>
      </c>
      <c r="D2946" s="9" t="b">
        <v>0</v>
      </c>
      <c r="E2946" s="9"/>
    </row>
    <row r="2947" ht="15.75" customHeight="1">
      <c r="A2947" s="9" t="s">
        <v>34094</v>
      </c>
      <c r="B2947" s="9" t="s">
        <v>2902</v>
      </c>
      <c r="C2947" s="8" t="s">
        <v>34095</v>
      </c>
      <c r="D2947" s="9" t="b">
        <v>0</v>
      </c>
      <c r="E2947" s="9"/>
    </row>
    <row r="2948" ht="15.75" customHeight="1">
      <c r="A2948" s="9" t="s">
        <v>34096</v>
      </c>
      <c r="B2948" s="9" t="s">
        <v>2902</v>
      </c>
      <c r="C2948" s="8" t="s">
        <v>34097</v>
      </c>
      <c r="D2948" s="9" t="b">
        <v>0</v>
      </c>
      <c r="E2948" s="9"/>
    </row>
    <row r="2949" ht="15.75" customHeight="1">
      <c r="A2949" s="9" t="s">
        <v>34098</v>
      </c>
      <c r="B2949" s="9" t="s">
        <v>2902</v>
      </c>
      <c r="C2949" s="8" t="s">
        <v>34099</v>
      </c>
      <c r="D2949" s="9" t="b">
        <v>0</v>
      </c>
      <c r="E2949" s="9"/>
    </row>
    <row r="2950" ht="15.75" customHeight="1">
      <c r="A2950" s="9" t="s">
        <v>34100</v>
      </c>
      <c r="B2950" s="9" t="s">
        <v>2902</v>
      </c>
      <c r="C2950" s="8" t="s">
        <v>34101</v>
      </c>
      <c r="D2950" s="9" t="b">
        <v>0</v>
      </c>
      <c r="E2950" s="9"/>
    </row>
    <row r="2951" ht="15.75" customHeight="1">
      <c r="A2951" s="9" t="s">
        <v>34102</v>
      </c>
      <c r="B2951" s="9" t="s">
        <v>2902</v>
      </c>
      <c r="C2951" s="8" t="s">
        <v>34103</v>
      </c>
      <c r="D2951" s="9" t="b">
        <v>0</v>
      </c>
      <c r="E2951" s="9"/>
    </row>
    <row r="2952" ht="15.75" customHeight="1">
      <c r="A2952" s="9" t="s">
        <v>34104</v>
      </c>
      <c r="B2952" s="9" t="s">
        <v>2902</v>
      </c>
      <c r="C2952" s="8" t="s">
        <v>34105</v>
      </c>
      <c r="D2952" s="9" t="b">
        <v>0</v>
      </c>
      <c r="E2952" s="9"/>
    </row>
    <row r="2953" ht="15.75" customHeight="1">
      <c r="A2953" s="9" t="s">
        <v>34106</v>
      </c>
      <c r="B2953" s="9" t="s">
        <v>2902</v>
      </c>
      <c r="C2953" s="8" t="s">
        <v>34107</v>
      </c>
      <c r="D2953" s="9" t="b">
        <v>0</v>
      </c>
      <c r="E2953" s="9"/>
    </row>
    <row r="2954" ht="15.75" customHeight="1">
      <c r="A2954" s="9" t="s">
        <v>34108</v>
      </c>
      <c r="B2954" s="9" t="s">
        <v>2902</v>
      </c>
      <c r="C2954" s="8" t="s">
        <v>34109</v>
      </c>
      <c r="D2954" s="9" t="b">
        <v>0</v>
      </c>
      <c r="E2954" s="9"/>
    </row>
    <row r="2955" ht="15.75" customHeight="1">
      <c r="A2955" s="9" t="s">
        <v>34110</v>
      </c>
      <c r="B2955" s="9" t="s">
        <v>2902</v>
      </c>
      <c r="C2955" s="8" t="s">
        <v>34111</v>
      </c>
      <c r="D2955" s="9" t="b">
        <v>0</v>
      </c>
      <c r="E2955" s="9"/>
    </row>
    <row r="2956" ht="15.75" customHeight="1">
      <c r="A2956" s="9" t="s">
        <v>34112</v>
      </c>
      <c r="B2956" s="9" t="s">
        <v>2902</v>
      </c>
      <c r="C2956" s="8" t="s">
        <v>34113</v>
      </c>
      <c r="D2956" s="9" t="b">
        <v>0</v>
      </c>
      <c r="E2956" s="9"/>
    </row>
    <row r="2957" ht="15.75" customHeight="1">
      <c r="A2957" s="9" t="s">
        <v>34114</v>
      </c>
      <c r="B2957" s="9" t="s">
        <v>9801</v>
      </c>
      <c r="C2957" s="8" t="s">
        <v>34115</v>
      </c>
      <c r="D2957" s="9" t="b">
        <v>0</v>
      </c>
      <c r="E2957" s="9"/>
    </row>
    <row r="2958" ht="15.75" customHeight="1">
      <c r="A2958" s="9" t="s">
        <v>34116</v>
      </c>
      <c r="B2958" s="9" t="s">
        <v>9801</v>
      </c>
      <c r="C2958" s="8" t="s">
        <v>34117</v>
      </c>
      <c r="D2958" s="9" t="b">
        <v>0</v>
      </c>
      <c r="E2958" s="9"/>
    </row>
    <row r="2959" ht="15.75" customHeight="1">
      <c r="A2959" s="9" t="s">
        <v>34118</v>
      </c>
      <c r="B2959" s="9" t="s">
        <v>9801</v>
      </c>
      <c r="C2959" s="8" t="s">
        <v>34119</v>
      </c>
      <c r="D2959" s="9" t="b">
        <v>0</v>
      </c>
      <c r="E2959" s="9"/>
    </row>
    <row r="2960" ht="15.75" customHeight="1">
      <c r="A2960" s="9" t="s">
        <v>34120</v>
      </c>
      <c r="B2960" s="9" t="s">
        <v>9801</v>
      </c>
      <c r="C2960" s="8" t="s">
        <v>34121</v>
      </c>
      <c r="D2960" s="9" t="b">
        <v>0</v>
      </c>
      <c r="E2960" s="9"/>
    </row>
    <row r="2961" ht="15.75" customHeight="1">
      <c r="A2961" s="9" t="s">
        <v>34122</v>
      </c>
      <c r="B2961" s="9" t="s">
        <v>9801</v>
      </c>
      <c r="C2961" s="8" t="s">
        <v>34123</v>
      </c>
      <c r="D2961" s="9" t="b">
        <v>0</v>
      </c>
      <c r="E2961" s="9"/>
    </row>
    <row r="2962" ht="15.75" customHeight="1">
      <c r="A2962" s="9" t="s">
        <v>34124</v>
      </c>
      <c r="B2962" s="9" t="s">
        <v>8351</v>
      </c>
      <c r="C2962" s="8" t="s">
        <v>34125</v>
      </c>
      <c r="D2962" s="9" t="b">
        <v>0</v>
      </c>
      <c r="E2962" s="9"/>
    </row>
    <row r="2963" ht="15.75" customHeight="1">
      <c r="A2963" s="9" t="s">
        <v>34126</v>
      </c>
      <c r="B2963" s="9" t="s">
        <v>270</v>
      </c>
      <c r="C2963" s="8" t="s">
        <v>34127</v>
      </c>
      <c r="D2963" s="9" t="b">
        <v>0</v>
      </c>
      <c r="E2963" s="9"/>
    </row>
    <row r="2964" ht="15.75" customHeight="1">
      <c r="A2964" s="9" t="s">
        <v>34128</v>
      </c>
      <c r="B2964" s="9" t="s">
        <v>270</v>
      </c>
      <c r="C2964" s="8" t="s">
        <v>34129</v>
      </c>
      <c r="D2964" s="9" t="b">
        <v>0</v>
      </c>
      <c r="E2964" s="9"/>
    </row>
    <row r="2965" ht="15.75" customHeight="1">
      <c r="A2965" s="9" t="s">
        <v>34130</v>
      </c>
      <c r="B2965" s="9" t="s">
        <v>270</v>
      </c>
      <c r="C2965" s="8" t="s">
        <v>34131</v>
      </c>
      <c r="D2965" s="9" t="b">
        <v>0</v>
      </c>
      <c r="E2965" s="9"/>
    </row>
    <row r="2966" ht="15.75" customHeight="1">
      <c r="A2966" s="9" t="s">
        <v>34132</v>
      </c>
      <c r="B2966" s="9" t="s">
        <v>270</v>
      </c>
      <c r="C2966" s="8" t="s">
        <v>34133</v>
      </c>
      <c r="D2966" s="9" t="b">
        <v>0</v>
      </c>
      <c r="E2966" s="9" t="s">
        <v>34134</v>
      </c>
    </row>
    <row r="2967" ht="15.75" customHeight="1">
      <c r="A2967" s="9" t="s">
        <v>34135</v>
      </c>
      <c r="B2967" s="9" t="s">
        <v>8578</v>
      </c>
      <c r="C2967" s="8" t="s">
        <v>34136</v>
      </c>
      <c r="D2967" s="9" t="b">
        <v>1</v>
      </c>
      <c r="E2967" s="9"/>
    </row>
    <row r="2968" ht="15.75" customHeight="1">
      <c r="A2968" s="9" t="s">
        <v>34137</v>
      </c>
      <c r="B2968" s="9" t="s">
        <v>8578</v>
      </c>
      <c r="C2968" s="8" t="s">
        <v>34138</v>
      </c>
      <c r="D2968" s="9" t="b">
        <v>0</v>
      </c>
      <c r="E2968" s="9"/>
    </row>
    <row r="2969" ht="15.75" customHeight="1">
      <c r="A2969" s="9" t="s">
        <v>34139</v>
      </c>
      <c r="B2969" s="9" t="s">
        <v>8578</v>
      </c>
      <c r="C2969" s="8" t="s">
        <v>34140</v>
      </c>
      <c r="D2969" s="9" t="b">
        <v>0</v>
      </c>
      <c r="E2969" s="9"/>
    </row>
    <row r="2970" ht="15.75" customHeight="1">
      <c r="A2970" s="9" t="s">
        <v>34141</v>
      </c>
      <c r="B2970" s="9" t="s">
        <v>8578</v>
      </c>
      <c r="C2970" s="8" t="s">
        <v>34142</v>
      </c>
      <c r="D2970" s="9" t="b">
        <v>0</v>
      </c>
      <c r="E2970" s="9"/>
    </row>
    <row r="2971" ht="15.75" customHeight="1">
      <c r="A2971" s="9" t="s">
        <v>34143</v>
      </c>
      <c r="B2971" s="9" t="s">
        <v>8578</v>
      </c>
      <c r="C2971" s="8" t="s">
        <v>34144</v>
      </c>
      <c r="D2971" s="9" t="b">
        <v>0</v>
      </c>
      <c r="E2971" s="9"/>
    </row>
    <row r="2972" ht="15.75" customHeight="1">
      <c r="A2972" s="9" t="s">
        <v>34145</v>
      </c>
      <c r="B2972" s="9" t="s">
        <v>9411</v>
      </c>
      <c r="C2972" s="8" t="s">
        <v>34146</v>
      </c>
      <c r="D2972" s="9" t="b">
        <v>1</v>
      </c>
      <c r="E2972" s="9"/>
    </row>
    <row r="2973" ht="15.75" customHeight="1">
      <c r="A2973" s="9" t="s">
        <v>34147</v>
      </c>
      <c r="B2973" s="9" t="s">
        <v>9411</v>
      </c>
      <c r="C2973" s="8" t="s">
        <v>34148</v>
      </c>
      <c r="D2973" s="9" t="b">
        <v>0</v>
      </c>
      <c r="E2973" s="9"/>
    </row>
    <row r="2974" ht="15.75" customHeight="1">
      <c r="A2974" s="9" t="s">
        <v>34149</v>
      </c>
      <c r="B2974" s="9" t="s">
        <v>9411</v>
      </c>
      <c r="C2974" s="8" t="s">
        <v>34150</v>
      </c>
      <c r="D2974" s="9" t="b">
        <v>0</v>
      </c>
      <c r="E2974" s="9"/>
    </row>
    <row r="2975" ht="15.75" customHeight="1">
      <c r="A2975" s="9" t="s">
        <v>34151</v>
      </c>
      <c r="B2975" s="9" t="s">
        <v>9411</v>
      </c>
      <c r="C2975" s="8" t="s">
        <v>34152</v>
      </c>
      <c r="D2975" s="9" t="b">
        <v>0</v>
      </c>
      <c r="E2975" s="9"/>
    </row>
    <row r="2976" ht="15.75" customHeight="1">
      <c r="A2976" s="52" t="s">
        <v>34153</v>
      </c>
      <c r="B2976" s="9" t="s">
        <v>9411</v>
      </c>
      <c r="C2976" s="8" t="s">
        <v>34154</v>
      </c>
      <c r="D2976" s="9" t="b">
        <v>0</v>
      </c>
      <c r="E2976" s="9"/>
    </row>
    <row r="2977" ht="15.75" customHeight="1">
      <c r="A2977" s="9" t="s">
        <v>34155</v>
      </c>
      <c r="B2977" s="9" t="s">
        <v>8291</v>
      </c>
      <c r="C2977" s="8" t="s">
        <v>34156</v>
      </c>
      <c r="D2977" s="9" t="b">
        <v>1</v>
      </c>
      <c r="E2977" s="9"/>
    </row>
    <row r="2978" ht="15.75" customHeight="1">
      <c r="A2978" s="9" t="s">
        <v>34157</v>
      </c>
      <c r="B2978" s="9" t="s">
        <v>8291</v>
      </c>
      <c r="C2978" s="8" t="s">
        <v>34158</v>
      </c>
      <c r="D2978" s="9" t="b">
        <v>0</v>
      </c>
      <c r="E2978" s="9"/>
    </row>
    <row r="2979" ht="15.75" customHeight="1">
      <c r="A2979" s="9" t="s">
        <v>34159</v>
      </c>
      <c r="B2979" s="9" t="s">
        <v>8291</v>
      </c>
      <c r="C2979" s="8" t="s">
        <v>34160</v>
      </c>
      <c r="D2979" s="9" t="b">
        <v>0</v>
      </c>
      <c r="E2979" s="9"/>
    </row>
    <row r="2980" ht="15.75" customHeight="1">
      <c r="A2980" s="9" t="s">
        <v>34161</v>
      </c>
      <c r="B2980" s="9" t="s">
        <v>8291</v>
      </c>
      <c r="C2980" s="8" t="s">
        <v>34162</v>
      </c>
      <c r="D2980" s="9" t="b">
        <v>0</v>
      </c>
      <c r="E2980" s="9"/>
    </row>
    <row r="2981" ht="15.75" customHeight="1">
      <c r="A2981" s="9" t="s">
        <v>34163</v>
      </c>
      <c r="B2981" s="9" t="s">
        <v>4011</v>
      </c>
      <c r="C2981" s="8" t="s">
        <v>34164</v>
      </c>
      <c r="D2981" s="9" t="b">
        <v>0</v>
      </c>
      <c r="E2981" s="9"/>
    </row>
    <row r="2982" ht="15.75" customHeight="1">
      <c r="A2982" s="9" t="s">
        <v>34165</v>
      </c>
      <c r="B2982" s="9" t="s">
        <v>4011</v>
      </c>
      <c r="C2982" s="8" t="s">
        <v>34166</v>
      </c>
      <c r="D2982" s="9" t="b">
        <v>0</v>
      </c>
      <c r="E2982" s="9"/>
    </row>
    <row r="2983" ht="15.75" customHeight="1">
      <c r="A2983" s="9" t="s">
        <v>34167</v>
      </c>
      <c r="B2983" s="9" t="s">
        <v>4011</v>
      </c>
      <c r="C2983" s="8" t="s">
        <v>34168</v>
      </c>
      <c r="D2983" s="9" t="b">
        <v>1</v>
      </c>
      <c r="E2983" s="9"/>
    </row>
    <row r="2984" ht="15.75" customHeight="1">
      <c r="A2984" s="9" t="s">
        <v>34169</v>
      </c>
      <c r="B2984" s="9" t="s">
        <v>12065</v>
      </c>
      <c r="C2984" s="8" t="s">
        <v>34170</v>
      </c>
      <c r="D2984" s="9" t="b">
        <v>1</v>
      </c>
      <c r="E2984" s="9"/>
    </row>
    <row r="2985" ht="15.75" customHeight="1">
      <c r="A2985" s="9" t="s">
        <v>34171</v>
      </c>
      <c r="B2985" s="9" t="s">
        <v>12065</v>
      </c>
      <c r="C2985" s="8" t="s">
        <v>34172</v>
      </c>
      <c r="D2985" s="9" t="b">
        <v>0</v>
      </c>
      <c r="E2985" s="9" t="s">
        <v>34173</v>
      </c>
    </row>
    <row r="2986" ht="15.75" customHeight="1">
      <c r="A2986" s="9" t="s">
        <v>34174</v>
      </c>
      <c r="B2986" s="9" t="s">
        <v>12065</v>
      </c>
      <c r="C2986" s="8" t="s">
        <v>34175</v>
      </c>
      <c r="D2986" s="9" t="b">
        <v>0</v>
      </c>
      <c r="E2986" s="9"/>
    </row>
    <row r="2987" ht="15.75" customHeight="1">
      <c r="A2987" s="9" t="s">
        <v>34176</v>
      </c>
      <c r="B2987" s="9" t="s">
        <v>12065</v>
      </c>
      <c r="C2987" s="8" t="s">
        <v>34177</v>
      </c>
      <c r="D2987" s="9" t="b">
        <v>0</v>
      </c>
      <c r="E2987" s="9"/>
    </row>
    <row r="2988" ht="15.75" customHeight="1">
      <c r="A2988" s="9" t="s">
        <v>34178</v>
      </c>
      <c r="B2988" s="9" t="s">
        <v>12065</v>
      </c>
      <c r="C2988" s="8" t="s">
        <v>34179</v>
      </c>
      <c r="D2988" s="9" t="b">
        <v>0</v>
      </c>
      <c r="E2988" s="9"/>
    </row>
    <row r="2989" ht="15.75" customHeight="1">
      <c r="A2989" s="9" t="s">
        <v>34180</v>
      </c>
      <c r="B2989" s="9" t="s">
        <v>12065</v>
      </c>
      <c r="C2989" s="8" t="s">
        <v>34181</v>
      </c>
      <c r="D2989" s="9" t="b">
        <v>0</v>
      </c>
      <c r="E2989" s="9"/>
    </row>
    <row r="2990" ht="15.75" customHeight="1">
      <c r="A2990" s="9" t="s">
        <v>34182</v>
      </c>
      <c r="B2990" s="9" t="s">
        <v>11694</v>
      </c>
      <c r="C2990" s="8" t="s">
        <v>34183</v>
      </c>
      <c r="D2990" s="9" t="b">
        <v>1</v>
      </c>
      <c r="E2990" s="9"/>
    </row>
    <row r="2991" ht="15.75" customHeight="1">
      <c r="A2991" s="9" t="s">
        <v>34184</v>
      </c>
      <c r="B2991" s="9" t="s">
        <v>11963</v>
      </c>
      <c r="C2991" s="8" t="s">
        <v>34185</v>
      </c>
      <c r="D2991" s="9" t="b">
        <v>0</v>
      </c>
      <c r="E2991" s="9"/>
    </row>
    <row r="2992" ht="15.75" customHeight="1">
      <c r="A2992" s="9" t="s">
        <v>34186</v>
      </c>
      <c r="B2992" s="9" t="s">
        <v>11963</v>
      </c>
      <c r="C2992" s="8" t="s">
        <v>34187</v>
      </c>
      <c r="D2992" s="9" t="b">
        <v>1</v>
      </c>
      <c r="E2992" s="9"/>
    </row>
    <row r="2993" ht="15.75" customHeight="1">
      <c r="A2993" s="9" t="s">
        <v>34188</v>
      </c>
      <c r="B2993" s="9" t="s">
        <v>11963</v>
      </c>
      <c r="C2993" s="8" t="s">
        <v>34189</v>
      </c>
      <c r="D2993" s="9" t="b">
        <v>0</v>
      </c>
      <c r="E2993" s="9"/>
    </row>
    <row r="2994" ht="15.75" customHeight="1">
      <c r="A2994" s="9" t="s">
        <v>34190</v>
      </c>
      <c r="B2994" s="9" t="s">
        <v>11963</v>
      </c>
      <c r="C2994" s="8" t="s">
        <v>34191</v>
      </c>
      <c r="D2994" s="9" t="b">
        <v>0</v>
      </c>
      <c r="E2994" s="9"/>
    </row>
    <row r="2995" ht="15.75" customHeight="1">
      <c r="A2995" s="9" t="s">
        <v>34192</v>
      </c>
      <c r="B2995" s="9" t="s">
        <v>265</v>
      </c>
      <c r="C2995" s="8" t="s">
        <v>34193</v>
      </c>
      <c r="D2995" s="9" t="b">
        <v>0</v>
      </c>
      <c r="E2995" s="9"/>
    </row>
    <row r="2996" ht="15.75" customHeight="1">
      <c r="A2996" s="9" t="s">
        <v>34194</v>
      </c>
      <c r="B2996" s="9" t="s">
        <v>265</v>
      </c>
      <c r="C2996" s="8" t="s">
        <v>34195</v>
      </c>
      <c r="D2996" s="9" t="b">
        <v>0</v>
      </c>
      <c r="E2996" s="9"/>
    </row>
    <row r="2997" ht="15.75" customHeight="1">
      <c r="A2997" s="9" t="s">
        <v>34196</v>
      </c>
      <c r="B2997" s="9" t="s">
        <v>265</v>
      </c>
      <c r="C2997" s="8" t="s">
        <v>34197</v>
      </c>
      <c r="D2997" s="9" t="b">
        <v>0</v>
      </c>
      <c r="E2997" s="9"/>
    </row>
    <row r="2998" ht="15.75" customHeight="1">
      <c r="A2998" s="9" t="s">
        <v>34198</v>
      </c>
      <c r="B2998" s="9" t="s">
        <v>265</v>
      </c>
      <c r="C2998" s="8" t="s">
        <v>34199</v>
      </c>
      <c r="D2998" s="9" t="b">
        <v>0</v>
      </c>
      <c r="E2998" s="9"/>
    </row>
    <row r="2999" ht="15.75" customHeight="1">
      <c r="A2999" s="9" t="s">
        <v>34200</v>
      </c>
      <c r="B2999" s="9" t="s">
        <v>265</v>
      </c>
      <c r="C2999" s="8" t="s">
        <v>34201</v>
      </c>
      <c r="D2999" s="9" t="b">
        <v>0</v>
      </c>
      <c r="E2999" s="9"/>
    </row>
    <row r="3000" ht="15.75" customHeight="1">
      <c r="A3000" s="9" t="s">
        <v>34202</v>
      </c>
      <c r="B3000" s="9" t="s">
        <v>265</v>
      </c>
      <c r="C3000" s="8" t="s">
        <v>34203</v>
      </c>
      <c r="D3000" s="9" t="b">
        <v>0</v>
      </c>
      <c r="E3000" s="9"/>
    </row>
    <row r="3001" ht="15.75" customHeight="1">
      <c r="A3001" s="9" t="s">
        <v>34204</v>
      </c>
      <c r="B3001" s="9" t="s">
        <v>265</v>
      </c>
      <c r="C3001" s="8" t="s">
        <v>34205</v>
      </c>
      <c r="D3001" s="9" t="b">
        <v>0</v>
      </c>
      <c r="E3001" s="9"/>
    </row>
    <row r="3002" ht="15.75" customHeight="1">
      <c r="A3002" s="9" t="s">
        <v>34206</v>
      </c>
      <c r="B3002" s="9" t="s">
        <v>265</v>
      </c>
      <c r="C3002" s="8" t="s">
        <v>34207</v>
      </c>
      <c r="D3002" s="9" t="b">
        <v>0</v>
      </c>
      <c r="E3002" s="9"/>
    </row>
    <row r="3003" ht="15.75" customHeight="1">
      <c r="A3003" s="9" t="s">
        <v>34208</v>
      </c>
      <c r="B3003" s="9" t="s">
        <v>265</v>
      </c>
      <c r="C3003" s="8" t="s">
        <v>34209</v>
      </c>
      <c r="D3003" s="9" t="b">
        <v>0</v>
      </c>
      <c r="E3003" s="9"/>
    </row>
    <row r="3004" ht="15.75" customHeight="1">
      <c r="A3004" s="9" t="s">
        <v>34210</v>
      </c>
      <c r="B3004" s="9" t="s">
        <v>265</v>
      </c>
      <c r="C3004" s="8" t="s">
        <v>34211</v>
      </c>
      <c r="D3004" s="9" t="b">
        <v>0</v>
      </c>
      <c r="E3004" s="9"/>
    </row>
    <row r="3005" ht="15.75" customHeight="1">
      <c r="A3005" s="9" t="s">
        <v>34212</v>
      </c>
      <c r="B3005" s="9" t="s">
        <v>265</v>
      </c>
      <c r="C3005" s="8" t="s">
        <v>34213</v>
      </c>
      <c r="D3005" s="9" t="b">
        <v>0</v>
      </c>
      <c r="E3005" s="9"/>
    </row>
    <row r="3006" ht="15.75" customHeight="1">
      <c r="A3006" s="9" t="s">
        <v>34214</v>
      </c>
      <c r="B3006" s="9" t="s">
        <v>11845</v>
      </c>
      <c r="C3006" s="8" t="s">
        <v>34215</v>
      </c>
      <c r="D3006" s="9" t="b">
        <v>1</v>
      </c>
      <c r="E3006" s="9"/>
    </row>
    <row r="3007" ht="15.75" customHeight="1">
      <c r="A3007" s="9" t="s">
        <v>34216</v>
      </c>
      <c r="B3007" s="9" t="s">
        <v>11845</v>
      </c>
      <c r="C3007" s="8" t="s">
        <v>34217</v>
      </c>
      <c r="D3007" s="9" t="b">
        <v>0</v>
      </c>
      <c r="E3007" s="9"/>
    </row>
    <row r="3008" ht="15.75" customHeight="1">
      <c r="A3008" s="9" t="s">
        <v>34218</v>
      </c>
      <c r="B3008" s="9" t="s">
        <v>11845</v>
      </c>
      <c r="C3008" s="8" t="s">
        <v>34219</v>
      </c>
      <c r="D3008" s="9" t="b">
        <v>0</v>
      </c>
      <c r="E3008" s="9"/>
    </row>
    <row r="3009" ht="15.75" customHeight="1">
      <c r="A3009" s="9" t="s">
        <v>34220</v>
      </c>
      <c r="B3009" s="9" t="s">
        <v>11845</v>
      </c>
      <c r="C3009" s="8" t="s">
        <v>34221</v>
      </c>
      <c r="D3009" s="9" t="b">
        <v>0</v>
      </c>
      <c r="E3009" s="9"/>
    </row>
    <row r="3010" ht="15.75" customHeight="1">
      <c r="A3010" s="9" t="s">
        <v>34222</v>
      </c>
      <c r="B3010" s="9" t="s">
        <v>11845</v>
      </c>
      <c r="C3010" s="8" t="s">
        <v>34223</v>
      </c>
      <c r="D3010" s="9" t="b">
        <v>0</v>
      </c>
      <c r="E3010" s="9"/>
    </row>
    <row r="3011" ht="15.75" customHeight="1">
      <c r="A3011" s="9" t="s">
        <v>34224</v>
      </c>
      <c r="B3011" s="9" t="s">
        <v>10459</v>
      </c>
      <c r="C3011" s="8" t="s">
        <v>34225</v>
      </c>
      <c r="D3011" s="9" t="b">
        <v>1</v>
      </c>
      <c r="E3011" s="9"/>
    </row>
    <row r="3012" ht="15.75" customHeight="1">
      <c r="A3012" s="9" t="s">
        <v>34226</v>
      </c>
      <c r="B3012" s="9" t="s">
        <v>10308</v>
      </c>
      <c r="C3012" s="8" t="s">
        <v>34227</v>
      </c>
      <c r="D3012" s="9" t="b">
        <v>1</v>
      </c>
      <c r="E3012" s="9"/>
    </row>
    <row r="3013" ht="15.75" customHeight="1">
      <c r="A3013" s="9" t="s">
        <v>34228</v>
      </c>
      <c r="B3013" s="9" t="s">
        <v>10308</v>
      </c>
      <c r="C3013" s="8" t="s">
        <v>34229</v>
      </c>
      <c r="D3013" s="9" t="b">
        <v>0</v>
      </c>
      <c r="E3013" s="9"/>
    </row>
    <row r="3014" ht="15.75" customHeight="1">
      <c r="A3014" s="52" t="s">
        <v>34230</v>
      </c>
      <c r="B3014" s="9" t="s">
        <v>10308</v>
      </c>
      <c r="C3014" s="8" t="s">
        <v>34231</v>
      </c>
      <c r="D3014" s="9" t="b">
        <v>0</v>
      </c>
      <c r="E3014" s="9"/>
    </row>
    <row r="3015" ht="15.75" customHeight="1">
      <c r="A3015" s="9" t="s">
        <v>34232</v>
      </c>
      <c r="B3015" s="9" t="s">
        <v>10308</v>
      </c>
      <c r="C3015" s="8" t="s">
        <v>34233</v>
      </c>
      <c r="D3015" s="9" t="b">
        <v>0</v>
      </c>
      <c r="E3015" s="9"/>
    </row>
    <row r="3016" ht="15.75" customHeight="1">
      <c r="A3016" s="9" t="s">
        <v>34234</v>
      </c>
      <c r="B3016" s="9" t="s">
        <v>10308</v>
      </c>
      <c r="C3016" s="8" t="s">
        <v>34235</v>
      </c>
      <c r="D3016" s="9" t="b">
        <v>0</v>
      </c>
      <c r="E3016" s="9"/>
    </row>
    <row r="3017" ht="15.75" customHeight="1">
      <c r="A3017" s="9" t="s">
        <v>34236</v>
      </c>
      <c r="B3017" s="9" t="s">
        <v>10308</v>
      </c>
      <c r="C3017" s="8" t="s">
        <v>34237</v>
      </c>
      <c r="D3017" s="9" t="b">
        <v>0</v>
      </c>
      <c r="E3017" s="9"/>
    </row>
    <row r="3018" ht="15.75" customHeight="1">
      <c r="A3018" s="9" t="s">
        <v>34238</v>
      </c>
      <c r="B3018" s="9" t="s">
        <v>10308</v>
      </c>
      <c r="C3018" s="8" t="s">
        <v>34239</v>
      </c>
      <c r="D3018" s="9" t="b">
        <v>0</v>
      </c>
      <c r="E3018" s="9"/>
    </row>
    <row r="3019" ht="15.75" customHeight="1">
      <c r="A3019" s="9" t="s">
        <v>34240</v>
      </c>
      <c r="B3019" s="9" t="s">
        <v>10664</v>
      </c>
      <c r="C3019" s="8" t="s">
        <v>34241</v>
      </c>
      <c r="D3019" s="9" t="b">
        <v>1</v>
      </c>
      <c r="E3019" s="9"/>
    </row>
    <row r="3020" ht="15.75" customHeight="1">
      <c r="A3020" s="9" t="s">
        <v>34242</v>
      </c>
      <c r="B3020" s="9" t="s">
        <v>10664</v>
      </c>
      <c r="C3020" s="8" t="s">
        <v>34243</v>
      </c>
      <c r="D3020" s="9" t="b">
        <v>0</v>
      </c>
      <c r="E3020" s="9"/>
    </row>
    <row r="3021" ht="15.75" customHeight="1">
      <c r="A3021" s="9" t="s">
        <v>34244</v>
      </c>
      <c r="B3021" s="9" t="s">
        <v>10664</v>
      </c>
      <c r="C3021" s="8" t="s">
        <v>34245</v>
      </c>
      <c r="D3021" s="9" t="b">
        <v>0</v>
      </c>
      <c r="E3021" s="9"/>
    </row>
    <row r="3022" ht="15.75" customHeight="1">
      <c r="A3022" s="9" t="s">
        <v>34246</v>
      </c>
      <c r="B3022" s="9" t="s">
        <v>10664</v>
      </c>
      <c r="C3022" s="8" t="s">
        <v>34247</v>
      </c>
      <c r="D3022" s="9" t="b">
        <v>0</v>
      </c>
      <c r="E3022" s="9"/>
    </row>
    <row r="3023" ht="15.75" customHeight="1">
      <c r="A3023" s="9" t="s">
        <v>34248</v>
      </c>
      <c r="B3023" s="9" t="s">
        <v>10664</v>
      </c>
      <c r="C3023" s="8" t="s">
        <v>34249</v>
      </c>
      <c r="D3023" s="9" t="b">
        <v>0</v>
      </c>
      <c r="E3023" s="9"/>
    </row>
    <row r="3024" ht="15.75" customHeight="1">
      <c r="A3024" s="9" t="s">
        <v>34250</v>
      </c>
      <c r="B3024" s="9" t="s">
        <v>10128</v>
      </c>
      <c r="C3024" s="8" t="s">
        <v>34251</v>
      </c>
      <c r="D3024" s="9" t="b">
        <v>1</v>
      </c>
      <c r="E3024" s="9"/>
    </row>
    <row r="3025" ht="15.75" customHeight="1">
      <c r="A3025" s="9" t="s">
        <v>34252</v>
      </c>
      <c r="B3025" s="9" t="s">
        <v>10128</v>
      </c>
      <c r="C3025" s="8" t="s">
        <v>34253</v>
      </c>
      <c r="D3025" s="9" t="b">
        <v>0</v>
      </c>
      <c r="E3025" s="9"/>
    </row>
    <row r="3026" ht="15.75" customHeight="1">
      <c r="A3026" s="9" t="s">
        <v>34254</v>
      </c>
      <c r="B3026" s="9" t="s">
        <v>10128</v>
      </c>
      <c r="C3026" s="8" t="s">
        <v>34255</v>
      </c>
      <c r="D3026" s="9" t="b">
        <v>0</v>
      </c>
      <c r="E3026" s="9"/>
    </row>
    <row r="3027" ht="15.75" customHeight="1">
      <c r="A3027" s="9" t="s">
        <v>34256</v>
      </c>
      <c r="B3027" s="9" t="s">
        <v>10128</v>
      </c>
      <c r="C3027" s="8" t="s">
        <v>34257</v>
      </c>
      <c r="D3027" s="9" t="b">
        <v>0</v>
      </c>
      <c r="E3027" s="9"/>
    </row>
    <row r="3028" ht="15.75" customHeight="1">
      <c r="A3028" s="9" t="s">
        <v>34258</v>
      </c>
      <c r="B3028" s="9" t="s">
        <v>9796</v>
      </c>
      <c r="C3028" s="8" t="s">
        <v>34259</v>
      </c>
      <c r="D3028" s="9" t="b">
        <v>1</v>
      </c>
      <c r="E3028" s="9"/>
    </row>
    <row r="3029" ht="15.75" customHeight="1">
      <c r="A3029" s="9" t="s">
        <v>34260</v>
      </c>
      <c r="B3029" s="9" t="s">
        <v>9796</v>
      </c>
      <c r="C3029" s="8" t="s">
        <v>34261</v>
      </c>
      <c r="D3029" s="9" t="b">
        <v>0</v>
      </c>
      <c r="E3029" s="9"/>
    </row>
    <row r="3030" ht="15.75" customHeight="1">
      <c r="A3030" s="9" t="s">
        <v>34262</v>
      </c>
      <c r="B3030" s="9" t="s">
        <v>9796</v>
      </c>
      <c r="C3030" s="8" t="s">
        <v>34263</v>
      </c>
      <c r="D3030" s="9" t="b">
        <v>0</v>
      </c>
      <c r="E3030" s="9"/>
    </row>
    <row r="3031" ht="15.75" customHeight="1">
      <c r="A3031" s="9" t="s">
        <v>34264</v>
      </c>
      <c r="B3031" s="9" t="s">
        <v>9502</v>
      </c>
      <c r="C3031" s="8" t="s">
        <v>34265</v>
      </c>
      <c r="D3031" s="9" t="b">
        <v>1</v>
      </c>
      <c r="E3031" s="9"/>
    </row>
    <row r="3032" ht="15.75" customHeight="1">
      <c r="A3032" s="9" t="s">
        <v>34266</v>
      </c>
      <c r="B3032" s="9" t="s">
        <v>9502</v>
      </c>
      <c r="C3032" s="8" t="s">
        <v>34267</v>
      </c>
      <c r="D3032" s="9" t="b">
        <v>0</v>
      </c>
      <c r="E3032" s="9"/>
    </row>
    <row r="3033" ht="15.75" customHeight="1">
      <c r="A3033" s="9" t="s">
        <v>34268</v>
      </c>
      <c r="B3033" s="9" t="s">
        <v>12085</v>
      </c>
      <c r="C3033" s="8" t="s">
        <v>34269</v>
      </c>
      <c r="D3033" s="9" t="b">
        <v>0</v>
      </c>
      <c r="E3033" s="9"/>
    </row>
    <row r="3034" ht="15.75" customHeight="1">
      <c r="A3034" s="52" t="s">
        <v>34270</v>
      </c>
      <c r="B3034" s="9" t="s">
        <v>12085</v>
      </c>
      <c r="C3034" s="8" t="s">
        <v>34271</v>
      </c>
      <c r="D3034" s="9" t="b">
        <v>0</v>
      </c>
      <c r="E3034" s="9"/>
    </row>
    <row r="3035" ht="15.75" customHeight="1">
      <c r="A3035" s="9" t="s">
        <v>34272</v>
      </c>
      <c r="B3035" s="9" t="s">
        <v>12085</v>
      </c>
      <c r="C3035" s="8" t="s">
        <v>34273</v>
      </c>
      <c r="D3035" s="9" t="b">
        <v>0</v>
      </c>
      <c r="E3035" s="9"/>
    </row>
    <row r="3036" ht="15.75" customHeight="1">
      <c r="A3036" s="9" t="s">
        <v>34274</v>
      </c>
      <c r="B3036" s="9" t="s">
        <v>12085</v>
      </c>
      <c r="C3036" s="8" t="s">
        <v>34275</v>
      </c>
      <c r="D3036" s="9" t="b">
        <v>1</v>
      </c>
      <c r="E3036" s="9"/>
    </row>
    <row r="3037" ht="15.75" customHeight="1">
      <c r="A3037" s="9" t="s">
        <v>34276</v>
      </c>
      <c r="B3037" s="9" t="s">
        <v>11929</v>
      </c>
      <c r="C3037" s="8" t="s">
        <v>34277</v>
      </c>
      <c r="D3037" s="9" t="b">
        <v>0</v>
      </c>
      <c r="E3037" s="9"/>
    </row>
    <row r="3038" ht="15.75" customHeight="1">
      <c r="A3038" s="9" t="s">
        <v>34278</v>
      </c>
      <c r="B3038" s="9" t="s">
        <v>11929</v>
      </c>
      <c r="C3038" s="8" t="s">
        <v>34279</v>
      </c>
      <c r="D3038" s="9" t="b">
        <v>0</v>
      </c>
      <c r="E3038" s="9"/>
    </row>
    <row r="3039" ht="15.75" customHeight="1">
      <c r="A3039" s="9" t="s">
        <v>34280</v>
      </c>
      <c r="B3039" s="9" t="s">
        <v>11929</v>
      </c>
      <c r="C3039" s="8" t="s">
        <v>34281</v>
      </c>
      <c r="D3039" s="9" t="b">
        <v>0</v>
      </c>
      <c r="E3039" s="9"/>
    </row>
    <row r="3040" ht="15.75" customHeight="1">
      <c r="A3040" s="9" t="s">
        <v>34282</v>
      </c>
      <c r="B3040" s="9" t="s">
        <v>12132</v>
      </c>
      <c r="C3040" s="8" t="s">
        <v>34283</v>
      </c>
      <c r="D3040" s="9" t="b">
        <v>0</v>
      </c>
      <c r="E3040" s="9"/>
    </row>
    <row r="3041" ht="15.75" customHeight="1">
      <c r="A3041" s="9" t="s">
        <v>34284</v>
      </c>
      <c r="B3041" s="9" t="s">
        <v>12132</v>
      </c>
      <c r="C3041" s="8" t="s">
        <v>34285</v>
      </c>
      <c r="D3041" s="9" t="b">
        <v>1</v>
      </c>
      <c r="E3041" s="9"/>
    </row>
    <row r="3042" ht="15.75" customHeight="1">
      <c r="A3042" s="9" t="s">
        <v>34286</v>
      </c>
      <c r="B3042" s="9" t="s">
        <v>12132</v>
      </c>
      <c r="C3042" s="8" t="s">
        <v>34287</v>
      </c>
      <c r="D3042" s="9" t="b">
        <v>0</v>
      </c>
      <c r="E3042" s="9"/>
    </row>
    <row r="3043" ht="15.75" customHeight="1">
      <c r="A3043" s="9" t="s">
        <v>34288</v>
      </c>
      <c r="B3043" s="9" t="s">
        <v>12132</v>
      </c>
      <c r="C3043" s="8" t="s">
        <v>34289</v>
      </c>
      <c r="D3043" s="9" t="b">
        <v>0</v>
      </c>
      <c r="E3043" s="9"/>
    </row>
    <row r="3044" ht="15.75" customHeight="1">
      <c r="A3044" s="9" t="s">
        <v>34290</v>
      </c>
      <c r="B3044" s="9" t="s">
        <v>12132</v>
      </c>
      <c r="C3044" s="8" t="s">
        <v>34291</v>
      </c>
      <c r="D3044" s="9" t="b">
        <v>0</v>
      </c>
      <c r="E3044" s="9"/>
    </row>
    <row r="3045" ht="15.75" customHeight="1">
      <c r="A3045" s="9" t="s">
        <v>34292</v>
      </c>
      <c r="B3045" s="9" t="s">
        <v>11640</v>
      </c>
      <c r="C3045" s="8" t="s">
        <v>34293</v>
      </c>
      <c r="D3045" s="9" t="b">
        <v>0</v>
      </c>
      <c r="E3045" s="9"/>
    </row>
    <row r="3046" ht="15.75" customHeight="1">
      <c r="A3046" s="9" t="s">
        <v>34294</v>
      </c>
      <c r="B3046" s="9" t="s">
        <v>11640</v>
      </c>
      <c r="C3046" s="8" t="s">
        <v>34295</v>
      </c>
      <c r="D3046" s="9" t="b">
        <v>0</v>
      </c>
      <c r="E3046" s="9"/>
    </row>
    <row r="3047" ht="15.75" customHeight="1">
      <c r="A3047" s="9" t="s">
        <v>34296</v>
      </c>
      <c r="B3047" s="9" t="s">
        <v>11640</v>
      </c>
      <c r="C3047" s="8" t="s">
        <v>34297</v>
      </c>
      <c r="D3047" s="9" t="b">
        <v>0</v>
      </c>
      <c r="E3047" s="9"/>
    </row>
    <row r="3048" ht="15.75" customHeight="1">
      <c r="A3048" s="9" t="s">
        <v>34298</v>
      </c>
      <c r="B3048" s="9" t="s">
        <v>11640</v>
      </c>
      <c r="C3048" s="8" t="s">
        <v>34299</v>
      </c>
      <c r="D3048" s="9" t="b">
        <v>0</v>
      </c>
      <c r="E3048" s="9"/>
    </row>
    <row r="3049" ht="15.75" customHeight="1">
      <c r="A3049" s="9" t="s">
        <v>34300</v>
      </c>
      <c r="B3049" s="9" t="s">
        <v>11640</v>
      </c>
      <c r="C3049" s="8" t="s">
        <v>34301</v>
      </c>
      <c r="D3049" s="9" t="b">
        <v>0</v>
      </c>
      <c r="E3049" s="9"/>
    </row>
    <row r="3050" ht="15.75" customHeight="1">
      <c r="A3050" s="9" t="s">
        <v>34302</v>
      </c>
      <c r="B3050" s="9" t="s">
        <v>11640</v>
      </c>
      <c r="C3050" s="8" t="s">
        <v>34303</v>
      </c>
      <c r="D3050" s="9" t="b">
        <v>1</v>
      </c>
      <c r="E3050" s="9"/>
    </row>
    <row r="3051" ht="15.75" customHeight="1">
      <c r="A3051" s="9" t="s">
        <v>34304</v>
      </c>
      <c r="B3051" s="9" t="s">
        <v>10423</v>
      </c>
      <c r="C3051" s="8" t="s">
        <v>34305</v>
      </c>
      <c r="D3051" s="9" t="b">
        <v>1</v>
      </c>
      <c r="E3051" s="9"/>
    </row>
    <row r="3052" ht="15.75" customHeight="1">
      <c r="A3052" s="9" t="s">
        <v>34306</v>
      </c>
      <c r="B3052" s="9" t="s">
        <v>10423</v>
      </c>
      <c r="C3052" s="8" t="s">
        <v>34307</v>
      </c>
      <c r="D3052" s="9" t="b">
        <v>0</v>
      </c>
      <c r="E3052" s="9"/>
    </row>
    <row r="3053" ht="15.75" customHeight="1">
      <c r="A3053" s="9" t="s">
        <v>34308</v>
      </c>
      <c r="B3053" s="9" t="s">
        <v>10423</v>
      </c>
      <c r="C3053" s="8" t="s">
        <v>34309</v>
      </c>
      <c r="D3053" s="9" t="b">
        <v>0</v>
      </c>
      <c r="E3053" s="9"/>
    </row>
    <row r="3054" ht="15.75" customHeight="1">
      <c r="A3054" s="9" t="s">
        <v>34310</v>
      </c>
      <c r="B3054" s="9" t="s">
        <v>11899</v>
      </c>
      <c r="C3054" s="8" t="s">
        <v>34311</v>
      </c>
      <c r="D3054" s="9" t="b">
        <v>1</v>
      </c>
      <c r="E3054" s="9"/>
    </row>
    <row r="3055" ht="15.75" customHeight="1">
      <c r="A3055" s="9" t="s">
        <v>34312</v>
      </c>
      <c r="B3055" s="9" t="s">
        <v>10291</v>
      </c>
      <c r="C3055" s="8" t="s">
        <v>34313</v>
      </c>
      <c r="D3055" s="9" t="b">
        <v>0</v>
      </c>
      <c r="E3055" s="9"/>
    </row>
    <row r="3056" ht="15.75" customHeight="1">
      <c r="A3056" s="9" t="s">
        <v>34314</v>
      </c>
      <c r="B3056" s="9" t="s">
        <v>10291</v>
      </c>
      <c r="C3056" s="8" t="s">
        <v>34315</v>
      </c>
      <c r="D3056" s="9" t="b">
        <v>0</v>
      </c>
      <c r="E3056" s="9"/>
    </row>
    <row r="3057" ht="15.75" customHeight="1">
      <c r="A3057" s="9" t="s">
        <v>34316</v>
      </c>
      <c r="B3057" s="9" t="s">
        <v>10291</v>
      </c>
      <c r="C3057" s="8" t="s">
        <v>34317</v>
      </c>
      <c r="D3057" s="9" t="b">
        <v>0</v>
      </c>
      <c r="E3057" s="9"/>
    </row>
    <row r="3058" ht="15.75" customHeight="1">
      <c r="A3058" s="9" t="s">
        <v>34318</v>
      </c>
      <c r="B3058" s="9" t="s">
        <v>10291</v>
      </c>
      <c r="C3058" s="8" t="s">
        <v>34319</v>
      </c>
      <c r="D3058" s="9" t="b">
        <v>1</v>
      </c>
      <c r="E3058" s="9"/>
    </row>
    <row r="3059" ht="15.75" customHeight="1">
      <c r="A3059" s="9" t="s">
        <v>34320</v>
      </c>
      <c r="B3059" s="9" t="s">
        <v>11795</v>
      </c>
      <c r="C3059" s="8" t="s">
        <v>34321</v>
      </c>
      <c r="D3059" s="9" t="b">
        <v>0</v>
      </c>
      <c r="E3059" s="9"/>
    </row>
    <row r="3060" ht="15.75" customHeight="1">
      <c r="A3060" s="9" t="s">
        <v>34322</v>
      </c>
      <c r="B3060" s="9" t="s">
        <v>11800</v>
      </c>
      <c r="C3060" s="8" t="s">
        <v>34323</v>
      </c>
      <c r="D3060" s="9" t="b">
        <v>0</v>
      </c>
      <c r="E3060" s="9"/>
    </row>
    <row r="3061" ht="15.75" customHeight="1">
      <c r="A3061" s="9" t="s">
        <v>34324</v>
      </c>
      <c r="B3061" s="9" t="s">
        <v>11800</v>
      </c>
      <c r="C3061" s="8" t="s">
        <v>34325</v>
      </c>
      <c r="D3061" s="9" t="b">
        <v>0</v>
      </c>
      <c r="E3061" s="9"/>
    </row>
    <row r="3062" ht="15.75" customHeight="1">
      <c r="A3062" s="9" t="s">
        <v>34326</v>
      </c>
      <c r="B3062" s="9" t="s">
        <v>11800</v>
      </c>
      <c r="C3062" s="8" t="s">
        <v>34327</v>
      </c>
      <c r="D3062" s="9" t="b">
        <v>0</v>
      </c>
      <c r="E3062" s="9"/>
    </row>
    <row r="3063" ht="15.75" customHeight="1">
      <c r="A3063" s="9" t="s">
        <v>34328</v>
      </c>
      <c r="B3063" s="9" t="s">
        <v>11800</v>
      </c>
      <c r="C3063" s="8" t="s">
        <v>34329</v>
      </c>
      <c r="D3063" s="9" t="b">
        <v>0</v>
      </c>
      <c r="E3063" s="9"/>
    </row>
    <row r="3064" ht="15.75" customHeight="1">
      <c r="A3064" s="9" t="s">
        <v>34330</v>
      </c>
      <c r="B3064" s="9" t="s">
        <v>11800</v>
      </c>
      <c r="C3064" s="8" t="s">
        <v>34331</v>
      </c>
      <c r="D3064" s="9" t="b">
        <v>0</v>
      </c>
      <c r="E3064" s="9"/>
    </row>
    <row r="3065" ht="15.75" customHeight="1">
      <c r="A3065" s="9" t="s">
        <v>34332</v>
      </c>
      <c r="B3065" s="9" t="s">
        <v>11800</v>
      </c>
      <c r="C3065" s="8" t="s">
        <v>34333</v>
      </c>
      <c r="D3065" s="9" t="b">
        <v>1</v>
      </c>
      <c r="E3065" s="9"/>
    </row>
    <row r="3066" ht="15.75" customHeight="1">
      <c r="A3066" s="9" t="s">
        <v>34334</v>
      </c>
      <c r="B3066" s="9" t="s">
        <v>10308</v>
      </c>
      <c r="C3066" s="8" t="s">
        <v>34335</v>
      </c>
      <c r="D3066" s="9" t="b">
        <v>0</v>
      </c>
      <c r="E3066" s="9"/>
    </row>
    <row r="3067" ht="15.75" customHeight="1">
      <c r="A3067" s="9"/>
      <c r="B3067" s="9"/>
      <c r="C3067" s="9"/>
      <c r="D3067" s="9"/>
      <c r="E3067" s="9"/>
    </row>
    <row r="3068" ht="15.75" customHeight="1">
      <c r="A3068" s="9"/>
      <c r="B3068" s="9"/>
      <c r="C3068" s="9"/>
      <c r="D3068" s="9"/>
      <c r="E3068" s="9"/>
    </row>
    <row r="3069" ht="15.75" customHeight="1">
      <c r="A3069" s="9"/>
      <c r="B3069" s="9"/>
      <c r="C3069" s="9"/>
      <c r="D3069" s="9"/>
      <c r="E3069" s="9"/>
    </row>
    <row r="3070" ht="15.75" customHeight="1">
      <c r="A3070" s="9" t="s">
        <v>34336</v>
      </c>
      <c r="B3070" s="9" t="s">
        <v>10440</v>
      </c>
      <c r="C3070" s="8" t="s">
        <v>34337</v>
      </c>
      <c r="D3070" s="9" t="b">
        <v>0</v>
      </c>
      <c r="E3070" s="9"/>
    </row>
    <row r="3071" ht="15.75" customHeight="1">
      <c r="A3071" s="9" t="s">
        <v>34338</v>
      </c>
      <c r="B3071" s="9" t="s">
        <v>10440</v>
      </c>
      <c r="C3071" s="8" t="s">
        <v>34339</v>
      </c>
      <c r="D3071" s="9" t="b">
        <v>0</v>
      </c>
      <c r="E3071" s="9"/>
    </row>
    <row r="3072" ht="15.75" customHeight="1">
      <c r="A3072" s="9"/>
      <c r="B3072" s="9"/>
      <c r="C3072" s="9"/>
      <c r="D3072" s="9"/>
      <c r="E3072" s="9"/>
    </row>
    <row r="3073" ht="15.75" customHeight="1">
      <c r="A3073" s="9" t="s">
        <v>34340</v>
      </c>
      <c r="B3073" s="9" t="s">
        <v>10449</v>
      </c>
      <c r="C3073" s="8" t="s">
        <v>34341</v>
      </c>
      <c r="D3073" s="9" t="b">
        <v>0</v>
      </c>
      <c r="E3073" s="9"/>
    </row>
    <row r="3074" ht="15.75" customHeight="1">
      <c r="A3074" s="9" t="s">
        <v>34342</v>
      </c>
      <c r="B3074" s="9" t="s">
        <v>10449</v>
      </c>
      <c r="C3074" s="8" t="s">
        <v>34343</v>
      </c>
      <c r="D3074" s="9" t="b">
        <v>0</v>
      </c>
      <c r="E3074" s="9"/>
    </row>
    <row r="3075" ht="15.75" customHeight="1">
      <c r="A3075" s="9" t="s">
        <v>34344</v>
      </c>
      <c r="B3075" s="9" t="s">
        <v>10449</v>
      </c>
      <c r="C3075" s="8" t="s">
        <v>34345</v>
      </c>
      <c r="D3075" s="9" t="b">
        <v>0</v>
      </c>
      <c r="E3075" s="9"/>
    </row>
    <row r="3076" ht="15.75" customHeight="1">
      <c r="A3076" s="9" t="s">
        <v>34346</v>
      </c>
      <c r="B3076" s="9" t="s">
        <v>10449</v>
      </c>
      <c r="C3076" s="8" t="s">
        <v>34347</v>
      </c>
      <c r="D3076" s="9" t="b">
        <v>0</v>
      </c>
      <c r="E3076" s="9"/>
    </row>
    <row r="3077" ht="15.75" customHeight="1">
      <c r="A3077" s="9" t="s">
        <v>34348</v>
      </c>
      <c r="B3077" s="9" t="s">
        <v>10449</v>
      </c>
      <c r="C3077" s="8" t="s">
        <v>34349</v>
      </c>
      <c r="D3077" s="9" t="b">
        <v>0</v>
      </c>
      <c r="E3077" s="9"/>
    </row>
    <row r="3078" ht="15.75" customHeight="1">
      <c r="A3078" s="9" t="s">
        <v>34350</v>
      </c>
      <c r="B3078" s="9" t="s">
        <v>10449</v>
      </c>
      <c r="C3078" s="8" t="s">
        <v>34351</v>
      </c>
      <c r="D3078" s="9" t="b">
        <v>0</v>
      </c>
      <c r="E3078" s="9"/>
    </row>
    <row r="3079" ht="15.75" customHeight="1">
      <c r="A3079" s="9" t="s">
        <v>34352</v>
      </c>
      <c r="B3079" s="9" t="s">
        <v>10449</v>
      </c>
      <c r="C3079" s="8" t="s">
        <v>34353</v>
      </c>
      <c r="D3079" s="9" t="b">
        <v>1</v>
      </c>
      <c r="E3079" s="9"/>
    </row>
    <row r="3080" ht="15.75" customHeight="1">
      <c r="A3080" s="9" t="s">
        <v>34354</v>
      </c>
      <c r="B3080" s="9" t="s">
        <v>11610</v>
      </c>
      <c r="C3080" s="8" t="s">
        <v>34355</v>
      </c>
      <c r="D3080" s="9" t="b">
        <v>1</v>
      </c>
      <c r="E3080" s="9"/>
    </row>
    <row r="3081" ht="15.75" customHeight="1">
      <c r="A3081" s="9" t="s">
        <v>34356</v>
      </c>
      <c r="B3081" s="9" t="s">
        <v>11610</v>
      </c>
      <c r="C3081" s="8" t="s">
        <v>34357</v>
      </c>
      <c r="D3081" s="9" t="b">
        <v>0</v>
      </c>
      <c r="E3081" s="9" t="s">
        <v>30363</v>
      </c>
    </row>
    <row r="3082" ht="15.75" customHeight="1">
      <c r="A3082" s="9" t="s">
        <v>34358</v>
      </c>
      <c r="B3082" s="9" t="s">
        <v>11610</v>
      </c>
      <c r="C3082" s="8" t="s">
        <v>34359</v>
      </c>
      <c r="D3082" s="9" t="b">
        <v>0</v>
      </c>
      <c r="E3082" s="9" t="s">
        <v>33768</v>
      </c>
    </row>
    <row r="3083" ht="15.75" customHeight="1">
      <c r="A3083" s="9" t="s">
        <v>34360</v>
      </c>
      <c r="B3083" s="9" t="s">
        <v>11610</v>
      </c>
      <c r="C3083" s="8" t="s">
        <v>34361</v>
      </c>
      <c r="D3083" s="9" t="b">
        <v>0</v>
      </c>
      <c r="E3083" s="9" t="s">
        <v>31223</v>
      </c>
    </row>
    <row r="3084" ht="15.75" customHeight="1">
      <c r="A3084" s="9" t="s">
        <v>34362</v>
      </c>
      <c r="B3084" s="9" t="s">
        <v>11610</v>
      </c>
      <c r="C3084" s="8" t="s">
        <v>34363</v>
      </c>
      <c r="D3084" s="9" t="b">
        <v>0</v>
      </c>
      <c r="E3084" s="9" t="s">
        <v>646</v>
      </c>
    </row>
    <row r="3085" ht="15.75" customHeight="1">
      <c r="A3085" s="9" t="s">
        <v>34364</v>
      </c>
      <c r="B3085" s="9" t="s">
        <v>11610</v>
      </c>
      <c r="C3085" s="8" t="s">
        <v>34365</v>
      </c>
      <c r="D3085" s="9" t="b">
        <v>0</v>
      </c>
      <c r="E3085" s="9" t="s">
        <v>29154</v>
      </c>
    </row>
    <row r="3086" ht="15.75" customHeight="1">
      <c r="A3086" s="9" t="s">
        <v>34366</v>
      </c>
      <c r="B3086" s="9" t="s">
        <v>11610</v>
      </c>
      <c r="C3086" s="8" t="s">
        <v>34367</v>
      </c>
      <c r="D3086" s="9" t="b">
        <v>0</v>
      </c>
      <c r="E3086" s="9" t="s">
        <v>29140</v>
      </c>
    </row>
    <row r="3087" ht="15.75" customHeight="1">
      <c r="A3087" s="9" t="s">
        <v>34368</v>
      </c>
      <c r="B3087" s="9" t="s">
        <v>11938</v>
      </c>
      <c r="C3087" s="8" t="s">
        <v>34369</v>
      </c>
      <c r="D3087" s="9" t="b">
        <v>0</v>
      </c>
      <c r="E3087" s="9"/>
    </row>
    <row r="3088" ht="15.75" customHeight="1">
      <c r="A3088" s="9" t="s">
        <v>34370</v>
      </c>
      <c r="B3088" s="9" t="s">
        <v>7102</v>
      </c>
      <c r="C3088" s="8" t="s">
        <v>34371</v>
      </c>
      <c r="D3088" s="9" t="b">
        <v>1</v>
      </c>
      <c r="E3088" s="9"/>
    </row>
    <row r="3089" ht="15.75" customHeight="1">
      <c r="A3089" s="9" t="s">
        <v>34372</v>
      </c>
      <c r="B3089" s="9" t="s">
        <v>6679</v>
      </c>
      <c r="C3089" s="8" t="s">
        <v>34373</v>
      </c>
      <c r="D3089" s="9" t="b">
        <v>1</v>
      </c>
      <c r="E3089" s="9"/>
    </row>
    <row r="3090" ht="15.75" customHeight="1">
      <c r="A3090" s="9" t="s">
        <v>34374</v>
      </c>
      <c r="B3090" s="9" t="s">
        <v>11990</v>
      </c>
      <c r="C3090" s="8" t="s">
        <v>34375</v>
      </c>
      <c r="D3090" s="9" t="b">
        <v>0</v>
      </c>
      <c r="E3090" s="9"/>
    </row>
    <row r="3091" ht="15.75" customHeight="1">
      <c r="A3091" s="9" t="s">
        <v>34376</v>
      </c>
      <c r="B3091" s="9" t="s">
        <v>11990</v>
      </c>
      <c r="C3091" s="8" t="s">
        <v>34377</v>
      </c>
      <c r="D3091" s="9" t="b">
        <v>0</v>
      </c>
      <c r="E3091" s="9"/>
    </row>
    <row r="3092" ht="15.75" customHeight="1">
      <c r="A3092" s="9" t="s">
        <v>34378</v>
      </c>
      <c r="B3092" s="9" t="s">
        <v>11990</v>
      </c>
      <c r="C3092" s="8" t="s">
        <v>34379</v>
      </c>
      <c r="D3092" s="9" t="b">
        <v>0</v>
      </c>
      <c r="E3092" s="9"/>
    </row>
    <row r="3093" ht="15.75" customHeight="1">
      <c r="A3093" s="9" t="s">
        <v>34380</v>
      </c>
      <c r="B3093" s="9" t="s">
        <v>11990</v>
      </c>
      <c r="C3093" s="8" t="s">
        <v>34381</v>
      </c>
      <c r="D3093" s="9" t="b">
        <v>0</v>
      </c>
      <c r="E3093" s="9"/>
    </row>
    <row r="3094" ht="15.75" customHeight="1">
      <c r="A3094" s="9" t="s">
        <v>34382</v>
      </c>
      <c r="B3094" s="9" t="s">
        <v>11990</v>
      </c>
      <c r="C3094" s="8" t="s">
        <v>34383</v>
      </c>
      <c r="D3094" s="9" t="b">
        <v>1</v>
      </c>
      <c r="E3094" s="9"/>
    </row>
    <row r="3095" ht="15.75" customHeight="1">
      <c r="A3095" s="9" t="s">
        <v>34384</v>
      </c>
      <c r="B3095" s="9" t="s">
        <v>11990</v>
      </c>
      <c r="C3095" s="8" t="s">
        <v>34385</v>
      </c>
      <c r="D3095" s="9" t="b">
        <v>0</v>
      </c>
      <c r="E3095" s="9"/>
    </row>
    <row r="3096" ht="15.75" customHeight="1">
      <c r="A3096" s="9" t="s">
        <v>34386</v>
      </c>
      <c r="B3096" s="9" t="s">
        <v>11990</v>
      </c>
      <c r="C3096" s="8" t="s">
        <v>34387</v>
      </c>
      <c r="D3096" s="9" t="b">
        <v>0</v>
      </c>
      <c r="E3096" s="9"/>
    </row>
    <row r="3097" ht="15.75" customHeight="1">
      <c r="A3097" s="9" t="s">
        <v>34388</v>
      </c>
      <c r="B3097" s="9" t="s">
        <v>11990</v>
      </c>
      <c r="C3097" s="8" t="s">
        <v>34389</v>
      </c>
      <c r="D3097" s="9" t="b">
        <v>0</v>
      </c>
      <c r="E3097" s="9"/>
    </row>
    <row r="3098" ht="15.75" customHeight="1">
      <c r="A3098" s="9" t="s">
        <v>34390</v>
      </c>
      <c r="B3098" s="9" t="s">
        <v>465</v>
      </c>
      <c r="C3098" s="8" t="s">
        <v>34391</v>
      </c>
      <c r="D3098" s="9" t="b">
        <v>1</v>
      </c>
      <c r="E3098" s="9"/>
    </row>
    <row r="3099" ht="15.75" customHeight="1">
      <c r="A3099" s="9" t="s">
        <v>34392</v>
      </c>
      <c r="B3099" s="9" t="s">
        <v>843</v>
      </c>
      <c r="C3099" s="8" t="s">
        <v>34393</v>
      </c>
      <c r="D3099" s="9" t="b">
        <v>1</v>
      </c>
      <c r="E3099" s="9"/>
    </row>
    <row r="3100" ht="15.75" customHeight="1">
      <c r="A3100" s="9" t="s">
        <v>34394</v>
      </c>
      <c r="B3100" s="9" t="s">
        <v>9551</v>
      </c>
      <c r="C3100" s="8" t="s">
        <v>34395</v>
      </c>
      <c r="D3100" s="9" t="b">
        <v>1</v>
      </c>
      <c r="E3100" s="9"/>
    </row>
    <row r="3101" ht="15.75" customHeight="1">
      <c r="A3101" s="9" t="s">
        <v>34396</v>
      </c>
      <c r="B3101" s="9" t="s">
        <v>10699</v>
      </c>
      <c r="C3101" s="8" t="s">
        <v>34397</v>
      </c>
      <c r="D3101" s="9" t="b">
        <v>0</v>
      </c>
      <c r="E3101" s="9" t="s">
        <v>34398</v>
      </c>
    </row>
    <row r="3102" ht="15.75" customHeight="1">
      <c r="A3102" s="9" t="s">
        <v>34399</v>
      </c>
      <c r="B3102" s="9" t="s">
        <v>10699</v>
      </c>
      <c r="C3102" s="8" t="s">
        <v>34400</v>
      </c>
      <c r="D3102" s="9" t="b">
        <v>0</v>
      </c>
      <c r="E3102" s="9"/>
    </row>
    <row r="3103" ht="15.75" customHeight="1">
      <c r="A3103" s="52" t="s">
        <v>34401</v>
      </c>
      <c r="B3103" s="9" t="s">
        <v>10699</v>
      </c>
      <c r="C3103" s="8" t="s">
        <v>34402</v>
      </c>
      <c r="D3103" s="9" t="b">
        <v>0</v>
      </c>
      <c r="E3103" s="9"/>
    </row>
    <row r="3104" ht="15.75" customHeight="1">
      <c r="A3104" s="9" t="s">
        <v>34403</v>
      </c>
      <c r="B3104" s="9" t="s">
        <v>10699</v>
      </c>
      <c r="C3104" s="8" t="s">
        <v>34404</v>
      </c>
      <c r="D3104" s="9" t="b">
        <v>0</v>
      </c>
      <c r="E3104" s="9"/>
    </row>
    <row r="3105" ht="15.75" customHeight="1">
      <c r="A3105" s="9" t="s">
        <v>34405</v>
      </c>
      <c r="B3105" s="9" t="s">
        <v>10699</v>
      </c>
      <c r="C3105" s="8" t="s">
        <v>34406</v>
      </c>
      <c r="D3105" s="9" t="b">
        <v>0</v>
      </c>
      <c r="E3105" s="9"/>
    </row>
    <row r="3106" ht="15.75" customHeight="1">
      <c r="A3106" s="9" t="s">
        <v>34407</v>
      </c>
      <c r="B3106" s="9" t="s">
        <v>10699</v>
      </c>
      <c r="C3106" s="8" t="s">
        <v>34408</v>
      </c>
      <c r="D3106" s="9" t="b">
        <v>0</v>
      </c>
      <c r="E3106" s="9"/>
    </row>
    <row r="3107" ht="15.75" customHeight="1">
      <c r="A3107" s="9" t="s">
        <v>34409</v>
      </c>
      <c r="B3107" s="9" t="s">
        <v>10699</v>
      </c>
      <c r="C3107" s="8" t="s">
        <v>34410</v>
      </c>
      <c r="D3107" s="9" t="b">
        <v>0</v>
      </c>
      <c r="E3107" s="9"/>
    </row>
    <row r="3108" ht="15.75" customHeight="1">
      <c r="A3108" s="9" t="s">
        <v>34411</v>
      </c>
      <c r="B3108" s="9" t="s">
        <v>10699</v>
      </c>
      <c r="C3108" s="8" t="s">
        <v>34412</v>
      </c>
      <c r="D3108" s="9" t="b">
        <v>1</v>
      </c>
      <c r="E3108" s="9"/>
    </row>
    <row r="3109" ht="15.75" customHeight="1">
      <c r="A3109" s="9" t="s">
        <v>34413</v>
      </c>
      <c r="B3109" s="9" t="s">
        <v>7483</v>
      </c>
      <c r="C3109" s="8" t="s">
        <v>34414</v>
      </c>
      <c r="D3109" s="9" t="b">
        <v>0</v>
      </c>
      <c r="E3109" s="9"/>
    </row>
    <row r="3110" ht="15.75" customHeight="1">
      <c r="A3110" s="9" t="s">
        <v>34415</v>
      </c>
      <c r="B3110" s="9" t="s">
        <v>7483</v>
      </c>
      <c r="C3110" s="8" t="s">
        <v>34416</v>
      </c>
      <c r="D3110" s="9" t="b">
        <v>0</v>
      </c>
      <c r="E3110" s="9"/>
    </row>
    <row r="3111" ht="15.75" customHeight="1">
      <c r="A3111" s="9" t="s">
        <v>34417</v>
      </c>
      <c r="B3111" s="9" t="s">
        <v>7483</v>
      </c>
      <c r="C3111" s="8" t="s">
        <v>34418</v>
      </c>
      <c r="D3111" s="9" t="b">
        <v>0</v>
      </c>
      <c r="E3111" s="9"/>
    </row>
    <row r="3112" ht="15.75" customHeight="1">
      <c r="A3112" s="9" t="s">
        <v>34419</v>
      </c>
      <c r="B3112" s="9" t="s">
        <v>7483</v>
      </c>
      <c r="C3112" s="8" t="s">
        <v>34420</v>
      </c>
      <c r="D3112" s="9" t="b">
        <v>0</v>
      </c>
      <c r="E3112" s="9"/>
    </row>
    <row r="3113" ht="15.75" customHeight="1">
      <c r="A3113" s="9" t="s">
        <v>34421</v>
      </c>
      <c r="B3113" s="9" t="s">
        <v>7483</v>
      </c>
      <c r="C3113" s="8" t="s">
        <v>34422</v>
      </c>
      <c r="D3113" s="9" t="b">
        <v>0</v>
      </c>
      <c r="E3113" s="9"/>
    </row>
    <row r="3114" ht="15.75" customHeight="1">
      <c r="A3114" s="9" t="s">
        <v>34423</v>
      </c>
      <c r="B3114" s="9" t="s">
        <v>11802</v>
      </c>
      <c r="C3114" s="8" t="s">
        <v>34424</v>
      </c>
      <c r="D3114" s="9" t="b">
        <v>0</v>
      </c>
      <c r="E3114" s="9"/>
    </row>
    <row r="3115" ht="15.75" customHeight="1">
      <c r="A3115" s="9" t="s">
        <v>34425</v>
      </c>
      <c r="B3115" s="9" t="s">
        <v>11802</v>
      </c>
      <c r="C3115" s="8" t="s">
        <v>34426</v>
      </c>
      <c r="D3115" s="9" t="b">
        <v>1</v>
      </c>
      <c r="E3115" s="9"/>
    </row>
    <row r="3116" ht="15.75" customHeight="1">
      <c r="A3116" s="9" t="s">
        <v>34427</v>
      </c>
      <c r="B3116" s="9" t="s">
        <v>12059</v>
      </c>
      <c r="C3116" s="8" t="s">
        <v>34428</v>
      </c>
      <c r="D3116" s="9" t="b">
        <v>1</v>
      </c>
      <c r="E3116" s="9"/>
    </row>
    <row r="3117" ht="15.75" customHeight="1">
      <c r="A3117" s="9" t="s">
        <v>34429</v>
      </c>
      <c r="B3117" s="9" t="s">
        <v>12059</v>
      </c>
      <c r="C3117" s="8" t="s">
        <v>34430</v>
      </c>
      <c r="D3117" s="9" t="b">
        <v>0</v>
      </c>
      <c r="E3117" s="9"/>
    </row>
    <row r="3118" ht="15.75" customHeight="1">
      <c r="A3118" s="9" t="s">
        <v>34431</v>
      </c>
      <c r="B3118" s="9" t="s">
        <v>12059</v>
      </c>
      <c r="C3118" s="8" t="s">
        <v>34432</v>
      </c>
      <c r="D3118" s="9" t="b">
        <v>0</v>
      </c>
      <c r="E3118" s="9"/>
    </row>
    <row r="3119" ht="15.75" customHeight="1">
      <c r="A3119" s="9" t="s">
        <v>34433</v>
      </c>
      <c r="B3119" s="9" t="s">
        <v>12059</v>
      </c>
      <c r="C3119" s="8" t="s">
        <v>34434</v>
      </c>
      <c r="D3119" s="9" t="b">
        <v>0</v>
      </c>
      <c r="E3119" s="9"/>
    </row>
    <row r="3120" ht="15.75" customHeight="1">
      <c r="A3120" s="9" t="s">
        <v>34435</v>
      </c>
      <c r="B3120" s="9" t="s">
        <v>12059</v>
      </c>
      <c r="C3120" s="8" t="s">
        <v>34436</v>
      </c>
      <c r="D3120" s="9" t="b">
        <v>0</v>
      </c>
      <c r="E3120" s="9"/>
    </row>
    <row r="3121" ht="15.75" customHeight="1">
      <c r="A3121" s="9" t="s">
        <v>34437</v>
      </c>
      <c r="B3121" s="9" t="s">
        <v>12059</v>
      </c>
      <c r="C3121" s="8" t="s">
        <v>34438</v>
      </c>
      <c r="D3121" s="9" t="b">
        <v>0</v>
      </c>
      <c r="E3121" s="9"/>
    </row>
    <row r="3122" ht="15.75" customHeight="1">
      <c r="A3122" s="9" t="s">
        <v>34439</v>
      </c>
      <c r="B3122" s="9" t="s">
        <v>12059</v>
      </c>
      <c r="C3122" s="8" t="s">
        <v>34440</v>
      </c>
      <c r="D3122" s="9" t="b">
        <v>0</v>
      </c>
      <c r="E3122" s="9"/>
    </row>
    <row r="3123" ht="15.75" customHeight="1">
      <c r="A3123" s="9" t="s">
        <v>34441</v>
      </c>
      <c r="B3123" s="9" t="s">
        <v>12059</v>
      </c>
      <c r="C3123" s="8" t="s">
        <v>34442</v>
      </c>
      <c r="D3123" s="9" t="b">
        <v>0</v>
      </c>
      <c r="E3123" s="9"/>
    </row>
    <row r="3124" ht="15.75" customHeight="1">
      <c r="A3124" s="9" t="s">
        <v>34443</v>
      </c>
      <c r="B3124" s="9" t="s">
        <v>12059</v>
      </c>
      <c r="C3124" s="8" t="s">
        <v>34444</v>
      </c>
      <c r="D3124" s="9" t="b">
        <v>0</v>
      </c>
      <c r="E3124" s="9"/>
    </row>
    <row r="3125" ht="15.75" customHeight="1">
      <c r="A3125" s="9" t="s">
        <v>34445</v>
      </c>
      <c r="B3125" s="9" t="s">
        <v>12059</v>
      </c>
      <c r="C3125" s="8" t="s">
        <v>34446</v>
      </c>
      <c r="D3125" s="9" t="b">
        <v>0</v>
      </c>
      <c r="E3125" s="9"/>
    </row>
    <row r="3126" ht="15.75" customHeight="1">
      <c r="A3126" s="9" t="s">
        <v>34447</v>
      </c>
      <c r="B3126" s="9" t="s">
        <v>12059</v>
      </c>
      <c r="C3126" s="8" t="s">
        <v>34448</v>
      </c>
      <c r="D3126" s="9" t="b">
        <v>0</v>
      </c>
      <c r="E3126" s="9"/>
    </row>
    <row r="3127" ht="15.75" customHeight="1">
      <c r="A3127" s="9" t="s">
        <v>34449</v>
      </c>
      <c r="B3127" s="9" t="s">
        <v>12059</v>
      </c>
      <c r="C3127" s="8" t="s">
        <v>34450</v>
      </c>
      <c r="D3127" s="9" t="b">
        <v>0</v>
      </c>
      <c r="E3127" s="9"/>
    </row>
    <row r="3128" ht="15.75" customHeight="1">
      <c r="A3128" s="9" t="s">
        <v>34451</v>
      </c>
      <c r="B3128" s="9" t="s">
        <v>12059</v>
      </c>
      <c r="C3128" s="8" t="s">
        <v>34452</v>
      </c>
      <c r="D3128" s="9" t="b">
        <v>0</v>
      </c>
      <c r="E3128" s="9"/>
    </row>
    <row r="3129" ht="15.75" customHeight="1">
      <c r="A3129" s="9" t="s">
        <v>34453</v>
      </c>
      <c r="B3129" s="9" t="s">
        <v>12059</v>
      </c>
      <c r="C3129" s="8" t="s">
        <v>34454</v>
      </c>
      <c r="D3129" s="9" t="b">
        <v>0</v>
      </c>
      <c r="E3129" s="9"/>
    </row>
    <row r="3130" ht="15.75" customHeight="1">
      <c r="A3130" s="9" t="s">
        <v>34455</v>
      </c>
      <c r="B3130" s="9" t="s">
        <v>12059</v>
      </c>
      <c r="C3130" s="8" t="s">
        <v>34456</v>
      </c>
      <c r="D3130" s="9" t="b">
        <v>0</v>
      </c>
      <c r="E3130" s="9"/>
    </row>
    <row r="3131" ht="15.75" customHeight="1">
      <c r="A3131" s="9" t="s">
        <v>34457</v>
      </c>
      <c r="B3131" s="9" t="s">
        <v>12059</v>
      </c>
      <c r="C3131" s="8" t="s">
        <v>34458</v>
      </c>
      <c r="D3131" s="9" t="b">
        <v>0</v>
      </c>
      <c r="E3131" s="9"/>
    </row>
    <row r="3132" ht="15.75" customHeight="1">
      <c r="A3132" s="9" t="s">
        <v>34459</v>
      </c>
      <c r="B3132" s="9" t="s">
        <v>12059</v>
      </c>
      <c r="C3132" s="8" t="s">
        <v>34460</v>
      </c>
      <c r="D3132" s="9" t="b">
        <v>0</v>
      </c>
      <c r="E3132" s="9"/>
    </row>
    <row r="3133" ht="15.75" customHeight="1">
      <c r="A3133" s="9" t="s">
        <v>34461</v>
      </c>
      <c r="B3133" s="9" t="s">
        <v>12059</v>
      </c>
      <c r="C3133" s="8" t="s">
        <v>34462</v>
      </c>
      <c r="D3133" s="9" t="b">
        <v>0</v>
      </c>
      <c r="E3133" s="9"/>
    </row>
    <row r="3134" ht="15.75" customHeight="1">
      <c r="A3134" s="9" t="s">
        <v>34463</v>
      </c>
      <c r="B3134" s="9" t="s">
        <v>12059</v>
      </c>
      <c r="C3134" s="8" t="s">
        <v>34464</v>
      </c>
      <c r="D3134" s="9" t="b">
        <v>0</v>
      </c>
      <c r="E3134" s="9"/>
    </row>
    <row r="3135" ht="15.75" customHeight="1">
      <c r="A3135" s="9" t="s">
        <v>34465</v>
      </c>
      <c r="B3135" s="9" t="s">
        <v>12059</v>
      </c>
      <c r="C3135" s="8" t="s">
        <v>34466</v>
      </c>
      <c r="D3135" s="9" t="b">
        <v>0</v>
      </c>
      <c r="E3135" s="9"/>
    </row>
    <row r="3136" ht="15.75" customHeight="1">
      <c r="A3136" s="9" t="s">
        <v>34467</v>
      </c>
      <c r="B3136" s="9" t="s">
        <v>12059</v>
      </c>
      <c r="C3136" s="8" t="s">
        <v>34468</v>
      </c>
      <c r="D3136" s="9" t="b">
        <v>0</v>
      </c>
      <c r="E3136" s="9"/>
    </row>
    <row r="3137" ht="15.75" customHeight="1">
      <c r="A3137" s="9" t="s">
        <v>34469</v>
      </c>
      <c r="B3137" s="9" t="s">
        <v>12059</v>
      </c>
      <c r="C3137" s="8" t="s">
        <v>34470</v>
      </c>
      <c r="D3137" s="9" t="b">
        <v>0</v>
      </c>
      <c r="E3137" s="9"/>
    </row>
    <row r="3138" ht="15.75" customHeight="1">
      <c r="A3138" s="9" t="s">
        <v>34471</v>
      </c>
      <c r="B3138" s="9" t="s">
        <v>12059</v>
      </c>
      <c r="C3138" s="8" t="s">
        <v>34472</v>
      </c>
      <c r="D3138" s="9" t="b">
        <v>0</v>
      </c>
      <c r="E3138" s="9"/>
    </row>
    <row r="3139" ht="15.75" customHeight="1">
      <c r="A3139" s="9" t="s">
        <v>34473</v>
      </c>
      <c r="B3139" s="9" t="s">
        <v>12059</v>
      </c>
      <c r="C3139" s="8" t="s">
        <v>34474</v>
      </c>
      <c r="D3139" s="9" t="b">
        <v>0</v>
      </c>
      <c r="E3139" s="9"/>
    </row>
    <row r="3140" ht="15.75" customHeight="1">
      <c r="A3140" s="9" t="s">
        <v>34475</v>
      </c>
      <c r="B3140" s="9" t="s">
        <v>12059</v>
      </c>
      <c r="C3140" s="8" t="s">
        <v>34476</v>
      </c>
      <c r="D3140" s="9" t="b">
        <v>0</v>
      </c>
      <c r="E3140" s="9"/>
    </row>
    <row r="3141" ht="15.75" customHeight="1">
      <c r="A3141" s="9" t="s">
        <v>34477</v>
      </c>
      <c r="B3141" s="9" t="s">
        <v>12059</v>
      </c>
      <c r="C3141" s="8" t="s">
        <v>34478</v>
      </c>
      <c r="D3141" s="9" t="b">
        <v>0</v>
      </c>
      <c r="E3141" s="9"/>
    </row>
    <row r="3142" ht="15.75" customHeight="1">
      <c r="A3142" s="9" t="s">
        <v>34479</v>
      </c>
      <c r="B3142" s="9" t="s">
        <v>12059</v>
      </c>
      <c r="C3142" s="8" t="s">
        <v>34480</v>
      </c>
      <c r="D3142" s="9" t="b">
        <v>0</v>
      </c>
      <c r="E3142" s="9"/>
    </row>
    <row r="3143" ht="15.75" customHeight="1">
      <c r="A3143" s="9" t="s">
        <v>34481</v>
      </c>
      <c r="B3143" s="9" t="s">
        <v>10394</v>
      </c>
      <c r="C3143" s="8" t="s">
        <v>34482</v>
      </c>
      <c r="D3143" s="9" t="b">
        <v>0</v>
      </c>
      <c r="E3143" s="9"/>
    </row>
    <row r="3144" ht="15.75" customHeight="1">
      <c r="A3144" s="9" t="s">
        <v>34483</v>
      </c>
      <c r="B3144" s="9" t="s">
        <v>10394</v>
      </c>
      <c r="C3144" s="8" t="s">
        <v>34484</v>
      </c>
      <c r="D3144" s="9" t="b">
        <v>0</v>
      </c>
      <c r="E3144" s="9"/>
    </row>
    <row r="3145" ht="15.75" customHeight="1">
      <c r="A3145" s="9" t="s">
        <v>34485</v>
      </c>
      <c r="B3145" s="9" t="s">
        <v>10394</v>
      </c>
      <c r="C3145" s="8" t="s">
        <v>34486</v>
      </c>
      <c r="D3145" s="9" t="b">
        <v>1</v>
      </c>
      <c r="E3145" s="9"/>
    </row>
    <row r="3146" ht="15.75" customHeight="1">
      <c r="A3146" s="9" t="s">
        <v>34487</v>
      </c>
      <c r="B3146" s="9" t="s">
        <v>10394</v>
      </c>
      <c r="C3146" s="8" t="s">
        <v>34488</v>
      </c>
      <c r="D3146" s="9" t="b">
        <v>0</v>
      </c>
      <c r="E3146" s="9"/>
    </row>
    <row r="3147" ht="15.75" customHeight="1">
      <c r="A3147" s="9" t="s">
        <v>34489</v>
      </c>
      <c r="B3147" s="9" t="s">
        <v>10394</v>
      </c>
      <c r="C3147" s="8" t="s">
        <v>34490</v>
      </c>
      <c r="D3147" s="9" t="b">
        <v>0</v>
      </c>
      <c r="E3147" s="9"/>
    </row>
    <row r="3148" ht="15.75" customHeight="1">
      <c r="A3148" s="9" t="s">
        <v>34491</v>
      </c>
      <c r="B3148" s="9" t="s">
        <v>10394</v>
      </c>
      <c r="C3148" s="8" t="s">
        <v>34492</v>
      </c>
      <c r="D3148" s="9" t="b">
        <v>0</v>
      </c>
      <c r="E3148" s="9"/>
    </row>
    <row r="3149" ht="15.75" customHeight="1">
      <c r="A3149" s="9" t="s">
        <v>34493</v>
      </c>
      <c r="B3149" s="9" t="s">
        <v>10394</v>
      </c>
      <c r="C3149" s="8" t="s">
        <v>34494</v>
      </c>
      <c r="D3149" s="9" t="b">
        <v>0</v>
      </c>
      <c r="E3149" s="9"/>
    </row>
    <row r="3150" ht="15.75" customHeight="1">
      <c r="A3150" s="9" t="s">
        <v>34495</v>
      </c>
      <c r="B3150" s="9" t="s">
        <v>10394</v>
      </c>
      <c r="C3150" s="8" t="s">
        <v>34496</v>
      </c>
      <c r="D3150" s="9" t="b">
        <v>0</v>
      </c>
      <c r="E3150" s="9"/>
    </row>
    <row r="3151" ht="15.75" customHeight="1">
      <c r="A3151" s="9" t="s">
        <v>34497</v>
      </c>
      <c r="B3151" s="9" t="s">
        <v>7026</v>
      </c>
      <c r="C3151" s="8" t="s">
        <v>34498</v>
      </c>
      <c r="D3151" s="9" t="b">
        <v>0</v>
      </c>
      <c r="E3151" s="9"/>
    </row>
    <row r="3152" ht="15.75" customHeight="1">
      <c r="A3152" s="9" t="s">
        <v>34499</v>
      </c>
      <c r="B3152" s="9" t="s">
        <v>7026</v>
      </c>
      <c r="C3152" s="8" t="s">
        <v>34500</v>
      </c>
      <c r="D3152" s="9" t="b">
        <v>0</v>
      </c>
      <c r="E3152" s="9"/>
    </row>
    <row r="3153" ht="15.75" customHeight="1">
      <c r="A3153" s="9" t="s">
        <v>34501</v>
      </c>
      <c r="B3153" s="9" t="s">
        <v>7026</v>
      </c>
      <c r="C3153" s="8" t="s">
        <v>34502</v>
      </c>
      <c r="D3153" s="9" t="b">
        <v>0</v>
      </c>
      <c r="E3153" s="9"/>
    </row>
    <row r="3154" ht="15.75" customHeight="1">
      <c r="A3154" s="9" t="s">
        <v>34503</v>
      </c>
      <c r="B3154" s="9" t="s">
        <v>7026</v>
      </c>
      <c r="C3154" s="8" t="s">
        <v>34504</v>
      </c>
      <c r="D3154" s="9" t="b">
        <v>0</v>
      </c>
      <c r="E3154" s="9"/>
    </row>
    <row r="3155" ht="15.75" customHeight="1">
      <c r="A3155" s="9" t="s">
        <v>34505</v>
      </c>
      <c r="B3155" s="9" t="s">
        <v>7041</v>
      </c>
      <c r="C3155" s="8" t="s">
        <v>34506</v>
      </c>
      <c r="D3155" s="9" t="b">
        <v>0</v>
      </c>
      <c r="E3155" s="9"/>
    </row>
    <row r="3156" ht="15.75" customHeight="1">
      <c r="A3156" s="9" t="s">
        <v>34507</v>
      </c>
      <c r="B3156" s="9" t="s">
        <v>7041</v>
      </c>
      <c r="C3156" s="8" t="s">
        <v>34508</v>
      </c>
      <c r="D3156" s="9" t="b">
        <v>0</v>
      </c>
      <c r="E3156" s="9"/>
    </row>
    <row r="3157" ht="15.75" customHeight="1">
      <c r="A3157" s="9" t="s">
        <v>34509</v>
      </c>
      <c r="B3157" s="9" t="s">
        <v>7041</v>
      </c>
      <c r="C3157" s="8" t="s">
        <v>34510</v>
      </c>
      <c r="D3157" s="9" t="b">
        <v>0</v>
      </c>
      <c r="E3157" s="9"/>
    </row>
    <row r="3158" ht="15.75" customHeight="1">
      <c r="A3158" s="9" t="s">
        <v>34511</v>
      </c>
      <c r="B3158" s="9" t="s">
        <v>7041</v>
      </c>
      <c r="C3158" s="8" t="s">
        <v>34512</v>
      </c>
      <c r="D3158" s="9" t="b">
        <v>0</v>
      </c>
      <c r="E3158" s="9"/>
    </row>
    <row r="3159" ht="15.75" customHeight="1">
      <c r="A3159" s="9" t="s">
        <v>34513</v>
      </c>
      <c r="B3159" s="9" t="s">
        <v>7041</v>
      </c>
      <c r="C3159" s="8" t="s">
        <v>34514</v>
      </c>
      <c r="D3159" s="9" t="b">
        <v>0</v>
      </c>
      <c r="E3159" s="9"/>
    </row>
    <row r="3160" ht="15.75" customHeight="1">
      <c r="A3160" s="9" t="s">
        <v>34515</v>
      </c>
      <c r="B3160" s="9" t="s">
        <v>7041</v>
      </c>
      <c r="C3160" s="8" t="s">
        <v>34516</v>
      </c>
      <c r="D3160" s="9" t="b">
        <v>0</v>
      </c>
      <c r="E3160" s="9"/>
    </row>
    <row r="3161" ht="15.75" customHeight="1">
      <c r="A3161" s="9" t="s">
        <v>34517</v>
      </c>
      <c r="B3161" s="9" t="s">
        <v>7041</v>
      </c>
      <c r="C3161" s="8" t="s">
        <v>34518</v>
      </c>
      <c r="D3161" s="9" t="b">
        <v>1</v>
      </c>
      <c r="E3161" s="9"/>
    </row>
    <row r="3162" ht="15.75" customHeight="1">
      <c r="A3162" s="9" t="s">
        <v>34519</v>
      </c>
      <c r="B3162" s="9" t="s">
        <v>7026</v>
      </c>
      <c r="C3162" s="8" t="s">
        <v>34520</v>
      </c>
      <c r="D3162" s="9" t="b">
        <v>1</v>
      </c>
      <c r="E3162" s="9"/>
    </row>
    <row r="3163" ht="15.75" customHeight="1">
      <c r="A3163" s="9" t="s">
        <v>34521</v>
      </c>
      <c r="B3163" s="52" t="s">
        <v>14304</v>
      </c>
      <c r="C3163" s="8" t="s">
        <v>34522</v>
      </c>
      <c r="D3163" s="9" t="b">
        <v>0</v>
      </c>
      <c r="E3163" s="9"/>
    </row>
    <row r="3164" ht="15.75" customHeight="1">
      <c r="A3164" s="9" t="s">
        <v>34523</v>
      </c>
      <c r="B3164" s="52" t="s">
        <v>14304</v>
      </c>
      <c r="C3164" s="8" t="s">
        <v>34524</v>
      </c>
      <c r="D3164" s="9" t="b">
        <v>0</v>
      </c>
      <c r="E3164" s="9"/>
    </row>
    <row r="3165" ht="15.75" customHeight="1">
      <c r="A3165" s="9" t="s">
        <v>34525</v>
      </c>
      <c r="B3165" s="52" t="s">
        <v>14304</v>
      </c>
      <c r="C3165" s="8" t="s">
        <v>34526</v>
      </c>
      <c r="D3165" s="9" t="b">
        <v>0</v>
      </c>
      <c r="E3165" s="9"/>
    </row>
    <row r="3166" ht="15.75" customHeight="1">
      <c r="A3166" s="9" t="s">
        <v>34527</v>
      </c>
      <c r="B3166" s="52" t="s">
        <v>14304</v>
      </c>
      <c r="C3166" s="8" t="s">
        <v>34528</v>
      </c>
      <c r="D3166" s="9" t="b">
        <v>0</v>
      </c>
      <c r="E3166" s="9"/>
    </row>
    <row r="3167" ht="15.75" customHeight="1">
      <c r="A3167" s="9" t="s">
        <v>34529</v>
      </c>
      <c r="B3167" s="52" t="s">
        <v>14304</v>
      </c>
      <c r="C3167" s="8" t="s">
        <v>34530</v>
      </c>
      <c r="D3167" s="9" t="b">
        <v>1</v>
      </c>
      <c r="E3167" s="9"/>
    </row>
    <row r="3168" ht="15.75" customHeight="1">
      <c r="A3168" s="9" t="s">
        <v>34531</v>
      </c>
      <c r="B3168" s="9" t="s">
        <v>10416</v>
      </c>
      <c r="C3168" s="8" t="s">
        <v>34532</v>
      </c>
      <c r="D3168" s="9" t="b">
        <v>0</v>
      </c>
      <c r="E3168" s="9"/>
    </row>
    <row r="3169" ht="15.75" customHeight="1">
      <c r="A3169" s="9" t="s">
        <v>34533</v>
      </c>
      <c r="B3169" s="9" t="s">
        <v>10416</v>
      </c>
      <c r="C3169" s="8" t="s">
        <v>34534</v>
      </c>
      <c r="D3169" s="9" t="b">
        <v>0</v>
      </c>
      <c r="E3169" s="9"/>
    </row>
    <row r="3170" ht="15.75" customHeight="1">
      <c r="A3170" s="9" t="s">
        <v>34535</v>
      </c>
      <c r="B3170" s="9" t="s">
        <v>10416</v>
      </c>
      <c r="C3170" s="8" t="s">
        <v>34536</v>
      </c>
      <c r="D3170" s="9" t="b">
        <v>1</v>
      </c>
      <c r="E3170" s="9"/>
    </row>
    <row r="3171" ht="15.75" customHeight="1">
      <c r="A3171" s="9" t="s">
        <v>34537</v>
      </c>
      <c r="B3171" s="52" t="s">
        <v>14304</v>
      </c>
      <c r="C3171" s="8" t="s">
        <v>34538</v>
      </c>
      <c r="D3171" s="9" t="b">
        <v>0</v>
      </c>
      <c r="E3171" s="9"/>
    </row>
    <row r="3172" ht="15.75" customHeight="1">
      <c r="A3172" s="9" t="s">
        <v>34539</v>
      </c>
      <c r="B3172" s="9" t="s">
        <v>10509</v>
      </c>
      <c r="C3172" s="8" t="s">
        <v>34540</v>
      </c>
      <c r="D3172" s="9" t="b">
        <v>0</v>
      </c>
      <c r="E3172" s="9"/>
    </row>
    <row r="3173" ht="15.75" customHeight="1">
      <c r="A3173" s="9" t="s">
        <v>34541</v>
      </c>
      <c r="B3173" s="9" t="s">
        <v>10509</v>
      </c>
      <c r="C3173" s="8" t="s">
        <v>34542</v>
      </c>
      <c r="D3173" s="9" t="b">
        <v>0</v>
      </c>
      <c r="E3173" s="9"/>
    </row>
    <row r="3174" ht="15.75" customHeight="1">
      <c r="A3174" s="9" t="s">
        <v>34543</v>
      </c>
      <c r="B3174" s="9" t="s">
        <v>10509</v>
      </c>
      <c r="C3174" s="8" t="s">
        <v>34544</v>
      </c>
      <c r="D3174" s="9" t="b">
        <v>0</v>
      </c>
      <c r="E3174" s="9"/>
    </row>
    <row r="3175" ht="15.75" customHeight="1">
      <c r="A3175" s="9" t="s">
        <v>34545</v>
      </c>
      <c r="B3175" s="9" t="s">
        <v>10509</v>
      </c>
      <c r="C3175" s="8" t="s">
        <v>34546</v>
      </c>
      <c r="D3175" s="9" t="b">
        <v>1</v>
      </c>
      <c r="E3175" s="9"/>
    </row>
    <row r="3176" ht="15.75" customHeight="1">
      <c r="A3176" s="9" t="s">
        <v>34547</v>
      </c>
      <c r="B3176" s="9" t="s">
        <v>10509</v>
      </c>
      <c r="C3176" s="8" t="s">
        <v>34548</v>
      </c>
      <c r="D3176" s="9" t="b">
        <v>0</v>
      </c>
      <c r="E3176" s="9"/>
    </row>
    <row r="3177" ht="15.75" customHeight="1">
      <c r="A3177" s="52" t="s">
        <v>34549</v>
      </c>
      <c r="B3177" s="9" t="s">
        <v>10509</v>
      </c>
      <c r="C3177" s="8" t="s">
        <v>34550</v>
      </c>
      <c r="D3177" s="9" t="b">
        <v>0</v>
      </c>
      <c r="E3177" s="9"/>
    </row>
    <row r="3178" ht="15.75" customHeight="1">
      <c r="A3178" s="9" t="s">
        <v>34551</v>
      </c>
      <c r="B3178" s="9" t="s">
        <v>10509</v>
      </c>
      <c r="C3178" s="8" t="s">
        <v>34552</v>
      </c>
      <c r="D3178" s="9" t="b">
        <v>0</v>
      </c>
      <c r="E3178" s="9"/>
    </row>
    <row r="3179" ht="15.75" customHeight="1">
      <c r="A3179" s="9" t="s">
        <v>34553</v>
      </c>
      <c r="B3179" s="9" t="s">
        <v>10509</v>
      </c>
      <c r="C3179" s="8" t="s">
        <v>34554</v>
      </c>
      <c r="D3179" s="9" t="b">
        <v>0</v>
      </c>
      <c r="E3179" s="9"/>
    </row>
    <row r="3180" ht="15.75" customHeight="1">
      <c r="A3180" s="9" t="s">
        <v>34555</v>
      </c>
      <c r="B3180" s="9" t="s">
        <v>12136</v>
      </c>
      <c r="C3180" s="8" t="s">
        <v>34556</v>
      </c>
      <c r="D3180" s="9" t="b">
        <v>0</v>
      </c>
      <c r="E3180" s="9"/>
    </row>
    <row r="3181" ht="15.75" customHeight="1">
      <c r="A3181" s="9" t="s">
        <v>34557</v>
      </c>
      <c r="B3181" s="9" t="s">
        <v>12136</v>
      </c>
      <c r="C3181" s="8" t="s">
        <v>34558</v>
      </c>
      <c r="D3181" s="9" t="b">
        <v>0</v>
      </c>
      <c r="E3181" s="9"/>
    </row>
    <row r="3182" ht="15.75" customHeight="1">
      <c r="A3182" s="9" t="s">
        <v>34559</v>
      </c>
      <c r="B3182" s="9" t="s">
        <v>12136</v>
      </c>
      <c r="C3182" s="8" t="s">
        <v>34560</v>
      </c>
      <c r="D3182" s="9" t="b">
        <v>0</v>
      </c>
      <c r="E3182" s="9"/>
    </row>
    <row r="3183" ht="15.75" customHeight="1">
      <c r="A3183" s="9" t="s">
        <v>34561</v>
      </c>
      <c r="B3183" s="9" t="s">
        <v>12136</v>
      </c>
      <c r="C3183" s="8" t="s">
        <v>34562</v>
      </c>
      <c r="D3183" s="9" t="b">
        <v>0</v>
      </c>
      <c r="E3183" s="9"/>
    </row>
    <row r="3184" ht="15.75" customHeight="1">
      <c r="A3184" s="9" t="s">
        <v>34563</v>
      </c>
      <c r="B3184" s="9" t="s">
        <v>12136</v>
      </c>
      <c r="C3184" s="8" t="s">
        <v>34564</v>
      </c>
      <c r="D3184" s="9" t="b">
        <v>0</v>
      </c>
      <c r="E3184" s="9"/>
    </row>
    <row r="3185" ht="15.75" customHeight="1">
      <c r="A3185" s="9" t="s">
        <v>34565</v>
      </c>
      <c r="B3185" s="9" t="s">
        <v>12136</v>
      </c>
      <c r="C3185" s="8" t="s">
        <v>34566</v>
      </c>
      <c r="D3185" s="9" t="b">
        <v>1</v>
      </c>
      <c r="E3185" s="9"/>
    </row>
    <row r="3186" ht="15.75" customHeight="1">
      <c r="A3186" s="9" t="s">
        <v>34567</v>
      </c>
      <c r="B3186" s="9" t="s">
        <v>6330</v>
      </c>
      <c r="C3186" s="8" t="s">
        <v>34568</v>
      </c>
      <c r="D3186" s="9" t="b">
        <v>0</v>
      </c>
      <c r="E3186" s="9"/>
    </row>
    <row r="3187" ht="15.75" customHeight="1">
      <c r="A3187" s="9" t="s">
        <v>34569</v>
      </c>
      <c r="B3187" s="9" t="s">
        <v>6330</v>
      </c>
      <c r="C3187" s="8" t="s">
        <v>34570</v>
      </c>
      <c r="D3187" s="9" t="b">
        <v>0</v>
      </c>
      <c r="E3187" s="9"/>
    </row>
    <row r="3188" ht="15.75" customHeight="1">
      <c r="A3188" s="9" t="s">
        <v>34571</v>
      </c>
      <c r="B3188" s="9" t="s">
        <v>6330</v>
      </c>
      <c r="C3188" s="8" t="s">
        <v>34572</v>
      </c>
      <c r="D3188" s="9" t="b">
        <v>0</v>
      </c>
      <c r="E3188" s="9"/>
    </row>
    <row r="3189" ht="15.75" customHeight="1">
      <c r="A3189" s="9" t="s">
        <v>34573</v>
      </c>
      <c r="B3189" s="9" t="s">
        <v>6330</v>
      </c>
      <c r="C3189" s="8" t="s">
        <v>34574</v>
      </c>
      <c r="D3189" s="9" t="b">
        <v>1</v>
      </c>
      <c r="E3189" s="9"/>
    </row>
    <row r="3190" ht="15.75" customHeight="1">
      <c r="A3190" s="9" t="s">
        <v>34575</v>
      </c>
      <c r="B3190" s="9" t="s">
        <v>6330</v>
      </c>
      <c r="C3190" s="8" t="s">
        <v>34576</v>
      </c>
      <c r="D3190" s="9" t="b">
        <v>0</v>
      </c>
      <c r="E3190" s="9"/>
    </row>
    <row r="3191" ht="15.75" customHeight="1">
      <c r="A3191" s="9" t="s">
        <v>34577</v>
      </c>
      <c r="B3191" s="9" t="s">
        <v>6330</v>
      </c>
      <c r="C3191" s="8" t="s">
        <v>34578</v>
      </c>
      <c r="D3191" s="9" t="b">
        <v>0</v>
      </c>
      <c r="E3191" s="9"/>
    </row>
    <row r="3192" ht="15.75" customHeight="1">
      <c r="A3192" s="9" t="s">
        <v>34579</v>
      </c>
      <c r="B3192" s="9" t="s">
        <v>249</v>
      </c>
      <c r="C3192" s="8" t="s">
        <v>34580</v>
      </c>
      <c r="D3192" s="9" t="b">
        <v>0</v>
      </c>
      <c r="E3192" s="9"/>
    </row>
    <row r="3193" ht="15.75" customHeight="1">
      <c r="A3193" s="9" t="s">
        <v>34581</v>
      </c>
      <c r="B3193" s="9" t="s">
        <v>249</v>
      </c>
      <c r="C3193" s="8" t="s">
        <v>34582</v>
      </c>
      <c r="D3193" s="9" t="b">
        <v>0</v>
      </c>
      <c r="E3193" s="9"/>
    </row>
    <row r="3194" ht="15.75" customHeight="1">
      <c r="A3194" s="9" t="s">
        <v>34583</v>
      </c>
      <c r="B3194" s="9" t="s">
        <v>249</v>
      </c>
      <c r="C3194" s="8" t="s">
        <v>34584</v>
      </c>
      <c r="D3194" s="9" t="b">
        <v>0</v>
      </c>
      <c r="E3194" s="9"/>
    </row>
    <row r="3195" ht="15.75" customHeight="1">
      <c r="A3195" s="9" t="s">
        <v>34585</v>
      </c>
      <c r="B3195" s="9" t="s">
        <v>249</v>
      </c>
      <c r="C3195" s="8" t="s">
        <v>34586</v>
      </c>
      <c r="D3195" s="9" t="b">
        <v>1</v>
      </c>
      <c r="E3195" s="9"/>
    </row>
    <row r="3196" ht="15.75" customHeight="1">
      <c r="A3196" s="9" t="s">
        <v>34587</v>
      </c>
      <c r="B3196" s="9" t="s">
        <v>2122</v>
      </c>
      <c r="C3196" s="8" t="s">
        <v>34588</v>
      </c>
      <c r="D3196" s="9" t="b">
        <v>1</v>
      </c>
      <c r="E3196" s="9"/>
    </row>
    <row r="3197" ht="15.75" customHeight="1">
      <c r="A3197" s="9" t="s">
        <v>34589</v>
      </c>
      <c r="B3197" s="9" t="s">
        <v>2122</v>
      </c>
      <c r="C3197" s="8" t="s">
        <v>34590</v>
      </c>
      <c r="D3197" s="9" t="b">
        <v>0</v>
      </c>
      <c r="E3197" s="9"/>
    </row>
    <row r="3198" ht="15.75" customHeight="1">
      <c r="A3198" s="9" t="s">
        <v>34591</v>
      </c>
      <c r="B3198" s="9" t="s">
        <v>2122</v>
      </c>
      <c r="C3198" s="8" t="s">
        <v>34592</v>
      </c>
      <c r="D3198" s="9" t="b">
        <v>0</v>
      </c>
      <c r="E3198" s="9"/>
    </row>
    <row r="3199" ht="15.75" customHeight="1">
      <c r="A3199" s="9" t="s">
        <v>34593</v>
      </c>
      <c r="B3199" s="9" t="s">
        <v>2122</v>
      </c>
      <c r="C3199" s="8" t="s">
        <v>34594</v>
      </c>
      <c r="D3199" s="9" t="b">
        <v>0</v>
      </c>
      <c r="E3199" s="9"/>
    </row>
    <row r="3200" ht="15.75" customHeight="1">
      <c r="A3200" s="9" t="s">
        <v>34595</v>
      </c>
      <c r="B3200" s="9" t="s">
        <v>8236</v>
      </c>
      <c r="C3200" s="8" t="s">
        <v>34596</v>
      </c>
      <c r="D3200" s="9" t="b">
        <v>0</v>
      </c>
      <c r="E3200" s="9"/>
    </row>
    <row r="3201" ht="15.75" customHeight="1">
      <c r="A3201" s="9" t="s">
        <v>34597</v>
      </c>
      <c r="B3201" s="9" t="s">
        <v>8236</v>
      </c>
      <c r="C3201" s="8" t="s">
        <v>34598</v>
      </c>
      <c r="D3201" s="9" t="b">
        <v>0</v>
      </c>
      <c r="E3201" s="9"/>
    </row>
    <row r="3202" ht="15.75" customHeight="1">
      <c r="A3202" s="9" t="s">
        <v>34599</v>
      </c>
      <c r="B3202" s="9" t="s">
        <v>8236</v>
      </c>
      <c r="C3202" s="8" t="s">
        <v>34600</v>
      </c>
      <c r="D3202" s="9" t="b">
        <v>0</v>
      </c>
      <c r="E3202" s="9"/>
    </row>
    <row r="3203" ht="15.75" customHeight="1">
      <c r="A3203" s="9" t="s">
        <v>34601</v>
      </c>
      <c r="B3203" s="9" t="s">
        <v>8236</v>
      </c>
      <c r="C3203" s="8" t="s">
        <v>34602</v>
      </c>
      <c r="D3203" s="9" t="b">
        <v>0</v>
      </c>
      <c r="E3203" s="9"/>
    </row>
    <row r="3204" ht="15.75" customHeight="1">
      <c r="A3204" s="9" t="s">
        <v>34603</v>
      </c>
      <c r="B3204" s="9" t="s">
        <v>8236</v>
      </c>
      <c r="C3204" s="8" t="s">
        <v>34604</v>
      </c>
      <c r="D3204" s="9" t="b">
        <v>0</v>
      </c>
      <c r="E3204" s="9"/>
    </row>
    <row r="3205" ht="15.75" customHeight="1">
      <c r="A3205" s="9"/>
      <c r="B3205" s="9"/>
      <c r="C3205" s="9"/>
      <c r="D3205" s="9"/>
      <c r="E3205" s="9"/>
    </row>
    <row r="3206" ht="15.75" customHeight="1">
      <c r="A3206" s="9" t="s">
        <v>34605</v>
      </c>
      <c r="B3206" s="9" t="s">
        <v>8236</v>
      </c>
      <c r="C3206" s="8" t="s">
        <v>34606</v>
      </c>
      <c r="D3206" s="9" t="b">
        <v>0</v>
      </c>
      <c r="E3206" s="9"/>
    </row>
    <row r="3207" ht="15.75" customHeight="1">
      <c r="A3207" s="9" t="s">
        <v>34607</v>
      </c>
      <c r="B3207" s="9" t="s">
        <v>8236</v>
      </c>
      <c r="C3207" s="8" t="s">
        <v>34608</v>
      </c>
      <c r="D3207" s="9" t="b">
        <v>1</v>
      </c>
      <c r="E3207" s="9"/>
    </row>
    <row r="3208" ht="15.75" customHeight="1">
      <c r="A3208" s="9" t="s">
        <v>34609</v>
      </c>
      <c r="B3208" s="9" t="s">
        <v>8408</v>
      </c>
      <c r="C3208" s="8" t="s">
        <v>34610</v>
      </c>
      <c r="D3208" s="9" t="b">
        <v>0</v>
      </c>
      <c r="E3208" s="9"/>
    </row>
    <row r="3209" ht="15.75" customHeight="1">
      <c r="A3209" s="9" t="s">
        <v>34611</v>
      </c>
      <c r="B3209" s="9" t="s">
        <v>8408</v>
      </c>
      <c r="C3209" s="8" t="s">
        <v>34612</v>
      </c>
      <c r="D3209" s="9" t="b">
        <v>0</v>
      </c>
      <c r="E3209" s="9"/>
    </row>
    <row r="3210" ht="15.75" customHeight="1">
      <c r="A3210" s="9" t="s">
        <v>34613</v>
      </c>
      <c r="B3210" s="9" t="s">
        <v>8408</v>
      </c>
      <c r="C3210" s="8" t="s">
        <v>34614</v>
      </c>
      <c r="D3210" s="9" t="b">
        <v>0</v>
      </c>
      <c r="E3210" s="9"/>
    </row>
    <row r="3211" ht="15.75" customHeight="1">
      <c r="A3211" s="9" t="s">
        <v>34615</v>
      </c>
      <c r="B3211" s="9" t="s">
        <v>8408</v>
      </c>
      <c r="C3211" s="8" t="s">
        <v>34616</v>
      </c>
      <c r="D3211" s="9" t="b">
        <v>0</v>
      </c>
      <c r="E3211" s="9"/>
    </row>
    <row r="3212" ht="15.75" customHeight="1">
      <c r="A3212" s="9" t="s">
        <v>34617</v>
      </c>
      <c r="B3212" s="9" t="s">
        <v>8408</v>
      </c>
      <c r="C3212" s="8" t="s">
        <v>34618</v>
      </c>
      <c r="D3212" s="9" t="b">
        <v>0</v>
      </c>
      <c r="E3212" s="9"/>
    </row>
    <row r="3213" ht="15.75" customHeight="1">
      <c r="A3213" s="9" t="s">
        <v>34619</v>
      </c>
      <c r="B3213" s="9" t="s">
        <v>8408</v>
      </c>
      <c r="C3213" s="8" t="s">
        <v>34620</v>
      </c>
      <c r="D3213" s="9" t="b">
        <v>1</v>
      </c>
      <c r="E3213" s="9"/>
    </row>
    <row r="3214" ht="15.75" customHeight="1">
      <c r="A3214" s="9" t="s">
        <v>34621</v>
      </c>
      <c r="B3214" s="9" t="s">
        <v>8468</v>
      </c>
      <c r="C3214" s="8" t="s">
        <v>34622</v>
      </c>
      <c r="D3214" s="9" t="b">
        <v>0</v>
      </c>
      <c r="E3214" s="9"/>
    </row>
    <row r="3215" ht="15.75" customHeight="1">
      <c r="A3215" s="9" t="s">
        <v>34623</v>
      </c>
      <c r="B3215" s="9" t="s">
        <v>8468</v>
      </c>
      <c r="C3215" s="8" t="s">
        <v>34624</v>
      </c>
      <c r="D3215" s="9" t="b">
        <v>0</v>
      </c>
      <c r="E3215" s="9"/>
    </row>
    <row r="3216" ht="15.75" customHeight="1">
      <c r="A3216" s="9" t="s">
        <v>34625</v>
      </c>
      <c r="B3216" s="9" t="s">
        <v>8468</v>
      </c>
      <c r="C3216" s="8" t="s">
        <v>34626</v>
      </c>
      <c r="D3216" s="9" t="b">
        <v>0</v>
      </c>
      <c r="E3216" s="9"/>
    </row>
    <row r="3217" ht="15.75" customHeight="1">
      <c r="A3217" s="9" t="s">
        <v>34627</v>
      </c>
      <c r="B3217" s="9" t="s">
        <v>8468</v>
      </c>
      <c r="C3217" s="8" t="s">
        <v>34628</v>
      </c>
      <c r="D3217" s="9" t="b">
        <v>1</v>
      </c>
      <c r="E3217" s="9"/>
    </row>
    <row r="3218" ht="15.75" customHeight="1">
      <c r="A3218" s="9" t="s">
        <v>34629</v>
      </c>
      <c r="B3218" s="9" t="s">
        <v>8478</v>
      </c>
      <c r="C3218" s="8" t="s">
        <v>34630</v>
      </c>
      <c r="D3218" s="9" t="b">
        <v>0</v>
      </c>
      <c r="E3218" s="9"/>
    </row>
    <row r="3219" ht="15.75" customHeight="1">
      <c r="A3219" s="9" t="s">
        <v>34631</v>
      </c>
      <c r="B3219" s="9" t="s">
        <v>8478</v>
      </c>
      <c r="C3219" s="8" t="s">
        <v>34632</v>
      </c>
      <c r="D3219" s="9" t="b">
        <v>1</v>
      </c>
      <c r="E3219" s="9"/>
    </row>
    <row r="3220" ht="15.75" customHeight="1">
      <c r="A3220" s="9" t="s">
        <v>34633</v>
      </c>
      <c r="B3220" s="9" t="s">
        <v>8478</v>
      </c>
      <c r="C3220" s="8" t="s">
        <v>34634</v>
      </c>
      <c r="D3220" s="9" t="b">
        <v>0</v>
      </c>
      <c r="E3220" s="9"/>
    </row>
    <row r="3221" ht="15.75" customHeight="1">
      <c r="A3221" s="9" t="s">
        <v>34635</v>
      </c>
      <c r="B3221" s="9" t="s">
        <v>8478</v>
      </c>
      <c r="C3221" s="8" t="s">
        <v>34636</v>
      </c>
      <c r="D3221" s="9" t="b">
        <v>0</v>
      </c>
      <c r="E3221" s="9"/>
    </row>
    <row r="3222" ht="15.75" customHeight="1">
      <c r="A3222" s="9" t="s">
        <v>34637</v>
      </c>
      <c r="B3222" s="9" t="s">
        <v>8478</v>
      </c>
      <c r="C3222" s="8" t="s">
        <v>34638</v>
      </c>
      <c r="D3222" s="9" t="b">
        <v>0</v>
      </c>
      <c r="E3222" s="9"/>
    </row>
    <row r="3223" ht="15.75" customHeight="1">
      <c r="A3223" s="9" t="s">
        <v>34639</v>
      </c>
      <c r="B3223" s="9" t="s">
        <v>8657</v>
      </c>
      <c r="C3223" s="8" t="s">
        <v>34640</v>
      </c>
      <c r="D3223" s="9" t="b">
        <v>0</v>
      </c>
      <c r="E3223" s="9"/>
    </row>
    <row r="3224" ht="15.75" customHeight="1">
      <c r="A3224" s="9" t="s">
        <v>34641</v>
      </c>
      <c r="B3224" s="9" t="s">
        <v>8657</v>
      </c>
      <c r="C3224" s="8" t="s">
        <v>34642</v>
      </c>
      <c r="D3224" s="9" t="b">
        <v>0</v>
      </c>
      <c r="E3224" s="9"/>
    </row>
    <row r="3225" ht="15.75" customHeight="1">
      <c r="A3225" s="9" t="s">
        <v>34643</v>
      </c>
      <c r="B3225" s="9" t="s">
        <v>8657</v>
      </c>
      <c r="C3225" s="8" t="s">
        <v>34644</v>
      </c>
      <c r="D3225" s="9" t="b">
        <v>0</v>
      </c>
      <c r="E3225" s="9"/>
    </row>
    <row r="3226" ht="15.75" customHeight="1">
      <c r="A3226" s="9" t="s">
        <v>34645</v>
      </c>
      <c r="B3226" s="9" t="s">
        <v>8657</v>
      </c>
      <c r="C3226" s="8" t="s">
        <v>34646</v>
      </c>
      <c r="D3226" s="9" t="b">
        <v>0</v>
      </c>
      <c r="E3226" s="9"/>
    </row>
    <row r="3227" ht="15.75" customHeight="1">
      <c r="A3227" s="9" t="s">
        <v>34647</v>
      </c>
      <c r="B3227" s="9" t="s">
        <v>8657</v>
      </c>
      <c r="C3227" s="8" t="s">
        <v>34648</v>
      </c>
      <c r="D3227" s="9" t="b">
        <v>1</v>
      </c>
      <c r="E3227" s="9"/>
    </row>
    <row r="3228" ht="15.75" customHeight="1">
      <c r="A3228" s="9" t="s">
        <v>34649</v>
      </c>
      <c r="B3228" s="9" t="s">
        <v>8998</v>
      </c>
      <c r="C3228" s="8" t="s">
        <v>34650</v>
      </c>
      <c r="D3228" s="9" t="b">
        <v>0</v>
      </c>
      <c r="E3228" s="9"/>
    </row>
    <row r="3229" ht="15.75" customHeight="1">
      <c r="A3229" s="9" t="s">
        <v>34651</v>
      </c>
      <c r="B3229" s="9" t="s">
        <v>8998</v>
      </c>
      <c r="C3229" s="8" t="s">
        <v>34652</v>
      </c>
      <c r="D3229" s="9" t="b">
        <v>0</v>
      </c>
      <c r="E3229" s="9"/>
    </row>
    <row r="3230" ht="15.75" customHeight="1">
      <c r="A3230" s="9" t="s">
        <v>34653</v>
      </c>
      <c r="B3230" s="9" t="s">
        <v>8998</v>
      </c>
      <c r="C3230" s="8" t="s">
        <v>34654</v>
      </c>
      <c r="D3230" s="9" t="b">
        <v>0</v>
      </c>
      <c r="E3230" s="9"/>
    </row>
    <row r="3231" ht="15.75" customHeight="1">
      <c r="A3231" s="9" t="s">
        <v>34655</v>
      </c>
      <c r="B3231" s="9" t="s">
        <v>8998</v>
      </c>
      <c r="C3231" s="8" t="s">
        <v>34656</v>
      </c>
      <c r="D3231" s="9" t="b">
        <v>1</v>
      </c>
      <c r="E3231" s="9"/>
    </row>
    <row r="3232" ht="15.75" customHeight="1">
      <c r="A3232" s="9" t="s">
        <v>34657</v>
      </c>
      <c r="B3232" s="9" t="s">
        <v>8998</v>
      </c>
      <c r="C3232" s="8" t="s">
        <v>34658</v>
      </c>
      <c r="D3232" s="9" t="b">
        <v>0</v>
      </c>
      <c r="E3232" s="9"/>
    </row>
    <row r="3233" ht="15.75" customHeight="1">
      <c r="A3233" s="9" t="s">
        <v>34659</v>
      </c>
      <c r="B3233" s="9" t="s">
        <v>8889</v>
      </c>
      <c r="C3233" s="8" t="s">
        <v>34660</v>
      </c>
      <c r="D3233" s="9" t="b">
        <v>0</v>
      </c>
      <c r="E3233" s="9"/>
    </row>
    <row r="3234" ht="15.75" customHeight="1">
      <c r="A3234" s="9" t="s">
        <v>34661</v>
      </c>
      <c r="B3234" s="9" t="s">
        <v>8889</v>
      </c>
      <c r="C3234" s="8" t="s">
        <v>34662</v>
      </c>
      <c r="D3234" s="9" t="b">
        <v>0</v>
      </c>
      <c r="E3234" s="9"/>
    </row>
    <row r="3235" ht="15.75" customHeight="1">
      <c r="A3235" s="9" t="s">
        <v>34663</v>
      </c>
      <c r="B3235" s="9" t="s">
        <v>8889</v>
      </c>
      <c r="C3235" s="8" t="s">
        <v>34664</v>
      </c>
      <c r="D3235" s="9" t="b">
        <v>0</v>
      </c>
      <c r="E3235" s="9"/>
    </row>
    <row r="3236" ht="15.75" customHeight="1">
      <c r="A3236" s="9" t="s">
        <v>34665</v>
      </c>
      <c r="B3236" s="9" t="s">
        <v>8889</v>
      </c>
      <c r="C3236" s="8" t="s">
        <v>34666</v>
      </c>
      <c r="D3236" s="9" t="b">
        <v>1</v>
      </c>
      <c r="E3236" s="9"/>
    </row>
    <row r="3237" ht="15.75" customHeight="1">
      <c r="A3237" s="9" t="s">
        <v>34667</v>
      </c>
      <c r="B3237" s="9" t="s">
        <v>11893</v>
      </c>
      <c r="C3237" s="8" t="s">
        <v>34668</v>
      </c>
      <c r="D3237" s="9" t="b">
        <v>0</v>
      </c>
      <c r="E3237" s="9"/>
    </row>
    <row r="3238" ht="15.75" customHeight="1">
      <c r="A3238" s="9" t="s">
        <v>34669</v>
      </c>
      <c r="B3238" s="9" t="s">
        <v>11893</v>
      </c>
      <c r="C3238" s="8" t="s">
        <v>34670</v>
      </c>
      <c r="D3238" s="9" t="b">
        <v>1</v>
      </c>
      <c r="E3238" s="9"/>
    </row>
    <row r="3239" ht="15.75" customHeight="1">
      <c r="A3239" s="9" t="s">
        <v>34671</v>
      </c>
      <c r="B3239" s="9" t="s">
        <v>248</v>
      </c>
      <c r="C3239" s="8" t="s">
        <v>34672</v>
      </c>
      <c r="D3239" s="9" t="b">
        <v>0</v>
      </c>
      <c r="E3239" s="9"/>
    </row>
    <row r="3240" ht="15.75" customHeight="1">
      <c r="A3240" s="9" t="s">
        <v>34673</v>
      </c>
      <c r="B3240" s="9" t="s">
        <v>248</v>
      </c>
      <c r="C3240" s="8" t="s">
        <v>34674</v>
      </c>
      <c r="D3240" s="9" t="b">
        <v>0</v>
      </c>
      <c r="E3240" s="9"/>
    </row>
    <row r="3241" ht="15.75" customHeight="1">
      <c r="A3241" s="9" t="s">
        <v>34675</v>
      </c>
      <c r="B3241" s="9" t="s">
        <v>248</v>
      </c>
      <c r="C3241" s="8" t="s">
        <v>34676</v>
      </c>
      <c r="D3241" s="9" t="b">
        <v>0</v>
      </c>
      <c r="E3241" s="9"/>
    </row>
    <row r="3242" ht="15.75" customHeight="1">
      <c r="A3242" s="9" t="s">
        <v>34677</v>
      </c>
      <c r="B3242" s="9" t="s">
        <v>248</v>
      </c>
      <c r="C3242" s="8" t="s">
        <v>34678</v>
      </c>
      <c r="D3242" s="9" t="b">
        <v>0</v>
      </c>
      <c r="E3242" s="9"/>
    </row>
    <row r="3243" ht="15.75" customHeight="1">
      <c r="A3243" s="9" t="s">
        <v>34679</v>
      </c>
      <c r="B3243" s="9" t="s">
        <v>248</v>
      </c>
      <c r="C3243" s="8" t="s">
        <v>34680</v>
      </c>
      <c r="D3243" s="9" t="b">
        <v>0</v>
      </c>
      <c r="E3243" s="9"/>
    </row>
    <row r="3244" ht="15.75" customHeight="1">
      <c r="A3244" s="9" t="s">
        <v>34681</v>
      </c>
      <c r="B3244" s="9" t="s">
        <v>248</v>
      </c>
      <c r="C3244" s="8" t="s">
        <v>34682</v>
      </c>
      <c r="D3244" s="9" t="b">
        <v>0</v>
      </c>
      <c r="E3244" s="9"/>
    </row>
    <row r="3245" ht="15.75" customHeight="1">
      <c r="A3245" s="9"/>
      <c r="B3245" s="9"/>
      <c r="C3245" s="9"/>
      <c r="D3245" s="9"/>
      <c r="E3245" s="9"/>
    </row>
    <row r="3246" ht="15.75" customHeight="1">
      <c r="A3246" s="9" t="s">
        <v>34683</v>
      </c>
      <c r="B3246" s="9" t="s">
        <v>248</v>
      </c>
      <c r="C3246" s="8" t="s">
        <v>34684</v>
      </c>
      <c r="D3246" s="9" t="b">
        <v>1</v>
      </c>
      <c r="E3246" s="9"/>
    </row>
    <row r="3247" ht="15.75" customHeight="1">
      <c r="A3247" s="9" t="s">
        <v>34685</v>
      </c>
      <c r="B3247" s="9" t="s">
        <v>10363</v>
      </c>
      <c r="C3247" s="8" t="s">
        <v>34686</v>
      </c>
      <c r="D3247" s="9" t="b">
        <v>0</v>
      </c>
      <c r="E3247" s="9"/>
    </row>
    <row r="3248" ht="15.75" customHeight="1">
      <c r="A3248" s="9" t="s">
        <v>34687</v>
      </c>
      <c r="B3248" s="9" t="s">
        <v>10363</v>
      </c>
      <c r="C3248" s="8" t="s">
        <v>34688</v>
      </c>
      <c r="D3248" s="9" t="b">
        <v>0</v>
      </c>
      <c r="E3248" s="9"/>
    </row>
    <row r="3249" ht="15.75" customHeight="1">
      <c r="A3249" s="9" t="s">
        <v>34689</v>
      </c>
      <c r="B3249" s="9" t="s">
        <v>10363</v>
      </c>
      <c r="C3249" s="8" t="s">
        <v>34690</v>
      </c>
      <c r="D3249" s="9" t="b">
        <v>0</v>
      </c>
      <c r="E3249" s="9"/>
    </row>
    <row r="3250" ht="15.75" customHeight="1">
      <c r="A3250" s="9" t="s">
        <v>34691</v>
      </c>
      <c r="B3250" s="9" t="s">
        <v>10363</v>
      </c>
      <c r="C3250" s="8" t="s">
        <v>34692</v>
      </c>
      <c r="D3250" s="9" t="b">
        <v>0</v>
      </c>
      <c r="E3250" s="9"/>
    </row>
    <row r="3251" ht="15.75" customHeight="1">
      <c r="A3251" s="9" t="s">
        <v>34693</v>
      </c>
      <c r="B3251" s="9" t="s">
        <v>10363</v>
      </c>
      <c r="C3251" s="8" t="s">
        <v>34694</v>
      </c>
      <c r="D3251" s="9" t="b">
        <v>0</v>
      </c>
      <c r="E3251" s="9"/>
    </row>
    <row r="3252" ht="15.75" customHeight="1">
      <c r="A3252" s="9" t="s">
        <v>34695</v>
      </c>
      <c r="B3252" s="9" t="s">
        <v>10363</v>
      </c>
      <c r="C3252" s="8" t="s">
        <v>34696</v>
      </c>
      <c r="D3252" s="9" t="b">
        <v>1</v>
      </c>
      <c r="E3252" s="9"/>
    </row>
    <row r="3253" ht="15.75" customHeight="1">
      <c r="A3253" s="9" t="s">
        <v>34697</v>
      </c>
      <c r="B3253" s="9" t="s">
        <v>11600</v>
      </c>
      <c r="C3253" s="8" t="s">
        <v>34698</v>
      </c>
      <c r="D3253" s="9" t="b">
        <v>0</v>
      </c>
      <c r="E3253" s="9"/>
    </row>
    <row r="3254" ht="15.75" customHeight="1">
      <c r="A3254" s="9" t="s">
        <v>34699</v>
      </c>
      <c r="B3254" s="9" t="s">
        <v>11600</v>
      </c>
      <c r="C3254" s="8" t="s">
        <v>34700</v>
      </c>
      <c r="D3254" s="9" t="b">
        <v>0</v>
      </c>
      <c r="E3254" s="9"/>
    </row>
    <row r="3255" ht="15.75" customHeight="1">
      <c r="A3255" s="9" t="s">
        <v>34701</v>
      </c>
      <c r="B3255" s="9" t="s">
        <v>11600</v>
      </c>
      <c r="C3255" s="8" t="s">
        <v>34702</v>
      </c>
      <c r="D3255" s="9" t="b">
        <v>1</v>
      </c>
      <c r="E3255" s="9"/>
    </row>
    <row r="3256" ht="15.75" customHeight="1">
      <c r="A3256" s="9" t="s">
        <v>34703</v>
      </c>
      <c r="B3256" s="9" t="s">
        <v>10287</v>
      </c>
      <c r="C3256" s="8" t="s">
        <v>34704</v>
      </c>
      <c r="D3256" s="9" t="b">
        <v>0</v>
      </c>
      <c r="E3256" s="9"/>
    </row>
    <row r="3257" ht="15.75" customHeight="1">
      <c r="A3257" s="9" t="s">
        <v>34705</v>
      </c>
      <c r="B3257" s="9" t="s">
        <v>10287</v>
      </c>
      <c r="C3257" s="8" t="s">
        <v>34706</v>
      </c>
      <c r="D3257" s="9" t="b">
        <v>0</v>
      </c>
      <c r="E3257" s="9"/>
    </row>
    <row r="3258" ht="15.75" customHeight="1">
      <c r="A3258" s="9" t="s">
        <v>34707</v>
      </c>
      <c r="B3258" s="9" t="s">
        <v>10287</v>
      </c>
      <c r="C3258" s="8" t="s">
        <v>34708</v>
      </c>
      <c r="D3258" s="9" t="b">
        <v>0</v>
      </c>
      <c r="E3258" s="9"/>
    </row>
    <row r="3259" ht="15.75" customHeight="1">
      <c r="A3259" s="9" t="s">
        <v>34709</v>
      </c>
      <c r="B3259" s="9" t="s">
        <v>10287</v>
      </c>
      <c r="C3259" s="8" t="s">
        <v>34710</v>
      </c>
      <c r="D3259" s="9" t="b">
        <v>0</v>
      </c>
      <c r="E3259" s="9"/>
    </row>
    <row r="3260" ht="15.75" customHeight="1">
      <c r="A3260" s="9" t="s">
        <v>34711</v>
      </c>
      <c r="B3260" s="9" t="s">
        <v>10287</v>
      </c>
      <c r="C3260" s="8" t="s">
        <v>34712</v>
      </c>
      <c r="D3260" s="9" t="b">
        <v>0</v>
      </c>
      <c r="E3260" s="9"/>
    </row>
    <row r="3261" ht="15.75" customHeight="1">
      <c r="A3261" s="9" t="s">
        <v>34713</v>
      </c>
      <c r="B3261" s="9" t="s">
        <v>10287</v>
      </c>
      <c r="C3261" s="8" t="s">
        <v>34714</v>
      </c>
      <c r="D3261" s="9" t="b">
        <v>0</v>
      </c>
      <c r="E3261" s="9"/>
    </row>
    <row r="3262" ht="15.75" customHeight="1">
      <c r="A3262" s="9" t="s">
        <v>34715</v>
      </c>
      <c r="B3262" s="9" t="s">
        <v>10287</v>
      </c>
      <c r="C3262" s="8" t="s">
        <v>34716</v>
      </c>
      <c r="D3262" s="9" t="b">
        <v>0</v>
      </c>
      <c r="E3262" s="9"/>
    </row>
    <row r="3263" ht="15.75" customHeight="1">
      <c r="A3263" s="9" t="s">
        <v>34717</v>
      </c>
      <c r="B3263" s="9" t="s">
        <v>10287</v>
      </c>
      <c r="C3263" s="8" t="s">
        <v>34718</v>
      </c>
      <c r="D3263" s="9" t="b">
        <v>1</v>
      </c>
      <c r="E3263" s="9"/>
    </row>
    <row r="3264" ht="15.75" customHeight="1">
      <c r="A3264" s="9" t="s">
        <v>34719</v>
      </c>
      <c r="B3264" s="9" t="s">
        <v>10287</v>
      </c>
      <c r="C3264" s="8" t="s">
        <v>34720</v>
      </c>
      <c r="D3264" s="9" t="b">
        <v>0</v>
      </c>
      <c r="E3264" s="9"/>
    </row>
    <row r="3265" ht="15.75" customHeight="1">
      <c r="A3265" s="9" t="s">
        <v>34721</v>
      </c>
      <c r="B3265" s="9" t="s">
        <v>10396</v>
      </c>
      <c r="C3265" s="8" t="s">
        <v>34722</v>
      </c>
      <c r="D3265" s="9" t="b">
        <v>1</v>
      </c>
      <c r="E3265" s="9"/>
    </row>
    <row r="3266" ht="15.75" customHeight="1">
      <c r="A3266" s="9" t="s">
        <v>34723</v>
      </c>
      <c r="B3266" s="9" t="s">
        <v>12180</v>
      </c>
      <c r="C3266" s="8" t="s">
        <v>34724</v>
      </c>
      <c r="D3266" s="9" t="b">
        <v>0</v>
      </c>
      <c r="E3266" s="9"/>
    </row>
    <row r="3267" ht="15.75" customHeight="1">
      <c r="A3267" s="9" t="s">
        <v>34725</v>
      </c>
      <c r="B3267" s="9" t="s">
        <v>12180</v>
      </c>
      <c r="C3267" s="8" t="s">
        <v>34726</v>
      </c>
      <c r="D3267" s="9" t="b">
        <v>0</v>
      </c>
      <c r="E3267" s="9"/>
    </row>
    <row r="3268" ht="15.75" customHeight="1">
      <c r="A3268" s="9" t="s">
        <v>34727</v>
      </c>
      <c r="B3268" s="9" t="s">
        <v>12180</v>
      </c>
      <c r="C3268" s="8" t="s">
        <v>34728</v>
      </c>
      <c r="D3268" s="9" t="b">
        <v>0</v>
      </c>
      <c r="E3268" s="9"/>
    </row>
    <row r="3269" ht="15.75" customHeight="1">
      <c r="A3269" s="9" t="s">
        <v>34729</v>
      </c>
      <c r="B3269" s="9" t="s">
        <v>12180</v>
      </c>
      <c r="C3269" s="8" t="s">
        <v>34730</v>
      </c>
      <c r="D3269" s="9" t="b">
        <v>1</v>
      </c>
      <c r="E3269" s="9"/>
    </row>
    <row r="3270" ht="15.75" customHeight="1">
      <c r="A3270" s="9" t="s">
        <v>34731</v>
      </c>
      <c r="B3270" s="9" t="s">
        <v>10312</v>
      </c>
      <c r="C3270" s="8" t="s">
        <v>34732</v>
      </c>
      <c r="D3270" s="9" t="b">
        <v>0</v>
      </c>
      <c r="E3270" s="9"/>
    </row>
    <row r="3271" ht="15.75" customHeight="1">
      <c r="A3271" s="9" t="s">
        <v>34733</v>
      </c>
      <c r="B3271" s="9" t="s">
        <v>10312</v>
      </c>
      <c r="C3271" s="8" t="s">
        <v>34734</v>
      </c>
      <c r="D3271" s="9" t="b">
        <v>0</v>
      </c>
      <c r="E3271" s="9"/>
    </row>
    <row r="3272" ht="15.75" customHeight="1">
      <c r="A3272" s="9" t="s">
        <v>34735</v>
      </c>
      <c r="B3272" s="9" t="s">
        <v>10312</v>
      </c>
      <c r="C3272" s="8" t="s">
        <v>34736</v>
      </c>
      <c r="D3272" s="9" t="b">
        <v>0</v>
      </c>
      <c r="E3272" s="9"/>
    </row>
    <row r="3273" ht="15.75" customHeight="1">
      <c r="A3273" s="9" t="s">
        <v>34737</v>
      </c>
      <c r="B3273" s="9" t="s">
        <v>10312</v>
      </c>
      <c r="C3273" s="8" t="s">
        <v>34738</v>
      </c>
      <c r="D3273" s="9" t="b">
        <v>0</v>
      </c>
      <c r="E3273" s="9"/>
    </row>
    <row r="3274" ht="15.75" customHeight="1">
      <c r="A3274" s="9"/>
      <c r="B3274" s="9"/>
      <c r="C3274" s="9"/>
      <c r="D3274" s="9"/>
      <c r="E3274" s="9"/>
    </row>
    <row r="3275" ht="15.75" customHeight="1">
      <c r="A3275" s="9" t="s">
        <v>34739</v>
      </c>
      <c r="B3275" s="9" t="s">
        <v>10312</v>
      </c>
      <c r="C3275" s="8" t="s">
        <v>34740</v>
      </c>
      <c r="D3275" s="9" t="b">
        <v>1</v>
      </c>
      <c r="E3275" s="9"/>
    </row>
    <row r="3276" ht="15.75" customHeight="1">
      <c r="A3276" s="9" t="s">
        <v>34741</v>
      </c>
      <c r="B3276" s="9" t="s">
        <v>269</v>
      </c>
      <c r="C3276" s="8" t="s">
        <v>34742</v>
      </c>
      <c r="D3276" s="9" t="b">
        <v>0</v>
      </c>
      <c r="E3276" s="9"/>
    </row>
    <row r="3277" ht="15.75" customHeight="1">
      <c r="A3277" s="9" t="s">
        <v>34743</v>
      </c>
      <c r="B3277" s="9" t="s">
        <v>269</v>
      </c>
      <c r="C3277" s="8" t="s">
        <v>34744</v>
      </c>
      <c r="D3277" s="9" t="b">
        <v>1</v>
      </c>
      <c r="E3277" s="9"/>
    </row>
    <row r="3278" ht="15.75" customHeight="1">
      <c r="A3278" s="9"/>
      <c r="B3278" s="9"/>
      <c r="C3278" s="9"/>
      <c r="D3278" s="9"/>
      <c r="E3278" s="9"/>
    </row>
    <row r="3279" ht="15.75" customHeight="1">
      <c r="A3279" s="9" t="s">
        <v>34745</v>
      </c>
      <c r="B3279" s="9" t="s">
        <v>3552</v>
      </c>
      <c r="C3279" s="8" t="s">
        <v>34746</v>
      </c>
      <c r="D3279" s="9" t="b">
        <v>0</v>
      </c>
      <c r="E3279" s="9"/>
    </row>
    <row r="3280" ht="15.75" customHeight="1">
      <c r="A3280" s="9" t="s">
        <v>34747</v>
      </c>
      <c r="B3280" s="9" t="s">
        <v>3552</v>
      </c>
      <c r="C3280" s="8" t="s">
        <v>34748</v>
      </c>
      <c r="D3280" s="9" t="b">
        <v>0</v>
      </c>
      <c r="E3280" s="9"/>
    </row>
    <row r="3281" ht="15.75" customHeight="1">
      <c r="A3281" s="9" t="s">
        <v>34749</v>
      </c>
      <c r="B3281" s="9" t="s">
        <v>3552</v>
      </c>
      <c r="C3281" s="8" t="s">
        <v>34750</v>
      </c>
      <c r="D3281" s="9" t="b">
        <v>0</v>
      </c>
      <c r="E3281" s="9"/>
    </row>
    <row r="3282" ht="15.75" customHeight="1">
      <c r="A3282" s="9" t="s">
        <v>34751</v>
      </c>
      <c r="B3282" s="9" t="s">
        <v>3552</v>
      </c>
      <c r="C3282" s="8" t="s">
        <v>34752</v>
      </c>
      <c r="D3282" s="9" t="b">
        <v>0</v>
      </c>
      <c r="E3282" s="9"/>
    </row>
    <row r="3283" ht="15.75" customHeight="1">
      <c r="A3283" s="9" t="s">
        <v>34753</v>
      </c>
      <c r="B3283" s="9" t="s">
        <v>3552</v>
      </c>
      <c r="C3283" s="8" t="s">
        <v>34754</v>
      </c>
      <c r="D3283" s="9" t="b">
        <v>0</v>
      </c>
      <c r="E3283" s="9"/>
    </row>
    <row r="3284" ht="15.75" customHeight="1">
      <c r="A3284" s="9" t="s">
        <v>34755</v>
      </c>
      <c r="B3284" s="9" t="s">
        <v>3552</v>
      </c>
      <c r="C3284" s="8" t="s">
        <v>34756</v>
      </c>
      <c r="D3284" s="9" t="b">
        <v>0</v>
      </c>
      <c r="E3284" s="9"/>
    </row>
    <row r="3285" ht="15.75" customHeight="1">
      <c r="A3285" s="9" t="s">
        <v>34757</v>
      </c>
      <c r="B3285" s="9" t="s">
        <v>3552</v>
      </c>
      <c r="C3285" s="8" t="s">
        <v>34758</v>
      </c>
      <c r="D3285" s="9" t="b">
        <v>1</v>
      </c>
      <c r="E3285" s="9"/>
    </row>
    <row r="3286" ht="15.75" customHeight="1">
      <c r="A3286" s="9" t="s">
        <v>34759</v>
      </c>
      <c r="B3286" s="9" t="s">
        <v>3552</v>
      </c>
      <c r="C3286" s="8" t="s">
        <v>34760</v>
      </c>
      <c r="D3286" s="9" t="b">
        <v>0</v>
      </c>
      <c r="E3286" s="9"/>
    </row>
    <row r="3287" ht="15.75" customHeight="1">
      <c r="A3287" s="9" t="s">
        <v>34761</v>
      </c>
      <c r="B3287" s="9" t="s">
        <v>3552</v>
      </c>
      <c r="C3287" s="8" t="s">
        <v>34762</v>
      </c>
      <c r="D3287" s="9" t="b">
        <v>0</v>
      </c>
      <c r="E3287" s="9"/>
    </row>
    <row r="3288" ht="15.75" customHeight="1">
      <c r="A3288" s="9" t="s">
        <v>34763</v>
      </c>
      <c r="B3288" s="9" t="s">
        <v>3552</v>
      </c>
      <c r="C3288" s="8" t="s">
        <v>34764</v>
      </c>
      <c r="D3288" s="9" t="b">
        <v>0</v>
      </c>
      <c r="E3288" s="9"/>
    </row>
    <row r="3289" ht="15.75" customHeight="1">
      <c r="A3289" s="9" t="s">
        <v>34765</v>
      </c>
      <c r="B3289" s="9" t="s">
        <v>3552</v>
      </c>
      <c r="C3289" s="8" t="s">
        <v>34766</v>
      </c>
      <c r="D3289" s="9" t="b">
        <v>1</v>
      </c>
      <c r="E3289" s="9"/>
    </row>
    <row r="3290" ht="15.75" customHeight="1">
      <c r="A3290" s="9" t="s">
        <v>34767</v>
      </c>
      <c r="B3290" s="9" t="s">
        <v>3552</v>
      </c>
      <c r="C3290" s="8" t="s">
        <v>34768</v>
      </c>
      <c r="D3290" s="9" t="b">
        <v>0</v>
      </c>
      <c r="E3290" s="9"/>
    </row>
    <row r="3291" ht="15.75" customHeight="1">
      <c r="A3291" s="9"/>
      <c r="B3291" s="9"/>
      <c r="C3291" s="9"/>
      <c r="D3291" s="9"/>
      <c r="E3291" s="9"/>
    </row>
    <row r="3292" ht="15.75" customHeight="1">
      <c r="A3292" s="9"/>
      <c r="B3292" s="9"/>
      <c r="C3292" s="9"/>
      <c r="D3292" s="9"/>
      <c r="E3292" s="9"/>
    </row>
    <row r="3293" ht="15.75" customHeight="1">
      <c r="A3293" s="9"/>
      <c r="B3293" s="9"/>
      <c r="C3293" s="9"/>
      <c r="D3293" s="9"/>
      <c r="E3293" s="9"/>
    </row>
    <row r="3294" ht="15.75" customHeight="1">
      <c r="A3294" s="9" t="s">
        <v>34769</v>
      </c>
      <c r="B3294" s="9" t="s">
        <v>11708</v>
      </c>
      <c r="C3294" s="8" t="s">
        <v>34770</v>
      </c>
      <c r="D3294" s="9" t="b">
        <v>1</v>
      </c>
      <c r="E3294" s="9"/>
    </row>
    <row r="3295" ht="15.75" customHeight="1">
      <c r="A3295" s="9" t="s">
        <v>34771</v>
      </c>
      <c r="B3295" s="9" t="s">
        <v>11708</v>
      </c>
      <c r="C3295" s="8" t="s">
        <v>34772</v>
      </c>
      <c r="D3295" s="9" t="b">
        <v>0</v>
      </c>
      <c r="E3295" s="9"/>
    </row>
    <row r="3296" ht="15.75" customHeight="1">
      <c r="A3296" s="9" t="s">
        <v>34773</v>
      </c>
      <c r="B3296" s="9" t="s">
        <v>11708</v>
      </c>
      <c r="C3296" s="8" t="s">
        <v>34774</v>
      </c>
      <c r="D3296" s="9" t="b">
        <v>0</v>
      </c>
      <c r="E3296" s="9"/>
    </row>
    <row r="3297" ht="15.75" customHeight="1">
      <c r="A3297" s="9" t="s">
        <v>34775</v>
      </c>
      <c r="B3297" s="9" t="s">
        <v>11708</v>
      </c>
      <c r="C3297" s="8" t="s">
        <v>34776</v>
      </c>
      <c r="D3297" s="9" t="b">
        <v>0</v>
      </c>
      <c r="E3297" s="9"/>
    </row>
    <row r="3298" ht="15.75" customHeight="1">
      <c r="A3298" s="9" t="s">
        <v>34777</v>
      </c>
      <c r="B3298" s="9" t="s">
        <v>11708</v>
      </c>
      <c r="C3298" s="8" t="s">
        <v>34778</v>
      </c>
      <c r="D3298" s="9" t="b">
        <v>0</v>
      </c>
      <c r="E3298" s="9"/>
    </row>
    <row r="3299" ht="15.75" customHeight="1">
      <c r="A3299" s="9" t="s">
        <v>34779</v>
      </c>
      <c r="B3299" s="9" t="s">
        <v>11708</v>
      </c>
      <c r="C3299" s="8" t="s">
        <v>34780</v>
      </c>
      <c r="D3299" s="9" t="b">
        <v>0</v>
      </c>
      <c r="E3299" s="9"/>
    </row>
    <row r="3300" ht="15.75" customHeight="1">
      <c r="A3300" s="9" t="s">
        <v>34781</v>
      </c>
      <c r="B3300" s="9" t="s">
        <v>11708</v>
      </c>
      <c r="C3300" s="8" t="s">
        <v>34782</v>
      </c>
      <c r="D3300" s="9" t="b">
        <v>0</v>
      </c>
      <c r="E3300" s="9"/>
    </row>
    <row r="3301" ht="15.75" customHeight="1">
      <c r="A3301" s="9" t="s">
        <v>34783</v>
      </c>
      <c r="B3301" s="9" t="s">
        <v>11708</v>
      </c>
      <c r="C3301" s="8" t="s">
        <v>34784</v>
      </c>
      <c r="D3301" s="9" t="b">
        <v>0</v>
      </c>
      <c r="E3301" s="9"/>
    </row>
    <row r="3302" ht="15.75" customHeight="1">
      <c r="A3302" s="9" t="s">
        <v>34785</v>
      </c>
      <c r="B3302" s="9" t="s">
        <v>11708</v>
      </c>
      <c r="C3302" s="8" t="s">
        <v>34786</v>
      </c>
      <c r="D3302" s="9" t="b">
        <v>0</v>
      </c>
      <c r="E3302" s="9"/>
    </row>
    <row r="3303" ht="15.75" customHeight="1">
      <c r="A3303" s="9" t="s">
        <v>34787</v>
      </c>
      <c r="B3303" s="9" t="s">
        <v>11708</v>
      </c>
      <c r="C3303" s="8" t="s">
        <v>34788</v>
      </c>
      <c r="D3303" s="9" t="b">
        <v>0</v>
      </c>
      <c r="E3303" s="9"/>
    </row>
    <row r="3304" ht="15.75" customHeight="1">
      <c r="A3304" s="9" t="s">
        <v>34789</v>
      </c>
      <c r="B3304" s="9" t="s">
        <v>11674</v>
      </c>
      <c r="C3304" s="8" t="s">
        <v>34790</v>
      </c>
      <c r="D3304" s="9" t="b">
        <v>0</v>
      </c>
      <c r="E3304" s="9"/>
    </row>
    <row r="3305" ht="15.75" customHeight="1">
      <c r="A3305" s="9" t="s">
        <v>34791</v>
      </c>
      <c r="B3305" s="9" t="s">
        <v>11674</v>
      </c>
      <c r="C3305" s="8" t="s">
        <v>34792</v>
      </c>
      <c r="D3305" s="9" t="b">
        <v>0</v>
      </c>
      <c r="E3305" s="9"/>
    </row>
    <row r="3306" ht="15.75" customHeight="1">
      <c r="A3306" s="9" t="s">
        <v>34793</v>
      </c>
      <c r="B3306" s="9" t="s">
        <v>11674</v>
      </c>
      <c r="C3306" s="8" t="s">
        <v>34794</v>
      </c>
      <c r="D3306" s="9" t="b">
        <v>0</v>
      </c>
      <c r="E3306" s="9"/>
    </row>
    <row r="3307" ht="15.75" customHeight="1">
      <c r="A3307" s="9" t="s">
        <v>34795</v>
      </c>
      <c r="B3307" s="9" t="s">
        <v>11674</v>
      </c>
      <c r="C3307" s="8" t="s">
        <v>34796</v>
      </c>
      <c r="D3307" s="9" t="b">
        <v>0</v>
      </c>
      <c r="E3307" s="9"/>
    </row>
    <row r="3308" ht="15.75" customHeight="1">
      <c r="A3308" s="9" t="s">
        <v>34797</v>
      </c>
      <c r="B3308" s="9" t="s">
        <v>11674</v>
      </c>
      <c r="C3308" s="8" t="s">
        <v>34798</v>
      </c>
      <c r="D3308" s="9" t="b">
        <v>0</v>
      </c>
      <c r="E3308" s="9"/>
    </row>
    <row r="3309" ht="15.75" customHeight="1">
      <c r="A3309" s="9" t="s">
        <v>34799</v>
      </c>
      <c r="B3309" s="9" t="s">
        <v>9922</v>
      </c>
      <c r="C3309" s="8" t="s">
        <v>34800</v>
      </c>
      <c r="D3309" s="9" t="b">
        <v>0</v>
      </c>
      <c r="E3309" s="9"/>
    </row>
    <row r="3310" ht="15.75" customHeight="1">
      <c r="A3310" s="9" t="s">
        <v>34801</v>
      </c>
      <c r="B3310" s="9" t="s">
        <v>9922</v>
      </c>
      <c r="C3310" s="8" t="s">
        <v>34802</v>
      </c>
      <c r="D3310" s="9" t="b">
        <v>0</v>
      </c>
      <c r="E3310" s="9"/>
    </row>
    <row r="3311" ht="15.75" customHeight="1">
      <c r="A3311" s="9" t="s">
        <v>34803</v>
      </c>
      <c r="B3311" s="9" t="s">
        <v>9922</v>
      </c>
      <c r="C3311" s="8" t="s">
        <v>34804</v>
      </c>
      <c r="D3311" s="9" t="b">
        <v>1</v>
      </c>
      <c r="E3311" s="9"/>
    </row>
    <row r="3312" ht="15.75" customHeight="1">
      <c r="A3312" s="52" t="s">
        <v>34805</v>
      </c>
      <c r="B3312" s="9" t="s">
        <v>10674</v>
      </c>
      <c r="C3312" s="8" t="s">
        <v>34806</v>
      </c>
      <c r="D3312" s="9" t="b">
        <v>0</v>
      </c>
      <c r="E3312" s="9"/>
    </row>
    <row r="3313" ht="15.75" customHeight="1">
      <c r="A3313" s="9" t="s">
        <v>34807</v>
      </c>
      <c r="B3313" s="9" t="s">
        <v>10674</v>
      </c>
      <c r="C3313" s="8" t="s">
        <v>34808</v>
      </c>
      <c r="D3313" s="9" t="b">
        <v>0</v>
      </c>
      <c r="E3313" s="9"/>
    </row>
    <row r="3314" ht="15.75" customHeight="1">
      <c r="A3314" s="9" t="s">
        <v>34809</v>
      </c>
      <c r="B3314" s="9" t="s">
        <v>10674</v>
      </c>
      <c r="C3314" s="8" t="s">
        <v>34810</v>
      </c>
      <c r="D3314" s="9" t="b">
        <v>0</v>
      </c>
      <c r="E3314" s="9"/>
    </row>
    <row r="3315" ht="15.75" customHeight="1">
      <c r="A3315" s="9" t="s">
        <v>34811</v>
      </c>
      <c r="B3315" s="9" t="s">
        <v>10674</v>
      </c>
      <c r="C3315" s="8" t="s">
        <v>34812</v>
      </c>
      <c r="D3315" s="9" t="b">
        <v>0</v>
      </c>
      <c r="E3315" s="9"/>
    </row>
    <row r="3316" ht="15.75" customHeight="1">
      <c r="A3316" s="9" t="s">
        <v>34813</v>
      </c>
      <c r="B3316" s="9" t="s">
        <v>10674</v>
      </c>
      <c r="C3316" s="8" t="s">
        <v>34814</v>
      </c>
      <c r="D3316" s="9" t="b">
        <v>0</v>
      </c>
      <c r="E3316" s="9"/>
    </row>
    <row r="3317" ht="15.75" customHeight="1">
      <c r="A3317" s="9" t="s">
        <v>34815</v>
      </c>
      <c r="B3317" s="9" t="s">
        <v>10674</v>
      </c>
      <c r="C3317" s="8" t="s">
        <v>34816</v>
      </c>
      <c r="D3317" s="9" t="b">
        <v>0</v>
      </c>
      <c r="E3317" s="9"/>
    </row>
    <row r="3318" ht="15.75" customHeight="1">
      <c r="A3318" s="9" t="s">
        <v>34817</v>
      </c>
      <c r="B3318" s="9" t="s">
        <v>10674</v>
      </c>
      <c r="C3318" s="8" t="s">
        <v>34818</v>
      </c>
      <c r="D3318" s="9" t="b">
        <v>1</v>
      </c>
      <c r="E3318" s="9"/>
    </row>
    <row r="3319" ht="15.75" customHeight="1">
      <c r="A3319" s="9" t="s">
        <v>34819</v>
      </c>
      <c r="B3319" s="9" t="s">
        <v>10233</v>
      </c>
      <c r="C3319" s="8" t="s">
        <v>34820</v>
      </c>
      <c r="D3319" s="9" t="b">
        <v>0</v>
      </c>
      <c r="E3319" s="9"/>
    </row>
    <row r="3320" ht="15.75" customHeight="1">
      <c r="A3320" s="9" t="s">
        <v>34821</v>
      </c>
      <c r="B3320" s="9" t="s">
        <v>10233</v>
      </c>
      <c r="C3320" s="8" t="s">
        <v>34822</v>
      </c>
      <c r="D3320" s="9" t="b">
        <v>0</v>
      </c>
      <c r="E3320" s="9"/>
    </row>
    <row r="3321" ht="15.75" customHeight="1">
      <c r="A3321" s="9" t="s">
        <v>34823</v>
      </c>
      <c r="B3321" s="9" t="s">
        <v>10233</v>
      </c>
      <c r="C3321" s="8" t="s">
        <v>34824</v>
      </c>
      <c r="D3321" s="9" t="b">
        <v>0</v>
      </c>
      <c r="E3321" s="9"/>
    </row>
    <row r="3322" ht="15.75" customHeight="1">
      <c r="A3322" s="9" t="s">
        <v>34825</v>
      </c>
      <c r="B3322" s="9" t="s">
        <v>10233</v>
      </c>
      <c r="C3322" s="8" t="s">
        <v>34826</v>
      </c>
      <c r="D3322" s="9" t="b">
        <v>1</v>
      </c>
      <c r="E3322" s="9"/>
    </row>
    <row r="3323" ht="15.75" customHeight="1">
      <c r="A3323" s="9" t="s">
        <v>34827</v>
      </c>
      <c r="B3323" s="9" t="s">
        <v>10781</v>
      </c>
      <c r="C3323" s="8" t="s">
        <v>34828</v>
      </c>
      <c r="D3323" s="9" t="b">
        <v>0</v>
      </c>
      <c r="E3323" s="9"/>
    </row>
    <row r="3324" ht="15.75" customHeight="1">
      <c r="A3324" s="9" t="s">
        <v>34829</v>
      </c>
      <c r="B3324" s="9" t="s">
        <v>10781</v>
      </c>
      <c r="C3324" s="8" t="s">
        <v>34830</v>
      </c>
      <c r="D3324" s="9" t="b">
        <v>0</v>
      </c>
      <c r="E3324" s="9"/>
    </row>
    <row r="3325" ht="15.75" customHeight="1">
      <c r="A3325" s="9" t="s">
        <v>34831</v>
      </c>
      <c r="B3325" s="9" t="s">
        <v>10781</v>
      </c>
      <c r="C3325" s="8" t="s">
        <v>34832</v>
      </c>
      <c r="D3325" s="9" t="b">
        <v>0</v>
      </c>
      <c r="E3325" s="9"/>
    </row>
    <row r="3326" ht="15.75" customHeight="1">
      <c r="A3326" s="9" t="s">
        <v>34833</v>
      </c>
      <c r="B3326" s="9" t="s">
        <v>10781</v>
      </c>
      <c r="C3326" s="8" t="s">
        <v>34834</v>
      </c>
      <c r="D3326" s="9" t="b">
        <v>0</v>
      </c>
      <c r="E3326" s="9"/>
    </row>
    <row r="3327" ht="15.75" customHeight="1">
      <c r="A3327" s="9" t="s">
        <v>34835</v>
      </c>
      <c r="B3327" s="9" t="s">
        <v>10781</v>
      </c>
      <c r="C3327" s="8" t="s">
        <v>34836</v>
      </c>
      <c r="D3327" s="9" t="b">
        <v>0</v>
      </c>
      <c r="E3327" s="9"/>
    </row>
    <row r="3328" ht="15.75" customHeight="1">
      <c r="A3328" s="9" t="s">
        <v>34837</v>
      </c>
      <c r="B3328" s="9" t="s">
        <v>10781</v>
      </c>
      <c r="C3328" s="8" t="s">
        <v>34838</v>
      </c>
      <c r="D3328" s="9" t="b">
        <v>0</v>
      </c>
      <c r="E3328" s="9"/>
    </row>
    <row r="3329" ht="15.75" customHeight="1">
      <c r="A3329" s="9" t="s">
        <v>34839</v>
      </c>
      <c r="B3329" s="9" t="s">
        <v>10781</v>
      </c>
      <c r="C3329" s="8" t="s">
        <v>34840</v>
      </c>
      <c r="D3329" s="9" t="b">
        <v>0</v>
      </c>
      <c r="E3329" s="9"/>
    </row>
    <row r="3330" ht="15.75" customHeight="1">
      <c r="A3330" s="9" t="s">
        <v>34841</v>
      </c>
      <c r="B3330" s="9" t="s">
        <v>10781</v>
      </c>
      <c r="C3330" s="8" t="s">
        <v>34842</v>
      </c>
      <c r="D3330" s="9" t="b">
        <v>1</v>
      </c>
      <c r="E3330" s="9"/>
    </row>
    <row r="3331" ht="15.75" customHeight="1">
      <c r="A3331" s="9" t="s">
        <v>34843</v>
      </c>
      <c r="B3331" s="9" t="s">
        <v>10370</v>
      </c>
      <c r="C3331" s="8" t="s">
        <v>34844</v>
      </c>
      <c r="D3331" s="9" t="b">
        <v>0</v>
      </c>
      <c r="E3331" s="9"/>
    </row>
    <row r="3332" ht="15.75" customHeight="1">
      <c r="A3332" s="9" t="s">
        <v>34845</v>
      </c>
      <c r="B3332" s="9" t="s">
        <v>10370</v>
      </c>
      <c r="C3332" s="8" t="s">
        <v>34846</v>
      </c>
      <c r="D3332" s="9" t="b">
        <v>0</v>
      </c>
      <c r="E3332" s="9"/>
    </row>
    <row r="3333" ht="15.75" customHeight="1">
      <c r="A3333" s="9" t="s">
        <v>34847</v>
      </c>
      <c r="B3333" s="9" t="s">
        <v>10370</v>
      </c>
      <c r="C3333" s="8" t="s">
        <v>34848</v>
      </c>
      <c r="D3333" s="9" t="b">
        <v>0</v>
      </c>
      <c r="E3333" s="9"/>
    </row>
    <row r="3334" ht="15.75" customHeight="1">
      <c r="A3334" s="9" t="s">
        <v>34849</v>
      </c>
      <c r="B3334" s="9" t="s">
        <v>10370</v>
      </c>
      <c r="C3334" s="8" t="s">
        <v>34850</v>
      </c>
      <c r="D3334" s="9" t="b">
        <v>1</v>
      </c>
      <c r="E3334" s="9"/>
    </row>
    <row r="3335" ht="15.75" customHeight="1">
      <c r="A3335" s="9" t="s">
        <v>34851</v>
      </c>
      <c r="B3335" s="9" t="s">
        <v>231</v>
      </c>
      <c r="C3335" s="8" t="s">
        <v>34852</v>
      </c>
      <c r="D3335" s="9" t="b">
        <v>1</v>
      </c>
      <c r="E3335" s="9"/>
    </row>
    <row r="3336" ht="15.75" customHeight="1">
      <c r="A3336" s="9" t="s">
        <v>34853</v>
      </c>
      <c r="B3336" s="9" t="s">
        <v>231</v>
      </c>
      <c r="C3336" s="8" t="s">
        <v>34854</v>
      </c>
      <c r="D3336" s="9" t="b">
        <v>0</v>
      </c>
      <c r="E3336" s="9"/>
    </row>
    <row r="3337" ht="15.75" customHeight="1">
      <c r="A3337" s="9" t="s">
        <v>34855</v>
      </c>
      <c r="B3337" s="9" t="s">
        <v>231</v>
      </c>
      <c r="C3337" s="8" t="s">
        <v>34856</v>
      </c>
      <c r="D3337" s="9" t="b">
        <v>0</v>
      </c>
      <c r="E3337" s="9"/>
    </row>
    <row r="3338" ht="15.75" customHeight="1">
      <c r="A3338" s="9" t="s">
        <v>34857</v>
      </c>
      <c r="B3338" s="9" t="s">
        <v>231</v>
      </c>
      <c r="C3338" s="8" t="s">
        <v>34858</v>
      </c>
      <c r="D3338" s="9" t="b">
        <v>0</v>
      </c>
      <c r="E3338" s="9"/>
    </row>
    <row r="3339" ht="15.75" customHeight="1">
      <c r="A3339" s="9" t="s">
        <v>34859</v>
      </c>
      <c r="B3339" s="9" t="s">
        <v>231</v>
      </c>
      <c r="C3339" s="8" t="s">
        <v>34860</v>
      </c>
      <c r="D3339" s="9" t="b">
        <v>0</v>
      </c>
      <c r="E3339" s="9"/>
    </row>
    <row r="3340" ht="15.75" customHeight="1">
      <c r="A3340" s="9" t="s">
        <v>34861</v>
      </c>
      <c r="B3340" s="9" t="s">
        <v>231</v>
      </c>
      <c r="C3340" s="8" t="s">
        <v>34862</v>
      </c>
      <c r="D3340" s="9" t="b">
        <v>0</v>
      </c>
      <c r="E3340" s="9"/>
    </row>
    <row r="3341" ht="15.75" customHeight="1">
      <c r="A3341" s="9" t="s">
        <v>34863</v>
      </c>
      <c r="B3341" s="9" t="s">
        <v>231</v>
      </c>
      <c r="C3341" s="8" t="s">
        <v>34864</v>
      </c>
      <c r="D3341" s="9" t="b">
        <v>0</v>
      </c>
      <c r="E3341" s="9"/>
    </row>
    <row r="3342" ht="15.75" customHeight="1">
      <c r="A3342" s="52" t="s">
        <v>34865</v>
      </c>
      <c r="B3342" s="9" t="s">
        <v>9006</v>
      </c>
      <c r="C3342" s="8" t="s">
        <v>34866</v>
      </c>
      <c r="D3342" s="9" t="b">
        <v>0</v>
      </c>
      <c r="E3342" s="9"/>
    </row>
    <row r="3343" ht="15.75" customHeight="1">
      <c r="A3343" s="9" t="s">
        <v>34867</v>
      </c>
      <c r="B3343" s="9" t="s">
        <v>9006</v>
      </c>
      <c r="C3343" s="8" t="s">
        <v>34868</v>
      </c>
      <c r="D3343" s="9" t="b">
        <v>0</v>
      </c>
      <c r="E3343" s="9"/>
    </row>
    <row r="3344" ht="15.75" customHeight="1">
      <c r="A3344" s="9" t="s">
        <v>34869</v>
      </c>
      <c r="B3344" s="9" t="s">
        <v>9006</v>
      </c>
      <c r="C3344" s="8" t="s">
        <v>34870</v>
      </c>
      <c r="D3344" s="9" t="b">
        <v>1</v>
      </c>
      <c r="E3344" s="9"/>
    </row>
    <row r="3345" ht="15.75" customHeight="1">
      <c r="A3345" s="9" t="s">
        <v>34871</v>
      </c>
      <c r="B3345" s="9" t="s">
        <v>9006</v>
      </c>
      <c r="C3345" s="8" t="s">
        <v>34872</v>
      </c>
      <c r="D3345" s="9" t="b">
        <v>0</v>
      </c>
      <c r="E3345" s="9"/>
    </row>
    <row r="3346" ht="15.75" customHeight="1">
      <c r="A3346" s="9" t="s">
        <v>34873</v>
      </c>
      <c r="B3346" s="9" t="s">
        <v>9199</v>
      </c>
      <c r="C3346" s="8" t="s">
        <v>34874</v>
      </c>
      <c r="D3346" s="9" t="b">
        <v>0</v>
      </c>
      <c r="E3346" s="9"/>
    </row>
    <row r="3347" ht="15.75" customHeight="1">
      <c r="A3347" s="9" t="s">
        <v>34875</v>
      </c>
      <c r="B3347" s="9" t="s">
        <v>9199</v>
      </c>
      <c r="C3347" s="8" t="s">
        <v>34876</v>
      </c>
      <c r="D3347" s="9" t="b">
        <v>0</v>
      </c>
      <c r="E3347" s="9"/>
    </row>
    <row r="3348" ht="15.75" customHeight="1">
      <c r="A3348" s="9" t="s">
        <v>34877</v>
      </c>
      <c r="B3348" s="9" t="s">
        <v>9199</v>
      </c>
      <c r="C3348" s="8" t="s">
        <v>34878</v>
      </c>
      <c r="D3348" s="9" t="b">
        <v>1</v>
      </c>
      <c r="E3348" s="9"/>
    </row>
    <row r="3349" ht="15.75" customHeight="1">
      <c r="A3349" s="9" t="s">
        <v>34879</v>
      </c>
      <c r="B3349" s="9" t="s">
        <v>9199</v>
      </c>
      <c r="C3349" s="8" t="s">
        <v>34880</v>
      </c>
      <c r="D3349" s="9" t="b">
        <v>0</v>
      </c>
      <c r="E3349" s="9"/>
    </row>
    <row r="3350" ht="15.75" customHeight="1">
      <c r="A3350" s="9" t="s">
        <v>34881</v>
      </c>
      <c r="B3350" s="9" t="s">
        <v>9199</v>
      </c>
      <c r="C3350" s="8" t="s">
        <v>34882</v>
      </c>
      <c r="D3350" s="9" t="b">
        <v>0</v>
      </c>
      <c r="E3350" s="9"/>
    </row>
    <row r="3351" ht="15.75" customHeight="1">
      <c r="A3351" s="9" t="s">
        <v>34883</v>
      </c>
      <c r="B3351" s="9" t="s">
        <v>9199</v>
      </c>
      <c r="C3351" s="8" t="s">
        <v>34884</v>
      </c>
      <c r="D3351" s="9" t="b">
        <v>0</v>
      </c>
      <c r="E3351" s="9"/>
    </row>
    <row r="3352" ht="15.75" customHeight="1">
      <c r="A3352" s="9" t="s">
        <v>34885</v>
      </c>
      <c r="B3352" s="9" t="s">
        <v>4045</v>
      </c>
      <c r="C3352" s="8" t="s">
        <v>34886</v>
      </c>
      <c r="D3352" s="9" t="b">
        <v>1</v>
      </c>
      <c r="E3352" s="9"/>
    </row>
    <row r="3353" ht="15.75" customHeight="1">
      <c r="A3353" s="9" t="s">
        <v>34887</v>
      </c>
      <c r="B3353" s="9" t="s">
        <v>11592</v>
      </c>
      <c r="C3353" s="8" t="s">
        <v>34888</v>
      </c>
      <c r="D3353" s="9" t="b">
        <v>1</v>
      </c>
      <c r="E3353" s="9"/>
    </row>
    <row r="3354" ht="15.75" customHeight="1">
      <c r="A3354" s="9" t="s">
        <v>34889</v>
      </c>
      <c r="B3354" s="9" t="s">
        <v>2944</v>
      </c>
      <c r="C3354" s="8" t="s">
        <v>34890</v>
      </c>
      <c r="D3354" s="9" t="b">
        <v>1</v>
      </c>
      <c r="E3354" s="9"/>
    </row>
    <row r="3355" ht="15.75" customHeight="1">
      <c r="A3355" s="9" t="s">
        <v>34891</v>
      </c>
      <c r="B3355" s="9" t="s">
        <v>10116</v>
      </c>
      <c r="C3355" s="8" t="s">
        <v>34892</v>
      </c>
      <c r="D3355" s="9" t="b">
        <v>1</v>
      </c>
      <c r="E3355" s="9"/>
    </row>
    <row r="3356" ht="15.75" customHeight="1">
      <c r="A3356" s="9" t="s">
        <v>34893</v>
      </c>
      <c r="B3356" s="9" t="s">
        <v>254</v>
      </c>
      <c r="C3356" s="8" t="s">
        <v>34894</v>
      </c>
      <c r="D3356" s="9" t="b">
        <v>1</v>
      </c>
      <c r="E3356" s="9"/>
    </row>
    <row r="3357" ht="15.75" customHeight="1">
      <c r="A3357" s="9" t="s">
        <v>34895</v>
      </c>
      <c r="B3357" s="9" t="s">
        <v>10387</v>
      </c>
      <c r="C3357" s="8" t="s">
        <v>34896</v>
      </c>
      <c r="D3357" s="9" t="b">
        <v>1</v>
      </c>
      <c r="E3357" s="9"/>
    </row>
    <row r="3358" ht="15.75" customHeight="1">
      <c r="A3358" s="9" t="s">
        <v>34897</v>
      </c>
      <c r="B3358" s="9" t="s">
        <v>6716</v>
      </c>
      <c r="C3358" s="8" t="s">
        <v>34898</v>
      </c>
      <c r="D3358" s="9" t="b">
        <v>1</v>
      </c>
      <c r="E3358" s="9"/>
    </row>
    <row r="3359" ht="15.75" customHeight="1">
      <c r="A3359" s="9" t="s">
        <v>34899</v>
      </c>
      <c r="B3359" s="9" t="s">
        <v>10344</v>
      </c>
      <c r="C3359" s="8" t="s">
        <v>34900</v>
      </c>
      <c r="D3359" s="9" t="b">
        <v>0</v>
      </c>
      <c r="E3359" s="9"/>
    </row>
    <row r="3360" ht="15.75" customHeight="1">
      <c r="A3360" s="9" t="s">
        <v>34901</v>
      </c>
      <c r="B3360" s="9" t="s">
        <v>11491</v>
      </c>
      <c r="C3360" s="8" t="s">
        <v>34902</v>
      </c>
      <c r="D3360" s="9" t="b">
        <v>1</v>
      </c>
      <c r="E3360" s="9"/>
    </row>
    <row r="3361" ht="15.75" customHeight="1">
      <c r="A3361" s="9" t="s">
        <v>34903</v>
      </c>
      <c r="B3361" s="9" t="s">
        <v>5388</v>
      </c>
      <c r="C3361" s="8" t="s">
        <v>34904</v>
      </c>
      <c r="D3361" s="9" t="b">
        <v>0</v>
      </c>
      <c r="E3361" s="9"/>
    </row>
    <row r="3362" ht="15.75" customHeight="1">
      <c r="A3362" s="9" t="s">
        <v>34905</v>
      </c>
      <c r="B3362" s="9" t="s">
        <v>9448</v>
      </c>
      <c r="C3362" s="8" t="s">
        <v>34906</v>
      </c>
      <c r="D3362" s="9" t="b">
        <v>0</v>
      </c>
      <c r="E3362" s="9"/>
    </row>
    <row r="3363" ht="15.75" customHeight="1">
      <c r="A3363" s="9" t="s">
        <v>34907</v>
      </c>
      <c r="B3363" s="9" t="s">
        <v>9448</v>
      </c>
      <c r="C3363" s="8" t="s">
        <v>34908</v>
      </c>
      <c r="D3363" s="9" t="b">
        <v>1</v>
      </c>
      <c r="E3363" s="9"/>
    </row>
    <row r="3364" ht="15.75" customHeight="1">
      <c r="A3364" s="9" t="s">
        <v>34909</v>
      </c>
      <c r="B3364" s="9" t="s">
        <v>9448</v>
      </c>
      <c r="C3364" s="8" t="s">
        <v>34910</v>
      </c>
      <c r="D3364" s="9" t="b">
        <v>0</v>
      </c>
      <c r="E3364" s="9"/>
    </row>
    <row r="3365" ht="15.75" customHeight="1">
      <c r="A3365" s="9" t="s">
        <v>34911</v>
      </c>
      <c r="B3365" s="9" t="s">
        <v>5388</v>
      </c>
      <c r="C3365" s="8" t="s">
        <v>34912</v>
      </c>
      <c r="D3365" s="9" t="b">
        <v>1</v>
      </c>
      <c r="E3365" s="9"/>
    </row>
    <row r="3366" ht="15.75" customHeight="1">
      <c r="A3366" s="9"/>
      <c r="B3366" s="9"/>
      <c r="C3366" s="9"/>
      <c r="D3366" s="9"/>
      <c r="E3366" s="9"/>
    </row>
    <row r="3367" ht="15.75" customHeight="1">
      <c r="A3367" s="9" t="s">
        <v>34913</v>
      </c>
      <c r="B3367" s="9" t="s">
        <v>10113</v>
      </c>
      <c r="C3367" s="8" t="s">
        <v>34914</v>
      </c>
      <c r="D3367" s="9" t="b">
        <v>1</v>
      </c>
      <c r="E3367" s="9"/>
    </row>
    <row r="3368" ht="15.75" customHeight="1">
      <c r="A3368" s="9" t="s">
        <v>34915</v>
      </c>
      <c r="B3368" s="9" t="s">
        <v>2522</v>
      </c>
      <c r="C3368" s="8" t="s">
        <v>34916</v>
      </c>
      <c r="D3368" s="9" t="b">
        <v>0</v>
      </c>
      <c r="E3368" s="9"/>
    </row>
    <row r="3369" ht="15.75" customHeight="1">
      <c r="A3369" s="9" t="s">
        <v>34917</v>
      </c>
      <c r="B3369" s="9" t="s">
        <v>2522</v>
      </c>
      <c r="C3369" s="8" t="s">
        <v>34918</v>
      </c>
      <c r="D3369" s="9" t="b">
        <v>0</v>
      </c>
      <c r="E3369" s="9"/>
    </row>
    <row r="3370" ht="15.75" customHeight="1">
      <c r="A3370" s="9" t="s">
        <v>34919</v>
      </c>
      <c r="B3370" s="9" t="s">
        <v>2522</v>
      </c>
      <c r="C3370" s="8" t="s">
        <v>34920</v>
      </c>
      <c r="D3370" s="9" t="b">
        <v>0</v>
      </c>
      <c r="E3370" s="9"/>
    </row>
    <row r="3371" ht="15.75" customHeight="1">
      <c r="A3371" s="9" t="s">
        <v>34921</v>
      </c>
      <c r="B3371" s="9" t="s">
        <v>2522</v>
      </c>
      <c r="C3371" s="8" t="s">
        <v>34922</v>
      </c>
      <c r="D3371" s="9" t="b">
        <v>1</v>
      </c>
      <c r="E3371" s="9"/>
    </row>
    <row r="3372" ht="15.75" customHeight="1">
      <c r="A3372" s="9" t="s">
        <v>34923</v>
      </c>
      <c r="B3372" s="9" t="s">
        <v>8987</v>
      </c>
      <c r="C3372" s="8" t="s">
        <v>34924</v>
      </c>
      <c r="D3372" s="9" t="b">
        <v>0</v>
      </c>
      <c r="E3372" s="9"/>
    </row>
    <row r="3373" ht="15.75" customHeight="1">
      <c r="A3373" s="9" t="s">
        <v>34925</v>
      </c>
      <c r="B3373" s="9" t="s">
        <v>8987</v>
      </c>
      <c r="C3373" s="8" t="s">
        <v>34926</v>
      </c>
      <c r="D3373" s="9" t="b">
        <v>1</v>
      </c>
      <c r="E3373" s="9"/>
    </row>
    <row r="3374" ht="15.75" customHeight="1">
      <c r="A3374" s="9" t="s">
        <v>34927</v>
      </c>
      <c r="B3374" s="9" t="s">
        <v>8478</v>
      </c>
      <c r="C3374" s="8" t="s">
        <v>34928</v>
      </c>
      <c r="D3374" s="9" t="b">
        <v>0</v>
      </c>
      <c r="E3374" s="9"/>
    </row>
    <row r="3375" ht="15.75" customHeight="1">
      <c r="A3375" s="9" t="s">
        <v>34929</v>
      </c>
      <c r="B3375" s="9" t="s">
        <v>9762</v>
      </c>
      <c r="C3375" s="8" t="s">
        <v>34930</v>
      </c>
      <c r="D3375" s="9" t="b">
        <v>0</v>
      </c>
      <c r="E3375" s="9"/>
    </row>
    <row r="3376" ht="15.75" customHeight="1">
      <c r="A3376" s="9" t="s">
        <v>34931</v>
      </c>
      <c r="B3376" s="9" t="s">
        <v>9762</v>
      </c>
      <c r="C3376" s="8" t="s">
        <v>34932</v>
      </c>
      <c r="D3376" s="9" t="b">
        <v>0</v>
      </c>
      <c r="E3376" s="9"/>
    </row>
    <row r="3377" ht="15.75" customHeight="1">
      <c r="A3377" s="9" t="s">
        <v>34933</v>
      </c>
      <c r="B3377" s="9" t="s">
        <v>9762</v>
      </c>
      <c r="C3377" s="8" t="s">
        <v>34934</v>
      </c>
      <c r="D3377" s="9" t="b">
        <v>0</v>
      </c>
      <c r="E3377" s="9"/>
    </row>
    <row r="3378" ht="15.75" customHeight="1">
      <c r="A3378" s="9" t="s">
        <v>34935</v>
      </c>
      <c r="B3378" s="9" t="s">
        <v>9762</v>
      </c>
      <c r="C3378" s="8" t="s">
        <v>34936</v>
      </c>
      <c r="D3378" s="9" t="b">
        <v>1</v>
      </c>
      <c r="E3378" s="9"/>
    </row>
    <row r="3379" ht="15.75" customHeight="1">
      <c r="A3379" s="9" t="s">
        <v>34937</v>
      </c>
      <c r="B3379" s="9" t="s">
        <v>9762</v>
      </c>
      <c r="C3379" s="8" t="s">
        <v>34938</v>
      </c>
      <c r="D3379" s="9" t="b">
        <v>0</v>
      </c>
      <c r="E3379" s="9"/>
    </row>
    <row r="3380" ht="15.75" customHeight="1">
      <c r="A3380" s="9" t="s">
        <v>34939</v>
      </c>
      <c r="B3380" s="9" t="s">
        <v>10269</v>
      </c>
      <c r="C3380" s="8" t="s">
        <v>34940</v>
      </c>
      <c r="D3380" s="9" t="b">
        <v>0</v>
      </c>
      <c r="E3380" s="9"/>
    </row>
    <row r="3381" ht="15.75" customHeight="1">
      <c r="A3381" s="52" t="s">
        <v>34941</v>
      </c>
      <c r="B3381" s="9" t="s">
        <v>10269</v>
      </c>
      <c r="C3381" s="8" t="s">
        <v>34942</v>
      </c>
      <c r="D3381" s="9" t="b">
        <v>0</v>
      </c>
      <c r="E3381" s="9"/>
    </row>
    <row r="3382" ht="15.75" customHeight="1">
      <c r="A3382" s="9"/>
      <c r="B3382" s="9"/>
      <c r="C3382" s="9"/>
      <c r="D3382" s="9"/>
      <c r="E3382" s="9"/>
    </row>
    <row r="3383" ht="15.75" customHeight="1">
      <c r="A3383" s="9" t="s">
        <v>34943</v>
      </c>
      <c r="B3383" s="9" t="s">
        <v>10269</v>
      </c>
      <c r="C3383" s="8" t="s">
        <v>34944</v>
      </c>
      <c r="D3383" s="9" t="b">
        <v>0</v>
      </c>
      <c r="E3383" s="9"/>
    </row>
    <row r="3384" ht="15.75" customHeight="1">
      <c r="A3384" s="9" t="s">
        <v>34945</v>
      </c>
      <c r="B3384" s="9" t="s">
        <v>10269</v>
      </c>
      <c r="C3384" s="8" t="s">
        <v>34946</v>
      </c>
      <c r="D3384" s="9" t="b">
        <v>0</v>
      </c>
      <c r="E3384" s="9"/>
    </row>
    <row r="3385" ht="15.75" customHeight="1">
      <c r="A3385" s="9" t="s">
        <v>34947</v>
      </c>
      <c r="B3385" s="9" t="s">
        <v>10269</v>
      </c>
      <c r="C3385" s="8" t="s">
        <v>34948</v>
      </c>
      <c r="D3385" s="9" t="b">
        <v>0</v>
      </c>
      <c r="E3385" s="9"/>
    </row>
    <row r="3386" ht="15.75" customHeight="1">
      <c r="A3386" s="9" t="s">
        <v>34949</v>
      </c>
      <c r="B3386" s="9" t="s">
        <v>10269</v>
      </c>
      <c r="C3386" s="8" t="s">
        <v>34950</v>
      </c>
      <c r="D3386" s="9" t="b">
        <v>0</v>
      </c>
      <c r="E3386" s="9"/>
    </row>
    <row r="3387" ht="15.75" customHeight="1">
      <c r="A3387" s="9" t="s">
        <v>34951</v>
      </c>
      <c r="B3387" s="9" t="s">
        <v>10269</v>
      </c>
      <c r="C3387" s="8" t="s">
        <v>34952</v>
      </c>
      <c r="D3387" s="9" t="b">
        <v>1</v>
      </c>
      <c r="E3387" s="9"/>
    </row>
    <row r="3388" ht="15.75" customHeight="1">
      <c r="A3388" s="9" t="s">
        <v>34953</v>
      </c>
      <c r="B3388" s="9" t="s">
        <v>10359</v>
      </c>
      <c r="C3388" s="8" t="s">
        <v>34954</v>
      </c>
      <c r="D3388" s="9" t="b">
        <v>0</v>
      </c>
      <c r="E3388" s="9"/>
    </row>
    <row r="3389" ht="15.75" customHeight="1">
      <c r="A3389" s="9" t="s">
        <v>34955</v>
      </c>
      <c r="B3389" s="9" t="s">
        <v>10359</v>
      </c>
      <c r="C3389" s="8" t="s">
        <v>34956</v>
      </c>
      <c r="D3389" s="9" t="b">
        <v>0</v>
      </c>
      <c r="E3389" s="9"/>
    </row>
    <row r="3390" ht="15.75" customHeight="1">
      <c r="A3390" s="9" t="s">
        <v>34957</v>
      </c>
      <c r="B3390" s="9" t="s">
        <v>10359</v>
      </c>
      <c r="C3390" s="8" t="s">
        <v>34958</v>
      </c>
      <c r="D3390" s="9" t="b">
        <v>0</v>
      </c>
      <c r="E3390" s="9"/>
    </row>
    <row r="3391" ht="15.75" customHeight="1">
      <c r="A3391" s="9" t="s">
        <v>34959</v>
      </c>
      <c r="B3391" s="9" t="s">
        <v>10359</v>
      </c>
      <c r="C3391" s="8" t="s">
        <v>34960</v>
      </c>
      <c r="D3391" s="9" t="b">
        <v>0</v>
      </c>
      <c r="E3391" s="9"/>
    </row>
    <row r="3392" ht="15.75" customHeight="1">
      <c r="A3392" s="9" t="s">
        <v>34961</v>
      </c>
      <c r="B3392" s="9" t="s">
        <v>10359</v>
      </c>
      <c r="C3392" s="8" t="s">
        <v>34962</v>
      </c>
      <c r="D3392" s="9" t="b">
        <v>0</v>
      </c>
      <c r="E3392" s="9"/>
    </row>
    <row r="3393" ht="15.75" customHeight="1">
      <c r="A3393" s="9" t="s">
        <v>34963</v>
      </c>
      <c r="B3393" s="9" t="s">
        <v>10359</v>
      </c>
      <c r="C3393" s="8" t="s">
        <v>34964</v>
      </c>
      <c r="D3393" s="9" t="b">
        <v>0</v>
      </c>
      <c r="E3393" s="9"/>
    </row>
    <row r="3394" ht="15.75" customHeight="1">
      <c r="A3394" s="52" t="s">
        <v>34965</v>
      </c>
      <c r="B3394" s="9" t="s">
        <v>10359</v>
      </c>
      <c r="C3394" s="8" t="s">
        <v>34966</v>
      </c>
      <c r="D3394" s="9" t="b">
        <v>1</v>
      </c>
      <c r="E3394" s="9"/>
    </row>
    <row r="3395" ht="15.75" customHeight="1">
      <c r="A3395" s="9" t="s">
        <v>34967</v>
      </c>
      <c r="B3395" s="9" t="s">
        <v>9106</v>
      </c>
      <c r="C3395" s="8" t="s">
        <v>34968</v>
      </c>
      <c r="D3395" s="9" t="b">
        <v>0</v>
      </c>
      <c r="E3395" s="9"/>
    </row>
    <row r="3396" ht="15.75" customHeight="1">
      <c r="A3396" s="9" t="s">
        <v>34969</v>
      </c>
      <c r="B3396" s="9" t="s">
        <v>9106</v>
      </c>
      <c r="C3396" s="8" t="s">
        <v>34970</v>
      </c>
      <c r="D3396" s="9" t="b">
        <v>0</v>
      </c>
      <c r="E3396" s="9"/>
    </row>
    <row r="3397" ht="15.75" customHeight="1">
      <c r="A3397" s="9" t="s">
        <v>34971</v>
      </c>
      <c r="B3397" s="9" t="s">
        <v>9106</v>
      </c>
      <c r="C3397" s="8" t="s">
        <v>34972</v>
      </c>
      <c r="D3397" s="9" t="b">
        <v>0</v>
      </c>
      <c r="E3397" s="9"/>
    </row>
    <row r="3398" ht="15.75" customHeight="1">
      <c r="A3398" s="9" t="s">
        <v>34973</v>
      </c>
      <c r="B3398" s="9" t="s">
        <v>9106</v>
      </c>
      <c r="C3398" s="8" t="s">
        <v>34974</v>
      </c>
      <c r="D3398" s="9" t="b">
        <v>0</v>
      </c>
      <c r="E3398" s="9"/>
    </row>
    <row r="3399" ht="15.75" customHeight="1">
      <c r="A3399" s="9" t="s">
        <v>34975</v>
      </c>
      <c r="B3399" s="9" t="s">
        <v>9106</v>
      </c>
      <c r="C3399" s="8" t="s">
        <v>34976</v>
      </c>
      <c r="D3399" s="9" t="b">
        <v>0</v>
      </c>
      <c r="E3399" s="9"/>
    </row>
    <row r="3400" ht="15.75" customHeight="1">
      <c r="A3400" s="9" t="s">
        <v>34977</v>
      </c>
      <c r="B3400" s="9" t="s">
        <v>9106</v>
      </c>
      <c r="C3400" s="8" t="s">
        <v>34978</v>
      </c>
      <c r="D3400" s="9" t="b">
        <v>0</v>
      </c>
      <c r="E3400" s="9"/>
    </row>
    <row r="3401" ht="15.75" customHeight="1">
      <c r="A3401" s="9" t="s">
        <v>34979</v>
      </c>
      <c r="B3401" s="9" t="s">
        <v>9106</v>
      </c>
      <c r="C3401" s="8" t="s">
        <v>34980</v>
      </c>
      <c r="D3401" s="9" t="b">
        <v>0</v>
      </c>
      <c r="E3401" s="9"/>
    </row>
    <row r="3402" ht="15.75" customHeight="1">
      <c r="A3402" s="9" t="s">
        <v>34981</v>
      </c>
      <c r="B3402" s="9" t="s">
        <v>9106</v>
      </c>
      <c r="C3402" s="8" t="s">
        <v>34982</v>
      </c>
      <c r="D3402" s="9" t="b">
        <v>1</v>
      </c>
      <c r="E3402" s="9"/>
    </row>
    <row r="3403" ht="15.75" customHeight="1">
      <c r="A3403" s="9" t="s">
        <v>34983</v>
      </c>
      <c r="B3403" s="9" t="s">
        <v>10199</v>
      </c>
      <c r="C3403" s="8" t="s">
        <v>34984</v>
      </c>
      <c r="D3403" s="9" t="b">
        <v>0</v>
      </c>
      <c r="E3403" s="9"/>
    </row>
    <row r="3404" ht="15.75" customHeight="1">
      <c r="A3404" s="9" t="s">
        <v>34985</v>
      </c>
      <c r="B3404" s="9" t="s">
        <v>10199</v>
      </c>
      <c r="C3404" s="8" t="s">
        <v>34986</v>
      </c>
      <c r="D3404" s="9" t="b">
        <v>0</v>
      </c>
      <c r="E3404" s="9"/>
    </row>
    <row r="3405" ht="15.75" customHeight="1">
      <c r="A3405" s="9" t="s">
        <v>34987</v>
      </c>
      <c r="B3405" s="9" t="s">
        <v>10199</v>
      </c>
      <c r="C3405" s="8" t="s">
        <v>34988</v>
      </c>
      <c r="D3405" s="9" t="b">
        <v>1</v>
      </c>
      <c r="E3405" s="9"/>
    </row>
    <row r="3406" ht="15.75" customHeight="1">
      <c r="A3406" s="9" t="s">
        <v>34989</v>
      </c>
      <c r="B3406" s="9" t="s">
        <v>10199</v>
      </c>
      <c r="C3406" s="8" t="s">
        <v>34990</v>
      </c>
      <c r="D3406" s="9" t="b">
        <v>0</v>
      </c>
      <c r="E3406" s="9"/>
    </row>
    <row r="3407" ht="15.75" customHeight="1">
      <c r="A3407" s="9" t="s">
        <v>34991</v>
      </c>
      <c r="B3407" s="9" t="s">
        <v>9119</v>
      </c>
      <c r="C3407" s="8" t="s">
        <v>34992</v>
      </c>
      <c r="D3407" s="9" t="b">
        <v>1</v>
      </c>
      <c r="E3407" s="9"/>
    </row>
    <row r="3408" ht="15.75" customHeight="1">
      <c r="A3408" s="9" t="s">
        <v>34993</v>
      </c>
      <c r="B3408" s="9" t="s">
        <v>9119</v>
      </c>
      <c r="C3408" s="8" t="s">
        <v>34994</v>
      </c>
      <c r="D3408" s="9" t="b">
        <v>0</v>
      </c>
      <c r="E3408" s="9"/>
    </row>
    <row r="3409" ht="15.75" customHeight="1">
      <c r="A3409" s="9" t="s">
        <v>34995</v>
      </c>
      <c r="B3409" s="9" t="s">
        <v>9119</v>
      </c>
      <c r="C3409" s="8" t="s">
        <v>34996</v>
      </c>
      <c r="D3409" s="9" t="b">
        <v>0</v>
      </c>
      <c r="E3409" s="9"/>
    </row>
    <row r="3410" ht="15.75" customHeight="1">
      <c r="A3410" s="9" t="s">
        <v>34997</v>
      </c>
      <c r="B3410" s="9" t="s">
        <v>9119</v>
      </c>
      <c r="C3410" s="8" t="s">
        <v>34998</v>
      </c>
      <c r="D3410" s="9" t="b">
        <v>0</v>
      </c>
      <c r="E3410" s="9"/>
    </row>
    <row r="3411" ht="15.75" customHeight="1">
      <c r="A3411" s="9" t="s">
        <v>34999</v>
      </c>
      <c r="B3411" s="9" t="s">
        <v>9119</v>
      </c>
      <c r="C3411" s="8" t="s">
        <v>35000</v>
      </c>
      <c r="D3411" s="9" t="b">
        <v>0</v>
      </c>
      <c r="E3411" s="9"/>
    </row>
    <row r="3412" ht="15.75" customHeight="1">
      <c r="A3412" s="9" t="s">
        <v>35001</v>
      </c>
      <c r="B3412" s="9" t="s">
        <v>9106</v>
      </c>
      <c r="C3412" s="8" t="s">
        <v>35002</v>
      </c>
      <c r="D3412" s="9" t="b">
        <v>0</v>
      </c>
      <c r="E3412" s="9"/>
    </row>
    <row r="3413" ht="15.75" customHeight="1">
      <c r="A3413" s="9" t="s">
        <v>35003</v>
      </c>
      <c r="B3413" s="9" t="s">
        <v>9122</v>
      </c>
      <c r="C3413" s="8" t="s">
        <v>35004</v>
      </c>
      <c r="D3413" s="9" t="b">
        <v>1</v>
      </c>
      <c r="E3413" s="9"/>
    </row>
    <row r="3414" ht="15.75" customHeight="1">
      <c r="A3414" s="9" t="s">
        <v>35005</v>
      </c>
      <c r="B3414" s="9" t="s">
        <v>9122</v>
      </c>
      <c r="C3414" s="8" t="s">
        <v>35006</v>
      </c>
      <c r="D3414" s="9" t="b">
        <v>0</v>
      </c>
      <c r="E3414" s="9"/>
    </row>
    <row r="3415" ht="15.75" customHeight="1">
      <c r="A3415" s="9" t="s">
        <v>35007</v>
      </c>
      <c r="B3415" s="9" t="s">
        <v>9122</v>
      </c>
      <c r="C3415" s="8" t="s">
        <v>35008</v>
      </c>
      <c r="D3415" s="9" t="b">
        <v>0</v>
      </c>
      <c r="E3415" s="9"/>
    </row>
    <row r="3416" ht="15.75" customHeight="1">
      <c r="A3416" s="9" t="s">
        <v>35009</v>
      </c>
      <c r="B3416" s="9" t="s">
        <v>9122</v>
      </c>
      <c r="C3416" s="8" t="s">
        <v>35010</v>
      </c>
      <c r="D3416" s="9" t="b">
        <v>0</v>
      </c>
      <c r="E3416" s="9"/>
    </row>
    <row r="3417" ht="15.75" customHeight="1">
      <c r="A3417" s="9" t="s">
        <v>35011</v>
      </c>
      <c r="B3417" s="9" t="s">
        <v>9703</v>
      </c>
      <c r="C3417" s="8" t="s">
        <v>35012</v>
      </c>
      <c r="D3417" s="9" t="b">
        <v>1</v>
      </c>
      <c r="E3417" s="9"/>
    </row>
    <row r="3418" ht="15.75" customHeight="1">
      <c r="A3418" s="9" t="s">
        <v>35013</v>
      </c>
      <c r="B3418" s="9" t="s">
        <v>9703</v>
      </c>
      <c r="C3418" s="8" t="s">
        <v>35014</v>
      </c>
      <c r="D3418" s="9" t="b">
        <v>0</v>
      </c>
      <c r="E3418" s="9"/>
    </row>
    <row r="3419" ht="15.75" customHeight="1">
      <c r="A3419" s="9" t="s">
        <v>35015</v>
      </c>
      <c r="B3419" s="9" t="s">
        <v>9703</v>
      </c>
      <c r="C3419" s="8" t="s">
        <v>35016</v>
      </c>
      <c r="D3419" s="9" t="b">
        <v>0</v>
      </c>
      <c r="E3419" s="9"/>
    </row>
    <row r="3420" ht="15.75" customHeight="1">
      <c r="A3420" s="9" t="s">
        <v>35017</v>
      </c>
      <c r="B3420" s="9" t="s">
        <v>9703</v>
      </c>
      <c r="C3420" s="8" t="s">
        <v>35018</v>
      </c>
      <c r="D3420" s="9" t="b">
        <v>0</v>
      </c>
      <c r="E3420" s="9"/>
    </row>
    <row r="3421" ht="15.75" customHeight="1">
      <c r="A3421" s="9" t="s">
        <v>35019</v>
      </c>
      <c r="B3421" s="9" t="s">
        <v>4210</v>
      </c>
      <c r="C3421" s="8" t="s">
        <v>35020</v>
      </c>
      <c r="D3421" s="9" t="b">
        <v>1</v>
      </c>
      <c r="E3421" s="9"/>
    </row>
    <row r="3422" ht="15.75" customHeight="1">
      <c r="A3422" s="9" t="s">
        <v>35021</v>
      </c>
      <c r="B3422" s="9" t="s">
        <v>264</v>
      </c>
      <c r="C3422" s="8" t="s">
        <v>35022</v>
      </c>
      <c r="D3422" s="9" t="b">
        <v>0</v>
      </c>
      <c r="E3422" s="9"/>
    </row>
    <row r="3423" ht="15.75" customHeight="1">
      <c r="A3423" s="9" t="s">
        <v>35023</v>
      </c>
      <c r="B3423" s="9" t="s">
        <v>264</v>
      </c>
      <c r="C3423" s="8" t="s">
        <v>35024</v>
      </c>
      <c r="D3423" s="9" t="b">
        <v>1</v>
      </c>
      <c r="E3423" s="9"/>
    </row>
    <row r="3424" ht="15.75" customHeight="1">
      <c r="A3424" s="9" t="s">
        <v>35025</v>
      </c>
      <c r="B3424" s="9" t="s">
        <v>264</v>
      </c>
      <c r="C3424" s="8" t="s">
        <v>35026</v>
      </c>
      <c r="D3424" s="9" t="b">
        <v>0</v>
      </c>
      <c r="E3424" s="9"/>
    </row>
    <row r="3425" ht="15.75" customHeight="1">
      <c r="A3425" s="9" t="s">
        <v>35027</v>
      </c>
      <c r="B3425" s="9" t="s">
        <v>264</v>
      </c>
      <c r="C3425" s="8" t="s">
        <v>35028</v>
      </c>
      <c r="D3425" s="9" t="b">
        <v>0</v>
      </c>
      <c r="E3425" s="9"/>
    </row>
    <row r="3426" ht="15.75" customHeight="1">
      <c r="A3426" s="9" t="s">
        <v>35029</v>
      </c>
      <c r="B3426" s="9" t="s">
        <v>6947</v>
      </c>
      <c r="C3426" s="8" t="s">
        <v>35030</v>
      </c>
      <c r="D3426" s="9" t="b">
        <v>1</v>
      </c>
      <c r="E3426" s="9"/>
    </row>
    <row r="3427" ht="15.75" customHeight="1">
      <c r="A3427" s="9" t="s">
        <v>35031</v>
      </c>
      <c r="B3427" s="9" t="s">
        <v>6947</v>
      </c>
      <c r="C3427" s="8" t="s">
        <v>35032</v>
      </c>
      <c r="D3427" s="9" t="b">
        <v>0</v>
      </c>
      <c r="E3427" s="9"/>
    </row>
    <row r="3428" ht="15.75" customHeight="1">
      <c r="A3428" s="9" t="s">
        <v>35033</v>
      </c>
      <c r="B3428" s="9" t="s">
        <v>6947</v>
      </c>
      <c r="C3428" s="8" t="s">
        <v>35034</v>
      </c>
      <c r="D3428" s="9" t="b">
        <v>0</v>
      </c>
      <c r="E3428" s="9"/>
    </row>
    <row r="3429" ht="15.75" customHeight="1">
      <c r="A3429" s="9" t="s">
        <v>35035</v>
      </c>
      <c r="B3429" s="9" t="s">
        <v>7240</v>
      </c>
      <c r="C3429" s="8" t="s">
        <v>35036</v>
      </c>
      <c r="D3429" s="9" t="b">
        <v>1</v>
      </c>
      <c r="E3429" s="9"/>
    </row>
    <row r="3430" ht="15.75" customHeight="1">
      <c r="A3430" s="9" t="s">
        <v>35037</v>
      </c>
      <c r="B3430" s="9" t="s">
        <v>10347</v>
      </c>
      <c r="C3430" s="8" t="s">
        <v>35038</v>
      </c>
      <c r="D3430" s="9" t="b">
        <v>0</v>
      </c>
      <c r="E3430" s="9"/>
    </row>
    <row r="3431" ht="15.75" customHeight="1">
      <c r="A3431" s="9" t="s">
        <v>35039</v>
      </c>
      <c r="B3431" s="9" t="s">
        <v>10347</v>
      </c>
      <c r="C3431" s="8" t="s">
        <v>29954</v>
      </c>
      <c r="D3431" s="9" t="b">
        <v>0</v>
      </c>
      <c r="E3431" s="9"/>
    </row>
    <row r="3432" ht="15.75" customHeight="1">
      <c r="A3432" s="9" t="s">
        <v>35040</v>
      </c>
      <c r="B3432" s="9" t="s">
        <v>10347</v>
      </c>
      <c r="C3432" s="8" t="s">
        <v>35041</v>
      </c>
      <c r="D3432" s="9" t="b">
        <v>0</v>
      </c>
      <c r="E3432" s="9"/>
    </row>
    <row r="3433" ht="15.75" customHeight="1">
      <c r="A3433" s="9" t="s">
        <v>35042</v>
      </c>
      <c r="B3433" s="9" t="s">
        <v>10347</v>
      </c>
      <c r="C3433" s="8" t="s">
        <v>35043</v>
      </c>
      <c r="D3433" s="9" t="b">
        <v>0</v>
      </c>
      <c r="E3433" s="9"/>
    </row>
    <row r="3434" ht="15.75" customHeight="1">
      <c r="A3434" s="9" t="s">
        <v>35044</v>
      </c>
      <c r="B3434" s="9" t="s">
        <v>10347</v>
      </c>
      <c r="C3434" s="8" t="s">
        <v>35045</v>
      </c>
      <c r="D3434" s="9" t="b">
        <v>0</v>
      </c>
      <c r="E3434" s="9"/>
    </row>
    <row r="3435" ht="15.75" customHeight="1">
      <c r="A3435" s="9" t="s">
        <v>35046</v>
      </c>
      <c r="B3435" s="9" t="s">
        <v>10347</v>
      </c>
      <c r="C3435" s="8" t="s">
        <v>35047</v>
      </c>
      <c r="D3435" s="9" t="b">
        <v>0</v>
      </c>
      <c r="E3435" s="9"/>
    </row>
    <row r="3436" ht="15.75" customHeight="1">
      <c r="A3436" s="9" t="s">
        <v>35048</v>
      </c>
      <c r="B3436" s="9" t="s">
        <v>10347</v>
      </c>
      <c r="C3436" s="8" t="s">
        <v>35049</v>
      </c>
      <c r="D3436" s="9" t="b">
        <v>0</v>
      </c>
      <c r="E3436" s="9"/>
    </row>
    <row r="3437" ht="15.75" customHeight="1">
      <c r="A3437" s="9" t="s">
        <v>35050</v>
      </c>
      <c r="B3437" s="9" t="s">
        <v>10347</v>
      </c>
      <c r="C3437" s="8" t="s">
        <v>35051</v>
      </c>
      <c r="D3437" s="9" t="b">
        <v>1</v>
      </c>
      <c r="E3437" s="9"/>
    </row>
    <row r="3438" ht="15.75" customHeight="1">
      <c r="A3438" s="9" t="s">
        <v>35052</v>
      </c>
      <c r="B3438" s="9" t="s">
        <v>9612</v>
      </c>
      <c r="C3438" s="8" t="s">
        <v>35053</v>
      </c>
      <c r="D3438" s="9" t="b">
        <v>0</v>
      </c>
      <c r="E3438" s="9"/>
    </row>
    <row r="3439" ht="15.75" customHeight="1">
      <c r="A3439" s="9" t="s">
        <v>35054</v>
      </c>
      <c r="B3439" s="9" t="s">
        <v>9612</v>
      </c>
      <c r="C3439" s="8" t="s">
        <v>35055</v>
      </c>
      <c r="D3439" s="9" t="b">
        <v>0</v>
      </c>
      <c r="E3439" s="9"/>
    </row>
    <row r="3440" ht="15.75" customHeight="1">
      <c r="A3440" s="9" t="s">
        <v>35056</v>
      </c>
      <c r="B3440" s="9" t="s">
        <v>9612</v>
      </c>
      <c r="C3440" s="8" t="s">
        <v>35057</v>
      </c>
      <c r="D3440" s="9" t="b">
        <v>0</v>
      </c>
      <c r="E3440" s="9"/>
    </row>
    <row r="3441" ht="15.75" customHeight="1">
      <c r="A3441" s="9" t="s">
        <v>35058</v>
      </c>
      <c r="B3441" s="9" t="s">
        <v>9612</v>
      </c>
      <c r="C3441" s="8" t="s">
        <v>35059</v>
      </c>
      <c r="D3441" s="9" t="b">
        <v>0</v>
      </c>
      <c r="E3441" s="9"/>
    </row>
    <row r="3442" ht="15.75" customHeight="1">
      <c r="A3442" s="9" t="s">
        <v>35060</v>
      </c>
      <c r="B3442" s="9" t="s">
        <v>9612</v>
      </c>
      <c r="C3442" s="8" t="s">
        <v>35061</v>
      </c>
      <c r="D3442" s="9" t="b">
        <v>1</v>
      </c>
      <c r="E3442" s="9"/>
    </row>
    <row r="3443" ht="15.75" customHeight="1">
      <c r="A3443" s="9" t="s">
        <v>35062</v>
      </c>
      <c r="B3443" s="9" t="s">
        <v>9612</v>
      </c>
      <c r="C3443" s="8" t="s">
        <v>35063</v>
      </c>
      <c r="D3443" s="9" t="b">
        <v>0</v>
      </c>
      <c r="E3443" s="9"/>
    </row>
    <row r="3444" ht="15.75" customHeight="1">
      <c r="A3444" s="9" t="s">
        <v>35064</v>
      </c>
      <c r="B3444" s="9" t="s">
        <v>9612</v>
      </c>
      <c r="C3444" s="8" t="s">
        <v>35065</v>
      </c>
      <c r="D3444" s="9" t="b">
        <v>0</v>
      </c>
      <c r="E3444" s="9"/>
    </row>
    <row r="3445" ht="15.75" customHeight="1">
      <c r="A3445" s="9" t="s">
        <v>35066</v>
      </c>
      <c r="B3445" s="9" t="s">
        <v>9612</v>
      </c>
      <c r="C3445" s="8" t="s">
        <v>35067</v>
      </c>
      <c r="D3445" s="9" t="b">
        <v>0</v>
      </c>
      <c r="E3445" s="9"/>
    </row>
    <row r="3446" ht="15.75" customHeight="1">
      <c r="A3446" s="9" t="s">
        <v>35068</v>
      </c>
      <c r="B3446" s="9" t="s">
        <v>9612</v>
      </c>
      <c r="C3446" s="8" t="s">
        <v>35069</v>
      </c>
      <c r="D3446" s="9" t="b">
        <v>0</v>
      </c>
      <c r="E3446" s="9"/>
    </row>
    <row r="3447" ht="15.75" customHeight="1">
      <c r="A3447" s="9" t="s">
        <v>35070</v>
      </c>
      <c r="B3447" s="9" t="s">
        <v>9612</v>
      </c>
      <c r="C3447" s="8" t="s">
        <v>35071</v>
      </c>
      <c r="D3447" s="9" t="b">
        <v>0</v>
      </c>
      <c r="E3447" s="9"/>
    </row>
    <row r="3448" ht="15.75" customHeight="1">
      <c r="A3448" s="9" t="s">
        <v>35072</v>
      </c>
      <c r="B3448" s="9" t="s">
        <v>9612</v>
      </c>
      <c r="C3448" s="8" t="s">
        <v>35073</v>
      </c>
      <c r="D3448" s="9" t="b">
        <v>0</v>
      </c>
      <c r="E3448" s="9"/>
    </row>
    <row r="3449" ht="15.75" customHeight="1">
      <c r="A3449" s="9" t="s">
        <v>35074</v>
      </c>
      <c r="B3449" s="9" t="s">
        <v>9612</v>
      </c>
      <c r="C3449" s="8" t="s">
        <v>35075</v>
      </c>
      <c r="D3449" s="9" t="b">
        <v>0</v>
      </c>
      <c r="E3449" s="9"/>
    </row>
    <row r="3450" ht="15.75" customHeight="1">
      <c r="A3450" s="52" t="s">
        <v>35076</v>
      </c>
      <c r="B3450" s="9" t="s">
        <v>9612</v>
      </c>
      <c r="C3450" s="8" t="s">
        <v>35077</v>
      </c>
      <c r="D3450" s="9" t="b">
        <v>0</v>
      </c>
      <c r="E3450" s="9"/>
    </row>
    <row r="3451" ht="15.75" customHeight="1">
      <c r="A3451" s="9" t="s">
        <v>35078</v>
      </c>
      <c r="B3451" s="9" t="s">
        <v>9612</v>
      </c>
      <c r="C3451" s="8" t="s">
        <v>35079</v>
      </c>
      <c r="D3451" s="9" t="b">
        <v>0</v>
      </c>
      <c r="E3451" s="9"/>
    </row>
    <row r="3452" ht="15.75" customHeight="1">
      <c r="A3452" s="9" t="s">
        <v>35080</v>
      </c>
      <c r="B3452" s="9" t="s">
        <v>7315</v>
      </c>
      <c r="C3452" s="8" t="s">
        <v>35081</v>
      </c>
      <c r="D3452" s="9" t="b">
        <v>0</v>
      </c>
      <c r="E3452" s="9"/>
    </row>
    <row r="3453" ht="15.75" customHeight="1">
      <c r="A3453" s="9" t="s">
        <v>35082</v>
      </c>
      <c r="B3453" s="9" t="s">
        <v>7315</v>
      </c>
      <c r="C3453" s="8" t="s">
        <v>35083</v>
      </c>
      <c r="D3453" s="9" t="b">
        <v>0</v>
      </c>
      <c r="E3453" s="9"/>
    </row>
    <row r="3454" ht="15.75" customHeight="1">
      <c r="A3454" s="9" t="s">
        <v>35084</v>
      </c>
      <c r="B3454" s="9" t="s">
        <v>7879</v>
      </c>
      <c r="C3454" s="8" t="s">
        <v>35085</v>
      </c>
      <c r="D3454" s="9" t="b">
        <v>1</v>
      </c>
      <c r="E3454" s="9"/>
    </row>
    <row r="3455" ht="15.75" customHeight="1">
      <c r="A3455" s="9" t="s">
        <v>35086</v>
      </c>
      <c r="B3455" s="9" t="s">
        <v>7879</v>
      </c>
      <c r="C3455" s="8" t="s">
        <v>35087</v>
      </c>
      <c r="D3455" s="9" t="b">
        <v>0</v>
      </c>
      <c r="E3455" s="9"/>
    </row>
    <row r="3456" ht="15.75" customHeight="1">
      <c r="A3456" s="9" t="s">
        <v>35088</v>
      </c>
      <c r="B3456" s="9" t="s">
        <v>7612</v>
      </c>
      <c r="C3456" s="8" t="s">
        <v>35089</v>
      </c>
      <c r="D3456" s="9" t="b">
        <v>0</v>
      </c>
      <c r="E3456" s="9"/>
    </row>
    <row r="3457" ht="15.75" customHeight="1">
      <c r="A3457" s="9" t="s">
        <v>35090</v>
      </c>
      <c r="B3457" s="9" t="s">
        <v>10334</v>
      </c>
      <c r="C3457" s="8" t="s">
        <v>35091</v>
      </c>
      <c r="D3457" s="9" t="b">
        <v>0</v>
      </c>
      <c r="E3457" s="9"/>
    </row>
    <row r="3458" ht="15.75" customHeight="1">
      <c r="A3458" s="9" t="s">
        <v>35092</v>
      </c>
      <c r="B3458" s="9" t="s">
        <v>10334</v>
      </c>
      <c r="C3458" s="8" t="s">
        <v>35093</v>
      </c>
      <c r="D3458" s="9" t="b">
        <v>1</v>
      </c>
      <c r="E3458" s="9"/>
    </row>
    <row r="3459" ht="15.75" customHeight="1">
      <c r="A3459" s="9" t="s">
        <v>35094</v>
      </c>
      <c r="B3459" s="9" t="s">
        <v>10334</v>
      </c>
      <c r="C3459" s="8" t="s">
        <v>35095</v>
      </c>
      <c r="D3459" s="9" t="b">
        <v>0</v>
      </c>
      <c r="E3459" s="9"/>
    </row>
    <row r="3460" ht="15.75" customHeight="1">
      <c r="A3460" s="9" t="s">
        <v>35096</v>
      </c>
      <c r="B3460" s="9" t="s">
        <v>10334</v>
      </c>
      <c r="C3460" s="8" t="s">
        <v>35097</v>
      </c>
      <c r="D3460" s="9" t="b">
        <v>0</v>
      </c>
      <c r="E3460" s="9"/>
    </row>
    <row r="3461" ht="15.75" customHeight="1">
      <c r="A3461" s="9" t="s">
        <v>35098</v>
      </c>
      <c r="B3461" s="9" t="s">
        <v>10334</v>
      </c>
      <c r="C3461" s="8" t="s">
        <v>35099</v>
      </c>
      <c r="D3461" s="9" t="b">
        <v>0</v>
      </c>
      <c r="E3461" s="9"/>
    </row>
    <row r="3462" ht="15.75" customHeight="1">
      <c r="A3462" s="9" t="s">
        <v>35100</v>
      </c>
      <c r="B3462" s="9" t="s">
        <v>10334</v>
      </c>
      <c r="C3462" s="8" t="s">
        <v>35101</v>
      </c>
      <c r="D3462" s="9" t="b">
        <v>0</v>
      </c>
      <c r="E3462" s="9"/>
    </row>
    <row r="3463" ht="15.75" customHeight="1">
      <c r="A3463" s="9" t="s">
        <v>35102</v>
      </c>
      <c r="B3463" s="9" t="s">
        <v>10334</v>
      </c>
      <c r="C3463" s="8" t="s">
        <v>35103</v>
      </c>
      <c r="D3463" s="9" t="b">
        <v>0</v>
      </c>
      <c r="E3463" s="9"/>
    </row>
    <row r="3464" ht="15.75" customHeight="1">
      <c r="A3464" s="9" t="s">
        <v>35104</v>
      </c>
      <c r="B3464" s="9" t="s">
        <v>10334</v>
      </c>
      <c r="C3464" s="8" t="s">
        <v>35105</v>
      </c>
      <c r="D3464" s="9" t="b">
        <v>0</v>
      </c>
      <c r="E3464" s="9"/>
    </row>
    <row r="3465" ht="15.75" customHeight="1">
      <c r="A3465" s="9" t="s">
        <v>35106</v>
      </c>
      <c r="B3465" s="9" t="s">
        <v>10334</v>
      </c>
      <c r="C3465" s="8" t="s">
        <v>35107</v>
      </c>
      <c r="D3465" s="9" t="b">
        <v>0</v>
      </c>
      <c r="E3465" s="9"/>
    </row>
    <row r="3466" ht="15.75" customHeight="1">
      <c r="A3466" s="9" t="s">
        <v>35108</v>
      </c>
      <c r="B3466" s="9" t="s">
        <v>10334</v>
      </c>
      <c r="C3466" s="8" t="s">
        <v>35109</v>
      </c>
      <c r="D3466" s="9" t="b">
        <v>0</v>
      </c>
      <c r="E3466" s="9"/>
    </row>
    <row r="3467" ht="15.75" customHeight="1">
      <c r="A3467" s="9" t="s">
        <v>35110</v>
      </c>
      <c r="B3467" s="9" t="s">
        <v>10334</v>
      </c>
      <c r="C3467" s="8" t="s">
        <v>35111</v>
      </c>
      <c r="D3467" s="9" t="b">
        <v>0</v>
      </c>
      <c r="E3467" s="9"/>
    </row>
    <row r="3468" ht="15.75" customHeight="1">
      <c r="A3468" s="9" t="s">
        <v>35112</v>
      </c>
      <c r="B3468" s="9" t="s">
        <v>10332</v>
      </c>
      <c r="C3468" s="8" t="s">
        <v>35113</v>
      </c>
      <c r="D3468" s="9" t="b">
        <v>0</v>
      </c>
      <c r="E3468" s="9"/>
    </row>
    <row r="3469" ht="15.75" customHeight="1">
      <c r="A3469" s="9" t="s">
        <v>35114</v>
      </c>
      <c r="B3469" s="9" t="s">
        <v>10332</v>
      </c>
      <c r="C3469" s="8" t="s">
        <v>35115</v>
      </c>
      <c r="D3469" s="9" t="b">
        <v>0</v>
      </c>
      <c r="E3469" s="9"/>
    </row>
    <row r="3470" ht="15.75" customHeight="1">
      <c r="A3470" s="52" t="s">
        <v>35116</v>
      </c>
      <c r="B3470" s="9" t="s">
        <v>10332</v>
      </c>
      <c r="C3470" s="8" t="s">
        <v>35117</v>
      </c>
      <c r="D3470" s="9" t="b">
        <v>0</v>
      </c>
      <c r="E3470" s="9"/>
    </row>
    <row r="3471" ht="15.75" customHeight="1">
      <c r="A3471" s="9" t="s">
        <v>35118</v>
      </c>
      <c r="B3471" s="9" t="s">
        <v>10332</v>
      </c>
      <c r="C3471" s="8" t="s">
        <v>35119</v>
      </c>
      <c r="D3471" s="9" t="b">
        <v>0</v>
      </c>
      <c r="E3471" s="9"/>
    </row>
    <row r="3472" ht="15.75" customHeight="1">
      <c r="A3472" s="9" t="s">
        <v>35120</v>
      </c>
      <c r="B3472" s="9" t="s">
        <v>10332</v>
      </c>
      <c r="C3472" s="8" t="s">
        <v>35121</v>
      </c>
      <c r="D3472" s="9" t="b">
        <v>0</v>
      </c>
      <c r="E3472" s="9"/>
    </row>
    <row r="3473" ht="15.75" customHeight="1">
      <c r="A3473" s="9" t="s">
        <v>35122</v>
      </c>
      <c r="B3473" s="9" t="s">
        <v>10332</v>
      </c>
      <c r="C3473" s="8" t="s">
        <v>35123</v>
      </c>
      <c r="D3473" s="9" t="b">
        <v>1</v>
      </c>
      <c r="E3473" s="9"/>
    </row>
    <row r="3474" ht="15.75" customHeight="1">
      <c r="A3474" s="9" t="s">
        <v>35124</v>
      </c>
      <c r="B3474" s="9" t="s">
        <v>10332</v>
      </c>
      <c r="C3474" s="8" t="s">
        <v>35125</v>
      </c>
      <c r="D3474" s="9" t="b">
        <v>0</v>
      </c>
      <c r="E3474" s="9"/>
    </row>
    <row r="3475" ht="15.75" customHeight="1">
      <c r="A3475" s="9" t="s">
        <v>35126</v>
      </c>
      <c r="B3475" s="9" t="s">
        <v>10332</v>
      </c>
      <c r="C3475" s="8" t="s">
        <v>35127</v>
      </c>
      <c r="D3475" s="9" t="b">
        <v>0</v>
      </c>
      <c r="E3475" s="9"/>
    </row>
    <row r="3476" ht="15.75" customHeight="1">
      <c r="A3476" s="9" t="s">
        <v>35128</v>
      </c>
      <c r="B3476" s="9" t="s">
        <v>10332</v>
      </c>
      <c r="C3476" s="8" t="s">
        <v>35129</v>
      </c>
      <c r="D3476" s="9" t="b">
        <v>0</v>
      </c>
      <c r="E3476" s="9"/>
    </row>
    <row r="3477" ht="15.75" customHeight="1">
      <c r="A3477" s="9" t="s">
        <v>35130</v>
      </c>
      <c r="B3477" s="9" t="s">
        <v>10332</v>
      </c>
      <c r="C3477" s="8" t="s">
        <v>35131</v>
      </c>
      <c r="D3477" s="9" t="b">
        <v>0</v>
      </c>
      <c r="E3477" s="9"/>
    </row>
    <row r="3478" ht="15.75" customHeight="1">
      <c r="A3478" s="9" t="s">
        <v>35132</v>
      </c>
      <c r="B3478" s="9" t="s">
        <v>643</v>
      </c>
      <c r="C3478" s="8" t="s">
        <v>35133</v>
      </c>
      <c r="D3478" s="9" t="b">
        <v>0</v>
      </c>
      <c r="E3478" s="9"/>
    </row>
    <row r="3479" ht="15.75" customHeight="1">
      <c r="A3479" s="9" t="s">
        <v>35134</v>
      </c>
      <c r="B3479" s="9" t="s">
        <v>643</v>
      </c>
      <c r="C3479" s="8" t="s">
        <v>35135</v>
      </c>
      <c r="D3479" s="9" t="b">
        <v>0</v>
      </c>
      <c r="E3479" s="9"/>
    </row>
    <row r="3480" ht="15.75" customHeight="1">
      <c r="A3480" s="9" t="s">
        <v>35136</v>
      </c>
      <c r="B3480" s="9" t="s">
        <v>643</v>
      </c>
      <c r="C3480" s="8" t="s">
        <v>35137</v>
      </c>
      <c r="D3480" s="9" t="b">
        <v>0</v>
      </c>
      <c r="E3480" s="9"/>
    </row>
    <row r="3481" ht="15.75" customHeight="1">
      <c r="A3481" s="9" t="s">
        <v>35138</v>
      </c>
      <c r="B3481" s="9" t="s">
        <v>10320</v>
      </c>
      <c r="C3481" s="8" t="s">
        <v>35139</v>
      </c>
      <c r="D3481" s="9" t="b">
        <v>0</v>
      </c>
      <c r="E3481" s="9"/>
    </row>
    <row r="3482" ht="15.75" customHeight="1">
      <c r="A3482" s="9" t="s">
        <v>35140</v>
      </c>
      <c r="B3482" s="9" t="s">
        <v>10320</v>
      </c>
      <c r="C3482" s="8" t="s">
        <v>35141</v>
      </c>
      <c r="D3482" s="9" t="b">
        <v>0</v>
      </c>
      <c r="E3482" s="9"/>
    </row>
    <row r="3483" ht="15.75" customHeight="1">
      <c r="A3483" s="9" t="s">
        <v>35142</v>
      </c>
      <c r="B3483" s="9" t="s">
        <v>10320</v>
      </c>
      <c r="C3483" s="8" t="s">
        <v>35143</v>
      </c>
      <c r="D3483" s="9" t="b">
        <v>0</v>
      </c>
      <c r="E3483" s="9"/>
    </row>
    <row r="3484" ht="15.75" customHeight="1">
      <c r="A3484" s="9" t="s">
        <v>35144</v>
      </c>
      <c r="B3484" s="9" t="s">
        <v>10320</v>
      </c>
      <c r="C3484" s="8" t="s">
        <v>35145</v>
      </c>
      <c r="D3484" s="9" t="b">
        <v>1</v>
      </c>
      <c r="E3484" s="9"/>
    </row>
    <row r="3485" ht="15.75" customHeight="1">
      <c r="A3485" s="9" t="s">
        <v>35146</v>
      </c>
      <c r="B3485" s="9" t="s">
        <v>3040</v>
      </c>
      <c r="C3485" s="8" t="s">
        <v>35147</v>
      </c>
      <c r="D3485" s="9" t="b">
        <v>0</v>
      </c>
      <c r="E3485" s="9"/>
    </row>
    <row r="3486" ht="15.75" customHeight="1">
      <c r="A3486" s="9" t="s">
        <v>35148</v>
      </c>
      <c r="B3486" s="9" t="s">
        <v>3040</v>
      </c>
      <c r="C3486" s="8" t="s">
        <v>35149</v>
      </c>
      <c r="D3486" s="9" t="b">
        <v>0</v>
      </c>
      <c r="E3486" s="9"/>
    </row>
    <row r="3487" ht="15.75" customHeight="1">
      <c r="A3487" s="9" t="s">
        <v>35150</v>
      </c>
      <c r="B3487" s="9" t="s">
        <v>3040</v>
      </c>
      <c r="C3487" s="8" t="s">
        <v>35151</v>
      </c>
      <c r="D3487" s="9" t="b">
        <v>1</v>
      </c>
      <c r="E3487" s="9"/>
    </row>
    <row r="3488" ht="15.75" customHeight="1">
      <c r="A3488" s="9" t="s">
        <v>35152</v>
      </c>
      <c r="B3488" s="9" t="s">
        <v>3040</v>
      </c>
      <c r="C3488" s="8" t="s">
        <v>35153</v>
      </c>
      <c r="D3488" s="9" t="b">
        <v>0</v>
      </c>
      <c r="E3488" s="9"/>
    </row>
    <row r="3489" ht="15.75" customHeight="1">
      <c r="A3489" s="9" t="s">
        <v>35154</v>
      </c>
      <c r="B3489" s="9" t="s">
        <v>6292</v>
      </c>
      <c r="C3489" s="8" t="s">
        <v>35155</v>
      </c>
      <c r="D3489" s="9" t="b">
        <v>1</v>
      </c>
      <c r="E3489" s="9"/>
    </row>
    <row r="3490" ht="15.75" customHeight="1">
      <c r="A3490" s="9" t="s">
        <v>35156</v>
      </c>
      <c r="B3490" s="9" t="s">
        <v>6292</v>
      </c>
      <c r="C3490" s="8" t="s">
        <v>35157</v>
      </c>
      <c r="D3490" s="9" t="b">
        <v>0</v>
      </c>
      <c r="E3490" s="9"/>
    </row>
    <row r="3491" ht="15.75" customHeight="1">
      <c r="A3491" s="9" t="s">
        <v>35158</v>
      </c>
      <c r="B3491" s="9" t="s">
        <v>6292</v>
      </c>
      <c r="C3491" s="8" t="s">
        <v>35159</v>
      </c>
      <c r="D3491" s="9" t="b">
        <v>0</v>
      </c>
      <c r="E3491" s="9"/>
    </row>
    <row r="3492" ht="15.75" customHeight="1">
      <c r="A3492" s="9" t="s">
        <v>35160</v>
      </c>
      <c r="B3492" s="9" t="s">
        <v>6292</v>
      </c>
      <c r="C3492" s="8" t="s">
        <v>35161</v>
      </c>
      <c r="D3492" s="9" t="b">
        <v>0</v>
      </c>
      <c r="E3492" s="9"/>
    </row>
    <row r="3493" ht="15.75" customHeight="1">
      <c r="A3493" s="9" t="s">
        <v>35162</v>
      </c>
      <c r="B3493" s="9" t="s">
        <v>3889</v>
      </c>
      <c r="C3493" s="8" t="s">
        <v>35163</v>
      </c>
      <c r="D3493" s="9" t="b">
        <v>1</v>
      </c>
      <c r="E3493" s="9"/>
    </row>
    <row r="3494" ht="15.75" customHeight="1">
      <c r="A3494" s="9" t="s">
        <v>35164</v>
      </c>
      <c r="B3494" s="9" t="s">
        <v>3889</v>
      </c>
      <c r="C3494" s="8" t="s">
        <v>35165</v>
      </c>
      <c r="D3494" s="9" t="b">
        <v>0</v>
      </c>
      <c r="E3494" s="9"/>
    </row>
    <row r="3495" ht="15.75" customHeight="1">
      <c r="A3495" s="9" t="s">
        <v>35166</v>
      </c>
      <c r="B3495" s="9" t="s">
        <v>3889</v>
      </c>
      <c r="C3495" s="8" t="s">
        <v>35167</v>
      </c>
      <c r="D3495" s="9" t="b">
        <v>0</v>
      </c>
      <c r="E3495" s="9"/>
    </row>
    <row r="3496" ht="15.75" customHeight="1">
      <c r="A3496" s="9" t="s">
        <v>35168</v>
      </c>
      <c r="B3496" s="9" t="s">
        <v>3889</v>
      </c>
      <c r="C3496" s="8" t="s">
        <v>35169</v>
      </c>
      <c r="D3496" s="9" t="b">
        <v>0</v>
      </c>
      <c r="E3496" s="9"/>
    </row>
    <row r="3497" ht="15.75" customHeight="1">
      <c r="A3497" s="9" t="s">
        <v>35170</v>
      </c>
      <c r="B3497" s="9" t="s">
        <v>3889</v>
      </c>
      <c r="C3497" s="8" t="s">
        <v>35171</v>
      </c>
      <c r="D3497" s="9" t="b">
        <v>0</v>
      </c>
      <c r="E3497" s="9"/>
    </row>
    <row r="3498" ht="15.75" customHeight="1">
      <c r="A3498" s="9" t="s">
        <v>35172</v>
      </c>
      <c r="B3498" s="9" t="s">
        <v>3889</v>
      </c>
      <c r="C3498" s="8" t="s">
        <v>35173</v>
      </c>
      <c r="D3498" s="9" t="b">
        <v>0</v>
      </c>
      <c r="E3498" s="9"/>
    </row>
    <row r="3499" ht="15.75" customHeight="1">
      <c r="A3499" s="9" t="s">
        <v>35174</v>
      </c>
      <c r="B3499" s="9" t="s">
        <v>3889</v>
      </c>
      <c r="C3499" s="8" t="s">
        <v>35175</v>
      </c>
      <c r="D3499" s="9" t="b">
        <v>0</v>
      </c>
      <c r="E3499" s="9"/>
    </row>
    <row r="3500" ht="15.75" customHeight="1">
      <c r="A3500" s="9" t="s">
        <v>35176</v>
      </c>
      <c r="B3500" s="9" t="s">
        <v>3889</v>
      </c>
      <c r="C3500" s="8" t="s">
        <v>35177</v>
      </c>
      <c r="D3500" s="9" t="b">
        <v>0</v>
      </c>
      <c r="E3500" s="9"/>
    </row>
    <row r="3501" ht="15.75" customHeight="1">
      <c r="A3501" s="9" t="s">
        <v>35178</v>
      </c>
      <c r="B3501" s="9" t="s">
        <v>6159</v>
      </c>
      <c r="C3501" s="8" t="s">
        <v>35179</v>
      </c>
      <c r="D3501" s="9" t="b">
        <v>1</v>
      </c>
      <c r="E3501" s="9"/>
    </row>
    <row r="3502" ht="15.75" customHeight="1">
      <c r="A3502" s="9" t="s">
        <v>35180</v>
      </c>
      <c r="B3502" s="9" t="s">
        <v>234</v>
      </c>
      <c r="C3502" s="8" t="s">
        <v>35181</v>
      </c>
      <c r="D3502" s="9" t="b">
        <v>0</v>
      </c>
      <c r="E3502" s="9"/>
    </row>
    <row r="3503" ht="15.75" customHeight="1">
      <c r="A3503" s="9" t="s">
        <v>35182</v>
      </c>
      <c r="B3503" s="9" t="s">
        <v>234</v>
      </c>
      <c r="C3503" s="8" t="s">
        <v>35183</v>
      </c>
      <c r="D3503" s="9" t="b">
        <v>0</v>
      </c>
      <c r="E3503" s="9"/>
    </row>
    <row r="3504" ht="15.75" customHeight="1">
      <c r="A3504" s="9" t="s">
        <v>35184</v>
      </c>
      <c r="B3504" s="9" t="s">
        <v>234</v>
      </c>
      <c r="C3504" s="8" t="s">
        <v>35185</v>
      </c>
      <c r="D3504" s="9" t="b">
        <v>0</v>
      </c>
      <c r="E3504" s="9"/>
    </row>
    <row r="3505" ht="15.75" customHeight="1">
      <c r="A3505" s="9" t="s">
        <v>35186</v>
      </c>
      <c r="B3505" s="9" t="s">
        <v>234</v>
      </c>
      <c r="C3505" s="8" t="s">
        <v>35187</v>
      </c>
      <c r="D3505" s="9" t="b">
        <v>1</v>
      </c>
      <c r="E3505" s="9"/>
    </row>
    <row r="3506" ht="15.75" customHeight="1">
      <c r="A3506" s="9" t="s">
        <v>35188</v>
      </c>
      <c r="B3506" s="9" t="s">
        <v>8744</v>
      </c>
      <c r="C3506" s="8" t="s">
        <v>35189</v>
      </c>
      <c r="D3506" s="9" t="b">
        <v>0</v>
      </c>
      <c r="E3506" s="9"/>
    </row>
    <row r="3507" ht="15.75" customHeight="1">
      <c r="A3507" s="9" t="s">
        <v>35190</v>
      </c>
      <c r="B3507" s="9" t="s">
        <v>8744</v>
      </c>
      <c r="C3507" s="8" t="s">
        <v>35191</v>
      </c>
      <c r="D3507" s="9" t="b">
        <v>0</v>
      </c>
      <c r="E3507" s="9"/>
    </row>
    <row r="3508" ht="15.75" customHeight="1">
      <c r="A3508" s="9" t="s">
        <v>35192</v>
      </c>
      <c r="B3508" s="9" t="s">
        <v>8744</v>
      </c>
      <c r="C3508" s="8" t="s">
        <v>35193</v>
      </c>
      <c r="D3508" s="9" t="b">
        <v>0</v>
      </c>
      <c r="E3508" s="9"/>
    </row>
    <row r="3509" ht="15.75" customHeight="1">
      <c r="A3509" s="9" t="s">
        <v>35194</v>
      </c>
      <c r="B3509" s="9" t="s">
        <v>8744</v>
      </c>
      <c r="C3509" s="8" t="s">
        <v>35195</v>
      </c>
      <c r="D3509" s="9" t="b">
        <v>0</v>
      </c>
      <c r="E3509" s="9"/>
    </row>
    <row r="3510" ht="15.75" customHeight="1">
      <c r="A3510" s="9" t="s">
        <v>35196</v>
      </c>
      <c r="B3510" s="9" t="s">
        <v>8744</v>
      </c>
      <c r="C3510" s="8" t="s">
        <v>35197</v>
      </c>
      <c r="D3510" s="9" t="b">
        <v>0</v>
      </c>
      <c r="E3510" s="9"/>
    </row>
    <row r="3511" ht="15.75" customHeight="1">
      <c r="A3511" s="9" t="s">
        <v>35198</v>
      </c>
      <c r="B3511" s="9" t="s">
        <v>8744</v>
      </c>
      <c r="C3511" s="8" t="s">
        <v>35199</v>
      </c>
      <c r="D3511" s="9" t="b">
        <v>0</v>
      </c>
      <c r="E3511" s="9"/>
    </row>
    <row r="3512" ht="15.75" customHeight="1">
      <c r="A3512" s="9" t="s">
        <v>35200</v>
      </c>
      <c r="B3512" s="9" t="s">
        <v>8744</v>
      </c>
      <c r="C3512" s="8" t="s">
        <v>35201</v>
      </c>
      <c r="D3512" s="9" t="b">
        <v>1</v>
      </c>
      <c r="E3512" s="9"/>
    </row>
    <row r="3513" ht="15.75" customHeight="1">
      <c r="A3513" s="9" t="s">
        <v>35202</v>
      </c>
      <c r="B3513" s="9" t="s">
        <v>8744</v>
      </c>
      <c r="C3513" s="8" t="s">
        <v>35203</v>
      </c>
      <c r="D3513" s="9" t="b">
        <v>0</v>
      </c>
      <c r="E3513" s="9"/>
    </row>
    <row r="3514" ht="15.75" customHeight="1">
      <c r="A3514" s="9" t="s">
        <v>35204</v>
      </c>
      <c r="B3514" s="9" t="s">
        <v>1594</v>
      </c>
      <c r="C3514" s="8" t="s">
        <v>35205</v>
      </c>
      <c r="D3514" s="9" t="b">
        <v>1</v>
      </c>
      <c r="E3514" s="9"/>
    </row>
    <row r="3515" ht="15.75" customHeight="1">
      <c r="A3515" s="9" t="s">
        <v>35206</v>
      </c>
      <c r="B3515" s="9" t="s">
        <v>1594</v>
      </c>
      <c r="C3515" s="8" t="s">
        <v>35207</v>
      </c>
      <c r="D3515" s="9" t="b">
        <v>0</v>
      </c>
      <c r="E3515" s="9"/>
    </row>
    <row r="3516" ht="15.75" customHeight="1">
      <c r="A3516" s="9" t="s">
        <v>35208</v>
      </c>
      <c r="B3516" s="9" t="s">
        <v>1594</v>
      </c>
      <c r="C3516" s="8" t="s">
        <v>35209</v>
      </c>
      <c r="D3516" s="9" t="b">
        <v>0</v>
      </c>
      <c r="E3516" s="9"/>
    </row>
    <row r="3517" ht="15.75" customHeight="1">
      <c r="A3517" s="9" t="s">
        <v>35210</v>
      </c>
      <c r="B3517" s="9" t="s">
        <v>1631</v>
      </c>
      <c r="C3517" s="8" t="s">
        <v>35211</v>
      </c>
      <c r="D3517" s="9" t="b">
        <v>1</v>
      </c>
      <c r="E3517" s="9"/>
    </row>
    <row r="3518" ht="15.75" customHeight="1">
      <c r="A3518" s="9" t="s">
        <v>35212</v>
      </c>
      <c r="B3518" s="9" t="s">
        <v>5718</v>
      </c>
      <c r="C3518" s="8" t="s">
        <v>35213</v>
      </c>
      <c r="D3518" s="9" t="b">
        <v>0</v>
      </c>
      <c r="E3518" s="9"/>
    </row>
    <row r="3519" ht="15.75" customHeight="1">
      <c r="A3519" s="9"/>
      <c r="B3519" s="9"/>
      <c r="C3519" s="9"/>
      <c r="D3519" s="9"/>
      <c r="E3519" s="9"/>
    </row>
    <row r="3520" ht="15.75" customHeight="1">
      <c r="A3520" s="9" t="s">
        <v>35214</v>
      </c>
      <c r="B3520" s="9" t="s">
        <v>7121</v>
      </c>
      <c r="C3520" s="8" t="s">
        <v>35215</v>
      </c>
      <c r="D3520" s="9" t="b">
        <v>1</v>
      </c>
      <c r="E3520" s="9"/>
    </row>
    <row r="3521" ht="15.75" customHeight="1">
      <c r="A3521" s="9" t="s">
        <v>35216</v>
      </c>
      <c r="B3521" s="9" t="s">
        <v>7121</v>
      </c>
      <c r="C3521" s="8" t="s">
        <v>35217</v>
      </c>
      <c r="D3521" s="9" t="b">
        <v>0</v>
      </c>
      <c r="E3521" s="9"/>
    </row>
    <row r="3522" ht="15.75" customHeight="1">
      <c r="A3522" s="9" t="s">
        <v>35218</v>
      </c>
      <c r="B3522" s="9" t="s">
        <v>7121</v>
      </c>
      <c r="C3522" s="8" t="s">
        <v>35219</v>
      </c>
      <c r="D3522" s="9" t="b">
        <v>0</v>
      </c>
      <c r="E3522" s="9"/>
    </row>
    <row r="3523" ht="15.75" customHeight="1">
      <c r="A3523" s="52" t="s">
        <v>35220</v>
      </c>
      <c r="B3523" s="9" t="s">
        <v>11362</v>
      </c>
      <c r="C3523" s="8" t="s">
        <v>35221</v>
      </c>
      <c r="D3523" s="9" t="b">
        <v>1</v>
      </c>
      <c r="E3523" s="9"/>
    </row>
    <row r="3524" ht="15.75" customHeight="1">
      <c r="A3524" s="9" t="s">
        <v>35222</v>
      </c>
      <c r="B3524" s="9" t="s">
        <v>5545</v>
      </c>
      <c r="C3524" s="8" t="s">
        <v>35223</v>
      </c>
      <c r="D3524" s="9" t="b">
        <v>1</v>
      </c>
      <c r="E3524" s="9"/>
    </row>
    <row r="3525" ht="15.75" customHeight="1">
      <c r="A3525" s="9" t="s">
        <v>35224</v>
      </c>
      <c r="B3525" s="9" t="s">
        <v>5545</v>
      </c>
      <c r="C3525" s="8" t="s">
        <v>35225</v>
      </c>
      <c r="D3525" s="9" t="b">
        <v>0</v>
      </c>
      <c r="E3525" s="9"/>
    </row>
    <row r="3526" ht="15.75" customHeight="1">
      <c r="A3526" s="9" t="s">
        <v>35226</v>
      </c>
      <c r="B3526" s="9" t="s">
        <v>5545</v>
      </c>
      <c r="C3526" s="8" t="s">
        <v>35227</v>
      </c>
      <c r="D3526" s="9" t="b">
        <v>0</v>
      </c>
      <c r="E3526" s="9"/>
    </row>
    <row r="3527" ht="15.75" customHeight="1">
      <c r="A3527" s="9" t="s">
        <v>35228</v>
      </c>
      <c r="B3527" s="9" t="s">
        <v>5545</v>
      </c>
      <c r="C3527" s="8" t="s">
        <v>35229</v>
      </c>
      <c r="D3527" s="9" t="b">
        <v>0</v>
      </c>
      <c r="E3527" s="9"/>
    </row>
    <row r="3528" ht="15.75" customHeight="1">
      <c r="A3528" s="9" t="s">
        <v>35230</v>
      </c>
      <c r="B3528" s="9" t="s">
        <v>3638</v>
      </c>
      <c r="C3528" s="8" t="s">
        <v>35231</v>
      </c>
      <c r="D3528" s="9" t="b">
        <v>1</v>
      </c>
      <c r="E3528" s="9"/>
    </row>
    <row r="3529" ht="15.75" customHeight="1">
      <c r="A3529" s="9" t="s">
        <v>35232</v>
      </c>
      <c r="B3529" s="9" t="s">
        <v>3638</v>
      </c>
      <c r="C3529" s="8" t="s">
        <v>35233</v>
      </c>
      <c r="D3529" s="9" t="b">
        <v>0</v>
      </c>
      <c r="E3529" s="9"/>
    </row>
    <row r="3530" ht="15.75" customHeight="1">
      <c r="A3530" s="9" t="s">
        <v>35234</v>
      </c>
      <c r="B3530" s="9" t="s">
        <v>3638</v>
      </c>
      <c r="C3530" s="8" t="s">
        <v>35235</v>
      </c>
      <c r="D3530" s="9" t="b">
        <v>0</v>
      </c>
      <c r="E3530" s="9"/>
    </row>
    <row r="3531" ht="15.75" customHeight="1">
      <c r="A3531" s="9" t="s">
        <v>35236</v>
      </c>
      <c r="B3531" s="9" t="s">
        <v>3638</v>
      </c>
      <c r="C3531" s="8" t="s">
        <v>35237</v>
      </c>
      <c r="D3531" s="9" t="b">
        <v>0</v>
      </c>
      <c r="E3531" s="9"/>
    </row>
    <row r="3532" ht="15.75" customHeight="1">
      <c r="A3532" s="9" t="s">
        <v>35238</v>
      </c>
      <c r="B3532" s="9" t="s">
        <v>11366</v>
      </c>
      <c r="C3532" s="8" t="s">
        <v>35239</v>
      </c>
      <c r="D3532" s="9" t="b">
        <v>0</v>
      </c>
      <c r="E3532" s="9" t="s">
        <v>35240</v>
      </c>
    </row>
    <row r="3533" ht="15.75" customHeight="1">
      <c r="A3533" s="9" t="s">
        <v>35241</v>
      </c>
      <c r="B3533" s="9" t="s">
        <v>11366</v>
      </c>
      <c r="C3533" s="8" t="s">
        <v>35242</v>
      </c>
      <c r="D3533" s="9" t="b">
        <v>0</v>
      </c>
      <c r="E3533" s="9" t="s">
        <v>35243</v>
      </c>
    </row>
    <row r="3534" ht="15.75" customHeight="1">
      <c r="A3534" s="9" t="s">
        <v>35244</v>
      </c>
      <c r="B3534" s="9" t="s">
        <v>11366</v>
      </c>
      <c r="C3534" s="8" t="s">
        <v>35245</v>
      </c>
      <c r="D3534" s="9" t="b">
        <v>0</v>
      </c>
      <c r="E3534" s="9"/>
    </row>
    <row r="3535" ht="15.75" customHeight="1">
      <c r="A3535" s="9" t="s">
        <v>35246</v>
      </c>
      <c r="B3535" s="9" t="s">
        <v>11366</v>
      </c>
      <c r="C3535" s="8" t="s">
        <v>35247</v>
      </c>
      <c r="D3535" s="9" t="b">
        <v>0</v>
      </c>
      <c r="E3535" s="9"/>
    </row>
    <row r="3536" ht="15.75" customHeight="1">
      <c r="A3536" s="9" t="s">
        <v>35248</v>
      </c>
      <c r="B3536" s="9" t="s">
        <v>11366</v>
      </c>
      <c r="C3536" s="8" t="s">
        <v>35249</v>
      </c>
      <c r="D3536" s="9" t="b">
        <v>0</v>
      </c>
      <c r="E3536" s="9"/>
    </row>
    <row r="3537" ht="15.75" customHeight="1">
      <c r="A3537" s="9" t="s">
        <v>35250</v>
      </c>
      <c r="B3537" s="9" t="s">
        <v>11366</v>
      </c>
      <c r="C3537" s="8" t="s">
        <v>35251</v>
      </c>
      <c r="D3537" s="9" t="b">
        <v>0</v>
      </c>
      <c r="E3537" s="9"/>
    </row>
    <row r="3538" ht="15.75" customHeight="1">
      <c r="A3538" s="9" t="s">
        <v>35252</v>
      </c>
      <c r="B3538" s="9" t="s">
        <v>11366</v>
      </c>
      <c r="C3538" s="8" t="s">
        <v>35253</v>
      </c>
      <c r="D3538" s="9" t="b">
        <v>1</v>
      </c>
      <c r="E3538" s="9"/>
    </row>
    <row r="3539" ht="15.75" customHeight="1">
      <c r="A3539" s="9" t="s">
        <v>35254</v>
      </c>
      <c r="B3539" s="9" t="s">
        <v>10283</v>
      </c>
      <c r="C3539" s="8" t="s">
        <v>35255</v>
      </c>
      <c r="D3539" s="9" t="b">
        <v>0</v>
      </c>
      <c r="E3539" s="9"/>
    </row>
    <row r="3540" ht="15.75" customHeight="1">
      <c r="A3540" s="9" t="s">
        <v>35256</v>
      </c>
      <c r="B3540" s="9" t="s">
        <v>10283</v>
      </c>
      <c r="C3540" s="8" t="s">
        <v>35257</v>
      </c>
      <c r="D3540" s="9" t="b">
        <v>0</v>
      </c>
      <c r="E3540" s="9"/>
    </row>
    <row r="3541" ht="15.75" customHeight="1">
      <c r="A3541" s="9" t="s">
        <v>35258</v>
      </c>
      <c r="B3541" s="9" t="s">
        <v>10283</v>
      </c>
      <c r="C3541" s="8" t="s">
        <v>35259</v>
      </c>
      <c r="D3541" s="9" t="b">
        <v>0</v>
      </c>
      <c r="E3541" s="9"/>
    </row>
    <row r="3542" ht="15.75" customHeight="1">
      <c r="A3542" s="9" t="s">
        <v>35260</v>
      </c>
      <c r="B3542" s="9" t="s">
        <v>10283</v>
      </c>
      <c r="C3542" s="8" t="s">
        <v>35261</v>
      </c>
      <c r="D3542" s="9" t="b">
        <v>0</v>
      </c>
      <c r="E3542" s="9"/>
    </row>
    <row r="3543" ht="15.75" customHeight="1">
      <c r="A3543" s="9" t="s">
        <v>35262</v>
      </c>
      <c r="B3543" s="9" t="s">
        <v>10283</v>
      </c>
      <c r="C3543" s="8" t="s">
        <v>35263</v>
      </c>
      <c r="D3543" s="9" t="b">
        <v>0</v>
      </c>
      <c r="E3543" s="9"/>
    </row>
    <row r="3544" ht="15.75" customHeight="1">
      <c r="A3544" s="9" t="s">
        <v>35264</v>
      </c>
      <c r="B3544" s="9" t="s">
        <v>10283</v>
      </c>
      <c r="C3544" s="8" t="s">
        <v>35265</v>
      </c>
      <c r="D3544" s="9" t="b">
        <v>0</v>
      </c>
      <c r="E3544" s="9"/>
    </row>
    <row r="3545" ht="15.75" customHeight="1">
      <c r="A3545" s="9" t="s">
        <v>35266</v>
      </c>
      <c r="B3545" s="9" t="s">
        <v>10283</v>
      </c>
      <c r="C3545" s="8" t="s">
        <v>35267</v>
      </c>
      <c r="D3545" s="9" t="b">
        <v>1</v>
      </c>
      <c r="E3545" s="9"/>
    </row>
    <row r="3546" ht="15.75" customHeight="1">
      <c r="A3546" s="9" t="s">
        <v>35268</v>
      </c>
      <c r="B3546" s="9" t="s">
        <v>10283</v>
      </c>
      <c r="C3546" s="8" t="s">
        <v>35269</v>
      </c>
      <c r="D3546" s="9" t="b">
        <v>0</v>
      </c>
      <c r="E3546" s="9"/>
    </row>
    <row r="3547" ht="15.75" customHeight="1">
      <c r="A3547" s="9" t="s">
        <v>35270</v>
      </c>
      <c r="B3547" s="9" t="s">
        <v>10283</v>
      </c>
      <c r="C3547" s="8" t="s">
        <v>35271</v>
      </c>
      <c r="D3547" s="9" t="b">
        <v>0</v>
      </c>
      <c r="E3547" s="9"/>
    </row>
    <row r="3548" ht="15.75" customHeight="1">
      <c r="A3548" s="9" t="s">
        <v>35272</v>
      </c>
      <c r="B3548" s="9" t="s">
        <v>10283</v>
      </c>
      <c r="C3548" s="8" t="s">
        <v>35273</v>
      </c>
      <c r="D3548" s="9" t="b">
        <v>0</v>
      </c>
      <c r="E3548" s="9"/>
    </row>
    <row r="3549" ht="15.75" customHeight="1">
      <c r="A3549" s="9" t="s">
        <v>35274</v>
      </c>
      <c r="B3549" s="9" t="s">
        <v>10283</v>
      </c>
      <c r="C3549" s="8" t="s">
        <v>35275</v>
      </c>
      <c r="D3549" s="9" t="b">
        <v>0</v>
      </c>
      <c r="E3549" s="9"/>
    </row>
    <row r="3550" ht="15.75" customHeight="1">
      <c r="A3550" s="9" t="s">
        <v>35276</v>
      </c>
      <c r="B3550" s="9" t="s">
        <v>10283</v>
      </c>
      <c r="C3550" s="8" t="s">
        <v>35277</v>
      </c>
      <c r="D3550" s="9" t="b">
        <v>0</v>
      </c>
      <c r="E3550" s="9"/>
    </row>
    <row r="3551" ht="15.75" customHeight="1">
      <c r="A3551" s="9" t="s">
        <v>35278</v>
      </c>
      <c r="B3551" s="9" t="s">
        <v>10283</v>
      </c>
      <c r="C3551" s="8" t="s">
        <v>35279</v>
      </c>
      <c r="D3551" s="9" t="b">
        <v>0</v>
      </c>
      <c r="E3551" s="9"/>
    </row>
    <row r="3552" ht="15.75" customHeight="1">
      <c r="A3552" s="9" t="s">
        <v>35280</v>
      </c>
      <c r="B3552" s="9" t="s">
        <v>10283</v>
      </c>
      <c r="C3552" s="8" t="s">
        <v>35281</v>
      </c>
      <c r="D3552" s="9" t="b">
        <v>0</v>
      </c>
      <c r="E3552" s="9"/>
    </row>
    <row r="3553" ht="15.75" customHeight="1">
      <c r="A3553" s="9" t="s">
        <v>35282</v>
      </c>
      <c r="B3553" s="9" t="s">
        <v>10283</v>
      </c>
      <c r="C3553" s="8" t="s">
        <v>35283</v>
      </c>
      <c r="D3553" s="9" t="b">
        <v>0</v>
      </c>
      <c r="E3553" s="9"/>
    </row>
    <row r="3554" ht="15.75" customHeight="1">
      <c r="A3554" s="9" t="s">
        <v>35284</v>
      </c>
      <c r="B3554" s="9" t="s">
        <v>11830</v>
      </c>
      <c r="C3554" s="8" t="s">
        <v>35285</v>
      </c>
      <c r="D3554" s="9" t="b">
        <v>0</v>
      </c>
      <c r="E3554" s="9"/>
    </row>
    <row r="3555" ht="15.75" customHeight="1">
      <c r="A3555" s="52" t="s">
        <v>35286</v>
      </c>
      <c r="B3555" s="9" t="s">
        <v>11830</v>
      </c>
      <c r="C3555" s="8" t="s">
        <v>35287</v>
      </c>
      <c r="D3555" s="9" t="b">
        <v>0</v>
      </c>
      <c r="E3555" s="9"/>
    </row>
    <row r="3556" ht="15.75" customHeight="1">
      <c r="A3556" s="9" t="s">
        <v>35288</v>
      </c>
      <c r="B3556" s="9" t="s">
        <v>11830</v>
      </c>
      <c r="C3556" s="8" t="s">
        <v>35289</v>
      </c>
      <c r="D3556" s="9" t="b">
        <v>0</v>
      </c>
      <c r="E3556" s="9"/>
    </row>
    <row r="3557" ht="15.75" customHeight="1">
      <c r="A3557" s="9" t="s">
        <v>35290</v>
      </c>
      <c r="B3557" s="9" t="s">
        <v>11830</v>
      </c>
      <c r="C3557" s="8" t="s">
        <v>35291</v>
      </c>
      <c r="D3557" s="9" t="b">
        <v>0</v>
      </c>
      <c r="E3557" s="9"/>
    </row>
    <row r="3558" ht="15.75" customHeight="1">
      <c r="A3558" s="9" t="s">
        <v>35292</v>
      </c>
      <c r="B3558" s="9" t="s">
        <v>11830</v>
      </c>
      <c r="C3558" s="8" t="s">
        <v>35293</v>
      </c>
      <c r="D3558" s="9" t="b">
        <v>1</v>
      </c>
      <c r="E3558" s="9"/>
    </row>
    <row r="3559" ht="15.75" customHeight="1">
      <c r="A3559" s="9" t="s">
        <v>35294</v>
      </c>
      <c r="B3559" s="9" t="s">
        <v>11830</v>
      </c>
      <c r="C3559" s="8" t="s">
        <v>35295</v>
      </c>
      <c r="D3559" s="9" t="b">
        <v>0</v>
      </c>
      <c r="E3559" s="9"/>
    </row>
    <row r="3560" ht="15.75" customHeight="1">
      <c r="A3560" s="9" t="s">
        <v>35296</v>
      </c>
      <c r="B3560" s="9" t="s">
        <v>11830</v>
      </c>
      <c r="C3560" s="8" t="s">
        <v>35297</v>
      </c>
      <c r="D3560" s="9" t="b">
        <v>0</v>
      </c>
      <c r="E3560" s="9"/>
    </row>
    <row r="3561" ht="15.75" customHeight="1">
      <c r="A3561" s="9" t="s">
        <v>35298</v>
      </c>
      <c r="B3561" s="9" t="s">
        <v>11830</v>
      </c>
      <c r="C3561" s="8" t="s">
        <v>35299</v>
      </c>
      <c r="D3561" s="9" t="b">
        <v>0</v>
      </c>
      <c r="E3561" s="9"/>
    </row>
    <row r="3562" ht="15.75" customHeight="1">
      <c r="A3562" s="9" t="s">
        <v>35300</v>
      </c>
      <c r="B3562" s="9" t="s">
        <v>11830</v>
      </c>
      <c r="C3562" s="8" t="s">
        <v>35301</v>
      </c>
      <c r="D3562" s="9" t="b">
        <v>0</v>
      </c>
      <c r="E3562" s="9"/>
    </row>
    <row r="3563" ht="15.75" customHeight="1">
      <c r="A3563" s="9" t="s">
        <v>35302</v>
      </c>
      <c r="B3563" s="9" t="s">
        <v>11830</v>
      </c>
      <c r="C3563" s="8" t="s">
        <v>35303</v>
      </c>
      <c r="D3563" s="9" t="b">
        <v>0</v>
      </c>
      <c r="E3563" s="9"/>
    </row>
    <row r="3564" ht="15.75" customHeight="1">
      <c r="A3564" s="9" t="s">
        <v>35304</v>
      </c>
      <c r="B3564" s="9" t="s">
        <v>10297</v>
      </c>
      <c r="C3564" s="8" t="s">
        <v>35305</v>
      </c>
      <c r="D3564" s="9" t="b">
        <v>0</v>
      </c>
      <c r="E3564" s="9" t="s">
        <v>29157</v>
      </c>
    </row>
    <row r="3565" ht="15.75" customHeight="1">
      <c r="A3565" s="9" t="s">
        <v>35306</v>
      </c>
      <c r="B3565" s="9" t="s">
        <v>10297</v>
      </c>
      <c r="C3565" s="8" t="s">
        <v>35307</v>
      </c>
      <c r="D3565" s="9" t="b">
        <v>0</v>
      </c>
      <c r="E3565" s="9" t="s">
        <v>35308</v>
      </c>
    </row>
    <row r="3566" ht="15.75" customHeight="1">
      <c r="A3566" s="9" t="s">
        <v>35309</v>
      </c>
      <c r="B3566" s="9" t="s">
        <v>10297</v>
      </c>
      <c r="C3566" s="8" t="s">
        <v>35310</v>
      </c>
      <c r="D3566" s="9" t="b">
        <v>0</v>
      </c>
      <c r="E3566" s="9" t="s">
        <v>646</v>
      </c>
    </row>
    <row r="3567" ht="15.75" customHeight="1">
      <c r="A3567" s="9" t="s">
        <v>35311</v>
      </c>
      <c r="B3567" s="9" t="s">
        <v>10297</v>
      </c>
      <c r="C3567" s="8" t="s">
        <v>35312</v>
      </c>
      <c r="D3567" s="9" t="b">
        <v>0</v>
      </c>
      <c r="E3567" s="9" t="s">
        <v>31007</v>
      </c>
    </row>
    <row r="3568" ht="15.75" customHeight="1">
      <c r="A3568" s="9" t="s">
        <v>35313</v>
      </c>
      <c r="B3568" s="9" t="s">
        <v>10297</v>
      </c>
      <c r="C3568" s="8" t="s">
        <v>35314</v>
      </c>
      <c r="D3568" s="9" t="b">
        <v>0</v>
      </c>
      <c r="E3568" s="9" t="s">
        <v>35315</v>
      </c>
    </row>
    <row r="3569" ht="15.75" customHeight="1">
      <c r="A3569" s="9" t="s">
        <v>35316</v>
      </c>
      <c r="B3569" s="9" t="s">
        <v>10297</v>
      </c>
      <c r="C3569" s="8" t="s">
        <v>35317</v>
      </c>
      <c r="D3569" s="9" t="b">
        <v>0</v>
      </c>
      <c r="E3569" s="9" t="s">
        <v>31020</v>
      </c>
    </row>
    <row r="3570" ht="15.75" customHeight="1">
      <c r="A3570" s="9" t="s">
        <v>35318</v>
      </c>
      <c r="B3570" s="9" t="s">
        <v>10297</v>
      </c>
      <c r="C3570" s="8" t="s">
        <v>35319</v>
      </c>
      <c r="D3570" s="9" t="b">
        <v>0</v>
      </c>
      <c r="E3570" s="9" t="s">
        <v>35320</v>
      </c>
    </row>
    <row r="3571" ht="15.75" customHeight="1">
      <c r="A3571" s="9" t="s">
        <v>35321</v>
      </c>
      <c r="B3571" s="9" t="s">
        <v>10297</v>
      </c>
      <c r="C3571" s="8" t="s">
        <v>35322</v>
      </c>
      <c r="D3571" s="9" t="b">
        <v>0</v>
      </c>
      <c r="E3571" s="9" t="s">
        <v>646</v>
      </c>
    </row>
    <row r="3572" ht="15.75" customHeight="1">
      <c r="A3572" s="9" t="s">
        <v>35323</v>
      </c>
      <c r="B3572" s="9" t="s">
        <v>10297</v>
      </c>
      <c r="C3572" s="8" t="s">
        <v>35324</v>
      </c>
      <c r="D3572" s="9" t="b">
        <v>1</v>
      </c>
      <c r="E3572" s="9" t="s">
        <v>32199</v>
      </c>
    </row>
    <row r="3573" ht="15.75" customHeight="1">
      <c r="A3573" s="9" t="s">
        <v>35325</v>
      </c>
      <c r="B3573" s="9" t="s">
        <v>10297</v>
      </c>
      <c r="C3573" s="8" t="s">
        <v>35326</v>
      </c>
      <c r="D3573" s="9" t="b">
        <v>0</v>
      </c>
      <c r="E3573" s="9" t="s">
        <v>32199</v>
      </c>
    </row>
    <row r="3574" ht="15.75" customHeight="1">
      <c r="A3574" s="9" t="s">
        <v>35327</v>
      </c>
      <c r="B3574" s="9" t="s">
        <v>10297</v>
      </c>
      <c r="C3574" s="8" t="s">
        <v>35328</v>
      </c>
      <c r="D3574" s="9" t="b">
        <v>0</v>
      </c>
      <c r="E3574" s="9" t="s">
        <v>29157</v>
      </c>
    </row>
    <row r="3575" ht="15.75" customHeight="1">
      <c r="A3575" s="9" t="s">
        <v>35329</v>
      </c>
      <c r="B3575" s="9" t="s">
        <v>10297</v>
      </c>
      <c r="C3575" s="8" t="s">
        <v>35330</v>
      </c>
      <c r="D3575" s="9" t="b">
        <v>0</v>
      </c>
      <c r="E3575" s="9" t="s">
        <v>29154</v>
      </c>
    </row>
    <row r="3576" ht="15.75" customHeight="1">
      <c r="A3576" s="9" t="s">
        <v>35331</v>
      </c>
      <c r="B3576" s="9" t="s">
        <v>10297</v>
      </c>
      <c r="C3576" s="8" t="s">
        <v>35332</v>
      </c>
      <c r="D3576" s="9" t="b">
        <v>0</v>
      </c>
      <c r="E3576" s="9" t="s">
        <v>35333</v>
      </c>
    </row>
    <row r="3577" ht="15.75" customHeight="1">
      <c r="A3577" s="9" t="s">
        <v>35334</v>
      </c>
      <c r="B3577" s="9" t="s">
        <v>10297</v>
      </c>
      <c r="C3577" s="8" t="s">
        <v>35335</v>
      </c>
      <c r="D3577" s="9" t="b">
        <v>0</v>
      </c>
      <c r="E3577" s="9" t="s">
        <v>35336</v>
      </c>
    </row>
    <row r="3578" ht="15.75" customHeight="1">
      <c r="A3578" s="9" t="s">
        <v>35337</v>
      </c>
      <c r="B3578" s="9" t="s">
        <v>10297</v>
      </c>
      <c r="C3578" s="8" t="s">
        <v>35338</v>
      </c>
      <c r="D3578" s="9" t="b">
        <v>0</v>
      </c>
      <c r="E3578" s="9" t="s">
        <v>29140</v>
      </c>
    </row>
    <row r="3579" ht="15.75" customHeight="1">
      <c r="A3579" s="9" t="s">
        <v>35339</v>
      </c>
      <c r="B3579" s="9" t="s">
        <v>10297</v>
      </c>
      <c r="C3579" s="8" t="s">
        <v>35340</v>
      </c>
      <c r="D3579" s="9" t="b">
        <v>0</v>
      </c>
      <c r="E3579" s="9" t="s">
        <v>30342</v>
      </c>
    </row>
    <row r="3580" ht="15.75" customHeight="1">
      <c r="A3580" s="9" t="s">
        <v>35341</v>
      </c>
      <c r="B3580" s="9" t="s">
        <v>10297</v>
      </c>
      <c r="C3580" s="8" t="s">
        <v>35342</v>
      </c>
      <c r="D3580" s="9" t="b">
        <v>0</v>
      </c>
      <c r="E3580" s="9" t="s">
        <v>30347</v>
      </c>
    </row>
    <row r="3581" ht="15.75" customHeight="1">
      <c r="A3581" s="9" t="s">
        <v>35343</v>
      </c>
      <c r="B3581" s="9" t="s">
        <v>10297</v>
      </c>
      <c r="C3581" s="8" t="s">
        <v>35344</v>
      </c>
      <c r="D3581" s="9" t="b">
        <v>0</v>
      </c>
      <c r="E3581" s="9" t="s">
        <v>30352</v>
      </c>
    </row>
    <row r="3582" ht="15.75" customHeight="1">
      <c r="A3582" s="9" t="s">
        <v>35345</v>
      </c>
      <c r="B3582" s="9" t="s">
        <v>10297</v>
      </c>
      <c r="C3582" s="8" t="s">
        <v>35346</v>
      </c>
      <c r="D3582" s="9" t="b">
        <v>0</v>
      </c>
      <c r="E3582" s="9" t="s">
        <v>29151</v>
      </c>
    </row>
    <row r="3583" ht="15.75" customHeight="1">
      <c r="A3583" s="9" t="s">
        <v>35347</v>
      </c>
      <c r="B3583" s="9" t="s">
        <v>11955</v>
      </c>
      <c r="C3583" s="8" t="s">
        <v>35348</v>
      </c>
      <c r="D3583" s="9" t="b">
        <v>0</v>
      </c>
      <c r="E3583" s="9"/>
    </row>
    <row r="3584" ht="15.75" customHeight="1">
      <c r="A3584" s="9" t="s">
        <v>35349</v>
      </c>
      <c r="B3584" s="9" t="s">
        <v>11955</v>
      </c>
      <c r="C3584" s="8" t="s">
        <v>35350</v>
      </c>
      <c r="D3584" s="9" t="b">
        <v>0</v>
      </c>
      <c r="E3584" s="9"/>
    </row>
    <row r="3585" ht="15.75" customHeight="1">
      <c r="A3585" s="9" t="s">
        <v>35351</v>
      </c>
      <c r="B3585" s="9" t="s">
        <v>11955</v>
      </c>
      <c r="C3585" s="8" t="s">
        <v>35352</v>
      </c>
      <c r="D3585" s="9" t="b">
        <v>1</v>
      </c>
      <c r="E3585" s="9"/>
    </row>
    <row r="3586" ht="15.75" customHeight="1">
      <c r="A3586" s="9" t="s">
        <v>35353</v>
      </c>
      <c r="B3586" s="9" t="s">
        <v>11955</v>
      </c>
      <c r="C3586" s="8" t="s">
        <v>35354</v>
      </c>
      <c r="D3586" s="9" t="b">
        <v>0</v>
      </c>
      <c r="E3586" s="9"/>
    </row>
    <row r="3587" ht="15.75" customHeight="1">
      <c r="A3587" s="9" t="s">
        <v>35355</v>
      </c>
      <c r="B3587" s="9" t="s">
        <v>11955</v>
      </c>
      <c r="C3587" s="8" t="s">
        <v>35356</v>
      </c>
      <c r="D3587" s="9" t="b">
        <v>0</v>
      </c>
      <c r="E3587" s="9"/>
    </row>
    <row r="3588" ht="15.75" customHeight="1">
      <c r="A3588" s="9" t="s">
        <v>35357</v>
      </c>
      <c r="B3588" s="9" t="s">
        <v>11955</v>
      </c>
      <c r="C3588" s="8" t="s">
        <v>35358</v>
      </c>
      <c r="D3588" s="9" t="b">
        <v>0</v>
      </c>
      <c r="E3588" s="9"/>
    </row>
    <row r="3589" ht="15.75" customHeight="1">
      <c r="A3589" s="9" t="s">
        <v>35359</v>
      </c>
      <c r="B3589" s="9" t="s">
        <v>11955</v>
      </c>
      <c r="C3589" s="8" t="s">
        <v>35360</v>
      </c>
      <c r="D3589" s="9" t="b">
        <v>0</v>
      </c>
      <c r="E3589" s="9"/>
    </row>
    <row r="3590" ht="15.75" customHeight="1">
      <c r="A3590" s="9" t="s">
        <v>35361</v>
      </c>
      <c r="B3590" s="9" t="s">
        <v>11955</v>
      </c>
      <c r="C3590" s="8" t="s">
        <v>35362</v>
      </c>
      <c r="D3590" s="9" t="b">
        <v>0</v>
      </c>
      <c r="E3590" s="9"/>
    </row>
    <row r="3591" ht="15.75" customHeight="1">
      <c r="A3591" s="9" t="s">
        <v>35363</v>
      </c>
      <c r="B3591" s="9" t="s">
        <v>11955</v>
      </c>
      <c r="C3591" s="8" t="s">
        <v>35364</v>
      </c>
      <c r="D3591" s="9" t="b">
        <v>0</v>
      </c>
      <c r="E3591" s="9"/>
    </row>
    <row r="3592" ht="15.75" customHeight="1">
      <c r="A3592" s="9" t="s">
        <v>35365</v>
      </c>
      <c r="B3592" s="9" t="s">
        <v>11955</v>
      </c>
      <c r="C3592" s="8" t="s">
        <v>35366</v>
      </c>
      <c r="D3592" s="9" t="b">
        <v>0</v>
      </c>
      <c r="E3592" s="9"/>
    </row>
    <row r="3593" ht="15.75" customHeight="1">
      <c r="A3593" s="9" t="s">
        <v>35367</v>
      </c>
      <c r="B3593" s="9" t="s">
        <v>11955</v>
      </c>
      <c r="C3593" s="8" t="s">
        <v>35368</v>
      </c>
      <c r="D3593" s="9" t="b">
        <v>0</v>
      </c>
      <c r="E3593" s="9"/>
    </row>
    <row r="3594" ht="15.75" customHeight="1">
      <c r="A3594" s="9" t="s">
        <v>35369</v>
      </c>
      <c r="B3594" s="9" t="s">
        <v>11955</v>
      </c>
      <c r="C3594" s="8" t="s">
        <v>35370</v>
      </c>
      <c r="D3594" s="9" t="b">
        <v>0</v>
      </c>
      <c r="E3594" s="9"/>
    </row>
    <row r="3595" ht="15.75" customHeight="1">
      <c r="A3595" s="9" t="s">
        <v>35371</v>
      </c>
      <c r="B3595" s="9" t="s">
        <v>11955</v>
      </c>
      <c r="C3595" s="8" t="s">
        <v>35372</v>
      </c>
      <c r="D3595" s="9" t="b">
        <v>0</v>
      </c>
      <c r="E3595" s="9"/>
    </row>
    <row r="3596" ht="15.75" customHeight="1">
      <c r="A3596" s="9" t="s">
        <v>35373</v>
      </c>
      <c r="B3596" s="9" t="s">
        <v>11955</v>
      </c>
      <c r="C3596" s="8" t="s">
        <v>35374</v>
      </c>
      <c r="D3596" s="9" t="b">
        <v>0</v>
      </c>
      <c r="E3596" s="9"/>
    </row>
    <row r="3597" ht="15.75" customHeight="1">
      <c r="A3597" s="9" t="s">
        <v>35375</v>
      </c>
      <c r="B3597" s="9" t="s">
        <v>11929</v>
      </c>
      <c r="C3597" s="8" t="s">
        <v>35376</v>
      </c>
      <c r="D3597" s="9" t="b">
        <v>1</v>
      </c>
      <c r="E3597" s="9"/>
    </row>
    <row r="3598" ht="15.75" customHeight="1">
      <c r="A3598" s="9" t="s">
        <v>35377</v>
      </c>
      <c r="B3598" s="9" t="s">
        <v>10552</v>
      </c>
      <c r="C3598" s="8" t="s">
        <v>35378</v>
      </c>
      <c r="D3598" s="9" t="b">
        <v>0</v>
      </c>
      <c r="E3598" s="9"/>
    </row>
    <row r="3599" ht="15.75" customHeight="1">
      <c r="A3599" s="9" t="s">
        <v>35379</v>
      </c>
      <c r="B3599" s="9" t="s">
        <v>12219</v>
      </c>
      <c r="C3599" s="8" t="s">
        <v>35380</v>
      </c>
      <c r="D3599" s="9" t="b">
        <v>1</v>
      </c>
      <c r="E3599" s="9"/>
    </row>
    <row r="3600" ht="15.75" customHeight="1">
      <c r="A3600" s="9" t="s">
        <v>35381</v>
      </c>
      <c r="B3600" s="9" t="s">
        <v>12219</v>
      </c>
      <c r="C3600" s="8" t="s">
        <v>35382</v>
      </c>
      <c r="D3600" s="9" t="b">
        <v>0</v>
      </c>
      <c r="E3600" s="9"/>
    </row>
    <row r="3601" ht="15.75" customHeight="1">
      <c r="A3601" s="9" t="s">
        <v>35383</v>
      </c>
      <c r="B3601" s="9" t="s">
        <v>12219</v>
      </c>
      <c r="C3601" s="8" t="s">
        <v>35384</v>
      </c>
      <c r="D3601" s="9" t="b">
        <v>0</v>
      </c>
      <c r="E3601" s="9"/>
    </row>
    <row r="3602" ht="15.75" customHeight="1">
      <c r="A3602" s="9" t="s">
        <v>35385</v>
      </c>
      <c r="B3602" s="9" t="s">
        <v>12219</v>
      </c>
      <c r="C3602" s="8" t="s">
        <v>35386</v>
      </c>
      <c r="D3602" s="9" t="b">
        <v>0</v>
      </c>
      <c r="E3602" s="9"/>
    </row>
    <row r="3603" ht="15.75" customHeight="1">
      <c r="A3603" s="9" t="s">
        <v>35387</v>
      </c>
      <c r="B3603" s="9" t="s">
        <v>12219</v>
      </c>
      <c r="C3603" s="8" t="s">
        <v>35388</v>
      </c>
      <c r="D3603" s="9" t="b">
        <v>0</v>
      </c>
      <c r="E3603" s="9"/>
    </row>
    <row r="3604" ht="15.75" customHeight="1">
      <c r="A3604" s="9" t="s">
        <v>35389</v>
      </c>
      <c r="B3604" s="9" t="s">
        <v>706</v>
      </c>
      <c r="C3604" s="8" t="s">
        <v>35390</v>
      </c>
      <c r="D3604" s="9" t="b">
        <v>0</v>
      </c>
      <c r="E3604" s="9"/>
    </row>
    <row r="3605" ht="15.75" customHeight="1">
      <c r="A3605" s="9" t="s">
        <v>35391</v>
      </c>
      <c r="B3605" s="9" t="s">
        <v>706</v>
      </c>
      <c r="C3605" s="8" t="s">
        <v>35392</v>
      </c>
      <c r="D3605" s="9" t="b">
        <v>1</v>
      </c>
      <c r="E3605" s="9" t="s">
        <v>35393</v>
      </c>
    </row>
    <row r="3606" ht="15.75" customHeight="1">
      <c r="A3606" s="9" t="s">
        <v>35394</v>
      </c>
      <c r="B3606" s="9" t="s">
        <v>4146</v>
      </c>
      <c r="C3606" s="8" t="s">
        <v>35395</v>
      </c>
      <c r="D3606" s="9" t="b">
        <v>1</v>
      </c>
      <c r="E3606" s="9"/>
    </row>
    <row r="3607" ht="15.75" customHeight="1">
      <c r="A3607" s="9" t="s">
        <v>35396</v>
      </c>
      <c r="B3607" s="9" t="s">
        <v>7358</v>
      </c>
      <c r="C3607" s="8" t="s">
        <v>35397</v>
      </c>
      <c r="D3607" s="9" t="b">
        <v>1</v>
      </c>
      <c r="E3607" s="9"/>
    </row>
    <row r="3608" ht="15.75" customHeight="1">
      <c r="A3608" s="9" t="s">
        <v>35398</v>
      </c>
      <c r="B3608" s="9" t="s">
        <v>11368</v>
      </c>
      <c r="C3608" s="8" t="s">
        <v>35399</v>
      </c>
      <c r="D3608" s="9" t="b">
        <v>1</v>
      </c>
      <c r="E3608" s="9"/>
    </row>
    <row r="3609" ht="15.75" customHeight="1">
      <c r="A3609" s="9" t="s">
        <v>35400</v>
      </c>
      <c r="B3609" s="9" t="s">
        <v>11371</v>
      </c>
      <c r="C3609" s="8" t="s">
        <v>35401</v>
      </c>
      <c r="D3609" s="9" t="b">
        <v>0</v>
      </c>
      <c r="E3609" s="9"/>
    </row>
    <row r="3610" ht="15.75" customHeight="1">
      <c r="A3610" s="9" t="s">
        <v>35402</v>
      </c>
      <c r="B3610" s="9" t="s">
        <v>11371</v>
      </c>
      <c r="C3610" s="8" t="s">
        <v>35403</v>
      </c>
      <c r="D3610" s="9" t="b">
        <v>0</v>
      </c>
      <c r="E3610" s="9"/>
    </row>
    <row r="3611" ht="15.75" customHeight="1">
      <c r="A3611" s="9" t="s">
        <v>35404</v>
      </c>
      <c r="B3611" s="9" t="s">
        <v>11371</v>
      </c>
      <c r="C3611" s="8" t="s">
        <v>35405</v>
      </c>
      <c r="D3611" s="9" t="b">
        <v>0</v>
      </c>
      <c r="E3611" s="9"/>
    </row>
    <row r="3612" ht="15.75" customHeight="1">
      <c r="A3612" s="9" t="s">
        <v>35406</v>
      </c>
      <c r="B3612" s="9" t="s">
        <v>11371</v>
      </c>
      <c r="C3612" s="8" t="s">
        <v>35407</v>
      </c>
      <c r="D3612" s="9" t="b">
        <v>0</v>
      </c>
      <c r="E3612" s="9"/>
    </row>
    <row r="3613" ht="15.75" customHeight="1">
      <c r="A3613" s="9" t="s">
        <v>35408</v>
      </c>
      <c r="B3613" s="9" t="s">
        <v>11371</v>
      </c>
      <c r="C3613" s="8" t="s">
        <v>35409</v>
      </c>
      <c r="D3613" s="9" t="b">
        <v>0</v>
      </c>
      <c r="E3613" s="9"/>
    </row>
    <row r="3614" ht="15.75" customHeight="1">
      <c r="A3614" s="9" t="s">
        <v>35410</v>
      </c>
      <c r="B3614" s="9" t="s">
        <v>11371</v>
      </c>
      <c r="C3614" s="8" t="s">
        <v>35411</v>
      </c>
      <c r="D3614" s="9" t="b">
        <v>1</v>
      </c>
      <c r="E3614" s="9"/>
    </row>
    <row r="3615" ht="15.75" customHeight="1">
      <c r="A3615" s="9" t="s">
        <v>35412</v>
      </c>
      <c r="B3615" s="9" t="s">
        <v>11371</v>
      </c>
      <c r="C3615" s="8" t="s">
        <v>35413</v>
      </c>
      <c r="D3615" s="9" t="b">
        <v>0</v>
      </c>
      <c r="E3615" s="9"/>
    </row>
    <row r="3616" ht="15.75" customHeight="1">
      <c r="A3616" s="9" t="s">
        <v>35414</v>
      </c>
      <c r="B3616" s="9" t="s">
        <v>12125</v>
      </c>
      <c r="C3616" s="8" t="s">
        <v>35415</v>
      </c>
      <c r="D3616" s="9" t="b">
        <v>1</v>
      </c>
      <c r="E3616" s="9"/>
    </row>
    <row r="3617" ht="15.75" customHeight="1">
      <c r="A3617" s="9" t="s">
        <v>35416</v>
      </c>
      <c r="B3617" s="9" t="s">
        <v>12125</v>
      </c>
      <c r="C3617" s="8" t="s">
        <v>35417</v>
      </c>
      <c r="D3617" s="9" t="b">
        <v>0</v>
      </c>
      <c r="E3617" s="9"/>
    </row>
    <row r="3618" ht="15.75" customHeight="1">
      <c r="A3618" s="9" t="s">
        <v>35418</v>
      </c>
      <c r="B3618" s="9" t="s">
        <v>12125</v>
      </c>
      <c r="C3618" s="8" t="s">
        <v>35419</v>
      </c>
      <c r="D3618" s="9" t="b">
        <v>0</v>
      </c>
      <c r="E3618" s="9"/>
    </row>
    <row r="3619" ht="15.75" customHeight="1">
      <c r="A3619" s="9" t="s">
        <v>35420</v>
      </c>
      <c r="B3619" s="9" t="s">
        <v>12125</v>
      </c>
      <c r="C3619" s="8" t="s">
        <v>35421</v>
      </c>
      <c r="D3619" s="9" t="b">
        <v>0</v>
      </c>
      <c r="E3619" s="9"/>
    </row>
    <row r="3620" ht="15.75" customHeight="1">
      <c r="A3620" s="9" t="s">
        <v>35422</v>
      </c>
      <c r="B3620" s="9" t="s">
        <v>12125</v>
      </c>
      <c r="C3620" s="8" t="s">
        <v>35423</v>
      </c>
      <c r="D3620" s="9" t="b">
        <v>0</v>
      </c>
      <c r="E3620" s="9"/>
    </row>
    <row r="3621" ht="15.75" customHeight="1">
      <c r="A3621" s="9" t="s">
        <v>35424</v>
      </c>
      <c r="B3621" s="9" t="s">
        <v>12125</v>
      </c>
      <c r="C3621" s="8" t="s">
        <v>35425</v>
      </c>
      <c r="D3621" s="9" t="b">
        <v>0</v>
      </c>
      <c r="E3621" s="9"/>
    </row>
    <row r="3622" ht="15.75" customHeight="1">
      <c r="A3622" s="9" t="s">
        <v>35426</v>
      </c>
      <c r="B3622" s="9" t="s">
        <v>12125</v>
      </c>
      <c r="C3622" s="8" t="s">
        <v>35427</v>
      </c>
      <c r="D3622" s="9" t="b">
        <v>0</v>
      </c>
      <c r="E3622" s="9"/>
    </row>
    <row r="3623" ht="15.75" customHeight="1">
      <c r="A3623" s="9" t="s">
        <v>35428</v>
      </c>
      <c r="B3623" s="9" t="s">
        <v>1966</v>
      </c>
      <c r="C3623" s="8" t="s">
        <v>35429</v>
      </c>
      <c r="D3623" s="9" t="b">
        <v>0</v>
      </c>
      <c r="E3623" s="9"/>
    </row>
    <row r="3624" ht="15.75" customHeight="1">
      <c r="A3624" s="9" t="s">
        <v>35430</v>
      </c>
      <c r="B3624" s="9" t="s">
        <v>1966</v>
      </c>
      <c r="C3624" s="8" t="s">
        <v>35431</v>
      </c>
      <c r="D3624" s="9" t="b">
        <v>0</v>
      </c>
      <c r="E3624" s="9"/>
    </row>
    <row r="3625" ht="15.75" customHeight="1">
      <c r="A3625" s="9" t="s">
        <v>35432</v>
      </c>
      <c r="B3625" s="9" t="s">
        <v>1966</v>
      </c>
      <c r="C3625" s="8" t="s">
        <v>35433</v>
      </c>
      <c r="D3625" s="9" t="b">
        <v>0</v>
      </c>
      <c r="E3625" s="9"/>
    </row>
    <row r="3626" ht="15.75" customHeight="1">
      <c r="A3626" s="9" t="s">
        <v>35434</v>
      </c>
      <c r="B3626" s="9" t="s">
        <v>1966</v>
      </c>
      <c r="C3626" s="8" t="s">
        <v>35435</v>
      </c>
      <c r="D3626" s="9" t="b">
        <v>1</v>
      </c>
      <c r="E3626" s="9"/>
    </row>
    <row r="3627" ht="15.75" customHeight="1">
      <c r="A3627" s="9" t="s">
        <v>35436</v>
      </c>
      <c r="B3627" s="9" t="s">
        <v>1966</v>
      </c>
      <c r="C3627" s="8" t="s">
        <v>35437</v>
      </c>
      <c r="D3627" s="9" t="b">
        <v>0</v>
      </c>
      <c r="E3627" s="9"/>
    </row>
    <row r="3628" ht="15.75" customHeight="1">
      <c r="A3628" s="9" t="s">
        <v>35438</v>
      </c>
      <c r="B3628" s="9" t="s">
        <v>1966</v>
      </c>
      <c r="C3628" s="8" t="s">
        <v>35439</v>
      </c>
      <c r="D3628" s="9" t="b">
        <v>0</v>
      </c>
      <c r="E3628" s="9"/>
    </row>
    <row r="3629" ht="15.75" customHeight="1">
      <c r="A3629" s="9" t="s">
        <v>35440</v>
      </c>
      <c r="B3629" s="9" t="s">
        <v>1966</v>
      </c>
      <c r="C3629" s="8" t="s">
        <v>35441</v>
      </c>
      <c r="D3629" s="9" t="b">
        <v>0</v>
      </c>
      <c r="E3629" s="9"/>
    </row>
    <row r="3630" ht="15.75" customHeight="1">
      <c r="A3630" s="9" t="s">
        <v>35442</v>
      </c>
      <c r="B3630" s="9" t="s">
        <v>7380</v>
      </c>
      <c r="C3630" s="8" t="s">
        <v>35443</v>
      </c>
      <c r="D3630" s="9" t="b">
        <v>1</v>
      </c>
      <c r="E3630" s="9"/>
    </row>
    <row r="3631" ht="15.75" customHeight="1">
      <c r="A3631" s="9" t="s">
        <v>35444</v>
      </c>
      <c r="B3631" s="9" t="s">
        <v>7372</v>
      </c>
      <c r="C3631" s="8" t="s">
        <v>35445</v>
      </c>
      <c r="D3631" s="9" t="b">
        <v>1</v>
      </c>
      <c r="E3631" s="9" t="s">
        <v>35446</v>
      </c>
    </row>
    <row r="3632" ht="15.75" customHeight="1">
      <c r="A3632" s="9" t="s">
        <v>35447</v>
      </c>
      <c r="B3632" s="9" t="s">
        <v>11740</v>
      </c>
      <c r="C3632" s="8" t="s">
        <v>35448</v>
      </c>
      <c r="D3632" s="9" t="b">
        <v>0</v>
      </c>
      <c r="E3632" s="9"/>
    </row>
    <row r="3633" ht="15.75" customHeight="1">
      <c r="A3633" s="9" t="s">
        <v>35449</v>
      </c>
      <c r="B3633" s="9" t="s">
        <v>11740</v>
      </c>
      <c r="C3633" s="8" t="s">
        <v>35450</v>
      </c>
      <c r="D3633" s="9" t="b">
        <v>0</v>
      </c>
      <c r="E3633" s="9"/>
    </row>
    <row r="3634" ht="15.75" customHeight="1">
      <c r="A3634" s="9" t="s">
        <v>35451</v>
      </c>
      <c r="B3634" s="9" t="s">
        <v>11740</v>
      </c>
      <c r="C3634" s="8" t="s">
        <v>35452</v>
      </c>
      <c r="D3634" s="9" t="b">
        <v>0</v>
      </c>
      <c r="E3634" s="9"/>
    </row>
    <row r="3635" ht="15.75" customHeight="1">
      <c r="A3635" s="9" t="s">
        <v>35453</v>
      </c>
      <c r="B3635" s="9" t="s">
        <v>11740</v>
      </c>
      <c r="C3635" s="8" t="s">
        <v>35454</v>
      </c>
      <c r="D3635" s="9" t="b">
        <v>0</v>
      </c>
      <c r="E3635" s="9"/>
    </row>
    <row r="3636" ht="15.75" customHeight="1">
      <c r="A3636" s="9" t="s">
        <v>35455</v>
      </c>
      <c r="B3636" s="9" t="s">
        <v>11740</v>
      </c>
      <c r="C3636" s="8" t="s">
        <v>35456</v>
      </c>
      <c r="D3636" s="9" t="b">
        <v>0</v>
      </c>
      <c r="E3636" s="9"/>
    </row>
    <row r="3637" ht="15.75" customHeight="1">
      <c r="A3637" s="9" t="s">
        <v>35457</v>
      </c>
      <c r="B3637" s="9" t="s">
        <v>11740</v>
      </c>
      <c r="C3637" s="8" t="s">
        <v>35458</v>
      </c>
      <c r="D3637" s="9" t="b">
        <v>0</v>
      </c>
      <c r="E3637" s="9"/>
    </row>
    <row r="3638" ht="15.75" customHeight="1">
      <c r="A3638" s="9" t="s">
        <v>35459</v>
      </c>
      <c r="B3638" s="9" t="s">
        <v>11740</v>
      </c>
      <c r="C3638" s="8" t="s">
        <v>35460</v>
      </c>
      <c r="D3638" s="9" t="b">
        <v>0</v>
      </c>
      <c r="E3638" s="9"/>
    </row>
    <row r="3639" ht="15.75" customHeight="1">
      <c r="A3639" s="9" t="s">
        <v>35461</v>
      </c>
      <c r="B3639" s="9" t="s">
        <v>11740</v>
      </c>
      <c r="C3639" s="8" t="s">
        <v>35462</v>
      </c>
      <c r="D3639" s="9" t="b">
        <v>0</v>
      </c>
      <c r="E3639" s="9"/>
    </row>
    <row r="3640" ht="15.75" customHeight="1">
      <c r="A3640" s="9" t="s">
        <v>35463</v>
      </c>
      <c r="B3640" s="9" t="s">
        <v>11740</v>
      </c>
      <c r="C3640" s="8" t="s">
        <v>35464</v>
      </c>
      <c r="D3640" s="9" t="b">
        <v>0</v>
      </c>
      <c r="E3640" s="9"/>
    </row>
    <row r="3641" ht="15.75" customHeight="1">
      <c r="A3641" s="9" t="s">
        <v>35465</v>
      </c>
      <c r="B3641" s="9" t="s">
        <v>11740</v>
      </c>
      <c r="C3641" s="8" t="s">
        <v>35466</v>
      </c>
      <c r="D3641" s="9" t="b">
        <v>0</v>
      </c>
      <c r="E3641" s="9"/>
    </row>
    <row r="3642" ht="15.75" customHeight="1">
      <c r="A3642" s="9" t="s">
        <v>35467</v>
      </c>
      <c r="B3642" s="9" t="s">
        <v>11740</v>
      </c>
      <c r="C3642" s="8" t="s">
        <v>35468</v>
      </c>
      <c r="D3642" s="9" t="b">
        <v>0</v>
      </c>
      <c r="E3642" s="9"/>
    </row>
    <row r="3643" ht="15.75" customHeight="1">
      <c r="A3643" s="9" t="s">
        <v>35469</v>
      </c>
      <c r="B3643" s="9" t="s">
        <v>11740</v>
      </c>
      <c r="C3643" s="8" t="s">
        <v>35470</v>
      </c>
      <c r="D3643" s="9" t="b">
        <v>0</v>
      </c>
      <c r="E3643" s="9"/>
    </row>
    <row r="3644" ht="15.75" customHeight="1">
      <c r="A3644" s="9" t="s">
        <v>35471</v>
      </c>
      <c r="B3644" s="9" t="s">
        <v>11740</v>
      </c>
      <c r="C3644" s="8" t="s">
        <v>35472</v>
      </c>
      <c r="D3644" s="9" t="b">
        <v>0</v>
      </c>
      <c r="E3644" s="9"/>
    </row>
    <row r="3645" ht="15.75" customHeight="1">
      <c r="A3645" s="9" t="s">
        <v>35473</v>
      </c>
      <c r="B3645" s="9" t="s">
        <v>11740</v>
      </c>
      <c r="C3645" s="8" t="s">
        <v>35474</v>
      </c>
      <c r="D3645" s="9" t="b">
        <v>0</v>
      </c>
      <c r="E3645" s="9"/>
    </row>
    <row r="3646" ht="15.75" customHeight="1">
      <c r="A3646" s="9" t="s">
        <v>35475</v>
      </c>
      <c r="B3646" s="9" t="s">
        <v>11740</v>
      </c>
      <c r="C3646" s="8" t="s">
        <v>35476</v>
      </c>
      <c r="D3646" s="9" t="b">
        <v>0</v>
      </c>
      <c r="E3646" s="9"/>
    </row>
    <row r="3647" ht="15.75" customHeight="1">
      <c r="A3647" s="9" t="s">
        <v>35477</v>
      </c>
      <c r="B3647" s="9" t="s">
        <v>11740</v>
      </c>
      <c r="C3647" s="8" t="s">
        <v>35478</v>
      </c>
      <c r="D3647" s="9" t="b">
        <v>1</v>
      </c>
      <c r="E3647" s="9"/>
    </row>
    <row r="3648" ht="15.75" customHeight="1">
      <c r="A3648" s="52" t="s">
        <v>35479</v>
      </c>
      <c r="B3648" s="9" t="s">
        <v>11740</v>
      </c>
      <c r="C3648" s="8" t="s">
        <v>35480</v>
      </c>
      <c r="D3648" s="9" t="b">
        <v>0</v>
      </c>
      <c r="E3648" s="9"/>
    </row>
    <row r="3649" ht="15.75" customHeight="1">
      <c r="A3649" s="9" t="s">
        <v>35481</v>
      </c>
      <c r="B3649" s="9" t="s">
        <v>11740</v>
      </c>
      <c r="C3649" s="8" t="s">
        <v>35482</v>
      </c>
      <c r="D3649" s="9" t="b">
        <v>0</v>
      </c>
      <c r="E3649" s="9"/>
    </row>
    <row r="3650" ht="15.75" customHeight="1">
      <c r="A3650" s="9" t="s">
        <v>35483</v>
      </c>
      <c r="B3650" s="9" t="s">
        <v>11740</v>
      </c>
      <c r="C3650" s="8" t="s">
        <v>35484</v>
      </c>
      <c r="D3650" s="9" t="b">
        <v>0</v>
      </c>
      <c r="E3650" s="9"/>
    </row>
    <row r="3651" ht="15.75" customHeight="1">
      <c r="A3651" s="9" t="s">
        <v>35485</v>
      </c>
      <c r="B3651" s="9" t="s">
        <v>11740</v>
      </c>
      <c r="C3651" s="8" t="s">
        <v>35486</v>
      </c>
      <c r="D3651" s="9" t="b">
        <v>0</v>
      </c>
      <c r="E3651" s="9"/>
    </row>
    <row r="3652" ht="15.75" customHeight="1">
      <c r="A3652" s="9" t="s">
        <v>35487</v>
      </c>
      <c r="B3652" s="9" t="s">
        <v>1410</v>
      </c>
      <c r="C3652" s="8" t="s">
        <v>35488</v>
      </c>
      <c r="D3652" s="9" t="b">
        <v>1</v>
      </c>
      <c r="E3652" s="9" t="s">
        <v>35489</v>
      </c>
    </row>
    <row r="3653" ht="15.75" customHeight="1">
      <c r="A3653" s="9" t="s">
        <v>35490</v>
      </c>
      <c r="B3653" s="9" t="s">
        <v>3765</v>
      </c>
      <c r="C3653" s="8" t="s">
        <v>35491</v>
      </c>
      <c r="D3653" s="9" t="b">
        <v>1</v>
      </c>
      <c r="E3653" s="9"/>
    </row>
    <row r="3654" ht="15.75" customHeight="1">
      <c r="A3654" s="9"/>
      <c r="B3654" s="9"/>
      <c r="C3654" s="9"/>
      <c r="D3654" s="9"/>
      <c r="E3654" s="9"/>
    </row>
    <row r="3655" ht="15.75" customHeight="1">
      <c r="A3655" s="9" t="s">
        <v>35492</v>
      </c>
      <c r="B3655" s="9" t="s">
        <v>6705</v>
      </c>
      <c r="C3655" s="8" t="s">
        <v>35493</v>
      </c>
      <c r="D3655" s="9" t="b">
        <v>1</v>
      </c>
      <c r="E3655" s="9" t="s">
        <v>35494</v>
      </c>
    </row>
    <row r="3656" ht="15.75" customHeight="1">
      <c r="A3656" s="9" t="s">
        <v>35495</v>
      </c>
      <c r="B3656" s="9" t="s">
        <v>6934</v>
      </c>
      <c r="C3656" s="8" t="s">
        <v>35496</v>
      </c>
      <c r="D3656" s="9" t="b">
        <v>1</v>
      </c>
      <c r="E3656" s="9"/>
    </row>
    <row r="3657" ht="15.75" customHeight="1">
      <c r="A3657" s="9" t="s">
        <v>35497</v>
      </c>
      <c r="B3657" s="9" t="s">
        <v>4887</v>
      </c>
      <c r="C3657" s="8" t="s">
        <v>35498</v>
      </c>
      <c r="D3657" s="9" t="b">
        <v>1</v>
      </c>
      <c r="E3657" s="9"/>
    </row>
    <row r="3658" ht="15.75" customHeight="1">
      <c r="A3658" s="9" t="s">
        <v>35499</v>
      </c>
      <c r="B3658" s="9" t="s">
        <v>9099</v>
      </c>
      <c r="C3658" s="8" t="s">
        <v>35500</v>
      </c>
      <c r="D3658" s="9" t="b">
        <v>1</v>
      </c>
      <c r="E3658" s="9" t="s">
        <v>4310</v>
      </c>
    </row>
    <row r="3659" ht="15.75" customHeight="1">
      <c r="A3659" s="9" t="s">
        <v>35501</v>
      </c>
      <c r="B3659" s="9" t="s">
        <v>10276</v>
      </c>
      <c r="C3659" s="8" t="s">
        <v>35502</v>
      </c>
      <c r="D3659" s="9" t="b">
        <v>0</v>
      </c>
      <c r="E3659" s="9"/>
    </row>
    <row r="3660" ht="15.75" customHeight="1">
      <c r="A3660" s="9" t="s">
        <v>35503</v>
      </c>
      <c r="B3660" s="9" t="s">
        <v>10276</v>
      </c>
      <c r="C3660" s="8" t="s">
        <v>35504</v>
      </c>
      <c r="D3660" s="9" t="b">
        <v>0</v>
      </c>
      <c r="E3660" s="9"/>
    </row>
    <row r="3661" ht="15.75" customHeight="1">
      <c r="A3661" s="9" t="s">
        <v>35505</v>
      </c>
      <c r="B3661" s="9" t="s">
        <v>10276</v>
      </c>
      <c r="C3661" s="8" t="s">
        <v>35506</v>
      </c>
      <c r="D3661" s="9" t="b">
        <v>0</v>
      </c>
      <c r="E3661" s="9"/>
    </row>
    <row r="3662" ht="15.75" customHeight="1">
      <c r="A3662" s="9" t="s">
        <v>35507</v>
      </c>
      <c r="B3662" s="9" t="s">
        <v>10276</v>
      </c>
      <c r="C3662" s="8" t="s">
        <v>35508</v>
      </c>
      <c r="D3662" s="9" t="b">
        <v>0</v>
      </c>
      <c r="E3662" s="9"/>
    </row>
    <row r="3663" ht="15.75" customHeight="1">
      <c r="A3663" s="9" t="s">
        <v>35509</v>
      </c>
      <c r="B3663" s="9" t="s">
        <v>10276</v>
      </c>
      <c r="C3663" s="8" t="s">
        <v>35510</v>
      </c>
      <c r="D3663" s="9" t="b">
        <v>0</v>
      </c>
      <c r="E3663" s="9"/>
    </row>
    <row r="3664" ht="15.75" customHeight="1">
      <c r="A3664" s="9" t="s">
        <v>35511</v>
      </c>
      <c r="B3664" s="9" t="s">
        <v>10276</v>
      </c>
      <c r="C3664" s="8" t="s">
        <v>35512</v>
      </c>
      <c r="D3664" s="9" t="b">
        <v>0</v>
      </c>
      <c r="E3664" s="9"/>
    </row>
    <row r="3665" ht="15.75" customHeight="1">
      <c r="A3665" s="9" t="s">
        <v>35513</v>
      </c>
      <c r="B3665" s="9" t="s">
        <v>10276</v>
      </c>
      <c r="C3665" s="8" t="s">
        <v>35514</v>
      </c>
      <c r="D3665" s="9" t="b">
        <v>1</v>
      </c>
      <c r="E3665" s="9"/>
    </row>
    <row r="3666" ht="15.75" customHeight="1">
      <c r="A3666" s="9" t="s">
        <v>35515</v>
      </c>
      <c r="B3666" s="9" t="s">
        <v>245</v>
      </c>
      <c r="C3666" s="8" t="s">
        <v>35516</v>
      </c>
      <c r="D3666" s="9" t="b">
        <v>0</v>
      </c>
      <c r="E3666" s="9"/>
    </row>
    <row r="3667" ht="15.75" customHeight="1">
      <c r="A3667" s="9" t="s">
        <v>35517</v>
      </c>
      <c r="B3667" s="9" t="s">
        <v>245</v>
      </c>
      <c r="C3667" s="8" t="s">
        <v>35518</v>
      </c>
      <c r="D3667" s="9" t="b">
        <v>0</v>
      </c>
      <c r="E3667" s="9"/>
    </row>
    <row r="3668" ht="15.75" customHeight="1">
      <c r="A3668" s="9" t="s">
        <v>35519</v>
      </c>
      <c r="B3668" s="9" t="s">
        <v>245</v>
      </c>
      <c r="C3668" s="8" t="s">
        <v>35520</v>
      </c>
      <c r="D3668" s="9" t="b">
        <v>1</v>
      </c>
      <c r="E3668" s="9"/>
    </row>
    <row r="3669" ht="15.75" customHeight="1">
      <c r="A3669" s="9" t="s">
        <v>35521</v>
      </c>
      <c r="B3669" s="9" t="s">
        <v>11826</v>
      </c>
      <c r="C3669" s="8" t="s">
        <v>35522</v>
      </c>
      <c r="D3669" s="9" t="b">
        <v>1</v>
      </c>
      <c r="E3669" s="9"/>
    </row>
    <row r="3670" ht="15.75" customHeight="1">
      <c r="A3670" s="9" t="s">
        <v>35523</v>
      </c>
      <c r="B3670" s="9" t="s">
        <v>11826</v>
      </c>
      <c r="C3670" s="8" t="s">
        <v>35524</v>
      </c>
      <c r="D3670" s="9" t="b">
        <v>1</v>
      </c>
      <c r="E3670" s="9"/>
    </row>
    <row r="3671" ht="15.75" customHeight="1">
      <c r="A3671" s="9" t="s">
        <v>35525</v>
      </c>
      <c r="B3671" s="9" t="s">
        <v>12071</v>
      </c>
      <c r="C3671" s="8" t="s">
        <v>35526</v>
      </c>
      <c r="D3671" s="9" t="b">
        <v>0</v>
      </c>
      <c r="E3671" s="9"/>
    </row>
    <row r="3672" ht="15.75" customHeight="1">
      <c r="A3672" s="9" t="s">
        <v>35527</v>
      </c>
      <c r="B3672" s="9" t="s">
        <v>12071</v>
      </c>
      <c r="C3672" s="8" t="s">
        <v>35528</v>
      </c>
      <c r="D3672" s="9" t="b">
        <v>0</v>
      </c>
      <c r="E3672" s="9"/>
    </row>
    <row r="3673" ht="15.75" customHeight="1">
      <c r="A3673" s="9" t="s">
        <v>35529</v>
      </c>
      <c r="B3673" s="9" t="s">
        <v>12071</v>
      </c>
      <c r="C3673" s="8" t="s">
        <v>35530</v>
      </c>
      <c r="D3673" s="9" t="b">
        <v>0</v>
      </c>
      <c r="E3673" s="9"/>
    </row>
    <row r="3674" ht="15.75" customHeight="1">
      <c r="A3674" s="9" t="s">
        <v>35531</v>
      </c>
      <c r="B3674" s="9" t="s">
        <v>12071</v>
      </c>
      <c r="C3674" s="8" t="s">
        <v>35532</v>
      </c>
      <c r="D3674" s="9" t="b">
        <v>1</v>
      </c>
      <c r="E3674" s="9"/>
    </row>
    <row r="3675" ht="15.75" customHeight="1">
      <c r="A3675" s="9" t="s">
        <v>35533</v>
      </c>
      <c r="B3675" s="9" t="s">
        <v>7867</v>
      </c>
      <c r="C3675" s="8" t="s">
        <v>35534</v>
      </c>
      <c r="D3675" s="9" t="b">
        <v>0</v>
      </c>
      <c r="E3675" s="9"/>
    </row>
    <row r="3676" ht="15.75" customHeight="1">
      <c r="A3676" s="9" t="s">
        <v>35535</v>
      </c>
      <c r="B3676" s="9" t="s">
        <v>7867</v>
      </c>
      <c r="C3676" s="8" t="s">
        <v>35536</v>
      </c>
      <c r="D3676" s="9" t="b">
        <v>0</v>
      </c>
      <c r="E3676" s="9"/>
    </row>
    <row r="3677" ht="15.75" customHeight="1">
      <c r="A3677" s="9" t="s">
        <v>35537</v>
      </c>
      <c r="B3677" s="9" t="s">
        <v>7867</v>
      </c>
      <c r="C3677" s="8" t="s">
        <v>35538</v>
      </c>
      <c r="D3677" s="9" t="b">
        <v>0</v>
      </c>
      <c r="E3677" s="9"/>
    </row>
    <row r="3678" ht="15.75" customHeight="1">
      <c r="A3678" s="9" t="s">
        <v>35539</v>
      </c>
      <c r="B3678" s="9" t="s">
        <v>7867</v>
      </c>
      <c r="C3678" s="8" t="s">
        <v>35540</v>
      </c>
      <c r="D3678" s="9" t="b">
        <v>0</v>
      </c>
      <c r="E3678" s="9"/>
    </row>
    <row r="3679" ht="15.75" customHeight="1">
      <c r="A3679" s="9" t="s">
        <v>35541</v>
      </c>
      <c r="B3679" s="9" t="s">
        <v>7867</v>
      </c>
      <c r="C3679" s="8" t="s">
        <v>35542</v>
      </c>
      <c r="D3679" s="9" t="b">
        <v>1</v>
      </c>
      <c r="E3679" s="9"/>
    </row>
    <row r="3680" ht="15.75" customHeight="1">
      <c r="A3680" s="9" t="s">
        <v>35543</v>
      </c>
      <c r="B3680" s="9" t="s">
        <v>5823</v>
      </c>
      <c r="C3680" s="8" t="s">
        <v>35544</v>
      </c>
      <c r="D3680" s="9" t="b">
        <v>0</v>
      </c>
      <c r="E3680" s="9"/>
    </row>
    <row r="3681" ht="15.75" customHeight="1">
      <c r="A3681" s="9" t="s">
        <v>35545</v>
      </c>
      <c r="B3681" s="9" t="s">
        <v>5823</v>
      </c>
      <c r="C3681" s="8" t="s">
        <v>35546</v>
      </c>
      <c r="D3681" s="9" t="b">
        <v>0</v>
      </c>
      <c r="E3681" s="9"/>
    </row>
    <row r="3682" ht="15.75" customHeight="1">
      <c r="A3682" s="9" t="s">
        <v>35547</v>
      </c>
      <c r="B3682" s="9" t="s">
        <v>5823</v>
      </c>
      <c r="C3682" s="8" t="s">
        <v>35548</v>
      </c>
      <c r="D3682" s="9" t="b">
        <v>0</v>
      </c>
      <c r="E3682" s="9"/>
    </row>
    <row r="3683" ht="15.75" customHeight="1">
      <c r="A3683" s="9" t="s">
        <v>35549</v>
      </c>
      <c r="B3683" s="9" t="s">
        <v>5823</v>
      </c>
      <c r="C3683" s="8" t="s">
        <v>35550</v>
      </c>
      <c r="D3683" s="9" t="b">
        <v>1</v>
      </c>
      <c r="E3683" s="9"/>
    </row>
    <row r="3684" ht="15.75" customHeight="1">
      <c r="A3684" s="9" t="s">
        <v>35551</v>
      </c>
      <c r="B3684" s="9" t="s">
        <v>1722</v>
      </c>
      <c r="C3684" s="8" t="s">
        <v>35552</v>
      </c>
      <c r="D3684" s="9" t="b">
        <v>0</v>
      </c>
      <c r="E3684" s="9"/>
    </row>
    <row r="3685" ht="15.75" customHeight="1">
      <c r="A3685" s="9" t="s">
        <v>35553</v>
      </c>
      <c r="B3685" s="9" t="s">
        <v>1722</v>
      </c>
      <c r="C3685" s="8" t="s">
        <v>35554</v>
      </c>
      <c r="D3685" s="9" t="b">
        <v>0</v>
      </c>
      <c r="E3685" s="9"/>
    </row>
    <row r="3686" ht="15.75" customHeight="1">
      <c r="A3686" s="9" t="s">
        <v>35555</v>
      </c>
      <c r="B3686" s="9" t="s">
        <v>1722</v>
      </c>
      <c r="C3686" s="8" t="s">
        <v>35556</v>
      </c>
      <c r="D3686" s="9" t="b">
        <v>0</v>
      </c>
      <c r="E3686" s="9"/>
    </row>
    <row r="3687" ht="15.75" customHeight="1">
      <c r="A3687" s="9" t="s">
        <v>35557</v>
      </c>
      <c r="B3687" s="9" t="s">
        <v>1722</v>
      </c>
      <c r="C3687" s="8" t="s">
        <v>35558</v>
      </c>
      <c r="D3687" s="9" t="b">
        <v>0</v>
      </c>
      <c r="E3687" s="9"/>
    </row>
    <row r="3688" ht="15.75" customHeight="1">
      <c r="A3688" s="9" t="s">
        <v>35559</v>
      </c>
      <c r="B3688" s="9" t="s">
        <v>1722</v>
      </c>
      <c r="C3688" s="8" t="s">
        <v>35560</v>
      </c>
      <c r="D3688" s="9" t="b">
        <v>1</v>
      </c>
      <c r="E3688" s="9"/>
    </row>
    <row r="3689" ht="15.75" customHeight="1">
      <c r="A3689" s="9" t="s">
        <v>35561</v>
      </c>
      <c r="B3689" s="9" t="s">
        <v>5981</v>
      </c>
      <c r="C3689" s="8" t="s">
        <v>35562</v>
      </c>
      <c r="D3689" s="9" t="b">
        <v>0</v>
      </c>
      <c r="E3689" s="9"/>
    </row>
    <row r="3690" ht="15.75" customHeight="1">
      <c r="A3690" s="9" t="s">
        <v>35563</v>
      </c>
      <c r="B3690" s="9" t="s">
        <v>5981</v>
      </c>
      <c r="C3690" s="8" t="s">
        <v>35564</v>
      </c>
      <c r="D3690" s="9" t="b">
        <v>0</v>
      </c>
      <c r="E3690" s="9"/>
    </row>
    <row r="3691" ht="15.75" customHeight="1">
      <c r="A3691" s="9" t="s">
        <v>35565</v>
      </c>
      <c r="B3691" s="9" t="s">
        <v>5981</v>
      </c>
      <c r="C3691" s="8" t="s">
        <v>35566</v>
      </c>
      <c r="D3691" s="9" t="b">
        <v>1</v>
      </c>
      <c r="E3691" s="9"/>
    </row>
    <row r="3692" ht="15.75" customHeight="1">
      <c r="A3692" s="9" t="s">
        <v>35567</v>
      </c>
      <c r="B3692" s="9" t="s">
        <v>6081</v>
      </c>
      <c r="C3692" s="8" t="s">
        <v>35568</v>
      </c>
      <c r="D3692" s="9" t="b">
        <v>0</v>
      </c>
      <c r="E3692" s="9"/>
    </row>
    <row r="3693" ht="15.75" customHeight="1">
      <c r="A3693" s="9" t="s">
        <v>35569</v>
      </c>
      <c r="B3693" s="9" t="s">
        <v>6081</v>
      </c>
      <c r="C3693" s="8" t="s">
        <v>35570</v>
      </c>
      <c r="D3693" s="9" t="b">
        <v>0</v>
      </c>
      <c r="E3693" s="9"/>
    </row>
    <row r="3694" ht="15.75" customHeight="1">
      <c r="A3694" s="9" t="s">
        <v>35571</v>
      </c>
      <c r="B3694" s="9" t="s">
        <v>6081</v>
      </c>
      <c r="C3694" s="8" t="s">
        <v>35572</v>
      </c>
      <c r="D3694" s="9" t="b">
        <v>1</v>
      </c>
      <c r="E3694" s="9"/>
    </row>
    <row r="3695" ht="15.75" customHeight="1">
      <c r="A3695" s="9" t="s">
        <v>35573</v>
      </c>
      <c r="B3695" s="9" t="s">
        <v>6692</v>
      </c>
      <c r="C3695" s="8" t="s">
        <v>35574</v>
      </c>
      <c r="D3695" s="9" t="b">
        <v>0</v>
      </c>
      <c r="E3695" s="9"/>
    </row>
    <row r="3696" ht="15.75" customHeight="1">
      <c r="A3696" s="9" t="s">
        <v>35575</v>
      </c>
      <c r="B3696" s="9" t="s">
        <v>6692</v>
      </c>
      <c r="C3696" s="8" t="s">
        <v>35576</v>
      </c>
      <c r="D3696" s="9" t="b">
        <v>0</v>
      </c>
      <c r="E3696" s="9"/>
    </row>
    <row r="3697" ht="15.75" customHeight="1">
      <c r="A3697" s="9" t="s">
        <v>35577</v>
      </c>
      <c r="B3697" s="9" t="s">
        <v>6692</v>
      </c>
      <c r="C3697" s="8" t="s">
        <v>35578</v>
      </c>
      <c r="D3697" s="9" t="b">
        <v>0</v>
      </c>
      <c r="E3697" s="9"/>
    </row>
    <row r="3698" ht="15.75" customHeight="1">
      <c r="A3698" s="9" t="s">
        <v>35579</v>
      </c>
      <c r="B3698" s="9" t="s">
        <v>6692</v>
      </c>
      <c r="C3698" s="8" t="s">
        <v>35580</v>
      </c>
      <c r="D3698" s="9" t="b">
        <v>0</v>
      </c>
      <c r="E3698" s="9"/>
    </row>
    <row r="3699" ht="15.75" customHeight="1">
      <c r="A3699" s="9" t="s">
        <v>35581</v>
      </c>
      <c r="B3699" s="9" t="s">
        <v>6692</v>
      </c>
      <c r="C3699" s="8" t="s">
        <v>35582</v>
      </c>
      <c r="D3699" s="9" t="b">
        <v>1</v>
      </c>
      <c r="E3699" s="9"/>
    </row>
    <row r="3700" ht="15.75" customHeight="1">
      <c r="A3700" s="9" t="s">
        <v>35583</v>
      </c>
      <c r="B3700" s="9" t="s">
        <v>1088</v>
      </c>
      <c r="C3700" s="8" t="s">
        <v>35584</v>
      </c>
      <c r="D3700" s="9" t="b">
        <v>1</v>
      </c>
      <c r="E3700" s="9"/>
    </row>
    <row r="3701" ht="15.75" customHeight="1">
      <c r="A3701" s="9" t="s">
        <v>35585</v>
      </c>
      <c r="B3701" s="9" t="s">
        <v>1088</v>
      </c>
      <c r="C3701" s="8" t="s">
        <v>35586</v>
      </c>
      <c r="D3701" s="9" t="b">
        <v>0</v>
      </c>
      <c r="E3701" s="9"/>
    </row>
    <row r="3702" ht="15.75" customHeight="1">
      <c r="A3702" s="9" t="s">
        <v>35587</v>
      </c>
      <c r="B3702" s="9" t="s">
        <v>1088</v>
      </c>
      <c r="C3702" s="8" t="s">
        <v>35588</v>
      </c>
      <c r="D3702" s="9" t="b">
        <v>0</v>
      </c>
      <c r="E3702" s="9"/>
    </row>
    <row r="3703" ht="15.75" customHeight="1">
      <c r="A3703" s="9" t="s">
        <v>35589</v>
      </c>
      <c r="B3703" s="9" t="s">
        <v>1088</v>
      </c>
      <c r="C3703" s="8" t="s">
        <v>35590</v>
      </c>
      <c r="D3703" s="9" t="b">
        <v>0</v>
      </c>
      <c r="E3703" s="9"/>
    </row>
    <row r="3704" ht="15.75" customHeight="1">
      <c r="A3704" s="9" t="s">
        <v>35591</v>
      </c>
      <c r="B3704" s="9" t="s">
        <v>1088</v>
      </c>
      <c r="C3704" s="8" t="s">
        <v>35592</v>
      </c>
      <c r="D3704" s="9" t="b">
        <v>0</v>
      </c>
      <c r="E3704" s="9"/>
    </row>
    <row r="3705" ht="15.75" customHeight="1">
      <c r="A3705" s="9" t="s">
        <v>35593</v>
      </c>
      <c r="B3705" s="9" t="s">
        <v>10682</v>
      </c>
      <c r="C3705" s="8" t="s">
        <v>35594</v>
      </c>
      <c r="D3705" s="9" t="b">
        <v>0</v>
      </c>
      <c r="E3705" s="9"/>
    </row>
    <row r="3706" ht="15.75" customHeight="1">
      <c r="A3706" s="9" t="s">
        <v>35595</v>
      </c>
      <c r="B3706" s="9" t="s">
        <v>10682</v>
      </c>
      <c r="C3706" s="8" t="s">
        <v>35596</v>
      </c>
      <c r="D3706" s="9" t="b">
        <v>0</v>
      </c>
      <c r="E3706" s="9"/>
    </row>
    <row r="3707" ht="15.75" customHeight="1">
      <c r="A3707" s="9" t="s">
        <v>35597</v>
      </c>
      <c r="B3707" s="9" t="s">
        <v>10682</v>
      </c>
      <c r="C3707" s="8" t="s">
        <v>35598</v>
      </c>
      <c r="D3707" s="9" t="b">
        <v>0</v>
      </c>
      <c r="E3707" s="9"/>
    </row>
    <row r="3708" ht="15.75" customHeight="1">
      <c r="A3708" s="9" t="s">
        <v>35599</v>
      </c>
      <c r="B3708" s="9" t="s">
        <v>10682</v>
      </c>
      <c r="C3708" s="8" t="s">
        <v>35600</v>
      </c>
      <c r="D3708" s="9" t="b">
        <v>0</v>
      </c>
      <c r="E3708" s="9"/>
    </row>
    <row r="3709" ht="15.75" customHeight="1">
      <c r="A3709" s="9" t="s">
        <v>35601</v>
      </c>
      <c r="B3709" s="9" t="s">
        <v>10682</v>
      </c>
      <c r="C3709" s="8" t="s">
        <v>35602</v>
      </c>
      <c r="D3709" s="9" t="b">
        <v>1</v>
      </c>
      <c r="E3709" s="9"/>
    </row>
    <row r="3710" ht="15.75" customHeight="1">
      <c r="A3710" s="9" t="s">
        <v>35603</v>
      </c>
      <c r="B3710" s="9" t="s">
        <v>11526</v>
      </c>
      <c r="C3710" s="8" t="s">
        <v>35604</v>
      </c>
      <c r="D3710" s="9" t="b">
        <v>1</v>
      </c>
      <c r="E3710" s="9"/>
    </row>
    <row r="3711" ht="15.75" customHeight="1">
      <c r="A3711" s="9" t="s">
        <v>35605</v>
      </c>
      <c r="B3711" s="9" t="s">
        <v>11526</v>
      </c>
      <c r="C3711" s="8" t="s">
        <v>35606</v>
      </c>
      <c r="D3711" s="9" t="b">
        <v>0</v>
      </c>
      <c r="E3711" s="9"/>
    </row>
    <row r="3712" ht="15.75" customHeight="1">
      <c r="A3712" s="9" t="s">
        <v>35607</v>
      </c>
      <c r="B3712" s="9" t="s">
        <v>11526</v>
      </c>
      <c r="C3712" s="8" t="s">
        <v>35608</v>
      </c>
      <c r="D3712" s="9" t="b">
        <v>0</v>
      </c>
      <c r="E3712" s="9"/>
    </row>
    <row r="3713" ht="15.75" customHeight="1">
      <c r="A3713" s="9" t="s">
        <v>35609</v>
      </c>
      <c r="B3713" s="9" t="s">
        <v>11526</v>
      </c>
      <c r="C3713" s="8" t="s">
        <v>35610</v>
      </c>
      <c r="D3713" s="9" t="b">
        <v>0</v>
      </c>
      <c r="E3713" s="9"/>
    </row>
    <row r="3714" ht="15.75" customHeight="1">
      <c r="A3714" s="9" t="s">
        <v>35611</v>
      </c>
      <c r="B3714" s="9" t="s">
        <v>12104</v>
      </c>
      <c r="C3714" s="8" t="s">
        <v>35612</v>
      </c>
      <c r="D3714" s="9" t="b">
        <v>0</v>
      </c>
      <c r="E3714" s="9"/>
    </row>
    <row r="3715" ht="15.75" customHeight="1">
      <c r="A3715" s="9" t="s">
        <v>35613</v>
      </c>
      <c r="B3715" s="9" t="s">
        <v>12104</v>
      </c>
      <c r="C3715" s="8" t="s">
        <v>35614</v>
      </c>
      <c r="D3715" s="9" t="b">
        <v>0</v>
      </c>
      <c r="E3715" s="9"/>
    </row>
    <row r="3716" ht="15.75" customHeight="1">
      <c r="A3716" s="9" t="s">
        <v>35615</v>
      </c>
      <c r="B3716" s="9" t="s">
        <v>12104</v>
      </c>
      <c r="C3716" s="8" t="s">
        <v>35616</v>
      </c>
      <c r="D3716" s="9" t="b">
        <v>0</v>
      </c>
      <c r="E3716" s="9"/>
    </row>
    <row r="3717" ht="15.75" customHeight="1">
      <c r="A3717" s="9" t="s">
        <v>35617</v>
      </c>
      <c r="B3717" s="9" t="s">
        <v>12104</v>
      </c>
      <c r="C3717" s="8" t="s">
        <v>35618</v>
      </c>
      <c r="D3717" s="9" t="b">
        <v>0</v>
      </c>
      <c r="E3717" s="9"/>
    </row>
    <row r="3718" ht="15.75" customHeight="1">
      <c r="A3718" s="9" t="s">
        <v>35619</v>
      </c>
      <c r="B3718" s="9" t="s">
        <v>12104</v>
      </c>
      <c r="C3718" s="8" t="s">
        <v>35620</v>
      </c>
      <c r="D3718" s="9" t="b">
        <v>0</v>
      </c>
      <c r="E3718" s="9"/>
    </row>
    <row r="3719" ht="15.75" customHeight="1">
      <c r="A3719" s="9" t="s">
        <v>35621</v>
      </c>
      <c r="B3719" s="9" t="s">
        <v>12104</v>
      </c>
      <c r="C3719" s="8" t="s">
        <v>35622</v>
      </c>
      <c r="D3719" s="9" t="b">
        <v>1</v>
      </c>
      <c r="E3719" s="9"/>
    </row>
    <row r="3720" ht="15.75" customHeight="1">
      <c r="A3720" s="9" t="s">
        <v>35623</v>
      </c>
      <c r="B3720" s="9" t="s">
        <v>12100</v>
      </c>
      <c r="C3720" s="8" t="s">
        <v>35624</v>
      </c>
      <c r="D3720" s="9" t="b">
        <v>0</v>
      </c>
      <c r="E3720" s="9"/>
    </row>
    <row r="3721" ht="15.75" customHeight="1">
      <c r="A3721" s="9" t="s">
        <v>35625</v>
      </c>
      <c r="B3721" s="9" t="s">
        <v>12100</v>
      </c>
      <c r="C3721" s="8" t="s">
        <v>35626</v>
      </c>
      <c r="D3721" s="9" t="b">
        <v>0</v>
      </c>
      <c r="E3721" s="9"/>
    </row>
    <row r="3722" ht="15.75" customHeight="1">
      <c r="A3722" s="9" t="s">
        <v>35627</v>
      </c>
      <c r="B3722" s="9" t="s">
        <v>12100</v>
      </c>
      <c r="C3722" s="8" t="s">
        <v>35628</v>
      </c>
      <c r="D3722" s="9" t="b">
        <v>0</v>
      </c>
      <c r="E3722" s="9"/>
    </row>
    <row r="3723" ht="15.75" customHeight="1">
      <c r="A3723" s="9" t="s">
        <v>35629</v>
      </c>
      <c r="B3723" s="9" t="s">
        <v>12100</v>
      </c>
      <c r="C3723" s="8" t="s">
        <v>35630</v>
      </c>
      <c r="D3723" s="9" t="b">
        <v>0</v>
      </c>
      <c r="E3723" s="9"/>
    </row>
    <row r="3724" ht="15.75" customHeight="1">
      <c r="A3724" s="9" t="s">
        <v>35631</v>
      </c>
      <c r="B3724" s="9" t="s">
        <v>12100</v>
      </c>
      <c r="C3724" s="8" t="s">
        <v>35632</v>
      </c>
      <c r="D3724" s="9" t="b">
        <v>0</v>
      </c>
      <c r="E3724" s="9"/>
    </row>
    <row r="3725" ht="15.75" customHeight="1">
      <c r="A3725" s="52" t="s">
        <v>35633</v>
      </c>
      <c r="B3725" s="9" t="s">
        <v>12100</v>
      </c>
      <c r="C3725" s="8" t="s">
        <v>35634</v>
      </c>
      <c r="D3725" s="9" t="b">
        <v>0</v>
      </c>
      <c r="E3725" s="9"/>
    </row>
    <row r="3726" ht="15.75" customHeight="1">
      <c r="A3726" s="9" t="s">
        <v>35635</v>
      </c>
      <c r="B3726" s="9" t="s">
        <v>12100</v>
      </c>
      <c r="C3726" s="8" t="s">
        <v>35636</v>
      </c>
      <c r="D3726" s="9" t="b">
        <v>1</v>
      </c>
      <c r="E3726" s="9"/>
    </row>
    <row r="3727" ht="15.75" customHeight="1">
      <c r="A3727" s="9" t="s">
        <v>35637</v>
      </c>
      <c r="B3727" s="9" t="s">
        <v>722</v>
      </c>
      <c r="C3727" s="8" t="s">
        <v>35638</v>
      </c>
      <c r="D3727" s="9" t="b">
        <v>0</v>
      </c>
      <c r="E3727" s="9"/>
    </row>
    <row r="3728" ht="15.75" customHeight="1">
      <c r="A3728" s="9" t="s">
        <v>35639</v>
      </c>
      <c r="B3728" s="9" t="s">
        <v>722</v>
      </c>
      <c r="C3728" s="8" t="s">
        <v>35640</v>
      </c>
      <c r="D3728" s="9" t="b">
        <v>1</v>
      </c>
      <c r="E3728" s="9"/>
    </row>
    <row r="3729" ht="15.75" customHeight="1">
      <c r="A3729" s="9" t="s">
        <v>35641</v>
      </c>
      <c r="B3729" s="9" t="s">
        <v>4545</v>
      </c>
      <c r="C3729" s="8" t="s">
        <v>35642</v>
      </c>
      <c r="D3729" s="9" t="b">
        <v>0</v>
      </c>
      <c r="E3729" s="9"/>
    </row>
    <row r="3730" ht="15.75" customHeight="1">
      <c r="A3730" s="9" t="s">
        <v>35643</v>
      </c>
      <c r="B3730" s="9" t="s">
        <v>4545</v>
      </c>
      <c r="C3730" s="8" t="s">
        <v>35644</v>
      </c>
      <c r="D3730" s="9" t="b">
        <v>0</v>
      </c>
      <c r="E3730" s="9"/>
    </row>
    <row r="3731" ht="15.75" customHeight="1">
      <c r="A3731" s="9" t="s">
        <v>35645</v>
      </c>
      <c r="B3731" s="9" t="s">
        <v>4545</v>
      </c>
      <c r="C3731" s="8" t="s">
        <v>35646</v>
      </c>
      <c r="D3731" s="9" t="b">
        <v>0</v>
      </c>
      <c r="E3731" s="9"/>
    </row>
    <row r="3732" ht="15.75" customHeight="1">
      <c r="A3732" s="9" t="s">
        <v>35647</v>
      </c>
      <c r="B3732" s="9" t="s">
        <v>4545</v>
      </c>
      <c r="C3732" s="8" t="s">
        <v>35648</v>
      </c>
      <c r="D3732" s="9" t="b">
        <v>0</v>
      </c>
      <c r="E3732" s="9"/>
    </row>
    <row r="3733" ht="15.75" customHeight="1">
      <c r="A3733" s="9" t="s">
        <v>35649</v>
      </c>
      <c r="B3733" s="9" t="s">
        <v>4545</v>
      </c>
      <c r="C3733" s="8" t="s">
        <v>35650</v>
      </c>
      <c r="D3733" s="9" t="b">
        <v>1</v>
      </c>
      <c r="E3733" s="9"/>
    </row>
    <row r="3734" ht="15.75" customHeight="1">
      <c r="A3734" s="9"/>
      <c r="B3734" s="9"/>
      <c r="C3734" s="9"/>
      <c r="D3734" s="9"/>
      <c r="E3734" s="9"/>
    </row>
    <row r="3735" ht="15.75" customHeight="1">
      <c r="A3735" s="9"/>
      <c r="B3735" s="9"/>
      <c r="C3735" s="9"/>
      <c r="D3735" s="9"/>
      <c r="E3735" s="9"/>
    </row>
    <row r="3736" ht="15.75" customHeight="1">
      <c r="A3736" s="9"/>
      <c r="B3736" s="9"/>
      <c r="C3736" s="9"/>
      <c r="D3736" s="9"/>
      <c r="E3736" s="9"/>
    </row>
    <row r="3737" ht="15.75" customHeight="1">
      <c r="A3737" s="9"/>
      <c r="B3737" s="9"/>
      <c r="C3737" s="9"/>
      <c r="D3737" s="9"/>
      <c r="E3737" s="9"/>
    </row>
    <row r="3738" ht="15.75" customHeight="1">
      <c r="A3738" s="9"/>
      <c r="B3738" s="9"/>
      <c r="C3738" s="9"/>
      <c r="D3738" s="9"/>
      <c r="E3738" s="9"/>
    </row>
    <row r="3739" ht="15.75" customHeight="1">
      <c r="A3739" s="9" t="s">
        <v>35651</v>
      </c>
      <c r="B3739" s="9" t="s">
        <v>11373</v>
      </c>
      <c r="C3739" s="8" t="s">
        <v>35652</v>
      </c>
      <c r="D3739" s="9" t="b">
        <v>0</v>
      </c>
      <c r="E3739" s="9"/>
    </row>
    <row r="3740" ht="15.75" customHeight="1">
      <c r="A3740" s="9" t="s">
        <v>35653</v>
      </c>
      <c r="B3740" s="9" t="s">
        <v>11373</v>
      </c>
      <c r="C3740" s="8" t="s">
        <v>35654</v>
      </c>
      <c r="D3740" s="9" t="b">
        <v>0</v>
      </c>
      <c r="E3740" s="9"/>
    </row>
    <row r="3741" ht="15.75" customHeight="1">
      <c r="A3741" s="9" t="s">
        <v>35655</v>
      </c>
      <c r="B3741" s="9" t="s">
        <v>11373</v>
      </c>
      <c r="C3741" s="8" t="s">
        <v>35656</v>
      </c>
      <c r="D3741" s="9" t="b">
        <v>0</v>
      </c>
      <c r="E3741" s="9"/>
    </row>
    <row r="3742" ht="15.75" customHeight="1">
      <c r="A3742" s="52" t="s">
        <v>35657</v>
      </c>
      <c r="B3742" s="9" t="s">
        <v>11373</v>
      </c>
      <c r="C3742" s="8" t="s">
        <v>35658</v>
      </c>
      <c r="D3742" s="9" t="b">
        <v>1</v>
      </c>
      <c r="E3742" s="9"/>
    </row>
    <row r="3743" ht="15.75" customHeight="1">
      <c r="A3743" s="9" t="s">
        <v>35659</v>
      </c>
      <c r="B3743" s="9" t="s">
        <v>11373</v>
      </c>
      <c r="C3743" s="8" t="s">
        <v>35660</v>
      </c>
      <c r="D3743" s="9" t="b">
        <v>0</v>
      </c>
      <c r="E3743" s="9"/>
    </row>
    <row r="3744" ht="15.75" customHeight="1">
      <c r="A3744" s="9" t="s">
        <v>35661</v>
      </c>
      <c r="B3744" s="9" t="s">
        <v>11682</v>
      </c>
      <c r="C3744" s="8" t="s">
        <v>35662</v>
      </c>
      <c r="D3744" s="9" t="b">
        <v>0</v>
      </c>
      <c r="E3744" s="9"/>
    </row>
    <row r="3745" ht="15.75" customHeight="1">
      <c r="A3745" s="9" t="s">
        <v>35663</v>
      </c>
      <c r="B3745" s="9" t="s">
        <v>11682</v>
      </c>
      <c r="C3745" s="8" t="s">
        <v>35664</v>
      </c>
      <c r="D3745" s="9" t="b">
        <v>0</v>
      </c>
      <c r="E3745" s="9"/>
    </row>
    <row r="3746" ht="15.75" customHeight="1">
      <c r="A3746" s="9" t="s">
        <v>35665</v>
      </c>
      <c r="B3746" s="9" t="s">
        <v>11682</v>
      </c>
      <c r="C3746" s="8" t="s">
        <v>35666</v>
      </c>
      <c r="D3746" s="9" t="b">
        <v>0</v>
      </c>
      <c r="E3746" s="9"/>
    </row>
    <row r="3747" ht="15.75" customHeight="1">
      <c r="A3747" s="9" t="s">
        <v>35667</v>
      </c>
      <c r="B3747" s="9" t="s">
        <v>11682</v>
      </c>
      <c r="C3747" s="8" t="s">
        <v>35668</v>
      </c>
      <c r="D3747" s="9" t="b">
        <v>0</v>
      </c>
      <c r="E3747" s="9"/>
    </row>
    <row r="3748" ht="15.75" customHeight="1">
      <c r="A3748" s="9" t="s">
        <v>35669</v>
      </c>
      <c r="B3748" s="9" t="s">
        <v>11682</v>
      </c>
      <c r="C3748" s="8" t="s">
        <v>35670</v>
      </c>
      <c r="D3748" s="9" t="b">
        <v>0</v>
      </c>
      <c r="E3748" s="9"/>
    </row>
    <row r="3749" ht="15.75" customHeight="1">
      <c r="A3749" s="9" t="s">
        <v>35671</v>
      </c>
      <c r="B3749" s="9" t="s">
        <v>11682</v>
      </c>
      <c r="C3749" s="8" t="s">
        <v>35672</v>
      </c>
      <c r="D3749" s="9" t="b">
        <v>0</v>
      </c>
      <c r="E3749" s="9"/>
    </row>
    <row r="3750" ht="15.75" customHeight="1">
      <c r="A3750" s="9" t="s">
        <v>35673</v>
      </c>
      <c r="B3750" s="9" t="s">
        <v>11682</v>
      </c>
      <c r="C3750" s="8" t="s">
        <v>35674</v>
      </c>
      <c r="D3750" s="9" t="b">
        <v>1</v>
      </c>
      <c r="E3750" s="9"/>
    </row>
    <row r="3751" ht="15.75" customHeight="1">
      <c r="A3751" s="9" t="s">
        <v>35675</v>
      </c>
      <c r="B3751" s="9" t="s">
        <v>4758</v>
      </c>
      <c r="C3751" s="8" t="s">
        <v>35676</v>
      </c>
      <c r="D3751" s="9" t="b">
        <v>1</v>
      </c>
      <c r="E3751" s="9"/>
    </row>
    <row r="3752" ht="15.75" customHeight="1">
      <c r="A3752" s="9" t="s">
        <v>35677</v>
      </c>
      <c r="B3752" s="9" t="s">
        <v>12144</v>
      </c>
      <c r="C3752" s="8" t="s">
        <v>35678</v>
      </c>
      <c r="D3752" s="9" t="b">
        <v>1</v>
      </c>
      <c r="E3752" s="9"/>
    </row>
    <row r="3753" ht="15.75" customHeight="1">
      <c r="A3753" s="52" t="s">
        <v>35679</v>
      </c>
      <c r="B3753" s="9" t="s">
        <v>11375</v>
      </c>
      <c r="C3753" s="8" t="s">
        <v>35680</v>
      </c>
      <c r="D3753" s="9" t="b">
        <v>0</v>
      </c>
      <c r="E3753" s="9"/>
    </row>
    <row r="3754" ht="15.75" customHeight="1">
      <c r="A3754" s="9" t="s">
        <v>35681</v>
      </c>
      <c r="B3754" s="9" t="s">
        <v>11375</v>
      </c>
      <c r="C3754" s="8" t="s">
        <v>35682</v>
      </c>
      <c r="D3754" s="9" t="b">
        <v>0</v>
      </c>
      <c r="E3754" s="9"/>
    </row>
    <row r="3755" ht="15.75" customHeight="1">
      <c r="A3755" s="9" t="s">
        <v>35683</v>
      </c>
      <c r="B3755" s="9" t="s">
        <v>11375</v>
      </c>
      <c r="C3755" s="8" t="s">
        <v>35684</v>
      </c>
      <c r="D3755" s="9" t="b">
        <v>0</v>
      </c>
      <c r="E3755" s="9"/>
    </row>
    <row r="3756" ht="15.75" customHeight="1">
      <c r="A3756" s="9" t="s">
        <v>35685</v>
      </c>
      <c r="B3756" s="9" t="s">
        <v>11375</v>
      </c>
      <c r="C3756" s="8" t="s">
        <v>35686</v>
      </c>
      <c r="D3756" s="9" t="b">
        <v>0</v>
      </c>
      <c r="E3756" s="9"/>
    </row>
    <row r="3757" ht="15.75" customHeight="1">
      <c r="A3757" s="9" t="s">
        <v>35687</v>
      </c>
      <c r="B3757" s="9" t="s">
        <v>11375</v>
      </c>
      <c r="C3757" s="8" t="s">
        <v>35688</v>
      </c>
      <c r="D3757" s="9" t="b">
        <v>1</v>
      </c>
      <c r="E3757" s="9"/>
    </row>
    <row r="3758" ht="15.75" customHeight="1">
      <c r="A3758" s="9" t="s">
        <v>35689</v>
      </c>
      <c r="B3758" s="9" t="s">
        <v>11377</v>
      </c>
      <c r="C3758" s="8" t="s">
        <v>35690</v>
      </c>
      <c r="D3758" s="9" t="b">
        <v>0</v>
      </c>
      <c r="E3758" s="9"/>
    </row>
    <row r="3759" ht="15.75" customHeight="1">
      <c r="A3759" s="9" t="s">
        <v>35691</v>
      </c>
      <c r="B3759" s="9" t="s">
        <v>11377</v>
      </c>
      <c r="C3759" s="8" t="s">
        <v>35692</v>
      </c>
      <c r="D3759" s="9" t="b">
        <v>0</v>
      </c>
      <c r="E3759" s="9"/>
    </row>
    <row r="3760" ht="15.75" customHeight="1">
      <c r="A3760" s="9" t="s">
        <v>35693</v>
      </c>
      <c r="B3760" s="9" t="s">
        <v>11377</v>
      </c>
      <c r="C3760" s="8" t="s">
        <v>35694</v>
      </c>
      <c r="D3760" s="9" t="b">
        <v>0</v>
      </c>
      <c r="E3760" s="9"/>
    </row>
    <row r="3761" ht="15.75" customHeight="1">
      <c r="A3761" s="9" t="s">
        <v>35695</v>
      </c>
      <c r="B3761" s="9" t="s">
        <v>11377</v>
      </c>
      <c r="C3761" s="8" t="s">
        <v>35696</v>
      </c>
      <c r="D3761" s="9" t="b">
        <v>0</v>
      </c>
      <c r="E3761" s="9"/>
    </row>
    <row r="3762" ht="15.75" customHeight="1">
      <c r="A3762" s="9" t="s">
        <v>35697</v>
      </c>
      <c r="B3762" s="9" t="s">
        <v>11377</v>
      </c>
      <c r="C3762" s="8" t="s">
        <v>35698</v>
      </c>
      <c r="D3762" s="9" t="b">
        <v>0</v>
      </c>
      <c r="E3762" s="9"/>
    </row>
    <row r="3763" ht="15.75" customHeight="1">
      <c r="A3763" s="9" t="s">
        <v>35699</v>
      </c>
      <c r="B3763" s="9" t="s">
        <v>11377</v>
      </c>
      <c r="C3763" s="8" t="s">
        <v>35700</v>
      </c>
      <c r="D3763" s="9" t="b">
        <v>1</v>
      </c>
      <c r="E3763" s="9"/>
    </row>
    <row r="3764" ht="15.75" customHeight="1">
      <c r="A3764" s="9" t="s">
        <v>35701</v>
      </c>
      <c r="B3764" s="9" t="s">
        <v>12197</v>
      </c>
      <c r="C3764" s="8" t="s">
        <v>35702</v>
      </c>
      <c r="D3764" s="9" t="b">
        <v>1</v>
      </c>
      <c r="E3764" s="9"/>
    </row>
    <row r="3765" ht="15.75" customHeight="1">
      <c r="A3765" s="9" t="s">
        <v>35703</v>
      </c>
      <c r="B3765" s="9" t="s">
        <v>11379</v>
      </c>
      <c r="C3765" s="8" t="s">
        <v>35704</v>
      </c>
      <c r="D3765" s="9" t="b">
        <v>1</v>
      </c>
      <c r="E3765" s="9"/>
    </row>
    <row r="3766" ht="15.75" customHeight="1">
      <c r="A3766" s="9" t="s">
        <v>35705</v>
      </c>
      <c r="B3766" s="9" t="s">
        <v>11379</v>
      </c>
      <c r="C3766" s="8" t="s">
        <v>35706</v>
      </c>
      <c r="D3766" s="9" t="b">
        <v>0</v>
      </c>
      <c r="E3766" s="9"/>
    </row>
    <row r="3767" ht="15.75" customHeight="1">
      <c r="A3767" s="9" t="s">
        <v>35707</v>
      </c>
      <c r="B3767" s="9" t="s">
        <v>11379</v>
      </c>
      <c r="C3767" s="8" t="s">
        <v>35708</v>
      </c>
      <c r="D3767" s="9" t="b">
        <v>0</v>
      </c>
      <c r="E3767" s="9"/>
    </row>
    <row r="3768" ht="15.75" customHeight="1">
      <c r="A3768" s="9" t="s">
        <v>35709</v>
      </c>
      <c r="B3768" s="9" t="s">
        <v>11381</v>
      </c>
      <c r="C3768" s="8" t="s">
        <v>35710</v>
      </c>
      <c r="D3768" s="9" t="b">
        <v>0</v>
      </c>
      <c r="E3768" s="9"/>
    </row>
    <row r="3769" ht="15.75" customHeight="1">
      <c r="A3769" s="9" t="s">
        <v>35711</v>
      </c>
      <c r="B3769" s="9" t="s">
        <v>11381</v>
      </c>
      <c r="C3769" s="8" t="s">
        <v>35712</v>
      </c>
      <c r="D3769" s="9" t="b">
        <v>0</v>
      </c>
      <c r="E3769" s="9"/>
    </row>
    <row r="3770" ht="15.75" customHeight="1">
      <c r="A3770" s="9" t="s">
        <v>35713</v>
      </c>
      <c r="B3770" s="9" t="s">
        <v>11381</v>
      </c>
      <c r="C3770" s="8" t="s">
        <v>35714</v>
      </c>
      <c r="D3770" s="9" t="b">
        <v>0</v>
      </c>
      <c r="E3770" s="9"/>
    </row>
    <row r="3771" ht="15.75" customHeight="1">
      <c r="A3771" s="9" t="s">
        <v>35715</v>
      </c>
      <c r="B3771" s="9" t="s">
        <v>11381</v>
      </c>
      <c r="C3771" s="8" t="s">
        <v>35716</v>
      </c>
      <c r="D3771" s="9" t="b">
        <v>0</v>
      </c>
      <c r="E3771" s="9"/>
    </row>
    <row r="3772" ht="15.75" customHeight="1">
      <c r="A3772" s="9" t="s">
        <v>35717</v>
      </c>
      <c r="B3772" s="9" t="s">
        <v>11381</v>
      </c>
      <c r="C3772" s="8" t="s">
        <v>35718</v>
      </c>
      <c r="D3772" s="9" t="b">
        <v>0</v>
      </c>
      <c r="E3772" s="9"/>
    </row>
    <row r="3773" ht="15.75" customHeight="1">
      <c r="A3773" s="9" t="s">
        <v>35719</v>
      </c>
      <c r="B3773" s="9" t="s">
        <v>11381</v>
      </c>
      <c r="C3773" s="8" t="s">
        <v>35720</v>
      </c>
      <c r="D3773" s="9" t="b">
        <v>0</v>
      </c>
      <c r="E3773" s="9"/>
    </row>
    <row r="3774" ht="15.75" customHeight="1">
      <c r="A3774" s="9" t="s">
        <v>35721</v>
      </c>
      <c r="B3774" s="9" t="s">
        <v>11381</v>
      </c>
      <c r="C3774" s="8" t="s">
        <v>35722</v>
      </c>
      <c r="D3774" s="9" t="b">
        <v>1</v>
      </c>
      <c r="E3774" s="9"/>
    </row>
    <row r="3775" ht="15.75" customHeight="1">
      <c r="A3775" s="9" t="s">
        <v>35723</v>
      </c>
      <c r="B3775" s="9" t="s">
        <v>11383</v>
      </c>
      <c r="C3775" s="8" t="s">
        <v>35724</v>
      </c>
      <c r="D3775" s="9" t="b">
        <v>0</v>
      </c>
      <c r="E3775" s="9"/>
    </row>
    <row r="3776" ht="15.75" customHeight="1">
      <c r="A3776" s="9" t="s">
        <v>35725</v>
      </c>
      <c r="B3776" s="9" t="s">
        <v>11383</v>
      </c>
      <c r="C3776" s="8" t="s">
        <v>35726</v>
      </c>
      <c r="D3776" s="9" t="b">
        <v>0</v>
      </c>
      <c r="E3776" s="9"/>
    </row>
    <row r="3777" ht="15.75" customHeight="1">
      <c r="A3777" s="9" t="s">
        <v>35727</v>
      </c>
      <c r="B3777" s="9" t="s">
        <v>11383</v>
      </c>
      <c r="C3777" s="8" t="s">
        <v>35728</v>
      </c>
      <c r="D3777" s="9" t="b">
        <v>0</v>
      </c>
      <c r="E3777" s="9"/>
    </row>
    <row r="3778" ht="15.75" customHeight="1">
      <c r="A3778" s="9" t="s">
        <v>35729</v>
      </c>
      <c r="B3778" s="9" t="s">
        <v>11383</v>
      </c>
      <c r="C3778" s="8" t="s">
        <v>35730</v>
      </c>
      <c r="D3778" s="9" t="b">
        <v>0</v>
      </c>
      <c r="E3778" s="9"/>
    </row>
    <row r="3779" ht="15.75" customHeight="1">
      <c r="A3779" s="9" t="s">
        <v>35731</v>
      </c>
      <c r="B3779" s="9" t="s">
        <v>11383</v>
      </c>
      <c r="C3779" s="8" t="s">
        <v>35732</v>
      </c>
      <c r="D3779" s="9" t="b">
        <v>1</v>
      </c>
      <c r="E3779" s="9"/>
    </row>
    <row r="3780" ht="15.75" customHeight="1">
      <c r="A3780" s="9" t="s">
        <v>35733</v>
      </c>
      <c r="B3780" s="9" t="s">
        <v>11383</v>
      </c>
      <c r="C3780" s="8" t="s">
        <v>35734</v>
      </c>
      <c r="D3780" s="9" t="b">
        <v>0</v>
      </c>
      <c r="E3780" s="9"/>
    </row>
    <row r="3781" ht="15.75" customHeight="1">
      <c r="A3781" s="9"/>
      <c r="B3781" s="9"/>
      <c r="C3781" s="9"/>
      <c r="D3781" s="9"/>
      <c r="E3781" s="9"/>
    </row>
    <row r="3782" ht="15.75" customHeight="1">
      <c r="A3782" s="9"/>
      <c r="B3782" s="9"/>
      <c r="C3782" s="9"/>
      <c r="D3782" s="9"/>
      <c r="E3782" s="9"/>
    </row>
    <row r="3783" ht="15.75" customHeight="1">
      <c r="A3783" s="9"/>
      <c r="B3783" s="9"/>
      <c r="C3783" s="9"/>
      <c r="D3783" s="9"/>
      <c r="E3783" s="9"/>
    </row>
    <row r="3784" ht="15.75" customHeight="1">
      <c r="A3784" s="9"/>
      <c r="B3784" s="9"/>
      <c r="C3784" s="9"/>
      <c r="D3784" s="9"/>
      <c r="E3784" s="9"/>
    </row>
    <row r="3785" ht="15.75" customHeight="1">
      <c r="A3785" s="9" t="s">
        <v>35735</v>
      </c>
      <c r="B3785" s="9" t="s">
        <v>1966</v>
      </c>
      <c r="C3785" s="8" t="s">
        <v>35736</v>
      </c>
      <c r="D3785" s="9" t="b">
        <v>0</v>
      </c>
      <c r="E3785" s="9"/>
    </row>
    <row r="3786" ht="15.75" customHeight="1">
      <c r="A3786" s="9" t="s">
        <v>35737</v>
      </c>
      <c r="B3786" s="9" t="s">
        <v>8430</v>
      </c>
      <c r="C3786" s="8" t="s">
        <v>35738</v>
      </c>
      <c r="D3786" s="9" t="b">
        <v>1</v>
      </c>
      <c r="E3786" s="9"/>
    </row>
    <row r="3787" ht="15.75" customHeight="1">
      <c r="A3787" s="9" t="s">
        <v>35739</v>
      </c>
      <c r="B3787" s="9" t="s">
        <v>2508</v>
      </c>
      <c r="C3787" s="8" t="s">
        <v>35740</v>
      </c>
      <c r="D3787" s="9" t="b">
        <v>1</v>
      </c>
      <c r="E3787" s="9"/>
    </row>
    <row r="3788" ht="15.75" customHeight="1">
      <c r="A3788" s="9" t="s">
        <v>35741</v>
      </c>
      <c r="B3788" s="9" t="s">
        <v>11979</v>
      </c>
      <c r="C3788" s="8" t="s">
        <v>35742</v>
      </c>
      <c r="D3788" s="9" t="b">
        <v>1</v>
      </c>
      <c r="E3788" s="9"/>
    </row>
    <row r="3789" ht="15.75" customHeight="1">
      <c r="A3789" s="9" t="s">
        <v>35743</v>
      </c>
      <c r="B3789" s="9" t="s">
        <v>11821</v>
      </c>
      <c r="C3789" s="8" t="s">
        <v>35744</v>
      </c>
      <c r="D3789" s="9" t="b">
        <v>1</v>
      </c>
      <c r="E3789" s="9"/>
    </row>
    <row r="3790" ht="15.75" customHeight="1">
      <c r="A3790" s="9" t="s">
        <v>35745</v>
      </c>
      <c r="B3790" s="9" t="s">
        <v>12159</v>
      </c>
      <c r="C3790" s="8" t="s">
        <v>35746</v>
      </c>
      <c r="D3790" s="9" t="b">
        <v>1</v>
      </c>
      <c r="E3790" s="9"/>
    </row>
    <row r="3791" ht="15.75" customHeight="1">
      <c r="A3791" s="9" t="s">
        <v>35747</v>
      </c>
      <c r="B3791" s="9" t="s">
        <v>6224</v>
      </c>
      <c r="C3791" s="8" t="s">
        <v>35748</v>
      </c>
      <c r="D3791" s="9" t="b">
        <v>1</v>
      </c>
      <c r="E3791" s="9"/>
    </row>
    <row r="3792" ht="15.75" customHeight="1">
      <c r="A3792" s="9" t="s">
        <v>35749</v>
      </c>
      <c r="B3792" s="9" t="s">
        <v>6224</v>
      </c>
      <c r="C3792" s="8" t="s">
        <v>35750</v>
      </c>
      <c r="D3792" s="9" t="b">
        <v>1</v>
      </c>
      <c r="E3792" s="9"/>
    </row>
    <row r="3793" ht="15.75" customHeight="1">
      <c r="A3793" s="9" t="s">
        <v>35751</v>
      </c>
      <c r="B3793" s="9" t="s">
        <v>11387</v>
      </c>
      <c r="C3793" s="8" t="s">
        <v>35752</v>
      </c>
      <c r="D3793" s="9" t="b">
        <v>0</v>
      </c>
      <c r="E3793" s="9"/>
    </row>
    <row r="3794" ht="15.75" customHeight="1">
      <c r="A3794" s="9" t="s">
        <v>35753</v>
      </c>
      <c r="B3794" s="9" t="s">
        <v>11387</v>
      </c>
      <c r="C3794" s="8" t="s">
        <v>35754</v>
      </c>
      <c r="D3794" s="9" t="b">
        <v>0</v>
      </c>
      <c r="E3794" s="9"/>
    </row>
    <row r="3795" ht="15.75" customHeight="1">
      <c r="A3795" s="9" t="s">
        <v>35755</v>
      </c>
      <c r="B3795" s="9" t="s">
        <v>11387</v>
      </c>
      <c r="C3795" s="8" t="s">
        <v>35756</v>
      </c>
      <c r="D3795" s="9" t="b">
        <v>0</v>
      </c>
      <c r="E3795" s="9"/>
    </row>
    <row r="3796" ht="15.75" customHeight="1">
      <c r="A3796" s="9" t="s">
        <v>35757</v>
      </c>
      <c r="B3796" s="9" t="s">
        <v>11387</v>
      </c>
      <c r="C3796" s="8" t="s">
        <v>35758</v>
      </c>
      <c r="D3796" s="9" t="b">
        <v>0</v>
      </c>
      <c r="E3796" s="9"/>
    </row>
    <row r="3797" ht="15.75" customHeight="1">
      <c r="A3797" s="9" t="s">
        <v>35759</v>
      </c>
      <c r="B3797" s="9" t="s">
        <v>11387</v>
      </c>
      <c r="C3797" s="8" t="s">
        <v>35760</v>
      </c>
      <c r="D3797" s="9" t="b">
        <v>0</v>
      </c>
      <c r="E3797" s="9"/>
    </row>
    <row r="3798" ht="15.75" customHeight="1">
      <c r="A3798" s="9" t="s">
        <v>35761</v>
      </c>
      <c r="B3798" s="9" t="s">
        <v>11387</v>
      </c>
      <c r="C3798" s="8" t="s">
        <v>35762</v>
      </c>
      <c r="D3798" s="9" t="b">
        <v>0</v>
      </c>
      <c r="E3798" s="9"/>
    </row>
    <row r="3799" ht="15.75" customHeight="1">
      <c r="A3799" s="9" t="s">
        <v>35763</v>
      </c>
      <c r="B3799" s="9" t="s">
        <v>11387</v>
      </c>
      <c r="C3799" s="8" t="s">
        <v>35764</v>
      </c>
      <c r="D3799" s="9" t="b">
        <v>1</v>
      </c>
      <c r="E3799" s="9"/>
    </row>
    <row r="3800" ht="15.75" customHeight="1">
      <c r="A3800" s="9" t="s">
        <v>35765</v>
      </c>
      <c r="B3800" s="9" t="s">
        <v>11394</v>
      </c>
      <c r="C3800" s="8" t="s">
        <v>35766</v>
      </c>
      <c r="D3800" s="9" t="b">
        <v>0</v>
      </c>
      <c r="E3800" s="9"/>
    </row>
    <row r="3801" ht="15.75" customHeight="1">
      <c r="A3801" s="9" t="s">
        <v>35767</v>
      </c>
      <c r="B3801" s="9" t="s">
        <v>11394</v>
      </c>
      <c r="C3801" s="8" t="s">
        <v>35768</v>
      </c>
      <c r="D3801" s="9" t="b">
        <v>0</v>
      </c>
      <c r="E3801" s="9"/>
    </row>
    <row r="3802" ht="15.75" customHeight="1">
      <c r="A3802" s="9" t="s">
        <v>35769</v>
      </c>
      <c r="B3802" s="9" t="s">
        <v>11394</v>
      </c>
      <c r="C3802" s="8" t="s">
        <v>35770</v>
      </c>
      <c r="D3802" s="9" t="b">
        <v>0</v>
      </c>
      <c r="E3802" s="9"/>
    </row>
    <row r="3803" ht="15.75" customHeight="1">
      <c r="A3803" s="9" t="s">
        <v>35771</v>
      </c>
      <c r="B3803" s="9" t="s">
        <v>11394</v>
      </c>
      <c r="C3803" s="8" t="s">
        <v>35772</v>
      </c>
      <c r="D3803" s="9" t="b">
        <v>0</v>
      </c>
      <c r="E3803" s="9"/>
    </row>
    <row r="3804" ht="15.75" customHeight="1">
      <c r="A3804" s="9" t="s">
        <v>35773</v>
      </c>
      <c r="B3804" s="9" t="s">
        <v>11394</v>
      </c>
      <c r="C3804" s="8" t="s">
        <v>35774</v>
      </c>
      <c r="D3804" s="9" t="b">
        <v>0</v>
      </c>
      <c r="E3804" s="9"/>
    </row>
    <row r="3805" ht="15.75" customHeight="1">
      <c r="A3805" s="9" t="s">
        <v>35775</v>
      </c>
      <c r="B3805" s="9" t="s">
        <v>11394</v>
      </c>
      <c r="C3805" s="8" t="s">
        <v>35776</v>
      </c>
      <c r="D3805" s="9" t="b">
        <v>0</v>
      </c>
      <c r="E3805" s="9"/>
    </row>
    <row r="3806" ht="15.75" customHeight="1">
      <c r="A3806" s="9" t="s">
        <v>35777</v>
      </c>
      <c r="B3806" s="9" t="s">
        <v>11394</v>
      </c>
      <c r="C3806" s="8" t="s">
        <v>35778</v>
      </c>
      <c r="D3806" s="9" t="b">
        <v>1</v>
      </c>
      <c r="E3806" s="9"/>
    </row>
    <row r="3807" ht="15.75" customHeight="1">
      <c r="A3807" s="9" t="s">
        <v>35779</v>
      </c>
      <c r="B3807" s="9" t="s">
        <v>1195</v>
      </c>
      <c r="C3807" s="8" t="s">
        <v>35780</v>
      </c>
      <c r="D3807" s="9" t="b">
        <v>1</v>
      </c>
      <c r="E3807" s="9"/>
    </row>
    <row r="3808" ht="15.75" customHeight="1">
      <c r="A3808" s="52" t="s">
        <v>35781</v>
      </c>
      <c r="B3808" s="9" t="s">
        <v>9167</v>
      </c>
      <c r="C3808" s="8" t="s">
        <v>35782</v>
      </c>
      <c r="D3808" s="9" t="b">
        <v>1</v>
      </c>
      <c r="E3808" s="9"/>
    </row>
    <row r="3809" ht="15.75" customHeight="1">
      <c r="A3809" s="9" t="s">
        <v>35783</v>
      </c>
      <c r="B3809" s="9" t="s">
        <v>11389</v>
      </c>
      <c r="C3809" s="8" t="s">
        <v>35784</v>
      </c>
      <c r="D3809" s="9" t="b">
        <v>0</v>
      </c>
      <c r="E3809" s="9"/>
    </row>
    <row r="3810" ht="15.75" customHeight="1">
      <c r="A3810" s="9" t="s">
        <v>35785</v>
      </c>
      <c r="B3810" s="9" t="s">
        <v>11389</v>
      </c>
      <c r="C3810" s="8" t="s">
        <v>35786</v>
      </c>
      <c r="D3810" s="9" t="b">
        <v>0</v>
      </c>
      <c r="E3810" s="9"/>
    </row>
    <row r="3811" ht="15.75" customHeight="1">
      <c r="A3811" s="9" t="s">
        <v>35787</v>
      </c>
      <c r="B3811" s="9" t="s">
        <v>11389</v>
      </c>
      <c r="C3811" s="8" t="s">
        <v>35788</v>
      </c>
      <c r="D3811" s="9" t="b">
        <v>0</v>
      </c>
      <c r="E3811" s="9"/>
    </row>
    <row r="3812" ht="15.75" customHeight="1">
      <c r="A3812" s="9" t="s">
        <v>35789</v>
      </c>
      <c r="B3812" s="9" t="s">
        <v>11389</v>
      </c>
      <c r="C3812" s="8" t="s">
        <v>35790</v>
      </c>
      <c r="D3812" s="9" t="b">
        <v>1</v>
      </c>
      <c r="E3812" s="9"/>
    </row>
    <row r="3813" ht="15.75" customHeight="1">
      <c r="A3813" s="9" t="s">
        <v>35791</v>
      </c>
      <c r="B3813" s="9" t="s">
        <v>11389</v>
      </c>
      <c r="C3813" s="8" t="s">
        <v>35792</v>
      </c>
      <c r="D3813" s="9" t="b">
        <v>0</v>
      </c>
      <c r="E3813" s="9"/>
    </row>
    <row r="3814" ht="15.75" customHeight="1">
      <c r="A3814" s="9" t="s">
        <v>35793</v>
      </c>
      <c r="B3814" s="9" t="s">
        <v>11389</v>
      </c>
      <c r="C3814" s="8" t="s">
        <v>35794</v>
      </c>
      <c r="D3814" s="9" t="b">
        <v>0</v>
      </c>
      <c r="E3814" s="9"/>
    </row>
    <row r="3815" ht="15.75" customHeight="1">
      <c r="A3815" s="9" t="s">
        <v>35795</v>
      </c>
      <c r="B3815" s="9" t="s">
        <v>11396</v>
      </c>
      <c r="C3815" s="8" t="s">
        <v>35796</v>
      </c>
      <c r="D3815" s="9" t="b">
        <v>0</v>
      </c>
      <c r="E3815" s="9"/>
    </row>
    <row r="3816" ht="15.75" customHeight="1">
      <c r="A3816" s="9" t="s">
        <v>35797</v>
      </c>
      <c r="B3816" s="9" t="s">
        <v>11396</v>
      </c>
      <c r="C3816" s="8" t="s">
        <v>35798</v>
      </c>
      <c r="D3816" s="9" t="b">
        <v>0</v>
      </c>
      <c r="E3816" s="9"/>
    </row>
    <row r="3817" ht="15.75" customHeight="1">
      <c r="A3817" s="9" t="s">
        <v>35799</v>
      </c>
      <c r="B3817" s="9" t="s">
        <v>11396</v>
      </c>
      <c r="C3817" s="8" t="s">
        <v>35800</v>
      </c>
      <c r="D3817" s="9" t="b">
        <v>0</v>
      </c>
      <c r="E3817" s="9"/>
    </row>
    <row r="3818" ht="15.75" customHeight="1">
      <c r="A3818" s="9" t="s">
        <v>35801</v>
      </c>
      <c r="B3818" s="9" t="s">
        <v>11396</v>
      </c>
      <c r="C3818" s="8" t="s">
        <v>35802</v>
      </c>
      <c r="D3818" s="9" t="b">
        <v>0</v>
      </c>
      <c r="E3818" s="9"/>
    </row>
    <row r="3819" ht="15.75" customHeight="1">
      <c r="A3819" s="9" t="s">
        <v>35803</v>
      </c>
      <c r="B3819" s="9" t="s">
        <v>11396</v>
      </c>
      <c r="C3819" s="8" t="s">
        <v>35804</v>
      </c>
      <c r="D3819" s="9" t="b">
        <v>1</v>
      </c>
      <c r="E3819" s="9"/>
    </row>
    <row r="3820" ht="15.75" customHeight="1">
      <c r="A3820" s="9" t="s">
        <v>35805</v>
      </c>
      <c r="B3820" s="9" t="s">
        <v>2679</v>
      </c>
      <c r="C3820" s="8" t="s">
        <v>35806</v>
      </c>
      <c r="D3820" s="9" t="b">
        <v>1</v>
      </c>
      <c r="E3820" s="9"/>
    </row>
    <row r="3821" ht="15.75" customHeight="1">
      <c r="A3821" s="9" t="s">
        <v>35807</v>
      </c>
      <c r="B3821" s="9" t="s">
        <v>12174</v>
      </c>
      <c r="C3821" s="8" t="s">
        <v>35808</v>
      </c>
      <c r="D3821" s="9" t="b">
        <v>1</v>
      </c>
      <c r="E3821" s="9"/>
    </row>
    <row r="3822" ht="15.75" customHeight="1">
      <c r="A3822" s="9" t="s">
        <v>35809</v>
      </c>
      <c r="B3822" s="9" t="s">
        <v>3185</v>
      </c>
      <c r="C3822" s="8" t="s">
        <v>35810</v>
      </c>
      <c r="D3822" s="9" t="b">
        <v>1</v>
      </c>
      <c r="E3822" s="9"/>
    </row>
    <row r="3823" ht="15.75" customHeight="1">
      <c r="A3823" s="9" t="s">
        <v>35811</v>
      </c>
      <c r="B3823" s="9" t="s">
        <v>5924</v>
      </c>
      <c r="C3823" s="8" t="s">
        <v>35812</v>
      </c>
      <c r="D3823" s="9" t="b">
        <v>1</v>
      </c>
      <c r="E3823" s="9"/>
    </row>
    <row r="3824" ht="15.75" customHeight="1">
      <c r="A3824" s="9" t="s">
        <v>35813</v>
      </c>
      <c r="B3824" s="9" t="s">
        <v>9323</v>
      </c>
      <c r="C3824" s="8" t="s">
        <v>35814</v>
      </c>
      <c r="D3824" s="9" t="b">
        <v>0</v>
      </c>
      <c r="E3824" s="9"/>
    </row>
    <row r="3825" ht="15.75" customHeight="1">
      <c r="A3825" s="9" t="s">
        <v>35815</v>
      </c>
      <c r="B3825" s="9" t="s">
        <v>11674</v>
      </c>
      <c r="C3825" s="8" t="s">
        <v>35816</v>
      </c>
      <c r="D3825" s="9" t="b">
        <v>1</v>
      </c>
      <c r="E3825" s="9"/>
    </row>
    <row r="3826" ht="15.75" customHeight="1">
      <c r="A3826" s="9" t="s">
        <v>35817</v>
      </c>
      <c r="B3826" s="9" t="s">
        <v>9708</v>
      </c>
      <c r="C3826" s="8" t="s">
        <v>35818</v>
      </c>
      <c r="D3826" s="9" t="b">
        <v>1</v>
      </c>
      <c r="E3826" s="9"/>
    </row>
    <row r="3827" ht="15.75" customHeight="1">
      <c r="A3827" s="9" t="s">
        <v>35819</v>
      </c>
      <c r="B3827" s="9" t="s">
        <v>1893</v>
      </c>
      <c r="C3827" s="8" t="s">
        <v>35820</v>
      </c>
      <c r="D3827" s="9" t="b">
        <v>1</v>
      </c>
      <c r="E3827" s="9"/>
    </row>
    <row r="3828" ht="15.75" customHeight="1">
      <c r="A3828" s="9" t="s">
        <v>35821</v>
      </c>
      <c r="B3828" s="9" t="s">
        <v>5219</v>
      </c>
      <c r="C3828" s="8" t="s">
        <v>35822</v>
      </c>
      <c r="D3828" s="9" t="b">
        <v>1</v>
      </c>
      <c r="E3828" s="9"/>
    </row>
    <row r="3829" ht="15.75" customHeight="1">
      <c r="A3829" s="9" t="s">
        <v>35823</v>
      </c>
      <c r="B3829" s="9" t="s">
        <v>1787</v>
      </c>
      <c r="C3829" s="8" t="s">
        <v>35824</v>
      </c>
      <c r="D3829" s="9" t="b">
        <v>1</v>
      </c>
      <c r="E3829" s="9"/>
    </row>
    <row r="3830" ht="15.75" customHeight="1">
      <c r="A3830" s="52" t="s">
        <v>35825</v>
      </c>
      <c r="B3830" s="9" t="s">
        <v>7437</v>
      </c>
      <c r="C3830" s="8" t="s">
        <v>35826</v>
      </c>
      <c r="D3830" s="9" t="b">
        <v>1</v>
      </c>
      <c r="E3830" s="9"/>
    </row>
    <row r="3831" ht="15.75" customHeight="1">
      <c r="A3831" s="9" t="s">
        <v>35827</v>
      </c>
      <c r="B3831" s="9" t="s">
        <v>5936</v>
      </c>
      <c r="C3831" s="8" t="s">
        <v>35828</v>
      </c>
      <c r="D3831" s="9" t="b">
        <v>1</v>
      </c>
      <c r="E3831" s="9"/>
    </row>
    <row r="3832" ht="15.75" customHeight="1">
      <c r="A3832" s="9" t="s">
        <v>35829</v>
      </c>
      <c r="B3832" s="9" t="s">
        <v>5434</v>
      </c>
      <c r="C3832" s="8" t="s">
        <v>35830</v>
      </c>
      <c r="D3832" s="9" t="b">
        <v>1</v>
      </c>
      <c r="E3832" s="9"/>
    </row>
    <row r="3833" ht="15.75" customHeight="1">
      <c r="A3833" s="9" t="s">
        <v>35831</v>
      </c>
      <c r="B3833" s="9" t="s">
        <v>2210</v>
      </c>
      <c r="C3833" s="8" t="s">
        <v>35832</v>
      </c>
      <c r="D3833" s="9" t="b">
        <v>1</v>
      </c>
      <c r="E3833" s="9"/>
    </row>
    <row r="3834" ht="15.75" customHeight="1">
      <c r="A3834" s="9" t="s">
        <v>35833</v>
      </c>
      <c r="B3834" s="52" t="s">
        <v>19895</v>
      </c>
      <c r="C3834" s="8" t="s">
        <v>35834</v>
      </c>
      <c r="D3834" s="9" t="b">
        <v>1</v>
      </c>
      <c r="E3834" s="9"/>
    </row>
    <row r="3835" ht="15.75" customHeight="1">
      <c r="A3835" s="9" t="s">
        <v>35835</v>
      </c>
      <c r="B3835" s="9" t="s">
        <v>11676</v>
      </c>
      <c r="C3835" s="8" t="s">
        <v>35836</v>
      </c>
      <c r="D3835" s="9" t="b">
        <v>1</v>
      </c>
      <c r="E3835" s="9"/>
    </row>
    <row r="3836" ht="15.75" customHeight="1">
      <c r="A3836" s="9" t="s">
        <v>35837</v>
      </c>
      <c r="B3836" s="9" t="s">
        <v>12172</v>
      </c>
      <c r="C3836" s="8" t="s">
        <v>35838</v>
      </c>
      <c r="D3836" s="9" t="b">
        <v>1</v>
      </c>
      <c r="E3836" s="9"/>
    </row>
    <row r="3837" ht="15.75" customHeight="1">
      <c r="A3837" s="9" t="s">
        <v>35839</v>
      </c>
      <c r="B3837" s="9" t="s">
        <v>9261</v>
      </c>
      <c r="C3837" s="8" t="s">
        <v>35840</v>
      </c>
      <c r="D3837" s="9" t="b">
        <v>1</v>
      </c>
      <c r="E3837" s="9"/>
    </row>
    <row r="3838" ht="15.75" customHeight="1">
      <c r="A3838" s="9" t="s">
        <v>35841</v>
      </c>
      <c r="B3838" s="9" t="s">
        <v>8689</v>
      </c>
      <c r="C3838" s="8" t="s">
        <v>35842</v>
      </c>
      <c r="D3838" s="9" t="b">
        <v>1</v>
      </c>
      <c r="E3838" s="9"/>
    </row>
    <row r="3839" ht="15.75" customHeight="1">
      <c r="A3839" s="9" t="s">
        <v>35843</v>
      </c>
      <c r="B3839" s="9" t="s">
        <v>261</v>
      </c>
      <c r="C3839" s="8" t="s">
        <v>35844</v>
      </c>
      <c r="D3839" s="9" t="b">
        <v>1</v>
      </c>
      <c r="E3839" s="9"/>
    </row>
    <row r="3840" ht="15.75" customHeight="1">
      <c r="A3840" s="9" t="s">
        <v>35845</v>
      </c>
      <c r="B3840" s="9" t="s">
        <v>10398</v>
      </c>
      <c r="C3840" s="8" t="s">
        <v>35846</v>
      </c>
      <c r="D3840" s="9" t="b">
        <v>1</v>
      </c>
      <c r="E3840" s="9"/>
    </row>
    <row r="3841" ht="15.75" customHeight="1">
      <c r="A3841" s="9" t="s">
        <v>35847</v>
      </c>
      <c r="B3841" s="9" t="s">
        <v>7425</v>
      </c>
      <c r="C3841" s="8" t="s">
        <v>35848</v>
      </c>
      <c r="D3841" s="9" t="b">
        <v>1</v>
      </c>
      <c r="E3841" s="9"/>
    </row>
    <row r="3842" ht="15.75" customHeight="1">
      <c r="A3842" s="9" t="s">
        <v>35849</v>
      </c>
      <c r="B3842" s="9" t="s">
        <v>8972</v>
      </c>
      <c r="C3842" s="8" t="s">
        <v>35850</v>
      </c>
      <c r="D3842" s="9" t="b">
        <v>1</v>
      </c>
      <c r="E3842" s="9"/>
    </row>
    <row r="3843" ht="15.75" customHeight="1">
      <c r="A3843" s="9" t="s">
        <v>35851</v>
      </c>
      <c r="B3843" s="9" t="s">
        <v>4269</v>
      </c>
      <c r="C3843" s="8" t="s">
        <v>35852</v>
      </c>
      <c r="D3843" s="9" t="b">
        <v>0</v>
      </c>
      <c r="E3843" s="9"/>
    </row>
    <row r="3844" ht="15.75" customHeight="1">
      <c r="A3844" s="9" t="s">
        <v>35853</v>
      </c>
      <c r="B3844" s="9" t="s">
        <v>4269</v>
      </c>
      <c r="C3844" s="8" t="s">
        <v>35854</v>
      </c>
      <c r="D3844" s="9" t="b">
        <v>0</v>
      </c>
      <c r="E3844" s="9"/>
    </row>
    <row r="3845" ht="15.75" customHeight="1">
      <c r="A3845" s="9" t="s">
        <v>35855</v>
      </c>
      <c r="B3845" s="9" t="s">
        <v>4269</v>
      </c>
      <c r="C3845" s="8" t="s">
        <v>35856</v>
      </c>
      <c r="D3845" s="9" t="b">
        <v>0</v>
      </c>
      <c r="E3845" s="9"/>
    </row>
    <row r="3846" ht="15.75" customHeight="1">
      <c r="A3846" s="9" t="s">
        <v>35857</v>
      </c>
      <c r="B3846" s="9" t="s">
        <v>4269</v>
      </c>
      <c r="C3846" s="8" t="s">
        <v>35858</v>
      </c>
      <c r="D3846" s="9" t="b">
        <v>0</v>
      </c>
      <c r="E3846" s="9"/>
    </row>
    <row r="3847" ht="15.75" customHeight="1">
      <c r="A3847" s="9" t="s">
        <v>35859</v>
      </c>
      <c r="B3847" s="9" t="s">
        <v>4269</v>
      </c>
      <c r="C3847" s="8" t="s">
        <v>35860</v>
      </c>
      <c r="D3847" s="9" t="b">
        <v>1</v>
      </c>
      <c r="E3847" s="9"/>
    </row>
    <row r="3848" ht="15.75" customHeight="1">
      <c r="A3848" s="9" t="s">
        <v>35861</v>
      </c>
      <c r="B3848" s="9" t="s">
        <v>1166</v>
      </c>
      <c r="C3848" s="8" t="s">
        <v>35862</v>
      </c>
      <c r="D3848" s="9" t="b">
        <v>1</v>
      </c>
      <c r="E3848" s="9"/>
    </row>
    <row r="3849" ht="15.75" customHeight="1">
      <c r="A3849" s="9" t="s">
        <v>35863</v>
      </c>
      <c r="B3849" s="9" t="s">
        <v>1150</v>
      </c>
      <c r="C3849" s="8" t="s">
        <v>35864</v>
      </c>
      <c r="D3849" s="9" t="b">
        <v>1</v>
      </c>
      <c r="E3849" s="9"/>
    </row>
    <row r="3850" ht="15.75" customHeight="1">
      <c r="A3850" s="9" t="s">
        <v>35865</v>
      </c>
      <c r="B3850" s="9" t="s">
        <v>1150</v>
      </c>
      <c r="C3850" s="8" t="s">
        <v>35866</v>
      </c>
      <c r="D3850" s="9" t="b">
        <v>0</v>
      </c>
      <c r="E3850" s="9"/>
    </row>
    <row r="3851" ht="15.75" customHeight="1">
      <c r="A3851" s="9" t="s">
        <v>35867</v>
      </c>
      <c r="B3851" s="9" t="s">
        <v>1150</v>
      </c>
      <c r="C3851" s="8" t="s">
        <v>35868</v>
      </c>
      <c r="D3851" s="9" t="b">
        <v>0</v>
      </c>
      <c r="E3851" s="9"/>
    </row>
    <row r="3852" ht="15.75" customHeight="1">
      <c r="A3852" s="9" t="s">
        <v>35869</v>
      </c>
      <c r="B3852" s="9" t="s">
        <v>1166</v>
      </c>
      <c r="C3852" s="8" t="s">
        <v>35870</v>
      </c>
      <c r="D3852" s="9" t="b">
        <v>0</v>
      </c>
      <c r="E3852" s="9"/>
    </row>
    <row r="3853" ht="15.75" customHeight="1">
      <c r="A3853" s="9" t="s">
        <v>35871</v>
      </c>
      <c r="B3853" s="9" t="s">
        <v>9491</v>
      </c>
      <c r="C3853" s="8" t="s">
        <v>35872</v>
      </c>
      <c r="D3853" s="9" t="b">
        <v>0</v>
      </c>
      <c r="E3853" s="9"/>
    </row>
    <row r="3854" ht="15.75" customHeight="1">
      <c r="A3854" s="9" t="s">
        <v>35873</v>
      </c>
      <c r="B3854" s="9" t="s">
        <v>9491</v>
      </c>
      <c r="C3854" s="8" t="s">
        <v>35874</v>
      </c>
      <c r="D3854" s="9" t="b">
        <v>0</v>
      </c>
      <c r="E3854" s="9"/>
    </row>
    <row r="3855" ht="15.75" customHeight="1">
      <c r="A3855" s="9" t="s">
        <v>35875</v>
      </c>
      <c r="B3855" s="9" t="s">
        <v>9491</v>
      </c>
      <c r="C3855" s="8" t="s">
        <v>35876</v>
      </c>
      <c r="D3855" s="9" t="b">
        <v>0</v>
      </c>
      <c r="E3855" s="9"/>
    </row>
    <row r="3856" ht="15.75" customHeight="1">
      <c r="A3856" s="9" t="s">
        <v>35877</v>
      </c>
      <c r="B3856" s="9" t="s">
        <v>9491</v>
      </c>
      <c r="C3856" s="8" t="s">
        <v>35878</v>
      </c>
      <c r="D3856" s="9" t="b">
        <v>1</v>
      </c>
      <c r="E3856" s="9"/>
    </row>
    <row r="3857" ht="15.75" customHeight="1">
      <c r="A3857" s="9" t="s">
        <v>35879</v>
      </c>
      <c r="B3857" s="9" t="s">
        <v>10044</v>
      </c>
      <c r="C3857" s="8" t="s">
        <v>35880</v>
      </c>
      <c r="D3857" s="9" t="b">
        <v>0</v>
      </c>
      <c r="E3857" s="9"/>
    </row>
    <row r="3858" ht="15.75" customHeight="1">
      <c r="A3858" s="9" t="s">
        <v>35881</v>
      </c>
      <c r="B3858" s="9" t="s">
        <v>10044</v>
      </c>
      <c r="C3858" s="8" t="s">
        <v>35882</v>
      </c>
      <c r="D3858" s="9" t="b">
        <v>0</v>
      </c>
      <c r="E3858" s="9"/>
    </row>
    <row r="3859" ht="15.75" customHeight="1">
      <c r="A3859" s="9" t="s">
        <v>35883</v>
      </c>
      <c r="B3859" s="9" t="s">
        <v>10044</v>
      </c>
      <c r="C3859" s="8" t="s">
        <v>35884</v>
      </c>
      <c r="D3859" s="9" t="b">
        <v>0</v>
      </c>
      <c r="E3859" s="9"/>
    </row>
    <row r="3860" ht="15.75" customHeight="1">
      <c r="A3860" s="9" t="s">
        <v>35885</v>
      </c>
      <c r="B3860" s="9" t="s">
        <v>10044</v>
      </c>
      <c r="C3860" s="8" t="s">
        <v>35886</v>
      </c>
      <c r="D3860" s="9" t="b">
        <v>1</v>
      </c>
      <c r="E3860" s="9"/>
    </row>
    <row r="3861" ht="15.75" customHeight="1">
      <c r="A3861" s="9" t="s">
        <v>35887</v>
      </c>
      <c r="B3861" s="9" t="s">
        <v>11398</v>
      </c>
      <c r="C3861" s="8" t="s">
        <v>35888</v>
      </c>
      <c r="D3861" s="9" t="b">
        <v>0</v>
      </c>
      <c r="E3861" s="9"/>
    </row>
    <row r="3862" ht="15.75" customHeight="1">
      <c r="A3862" s="9" t="s">
        <v>35889</v>
      </c>
      <c r="B3862" s="9" t="s">
        <v>11398</v>
      </c>
      <c r="C3862" s="8" t="s">
        <v>35890</v>
      </c>
      <c r="D3862" s="9" t="b">
        <v>0</v>
      </c>
      <c r="E3862" s="9"/>
    </row>
    <row r="3863" ht="15.75" customHeight="1">
      <c r="A3863" s="9" t="s">
        <v>35891</v>
      </c>
      <c r="B3863" s="9" t="s">
        <v>11398</v>
      </c>
      <c r="C3863" s="8" t="s">
        <v>35892</v>
      </c>
      <c r="D3863" s="9" t="b">
        <v>0</v>
      </c>
      <c r="E3863" s="9"/>
    </row>
    <row r="3864" ht="15.75" customHeight="1">
      <c r="A3864" s="9" t="s">
        <v>35893</v>
      </c>
      <c r="B3864" s="9" t="s">
        <v>11398</v>
      </c>
      <c r="C3864" s="8" t="s">
        <v>35894</v>
      </c>
      <c r="D3864" s="9" t="b">
        <v>0</v>
      </c>
      <c r="E3864" s="9"/>
    </row>
    <row r="3865" ht="15.75" customHeight="1">
      <c r="A3865" s="9" t="s">
        <v>35895</v>
      </c>
      <c r="B3865" s="9" t="s">
        <v>11398</v>
      </c>
      <c r="C3865" s="8" t="s">
        <v>35896</v>
      </c>
      <c r="D3865" s="9" t="b">
        <v>0</v>
      </c>
      <c r="E3865" s="9"/>
    </row>
    <row r="3866" ht="15.75" customHeight="1">
      <c r="A3866" s="9" t="s">
        <v>35897</v>
      </c>
      <c r="B3866" s="9" t="s">
        <v>11398</v>
      </c>
      <c r="C3866" s="8" t="s">
        <v>35898</v>
      </c>
      <c r="D3866" s="9" t="b">
        <v>0</v>
      </c>
      <c r="E3866" s="9"/>
    </row>
    <row r="3867" ht="15.75" customHeight="1">
      <c r="A3867" s="9" t="s">
        <v>35899</v>
      </c>
      <c r="B3867" s="9" t="s">
        <v>11398</v>
      </c>
      <c r="C3867" s="8" t="s">
        <v>35900</v>
      </c>
      <c r="D3867" s="9" t="b">
        <v>0</v>
      </c>
      <c r="E3867" s="9"/>
    </row>
    <row r="3868" ht="15.75" customHeight="1">
      <c r="A3868" s="9" t="s">
        <v>35901</v>
      </c>
      <c r="B3868" s="9" t="s">
        <v>11398</v>
      </c>
      <c r="C3868" s="8" t="s">
        <v>35902</v>
      </c>
      <c r="D3868" s="9" t="b">
        <v>0</v>
      </c>
      <c r="E3868" s="9"/>
    </row>
    <row r="3869" ht="15.75" customHeight="1">
      <c r="A3869" s="9" t="s">
        <v>35903</v>
      </c>
      <c r="B3869" s="9" t="s">
        <v>11398</v>
      </c>
      <c r="C3869" s="8" t="s">
        <v>35904</v>
      </c>
      <c r="D3869" s="9" t="b">
        <v>0</v>
      </c>
      <c r="E3869" s="9"/>
    </row>
    <row r="3870" ht="15.75" customHeight="1">
      <c r="A3870" s="9" t="s">
        <v>35905</v>
      </c>
      <c r="B3870" s="9" t="s">
        <v>11398</v>
      </c>
      <c r="C3870" s="8" t="s">
        <v>35906</v>
      </c>
      <c r="D3870" s="9" t="b">
        <v>1</v>
      </c>
      <c r="E3870" s="9"/>
    </row>
    <row r="3871" ht="15.75" customHeight="1">
      <c r="A3871" s="9" t="s">
        <v>35907</v>
      </c>
      <c r="B3871" s="9" t="s">
        <v>8842</v>
      </c>
      <c r="C3871" s="8" t="s">
        <v>35908</v>
      </c>
      <c r="D3871" s="9" t="b">
        <v>1</v>
      </c>
      <c r="E3871" s="9"/>
    </row>
    <row r="3872" ht="15.75" customHeight="1">
      <c r="A3872" s="9" t="s">
        <v>35909</v>
      </c>
      <c r="B3872" s="9" t="s">
        <v>7001</v>
      </c>
      <c r="C3872" s="8" t="s">
        <v>35910</v>
      </c>
      <c r="D3872" s="9" t="b">
        <v>1</v>
      </c>
      <c r="E3872" s="9"/>
    </row>
    <row r="3873" ht="15.75" customHeight="1">
      <c r="A3873" s="9" t="s">
        <v>35911</v>
      </c>
      <c r="B3873" s="9" t="s">
        <v>6130</v>
      </c>
      <c r="C3873" s="8" t="s">
        <v>35912</v>
      </c>
      <c r="D3873" s="9" t="b">
        <v>1</v>
      </c>
      <c r="E3873" s="9"/>
    </row>
    <row r="3874" ht="15.75" customHeight="1">
      <c r="A3874" s="9" t="s">
        <v>35913</v>
      </c>
      <c r="B3874" s="9" t="s">
        <v>2767</v>
      </c>
      <c r="C3874" s="8" t="s">
        <v>35914</v>
      </c>
      <c r="D3874" s="9" t="b">
        <v>1</v>
      </c>
      <c r="E3874" s="9"/>
    </row>
    <row r="3875" ht="15.75" customHeight="1">
      <c r="A3875" s="9" t="s">
        <v>35915</v>
      </c>
      <c r="B3875" s="9" t="s">
        <v>5260</v>
      </c>
      <c r="C3875" s="8" t="s">
        <v>35916</v>
      </c>
      <c r="D3875" s="9" t="b">
        <v>1</v>
      </c>
      <c r="E3875" s="9"/>
    </row>
    <row r="3876" ht="15.75" customHeight="1">
      <c r="A3876" s="9" t="s">
        <v>35917</v>
      </c>
      <c r="B3876" s="9" t="s">
        <v>7823</v>
      </c>
      <c r="C3876" s="8" t="s">
        <v>35918</v>
      </c>
      <c r="D3876" s="9" t="b">
        <v>1</v>
      </c>
      <c r="E3876" s="9"/>
    </row>
    <row r="3877" ht="15.75" customHeight="1">
      <c r="A3877" s="9" t="s">
        <v>35919</v>
      </c>
      <c r="B3877" s="9" t="s">
        <v>6605</v>
      </c>
      <c r="C3877" s="8" t="s">
        <v>35920</v>
      </c>
      <c r="D3877" s="9" t="b">
        <v>1</v>
      </c>
      <c r="E3877" s="9"/>
    </row>
    <row r="3878" ht="15.75" customHeight="1">
      <c r="A3878" s="9" t="s">
        <v>35921</v>
      </c>
      <c r="B3878" s="9" t="s">
        <v>9437</v>
      </c>
      <c r="C3878" s="8" t="s">
        <v>35922</v>
      </c>
      <c r="D3878" s="9" t="b">
        <v>1</v>
      </c>
      <c r="E3878" s="9"/>
    </row>
    <row r="3879" ht="15.75" customHeight="1">
      <c r="A3879" s="9" t="s">
        <v>35923</v>
      </c>
      <c r="B3879" s="9" t="s">
        <v>9949</v>
      </c>
      <c r="C3879" s="8" t="s">
        <v>35924</v>
      </c>
      <c r="D3879" s="9" t="b">
        <v>1</v>
      </c>
      <c r="E3879" s="9"/>
    </row>
    <row r="3880" ht="15.75" customHeight="1">
      <c r="A3880" s="9" t="s">
        <v>35925</v>
      </c>
      <c r="B3880" s="9" t="s">
        <v>1747</v>
      </c>
      <c r="C3880" s="8" t="s">
        <v>35926</v>
      </c>
      <c r="D3880" s="9" t="b">
        <v>1</v>
      </c>
      <c r="E3880" s="9"/>
    </row>
    <row r="3881" ht="15.75" customHeight="1">
      <c r="A3881" s="9" t="s">
        <v>35927</v>
      </c>
      <c r="B3881" s="9" t="s">
        <v>10130</v>
      </c>
      <c r="C3881" s="8" t="s">
        <v>35928</v>
      </c>
      <c r="D3881" s="9" t="b">
        <v>0</v>
      </c>
      <c r="E3881" s="9"/>
    </row>
    <row r="3882" ht="15.75" customHeight="1">
      <c r="A3882" s="9" t="s">
        <v>35929</v>
      </c>
      <c r="B3882" s="9" t="s">
        <v>1854</v>
      </c>
      <c r="C3882" s="8" t="s">
        <v>35930</v>
      </c>
      <c r="D3882" s="9" t="b">
        <v>1</v>
      </c>
      <c r="E3882" s="9"/>
    </row>
    <row r="3883" ht="15.75" customHeight="1">
      <c r="A3883" s="9" t="s">
        <v>35931</v>
      </c>
      <c r="B3883" s="9" t="s">
        <v>5748</v>
      </c>
      <c r="C3883" s="8" t="s">
        <v>35932</v>
      </c>
      <c r="D3883" s="9" t="b">
        <v>1</v>
      </c>
      <c r="E3883" s="9"/>
    </row>
    <row r="3884" ht="15.75" customHeight="1">
      <c r="A3884" s="9" t="s">
        <v>35933</v>
      </c>
      <c r="B3884" s="9" t="s">
        <v>11942</v>
      </c>
      <c r="C3884" s="8" t="s">
        <v>35934</v>
      </c>
      <c r="D3884" s="9" t="b">
        <v>1</v>
      </c>
      <c r="E3884" s="9"/>
    </row>
    <row r="3885" ht="15.75" customHeight="1">
      <c r="A3885" s="9" t="s">
        <v>35935</v>
      </c>
      <c r="B3885" s="9" t="s">
        <v>11671</v>
      </c>
      <c r="C3885" s="8" t="s">
        <v>35936</v>
      </c>
      <c r="D3885" s="9" t="b">
        <v>1</v>
      </c>
      <c r="E3885" s="9"/>
    </row>
    <row r="3886" ht="15.75" customHeight="1">
      <c r="A3886" s="9" t="s">
        <v>35937</v>
      </c>
      <c r="B3886" s="9" t="s">
        <v>11652</v>
      </c>
      <c r="C3886" s="8" t="s">
        <v>35938</v>
      </c>
      <c r="D3886" s="9" t="b">
        <v>1</v>
      </c>
      <c r="E3886" s="9"/>
    </row>
    <row r="3887" ht="15.75" customHeight="1">
      <c r="A3887" s="9" t="s">
        <v>35939</v>
      </c>
      <c r="B3887" s="9" t="s">
        <v>741</v>
      </c>
      <c r="C3887" s="8" t="s">
        <v>35940</v>
      </c>
      <c r="D3887" s="9" t="b">
        <v>1</v>
      </c>
      <c r="E3887" s="9"/>
    </row>
    <row r="3888" ht="15.75" customHeight="1">
      <c r="A3888" s="9" t="s">
        <v>35941</v>
      </c>
      <c r="B3888" s="9" t="s">
        <v>8114</v>
      </c>
      <c r="C3888" s="8" t="s">
        <v>35942</v>
      </c>
      <c r="D3888" s="9" t="b">
        <v>0</v>
      </c>
      <c r="E3888" s="9"/>
    </row>
    <row r="3889" ht="15.75" customHeight="1">
      <c r="A3889" s="9" t="s">
        <v>35943</v>
      </c>
      <c r="B3889" s="9" t="s">
        <v>8341</v>
      </c>
      <c r="C3889" s="8" t="s">
        <v>35944</v>
      </c>
      <c r="D3889" s="9" t="b">
        <v>0</v>
      </c>
      <c r="E3889" s="9"/>
    </row>
    <row r="3890" ht="15.75" customHeight="1">
      <c r="A3890" s="9" t="s">
        <v>35945</v>
      </c>
      <c r="B3890" s="9" t="s">
        <v>8977</v>
      </c>
      <c r="C3890" s="8" t="s">
        <v>35946</v>
      </c>
      <c r="D3890" s="9" t="b">
        <v>1</v>
      </c>
      <c r="E3890" s="9"/>
    </row>
    <row r="3891" ht="15.75" customHeight="1">
      <c r="A3891" s="9" t="s">
        <v>35947</v>
      </c>
      <c r="B3891" s="9" t="s">
        <v>6554</v>
      </c>
      <c r="C3891" s="8" t="s">
        <v>35948</v>
      </c>
      <c r="D3891" s="9" t="b">
        <v>0</v>
      </c>
      <c r="E3891" s="9"/>
    </row>
    <row r="3892" ht="15.75" customHeight="1">
      <c r="A3892" s="9"/>
      <c r="B3892" s="9"/>
      <c r="C3892" s="9"/>
      <c r="D3892" s="9"/>
      <c r="E3892" s="9"/>
    </row>
    <row r="3893" ht="15.75" customHeight="1">
      <c r="A3893" s="9" t="s">
        <v>35949</v>
      </c>
      <c r="B3893" s="9" t="s">
        <v>8900</v>
      </c>
      <c r="C3893" s="8" t="s">
        <v>35950</v>
      </c>
      <c r="D3893" s="9" t="b">
        <v>1</v>
      </c>
      <c r="E3893" s="9"/>
    </row>
    <row r="3894" ht="15.75" customHeight="1">
      <c r="A3894" s="9" t="s">
        <v>35951</v>
      </c>
      <c r="B3894" s="9" t="s">
        <v>9619</v>
      </c>
      <c r="C3894" s="8" t="s">
        <v>35952</v>
      </c>
      <c r="D3894" s="9" t="b">
        <v>1</v>
      </c>
      <c r="E3894" s="9"/>
    </row>
    <row r="3895" ht="15.75" customHeight="1">
      <c r="A3895" s="9" t="s">
        <v>35953</v>
      </c>
      <c r="B3895" s="9" t="s">
        <v>9827</v>
      </c>
      <c r="C3895" s="8" t="s">
        <v>35954</v>
      </c>
      <c r="D3895" s="9" t="b">
        <v>1</v>
      </c>
      <c r="E3895" s="9"/>
    </row>
    <row r="3896" ht="15.75" customHeight="1">
      <c r="A3896" s="9" t="s">
        <v>35955</v>
      </c>
      <c r="B3896" s="9" t="s">
        <v>9940</v>
      </c>
      <c r="C3896" s="8" t="s">
        <v>35956</v>
      </c>
      <c r="D3896" s="9" t="b">
        <v>1</v>
      </c>
      <c r="E3896" s="9"/>
    </row>
    <row r="3897" ht="15.75" customHeight="1">
      <c r="A3897" s="9" t="s">
        <v>35957</v>
      </c>
      <c r="B3897" s="9" t="s">
        <v>10180</v>
      </c>
      <c r="C3897" s="8" t="s">
        <v>35958</v>
      </c>
      <c r="D3897" s="9" t="b">
        <v>1</v>
      </c>
      <c r="E3897" s="9"/>
    </row>
    <row r="3898" ht="15.75" customHeight="1">
      <c r="A3898" s="9" t="s">
        <v>35959</v>
      </c>
      <c r="B3898" s="9" t="s">
        <v>9911</v>
      </c>
      <c r="C3898" s="8" t="s">
        <v>35960</v>
      </c>
      <c r="D3898" s="9" t="b">
        <v>1</v>
      </c>
      <c r="E3898" s="9"/>
    </row>
    <row r="3899" ht="15.75" customHeight="1">
      <c r="A3899" s="9" t="s">
        <v>35961</v>
      </c>
      <c r="B3899" s="9" t="s">
        <v>9464</v>
      </c>
      <c r="C3899" s="8" t="s">
        <v>35962</v>
      </c>
      <c r="D3899" s="9" t="b">
        <v>1</v>
      </c>
      <c r="E3899" s="9"/>
    </row>
    <row r="3900" ht="15.75" customHeight="1">
      <c r="A3900" s="9" t="s">
        <v>35963</v>
      </c>
      <c r="B3900" s="9" t="s">
        <v>7348</v>
      </c>
      <c r="C3900" s="8" t="s">
        <v>35964</v>
      </c>
      <c r="D3900" s="9" t="b">
        <v>1</v>
      </c>
      <c r="E3900" s="9"/>
    </row>
    <row r="3901" ht="15.75" customHeight="1">
      <c r="A3901" s="9" t="s">
        <v>35965</v>
      </c>
      <c r="B3901" s="9" t="s">
        <v>4453</v>
      </c>
      <c r="C3901" s="8" t="s">
        <v>35966</v>
      </c>
      <c r="D3901" s="9" t="b">
        <v>1</v>
      </c>
      <c r="E3901" s="9"/>
    </row>
    <row r="3902" ht="15.75" customHeight="1">
      <c r="A3902" s="9" t="s">
        <v>35967</v>
      </c>
      <c r="B3902" s="9" t="s">
        <v>265</v>
      </c>
      <c r="C3902" s="8" t="s">
        <v>35968</v>
      </c>
      <c r="D3902" s="9" t="b">
        <v>1</v>
      </c>
      <c r="E3902" s="9"/>
    </row>
    <row r="3903" ht="15.75" customHeight="1">
      <c r="A3903" s="9" t="s">
        <v>35969</v>
      </c>
      <c r="B3903" s="9" t="s">
        <v>1453</v>
      </c>
      <c r="C3903" s="8" t="s">
        <v>35970</v>
      </c>
      <c r="D3903" s="9" t="b">
        <v>1</v>
      </c>
      <c r="E3903" s="9"/>
    </row>
    <row r="3904" ht="15.75" customHeight="1">
      <c r="A3904" s="9" t="s">
        <v>35971</v>
      </c>
      <c r="B3904" s="9" t="s">
        <v>1470</v>
      </c>
      <c r="C3904" s="8" t="s">
        <v>35972</v>
      </c>
      <c r="D3904" s="9" t="b">
        <v>1</v>
      </c>
      <c r="E3904" s="9"/>
    </row>
    <row r="3905" ht="15.75" customHeight="1">
      <c r="A3905" s="9" t="s">
        <v>35973</v>
      </c>
      <c r="B3905" s="9" t="s">
        <v>8076</v>
      </c>
      <c r="C3905" s="8" t="s">
        <v>35974</v>
      </c>
      <c r="D3905" s="9" t="b">
        <v>1</v>
      </c>
      <c r="E3905" s="9"/>
    </row>
    <row r="3906" ht="15.75" customHeight="1">
      <c r="A3906" s="9" t="s">
        <v>35975</v>
      </c>
      <c r="B3906" s="9" t="s">
        <v>4351</v>
      </c>
      <c r="C3906" s="8" t="s">
        <v>35976</v>
      </c>
      <c r="D3906" s="9" t="b">
        <v>1</v>
      </c>
      <c r="E3906" s="9"/>
    </row>
    <row r="3907" ht="15.75" customHeight="1">
      <c r="A3907" s="9" t="s">
        <v>35977</v>
      </c>
      <c r="B3907" s="9" t="s">
        <v>7089</v>
      </c>
      <c r="C3907" s="8" t="s">
        <v>35978</v>
      </c>
      <c r="D3907" s="9" t="b">
        <v>1</v>
      </c>
      <c r="E3907" s="9"/>
    </row>
    <row r="3908" ht="15.75" customHeight="1">
      <c r="A3908" s="9" t="s">
        <v>35979</v>
      </c>
      <c r="B3908" s="9" t="s">
        <v>11949</v>
      </c>
      <c r="C3908" s="8" t="s">
        <v>35980</v>
      </c>
      <c r="D3908" s="9" t="b">
        <v>0</v>
      </c>
      <c r="E3908" s="9"/>
    </row>
    <row r="3909" ht="15.75" customHeight="1">
      <c r="A3909" s="9" t="s">
        <v>35981</v>
      </c>
      <c r="B3909" s="9" t="s">
        <v>11949</v>
      </c>
      <c r="C3909" s="8" t="s">
        <v>35982</v>
      </c>
      <c r="D3909" s="9" t="b">
        <v>0</v>
      </c>
      <c r="E3909" s="9"/>
    </row>
    <row r="3910" ht="15.75" customHeight="1">
      <c r="A3910" s="9" t="s">
        <v>35983</v>
      </c>
      <c r="B3910" s="9" t="s">
        <v>11949</v>
      </c>
      <c r="C3910" s="8" t="s">
        <v>35984</v>
      </c>
      <c r="D3910" s="9" t="b">
        <v>0</v>
      </c>
      <c r="E3910" s="9"/>
    </row>
    <row r="3911" ht="15.75" customHeight="1">
      <c r="A3911" s="9" t="s">
        <v>35985</v>
      </c>
      <c r="B3911" s="9" t="s">
        <v>11949</v>
      </c>
      <c r="C3911" s="8" t="s">
        <v>35986</v>
      </c>
      <c r="D3911" s="9" t="b">
        <v>0</v>
      </c>
      <c r="E3911" s="9"/>
    </row>
    <row r="3912" ht="15.75" customHeight="1">
      <c r="A3912" s="9" t="s">
        <v>35987</v>
      </c>
      <c r="B3912" s="9" t="s">
        <v>11949</v>
      </c>
      <c r="C3912" s="8" t="s">
        <v>35988</v>
      </c>
      <c r="D3912" s="9" t="b">
        <v>0</v>
      </c>
      <c r="E3912" s="9"/>
    </row>
    <row r="3913" ht="15.75" customHeight="1">
      <c r="A3913" s="9" t="s">
        <v>35989</v>
      </c>
      <c r="B3913" s="9" t="s">
        <v>11949</v>
      </c>
      <c r="C3913" s="8" t="s">
        <v>35990</v>
      </c>
      <c r="D3913" s="9" t="b">
        <v>0</v>
      </c>
      <c r="E3913" s="9"/>
    </row>
    <row r="3914" ht="15.75" customHeight="1">
      <c r="A3914" s="9" t="s">
        <v>35991</v>
      </c>
      <c r="B3914" s="9" t="s">
        <v>2797</v>
      </c>
      <c r="C3914" s="8" t="s">
        <v>35992</v>
      </c>
      <c r="D3914" s="9" t="b">
        <v>1</v>
      </c>
      <c r="E3914" s="9"/>
    </row>
    <row r="3915" ht="15.75" customHeight="1">
      <c r="A3915" s="9" t="s">
        <v>35993</v>
      </c>
      <c r="B3915" s="9" t="s">
        <v>11949</v>
      </c>
      <c r="C3915" s="8" t="s">
        <v>35994</v>
      </c>
      <c r="D3915" s="9" t="b">
        <v>0</v>
      </c>
      <c r="E3915" s="9"/>
    </row>
    <row r="3916" ht="15.75" customHeight="1">
      <c r="A3916" s="9" t="s">
        <v>35995</v>
      </c>
      <c r="B3916" s="9" t="s">
        <v>11949</v>
      </c>
      <c r="C3916" s="8" t="s">
        <v>35996</v>
      </c>
      <c r="D3916" s="9" t="b">
        <v>0</v>
      </c>
      <c r="E3916" s="9"/>
    </row>
    <row r="3917" ht="15.75" customHeight="1">
      <c r="A3917" s="9" t="s">
        <v>35997</v>
      </c>
      <c r="B3917" s="9" t="s">
        <v>11949</v>
      </c>
      <c r="C3917" s="8" t="s">
        <v>35998</v>
      </c>
      <c r="D3917" s="9" t="b">
        <v>0</v>
      </c>
      <c r="E3917" s="9"/>
    </row>
    <row r="3918" ht="15.75" customHeight="1">
      <c r="A3918" s="9" t="s">
        <v>35999</v>
      </c>
      <c r="B3918" s="9" t="s">
        <v>11949</v>
      </c>
      <c r="C3918" s="8" t="s">
        <v>36000</v>
      </c>
      <c r="D3918" s="9" t="b">
        <v>1</v>
      </c>
      <c r="E3918" s="9"/>
    </row>
    <row r="3919" ht="15.75" customHeight="1">
      <c r="A3919" s="9" t="s">
        <v>36001</v>
      </c>
      <c r="B3919" s="9" t="s">
        <v>4985</v>
      </c>
      <c r="C3919" s="8" t="s">
        <v>36002</v>
      </c>
      <c r="D3919" s="9" t="b">
        <v>1</v>
      </c>
      <c r="E3919" s="9"/>
    </row>
    <row r="3920" ht="15.75" customHeight="1">
      <c r="A3920" s="9" t="s">
        <v>36003</v>
      </c>
      <c r="B3920" s="9" t="s">
        <v>11949</v>
      </c>
      <c r="C3920" s="8" t="s">
        <v>36004</v>
      </c>
      <c r="D3920" s="9" t="b">
        <v>0</v>
      </c>
      <c r="E3920" s="9"/>
    </row>
    <row r="3921" ht="15.75" customHeight="1">
      <c r="A3921" s="9" t="s">
        <v>36005</v>
      </c>
      <c r="B3921" s="9" t="s">
        <v>11949</v>
      </c>
      <c r="C3921" s="8" t="s">
        <v>36006</v>
      </c>
      <c r="D3921" s="9" t="b">
        <v>0</v>
      </c>
      <c r="E3921" s="9"/>
    </row>
    <row r="3922" ht="15.75" customHeight="1">
      <c r="A3922" s="9" t="s">
        <v>36007</v>
      </c>
      <c r="B3922" s="9" t="s">
        <v>6501</v>
      </c>
      <c r="C3922" s="8" t="s">
        <v>36008</v>
      </c>
      <c r="D3922" s="9" t="b">
        <v>1</v>
      </c>
      <c r="E3922" s="9"/>
    </row>
    <row r="3923" ht="15.75" customHeight="1">
      <c r="A3923" s="9" t="s">
        <v>36009</v>
      </c>
      <c r="B3923" s="9" t="s">
        <v>11949</v>
      </c>
      <c r="C3923" s="8" t="s">
        <v>36010</v>
      </c>
      <c r="D3923" s="9" t="b">
        <v>0</v>
      </c>
      <c r="E3923" s="9"/>
    </row>
    <row r="3924" ht="15.75" customHeight="1">
      <c r="A3924" s="9" t="s">
        <v>36011</v>
      </c>
      <c r="B3924" s="9" t="s">
        <v>11949</v>
      </c>
      <c r="C3924" s="8" t="s">
        <v>36012</v>
      </c>
      <c r="D3924" s="9" t="b">
        <v>0</v>
      </c>
      <c r="E3924" s="9"/>
    </row>
    <row r="3925" ht="15.75" customHeight="1">
      <c r="A3925" s="9" t="s">
        <v>36013</v>
      </c>
      <c r="B3925" s="9" t="s">
        <v>271</v>
      </c>
      <c r="C3925" s="8" t="s">
        <v>36014</v>
      </c>
      <c r="D3925" s="9" t="b">
        <v>1</v>
      </c>
      <c r="E3925" s="9"/>
    </row>
    <row r="3926" ht="15.75" customHeight="1">
      <c r="A3926" s="9" t="s">
        <v>36015</v>
      </c>
      <c r="B3926" s="52" t="s">
        <v>20037</v>
      </c>
      <c r="C3926" s="8" t="s">
        <v>36016</v>
      </c>
      <c r="D3926" s="9" t="b">
        <v>1</v>
      </c>
      <c r="E3926" s="9"/>
    </row>
    <row r="3927" ht="15.75" customHeight="1">
      <c r="A3927" s="9" t="s">
        <v>36017</v>
      </c>
      <c r="B3927" s="9" t="s">
        <v>12120</v>
      </c>
      <c r="C3927" s="8" t="s">
        <v>36018</v>
      </c>
      <c r="D3927" s="9" t="b">
        <v>1</v>
      </c>
      <c r="E3927" s="9"/>
    </row>
    <row r="3928" ht="15.75" customHeight="1">
      <c r="A3928" s="9" t="s">
        <v>36019</v>
      </c>
      <c r="B3928" s="9" t="s">
        <v>11633</v>
      </c>
      <c r="C3928" s="8" t="s">
        <v>36020</v>
      </c>
      <c r="D3928" s="9" t="b">
        <v>1</v>
      </c>
      <c r="E3928" s="9"/>
    </row>
    <row r="3929" ht="15.75" customHeight="1">
      <c r="A3929" s="9" t="s">
        <v>36021</v>
      </c>
      <c r="B3929" s="9" t="s">
        <v>12162</v>
      </c>
      <c r="C3929" s="8" t="s">
        <v>36022</v>
      </c>
      <c r="D3929" s="9" t="b">
        <v>1</v>
      </c>
      <c r="E3929" s="9"/>
    </row>
    <row r="3930" ht="15.75" customHeight="1">
      <c r="A3930" s="9" t="s">
        <v>36023</v>
      </c>
      <c r="B3930" s="9" t="s">
        <v>8910</v>
      </c>
      <c r="C3930" s="8" t="s">
        <v>36024</v>
      </c>
      <c r="D3930" s="9" t="b">
        <v>0</v>
      </c>
      <c r="E3930" s="9"/>
    </row>
    <row r="3931" ht="15.75" customHeight="1">
      <c r="A3931" s="9" t="s">
        <v>36025</v>
      </c>
      <c r="B3931" s="9" t="s">
        <v>8910</v>
      </c>
      <c r="C3931" s="8" t="s">
        <v>36026</v>
      </c>
      <c r="D3931" s="9" t="b">
        <v>0</v>
      </c>
      <c r="E3931" s="9"/>
    </row>
    <row r="3932" ht="15.75" customHeight="1">
      <c r="A3932" s="9" t="s">
        <v>36027</v>
      </c>
      <c r="B3932" s="9" t="s">
        <v>8910</v>
      </c>
      <c r="C3932" s="8" t="s">
        <v>36028</v>
      </c>
      <c r="D3932" s="9" t="b">
        <v>0</v>
      </c>
      <c r="E3932" s="9"/>
    </row>
    <row r="3933" ht="15.75" customHeight="1">
      <c r="A3933" s="9" t="s">
        <v>36029</v>
      </c>
      <c r="B3933" s="9" t="s">
        <v>8910</v>
      </c>
      <c r="C3933" s="8" t="s">
        <v>36030</v>
      </c>
      <c r="D3933" s="9" t="b">
        <v>1</v>
      </c>
      <c r="E3933" s="9"/>
    </row>
    <row r="3934" ht="15.75" customHeight="1">
      <c r="A3934" s="9" t="s">
        <v>36031</v>
      </c>
      <c r="B3934" s="9" t="s">
        <v>8910</v>
      </c>
      <c r="C3934" s="8" t="s">
        <v>36032</v>
      </c>
      <c r="D3934" s="9" t="b">
        <v>0</v>
      </c>
      <c r="E3934" s="9"/>
    </row>
    <row r="3935" ht="15.75" customHeight="1">
      <c r="A3935" s="9" t="s">
        <v>36033</v>
      </c>
      <c r="B3935" s="9" t="s">
        <v>8910</v>
      </c>
      <c r="C3935" s="8" t="s">
        <v>36034</v>
      </c>
      <c r="D3935" s="9" t="b">
        <v>0</v>
      </c>
      <c r="E3935" s="9"/>
    </row>
    <row r="3936" ht="15.75" customHeight="1">
      <c r="A3936" s="52" t="s">
        <v>36035</v>
      </c>
      <c r="B3936" s="9" t="s">
        <v>8910</v>
      </c>
      <c r="C3936" s="8" t="s">
        <v>36036</v>
      </c>
      <c r="D3936" s="9" t="b">
        <v>0</v>
      </c>
      <c r="E3936" s="9"/>
    </row>
    <row r="3937" ht="15.75" customHeight="1">
      <c r="A3937" s="9" t="s">
        <v>36037</v>
      </c>
      <c r="B3937" s="9" t="s">
        <v>8910</v>
      </c>
      <c r="C3937" s="8" t="s">
        <v>36038</v>
      </c>
      <c r="D3937" s="9" t="b">
        <v>0</v>
      </c>
      <c r="E3937" s="9"/>
    </row>
    <row r="3938" ht="15.75" customHeight="1">
      <c r="A3938" s="9" t="s">
        <v>36039</v>
      </c>
      <c r="B3938" s="9" t="s">
        <v>8910</v>
      </c>
      <c r="C3938" s="8" t="s">
        <v>36040</v>
      </c>
      <c r="D3938" s="9" t="b">
        <v>0</v>
      </c>
      <c r="E3938" s="9"/>
    </row>
    <row r="3939" ht="15.75" customHeight="1">
      <c r="A3939" s="9" t="s">
        <v>36041</v>
      </c>
      <c r="B3939" s="9" t="s">
        <v>8910</v>
      </c>
      <c r="C3939" s="8" t="s">
        <v>36042</v>
      </c>
      <c r="D3939" s="9" t="b">
        <v>0</v>
      </c>
      <c r="E3939" s="9"/>
    </row>
    <row r="3940" ht="15.75" customHeight="1">
      <c r="A3940" s="9" t="s">
        <v>36043</v>
      </c>
      <c r="B3940" s="9" t="s">
        <v>8910</v>
      </c>
      <c r="C3940" s="8" t="s">
        <v>36044</v>
      </c>
      <c r="D3940" s="9" t="b">
        <v>0</v>
      </c>
      <c r="E3940" s="9"/>
    </row>
    <row r="3941" ht="15.75" customHeight="1">
      <c r="A3941" s="9" t="s">
        <v>36045</v>
      </c>
      <c r="B3941" s="9" t="s">
        <v>8910</v>
      </c>
      <c r="C3941" s="8" t="s">
        <v>36046</v>
      </c>
      <c r="D3941" s="9" t="b">
        <v>0</v>
      </c>
      <c r="E3941" s="9"/>
    </row>
    <row r="3942" ht="15.75" customHeight="1">
      <c r="A3942" s="9" t="s">
        <v>36047</v>
      </c>
      <c r="B3942" s="9" t="s">
        <v>9478</v>
      </c>
      <c r="C3942" s="8" t="s">
        <v>36048</v>
      </c>
      <c r="D3942" s="9" t="b">
        <v>1</v>
      </c>
      <c r="E3942" s="9"/>
    </row>
    <row r="3943" ht="15.75" customHeight="1">
      <c r="A3943" s="9" t="s">
        <v>36049</v>
      </c>
      <c r="B3943" s="9" t="s">
        <v>6513</v>
      </c>
      <c r="C3943" s="8" t="s">
        <v>36050</v>
      </c>
      <c r="D3943" s="9" t="b">
        <v>1</v>
      </c>
      <c r="E3943" s="9"/>
    </row>
    <row r="3944" ht="15.75" customHeight="1">
      <c r="A3944" s="9" t="s">
        <v>36051</v>
      </c>
      <c r="B3944" s="9" t="s">
        <v>9206</v>
      </c>
      <c r="C3944" s="8" t="s">
        <v>36052</v>
      </c>
      <c r="D3944" s="9" t="b">
        <v>1</v>
      </c>
      <c r="E3944" s="9"/>
    </row>
    <row r="3945" ht="15.75" customHeight="1">
      <c r="A3945" s="9" t="s">
        <v>36053</v>
      </c>
      <c r="B3945" s="9" t="s">
        <v>9657</v>
      </c>
      <c r="C3945" s="8" t="s">
        <v>36054</v>
      </c>
      <c r="D3945" s="9" t="b">
        <v>1</v>
      </c>
      <c r="E3945" s="9"/>
    </row>
    <row r="3946" ht="15.75" customHeight="1">
      <c r="A3946" s="9" t="s">
        <v>36055</v>
      </c>
      <c r="B3946" s="9" t="s">
        <v>11748</v>
      </c>
      <c r="C3946" s="8" t="s">
        <v>36056</v>
      </c>
      <c r="D3946" s="9" t="b">
        <v>0</v>
      </c>
      <c r="E3946" s="9"/>
    </row>
    <row r="3947" ht="15.75" customHeight="1">
      <c r="A3947" s="9" t="s">
        <v>36057</v>
      </c>
      <c r="B3947" s="9" t="s">
        <v>7714</v>
      </c>
      <c r="C3947" s="8" t="s">
        <v>36058</v>
      </c>
      <c r="D3947" s="9" t="b">
        <v>1</v>
      </c>
      <c r="E3947" s="9"/>
    </row>
    <row r="3948" ht="15.75" customHeight="1">
      <c r="A3948" s="9" t="s">
        <v>36059</v>
      </c>
      <c r="B3948" s="9" t="s">
        <v>2876</v>
      </c>
      <c r="C3948" s="8" t="s">
        <v>36060</v>
      </c>
      <c r="D3948" s="9" t="b">
        <v>1</v>
      </c>
      <c r="E3948" s="9"/>
    </row>
    <row r="3949" ht="15.75" customHeight="1">
      <c r="A3949" s="9" t="s">
        <v>36061</v>
      </c>
      <c r="B3949" s="9" t="s">
        <v>5563</v>
      </c>
      <c r="C3949" s="8" t="s">
        <v>36062</v>
      </c>
      <c r="D3949" s="9" t="b">
        <v>1</v>
      </c>
      <c r="E3949" s="9"/>
    </row>
    <row r="3950" ht="15.75" customHeight="1">
      <c r="A3950" s="9" t="s">
        <v>36063</v>
      </c>
      <c r="B3950" s="9" t="s">
        <v>9032</v>
      </c>
      <c r="C3950" s="8" t="s">
        <v>36064</v>
      </c>
      <c r="D3950" s="9" t="b">
        <v>1</v>
      </c>
      <c r="E3950" s="9"/>
    </row>
    <row r="3951" ht="15.75" customHeight="1">
      <c r="A3951" s="9" t="s">
        <v>36065</v>
      </c>
      <c r="B3951" s="9" t="s">
        <v>7249</v>
      </c>
      <c r="C3951" s="8" t="s">
        <v>36066</v>
      </c>
      <c r="D3951" s="9" t="b">
        <v>1</v>
      </c>
      <c r="E3951" s="9"/>
    </row>
    <row r="3952" ht="15.75" customHeight="1">
      <c r="A3952" s="9" t="s">
        <v>36067</v>
      </c>
      <c r="B3952" s="9" t="s">
        <v>3227</v>
      </c>
      <c r="C3952" s="8" t="s">
        <v>36068</v>
      </c>
      <c r="D3952" s="9" t="b">
        <v>1</v>
      </c>
      <c r="E3952" s="9"/>
    </row>
    <row r="3953" ht="15.75" customHeight="1">
      <c r="A3953" s="9" t="s">
        <v>36069</v>
      </c>
      <c r="B3953" s="9" t="s">
        <v>3203</v>
      </c>
      <c r="C3953" s="8" t="s">
        <v>36070</v>
      </c>
      <c r="D3953" s="9" t="b">
        <v>1</v>
      </c>
      <c r="E3953" s="9"/>
    </row>
    <row r="3954" ht="15.75" customHeight="1">
      <c r="A3954" s="9" t="s">
        <v>36071</v>
      </c>
      <c r="B3954" s="9" t="s">
        <v>2219</v>
      </c>
      <c r="C3954" s="8" t="s">
        <v>36072</v>
      </c>
      <c r="D3954" s="9" t="b">
        <v>1</v>
      </c>
      <c r="E3954" s="9"/>
    </row>
    <row r="3955" ht="15.75" customHeight="1">
      <c r="A3955" s="9" t="s">
        <v>36073</v>
      </c>
      <c r="B3955" s="9" t="s">
        <v>2234</v>
      </c>
      <c r="C3955" s="8" t="s">
        <v>36074</v>
      </c>
      <c r="D3955" s="9" t="b">
        <v>1</v>
      </c>
      <c r="E3955" s="9"/>
    </row>
    <row r="3956" ht="15.75" customHeight="1">
      <c r="A3956" s="9" t="s">
        <v>36075</v>
      </c>
      <c r="B3956" s="9" t="s">
        <v>9970</v>
      </c>
      <c r="C3956" s="8" t="s">
        <v>36076</v>
      </c>
      <c r="D3956" s="9" t="b">
        <v>1</v>
      </c>
      <c r="E3956" s="9"/>
    </row>
    <row r="3957" ht="15.75" customHeight="1">
      <c r="A3957" s="9" t="s">
        <v>36077</v>
      </c>
      <c r="B3957" s="9" t="s">
        <v>8858</v>
      </c>
      <c r="C3957" s="8" t="s">
        <v>36078</v>
      </c>
      <c r="D3957" s="9" t="b">
        <v>1</v>
      </c>
      <c r="E3957" s="9"/>
    </row>
    <row r="3958" ht="15.75" customHeight="1">
      <c r="A3958" s="9" t="s">
        <v>36079</v>
      </c>
      <c r="B3958" s="9" t="s">
        <v>10380</v>
      </c>
      <c r="C3958" s="8" t="s">
        <v>36080</v>
      </c>
      <c r="D3958" s="9" t="b">
        <v>0</v>
      </c>
      <c r="E3958" s="9"/>
    </row>
    <row r="3959" ht="15.75" customHeight="1">
      <c r="A3959" s="9" t="s">
        <v>36081</v>
      </c>
      <c r="B3959" s="9" t="s">
        <v>9080</v>
      </c>
      <c r="C3959" s="8" t="s">
        <v>36082</v>
      </c>
      <c r="D3959" s="9" t="b">
        <v>1</v>
      </c>
      <c r="E3959" s="9"/>
    </row>
    <row r="3960" ht="15.75" customHeight="1">
      <c r="A3960" s="9" t="s">
        <v>36083</v>
      </c>
      <c r="B3960" s="9" t="s">
        <v>8100</v>
      </c>
      <c r="C3960" s="8" t="s">
        <v>36084</v>
      </c>
      <c r="D3960" s="9" t="b">
        <v>1</v>
      </c>
      <c r="E3960" s="9"/>
    </row>
    <row r="3961" ht="15.75" customHeight="1">
      <c r="A3961" s="9" t="s">
        <v>36085</v>
      </c>
      <c r="B3961" s="9" t="s">
        <v>9350</v>
      </c>
      <c r="C3961" s="8" t="s">
        <v>36086</v>
      </c>
      <c r="D3961" s="9" t="b">
        <v>1</v>
      </c>
      <c r="E3961" s="9"/>
    </row>
    <row r="3962" ht="15.75" customHeight="1">
      <c r="A3962" s="9" t="s">
        <v>36087</v>
      </c>
      <c r="B3962" s="9" t="s">
        <v>11717</v>
      </c>
      <c r="C3962" s="8" t="s">
        <v>36088</v>
      </c>
      <c r="D3962" s="9" t="b">
        <v>1</v>
      </c>
      <c r="E3962" s="9"/>
    </row>
    <row r="3963" ht="15.75" customHeight="1">
      <c r="A3963" s="9" t="s">
        <v>36089</v>
      </c>
      <c r="B3963" s="9" t="s">
        <v>8380</v>
      </c>
      <c r="C3963" s="8" t="s">
        <v>36090</v>
      </c>
      <c r="D3963" s="9" t="b">
        <v>1</v>
      </c>
      <c r="E3963" s="9"/>
    </row>
    <row r="3964" ht="15.75" customHeight="1">
      <c r="A3964" s="9" t="s">
        <v>36091</v>
      </c>
      <c r="B3964" s="9" t="s">
        <v>3221</v>
      </c>
      <c r="C3964" s="8" t="s">
        <v>36092</v>
      </c>
      <c r="D3964" s="9" t="b">
        <v>1</v>
      </c>
      <c r="E3964" s="9"/>
    </row>
    <row r="3965" ht="15.75" customHeight="1">
      <c r="A3965" s="9" t="s">
        <v>36093</v>
      </c>
      <c r="B3965" s="9" t="s">
        <v>2009</v>
      </c>
      <c r="C3965" s="8" t="s">
        <v>36094</v>
      </c>
      <c r="D3965" s="9" t="b">
        <v>1</v>
      </c>
      <c r="E3965" s="9"/>
    </row>
    <row r="3966" ht="15.75" customHeight="1">
      <c r="A3966" s="9" t="s">
        <v>36095</v>
      </c>
      <c r="B3966" s="9" t="s">
        <v>9958</v>
      </c>
      <c r="C3966" s="8" t="s">
        <v>36096</v>
      </c>
      <c r="D3966" s="9" t="b">
        <v>1</v>
      </c>
      <c r="E3966" s="9"/>
    </row>
    <row r="3967" ht="15.75" customHeight="1">
      <c r="A3967" s="9" t="s">
        <v>36097</v>
      </c>
      <c r="B3967" s="9" t="s">
        <v>6880</v>
      </c>
      <c r="C3967" s="8" t="s">
        <v>36098</v>
      </c>
      <c r="D3967" s="9" t="b">
        <v>1</v>
      </c>
      <c r="E3967" s="9"/>
    </row>
    <row r="3968" ht="15.75" customHeight="1">
      <c r="A3968" s="9" t="s">
        <v>36099</v>
      </c>
      <c r="B3968" s="9" t="s">
        <v>9310</v>
      </c>
      <c r="C3968" s="8" t="s">
        <v>36100</v>
      </c>
      <c r="D3968" s="9" t="b">
        <v>1</v>
      </c>
      <c r="E3968" s="9"/>
    </row>
    <row r="3969" ht="15.75" customHeight="1">
      <c r="A3969" s="9"/>
      <c r="B3969" s="9"/>
      <c r="C3969" s="9"/>
      <c r="D3969" s="9"/>
      <c r="E3969" s="9"/>
    </row>
    <row r="3970" ht="15.75" customHeight="1">
      <c r="A3970" s="9" t="s">
        <v>36101</v>
      </c>
      <c r="B3970" s="9" t="s">
        <v>11851</v>
      </c>
      <c r="C3970" s="8" t="s">
        <v>36102</v>
      </c>
      <c r="D3970" s="9" t="b">
        <v>1</v>
      </c>
      <c r="E3970" s="9"/>
    </row>
    <row r="3971" ht="15.75" customHeight="1">
      <c r="A3971" s="9" t="s">
        <v>36103</v>
      </c>
      <c r="B3971" s="9" t="s">
        <v>11851</v>
      </c>
      <c r="C3971" s="8" t="s">
        <v>36104</v>
      </c>
      <c r="D3971" s="9" t="b">
        <v>0</v>
      </c>
      <c r="E3971" s="9"/>
    </row>
    <row r="3972" ht="15.75" customHeight="1">
      <c r="A3972" s="9" t="s">
        <v>36105</v>
      </c>
      <c r="B3972" s="9" t="s">
        <v>10238</v>
      </c>
      <c r="C3972" s="8" t="s">
        <v>36106</v>
      </c>
      <c r="D3972" s="9" t="b">
        <v>1</v>
      </c>
      <c r="E3972" s="9"/>
    </row>
    <row r="3973" ht="15.75" customHeight="1">
      <c r="A3973" s="9" t="s">
        <v>36107</v>
      </c>
      <c r="B3973" s="9" t="s">
        <v>10240</v>
      </c>
      <c r="C3973" s="8" t="s">
        <v>36108</v>
      </c>
      <c r="D3973" s="9" t="b">
        <v>1</v>
      </c>
      <c r="E3973" s="9"/>
    </row>
    <row r="3974" ht="15.75" customHeight="1">
      <c r="A3974" s="9" t="s">
        <v>36109</v>
      </c>
      <c r="B3974" s="9" t="s">
        <v>10467</v>
      </c>
      <c r="C3974" s="8" t="s">
        <v>36110</v>
      </c>
      <c r="D3974" s="9" t="b">
        <v>1</v>
      </c>
      <c r="E3974" s="9"/>
    </row>
    <row r="3975" ht="15.75" customHeight="1">
      <c r="A3975" s="9" t="s">
        <v>36111</v>
      </c>
      <c r="B3975" s="9" t="s">
        <v>9590</v>
      </c>
      <c r="C3975" s="8" t="s">
        <v>36112</v>
      </c>
      <c r="D3975" s="9" t="b">
        <v>1</v>
      </c>
      <c r="E3975" s="9"/>
    </row>
    <row r="3976" ht="15.75" customHeight="1">
      <c r="A3976" s="9" t="s">
        <v>36113</v>
      </c>
      <c r="B3976" s="9" t="s">
        <v>8512</v>
      </c>
      <c r="C3976" s="8" t="s">
        <v>36114</v>
      </c>
      <c r="D3976" s="9" t="b">
        <v>1</v>
      </c>
      <c r="E3976" s="9"/>
    </row>
    <row r="3977" ht="15.75" customHeight="1">
      <c r="A3977" s="9" t="s">
        <v>36115</v>
      </c>
      <c r="B3977" s="9" t="s">
        <v>8755</v>
      </c>
      <c r="C3977" s="8" t="s">
        <v>36116</v>
      </c>
      <c r="D3977" s="9" t="b">
        <v>1</v>
      </c>
      <c r="E3977" s="9"/>
    </row>
    <row r="3978" ht="15.75" customHeight="1">
      <c r="A3978" s="9" t="s">
        <v>36117</v>
      </c>
      <c r="B3978" s="9" t="s">
        <v>9339</v>
      </c>
      <c r="C3978" s="8" t="s">
        <v>36118</v>
      </c>
      <c r="D3978" s="9" t="b">
        <v>1</v>
      </c>
      <c r="E3978" s="9"/>
    </row>
    <row r="3979" ht="15.75" customHeight="1">
      <c r="A3979" s="9" t="s">
        <v>36119</v>
      </c>
      <c r="B3979" s="9" t="s">
        <v>273</v>
      </c>
      <c r="C3979" s="8" t="s">
        <v>36120</v>
      </c>
      <c r="D3979" s="9" t="b">
        <v>1</v>
      </c>
      <c r="E3979" s="9"/>
    </row>
    <row r="3980" ht="15.75" customHeight="1">
      <c r="A3980" s="9" t="s">
        <v>36121</v>
      </c>
      <c r="B3980" s="9" t="s">
        <v>8540</v>
      </c>
      <c r="C3980" s="8" t="s">
        <v>36122</v>
      </c>
      <c r="D3980" s="9" t="b">
        <v>1</v>
      </c>
      <c r="E3980" s="9"/>
    </row>
    <row r="3981" ht="15.75" customHeight="1">
      <c r="A3981" s="9" t="s">
        <v>36123</v>
      </c>
      <c r="B3981" s="9" t="s">
        <v>9375</v>
      </c>
      <c r="C3981" s="8" t="s">
        <v>36124</v>
      </c>
      <c r="D3981" s="9" t="b">
        <v>1</v>
      </c>
      <c r="E3981" s="9"/>
    </row>
    <row r="3982" ht="15.75" customHeight="1">
      <c r="A3982" s="9" t="s">
        <v>36125</v>
      </c>
      <c r="B3982" s="9" t="s">
        <v>9564</v>
      </c>
      <c r="C3982" s="8" t="s">
        <v>36126</v>
      </c>
      <c r="D3982" s="9" t="b">
        <v>1</v>
      </c>
      <c r="E3982" s="9"/>
    </row>
    <row r="3983" ht="15.75" customHeight="1">
      <c r="A3983" s="9" t="s">
        <v>36127</v>
      </c>
      <c r="B3983" s="9" t="s">
        <v>9603</v>
      </c>
      <c r="C3983" s="8" t="s">
        <v>36128</v>
      </c>
      <c r="D3983" s="9" t="b">
        <v>1</v>
      </c>
      <c r="E3983" s="9"/>
    </row>
    <row r="3984" ht="15.75" customHeight="1">
      <c r="A3984" s="9" t="s">
        <v>36129</v>
      </c>
      <c r="B3984" s="9" t="s">
        <v>9688</v>
      </c>
      <c r="C3984" s="8" t="s">
        <v>36130</v>
      </c>
      <c r="D3984" s="9" t="b">
        <v>1</v>
      </c>
      <c r="E3984" s="9"/>
    </row>
    <row r="3985" ht="15.75" customHeight="1">
      <c r="A3985" s="9" t="s">
        <v>36131</v>
      </c>
      <c r="B3985" s="9" t="s">
        <v>9736</v>
      </c>
      <c r="C3985" s="8" t="s">
        <v>36132</v>
      </c>
      <c r="D3985" s="9" t="b">
        <v>1</v>
      </c>
      <c r="E3985" s="9"/>
    </row>
    <row r="3986" ht="15.75" customHeight="1">
      <c r="A3986" s="9" t="s">
        <v>36133</v>
      </c>
      <c r="B3986" s="9" t="s">
        <v>10014</v>
      </c>
      <c r="C3986" s="8" t="s">
        <v>36134</v>
      </c>
      <c r="D3986" s="9" t="b">
        <v>1</v>
      </c>
      <c r="E3986" s="9"/>
    </row>
    <row r="3987" ht="15.75" customHeight="1">
      <c r="A3987" s="9" t="s">
        <v>36135</v>
      </c>
      <c r="B3987" s="9" t="s">
        <v>12033</v>
      </c>
      <c r="C3987" s="8" t="s">
        <v>36136</v>
      </c>
      <c r="D3987" s="9" t="b">
        <v>1</v>
      </c>
      <c r="E3987" s="9"/>
    </row>
    <row r="3988" ht="15.75" customHeight="1">
      <c r="A3988" s="9" t="s">
        <v>36137</v>
      </c>
      <c r="B3988" s="9" t="s">
        <v>7157</v>
      </c>
      <c r="C3988" s="8" t="s">
        <v>36138</v>
      </c>
      <c r="D3988" s="9" t="b">
        <v>1</v>
      </c>
      <c r="E3988" s="9"/>
    </row>
    <row r="3989" ht="15.75" customHeight="1">
      <c r="A3989" s="9" t="s">
        <v>36139</v>
      </c>
      <c r="B3989" s="9" t="s">
        <v>627</v>
      </c>
      <c r="C3989" s="8" t="s">
        <v>36140</v>
      </c>
      <c r="D3989" s="9" t="b">
        <v>1</v>
      </c>
      <c r="E3989" s="9"/>
    </row>
    <row r="3990" ht="15.75" customHeight="1">
      <c r="A3990" s="9" t="s">
        <v>36141</v>
      </c>
      <c r="B3990" s="9" t="s">
        <v>7689</v>
      </c>
      <c r="C3990" s="8" t="s">
        <v>36142</v>
      </c>
      <c r="D3990" s="9" t="b">
        <v>1</v>
      </c>
      <c r="E3990" s="9"/>
    </row>
    <row r="3991" ht="15.75" customHeight="1">
      <c r="A3991" s="9" t="s">
        <v>36143</v>
      </c>
      <c r="B3991" s="9" t="s">
        <v>3009</v>
      </c>
      <c r="C3991" s="8" t="s">
        <v>36144</v>
      </c>
      <c r="D3991" s="9" t="b">
        <v>1</v>
      </c>
      <c r="E3991" s="9"/>
    </row>
    <row r="3992" ht="15.75" customHeight="1">
      <c r="A3992" s="9" t="s">
        <v>36145</v>
      </c>
      <c r="B3992" s="9" t="s">
        <v>2301</v>
      </c>
      <c r="C3992" s="8" t="s">
        <v>36146</v>
      </c>
      <c r="D3992" s="9" t="b">
        <v>1</v>
      </c>
      <c r="E3992" s="9"/>
    </row>
    <row r="3993" ht="15.75" customHeight="1">
      <c r="A3993" s="9" t="s">
        <v>36147</v>
      </c>
      <c r="B3993" s="9" t="s">
        <v>3018</v>
      </c>
      <c r="C3993" s="8" t="s">
        <v>36148</v>
      </c>
      <c r="D3993" s="9" t="b">
        <v>1</v>
      </c>
      <c r="E3993" s="9"/>
    </row>
    <row r="3994" ht="15.75" customHeight="1">
      <c r="A3994" s="9" t="s">
        <v>36149</v>
      </c>
      <c r="B3994" s="9" t="s">
        <v>1188</v>
      </c>
      <c r="C3994" s="8" t="s">
        <v>36150</v>
      </c>
      <c r="D3994" s="9" t="b">
        <v>1</v>
      </c>
      <c r="E3994" s="9"/>
    </row>
    <row r="3995" ht="15.75" customHeight="1">
      <c r="A3995" s="9" t="s">
        <v>36151</v>
      </c>
      <c r="B3995" s="9" t="s">
        <v>2354</v>
      </c>
      <c r="C3995" s="8" t="s">
        <v>36152</v>
      </c>
      <c r="D3995" s="9" t="b">
        <v>1</v>
      </c>
      <c r="E3995" s="9"/>
    </row>
    <row r="3996" ht="15.75" customHeight="1">
      <c r="A3996" s="9" t="s">
        <v>36153</v>
      </c>
      <c r="B3996" s="9" t="s">
        <v>8060</v>
      </c>
      <c r="C3996" s="8" t="s">
        <v>36154</v>
      </c>
      <c r="D3996" s="9" t="b">
        <v>1</v>
      </c>
      <c r="E3996" s="9"/>
    </row>
    <row r="3997" ht="15.75" customHeight="1">
      <c r="A3997" s="9" t="s">
        <v>36155</v>
      </c>
      <c r="B3997" s="9" t="s">
        <v>3314</v>
      </c>
      <c r="C3997" s="8" t="s">
        <v>36156</v>
      </c>
      <c r="D3997" s="9" t="b">
        <v>1</v>
      </c>
      <c r="E3997" s="9"/>
    </row>
    <row r="3998" ht="15.75" customHeight="1">
      <c r="A3998" s="9" t="s">
        <v>36157</v>
      </c>
      <c r="B3998" s="9" t="s">
        <v>7909</v>
      </c>
      <c r="C3998" s="8" t="s">
        <v>36158</v>
      </c>
      <c r="D3998" s="9" t="b">
        <v>1</v>
      </c>
      <c r="E3998" s="9"/>
    </row>
    <row r="3999" ht="15.75" customHeight="1">
      <c r="A3999" s="9" t="s">
        <v>36159</v>
      </c>
      <c r="B3999" s="9" t="s">
        <v>5519</v>
      </c>
      <c r="C3999" s="8" t="s">
        <v>36160</v>
      </c>
      <c r="D3999" s="9" t="b">
        <v>1</v>
      </c>
      <c r="E3999" s="9"/>
    </row>
    <row r="4000" ht="15.75" customHeight="1">
      <c r="A4000" s="9" t="s">
        <v>36161</v>
      </c>
      <c r="B4000" s="9" t="s">
        <v>5345</v>
      </c>
      <c r="C4000" s="8" t="s">
        <v>36162</v>
      </c>
      <c r="D4000" s="9" t="b">
        <v>1</v>
      </c>
      <c r="E4000" s="9"/>
    </row>
    <row r="4001" ht="15.75" customHeight="1">
      <c r="A4001" s="9" t="s">
        <v>36163</v>
      </c>
      <c r="B4001" s="9" t="s">
        <v>11400</v>
      </c>
      <c r="C4001" s="8" t="s">
        <v>36164</v>
      </c>
      <c r="D4001" s="9" t="b">
        <v>0</v>
      </c>
      <c r="E4001" s="9"/>
    </row>
    <row r="4002" ht="15.75" customHeight="1">
      <c r="A4002" s="9" t="s">
        <v>36165</v>
      </c>
      <c r="B4002" s="9" t="s">
        <v>7678</v>
      </c>
      <c r="C4002" s="8" t="s">
        <v>36166</v>
      </c>
      <c r="D4002" s="9" t="b">
        <v>1</v>
      </c>
      <c r="E4002" s="9"/>
    </row>
    <row r="4003" ht="15.75" customHeight="1">
      <c r="A4003" s="9" t="s">
        <v>36167</v>
      </c>
      <c r="B4003" s="9" t="s">
        <v>11400</v>
      </c>
      <c r="C4003" s="8" t="s">
        <v>36168</v>
      </c>
      <c r="D4003" s="9" t="b">
        <v>0</v>
      </c>
      <c r="E4003" s="9"/>
    </row>
    <row r="4004" ht="15.75" customHeight="1">
      <c r="A4004" s="9" t="s">
        <v>36169</v>
      </c>
      <c r="B4004" s="9" t="s">
        <v>11400</v>
      </c>
      <c r="C4004" s="8" t="s">
        <v>36170</v>
      </c>
      <c r="D4004" s="9" t="b">
        <v>0</v>
      </c>
      <c r="E4004" s="9"/>
    </row>
    <row r="4005" ht="15.75" customHeight="1">
      <c r="A4005" s="9" t="s">
        <v>36171</v>
      </c>
      <c r="B4005" s="9" t="s">
        <v>2414</v>
      </c>
      <c r="C4005" s="8" t="s">
        <v>36172</v>
      </c>
      <c r="D4005" s="9" t="b">
        <v>1</v>
      </c>
      <c r="E4005" s="9"/>
    </row>
    <row r="4006" ht="15.75" customHeight="1">
      <c r="A4006" s="9" t="s">
        <v>36173</v>
      </c>
      <c r="B4006" s="9" t="s">
        <v>11400</v>
      </c>
      <c r="C4006" s="8" t="s">
        <v>36174</v>
      </c>
      <c r="D4006" s="9" t="b">
        <v>0</v>
      </c>
      <c r="E4006" s="9"/>
    </row>
    <row r="4007" ht="15.75" customHeight="1">
      <c r="A4007" s="9" t="s">
        <v>36175</v>
      </c>
      <c r="B4007" s="9" t="s">
        <v>5808</v>
      </c>
      <c r="C4007" s="8" t="s">
        <v>36176</v>
      </c>
      <c r="D4007" s="9" t="b">
        <v>1</v>
      </c>
      <c r="E4007" s="9"/>
    </row>
    <row r="4008" ht="15.75" customHeight="1">
      <c r="A4008" s="9" t="s">
        <v>36177</v>
      </c>
      <c r="B4008" s="9" t="s">
        <v>11400</v>
      </c>
      <c r="C4008" s="8" t="s">
        <v>36178</v>
      </c>
      <c r="D4008" s="9" t="b">
        <v>0</v>
      </c>
      <c r="E4008" s="9"/>
    </row>
    <row r="4009" ht="15.75" customHeight="1">
      <c r="A4009" s="9" t="s">
        <v>36179</v>
      </c>
      <c r="B4009" s="9" t="s">
        <v>11400</v>
      </c>
      <c r="C4009" s="8" t="s">
        <v>36180</v>
      </c>
      <c r="D4009" s="9" t="b">
        <v>0</v>
      </c>
      <c r="E4009" s="9"/>
    </row>
    <row r="4010" ht="15.75" customHeight="1">
      <c r="A4010" s="9" t="s">
        <v>36181</v>
      </c>
      <c r="B4010" s="9" t="s">
        <v>11400</v>
      </c>
      <c r="C4010" s="8" t="s">
        <v>36182</v>
      </c>
      <c r="D4010" s="9" t="b">
        <v>0</v>
      </c>
      <c r="E4010" s="9"/>
    </row>
    <row r="4011" ht="15.75" customHeight="1">
      <c r="A4011" s="52" t="s">
        <v>36183</v>
      </c>
      <c r="B4011" s="9" t="s">
        <v>2920</v>
      </c>
      <c r="C4011" s="8" t="s">
        <v>36184</v>
      </c>
      <c r="D4011" s="9" t="b">
        <v>1</v>
      </c>
      <c r="E4011" s="9"/>
    </row>
    <row r="4012" ht="15.75" customHeight="1">
      <c r="A4012" s="9" t="s">
        <v>36185</v>
      </c>
      <c r="B4012" s="9" t="s">
        <v>11400</v>
      </c>
      <c r="C4012" s="8" t="s">
        <v>36186</v>
      </c>
      <c r="D4012" s="9" t="b">
        <v>0</v>
      </c>
      <c r="E4012" s="9"/>
    </row>
    <row r="4013" ht="15.75" customHeight="1">
      <c r="A4013" s="9" t="s">
        <v>36187</v>
      </c>
      <c r="B4013" s="9" t="s">
        <v>11400</v>
      </c>
      <c r="C4013" s="8" t="s">
        <v>36188</v>
      </c>
      <c r="D4013" s="9" t="b">
        <v>0</v>
      </c>
      <c r="E4013" s="9"/>
    </row>
    <row r="4014" ht="15.75" customHeight="1">
      <c r="A4014" s="9" t="s">
        <v>36189</v>
      </c>
      <c r="B4014" s="9" t="s">
        <v>6807</v>
      </c>
      <c r="C4014" s="8" t="s">
        <v>36190</v>
      </c>
      <c r="D4014" s="9" t="b">
        <v>1</v>
      </c>
      <c r="E4014" s="9"/>
    </row>
    <row r="4015" ht="15.75" customHeight="1">
      <c r="A4015" s="9" t="s">
        <v>36191</v>
      </c>
      <c r="B4015" s="9" t="s">
        <v>11400</v>
      </c>
      <c r="C4015" s="8" t="s">
        <v>36192</v>
      </c>
      <c r="D4015" s="9" t="b">
        <v>0</v>
      </c>
      <c r="E4015" s="9"/>
    </row>
    <row r="4016" ht="15.75" customHeight="1">
      <c r="A4016" s="9" t="s">
        <v>36193</v>
      </c>
      <c r="B4016" s="9" t="s">
        <v>6854</v>
      </c>
      <c r="C4016" s="8" t="s">
        <v>36194</v>
      </c>
      <c r="D4016" s="9" t="b">
        <v>1</v>
      </c>
      <c r="E4016" s="9"/>
    </row>
    <row r="4017" ht="15.75" customHeight="1">
      <c r="A4017" s="52" t="s">
        <v>36195</v>
      </c>
      <c r="B4017" s="9" t="s">
        <v>11400</v>
      </c>
      <c r="C4017" s="8" t="s">
        <v>36196</v>
      </c>
      <c r="D4017" s="9" t="b">
        <v>0</v>
      </c>
      <c r="E4017" s="9"/>
    </row>
    <row r="4018" ht="15.75" customHeight="1">
      <c r="A4018" s="9" t="s">
        <v>36197</v>
      </c>
      <c r="B4018" s="9" t="s">
        <v>11400</v>
      </c>
      <c r="C4018" s="8" t="s">
        <v>36198</v>
      </c>
      <c r="D4018" s="9" t="b">
        <v>1</v>
      </c>
      <c r="E4018" s="9"/>
    </row>
    <row r="4019" ht="15.75" customHeight="1">
      <c r="A4019" s="9" t="s">
        <v>36199</v>
      </c>
      <c r="B4019" s="9" t="s">
        <v>11400</v>
      </c>
      <c r="C4019" s="8" t="s">
        <v>36200</v>
      </c>
      <c r="D4019" s="9" t="b">
        <v>0</v>
      </c>
      <c r="E4019" s="9"/>
    </row>
    <row r="4020" ht="15.75" customHeight="1">
      <c r="A4020" s="9" t="s">
        <v>36201</v>
      </c>
      <c r="B4020" s="9" t="s">
        <v>11400</v>
      </c>
      <c r="C4020" s="8" t="s">
        <v>36202</v>
      </c>
      <c r="D4020" s="9" t="b">
        <v>0</v>
      </c>
      <c r="E4020" s="9"/>
    </row>
    <row r="4021" ht="15.75" customHeight="1">
      <c r="A4021" s="9" t="s">
        <v>36203</v>
      </c>
      <c r="B4021" s="9" t="s">
        <v>11919</v>
      </c>
      <c r="C4021" s="8" t="s">
        <v>36204</v>
      </c>
      <c r="D4021" s="9" t="b">
        <v>0</v>
      </c>
      <c r="E4021" s="9"/>
    </row>
    <row r="4022" ht="15.75" customHeight="1">
      <c r="A4022" s="9" t="s">
        <v>36205</v>
      </c>
      <c r="B4022" s="9" t="s">
        <v>11400</v>
      </c>
      <c r="C4022" s="8" t="s">
        <v>36206</v>
      </c>
      <c r="D4022" s="9" t="b">
        <v>0</v>
      </c>
      <c r="E4022" s="9"/>
    </row>
    <row r="4023" ht="15.75" customHeight="1">
      <c r="A4023" s="9" t="s">
        <v>36207</v>
      </c>
      <c r="B4023" s="9" t="s">
        <v>11780</v>
      </c>
      <c r="C4023" s="8" t="s">
        <v>36208</v>
      </c>
      <c r="D4023" s="9" t="b">
        <v>1</v>
      </c>
      <c r="E4023" s="9"/>
    </row>
    <row r="4024" ht="15.75" customHeight="1">
      <c r="A4024" s="9" t="s">
        <v>36209</v>
      </c>
      <c r="B4024" s="9" t="s">
        <v>11400</v>
      </c>
      <c r="C4024" s="8" t="s">
        <v>36210</v>
      </c>
      <c r="D4024" s="9" t="b">
        <v>0</v>
      </c>
      <c r="E4024" s="9"/>
    </row>
    <row r="4025" ht="15.75" customHeight="1">
      <c r="A4025" s="9" t="s">
        <v>36211</v>
      </c>
      <c r="B4025" s="9" t="s">
        <v>262</v>
      </c>
      <c r="C4025" s="8" t="s">
        <v>36212</v>
      </c>
      <c r="D4025" s="9" t="b">
        <v>1</v>
      </c>
      <c r="E4025" s="9"/>
    </row>
    <row r="4026" ht="15.75" customHeight="1">
      <c r="A4026" s="9" t="s">
        <v>36213</v>
      </c>
      <c r="B4026" s="9" t="s">
        <v>11400</v>
      </c>
      <c r="C4026" s="8" t="s">
        <v>36214</v>
      </c>
      <c r="D4026" s="9" t="b">
        <v>0</v>
      </c>
      <c r="E4026" s="9"/>
    </row>
    <row r="4027" ht="15.75" customHeight="1">
      <c r="A4027" s="9" t="s">
        <v>36215</v>
      </c>
      <c r="B4027" s="9" t="s">
        <v>237</v>
      </c>
      <c r="C4027" s="8" t="s">
        <v>36216</v>
      </c>
      <c r="D4027" s="9" t="b">
        <v>1</v>
      </c>
      <c r="E4027" s="9"/>
    </row>
    <row r="4028" ht="15.75" customHeight="1">
      <c r="A4028" s="9" t="s">
        <v>36217</v>
      </c>
      <c r="B4028" s="9" t="s">
        <v>11686</v>
      </c>
      <c r="C4028" s="8" t="s">
        <v>36218</v>
      </c>
      <c r="D4028" s="9" t="b">
        <v>1</v>
      </c>
      <c r="E4028" s="9"/>
    </row>
    <row r="4029" ht="15.75" customHeight="1">
      <c r="A4029" s="9" t="s">
        <v>36219</v>
      </c>
      <c r="B4029" s="9" t="s">
        <v>9868</v>
      </c>
      <c r="C4029" s="8" t="s">
        <v>36220</v>
      </c>
      <c r="D4029" s="9" t="b">
        <v>1</v>
      </c>
      <c r="E4029" s="9"/>
    </row>
    <row r="4030" ht="15.75" customHeight="1">
      <c r="A4030" s="9" t="s">
        <v>36221</v>
      </c>
      <c r="B4030" s="9" t="s">
        <v>11774</v>
      </c>
      <c r="C4030" s="8" t="s">
        <v>19398</v>
      </c>
      <c r="D4030" s="9" t="b">
        <v>1</v>
      </c>
      <c r="E4030" s="9"/>
    </row>
    <row r="4031" ht="15.75" customHeight="1">
      <c r="A4031" s="9" t="s">
        <v>36222</v>
      </c>
      <c r="B4031" s="9" t="s">
        <v>9298</v>
      </c>
      <c r="C4031" s="8" t="s">
        <v>36223</v>
      </c>
      <c r="D4031" s="9" t="b">
        <v>1</v>
      </c>
      <c r="E4031" s="9"/>
    </row>
    <row r="4032" ht="15.75" customHeight="1">
      <c r="A4032" s="9" t="s">
        <v>36224</v>
      </c>
      <c r="B4032" s="9" t="s">
        <v>3129</v>
      </c>
      <c r="C4032" s="8" t="s">
        <v>36225</v>
      </c>
      <c r="D4032" s="9" t="b">
        <v>1</v>
      </c>
      <c r="E4032" s="9"/>
    </row>
    <row r="4033" ht="15.75" customHeight="1">
      <c r="A4033" s="9" t="s">
        <v>36226</v>
      </c>
      <c r="B4033" s="9" t="s">
        <v>3844</v>
      </c>
      <c r="C4033" s="8" t="s">
        <v>36227</v>
      </c>
      <c r="D4033" s="9" t="b">
        <v>1</v>
      </c>
      <c r="E4033" s="9"/>
    </row>
    <row r="4034" ht="15.75" customHeight="1">
      <c r="A4034" s="9" t="s">
        <v>36228</v>
      </c>
      <c r="B4034" s="9" t="s">
        <v>2994</v>
      </c>
      <c r="C4034" s="8" t="s">
        <v>36229</v>
      </c>
      <c r="D4034" s="9" t="b">
        <v>1</v>
      </c>
      <c r="E4034" s="9"/>
    </row>
    <row r="4035" ht="15.75" customHeight="1">
      <c r="A4035" s="9" t="s">
        <v>36230</v>
      </c>
      <c r="B4035" s="9" t="s">
        <v>5372</v>
      </c>
      <c r="C4035" s="8" t="s">
        <v>36231</v>
      </c>
      <c r="D4035" s="9" t="b">
        <v>1</v>
      </c>
      <c r="E4035" s="9"/>
    </row>
    <row r="4036" ht="15.75" customHeight="1">
      <c r="A4036" s="9" t="s">
        <v>36232</v>
      </c>
      <c r="B4036" s="9" t="s">
        <v>8397</v>
      </c>
      <c r="C4036" s="8" t="s">
        <v>36233</v>
      </c>
      <c r="D4036" s="9" t="b">
        <v>1</v>
      </c>
      <c r="E4036" s="9"/>
    </row>
    <row r="4037" ht="15.75" customHeight="1">
      <c r="A4037" s="9" t="s">
        <v>36234</v>
      </c>
      <c r="B4037" s="9" t="s">
        <v>8028</v>
      </c>
      <c r="C4037" s="8" t="s">
        <v>36235</v>
      </c>
      <c r="D4037" s="9" t="b">
        <v>1</v>
      </c>
      <c r="E4037" s="9"/>
    </row>
    <row r="4038" ht="15.75" customHeight="1">
      <c r="A4038" s="9" t="s">
        <v>36236</v>
      </c>
      <c r="B4038" s="9" t="s">
        <v>12146</v>
      </c>
      <c r="C4038" s="8" t="s">
        <v>36237</v>
      </c>
      <c r="D4038" s="9" t="b">
        <v>1</v>
      </c>
      <c r="E4038" s="9"/>
    </row>
    <row r="4039" ht="15.75" customHeight="1">
      <c r="A4039" s="9" t="s">
        <v>36238</v>
      </c>
      <c r="B4039" s="9" t="s">
        <v>12170</v>
      </c>
      <c r="C4039" s="8" t="s">
        <v>36239</v>
      </c>
      <c r="D4039" s="9" t="b">
        <v>1</v>
      </c>
      <c r="E4039" s="9"/>
    </row>
    <row r="4040" ht="15.75" customHeight="1">
      <c r="A4040" s="9" t="s">
        <v>36240</v>
      </c>
      <c r="B4040" s="9" t="s">
        <v>12020</v>
      </c>
      <c r="C4040" s="8" t="s">
        <v>36241</v>
      </c>
      <c r="D4040" s="9" t="b">
        <v>1</v>
      </c>
      <c r="E4040" s="9"/>
    </row>
    <row r="4041" ht="15.75" customHeight="1">
      <c r="A4041" s="9" t="s">
        <v>36242</v>
      </c>
      <c r="B4041" s="9" t="s">
        <v>4852</v>
      </c>
      <c r="C4041" s="8" t="s">
        <v>36243</v>
      </c>
      <c r="D4041" s="9" t="b">
        <v>1</v>
      </c>
      <c r="E4041" s="9"/>
    </row>
    <row r="4042" ht="15.75" customHeight="1">
      <c r="A4042" s="9" t="s">
        <v>36244</v>
      </c>
      <c r="B4042" s="9" t="s">
        <v>5620</v>
      </c>
      <c r="C4042" s="8" t="s">
        <v>36245</v>
      </c>
      <c r="D4042" s="9" t="b">
        <v>1</v>
      </c>
      <c r="E4042" s="9"/>
    </row>
    <row r="4043" ht="15.75" customHeight="1">
      <c r="A4043" s="52" t="s">
        <v>36246</v>
      </c>
      <c r="B4043" s="9" t="s">
        <v>5651</v>
      </c>
      <c r="C4043" s="8" t="s">
        <v>36247</v>
      </c>
      <c r="D4043" s="9" t="b">
        <v>1</v>
      </c>
      <c r="E4043" s="9"/>
    </row>
    <row r="4044" ht="15.75" customHeight="1">
      <c r="A4044" s="9" t="s">
        <v>36248</v>
      </c>
      <c r="B4044" s="9" t="s">
        <v>8246</v>
      </c>
      <c r="C4044" s="8" t="s">
        <v>36249</v>
      </c>
      <c r="D4044" s="9" t="b">
        <v>1</v>
      </c>
      <c r="E4044" s="9"/>
    </row>
    <row r="4045" ht="15.75" customHeight="1">
      <c r="A4045" s="9" t="s">
        <v>36250</v>
      </c>
      <c r="B4045" s="9" t="s">
        <v>1814</v>
      </c>
      <c r="C4045" s="8" t="s">
        <v>36251</v>
      </c>
      <c r="D4045" s="9" t="b">
        <v>1</v>
      </c>
      <c r="E4045" s="9"/>
    </row>
    <row r="4046" ht="15.75" customHeight="1">
      <c r="A4046" s="9" t="s">
        <v>36252</v>
      </c>
      <c r="B4046" s="9" t="s">
        <v>9285</v>
      </c>
      <c r="C4046" s="8" t="s">
        <v>36253</v>
      </c>
      <c r="D4046" s="9" t="b">
        <v>1</v>
      </c>
      <c r="E4046" s="9"/>
    </row>
    <row r="4047" ht="15.75" customHeight="1">
      <c r="A4047" s="9" t="s">
        <v>36254</v>
      </c>
      <c r="B4047" s="9" t="s">
        <v>759</v>
      </c>
      <c r="C4047" s="8" t="s">
        <v>36255</v>
      </c>
      <c r="D4047" s="9" t="b">
        <v>1</v>
      </c>
      <c r="E4047" s="9"/>
    </row>
    <row r="4048" ht="15.75" customHeight="1">
      <c r="A4048" s="9" t="s">
        <v>36256</v>
      </c>
      <c r="B4048" s="9" t="s">
        <v>9544</v>
      </c>
      <c r="C4048" s="8" t="s">
        <v>36257</v>
      </c>
      <c r="D4048" s="9" t="b">
        <v>1</v>
      </c>
      <c r="E4048" s="9"/>
    </row>
    <row r="4049" ht="15.75" customHeight="1">
      <c r="A4049" s="9" t="s">
        <v>36258</v>
      </c>
      <c r="B4049" s="9" t="s">
        <v>9714</v>
      </c>
      <c r="C4049" s="8" t="s">
        <v>36259</v>
      </c>
      <c r="D4049" s="9" t="b">
        <v>1</v>
      </c>
      <c r="E4049" s="9"/>
    </row>
    <row r="4050" ht="15.75" customHeight="1">
      <c r="A4050" s="9" t="s">
        <v>36260</v>
      </c>
      <c r="B4050" s="9" t="s">
        <v>540</v>
      </c>
      <c r="C4050" s="8" t="s">
        <v>36261</v>
      </c>
      <c r="D4050" s="9" t="b">
        <v>1</v>
      </c>
      <c r="E4050" s="9"/>
    </row>
    <row r="4051" ht="15.75" customHeight="1">
      <c r="A4051" s="9" t="s">
        <v>36262</v>
      </c>
      <c r="B4051" s="9" t="s">
        <v>8166</v>
      </c>
      <c r="C4051" s="8" t="s">
        <v>36263</v>
      </c>
      <c r="D4051" s="9" t="b">
        <v>1</v>
      </c>
      <c r="E4051" s="9"/>
    </row>
    <row r="4052" ht="15.75" customHeight="1">
      <c r="A4052" s="9" t="s">
        <v>36264</v>
      </c>
      <c r="B4052" s="9" t="s">
        <v>11931</v>
      </c>
      <c r="C4052" s="8" t="s">
        <v>36265</v>
      </c>
      <c r="D4052" s="9" t="b">
        <v>1</v>
      </c>
      <c r="E4052" s="9"/>
    </row>
    <row r="4053" ht="15.75" customHeight="1">
      <c r="A4053" s="9"/>
      <c r="B4053" s="9"/>
      <c r="C4053" s="9"/>
      <c r="D4053" s="9"/>
      <c r="E4053" s="9"/>
    </row>
    <row r="4054" ht="15.75" customHeight="1">
      <c r="A4054" s="9" t="s">
        <v>36266</v>
      </c>
      <c r="B4054" s="9" t="s">
        <v>10420</v>
      </c>
      <c r="C4054" s="8" t="s">
        <v>36267</v>
      </c>
      <c r="D4054" s="9" t="b">
        <v>1</v>
      </c>
      <c r="E4054" s="9"/>
    </row>
    <row r="4055" ht="15.75" customHeight="1">
      <c r="A4055" s="9" t="s">
        <v>36268</v>
      </c>
      <c r="B4055" s="9" t="s">
        <v>6764</v>
      </c>
      <c r="C4055" s="8" t="s">
        <v>36269</v>
      </c>
      <c r="D4055" s="9" t="b">
        <v>1</v>
      </c>
      <c r="E4055" s="9"/>
    </row>
    <row r="4056" ht="15.75" customHeight="1">
      <c r="A4056" s="9" t="s">
        <v>36270</v>
      </c>
      <c r="B4056" s="9" t="s">
        <v>8598</v>
      </c>
      <c r="C4056" s="8" t="s">
        <v>36271</v>
      </c>
      <c r="D4056" s="9" t="b">
        <v>1</v>
      </c>
      <c r="E4056" s="9"/>
    </row>
    <row r="4057" ht="15.75" customHeight="1">
      <c r="A4057" s="9" t="s">
        <v>36272</v>
      </c>
      <c r="B4057" s="9" t="s">
        <v>3096</v>
      </c>
      <c r="C4057" s="8" t="s">
        <v>36273</v>
      </c>
      <c r="D4057" s="9" t="b">
        <v>1</v>
      </c>
      <c r="E4057" s="9"/>
    </row>
    <row r="4058" ht="15.75" customHeight="1">
      <c r="A4058" s="9" t="s">
        <v>36274</v>
      </c>
      <c r="B4058" s="9" t="s">
        <v>5841</v>
      </c>
      <c r="C4058" s="8" t="s">
        <v>36275</v>
      </c>
      <c r="D4058" s="9" t="b">
        <v>1</v>
      </c>
      <c r="E4058" s="9"/>
    </row>
    <row r="4059" ht="15.75" customHeight="1">
      <c r="A4059" s="9" t="s">
        <v>36276</v>
      </c>
      <c r="B4059" s="9" t="s">
        <v>4224</v>
      </c>
      <c r="C4059" s="8" t="s">
        <v>36277</v>
      </c>
      <c r="D4059" s="9" t="b">
        <v>1</v>
      </c>
      <c r="E4059" s="9"/>
    </row>
    <row r="4060" ht="15.75" customHeight="1">
      <c r="A4060" s="9" t="s">
        <v>36278</v>
      </c>
      <c r="B4060" s="9" t="s">
        <v>9984</v>
      </c>
      <c r="C4060" s="8" t="s">
        <v>36279</v>
      </c>
      <c r="D4060" s="9" t="b">
        <v>1</v>
      </c>
      <c r="E4060" s="9"/>
    </row>
    <row r="4061" ht="15.75" customHeight="1">
      <c r="A4061" s="9" t="s">
        <v>36280</v>
      </c>
      <c r="B4061" s="9" t="s">
        <v>8809</v>
      </c>
      <c r="C4061" s="8" t="s">
        <v>36281</v>
      </c>
      <c r="D4061" s="9" t="b">
        <v>1</v>
      </c>
      <c r="E4061" s="9"/>
    </row>
    <row r="4062" ht="15.75" customHeight="1">
      <c r="A4062" s="9" t="s">
        <v>36282</v>
      </c>
      <c r="B4062" s="9" t="s">
        <v>2545</v>
      </c>
      <c r="C4062" s="8" t="s">
        <v>36283</v>
      </c>
      <c r="D4062" s="9" t="b">
        <v>1</v>
      </c>
      <c r="E4062" s="9"/>
    </row>
    <row r="4063" ht="15.75" customHeight="1">
      <c r="A4063" s="9" t="s">
        <v>36284</v>
      </c>
      <c r="B4063" s="9" t="s">
        <v>1707</v>
      </c>
      <c r="C4063" s="8" t="s">
        <v>36285</v>
      </c>
      <c r="D4063" s="9" t="b">
        <v>1</v>
      </c>
      <c r="E4063" s="9"/>
    </row>
    <row r="4064" ht="15.75" customHeight="1">
      <c r="A4064" s="9" t="s">
        <v>36286</v>
      </c>
      <c r="B4064" s="9" t="s">
        <v>3027</v>
      </c>
      <c r="C4064" s="8" t="s">
        <v>36287</v>
      </c>
      <c r="D4064" s="9" t="b">
        <v>0</v>
      </c>
      <c r="E4064" s="9"/>
    </row>
    <row r="4065" ht="15.75" customHeight="1">
      <c r="A4065" s="9" t="s">
        <v>36288</v>
      </c>
      <c r="B4065" s="9" t="s">
        <v>11392</v>
      </c>
      <c r="C4065" s="8" t="s">
        <v>36289</v>
      </c>
      <c r="D4065" s="9" t="b">
        <v>1</v>
      </c>
      <c r="E4065" s="9"/>
    </row>
    <row r="4066" ht="15.75" customHeight="1">
      <c r="A4066" s="9" t="s">
        <v>36290</v>
      </c>
      <c r="B4066" s="9" t="s">
        <v>6255</v>
      </c>
      <c r="C4066" s="8" t="s">
        <v>36291</v>
      </c>
      <c r="D4066" s="9" t="b">
        <v>1</v>
      </c>
      <c r="E4066" s="9"/>
    </row>
    <row r="4067" ht="15.75" customHeight="1">
      <c r="A4067" s="9" t="s">
        <v>36292</v>
      </c>
      <c r="B4067" s="9" t="s">
        <v>9048</v>
      </c>
      <c r="C4067" s="8" t="s">
        <v>36293</v>
      </c>
      <c r="D4067" s="9" t="b">
        <v>0</v>
      </c>
      <c r="E4067" s="9"/>
    </row>
    <row r="4068" ht="15.75" customHeight="1">
      <c r="A4068" s="9" t="s">
        <v>36294</v>
      </c>
      <c r="B4068" s="9" t="s">
        <v>8621</v>
      </c>
      <c r="C4068" s="8" t="s">
        <v>36295</v>
      </c>
      <c r="D4068" s="9" t="b">
        <v>1</v>
      </c>
      <c r="E4068" s="9"/>
    </row>
    <row r="4069" ht="15.75" customHeight="1">
      <c r="A4069" s="9" t="s">
        <v>36296</v>
      </c>
      <c r="B4069" s="52" t="s">
        <v>16619</v>
      </c>
      <c r="C4069" s="8" t="s">
        <v>36297</v>
      </c>
      <c r="D4069" s="9" t="b">
        <v>0</v>
      </c>
      <c r="E4069" s="9"/>
    </row>
    <row r="4070" ht="15.75" customHeight="1">
      <c r="A4070" s="52" t="s">
        <v>36298</v>
      </c>
      <c r="B4070" s="52" t="s">
        <v>16619</v>
      </c>
      <c r="C4070" s="8" t="s">
        <v>36299</v>
      </c>
      <c r="D4070" s="9" t="b">
        <v>0</v>
      </c>
      <c r="E4070" s="9" t="s">
        <v>36300</v>
      </c>
    </row>
    <row r="4071" ht="15.75" customHeight="1">
      <c r="A4071" s="9" t="s">
        <v>36301</v>
      </c>
      <c r="B4071" s="9" t="s">
        <v>11362</v>
      </c>
      <c r="C4071" s="8" t="s">
        <v>36302</v>
      </c>
      <c r="D4071" s="9" t="b">
        <v>1</v>
      </c>
      <c r="E4071" s="9"/>
    </row>
    <row r="4072" ht="15.75" customHeight="1">
      <c r="A4072" s="9" t="s">
        <v>36303</v>
      </c>
      <c r="B4072" s="9" t="s">
        <v>1034</v>
      </c>
      <c r="C4072" s="8" t="s">
        <v>36304</v>
      </c>
      <c r="D4072" s="9" t="b">
        <v>0</v>
      </c>
      <c r="E4072" s="9"/>
    </row>
    <row r="4073" ht="15.75" customHeight="1">
      <c r="A4073" s="9" t="s">
        <v>36305</v>
      </c>
      <c r="B4073" s="9" t="s">
        <v>1034</v>
      </c>
      <c r="C4073" s="8" t="s">
        <v>36306</v>
      </c>
      <c r="D4073" s="9" t="b">
        <v>1</v>
      </c>
      <c r="E4073" s="9"/>
    </row>
    <row r="4074" ht="15.75" customHeight="1">
      <c r="A4074" s="9" t="s">
        <v>36307</v>
      </c>
      <c r="B4074" s="9" t="s">
        <v>11664</v>
      </c>
      <c r="C4074" s="8" t="s">
        <v>36308</v>
      </c>
      <c r="D4074" s="9" t="b">
        <v>0</v>
      </c>
      <c r="E4074" s="9"/>
    </row>
    <row r="4075" ht="15.75" customHeight="1">
      <c r="A4075" s="9" t="s">
        <v>36309</v>
      </c>
      <c r="B4075" s="9" t="s">
        <v>11664</v>
      </c>
      <c r="C4075" s="8" t="s">
        <v>36310</v>
      </c>
      <c r="D4075" s="9" t="b">
        <v>0</v>
      </c>
      <c r="E4075" s="9"/>
    </row>
    <row r="4076" ht="15.75" customHeight="1">
      <c r="A4076" s="9" t="s">
        <v>36311</v>
      </c>
      <c r="B4076" s="9" t="s">
        <v>11664</v>
      </c>
      <c r="C4076" s="8" t="s">
        <v>36312</v>
      </c>
      <c r="D4076" s="9" t="b">
        <v>0</v>
      </c>
      <c r="E4076" s="9"/>
    </row>
    <row r="4077" ht="15.75" customHeight="1">
      <c r="A4077" s="9" t="s">
        <v>36313</v>
      </c>
      <c r="B4077" s="9" t="s">
        <v>11664</v>
      </c>
      <c r="C4077" s="8" t="s">
        <v>36314</v>
      </c>
      <c r="D4077" s="9" t="b">
        <v>0</v>
      </c>
      <c r="E4077" s="9"/>
    </row>
    <row r="4078" ht="15.75" customHeight="1">
      <c r="A4078" s="9" t="s">
        <v>36315</v>
      </c>
      <c r="B4078" s="9" t="s">
        <v>11664</v>
      </c>
      <c r="C4078" s="8" t="s">
        <v>36316</v>
      </c>
      <c r="D4078" s="9" t="b">
        <v>1</v>
      </c>
      <c r="E4078" s="9"/>
    </row>
    <row r="4079" ht="15.75" customHeight="1">
      <c r="A4079" s="9" t="s">
        <v>36317</v>
      </c>
      <c r="B4079" s="9" t="s">
        <v>9437</v>
      </c>
      <c r="C4079" s="8" t="s">
        <v>36318</v>
      </c>
      <c r="D4079" s="9" t="b">
        <v>0</v>
      </c>
      <c r="E4079" s="9"/>
    </row>
    <row r="4080" ht="15.75" customHeight="1">
      <c r="A4080" s="9" t="s">
        <v>36319</v>
      </c>
      <c r="B4080" s="9" t="s">
        <v>9437</v>
      </c>
      <c r="C4080" s="8" t="s">
        <v>36320</v>
      </c>
      <c r="D4080" s="9" t="b">
        <v>0</v>
      </c>
      <c r="E4080" s="9"/>
    </row>
    <row r="4081" ht="15.75" customHeight="1">
      <c r="A4081" s="9" t="s">
        <v>36321</v>
      </c>
      <c r="B4081" s="9" t="s">
        <v>11402</v>
      </c>
      <c r="C4081" s="8" t="s">
        <v>36322</v>
      </c>
      <c r="D4081" s="9" t="b">
        <v>1</v>
      </c>
      <c r="E4081" s="9"/>
    </row>
    <row r="4082" ht="15.75" customHeight="1">
      <c r="A4082" s="9" t="s">
        <v>36323</v>
      </c>
      <c r="B4082" s="9" t="s">
        <v>11402</v>
      </c>
      <c r="C4082" s="8" t="s">
        <v>36324</v>
      </c>
      <c r="D4082" s="9" t="b">
        <v>0</v>
      </c>
      <c r="E4082" s="9"/>
    </row>
    <row r="4083" ht="15.75" customHeight="1">
      <c r="A4083" s="9" t="s">
        <v>36325</v>
      </c>
      <c r="B4083" s="9" t="s">
        <v>11402</v>
      </c>
      <c r="C4083" s="8" t="s">
        <v>36326</v>
      </c>
      <c r="D4083" s="9" t="b">
        <v>0</v>
      </c>
      <c r="E4083" s="9"/>
    </row>
    <row r="4084" ht="15.75" customHeight="1">
      <c r="A4084" s="9" t="s">
        <v>36327</v>
      </c>
      <c r="B4084" s="9" t="s">
        <v>11402</v>
      </c>
      <c r="C4084" s="8" t="s">
        <v>36328</v>
      </c>
      <c r="D4084" s="9" t="b">
        <v>0</v>
      </c>
      <c r="E4084" s="9"/>
    </row>
    <row r="4085" ht="15.75" customHeight="1">
      <c r="A4085" s="9" t="s">
        <v>36329</v>
      </c>
      <c r="B4085" s="9" t="s">
        <v>11402</v>
      </c>
      <c r="C4085" s="8" t="s">
        <v>36330</v>
      </c>
      <c r="D4085" s="9" t="b">
        <v>0</v>
      </c>
      <c r="E4085" s="9"/>
    </row>
    <row r="4086" ht="15.75" customHeight="1">
      <c r="A4086" s="9" t="s">
        <v>36331</v>
      </c>
      <c r="B4086" s="9" t="s">
        <v>11402</v>
      </c>
      <c r="C4086" s="8" t="s">
        <v>36332</v>
      </c>
      <c r="D4086" s="9" t="b">
        <v>0</v>
      </c>
      <c r="E4086" s="9"/>
    </row>
    <row r="4087" ht="15.75" customHeight="1">
      <c r="A4087" s="9" t="s">
        <v>36333</v>
      </c>
      <c r="B4087" s="9" t="s">
        <v>11404</v>
      </c>
      <c r="C4087" s="8" t="s">
        <v>36334</v>
      </c>
      <c r="D4087" s="9" t="b">
        <v>0</v>
      </c>
      <c r="E4087" s="9"/>
    </row>
    <row r="4088" ht="15.75" customHeight="1">
      <c r="A4088" s="9" t="s">
        <v>36335</v>
      </c>
      <c r="B4088" s="9" t="s">
        <v>11404</v>
      </c>
      <c r="C4088" s="8" t="s">
        <v>36336</v>
      </c>
      <c r="D4088" s="9" t="b">
        <v>1</v>
      </c>
      <c r="E4088" s="9"/>
    </row>
    <row r="4089" ht="15.75" customHeight="1">
      <c r="A4089" s="9" t="s">
        <v>36337</v>
      </c>
      <c r="B4089" s="9" t="s">
        <v>11404</v>
      </c>
      <c r="C4089" s="8" t="s">
        <v>36338</v>
      </c>
      <c r="D4089" s="9" t="b">
        <v>0</v>
      </c>
      <c r="E4089" s="9"/>
    </row>
    <row r="4090" ht="15.75" customHeight="1">
      <c r="A4090" s="9" t="s">
        <v>36339</v>
      </c>
      <c r="B4090" s="9" t="s">
        <v>11404</v>
      </c>
      <c r="C4090" s="8" t="s">
        <v>36340</v>
      </c>
      <c r="D4090" s="9" t="b">
        <v>0</v>
      </c>
      <c r="E4090" s="9"/>
    </row>
    <row r="4091" ht="15.75" customHeight="1">
      <c r="A4091" s="9" t="s">
        <v>36341</v>
      </c>
      <c r="B4091" s="9" t="s">
        <v>11404</v>
      </c>
      <c r="C4091" s="8" t="s">
        <v>36342</v>
      </c>
      <c r="D4091" s="9" t="b">
        <v>0</v>
      </c>
      <c r="E4091" s="9"/>
    </row>
    <row r="4092" ht="15.75" customHeight="1">
      <c r="A4092" s="9" t="s">
        <v>36343</v>
      </c>
      <c r="B4092" s="9" t="s">
        <v>11845</v>
      </c>
      <c r="C4092" s="8" t="s">
        <v>36344</v>
      </c>
      <c r="D4092" s="9" t="b">
        <v>0</v>
      </c>
      <c r="E4092" s="9"/>
    </row>
    <row r="4093" ht="15.75" customHeight="1">
      <c r="A4093" s="9" t="s">
        <v>36345</v>
      </c>
      <c r="B4093" s="9" t="s">
        <v>11845</v>
      </c>
      <c r="C4093" s="8" t="s">
        <v>36346</v>
      </c>
      <c r="D4093" s="9" t="b">
        <v>0</v>
      </c>
      <c r="E4093" s="9"/>
    </row>
    <row r="4094" ht="15.75" customHeight="1">
      <c r="A4094" s="9" t="s">
        <v>36347</v>
      </c>
      <c r="B4094" s="9" t="s">
        <v>9030</v>
      </c>
      <c r="C4094" s="8" t="s">
        <v>36348</v>
      </c>
      <c r="D4094" s="9" t="b">
        <v>0</v>
      </c>
      <c r="E4094" s="9"/>
    </row>
    <row r="4095" ht="15.75" customHeight="1">
      <c r="A4095" s="9" t="s">
        <v>36349</v>
      </c>
      <c r="B4095" s="9" t="s">
        <v>9030</v>
      </c>
      <c r="C4095" s="8" t="s">
        <v>36350</v>
      </c>
      <c r="D4095" s="9" t="b">
        <v>0</v>
      </c>
      <c r="E4095" s="9"/>
    </row>
    <row r="4096" ht="15.75" customHeight="1">
      <c r="A4096" s="9" t="s">
        <v>36351</v>
      </c>
      <c r="B4096" s="9" t="s">
        <v>11942</v>
      </c>
      <c r="C4096" s="8" t="s">
        <v>36352</v>
      </c>
      <c r="D4096" s="9" t="b">
        <v>0</v>
      </c>
      <c r="E4096" s="9"/>
    </row>
    <row r="4097" ht="15.75" customHeight="1">
      <c r="A4097" s="9" t="s">
        <v>36353</v>
      </c>
      <c r="B4097" s="9" t="s">
        <v>11942</v>
      </c>
      <c r="C4097" s="8" t="s">
        <v>36354</v>
      </c>
      <c r="D4097" s="9" t="b">
        <v>0</v>
      </c>
      <c r="E4097" s="9"/>
    </row>
    <row r="4098" ht="15.75" customHeight="1">
      <c r="A4098" s="9" t="s">
        <v>36355</v>
      </c>
      <c r="B4098" s="9" t="s">
        <v>11942</v>
      </c>
      <c r="C4098" s="8" t="s">
        <v>36356</v>
      </c>
      <c r="D4098" s="9" t="b">
        <v>0</v>
      </c>
      <c r="E4098" s="9"/>
    </row>
    <row r="4099" ht="15.75" customHeight="1">
      <c r="A4099" s="9" t="s">
        <v>36357</v>
      </c>
      <c r="B4099" s="9" t="s">
        <v>11942</v>
      </c>
      <c r="C4099" s="8" t="s">
        <v>36358</v>
      </c>
      <c r="D4099" s="9" t="b">
        <v>0</v>
      </c>
      <c r="E4099" s="9"/>
    </row>
    <row r="4100" ht="15.75" customHeight="1">
      <c r="A4100" s="9" t="s">
        <v>36359</v>
      </c>
      <c r="B4100" s="9" t="s">
        <v>11409</v>
      </c>
      <c r="C4100" s="8" t="s">
        <v>36360</v>
      </c>
      <c r="D4100" s="9" t="b">
        <v>0</v>
      </c>
      <c r="E4100" s="9"/>
    </row>
    <row r="4101" ht="15.75" customHeight="1">
      <c r="A4101" s="9" t="s">
        <v>36361</v>
      </c>
      <c r="B4101" s="9" t="s">
        <v>11409</v>
      </c>
      <c r="C4101" s="8" t="s">
        <v>36362</v>
      </c>
      <c r="D4101" s="9" t="b">
        <v>0</v>
      </c>
      <c r="E4101" s="9"/>
    </row>
    <row r="4102" ht="15.75" customHeight="1">
      <c r="A4102" s="9" t="s">
        <v>36363</v>
      </c>
      <c r="B4102" s="9" t="s">
        <v>11409</v>
      </c>
      <c r="C4102" s="8" t="s">
        <v>36364</v>
      </c>
      <c r="D4102" s="9" t="b">
        <v>0</v>
      </c>
      <c r="E4102" s="9"/>
    </row>
    <row r="4103" ht="15.75" customHeight="1">
      <c r="A4103" s="9" t="s">
        <v>36365</v>
      </c>
      <c r="B4103" s="9" t="s">
        <v>11409</v>
      </c>
      <c r="C4103" s="8" t="s">
        <v>36366</v>
      </c>
      <c r="D4103" s="9" t="b">
        <v>1</v>
      </c>
      <c r="E4103" s="9"/>
    </row>
    <row r="4104" ht="15.75" customHeight="1">
      <c r="A4104" s="9" t="s">
        <v>36367</v>
      </c>
      <c r="B4104" s="9" t="s">
        <v>10240</v>
      </c>
      <c r="C4104" s="8" t="s">
        <v>36368</v>
      </c>
      <c r="D4104" s="9" t="b">
        <v>0</v>
      </c>
      <c r="E4104" s="9"/>
    </row>
    <row r="4105" ht="15.75" customHeight="1">
      <c r="A4105" s="9" t="s">
        <v>36369</v>
      </c>
      <c r="B4105" s="9" t="s">
        <v>10240</v>
      </c>
      <c r="C4105" s="8" t="s">
        <v>36370</v>
      </c>
      <c r="D4105" s="9" t="b">
        <v>0</v>
      </c>
      <c r="E4105" s="9"/>
    </row>
    <row r="4106" ht="15.75" customHeight="1">
      <c r="A4106" s="9" t="s">
        <v>36371</v>
      </c>
      <c r="B4106" s="9" t="s">
        <v>10240</v>
      </c>
      <c r="C4106" s="8" t="s">
        <v>36372</v>
      </c>
      <c r="D4106" s="9" t="b">
        <v>0</v>
      </c>
      <c r="E4106" s="9"/>
    </row>
    <row r="4107" ht="15.75" customHeight="1">
      <c r="A4107" s="9" t="s">
        <v>36373</v>
      </c>
      <c r="B4107" s="9" t="s">
        <v>10240</v>
      </c>
      <c r="C4107" s="8" t="s">
        <v>36374</v>
      </c>
      <c r="D4107" s="9" t="b">
        <v>0</v>
      </c>
      <c r="E4107" s="9"/>
    </row>
    <row r="4108" ht="15.75" customHeight="1">
      <c r="A4108" s="9" t="s">
        <v>36375</v>
      </c>
      <c r="B4108" s="9" t="s">
        <v>11652</v>
      </c>
      <c r="C4108" s="8" t="s">
        <v>36376</v>
      </c>
      <c r="D4108" s="9" t="b">
        <v>0</v>
      </c>
      <c r="E4108" s="9"/>
    </row>
    <row r="4109" ht="15.75" customHeight="1">
      <c r="A4109" s="9" t="s">
        <v>36377</v>
      </c>
      <c r="B4109" s="9" t="s">
        <v>11652</v>
      </c>
      <c r="C4109" s="8" t="s">
        <v>36378</v>
      </c>
      <c r="D4109" s="9" t="b">
        <v>0</v>
      </c>
      <c r="E4109" s="9"/>
    </row>
    <row r="4110" ht="15.75" customHeight="1">
      <c r="A4110" s="9" t="s">
        <v>36379</v>
      </c>
      <c r="B4110" s="9" t="s">
        <v>11652</v>
      </c>
      <c r="C4110" s="8" t="s">
        <v>36380</v>
      </c>
      <c r="D4110" s="9" t="b">
        <v>0</v>
      </c>
      <c r="E4110" s="9"/>
    </row>
    <row r="4111" ht="15.75" customHeight="1">
      <c r="A4111" s="9" t="s">
        <v>36381</v>
      </c>
      <c r="B4111" s="9" t="s">
        <v>11652</v>
      </c>
      <c r="C4111" s="8" t="s">
        <v>36382</v>
      </c>
      <c r="D4111" s="9" t="b">
        <v>0</v>
      </c>
      <c r="E4111" s="9"/>
    </row>
    <row r="4112" ht="15.75" customHeight="1">
      <c r="A4112" s="9" t="s">
        <v>36383</v>
      </c>
      <c r="B4112" s="9" t="s">
        <v>11411</v>
      </c>
      <c r="C4112" s="8" t="s">
        <v>36384</v>
      </c>
      <c r="D4112" s="9" t="b">
        <v>0</v>
      </c>
      <c r="E4112" s="9"/>
    </row>
    <row r="4113" ht="15.75" customHeight="1">
      <c r="A4113" s="9" t="s">
        <v>36385</v>
      </c>
      <c r="B4113" s="9" t="s">
        <v>11411</v>
      </c>
      <c r="C4113" s="8" t="s">
        <v>36386</v>
      </c>
      <c r="D4113" s="9" t="b">
        <v>0</v>
      </c>
      <c r="E4113" s="9"/>
    </row>
    <row r="4114" ht="15.75" customHeight="1">
      <c r="A4114" s="9" t="s">
        <v>36387</v>
      </c>
      <c r="B4114" s="9" t="s">
        <v>11411</v>
      </c>
      <c r="C4114" s="8" t="s">
        <v>36388</v>
      </c>
      <c r="D4114" s="9" t="b">
        <v>0</v>
      </c>
      <c r="E4114" s="9"/>
    </row>
    <row r="4115" ht="15.75" customHeight="1">
      <c r="A4115" s="9" t="s">
        <v>36389</v>
      </c>
      <c r="B4115" s="9" t="s">
        <v>11411</v>
      </c>
      <c r="C4115" s="8" t="s">
        <v>36390</v>
      </c>
      <c r="D4115" s="9" t="b">
        <v>0</v>
      </c>
      <c r="E4115" s="9"/>
    </row>
    <row r="4116" ht="15.75" customHeight="1">
      <c r="A4116" s="9" t="s">
        <v>36391</v>
      </c>
      <c r="B4116" s="9" t="s">
        <v>11411</v>
      </c>
      <c r="C4116" s="8" t="s">
        <v>36392</v>
      </c>
      <c r="D4116" s="9" t="b">
        <v>0</v>
      </c>
      <c r="E4116" s="9"/>
    </row>
    <row r="4117" ht="15.75" customHeight="1">
      <c r="A4117" s="9" t="s">
        <v>36393</v>
      </c>
      <c r="B4117" s="9" t="s">
        <v>11411</v>
      </c>
      <c r="C4117" s="8" t="s">
        <v>36394</v>
      </c>
      <c r="D4117" s="9" t="b">
        <v>0</v>
      </c>
      <c r="E4117" s="9"/>
    </row>
    <row r="4118" ht="15.75" customHeight="1">
      <c r="A4118" s="9" t="s">
        <v>36395</v>
      </c>
      <c r="B4118" s="9" t="s">
        <v>11411</v>
      </c>
      <c r="C4118" s="8" t="s">
        <v>36396</v>
      </c>
      <c r="D4118" s="9" t="b">
        <v>0</v>
      </c>
      <c r="E4118" s="9"/>
    </row>
    <row r="4119" ht="15.75" customHeight="1">
      <c r="A4119" s="9" t="s">
        <v>36397</v>
      </c>
      <c r="B4119" s="9" t="s">
        <v>11411</v>
      </c>
      <c r="C4119" s="8" t="s">
        <v>36398</v>
      </c>
      <c r="D4119" s="9" t="b">
        <v>0</v>
      </c>
      <c r="E4119" s="9"/>
    </row>
    <row r="4120" ht="15.75" customHeight="1">
      <c r="A4120" s="9" t="s">
        <v>36399</v>
      </c>
      <c r="B4120" s="9" t="s">
        <v>11411</v>
      </c>
      <c r="C4120" s="8" t="s">
        <v>36400</v>
      </c>
      <c r="D4120" s="9" t="b">
        <v>0</v>
      </c>
      <c r="E4120" s="9"/>
    </row>
    <row r="4121" ht="15.75" customHeight="1">
      <c r="A4121" s="9" t="s">
        <v>36401</v>
      </c>
      <c r="B4121" s="9" t="s">
        <v>11411</v>
      </c>
      <c r="C4121" s="8" t="s">
        <v>36402</v>
      </c>
      <c r="D4121" s="9" t="b">
        <v>0</v>
      </c>
      <c r="E4121" s="9"/>
    </row>
    <row r="4122" ht="15.75" customHeight="1">
      <c r="A4122" s="9" t="s">
        <v>36403</v>
      </c>
      <c r="B4122" s="9" t="s">
        <v>11411</v>
      </c>
      <c r="C4122" s="8" t="s">
        <v>36404</v>
      </c>
      <c r="D4122" s="9" t="b">
        <v>0</v>
      </c>
      <c r="E4122" s="9"/>
    </row>
    <row r="4123" ht="15.75" customHeight="1">
      <c r="A4123" s="9" t="s">
        <v>36405</v>
      </c>
      <c r="B4123" s="9" t="s">
        <v>11411</v>
      </c>
      <c r="C4123" s="8" t="s">
        <v>36406</v>
      </c>
      <c r="D4123" s="9" t="b">
        <v>0</v>
      </c>
      <c r="E4123" s="9"/>
    </row>
    <row r="4124" ht="15.75" customHeight="1">
      <c r="A4124" s="9" t="s">
        <v>36407</v>
      </c>
      <c r="B4124" s="9" t="s">
        <v>11411</v>
      </c>
      <c r="C4124" s="8" t="s">
        <v>36408</v>
      </c>
      <c r="D4124" s="9" t="b">
        <v>0</v>
      </c>
      <c r="E4124" s="9"/>
    </row>
    <row r="4125" ht="15.75" customHeight="1">
      <c r="A4125" s="9" t="s">
        <v>36409</v>
      </c>
      <c r="B4125" s="9" t="s">
        <v>11411</v>
      </c>
      <c r="C4125" s="8" t="s">
        <v>36410</v>
      </c>
      <c r="D4125" s="9" t="b">
        <v>0</v>
      </c>
      <c r="E4125" s="9"/>
    </row>
    <row r="4126" ht="15.75" customHeight="1">
      <c r="A4126" s="9" t="s">
        <v>36411</v>
      </c>
      <c r="B4126" s="9" t="s">
        <v>11411</v>
      </c>
      <c r="C4126" s="8" t="s">
        <v>36412</v>
      </c>
      <c r="D4126" s="9" t="b">
        <v>0</v>
      </c>
      <c r="E4126" s="9"/>
    </row>
    <row r="4127" ht="15.75" customHeight="1">
      <c r="A4127" s="9" t="s">
        <v>36413</v>
      </c>
      <c r="B4127" s="9" t="s">
        <v>11411</v>
      </c>
      <c r="C4127" s="8" t="s">
        <v>36414</v>
      </c>
      <c r="D4127" s="9" t="b">
        <v>1</v>
      </c>
      <c r="E4127" s="9"/>
    </row>
    <row r="4128" ht="15.75" customHeight="1">
      <c r="A4128" s="9" t="s">
        <v>36415</v>
      </c>
      <c r="B4128" s="9" t="s">
        <v>11411</v>
      </c>
      <c r="C4128" s="8" t="s">
        <v>36416</v>
      </c>
      <c r="D4128" s="9" t="b">
        <v>0</v>
      </c>
      <c r="E4128" s="9"/>
    </row>
    <row r="4129" ht="15.75" customHeight="1">
      <c r="A4129" s="9" t="s">
        <v>36417</v>
      </c>
      <c r="B4129" s="9" t="s">
        <v>8755</v>
      </c>
      <c r="C4129" s="8" t="s">
        <v>36418</v>
      </c>
      <c r="D4129" s="9" t="b">
        <v>0</v>
      </c>
      <c r="E4129" s="9"/>
    </row>
    <row r="4130" ht="15.75" customHeight="1">
      <c r="A4130" s="9" t="s">
        <v>36419</v>
      </c>
      <c r="B4130" s="9" t="s">
        <v>8755</v>
      </c>
      <c r="C4130" s="8" t="s">
        <v>36420</v>
      </c>
      <c r="D4130" s="9" t="b">
        <v>0</v>
      </c>
      <c r="E4130" s="9"/>
    </row>
    <row r="4131" ht="15.75" customHeight="1">
      <c r="A4131" s="9" t="s">
        <v>36421</v>
      </c>
      <c r="B4131" s="9" t="s">
        <v>2496</v>
      </c>
      <c r="C4131" s="8" t="s">
        <v>36422</v>
      </c>
      <c r="D4131" s="9" t="b">
        <v>0</v>
      </c>
      <c r="E4131" s="9"/>
    </row>
    <row r="4132" ht="15.75" customHeight="1">
      <c r="A4132" s="9" t="s">
        <v>36423</v>
      </c>
      <c r="B4132" s="9" t="s">
        <v>2496</v>
      </c>
      <c r="C4132" s="8" t="s">
        <v>36424</v>
      </c>
      <c r="D4132" s="9" t="b">
        <v>0</v>
      </c>
      <c r="E4132" s="9"/>
    </row>
    <row r="4133" ht="15.75" customHeight="1">
      <c r="A4133" s="9" t="s">
        <v>36425</v>
      </c>
      <c r="B4133" s="9" t="s">
        <v>2496</v>
      </c>
      <c r="C4133" s="8" t="s">
        <v>36426</v>
      </c>
      <c r="D4133" s="9" t="b">
        <v>1</v>
      </c>
      <c r="E4133" s="9"/>
    </row>
    <row r="4134" ht="15.75" customHeight="1">
      <c r="A4134" s="52" t="s">
        <v>36427</v>
      </c>
      <c r="B4134" s="9" t="s">
        <v>2496</v>
      </c>
      <c r="C4134" s="8" t="s">
        <v>36428</v>
      </c>
      <c r="D4134" s="9" t="b">
        <v>0</v>
      </c>
      <c r="E4134" s="9"/>
    </row>
    <row r="4135" ht="15.75" customHeight="1">
      <c r="A4135" s="9" t="s">
        <v>36429</v>
      </c>
      <c r="B4135" s="9" t="s">
        <v>2496</v>
      </c>
      <c r="C4135" s="8" t="s">
        <v>36430</v>
      </c>
      <c r="D4135" s="9" t="b">
        <v>0</v>
      </c>
      <c r="E4135" s="9"/>
    </row>
    <row r="4136" ht="15.75" customHeight="1">
      <c r="A4136" s="9" t="s">
        <v>36431</v>
      </c>
      <c r="B4136" s="9" t="s">
        <v>9339</v>
      </c>
      <c r="C4136" s="8" t="s">
        <v>36432</v>
      </c>
      <c r="D4136" s="9" t="b">
        <v>0</v>
      </c>
      <c r="E4136" s="9"/>
    </row>
    <row r="4137" ht="15.75" customHeight="1">
      <c r="A4137" s="9" t="s">
        <v>36433</v>
      </c>
      <c r="B4137" s="9" t="s">
        <v>9339</v>
      </c>
      <c r="C4137" s="8" t="s">
        <v>36434</v>
      </c>
      <c r="D4137" s="9" t="b">
        <v>0</v>
      </c>
      <c r="E4137" s="9"/>
    </row>
    <row r="4138" ht="15.75" customHeight="1">
      <c r="A4138" s="9" t="s">
        <v>36435</v>
      </c>
      <c r="B4138" s="9" t="s">
        <v>9339</v>
      </c>
      <c r="C4138" s="8" t="s">
        <v>36436</v>
      </c>
      <c r="D4138" s="9" t="b">
        <v>0</v>
      </c>
      <c r="E4138" s="9"/>
    </row>
    <row r="4139" ht="15.75" customHeight="1">
      <c r="A4139" s="9" t="s">
        <v>36437</v>
      </c>
      <c r="B4139" s="9" t="s">
        <v>11417</v>
      </c>
      <c r="C4139" s="8" t="s">
        <v>36438</v>
      </c>
      <c r="D4139" s="9" t="b">
        <v>0</v>
      </c>
      <c r="E4139" s="9"/>
    </row>
    <row r="4140" ht="15.75" customHeight="1">
      <c r="A4140" s="9" t="s">
        <v>36439</v>
      </c>
      <c r="B4140" s="9" t="s">
        <v>11417</v>
      </c>
      <c r="C4140" s="8" t="s">
        <v>36440</v>
      </c>
      <c r="D4140" s="9" t="b">
        <v>0</v>
      </c>
      <c r="E4140" s="9"/>
    </row>
    <row r="4141" ht="15.75" customHeight="1">
      <c r="A4141" s="9" t="s">
        <v>36441</v>
      </c>
      <c r="B4141" s="9" t="s">
        <v>11417</v>
      </c>
      <c r="C4141" s="8" t="s">
        <v>36442</v>
      </c>
      <c r="D4141" s="9" t="b">
        <v>0</v>
      </c>
      <c r="E4141" s="9"/>
    </row>
    <row r="4142" ht="15.75" customHeight="1">
      <c r="A4142" s="9" t="s">
        <v>36443</v>
      </c>
      <c r="B4142" s="9" t="s">
        <v>11417</v>
      </c>
      <c r="C4142" s="8" t="s">
        <v>36444</v>
      </c>
      <c r="D4142" s="9" t="b">
        <v>0</v>
      </c>
      <c r="E4142" s="9"/>
    </row>
    <row r="4143" ht="15.75" customHeight="1">
      <c r="A4143" s="9" t="s">
        <v>36445</v>
      </c>
      <c r="B4143" s="9" t="s">
        <v>11417</v>
      </c>
      <c r="C4143" s="8" t="s">
        <v>36446</v>
      </c>
      <c r="D4143" s="9" t="b">
        <v>0</v>
      </c>
      <c r="E4143" s="9"/>
    </row>
    <row r="4144" ht="15.75" customHeight="1">
      <c r="A4144" s="9" t="s">
        <v>36447</v>
      </c>
      <c r="B4144" s="9" t="s">
        <v>11417</v>
      </c>
      <c r="C4144" s="8" t="s">
        <v>36448</v>
      </c>
      <c r="D4144" s="9" t="b">
        <v>1</v>
      </c>
      <c r="E4144" s="9"/>
    </row>
    <row r="4145" ht="15.75" customHeight="1">
      <c r="A4145" s="9" t="s">
        <v>36449</v>
      </c>
      <c r="B4145" s="9" t="s">
        <v>11423</v>
      </c>
      <c r="C4145" s="8" t="s">
        <v>36450</v>
      </c>
      <c r="D4145" s="9" t="b">
        <v>1</v>
      </c>
      <c r="E4145" s="9"/>
    </row>
    <row r="4146" ht="15.75" customHeight="1">
      <c r="A4146" s="9" t="s">
        <v>36451</v>
      </c>
      <c r="B4146" s="9" t="s">
        <v>11423</v>
      </c>
      <c r="C4146" s="8" t="s">
        <v>36452</v>
      </c>
      <c r="D4146" s="9" t="b">
        <v>0</v>
      </c>
      <c r="E4146" s="9"/>
    </row>
    <row r="4147" ht="15.75" customHeight="1">
      <c r="A4147" s="9" t="s">
        <v>36453</v>
      </c>
      <c r="B4147" s="9" t="s">
        <v>11423</v>
      </c>
      <c r="C4147" s="8" t="s">
        <v>36454</v>
      </c>
      <c r="D4147" s="9" t="b">
        <v>0</v>
      </c>
      <c r="E4147" s="9"/>
    </row>
    <row r="4148" ht="15.75" customHeight="1">
      <c r="A4148" s="9" t="s">
        <v>36455</v>
      </c>
      <c r="B4148" s="9" t="s">
        <v>11425</v>
      </c>
      <c r="C4148" s="8" t="s">
        <v>36456</v>
      </c>
      <c r="D4148" s="9" t="b">
        <v>0</v>
      </c>
      <c r="E4148" s="9"/>
    </row>
    <row r="4149" ht="15.75" customHeight="1">
      <c r="A4149" s="9" t="s">
        <v>36457</v>
      </c>
      <c r="B4149" s="9" t="s">
        <v>11425</v>
      </c>
      <c r="C4149" s="8" t="s">
        <v>36458</v>
      </c>
      <c r="D4149" s="9" t="b">
        <v>0</v>
      </c>
      <c r="E4149" s="9"/>
    </row>
    <row r="4150" ht="15.75" customHeight="1">
      <c r="A4150" s="9" t="s">
        <v>36459</v>
      </c>
      <c r="B4150" s="9" t="s">
        <v>11425</v>
      </c>
      <c r="C4150" s="8" t="s">
        <v>36460</v>
      </c>
      <c r="D4150" s="9" t="b">
        <v>0</v>
      </c>
      <c r="E4150" s="9"/>
    </row>
    <row r="4151" ht="15.75" customHeight="1">
      <c r="A4151" s="9" t="s">
        <v>36461</v>
      </c>
      <c r="B4151" s="9" t="s">
        <v>11425</v>
      </c>
      <c r="C4151" s="8" t="s">
        <v>36462</v>
      </c>
      <c r="D4151" s="9" t="b">
        <v>1</v>
      </c>
      <c r="E4151" s="9"/>
    </row>
    <row r="4152" ht="15.75" customHeight="1">
      <c r="A4152" s="9" t="s">
        <v>36463</v>
      </c>
      <c r="B4152" s="9" t="s">
        <v>9375</v>
      </c>
      <c r="C4152" s="8" t="s">
        <v>36464</v>
      </c>
      <c r="D4152" s="9" t="b">
        <v>0</v>
      </c>
      <c r="E4152" s="9"/>
    </row>
    <row r="4153" ht="15.75" customHeight="1">
      <c r="A4153" s="9" t="s">
        <v>36465</v>
      </c>
      <c r="B4153" s="9" t="s">
        <v>9375</v>
      </c>
      <c r="C4153" s="8" t="s">
        <v>36466</v>
      </c>
      <c r="D4153" s="9" t="b">
        <v>0</v>
      </c>
      <c r="E4153" s="9"/>
    </row>
    <row r="4154" ht="15.75" customHeight="1">
      <c r="A4154" s="9" t="s">
        <v>36467</v>
      </c>
      <c r="B4154" s="9" t="s">
        <v>9375</v>
      </c>
      <c r="C4154" s="8" t="s">
        <v>36468</v>
      </c>
      <c r="D4154" s="9" t="b">
        <v>0</v>
      </c>
      <c r="E4154" s="9"/>
    </row>
    <row r="4155" ht="15.75" customHeight="1">
      <c r="A4155" s="9" t="s">
        <v>36469</v>
      </c>
      <c r="B4155" s="9" t="s">
        <v>9375</v>
      </c>
      <c r="C4155" s="8" t="s">
        <v>36470</v>
      </c>
      <c r="D4155" s="9" t="b">
        <v>0</v>
      </c>
      <c r="E4155" s="9"/>
    </row>
    <row r="4156" ht="15.75" customHeight="1">
      <c r="A4156" s="9" t="s">
        <v>36471</v>
      </c>
      <c r="B4156" s="9" t="s">
        <v>3497</v>
      </c>
      <c r="C4156" s="8" t="s">
        <v>36472</v>
      </c>
      <c r="D4156" s="9" t="b">
        <v>0</v>
      </c>
      <c r="E4156" s="9"/>
    </row>
    <row r="4157" ht="15.75" customHeight="1">
      <c r="A4157" s="9" t="s">
        <v>36473</v>
      </c>
      <c r="B4157" s="9" t="s">
        <v>3497</v>
      </c>
      <c r="C4157" s="8" t="s">
        <v>36474</v>
      </c>
      <c r="D4157" s="9" t="b">
        <v>1</v>
      </c>
      <c r="E4157" s="9"/>
    </row>
    <row r="4158" ht="15.75" customHeight="1">
      <c r="A4158" s="9" t="s">
        <v>36475</v>
      </c>
      <c r="B4158" s="9" t="s">
        <v>3158</v>
      </c>
      <c r="C4158" s="8" t="s">
        <v>36476</v>
      </c>
      <c r="D4158" s="9" t="b">
        <v>0</v>
      </c>
      <c r="E4158" s="9"/>
    </row>
    <row r="4159" ht="15.75" customHeight="1">
      <c r="A4159" s="9" t="s">
        <v>36477</v>
      </c>
      <c r="B4159" s="9" t="s">
        <v>3158</v>
      </c>
      <c r="C4159" s="8" t="s">
        <v>36478</v>
      </c>
      <c r="D4159" s="9" t="b">
        <v>0</v>
      </c>
      <c r="E4159" s="9"/>
    </row>
    <row r="4160" ht="15.75" customHeight="1">
      <c r="A4160" s="9" t="s">
        <v>36479</v>
      </c>
      <c r="B4160" s="9" t="s">
        <v>3158</v>
      </c>
      <c r="C4160" s="8" t="s">
        <v>36480</v>
      </c>
      <c r="D4160" s="9" t="b">
        <v>0</v>
      </c>
      <c r="E4160" s="9"/>
    </row>
    <row r="4161" ht="15.75" customHeight="1">
      <c r="A4161" s="9" t="s">
        <v>36481</v>
      </c>
      <c r="B4161" s="9" t="s">
        <v>3158</v>
      </c>
      <c r="C4161" s="8" t="s">
        <v>36482</v>
      </c>
      <c r="D4161" s="9" t="b">
        <v>0</v>
      </c>
      <c r="E4161" s="9"/>
    </row>
    <row r="4162" ht="15.75" customHeight="1">
      <c r="A4162" s="9" t="s">
        <v>36483</v>
      </c>
      <c r="B4162" s="9" t="s">
        <v>3158</v>
      </c>
      <c r="C4162" s="8" t="s">
        <v>36484</v>
      </c>
      <c r="D4162" s="9" t="b">
        <v>0</v>
      </c>
      <c r="E4162" s="9"/>
    </row>
    <row r="4163" ht="15.75" customHeight="1">
      <c r="A4163" s="9" t="s">
        <v>36485</v>
      </c>
      <c r="B4163" s="9" t="s">
        <v>3158</v>
      </c>
      <c r="C4163" s="8" t="s">
        <v>36486</v>
      </c>
      <c r="D4163" s="9" t="b">
        <v>0</v>
      </c>
      <c r="E4163" s="9"/>
    </row>
    <row r="4164" ht="15.75" customHeight="1">
      <c r="A4164" s="9" t="s">
        <v>36487</v>
      </c>
      <c r="B4164" s="9" t="s">
        <v>3158</v>
      </c>
      <c r="C4164" s="8" t="s">
        <v>36488</v>
      </c>
      <c r="D4164" s="9" t="b">
        <v>0</v>
      </c>
      <c r="E4164" s="9"/>
    </row>
    <row r="4165" ht="15.75" customHeight="1">
      <c r="A4165" s="52" t="s">
        <v>36489</v>
      </c>
      <c r="B4165" s="9" t="s">
        <v>3158</v>
      </c>
      <c r="C4165" s="8" t="s">
        <v>36490</v>
      </c>
      <c r="D4165" s="9" t="b">
        <v>0</v>
      </c>
      <c r="E4165" s="9"/>
    </row>
    <row r="4166" ht="15.75" customHeight="1">
      <c r="A4166" s="9" t="s">
        <v>36491</v>
      </c>
      <c r="B4166" s="9" t="s">
        <v>3158</v>
      </c>
      <c r="C4166" s="8" t="s">
        <v>36492</v>
      </c>
      <c r="D4166" s="9" t="b">
        <v>0</v>
      </c>
      <c r="E4166" s="9"/>
    </row>
    <row r="4167" ht="15.75" customHeight="1">
      <c r="A4167" s="9" t="s">
        <v>36493</v>
      </c>
      <c r="B4167" s="9" t="s">
        <v>3158</v>
      </c>
      <c r="C4167" s="8" t="s">
        <v>36494</v>
      </c>
      <c r="D4167" s="9" t="b">
        <v>0</v>
      </c>
      <c r="E4167" s="9"/>
    </row>
    <row r="4168" ht="15.75" customHeight="1">
      <c r="A4168" s="9" t="s">
        <v>36495</v>
      </c>
      <c r="B4168" s="9" t="s">
        <v>3158</v>
      </c>
      <c r="C4168" s="8" t="s">
        <v>36496</v>
      </c>
      <c r="D4168" s="9" t="b">
        <v>0</v>
      </c>
      <c r="E4168" s="9"/>
    </row>
    <row r="4169" ht="15.75" customHeight="1">
      <c r="A4169" s="9" t="s">
        <v>36497</v>
      </c>
      <c r="B4169" s="9" t="s">
        <v>3158</v>
      </c>
      <c r="C4169" s="8" t="s">
        <v>36498</v>
      </c>
      <c r="D4169" s="9" t="b">
        <v>0</v>
      </c>
      <c r="E4169" s="9"/>
    </row>
    <row r="4170" ht="15.75" customHeight="1">
      <c r="A4170" s="9" t="s">
        <v>36499</v>
      </c>
      <c r="B4170" s="9" t="s">
        <v>3158</v>
      </c>
      <c r="C4170" s="8" t="s">
        <v>36500</v>
      </c>
      <c r="D4170" s="9" t="b">
        <v>0</v>
      </c>
      <c r="E4170" s="9"/>
    </row>
    <row r="4171" ht="15.75" customHeight="1">
      <c r="A4171" s="9" t="s">
        <v>36501</v>
      </c>
      <c r="B4171" s="9" t="s">
        <v>3158</v>
      </c>
      <c r="C4171" s="8" t="s">
        <v>36502</v>
      </c>
      <c r="D4171" s="9" t="b">
        <v>0</v>
      </c>
      <c r="E4171" s="9"/>
    </row>
    <row r="4172" ht="15.75" customHeight="1">
      <c r="A4172" s="9" t="s">
        <v>36503</v>
      </c>
      <c r="B4172" s="9" t="s">
        <v>3158</v>
      </c>
      <c r="C4172" s="8" t="s">
        <v>36504</v>
      </c>
      <c r="D4172" s="9" t="b">
        <v>0</v>
      </c>
      <c r="E4172" s="9"/>
    </row>
    <row r="4173" ht="15.75" customHeight="1">
      <c r="A4173" s="9" t="s">
        <v>36505</v>
      </c>
      <c r="B4173" s="9" t="s">
        <v>3158</v>
      </c>
      <c r="C4173" s="8" t="s">
        <v>36506</v>
      </c>
      <c r="D4173" s="9" t="b">
        <v>0</v>
      </c>
      <c r="E4173" s="9"/>
    </row>
    <row r="4174" ht="15.75" customHeight="1">
      <c r="A4174" s="9" t="s">
        <v>36507</v>
      </c>
      <c r="B4174" s="9" t="s">
        <v>3158</v>
      </c>
      <c r="C4174" s="8" t="s">
        <v>36508</v>
      </c>
      <c r="D4174" s="9" t="b">
        <v>0</v>
      </c>
      <c r="E4174" s="9"/>
    </row>
    <row r="4175" ht="15.75" customHeight="1">
      <c r="A4175" s="9" t="s">
        <v>36509</v>
      </c>
      <c r="B4175" s="9" t="s">
        <v>3158</v>
      </c>
      <c r="C4175" s="8" t="s">
        <v>36510</v>
      </c>
      <c r="D4175" s="9" t="b">
        <v>0</v>
      </c>
      <c r="E4175" s="9"/>
    </row>
    <row r="4176" ht="15.75" customHeight="1">
      <c r="A4176" s="9" t="s">
        <v>36511</v>
      </c>
      <c r="B4176" s="9" t="s">
        <v>3158</v>
      </c>
      <c r="C4176" s="8" t="s">
        <v>36512</v>
      </c>
      <c r="D4176" s="9" t="b">
        <v>0</v>
      </c>
      <c r="E4176" s="9"/>
    </row>
    <row r="4177" ht="15.75" customHeight="1">
      <c r="A4177" s="9" t="s">
        <v>36513</v>
      </c>
      <c r="B4177" s="9" t="s">
        <v>3158</v>
      </c>
      <c r="C4177" s="8" t="s">
        <v>36514</v>
      </c>
      <c r="D4177" s="9" t="b">
        <v>1</v>
      </c>
      <c r="E4177" s="9"/>
    </row>
    <row r="4178" ht="15.75" customHeight="1">
      <c r="A4178" s="9" t="s">
        <v>36515</v>
      </c>
      <c r="B4178" s="9" t="s">
        <v>11427</v>
      </c>
      <c r="C4178" s="8" t="s">
        <v>36516</v>
      </c>
      <c r="D4178" s="9" t="b">
        <v>0</v>
      </c>
      <c r="E4178" s="9"/>
    </row>
    <row r="4179" ht="15.75" customHeight="1">
      <c r="A4179" s="9" t="s">
        <v>36517</v>
      </c>
      <c r="B4179" s="9" t="s">
        <v>11427</v>
      </c>
      <c r="C4179" s="8" t="s">
        <v>36518</v>
      </c>
      <c r="D4179" s="9" t="b">
        <v>0</v>
      </c>
      <c r="E4179" s="9"/>
    </row>
    <row r="4180" ht="15.75" customHeight="1">
      <c r="A4180" s="9" t="s">
        <v>36519</v>
      </c>
      <c r="B4180" s="9" t="s">
        <v>11427</v>
      </c>
      <c r="C4180" s="8" t="s">
        <v>36520</v>
      </c>
      <c r="D4180" s="9" t="b">
        <v>0</v>
      </c>
      <c r="E4180" s="9"/>
    </row>
    <row r="4181" ht="15.75" customHeight="1">
      <c r="A4181" s="9" t="s">
        <v>36521</v>
      </c>
      <c r="B4181" s="9" t="s">
        <v>11427</v>
      </c>
      <c r="C4181" s="8" t="s">
        <v>36522</v>
      </c>
      <c r="D4181" s="9" t="b">
        <v>0</v>
      </c>
      <c r="E4181" s="9"/>
    </row>
    <row r="4182" ht="15.75" customHeight="1">
      <c r="A4182" s="9" t="s">
        <v>36523</v>
      </c>
      <c r="B4182" s="9" t="s">
        <v>11427</v>
      </c>
      <c r="C4182" s="8" t="s">
        <v>36524</v>
      </c>
      <c r="D4182" s="9" t="b">
        <v>1</v>
      </c>
      <c r="E4182" s="9"/>
    </row>
    <row r="4183" ht="15.75" customHeight="1">
      <c r="A4183" s="9" t="s">
        <v>36525</v>
      </c>
      <c r="B4183" s="9" t="s">
        <v>11657</v>
      </c>
      <c r="C4183" s="8" t="s">
        <v>36526</v>
      </c>
      <c r="D4183" s="9" t="b">
        <v>1</v>
      </c>
      <c r="E4183" s="9"/>
    </row>
    <row r="4184" ht="15.75" customHeight="1">
      <c r="A4184" s="9" t="s">
        <v>36527</v>
      </c>
      <c r="B4184" s="9" t="s">
        <v>260</v>
      </c>
      <c r="C4184" s="8" t="s">
        <v>36528</v>
      </c>
      <c r="D4184" s="9" t="b">
        <v>1</v>
      </c>
      <c r="E4184" s="9"/>
    </row>
    <row r="4185" ht="15.75" customHeight="1">
      <c r="A4185" s="9" t="s">
        <v>36529</v>
      </c>
      <c r="B4185" s="9" t="s">
        <v>260</v>
      </c>
      <c r="C4185" s="8" t="s">
        <v>36530</v>
      </c>
      <c r="D4185" s="9" t="b">
        <v>0</v>
      </c>
      <c r="E4185" s="9"/>
    </row>
    <row r="4186" ht="15.75" customHeight="1">
      <c r="A4186" s="9" t="s">
        <v>36531</v>
      </c>
      <c r="B4186" s="9" t="s">
        <v>9564</v>
      </c>
      <c r="C4186" s="8" t="s">
        <v>36532</v>
      </c>
      <c r="D4186" s="9" t="b">
        <v>0</v>
      </c>
      <c r="E4186" s="9"/>
    </row>
    <row r="4187" ht="15.75" customHeight="1">
      <c r="A4187" s="9" t="s">
        <v>36533</v>
      </c>
      <c r="B4187" s="9" t="s">
        <v>9564</v>
      </c>
      <c r="C4187" s="8" t="s">
        <v>36534</v>
      </c>
      <c r="D4187" s="9" t="b">
        <v>0</v>
      </c>
      <c r="E4187" s="9"/>
    </row>
    <row r="4188" ht="15.75" customHeight="1">
      <c r="A4188" s="9" t="s">
        <v>36535</v>
      </c>
      <c r="B4188" s="9" t="s">
        <v>9564</v>
      </c>
      <c r="C4188" s="8" t="s">
        <v>36536</v>
      </c>
      <c r="D4188" s="9" t="b">
        <v>0</v>
      </c>
      <c r="E4188" s="9"/>
    </row>
    <row r="4189" ht="15.75" customHeight="1">
      <c r="A4189" s="9" t="s">
        <v>36537</v>
      </c>
      <c r="B4189" s="9" t="s">
        <v>9564</v>
      </c>
      <c r="C4189" s="8" t="s">
        <v>36538</v>
      </c>
      <c r="D4189" s="9" t="b">
        <v>0</v>
      </c>
      <c r="E4189" s="9"/>
    </row>
    <row r="4190" ht="15.75" customHeight="1">
      <c r="A4190" s="9" t="s">
        <v>36539</v>
      </c>
      <c r="B4190" s="9" t="s">
        <v>9564</v>
      </c>
      <c r="C4190" s="8" t="s">
        <v>36540</v>
      </c>
      <c r="D4190" s="9" t="b">
        <v>0</v>
      </c>
      <c r="E4190" s="9"/>
    </row>
    <row r="4191" ht="15.75" customHeight="1">
      <c r="A4191" s="9" t="s">
        <v>36541</v>
      </c>
      <c r="B4191" s="9" t="s">
        <v>9564</v>
      </c>
      <c r="C4191" s="8" t="s">
        <v>36542</v>
      </c>
      <c r="D4191" s="9" t="b">
        <v>0</v>
      </c>
      <c r="E4191" s="9"/>
    </row>
    <row r="4192" ht="15.75" customHeight="1">
      <c r="A4192" s="9" t="s">
        <v>36543</v>
      </c>
      <c r="B4192" s="9" t="s">
        <v>260</v>
      </c>
      <c r="C4192" s="8" t="s">
        <v>36544</v>
      </c>
      <c r="D4192" s="9" t="b">
        <v>0</v>
      </c>
      <c r="E4192" s="9"/>
    </row>
    <row r="4193" ht="15.75" customHeight="1">
      <c r="A4193" s="9" t="s">
        <v>36545</v>
      </c>
      <c r="B4193" s="9" t="s">
        <v>260</v>
      </c>
      <c r="C4193" s="8" t="s">
        <v>36546</v>
      </c>
      <c r="D4193" s="9" t="b">
        <v>0</v>
      </c>
      <c r="E4193" s="9"/>
    </row>
    <row r="4194" ht="15.75" customHeight="1">
      <c r="A4194" s="9" t="s">
        <v>36547</v>
      </c>
      <c r="B4194" s="9" t="s">
        <v>260</v>
      </c>
      <c r="C4194" s="8" t="s">
        <v>36548</v>
      </c>
      <c r="D4194" s="9" t="b">
        <v>0</v>
      </c>
      <c r="E4194" s="9"/>
    </row>
    <row r="4195" ht="15.75" customHeight="1">
      <c r="A4195" s="9" t="s">
        <v>36549</v>
      </c>
      <c r="B4195" s="9" t="s">
        <v>11419</v>
      </c>
      <c r="C4195" s="8" t="s">
        <v>36550</v>
      </c>
      <c r="D4195" s="9" t="b">
        <v>1</v>
      </c>
      <c r="E4195" s="9"/>
    </row>
    <row r="4196" ht="15.75" customHeight="1">
      <c r="A4196" s="9" t="s">
        <v>36551</v>
      </c>
      <c r="B4196" s="9" t="s">
        <v>11419</v>
      </c>
      <c r="C4196" s="8" t="s">
        <v>36552</v>
      </c>
      <c r="D4196" s="9" t="b">
        <v>0</v>
      </c>
      <c r="E4196" s="9"/>
    </row>
    <row r="4197" ht="15.75" customHeight="1">
      <c r="A4197" s="9" t="s">
        <v>36553</v>
      </c>
      <c r="B4197" s="9" t="s">
        <v>11419</v>
      </c>
      <c r="C4197" s="8" t="s">
        <v>36554</v>
      </c>
      <c r="D4197" s="9" t="b">
        <v>0</v>
      </c>
      <c r="E4197" s="9"/>
    </row>
    <row r="4198" ht="15.75" customHeight="1">
      <c r="A4198" s="9" t="s">
        <v>36555</v>
      </c>
      <c r="B4198" s="9" t="s">
        <v>11419</v>
      </c>
      <c r="C4198" s="8" t="s">
        <v>36556</v>
      </c>
      <c r="D4198" s="9" t="b">
        <v>0</v>
      </c>
      <c r="E4198" s="9"/>
    </row>
    <row r="4199" ht="15.75" customHeight="1">
      <c r="A4199" s="9" t="s">
        <v>36557</v>
      </c>
      <c r="B4199" s="9" t="s">
        <v>11419</v>
      </c>
      <c r="C4199" s="8" t="s">
        <v>36558</v>
      </c>
      <c r="D4199" s="9" t="b">
        <v>0</v>
      </c>
      <c r="E4199" s="9"/>
    </row>
    <row r="4200" ht="15.75" customHeight="1">
      <c r="A4200" s="9" t="s">
        <v>36559</v>
      </c>
      <c r="B4200" s="9" t="s">
        <v>4674</v>
      </c>
      <c r="C4200" s="8" t="s">
        <v>36560</v>
      </c>
      <c r="D4200" s="9" t="b">
        <v>0</v>
      </c>
      <c r="E4200" s="9"/>
    </row>
    <row r="4201" ht="15.75" customHeight="1">
      <c r="A4201" s="9" t="s">
        <v>36561</v>
      </c>
      <c r="B4201" s="9" t="s">
        <v>4674</v>
      </c>
      <c r="C4201" s="8" t="s">
        <v>36562</v>
      </c>
      <c r="D4201" s="9" t="b">
        <v>0</v>
      </c>
      <c r="E4201" s="9"/>
    </row>
    <row r="4202" ht="15.75" customHeight="1">
      <c r="A4202" s="9" t="s">
        <v>36563</v>
      </c>
      <c r="B4202" s="9" t="s">
        <v>4674</v>
      </c>
      <c r="C4202" s="8" t="s">
        <v>36564</v>
      </c>
      <c r="D4202" s="9" t="b">
        <v>0</v>
      </c>
      <c r="E4202" s="9"/>
    </row>
    <row r="4203" ht="15.75" customHeight="1">
      <c r="A4203" s="9" t="s">
        <v>36565</v>
      </c>
      <c r="B4203" s="9" t="s">
        <v>4674</v>
      </c>
      <c r="C4203" s="8" t="s">
        <v>36566</v>
      </c>
      <c r="D4203" s="9" t="b">
        <v>0</v>
      </c>
      <c r="E4203" s="9"/>
    </row>
    <row r="4204" ht="15.75" customHeight="1">
      <c r="A4204" s="9" t="s">
        <v>36567</v>
      </c>
      <c r="B4204" s="9" t="s">
        <v>11429</v>
      </c>
      <c r="C4204" s="8" t="s">
        <v>36568</v>
      </c>
      <c r="D4204" s="9" t="b">
        <v>1</v>
      </c>
      <c r="E4204" s="9"/>
    </row>
    <row r="4205" ht="15.75" customHeight="1">
      <c r="A4205" s="9" t="s">
        <v>36569</v>
      </c>
      <c r="B4205" s="9" t="s">
        <v>11429</v>
      </c>
      <c r="C4205" s="8" t="s">
        <v>36570</v>
      </c>
      <c r="D4205" s="9" t="b">
        <v>0</v>
      </c>
      <c r="E4205" s="9"/>
    </row>
    <row r="4206" ht="15.75" customHeight="1">
      <c r="A4206" s="9" t="s">
        <v>36571</v>
      </c>
      <c r="B4206" s="9" t="s">
        <v>11429</v>
      </c>
      <c r="C4206" s="8" t="s">
        <v>36572</v>
      </c>
      <c r="D4206" s="9" t="b">
        <v>0</v>
      </c>
      <c r="E4206" s="9"/>
    </row>
    <row r="4207" ht="15.75" customHeight="1">
      <c r="A4207" s="9" t="s">
        <v>36573</v>
      </c>
      <c r="B4207" s="9" t="s">
        <v>11429</v>
      </c>
      <c r="C4207" s="8" t="s">
        <v>36574</v>
      </c>
      <c r="D4207" s="9" t="b">
        <v>0</v>
      </c>
      <c r="E4207" s="9"/>
    </row>
    <row r="4208" ht="15.75" customHeight="1">
      <c r="A4208" s="9" t="s">
        <v>36575</v>
      </c>
      <c r="B4208" s="9" t="s">
        <v>4224</v>
      </c>
      <c r="C4208" s="8" t="s">
        <v>36576</v>
      </c>
      <c r="D4208" s="9" t="b">
        <v>0</v>
      </c>
      <c r="E4208" s="9"/>
    </row>
    <row r="4209" ht="15.75" customHeight="1">
      <c r="A4209" s="9" t="s">
        <v>36577</v>
      </c>
      <c r="B4209" s="9" t="s">
        <v>4224</v>
      </c>
      <c r="C4209" s="8" t="s">
        <v>36578</v>
      </c>
      <c r="D4209" s="9" t="b">
        <v>0</v>
      </c>
      <c r="E4209" s="9"/>
    </row>
    <row r="4210" ht="15.75" customHeight="1">
      <c r="A4210" s="9" t="s">
        <v>36579</v>
      </c>
      <c r="B4210" s="9" t="s">
        <v>4224</v>
      </c>
      <c r="C4210" s="8" t="s">
        <v>36580</v>
      </c>
      <c r="D4210" s="9" t="b">
        <v>0</v>
      </c>
      <c r="E4210" s="9"/>
    </row>
    <row r="4211" ht="15.75" customHeight="1">
      <c r="A4211" s="9" t="s">
        <v>36581</v>
      </c>
      <c r="B4211" s="9" t="s">
        <v>4224</v>
      </c>
      <c r="C4211" s="8" t="s">
        <v>36582</v>
      </c>
      <c r="D4211" s="9" t="b">
        <v>0</v>
      </c>
      <c r="E4211" s="9"/>
    </row>
    <row r="4212" ht="15.75" customHeight="1">
      <c r="A4212" s="9" t="s">
        <v>36583</v>
      </c>
      <c r="B4212" s="9" t="s">
        <v>3314</v>
      </c>
      <c r="C4212" s="8" t="s">
        <v>36584</v>
      </c>
      <c r="D4212" s="9" t="b">
        <v>0</v>
      </c>
      <c r="E4212" s="9"/>
    </row>
    <row r="4213" ht="15.75" customHeight="1">
      <c r="A4213" s="9" t="s">
        <v>36585</v>
      </c>
      <c r="B4213" s="9" t="s">
        <v>3314</v>
      </c>
      <c r="C4213" s="8" t="s">
        <v>36586</v>
      </c>
      <c r="D4213" s="9" t="b">
        <v>0</v>
      </c>
      <c r="E4213" s="9"/>
    </row>
    <row r="4214" ht="15.75" customHeight="1">
      <c r="A4214" s="9" t="s">
        <v>36587</v>
      </c>
      <c r="B4214" s="9" t="s">
        <v>3314</v>
      </c>
      <c r="C4214" s="8" t="s">
        <v>36588</v>
      </c>
      <c r="D4214" s="9" t="b">
        <v>0</v>
      </c>
      <c r="E4214" s="9"/>
    </row>
    <row r="4215" ht="15.75" customHeight="1">
      <c r="A4215" s="9" t="s">
        <v>36589</v>
      </c>
      <c r="B4215" s="9" t="s">
        <v>4674</v>
      </c>
      <c r="C4215" s="8" t="s">
        <v>36590</v>
      </c>
      <c r="D4215" s="9" t="b">
        <v>0</v>
      </c>
      <c r="E4215" s="9"/>
    </row>
    <row r="4216" ht="15.75" customHeight="1">
      <c r="A4216" s="9" t="s">
        <v>36591</v>
      </c>
      <c r="B4216" s="9" t="s">
        <v>4674</v>
      </c>
      <c r="C4216" s="8" t="s">
        <v>36592</v>
      </c>
      <c r="D4216" s="9" t="b">
        <v>0</v>
      </c>
      <c r="E4216" s="9"/>
    </row>
    <row r="4217" ht="15.75" customHeight="1">
      <c r="A4217" s="9" t="s">
        <v>36593</v>
      </c>
      <c r="B4217" s="9" t="s">
        <v>3314</v>
      </c>
      <c r="C4217" s="8" t="s">
        <v>36594</v>
      </c>
      <c r="D4217" s="9" t="b">
        <v>0</v>
      </c>
      <c r="E4217" s="9"/>
    </row>
    <row r="4218" ht="15.75" customHeight="1">
      <c r="A4218" s="9" t="s">
        <v>36595</v>
      </c>
      <c r="B4218" s="9" t="s">
        <v>11717</v>
      </c>
      <c r="C4218" s="8" t="s">
        <v>36596</v>
      </c>
      <c r="D4218" s="9" t="b">
        <v>0</v>
      </c>
      <c r="E4218" s="9" t="s">
        <v>36597</v>
      </c>
    </row>
    <row r="4219" ht="15.75" customHeight="1">
      <c r="A4219" s="9" t="s">
        <v>36598</v>
      </c>
      <c r="B4219" s="9" t="s">
        <v>11717</v>
      </c>
      <c r="C4219" s="8" t="s">
        <v>36599</v>
      </c>
      <c r="D4219" s="9" t="b">
        <v>0</v>
      </c>
      <c r="E4219" s="9" t="s">
        <v>36600</v>
      </c>
    </row>
    <row r="4220" ht="15.75" customHeight="1">
      <c r="A4220" s="9" t="s">
        <v>36601</v>
      </c>
      <c r="B4220" s="9" t="s">
        <v>3314</v>
      </c>
      <c r="C4220" s="8" t="s">
        <v>36602</v>
      </c>
      <c r="D4220" s="9" t="b">
        <v>0</v>
      </c>
      <c r="E4220" s="9"/>
    </row>
    <row r="4221" ht="15.75" customHeight="1">
      <c r="A4221" s="9" t="s">
        <v>36603</v>
      </c>
      <c r="B4221" s="9" t="s">
        <v>3314</v>
      </c>
      <c r="C4221" s="8" t="s">
        <v>36604</v>
      </c>
      <c r="D4221" s="9" t="b">
        <v>0</v>
      </c>
      <c r="E4221" s="9"/>
    </row>
    <row r="4222" ht="15.75" customHeight="1">
      <c r="A4222" s="9" t="s">
        <v>36605</v>
      </c>
      <c r="B4222" s="9" t="s">
        <v>9827</v>
      </c>
      <c r="C4222" s="8" t="s">
        <v>36606</v>
      </c>
      <c r="D4222" s="9" t="b">
        <v>0</v>
      </c>
      <c r="E4222" s="9"/>
    </row>
    <row r="4223" ht="15.75" customHeight="1">
      <c r="A4223" s="9" t="s">
        <v>36607</v>
      </c>
      <c r="B4223" s="9" t="s">
        <v>9827</v>
      </c>
      <c r="C4223" s="8" t="s">
        <v>36608</v>
      </c>
      <c r="D4223" s="9" t="b">
        <v>0</v>
      </c>
      <c r="E4223" s="9"/>
    </row>
    <row r="4224" ht="15.75" customHeight="1">
      <c r="A4224" s="9" t="s">
        <v>36609</v>
      </c>
      <c r="B4224" s="9" t="s">
        <v>9827</v>
      </c>
      <c r="C4224" s="8" t="s">
        <v>36610</v>
      </c>
      <c r="D4224" s="9" t="b">
        <v>0</v>
      </c>
      <c r="E4224" s="9"/>
    </row>
    <row r="4225" ht="15.75" customHeight="1">
      <c r="A4225" s="9" t="s">
        <v>36611</v>
      </c>
      <c r="B4225" s="9" t="s">
        <v>9827</v>
      </c>
      <c r="C4225" s="8" t="s">
        <v>36612</v>
      </c>
      <c r="D4225" s="9" t="b">
        <v>0</v>
      </c>
      <c r="E4225" s="9"/>
    </row>
    <row r="4226" ht="15.75" customHeight="1">
      <c r="A4226" s="9" t="s">
        <v>36613</v>
      </c>
      <c r="B4226" s="9" t="s">
        <v>11415</v>
      </c>
      <c r="C4226" s="8" t="s">
        <v>36614</v>
      </c>
      <c r="D4226" s="9" t="b">
        <v>0</v>
      </c>
      <c r="E4226" s="9"/>
    </row>
    <row r="4227" ht="15.75" customHeight="1">
      <c r="A4227" s="9" t="s">
        <v>36615</v>
      </c>
      <c r="B4227" s="9" t="s">
        <v>11415</v>
      </c>
      <c r="C4227" s="8" t="s">
        <v>36616</v>
      </c>
      <c r="D4227" s="9" t="b">
        <v>0</v>
      </c>
      <c r="E4227" s="9"/>
    </row>
    <row r="4228" ht="15.75" customHeight="1">
      <c r="A4228" s="9" t="s">
        <v>36617</v>
      </c>
      <c r="B4228" s="9" t="s">
        <v>11415</v>
      </c>
      <c r="C4228" s="8" t="s">
        <v>36618</v>
      </c>
      <c r="D4228" s="9" t="b">
        <v>0</v>
      </c>
      <c r="E4228" s="9"/>
    </row>
    <row r="4229" ht="15.75" customHeight="1">
      <c r="A4229" s="9" t="s">
        <v>36619</v>
      </c>
      <c r="B4229" s="9" t="s">
        <v>11415</v>
      </c>
      <c r="C4229" s="8" t="s">
        <v>36620</v>
      </c>
      <c r="D4229" s="9" t="b">
        <v>0</v>
      </c>
      <c r="E4229" s="9"/>
    </row>
    <row r="4230" ht="15.75" customHeight="1">
      <c r="A4230" s="9" t="s">
        <v>36621</v>
      </c>
      <c r="B4230" s="9" t="s">
        <v>11415</v>
      </c>
      <c r="C4230" s="8" t="s">
        <v>36622</v>
      </c>
      <c r="D4230" s="9" t="b">
        <v>1</v>
      </c>
      <c r="E4230" s="9"/>
    </row>
    <row r="4231" ht="15.75" customHeight="1">
      <c r="A4231" s="9" t="s">
        <v>36623</v>
      </c>
      <c r="B4231" s="9" t="s">
        <v>11406</v>
      </c>
      <c r="C4231" s="8" t="s">
        <v>36624</v>
      </c>
      <c r="D4231" s="9" t="b">
        <v>0</v>
      </c>
      <c r="E4231" s="9"/>
    </row>
    <row r="4232" ht="15.75" customHeight="1">
      <c r="A4232" s="9" t="s">
        <v>36625</v>
      </c>
      <c r="B4232" s="9" t="s">
        <v>11406</v>
      </c>
      <c r="C4232" s="8" t="s">
        <v>36626</v>
      </c>
      <c r="D4232" s="9" t="b">
        <v>0</v>
      </c>
      <c r="E4232" s="9"/>
    </row>
    <row r="4233" ht="15.75" customHeight="1">
      <c r="A4233" s="9" t="s">
        <v>36627</v>
      </c>
      <c r="B4233" s="9" t="s">
        <v>11406</v>
      </c>
      <c r="C4233" s="8" t="s">
        <v>36628</v>
      </c>
      <c r="D4233" s="9" t="b">
        <v>0</v>
      </c>
      <c r="E4233" s="9"/>
    </row>
    <row r="4234" ht="15.75" customHeight="1">
      <c r="A4234" s="9" t="s">
        <v>36629</v>
      </c>
      <c r="B4234" s="9" t="s">
        <v>11406</v>
      </c>
      <c r="C4234" s="8" t="s">
        <v>36630</v>
      </c>
      <c r="D4234" s="9" t="b">
        <v>0</v>
      </c>
      <c r="E4234" s="9"/>
    </row>
    <row r="4235" ht="15.75" customHeight="1">
      <c r="A4235" s="9" t="s">
        <v>36631</v>
      </c>
      <c r="B4235" s="9" t="s">
        <v>11406</v>
      </c>
      <c r="C4235" s="8" t="s">
        <v>36632</v>
      </c>
      <c r="D4235" s="9" t="b">
        <v>0</v>
      </c>
      <c r="E4235" s="9"/>
    </row>
    <row r="4236" ht="15.75" customHeight="1">
      <c r="A4236" s="9" t="s">
        <v>36633</v>
      </c>
      <c r="B4236" s="9" t="s">
        <v>11406</v>
      </c>
      <c r="C4236" s="8" t="s">
        <v>36634</v>
      </c>
      <c r="D4236" s="9" t="b">
        <v>1</v>
      </c>
      <c r="E4236" s="9"/>
    </row>
    <row r="4237" ht="15.75" customHeight="1">
      <c r="A4237" s="52" t="s">
        <v>36635</v>
      </c>
      <c r="B4237" s="9" t="s">
        <v>11748</v>
      </c>
      <c r="C4237" s="8" t="s">
        <v>36636</v>
      </c>
      <c r="D4237" s="9" t="b">
        <v>0</v>
      </c>
      <c r="E4237" s="9"/>
    </row>
    <row r="4238" ht="15.75" customHeight="1">
      <c r="A4238" s="9" t="s">
        <v>36637</v>
      </c>
      <c r="B4238" s="9" t="s">
        <v>11748</v>
      </c>
      <c r="C4238" s="8" t="s">
        <v>36638</v>
      </c>
      <c r="D4238" s="9" t="b">
        <v>1</v>
      </c>
      <c r="E4238" s="9"/>
    </row>
    <row r="4239" ht="15.75" customHeight="1">
      <c r="A4239" s="9" t="s">
        <v>36639</v>
      </c>
      <c r="B4239" s="9" t="s">
        <v>931</v>
      </c>
      <c r="C4239" s="8" t="s">
        <v>36640</v>
      </c>
      <c r="D4239" s="9" t="b">
        <v>1</v>
      </c>
      <c r="E4239" s="9"/>
    </row>
    <row r="4240" ht="15.75" customHeight="1">
      <c r="A4240" s="9"/>
      <c r="B4240" s="9"/>
      <c r="C4240" s="9"/>
      <c r="D4240" s="9"/>
      <c r="E4240" s="9"/>
    </row>
    <row r="4241" ht="15.75" customHeight="1">
      <c r="A4241" s="9"/>
      <c r="B4241" s="9"/>
      <c r="C4241" s="9"/>
      <c r="D4241" s="9"/>
      <c r="E4241" s="9"/>
    </row>
    <row r="4242" ht="15.75" customHeight="1">
      <c r="A4242" s="9"/>
      <c r="B4242" s="9"/>
      <c r="C4242" s="9"/>
      <c r="D4242" s="9"/>
      <c r="E4242" s="9"/>
    </row>
    <row r="4243" ht="15.75" customHeight="1">
      <c r="A4243" s="9" t="s">
        <v>36641</v>
      </c>
      <c r="B4243" s="9" t="s">
        <v>11431</v>
      </c>
      <c r="C4243" s="8" t="s">
        <v>36642</v>
      </c>
      <c r="D4243" s="9" t="b">
        <v>0</v>
      </c>
      <c r="E4243" s="9"/>
    </row>
    <row r="4244" ht="15.75" customHeight="1">
      <c r="A4244" s="9"/>
      <c r="B4244" s="9"/>
      <c r="C4244" s="9"/>
      <c r="D4244" s="9"/>
      <c r="E4244" s="9"/>
    </row>
    <row r="4245" ht="15.75" customHeight="1">
      <c r="A4245" s="9" t="s">
        <v>36643</v>
      </c>
      <c r="B4245" s="9" t="s">
        <v>11433</v>
      </c>
      <c r="C4245" s="8" t="s">
        <v>36644</v>
      </c>
      <c r="D4245" s="9" t="b">
        <v>0</v>
      </c>
      <c r="E4245" s="9"/>
    </row>
    <row r="4246" ht="15.75" customHeight="1">
      <c r="A4246" s="9" t="s">
        <v>36645</v>
      </c>
      <c r="B4246" s="9" t="s">
        <v>11433</v>
      </c>
      <c r="C4246" s="8" t="s">
        <v>36646</v>
      </c>
      <c r="D4246" s="9" t="b">
        <v>0</v>
      </c>
      <c r="E4246" s="9"/>
    </row>
    <row r="4247" ht="15.75" customHeight="1">
      <c r="A4247" s="9" t="s">
        <v>36647</v>
      </c>
      <c r="B4247" s="9" t="s">
        <v>11433</v>
      </c>
      <c r="C4247" s="8" t="s">
        <v>36648</v>
      </c>
      <c r="D4247" s="9" t="b">
        <v>0</v>
      </c>
      <c r="E4247" s="9"/>
    </row>
    <row r="4248" ht="15.75" customHeight="1">
      <c r="A4248" s="9" t="s">
        <v>36649</v>
      </c>
      <c r="B4248" s="9" t="s">
        <v>11433</v>
      </c>
      <c r="C4248" s="8" t="s">
        <v>36650</v>
      </c>
      <c r="D4248" s="9" t="b">
        <v>0</v>
      </c>
      <c r="E4248" s="9"/>
    </row>
    <row r="4249" ht="15.75" customHeight="1">
      <c r="A4249" s="9" t="s">
        <v>36651</v>
      </c>
      <c r="B4249" s="9" t="s">
        <v>11433</v>
      </c>
      <c r="C4249" s="8" t="s">
        <v>36652</v>
      </c>
      <c r="D4249" s="9" t="b">
        <v>0</v>
      </c>
      <c r="E4249" s="9"/>
    </row>
    <row r="4250" ht="15.75" customHeight="1">
      <c r="A4250" s="9" t="s">
        <v>36653</v>
      </c>
      <c r="B4250" s="9" t="s">
        <v>11433</v>
      </c>
      <c r="C4250" s="8" t="s">
        <v>36654</v>
      </c>
      <c r="D4250" s="9" t="b">
        <v>1</v>
      </c>
      <c r="E4250" s="9"/>
    </row>
    <row r="4251" ht="15.75" customHeight="1">
      <c r="A4251" s="9" t="s">
        <v>36655</v>
      </c>
      <c r="B4251" s="9" t="s">
        <v>8060</v>
      </c>
      <c r="C4251" s="8" t="s">
        <v>36656</v>
      </c>
      <c r="D4251" s="9" t="b">
        <v>0</v>
      </c>
      <c r="E4251" s="9"/>
    </row>
    <row r="4252" ht="15.75" customHeight="1">
      <c r="A4252" s="9" t="s">
        <v>36657</v>
      </c>
      <c r="B4252" s="9" t="s">
        <v>8060</v>
      </c>
      <c r="C4252" s="8" t="s">
        <v>36658</v>
      </c>
      <c r="D4252" s="9" t="b">
        <v>0</v>
      </c>
      <c r="E4252" s="9"/>
    </row>
    <row r="4253" ht="15.75" customHeight="1">
      <c r="A4253" s="9" t="s">
        <v>36659</v>
      </c>
      <c r="B4253" s="9" t="s">
        <v>8060</v>
      </c>
      <c r="C4253" s="8" t="s">
        <v>36660</v>
      </c>
      <c r="D4253" s="9" t="b">
        <v>0</v>
      </c>
      <c r="E4253" s="9"/>
    </row>
    <row r="4254" ht="15.75" customHeight="1">
      <c r="A4254" s="9" t="s">
        <v>36661</v>
      </c>
      <c r="B4254" s="9" t="s">
        <v>8060</v>
      </c>
      <c r="C4254" s="8" t="s">
        <v>36662</v>
      </c>
      <c r="D4254" s="9" t="b">
        <v>0</v>
      </c>
      <c r="E4254" s="9"/>
    </row>
    <row r="4255" ht="15.75" customHeight="1">
      <c r="A4255" s="9" t="s">
        <v>36663</v>
      </c>
      <c r="B4255" s="9" t="s">
        <v>2902</v>
      </c>
      <c r="C4255" s="8" t="s">
        <v>36664</v>
      </c>
      <c r="D4255" s="9" t="b">
        <v>1</v>
      </c>
      <c r="E4255" s="9"/>
    </row>
    <row r="4256" ht="15.75" customHeight="1">
      <c r="A4256" s="9" t="s">
        <v>36665</v>
      </c>
      <c r="B4256" s="9" t="s">
        <v>10567</v>
      </c>
      <c r="C4256" s="8" t="s">
        <v>36666</v>
      </c>
      <c r="D4256" s="9" t="b">
        <v>1</v>
      </c>
      <c r="E4256" s="9"/>
    </row>
    <row r="4257" ht="15.75" customHeight="1">
      <c r="A4257" s="9" t="s">
        <v>36667</v>
      </c>
      <c r="B4257" s="9" t="s">
        <v>10211</v>
      </c>
      <c r="C4257" s="8" t="s">
        <v>36668</v>
      </c>
      <c r="D4257" s="9" t="b">
        <v>0</v>
      </c>
      <c r="E4257" s="9"/>
    </row>
    <row r="4258" ht="15.75" customHeight="1">
      <c r="A4258" s="9" t="s">
        <v>36669</v>
      </c>
      <c r="B4258" s="9" t="s">
        <v>10211</v>
      </c>
      <c r="C4258" s="8" t="s">
        <v>36670</v>
      </c>
      <c r="D4258" s="9" t="b">
        <v>0</v>
      </c>
      <c r="E4258" s="9"/>
    </row>
    <row r="4259" ht="15.75" customHeight="1">
      <c r="A4259" s="52" t="s">
        <v>36671</v>
      </c>
      <c r="B4259" s="9" t="s">
        <v>10211</v>
      </c>
      <c r="C4259" s="8" t="s">
        <v>36672</v>
      </c>
      <c r="D4259" s="9" t="b">
        <v>0</v>
      </c>
      <c r="E4259" s="9"/>
    </row>
    <row r="4260" ht="15.75" customHeight="1">
      <c r="A4260" s="9" t="s">
        <v>36673</v>
      </c>
      <c r="B4260" s="9" t="s">
        <v>10211</v>
      </c>
      <c r="C4260" s="8" t="s">
        <v>36674</v>
      </c>
      <c r="D4260" s="9" t="b">
        <v>0</v>
      </c>
      <c r="E4260" s="9"/>
    </row>
    <row r="4261" ht="15.75" customHeight="1">
      <c r="A4261" s="9" t="s">
        <v>36675</v>
      </c>
      <c r="B4261" s="9" t="s">
        <v>10211</v>
      </c>
      <c r="C4261" s="8" t="s">
        <v>36676</v>
      </c>
      <c r="D4261" s="9" t="b">
        <v>0</v>
      </c>
      <c r="E4261" s="9"/>
    </row>
    <row r="4262" ht="15.75" customHeight="1">
      <c r="A4262" s="9" t="s">
        <v>36677</v>
      </c>
      <c r="B4262" s="9" t="s">
        <v>10211</v>
      </c>
      <c r="C4262" s="8" t="s">
        <v>36678</v>
      </c>
      <c r="D4262" s="9" t="b">
        <v>0</v>
      </c>
      <c r="E4262" s="9"/>
    </row>
    <row r="4263" ht="15.75" customHeight="1">
      <c r="A4263" s="9" t="s">
        <v>36679</v>
      </c>
      <c r="B4263" s="9" t="s">
        <v>10211</v>
      </c>
      <c r="C4263" s="8" t="s">
        <v>36680</v>
      </c>
      <c r="D4263" s="9" t="b">
        <v>0</v>
      </c>
      <c r="E4263" s="9"/>
    </row>
    <row r="4264" ht="15.75" customHeight="1">
      <c r="A4264" s="9" t="s">
        <v>36681</v>
      </c>
      <c r="B4264" s="9" t="s">
        <v>10211</v>
      </c>
      <c r="C4264" s="8" t="s">
        <v>36682</v>
      </c>
      <c r="D4264" s="9" t="b">
        <v>0</v>
      </c>
      <c r="E4264" s="9"/>
    </row>
    <row r="4265" ht="15.75" customHeight="1">
      <c r="A4265" s="9" t="s">
        <v>36683</v>
      </c>
      <c r="B4265" s="9" t="s">
        <v>10211</v>
      </c>
      <c r="C4265" s="8" t="s">
        <v>36684</v>
      </c>
      <c r="D4265" s="9" t="b">
        <v>1</v>
      </c>
      <c r="E4265" s="9"/>
    </row>
    <row r="4266" ht="15.75" customHeight="1">
      <c r="A4266" s="9" t="s">
        <v>36685</v>
      </c>
      <c r="B4266" s="9" t="s">
        <v>5037</v>
      </c>
      <c r="C4266" s="8" t="s">
        <v>36686</v>
      </c>
      <c r="D4266" s="9" t="b">
        <v>0</v>
      </c>
      <c r="E4266" s="9"/>
    </row>
    <row r="4267" ht="15.75" customHeight="1">
      <c r="A4267" s="9" t="s">
        <v>36687</v>
      </c>
      <c r="B4267" s="9" t="s">
        <v>5037</v>
      </c>
      <c r="C4267" s="8" t="s">
        <v>36688</v>
      </c>
      <c r="D4267" s="9" t="b">
        <v>0</v>
      </c>
      <c r="E4267" s="9"/>
    </row>
    <row r="4268" ht="15.75" customHeight="1">
      <c r="A4268" s="9" t="s">
        <v>36689</v>
      </c>
      <c r="B4268" s="9" t="s">
        <v>5037</v>
      </c>
      <c r="C4268" s="8" t="s">
        <v>36690</v>
      </c>
      <c r="D4268" s="9" t="b">
        <v>0</v>
      </c>
      <c r="E4268" s="9"/>
    </row>
    <row r="4269" ht="15.75" customHeight="1">
      <c r="A4269" s="9" t="s">
        <v>36691</v>
      </c>
      <c r="B4269" s="9" t="s">
        <v>5037</v>
      </c>
      <c r="C4269" s="8" t="s">
        <v>36692</v>
      </c>
      <c r="D4269" s="9" t="b">
        <v>0</v>
      </c>
      <c r="E4269" s="9"/>
    </row>
    <row r="4270" ht="15.75" customHeight="1">
      <c r="A4270" s="9" t="s">
        <v>36693</v>
      </c>
      <c r="B4270" s="9" t="s">
        <v>5037</v>
      </c>
      <c r="C4270" s="8" t="s">
        <v>36694</v>
      </c>
      <c r="D4270" s="9" t="b">
        <v>0</v>
      </c>
      <c r="E4270" s="9"/>
    </row>
    <row r="4271" ht="15.75" customHeight="1">
      <c r="A4271" s="52" t="s">
        <v>36695</v>
      </c>
      <c r="B4271" s="9" t="s">
        <v>5037</v>
      </c>
      <c r="C4271" s="8" t="s">
        <v>36696</v>
      </c>
      <c r="D4271" s="9" t="b">
        <v>0</v>
      </c>
      <c r="E4271" s="9"/>
    </row>
    <row r="4272" ht="15.75" customHeight="1">
      <c r="A4272" s="9" t="s">
        <v>36697</v>
      </c>
      <c r="B4272" s="9" t="s">
        <v>5037</v>
      </c>
      <c r="C4272" s="8" t="s">
        <v>36698</v>
      </c>
      <c r="D4272" s="9" t="b">
        <v>0</v>
      </c>
      <c r="E4272" s="9"/>
    </row>
    <row r="4273" ht="15.75" customHeight="1">
      <c r="A4273" s="9" t="s">
        <v>36699</v>
      </c>
      <c r="B4273" s="9" t="s">
        <v>5037</v>
      </c>
      <c r="C4273" s="8" t="s">
        <v>36700</v>
      </c>
      <c r="D4273" s="9" t="b">
        <v>0</v>
      </c>
      <c r="E4273" s="9"/>
    </row>
    <row r="4274" ht="15.75" customHeight="1">
      <c r="A4274" s="9" t="s">
        <v>36701</v>
      </c>
      <c r="B4274" s="9" t="s">
        <v>5037</v>
      </c>
      <c r="C4274" s="8" t="s">
        <v>36702</v>
      </c>
      <c r="D4274" s="9" t="b">
        <v>0</v>
      </c>
      <c r="E4274" s="9"/>
    </row>
    <row r="4275" ht="15.75" customHeight="1">
      <c r="A4275" s="9" t="s">
        <v>36703</v>
      </c>
      <c r="B4275" s="9" t="s">
        <v>5037</v>
      </c>
      <c r="C4275" s="8" t="s">
        <v>36704</v>
      </c>
      <c r="D4275" s="9" t="b">
        <v>1</v>
      </c>
      <c r="E4275" s="9"/>
    </row>
    <row r="4276" ht="15.75" customHeight="1">
      <c r="A4276" s="9" t="s">
        <v>36705</v>
      </c>
      <c r="B4276" s="9" t="s">
        <v>11435</v>
      </c>
      <c r="C4276" s="8" t="s">
        <v>36706</v>
      </c>
      <c r="D4276" s="9" t="b">
        <v>0</v>
      </c>
      <c r="E4276" s="9"/>
    </row>
    <row r="4277" ht="15.75" customHeight="1">
      <c r="A4277" s="9" t="s">
        <v>36707</v>
      </c>
      <c r="B4277" s="9" t="s">
        <v>11435</v>
      </c>
      <c r="C4277" s="8" t="s">
        <v>36708</v>
      </c>
      <c r="D4277" s="9" t="b">
        <v>0</v>
      </c>
      <c r="E4277" s="9"/>
    </row>
    <row r="4278" ht="15.75" customHeight="1">
      <c r="A4278" s="52" t="s">
        <v>36709</v>
      </c>
      <c r="B4278" s="9" t="s">
        <v>11435</v>
      </c>
      <c r="C4278" s="8" t="s">
        <v>36710</v>
      </c>
      <c r="D4278" s="9" t="b">
        <v>0</v>
      </c>
      <c r="E4278" s="9"/>
    </row>
    <row r="4279" ht="15.75" customHeight="1">
      <c r="A4279" s="9" t="s">
        <v>36711</v>
      </c>
      <c r="B4279" s="9" t="s">
        <v>11435</v>
      </c>
      <c r="C4279" s="8" t="s">
        <v>36712</v>
      </c>
      <c r="D4279" s="9" t="b">
        <v>0</v>
      </c>
      <c r="E4279" s="9"/>
    </row>
    <row r="4280" ht="15.75" customHeight="1">
      <c r="A4280" s="9" t="s">
        <v>36713</v>
      </c>
      <c r="B4280" s="9" t="s">
        <v>11435</v>
      </c>
      <c r="C4280" s="8" t="s">
        <v>36714</v>
      </c>
      <c r="D4280" s="9" t="b">
        <v>0</v>
      </c>
      <c r="E4280" s="9"/>
    </row>
    <row r="4281" ht="15.75" customHeight="1">
      <c r="A4281" s="9" t="s">
        <v>36715</v>
      </c>
      <c r="B4281" s="9" t="s">
        <v>11435</v>
      </c>
      <c r="C4281" s="8" t="s">
        <v>36716</v>
      </c>
      <c r="D4281" s="9" t="b">
        <v>1</v>
      </c>
      <c r="E4281" s="9"/>
    </row>
    <row r="4282" ht="15.75" customHeight="1">
      <c r="A4282" s="9"/>
      <c r="B4282" s="9"/>
      <c r="C4282" s="9"/>
      <c r="D4282" s="9"/>
      <c r="E4282" s="9"/>
    </row>
    <row r="4283" ht="15.75" customHeight="1">
      <c r="A4283" s="9" t="s">
        <v>36717</v>
      </c>
      <c r="B4283" s="9" t="s">
        <v>9048</v>
      </c>
      <c r="C4283" s="8" t="s">
        <v>36718</v>
      </c>
      <c r="D4283" s="9" t="b">
        <v>0</v>
      </c>
      <c r="E4283" s="9" t="s">
        <v>36719</v>
      </c>
    </row>
    <row r="4284" ht="15.75" customHeight="1">
      <c r="A4284" s="9" t="s">
        <v>36720</v>
      </c>
      <c r="B4284" s="9" t="s">
        <v>9048</v>
      </c>
      <c r="C4284" s="8" t="s">
        <v>36721</v>
      </c>
      <c r="D4284" s="9" t="b">
        <v>0</v>
      </c>
      <c r="E4284" s="9" t="s">
        <v>36719</v>
      </c>
    </row>
    <row r="4285" ht="15.75" customHeight="1">
      <c r="A4285" s="9" t="s">
        <v>36722</v>
      </c>
      <c r="B4285" s="9" t="s">
        <v>9048</v>
      </c>
      <c r="C4285" s="8" t="s">
        <v>36723</v>
      </c>
      <c r="D4285" s="9" t="b">
        <v>1</v>
      </c>
      <c r="E4285" s="9" t="s">
        <v>36719</v>
      </c>
    </row>
    <row r="4286" ht="15.75" customHeight="1">
      <c r="A4286" s="9" t="s">
        <v>36724</v>
      </c>
      <c r="B4286" s="9" t="s">
        <v>9048</v>
      </c>
      <c r="C4286" s="8" t="s">
        <v>36725</v>
      </c>
      <c r="D4286" s="9" t="b">
        <v>0</v>
      </c>
      <c r="E4286" s="9" t="s">
        <v>36719</v>
      </c>
    </row>
    <row r="4287" ht="15.75" customHeight="1">
      <c r="A4287" s="9" t="s">
        <v>36726</v>
      </c>
      <c r="B4287" s="9" t="s">
        <v>9048</v>
      </c>
      <c r="C4287" s="8" t="s">
        <v>36727</v>
      </c>
      <c r="D4287" s="9" t="b">
        <v>0</v>
      </c>
      <c r="E4287" s="9" t="s">
        <v>36728</v>
      </c>
    </row>
    <row r="4288" ht="15.75" customHeight="1">
      <c r="A4288" s="9" t="s">
        <v>36729</v>
      </c>
      <c r="B4288" s="9" t="s">
        <v>9048</v>
      </c>
      <c r="C4288" s="8" t="s">
        <v>36730</v>
      </c>
      <c r="D4288" s="9" t="b">
        <v>0</v>
      </c>
      <c r="E4288" s="9" t="s">
        <v>36728</v>
      </c>
    </row>
    <row r="4289" ht="15.75" customHeight="1">
      <c r="A4289" s="9" t="s">
        <v>36731</v>
      </c>
      <c r="B4289" s="9" t="s">
        <v>9048</v>
      </c>
      <c r="C4289" s="8" t="s">
        <v>36732</v>
      </c>
      <c r="D4289" s="9" t="b">
        <v>0</v>
      </c>
      <c r="E4289" s="9" t="s">
        <v>36733</v>
      </c>
    </row>
    <row r="4290" ht="15.75" customHeight="1">
      <c r="A4290" s="9" t="s">
        <v>36734</v>
      </c>
      <c r="B4290" s="9" t="s">
        <v>9048</v>
      </c>
      <c r="C4290" s="8" t="s">
        <v>36735</v>
      </c>
      <c r="D4290" s="9" t="b">
        <v>0</v>
      </c>
      <c r="E4290" s="9" t="s">
        <v>36733</v>
      </c>
    </row>
    <row r="4291" ht="15.75" customHeight="1">
      <c r="A4291" s="9" t="s">
        <v>36736</v>
      </c>
      <c r="B4291" s="9" t="s">
        <v>9048</v>
      </c>
      <c r="C4291" s="8" t="s">
        <v>36737</v>
      </c>
      <c r="D4291" s="9" t="b">
        <v>0</v>
      </c>
      <c r="E4291" s="9" t="s">
        <v>36738</v>
      </c>
    </row>
    <row r="4292" ht="15.75" customHeight="1">
      <c r="A4292" s="9" t="s">
        <v>36739</v>
      </c>
      <c r="B4292" s="9" t="s">
        <v>3864</v>
      </c>
      <c r="C4292" s="8" t="s">
        <v>36740</v>
      </c>
      <c r="D4292" s="9" t="b">
        <v>0</v>
      </c>
      <c r="E4292" s="9"/>
    </row>
    <row r="4293" ht="15.75" customHeight="1">
      <c r="A4293" s="9" t="s">
        <v>36741</v>
      </c>
      <c r="B4293" s="9" t="s">
        <v>3864</v>
      </c>
      <c r="C4293" s="8" t="s">
        <v>36742</v>
      </c>
      <c r="D4293" s="9" t="b">
        <v>0</v>
      </c>
      <c r="E4293" s="9"/>
    </row>
    <row r="4294" ht="15.75" customHeight="1">
      <c r="A4294" s="9" t="s">
        <v>36743</v>
      </c>
      <c r="B4294" s="9" t="s">
        <v>3864</v>
      </c>
      <c r="C4294" s="8" t="s">
        <v>36744</v>
      </c>
      <c r="D4294" s="9" t="b">
        <v>1</v>
      </c>
      <c r="E4294" s="9"/>
    </row>
    <row r="4295" ht="15.75" customHeight="1">
      <c r="A4295" s="9" t="s">
        <v>36745</v>
      </c>
      <c r="B4295" s="9" t="s">
        <v>11437</v>
      </c>
      <c r="C4295" s="8" t="s">
        <v>36746</v>
      </c>
      <c r="D4295" s="9" t="b">
        <v>0</v>
      </c>
      <c r="E4295" s="9"/>
    </row>
    <row r="4296" ht="15.75" customHeight="1">
      <c r="A4296" s="9" t="s">
        <v>36747</v>
      </c>
      <c r="B4296" s="9" t="s">
        <v>11437</v>
      </c>
      <c r="C4296" s="8" t="s">
        <v>36748</v>
      </c>
      <c r="D4296" s="9" t="b">
        <v>0</v>
      </c>
      <c r="E4296" s="9"/>
    </row>
    <row r="4297" ht="15.75" customHeight="1">
      <c r="A4297" s="9" t="s">
        <v>36749</v>
      </c>
      <c r="B4297" s="9" t="s">
        <v>11437</v>
      </c>
      <c r="C4297" s="8" t="s">
        <v>36750</v>
      </c>
      <c r="D4297" s="9" t="b">
        <v>1</v>
      </c>
      <c r="E4297" s="9"/>
    </row>
    <row r="4298" ht="15.75" customHeight="1">
      <c r="A4298" s="9" t="s">
        <v>36751</v>
      </c>
      <c r="B4298" s="9" t="s">
        <v>11437</v>
      </c>
      <c r="C4298" s="8" t="s">
        <v>36752</v>
      </c>
      <c r="D4298" s="9" t="b">
        <v>0</v>
      </c>
      <c r="E4298" s="9"/>
    </row>
    <row r="4299" ht="15.75" customHeight="1">
      <c r="A4299" s="9" t="s">
        <v>36753</v>
      </c>
      <c r="B4299" s="9" t="s">
        <v>11437</v>
      </c>
      <c r="C4299" s="8" t="s">
        <v>36754</v>
      </c>
      <c r="D4299" s="9" t="b">
        <v>0</v>
      </c>
      <c r="E4299" s="9"/>
    </row>
    <row r="4300" ht="15.75" customHeight="1">
      <c r="A4300" s="9" t="s">
        <v>36755</v>
      </c>
      <c r="B4300" s="9" t="s">
        <v>11437</v>
      </c>
      <c r="C4300" s="8" t="s">
        <v>36756</v>
      </c>
      <c r="D4300" s="9" t="b">
        <v>0</v>
      </c>
      <c r="E4300" s="9"/>
    </row>
    <row r="4301" ht="15.75" customHeight="1">
      <c r="A4301" s="9" t="s">
        <v>36757</v>
      </c>
      <c r="B4301" s="9" t="s">
        <v>11439</v>
      </c>
      <c r="C4301" s="8" t="s">
        <v>36758</v>
      </c>
      <c r="D4301" s="9" t="b">
        <v>0</v>
      </c>
      <c r="E4301" s="9"/>
    </row>
    <row r="4302" ht="15.75" customHeight="1">
      <c r="A4302" s="9" t="s">
        <v>36759</v>
      </c>
      <c r="B4302" s="9" t="s">
        <v>11439</v>
      </c>
      <c r="C4302" s="8" t="s">
        <v>36760</v>
      </c>
      <c r="D4302" s="9" t="b">
        <v>0</v>
      </c>
      <c r="E4302" s="9"/>
    </row>
    <row r="4303" ht="15.75" customHeight="1">
      <c r="A4303" s="9" t="s">
        <v>36761</v>
      </c>
      <c r="B4303" s="9" t="s">
        <v>11439</v>
      </c>
      <c r="C4303" s="8" t="s">
        <v>36762</v>
      </c>
      <c r="D4303" s="9" t="b">
        <v>0</v>
      </c>
      <c r="E4303" s="9"/>
    </row>
    <row r="4304" ht="15.75" customHeight="1">
      <c r="A4304" s="9" t="s">
        <v>36763</v>
      </c>
      <c r="B4304" s="9" t="s">
        <v>11439</v>
      </c>
      <c r="C4304" s="8" t="s">
        <v>36764</v>
      </c>
      <c r="D4304" s="9" t="b">
        <v>0</v>
      </c>
      <c r="E4304" s="9"/>
    </row>
    <row r="4305" ht="15.75" customHeight="1">
      <c r="A4305" s="9" t="s">
        <v>36765</v>
      </c>
      <c r="B4305" s="9" t="s">
        <v>11439</v>
      </c>
      <c r="C4305" s="8" t="s">
        <v>36766</v>
      </c>
      <c r="D4305" s="9" t="b">
        <v>0</v>
      </c>
      <c r="E4305" s="9"/>
    </row>
    <row r="4306" ht="15.75" customHeight="1">
      <c r="A4306" s="9" t="s">
        <v>36767</v>
      </c>
      <c r="B4306" s="9" t="s">
        <v>11439</v>
      </c>
      <c r="C4306" s="8" t="s">
        <v>36768</v>
      </c>
      <c r="D4306" s="9" t="b">
        <v>1</v>
      </c>
      <c r="E4306" s="9"/>
    </row>
    <row r="4307" ht="15.75" customHeight="1">
      <c r="A4307" s="9" t="s">
        <v>36769</v>
      </c>
      <c r="B4307" s="9" t="s">
        <v>11439</v>
      </c>
      <c r="C4307" s="8" t="s">
        <v>36770</v>
      </c>
      <c r="D4307" s="9" t="b">
        <v>0</v>
      </c>
      <c r="E4307" s="9"/>
    </row>
    <row r="4308" ht="15.75" customHeight="1">
      <c r="A4308" s="9" t="s">
        <v>36771</v>
      </c>
      <c r="B4308" s="9" t="s">
        <v>11439</v>
      </c>
      <c r="C4308" s="8" t="s">
        <v>36772</v>
      </c>
      <c r="D4308" s="9" t="b">
        <v>0</v>
      </c>
      <c r="E4308" s="9"/>
    </row>
    <row r="4309" ht="15.75" customHeight="1">
      <c r="A4309" s="9" t="s">
        <v>36773</v>
      </c>
      <c r="B4309" s="9" t="s">
        <v>11439</v>
      </c>
      <c r="C4309" s="8" t="s">
        <v>36774</v>
      </c>
      <c r="D4309" s="9" t="b">
        <v>0</v>
      </c>
      <c r="E4309" s="9"/>
    </row>
    <row r="4310" ht="15.75" customHeight="1">
      <c r="A4310" s="9" t="s">
        <v>36775</v>
      </c>
      <c r="B4310" s="9" t="s">
        <v>11439</v>
      </c>
      <c r="C4310" s="8" t="s">
        <v>36776</v>
      </c>
      <c r="D4310" s="9" t="b">
        <v>0</v>
      </c>
      <c r="E4310" s="9"/>
    </row>
    <row r="4311" ht="15.75" customHeight="1">
      <c r="A4311" s="9" t="s">
        <v>36777</v>
      </c>
      <c r="B4311" s="9" t="s">
        <v>11439</v>
      </c>
      <c r="C4311" s="8" t="s">
        <v>36778</v>
      </c>
      <c r="D4311" s="9" t="b">
        <v>1</v>
      </c>
      <c r="E4311" s="9"/>
    </row>
    <row r="4312" ht="15.75" customHeight="1">
      <c r="A4312" s="9" t="s">
        <v>36779</v>
      </c>
      <c r="B4312" s="9" t="s">
        <v>11439</v>
      </c>
      <c r="C4312" s="8" t="s">
        <v>36780</v>
      </c>
      <c r="D4312" s="9" t="b">
        <v>0</v>
      </c>
      <c r="E4312" s="9"/>
    </row>
    <row r="4313" ht="15.75" customHeight="1">
      <c r="A4313" s="9" t="s">
        <v>36781</v>
      </c>
      <c r="B4313" s="9" t="s">
        <v>11439</v>
      </c>
      <c r="C4313" s="8" t="s">
        <v>36782</v>
      </c>
      <c r="D4313" s="9" t="b">
        <v>0</v>
      </c>
      <c r="E4313" s="9"/>
    </row>
    <row r="4314" ht="15.75" customHeight="1">
      <c r="A4314" s="9" t="s">
        <v>36783</v>
      </c>
      <c r="B4314" s="9" t="s">
        <v>11439</v>
      </c>
      <c r="C4314" s="8" t="s">
        <v>36784</v>
      </c>
      <c r="D4314" s="9" t="b">
        <v>0</v>
      </c>
      <c r="E4314" s="9"/>
    </row>
    <row r="4315" ht="15.75" customHeight="1">
      <c r="A4315" s="9" t="s">
        <v>36785</v>
      </c>
      <c r="B4315" s="9" t="s">
        <v>11441</v>
      </c>
      <c r="C4315" s="8" t="s">
        <v>36786</v>
      </c>
      <c r="D4315" s="9" t="b">
        <v>0</v>
      </c>
      <c r="E4315" s="9"/>
    </row>
    <row r="4316" ht="15.75" customHeight="1">
      <c r="A4316" s="9" t="s">
        <v>36787</v>
      </c>
      <c r="B4316" s="9" t="s">
        <v>11441</v>
      </c>
      <c r="C4316" s="8" t="s">
        <v>36788</v>
      </c>
      <c r="D4316" s="9" t="b">
        <v>0</v>
      </c>
      <c r="E4316" s="9"/>
    </row>
    <row r="4317" ht="15.75" customHeight="1">
      <c r="A4317" s="9" t="s">
        <v>36789</v>
      </c>
      <c r="B4317" s="9" t="s">
        <v>11441</v>
      </c>
      <c r="C4317" s="8" t="s">
        <v>36790</v>
      </c>
      <c r="D4317" s="9" t="b">
        <v>0</v>
      </c>
      <c r="E4317" s="9"/>
    </row>
    <row r="4318" ht="15.75" customHeight="1">
      <c r="A4318" s="9" t="s">
        <v>36791</v>
      </c>
      <c r="B4318" s="9" t="s">
        <v>11441</v>
      </c>
      <c r="C4318" s="8" t="s">
        <v>36792</v>
      </c>
      <c r="D4318" s="9" t="b">
        <v>1</v>
      </c>
      <c r="E4318" s="9"/>
    </row>
    <row r="4319" ht="15.75" customHeight="1">
      <c r="A4319" s="9" t="s">
        <v>36793</v>
      </c>
      <c r="B4319" s="9" t="s">
        <v>11441</v>
      </c>
      <c r="C4319" s="8" t="s">
        <v>36794</v>
      </c>
      <c r="D4319" s="9" t="b">
        <v>0</v>
      </c>
      <c r="E4319" s="9"/>
    </row>
    <row r="4320" ht="15.75" customHeight="1">
      <c r="A4320" s="9" t="s">
        <v>36795</v>
      </c>
      <c r="B4320" s="9" t="s">
        <v>11385</v>
      </c>
      <c r="C4320" s="8" t="s">
        <v>36796</v>
      </c>
      <c r="D4320" s="9" t="b">
        <v>0</v>
      </c>
      <c r="E4320" s="9"/>
    </row>
    <row r="4321" ht="15.75" customHeight="1">
      <c r="A4321" s="9" t="s">
        <v>36797</v>
      </c>
      <c r="B4321" s="9" t="s">
        <v>11385</v>
      </c>
      <c r="C4321" s="8" t="s">
        <v>36798</v>
      </c>
      <c r="D4321" s="9" t="b">
        <v>0</v>
      </c>
      <c r="E4321" s="9"/>
    </row>
    <row r="4322" ht="15.75" customHeight="1">
      <c r="A4322" s="9" t="s">
        <v>36799</v>
      </c>
      <c r="B4322" s="9" t="s">
        <v>11385</v>
      </c>
      <c r="C4322" s="8" t="s">
        <v>36800</v>
      </c>
      <c r="D4322" s="9" t="b">
        <v>0</v>
      </c>
      <c r="E4322" s="9"/>
    </row>
    <row r="4323" ht="15.75" customHeight="1">
      <c r="A4323" s="9" t="s">
        <v>36801</v>
      </c>
      <c r="B4323" s="9" t="s">
        <v>11385</v>
      </c>
      <c r="C4323" s="8" t="s">
        <v>36802</v>
      </c>
      <c r="D4323" s="9" t="b">
        <v>0</v>
      </c>
      <c r="E4323" s="9"/>
    </row>
    <row r="4324" ht="15.75" customHeight="1">
      <c r="A4324" s="9" t="s">
        <v>36803</v>
      </c>
      <c r="B4324" s="9" t="s">
        <v>11385</v>
      </c>
      <c r="C4324" s="8" t="s">
        <v>36804</v>
      </c>
      <c r="D4324" s="9" t="b">
        <v>1</v>
      </c>
      <c r="E4324" s="9"/>
    </row>
    <row r="4325" ht="15.75" customHeight="1">
      <c r="A4325" s="9" t="s">
        <v>36805</v>
      </c>
      <c r="B4325" s="9" t="s">
        <v>12148</v>
      </c>
      <c r="C4325" s="8" t="s">
        <v>36806</v>
      </c>
      <c r="D4325" s="9" t="b">
        <v>0</v>
      </c>
      <c r="E4325" s="9"/>
    </row>
    <row r="4326" ht="15.75" customHeight="1">
      <c r="A4326" s="9" t="s">
        <v>36807</v>
      </c>
      <c r="B4326" s="9" t="s">
        <v>12148</v>
      </c>
      <c r="C4326" s="8" t="s">
        <v>36808</v>
      </c>
      <c r="D4326" s="9" t="b">
        <v>0</v>
      </c>
      <c r="E4326" s="9"/>
    </row>
    <row r="4327" ht="15.75" customHeight="1">
      <c r="A4327" s="9" t="s">
        <v>36809</v>
      </c>
      <c r="B4327" s="9" t="s">
        <v>12148</v>
      </c>
      <c r="C4327" s="8" t="s">
        <v>36810</v>
      </c>
      <c r="D4327" s="9" t="b">
        <v>1</v>
      </c>
      <c r="E4327" s="9"/>
    </row>
    <row r="4328" ht="15.75" customHeight="1">
      <c r="A4328" s="9" t="s">
        <v>36811</v>
      </c>
      <c r="B4328" s="9" t="s">
        <v>5219</v>
      </c>
      <c r="C4328" s="8" t="s">
        <v>36812</v>
      </c>
      <c r="D4328" s="9" t="b">
        <v>0</v>
      </c>
      <c r="E4328" s="9"/>
    </row>
    <row r="4329" ht="15.75" customHeight="1">
      <c r="A4329" s="9" t="s">
        <v>36813</v>
      </c>
      <c r="B4329" s="9" t="s">
        <v>5219</v>
      </c>
      <c r="C4329" s="8" t="s">
        <v>36814</v>
      </c>
      <c r="D4329" s="9" t="b">
        <v>0</v>
      </c>
      <c r="E4329" s="9"/>
    </row>
    <row r="4330" ht="15.75" customHeight="1">
      <c r="A4330" s="9" t="s">
        <v>36815</v>
      </c>
      <c r="B4330" s="9" t="s">
        <v>11443</v>
      </c>
      <c r="C4330" s="8" t="s">
        <v>36816</v>
      </c>
      <c r="D4330" s="9" t="b">
        <v>0</v>
      </c>
      <c r="E4330" s="9"/>
    </row>
    <row r="4331" ht="15.75" customHeight="1">
      <c r="A4331" s="9" t="s">
        <v>36817</v>
      </c>
      <c r="B4331" s="9" t="s">
        <v>11443</v>
      </c>
      <c r="C4331" s="8" t="s">
        <v>36818</v>
      </c>
      <c r="D4331" s="9" t="b">
        <v>0</v>
      </c>
      <c r="E4331" s="9"/>
    </row>
    <row r="4332" ht="15.75" customHeight="1">
      <c r="A4332" s="9" t="s">
        <v>36819</v>
      </c>
      <c r="B4332" s="9" t="s">
        <v>11443</v>
      </c>
      <c r="C4332" s="8" t="s">
        <v>36820</v>
      </c>
      <c r="D4332" s="9" t="b">
        <v>0</v>
      </c>
      <c r="E4332" s="9"/>
    </row>
    <row r="4333" ht="15.75" customHeight="1">
      <c r="A4333" s="9" t="s">
        <v>36821</v>
      </c>
      <c r="B4333" s="9" t="s">
        <v>11443</v>
      </c>
      <c r="C4333" s="8" t="s">
        <v>36822</v>
      </c>
      <c r="D4333" s="9" t="b">
        <v>1</v>
      </c>
      <c r="E4333" s="9"/>
    </row>
    <row r="4334" ht="15.75" customHeight="1">
      <c r="A4334" s="9" t="s">
        <v>36823</v>
      </c>
      <c r="B4334" s="9" t="s">
        <v>11445</v>
      </c>
      <c r="C4334" s="8" t="s">
        <v>36824</v>
      </c>
      <c r="D4334" s="9" t="b">
        <v>0</v>
      </c>
      <c r="E4334" s="9"/>
    </row>
    <row r="4335" ht="15.75" customHeight="1">
      <c r="A4335" s="9" t="s">
        <v>36825</v>
      </c>
      <c r="B4335" s="9" t="s">
        <v>11445</v>
      </c>
      <c r="C4335" s="8" t="s">
        <v>36826</v>
      </c>
      <c r="D4335" s="9" t="b">
        <v>0</v>
      </c>
      <c r="E4335" s="9"/>
    </row>
    <row r="4336" ht="15.75" customHeight="1">
      <c r="A4336" s="9" t="s">
        <v>36827</v>
      </c>
      <c r="B4336" s="9" t="s">
        <v>11445</v>
      </c>
      <c r="C4336" s="8" t="s">
        <v>36828</v>
      </c>
      <c r="D4336" s="9" t="b">
        <v>1</v>
      </c>
      <c r="E4336" s="9"/>
    </row>
    <row r="4337" ht="15.75" customHeight="1">
      <c r="A4337" s="9" t="s">
        <v>36829</v>
      </c>
      <c r="B4337" s="9" t="s">
        <v>11450</v>
      </c>
      <c r="C4337" s="8" t="s">
        <v>36830</v>
      </c>
      <c r="D4337" s="9" t="b">
        <v>0</v>
      </c>
      <c r="E4337" s="9"/>
    </row>
    <row r="4338" ht="15.75" customHeight="1">
      <c r="A4338" s="9" t="s">
        <v>36831</v>
      </c>
      <c r="B4338" s="9" t="s">
        <v>11450</v>
      </c>
      <c r="C4338" s="8" t="s">
        <v>36832</v>
      </c>
      <c r="D4338" s="9" t="b">
        <v>0</v>
      </c>
      <c r="E4338" s="9"/>
    </row>
    <row r="4339" ht="15.75" customHeight="1">
      <c r="A4339" s="9" t="s">
        <v>36833</v>
      </c>
      <c r="B4339" s="9" t="s">
        <v>11450</v>
      </c>
      <c r="C4339" s="8" t="s">
        <v>36834</v>
      </c>
      <c r="D4339" s="9" t="b">
        <v>0</v>
      </c>
      <c r="E4339" s="9"/>
    </row>
    <row r="4340" ht="15.75" customHeight="1">
      <c r="A4340" s="9" t="s">
        <v>36835</v>
      </c>
      <c r="B4340" s="9" t="s">
        <v>11450</v>
      </c>
      <c r="C4340" s="8" t="s">
        <v>36836</v>
      </c>
      <c r="D4340" s="9" t="b">
        <v>0</v>
      </c>
      <c r="E4340" s="9"/>
    </row>
    <row r="4341" ht="15.75" customHeight="1">
      <c r="A4341" s="9" t="s">
        <v>36837</v>
      </c>
      <c r="B4341" s="9" t="s">
        <v>11450</v>
      </c>
      <c r="C4341" s="8" t="s">
        <v>36838</v>
      </c>
      <c r="D4341" s="9" t="b">
        <v>0</v>
      </c>
      <c r="E4341" s="9"/>
    </row>
    <row r="4342" ht="15.75" customHeight="1">
      <c r="A4342" s="9" t="s">
        <v>36839</v>
      </c>
      <c r="B4342" s="9" t="s">
        <v>11450</v>
      </c>
      <c r="C4342" s="8" t="s">
        <v>36840</v>
      </c>
      <c r="D4342" s="9" t="b">
        <v>0</v>
      </c>
      <c r="E4342" s="9"/>
    </row>
    <row r="4343" ht="15.75" customHeight="1">
      <c r="A4343" s="9" t="s">
        <v>36841</v>
      </c>
      <c r="B4343" s="9" t="s">
        <v>11450</v>
      </c>
      <c r="C4343" s="8" t="s">
        <v>36842</v>
      </c>
      <c r="D4343" s="9" t="b">
        <v>0</v>
      </c>
      <c r="E4343" s="9"/>
    </row>
    <row r="4344" ht="15.75" customHeight="1">
      <c r="A4344" s="9" t="s">
        <v>36843</v>
      </c>
      <c r="B4344" s="9" t="s">
        <v>11450</v>
      </c>
      <c r="C4344" s="8" t="s">
        <v>36844</v>
      </c>
      <c r="D4344" s="9" t="b">
        <v>1</v>
      </c>
      <c r="E4344" s="9"/>
    </row>
    <row r="4345" ht="15.75" customHeight="1">
      <c r="A4345" s="9" t="s">
        <v>36845</v>
      </c>
      <c r="B4345" s="9" t="s">
        <v>11450</v>
      </c>
      <c r="C4345" s="8" t="s">
        <v>36846</v>
      </c>
      <c r="D4345" s="9" t="b">
        <v>0</v>
      </c>
      <c r="E4345" s="9"/>
    </row>
    <row r="4346" ht="15.75" customHeight="1">
      <c r="A4346" s="9" t="s">
        <v>36847</v>
      </c>
      <c r="B4346" s="9" t="s">
        <v>11452</v>
      </c>
      <c r="C4346" s="8" t="s">
        <v>36848</v>
      </c>
      <c r="D4346" s="9" t="b">
        <v>0</v>
      </c>
      <c r="E4346" s="9"/>
    </row>
    <row r="4347" ht="15.75" customHeight="1">
      <c r="A4347" s="9" t="s">
        <v>36849</v>
      </c>
      <c r="B4347" s="9" t="s">
        <v>11452</v>
      </c>
      <c r="C4347" s="8" t="s">
        <v>36850</v>
      </c>
      <c r="D4347" s="9" t="b">
        <v>0</v>
      </c>
      <c r="E4347" s="9"/>
    </row>
    <row r="4348" ht="15.75" customHeight="1">
      <c r="A4348" s="9" t="s">
        <v>36851</v>
      </c>
      <c r="B4348" s="9" t="s">
        <v>11452</v>
      </c>
      <c r="C4348" s="8" t="s">
        <v>36852</v>
      </c>
      <c r="D4348" s="9" t="b">
        <v>0</v>
      </c>
      <c r="E4348" s="9"/>
    </row>
    <row r="4349" ht="15.75" customHeight="1">
      <c r="A4349" s="9" t="s">
        <v>36853</v>
      </c>
      <c r="B4349" s="9" t="s">
        <v>11452</v>
      </c>
      <c r="C4349" s="8" t="s">
        <v>36854</v>
      </c>
      <c r="D4349" s="9" t="b">
        <v>0</v>
      </c>
      <c r="E4349" s="9"/>
    </row>
    <row r="4350" ht="15.75" customHeight="1">
      <c r="A4350" s="9" t="s">
        <v>36855</v>
      </c>
      <c r="B4350" s="9" t="s">
        <v>11452</v>
      </c>
      <c r="C4350" s="8" t="s">
        <v>36856</v>
      </c>
      <c r="D4350" s="9" t="b">
        <v>0</v>
      </c>
      <c r="E4350" s="9"/>
    </row>
    <row r="4351" ht="15.75" customHeight="1">
      <c r="A4351" s="9" t="s">
        <v>36857</v>
      </c>
      <c r="B4351" s="9" t="s">
        <v>11452</v>
      </c>
      <c r="C4351" s="8" t="s">
        <v>36858</v>
      </c>
      <c r="D4351" s="9" t="b">
        <v>0</v>
      </c>
      <c r="E4351" s="9"/>
    </row>
    <row r="4352" ht="15.75" customHeight="1">
      <c r="A4352" s="9" t="s">
        <v>36859</v>
      </c>
      <c r="B4352" s="9" t="s">
        <v>11452</v>
      </c>
      <c r="C4352" s="8" t="s">
        <v>36860</v>
      </c>
      <c r="D4352" s="9" t="b">
        <v>0</v>
      </c>
      <c r="E4352" s="9"/>
    </row>
    <row r="4353" ht="15.75" customHeight="1">
      <c r="A4353" s="9" t="s">
        <v>36861</v>
      </c>
      <c r="B4353" s="9" t="s">
        <v>11452</v>
      </c>
      <c r="C4353" s="8" t="s">
        <v>36862</v>
      </c>
      <c r="D4353" s="9" t="b">
        <v>0</v>
      </c>
      <c r="E4353" s="9"/>
    </row>
    <row r="4354" ht="15.75" customHeight="1">
      <c r="A4354" s="9" t="s">
        <v>36863</v>
      </c>
      <c r="B4354" s="9" t="s">
        <v>11452</v>
      </c>
      <c r="C4354" s="8" t="s">
        <v>36864</v>
      </c>
      <c r="D4354" s="9" t="b">
        <v>0</v>
      </c>
      <c r="E4354" s="9"/>
    </row>
    <row r="4355" ht="15.75" customHeight="1">
      <c r="A4355" s="9" t="s">
        <v>36865</v>
      </c>
      <c r="B4355" s="9" t="s">
        <v>11452</v>
      </c>
      <c r="C4355" s="8" t="s">
        <v>36866</v>
      </c>
      <c r="D4355" s="9" t="b">
        <v>1</v>
      </c>
      <c r="E4355" s="9"/>
    </row>
    <row r="4356" ht="15.75" customHeight="1">
      <c r="A4356" s="9" t="s">
        <v>36867</v>
      </c>
      <c r="B4356" s="9" t="s">
        <v>11454</v>
      </c>
      <c r="C4356" s="8" t="s">
        <v>36868</v>
      </c>
      <c r="D4356" s="9" t="b">
        <v>0</v>
      </c>
      <c r="E4356" s="9"/>
    </row>
    <row r="4357" ht="15.75" customHeight="1">
      <c r="A4357" s="9" t="s">
        <v>36869</v>
      </c>
      <c r="B4357" s="9" t="s">
        <v>11454</v>
      </c>
      <c r="C4357" s="8" t="s">
        <v>36870</v>
      </c>
      <c r="D4357" s="9" t="b">
        <v>0</v>
      </c>
      <c r="E4357" s="9"/>
    </row>
    <row r="4358" ht="15.75" customHeight="1">
      <c r="A4358" s="9" t="s">
        <v>36871</v>
      </c>
      <c r="B4358" s="9" t="s">
        <v>11454</v>
      </c>
      <c r="C4358" s="8" t="s">
        <v>36872</v>
      </c>
      <c r="D4358" s="9" t="b">
        <v>0</v>
      </c>
      <c r="E4358" s="9"/>
    </row>
    <row r="4359" ht="15.75" customHeight="1">
      <c r="A4359" s="9" t="s">
        <v>36873</v>
      </c>
      <c r="B4359" s="9" t="s">
        <v>11454</v>
      </c>
      <c r="C4359" s="8" t="s">
        <v>36874</v>
      </c>
      <c r="D4359" s="9" t="b">
        <v>0</v>
      </c>
      <c r="E4359" s="9"/>
    </row>
    <row r="4360" ht="15.75" customHeight="1">
      <c r="A4360" s="9" t="s">
        <v>36875</v>
      </c>
      <c r="B4360" s="9" t="s">
        <v>11454</v>
      </c>
      <c r="C4360" s="8" t="s">
        <v>36876</v>
      </c>
      <c r="D4360" s="9" t="b">
        <v>0</v>
      </c>
      <c r="E4360" s="9"/>
    </row>
    <row r="4361" ht="15.75" customHeight="1">
      <c r="A4361" s="52" t="s">
        <v>36877</v>
      </c>
      <c r="B4361" s="9" t="s">
        <v>11454</v>
      </c>
      <c r="C4361" s="8" t="s">
        <v>36878</v>
      </c>
      <c r="D4361" s="9" t="b">
        <v>0</v>
      </c>
      <c r="E4361" s="9"/>
    </row>
    <row r="4362" ht="15.75" customHeight="1">
      <c r="A4362" s="9" t="s">
        <v>36879</v>
      </c>
      <c r="B4362" s="9" t="s">
        <v>11454</v>
      </c>
      <c r="C4362" s="8" t="s">
        <v>36880</v>
      </c>
      <c r="D4362" s="9" t="b">
        <v>0</v>
      </c>
      <c r="E4362" s="9"/>
    </row>
    <row r="4363" ht="15.75" customHeight="1">
      <c r="A4363" s="9" t="s">
        <v>36881</v>
      </c>
      <c r="B4363" s="9" t="s">
        <v>11454</v>
      </c>
      <c r="C4363" s="8" t="s">
        <v>36882</v>
      </c>
      <c r="D4363" s="9" t="b">
        <v>0</v>
      </c>
      <c r="E4363" s="9"/>
    </row>
    <row r="4364" ht="15.75" customHeight="1">
      <c r="A4364" s="9" t="s">
        <v>36883</v>
      </c>
      <c r="B4364" s="9" t="s">
        <v>11454</v>
      </c>
      <c r="C4364" s="8" t="s">
        <v>36884</v>
      </c>
      <c r="D4364" s="9" t="b">
        <v>1</v>
      </c>
      <c r="E4364" s="9"/>
    </row>
    <row r="4365" ht="15.75" customHeight="1">
      <c r="A4365" s="9" t="s">
        <v>36885</v>
      </c>
      <c r="B4365" s="9" t="s">
        <v>11456</v>
      </c>
      <c r="C4365" s="8" t="s">
        <v>36886</v>
      </c>
      <c r="D4365" s="9" t="b">
        <v>0</v>
      </c>
      <c r="E4365" s="9"/>
    </row>
    <row r="4366" ht="15.75" customHeight="1">
      <c r="A4366" s="9" t="s">
        <v>36887</v>
      </c>
      <c r="B4366" s="9" t="s">
        <v>11456</v>
      </c>
      <c r="C4366" s="8" t="s">
        <v>36888</v>
      </c>
      <c r="D4366" s="9" t="b">
        <v>0</v>
      </c>
      <c r="E4366" s="9"/>
    </row>
    <row r="4367" ht="15.75" customHeight="1">
      <c r="A4367" s="9" t="s">
        <v>36889</v>
      </c>
      <c r="B4367" s="9" t="s">
        <v>11456</v>
      </c>
      <c r="C4367" s="8" t="s">
        <v>36890</v>
      </c>
      <c r="D4367" s="9" t="b">
        <v>0</v>
      </c>
      <c r="E4367" s="9"/>
    </row>
    <row r="4368" ht="15.75" customHeight="1">
      <c r="A4368" s="9" t="s">
        <v>36891</v>
      </c>
      <c r="B4368" s="9" t="s">
        <v>11456</v>
      </c>
      <c r="C4368" s="8" t="s">
        <v>36892</v>
      </c>
      <c r="D4368" s="9" t="b">
        <v>0</v>
      </c>
      <c r="E4368" s="9"/>
    </row>
    <row r="4369" ht="15.75" customHeight="1">
      <c r="A4369" s="9" t="s">
        <v>36893</v>
      </c>
      <c r="B4369" s="9" t="s">
        <v>11456</v>
      </c>
      <c r="C4369" s="8" t="s">
        <v>36894</v>
      </c>
      <c r="D4369" s="9" t="b">
        <v>0</v>
      </c>
      <c r="E4369" s="9"/>
    </row>
    <row r="4370" ht="15.75" customHeight="1">
      <c r="A4370" s="9" t="s">
        <v>36895</v>
      </c>
      <c r="B4370" s="9" t="s">
        <v>11456</v>
      </c>
      <c r="C4370" s="8" t="s">
        <v>36896</v>
      </c>
      <c r="D4370" s="9" t="b">
        <v>1</v>
      </c>
      <c r="E4370" s="9"/>
    </row>
    <row r="4371" ht="15.75" customHeight="1">
      <c r="A4371" s="9" t="s">
        <v>36897</v>
      </c>
      <c r="B4371" s="9" t="s">
        <v>10622</v>
      </c>
      <c r="C4371" s="8" t="s">
        <v>36898</v>
      </c>
      <c r="D4371" s="9" t="b">
        <v>1</v>
      </c>
      <c r="E4371" s="9"/>
    </row>
    <row r="4372" ht="15.75" customHeight="1">
      <c r="A4372" s="9" t="s">
        <v>36899</v>
      </c>
      <c r="B4372" s="9" t="s">
        <v>10622</v>
      </c>
      <c r="C4372" s="8" t="s">
        <v>36900</v>
      </c>
      <c r="D4372" s="9" t="b">
        <v>0</v>
      </c>
      <c r="E4372" s="9"/>
    </row>
    <row r="4373" ht="15.75" customHeight="1">
      <c r="A4373" s="9" t="s">
        <v>36901</v>
      </c>
      <c r="B4373" s="9" t="s">
        <v>11458</v>
      </c>
      <c r="C4373" s="8" t="s">
        <v>36902</v>
      </c>
      <c r="D4373" s="9" t="b">
        <v>0</v>
      </c>
      <c r="E4373" s="9"/>
    </row>
    <row r="4374" ht="15.75" customHeight="1">
      <c r="A4374" s="9" t="s">
        <v>36903</v>
      </c>
      <c r="B4374" s="9" t="s">
        <v>11458</v>
      </c>
      <c r="C4374" s="8" t="s">
        <v>36904</v>
      </c>
      <c r="D4374" s="9" t="b">
        <v>0</v>
      </c>
      <c r="E4374" s="9"/>
    </row>
    <row r="4375" ht="15.75" customHeight="1">
      <c r="A4375" s="9" t="s">
        <v>36905</v>
      </c>
      <c r="B4375" s="9" t="s">
        <v>11458</v>
      </c>
      <c r="C4375" s="8" t="s">
        <v>36906</v>
      </c>
      <c r="D4375" s="9" t="b">
        <v>0</v>
      </c>
      <c r="E4375" s="9"/>
    </row>
    <row r="4376" ht="15.75" customHeight="1">
      <c r="A4376" s="9" t="s">
        <v>36907</v>
      </c>
      <c r="B4376" s="9" t="s">
        <v>11458</v>
      </c>
      <c r="C4376" s="8" t="s">
        <v>36908</v>
      </c>
      <c r="D4376" s="9" t="b">
        <v>0</v>
      </c>
      <c r="E4376" s="9"/>
    </row>
    <row r="4377" ht="15.75" customHeight="1">
      <c r="A4377" s="9" t="s">
        <v>36909</v>
      </c>
      <c r="B4377" s="9" t="s">
        <v>11458</v>
      </c>
      <c r="C4377" s="8" t="s">
        <v>36910</v>
      </c>
      <c r="D4377" s="9" t="b">
        <v>0</v>
      </c>
      <c r="E4377" s="9"/>
    </row>
    <row r="4378" ht="15.75" customHeight="1">
      <c r="A4378" s="9" t="s">
        <v>36911</v>
      </c>
      <c r="B4378" s="9" t="s">
        <v>11458</v>
      </c>
      <c r="C4378" s="8" t="s">
        <v>36912</v>
      </c>
      <c r="D4378" s="9" t="b">
        <v>0</v>
      </c>
      <c r="E4378" s="9"/>
    </row>
    <row r="4379" ht="15.75" customHeight="1">
      <c r="A4379" s="9" t="s">
        <v>36913</v>
      </c>
      <c r="B4379" s="9" t="s">
        <v>11458</v>
      </c>
      <c r="C4379" s="8" t="s">
        <v>36914</v>
      </c>
      <c r="D4379" s="9" t="b">
        <v>0</v>
      </c>
      <c r="E4379" s="9"/>
    </row>
    <row r="4380" ht="15.75" customHeight="1">
      <c r="A4380" s="9" t="s">
        <v>36915</v>
      </c>
      <c r="B4380" s="9" t="s">
        <v>11458</v>
      </c>
      <c r="C4380" s="8" t="s">
        <v>36916</v>
      </c>
      <c r="D4380" s="9" t="b">
        <v>0</v>
      </c>
      <c r="E4380" s="9"/>
    </row>
    <row r="4381" ht="15.75" customHeight="1">
      <c r="A4381" s="9" t="s">
        <v>36917</v>
      </c>
      <c r="B4381" s="9" t="s">
        <v>11458</v>
      </c>
      <c r="C4381" s="8" t="s">
        <v>36918</v>
      </c>
      <c r="D4381" s="9" t="b">
        <v>1</v>
      </c>
      <c r="E4381" s="9"/>
    </row>
    <row r="4382" ht="15.75" customHeight="1">
      <c r="A4382" s="9" t="s">
        <v>36919</v>
      </c>
      <c r="B4382" s="9" t="s">
        <v>11458</v>
      </c>
      <c r="C4382" s="8" t="s">
        <v>36920</v>
      </c>
      <c r="D4382" s="9" t="b">
        <v>0</v>
      </c>
      <c r="E4382" s="9"/>
    </row>
    <row r="4383" ht="15.75" customHeight="1">
      <c r="A4383" s="9" t="s">
        <v>36921</v>
      </c>
      <c r="B4383" s="9" t="s">
        <v>11431</v>
      </c>
      <c r="C4383" s="8" t="s">
        <v>36922</v>
      </c>
      <c r="D4383" s="9" t="b">
        <v>0</v>
      </c>
      <c r="E4383" s="9"/>
    </row>
    <row r="4384" ht="15.75" customHeight="1">
      <c r="A4384" s="9" t="s">
        <v>36923</v>
      </c>
      <c r="B4384" s="9" t="s">
        <v>11431</v>
      </c>
      <c r="C4384" s="8" t="s">
        <v>36924</v>
      </c>
      <c r="D4384" s="9" t="b">
        <v>0</v>
      </c>
      <c r="E4384" s="9"/>
    </row>
    <row r="4385" ht="15.75" customHeight="1">
      <c r="A4385" s="9" t="s">
        <v>36925</v>
      </c>
      <c r="B4385" s="9" t="s">
        <v>11431</v>
      </c>
      <c r="C4385" s="8" t="s">
        <v>36926</v>
      </c>
      <c r="D4385" s="9" t="b">
        <v>0</v>
      </c>
      <c r="E4385" s="9"/>
    </row>
    <row r="4386" ht="15.75" customHeight="1">
      <c r="A4386" s="9" t="s">
        <v>36927</v>
      </c>
      <c r="B4386" s="9" t="s">
        <v>11431</v>
      </c>
      <c r="C4386" s="8" t="s">
        <v>36928</v>
      </c>
      <c r="D4386" s="9" t="b">
        <v>0</v>
      </c>
      <c r="E4386" s="9"/>
    </row>
    <row r="4387" ht="15.75" customHeight="1">
      <c r="A4387" s="9" t="s">
        <v>36929</v>
      </c>
      <c r="B4387" s="9" t="s">
        <v>11431</v>
      </c>
      <c r="C4387" s="8" t="s">
        <v>36930</v>
      </c>
      <c r="D4387" s="9" t="b">
        <v>0</v>
      </c>
      <c r="E4387" s="9"/>
    </row>
    <row r="4388" ht="15.75" customHeight="1">
      <c r="A4388" s="9" t="s">
        <v>36931</v>
      </c>
      <c r="B4388" s="9" t="s">
        <v>11431</v>
      </c>
      <c r="C4388" s="8" t="s">
        <v>36932</v>
      </c>
      <c r="D4388" s="9" t="b">
        <v>0</v>
      </c>
      <c r="E4388" s="9"/>
    </row>
    <row r="4389" ht="15.75" customHeight="1">
      <c r="A4389" s="9" t="s">
        <v>36933</v>
      </c>
      <c r="B4389" s="9" t="s">
        <v>11431</v>
      </c>
      <c r="C4389" s="8" t="s">
        <v>36934</v>
      </c>
      <c r="D4389" s="9" t="b">
        <v>1</v>
      </c>
      <c r="E4389" s="9"/>
    </row>
    <row r="4390" ht="15.75" customHeight="1">
      <c r="A4390" s="9" t="s">
        <v>36935</v>
      </c>
      <c r="B4390" s="9" t="s">
        <v>11460</v>
      </c>
      <c r="C4390" s="8" t="s">
        <v>36936</v>
      </c>
      <c r="D4390" s="9" t="b">
        <v>0</v>
      </c>
      <c r="E4390" s="9"/>
    </row>
    <row r="4391" ht="15.75" customHeight="1">
      <c r="A4391" s="9" t="s">
        <v>36937</v>
      </c>
      <c r="B4391" s="9" t="s">
        <v>11460</v>
      </c>
      <c r="C4391" s="8" t="s">
        <v>36938</v>
      </c>
      <c r="D4391" s="9" t="b">
        <v>0</v>
      </c>
      <c r="E4391" s="9"/>
    </row>
    <row r="4392" ht="15.75" customHeight="1">
      <c r="A4392" s="9" t="s">
        <v>36939</v>
      </c>
      <c r="B4392" s="9" t="s">
        <v>11460</v>
      </c>
      <c r="C4392" s="8" t="s">
        <v>36940</v>
      </c>
      <c r="D4392" s="9" t="b">
        <v>0</v>
      </c>
      <c r="E4392" s="9"/>
    </row>
    <row r="4393" ht="15.75" customHeight="1">
      <c r="A4393" s="9" t="s">
        <v>36941</v>
      </c>
      <c r="B4393" s="9" t="s">
        <v>11460</v>
      </c>
      <c r="C4393" s="8" t="s">
        <v>36942</v>
      </c>
      <c r="D4393" s="9" t="b">
        <v>0</v>
      </c>
      <c r="E4393" s="9"/>
    </row>
    <row r="4394" ht="15.75" customHeight="1">
      <c r="A4394" s="9" t="s">
        <v>36943</v>
      </c>
      <c r="B4394" s="9" t="s">
        <v>11460</v>
      </c>
      <c r="C4394" s="8" t="s">
        <v>36944</v>
      </c>
      <c r="D4394" s="9" t="b">
        <v>0</v>
      </c>
      <c r="E4394" s="9"/>
    </row>
    <row r="4395" ht="15.75" customHeight="1">
      <c r="A4395" s="9" t="s">
        <v>36945</v>
      </c>
      <c r="B4395" s="9" t="s">
        <v>11460</v>
      </c>
      <c r="C4395" s="8" t="s">
        <v>36946</v>
      </c>
      <c r="D4395" s="9" t="b">
        <v>0</v>
      </c>
      <c r="E4395" s="9"/>
    </row>
    <row r="4396" ht="15.75" customHeight="1">
      <c r="A4396" s="9" t="s">
        <v>36947</v>
      </c>
      <c r="B4396" s="9" t="s">
        <v>11460</v>
      </c>
      <c r="C4396" s="8" t="s">
        <v>36948</v>
      </c>
      <c r="D4396" s="9" t="b">
        <v>0</v>
      </c>
      <c r="E4396" s="9"/>
    </row>
    <row r="4397" ht="15.75" customHeight="1">
      <c r="A4397" s="9" t="s">
        <v>36949</v>
      </c>
      <c r="B4397" s="9" t="s">
        <v>11460</v>
      </c>
      <c r="C4397" s="8" t="s">
        <v>36950</v>
      </c>
      <c r="D4397" s="9" t="b">
        <v>0</v>
      </c>
      <c r="E4397" s="9"/>
    </row>
    <row r="4398" ht="15.75" customHeight="1">
      <c r="A4398" s="9" t="s">
        <v>36951</v>
      </c>
      <c r="B4398" s="9" t="s">
        <v>11460</v>
      </c>
      <c r="C4398" s="8" t="s">
        <v>36952</v>
      </c>
      <c r="D4398" s="9" t="b">
        <v>0</v>
      </c>
      <c r="E4398" s="9"/>
    </row>
    <row r="4399" ht="15.75" customHeight="1">
      <c r="A4399" s="9" t="s">
        <v>36953</v>
      </c>
      <c r="B4399" s="9" t="s">
        <v>11460</v>
      </c>
      <c r="C4399" s="8" t="s">
        <v>36954</v>
      </c>
      <c r="D4399" s="9" t="b">
        <v>0</v>
      </c>
      <c r="E4399" s="9"/>
    </row>
    <row r="4400" ht="15.75" customHeight="1">
      <c r="A4400" s="9" t="s">
        <v>36955</v>
      </c>
      <c r="B4400" s="9" t="s">
        <v>11460</v>
      </c>
      <c r="C4400" s="8" t="s">
        <v>36956</v>
      </c>
      <c r="D4400" s="9" t="b">
        <v>0</v>
      </c>
      <c r="E4400" s="9"/>
    </row>
    <row r="4401" ht="15.75" customHeight="1">
      <c r="A4401" s="9" t="s">
        <v>36957</v>
      </c>
      <c r="B4401" s="9" t="s">
        <v>11460</v>
      </c>
      <c r="C4401" s="8" t="s">
        <v>36958</v>
      </c>
      <c r="D4401" s="9" t="b">
        <v>1</v>
      </c>
      <c r="E4401" s="9"/>
    </row>
    <row r="4402" ht="15.75" customHeight="1">
      <c r="A4402" s="9" t="s">
        <v>36959</v>
      </c>
      <c r="B4402" s="9" t="s">
        <v>11460</v>
      </c>
      <c r="C4402" s="8" t="s">
        <v>36960</v>
      </c>
      <c r="D4402" s="9" t="b">
        <v>0</v>
      </c>
      <c r="E4402" s="9"/>
    </row>
    <row r="4403" ht="15.75" customHeight="1">
      <c r="A4403" s="9" t="s">
        <v>36961</v>
      </c>
      <c r="B4403" s="9" t="s">
        <v>10616</v>
      </c>
      <c r="C4403" s="8" t="s">
        <v>36962</v>
      </c>
      <c r="D4403" s="9" t="b">
        <v>0</v>
      </c>
      <c r="E4403" s="9"/>
    </row>
    <row r="4404" ht="15.75" customHeight="1">
      <c r="A4404" s="9" t="s">
        <v>36963</v>
      </c>
      <c r="B4404" s="9" t="s">
        <v>10616</v>
      </c>
      <c r="C4404" s="8" t="s">
        <v>36964</v>
      </c>
      <c r="D4404" s="9" t="b">
        <v>0</v>
      </c>
      <c r="E4404" s="9"/>
    </row>
    <row r="4405" ht="15.75" customHeight="1">
      <c r="A4405" s="9" t="s">
        <v>36965</v>
      </c>
      <c r="B4405" s="9" t="s">
        <v>10616</v>
      </c>
      <c r="C4405" s="8" t="s">
        <v>36966</v>
      </c>
      <c r="D4405" s="9" t="b">
        <v>0</v>
      </c>
      <c r="E4405" s="9"/>
    </row>
    <row r="4406" ht="15.75" customHeight="1">
      <c r="A4406" s="9" t="s">
        <v>36967</v>
      </c>
      <c r="B4406" s="9" t="s">
        <v>10616</v>
      </c>
      <c r="C4406" s="8" t="s">
        <v>36968</v>
      </c>
      <c r="D4406" s="9" t="b">
        <v>0</v>
      </c>
      <c r="E4406" s="9"/>
    </row>
    <row r="4407" ht="15.75" customHeight="1">
      <c r="A4407" s="9" t="s">
        <v>36969</v>
      </c>
      <c r="B4407" s="9" t="s">
        <v>10616</v>
      </c>
      <c r="C4407" s="8" t="s">
        <v>36970</v>
      </c>
      <c r="D4407" s="9" t="b">
        <v>0</v>
      </c>
      <c r="E4407" s="9"/>
    </row>
    <row r="4408" ht="15.75" customHeight="1">
      <c r="A4408" s="9" t="s">
        <v>36971</v>
      </c>
      <c r="B4408" s="9" t="s">
        <v>10616</v>
      </c>
      <c r="C4408" s="8" t="s">
        <v>36972</v>
      </c>
      <c r="D4408" s="9" t="b">
        <v>0</v>
      </c>
      <c r="E4408" s="9"/>
    </row>
    <row r="4409" ht="15.75" customHeight="1">
      <c r="A4409" s="9" t="s">
        <v>36973</v>
      </c>
      <c r="B4409" s="9" t="s">
        <v>10616</v>
      </c>
      <c r="C4409" s="8" t="s">
        <v>36974</v>
      </c>
      <c r="D4409" s="9" t="b">
        <v>0</v>
      </c>
      <c r="E4409" s="9"/>
    </row>
    <row r="4410" ht="15.75" customHeight="1">
      <c r="A4410" s="9" t="s">
        <v>36975</v>
      </c>
      <c r="B4410" s="9" t="s">
        <v>10622</v>
      </c>
      <c r="C4410" s="8" t="s">
        <v>36976</v>
      </c>
      <c r="D4410" s="9" t="b">
        <v>0</v>
      </c>
      <c r="E4410" s="9"/>
    </row>
    <row r="4411" ht="15.75" customHeight="1">
      <c r="A4411" s="9" t="s">
        <v>36977</v>
      </c>
      <c r="B4411" s="9" t="s">
        <v>9884</v>
      </c>
      <c r="C4411" s="8" t="s">
        <v>36978</v>
      </c>
      <c r="D4411" s="9" t="b">
        <v>1</v>
      </c>
      <c r="E4411" s="9"/>
    </row>
    <row r="4412" ht="15.75" customHeight="1">
      <c r="A4412" s="9" t="s">
        <v>36979</v>
      </c>
      <c r="B4412" s="9" t="s">
        <v>9884</v>
      </c>
      <c r="C4412" s="8" t="s">
        <v>36980</v>
      </c>
      <c r="D4412" s="9" t="b">
        <v>0</v>
      </c>
      <c r="E4412" s="9"/>
    </row>
    <row r="4413" ht="15.75" customHeight="1">
      <c r="A4413" s="9" t="s">
        <v>36981</v>
      </c>
      <c r="B4413" s="9" t="s">
        <v>9884</v>
      </c>
      <c r="C4413" s="8" t="s">
        <v>36982</v>
      </c>
      <c r="D4413" s="9" t="b">
        <v>0</v>
      </c>
      <c r="E4413" s="9"/>
    </row>
    <row r="4414" ht="15.75" customHeight="1">
      <c r="A4414" s="9" t="s">
        <v>36983</v>
      </c>
      <c r="B4414" s="9" t="s">
        <v>9884</v>
      </c>
      <c r="C4414" s="8" t="s">
        <v>36984</v>
      </c>
      <c r="D4414" s="9" t="b">
        <v>0</v>
      </c>
      <c r="E4414" s="9"/>
    </row>
    <row r="4415" ht="15.75" customHeight="1">
      <c r="A4415" s="9" t="s">
        <v>36985</v>
      </c>
      <c r="B4415" s="9" t="s">
        <v>9884</v>
      </c>
      <c r="C4415" s="8" t="s">
        <v>36986</v>
      </c>
      <c r="D4415" s="9" t="b">
        <v>0</v>
      </c>
      <c r="E4415" s="9"/>
    </row>
    <row r="4416" ht="15.75" customHeight="1">
      <c r="A4416" s="9" t="s">
        <v>36987</v>
      </c>
      <c r="B4416" s="9" t="s">
        <v>9884</v>
      </c>
      <c r="C4416" s="8" t="s">
        <v>36988</v>
      </c>
      <c r="D4416" s="9" t="b">
        <v>0</v>
      </c>
      <c r="E4416" s="9"/>
    </row>
    <row r="4417" ht="15.75" customHeight="1">
      <c r="A4417" s="9" t="s">
        <v>36989</v>
      </c>
      <c r="B4417" s="9" t="s">
        <v>9884</v>
      </c>
      <c r="C4417" s="8" t="s">
        <v>36990</v>
      </c>
      <c r="D4417" s="9" t="b">
        <v>0</v>
      </c>
      <c r="E4417" s="9"/>
    </row>
    <row r="4418" ht="15.75" customHeight="1">
      <c r="A4418" s="9" t="s">
        <v>36991</v>
      </c>
      <c r="B4418" s="9" t="s">
        <v>9884</v>
      </c>
      <c r="C4418" s="8" t="s">
        <v>36992</v>
      </c>
      <c r="D4418" s="9" t="b">
        <v>0</v>
      </c>
      <c r="E4418" s="9"/>
    </row>
    <row r="4419" ht="15.75" customHeight="1">
      <c r="A4419" s="9" t="s">
        <v>36993</v>
      </c>
      <c r="B4419" s="9" t="s">
        <v>12128</v>
      </c>
      <c r="C4419" s="8" t="s">
        <v>36994</v>
      </c>
      <c r="D4419" s="9" t="b">
        <v>0</v>
      </c>
      <c r="E4419" s="9"/>
    </row>
    <row r="4420" ht="15.75" customHeight="1">
      <c r="A4420" s="9" t="s">
        <v>36995</v>
      </c>
      <c r="B4420" s="9" t="s">
        <v>12128</v>
      </c>
      <c r="C4420" s="8" t="s">
        <v>36996</v>
      </c>
      <c r="D4420" s="9" t="b">
        <v>0</v>
      </c>
      <c r="E4420" s="9"/>
    </row>
    <row r="4421" ht="15.75" customHeight="1">
      <c r="A4421" s="9" t="s">
        <v>36997</v>
      </c>
      <c r="B4421" s="9" t="s">
        <v>12128</v>
      </c>
      <c r="C4421" s="8" t="s">
        <v>36998</v>
      </c>
      <c r="D4421" s="9" t="b">
        <v>0</v>
      </c>
      <c r="E4421" s="9"/>
    </row>
    <row r="4422" ht="15.75" customHeight="1">
      <c r="A4422" s="9" t="s">
        <v>36999</v>
      </c>
      <c r="B4422" s="9" t="s">
        <v>12128</v>
      </c>
      <c r="C4422" s="8" t="s">
        <v>37000</v>
      </c>
      <c r="D4422" s="9" t="b">
        <v>0</v>
      </c>
      <c r="E4422" s="9"/>
    </row>
    <row r="4423" ht="15.75" customHeight="1">
      <c r="A4423" s="9" t="s">
        <v>37001</v>
      </c>
      <c r="B4423" s="9" t="s">
        <v>12128</v>
      </c>
      <c r="C4423" s="8" t="s">
        <v>37002</v>
      </c>
      <c r="D4423" s="9" t="b">
        <v>0</v>
      </c>
      <c r="E4423" s="9"/>
    </row>
    <row r="4424" ht="15.75" customHeight="1">
      <c r="A4424" s="9" t="s">
        <v>37003</v>
      </c>
      <c r="B4424" s="9" t="s">
        <v>9736</v>
      </c>
      <c r="C4424" s="8" t="s">
        <v>37004</v>
      </c>
      <c r="D4424" s="9" t="b">
        <v>0</v>
      </c>
      <c r="E4424" s="9"/>
    </row>
    <row r="4425" ht="15.75" customHeight="1">
      <c r="A4425" s="9" t="s">
        <v>37005</v>
      </c>
      <c r="B4425" s="9" t="s">
        <v>9736</v>
      </c>
      <c r="C4425" s="8" t="s">
        <v>37006</v>
      </c>
      <c r="D4425" s="9" t="b">
        <v>0</v>
      </c>
      <c r="E4425" s="9"/>
    </row>
    <row r="4426" ht="15.75" customHeight="1">
      <c r="A4426" s="9" t="s">
        <v>37007</v>
      </c>
      <c r="B4426" s="9" t="s">
        <v>9736</v>
      </c>
      <c r="C4426" s="8" t="s">
        <v>37008</v>
      </c>
      <c r="D4426" s="9" t="b">
        <v>0</v>
      </c>
      <c r="E4426" s="9"/>
    </row>
    <row r="4427" ht="15.75" customHeight="1">
      <c r="A4427" s="9" t="s">
        <v>37009</v>
      </c>
      <c r="B4427" s="9" t="s">
        <v>9736</v>
      </c>
      <c r="C4427" s="8" t="s">
        <v>37010</v>
      </c>
      <c r="D4427" s="9" t="b">
        <v>0</v>
      </c>
      <c r="E4427" s="9"/>
    </row>
    <row r="4428" ht="15.75" customHeight="1">
      <c r="A4428" s="9" t="s">
        <v>37011</v>
      </c>
      <c r="B4428" s="9" t="s">
        <v>9736</v>
      </c>
      <c r="C4428" s="8" t="s">
        <v>37012</v>
      </c>
      <c r="D4428" s="9" t="b">
        <v>0</v>
      </c>
      <c r="E4428" s="9"/>
    </row>
    <row r="4429" ht="15.75" customHeight="1">
      <c r="A4429" s="9" t="s">
        <v>37013</v>
      </c>
      <c r="B4429" s="9" t="s">
        <v>11462</v>
      </c>
      <c r="C4429" s="8" t="s">
        <v>37014</v>
      </c>
      <c r="D4429" s="9" t="b">
        <v>0</v>
      </c>
      <c r="E4429" s="9"/>
    </row>
    <row r="4430" ht="15.75" customHeight="1">
      <c r="A4430" s="9" t="s">
        <v>37015</v>
      </c>
      <c r="B4430" s="9" t="s">
        <v>11462</v>
      </c>
      <c r="C4430" s="8" t="s">
        <v>37016</v>
      </c>
      <c r="D4430" s="9" t="b">
        <v>0</v>
      </c>
      <c r="E4430" s="9"/>
    </row>
    <row r="4431" ht="15.75" customHeight="1">
      <c r="A4431" s="9" t="s">
        <v>37017</v>
      </c>
      <c r="B4431" s="9" t="s">
        <v>11462</v>
      </c>
      <c r="C4431" s="8" t="s">
        <v>37018</v>
      </c>
      <c r="D4431" s="9" t="b">
        <v>1</v>
      </c>
      <c r="E4431" s="9"/>
    </row>
    <row r="4432" ht="15.75" customHeight="1">
      <c r="A4432" s="9" t="s">
        <v>37019</v>
      </c>
      <c r="B4432" s="9" t="s">
        <v>11464</v>
      </c>
      <c r="C4432" s="8" t="s">
        <v>37020</v>
      </c>
      <c r="D4432" s="9" t="b">
        <v>0</v>
      </c>
      <c r="E4432" s="9" t="s">
        <v>37021</v>
      </c>
    </row>
    <row r="4433" ht="15.75" customHeight="1">
      <c r="A4433" s="9" t="s">
        <v>37022</v>
      </c>
      <c r="B4433" s="9" t="s">
        <v>11464</v>
      </c>
      <c r="C4433" s="8" t="s">
        <v>37023</v>
      </c>
      <c r="D4433" s="9" t="b">
        <v>0</v>
      </c>
      <c r="E4433" s="9" t="s">
        <v>37024</v>
      </c>
    </row>
    <row r="4434" ht="15.75" customHeight="1">
      <c r="A4434" s="9" t="s">
        <v>37025</v>
      </c>
      <c r="B4434" s="9" t="s">
        <v>11464</v>
      </c>
      <c r="C4434" s="8" t="s">
        <v>37026</v>
      </c>
      <c r="D4434" s="9" t="b">
        <v>0</v>
      </c>
      <c r="E4434" s="9" t="s">
        <v>37027</v>
      </c>
    </row>
    <row r="4435" ht="15.75" customHeight="1">
      <c r="A4435" s="9" t="s">
        <v>37028</v>
      </c>
      <c r="B4435" s="9" t="s">
        <v>11464</v>
      </c>
      <c r="C4435" s="8" t="s">
        <v>37029</v>
      </c>
      <c r="D4435" s="9" t="b">
        <v>0</v>
      </c>
      <c r="E4435" s="9" t="s">
        <v>37030</v>
      </c>
    </row>
    <row r="4436" ht="15.75" customHeight="1">
      <c r="A4436" s="9" t="s">
        <v>37031</v>
      </c>
      <c r="B4436" s="9" t="s">
        <v>11464</v>
      </c>
      <c r="C4436" s="8" t="s">
        <v>37032</v>
      </c>
      <c r="D4436" s="9" t="b">
        <v>0</v>
      </c>
      <c r="E4436" s="9" t="s">
        <v>37033</v>
      </c>
    </row>
    <row r="4437" ht="15.75" customHeight="1">
      <c r="A4437" s="9" t="s">
        <v>37034</v>
      </c>
      <c r="B4437" s="9" t="s">
        <v>11464</v>
      </c>
      <c r="C4437" s="8" t="s">
        <v>37035</v>
      </c>
      <c r="D4437" s="9" t="b">
        <v>0</v>
      </c>
      <c r="E4437" s="9" t="s">
        <v>4427</v>
      </c>
    </row>
    <row r="4438" ht="15.75" customHeight="1">
      <c r="A4438" s="9" t="s">
        <v>37036</v>
      </c>
      <c r="B4438" s="9" t="s">
        <v>11464</v>
      </c>
      <c r="C4438" s="8" t="s">
        <v>37037</v>
      </c>
      <c r="D4438" s="9" t="b">
        <v>0</v>
      </c>
      <c r="E4438" s="9" t="s">
        <v>37038</v>
      </c>
    </row>
    <row r="4439" ht="15.75" customHeight="1">
      <c r="A4439" s="9" t="s">
        <v>37039</v>
      </c>
      <c r="B4439" s="9" t="s">
        <v>11464</v>
      </c>
      <c r="C4439" s="8" t="s">
        <v>37040</v>
      </c>
      <c r="D4439" s="9" t="b">
        <v>0</v>
      </c>
      <c r="E4439" s="9" t="s">
        <v>37041</v>
      </c>
    </row>
    <row r="4440" ht="15.75" customHeight="1">
      <c r="A4440" s="9" t="s">
        <v>37042</v>
      </c>
      <c r="B4440" s="9" t="s">
        <v>11464</v>
      </c>
      <c r="C4440" s="8" t="s">
        <v>37043</v>
      </c>
      <c r="D4440" s="9" t="b">
        <v>1</v>
      </c>
      <c r="E4440" s="9"/>
    </row>
    <row r="4441" ht="15.75" customHeight="1">
      <c r="A4441" s="9" t="s">
        <v>37044</v>
      </c>
      <c r="B4441" s="9" t="s">
        <v>10531</v>
      </c>
      <c r="C4441" s="8" t="s">
        <v>37045</v>
      </c>
      <c r="D4441" s="9" t="b">
        <v>0</v>
      </c>
      <c r="E4441" s="9"/>
    </row>
    <row r="4442" ht="15.75" customHeight="1">
      <c r="A4442" s="9" t="s">
        <v>37046</v>
      </c>
      <c r="B4442" s="9" t="s">
        <v>10531</v>
      </c>
      <c r="C4442" s="8" t="s">
        <v>37047</v>
      </c>
      <c r="D4442" s="9" t="b">
        <v>0</v>
      </c>
      <c r="E4442" s="9"/>
    </row>
    <row r="4443" ht="15.75" customHeight="1">
      <c r="A4443" s="9" t="s">
        <v>37048</v>
      </c>
      <c r="B4443" s="9" t="s">
        <v>10531</v>
      </c>
      <c r="C4443" s="8" t="s">
        <v>37049</v>
      </c>
      <c r="D4443" s="9" t="b">
        <v>0</v>
      </c>
      <c r="E4443" s="9"/>
    </row>
    <row r="4444" ht="15.75" customHeight="1">
      <c r="A4444" s="9" t="s">
        <v>37050</v>
      </c>
      <c r="B4444" s="9" t="s">
        <v>10531</v>
      </c>
      <c r="C4444" s="8" t="s">
        <v>37051</v>
      </c>
      <c r="D4444" s="9" t="b">
        <v>0</v>
      </c>
      <c r="E4444" s="9"/>
    </row>
    <row r="4445" ht="15.75" customHeight="1">
      <c r="A4445" s="9" t="s">
        <v>37052</v>
      </c>
      <c r="B4445" s="9" t="s">
        <v>11468</v>
      </c>
      <c r="C4445" s="8" t="s">
        <v>37053</v>
      </c>
      <c r="D4445" s="9" t="b">
        <v>1</v>
      </c>
      <c r="E4445" s="9"/>
    </row>
    <row r="4446" ht="15.75" customHeight="1">
      <c r="A4446" s="9" t="s">
        <v>37054</v>
      </c>
      <c r="B4446" s="9" t="s">
        <v>11468</v>
      </c>
      <c r="C4446" s="8" t="s">
        <v>37055</v>
      </c>
      <c r="D4446" s="9" t="b">
        <v>0</v>
      </c>
      <c r="E4446" s="9"/>
    </row>
    <row r="4447" ht="15.75" customHeight="1">
      <c r="A4447" s="9" t="s">
        <v>37056</v>
      </c>
      <c r="B4447" s="9" t="s">
        <v>11468</v>
      </c>
      <c r="C4447" s="8" t="s">
        <v>37057</v>
      </c>
      <c r="D4447" s="9" t="b">
        <v>0</v>
      </c>
      <c r="E4447" s="9"/>
    </row>
    <row r="4448" ht="15.75" customHeight="1">
      <c r="A4448" s="9" t="s">
        <v>37058</v>
      </c>
      <c r="B4448" s="9" t="s">
        <v>11470</v>
      </c>
      <c r="C4448" s="8" t="s">
        <v>37059</v>
      </c>
      <c r="D4448" s="9" t="b">
        <v>1</v>
      </c>
      <c r="E4448" s="9"/>
    </row>
    <row r="4449" ht="15.75" customHeight="1">
      <c r="A4449" s="52" t="s">
        <v>37060</v>
      </c>
      <c r="B4449" s="9" t="s">
        <v>11470</v>
      </c>
      <c r="C4449" s="8" t="s">
        <v>37061</v>
      </c>
      <c r="D4449" s="9" t="b">
        <v>0</v>
      </c>
      <c r="E4449" s="9"/>
    </row>
    <row r="4450" ht="15.75" customHeight="1">
      <c r="A4450" s="9" t="s">
        <v>37062</v>
      </c>
      <c r="B4450" s="9" t="s">
        <v>11470</v>
      </c>
      <c r="C4450" s="8" t="s">
        <v>37063</v>
      </c>
      <c r="D4450" s="9" t="b">
        <v>0</v>
      </c>
      <c r="E4450" s="9"/>
    </row>
    <row r="4451" ht="15.75" customHeight="1">
      <c r="A4451" s="52" t="s">
        <v>37064</v>
      </c>
      <c r="B4451" s="9" t="s">
        <v>11470</v>
      </c>
      <c r="C4451" s="8" t="s">
        <v>37065</v>
      </c>
      <c r="D4451" s="9" t="b">
        <v>0</v>
      </c>
      <c r="E4451" s="9"/>
    </row>
    <row r="4452" ht="15.75" customHeight="1">
      <c r="A4452" s="9" t="s">
        <v>37066</v>
      </c>
      <c r="B4452" s="9" t="s">
        <v>11470</v>
      </c>
      <c r="C4452" s="8" t="s">
        <v>37067</v>
      </c>
      <c r="D4452" s="9" t="b">
        <v>0</v>
      </c>
      <c r="E4452" s="9"/>
    </row>
    <row r="4453" ht="15.75" customHeight="1">
      <c r="A4453" s="9" t="s">
        <v>37068</v>
      </c>
      <c r="B4453" s="9" t="s">
        <v>11470</v>
      </c>
      <c r="C4453" s="8" t="s">
        <v>37069</v>
      </c>
      <c r="D4453" s="9" t="b">
        <v>0</v>
      </c>
      <c r="E4453" s="9"/>
    </row>
    <row r="4454" ht="15.75" customHeight="1">
      <c r="A4454" s="9" t="s">
        <v>37070</v>
      </c>
      <c r="B4454" s="9" t="s">
        <v>11470</v>
      </c>
      <c r="C4454" s="8" t="s">
        <v>37071</v>
      </c>
      <c r="D4454" s="9" t="b">
        <v>0</v>
      </c>
      <c r="E4454" s="9"/>
    </row>
    <row r="4455" ht="15.75" customHeight="1">
      <c r="A4455" s="9" t="s">
        <v>37072</v>
      </c>
      <c r="B4455" s="9" t="s">
        <v>11470</v>
      </c>
      <c r="C4455" s="8" t="s">
        <v>37073</v>
      </c>
      <c r="D4455" s="9" t="b">
        <v>0</v>
      </c>
      <c r="E4455" s="9"/>
    </row>
    <row r="4456" ht="15.75" customHeight="1">
      <c r="A4456" s="9" t="s">
        <v>37074</v>
      </c>
      <c r="B4456" s="9" t="s">
        <v>11470</v>
      </c>
      <c r="C4456" s="8" t="s">
        <v>37075</v>
      </c>
      <c r="D4456" s="9" t="b">
        <v>0</v>
      </c>
      <c r="E4456" s="9"/>
    </row>
    <row r="4457" ht="15.75" customHeight="1">
      <c r="A4457" s="9" t="s">
        <v>37076</v>
      </c>
      <c r="B4457" s="9" t="s">
        <v>11470</v>
      </c>
      <c r="C4457" s="8" t="s">
        <v>37077</v>
      </c>
      <c r="D4457" s="9" t="b">
        <v>0</v>
      </c>
      <c r="E4457" s="9"/>
    </row>
    <row r="4458" ht="15.75" customHeight="1">
      <c r="A4458" s="9" t="s">
        <v>37078</v>
      </c>
      <c r="B4458" s="9" t="s">
        <v>11470</v>
      </c>
      <c r="C4458" s="8" t="s">
        <v>37079</v>
      </c>
      <c r="D4458" s="9" t="b">
        <v>0</v>
      </c>
      <c r="E4458" s="9"/>
    </row>
    <row r="4459" ht="15.75" customHeight="1">
      <c r="A4459" s="9" t="s">
        <v>37080</v>
      </c>
      <c r="B4459" s="9" t="s">
        <v>11470</v>
      </c>
      <c r="C4459" s="8" t="s">
        <v>37081</v>
      </c>
      <c r="D4459" s="9" t="b">
        <v>0</v>
      </c>
      <c r="E4459" s="9"/>
    </row>
    <row r="4460" ht="15.75" customHeight="1">
      <c r="A4460" s="9" t="s">
        <v>37082</v>
      </c>
      <c r="B4460" s="9" t="s">
        <v>11470</v>
      </c>
      <c r="C4460" s="8" t="s">
        <v>37083</v>
      </c>
      <c r="D4460" s="9" t="b">
        <v>0</v>
      </c>
      <c r="E4460" s="9"/>
    </row>
    <row r="4461" ht="15.75" customHeight="1">
      <c r="A4461" s="9" t="s">
        <v>37084</v>
      </c>
      <c r="B4461" s="9" t="s">
        <v>11470</v>
      </c>
      <c r="C4461" s="8" t="s">
        <v>37085</v>
      </c>
      <c r="D4461" s="9" t="b">
        <v>0</v>
      </c>
      <c r="E4461" s="9"/>
    </row>
    <row r="4462" ht="15.75" customHeight="1">
      <c r="A4462" s="9" t="s">
        <v>37086</v>
      </c>
      <c r="B4462" s="9" t="s">
        <v>11470</v>
      </c>
      <c r="C4462" s="8" t="s">
        <v>37087</v>
      </c>
      <c r="D4462" s="9" t="b">
        <v>0</v>
      </c>
      <c r="E4462" s="9"/>
    </row>
    <row r="4463" ht="15.75" customHeight="1">
      <c r="A4463" s="9" t="s">
        <v>37088</v>
      </c>
      <c r="B4463" s="9" t="s">
        <v>11470</v>
      </c>
      <c r="C4463" s="8" t="s">
        <v>37089</v>
      </c>
      <c r="D4463" s="9" t="b">
        <v>0</v>
      </c>
      <c r="E4463" s="9"/>
    </row>
    <row r="4464" ht="15.75" customHeight="1">
      <c r="A4464" s="9" t="s">
        <v>37090</v>
      </c>
      <c r="B4464" s="9" t="s">
        <v>11470</v>
      </c>
      <c r="C4464" s="8" t="s">
        <v>37091</v>
      </c>
      <c r="D4464" s="9" t="b">
        <v>0</v>
      </c>
      <c r="E4464" s="9"/>
    </row>
    <row r="4465" ht="15.75" customHeight="1">
      <c r="A4465" s="9" t="s">
        <v>37092</v>
      </c>
      <c r="B4465" s="9" t="s">
        <v>11470</v>
      </c>
      <c r="C4465" s="8" t="s">
        <v>37093</v>
      </c>
      <c r="D4465" s="9" t="b">
        <v>0</v>
      </c>
      <c r="E4465" s="9"/>
    </row>
    <row r="4466" ht="15.75" customHeight="1">
      <c r="A4466" s="9" t="s">
        <v>37094</v>
      </c>
      <c r="B4466" s="9" t="s">
        <v>11470</v>
      </c>
      <c r="C4466" s="8" t="s">
        <v>37095</v>
      </c>
      <c r="D4466" s="9" t="b">
        <v>0</v>
      </c>
      <c r="E4466" s="9"/>
    </row>
    <row r="4467" ht="15.75" customHeight="1">
      <c r="A4467" s="9" t="s">
        <v>37096</v>
      </c>
      <c r="B4467" s="9" t="s">
        <v>11470</v>
      </c>
      <c r="C4467" s="8" t="s">
        <v>37097</v>
      </c>
      <c r="D4467" s="9" t="b">
        <v>0</v>
      </c>
      <c r="E4467" s="9"/>
    </row>
    <row r="4468" ht="15.75" customHeight="1">
      <c r="A4468" s="9" t="s">
        <v>37098</v>
      </c>
      <c r="B4468" s="9" t="s">
        <v>11470</v>
      </c>
      <c r="C4468" s="8" t="s">
        <v>37099</v>
      </c>
      <c r="D4468" s="9" t="b">
        <v>0</v>
      </c>
      <c r="E4468" s="9"/>
    </row>
    <row r="4469" ht="15.75" customHeight="1">
      <c r="A4469" s="9" t="s">
        <v>37100</v>
      </c>
      <c r="B4469" s="9" t="s">
        <v>11470</v>
      </c>
      <c r="C4469" s="8" t="s">
        <v>37101</v>
      </c>
      <c r="D4469" s="9" t="b">
        <v>0</v>
      </c>
      <c r="E4469" s="9"/>
    </row>
    <row r="4470" ht="15.75" customHeight="1">
      <c r="A4470" s="9" t="s">
        <v>37102</v>
      </c>
      <c r="B4470" s="9" t="s">
        <v>11470</v>
      </c>
      <c r="C4470" s="8" t="s">
        <v>37103</v>
      </c>
      <c r="D4470" s="9" t="b">
        <v>0</v>
      </c>
      <c r="E4470" s="9"/>
    </row>
    <row r="4471" ht="15.75" customHeight="1">
      <c r="A4471" s="9" t="s">
        <v>37104</v>
      </c>
      <c r="B4471" s="9" t="s">
        <v>11470</v>
      </c>
      <c r="C4471" s="8" t="s">
        <v>37105</v>
      </c>
      <c r="D4471" s="9" t="b">
        <v>0</v>
      </c>
      <c r="E4471" s="9"/>
    </row>
    <row r="4472" ht="15.75" customHeight="1">
      <c r="A4472" s="9" t="s">
        <v>37106</v>
      </c>
      <c r="B4472" s="9" t="s">
        <v>11445</v>
      </c>
      <c r="C4472" s="8" t="s">
        <v>37107</v>
      </c>
      <c r="D4472" s="9" t="b">
        <v>0</v>
      </c>
      <c r="E4472" s="9"/>
    </row>
    <row r="4473" ht="15.75" customHeight="1">
      <c r="A4473" s="9" t="s">
        <v>37108</v>
      </c>
      <c r="B4473" s="9" t="s">
        <v>11445</v>
      </c>
      <c r="C4473" s="8" t="s">
        <v>37109</v>
      </c>
      <c r="D4473" s="9" t="b">
        <v>0</v>
      </c>
      <c r="E4473" s="9"/>
    </row>
    <row r="4474" ht="15.75" customHeight="1">
      <c r="A4474" s="9" t="s">
        <v>37110</v>
      </c>
      <c r="B4474" s="9" t="s">
        <v>11445</v>
      </c>
      <c r="C4474" s="8" t="s">
        <v>37111</v>
      </c>
      <c r="D4474" s="9" t="b">
        <v>0</v>
      </c>
      <c r="E4474" s="9"/>
    </row>
    <row r="4475" ht="15.75" customHeight="1">
      <c r="A4475" s="9" t="s">
        <v>37112</v>
      </c>
      <c r="B4475" s="9" t="s">
        <v>11445</v>
      </c>
      <c r="C4475" s="8" t="s">
        <v>37113</v>
      </c>
      <c r="D4475" s="9" t="b">
        <v>0</v>
      </c>
      <c r="E4475" s="9"/>
    </row>
    <row r="4476" ht="15.75" customHeight="1">
      <c r="A4476" s="9" t="s">
        <v>37114</v>
      </c>
      <c r="B4476" s="9" t="s">
        <v>11445</v>
      </c>
      <c r="C4476" s="8" t="s">
        <v>37115</v>
      </c>
      <c r="D4476" s="9" t="b">
        <v>0</v>
      </c>
      <c r="E4476" s="9"/>
    </row>
    <row r="4477" ht="15.75" customHeight="1">
      <c r="A4477" s="9" t="s">
        <v>37116</v>
      </c>
      <c r="B4477" s="9" t="s">
        <v>11445</v>
      </c>
      <c r="C4477" s="8" t="s">
        <v>37117</v>
      </c>
      <c r="D4477" s="9" t="b">
        <v>0</v>
      </c>
      <c r="E4477" s="9"/>
    </row>
    <row r="4478" ht="15.75" customHeight="1">
      <c r="A4478" s="9" t="s">
        <v>37118</v>
      </c>
      <c r="B4478" s="9" t="s">
        <v>11445</v>
      </c>
      <c r="C4478" s="8" t="s">
        <v>37119</v>
      </c>
      <c r="D4478" s="9" t="b">
        <v>0</v>
      </c>
      <c r="E4478" s="9"/>
    </row>
    <row r="4479" ht="15.75" customHeight="1">
      <c r="A4479" s="9" t="s">
        <v>37120</v>
      </c>
      <c r="B4479" s="9" t="s">
        <v>11445</v>
      </c>
      <c r="C4479" s="8" t="s">
        <v>37121</v>
      </c>
      <c r="D4479" s="9" t="b">
        <v>0</v>
      </c>
      <c r="E4479" s="9"/>
    </row>
    <row r="4480" ht="15.75" customHeight="1">
      <c r="A4480" s="9" t="s">
        <v>37122</v>
      </c>
      <c r="B4480" s="9" t="s">
        <v>11445</v>
      </c>
      <c r="C4480" s="8" t="s">
        <v>37123</v>
      </c>
      <c r="D4480" s="9" t="b">
        <v>0</v>
      </c>
      <c r="E4480" s="9"/>
    </row>
    <row r="4481" ht="15.75" customHeight="1">
      <c r="A4481" s="9" t="s">
        <v>37124</v>
      </c>
      <c r="B4481" s="9" t="s">
        <v>11445</v>
      </c>
      <c r="C4481" s="8" t="s">
        <v>37125</v>
      </c>
      <c r="D4481" s="9" t="b">
        <v>0</v>
      </c>
      <c r="E4481" s="9"/>
    </row>
    <row r="4482" ht="15.75" customHeight="1">
      <c r="A4482" s="9" t="s">
        <v>37126</v>
      </c>
      <c r="B4482" s="9" t="s">
        <v>11445</v>
      </c>
      <c r="C4482" s="8" t="s">
        <v>37127</v>
      </c>
      <c r="D4482" s="9" t="b">
        <v>0</v>
      </c>
      <c r="E4482" s="9"/>
    </row>
    <row r="4483" ht="15.75" customHeight="1">
      <c r="A4483" s="9" t="s">
        <v>37128</v>
      </c>
      <c r="B4483" s="9" t="s">
        <v>11445</v>
      </c>
      <c r="C4483" s="8" t="s">
        <v>37129</v>
      </c>
      <c r="D4483" s="9" t="b">
        <v>0</v>
      </c>
      <c r="E4483" s="9"/>
    </row>
    <row r="4484" ht="15.75" customHeight="1">
      <c r="A4484" s="9" t="s">
        <v>37130</v>
      </c>
      <c r="B4484" s="9" t="s">
        <v>11445</v>
      </c>
      <c r="C4484" s="8" t="s">
        <v>37131</v>
      </c>
      <c r="D4484" s="9" t="b">
        <v>0</v>
      </c>
      <c r="E4484" s="9"/>
    </row>
    <row r="4485" ht="15.75" customHeight="1">
      <c r="A4485" s="9" t="s">
        <v>37132</v>
      </c>
      <c r="B4485" s="9" t="s">
        <v>11445</v>
      </c>
      <c r="C4485" s="8" t="s">
        <v>37133</v>
      </c>
      <c r="D4485" s="9" t="b">
        <v>0</v>
      </c>
      <c r="E4485" s="9"/>
    </row>
    <row r="4486" ht="15.75" customHeight="1">
      <c r="A4486" s="9" t="s">
        <v>37134</v>
      </c>
      <c r="B4486" s="9" t="s">
        <v>11445</v>
      </c>
      <c r="C4486" s="8" t="s">
        <v>37135</v>
      </c>
      <c r="D4486" s="9" t="b">
        <v>0</v>
      </c>
      <c r="E4486" s="9"/>
    </row>
    <row r="4487" ht="15.75" customHeight="1">
      <c r="A4487" s="9" t="s">
        <v>37136</v>
      </c>
      <c r="B4487" s="9" t="s">
        <v>11445</v>
      </c>
      <c r="C4487" s="8" t="s">
        <v>37137</v>
      </c>
      <c r="D4487" s="9" t="b">
        <v>0</v>
      </c>
      <c r="E4487" s="9"/>
    </row>
    <row r="4488" ht="15.75" customHeight="1">
      <c r="A4488" s="9" t="s">
        <v>37138</v>
      </c>
      <c r="B4488" s="9" t="s">
        <v>10616</v>
      </c>
      <c r="C4488" s="8" t="s">
        <v>37139</v>
      </c>
      <c r="D4488" s="9" t="b">
        <v>0</v>
      </c>
      <c r="E4488" s="9"/>
    </row>
    <row r="4489" ht="15.75" customHeight="1">
      <c r="A4489" s="9" t="s">
        <v>37140</v>
      </c>
      <c r="B4489" s="9" t="s">
        <v>10616</v>
      </c>
      <c r="C4489" s="8" t="s">
        <v>37141</v>
      </c>
      <c r="D4489" s="9" t="b">
        <v>0</v>
      </c>
      <c r="E4489" s="9"/>
    </row>
    <row r="4490" ht="15.75" customHeight="1">
      <c r="A4490" s="9" t="s">
        <v>37142</v>
      </c>
      <c r="B4490" s="9" t="s">
        <v>10616</v>
      </c>
      <c r="C4490" s="8" t="s">
        <v>37143</v>
      </c>
      <c r="D4490" s="9" t="b">
        <v>0</v>
      </c>
      <c r="E4490" s="9"/>
    </row>
    <row r="4491" ht="15.75" customHeight="1">
      <c r="A4491" s="9" t="s">
        <v>37144</v>
      </c>
      <c r="B4491" s="9" t="s">
        <v>10616</v>
      </c>
      <c r="C4491" s="8" t="s">
        <v>37145</v>
      </c>
      <c r="D4491" s="9" t="b">
        <v>0</v>
      </c>
      <c r="E4491" s="9"/>
    </row>
    <row r="4492" ht="15.75" customHeight="1">
      <c r="A4492" s="9" t="s">
        <v>37146</v>
      </c>
      <c r="B4492" s="9" t="s">
        <v>10616</v>
      </c>
      <c r="C4492" s="8" t="s">
        <v>37147</v>
      </c>
      <c r="D4492" s="9" t="b">
        <v>1</v>
      </c>
      <c r="E4492" s="9"/>
    </row>
    <row r="4493" ht="15.75" customHeight="1">
      <c r="A4493" s="9" t="s">
        <v>37148</v>
      </c>
      <c r="B4493" s="9" t="s">
        <v>10616</v>
      </c>
      <c r="C4493" s="8" t="s">
        <v>37149</v>
      </c>
      <c r="D4493" s="9" t="b">
        <v>0</v>
      </c>
      <c r="E4493" s="9"/>
    </row>
    <row r="4494" ht="15.75" customHeight="1">
      <c r="A4494" s="9" t="s">
        <v>37150</v>
      </c>
      <c r="B4494" s="9" t="s">
        <v>10616</v>
      </c>
      <c r="C4494" s="8" t="s">
        <v>37151</v>
      </c>
      <c r="D4494" s="9" t="b">
        <v>0</v>
      </c>
      <c r="E4494" s="9"/>
    </row>
    <row r="4495" ht="15.75" customHeight="1">
      <c r="A4495" s="9" t="s">
        <v>37152</v>
      </c>
      <c r="B4495" s="9" t="s">
        <v>10616</v>
      </c>
      <c r="C4495" s="8" t="s">
        <v>37153</v>
      </c>
      <c r="D4495" s="9" t="b">
        <v>0</v>
      </c>
      <c r="E4495" s="9"/>
    </row>
    <row r="4496" ht="15.75" customHeight="1">
      <c r="A4496" s="9" t="s">
        <v>37154</v>
      </c>
      <c r="B4496" s="9" t="s">
        <v>10616</v>
      </c>
      <c r="C4496" s="8" t="s">
        <v>37155</v>
      </c>
      <c r="D4496" s="9" t="b">
        <v>0</v>
      </c>
      <c r="E4496" s="9"/>
    </row>
    <row r="4497" ht="15.75" customHeight="1">
      <c r="A4497" s="9" t="s">
        <v>37156</v>
      </c>
      <c r="B4497" s="9" t="s">
        <v>10616</v>
      </c>
      <c r="C4497" s="8" t="s">
        <v>37157</v>
      </c>
      <c r="D4497" s="9" t="b">
        <v>0</v>
      </c>
      <c r="E4497" s="9"/>
    </row>
    <row r="4498" ht="15.75" customHeight="1">
      <c r="A4498" s="9" t="s">
        <v>37158</v>
      </c>
      <c r="B4498" s="9" t="s">
        <v>10616</v>
      </c>
      <c r="C4498" s="8" t="s">
        <v>37159</v>
      </c>
      <c r="D4498" s="9" t="b">
        <v>0</v>
      </c>
      <c r="E4498" s="9"/>
    </row>
    <row r="4499" ht="15.75" customHeight="1">
      <c r="A4499" s="9" t="s">
        <v>37160</v>
      </c>
      <c r="B4499" s="9" t="s">
        <v>10616</v>
      </c>
      <c r="C4499" s="8" t="s">
        <v>37161</v>
      </c>
      <c r="D4499" s="9" t="b">
        <v>0</v>
      </c>
      <c r="E4499" s="9"/>
    </row>
    <row r="4500" ht="15.75" customHeight="1">
      <c r="A4500" s="9" t="s">
        <v>37162</v>
      </c>
      <c r="B4500" s="9" t="s">
        <v>10616</v>
      </c>
      <c r="C4500" s="8" t="s">
        <v>37163</v>
      </c>
      <c r="D4500" s="9" t="b">
        <v>0</v>
      </c>
      <c r="E4500" s="9"/>
    </row>
    <row r="4501" ht="15.75" customHeight="1">
      <c r="A4501" s="9" t="s">
        <v>37164</v>
      </c>
      <c r="B4501" s="9" t="s">
        <v>10616</v>
      </c>
      <c r="C4501" s="8" t="s">
        <v>37165</v>
      </c>
      <c r="D4501" s="9" t="b">
        <v>0</v>
      </c>
      <c r="E4501" s="9"/>
    </row>
    <row r="4502" ht="15.75" customHeight="1">
      <c r="A4502" s="9" t="s">
        <v>37166</v>
      </c>
      <c r="B4502" s="9" t="s">
        <v>10616</v>
      </c>
      <c r="C4502" s="8" t="s">
        <v>37167</v>
      </c>
      <c r="D4502" s="9" t="b">
        <v>0</v>
      </c>
      <c r="E4502" s="9"/>
    </row>
    <row r="4503" ht="15.75" customHeight="1">
      <c r="A4503" s="9" t="s">
        <v>37168</v>
      </c>
      <c r="B4503" s="9" t="s">
        <v>10616</v>
      </c>
      <c r="C4503" s="8" t="s">
        <v>37169</v>
      </c>
      <c r="D4503" s="9" t="b">
        <v>0</v>
      </c>
      <c r="E4503" s="9"/>
    </row>
    <row r="4504" ht="15.75" customHeight="1">
      <c r="A4504" s="9" t="s">
        <v>37170</v>
      </c>
      <c r="B4504" s="9" t="s">
        <v>10616</v>
      </c>
      <c r="C4504" s="8" t="s">
        <v>37171</v>
      </c>
      <c r="D4504" s="9" t="b">
        <v>0</v>
      </c>
      <c r="E4504" s="9"/>
    </row>
    <row r="4505" ht="15.75" customHeight="1">
      <c r="A4505" s="9" t="s">
        <v>37172</v>
      </c>
      <c r="B4505" s="9" t="s">
        <v>10616</v>
      </c>
      <c r="C4505" s="8" t="s">
        <v>37173</v>
      </c>
      <c r="D4505" s="9" t="b">
        <v>0</v>
      </c>
      <c r="E4505" s="9"/>
    </row>
    <row r="4506" ht="15.75" customHeight="1">
      <c r="A4506" s="9" t="s">
        <v>37174</v>
      </c>
      <c r="B4506" s="9" t="s">
        <v>10616</v>
      </c>
      <c r="C4506" s="8" t="s">
        <v>37175</v>
      </c>
      <c r="D4506" s="9" t="b">
        <v>0</v>
      </c>
      <c r="E4506" s="9"/>
    </row>
    <row r="4507" ht="15.75" customHeight="1">
      <c r="A4507" s="9" t="s">
        <v>37176</v>
      </c>
      <c r="B4507" s="9" t="s">
        <v>10616</v>
      </c>
      <c r="C4507" s="8" t="s">
        <v>37177</v>
      </c>
      <c r="D4507" s="9" t="b">
        <v>0</v>
      </c>
      <c r="E4507" s="9"/>
    </row>
    <row r="4508" ht="15.75" customHeight="1">
      <c r="A4508" s="52" t="s">
        <v>37178</v>
      </c>
      <c r="B4508" s="9" t="s">
        <v>11468</v>
      </c>
      <c r="C4508" s="8" t="s">
        <v>37179</v>
      </c>
      <c r="D4508" s="9" t="b">
        <v>0</v>
      </c>
      <c r="E4508" s="9"/>
    </row>
    <row r="4509" ht="15.75" customHeight="1">
      <c r="A4509" s="9" t="s">
        <v>37180</v>
      </c>
      <c r="B4509" s="9" t="s">
        <v>11468</v>
      </c>
      <c r="C4509" s="8" t="s">
        <v>37181</v>
      </c>
      <c r="D4509" s="9" t="b">
        <v>0</v>
      </c>
      <c r="E4509" s="9"/>
    </row>
    <row r="4510" ht="15.75" customHeight="1">
      <c r="A4510" s="9" t="s">
        <v>37182</v>
      </c>
      <c r="B4510" s="9" t="s">
        <v>11468</v>
      </c>
      <c r="C4510" s="8" t="s">
        <v>37183</v>
      </c>
      <c r="D4510" s="9" t="b">
        <v>0</v>
      </c>
      <c r="E4510" s="9"/>
    </row>
    <row r="4511" ht="15.75" customHeight="1">
      <c r="A4511" s="9" t="s">
        <v>37184</v>
      </c>
      <c r="B4511" s="9" t="s">
        <v>11468</v>
      </c>
      <c r="C4511" s="8" t="s">
        <v>37185</v>
      </c>
      <c r="D4511" s="9" t="b">
        <v>0</v>
      </c>
      <c r="E4511" s="9"/>
    </row>
    <row r="4512" ht="15.75" customHeight="1">
      <c r="A4512" s="9" t="s">
        <v>37186</v>
      </c>
      <c r="B4512" s="9" t="s">
        <v>11468</v>
      </c>
      <c r="C4512" s="8" t="s">
        <v>37187</v>
      </c>
      <c r="D4512" s="9" t="b">
        <v>0</v>
      </c>
      <c r="E4512" s="9"/>
    </row>
    <row r="4513" ht="15.75" customHeight="1">
      <c r="A4513" s="9" t="s">
        <v>37188</v>
      </c>
      <c r="B4513" s="9" t="s">
        <v>11468</v>
      </c>
      <c r="C4513" s="8" t="s">
        <v>37189</v>
      </c>
      <c r="D4513" s="9" t="b">
        <v>0</v>
      </c>
      <c r="E4513" s="9"/>
    </row>
    <row r="4514" ht="15.75" customHeight="1">
      <c r="A4514" s="9" t="s">
        <v>37190</v>
      </c>
      <c r="B4514" s="9" t="s">
        <v>11474</v>
      </c>
      <c r="C4514" s="8" t="s">
        <v>37191</v>
      </c>
      <c r="D4514" s="9" t="b">
        <v>0</v>
      </c>
      <c r="E4514" s="9"/>
    </row>
    <row r="4515" ht="15.75" customHeight="1">
      <c r="A4515" s="9" t="s">
        <v>37192</v>
      </c>
      <c r="B4515" s="9" t="s">
        <v>11474</v>
      </c>
      <c r="C4515" s="8" t="s">
        <v>37193</v>
      </c>
      <c r="D4515" s="9" t="b">
        <v>0</v>
      </c>
      <c r="E4515" s="9"/>
    </row>
    <row r="4516" ht="15.75" customHeight="1">
      <c r="A4516" s="9" t="s">
        <v>37194</v>
      </c>
      <c r="B4516" s="9" t="s">
        <v>11474</v>
      </c>
      <c r="C4516" s="8" t="s">
        <v>37195</v>
      </c>
      <c r="D4516" s="9" t="b">
        <v>0</v>
      </c>
      <c r="E4516" s="9"/>
    </row>
    <row r="4517" ht="15.75" customHeight="1">
      <c r="A4517" s="9" t="s">
        <v>37196</v>
      </c>
      <c r="B4517" s="9" t="s">
        <v>11474</v>
      </c>
      <c r="C4517" s="8" t="s">
        <v>37197</v>
      </c>
      <c r="D4517" s="9" t="b">
        <v>0</v>
      </c>
      <c r="E4517" s="9"/>
    </row>
    <row r="4518" ht="15.75" customHeight="1">
      <c r="A4518" s="9" t="s">
        <v>37198</v>
      </c>
      <c r="B4518" s="9" t="s">
        <v>11474</v>
      </c>
      <c r="C4518" s="8" t="s">
        <v>37199</v>
      </c>
      <c r="D4518" s="9" t="b">
        <v>0</v>
      </c>
      <c r="E4518" s="9"/>
    </row>
    <row r="4519" ht="15.75" customHeight="1">
      <c r="A4519" s="9" t="s">
        <v>37200</v>
      </c>
      <c r="B4519" s="9" t="s">
        <v>11474</v>
      </c>
      <c r="C4519" s="8" t="s">
        <v>37201</v>
      </c>
      <c r="D4519" s="9" t="b">
        <v>1</v>
      </c>
      <c r="E4519" s="9"/>
    </row>
    <row r="4520" ht="15.75" customHeight="1">
      <c r="A4520" s="9" t="s">
        <v>37202</v>
      </c>
      <c r="B4520" s="9" t="s">
        <v>11474</v>
      </c>
      <c r="C4520" s="8" t="s">
        <v>37203</v>
      </c>
      <c r="D4520" s="9" t="b">
        <v>0</v>
      </c>
      <c r="E4520" s="9"/>
    </row>
    <row r="4521" ht="15.75" customHeight="1">
      <c r="A4521" s="9" t="s">
        <v>37204</v>
      </c>
      <c r="B4521" s="9" t="s">
        <v>11474</v>
      </c>
      <c r="C4521" s="8" t="s">
        <v>37205</v>
      </c>
      <c r="D4521" s="9" t="b">
        <v>0</v>
      </c>
      <c r="E4521" s="9"/>
    </row>
    <row r="4522" ht="15.75" customHeight="1">
      <c r="A4522" s="9" t="s">
        <v>37206</v>
      </c>
      <c r="B4522" s="9" t="s">
        <v>11476</v>
      </c>
      <c r="C4522" s="8" t="s">
        <v>37207</v>
      </c>
      <c r="D4522" s="9" t="b">
        <v>1</v>
      </c>
      <c r="E4522" s="9"/>
    </row>
    <row r="4523" ht="15.75" customHeight="1">
      <c r="A4523" s="9" t="s">
        <v>37208</v>
      </c>
      <c r="B4523" s="9" t="s">
        <v>11478</v>
      </c>
      <c r="C4523" s="8" t="s">
        <v>37209</v>
      </c>
      <c r="D4523" s="9" t="b">
        <v>1</v>
      </c>
      <c r="E4523" s="9"/>
    </row>
    <row r="4524" ht="15.75" customHeight="1">
      <c r="A4524" s="9" t="s">
        <v>37210</v>
      </c>
      <c r="B4524" s="9" t="s">
        <v>11482</v>
      </c>
      <c r="C4524" s="8" t="s">
        <v>37211</v>
      </c>
      <c r="D4524" s="9" t="b">
        <v>0</v>
      </c>
      <c r="E4524" s="9"/>
    </row>
    <row r="4525" ht="15.75" customHeight="1">
      <c r="A4525" s="9" t="s">
        <v>37212</v>
      </c>
      <c r="B4525" s="9" t="s">
        <v>11482</v>
      </c>
      <c r="C4525" s="8" t="s">
        <v>37213</v>
      </c>
      <c r="D4525" s="9" t="b">
        <v>1</v>
      </c>
      <c r="E4525" s="9"/>
    </row>
    <row r="4526" ht="15.75" customHeight="1">
      <c r="A4526" s="9" t="s">
        <v>37214</v>
      </c>
      <c r="B4526" s="9" t="s">
        <v>11482</v>
      </c>
      <c r="C4526" s="8" t="s">
        <v>37215</v>
      </c>
      <c r="D4526" s="9" t="b">
        <v>0</v>
      </c>
      <c r="E4526" s="9"/>
    </row>
    <row r="4527" ht="15.75" customHeight="1">
      <c r="A4527" s="9" t="s">
        <v>37216</v>
      </c>
      <c r="B4527" s="9" t="s">
        <v>11482</v>
      </c>
      <c r="C4527" s="8" t="s">
        <v>37217</v>
      </c>
      <c r="D4527" s="9" t="b">
        <v>0</v>
      </c>
      <c r="E4527" s="9"/>
    </row>
    <row r="4528" ht="15.75" customHeight="1">
      <c r="A4528" s="9" t="s">
        <v>37218</v>
      </c>
      <c r="B4528" s="9" t="s">
        <v>11482</v>
      </c>
      <c r="C4528" s="8" t="s">
        <v>37219</v>
      </c>
      <c r="D4528" s="9" t="b">
        <v>0</v>
      </c>
      <c r="E4528" s="9"/>
    </row>
    <row r="4529" ht="15.75" customHeight="1">
      <c r="A4529" s="9" t="s">
        <v>37220</v>
      </c>
      <c r="B4529" s="9" t="s">
        <v>11480</v>
      </c>
      <c r="C4529" s="8" t="s">
        <v>37221</v>
      </c>
      <c r="D4529" s="9" t="b">
        <v>0</v>
      </c>
      <c r="E4529" s="9"/>
    </row>
    <row r="4530" ht="15.75" customHeight="1">
      <c r="A4530" s="9" t="s">
        <v>37222</v>
      </c>
      <c r="B4530" s="9" t="s">
        <v>11480</v>
      </c>
      <c r="C4530" s="8" t="s">
        <v>37223</v>
      </c>
      <c r="D4530" s="9" t="b">
        <v>0</v>
      </c>
      <c r="E4530" s="9"/>
    </row>
    <row r="4531" ht="15.75" customHeight="1">
      <c r="A4531" s="9" t="s">
        <v>37224</v>
      </c>
      <c r="B4531" s="9" t="s">
        <v>11480</v>
      </c>
      <c r="C4531" s="8" t="s">
        <v>37225</v>
      </c>
      <c r="D4531" s="9" t="b">
        <v>0</v>
      </c>
      <c r="E4531" s="9"/>
    </row>
    <row r="4532" ht="15.75" customHeight="1">
      <c r="A4532" s="9" t="s">
        <v>37226</v>
      </c>
      <c r="B4532" s="9" t="s">
        <v>11480</v>
      </c>
      <c r="C4532" s="8" t="s">
        <v>37227</v>
      </c>
      <c r="D4532" s="9" t="b">
        <v>0</v>
      </c>
      <c r="E4532" s="9"/>
    </row>
    <row r="4533" ht="15.75" customHeight="1">
      <c r="A4533" s="9" t="s">
        <v>37228</v>
      </c>
      <c r="B4533" s="9" t="s">
        <v>11480</v>
      </c>
      <c r="C4533" s="8" t="s">
        <v>37229</v>
      </c>
      <c r="D4533" s="9" t="b">
        <v>0</v>
      </c>
      <c r="E4533" s="9"/>
    </row>
    <row r="4534" ht="15.75" customHeight="1">
      <c r="A4534" s="9" t="s">
        <v>37230</v>
      </c>
      <c r="B4534" s="9" t="s">
        <v>11480</v>
      </c>
      <c r="C4534" s="8" t="s">
        <v>37231</v>
      </c>
      <c r="D4534" s="9" t="b">
        <v>1</v>
      </c>
      <c r="E4534" s="9"/>
    </row>
    <row r="4535" ht="15.75" customHeight="1">
      <c r="A4535" s="9" t="s">
        <v>37232</v>
      </c>
      <c r="B4535" s="9" t="s">
        <v>11480</v>
      </c>
      <c r="C4535" s="8" t="s">
        <v>37233</v>
      </c>
      <c r="D4535" s="9" t="b">
        <v>0</v>
      </c>
      <c r="E4535" s="9"/>
    </row>
    <row r="4536" ht="15.75" customHeight="1">
      <c r="A4536" s="9" t="s">
        <v>37234</v>
      </c>
      <c r="B4536" s="9" t="s">
        <v>11480</v>
      </c>
      <c r="C4536" s="8" t="s">
        <v>37235</v>
      </c>
      <c r="D4536" s="9" t="b">
        <v>0</v>
      </c>
      <c r="E4536" s="9"/>
    </row>
    <row r="4537" ht="15.75" customHeight="1">
      <c r="A4537" s="9" t="s">
        <v>37236</v>
      </c>
      <c r="B4537" s="9" t="s">
        <v>11494</v>
      </c>
      <c r="C4537" s="8" t="s">
        <v>37237</v>
      </c>
      <c r="D4537" s="9" t="b">
        <v>1</v>
      </c>
      <c r="E4537" s="9"/>
    </row>
    <row r="4538" ht="15.75" customHeight="1">
      <c r="A4538" s="9" t="s">
        <v>37238</v>
      </c>
      <c r="B4538" s="9" t="s">
        <v>11494</v>
      </c>
      <c r="C4538" s="8" t="s">
        <v>37239</v>
      </c>
      <c r="D4538" s="9" t="b">
        <v>0</v>
      </c>
      <c r="E4538" s="9"/>
    </row>
    <row r="4539" ht="15.75" customHeight="1">
      <c r="A4539" s="9" t="s">
        <v>37240</v>
      </c>
      <c r="B4539" s="9" t="s">
        <v>11494</v>
      </c>
      <c r="C4539" s="8" t="s">
        <v>37241</v>
      </c>
      <c r="D4539" s="9" t="b">
        <v>0</v>
      </c>
      <c r="E4539" s="9"/>
    </row>
    <row r="4540" ht="15.75" customHeight="1">
      <c r="A4540" s="9" t="s">
        <v>37242</v>
      </c>
      <c r="B4540" s="9" t="s">
        <v>11494</v>
      </c>
      <c r="C4540" s="8" t="s">
        <v>37243</v>
      </c>
      <c r="D4540" s="9" t="b">
        <v>0</v>
      </c>
      <c r="E4540" s="9"/>
    </row>
    <row r="4541" ht="15.75" customHeight="1">
      <c r="A4541" s="9" t="s">
        <v>37244</v>
      </c>
      <c r="B4541" s="9" t="s">
        <v>11494</v>
      </c>
      <c r="C4541" s="8" t="s">
        <v>37245</v>
      </c>
      <c r="D4541" s="9" t="b">
        <v>0</v>
      </c>
      <c r="E4541" s="9"/>
    </row>
    <row r="4542" ht="15.75" customHeight="1">
      <c r="A4542" s="9" t="s">
        <v>37246</v>
      </c>
      <c r="B4542" s="9" t="s">
        <v>11494</v>
      </c>
      <c r="C4542" s="8" t="s">
        <v>37247</v>
      </c>
      <c r="D4542" s="9" t="b">
        <v>0</v>
      </c>
      <c r="E4542" s="9"/>
    </row>
    <row r="4543" ht="15.75" customHeight="1">
      <c r="A4543" s="9" t="s">
        <v>37248</v>
      </c>
      <c r="B4543" s="9" t="s">
        <v>2767</v>
      </c>
      <c r="C4543" s="8" t="s">
        <v>37249</v>
      </c>
      <c r="D4543" s="9" t="b">
        <v>0</v>
      </c>
      <c r="E4543" s="9"/>
    </row>
    <row r="4544" ht="15.75" customHeight="1">
      <c r="A4544" s="9" t="s">
        <v>37250</v>
      </c>
      <c r="B4544" s="9" t="s">
        <v>2767</v>
      </c>
      <c r="C4544" s="8" t="s">
        <v>37251</v>
      </c>
      <c r="D4544" s="9" t="b">
        <v>0</v>
      </c>
      <c r="E4544" s="9"/>
    </row>
    <row r="4545" ht="15.75" customHeight="1">
      <c r="A4545" s="9"/>
      <c r="B4545" s="9"/>
      <c r="C4545" s="9"/>
      <c r="D4545" s="9"/>
      <c r="E4545" s="9"/>
    </row>
    <row r="4546" ht="15.75" customHeight="1">
      <c r="A4546" s="9"/>
      <c r="B4546" s="9"/>
      <c r="C4546" s="9"/>
      <c r="D4546" s="9"/>
      <c r="E4546" s="9"/>
    </row>
    <row r="4547" ht="15.75" customHeight="1">
      <c r="A4547" s="9"/>
      <c r="B4547" s="9"/>
      <c r="C4547" s="9"/>
      <c r="D4547" s="9"/>
      <c r="E4547" s="9"/>
    </row>
    <row r="4548" ht="15.75" customHeight="1">
      <c r="A4548" s="9"/>
      <c r="B4548" s="9"/>
      <c r="C4548" s="9"/>
      <c r="D4548" s="9"/>
      <c r="E4548" s="9"/>
    </row>
    <row r="4549" ht="15.75" customHeight="1">
      <c r="A4549" s="9"/>
      <c r="B4549" s="9"/>
      <c r="C4549" s="9"/>
      <c r="D4549" s="9"/>
      <c r="E4549" s="9"/>
    </row>
    <row r="4550" ht="15.75" customHeight="1">
      <c r="A4550" s="9" t="s">
        <v>37252</v>
      </c>
      <c r="B4550" s="9" t="s">
        <v>10113</v>
      </c>
      <c r="C4550" s="8" t="s">
        <v>37253</v>
      </c>
      <c r="D4550" s="9" t="b">
        <v>0</v>
      </c>
      <c r="E4550" s="9"/>
    </row>
    <row r="4551" ht="15.75" customHeight="1">
      <c r="A4551" s="9" t="s">
        <v>37254</v>
      </c>
      <c r="B4551" s="9" t="s">
        <v>10113</v>
      </c>
      <c r="C4551" s="8" t="s">
        <v>37255</v>
      </c>
      <c r="D4551" s="9" t="b">
        <v>0</v>
      </c>
      <c r="E4551" s="9"/>
    </row>
    <row r="4552" ht="15.75" customHeight="1">
      <c r="A4552" s="9" t="s">
        <v>37256</v>
      </c>
      <c r="B4552" s="9" t="s">
        <v>10113</v>
      </c>
      <c r="C4552" s="8" t="s">
        <v>37257</v>
      </c>
      <c r="D4552" s="9" t="b">
        <v>0</v>
      </c>
      <c r="E4552" s="9"/>
    </row>
    <row r="4553" ht="15.75" customHeight="1">
      <c r="A4553" s="9" t="s">
        <v>37258</v>
      </c>
      <c r="B4553" s="9" t="s">
        <v>10113</v>
      </c>
      <c r="C4553" s="8" t="s">
        <v>37259</v>
      </c>
      <c r="D4553" s="9" t="b">
        <v>0</v>
      </c>
      <c r="E4553" s="9"/>
    </row>
    <row r="4554" ht="15.75" customHeight="1">
      <c r="A4554" s="9" t="s">
        <v>37260</v>
      </c>
      <c r="B4554" s="9" t="s">
        <v>10113</v>
      </c>
      <c r="C4554" s="8" t="s">
        <v>37261</v>
      </c>
      <c r="D4554" s="9" t="b">
        <v>0</v>
      </c>
      <c r="E4554" s="9"/>
    </row>
    <row r="4555" ht="15.75" customHeight="1">
      <c r="A4555" s="9" t="s">
        <v>37262</v>
      </c>
      <c r="B4555" s="9" t="s">
        <v>9810</v>
      </c>
      <c r="C4555" s="8" t="s">
        <v>37263</v>
      </c>
      <c r="D4555" s="9" t="b">
        <v>0</v>
      </c>
      <c r="E4555" s="9"/>
    </row>
    <row r="4556" ht="15.75" customHeight="1">
      <c r="A4556" s="9" t="s">
        <v>37264</v>
      </c>
      <c r="B4556" s="9" t="s">
        <v>9810</v>
      </c>
      <c r="C4556" s="8" t="s">
        <v>37265</v>
      </c>
      <c r="D4556" s="9" t="b">
        <v>0</v>
      </c>
      <c r="E4556" s="9"/>
    </row>
    <row r="4557" ht="15.75" customHeight="1">
      <c r="A4557" s="9" t="s">
        <v>37266</v>
      </c>
      <c r="B4557" s="9" t="s">
        <v>9810</v>
      </c>
      <c r="C4557" s="8" t="s">
        <v>37267</v>
      </c>
      <c r="D4557" s="9" t="b">
        <v>1</v>
      </c>
      <c r="E4557" s="9"/>
    </row>
    <row r="4558" ht="15.75" customHeight="1">
      <c r="A4558" s="9" t="s">
        <v>37268</v>
      </c>
      <c r="B4558" s="9" t="s">
        <v>9810</v>
      </c>
      <c r="C4558" s="8" t="s">
        <v>37269</v>
      </c>
      <c r="D4558" s="9" t="b">
        <v>0</v>
      </c>
      <c r="E4558" s="9"/>
    </row>
    <row r="4559" ht="15.75" customHeight="1">
      <c r="A4559" s="9" t="s">
        <v>37270</v>
      </c>
      <c r="B4559" s="9" t="s">
        <v>9810</v>
      </c>
      <c r="C4559" s="8" t="s">
        <v>37271</v>
      </c>
      <c r="D4559" s="9" t="b">
        <v>0</v>
      </c>
      <c r="E4559" s="9"/>
    </row>
    <row r="4560" ht="15.75" customHeight="1">
      <c r="A4560" s="9" t="s">
        <v>37272</v>
      </c>
      <c r="B4560" s="9" t="s">
        <v>9922</v>
      </c>
      <c r="C4560" s="8" t="s">
        <v>37273</v>
      </c>
      <c r="D4560" s="9" t="b">
        <v>0</v>
      </c>
      <c r="E4560" s="9"/>
    </row>
    <row r="4561" ht="15.75" customHeight="1">
      <c r="A4561" s="9" t="s">
        <v>37274</v>
      </c>
      <c r="B4561" s="9" t="s">
        <v>9922</v>
      </c>
      <c r="C4561" s="8" t="s">
        <v>37275</v>
      </c>
      <c r="D4561" s="9" t="b">
        <v>0</v>
      </c>
      <c r="E4561" s="9"/>
    </row>
    <row r="4562" ht="15.75" customHeight="1">
      <c r="A4562" s="9" t="s">
        <v>37276</v>
      </c>
      <c r="B4562" s="9" t="s">
        <v>9922</v>
      </c>
      <c r="C4562" s="8" t="s">
        <v>37277</v>
      </c>
      <c r="D4562" s="9" t="b">
        <v>0</v>
      </c>
      <c r="E4562" s="9"/>
    </row>
    <row r="4563" ht="15.75" customHeight="1">
      <c r="A4563" s="9" t="s">
        <v>37278</v>
      </c>
      <c r="B4563" s="9" t="s">
        <v>5808</v>
      </c>
      <c r="C4563" s="8" t="s">
        <v>37279</v>
      </c>
      <c r="D4563" s="9" t="b">
        <v>0</v>
      </c>
      <c r="E4563" s="9"/>
    </row>
    <row r="4564" ht="15.75" customHeight="1">
      <c r="A4564" s="9" t="s">
        <v>37280</v>
      </c>
      <c r="B4564" s="9" t="s">
        <v>5808</v>
      </c>
      <c r="C4564" s="8" t="s">
        <v>37281</v>
      </c>
      <c r="D4564" s="9" t="b">
        <v>1</v>
      </c>
      <c r="E4564" s="9"/>
    </row>
    <row r="4565" ht="15.75" customHeight="1">
      <c r="A4565" s="9" t="s">
        <v>37282</v>
      </c>
      <c r="B4565" s="9" t="s">
        <v>9285</v>
      </c>
      <c r="C4565" s="8" t="s">
        <v>37283</v>
      </c>
      <c r="D4565" s="9" t="b">
        <v>1</v>
      </c>
      <c r="E4565" s="9"/>
    </row>
    <row r="4566" ht="15.75" customHeight="1">
      <c r="A4566" s="9" t="s">
        <v>37284</v>
      </c>
      <c r="B4566" s="9" t="s">
        <v>9285</v>
      </c>
      <c r="C4566" s="8" t="s">
        <v>37285</v>
      </c>
      <c r="D4566" s="9" t="b">
        <v>0</v>
      </c>
      <c r="E4566" s="9"/>
    </row>
    <row r="4567" ht="15.75" customHeight="1">
      <c r="A4567" s="9" t="s">
        <v>37286</v>
      </c>
      <c r="B4567" s="9" t="s">
        <v>2767</v>
      </c>
      <c r="C4567" s="8" t="s">
        <v>37287</v>
      </c>
      <c r="D4567" s="9" t="b">
        <v>0</v>
      </c>
      <c r="E4567" s="9"/>
    </row>
    <row r="4568" ht="15.75" customHeight="1">
      <c r="A4568" s="9" t="s">
        <v>37288</v>
      </c>
      <c r="B4568" s="9" t="s">
        <v>11476</v>
      </c>
      <c r="C4568" s="8" t="s">
        <v>37289</v>
      </c>
      <c r="D4568" s="9" t="b">
        <v>0</v>
      </c>
      <c r="E4568" s="9"/>
    </row>
    <row r="4569" ht="15.75" customHeight="1">
      <c r="A4569" s="9" t="s">
        <v>37290</v>
      </c>
      <c r="B4569" s="9" t="s">
        <v>11476</v>
      </c>
      <c r="C4569" s="8" t="s">
        <v>37291</v>
      </c>
      <c r="D4569" s="9" t="b">
        <v>0</v>
      </c>
      <c r="E4569" s="9"/>
    </row>
    <row r="4570" ht="15.75" customHeight="1">
      <c r="A4570" s="9" t="s">
        <v>37292</v>
      </c>
      <c r="B4570" s="9" t="s">
        <v>11476</v>
      </c>
      <c r="C4570" s="8" t="s">
        <v>37293</v>
      </c>
      <c r="D4570" s="9" t="b">
        <v>0</v>
      </c>
      <c r="E4570" s="9"/>
    </row>
    <row r="4571" ht="15.75" customHeight="1">
      <c r="A4571" s="9" t="s">
        <v>37294</v>
      </c>
      <c r="B4571" s="9" t="s">
        <v>11476</v>
      </c>
      <c r="C4571" s="8" t="s">
        <v>37295</v>
      </c>
      <c r="D4571" s="9" t="b">
        <v>0</v>
      </c>
      <c r="E4571" s="9"/>
    </row>
    <row r="4572" ht="15.75" customHeight="1">
      <c r="A4572" s="9" t="s">
        <v>37296</v>
      </c>
      <c r="B4572" s="9" t="s">
        <v>11476</v>
      </c>
      <c r="C4572" s="8" t="s">
        <v>37297</v>
      </c>
      <c r="D4572" s="9" t="b">
        <v>0</v>
      </c>
      <c r="E4572" s="9"/>
    </row>
    <row r="4573" ht="15.75" customHeight="1">
      <c r="A4573" s="9" t="s">
        <v>37298</v>
      </c>
      <c r="B4573" s="9" t="s">
        <v>11476</v>
      </c>
      <c r="C4573" s="8" t="s">
        <v>37299</v>
      </c>
      <c r="D4573" s="9" t="b">
        <v>0</v>
      </c>
      <c r="E4573" s="9"/>
    </row>
    <row r="4574" ht="15.75" customHeight="1">
      <c r="A4574" s="9" t="s">
        <v>37300</v>
      </c>
      <c r="B4574" s="9" t="s">
        <v>11476</v>
      </c>
      <c r="C4574" s="8" t="s">
        <v>37301</v>
      </c>
      <c r="D4574" s="9" t="b">
        <v>0</v>
      </c>
      <c r="E4574" s="9"/>
    </row>
    <row r="4575" ht="15.75" customHeight="1">
      <c r="A4575" s="9" t="s">
        <v>37302</v>
      </c>
      <c r="B4575" s="9" t="s">
        <v>11476</v>
      </c>
      <c r="C4575" s="8" t="s">
        <v>37303</v>
      </c>
      <c r="D4575" s="9" t="b">
        <v>0</v>
      </c>
      <c r="E4575" s="9"/>
    </row>
    <row r="4576" ht="15.75" customHeight="1">
      <c r="A4576" s="9" t="s">
        <v>37304</v>
      </c>
      <c r="B4576" s="9" t="s">
        <v>6185</v>
      </c>
      <c r="C4576" s="8" t="s">
        <v>37305</v>
      </c>
      <c r="D4576" s="9" t="b">
        <v>0</v>
      </c>
      <c r="E4576" s="9"/>
    </row>
    <row r="4577" ht="15.75" customHeight="1">
      <c r="A4577" s="9" t="s">
        <v>37306</v>
      </c>
      <c r="B4577" s="9" t="s">
        <v>6185</v>
      </c>
      <c r="C4577" s="8" t="s">
        <v>37307</v>
      </c>
      <c r="D4577" s="9" t="b">
        <v>0</v>
      </c>
      <c r="E4577" s="9"/>
    </row>
    <row r="4578" ht="15.75" customHeight="1">
      <c r="A4578" s="9" t="s">
        <v>37308</v>
      </c>
      <c r="B4578" s="9" t="s">
        <v>6185</v>
      </c>
      <c r="C4578" s="8" t="s">
        <v>37309</v>
      </c>
      <c r="D4578" s="9" t="b">
        <v>0</v>
      </c>
      <c r="E4578" s="9"/>
    </row>
    <row r="4579" ht="15.75" customHeight="1">
      <c r="A4579" s="9" t="s">
        <v>37310</v>
      </c>
      <c r="B4579" s="9" t="s">
        <v>11362</v>
      </c>
      <c r="C4579" s="8" t="s">
        <v>37311</v>
      </c>
      <c r="D4579" s="9" t="b">
        <v>0</v>
      </c>
      <c r="E4579" s="9"/>
    </row>
    <row r="4580" ht="15.75" customHeight="1">
      <c r="A4580" s="9" t="s">
        <v>37312</v>
      </c>
      <c r="B4580" s="9" t="s">
        <v>11362</v>
      </c>
      <c r="C4580" s="8" t="s">
        <v>37313</v>
      </c>
      <c r="D4580" s="9" t="b">
        <v>0</v>
      </c>
      <c r="E4580" s="9"/>
    </row>
    <row r="4581" ht="15.75" customHeight="1">
      <c r="A4581" s="9" t="s">
        <v>37314</v>
      </c>
      <c r="B4581" s="9" t="s">
        <v>11362</v>
      </c>
      <c r="C4581" s="8" t="s">
        <v>37315</v>
      </c>
      <c r="D4581" s="9" t="b">
        <v>0</v>
      </c>
      <c r="E4581" s="9"/>
    </row>
    <row r="4582" ht="15.75" customHeight="1">
      <c r="A4582" s="9" t="s">
        <v>37316</v>
      </c>
      <c r="B4582" s="9" t="s">
        <v>11489</v>
      </c>
      <c r="C4582" s="8" t="s">
        <v>37317</v>
      </c>
      <c r="D4582" s="9" t="b">
        <v>0</v>
      </c>
      <c r="E4582" s="9"/>
    </row>
    <row r="4583" ht="15.75" customHeight="1">
      <c r="A4583" s="9" t="s">
        <v>37318</v>
      </c>
      <c r="B4583" s="9" t="s">
        <v>11489</v>
      </c>
      <c r="C4583" s="8" t="s">
        <v>37319</v>
      </c>
      <c r="D4583" s="9" t="b">
        <v>1</v>
      </c>
      <c r="E4583" s="9"/>
    </row>
    <row r="4584" ht="15.75" customHeight="1">
      <c r="A4584" s="9" t="s">
        <v>37320</v>
      </c>
      <c r="B4584" s="9" t="s">
        <v>11489</v>
      </c>
      <c r="C4584" s="8" t="s">
        <v>37321</v>
      </c>
      <c r="D4584" s="9" t="b">
        <v>0</v>
      </c>
      <c r="E4584" s="9"/>
    </row>
    <row r="4585" ht="15.75" customHeight="1">
      <c r="A4585" s="9" t="s">
        <v>37322</v>
      </c>
      <c r="B4585" s="9" t="s">
        <v>11489</v>
      </c>
      <c r="C4585" s="8" t="s">
        <v>37323</v>
      </c>
      <c r="D4585" s="9" t="b">
        <v>0</v>
      </c>
      <c r="E4585" s="9"/>
    </row>
    <row r="4586" ht="15.75" customHeight="1">
      <c r="A4586" s="9" t="s">
        <v>37324</v>
      </c>
      <c r="B4586" s="9" t="s">
        <v>11489</v>
      </c>
      <c r="C4586" s="8" t="s">
        <v>37325</v>
      </c>
      <c r="D4586" s="9" t="b">
        <v>0</v>
      </c>
      <c r="E4586" s="9"/>
    </row>
    <row r="4587" ht="15.75" customHeight="1">
      <c r="A4587" s="9" t="s">
        <v>37326</v>
      </c>
      <c r="B4587" s="9" t="s">
        <v>11489</v>
      </c>
      <c r="C4587" s="8" t="s">
        <v>37327</v>
      </c>
      <c r="D4587" s="9" t="b">
        <v>0</v>
      </c>
      <c r="E4587" s="9"/>
    </row>
    <row r="4588" ht="15.75" customHeight="1">
      <c r="A4588" s="9" t="s">
        <v>37328</v>
      </c>
      <c r="B4588" s="9" t="s">
        <v>11489</v>
      </c>
      <c r="C4588" s="8" t="s">
        <v>37329</v>
      </c>
      <c r="D4588" s="9" t="b">
        <v>0</v>
      </c>
      <c r="E4588" s="9"/>
    </row>
    <row r="4589" ht="15.75" customHeight="1">
      <c r="A4589" s="9" t="s">
        <v>37330</v>
      </c>
      <c r="B4589" s="9" t="s">
        <v>11489</v>
      </c>
      <c r="C4589" s="8" t="s">
        <v>37331</v>
      </c>
      <c r="D4589" s="9" t="b">
        <v>0</v>
      </c>
      <c r="E4589" s="9"/>
    </row>
    <row r="4590" ht="15.75" customHeight="1">
      <c r="A4590" s="9" t="s">
        <v>37332</v>
      </c>
      <c r="B4590" s="9" t="s">
        <v>11484</v>
      </c>
      <c r="C4590" s="8" t="s">
        <v>37333</v>
      </c>
      <c r="D4590" s="9" t="b">
        <v>0</v>
      </c>
      <c r="E4590" s="9"/>
    </row>
    <row r="4591" ht="15.75" customHeight="1">
      <c r="A4591" s="9" t="s">
        <v>37334</v>
      </c>
      <c r="B4591" s="9" t="s">
        <v>11501</v>
      </c>
      <c r="C4591" s="8" t="s">
        <v>37335</v>
      </c>
      <c r="D4591" s="9" t="b">
        <v>0</v>
      </c>
      <c r="E4591" s="9" t="s">
        <v>37336</v>
      </c>
    </row>
    <row r="4592" ht="15.75" customHeight="1">
      <c r="A4592" s="9" t="s">
        <v>37337</v>
      </c>
      <c r="B4592" s="9" t="s">
        <v>11501</v>
      </c>
      <c r="C4592" s="8" t="s">
        <v>37338</v>
      </c>
      <c r="D4592" s="9" t="b">
        <v>0</v>
      </c>
      <c r="E4592" s="9" t="s">
        <v>37339</v>
      </c>
    </row>
    <row r="4593" ht="15.75" customHeight="1">
      <c r="A4593" s="9" t="s">
        <v>37340</v>
      </c>
      <c r="B4593" s="9" t="s">
        <v>11501</v>
      </c>
      <c r="C4593" s="8" t="s">
        <v>37341</v>
      </c>
      <c r="D4593" s="9" t="b">
        <v>0</v>
      </c>
      <c r="E4593" s="9"/>
    </row>
    <row r="4594" ht="15.75" customHeight="1">
      <c r="A4594" s="9" t="s">
        <v>37342</v>
      </c>
      <c r="B4594" s="9" t="s">
        <v>11501</v>
      </c>
      <c r="C4594" s="8" t="s">
        <v>37343</v>
      </c>
      <c r="D4594" s="9" t="b">
        <v>1</v>
      </c>
      <c r="E4594" s="9"/>
    </row>
    <row r="4595" ht="15.75" customHeight="1">
      <c r="A4595" s="9" t="s">
        <v>37344</v>
      </c>
      <c r="B4595" s="9" t="s">
        <v>11503</v>
      </c>
      <c r="C4595" s="8" t="s">
        <v>37345</v>
      </c>
      <c r="D4595" s="9" t="b">
        <v>0</v>
      </c>
      <c r="E4595" s="9"/>
    </row>
    <row r="4596" ht="15.75" customHeight="1">
      <c r="A4596" s="9" t="s">
        <v>37346</v>
      </c>
      <c r="B4596" s="9" t="s">
        <v>11503</v>
      </c>
      <c r="C4596" s="8" t="s">
        <v>37347</v>
      </c>
      <c r="D4596" s="9" t="b">
        <v>0</v>
      </c>
      <c r="E4596" s="9"/>
    </row>
    <row r="4597" ht="15.75" customHeight="1">
      <c r="A4597" s="52" t="s">
        <v>37348</v>
      </c>
      <c r="B4597" s="9" t="s">
        <v>11503</v>
      </c>
      <c r="C4597" s="8" t="s">
        <v>37349</v>
      </c>
      <c r="D4597" s="9" t="b">
        <v>0</v>
      </c>
      <c r="E4597" s="9"/>
    </row>
    <row r="4598" ht="15.75" customHeight="1">
      <c r="A4598" s="9" t="s">
        <v>37350</v>
      </c>
      <c r="B4598" s="9" t="s">
        <v>11503</v>
      </c>
      <c r="C4598" s="8" t="s">
        <v>37351</v>
      </c>
      <c r="D4598" s="9" t="b">
        <v>0</v>
      </c>
      <c r="E4598" s="9"/>
    </row>
    <row r="4599" ht="15.75" customHeight="1">
      <c r="A4599" s="9" t="s">
        <v>37352</v>
      </c>
      <c r="B4599" s="9" t="s">
        <v>11503</v>
      </c>
      <c r="C4599" s="8" t="s">
        <v>37353</v>
      </c>
      <c r="D4599" s="9" t="b">
        <v>1</v>
      </c>
      <c r="E4599" s="9"/>
    </row>
    <row r="4600" ht="15.75" customHeight="1">
      <c r="A4600" s="9" t="s">
        <v>37354</v>
      </c>
      <c r="B4600" s="9" t="s">
        <v>11507</v>
      </c>
      <c r="C4600" s="8" t="s">
        <v>37355</v>
      </c>
      <c r="D4600" s="9" t="b">
        <v>1</v>
      </c>
      <c r="E4600" s="9"/>
    </row>
    <row r="4601" ht="15.75" customHeight="1">
      <c r="A4601" s="9" t="s">
        <v>37356</v>
      </c>
      <c r="B4601" s="9" t="s">
        <v>11507</v>
      </c>
      <c r="C4601" s="8" t="s">
        <v>37357</v>
      </c>
      <c r="D4601" s="9" t="b">
        <v>0</v>
      </c>
      <c r="E4601" s="9"/>
    </row>
    <row r="4602" ht="15.75" customHeight="1">
      <c r="A4602" s="9" t="s">
        <v>37358</v>
      </c>
      <c r="B4602" s="9" t="s">
        <v>11507</v>
      </c>
      <c r="C4602" s="8" t="s">
        <v>37359</v>
      </c>
      <c r="D4602" s="9" t="b">
        <v>0</v>
      </c>
      <c r="E4602" s="9"/>
    </row>
    <row r="4603" ht="15.75" customHeight="1">
      <c r="A4603" s="9" t="s">
        <v>37360</v>
      </c>
      <c r="B4603" s="9" t="s">
        <v>11507</v>
      </c>
      <c r="C4603" s="8" t="s">
        <v>37361</v>
      </c>
      <c r="D4603" s="9" t="b">
        <v>0</v>
      </c>
      <c r="E4603" s="9"/>
    </row>
    <row r="4604" ht="15.75" customHeight="1">
      <c r="A4604" s="9" t="s">
        <v>37362</v>
      </c>
      <c r="B4604" s="9" t="s">
        <v>11507</v>
      </c>
      <c r="C4604" s="8" t="s">
        <v>37363</v>
      </c>
      <c r="D4604" s="9" t="b">
        <v>0</v>
      </c>
      <c r="E4604" s="9" t="s">
        <v>37364</v>
      </c>
    </row>
    <row r="4605" ht="15.75" customHeight="1">
      <c r="A4605" s="9" t="s">
        <v>37365</v>
      </c>
      <c r="B4605" s="9" t="s">
        <v>247</v>
      </c>
      <c r="C4605" s="8" t="s">
        <v>37366</v>
      </c>
      <c r="D4605" s="9" t="b">
        <v>0</v>
      </c>
      <c r="E4605" s="9"/>
    </row>
    <row r="4606" ht="15.75" customHeight="1">
      <c r="A4606" s="9" t="s">
        <v>37367</v>
      </c>
      <c r="B4606" s="9" t="s">
        <v>247</v>
      </c>
      <c r="C4606" s="8" t="s">
        <v>37368</v>
      </c>
      <c r="D4606" s="9" t="b">
        <v>1</v>
      </c>
      <c r="E4606" s="9"/>
    </row>
    <row r="4607" ht="15.75" customHeight="1">
      <c r="A4607" s="9" t="s">
        <v>37369</v>
      </c>
      <c r="B4607" s="9" t="s">
        <v>247</v>
      </c>
      <c r="C4607" s="8" t="s">
        <v>37370</v>
      </c>
      <c r="D4607" s="9" t="b">
        <v>0</v>
      </c>
      <c r="E4607" s="9"/>
    </row>
    <row r="4608" ht="15.75" customHeight="1">
      <c r="A4608" s="9" t="s">
        <v>37371</v>
      </c>
      <c r="B4608" s="9" t="s">
        <v>247</v>
      </c>
      <c r="C4608" s="8" t="s">
        <v>37372</v>
      </c>
      <c r="D4608" s="9" t="b">
        <v>0</v>
      </c>
      <c r="E4608" s="9"/>
    </row>
    <row r="4609" ht="15.75" customHeight="1">
      <c r="A4609" s="9" t="s">
        <v>37373</v>
      </c>
      <c r="B4609" s="9" t="s">
        <v>247</v>
      </c>
      <c r="C4609" s="8" t="s">
        <v>37374</v>
      </c>
      <c r="D4609" s="9" t="b">
        <v>0</v>
      </c>
      <c r="E4609" s="9"/>
    </row>
    <row r="4610" ht="15.75" customHeight="1">
      <c r="A4610" s="9" t="s">
        <v>37375</v>
      </c>
      <c r="B4610" s="9" t="s">
        <v>247</v>
      </c>
      <c r="C4610" s="8" t="s">
        <v>37376</v>
      </c>
      <c r="D4610" s="9" t="b">
        <v>0</v>
      </c>
      <c r="E4610" s="9"/>
    </row>
    <row r="4611" ht="15.75" customHeight="1">
      <c r="A4611" s="9" t="s">
        <v>37377</v>
      </c>
      <c r="B4611" s="9" t="s">
        <v>11516</v>
      </c>
      <c r="C4611" s="8" t="s">
        <v>37378</v>
      </c>
      <c r="D4611" s="9" t="b">
        <v>1</v>
      </c>
      <c r="E4611" s="9"/>
    </row>
    <row r="4612" ht="15.75" customHeight="1">
      <c r="A4612" s="9" t="s">
        <v>37379</v>
      </c>
      <c r="B4612" s="9" t="s">
        <v>11516</v>
      </c>
      <c r="C4612" s="8" t="s">
        <v>37380</v>
      </c>
      <c r="D4612" s="9" t="b">
        <v>0</v>
      </c>
      <c r="E4612" s="9"/>
    </row>
    <row r="4613" ht="15.75" customHeight="1">
      <c r="A4613" s="9" t="s">
        <v>37381</v>
      </c>
      <c r="B4613" s="9" t="s">
        <v>11516</v>
      </c>
      <c r="C4613" s="8" t="s">
        <v>37382</v>
      </c>
      <c r="D4613" s="9" t="b">
        <v>0</v>
      </c>
      <c r="E4613" s="9"/>
    </row>
    <row r="4614" ht="15.75" customHeight="1">
      <c r="A4614" s="9" t="s">
        <v>37383</v>
      </c>
      <c r="B4614" s="9" t="s">
        <v>11516</v>
      </c>
      <c r="C4614" s="8" t="s">
        <v>37384</v>
      </c>
      <c r="D4614" s="9" t="b">
        <v>0</v>
      </c>
      <c r="E4614" s="9"/>
    </row>
    <row r="4615" ht="15.75" customHeight="1">
      <c r="A4615" s="9" t="s">
        <v>37385</v>
      </c>
      <c r="B4615" s="9" t="s">
        <v>11516</v>
      </c>
      <c r="C4615" s="8" t="s">
        <v>37386</v>
      </c>
      <c r="D4615" s="9" t="b">
        <v>0</v>
      </c>
      <c r="E4615" s="9"/>
    </row>
    <row r="4616" ht="15.75" customHeight="1">
      <c r="A4616" s="9" t="s">
        <v>37387</v>
      </c>
      <c r="B4616" s="9" t="s">
        <v>11509</v>
      </c>
      <c r="C4616" s="8" t="s">
        <v>37388</v>
      </c>
      <c r="D4616" s="9" t="b">
        <v>1</v>
      </c>
      <c r="E4616" s="9"/>
    </row>
    <row r="4617" ht="15.75" customHeight="1">
      <c r="A4617" s="9" t="s">
        <v>37389</v>
      </c>
      <c r="B4617" s="9" t="s">
        <v>11509</v>
      </c>
      <c r="C4617" s="8" t="s">
        <v>37390</v>
      </c>
      <c r="D4617" s="9" t="b">
        <v>0</v>
      </c>
      <c r="E4617" s="9"/>
    </row>
    <row r="4618" ht="15.75" customHeight="1">
      <c r="A4618" s="9" t="s">
        <v>37391</v>
      </c>
      <c r="B4618" s="9" t="s">
        <v>11509</v>
      </c>
      <c r="C4618" s="8" t="s">
        <v>37392</v>
      </c>
      <c r="D4618" s="9" t="b">
        <v>0</v>
      </c>
      <c r="E4618" s="9"/>
    </row>
    <row r="4619" ht="15.75" customHeight="1">
      <c r="A4619" s="9" t="s">
        <v>37393</v>
      </c>
      <c r="B4619" s="9" t="s">
        <v>9450</v>
      </c>
      <c r="C4619" s="8" t="s">
        <v>37394</v>
      </c>
      <c r="D4619" s="9" t="b">
        <v>0</v>
      </c>
      <c r="E4619" s="9"/>
    </row>
    <row r="4620" ht="15.75" customHeight="1">
      <c r="A4620" s="9" t="s">
        <v>37395</v>
      </c>
      <c r="B4620" s="9" t="s">
        <v>9450</v>
      </c>
      <c r="C4620" s="8" t="s">
        <v>37396</v>
      </c>
      <c r="D4620" s="9" t="b">
        <v>0</v>
      </c>
      <c r="E4620" s="9"/>
    </row>
    <row r="4621" ht="15.75" customHeight="1">
      <c r="A4621" s="9" t="s">
        <v>37397</v>
      </c>
      <c r="B4621" s="9" t="s">
        <v>9450</v>
      </c>
      <c r="C4621" s="8" t="s">
        <v>37398</v>
      </c>
      <c r="D4621" s="9" t="b">
        <v>0</v>
      </c>
      <c r="E4621" s="9"/>
    </row>
    <row r="4622" ht="15.75" customHeight="1">
      <c r="A4622" s="9" t="s">
        <v>37399</v>
      </c>
      <c r="B4622" s="9" t="s">
        <v>9450</v>
      </c>
      <c r="C4622" s="8" t="s">
        <v>37400</v>
      </c>
      <c r="D4622" s="9" t="b">
        <v>0</v>
      </c>
      <c r="E4622" s="9"/>
    </row>
    <row r="4623" ht="15.75" customHeight="1">
      <c r="A4623" s="9" t="s">
        <v>37401</v>
      </c>
      <c r="B4623" s="9" t="s">
        <v>9450</v>
      </c>
      <c r="C4623" s="8" t="s">
        <v>37402</v>
      </c>
      <c r="D4623" s="9" t="b">
        <v>1</v>
      </c>
      <c r="E4623" s="9"/>
    </row>
    <row r="4624" ht="15.75" customHeight="1">
      <c r="A4624" s="9" t="s">
        <v>37403</v>
      </c>
      <c r="B4624" s="9" t="s">
        <v>9450</v>
      </c>
      <c r="C4624" s="8" t="s">
        <v>37404</v>
      </c>
      <c r="D4624" s="9" t="b">
        <v>0</v>
      </c>
      <c r="E4624" s="9"/>
    </row>
    <row r="4625" ht="15.75" customHeight="1">
      <c r="A4625" s="9" t="s">
        <v>37405</v>
      </c>
      <c r="B4625" s="9" t="s">
        <v>9450</v>
      </c>
      <c r="C4625" s="8" t="s">
        <v>37406</v>
      </c>
      <c r="D4625" s="9" t="b">
        <v>0</v>
      </c>
      <c r="E4625" s="9"/>
    </row>
    <row r="4626" ht="15.75" customHeight="1">
      <c r="A4626" s="9" t="s">
        <v>37407</v>
      </c>
      <c r="B4626" s="9" t="s">
        <v>11505</v>
      </c>
      <c r="C4626" s="8" t="s">
        <v>37408</v>
      </c>
      <c r="D4626" s="9" t="b">
        <v>1</v>
      </c>
      <c r="E4626" s="9"/>
    </row>
    <row r="4627" ht="15.75" customHeight="1">
      <c r="A4627" s="9" t="s">
        <v>37409</v>
      </c>
      <c r="B4627" s="9" t="s">
        <v>11505</v>
      </c>
      <c r="C4627" s="8" t="s">
        <v>37410</v>
      </c>
      <c r="D4627" s="9" t="b">
        <v>0</v>
      </c>
      <c r="E4627" s="9"/>
    </row>
    <row r="4628" ht="15.75" customHeight="1">
      <c r="A4628" s="9" t="s">
        <v>37411</v>
      </c>
      <c r="B4628" s="9" t="s">
        <v>11472</v>
      </c>
      <c r="C4628" s="8" t="s">
        <v>37412</v>
      </c>
      <c r="D4628" s="9" t="b">
        <v>1</v>
      </c>
      <c r="E4628" s="9"/>
    </row>
    <row r="4629" ht="15.75" customHeight="1">
      <c r="A4629" s="9" t="s">
        <v>37413</v>
      </c>
      <c r="B4629" s="9" t="s">
        <v>11518</v>
      </c>
      <c r="C4629" s="8" t="s">
        <v>37414</v>
      </c>
      <c r="D4629" s="9" t="b">
        <v>1</v>
      </c>
      <c r="E4629" s="9"/>
    </row>
    <row r="4630" ht="15.75" customHeight="1">
      <c r="A4630" s="9" t="s">
        <v>37415</v>
      </c>
      <c r="B4630" s="9" t="s">
        <v>11520</v>
      </c>
      <c r="C4630" s="8" t="s">
        <v>37416</v>
      </c>
      <c r="D4630" s="9" t="b">
        <v>0</v>
      </c>
      <c r="E4630" s="9"/>
    </row>
    <row r="4631" ht="15.75" customHeight="1">
      <c r="A4631" s="9" t="s">
        <v>37417</v>
      </c>
      <c r="B4631" s="9" t="s">
        <v>11520</v>
      </c>
      <c r="C4631" s="8" t="s">
        <v>37418</v>
      </c>
      <c r="D4631" s="9" t="b">
        <v>1</v>
      </c>
      <c r="E4631" s="9"/>
    </row>
    <row r="4632" ht="15.75" customHeight="1">
      <c r="A4632" s="9" t="s">
        <v>37419</v>
      </c>
      <c r="B4632" s="9" t="s">
        <v>11520</v>
      </c>
      <c r="C4632" s="8" t="s">
        <v>37420</v>
      </c>
      <c r="D4632" s="9" t="b">
        <v>0</v>
      </c>
      <c r="E4632" s="9"/>
    </row>
    <row r="4633" ht="15.75" customHeight="1">
      <c r="A4633" s="9" t="s">
        <v>37421</v>
      </c>
      <c r="B4633" s="9" t="s">
        <v>11522</v>
      </c>
      <c r="C4633" s="8" t="s">
        <v>37422</v>
      </c>
      <c r="D4633" s="9" t="b">
        <v>0</v>
      </c>
      <c r="E4633" s="9"/>
    </row>
    <row r="4634" ht="15.75" customHeight="1">
      <c r="A4634" s="9" t="s">
        <v>37423</v>
      </c>
      <c r="B4634" s="9" t="s">
        <v>11522</v>
      </c>
      <c r="C4634" s="8" t="s">
        <v>37424</v>
      </c>
      <c r="D4634" s="9" t="b">
        <v>1</v>
      </c>
      <c r="E4634" s="9"/>
    </row>
    <row r="4635" ht="15.75" customHeight="1">
      <c r="A4635" s="9" t="s">
        <v>37425</v>
      </c>
      <c r="B4635" s="9" t="s">
        <v>11522</v>
      </c>
      <c r="C4635" s="8" t="s">
        <v>37426</v>
      </c>
      <c r="D4635" s="9" t="b">
        <v>0</v>
      </c>
      <c r="E4635" s="9"/>
    </row>
    <row r="4636" ht="15.75" customHeight="1">
      <c r="A4636" s="9" t="s">
        <v>37427</v>
      </c>
      <c r="B4636" s="9" t="s">
        <v>741</v>
      </c>
      <c r="C4636" s="8" t="s">
        <v>37428</v>
      </c>
      <c r="D4636" s="9" t="b">
        <v>0</v>
      </c>
      <c r="E4636" s="9"/>
    </row>
    <row r="4637" ht="15.75" customHeight="1">
      <c r="A4637" s="9" t="s">
        <v>37429</v>
      </c>
      <c r="B4637" s="9" t="s">
        <v>741</v>
      </c>
      <c r="C4637" s="8" t="s">
        <v>37430</v>
      </c>
      <c r="D4637" s="9" t="b">
        <v>0</v>
      </c>
      <c r="E4637" s="9"/>
    </row>
    <row r="4638" ht="15.75" customHeight="1">
      <c r="A4638" s="52" t="s">
        <v>37431</v>
      </c>
      <c r="B4638" s="9" t="s">
        <v>11498</v>
      </c>
      <c r="C4638" s="8" t="s">
        <v>37432</v>
      </c>
      <c r="D4638" s="9" t="b">
        <v>0</v>
      </c>
      <c r="E4638" s="9"/>
    </row>
    <row r="4639" ht="15.75" customHeight="1">
      <c r="A4639" s="9" t="s">
        <v>37433</v>
      </c>
      <c r="B4639" s="9" t="s">
        <v>11498</v>
      </c>
      <c r="C4639" s="8" t="s">
        <v>37434</v>
      </c>
      <c r="D4639" s="9" t="b">
        <v>1</v>
      </c>
      <c r="E4639" s="9"/>
    </row>
    <row r="4640" ht="15.75" customHeight="1">
      <c r="A4640" s="9" t="s">
        <v>37435</v>
      </c>
      <c r="B4640" s="9" t="s">
        <v>11518</v>
      </c>
      <c r="C4640" s="8" t="s">
        <v>37436</v>
      </c>
      <c r="D4640" s="9" t="b">
        <v>0</v>
      </c>
      <c r="E4640" s="9"/>
    </row>
    <row r="4641" ht="15.75" customHeight="1">
      <c r="A4641" s="9" t="s">
        <v>37437</v>
      </c>
      <c r="B4641" s="9" t="s">
        <v>11498</v>
      </c>
      <c r="C4641" s="8" t="s">
        <v>37438</v>
      </c>
      <c r="D4641" s="9" t="b">
        <v>0</v>
      </c>
      <c r="E4641" s="9"/>
    </row>
    <row r="4642" ht="15.75" customHeight="1">
      <c r="A4642" s="9" t="s">
        <v>37439</v>
      </c>
      <c r="B4642" s="9" t="s">
        <v>11518</v>
      </c>
      <c r="C4642" s="8" t="s">
        <v>37440</v>
      </c>
      <c r="D4642" s="9" t="b">
        <v>0</v>
      </c>
      <c r="E4642" s="9"/>
    </row>
    <row r="4643" ht="15.75" customHeight="1">
      <c r="A4643" s="9" t="s">
        <v>37441</v>
      </c>
      <c r="B4643" s="9" t="s">
        <v>9544</v>
      </c>
      <c r="C4643" s="8" t="s">
        <v>37442</v>
      </c>
      <c r="D4643" s="9" t="b">
        <v>0</v>
      </c>
      <c r="E4643" s="9"/>
    </row>
    <row r="4644" ht="15.75" customHeight="1">
      <c r="A4644" s="9" t="s">
        <v>37443</v>
      </c>
      <c r="B4644" s="9" t="s">
        <v>9544</v>
      </c>
      <c r="C4644" s="8" t="s">
        <v>37444</v>
      </c>
      <c r="D4644" s="9" t="b">
        <v>0</v>
      </c>
      <c r="E4644" s="9"/>
    </row>
    <row r="4645" ht="15.75" customHeight="1">
      <c r="A4645" s="9" t="s">
        <v>37445</v>
      </c>
      <c r="B4645" s="9" t="s">
        <v>9544</v>
      </c>
      <c r="C4645" s="8" t="s">
        <v>37446</v>
      </c>
      <c r="D4645" s="9" t="b">
        <v>0</v>
      </c>
      <c r="E4645" s="9"/>
    </row>
    <row r="4646" ht="15.75" customHeight="1">
      <c r="A4646" s="9" t="s">
        <v>37447</v>
      </c>
      <c r="B4646" s="52" t="s">
        <v>22842</v>
      </c>
      <c r="C4646" s="8" t="s">
        <v>37448</v>
      </c>
      <c r="D4646" s="9" t="b">
        <v>0</v>
      </c>
      <c r="E4646" s="9"/>
    </row>
    <row r="4647" ht="15.75" customHeight="1">
      <c r="A4647" s="9" t="s">
        <v>37449</v>
      </c>
      <c r="B4647" s="52" t="s">
        <v>22842</v>
      </c>
      <c r="C4647" s="8" t="s">
        <v>37450</v>
      </c>
      <c r="D4647" s="9" t="b">
        <v>1</v>
      </c>
      <c r="E4647" s="9"/>
    </row>
    <row r="4648" ht="15.75" customHeight="1">
      <c r="A4648" s="9" t="s">
        <v>37451</v>
      </c>
      <c r="B4648" s="52" t="s">
        <v>22842</v>
      </c>
      <c r="C4648" s="8" t="s">
        <v>37452</v>
      </c>
      <c r="D4648" s="9" t="b">
        <v>0</v>
      </c>
      <c r="E4648" s="9"/>
    </row>
    <row r="4649" ht="15.75" customHeight="1">
      <c r="A4649" s="9" t="s">
        <v>37453</v>
      </c>
      <c r="B4649" s="9" t="s">
        <v>11528</v>
      </c>
      <c r="C4649" s="8" t="s">
        <v>37454</v>
      </c>
      <c r="D4649" s="9" t="b">
        <v>0</v>
      </c>
      <c r="E4649" s="9"/>
    </row>
    <row r="4650" ht="15.75" customHeight="1">
      <c r="A4650" s="9" t="s">
        <v>37455</v>
      </c>
      <c r="B4650" s="9" t="s">
        <v>11528</v>
      </c>
      <c r="C4650" s="8" t="s">
        <v>37456</v>
      </c>
      <c r="D4650" s="9" t="b">
        <v>0</v>
      </c>
      <c r="E4650" s="9"/>
    </row>
    <row r="4651" ht="15.75" customHeight="1">
      <c r="A4651" s="9" t="s">
        <v>37457</v>
      </c>
      <c r="B4651" s="9" t="s">
        <v>11528</v>
      </c>
      <c r="C4651" s="8" t="s">
        <v>37458</v>
      </c>
      <c r="D4651" s="9" t="b">
        <v>1</v>
      </c>
      <c r="E4651" s="9"/>
    </row>
    <row r="4652" ht="15.75" customHeight="1">
      <c r="A4652" s="52" t="s">
        <v>37459</v>
      </c>
      <c r="B4652" s="9" t="s">
        <v>605</v>
      </c>
      <c r="C4652" s="8" t="s">
        <v>37460</v>
      </c>
      <c r="D4652" s="9" t="b">
        <v>0</v>
      </c>
      <c r="E4652" s="9"/>
    </row>
    <row r="4653" ht="15.75" customHeight="1">
      <c r="A4653" s="9" t="s">
        <v>37461</v>
      </c>
      <c r="B4653" s="9" t="s">
        <v>605</v>
      </c>
      <c r="C4653" s="8" t="s">
        <v>37462</v>
      </c>
      <c r="D4653" s="9" t="b">
        <v>0</v>
      </c>
      <c r="E4653" s="9"/>
    </row>
    <row r="4654" ht="15.75" customHeight="1">
      <c r="A4654" s="9" t="s">
        <v>37463</v>
      </c>
      <c r="B4654" s="9" t="s">
        <v>605</v>
      </c>
      <c r="C4654" s="8" t="s">
        <v>37464</v>
      </c>
      <c r="D4654" s="9" t="b">
        <v>0</v>
      </c>
      <c r="E4654" s="9"/>
    </row>
    <row r="4655" ht="15.75" customHeight="1">
      <c r="A4655" s="9" t="s">
        <v>37465</v>
      </c>
      <c r="B4655" s="9" t="s">
        <v>605</v>
      </c>
      <c r="C4655" s="8" t="s">
        <v>37466</v>
      </c>
      <c r="D4655" s="9" t="b">
        <v>1</v>
      </c>
      <c r="E4655" s="9"/>
    </row>
    <row r="4656" ht="15.75" customHeight="1">
      <c r="A4656" s="9" t="s">
        <v>37467</v>
      </c>
      <c r="B4656" s="9" t="s">
        <v>605</v>
      </c>
      <c r="C4656" s="8" t="s">
        <v>37468</v>
      </c>
      <c r="D4656" s="9" t="b">
        <v>0</v>
      </c>
      <c r="E4656" s="9"/>
    </row>
    <row r="4657" ht="15.75" customHeight="1">
      <c r="A4657" s="9" t="s">
        <v>37469</v>
      </c>
      <c r="B4657" s="9" t="s">
        <v>605</v>
      </c>
      <c r="C4657" s="8" t="s">
        <v>37470</v>
      </c>
      <c r="D4657" s="9" t="b">
        <v>0</v>
      </c>
      <c r="E4657" s="9"/>
    </row>
    <row r="4658" ht="15.75" customHeight="1">
      <c r="A4658" s="9" t="s">
        <v>37471</v>
      </c>
      <c r="B4658" s="9" t="s">
        <v>605</v>
      </c>
      <c r="C4658" s="8" t="s">
        <v>37472</v>
      </c>
      <c r="D4658" s="9" t="b">
        <v>0</v>
      </c>
      <c r="E4658" s="9"/>
    </row>
    <row r="4659" ht="15.75" customHeight="1">
      <c r="A4659" s="9" t="s">
        <v>37473</v>
      </c>
      <c r="B4659" s="9" t="s">
        <v>605</v>
      </c>
      <c r="C4659" s="8" t="s">
        <v>37474</v>
      </c>
      <c r="D4659" s="9" t="b">
        <v>0</v>
      </c>
      <c r="E4659" s="9"/>
    </row>
    <row r="4660" ht="15.75" customHeight="1">
      <c r="A4660" s="9" t="s">
        <v>37475</v>
      </c>
      <c r="B4660" s="9" t="s">
        <v>11530</v>
      </c>
      <c r="C4660" s="8" t="s">
        <v>37476</v>
      </c>
      <c r="D4660" s="9" t="b">
        <v>1</v>
      </c>
      <c r="E4660" s="9"/>
    </row>
    <row r="4661" ht="15.75" customHeight="1">
      <c r="A4661" s="9" t="s">
        <v>37477</v>
      </c>
      <c r="B4661" s="9" t="s">
        <v>11530</v>
      </c>
      <c r="C4661" s="8" t="s">
        <v>37478</v>
      </c>
      <c r="D4661" s="9" t="b">
        <v>0</v>
      </c>
      <c r="E4661" s="9"/>
    </row>
    <row r="4662" ht="15.75" customHeight="1">
      <c r="A4662" s="9" t="s">
        <v>37479</v>
      </c>
      <c r="B4662" s="9" t="s">
        <v>11530</v>
      </c>
      <c r="C4662" s="8" t="s">
        <v>37480</v>
      </c>
      <c r="D4662" s="9" t="b">
        <v>0</v>
      </c>
      <c r="E4662" s="9"/>
    </row>
    <row r="4663" ht="15.75" customHeight="1">
      <c r="A4663" s="9" t="s">
        <v>37481</v>
      </c>
      <c r="B4663" s="9" t="s">
        <v>11530</v>
      </c>
      <c r="C4663" s="8" t="s">
        <v>37482</v>
      </c>
      <c r="D4663" s="9" t="b">
        <v>0</v>
      </c>
      <c r="E4663" s="9"/>
    </row>
    <row r="4664" ht="15.75" customHeight="1">
      <c r="A4664" s="9" t="s">
        <v>37483</v>
      </c>
      <c r="B4664" s="9" t="s">
        <v>11530</v>
      </c>
      <c r="C4664" s="8" t="s">
        <v>37484</v>
      </c>
      <c r="D4664" s="9" t="b">
        <v>0</v>
      </c>
      <c r="E4664" s="9"/>
    </row>
    <row r="4665" ht="15.75" customHeight="1">
      <c r="A4665" s="9" t="s">
        <v>37485</v>
      </c>
      <c r="B4665" s="9" t="s">
        <v>11530</v>
      </c>
      <c r="C4665" s="8" t="s">
        <v>37486</v>
      </c>
      <c r="D4665" s="9" t="b">
        <v>0</v>
      </c>
      <c r="E4665" s="9"/>
    </row>
    <row r="4666" ht="15.75" customHeight="1">
      <c r="A4666" s="9" t="s">
        <v>37487</v>
      </c>
      <c r="B4666" s="9" t="s">
        <v>11530</v>
      </c>
      <c r="C4666" s="8" t="s">
        <v>37488</v>
      </c>
      <c r="D4666" s="9" t="b">
        <v>0</v>
      </c>
      <c r="E4666" s="9"/>
    </row>
    <row r="4667" ht="15.75" customHeight="1">
      <c r="A4667" s="9" t="s">
        <v>37489</v>
      </c>
      <c r="B4667" s="9" t="s">
        <v>11530</v>
      </c>
      <c r="C4667" s="8" t="s">
        <v>37490</v>
      </c>
      <c r="D4667" s="9" t="b">
        <v>0</v>
      </c>
      <c r="E4667" s="9"/>
    </row>
    <row r="4668" ht="15.75" customHeight="1">
      <c r="A4668" s="9"/>
      <c r="B4668" s="9"/>
      <c r="C4668" s="9"/>
      <c r="D4668" s="9"/>
      <c r="E4668" s="9"/>
    </row>
    <row r="4669" ht="15.75" customHeight="1">
      <c r="A4669" s="9"/>
      <c r="B4669" s="9"/>
      <c r="C4669" s="9"/>
      <c r="D4669" s="9"/>
      <c r="E4669" s="9"/>
    </row>
    <row r="4670" ht="15.75" customHeight="1">
      <c r="A4670" s="9" t="s">
        <v>37491</v>
      </c>
      <c r="B4670" s="9" t="s">
        <v>11448</v>
      </c>
      <c r="C4670" s="8" t="s">
        <v>37492</v>
      </c>
      <c r="D4670" s="9" t="b">
        <v>1</v>
      </c>
      <c r="E4670" s="9"/>
    </row>
    <row r="4671" ht="15.75" customHeight="1">
      <c r="A4671" s="9" t="s">
        <v>37493</v>
      </c>
      <c r="B4671" s="9" t="s">
        <v>11532</v>
      </c>
      <c r="C4671" s="8" t="s">
        <v>37494</v>
      </c>
      <c r="D4671" s="9" t="b">
        <v>1</v>
      </c>
      <c r="E4671" s="9"/>
    </row>
    <row r="4672" ht="15.75" customHeight="1">
      <c r="A4672" s="9" t="s">
        <v>37495</v>
      </c>
      <c r="B4672" s="9" t="s">
        <v>11532</v>
      </c>
      <c r="C4672" s="8" t="s">
        <v>37496</v>
      </c>
      <c r="D4672" s="9" t="b">
        <v>0</v>
      </c>
      <c r="E4672" s="9"/>
    </row>
    <row r="4673" ht="15.75" customHeight="1">
      <c r="A4673" s="9" t="s">
        <v>37497</v>
      </c>
      <c r="B4673" s="9" t="s">
        <v>11532</v>
      </c>
      <c r="C4673" s="8" t="s">
        <v>37498</v>
      </c>
      <c r="D4673" s="9" t="b">
        <v>0</v>
      </c>
      <c r="E4673" s="9"/>
    </row>
    <row r="4674" ht="15.75" customHeight="1">
      <c r="A4674" s="9" t="s">
        <v>37499</v>
      </c>
      <c r="B4674" s="9" t="s">
        <v>11532</v>
      </c>
      <c r="C4674" s="8" t="s">
        <v>37500</v>
      </c>
      <c r="D4674" s="9" t="b">
        <v>0</v>
      </c>
      <c r="E4674" s="9"/>
    </row>
    <row r="4675" ht="15.75" customHeight="1">
      <c r="A4675" s="9" t="s">
        <v>37501</v>
      </c>
      <c r="B4675" s="9" t="s">
        <v>11534</v>
      </c>
      <c r="C4675" s="8" t="s">
        <v>37502</v>
      </c>
      <c r="D4675" s="9" t="b">
        <v>0</v>
      </c>
      <c r="E4675" s="9"/>
    </row>
    <row r="4676" ht="15.75" customHeight="1">
      <c r="A4676" s="9" t="s">
        <v>37503</v>
      </c>
      <c r="B4676" s="9" t="s">
        <v>11534</v>
      </c>
      <c r="C4676" s="8" t="s">
        <v>37504</v>
      </c>
      <c r="D4676" s="9" t="b">
        <v>0</v>
      </c>
      <c r="E4676" s="9"/>
    </row>
    <row r="4677" ht="15.75" customHeight="1">
      <c r="A4677" s="9" t="s">
        <v>37505</v>
      </c>
      <c r="B4677" s="9" t="s">
        <v>11534</v>
      </c>
      <c r="C4677" s="8" t="s">
        <v>37506</v>
      </c>
      <c r="D4677" s="9" t="b">
        <v>0</v>
      </c>
      <c r="E4677" s="9"/>
    </row>
    <row r="4678" ht="15.75" customHeight="1">
      <c r="A4678" s="9" t="s">
        <v>37507</v>
      </c>
      <c r="B4678" s="9" t="s">
        <v>11534</v>
      </c>
      <c r="C4678" s="8" t="s">
        <v>37508</v>
      </c>
      <c r="D4678" s="9" t="b">
        <v>1</v>
      </c>
      <c r="E4678" s="9"/>
    </row>
    <row r="4679" ht="15.75" customHeight="1">
      <c r="A4679" s="9" t="s">
        <v>37509</v>
      </c>
      <c r="B4679" s="9" t="s">
        <v>11524</v>
      </c>
      <c r="C4679" s="8" t="s">
        <v>37510</v>
      </c>
      <c r="D4679" s="9" t="b">
        <v>1</v>
      </c>
      <c r="E4679" s="9"/>
    </row>
    <row r="4680" ht="15.75" customHeight="1">
      <c r="A4680" s="9" t="s">
        <v>37511</v>
      </c>
      <c r="B4680" s="9" t="s">
        <v>11524</v>
      </c>
      <c r="C4680" s="8" t="s">
        <v>37512</v>
      </c>
      <c r="D4680" s="9" t="b">
        <v>0</v>
      </c>
      <c r="E4680" s="9"/>
    </row>
    <row r="4681" ht="15.75" customHeight="1">
      <c r="A4681" s="9" t="s">
        <v>37513</v>
      </c>
      <c r="B4681" s="9" t="s">
        <v>11484</v>
      </c>
      <c r="C4681" s="8" t="s">
        <v>37514</v>
      </c>
      <c r="D4681" s="9" t="b">
        <v>0</v>
      </c>
      <c r="E4681" s="9"/>
    </row>
    <row r="4682" ht="15.75" customHeight="1">
      <c r="A4682" s="9" t="s">
        <v>37515</v>
      </c>
      <c r="B4682" s="9" t="s">
        <v>11484</v>
      </c>
      <c r="C4682" s="8" t="s">
        <v>37516</v>
      </c>
      <c r="D4682" s="9" t="b">
        <v>1</v>
      </c>
      <c r="E4682" s="9"/>
    </row>
    <row r="4683" ht="15.75" customHeight="1">
      <c r="A4683" s="9" t="s">
        <v>37517</v>
      </c>
      <c r="B4683" s="9" t="s">
        <v>11484</v>
      </c>
      <c r="C4683" s="8" t="s">
        <v>37518</v>
      </c>
      <c r="D4683" s="9" t="b">
        <v>0</v>
      </c>
      <c r="E4683" s="9"/>
    </row>
    <row r="4684" ht="15.75" customHeight="1">
      <c r="A4684" s="9" t="s">
        <v>37519</v>
      </c>
      <c r="B4684" s="9" t="s">
        <v>11484</v>
      </c>
      <c r="C4684" s="8" t="s">
        <v>37520</v>
      </c>
      <c r="D4684" s="9" t="b">
        <v>0</v>
      </c>
      <c r="E4684" s="9"/>
    </row>
    <row r="4685" ht="15.75" customHeight="1">
      <c r="A4685" s="9" t="s">
        <v>37521</v>
      </c>
      <c r="B4685" s="9" t="s">
        <v>11484</v>
      </c>
      <c r="C4685" s="8" t="s">
        <v>37522</v>
      </c>
      <c r="D4685" s="9" t="b">
        <v>0</v>
      </c>
      <c r="E4685" s="9"/>
    </row>
    <row r="4686" ht="15.75" customHeight="1">
      <c r="A4686" s="9" t="s">
        <v>37523</v>
      </c>
      <c r="B4686" s="9" t="s">
        <v>11484</v>
      </c>
      <c r="C4686" s="8" t="s">
        <v>37524</v>
      </c>
      <c r="D4686" s="9" t="b">
        <v>0</v>
      </c>
      <c r="E4686" s="9"/>
    </row>
    <row r="4687" ht="15.75" customHeight="1">
      <c r="A4687" s="9" t="s">
        <v>37525</v>
      </c>
      <c r="B4687" s="9" t="s">
        <v>11524</v>
      </c>
      <c r="C4687" s="8" t="s">
        <v>37526</v>
      </c>
      <c r="D4687" s="9" t="b">
        <v>0</v>
      </c>
      <c r="E4687" s="9"/>
    </row>
    <row r="4688" ht="15.75" customHeight="1">
      <c r="A4688" s="9" t="s">
        <v>37527</v>
      </c>
      <c r="B4688" s="9" t="s">
        <v>11524</v>
      </c>
      <c r="C4688" s="8" t="s">
        <v>37528</v>
      </c>
      <c r="D4688" s="9" t="b">
        <v>0</v>
      </c>
      <c r="E4688" s="9"/>
    </row>
    <row r="4689" ht="15.75" customHeight="1">
      <c r="A4689" s="9" t="s">
        <v>37529</v>
      </c>
      <c r="B4689" s="9" t="s">
        <v>11524</v>
      </c>
      <c r="C4689" s="8" t="s">
        <v>37530</v>
      </c>
      <c r="D4689" s="9" t="b">
        <v>0</v>
      </c>
      <c r="E4689" s="9"/>
    </row>
    <row r="4690" ht="15.75" customHeight="1">
      <c r="A4690" s="9" t="s">
        <v>37531</v>
      </c>
      <c r="B4690" s="9" t="s">
        <v>11524</v>
      </c>
      <c r="C4690" s="8" t="s">
        <v>37532</v>
      </c>
      <c r="D4690" s="9" t="b">
        <v>0</v>
      </c>
      <c r="E4690" s="9"/>
    </row>
    <row r="4691" ht="15.75" customHeight="1">
      <c r="A4691" s="9" t="s">
        <v>37533</v>
      </c>
      <c r="B4691" s="9" t="s">
        <v>11537</v>
      </c>
      <c r="C4691" s="8" t="s">
        <v>37534</v>
      </c>
      <c r="D4691" s="9" t="b">
        <v>0</v>
      </c>
      <c r="E4691" s="9"/>
    </row>
    <row r="4692" ht="15.75" customHeight="1">
      <c r="A4692" s="9" t="s">
        <v>37535</v>
      </c>
      <c r="B4692" s="9" t="s">
        <v>11537</v>
      </c>
      <c r="C4692" s="8" t="s">
        <v>37536</v>
      </c>
      <c r="D4692" s="9" t="b">
        <v>1</v>
      </c>
      <c r="E4692" s="9"/>
    </row>
    <row r="4693" ht="15.75" customHeight="1">
      <c r="A4693" s="9" t="s">
        <v>37537</v>
      </c>
      <c r="B4693" s="9" t="s">
        <v>11537</v>
      </c>
      <c r="C4693" s="8" t="s">
        <v>37538</v>
      </c>
      <c r="D4693" s="9" t="b">
        <v>0</v>
      </c>
      <c r="E4693" s="9"/>
    </row>
    <row r="4694" ht="15.75" customHeight="1">
      <c r="A4694" s="9" t="s">
        <v>37539</v>
      </c>
      <c r="B4694" s="9" t="s">
        <v>11421</v>
      </c>
      <c r="C4694" s="8" t="s">
        <v>37540</v>
      </c>
      <c r="D4694" s="9" t="b">
        <v>0</v>
      </c>
      <c r="E4694" s="9"/>
    </row>
    <row r="4695" ht="15.75" customHeight="1">
      <c r="A4695" s="9" t="s">
        <v>37541</v>
      </c>
      <c r="B4695" s="9" t="s">
        <v>11421</v>
      </c>
      <c r="C4695" s="8" t="s">
        <v>37542</v>
      </c>
      <c r="D4695" s="9" t="b">
        <v>0</v>
      </c>
      <c r="E4695" s="9"/>
    </row>
    <row r="4696" ht="15.75" customHeight="1">
      <c r="A4696" s="9" t="s">
        <v>37543</v>
      </c>
      <c r="B4696" s="9" t="s">
        <v>11421</v>
      </c>
      <c r="C4696" s="8" t="s">
        <v>37544</v>
      </c>
      <c r="D4696" s="9" t="b">
        <v>0</v>
      </c>
      <c r="E4696" s="9"/>
    </row>
    <row r="4697" ht="15.75" customHeight="1">
      <c r="A4697" s="9" t="s">
        <v>37545</v>
      </c>
      <c r="B4697" s="9" t="s">
        <v>11421</v>
      </c>
      <c r="C4697" s="8" t="s">
        <v>37546</v>
      </c>
      <c r="D4697" s="9" t="b">
        <v>0</v>
      </c>
      <c r="E4697" s="9"/>
    </row>
    <row r="4698" ht="15.75" customHeight="1">
      <c r="A4698" s="9" t="s">
        <v>37547</v>
      </c>
      <c r="B4698" s="9" t="s">
        <v>11421</v>
      </c>
      <c r="C4698" s="8" t="s">
        <v>37548</v>
      </c>
      <c r="D4698" s="9" t="b">
        <v>0</v>
      </c>
      <c r="E4698" s="9"/>
    </row>
    <row r="4699" ht="15.75" customHeight="1">
      <c r="A4699" s="9" t="s">
        <v>37549</v>
      </c>
      <c r="B4699" s="9" t="s">
        <v>11421</v>
      </c>
      <c r="C4699" s="8" t="s">
        <v>37550</v>
      </c>
      <c r="D4699" s="9" t="b">
        <v>0</v>
      </c>
      <c r="E4699" s="9"/>
    </row>
    <row r="4700" ht="15.75" customHeight="1">
      <c r="A4700" s="9" t="s">
        <v>37551</v>
      </c>
      <c r="B4700" s="9" t="s">
        <v>11421</v>
      </c>
      <c r="C4700" s="8" t="s">
        <v>37552</v>
      </c>
      <c r="D4700" s="9" t="b">
        <v>1</v>
      </c>
      <c r="E4700" s="9"/>
    </row>
    <row r="4701" ht="15.75" customHeight="1">
      <c r="A4701" s="9" t="s">
        <v>37553</v>
      </c>
      <c r="B4701" s="9" t="s">
        <v>6554</v>
      </c>
      <c r="C4701" s="8" t="s">
        <v>37554</v>
      </c>
      <c r="D4701" s="9" t="b">
        <v>0</v>
      </c>
      <c r="E4701" s="9"/>
    </row>
    <row r="4702" ht="15.75" customHeight="1">
      <c r="A4702" s="9" t="s">
        <v>37555</v>
      </c>
      <c r="B4702" s="9" t="s">
        <v>6554</v>
      </c>
      <c r="C4702" s="8" t="s">
        <v>37556</v>
      </c>
      <c r="D4702" s="9" t="b">
        <v>1</v>
      </c>
      <c r="E4702" s="9"/>
    </row>
    <row r="4703" ht="15.75" customHeight="1">
      <c r="A4703" s="9" t="s">
        <v>37557</v>
      </c>
      <c r="B4703" s="9" t="s">
        <v>11539</v>
      </c>
      <c r="C4703" s="8" t="s">
        <v>37558</v>
      </c>
      <c r="D4703" s="9" t="b">
        <v>0</v>
      </c>
      <c r="E4703" s="9"/>
    </row>
    <row r="4704" ht="15.75" customHeight="1">
      <c r="A4704" s="9" t="s">
        <v>37559</v>
      </c>
      <c r="B4704" s="9" t="s">
        <v>11539</v>
      </c>
      <c r="C4704" s="8" t="s">
        <v>37560</v>
      </c>
      <c r="D4704" s="9" t="b">
        <v>0</v>
      </c>
      <c r="E4704" s="9"/>
    </row>
    <row r="4705" ht="15.75" customHeight="1">
      <c r="A4705" s="9" t="s">
        <v>37561</v>
      </c>
      <c r="B4705" s="9" t="s">
        <v>11539</v>
      </c>
      <c r="C4705" s="8" t="s">
        <v>37562</v>
      </c>
      <c r="D4705" s="9" t="b">
        <v>0</v>
      </c>
      <c r="E4705" s="9"/>
    </row>
    <row r="4706" ht="15.75" customHeight="1">
      <c r="A4706" s="9" t="s">
        <v>37563</v>
      </c>
      <c r="B4706" s="9" t="s">
        <v>11539</v>
      </c>
      <c r="C4706" s="8" t="s">
        <v>37564</v>
      </c>
      <c r="D4706" s="9" t="b">
        <v>0</v>
      </c>
      <c r="E4706" s="9"/>
    </row>
    <row r="4707" ht="15.75" customHeight="1">
      <c r="A4707" s="9" t="s">
        <v>37565</v>
      </c>
      <c r="B4707" s="9" t="s">
        <v>11539</v>
      </c>
      <c r="C4707" s="8" t="s">
        <v>37566</v>
      </c>
      <c r="D4707" s="9" t="b">
        <v>0</v>
      </c>
      <c r="E4707" s="9"/>
    </row>
    <row r="4708" ht="15.75" customHeight="1">
      <c r="A4708" s="9" t="s">
        <v>37567</v>
      </c>
      <c r="B4708" s="9" t="s">
        <v>11539</v>
      </c>
      <c r="C4708" s="8" t="s">
        <v>37568</v>
      </c>
      <c r="D4708" s="9" t="b">
        <v>0</v>
      </c>
      <c r="E4708" s="9"/>
    </row>
    <row r="4709" ht="15.75" customHeight="1">
      <c r="A4709" s="9" t="s">
        <v>37569</v>
      </c>
      <c r="B4709" s="9" t="s">
        <v>11539</v>
      </c>
      <c r="C4709" s="8" t="s">
        <v>37570</v>
      </c>
      <c r="D4709" s="9" t="b">
        <v>0</v>
      </c>
      <c r="E4709" s="9"/>
    </row>
    <row r="4710" ht="15.75" customHeight="1">
      <c r="A4710" s="9" t="s">
        <v>37571</v>
      </c>
      <c r="B4710" s="9" t="s">
        <v>11539</v>
      </c>
      <c r="C4710" s="8" t="s">
        <v>37572</v>
      </c>
      <c r="D4710" s="9" t="b">
        <v>1</v>
      </c>
      <c r="E4710" s="9"/>
    </row>
    <row r="4711" ht="15.75" customHeight="1">
      <c r="A4711" s="9" t="s">
        <v>37573</v>
      </c>
      <c r="B4711" s="9" t="s">
        <v>11448</v>
      </c>
      <c r="C4711" s="8" t="s">
        <v>37574</v>
      </c>
      <c r="D4711" s="9" t="b">
        <v>0</v>
      </c>
      <c r="E4711" s="9"/>
    </row>
    <row r="4712" ht="15.75" customHeight="1">
      <c r="A4712" s="9" t="s">
        <v>37575</v>
      </c>
      <c r="B4712" s="9" t="s">
        <v>11448</v>
      </c>
      <c r="C4712" s="8" t="s">
        <v>37576</v>
      </c>
      <c r="D4712" s="9" t="b">
        <v>0</v>
      </c>
      <c r="E4712" s="9"/>
    </row>
    <row r="4713" ht="15.75" customHeight="1">
      <c r="A4713" s="9" t="s">
        <v>37577</v>
      </c>
      <c r="B4713" s="9" t="s">
        <v>11448</v>
      </c>
      <c r="C4713" s="8" t="s">
        <v>37578</v>
      </c>
      <c r="D4713" s="9" t="b">
        <v>0</v>
      </c>
      <c r="E4713" s="9"/>
    </row>
    <row r="4714" ht="15.75" customHeight="1">
      <c r="A4714" s="9" t="s">
        <v>37579</v>
      </c>
      <c r="B4714" s="9" t="s">
        <v>11448</v>
      </c>
      <c r="C4714" s="8" t="s">
        <v>37580</v>
      </c>
      <c r="D4714" s="9" t="b">
        <v>0</v>
      </c>
      <c r="E4714" s="9"/>
    </row>
    <row r="4715" ht="15.75" customHeight="1">
      <c r="A4715" s="9" t="s">
        <v>37581</v>
      </c>
      <c r="B4715" s="9" t="s">
        <v>11448</v>
      </c>
      <c r="C4715" s="8" t="s">
        <v>37582</v>
      </c>
      <c r="D4715" s="9" t="b">
        <v>0</v>
      </c>
      <c r="E4715" s="9"/>
    </row>
    <row r="4716" ht="15.75" customHeight="1">
      <c r="A4716" s="9" t="s">
        <v>37583</v>
      </c>
      <c r="B4716" s="9" t="s">
        <v>11541</v>
      </c>
      <c r="C4716" s="8" t="s">
        <v>37584</v>
      </c>
      <c r="D4716" s="9" t="b">
        <v>0</v>
      </c>
      <c r="E4716" s="9"/>
    </row>
    <row r="4717" ht="15.75" customHeight="1">
      <c r="A4717" s="9" t="s">
        <v>37585</v>
      </c>
      <c r="B4717" s="9" t="s">
        <v>11541</v>
      </c>
      <c r="C4717" s="8" t="s">
        <v>37586</v>
      </c>
      <c r="D4717" s="9" t="b">
        <v>0</v>
      </c>
      <c r="E4717" s="9"/>
    </row>
    <row r="4718" ht="15.75" customHeight="1">
      <c r="A4718" s="9" t="s">
        <v>37587</v>
      </c>
      <c r="B4718" s="9" t="s">
        <v>11541</v>
      </c>
      <c r="C4718" s="8" t="s">
        <v>37588</v>
      </c>
      <c r="D4718" s="9" t="b">
        <v>0</v>
      </c>
      <c r="E4718" s="9"/>
    </row>
    <row r="4719" ht="15.75" customHeight="1">
      <c r="A4719" s="9" t="s">
        <v>37589</v>
      </c>
      <c r="B4719" s="9" t="s">
        <v>11541</v>
      </c>
      <c r="C4719" s="8" t="s">
        <v>37590</v>
      </c>
      <c r="D4719" s="9" t="b">
        <v>0</v>
      </c>
      <c r="E4719" s="9"/>
    </row>
    <row r="4720" ht="15.75" customHeight="1">
      <c r="A4720" s="9" t="s">
        <v>37591</v>
      </c>
      <c r="B4720" s="9" t="s">
        <v>11541</v>
      </c>
      <c r="C4720" s="8" t="s">
        <v>37592</v>
      </c>
      <c r="D4720" s="9" t="b">
        <v>0</v>
      </c>
      <c r="E4720" s="9"/>
    </row>
    <row r="4721" ht="15.75" customHeight="1">
      <c r="A4721" s="9" t="s">
        <v>37593</v>
      </c>
      <c r="B4721" s="9" t="s">
        <v>11541</v>
      </c>
      <c r="C4721" s="8" t="s">
        <v>37594</v>
      </c>
      <c r="D4721" s="9" t="b">
        <v>1</v>
      </c>
      <c r="E4721" s="9"/>
    </row>
    <row r="4722" ht="15.75" customHeight="1">
      <c r="A4722" s="9" t="s">
        <v>37595</v>
      </c>
      <c r="B4722" s="9" t="s">
        <v>11496</v>
      </c>
      <c r="C4722" s="8" t="s">
        <v>37596</v>
      </c>
      <c r="D4722" s="9" t="b">
        <v>0</v>
      </c>
      <c r="E4722" s="9"/>
    </row>
    <row r="4723" ht="15.75" customHeight="1">
      <c r="A4723" s="9" t="s">
        <v>37597</v>
      </c>
      <c r="B4723" s="9" t="s">
        <v>11496</v>
      </c>
      <c r="C4723" s="8" t="s">
        <v>37598</v>
      </c>
      <c r="D4723" s="9" t="b">
        <v>0</v>
      </c>
      <c r="E4723" s="9"/>
    </row>
    <row r="4724" ht="15.75" customHeight="1">
      <c r="A4724" s="9" t="s">
        <v>37599</v>
      </c>
      <c r="B4724" s="9" t="s">
        <v>11496</v>
      </c>
      <c r="C4724" s="8" t="s">
        <v>37600</v>
      </c>
      <c r="D4724" s="9" t="b">
        <v>0</v>
      </c>
      <c r="E4724" s="9"/>
    </row>
    <row r="4725" ht="15.75" customHeight="1">
      <c r="A4725" s="9" t="s">
        <v>37601</v>
      </c>
      <c r="B4725" s="9" t="s">
        <v>11496</v>
      </c>
      <c r="C4725" s="8" t="s">
        <v>37602</v>
      </c>
      <c r="D4725" s="9" t="b">
        <v>0</v>
      </c>
      <c r="E4725" s="9"/>
    </row>
    <row r="4726" ht="15.75" customHeight="1">
      <c r="A4726" s="9" t="s">
        <v>37603</v>
      </c>
      <c r="B4726" s="9" t="s">
        <v>11496</v>
      </c>
      <c r="C4726" s="8" t="s">
        <v>37604</v>
      </c>
      <c r="D4726" s="9" t="b">
        <v>0</v>
      </c>
      <c r="E4726" s="9"/>
    </row>
    <row r="4727" ht="15.75" customHeight="1">
      <c r="A4727" s="9" t="s">
        <v>37605</v>
      </c>
      <c r="B4727" s="9" t="s">
        <v>11496</v>
      </c>
      <c r="C4727" s="8" t="s">
        <v>37606</v>
      </c>
      <c r="D4727" s="9" t="b">
        <v>0</v>
      </c>
      <c r="E4727" s="9"/>
    </row>
    <row r="4728" ht="15.75" customHeight="1">
      <c r="A4728" s="9" t="s">
        <v>37607</v>
      </c>
      <c r="B4728" s="9" t="s">
        <v>11496</v>
      </c>
      <c r="C4728" s="8" t="s">
        <v>37608</v>
      </c>
      <c r="D4728" s="9" t="b">
        <v>1</v>
      </c>
      <c r="E4728" s="9"/>
    </row>
    <row r="4729" ht="15.75" customHeight="1">
      <c r="A4729" s="9" t="s">
        <v>37609</v>
      </c>
      <c r="B4729" s="9" t="s">
        <v>10380</v>
      </c>
      <c r="C4729" s="8" t="s">
        <v>37610</v>
      </c>
      <c r="D4729" s="9" t="b">
        <v>0</v>
      </c>
      <c r="E4729" s="9"/>
    </row>
    <row r="4730" ht="15.75" customHeight="1">
      <c r="A4730" s="9" t="s">
        <v>37611</v>
      </c>
      <c r="B4730" s="9" t="s">
        <v>10380</v>
      </c>
      <c r="C4730" s="8" t="s">
        <v>37612</v>
      </c>
      <c r="D4730" s="9" t="b">
        <v>0</v>
      </c>
      <c r="E4730" s="9"/>
    </row>
    <row r="4731" ht="15.75" customHeight="1">
      <c r="A4731" s="9" t="s">
        <v>37613</v>
      </c>
      <c r="B4731" s="9" t="s">
        <v>10380</v>
      </c>
      <c r="C4731" s="8" t="s">
        <v>37614</v>
      </c>
      <c r="D4731" s="9" t="b">
        <v>0</v>
      </c>
      <c r="E4731" s="9"/>
    </row>
    <row r="4732" ht="15.75" customHeight="1">
      <c r="A4732" s="9" t="s">
        <v>37615</v>
      </c>
      <c r="B4732" s="9" t="s">
        <v>10380</v>
      </c>
      <c r="C4732" s="8" t="s">
        <v>37616</v>
      </c>
      <c r="D4732" s="9" t="b">
        <v>0</v>
      </c>
      <c r="E4732" s="9"/>
    </row>
    <row r="4733" ht="15.75" customHeight="1">
      <c r="A4733" s="9" t="s">
        <v>37617</v>
      </c>
      <c r="B4733" s="9" t="s">
        <v>10380</v>
      </c>
      <c r="C4733" s="8" t="s">
        <v>37618</v>
      </c>
      <c r="D4733" s="9" t="b">
        <v>1</v>
      </c>
      <c r="E4733" s="9"/>
    </row>
    <row r="4734" ht="15.75" customHeight="1">
      <c r="A4734" s="9" t="s">
        <v>37619</v>
      </c>
      <c r="B4734" s="9" t="s">
        <v>8114</v>
      </c>
      <c r="C4734" s="8" t="s">
        <v>37620</v>
      </c>
      <c r="D4734" s="9" t="b">
        <v>0</v>
      </c>
      <c r="E4734" s="9"/>
    </row>
    <row r="4735" ht="15.75" customHeight="1">
      <c r="A4735" s="9" t="s">
        <v>37621</v>
      </c>
      <c r="B4735" s="9" t="s">
        <v>8114</v>
      </c>
      <c r="C4735" s="8" t="s">
        <v>37622</v>
      </c>
      <c r="D4735" s="9" t="b">
        <v>0</v>
      </c>
      <c r="E4735" s="9"/>
    </row>
    <row r="4736" ht="15.75" customHeight="1">
      <c r="A4736" s="9" t="s">
        <v>37623</v>
      </c>
      <c r="B4736" s="9" t="s">
        <v>8114</v>
      </c>
      <c r="C4736" s="8" t="s">
        <v>37624</v>
      </c>
      <c r="D4736" s="9" t="b">
        <v>0</v>
      </c>
      <c r="E4736" s="9"/>
    </row>
    <row r="4737" ht="15.75" customHeight="1">
      <c r="A4737" s="9" t="s">
        <v>37625</v>
      </c>
      <c r="B4737" s="9" t="s">
        <v>8114</v>
      </c>
      <c r="C4737" s="8" t="s">
        <v>37626</v>
      </c>
      <c r="D4737" s="9" t="b">
        <v>0</v>
      </c>
      <c r="E4737" s="9"/>
    </row>
    <row r="4738" ht="15.75" customHeight="1">
      <c r="A4738" s="9" t="s">
        <v>37627</v>
      </c>
      <c r="B4738" s="9" t="s">
        <v>8114</v>
      </c>
      <c r="C4738" s="8" t="s">
        <v>37628</v>
      </c>
      <c r="D4738" s="9" t="b">
        <v>0</v>
      </c>
      <c r="E4738" s="9"/>
    </row>
    <row r="4739" ht="15.75" customHeight="1">
      <c r="A4739" s="9" t="s">
        <v>37629</v>
      </c>
      <c r="B4739" s="9" t="s">
        <v>8114</v>
      </c>
      <c r="C4739" s="8" t="s">
        <v>37630</v>
      </c>
      <c r="D4739" s="9" t="b">
        <v>1</v>
      </c>
      <c r="E4739" s="9"/>
    </row>
    <row r="4740" ht="15.75" customHeight="1">
      <c r="A4740" s="9" t="s">
        <v>37631</v>
      </c>
      <c r="B4740" s="9" t="s">
        <v>8114</v>
      </c>
      <c r="C4740" s="8" t="s">
        <v>37632</v>
      </c>
      <c r="D4740" s="9" t="b">
        <v>0</v>
      </c>
      <c r="E4740" s="9"/>
    </row>
    <row r="4741" ht="15.75" customHeight="1">
      <c r="A4741" s="9" t="s">
        <v>37633</v>
      </c>
      <c r="B4741" s="9" t="s">
        <v>11547</v>
      </c>
      <c r="C4741" s="8" t="s">
        <v>37634</v>
      </c>
      <c r="D4741" s="9" t="b">
        <v>0</v>
      </c>
      <c r="E4741" s="9"/>
    </row>
    <row r="4742" ht="15.75" customHeight="1">
      <c r="A4742" s="9" t="s">
        <v>37635</v>
      </c>
      <c r="B4742" s="9" t="s">
        <v>11547</v>
      </c>
      <c r="C4742" s="8" t="s">
        <v>37636</v>
      </c>
      <c r="D4742" s="9" t="b">
        <v>0</v>
      </c>
      <c r="E4742" s="9"/>
    </row>
    <row r="4743" ht="15.75" customHeight="1">
      <c r="A4743" s="9" t="s">
        <v>37637</v>
      </c>
      <c r="B4743" s="9" t="s">
        <v>11547</v>
      </c>
      <c r="C4743" s="8" t="s">
        <v>37638</v>
      </c>
      <c r="D4743" s="9" t="b">
        <v>0</v>
      </c>
      <c r="E4743" s="9"/>
    </row>
    <row r="4744" ht="15.75" customHeight="1">
      <c r="A4744" s="9" t="s">
        <v>37639</v>
      </c>
      <c r="B4744" s="9" t="s">
        <v>11547</v>
      </c>
      <c r="C4744" s="8" t="s">
        <v>37640</v>
      </c>
      <c r="D4744" s="9" t="b">
        <v>1</v>
      </c>
      <c r="E4744" s="9"/>
    </row>
    <row r="4745" ht="15.75" customHeight="1">
      <c r="A4745" s="9" t="s">
        <v>37641</v>
      </c>
      <c r="B4745" s="9" t="s">
        <v>11549</v>
      </c>
      <c r="C4745" s="8" t="s">
        <v>37642</v>
      </c>
      <c r="D4745" s="9" t="b">
        <v>0</v>
      </c>
      <c r="E4745" s="9"/>
    </row>
    <row r="4746" ht="15.75" customHeight="1">
      <c r="A4746" s="9" t="s">
        <v>37643</v>
      </c>
      <c r="B4746" s="9" t="s">
        <v>11549</v>
      </c>
      <c r="C4746" s="8" t="s">
        <v>37644</v>
      </c>
      <c r="D4746" s="9" t="b">
        <v>0</v>
      </c>
      <c r="E4746" s="9"/>
    </row>
    <row r="4747" ht="15.75" customHeight="1">
      <c r="A4747" s="9" t="s">
        <v>37645</v>
      </c>
      <c r="B4747" s="9" t="s">
        <v>11549</v>
      </c>
      <c r="C4747" s="8" t="s">
        <v>37646</v>
      </c>
      <c r="D4747" s="9" t="b">
        <v>0</v>
      </c>
      <c r="E4747" s="9"/>
    </row>
    <row r="4748" ht="15.75" customHeight="1">
      <c r="A4748" s="9" t="s">
        <v>37647</v>
      </c>
      <c r="B4748" s="9" t="s">
        <v>11549</v>
      </c>
      <c r="C4748" s="8" t="s">
        <v>37648</v>
      </c>
      <c r="D4748" s="9" t="b">
        <v>0</v>
      </c>
      <c r="E4748" s="9"/>
    </row>
    <row r="4749" ht="15.75" customHeight="1">
      <c r="A4749" s="9" t="s">
        <v>37649</v>
      </c>
      <c r="B4749" s="9" t="s">
        <v>11549</v>
      </c>
      <c r="C4749" s="8" t="s">
        <v>37650</v>
      </c>
      <c r="D4749" s="9" t="b">
        <v>0</v>
      </c>
      <c r="E4749" s="9"/>
    </row>
    <row r="4750" ht="15.75" customHeight="1">
      <c r="A4750" s="9" t="s">
        <v>37651</v>
      </c>
      <c r="B4750" s="9" t="s">
        <v>11549</v>
      </c>
      <c r="C4750" s="8" t="s">
        <v>37652</v>
      </c>
      <c r="D4750" s="9" t="b">
        <v>0</v>
      </c>
      <c r="E4750" s="9"/>
    </row>
    <row r="4751" ht="15.75" customHeight="1">
      <c r="A4751" s="9" t="s">
        <v>37653</v>
      </c>
      <c r="B4751" s="9" t="s">
        <v>11549</v>
      </c>
      <c r="C4751" s="8" t="s">
        <v>37654</v>
      </c>
      <c r="D4751" s="9" t="b">
        <v>0</v>
      </c>
      <c r="E4751" s="9"/>
    </row>
    <row r="4752" ht="15.75" customHeight="1">
      <c r="A4752" s="9" t="s">
        <v>37655</v>
      </c>
      <c r="B4752" s="9" t="s">
        <v>11549</v>
      </c>
      <c r="C4752" s="8" t="s">
        <v>37656</v>
      </c>
      <c r="D4752" s="9" t="b">
        <v>1</v>
      </c>
      <c r="E4752" s="9"/>
    </row>
    <row r="4753" ht="15.75" customHeight="1">
      <c r="A4753" s="9" t="s">
        <v>37657</v>
      </c>
      <c r="B4753" s="9" t="s">
        <v>11551</v>
      </c>
      <c r="C4753" s="8" t="s">
        <v>37658</v>
      </c>
      <c r="D4753" s="9" t="b">
        <v>0</v>
      </c>
      <c r="E4753" s="9"/>
    </row>
    <row r="4754" ht="15.75" customHeight="1">
      <c r="A4754" s="9" t="s">
        <v>37659</v>
      </c>
      <c r="B4754" s="9" t="s">
        <v>11551</v>
      </c>
      <c r="C4754" s="8" t="s">
        <v>37660</v>
      </c>
      <c r="D4754" s="9" t="b">
        <v>0</v>
      </c>
      <c r="E4754" s="9"/>
    </row>
    <row r="4755" ht="15.75" customHeight="1">
      <c r="A4755" s="9" t="s">
        <v>37661</v>
      </c>
      <c r="B4755" s="9" t="s">
        <v>11551</v>
      </c>
      <c r="C4755" s="8" t="s">
        <v>37662</v>
      </c>
      <c r="D4755" s="9" t="b">
        <v>0</v>
      </c>
      <c r="E4755" s="9"/>
    </row>
    <row r="4756" ht="15.75" customHeight="1">
      <c r="A4756" s="9" t="s">
        <v>37663</v>
      </c>
      <c r="B4756" s="9" t="s">
        <v>11551</v>
      </c>
      <c r="C4756" s="8" t="s">
        <v>37664</v>
      </c>
      <c r="D4756" s="9" t="b">
        <v>0</v>
      </c>
      <c r="E4756" s="9"/>
    </row>
    <row r="4757" ht="15.75" customHeight="1">
      <c r="A4757" s="9" t="s">
        <v>37665</v>
      </c>
      <c r="B4757" s="9" t="s">
        <v>11551</v>
      </c>
      <c r="C4757" s="8" t="s">
        <v>37666</v>
      </c>
      <c r="D4757" s="9" t="b">
        <v>1</v>
      </c>
      <c r="E4757" s="9"/>
    </row>
    <row r="4758" ht="15.75" customHeight="1">
      <c r="A4758" s="9" t="s">
        <v>37667</v>
      </c>
      <c r="B4758" s="9" t="s">
        <v>11551</v>
      </c>
      <c r="C4758" s="8" t="s">
        <v>37668</v>
      </c>
      <c r="D4758" s="9" t="b">
        <v>1</v>
      </c>
      <c r="E4758" s="9"/>
    </row>
    <row r="4759" ht="15.75" customHeight="1">
      <c r="A4759" s="9" t="s">
        <v>37669</v>
      </c>
      <c r="B4759" s="9" t="s">
        <v>11553</v>
      </c>
      <c r="C4759" s="8" t="s">
        <v>37670</v>
      </c>
      <c r="D4759" s="9" t="b">
        <v>1</v>
      </c>
      <c r="E4759" s="9"/>
    </row>
    <row r="4760" ht="15.75" customHeight="1">
      <c r="A4760" s="9" t="s">
        <v>37671</v>
      </c>
      <c r="B4760" s="9" t="s">
        <v>11553</v>
      </c>
      <c r="C4760" s="8" t="s">
        <v>37672</v>
      </c>
      <c r="D4760" s="9" t="b">
        <v>0</v>
      </c>
      <c r="E4760" s="9"/>
    </row>
    <row r="4761" ht="15.75" customHeight="1">
      <c r="A4761" s="9" t="s">
        <v>37673</v>
      </c>
      <c r="B4761" s="9" t="s">
        <v>11553</v>
      </c>
      <c r="C4761" s="8" t="s">
        <v>37674</v>
      </c>
      <c r="D4761" s="9" t="b">
        <v>0</v>
      </c>
      <c r="E4761" s="9"/>
    </row>
    <row r="4762" ht="15.75" customHeight="1">
      <c r="A4762" s="9" t="s">
        <v>37675</v>
      </c>
      <c r="B4762" s="9" t="s">
        <v>11553</v>
      </c>
      <c r="C4762" s="8" t="s">
        <v>37676</v>
      </c>
      <c r="D4762" s="9" t="b">
        <v>0</v>
      </c>
      <c r="E4762" s="9"/>
    </row>
    <row r="4763" ht="15.75" customHeight="1">
      <c r="A4763" s="9" t="s">
        <v>37677</v>
      </c>
      <c r="B4763" s="9" t="s">
        <v>11543</v>
      </c>
      <c r="C4763" s="8" t="s">
        <v>37678</v>
      </c>
      <c r="D4763" s="9" t="b">
        <v>0</v>
      </c>
      <c r="E4763" s="9"/>
    </row>
    <row r="4764" ht="15.75" customHeight="1">
      <c r="A4764" s="9" t="s">
        <v>37679</v>
      </c>
      <c r="B4764" s="9" t="s">
        <v>11543</v>
      </c>
      <c r="C4764" s="8" t="s">
        <v>37680</v>
      </c>
      <c r="D4764" s="9" t="b">
        <v>0</v>
      </c>
      <c r="E4764" s="9"/>
    </row>
    <row r="4765" ht="15.75" customHeight="1">
      <c r="A4765" s="9" t="s">
        <v>37681</v>
      </c>
      <c r="B4765" s="9" t="s">
        <v>11543</v>
      </c>
      <c r="C4765" s="8" t="s">
        <v>37682</v>
      </c>
      <c r="D4765" s="9" t="b">
        <v>0</v>
      </c>
      <c r="E4765" s="9"/>
    </row>
    <row r="4766" ht="15.75" customHeight="1">
      <c r="A4766" s="9" t="s">
        <v>37683</v>
      </c>
      <c r="B4766" s="9" t="s">
        <v>11543</v>
      </c>
      <c r="C4766" s="8" t="s">
        <v>37684</v>
      </c>
      <c r="D4766" s="9" t="b">
        <v>0</v>
      </c>
      <c r="E4766" s="9"/>
    </row>
    <row r="4767" ht="15.75" customHeight="1">
      <c r="A4767" s="9" t="s">
        <v>37685</v>
      </c>
      <c r="B4767" s="9" t="s">
        <v>11543</v>
      </c>
      <c r="C4767" s="8" t="s">
        <v>37686</v>
      </c>
      <c r="D4767" s="9" t="b">
        <v>0</v>
      </c>
      <c r="E4767" s="9"/>
    </row>
    <row r="4768" ht="15.75" customHeight="1">
      <c r="A4768" s="9" t="s">
        <v>37687</v>
      </c>
      <c r="B4768" s="9" t="s">
        <v>11543</v>
      </c>
      <c r="C4768" s="8" t="s">
        <v>37688</v>
      </c>
      <c r="D4768" s="9" t="b">
        <v>0</v>
      </c>
      <c r="E4768" s="9"/>
    </row>
    <row r="4769" ht="15.75" customHeight="1">
      <c r="A4769" s="9" t="s">
        <v>37689</v>
      </c>
      <c r="B4769" s="9" t="s">
        <v>11543</v>
      </c>
      <c r="C4769" s="8" t="s">
        <v>37690</v>
      </c>
      <c r="D4769" s="9" t="b">
        <v>0</v>
      </c>
      <c r="E4769" s="9"/>
    </row>
    <row r="4770" ht="15.75" customHeight="1">
      <c r="A4770" s="9" t="s">
        <v>37691</v>
      </c>
      <c r="B4770" s="9" t="s">
        <v>11543</v>
      </c>
      <c r="C4770" s="8" t="s">
        <v>37692</v>
      </c>
      <c r="D4770" s="9" t="b">
        <v>0</v>
      </c>
      <c r="E4770" s="9"/>
    </row>
    <row r="4771" ht="15.75" customHeight="1">
      <c r="A4771" s="9" t="s">
        <v>37693</v>
      </c>
      <c r="B4771" s="9" t="s">
        <v>11543</v>
      </c>
      <c r="C4771" s="8" t="s">
        <v>37694</v>
      </c>
      <c r="D4771" s="9" t="b">
        <v>1</v>
      </c>
      <c r="E4771" s="9"/>
    </row>
    <row r="4772" ht="15.75" customHeight="1">
      <c r="A4772" s="9" t="s">
        <v>37695</v>
      </c>
      <c r="B4772" s="9" t="s">
        <v>11556</v>
      </c>
      <c r="C4772" s="8" t="s">
        <v>37696</v>
      </c>
      <c r="D4772" s="9" t="b">
        <v>0</v>
      </c>
      <c r="E4772" s="9"/>
    </row>
    <row r="4773" ht="15.75" customHeight="1">
      <c r="A4773" s="9" t="s">
        <v>37697</v>
      </c>
      <c r="B4773" s="9" t="s">
        <v>11556</v>
      </c>
      <c r="C4773" s="8" t="s">
        <v>37698</v>
      </c>
      <c r="D4773" s="9" t="b">
        <v>0</v>
      </c>
      <c r="E4773" s="9"/>
    </row>
    <row r="4774" ht="15.75" customHeight="1">
      <c r="A4774" s="9" t="s">
        <v>37699</v>
      </c>
      <c r="B4774" s="9" t="s">
        <v>11556</v>
      </c>
      <c r="C4774" s="8" t="s">
        <v>37700</v>
      </c>
      <c r="D4774" s="9" t="b">
        <v>0</v>
      </c>
      <c r="E4774" s="9"/>
    </row>
    <row r="4775" ht="15.75" customHeight="1">
      <c r="A4775" s="9" t="s">
        <v>37701</v>
      </c>
      <c r="B4775" s="9" t="s">
        <v>11556</v>
      </c>
      <c r="C4775" s="8" t="s">
        <v>37702</v>
      </c>
      <c r="D4775" s="9" t="b">
        <v>0</v>
      </c>
      <c r="E4775" s="9"/>
    </row>
    <row r="4776" ht="15.75" customHeight="1">
      <c r="A4776" s="9" t="s">
        <v>37703</v>
      </c>
      <c r="B4776" s="9" t="s">
        <v>11556</v>
      </c>
      <c r="C4776" s="8" t="s">
        <v>37704</v>
      </c>
      <c r="D4776" s="9" t="b">
        <v>0</v>
      </c>
      <c r="E4776" s="9"/>
    </row>
    <row r="4777" ht="15.75" customHeight="1">
      <c r="A4777" s="9" t="s">
        <v>37705</v>
      </c>
      <c r="B4777" s="9" t="s">
        <v>11556</v>
      </c>
      <c r="C4777" s="8" t="s">
        <v>37706</v>
      </c>
      <c r="D4777" s="9" t="b">
        <v>1</v>
      </c>
      <c r="E4777" s="9"/>
    </row>
    <row r="4778" ht="15.75" customHeight="1">
      <c r="A4778" s="9" t="s">
        <v>37707</v>
      </c>
      <c r="B4778" s="9" t="s">
        <v>11558</v>
      </c>
      <c r="C4778" s="8" t="s">
        <v>37708</v>
      </c>
      <c r="D4778" s="9" t="b">
        <v>0</v>
      </c>
      <c r="E4778" s="9"/>
    </row>
    <row r="4779" ht="15.75" customHeight="1">
      <c r="A4779" s="9" t="s">
        <v>37709</v>
      </c>
      <c r="B4779" s="9" t="s">
        <v>11558</v>
      </c>
      <c r="C4779" s="8" t="s">
        <v>37710</v>
      </c>
      <c r="D4779" s="9" t="b">
        <v>0</v>
      </c>
      <c r="E4779" s="9"/>
    </row>
    <row r="4780" ht="15.75" customHeight="1">
      <c r="A4780" s="9" t="s">
        <v>37711</v>
      </c>
      <c r="B4780" s="9" t="s">
        <v>11558</v>
      </c>
      <c r="C4780" s="8" t="s">
        <v>37712</v>
      </c>
      <c r="D4780" s="9" t="b">
        <v>0</v>
      </c>
      <c r="E4780" s="9"/>
    </row>
    <row r="4781" ht="15.75" customHeight="1">
      <c r="A4781" s="9" t="s">
        <v>37713</v>
      </c>
      <c r="B4781" s="9" t="s">
        <v>11558</v>
      </c>
      <c r="C4781" s="8" t="s">
        <v>37714</v>
      </c>
      <c r="D4781" s="9" t="b">
        <v>0</v>
      </c>
      <c r="E4781" s="9"/>
    </row>
    <row r="4782" ht="15.75" customHeight="1">
      <c r="A4782" s="9" t="s">
        <v>37715</v>
      </c>
      <c r="B4782" s="9" t="s">
        <v>11558</v>
      </c>
      <c r="C4782" s="8" t="s">
        <v>37716</v>
      </c>
      <c r="D4782" s="9" t="b">
        <v>0</v>
      </c>
      <c r="E4782" s="9"/>
    </row>
    <row r="4783" ht="15.75" customHeight="1">
      <c r="A4783" s="9" t="s">
        <v>37717</v>
      </c>
      <c r="B4783" s="9" t="s">
        <v>11558</v>
      </c>
      <c r="C4783" s="8" t="s">
        <v>37718</v>
      </c>
      <c r="D4783" s="9" t="b">
        <v>1</v>
      </c>
      <c r="E4783" s="9"/>
    </row>
    <row r="4784" ht="15.75" customHeight="1">
      <c r="A4784" s="9" t="s">
        <v>37719</v>
      </c>
      <c r="B4784" s="9" t="s">
        <v>3552</v>
      </c>
      <c r="C4784" s="8" t="s">
        <v>37720</v>
      </c>
      <c r="D4784" s="9" t="b">
        <v>0</v>
      </c>
      <c r="E4784" s="9"/>
    </row>
    <row r="4785" ht="15.75" customHeight="1">
      <c r="A4785" s="9" t="s">
        <v>37721</v>
      </c>
      <c r="B4785" s="9" t="s">
        <v>3552</v>
      </c>
      <c r="C4785" s="8" t="s">
        <v>37722</v>
      </c>
      <c r="D4785" s="9" t="b">
        <v>0</v>
      </c>
      <c r="E4785" s="9"/>
    </row>
    <row r="4786" ht="15.75" customHeight="1">
      <c r="A4786" s="9" t="s">
        <v>37723</v>
      </c>
      <c r="B4786" s="9" t="s">
        <v>3552</v>
      </c>
      <c r="C4786" s="8" t="s">
        <v>37724</v>
      </c>
      <c r="D4786" s="9" t="b">
        <v>0</v>
      </c>
      <c r="E4786" s="9"/>
    </row>
    <row r="4787" ht="15.75" customHeight="1">
      <c r="A4787" s="9" t="s">
        <v>37725</v>
      </c>
      <c r="B4787" s="9" t="s">
        <v>3552</v>
      </c>
      <c r="C4787" s="8" t="s">
        <v>37726</v>
      </c>
      <c r="D4787" s="9" t="b">
        <v>0</v>
      </c>
      <c r="E4787" s="9"/>
    </row>
    <row r="4788" ht="15.75" customHeight="1">
      <c r="A4788" s="9" t="s">
        <v>37727</v>
      </c>
      <c r="B4788" s="9" t="s">
        <v>3552</v>
      </c>
      <c r="C4788" s="8" t="s">
        <v>37728</v>
      </c>
      <c r="D4788" s="9" t="b">
        <v>0</v>
      </c>
      <c r="E4788" s="9"/>
    </row>
    <row r="4789" ht="15.75" customHeight="1">
      <c r="A4789" s="9" t="s">
        <v>37729</v>
      </c>
      <c r="B4789" s="9" t="s">
        <v>3552</v>
      </c>
      <c r="C4789" s="8" t="s">
        <v>37730</v>
      </c>
      <c r="D4789" s="9" t="b">
        <v>0</v>
      </c>
      <c r="E4789" s="9"/>
    </row>
    <row r="4790" ht="15.75" customHeight="1">
      <c r="A4790" s="9" t="s">
        <v>37731</v>
      </c>
      <c r="B4790" s="9" t="s">
        <v>3552</v>
      </c>
      <c r="C4790" s="8" t="s">
        <v>37732</v>
      </c>
      <c r="D4790" s="9" t="b">
        <v>0</v>
      </c>
      <c r="E4790" s="9"/>
    </row>
    <row r="4791" ht="15.75" customHeight="1">
      <c r="A4791" s="52" t="s">
        <v>37733</v>
      </c>
      <c r="B4791" s="9" t="s">
        <v>11560</v>
      </c>
      <c r="C4791" s="8" t="s">
        <v>37734</v>
      </c>
      <c r="D4791" s="9" t="b">
        <v>0</v>
      </c>
      <c r="E4791" s="9"/>
    </row>
    <row r="4792" ht="15.75" customHeight="1">
      <c r="A4792" s="9" t="s">
        <v>37735</v>
      </c>
      <c r="B4792" s="9" t="s">
        <v>11560</v>
      </c>
      <c r="C4792" s="8" t="s">
        <v>37736</v>
      </c>
      <c r="D4792" s="9" t="b">
        <v>0</v>
      </c>
      <c r="E4792" s="9"/>
    </row>
    <row r="4793" ht="15.75" customHeight="1">
      <c r="A4793" s="9" t="s">
        <v>37737</v>
      </c>
      <c r="B4793" s="9" t="s">
        <v>11560</v>
      </c>
      <c r="C4793" s="8" t="s">
        <v>37738</v>
      </c>
      <c r="D4793" s="9" t="b">
        <v>0</v>
      </c>
      <c r="E4793" s="9"/>
    </row>
    <row r="4794" ht="15.75" customHeight="1">
      <c r="A4794" s="9" t="s">
        <v>37739</v>
      </c>
      <c r="B4794" s="9" t="s">
        <v>11560</v>
      </c>
      <c r="C4794" s="8" t="s">
        <v>37740</v>
      </c>
      <c r="D4794" s="9" t="b">
        <v>0</v>
      </c>
      <c r="E4794" s="9"/>
    </row>
    <row r="4795" ht="15.75" customHeight="1">
      <c r="A4795" s="9" t="s">
        <v>37741</v>
      </c>
      <c r="B4795" s="9" t="s">
        <v>11560</v>
      </c>
      <c r="C4795" s="8" t="s">
        <v>37742</v>
      </c>
      <c r="D4795" s="9" t="b">
        <v>0</v>
      </c>
      <c r="E4795" s="9"/>
    </row>
    <row r="4796" ht="15.75" customHeight="1">
      <c r="A4796" s="9" t="s">
        <v>37743</v>
      </c>
      <c r="B4796" s="9" t="s">
        <v>11560</v>
      </c>
      <c r="C4796" s="8" t="s">
        <v>37744</v>
      </c>
      <c r="D4796" s="9" t="b">
        <v>0</v>
      </c>
      <c r="E4796" s="9"/>
    </row>
    <row r="4797" ht="15.75" customHeight="1">
      <c r="A4797" s="9" t="s">
        <v>37745</v>
      </c>
      <c r="B4797" s="9" t="s">
        <v>11560</v>
      </c>
      <c r="C4797" s="8" t="s">
        <v>37746</v>
      </c>
      <c r="D4797" s="9" t="b">
        <v>0</v>
      </c>
      <c r="E4797" s="9"/>
    </row>
    <row r="4798" ht="15.75" customHeight="1">
      <c r="A4798" s="9" t="s">
        <v>37747</v>
      </c>
      <c r="B4798" s="9" t="s">
        <v>11560</v>
      </c>
      <c r="C4798" s="8" t="s">
        <v>37748</v>
      </c>
      <c r="D4798" s="9" t="b">
        <v>1</v>
      </c>
      <c r="E4798" s="9"/>
    </row>
    <row r="4799" ht="15.75" customHeight="1">
      <c r="A4799" s="9" t="s">
        <v>37749</v>
      </c>
      <c r="B4799" s="9" t="s">
        <v>11562</v>
      </c>
      <c r="C4799" s="8" t="s">
        <v>37750</v>
      </c>
      <c r="D4799" s="9" t="b">
        <v>0</v>
      </c>
      <c r="E4799" s="9"/>
    </row>
    <row r="4800" ht="15.75" customHeight="1">
      <c r="A4800" s="9" t="s">
        <v>37751</v>
      </c>
      <c r="B4800" s="9" t="s">
        <v>11562</v>
      </c>
      <c r="C4800" s="8" t="s">
        <v>37752</v>
      </c>
      <c r="D4800" s="9" t="b">
        <v>0</v>
      </c>
      <c r="E4800" s="9"/>
    </row>
    <row r="4801" ht="15.75" customHeight="1">
      <c r="A4801" s="9" t="s">
        <v>37753</v>
      </c>
      <c r="B4801" s="9" t="s">
        <v>11562</v>
      </c>
      <c r="C4801" s="8" t="s">
        <v>37754</v>
      </c>
      <c r="D4801" s="9" t="b">
        <v>0</v>
      </c>
      <c r="E4801" s="9"/>
    </row>
    <row r="4802" ht="15.75" customHeight="1">
      <c r="A4802" s="9" t="s">
        <v>37755</v>
      </c>
      <c r="B4802" s="9" t="s">
        <v>11562</v>
      </c>
      <c r="C4802" s="8" t="s">
        <v>37756</v>
      </c>
      <c r="D4802" s="9" t="b">
        <v>0</v>
      </c>
      <c r="E4802" s="9"/>
    </row>
    <row r="4803" ht="15.75" customHeight="1">
      <c r="A4803" s="9" t="s">
        <v>37757</v>
      </c>
      <c r="B4803" s="9" t="s">
        <v>11562</v>
      </c>
      <c r="C4803" s="8" t="s">
        <v>37758</v>
      </c>
      <c r="D4803" s="9" t="b">
        <v>0</v>
      </c>
      <c r="E4803" s="9"/>
    </row>
    <row r="4804" ht="15.75" customHeight="1">
      <c r="A4804" s="9" t="s">
        <v>37759</v>
      </c>
      <c r="B4804" s="9" t="s">
        <v>11562</v>
      </c>
      <c r="C4804" s="8" t="s">
        <v>37760</v>
      </c>
      <c r="D4804" s="9" t="b">
        <v>1</v>
      </c>
      <c r="E4804" s="9"/>
    </row>
    <row r="4805" ht="15.75" customHeight="1">
      <c r="A4805" s="9" t="s">
        <v>37761</v>
      </c>
      <c r="B4805" s="9" t="s">
        <v>11565</v>
      </c>
      <c r="C4805" s="8" t="s">
        <v>37762</v>
      </c>
      <c r="D4805" s="9" t="b">
        <v>0</v>
      </c>
      <c r="E4805" s="9"/>
    </row>
    <row r="4806" ht="15.75" customHeight="1">
      <c r="A4806" s="9" t="s">
        <v>37763</v>
      </c>
      <c r="B4806" s="9" t="s">
        <v>11565</v>
      </c>
      <c r="C4806" s="8" t="s">
        <v>37764</v>
      </c>
      <c r="D4806" s="9" t="b">
        <v>0</v>
      </c>
      <c r="E4806" s="9"/>
    </row>
    <row r="4807" ht="15.75" customHeight="1">
      <c r="A4807" s="9" t="s">
        <v>37765</v>
      </c>
      <c r="B4807" s="9" t="s">
        <v>11565</v>
      </c>
      <c r="C4807" s="8" t="s">
        <v>37766</v>
      </c>
      <c r="D4807" s="9" t="b">
        <v>0</v>
      </c>
      <c r="E4807" s="9"/>
    </row>
    <row r="4808" ht="15.75" customHeight="1">
      <c r="A4808" s="9" t="s">
        <v>37767</v>
      </c>
      <c r="B4808" s="9" t="s">
        <v>11565</v>
      </c>
      <c r="C4808" s="8" t="s">
        <v>37768</v>
      </c>
      <c r="D4808" s="9" t="b">
        <v>0</v>
      </c>
      <c r="E4808" s="9"/>
    </row>
    <row r="4809" ht="15.75" customHeight="1">
      <c r="A4809" s="9" t="s">
        <v>37769</v>
      </c>
      <c r="B4809" s="9" t="s">
        <v>11565</v>
      </c>
      <c r="C4809" s="8" t="s">
        <v>37770</v>
      </c>
      <c r="D4809" s="9" t="b">
        <v>1</v>
      </c>
      <c r="E4809" s="9"/>
    </row>
    <row r="4810" ht="15.75" customHeight="1">
      <c r="A4810" s="9" t="s">
        <v>37771</v>
      </c>
      <c r="B4810" s="9" t="s">
        <v>11567</v>
      </c>
      <c r="C4810" s="8" t="s">
        <v>37772</v>
      </c>
      <c r="D4810" s="9" t="b">
        <v>0</v>
      </c>
      <c r="E4810" s="9"/>
    </row>
    <row r="4811" ht="15.75" customHeight="1">
      <c r="A4811" s="9" t="s">
        <v>37773</v>
      </c>
      <c r="B4811" s="9" t="s">
        <v>11567</v>
      </c>
      <c r="C4811" s="8" t="s">
        <v>37774</v>
      </c>
      <c r="D4811" s="9" t="b">
        <v>0</v>
      </c>
      <c r="E4811" s="9"/>
    </row>
    <row r="4812" ht="15.75" customHeight="1">
      <c r="A4812" s="9" t="s">
        <v>37775</v>
      </c>
      <c r="B4812" s="9" t="s">
        <v>11567</v>
      </c>
      <c r="C4812" s="8" t="s">
        <v>37776</v>
      </c>
      <c r="D4812" s="9" t="b">
        <v>0</v>
      </c>
      <c r="E4812" s="9"/>
    </row>
    <row r="4813" ht="15.75" customHeight="1">
      <c r="A4813" s="9" t="s">
        <v>37777</v>
      </c>
      <c r="B4813" s="9" t="s">
        <v>11567</v>
      </c>
      <c r="C4813" s="8" t="s">
        <v>37778</v>
      </c>
      <c r="D4813" s="9" t="b">
        <v>0</v>
      </c>
      <c r="E4813" s="9"/>
    </row>
    <row r="4814" ht="15.75" customHeight="1">
      <c r="A4814" s="9" t="s">
        <v>37779</v>
      </c>
      <c r="B4814" s="9" t="s">
        <v>11567</v>
      </c>
      <c r="C4814" s="8" t="s">
        <v>37780</v>
      </c>
      <c r="D4814" s="9" t="b">
        <v>1</v>
      </c>
      <c r="E4814" s="9"/>
    </row>
    <row r="4815" ht="15.75" customHeight="1">
      <c r="A4815" s="9" t="s">
        <v>37781</v>
      </c>
      <c r="B4815" s="9" t="s">
        <v>11571</v>
      </c>
      <c r="C4815" s="8" t="s">
        <v>37782</v>
      </c>
      <c r="D4815" s="9" t="b">
        <v>0</v>
      </c>
      <c r="E4815" s="9"/>
    </row>
    <row r="4816" ht="15.75" customHeight="1">
      <c r="A4816" s="9" t="s">
        <v>37783</v>
      </c>
      <c r="B4816" s="9" t="s">
        <v>11571</v>
      </c>
      <c r="C4816" s="8" t="s">
        <v>37784</v>
      </c>
      <c r="D4816" s="9" t="b">
        <v>0</v>
      </c>
      <c r="E4816" s="9"/>
    </row>
    <row r="4817" ht="15.75" customHeight="1">
      <c r="A4817" s="9" t="s">
        <v>37785</v>
      </c>
      <c r="B4817" s="9" t="s">
        <v>11571</v>
      </c>
      <c r="C4817" s="8" t="s">
        <v>37786</v>
      </c>
      <c r="D4817" s="9" t="b">
        <v>0</v>
      </c>
      <c r="E4817" s="9"/>
    </row>
    <row r="4818" ht="15.75" customHeight="1">
      <c r="A4818" s="9" t="s">
        <v>37787</v>
      </c>
      <c r="B4818" s="9" t="s">
        <v>11571</v>
      </c>
      <c r="C4818" s="8" t="s">
        <v>37788</v>
      </c>
      <c r="D4818" s="9" t="b">
        <v>0</v>
      </c>
      <c r="E4818" s="9"/>
    </row>
    <row r="4819" ht="15.75" customHeight="1">
      <c r="A4819" s="9" t="s">
        <v>37789</v>
      </c>
      <c r="B4819" s="9" t="s">
        <v>11571</v>
      </c>
      <c r="C4819" s="8" t="s">
        <v>37790</v>
      </c>
      <c r="D4819" s="9" t="b">
        <v>1</v>
      </c>
      <c r="E4819" s="9"/>
    </row>
    <row r="4820" ht="15.75" customHeight="1">
      <c r="A4820" s="9" t="s">
        <v>37791</v>
      </c>
      <c r="B4820" s="9" t="s">
        <v>11571</v>
      </c>
      <c r="C4820" s="8" t="s">
        <v>37792</v>
      </c>
      <c r="D4820" s="9" t="b">
        <v>0</v>
      </c>
      <c r="E4820" s="9" t="s">
        <v>37793</v>
      </c>
    </row>
    <row r="4821" ht="15.75" customHeight="1">
      <c r="A4821" s="9" t="s">
        <v>37794</v>
      </c>
      <c r="B4821" s="9" t="s">
        <v>259</v>
      </c>
      <c r="C4821" s="8" t="s">
        <v>37795</v>
      </c>
      <c r="D4821" s="9" t="b">
        <v>0</v>
      </c>
      <c r="E4821" s="9"/>
    </row>
    <row r="4822" ht="15.75" customHeight="1">
      <c r="A4822" s="9" t="s">
        <v>37796</v>
      </c>
      <c r="B4822" s="9" t="s">
        <v>259</v>
      </c>
      <c r="C4822" s="8" t="s">
        <v>37797</v>
      </c>
      <c r="D4822" s="9" t="b">
        <v>0</v>
      </c>
      <c r="E4822" s="9"/>
    </row>
    <row r="4823" ht="15.75" customHeight="1">
      <c r="A4823" s="9" t="s">
        <v>37798</v>
      </c>
      <c r="B4823" s="9" t="s">
        <v>259</v>
      </c>
      <c r="C4823" s="8" t="s">
        <v>37799</v>
      </c>
      <c r="D4823" s="9" t="b">
        <v>0</v>
      </c>
      <c r="E4823" s="9"/>
    </row>
    <row r="4824" ht="15.75" customHeight="1">
      <c r="A4824" s="9" t="s">
        <v>37800</v>
      </c>
      <c r="B4824" s="9" t="s">
        <v>259</v>
      </c>
      <c r="C4824" s="8" t="s">
        <v>37801</v>
      </c>
      <c r="D4824" s="9" t="b">
        <v>0</v>
      </c>
      <c r="E4824" s="9"/>
    </row>
    <row r="4825" ht="15.75" customHeight="1">
      <c r="A4825" s="9" t="s">
        <v>37802</v>
      </c>
      <c r="B4825" s="9" t="s">
        <v>259</v>
      </c>
      <c r="C4825" s="8" t="s">
        <v>37803</v>
      </c>
      <c r="D4825" s="9" t="b">
        <v>0</v>
      </c>
      <c r="E4825" s="9"/>
    </row>
    <row r="4826" ht="15.75" customHeight="1">
      <c r="A4826" s="9" t="s">
        <v>37804</v>
      </c>
      <c r="B4826" s="9" t="s">
        <v>259</v>
      </c>
      <c r="C4826" s="8" t="s">
        <v>37805</v>
      </c>
      <c r="D4826" s="9" t="b">
        <v>1</v>
      </c>
      <c r="E4826" s="9"/>
    </row>
    <row r="4827" ht="15.75" customHeight="1">
      <c r="A4827" s="9" t="s">
        <v>37806</v>
      </c>
      <c r="B4827" s="9" t="s">
        <v>11576</v>
      </c>
      <c r="C4827" s="8" t="s">
        <v>37807</v>
      </c>
      <c r="D4827" s="9" t="b">
        <v>0</v>
      </c>
      <c r="E4827" s="9"/>
    </row>
    <row r="4828" ht="15.75" customHeight="1">
      <c r="A4828" s="9" t="s">
        <v>37808</v>
      </c>
      <c r="B4828" s="9" t="s">
        <v>11576</v>
      </c>
      <c r="C4828" s="8" t="s">
        <v>37809</v>
      </c>
      <c r="D4828" s="9" t="b">
        <v>0</v>
      </c>
      <c r="E4828" s="9"/>
    </row>
    <row r="4829" ht="15.75" customHeight="1">
      <c r="A4829" s="9" t="s">
        <v>37810</v>
      </c>
      <c r="B4829" s="9" t="s">
        <v>11576</v>
      </c>
      <c r="C4829" s="8" t="s">
        <v>37811</v>
      </c>
      <c r="D4829" s="9" t="b">
        <v>0</v>
      </c>
      <c r="E4829" s="9"/>
    </row>
    <row r="4830" ht="15.75" customHeight="1">
      <c r="A4830" s="9" t="s">
        <v>37812</v>
      </c>
      <c r="B4830" s="9" t="s">
        <v>11576</v>
      </c>
      <c r="C4830" s="8" t="s">
        <v>37813</v>
      </c>
      <c r="D4830" s="9" t="b">
        <v>0</v>
      </c>
      <c r="E4830" s="9"/>
    </row>
    <row r="4831" ht="15.75" customHeight="1">
      <c r="A4831" s="9" t="s">
        <v>37814</v>
      </c>
      <c r="B4831" s="9" t="s">
        <v>11576</v>
      </c>
      <c r="C4831" s="8" t="s">
        <v>37815</v>
      </c>
      <c r="D4831" s="9" t="b">
        <v>1</v>
      </c>
      <c r="E4831" s="9"/>
    </row>
    <row r="4832" ht="15.75" customHeight="1">
      <c r="A4832" s="52" t="s">
        <v>37816</v>
      </c>
      <c r="B4832" s="9" t="s">
        <v>11583</v>
      </c>
      <c r="C4832" s="8" t="s">
        <v>37817</v>
      </c>
      <c r="D4832" s="9" t="b">
        <v>0</v>
      </c>
      <c r="E4832" s="9"/>
    </row>
    <row r="4833" ht="15.75" customHeight="1">
      <c r="A4833" s="9" t="s">
        <v>37818</v>
      </c>
      <c r="B4833" s="9" t="s">
        <v>11583</v>
      </c>
      <c r="C4833" s="8" t="s">
        <v>37819</v>
      </c>
      <c r="D4833" s="9" t="b">
        <v>0</v>
      </c>
      <c r="E4833" s="9"/>
    </row>
    <row r="4834" ht="15.75" customHeight="1">
      <c r="A4834" s="9" t="s">
        <v>37820</v>
      </c>
      <c r="B4834" s="9" t="s">
        <v>11583</v>
      </c>
      <c r="C4834" s="8" t="s">
        <v>37821</v>
      </c>
      <c r="D4834" s="9" t="b">
        <v>0</v>
      </c>
      <c r="E4834" s="9"/>
    </row>
    <row r="4835" ht="15.75" customHeight="1">
      <c r="A4835" s="9" t="s">
        <v>37822</v>
      </c>
      <c r="B4835" s="9" t="s">
        <v>11583</v>
      </c>
      <c r="C4835" s="8" t="s">
        <v>37823</v>
      </c>
      <c r="D4835" s="9" t="b">
        <v>0</v>
      </c>
      <c r="E4835" s="9"/>
    </row>
    <row r="4836" ht="15.75" customHeight="1">
      <c r="A4836" s="9" t="s">
        <v>37824</v>
      </c>
      <c r="B4836" s="9" t="s">
        <v>11583</v>
      </c>
      <c r="C4836" s="8" t="s">
        <v>37825</v>
      </c>
      <c r="D4836" s="9" t="b">
        <v>0</v>
      </c>
      <c r="E4836" s="9"/>
    </row>
    <row r="4837" ht="15.75" customHeight="1">
      <c r="A4837" s="9" t="s">
        <v>37826</v>
      </c>
      <c r="B4837" s="9" t="s">
        <v>11583</v>
      </c>
      <c r="C4837" s="8" t="s">
        <v>37827</v>
      </c>
      <c r="D4837" s="9" t="b">
        <v>1</v>
      </c>
      <c r="E4837" s="9"/>
    </row>
    <row r="4838" ht="15.75" customHeight="1">
      <c r="A4838" s="9" t="s">
        <v>37828</v>
      </c>
      <c r="B4838" s="9" t="s">
        <v>11585</v>
      </c>
      <c r="C4838" s="8" t="s">
        <v>37829</v>
      </c>
      <c r="D4838" s="9" t="b">
        <v>0</v>
      </c>
      <c r="E4838" s="9"/>
    </row>
    <row r="4839" ht="15.75" customHeight="1">
      <c r="A4839" s="9" t="s">
        <v>37830</v>
      </c>
      <c r="B4839" s="9" t="s">
        <v>11585</v>
      </c>
      <c r="C4839" s="8" t="s">
        <v>37831</v>
      </c>
      <c r="D4839" s="9" t="b">
        <v>0</v>
      </c>
      <c r="E4839" s="9"/>
    </row>
    <row r="4840" ht="15.75" customHeight="1">
      <c r="A4840" s="9" t="s">
        <v>37832</v>
      </c>
      <c r="B4840" s="9" t="s">
        <v>11585</v>
      </c>
      <c r="C4840" s="8" t="s">
        <v>37833</v>
      </c>
      <c r="D4840" s="9" t="b">
        <v>0</v>
      </c>
      <c r="E4840" s="9"/>
    </row>
    <row r="4841" ht="15.75" customHeight="1">
      <c r="A4841" s="9" t="s">
        <v>37834</v>
      </c>
      <c r="B4841" s="9" t="s">
        <v>11585</v>
      </c>
      <c r="C4841" s="8" t="s">
        <v>37835</v>
      </c>
      <c r="D4841" s="9" t="b">
        <v>0</v>
      </c>
      <c r="E4841" s="9"/>
    </row>
    <row r="4842" ht="15.75" customHeight="1">
      <c r="A4842" s="9" t="s">
        <v>37836</v>
      </c>
      <c r="B4842" s="9" t="s">
        <v>11585</v>
      </c>
      <c r="C4842" s="8" t="s">
        <v>37837</v>
      </c>
      <c r="D4842" s="9" t="b">
        <v>1</v>
      </c>
      <c r="E4842" s="9"/>
    </row>
    <row r="4843" ht="15.75" customHeight="1">
      <c r="A4843" s="9" t="s">
        <v>37838</v>
      </c>
      <c r="B4843" s="9" t="s">
        <v>11578</v>
      </c>
      <c r="C4843" s="8" t="s">
        <v>37839</v>
      </c>
      <c r="D4843" s="9" t="b">
        <v>0</v>
      </c>
      <c r="E4843" s="9"/>
    </row>
    <row r="4844" ht="15.75" customHeight="1">
      <c r="A4844" s="9" t="s">
        <v>37840</v>
      </c>
      <c r="B4844" s="9" t="s">
        <v>11578</v>
      </c>
      <c r="C4844" s="8" t="s">
        <v>37841</v>
      </c>
      <c r="D4844" s="9" t="b">
        <v>0</v>
      </c>
      <c r="E4844" s="9"/>
    </row>
    <row r="4845" ht="15.75" customHeight="1">
      <c r="A4845" s="9" t="s">
        <v>37842</v>
      </c>
      <c r="B4845" s="9" t="s">
        <v>11578</v>
      </c>
      <c r="C4845" s="8" t="s">
        <v>37843</v>
      </c>
      <c r="D4845" s="9" t="b">
        <v>0</v>
      </c>
      <c r="E4845" s="9"/>
    </row>
    <row r="4846" ht="15.75" customHeight="1">
      <c r="A4846" s="9" t="s">
        <v>37844</v>
      </c>
      <c r="B4846" s="9" t="s">
        <v>11578</v>
      </c>
      <c r="C4846" s="8" t="s">
        <v>37845</v>
      </c>
      <c r="D4846" s="9" t="b">
        <v>0</v>
      </c>
      <c r="E4846" s="9"/>
    </row>
    <row r="4847" ht="15.75" customHeight="1">
      <c r="A4847" s="9" t="s">
        <v>37846</v>
      </c>
      <c r="B4847" s="9" t="s">
        <v>11578</v>
      </c>
      <c r="C4847" s="8" t="s">
        <v>37847</v>
      </c>
      <c r="D4847" s="9" t="b">
        <v>0</v>
      </c>
      <c r="E4847" s="9"/>
    </row>
    <row r="4848" ht="15.75" customHeight="1">
      <c r="A4848" s="9" t="s">
        <v>37848</v>
      </c>
      <c r="B4848" s="9" t="s">
        <v>11578</v>
      </c>
      <c r="C4848" s="8" t="s">
        <v>37849</v>
      </c>
      <c r="D4848" s="9" t="b">
        <v>1</v>
      </c>
      <c r="E4848" s="9"/>
    </row>
    <row r="4849" ht="15.75" customHeight="1">
      <c r="A4849" s="9" t="s">
        <v>37850</v>
      </c>
      <c r="B4849" s="9" t="s">
        <v>11587</v>
      </c>
      <c r="C4849" s="8" t="s">
        <v>37851</v>
      </c>
      <c r="D4849" s="9" t="b">
        <v>0</v>
      </c>
      <c r="E4849" s="9"/>
    </row>
    <row r="4850" ht="15.75" customHeight="1">
      <c r="A4850" s="9" t="s">
        <v>37852</v>
      </c>
      <c r="B4850" s="9" t="s">
        <v>11587</v>
      </c>
      <c r="C4850" s="8" t="s">
        <v>37853</v>
      </c>
      <c r="D4850" s="9" t="b">
        <v>0</v>
      </c>
      <c r="E4850" s="9"/>
    </row>
    <row r="4851" ht="15.75" customHeight="1">
      <c r="A4851" s="9" t="s">
        <v>37854</v>
      </c>
      <c r="B4851" s="9" t="s">
        <v>11587</v>
      </c>
      <c r="C4851" s="8" t="s">
        <v>37855</v>
      </c>
      <c r="D4851" s="9" t="b">
        <v>0</v>
      </c>
      <c r="E4851" s="9"/>
    </row>
    <row r="4852" ht="15.75" customHeight="1">
      <c r="A4852" s="9" t="s">
        <v>37856</v>
      </c>
      <c r="B4852" s="9" t="s">
        <v>11587</v>
      </c>
      <c r="C4852" s="8" t="s">
        <v>37857</v>
      </c>
      <c r="D4852" s="9" t="b">
        <v>0</v>
      </c>
      <c r="E4852" s="9"/>
    </row>
    <row r="4853" ht="15.75" customHeight="1">
      <c r="A4853" s="9" t="s">
        <v>37858</v>
      </c>
      <c r="B4853" s="9" t="s">
        <v>11587</v>
      </c>
      <c r="C4853" s="8" t="s">
        <v>37859</v>
      </c>
      <c r="D4853" s="9" t="b">
        <v>0</v>
      </c>
      <c r="E4853" s="9"/>
    </row>
    <row r="4854" ht="15.75" customHeight="1">
      <c r="A4854" s="9" t="s">
        <v>37860</v>
      </c>
      <c r="B4854" s="9" t="s">
        <v>11587</v>
      </c>
      <c r="C4854" s="8" t="s">
        <v>37861</v>
      </c>
      <c r="D4854" s="9" t="b">
        <v>0</v>
      </c>
      <c r="E4854" s="9"/>
    </row>
    <row r="4855" ht="15.75" customHeight="1">
      <c r="A4855" s="9" t="s">
        <v>37862</v>
      </c>
      <c r="B4855" s="9" t="s">
        <v>11587</v>
      </c>
      <c r="C4855" s="8" t="s">
        <v>37863</v>
      </c>
      <c r="D4855" s="9" t="b">
        <v>0</v>
      </c>
      <c r="E4855" s="9"/>
    </row>
    <row r="4856" ht="15.75" customHeight="1">
      <c r="A4856" s="9" t="s">
        <v>37864</v>
      </c>
      <c r="B4856" s="9" t="s">
        <v>11587</v>
      </c>
      <c r="C4856" s="8" t="s">
        <v>37865</v>
      </c>
      <c r="D4856" s="9" t="b">
        <v>0</v>
      </c>
      <c r="E4856" s="9"/>
    </row>
    <row r="4857" ht="15.75" customHeight="1">
      <c r="A4857" s="9" t="s">
        <v>37866</v>
      </c>
      <c r="B4857" s="9" t="s">
        <v>11587</v>
      </c>
      <c r="C4857" s="8" t="s">
        <v>37867</v>
      </c>
      <c r="D4857" s="9" t="b">
        <v>1</v>
      </c>
      <c r="E4857" s="9"/>
    </row>
    <row r="4858" ht="15.75" customHeight="1">
      <c r="A4858" s="9" t="s">
        <v>37868</v>
      </c>
      <c r="B4858" s="9" t="s">
        <v>11589</v>
      </c>
      <c r="C4858" s="8" t="s">
        <v>37869</v>
      </c>
      <c r="D4858" s="9" t="b">
        <v>0</v>
      </c>
      <c r="E4858" s="9"/>
    </row>
    <row r="4859" ht="15.75" customHeight="1">
      <c r="A4859" s="9" t="s">
        <v>37870</v>
      </c>
      <c r="B4859" s="9" t="s">
        <v>11589</v>
      </c>
      <c r="C4859" s="8" t="s">
        <v>37871</v>
      </c>
      <c r="D4859" s="9" t="b">
        <v>0</v>
      </c>
      <c r="E4859" s="9"/>
    </row>
    <row r="4860" ht="15.75" customHeight="1">
      <c r="A4860" s="9" t="s">
        <v>37872</v>
      </c>
      <c r="B4860" s="9" t="s">
        <v>11589</v>
      </c>
      <c r="C4860" s="8" t="s">
        <v>37873</v>
      </c>
      <c r="D4860" s="9" t="b">
        <v>0</v>
      </c>
      <c r="E4860" s="9"/>
    </row>
    <row r="4861" ht="15.75" customHeight="1">
      <c r="A4861" s="9" t="s">
        <v>37874</v>
      </c>
      <c r="B4861" s="9" t="s">
        <v>11589</v>
      </c>
      <c r="C4861" s="8" t="s">
        <v>37875</v>
      </c>
      <c r="D4861" s="9" t="b">
        <v>0</v>
      </c>
      <c r="E4861" s="9"/>
    </row>
    <row r="4862" ht="15.75" customHeight="1">
      <c r="A4862" s="9" t="s">
        <v>37876</v>
      </c>
      <c r="B4862" s="9" t="s">
        <v>11589</v>
      </c>
      <c r="C4862" s="8" t="s">
        <v>37877</v>
      </c>
      <c r="D4862" s="9" t="b">
        <v>0</v>
      </c>
      <c r="E4862" s="9"/>
    </row>
    <row r="4863" ht="15.75" customHeight="1">
      <c r="A4863" s="9" t="s">
        <v>37878</v>
      </c>
      <c r="B4863" s="9" t="s">
        <v>11589</v>
      </c>
      <c r="C4863" s="8" t="s">
        <v>37879</v>
      </c>
      <c r="D4863" s="9" t="b">
        <v>0</v>
      </c>
      <c r="E4863" s="9"/>
    </row>
    <row r="4864" ht="15.75" customHeight="1">
      <c r="A4864" s="9" t="s">
        <v>37880</v>
      </c>
      <c r="B4864" s="9" t="s">
        <v>11589</v>
      </c>
      <c r="C4864" s="8" t="s">
        <v>37881</v>
      </c>
      <c r="D4864" s="9" t="b">
        <v>0</v>
      </c>
      <c r="E4864" s="9"/>
    </row>
    <row r="4865" ht="15.75" customHeight="1">
      <c r="A4865" s="9" t="s">
        <v>37882</v>
      </c>
      <c r="B4865" s="9" t="s">
        <v>11589</v>
      </c>
      <c r="C4865" s="8" t="s">
        <v>37883</v>
      </c>
      <c r="D4865" s="9" t="b">
        <v>0</v>
      </c>
      <c r="E4865" s="9"/>
    </row>
    <row r="4866" ht="15.75" customHeight="1">
      <c r="A4866" s="9" t="s">
        <v>37884</v>
      </c>
      <c r="B4866" s="9" t="s">
        <v>11589</v>
      </c>
      <c r="C4866" s="8" t="s">
        <v>37885</v>
      </c>
      <c r="D4866" s="9" t="b">
        <v>1</v>
      </c>
      <c r="E4866" s="9"/>
    </row>
    <row r="4867" ht="15.75" customHeight="1">
      <c r="A4867" s="9" t="s">
        <v>37886</v>
      </c>
      <c r="B4867" s="9" t="s">
        <v>11580</v>
      </c>
      <c r="C4867" s="8" t="s">
        <v>37887</v>
      </c>
      <c r="D4867" s="9" t="b">
        <v>0</v>
      </c>
      <c r="E4867" s="9"/>
    </row>
    <row r="4868" ht="15.75" customHeight="1">
      <c r="A4868" s="9" t="s">
        <v>37888</v>
      </c>
      <c r="B4868" s="9" t="s">
        <v>11580</v>
      </c>
      <c r="C4868" s="8" t="s">
        <v>37889</v>
      </c>
      <c r="D4868" s="9" t="b">
        <v>0</v>
      </c>
      <c r="E4868" s="9"/>
    </row>
    <row r="4869" ht="15.75" customHeight="1">
      <c r="A4869" s="9" t="s">
        <v>37890</v>
      </c>
      <c r="B4869" s="9" t="s">
        <v>11580</v>
      </c>
      <c r="C4869" s="8" t="s">
        <v>37891</v>
      </c>
      <c r="D4869" s="9" t="b">
        <v>0</v>
      </c>
      <c r="E4869" s="9"/>
    </row>
    <row r="4870" ht="15.75" customHeight="1">
      <c r="A4870" s="9" t="s">
        <v>37892</v>
      </c>
      <c r="B4870" s="9" t="s">
        <v>11580</v>
      </c>
      <c r="C4870" s="8" t="s">
        <v>37893</v>
      </c>
      <c r="D4870" s="9" t="b">
        <v>0</v>
      </c>
      <c r="E4870" s="9"/>
    </row>
    <row r="4871" ht="15.75" customHeight="1">
      <c r="A4871" s="9" t="s">
        <v>37894</v>
      </c>
      <c r="B4871" s="9" t="s">
        <v>11580</v>
      </c>
      <c r="C4871" s="8" t="s">
        <v>37895</v>
      </c>
      <c r="D4871" s="9" t="b">
        <v>0</v>
      </c>
      <c r="E4871" s="9"/>
    </row>
    <row r="4872" ht="15.75" customHeight="1">
      <c r="A4872" s="9" t="s">
        <v>37896</v>
      </c>
      <c r="B4872" s="9" t="s">
        <v>11580</v>
      </c>
      <c r="C4872" s="8" t="s">
        <v>37897</v>
      </c>
      <c r="D4872" s="9" t="b">
        <v>0</v>
      </c>
      <c r="E4872" s="9"/>
    </row>
    <row r="4873" ht="15.75" customHeight="1">
      <c r="A4873" s="9" t="s">
        <v>37898</v>
      </c>
      <c r="B4873" s="9" t="s">
        <v>11580</v>
      </c>
      <c r="C4873" s="8" t="s">
        <v>37899</v>
      </c>
      <c r="D4873" s="9" t="b">
        <v>0</v>
      </c>
      <c r="E4873" s="9"/>
    </row>
    <row r="4874" ht="15.75" customHeight="1">
      <c r="A4874" s="9" t="s">
        <v>37900</v>
      </c>
      <c r="B4874" s="9" t="s">
        <v>11580</v>
      </c>
      <c r="C4874" s="8" t="s">
        <v>37901</v>
      </c>
      <c r="D4874" s="9" t="b">
        <v>0</v>
      </c>
      <c r="E4874" s="9"/>
    </row>
    <row r="4875" ht="15.75" customHeight="1">
      <c r="A4875" s="9" t="s">
        <v>37902</v>
      </c>
      <c r="B4875" s="9" t="s">
        <v>11580</v>
      </c>
      <c r="C4875" s="8" t="s">
        <v>37903</v>
      </c>
      <c r="D4875" s="9" t="b">
        <v>1</v>
      </c>
      <c r="E4875" s="9"/>
    </row>
    <row r="4876" ht="15.75" customHeight="1">
      <c r="A4876" s="9" t="s">
        <v>37904</v>
      </c>
      <c r="B4876" s="9" t="s">
        <v>11580</v>
      </c>
      <c r="C4876" s="8" t="s">
        <v>37905</v>
      </c>
      <c r="D4876" s="9" t="b">
        <v>0</v>
      </c>
      <c r="E4876" s="9"/>
    </row>
    <row r="4877" ht="15.75" customHeight="1">
      <c r="A4877" s="9" t="s">
        <v>37906</v>
      </c>
      <c r="B4877" s="9" t="s">
        <v>10230</v>
      </c>
      <c r="C4877" s="8" t="s">
        <v>37907</v>
      </c>
      <c r="D4877" s="9" t="b">
        <v>0</v>
      </c>
      <c r="E4877" s="9"/>
    </row>
    <row r="4878" ht="15.75" customHeight="1">
      <c r="A4878" s="9" t="s">
        <v>37908</v>
      </c>
      <c r="B4878" s="9" t="s">
        <v>10230</v>
      </c>
      <c r="C4878" s="8" t="s">
        <v>37909</v>
      </c>
      <c r="D4878" s="9" t="b">
        <v>0</v>
      </c>
      <c r="E4878" s="9"/>
    </row>
    <row r="4879" ht="15.75" customHeight="1">
      <c r="A4879" s="9" t="s">
        <v>37910</v>
      </c>
      <c r="B4879" s="9" t="s">
        <v>10230</v>
      </c>
      <c r="C4879" s="8" t="s">
        <v>37911</v>
      </c>
      <c r="D4879" s="9" t="b">
        <v>0</v>
      </c>
      <c r="E4879" s="9"/>
    </row>
    <row r="4880" ht="15.75" customHeight="1">
      <c r="A4880" s="9" t="s">
        <v>37912</v>
      </c>
      <c r="B4880" s="9" t="s">
        <v>23262</v>
      </c>
      <c r="C4880" s="8" t="s">
        <v>37913</v>
      </c>
      <c r="D4880" s="9" t="b">
        <v>0</v>
      </c>
      <c r="E4880" s="9"/>
    </row>
    <row r="4881" ht="15.75" customHeight="1">
      <c r="A4881" s="9" t="s">
        <v>37914</v>
      </c>
      <c r="B4881" s="9" t="s">
        <v>23262</v>
      </c>
      <c r="C4881" s="8" t="s">
        <v>37915</v>
      </c>
      <c r="D4881" s="9" t="b">
        <v>0</v>
      </c>
      <c r="E4881" s="9"/>
    </row>
    <row r="4882" ht="15.75" customHeight="1">
      <c r="A4882" s="9" t="s">
        <v>37916</v>
      </c>
      <c r="B4882" s="9" t="s">
        <v>23262</v>
      </c>
      <c r="C4882" s="8" t="s">
        <v>37917</v>
      </c>
      <c r="D4882" s="9" t="b">
        <v>1</v>
      </c>
      <c r="E4882" s="9"/>
    </row>
    <row r="4883" ht="15.75" customHeight="1">
      <c r="A4883" s="9" t="s">
        <v>37918</v>
      </c>
      <c r="B4883" s="9" t="s">
        <v>10440</v>
      </c>
      <c r="C4883" s="8" t="s">
        <v>37919</v>
      </c>
      <c r="D4883" s="9" t="b">
        <v>0</v>
      </c>
      <c r="E4883" s="9"/>
    </row>
    <row r="4884" ht="15.75" customHeight="1">
      <c r="A4884" s="9" t="s">
        <v>37920</v>
      </c>
      <c r="B4884" s="9" t="s">
        <v>10440</v>
      </c>
      <c r="C4884" s="8" t="s">
        <v>37921</v>
      </c>
      <c r="D4884" s="9" t="b">
        <v>0</v>
      </c>
      <c r="E4884" s="9"/>
    </row>
    <row r="4885" ht="15.75" customHeight="1">
      <c r="A4885" s="9" t="s">
        <v>37922</v>
      </c>
      <c r="B4885" s="9" t="s">
        <v>10440</v>
      </c>
      <c r="C4885" s="8" t="s">
        <v>37923</v>
      </c>
      <c r="D4885" s="9" t="b">
        <v>1</v>
      </c>
      <c r="E4885" s="9"/>
    </row>
    <row r="4886" ht="15.75" customHeight="1">
      <c r="A4886" s="9" t="s">
        <v>37924</v>
      </c>
      <c r="B4886" s="9" t="s">
        <v>10440</v>
      </c>
      <c r="C4886" s="8" t="s">
        <v>37925</v>
      </c>
      <c r="D4886" s="9" t="b">
        <v>0</v>
      </c>
      <c r="E4886" s="9"/>
    </row>
    <row r="4887" ht="15.75" customHeight="1">
      <c r="A4887" s="9" t="s">
        <v>37926</v>
      </c>
      <c r="B4887" s="9" t="s">
        <v>10440</v>
      </c>
      <c r="C4887" s="8" t="s">
        <v>37927</v>
      </c>
      <c r="D4887" s="9" t="b">
        <v>0</v>
      </c>
      <c r="E4887" s="9"/>
    </row>
    <row r="4888" ht="15.75" customHeight="1">
      <c r="A4888" s="9" t="s">
        <v>37928</v>
      </c>
      <c r="B4888" s="9" t="s">
        <v>10440</v>
      </c>
      <c r="C4888" s="8" t="s">
        <v>37929</v>
      </c>
      <c r="D4888" s="9" t="b">
        <v>0</v>
      </c>
      <c r="E4888" s="9"/>
    </row>
    <row r="4889" ht="15.75" customHeight="1">
      <c r="A4889" s="9" t="s">
        <v>37930</v>
      </c>
      <c r="B4889" s="9" t="s">
        <v>10230</v>
      </c>
      <c r="C4889" s="8" t="s">
        <v>37931</v>
      </c>
      <c r="D4889" s="9" t="b">
        <v>1</v>
      </c>
      <c r="E4889" s="9"/>
    </row>
    <row r="4890" ht="15.75" customHeight="1">
      <c r="A4890" s="9" t="s">
        <v>37932</v>
      </c>
      <c r="B4890" s="9" t="s">
        <v>23273</v>
      </c>
      <c r="C4890" s="8" t="s">
        <v>37933</v>
      </c>
      <c r="D4890" s="9" t="b">
        <v>1</v>
      </c>
      <c r="E4890" s="9"/>
    </row>
    <row r="4891" ht="15.75" customHeight="1">
      <c r="A4891" s="9" t="s">
        <v>37934</v>
      </c>
      <c r="B4891" s="9" t="s">
        <v>23273</v>
      </c>
      <c r="C4891" s="8" t="s">
        <v>37935</v>
      </c>
      <c r="D4891" s="9" t="b">
        <v>0</v>
      </c>
      <c r="E4891" s="9"/>
    </row>
    <row r="4892" ht="15.75" customHeight="1">
      <c r="A4892" s="9" t="s">
        <v>37936</v>
      </c>
      <c r="B4892" s="9" t="s">
        <v>23273</v>
      </c>
      <c r="C4892" s="8" t="s">
        <v>37937</v>
      </c>
      <c r="D4892" s="9" t="b">
        <v>0</v>
      </c>
      <c r="E4892" s="9"/>
    </row>
    <row r="4893" ht="15.75" customHeight="1">
      <c r="A4893" s="9" t="s">
        <v>37938</v>
      </c>
      <c r="B4893" s="9" t="s">
        <v>23273</v>
      </c>
      <c r="C4893" s="8" t="s">
        <v>37939</v>
      </c>
      <c r="D4893" s="9" t="b">
        <v>0</v>
      </c>
      <c r="E4893" s="9"/>
    </row>
    <row r="4894" ht="15.75" customHeight="1">
      <c r="A4894" s="9" t="s">
        <v>37940</v>
      </c>
      <c r="B4894" s="9" t="s">
        <v>9323</v>
      </c>
      <c r="C4894" s="8" t="s">
        <v>37941</v>
      </c>
      <c r="D4894" s="9" t="b">
        <v>0</v>
      </c>
      <c r="E4894" s="9"/>
    </row>
    <row r="4895" ht="15.75" customHeight="1">
      <c r="A4895" s="9" t="s">
        <v>37942</v>
      </c>
      <c r="B4895" s="9" t="s">
        <v>9323</v>
      </c>
      <c r="C4895" s="8" t="s">
        <v>37943</v>
      </c>
      <c r="D4895" s="9" t="b">
        <v>1</v>
      </c>
      <c r="E4895" s="9"/>
    </row>
    <row r="4896" ht="15.75" customHeight="1">
      <c r="A4896" s="9" t="s">
        <v>37944</v>
      </c>
      <c r="B4896" s="9" t="s">
        <v>23288</v>
      </c>
      <c r="C4896" s="8" t="s">
        <v>37945</v>
      </c>
      <c r="D4896" s="9" t="b">
        <v>1</v>
      </c>
      <c r="E4896" s="9"/>
    </row>
    <row r="4897" ht="15.75" customHeight="1">
      <c r="A4897" s="9" t="s">
        <v>37946</v>
      </c>
      <c r="B4897" s="9" t="s">
        <v>23288</v>
      </c>
      <c r="C4897" s="8" t="s">
        <v>37947</v>
      </c>
      <c r="D4897" s="9" t="b">
        <v>0</v>
      </c>
      <c r="E4897" s="9"/>
    </row>
    <row r="4898" ht="15.75" customHeight="1">
      <c r="A4898" s="9" t="s">
        <v>37948</v>
      </c>
      <c r="B4898" s="9" t="s">
        <v>23288</v>
      </c>
      <c r="C4898" s="8" t="s">
        <v>37949</v>
      </c>
      <c r="D4898" s="9" t="b">
        <v>0</v>
      </c>
      <c r="E4898" s="9"/>
    </row>
    <row r="4899" ht="15.75" customHeight="1">
      <c r="A4899" s="9" t="s">
        <v>37950</v>
      </c>
      <c r="B4899" s="9" t="s">
        <v>23288</v>
      </c>
      <c r="C4899" s="8" t="s">
        <v>37951</v>
      </c>
      <c r="D4899" s="9" t="b">
        <v>0</v>
      </c>
      <c r="E4899" s="9"/>
    </row>
    <row r="4900" ht="15.75" customHeight="1">
      <c r="A4900" s="9" t="s">
        <v>37952</v>
      </c>
      <c r="B4900" s="9" t="s">
        <v>23288</v>
      </c>
      <c r="C4900" s="8" t="s">
        <v>37953</v>
      </c>
      <c r="D4900" s="9" t="b">
        <v>0</v>
      </c>
      <c r="E4900" s="9"/>
    </row>
    <row r="4901" ht="15.75" customHeight="1">
      <c r="A4901" s="9" t="s">
        <v>37954</v>
      </c>
      <c r="B4901" s="9" t="s">
        <v>23288</v>
      </c>
      <c r="C4901" s="8" t="s">
        <v>37955</v>
      </c>
      <c r="D4901" s="9" t="b">
        <v>0</v>
      </c>
      <c r="E4901" s="9"/>
    </row>
    <row r="4902" ht="15.75" customHeight="1">
      <c r="A4902" s="9" t="s">
        <v>37956</v>
      </c>
      <c r="B4902" s="9" t="s">
        <v>23302</v>
      </c>
      <c r="C4902" s="8" t="s">
        <v>37957</v>
      </c>
      <c r="D4902" s="9" t="b">
        <v>0</v>
      </c>
      <c r="E4902" s="9"/>
    </row>
    <row r="4903" ht="15.75" customHeight="1">
      <c r="A4903" s="9" t="s">
        <v>37958</v>
      </c>
      <c r="B4903" s="9" t="s">
        <v>23302</v>
      </c>
      <c r="C4903" s="8" t="s">
        <v>37959</v>
      </c>
      <c r="D4903" s="9" t="b">
        <v>0</v>
      </c>
      <c r="E4903" s="9"/>
    </row>
    <row r="4904" ht="15.75" customHeight="1">
      <c r="A4904" s="9" t="s">
        <v>37960</v>
      </c>
      <c r="B4904" s="9" t="s">
        <v>23302</v>
      </c>
      <c r="C4904" s="8" t="s">
        <v>37961</v>
      </c>
      <c r="D4904" s="9" t="b">
        <v>0</v>
      </c>
      <c r="E4904" s="9"/>
    </row>
    <row r="4905" ht="15.75" customHeight="1">
      <c r="A4905" s="9" t="s">
        <v>37962</v>
      </c>
      <c r="B4905" s="9" t="s">
        <v>23302</v>
      </c>
      <c r="C4905" s="8" t="s">
        <v>37963</v>
      </c>
      <c r="D4905" s="9" t="b">
        <v>0</v>
      </c>
      <c r="E4905" s="9"/>
    </row>
    <row r="4906" ht="15.75" customHeight="1">
      <c r="A4906" s="9" t="s">
        <v>37964</v>
      </c>
      <c r="B4906" s="9" t="s">
        <v>23302</v>
      </c>
      <c r="C4906" s="8" t="s">
        <v>37965</v>
      </c>
      <c r="D4906" s="9" t="b">
        <v>0</v>
      </c>
      <c r="E4906" s="9"/>
    </row>
    <row r="4907" ht="15.75" customHeight="1">
      <c r="A4907" s="9" t="s">
        <v>37966</v>
      </c>
      <c r="B4907" s="9" t="s">
        <v>23302</v>
      </c>
      <c r="C4907" s="8" t="s">
        <v>37967</v>
      </c>
      <c r="D4907" s="9" t="b">
        <v>0</v>
      </c>
      <c r="E4907" s="9"/>
    </row>
    <row r="4908" ht="15.75" customHeight="1">
      <c r="A4908" s="9" t="s">
        <v>37968</v>
      </c>
      <c r="B4908" s="9" t="s">
        <v>11427</v>
      </c>
      <c r="C4908" s="8" t="s">
        <v>37969</v>
      </c>
      <c r="D4908" s="9" t="b">
        <v>0</v>
      </c>
      <c r="E4908" s="9"/>
    </row>
    <row r="4909" ht="15.75" customHeight="1">
      <c r="A4909" s="9" t="s">
        <v>37970</v>
      </c>
      <c r="B4909" s="9" t="s">
        <v>11427</v>
      </c>
      <c r="C4909" s="8" t="s">
        <v>37971</v>
      </c>
      <c r="D4909" s="9" t="b">
        <v>0</v>
      </c>
      <c r="E4909" s="9"/>
    </row>
    <row r="4910" ht="15.75" customHeight="1">
      <c r="A4910" s="9" t="s">
        <v>37972</v>
      </c>
      <c r="B4910" s="9" t="s">
        <v>23317</v>
      </c>
      <c r="C4910" s="8" t="s">
        <v>37973</v>
      </c>
      <c r="D4910" s="9" t="b">
        <v>0</v>
      </c>
      <c r="E4910" s="9"/>
    </row>
    <row r="4911" ht="15.75" customHeight="1">
      <c r="A4911" s="9" t="s">
        <v>37974</v>
      </c>
      <c r="B4911" s="9" t="s">
        <v>23317</v>
      </c>
      <c r="C4911" s="8" t="s">
        <v>37975</v>
      </c>
      <c r="D4911" s="9" t="b">
        <v>0</v>
      </c>
      <c r="E4911" s="9"/>
    </row>
    <row r="4912" ht="15.75" customHeight="1">
      <c r="A4912" s="9" t="s">
        <v>37976</v>
      </c>
      <c r="B4912" s="9" t="s">
        <v>23317</v>
      </c>
      <c r="C4912" s="8" t="s">
        <v>37977</v>
      </c>
      <c r="D4912" s="9" t="b">
        <v>0</v>
      </c>
      <c r="E4912" s="9"/>
    </row>
    <row r="4913" ht="15.75" customHeight="1">
      <c r="A4913" s="9" t="s">
        <v>37978</v>
      </c>
      <c r="B4913" s="9" t="s">
        <v>23317</v>
      </c>
      <c r="C4913" s="8" t="s">
        <v>37979</v>
      </c>
      <c r="D4913" s="9" t="b">
        <v>0</v>
      </c>
      <c r="E4913" s="9"/>
    </row>
    <row r="4914" ht="15.75" customHeight="1">
      <c r="A4914" s="9" t="s">
        <v>37980</v>
      </c>
      <c r="B4914" s="9" t="s">
        <v>23317</v>
      </c>
      <c r="C4914" s="8" t="s">
        <v>37981</v>
      </c>
      <c r="D4914" s="9" t="b">
        <v>0</v>
      </c>
      <c r="E4914" s="9"/>
    </row>
    <row r="4915" ht="15.75" customHeight="1">
      <c r="A4915" s="9" t="s">
        <v>37982</v>
      </c>
      <c r="B4915" s="9" t="s">
        <v>23317</v>
      </c>
      <c r="C4915" s="8" t="s">
        <v>37983</v>
      </c>
      <c r="D4915" s="9" t="b">
        <v>1</v>
      </c>
      <c r="E4915" s="9"/>
    </row>
    <row r="4916" ht="15.75" customHeight="1">
      <c r="A4916" s="9" t="s">
        <v>37984</v>
      </c>
      <c r="B4916" s="9" t="s">
        <v>2736</v>
      </c>
      <c r="C4916" s="8" t="s">
        <v>37985</v>
      </c>
      <c r="D4916" s="9" t="b">
        <v>0</v>
      </c>
      <c r="E4916" s="9"/>
    </row>
    <row r="4917" ht="15.75" customHeight="1">
      <c r="A4917" s="9" t="s">
        <v>37986</v>
      </c>
      <c r="B4917" s="9" t="s">
        <v>2736</v>
      </c>
      <c r="C4917" s="8" t="s">
        <v>37987</v>
      </c>
      <c r="D4917" s="9" t="b">
        <v>0</v>
      </c>
      <c r="E4917" s="9"/>
    </row>
    <row r="4918" ht="15.75" customHeight="1">
      <c r="A4918" s="9" t="s">
        <v>37988</v>
      </c>
      <c r="B4918" s="9" t="s">
        <v>2736</v>
      </c>
      <c r="C4918" s="8" t="s">
        <v>37989</v>
      </c>
      <c r="D4918" s="9" t="b">
        <v>0</v>
      </c>
      <c r="E4918" s="9"/>
    </row>
    <row r="4919" ht="15.75" customHeight="1">
      <c r="A4919" s="9" t="s">
        <v>37990</v>
      </c>
      <c r="B4919" s="9" t="s">
        <v>2736</v>
      </c>
      <c r="C4919" s="8" t="s">
        <v>37991</v>
      </c>
      <c r="D4919" s="9" t="b">
        <v>0</v>
      </c>
      <c r="E4919" s="9"/>
    </row>
    <row r="4920" ht="15.75" customHeight="1">
      <c r="A4920" s="9" t="s">
        <v>37992</v>
      </c>
      <c r="B4920" s="9" t="s">
        <v>2736</v>
      </c>
      <c r="C4920" s="8" t="s">
        <v>37993</v>
      </c>
      <c r="D4920" s="9" t="b">
        <v>0</v>
      </c>
      <c r="E4920" s="9"/>
    </row>
    <row r="4921" ht="15.75" customHeight="1">
      <c r="A4921" s="9" t="s">
        <v>37994</v>
      </c>
      <c r="B4921" s="9" t="s">
        <v>2736</v>
      </c>
      <c r="C4921" s="8" t="s">
        <v>37995</v>
      </c>
      <c r="D4921" s="9" t="b">
        <v>0</v>
      </c>
      <c r="E4921" s="9"/>
    </row>
    <row r="4922" ht="15.75" customHeight="1">
      <c r="A4922" s="9" t="s">
        <v>37996</v>
      </c>
      <c r="B4922" s="9" t="s">
        <v>2736</v>
      </c>
      <c r="C4922" s="8" t="s">
        <v>37997</v>
      </c>
      <c r="D4922" s="9" t="b">
        <v>1</v>
      </c>
      <c r="E4922" s="9"/>
    </row>
    <row r="4923" ht="15.75" customHeight="1">
      <c r="A4923" s="9" t="s">
        <v>37998</v>
      </c>
      <c r="B4923" s="9" t="s">
        <v>23342</v>
      </c>
      <c r="C4923" s="8" t="s">
        <v>37999</v>
      </c>
      <c r="D4923" s="9" t="b">
        <v>0</v>
      </c>
      <c r="E4923" s="9"/>
    </row>
    <row r="4924" ht="15.75" customHeight="1">
      <c r="A4924" s="9" t="s">
        <v>38000</v>
      </c>
      <c r="B4924" s="9" t="s">
        <v>23342</v>
      </c>
      <c r="C4924" s="8" t="s">
        <v>38001</v>
      </c>
      <c r="D4924" s="9" t="b">
        <v>0</v>
      </c>
      <c r="E4924" s="9"/>
    </row>
    <row r="4925" ht="15.75" customHeight="1">
      <c r="A4925" s="9" t="s">
        <v>38002</v>
      </c>
      <c r="B4925" s="9" t="s">
        <v>23342</v>
      </c>
      <c r="C4925" s="8" t="s">
        <v>38003</v>
      </c>
      <c r="D4925" s="9" t="b">
        <v>0</v>
      </c>
      <c r="E4925" s="9"/>
    </row>
    <row r="4926" ht="15.75" customHeight="1">
      <c r="A4926" s="9" t="s">
        <v>38004</v>
      </c>
      <c r="B4926" s="9" t="s">
        <v>23342</v>
      </c>
      <c r="C4926" s="8" t="s">
        <v>38005</v>
      </c>
      <c r="D4926" s="9" t="b">
        <v>0</v>
      </c>
      <c r="E4926" s="9"/>
    </row>
    <row r="4927" ht="15.75" customHeight="1">
      <c r="A4927" s="9" t="s">
        <v>38006</v>
      </c>
      <c r="B4927" s="9" t="s">
        <v>23342</v>
      </c>
      <c r="C4927" s="8" t="s">
        <v>38007</v>
      </c>
      <c r="D4927" s="9" t="b">
        <v>0</v>
      </c>
      <c r="E4927" s="9"/>
    </row>
    <row r="4928" ht="15.75" customHeight="1">
      <c r="A4928" s="9" t="s">
        <v>38008</v>
      </c>
      <c r="B4928" s="9" t="s">
        <v>23342</v>
      </c>
      <c r="C4928" s="8" t="s">
        <v>38009</v>
      </c>
      <c r="D4928" s="9" t="b">
        <v>1</v>
      </c>
      <c r="E4928" s="9"/>
    </row>
    <row r="4929" ht="15.75" customHeight="1">
      <c r="A4929" s="9" t="s">
        <v>38010</v>
      </c>
      <c r="B4929" s="9" t="s">
        <v>23360</v>
      </c>
      <c r="C4929" s="8" t="s">
        <v>38011</v>
      </c>
      <c r="D4929" s="9" t="b">
        <v>0</v>
      </c>
      <c r="E4929" s="9"/>
    </row>
    <row r="4930" ht="15.75" customHeight="1">
      <c r="A4930" s="9" t="s">
        <v>38012</v>
      </c>
      <c r="B4930" s="9" t="s">
        <v>23360</v>
      </c>
      <c r="C4930" s="8" t="s">
        <v>38013</v>
      </c>
      <c r="D4930" s="9" t="b">
        <v>0</v>
      </c>
      <c r="E4930" s="9"/>
    </row>
    <row r="4931" ht="15.75" customHeight="1">
      <c r="A4931" s="9" t="s">
        <v>38014</v>
      </c>
      <c r="B4931" s="9" t="s">
        <v>23360</v>
      </c>
      <c r="C4931" s="8" t="s">
        <v>38015</v>
      </c>
      <c r="D4931" s="9" t="b">
        <v>0</v>
      </c>
      <c r="E4931" s="9"/>
    </row>
    <row r="4932" ht="15.75" customHeight="1">
      <c r="A4932" s="9" t="s">
        <v>38016</v>
      </c>
      <c r="B4932" s="9" t="s">
        <v>23360</v>
      </c>
      <c r="C4932" s="8" t="s">
        <v>38017</v>
      </c>
      <c r="D4932" s="9" t="b">
        <v>0</v>
      </c>
      <c r="E4932" s="9"/>
    </row>
    <row r="4933" ht="15.75" customHeight="1">
      <c r="A4933" s="9" t="s">
        <v>38018</v>
      </c>
      <c r="B4933" s="9" t="s">
        <v>23360</v>
      </c>
      <c r="C4933" s="8" t="s">
        <v>38019</v>
      </c>
      <c r="D4933" s="9" t="b">
        <v>1</v>
      </c>
      <c r="E4933" s="9"/>
    </row>
    <row r="4934" ht="15.75" customHeight="1">
      <c r="A4934" s="9" t="s">
        <v>38020</v>
      </c>
      <c r="B4934" s="9" t="s">
        <v>23360</v>
      </c>
      <c r="C4934" s="8" t="s">
        <v>38021</v>
      </c>
      <c r="D4934" s="9" t="b">
        <v>0</v>
      </c>
      <c r="E4934" s="9"/>
    </row>
    <row r="4935" ht="15.75" customHeight="1">
      <c r="A4935" s="9" t="s">
        <v>38022</v>
      </c>
      <c r="B4935" s="9" t="s">
        <v>258</v>
      </c>
      <c r="C4935" s="8" t="s">
        <v>38023</v>
      </c>
      <c r="D4935" s="9" t="b">
        <v>1</v>
      </c>
      <c r="E4935" s="9" t="s">
        <v>38024</v>
      </c>
    </row>
    <row r="4936" ht="15.75" customHeight="1">
      <c r="A4936" s="9" t="s">
        <v>38025</v>
      </c>
      <c r="B4936" s="9" t="s">
        <v>258</v>
      </c>
      <c r="C4936" s="8" t="s">
        <v>38026</v>
      </c>
      <c r="D4936" s="9" t="b">
        <v>0</v>
      </c>
      <c r="E4936" s="9"/>
    </row>
    <row r="4937" ht="15.75" customHeight="1">
      <c r="A4937" s="9" t="s">
        <v>38027</v>
      </c>
      <c r="B4937" s="9" t="s">
        <v>258</v>
      </c>
      <c r="C4937" s="8" t="s">
        <v>38028</v>
      </c>
      <c r="D4937" s="9" t="b">
        <v>0</v>
      </c>
      <c r="E4937" s="9"/>
    </row>
    <row r="4938" ht="15.75" customHeight="1">
      <c r="A4938" s="9" t="s">
        <v>38029</v>
      </c>
      <c r="B4938" s="9" t="s">
        <v>258</v>
      </c>
      <c r="C4938" s="8" t="s">
        <v>38030</v>
      </c>
      <c r="D4938" s="9" t="b">
        <v>0</v>
      </c>
      <c r="E4938" s="9"/>
    </row>
    <row r="4939" ht="15.75" customHeight="1">
      <c r="A4939" s="9" t="s">
        <v>38031</v>
      </c>
      <c r="B4939" s="9" t="s">
        <v>258</v>
      </c>
      <c r="C4939" s="8" t="s">
        <v>38032</v>
      </c>
      <c r="D4939" s="9" t="b">
        <v>0</v>
      </c>
      <c r="E4939" s="9"/>
    </row>
    <row r="4940" ht="15.75" customHeight="1">
      <c r="A4940" s="9" t="s">
        <v>38033</v>
      </c>
      <c r="B4940" s="9" t="s">
        <v>258</v>
      </c>
      <c r="C4940" s="8" t="s">
        <v>38034</v>
      </c>
      <c r="D4940" s="9" t="b">
        <v>0</v>
      </c>
      <c r="E4940" s="9"/>
    </row>
    <row r="4941" ht="15.75" customHeight="1">
      <c r="A4941" s="9" t="s">
        <v>38035</v>
      </c>
      <c r="B4941" s="9" t="s">
        <v>258</v>
      </c>
      <c r="C4941" s="8" t="s">
        <v>38036</v>
      </c>
      <c r="D4941" s="9" t="b">
        <v>0</v>
      </c>
      <c r="E4941" s="9"/>
    </row>
    <row r="4942" ht="15.75" customHeight="1">
      <c r="A4942" s="9" t="s">
        <v>38037</v>
      </c>
      <c r="B4942" s="9" t="s">
        <v>258</v>
      </c>
      <c r="C4942" s="8" t="s">
        <v>38038</v>
      </c>
      <c r="D4942" s="9" t="b">
        <v>0</v>
      </c>
      <c r="E4942" s="9"/>
    </row>
    <row r="4943" ht="15.75" customHeight="1">
      <c r="A4943" s="9" t="s">
        <v>38039</v>
      </c>
      <c r="B4943" s="9" t="s">
        <v>23373</v>
      </c>
      <c r="C4943" s="8" t="s">
        <v>38040</v>
      </c>
      <c r="D4943" s="9" t="b">
        <v>1</v>
      </c>
      <c r="E4943" s="9"/>
    </row>
    <row r="4944" ht="15.75" customHeight="1">
      <c r="A4944" s="9" t="s">
        <v>38041</v>
      </c>
      <c r="B4944" s="9" t="s">
        <v>23373</v>
      </c>
      <c r="C4944" s="8" t="s">
        <v>38042</v>
      </c>
      <c r="D4944" s="9" t="b">
        <v>0</v>
      </c>
      <c r="E4944" s="9"/>
    </row>
    <row r="4945" ht="15.75" customHeight="1">
      <c r="A4945" s="9" t="s">
        <v>38043</v>
      </c>
      <c r="B4945" s="9" t="s">
        <v>23373</v>
      </c>
      <c r="C4945" s="8" t="s">
        <v>38044</v>
      </c>
      <c r="D4945" s="9" t="b">
        <v>0</v>
      </c>
      <c r="E4945" s="9"/>
    </row>
    <row r="4946" ht="15.75" customHeight="1">
      <c r="A4946" s="9" t="s">
        <v>38045</v>
      </c>
      <c r="B4946" s="9" t="s">
        <v>23373</v>
      </c>
      <c r="C4946" s="8" t="s">
        <v>38046</v>
      </c>
      <c r="D4946" s="9" t="b">
        <v>0</v>
      </c>
      <c r="E4946" s="9"/>
    </row>
    <row r="4947" ht="15.75" customHeight="1">
      <c r="A4947" s="9" t="s">
        <v>38047</v>
      </c>
      <c r="B4947" s="9" t="s">
        <v>23373</v>
      </c>
      <c r="C4947" s="8" t="s">
        <v>38048</v>
      </c>
      <c r="D4947" s="9" t="b">
        <v>0</v>
      </c>
      <c r="E4947" s="9"/>
    </row>
    <row r="4948" ht="15.75" customHeight="1">
      <c r="A4948" s="9" t="s">
        <v>38049</v>
      </c>
      <c r="B4948" s="9" t="s">
        <v>23387</v>
      </c>
      <c r="C4948" s="8" t="s">
        <v>38050</v>
      </c>
      <c r="D4948" s="9" t="b">
        <v>1</v>
      </c>
      <c r="E4948" s="9"/>
    </row>
    <row r="4949" ht="15.75" customHeight="1">
      <c r="A4949" s="9" t="s">
        <v>38051</v>
      </c>
      <c r="B4949" s="9" t="s">
        <v>23387</v>
      </c>
      <c r="C4949" s="8" t="s">
        <v>38052</v>
      </c>
      <c r="D4949" s="9" t="b">
        <v>0</v>
      </c>
      <c r="E4949" s="9"/>
    </row>
    <row r="4950" ht="15.75" customHeight="1">
      <c r="A4950" s="9" t="s">
        <v>38053</v>
      </c>
      <c r="B4950" s="9" t="s">
        <v>23387</v>
      </c>
      <c r="C4950" s="8" t="s">
        <v>38054</v>
      </c>
      <c r="D4950" s="9" t="b">
        <v>0</v>
      </c>
      <c r="E4950" s="9"/>
    </row>
    <row r="4951" ht="15.75" customHeight="1">
      <c r="A4951" s="9" t="s">
        <v>38055</v>
      </c>
      <c r="B4951" s="9" t="s">
        <v>23387</v>
      </c>
      <c r="C4951" s="8" t="s">
        <v>38056</v>
      </c>
      <c r="D4951" s="9" t="b">
        <v>0</v>
      </c>
      <c r="E4951" s="9"/>
    </row>
    <row r="4952" ht="15.75" customHeight="1">
      <c r="A4952" s="9" t="s">
        <v>38057</v>
      </c>
      <c r="B4952" s="9" t="s">
        <v>23387</v>
      </c>
      <c r="C4952" s="8" t="s">
        <v>38058</v>
      </c>
      <c r="D4952" s="9" t="b">
        <v>0</v>
      </c>
      <c r="E4952" s="9"/>
    </row>
    <row r="4953" ht="15.75" customHeight="1">
      <c r="A4953" s="9" t="s">
        <v>38059</v>
      </c>
      <c r="B4953" s="9" t="s">
        <v>23394</v>
      </c>
      <c r="C4953" s="8" t="s">
        <v>38060</v>
      </c>
      <c r="D4953" s="9" t="b">
        <v>1</v>
      </c>
      <c r="E4953" s="9"/>
    </row>
    <row r="4954" ht="15.75" customHeight="1">
      <c r="A4954" s="9" t="s">
        <v>38061</v>
      </c>
      <c r="B4954" s="9" t="s">
        <v>23394</v>
      </c>
      <c r="C4954" s="8" t="s">
        <v>38062</v>
      </c>
      <c r="D4954" s="9" t="b">
        <v>0</v>
      </c>
      <c r="E4954" s="9"/>
    </row>
    <row r="4955" ht="15.75" customHeight="1">
      <c r="A4955" s="9" t="s">
        <v>38063</v>
      </c>
      <c r="B4955" s="9" t="s">
        <v>23394</v>
      </c>
      <c r="C4955" s="8" t="s">
        <v>38064</v>
      </c>
      <c r="D4955" s="9" t="b">
        <v>0</v>
      </c>
      <c r="E4955" s="9"/>
    </row>
    <row r="4956" ht="15.75" customHeight="1">
      <c r="A4956" s="9" t="s">
        <v>38065</v>
      </c>
      <c r="B4956" s="9" t="s">
        <v>23394</v>
      </c>
      <c r="C4956" s="8" t="s">
        <v>38066</v>
      </c>
      <c r="D4956" s="9" t="b">
        <v>0</v>
      </c>
      <c r="E4956" s="9"/>
    </row>
    <row r="4957" ht="15.75" customHeight="1">
      <c r="A4957" s="9" t="s">
        <v>38067</v>
      </c>
      <c r="B4957" s="9" t="s">
        <v>23394</v>
      </c>
      <c r="C4957" s="8" t="s">
        <v>38068</v>
      </c>
      <c r="D4957" s="9" t="b">
        <v>0</v>
      </c>
      <c r="E4957" s="9"/>
    </row>
    <row r="4958" ht="15.75" customHeight="1">
      <c r="A4958" s="9" t="s">
        <v>38069</v>
      </c>
      <c r="B4958" s="9" t="s">
        <v>23394</v>
      </c>
      <c r="C4958" s="8" t="s">
        <v>38070</v>
      </c>
      <c r="D4958" s="9" t="b">
        <v>0</v>
      </c>
      <c r="E4958" s="9"/>
    </row>
    <row r="4959" ht="15.75" customHeight="1">
      <c r="A4959" s="9" t="s">
        <v>38071</v>
      </c>
      <c r="B4959" s="9" t="s">
        <v>23403</v>
      </c>
      <c r="C4959" s="8" t="s">
        <v>38072</v>
      </c>
      <c r="D4959" s="9" t="b">
        <v>1</v>
      </c>
      <c r="E4959" s="9"/>
    </row>
    <row r="4960" ht="15.75" customHeight="1">
      <c r="A4960" s="9" t="s">
        <v>38073</v>
      </c>
      <c r="B4960" s="9" t="s">
        <v>23403</v>
      </c>
      <c r="C4960" s="8" t="s">
        <v>38074</v>
      </c>
      <c r="D4960" s="9" t="b">
        <v>0</v>
      </c>
      <c r="E4960" s="9"/>
    </row>
    <row r="4961" ht="15.75" customHeight="1">
      <c r="A4961" s="9" t="s">
        <v>38075</v>
      </c>
      <c r="B4961" s="9" t="s">
        <v>23403</v>
      </c>
      <c r="C4961" s="8" t="s">
        <v>38076</v>
      </c>
      <c r="D4961" s="9" t="b">
        <v>0</v>
      </c>
      <c r="E4961" s="9"/>
    </row>
    <row r="4962" ht="15.75" customHeight="1">
      <c r="A4962" s="9" t="s">
        <v>38077</v>
      </c>
      <c r="B4962" s="9" t="s">
        <v>23403</v>
      </c>
      <c r="C4962" s="8" t="s">
        <v>38078</v>
      </c>
      <c r="D4962" s="9" t="b">
        <v>0</v>
      </c>
      <c r="E4962" s="9"/>
    </row>
    <row r="4963" ht="15.75" customHeight="1">
      <c r="A4963" s="9" t="s">
        <v>38079</v>
      </c>
      <c r="B4963" s="9" t="s">
        <v>23403</v>
      </c>
      <c r="C4963" s="8" t="s">
        <v>38080</v>
      </c>
      <c r="D4963" s="9" t="b">
        <v>0</v>
      </c>
      <c r="E4963" s="9"/>
    </row>
    <row r="4964" ht="15.75" customHeight="1">
      <c r="A4964" s="9" t="s">
        <v>38081</v>
      </c>
      <c r="B4964" s="9" t="s">
        <v>23416</v>
      </c>
      <c r="C4964" s="8" t="s">
        <v>38082</v>
      </c>
      <c r="D4964" s="9" t="b">
        <v>1</v>
      </c>
      <c r="E4964" s="9"/>
    </row>
    <row r="4965" ht="15.75" customHeight="1">
      <c r="A4965" s="9" t="s">
        <v>38083</v>
      </c>
      <c r="B4965" s="9" t="s">
        <v>23416</v>
      </c>
      <c r="C4965" s="8" t="s">
        <v>38084</v>
      </c>
      <c r="D4965" s="9" t="b">
        <v>0</v>
      </c>
      <c r="E4965" s="9"/>
    </row>
    <row r="4966" ht="15.75" customHeight="1">
      <c r="A4966" s="9" t="s">
        <v>38085</v>
      </c>
      <c r="B4966" s="9" t="s">
        <v>23416</v>
      </c>
      <c r="C4966" s="8" t="s">
        <v>38086</v>
      </c>
      <c r="D4966" s="9" t="b">
        <v>0</v>
      </c>
      <c r="E4966" s="9"/>
    </row>
    <row r="4967" ht="15.75" customHeight="1">
      <c r="A4967" s="9" t="s">
        <v>38087</v>
      </c>
      <c r="B4967" s="9" t="s">
        <v>23416</v>
      </c>
      <c r="C4967" s="8" t="s">
        <v>38088</v>
      </c>
      <c r="D4967" s="9" t="b">
        <v>0</v>
      </c>
      <c r="E4967" s="9"/>
    </row>
    <row r="4968" ht="15.75" customHeight="1">
      <c r="A4968" s="9" t="s">
        <v>38089</v>
      </c>
      <c r="B4968" s="9" t="s">
        <v>23416</v>
      </c>
      <c r="C4968" s="8" t="s">
        <v>38090</v>
      </c>
      <c r="D4968" s="9" t="b">
        <v>0</v>
      </c>
      <c r="E4968" s="9"/>
    </row>
    <row r="4969" ht="15.75" customHeight="1">
      <c r="A4969" s="9" t="s">
        <v>38091</v>
      </c>
      <c r="B4969" s="9" t="s">
        <v>23416</v>
      </c>
      <c r="C4969" s="8" t="s">
        <v>38092</v>
      </c>
      <c r="D4969" s="9" t="b">
        <v>0</v>
      </c>
      <c r="E4969" s="9"/>
    </row>
    <row r="4970" ht="15.75" customHeight="1">
      <c r="A4970" s="9" t="s">
        <v>38093</v>
      </c>
      <c r="B4970" s="9" t="s">
        <v>23342</v>
      </c>
      <c r="C4970" s="8" t="s">
        <v>38094</v>
      </c>
      <c r="D4970" s="9" t="b">
        <v>0</v>
      </c>
      <c r="E4970" s="9"/>
    </row>
    <row r="4971" ht="15.75" customHeight="1">
      <c r="A4971" s="9" t="s">
        <v>38095</v>
      </c>
      <c r="B4971" s="9" t="s">
        <v>23430</v>
      </c>
      <c r="C4971" s="8" t="s">
        <v>38096</v>
      </c>
      <c r="D4971" s="9" t="b">
        <v>1</v>
      </c>
      <c r="E4971" s="9"/>
    </row>
    <row r="4972" ht="15.75" customHeight="1">
      <c r="A4972" s="9" t="s">
        <v>38097</v>
      </c>
      <c r="B4972" s="9" t="s">
        <v>23430</v>
      </c>
      <c r="C4972" s="8" t="s">
        <v>38098</v>
      </c>
      <c r="D4972" s="9" t="b">
        <v>0</v>
      </c>
      <c r="E4972" s="9"/>
    </row>
    <row r="4973" ht="15.75" customHeight="1">
      <c r="A4973" s="9" t="s">
        <v>38099</v>
      </c>
      <c r="B4973" s="9" t="s">
        <v>23430</v>
      </c>
      <c r="C4973" s="8" t="s">
        <v>38100</v>
      </c>
      <c r="D4973" s="9" t="b">
        <v>0</v>
      </c>
      <c r="E4973" s="9"/>
    </row>
    <row r="4974" ht="15.75" customHeight="1">
      <c r="A4974" s="9" t="s">
        <v>38101</v>
      </c>
      <c r="B4974" s="9" t="s">
        <v>11574</v>
      </c>
      <c r="C4974" s="8" t="s">
        <v>38102</v>
      </c>
      <c r="D4974" s="9" t="b">
        <v>1</v>
      </c>
      <c r="E4974" s="9"/>
    </row>
    <row r="4975" ht="15.75" customHeight="1">
      <c r="A4975" s="9" t="s">
        <v>38103</v>
      </c>
      <c r="B4975" s="9" t="s">
        <v>11574</v>
      </c>
      <c r="C4975" s="8" t="s">
        <v>38104</v>
      </c>
      <c r="D4975" s="9" t="b">
        <v>0</v>
      </c>
      <c r="E4975" s="9"/>
    </row>
    <row r="4976" ht="15.75" customHeight="1">
      <c r="A4976" s="9" t="s">
        <v>38105</v>
      </c>
      <c r="B4976" s="9" t="s">
        <v>11574</v>
      </c>
      <c r="C4976" s="8" t="s">
        <v>38106</v>
      </c>
      <c r="D4976" s="9" t="b">
        <v>0</v>
      </c>
      <c r="E4976" s="9"/>
    </row>
    <row r="4977" ht="15.75" customHeight="1">
      <c r="A4977" s="9" t="s">
        <v>38107</v>
      </c>
      <c r="B4977" s="9" t="s">
        <v>11574</v>
      </c>
      <c r="C4977" s="8" t="s">
        <v>38108</v>
      </c>
      <c r="D4977" s="9" t="b">
        <v>0</v>
      </c>
      <c r="E4977" s="9"/>
    </row>
    <row r="4978" ht="15.75" customHeight="1">
      <c r="A4978" s="9" t="s">
        <v>38109</v>
      </c>
      <c r="B4978" s="9" t="s">
        <v>11574</v>
      </c>
      <c r="C4978" s="8" t="s">
        <v>38110</v>
      </c>
      <c r="D4978" s="9" t="b">
        <v>0</v>
      </c>
      <c r="E4978" s="9"/>
    </row>
    <row r="4979" ht="15.75" customHeight="1">
      <c r="A4979" s="9" t="s">
        <v>38111</v>
      </c>
      <c r="B4979" s="9" t="s">
        <v>23441</v>
      </c>
      <c r="C4979" s="8" t="s">
        <v>38112</v>
      </c>
      <c r="D4979" s="9" t="b">
        <v>1</v>
      </c>
      <c r="E4979" s="9"/>
    </row>
    <row r="4980" ht="15.75" customHeight="1">
      <c r="A4980" s="9" t="s">
        <v>38113</v>
      </c>
      <c r="B4980" s="9" t="s">
        <v>23441</v>
      </c>
      <c r="C4980" s="8" t="s">
        <v>38114</v>
      </c>
      <c r="D4980" s="9" t="b">
        <v>0</v>
      </c>
      <c r="E4980" s="9"/>
    </row>
    <row r="4981" ht="15.75" customHeight="1">
      <c r="A4981" s="9" t="s">
        <v>38115</v>
      </c>
      <c r="B4981" s="9" t="s">
        <v>23441</v>
      </c>
      <c r="C4981" s="8" t="s">
        <v>38116</v>
      </c>
      <c r="D4981" s="9" t="b">
        <v>0</v>
      </c>
      <c r="E4981" s="9"/>
    </row>
    <row r="4982" ht="15.75" customHeight="1">
      <c r="A4982" s="9" t="s">
        <v>38117</v>
      </c>
      <c r="B4982" s="9" t="s">
        <v>23452</v>
      </c>
      <c r="C4982" s="8" t="s">
        <v>38118</v>
      </c>
      <c r="D4982" s="9" t="b">
        <v>1</v>
      </c>
      <c r="E4982" s="9"/>
    </row>
    <row r="4983" ht="15.75" customHeight="1">
      <c r="A4983" s="9" t="s">
        <v>38119</v>
      </c>
      <c r="B4983" s="9" t="s">
        <v>23452</v>
      </c>
      <c r="C4983" s="8" t="s">
        <v>38120</v>
      </c>
      <c r="D4983" s="9" t="b">
        <v>0</v>
      </c>
      <c r="E4983" s="9"/>
    </row>
    <row r="4984" ht="15.75" customHeight="1">
      <c r="A4984" s="9" t="s">
        <v>38121</v>
      </c>
      <c r="B4984" s="9" t="s">
        <v>23452</v>
      </c>
      <c r="C4984" s="8" t="s">
        <v>38122</v>
      </c>
      <c r="D4984" s="9" t="b">
        <v>0</v>
      </c>
      <c r="E4984" s="9"/>
    </row>
    <row r="4985" ht="15.75" customHeight="1">
      <c r="A4985" s="9" t="s">
        <v>38123</v>
      </c>
      <c r="B4985" s="9" t="s">
        <v>23463</v>
      </c>
      <c r="C4985" s="8" t="s">
        <v>38124</v>
      </c>
      <c r="D4985" s="9" t="b">
        <v>0</v>
      </c>
      <c r="E4985" s="9"/>
    </row>
    <row r="4986" ht="15.75" customHeight="1">
      <c r="A4986" s="9" t="s">
        <v>38125</v>
      </c>
      <c r="B4986" s="9" t="s">
        <v>23463</v>
      </c>
      <c r="C4986" s="8" t="s">
        <v>38126</v>
      </c>
      <c r="D4986" s="9" t="b">
        <v>0</v>
      </c>
      <c r="E4986" s="9"/>
    </row>
    <row r="4987" ht="15.75" customHeight="1">
      <c r="A4987" s="9" t="s">
        <v>38127</v>
      </c>
      <c r="B4987" s="9" t="s">
        <v>23463</v>
      </c>
      <c r="C4987" s="8" t="s">
        <v>38128</v>
      </c>
      <c r="D4987" s="9" t="b">
        <v>0</v>
      </c>
      <c r="E4987" s="9"/>
    </row>
    <row r="4988" ht="15.75" customHeight="1">
      <c r="A4988" s="9" t="s">
        <v>38129</v>
      </c>
      <c r="B4988" s="9" t="s">
        <v>23463</v>
      </c>
      <c r="C4988" s="8" t="s">
        <v>38130</v>
      </c>
      <c r="D4988" s="9" t="b">
        <v>0</v>
      </c>
      <c r="E4988" s="9"/>
    </row>
    <row r="4989" ht="15.75" customHeight="1">
      <c r="A4989" s="9" t="s">
        <v>38131</v>
      </c>
      <c r="B4989" s="9" t="s">
        <v>23463</v>
      </c>
      <c r="C4989" s="8" t="s">
        <v>38132</v>
      </c>
      <c r="D4989" s="9" t="b">
        <v>1</v>
      </c>
      <c r="E4989" s="9"/>
    </row>
    <row r="4990" ht="15.75" customHeight="1">
      <c r="A4990" s="9" t="s">
        <v>38133</v>
      </c>
      <c r="B4990" s="9" t="s">
        <v>23463</v>
      </c>
      <c r="C4990" s="8" t="s">
        <v>38134</v>
      </c>
      <c r="D4990" s="9" t="b">
        <v>0</v>
      </c>
      <c r="E4990" s="9"/>
    </row>
    <row r="4991" ht="15.75" customHeight="1">
      <c r="A4991" s="9" t="s">
        <v>38135</v>
      </c>
      <c r="B4991" s="9" t="s">
        <v>23463</v>
      </c>
      <c r="C4991" s="8" t="s">
        <v>38136</v>
      </c>
      <c r="D4991" s="9" t="b">
        <v>0</v>
      </c>
      <c r="E4991" s="9"/>
    </row>
    <row r="4992" ht="15.75" customHeight="1">
      <c r="A4992" s="9" t="s">
        <v>38137</v>
      </c>
      <c r="B4992" s="9" t="s">
        <v>250</v>
      </c>
      <c r="C4992" s="8" t="s">
        <v>38138</v>
      </c>
      <c r="D4992" s="9" t="b">
        <v>1</v>
      </c>
      <c r="E4992" s="9"/>
    </row>
    <row r="4993" ht="15.75" customHeight="1">
      <c r="A4993" s="9" t="s">
        <v>38139</v>
      </c>
      <c r="B4993" s="9" t="s">
        <v>250</v>
      </c>
      <c r="C4993" s="8" t="s">
        <v>38140</v>
      </c>
      <c r="D4993" s="9" t="b">
        <v>0</v>
      </c>
      <c r="E4993" s="9"/>
    </row>
    <row r="4994" ht="15.75" customHeight="1">
      <c r="A4994" s="9" t="s">
        <v>38141</v>
      </c>
      <c r="B4994" s="9" t="s">
        <v>250</v>
      </c>
      <c r="C4994" s="8" t="s">
        <v>38142</v>
      </c>
      <c r="D4994" s="9" t="b">
        <v>0</v>
      </c>
      <c r="E4994" s="9"/>
    </row>
    <row r="4995" ht="15.75" customHeight="1">
      <c r="A4995" s="9" t="s">
        <v>38143</v>
      </c>
      <c r="B4995" s="9" t="s">
        <v>250</v>
      </c>
      <c r="C4995" s="8" t="s">
        <v>38144</v>
      </c>
      <c r="D4995" s="9" t="b">
        <v>0</v>
      </c>
      <c r="E4995" s="9"/>
    </row>
    <row r="4996" ht="15.75" customHeight="1">
      <c r="A4996" s="9" t="s">
        <v>38145</v>
      </c>
      <c r="B4996" s="9" t="s">
        <v>23500</v>
      </c>
      <c r="C4996" s="8" t="s">
        <v>38146</v>
      </c>
      <c r="D4996" s="9" t="b">
        <v>1</v>
      </c>
      <c r="E4996" s="9"/>
    </row>
    <row r="4997" ht="15.75" customHeight="1">
      <c r="A4997" s="9" t="s">
        <v>38147</v>
      </c>
      <c r="B4997" s="9" t="s">
        <v>23543</v>
      </c>
      <c r="C4997" s="8" t="s">
        <v>38148</v>
      </c>
      <c r="D4997" s="9" t="b">
        <v>1</v>
      </c>
      <c r="E4997" s="9"/>
    </row>
    <row r="4998" ht="15.75" customHeight="1">
      <c r="A4998" s="9" t="s">
        <v>38149</v>
      </c>
      <c r="B4998" s="9" t="s">
        <v>23555</v>
      </c>
      <c r="C4998" s="8" t="s">
        <v>38150</v>
      </c>
      <c r="D4998" s="9" t="b">
        <v>0</v>
      </c>
      <c r="E4998" s="9"/>
    </row>
    <row r="4999" ht="15.75" customHeight="1">
      <c r="A4999" s="9" t="s">
        <v>38151</v>
      </c>
      <c r="B4999" s="9" t="s">
        <v>23555</v>
      </c>
      <c r="C4999" s="8" t="s">
        <v>38152</v>
      </c>
      <c r="D4999" s="9" t="b">
        <v>0</v>
      </c>
      <c r="E4999" s="9"/>
    </row>
    <row r="5000" ht="15.75" customHeight="1">
      <c r="A5000" s="9" t="s">
        <v>38153</v>
      </c>
      <c r="B5000" s="9" t="s">
        <v>23555</v>
      </c>
      <c r="C5000" s="8" t="s">
        <v>38154</v>
      </c>
      <c r="D5000" s="9" t="b">
        <v>0</v>
      </c>
      <c r="E5000" s="9"/>
    </row>
    <row r="5001" ht="15.75" customHeight="1">
      <c r="A5001" s="52" t="s">
        <v>38155</v>
      </c>
      <c r="B5001" s="9" t="s">
        <v>23555</v>
      </c>
      <c r="C5001" s="8" t="s">
        <v>38156</v>
      </c>
      <c r="D5001" s="9" t="b">
        <v>0</v>
      </c>
      <c r="E5001" s="9"/>
    </row>
    <row r="5002" ht="15.75" customHeight="1">
      <c r="A5002" s="9" t="s">
        <v>38157</v>
      </c>
      <c r="B5002" s="9" t="s">
        <v>23555</v>
      </c>
      <c r="C5002" s="8" t="s">
        <v>38158</v>
      </c>
      <c r="D5002" s="9" t="b">
        <v>0</v>
      </c>
      <c r="E5002" s="9"/>
    </row>
    <row r="5003" ht="15.75" customHeight="1">
      <c r="A5003" s="9" t="s">
        <v>38159</v>
      </c>
      <c r="B5003" s="9" t="s">
        <v>23555</v>
      </c>
      <c r="C5003" s="8" t="s">
        <v>38160</v>
      </c>
      <c r="D5003" s="9" t="b">
        <v>1</v>
      </c>
      <c r="E5003" s="9"/>
    </row>
    <row r="5004" ht="15.75" customHeight="1">
      <c r="A5004" s="52" t="s">
        <v>38161</v>
      </c>
      <c r="B5004" s="9" t="s">
        <v>23555</v>
      </c>
      <c r="C5004" s="8" t="s">
        <v>38162</v>
      </c>
      <c r="D5004" s="9" t="b">
        <v>0</v>
      </c>
      <c r="E5004" s="9"/>
    </row>
    <row r="5005" ht="15.75" customHeight="1">
      <c r="A5005" s="9" t="s">
        <v>38163</v>
      </c>
      <c r="B5005" s="9" t="s">
        <v>23573</v>
      </c>
      <c r="C5005" s="8" t="s">
        <v>38164</v>
      </c>
      <c r="D5005" s="9" t="b">
        <v>0</v>
      </c>
      <c r="E5005" s="9"/>
    </row>
    <row r="5006" ht="15.75" customHeight="1">
      <c r="A5006" s="9" t="s">
        <v>38165</v>
      </c>
      <c r="B5006" s="9" t="s">
        <v>23573</v>
      </c>
      <c r="C5006" s="8" t="s">
        <v>38166</v>
      </c>
      <c r="D5006" s="9" t="b">
        <v>0</v>
      </c>
      <c r="E5006" s="9"/>
    </row>
    <row r="5007" ht="15.75" customHeight="1">
      <c r="A5007" s="9" t="s">
        <v>38167</v>
      </c>
      <c r="B5007" s="9" t="s">
        <v>23573</v>
      </c>
      <c r="C5007" s="8" t="s">
        <v>38168</v>
      </c>
      <c r="D5007" s="9" t="b">
        <v>0</v>
      </c>
      <c r="E5007" s="9"/>
    </row>
    <row r="5008" ht="15.75" customHeight="1">
      <c r="A5008" s="9" t="s">
        <v>38169</v>
      </c>
      <c r="B5008" s="9" t="s">
        <v>23573</v>
      </c>
      <c r="C5008" s="8" t="s">
        <v>38170</v>
      </c>
      <c r="D5008" s="9" t="b">
        <v>0</v>
      </c>
      <c r="E5008" s="9"/>
    </row>
    <row r="5009" ht="15.75" customHeight="1">
      <c r="A5009" s="9" t="s">
        <v>38171</v>
      </c>
      <c r="B5009" s="9" t="s">
        <v>23573</v>
      </c>
      <c r="C5009" s="8" t="s">
        <v>38172</v>
      </c>
      <c r="D5009" s="9" t="b">
        <v>0</v>
      </c>
      <c r="E5009" s="9"/>
    </row>
    <row r="5010" ht="15.75" customHeight="1">
      <c r="A5010" s="9" t="s">
        <v>38173</v>
      </c>
      <c r="B5010" s="9" t="s">
        <v>23573</v>
      </c>
      <c r="C5010" s="8" t="s">
        <v>38174</v>
      </c>
      <c r="D5010" s="9" t="b">
        <v>1</v>
      </c>
      <c r="E5010" s="9"/>
    </row>
    <row r="5011" ht="15.75" customHeight="1">
      <c r="A5011" s="9" t="s">
        <v>38175</v>
      </c>
      <c r="B5011" s="9" t="s">
        <v>4011</v>
      </c>
      <c r="C5011" s="8" t="s">
        <v>38176</v>
      </c>
      <c r="D5011" s="9" t="b">
        <v>0</v>
      </c>
      <c r="E5011" s="9"/>
    </row>
    <row r="5012" ht="15.75" customHeight="1">
      <c r="A5012" s="9" t="s">
        <v>38177</v>
      </c>
      <c r="B5012" s="9" t="s">
        <v>4011</v>
      </c>
      <c r="C5012" s="8" t="s">
        <v>38178</v>
      </c>
      <c r="D5012" s="9" t="b">
        <v>0</v>
      </c>
      <c r="E5012" s="9"/>
    </row>
    <row r="5013" ht="15.75" customHeight="1">
      <c r="A5013" s="9" t="s">
        <v>38179</v>
      </c>
      <c r="B5013" s="9" t="s">
        <v>4011</v>
      </c>
      <c r="C5013" s="8" t="s">
        <v>38180</v>
      </c>
      <c r="D5013" s="9" t="b">
        <v>0</v>
      </c>
      <c r="E5013" s="9"/>
    </row>
    <row r="5014" ht="15.75" customHeight="1">
      <c r="A5014" s="9" t="s">
        <v>38181</v>
      </c>
      <c r="B5014" s="9" t="s">
        <v>23587</v>
      </c>
      <c r="C5014" s="8" t="s">
        <v>38182</v>
      </c>
      <c r="D5014" s="9" t="b">
        <v>0</v>
      </c>
      <c r="E5014" s="9"/>
    </row>
    <row r="5015" ht="15.75" customHeight="1">
      <c r="A5015" s="9" t="s">
        <v>38183</v>
      </c>
      <c r="B5015" s="9" t="s">
        <v>23587</v>
      </c>
      <c r="C5015" s="8" t="s">
        <v>38184</v>
      </c>
      <c r="D5015" s="9" t="b">
        <v>0</v>
      </c>
      <c r="E5015" s="9"/>
    </row>
    <row r="5016" ht="15.75" customHeight="1">
      <c r="A5016" s="9" t="s">
        <v>38185</v>
      </c>
      <c r="B5016" s="9" t="s">
        <v>23587</v>
      </c>
      <c r="C5016" s="8" t="s">
        <v>38186</v>
      </c>
      <c r="D5016" s="9" t="b">
        <v>0</v>
      </c>
      <c r="E5016" s="9"/>
    </row>
    <row r="5017" ht="15.75" customHeight="1">
      <c r="A5017" s="9" t="s">
        <v>38187</v>
      </c>
      <c r="B5017" s="9" t="s">
        <v>23587</v>
      </c>
      <c r="C5017" s="8" t="s">
        <v>38188</v>
      </c>
      <c r="D5017" s="9" t="b">
        <v>0</v>
      </c>
      <c r="E5017" s="9"/>
    </row>
    <row r="5018" ht="15.75" customHeight="1">
      <c r="A5018" s="9" t="s">
        <v>38189</v>
      </c>
      <c r="B5018" s="9" t="s">
        <v>23587</v>
      </c>
      <c r="C5018" s="8" t="s">
        <v>38190</v>
      </c>
      <c r="D5018" s="9" t="b">
        <v>0</v>
      </c>
      <c r="E5018" s="9"/>
    </row>
    <row r="5019" ht="15.75" customHeight="1">
      <c r="A5019" s="9" t="s">
        <v>38191</v>
      </c>
      <c r="B5019" s="9" t="s">
        <v>23587</v>
      </c>
      <c r="C5019" s="8" t="s">
        <v>38192</v>
      </c>
      <c r="D5019" s="9" t="b">
        <v>0</v>
      </c>
      <c r="E5019" s="9"/>
    </row>
    <row r="5020" ht="15.75" customHeight="1">
      <c r="A5020" s="9" t="s">
        <v>38193</v>
      </c>
      <c r="B5020" s="9" t="s">
        <v>23587</v>
      </c>
      <c r="C5020" s="8" t="s">
        <v>38194</v>
      </c>
      <c r="D5020" s="9" t="b">
        <v>1</v>
      </c>
      <c r="E5020" s="9"/>
    </row>
    <row r="5021" ht="15.75" customHeight="1">
      <c r="A5021" s="9" t="s">
        <v>38195</v>
      </c>
      <c r="B5021" s="9" t="s">
        <v>23515</v>
      </c>
      <c r="C5021" s="8" t="s">
        <v>38196</v>
      </c>
      <c r="D5021" s="9" t="b">
        <v>0</v>
      </c>
      <c r="E5021" s="9"/>
    </row>
    <row r="5022" ht="15.75" customHeight="1">
      <c r="A5022" s="9" t="s">
        <v>38197</v>
      </c>
      <c r="B5022" s="9" t="s">
        <v>23515</v>
      </c>
      <c r="C5022" s="8" t="s">
        <v>38198</v>
      </c>
      <c r="D5022" s="9" t="b">
        <v>0</v>
      </c>
      <c r="E5022" s="9"/>
    </row>
    <row r="5023" ht="15.75" customHeight="1">
      <c r="A5023" s="9" t="s">
        <v>38199</v>
      </c>
      <c r="B5023" s="9" t="s">
        <v>23515</v>
      </c>
      <c r="C5023" s="8" t="s">
        <v>38200</v>
      </c>
      <c r="D5023" s="9" t="b">
        <v>1</v>
      </c>
      <c r="E5023" s="9"/>
    </row>
    <row r="5024" ht="15.75" customHeight="1">
      <c r="A5024" s="9" t="s">
        <v>38201</v>
      </c>
      <c r="B5024" s="9" t="s">
        <v>23515</v>
      </c>
      <c r="C5024" s="8" t="s">
        <v>38202</v>
      </c>
      <c r="D5024" s="9" t="b">
        <v>0</v>
      </c>
      <c r="E5024" s="9"/>
    </row>
    <row r="5025" ht="15.75" customHeight="1">
      <c r="A5025" s="9" t="s">
        <v>38203</v>
      </c>
      <c r="B5025" s="9" t="s">
        <v>23531</v>
      </c>
      <c r="C5025" s="8" t="s">
        <v>38204</v>
      </c>
      <c r="D5025" s="9" t="b">
        <v>1</v>
      </c>
      <c r="E5025" s="9"/>
    </row>
    <row r="5026" ht="15.75" customHeight="1">
      <c r="A5026" s="9" t="s">
        <v>38205</v>
      </c>
      <c r="B5026" s="9" t="s">
        <v>23515</v>
      </c>
      <c r="C5026" s="8" t="s">
        <v>38206</v>
      </c>
      <c r="D5026" s="9" t="b">
        <v>0</v>
      </c>
      <c r="E5026" s="9"/>
    </row>
    <row r="5027" ht="15.75" customHeight="1">
      <c r="A5027" s="9" t="s">
        <v>38207</v>
      </c>
      <c r="B5027" s="9" t="s">
        <v>23515</v>
      </c>
      <c r="C5027" s="8" t="s">
        <v>38208</v>
      </c>
      <c r="D5027" s="9" t="b">
        <v>0</v>
      </c>
      <c r="E5027" s="9"/>
    </row>
    <row r="5028" ht="15.75" customHeight="1">
      <c r="A5028" s="9" t="s">
        <v>38209</v>
      </c>
      <c r="B5028" s="9" t="s">
        <v>23531</v>
      </c>
      <c r="C5028" s="8" t="s">
        <v>38210</v>
      </c>
      <c r="D5028" s="9" t="b">
        <v>0</v>
      </c>
      <c r="E5028" s="9"/>
    </row>
    <row r="5029" ht="15.75" customHeight="1">
      <c r="A5029" s="9" t="s">
        <v>38211</v>
      </c>
      <c r="B5029" s="9" t="s">
        <v>23531</v>
      </c>
      <c r="C5029" s="8" t="s">
        <v>38212</v>
      </c>
      <c r="D5029" s="9" t="b">
        <v>0</v>
      </c>
      <c r="E5029" s="9"/>
    </row>
    <row r="5030" ht="15.75" customHeight="1">
      <c r="A5030" s="9" t="s">
        <v>38213</v>
      </c>
      <c r="B5030" s="9" t="s">
        <v>23531</v>
      </c>
      <c r="C5030" s="8" t="s">
        <v>38214</v>
      </c>
      <c r="D5030" s="9" t="b">
        <v>0</v>
      </c>
      <c r="E5030" s="9"/>
    </row>
    <row r="5031" ht="15.75" customHeight="1">
      <c r="A5031" s="9" t="s">
        <v>38215</v>
      </c>
      <c r="B5031" s="9" t="s">
        <v>23615</v>
      </c>
      <c r="C5031" s="8" t="s">
        <v>38216</v>
      </c>
      <c r="D5031" s="9" t="b">
        <v>0</v>
      </c>
      <c r="E5031" s="9"/>
    </row>
    <row r="5032" ht="15.75" customHeight="1">
      <c r="A5032" s="9" t="s">
        <v>38217</v>
      </c>
      <c r="B5032" s="9" t="s">
        <v>23615</v>
      </c>
      <c r="C5032" s="8" t="s">
        <v>38218</v>
      </c>
      <c r="D5032" s="9" t="b">
        <v>0</v>
      </c>
      <c r="E5032" s="9"/>
    </row>
    <row r="5033" ht="15.75" customHeight="1">
      <c r="A5033" s="9" t="s">
        <v>38219</v>
      </c>
      <c r="B5033" s="9" t="s">
        <v>23615</v>
      </c>
      <c r="C5033" s="8" t="s">
        <v>38220</v>
      </c>
      <c r="D5033" s="9" t="b">
        <v>1</v>
      </c>
      <c r="E5033" s="9"/>
    </row>
    <row r="5034" ht="15.75" customHeight="1">
      <c r="A5034" s="9" t="s">
        <v>38221</v>
      </c>
      <c r="B5034" s="9" t="s">
        <v>23615</v>
      </c>
      <c r="C5034" s="8" t="s">
        <v>38222</v>
      </c>
      <c r="D5034" s="9" t="b">
        <v>0</v>
      </c>
      <c r="E5034" s="9"/>
    </row>
    <row r="5035" ht="15.75" customHeight="1">
      <c r="A5035" s="9" t="s">
        <v>38223</v>
      </c>
      <c r="B5035" s="9" t="s">
        <v>23615</v>
      </c>
      <c r="C5035" s="8" t="s">
        <v>38224</v>
      </c>
      <c r="D5035" s="9" t="b">
        <v>0</v>
      </c>
      <c r="E5035" s="9"/>
    </row>
    <row r="5036" ht="15.75" customHeight="1">
      <c r="A5036" s="9" t="s">
        <v>38225</v>
      </c>
      <c r="B5036" s="9" t="s">
        <v>272</v>
      </c>
      <c r="C5036" s="8" t="s">
        <v>38226</v>
      </c>
      <c r="D5036" s="9" t="b">
        <v>0</v>
      </c>
      <c r="E5036" s="9"/>
    </row>
    <row r="5037" ht="15.75" customHeight="1">
      <c r="A5037" s="9" t="s">
        <v>38227</v>
      </c>
      <c r="B5037" s="9" t="s">
        <v>272</v>
      </c>
      <c r="C5037" s="8" t="s">
        <v>38228</v>
      </c>
      <c r="D5037" s="9" t="b">
        <v>1</v>
      </c>
      <c r="E5037" s="9"/>
    </row>
    <row r="5038" ht="15.75" customHeight="1">
      <c r="A5038" s="9" t="s">
        <v>38229</v>
      </c>
      <c r="B5038" s="9" t="s">
        <v>272</v>
      </c>
      <c r="C5038" s="8" t="s">
        <v>38230</v>
      </c>
      <c r="D5038" s="9" t="b">
        <v>0</v>
      </c>
      <c r="E5038" s="9"/>
    </row>
    <row r="5039" ht="15.75" customHeight="1">
      <c r="A5039" s="9" t="s">
        <v>38231</v>
      </c>
      <c r="B5039" s="9" t="s">
        <v>272</v>
      </c>
      <c r="C5039" s="8" t="s">
        <v>38232</v>
      </c>
      <c r="D5039" s="9" t="b">
        <v>0</v>
      </c>
      <c r="E5039" s="9"/>
    </row>
    <row r="5040" ht="15.75" customHeight="1">
      <c r="A5040" s="9" t="s">
        <v>38233</v>
      </c>
      <c r="B5040" s="9" t="s">
        <v>23632</v>
      </c>
      <c r="C5040" s="8" t="s">
        <v>23645</v>
      </c>
      <c r="D5040" s="9" t="b">
        <v>0</v>
      </c>
      <c r="E5040" s="9"/>
    </row>
    <row r="5041" ht="15.75" customHeight="1">
      <c r="A5041" s="9" t="s">
        <v>38234</v>
      </c>
      <c r="B5041" s="9" t="s">
        <v>23632</v>
      </c>
      <c r="C5041" s="8" t="s">
        <v>38235</v>
      </c>
      <c r="D5041" s="9" t="b">
        <v>0</v>
      </c>
      <c r="E5041" s="9"/>
    </row>
    <row r="5042" ht="15.75" customHeight="1">
      <c r="A5042" s="9" t="s">
        <v>38236</v>
      </c>
      <c r="B5042" s="9" t="s">
        <v>23632</v>
      </c>
      <c r="C5042" s="8" t="s">
        <v>38237</v>
      </c>
      <c r="D5042" s="9" t="b">
        <v>0</v>
      </c>
      <c r="E5042" s="9"/>
    </row>
    <row r="5043" ht="15.75" customHeight="1">
      <c r="A5043" s="9" t="s">
        <v>38238</v>
      </c>
      <c r="B5043" s="9" t="s">
        <v>23632</v>
      </c>
      <c r="C5043" s="8" t="s">
        <v>38239</v>
      </c>
      <c r="D5043" s="9" t="b">
        <v>0</v>
      </c>
      <c r="E5043" s="9"/>
    </row>
    <row r="5044" ht="15.75" customHeight="1">
      <c r="A5044" s="9" t="s">
        <v>38240</v>
      </c>
      <c r="B5044" s="9" t="s">
        <v>23632</v>
      </c>
      <c r="C5044" s="8" t="s">
        <v>38241</v>
      </c>
      <c r="D5044" s="9" t="b">
        <v>1</v>
      </c>
      <c r="E5044" s="9"/>
    </row>
    <row r="5045" ht="15.75" customHeight="1">
      <c r="A5045" s="9" t="s">
        <v>38242</v>
      </c>
      <c r="B5045" s="9" t="s">
        <v>23463</v>
      </c>
      <c r="C5045" s="8" t="s">
        <v>38243</v>
      </c>
      <c r="D5045" s="9" t="b">
        <v>0</v>
      </c>
      <c r="E5045" s="9"/>
    </row>
    <row r="5046" ht="15.75" customHeight="1">
      <c r="A5046" s="9" t="s">
        <v>38244</v>
      </c>
      <c r="B5046" s="9" t="s">
        <v>23463</v>
      </c>
      <c r="C5046" s="8" t="s">
        <v>38245</v>
      </c>
      <c r="D5046" s="9" t="b">
        <v>0</v>
      </c>
      <c r="E5046" s="9"/>
    </row>
    <row r="5047" ht="15.75" customHeight="1">
      <c r="A5047" s="9" t="s">
        <v>38246</v>
      </c>
      <c r="B5047" s="9" t="s">
        <v>4045</v>
      </c>
      <c r="C5047" s="8" t="s">
        <v>38247</v>
      </c>
      <c r="D5047" s="9" t="b">
        <v>0</v>
      </c>
      <c r="E5047" s="9"/>
    </row>
    <row r="5048" ht="15.75" customHeight="1">
      <c r="A5048" s="9" t="s">
        <v>38248</v>
      </c>
      <c r="B5048" s="9" t="s">
        <v>4045</v>
      </c>
      <c r="C5048" s="8" t="s">
        <v>38249</v>
      </c>
      <c r="D5048" s="9" t="b">
        <v>0</v>
      </c>
      <c r="E5048" s="9"/>
    </row>
    <row r="5049" ht="15.75" customHeight="1">
      <c r="A5049" s="9" t="s">
        <v>38250</v>
      </c>
      <c r="B5049" s="9" t="s">
        <v>4045</v>
      </c>
      <c r="C5049" s="8" t="s">
        <v>38251</v>
      </c>
      <c r="D5049" s="9" t="b">
        <v>0</v>
      </c>
      <c r="E5049" s="9"/>
    </row>
    <row r="5050" ht="15.75" customHeight="1">
      <c r="A5050" s="9" t="s">
        <v>38252</v>
      </c>
      <c r="B5050" s="9" t="s">
        <v>272</v>
      </c>
      <c r="C5050" s="8" t="s">
        <v>38253</v>
      </c>
      <c r="D5050" s="9" t="b">
        <v>0</v>
      </c>
      <c r="E5050" s="9"/>
    </row>
    <row r="5051" ht="15.75" customHeight="1">
      <c r="A5051" s="9" t="s">
        <v>38254</v>
      </c>
      <c r="B5051" s="9" t="s">
        <v>23302</v>
      </c>
      <c r="C5051" s="8" t="s">
        <v>38255</v>
      </c>
      <c r="D5051" s="9" t="b">
        <v>1</v>
      </c>
      <c r="E5051" s="9"/>
    </row>
    <row r="5052" ht="15.75" customHeight="1">
      <c r="A5052" s="9" t="s">
        <v>38256</v>
      </c>
      <c r="B5052" s="9" t="s">
        <v>3129</v>
      </c>
      <c r="C5052" s="8" t="s">
        <v>38257</v>
      </c>
      <c r="D5052" s="9" t="b">
        <v>0</v>
      </c>
      <c r="E5052" s="9"/>
    </row>
    <row r="5053" ht="15.75" customHeight="1">
      <c r="A5053" s="9" t="s">
        <v>38258</v>
      </c>
      <c r="B5053" s="9" t="s">
        <v>3129</v>
      </c>
      <c r="C5053" s="8" t="s">
        <v>38259</v>
      </c>
      <c r="D5053" s="9" t="b">
        <v>0</v>
      </c>
      <c r="E5053" s="9"/>
    </row>
    <row r="5054" ht="15.75" customHeight="1">
      <c r="A5054" s="9" t="s">
        <v>38260</v>
      </c>
      <c r="B5054" s="9" t="s">
        <v>3129</v>
      </c>
      <c r="C5054" s="8" t="s">
        <v>38261</v>
      </c>
      <c r="D5054" s="9" t="b">
        <v>0</v>
      </c>
      <c r="E5054" s="9"/>
    </row>
    <row r="5055" ht="15.75" customHeight="1">
      <c r="A5055" s="9" t="s">
        <v>38262</v>
      </c>
      <c r="B5055" s="9" t="s">
        <v>23647</v>
      </c>
      <c r="C5055" s="8" t="s">
        <v>38263</v>
      </c>
      <c r="D5055" s="9" t="b">
        <v>0</v>
      </c>
      <c r="E5055" s="9"/>
    </row>
    <row r="5056" ht="15.75" customHeight="1">
      <c r="A5056" s="9" t="s">
        <v>38264</v>
      </c>
      <c r="B5056" s="9" t="s">
        <v>23647</v>
      </c>
      <c r="C5056" s="8" t="s">
        <v>38265</v>
      </c>
      <c r="D5056" s="9" t="b">
        <v>0</v>
      </c>
      <c r="E5056" s="9"/>
    </row>
    <row r="5057" ht="15.75" customHeight="1">
      <c r="A5057" s="9" t="s">
        <v>38266</v>
      </c>
      <c r="B5057" s="9" t="s">
        <v>23647</v>
      </c>
      <c r="C5057" s="8" t="s">
        <v>38267</v>
      </c>
      <c r="D5057" s="9" t="b">
        <v>1</v>
      </c>
      <c r="E5057" s="9"/>
    </row>
    <row r="5058" ht="15.75" customHeight="1">
      <c r="A5058" s="9" t="s">
        <v>38268</v>
      </c>
      <c r="B5058" s="9" t="s">
        <v>23647</v>
      </c>
      <c r="C5058" s="8" t="s">
        <v>38269</v>
      </c>
      <c r="D5058" s="9" t="b">
        <v>0</v>
      </c>
      <c r="E5058" s="9"/>
    </row>
    <row r="5059" ht="15.75" customHeight="1">
      <c r="A5059" s="9" t="s">
        <v>38270</v>
      </c>
      <c r="B5059" s="9" t="s">
        <v>23647</v>
      </c>
      <c r="C5059" s="8" t="s">
        <v>38271</v>
      </c>
      <c r="D5059" s="9" t="b">
        <v>0</v>
      </c>
      <c r="E5059" s="9"/>
    </row>
    <row r="5060" ht="15.75" customHeight="1">
      <c r="A5060" s="9" t="s">
        <v>38272</v>
      </c>
      <c r="B5060" s="9" t="s">
        <v>23647</v>
      </c>
      <c r="C5060" s="8" t="s">
        <v>38273</v>
      </c>
      <c r="D5060" s="9" t="b">
        <v>0</v>
      </c>
      <c r="E5060" s="9"/>
    </row>
    <row r="5061" ht="15.75" customHeight="1">
      <c r="A5061" s="9" t="s">
        <v>38274</v>
      </c>
      <c r="B5061" s="9" t="s">
        <v>10493</v>
      </c>
      <c r="C5061" s="8" t="s">
        <v>38275</v>
      </c>
      <c r="D5061" s="9" t="b">
        <v>1</v>
      </c>
      <c r="E5061" s="9"/>
    </row>
    <row r="5062" ht="15.75" customHeight="1">
      <c r="A5062" s="9" t="s">
        <v>38276</v>
      </c>
      <c r="B5062" s="9" t="s">
        <v>10493</v>
      </c>
      <c r="C5062" s="8" t="s">
        <v>38277</v>
      </c>
      <c r="D5062" s="9" t="b">
        <v>0</v>
      </c>
      <c r="E5062" s="9"/>
    </row>
    <row r="5063" ht="15.75" customHeight="1">
      <c r="A5063" s="9" t="s">
        <v>38278</v>
      </c>
      <c r="B5063" s="9" t="s">
        <v>23677</v>
      </c>
      <c r="C5063" s="8" t="s">
        <v>38279</v>
      </c>
      <c r="D5063" s="9" t="b">
        <v>0</v>
      </c>
      <c r="E5063" s="9"/>
    </row>
    <row r="5064" ht="15.75" customHeight="1">
      <c r="A5064" s="9" t="s">
        <v>38280</v>
      </c>
      <c r="B5064" s="9" t="s">
        <v>23677</v>
      </c>
      <c r="C5064" s="8" t="s">
        <v>38281</v>
      </c>
      <c r="D5064" s="9" t="b">
        <v>0</v>
      </c>
      <c r="E5064" s="9"/>
    </row>
    <row r="5065" ht="15.75" customHeight="1">
      <c r="A5065" s="9" t="s">
        <v>38282</v>
      </c>
      <c r="B5065" s="9" t="s">
        <v>23677</v>
      </c>
      <c r="C5065" s="8" t="s">
        <v>38283</v>
      </c>
      <c r="D5065" s="9" t="b">
        <v>0</v>
      </c>
      <c r="E5065" s="9"/>
    </row>
    <row r="5066" ht="15.75" customHeight="1">
      <c r="A5066" s="9" t="s">
        <v>38284</v>
      </c>
      <c r="B5066" s="9" t="s">
        <v>23677</v>
      </c>
      <c r="C5066" s="8" t="s">
        <v>38285</v>
      </c>
      <c r="D5066" s="9" t="b">
        <v>0</v>
      </c>
      <c r="E5066" s="9"/>
    </row>
    <row r="5067" ht="15.75" customHeight="1">
      <c r="A5067" s="9" t="s">
        <v>38286</v>
      </c>
      <c r="B5067" s="9" t="s">
        <v>23692</v>
      </c>
      <c r="C5067" s="8" t="s">
        <v>38287</v>
      </c>
      <c r="D5067" s="9" t="b">
        <v>0</v>
      </c>
      <c r="E5067" s="9"/>
    </row>
    <row r="5068" ht="15.75" customHeight="1">
      <c r="A5068" s="9" t="s">
        <v>38288</v>
      </c>
      <c r="B5068" s="9" t="s">
        <v>23692</v>
      </c>
      <c r="C5068" s="8" t="s">
        <v>38289</v>
      </c>
      <c r="D5068" s="9" t="b">
        <v>0</v>
      </c>
      <c r="E5068" s="9"/>
    </row>
    <row r="5069" ht="15.75" customHeight="1">
      <c r="A5069" s="9" t="s">
        <v>38290</v>
      </c>
      <c r="B5069" s="9" t="s">
        <v>23692</v>
      </c>
      <c r="C5069" s="8" t="s">
        <v>38291</v>
      </c>
      <c r="D5069" s="9" t="b">
        <v>1</v>
      </c>
      <c r="E5069" s="9"/>
    </row>
    <row r="5070" ht="15.75" customHeight="1">
      <c r="A5070" s="9" t="s">
        <v>38292</v>
      </c>
      <c r="B5070" s="9" t="s">
        <v>23692</v>
      </c>
      <c r="C5070" s="8" t="s">
        <v>38293</v>
      </c>
      <c r="D5070" s="9" t="b">
        <v>0</v>
      </c>
      <c r="E5070" s="9"/>
    </row>
    <row r="5071" ht="15.75" customHeight="1">
      <c r="A5071" s="9" t="s">
        <v>38294</v>
      </c>
      <c r="B5071" s="9" t="s">
        <v>23692</v>
      </c>
      <c r="C5071" s="8" t="s">
        <v>38295</v>
      </c>
      <c r="D5071" s="9" t="b">
        <v>0</v>
      </c>
      <c r="E5071" s="9"/>
    </row>
    <row r="5072" ht="15.75" customHeight="1">
      <c r="A5072" s="9" t="s">
        <v>38296</v>
      </c>
      <c r="B5072" s="9" t="s">
        <v>23706</v>
      </c>
      <c r="C5072" s="8" t="s">
        <v>38297</v>
      </c>
      <c r="D5072" s="9" t="b">
        <v>1</v>
      </c>
      <c r="E5072" s="9"/>
    </row>
    <row r="5073" ht="15.75" customHeight="1">
      <c r="A5073" s="9" t="s">
        <v>38298</v>
      </c>
      <c r="B5073" s="9" t="s">
        <v>23706</v>
      </c>
      <c r="C5073" s="8" t="s">
        <v>38299</v>
      </c>
      <c r="D5073" s="9" t="b">
        <v>0</v>
      </c>
      <c r="E5073" s="9"/>
    </row>
    <row r="5074" ht="15.75" customHeight="1">
      <c r="A5074" s="9" t="s">
        <v>38300</v>
      </c>
      <c r="B5074" s="9" t="s">
        <v>23706</v>
      </c>
      <c r="C5074" s="8" t="s">
        <v>38301</v>
      </c>
      <c r="D5074" s="9" t="b">
        <v>0</v>
      </c>
      <c r="E5074" s="9"/>
    </row>
    <row r="5075" ht="15.75" customHeight="1">
      <c r="A5075" s="9" t="s">
        <v>38302</v>
      </c>
      <c r="B5075" s="9" t="s">
        <v>23706</v>
      </c>
      <c r="C5075" s="8" t="s">
        <v>38303</v>
      </c>
      <c r="D5075" s="9" t="b">
        <v>0</v>
      </c>
      <c r="E5075" s="9"/>
    </row>
    <row r="5076" ht="15.75" customHeight="1">
      <c r="A5076" s="9" t="s">
        <v>38304</v>
      </c>
      <c r="B5076" s="9" t="s">
        <v>23706</v>
      </c>
      <c r="C5076" s="8" t="s">
        <v>38305</v>
      </c>
      <c r="D5076" s="9" t="b">
        <v>0</v>
      </c>
      <c r="E5076" s="9"/>
    </row>
    <row r="5077" ht="15.75" customHeight="1">
      <c r="A5077" s="9" t="s">
        <v>38306</v>
      </c>
      <c r="B5077" s="9" t="s">
        <v>23706</v>
      </c>
      <c r="C5077" s="8" t="s">
        <v>38307</v>
      </c>
      <c r="D5077" s="9" t="b">
        <v>0</v>
      </c>
      <c r="E5077" s="9"/>
    </row>
    <row r="5078" ht="15.75" customHeight="1">
      <c r="A5078" s="9" t="s">
        <v>38308</v>
      </c>
      <c r="B5078" s="9" t="s">
        <v>23720</v>
      </c>
      <c r="C5078" s="8" t="s">
        <v>38309</v>
      </c>
      <c r="D5078" s="9" t="b">
        <v>0</v>
      </c>
      <c r="E5078" s="9"/>
    </row>
    <row r="5079" ht="15.75" customHeight="1">
      <c r="A5079" s="9" t="s">
        <v>38310</v>
      </c>
      <c r="B5079" s="9" t="s">
        <v>23720</v>
      </c>
      <c r="C5079" s="8" t="s">
        <v>38311</v>
      </c>
      <c r="D5079" s="9" t="b">
        <v>0</v>
      </c>
      <c r="E5079" s="9"/>
    </row>
    <row r="5080" ht="15.75" customHeight="1">
      <c r="A5080" s="9" t="s">
        <v>38312</v>
      </c>
      <c r="B5080" s="9" t="s">
        <v>23720</v>
      </c>
      <c r="C5080" s="8" t="s">
        <v>38313</v>
      </c>
      <c r="D5080" s="9" t="b">
        <v>0</v>
      </c>
      <c r="E5080" s="9"/>
    </row>
    <row r="5081" ht="15.75" customHeight="1">
      <c r="A5081" s="9" t="s">
        <v>38314</v>
      </c>
      <c r="B5081" s="9" t="s">
        <v>23720</v>
      </c>
      <c r="C5081" s="8" t="s">
        <v>38315</v>
      </c>
      <c r="D5081" s="9" t="b">
        <v>0</v>
      </c>
      <c r="E5081" s="9"/>
    </row>
    <row r="5082" ht="15.75" customHeight="1">
      <c r="A5082" s="9" t="s">
        <v>38316</v>
      </c>
      <c r="B5082" s="9" t="s">
        <v>23720</v>
      </c>
      <c r="C5082" s="8" t="s">
        <v>38317</v>
      </c>
      <c r="D5082" s="9" t="b">
        <v>0</v>
      </c>
      <c r="E5082" s="9"/>
    </row>
    <row r="5083" ht="15.75" customHeight="1">
      <c r="A5083" s="9" t="s">
        <v>38318</v>
      </c>
      <c r="B5083" s="9" t="s">
        <v>23720</v>
      </c>
      <c r="C5083" s="8" t="s">
        <v>38319</v>
      </c>
      <c r="D5083" s="9" t="b">
        <v>1</v>
      </c>
      <c r="E5083" s="9"/>
    </row>
    <row r="5084" ht="15.75" customHeight="1">
      <c r="A5084" s="9" t="s">
        <v>38320</v>
      </c>
      <c r="B5084" s="9" t="s">
        <v>23734</v>
      </c>
      <c r="C5084" s="8" t="s">
        <v>38321</v>
      </c>
      <c r="D5084" s="9" t="b">
        <v>1</v>
      </c>
      <c r="E5084" s="9"/>
    </row>
    <row r="5085" ht="15.75" customHeight="1">
      <c r="A5085" s="9" t="s">
        <v>38322</v>
      </c>
      <c r="B5085" s="9" t="s">
        <v>23734</v>
      </c>
      <c r="C5085" s="8" t="s">
        <v>38323</v>
      </c>
      <c r="D5085" s="9" t="b">
        <v>0</v>
      </c>
      <c r="E5085" s="9"/>
    </row>
    <row r="5086" ht="15.75" customHeight="1">
      <c r="A5086" s="9" t="s">
        <v>38324</v>
      </c>
      <c r="B5086" s="9" t="s">
        <v>23734</v>
      </c>
      <c r="C5086" s="8" t="s">
        <v>38325</v>
      </c>
      <c r="D5086" s="9" t="b">
        <v>0</v>
      </c>
      <c r="E5086" s="9"/>
    </row>
    <row r="5087" ht="15.75" customHeight="1">
      <c r="A5087" s="9" t="s">
        <v>38326</v>
      </c>
      <c r="B5087" s="9" t="s">
        <v>23734</v>
      </c>
      <c r="C5087" s="8" t="s">
        <v>38327</v>
      </c>
      <c r="D5087" s="9" t="b">
        <v>0</v>
      </c>
      <c r="E5087" s="9"/>
    </row>
    <row r="5088" ht="15.75" customHeight="1">
      <c r="A5088" s="9" t="s">
        <v>38328</v>
      </c>
      <c r="B5088" s="9" t="s">
        <v>23734</v>
      </c>
      <c r="C5088" s="8" t="s">
        <v>38329</v>
      </c>
      <c r="D5088" s="9" t="b">
        <v>0</v>
      </c>
      <c r="E5088" s="9"/>
    </row>
    <row r="5089" ht="15.75" customHeight="1">
      <c r="A5089" s="9" t="s">
        <v>38330</v>
      </c>
      <c r="B5089" s="9" t="s">
        <v>23734</v>
      </c>
      <c r="C5089" s="8" t="s">
        <v>38331</v>
      </c>
      <c r="D5089" s="9" t="b">
        <v>0</v>
      </c>
      <c r="E5089" s="9"/>
    </row>
    <row r="5090" ht="15.75" customHeight="1">
      <c r="A5090" s="9" t="s">
        <v>38332</v>
      </c>
      <c r="B5090" s="9" t="s">
        <v>23734</v>
      </c>
      <c r="C5090" s="8" t="s">
        <v>38333</v>
      </c>
      <c r="D5090" s="9" t="b">
        <v>0</v>
      </c>
      <c r="E5090" s="9"/>
    </row>
    <row r="5091" ht="15.75" customHeight="1">
      <c r="A5091" s="9" t="s">
        <v>38334</v>
      </c>
      <c r="B5091" s="9" t="s">
        <v>23734</v>
      </c>
      <c r="C5091" s="8" t="s">
        <v>38335</v>
      </c>
      <c r="D5091" s="9" t="b">
        <v>0</v>
      </c>
      <c r="E5091" s="9"/>
    </row>
    <row r="5092" ht="15.75" customHeight="1">
      <c r="A5092" s="9" t="s">
        <v>38336</v>
      </c>
      <c r="B5092" s="9" t="s">
        <v>23734</v>
      </c>
      <c r="C5092" s="8" t="s">
        <v>38337</v>
      </c>
      <c r="D5092" s="9" t="b">
        <v>0</v>
      </c>
      <c r="E5092" s="9"/>
    </row>
    <row r="5093" ht="15.75" customHeight="1">
      <c r="A5093" s="9" t="s">
        <v>38338</v>
      </c>
      <c r="B5093" s="9" t="s">
        <v>23734</v>
      </c>
      <c r="C5093" s="8" t="s">
        <v>38339</v>
      </c>
      <c r="D5093" s="9" t="b">
        <v>0</v>
      </c>
      <c r="E5093" s="9"/>
    </row>
    <row r="5094" ht="15.75" customHeight="1">
      <c r="A5094" s="9" t="s">
        <v>38340</v>
      </c>
      <c r="B5094" s="9" t="s">
        <v>23779</v>
      </c>
      <c r="C5094" s="8" t="s">
        <v>38341</v>
      </c>
      <c r="D5094" s="9" t="b">
        <v>0</v>
      </c>
      <c r="E5094" s="9"/>
    </row>
    <row r="5095" ht="15.75" customHeight="1">
      <c r="A5095" s="9" t="s">
        <v>38342</v>
      </c>
      <c r="B5095" s="9" t="s">
        <v>23779</v>
      </c>
      <c r="C5095" s="8" t="s">
        <v>38343</v>
      </c>
      <c r="D5095" s="9" t="b">
        <v>0</v>
      </c>
      <c r="E5095" s="9"/>
    </row>
    <row r="5096" ht="15.75" customHeight="1">
      <c r="A5096" s="9" t="s">
        <v>38344</v>
      </c>
      <c r="B5096" s="9" t="s">
        <v>23779</v>
      </c>
      <c r="C5096" s="8" t="s">
        <v>38345</v>
      </c>
      <c r="D5096" s="9" t="b">
        <v>0</v>
      </c>
      <c r="E5096" s="9"/>
    </row>
    <row r="5097" ht="15.75" customHeight="1">
      <c r="A5097" s="9" t="s">
        <v>38346</v>
      </c>
      <c r="B5097" s="9" t="s">
        <v>23779</v>
      </c>
      <c r="C5097" s="8" t="s">
        <v>38347</v>
      </c>
      <c r="D5097" s="9" t="b">
        <v>1</v>
      </c>
      <c r="E5097" s="9"/>
    </row>
    <row r="5098" ht="15.75" customHeight="1">
      <c r="A5098" s="9" t="s">
        <v>38348</v>
      </c>
      <c r="B5098" s="9" t="s">
        <v>23779</v>
      </c>
      <c r="C5098" s="8" t="s">
        <v>38349</v>
      </c>
      <c r="D5098" s="9" t="b">
        <v>0</v>
      </c>
      <c r="E5098" s="9"/>
    </row>
    <row r="5099" ht="15.75" customHeight="1">
      <c r="A5099" s="9" t="s">
        <v>38350</v>
      </c>
      <c r="B5099" s="9" t="s">
        <v>23779</v>
      </c>
      <c r="C5099" s="8" t="s">
        <v>38351</v>
      </c>
      <c r="D5099" s="9" t="b">
        <v>0</v>
      </c>
      <c r="E5099" s="9"/>
    </row>
    <row r="5100" ht="15.75" customHeight="1">
      <c r="A5100" s="9" t="s">
        <v>38352</v>
      </c>
      <c r="B5100" s="9" t="s">
        <v>23794</v>
      </c>
      <c r="C5100" s="8" t="s">
        <v>38353</v>
      </c>
      <c r="D5100" s="9" t="b">
        <v>0</v>
      </c>
      <c r="E5100" s="9"/>
    </row>
    <row r="5101" ht="15.75" customHeight="1">
      <c r="A5101" s="9" t="s">
        <v>38354</v>
      </c>
      <c r="B5101" s="9" t="s">
        <v>23804</v>
      </c>
      <c r="C5101" s="8" t="s">
        <v>38355</v>
      </c>
      <c r="D5101" s="9" t="b">
        <v>1</v>
      </c>
      <c r="E5101" s="9"/>
    </row>
    <row r="5102" ht="15.75" customHeight="1">
      <c r="A5102" s="9" t="s">
        <v>38356</v>
      </c>
      <c r="B5102" s="9" t="s">
        <v>23808</v>
      </c>
      <c r="C5102" s="8" t="s">
        <v>38357</v>
      </c>
      <c r="D5102" s="9" t="b">
        <v>1</v>
      </c>
      <c r="E5102" s="9"/>
    </row>
    <row r="5103" ht="15.75" customHeight="1">
      <c r="A5103" s="9" t="s">
        <v>38358</v>
      </c>
      <c r="B5103" s="9" t="s">
        <v>23804</v>
      </c>
      <c r="C5103" s="8" t="s">
        <v>38359</v>
      </c>
      <c r="D5103" s="9" t="b">
        <v>0</v>
      </c>
      <c r="E5103" s="9"/>
    </row>
    <row r="5104" ht="15.75" customHeight="1">
      <c r="A5104" s="9" t="s">
        <v>38360</v>
      </c>
      <c r="B5104" s="9" t="s">
        <v>23804</v>
      </c>
      <c r="C5104" s="8" t="s">
        <v>38361</v>
      </c>
      <c r="D5104" s="9" t="b">
        <v>0</v>
      </c>
      <c r="E5104" s="9"/>
    </row>
    <row r="5105" ht="15.75" customHeight="1">
      <c r="A5105" s="9" t="s">
        <v>38362</v>
      </c>
      <c r="B5105" s="9" t="s">
        <v>23816</v>
      </c>
      <c r="C5105" s="8" t="s">
        <v>38363</v>
      </c>
      <c r="D5105" s="9" t="b">
        <v>0</v>
      </c>
      <c r="E5105" s="9"/>
    </row>
    <row r="5106" ht="15.75" customHeight="1">
      <c r="A5106" s="9" t="s">
        <v>38364</v>
      </c>
      <c r="B5106" s="9" t="s">
        <v>23816</v>
      </c>
      <c r="C5106" s="8" t="s">
        <v>38365</v>
      </c>
      <c r="D5106" s="9" t="b">
        <v>1</v>
      </c>
      <c r="E5106" s="9"/>
    </row>
    <row r="5107" ht="15.75" customHeight="1">
      <c r="A5107" s="9" t="s">
        <v>38366</v>
      </c>
      <c r="B5107" s="9" t="s">
        <v>23816</v>
      </c>
      <c r="C5107" s="8" t="s">
        <v>38367</v>
      </c>
      <c r="D5107" s="9" t="b">
        <v>0</v>
      </c>
      <c r="E5107" s="9"/>
    </row>
    <row r="5108" ht="15.75" customHeight="1">
      <c r="A5108" s="9" t="s">
        <v>38368</v>
      </c>
      <c r="B5108" s="9" t="s">
        <v>23830</v>
      </c>
      <c r="C5108" s="8" t="s">
        <v>38369</v>
      </c>
      <c r="D5108" s="9" t="b">
        <v>0</v>
      </c>
      <c r="E5108" s="9"/>
    </row>
    <row r="5109" ht="15.75" customHeight="1">
      <c r="A5109" s="9" t="s">
        <v>38370</v>
      </c>
      <c r="B5109" s="9" t="s">
        <v>23830</v>
      </c>
      <c r="C5109" s="8" t="s">
        <v>38371</v>
      </c>
      <c r="D5109" s="9" t="b">
        <v>0</v>
      </c>
      <c r="E5109" s="9"/>
    </row>
    <row r="5110" ht="15.75" customHeight="1">
      <c r="A5110" s="9" t="s">
        <v>38372</v>
      </c>
      <c r="B5110" s="9" t="s">
        <v>23830</v>
      </c>
      <c r="C5110" s="8" t="s">
        <v>38373</v>
      </c>
      <c r="D5110" s="9" t="b">
        <v>0</v>
      </c>
      <c r="E5110" s="9"/>
    </row>
    <row r="5111" ht="15.75" customHeight="1">
      <c r="A5111" s="9" t="s">
        <v>38374</v>
      </c>
      <c r="B5111" s="9" t="s">
        <v>23830</v>
      </c>
      <c r="C5111" s="8" t="s">
        <v>38375</v>
      </c>
      <c r="D5111" s="9" t="b">
        <v>1</v>
      </c>
      <c r="E5111" s="9"/>
    </row>
    <row r="5112" ht="15.75" customHeight="1">
      <c r="A5112" s="9" t="s">
        <v>38376</v>
      </c>
      <c r="B5112" s="9" t="s">
        <v>23862</v>
      </c>
      <c r="C5112" s="8" t="s">
        <v>38377</v>
      </c>
      <c r="D5112" s="9" t="b">
        <v>1</v>
      </c>
      <c r="E5112" s="9"/>
    </row>
    <row r="5113" ht="15.75" customHeight="1">
      <c r="A5113" s="9" t="s">
        <v>38378</v>
      </c>
      <c r="B5113" s="9" t="s">
        <v>23862</v>
      </c>
      <c r="C5113" s="8" t="s">
        <v>38379</v>
      </c>
      <c r="D5113" s="9" t="b">
        <v>0</v>
      </c>
      <c r="E5113" s="9"/>
    </row>
    <row r="5114" ht="15.75" customHeight="1">
      <c r="A5114" s="9" t="s">
        <v>38380</v>
      </c>
      <c r="B5114" s="9" t="s">
        <v>23862</v>
      </c>
      <c r="C5114" s="8" t="s">
        <v>38381</v>
      </c>
      <c r="D5114" s="9" t="b">
        <v>0</v>
      </c>
      <c r="E5114" s="9"/>
    </row>
    <row r="5115" ht="15.75" customHeight="1">
      <c r="A5115" s="9" t="s">
        <v>38382</v>
      </c>
      <c r="B5115" s="9" t="s">
        <v>23862</v>
      </c>
      <c r="C5115" s="8" t="s">
        <v>38383</v>
      </c>
      <c r="D5115" s="9" t="b">
        <v>0</v>
      </c>
      <c r="E5115" s="9"/>
    </row>
    <row r="5116" ht="15.75" customHeight="1">
      <c r="A5116" s="9" t="s">
        <v>38384</v>
      </c>
      <c r="B5116" s="9" t="s">
        <v>23862</v>
      </c>
      <c r="C5116" s="8" t="s">
        <v>38385</v>
      </c>
      <c r="D5116" s="9" t="b">
        <v>0</v>
      </c>
      <c r="E5116" s="9"/>
    </row>
    <row r="5117" ht="15.75" customHeight="1">
      <c r="A5117" s="9" t="s">
        <v>38386</v>
      </c>
      <c r="B5117" s="9" t="s">
        <v>23878</v>
      </c>
      <c r="C5117" s="8" t="s">
        <v>38387</v>
      </c>
      <c r="D5117" s="9" t="b">
        <v>0</v>
      </c>
      <c r="E5117" s="9"/>
    </row>
    <row r="5118" ht="15.75" customHeight="1">
      <c r="A5118" s="9" t="s">
        <v>38388</v>
      </c>
      <c r="B5118" s="9" t="s">
        <v>23878</v>
      </c>
      <c r="C5118" s="8" t="s">
        <v>38389</v>
      </c>
      <c r="D5118" s="9" t="b">
        <v>0</v>
      </c>
      <c r="E5118" s="9"/>
    </row>
    <row r="5119" ht="15.75" customHeight="1">
      <c r="A5119" s="9" t="s">
        <v>38390</v>
      </c>
      <c r="B5119" s="9" t="s">
        <v>23878</v>
      </c>
      <c r="C5119" s="8" t="s">
        <v>38391</v>
      </c>
      <c r="D5119" s="9" t="b">
        <v>0</v>
      </c>
      <c r="E5119" s="9"/>
    </row>
    <row r="5120" ht="15.75" customHeight="1">
      <c r="A5120" s="9" t="s">
        <v>38392</v>
      </c>
      <c r="B5120" s="9" t="s">
        <v>23878</v>
      </c>
      <c r="C5120" s="8" t="s">
        <v>38393</v>
      </c>
      <c r="D5120" s="9" t="b">
        <v>0</v>
      </c>
      <c r="E5120" s="9"/>
    </row>
    <row r="5121" ht="15.75" customHeight="1">
      <c r="A5121" s="9" t="s">
        <v>38394</v>
      </c>
      <c r="B5121" s="9" t="s">
        <v>23878</v>
      </c>
      <c r="C5121" s="8" t="s">
        <v>38395</v>
      </c>
      <c r="D5121" s="9" t="b">
        <v>0</v>
      </c>
      <c r="E5121" s="9"/>
    </row>
    <row r="5122" ht="15.75" customHeight="1">
      <c r="A5122" s="9" t="s">
        <v>38396</v>
      </c>
      <c r="B5122" s="9" t="s">
        <v>23878</v>
      </c>
      <c r="C5122" s="8" t="s">
        <v>38397</v>
      </c>
      <c r="D5122" s="9" t="b">
        <v>1</v>
      </c>
      <c r="E5122" s="9"/>
    </row>
    <row r="5123" ht="15.75" customHeight="1">
      <c r="A5123" s="9" t="s">
        <v>38398</v>
      </c>
      <c r="B5123" s="9" t="s">
        <v>23765</v>
      </c>
      <c r="C5123" s="8" t="s">
        <v>38399</v>
      </c>
      <c r="D5123" s="9" t="b">
        <v>1</v>
      </c>
      <c r="E5123" s="9"/>
    </row>
    <row r="5124" ht="15.75" customHeight="1">
      <c r="A5124" s="9" t="s">
        <v>38400</v>
      </c>
      <c r="B5124" s="9" t="s">
        <v>23765</v>
      </c>
      <c r="C5124" s="8" t="s">
        <v>38401</v>
      </c>
      <c r="D5124" s="9" t="b">
        <v>0</v>
      </c>
      <c r="E5124" s="9"/>
    </row>
    <row r="5125" ht="15.75" customHeight="1">
      <c r="A5125" s="9" t="s">
        <v>38402</v>
      </c>
      <c r="B5125" s="9" t="s">
        <v>23765</v>
      </c>
      <c r="C5125" s="8" t="s">
        <v>38403</v>
      </c>
      <c r="D5125" s="9" t="b">
        <v>0</v>
      </c>
      <c r="E5125" s="9"/>
    </row>
    <row r="5126" ht="15.75" customHeight="1">
      <c r="A5126" s="9" t="s">
        <v>38404</v>
      </c>
      <c r="B5126" s="9" t="s">
        <v>23765</v>
      </c>
      <c r="C5126" s="8" t="s">
        <v>38405</v>
      </c>
      <c r="D5126" s="9" t="b">
        <v>0</v>
      </c>
      <c r="E5126" s="9"/>
    </row>
    <row r="5127" ht="15.75" customHeight="1">
      <c r="A5127" s="9" t="s">
        <v>38406</v>
      </c>
      <c r="B5127" s="9" t="s">
        <v>23901</v>
      </c>
      <c r="C5127" s="8" t="s">
        <v>38407</v>
      </c>
      <c r="D5127" s="9" t="b">
        <v>0</v>
      </c>
      <c r="E5127" s="9"/>
    </row>
    <row r="5128" ht="15.75" customHeight="1">
      <c r="A5128" s="9" t="s">
        <v>38408</v>
      </c>
      <c r="B5128" s="9" t="s">
        <v>23901</v>
      </c>
      <c r="C5128" s="8" t="s">
        <v>38409</v>
      </c>
      <c r="D5128" s="9" t="b">
        <v>0</v>
      </c>
      <c r="E5128" s="9"/>
    </row>
    <row r="5129" ht="15.75" customHeight="1">
      <c r="A5129" s="9" t="s">
        <v>38410</v>
      </c>
      <c r="B5129" s="9" t="s">
        <v>23901</v>
      </c>
      <c r="C5129" s="8" t="s">
        <v>38411</v>
      </c>
      <c r="D5129" s="9" t="b">
        <v>0</v>
      </c>
      <c r="E5129" s="9"/>
    </row>
    <row r="5130" ht="15.75" customHeight="1">
      <c r="A5130" s="52" t="s">
        <v>38412</v>
      </c>
      <c r="B5130" s="9" t="s">
        <v>23901</v>
      </c>
      <c r="C5130" s="8" t="s">
        <v>38413</v>
      </c>
      <c r="D5130" s="9" t="b">
        <v>1</v>
      </c>
      <c r="E5130" s="9"/>
    </row>
    <row r="5131" ht="15.75" customHeight="1">
      <c r="A5131" s="9" t="s">
        <v>38414</v>
      </c>
      <c r="B5131" s="9" t="s">
        <v>23515</v>
      </c>
      <c r="C5131" s="8" t="s">
        <v>38415</v>
      </c>
      <c r="D5131" s="9" t="b">
        <v>0</v>
      </c>
      <c r="E5131" s="9"/>
    </row>
    <row r="5132" ht="15.75" customHeight="1">
      <c r="A5132" s="9" t="s">
        <v>38416</v>
      </c>
      <c r="B5132" s="9" t="s">
        <v>23515</v>
      </c>
      <c r="C5132" s="8" t="s">
        <v>38417</v>
      </c>
      <c r="D5132" s="9" t="b">
        <v>0</v>
      </c>
      <c r="E5132" s="9"/>
    </row>
    <row r="5133" ht="15.75" customHeight="1">
      <c r="A5133" s="9" t="s">
        <v>38418</v>
      </c>
      <c r="B5133" s="9" t="s">
        <v>23515</v>
      </c>
      <c r="C5133" s="8" t="s">
        <v>38419</v>
      </c>
      <c r="D5133" s="9" t="b">
        <v>0</v>
      </c>
      <c r="E5133" s="9"/>
    </row>
    <row r="5134" ht="15.75" customHeight="1">
      <c r="A5134" s="9" t="s">
        <v>38420</v>
      </c>
      <c r="B5134" s="9" t="s">
        <v>23515</v>
      </c>
      <c r="C5134" s="8" t="s">
        <v>38421</v>
      </c>
      <c r="D5134" s="9" t="b">
        <v>0</v>
      </c>
      <c r="E5134" s="9"/>
    </row>
    <row r="5135" ht="15.75" customHeight="1">
      <c r="A5135" s="9" t="s">
        <v>38422</v>
      </c>
      <c r="B5135" s="9" t="s">
        <v>23515</v>
      </c>
      <c r="C5135" s="8" t="s">
        <v>38423</v>
      </c>
      <c r="D5135" s="9" t="b">
        <v>0</v>
      </c>
      <c r="E5135" s="9"/>
    </row>
    <row r="5136" ht="15.75" customHeight="1">
      <c r="A5136" s="9" t="s">
        <v>38424</v>
      </c>
      <c r="B5136" s="9" t="s">
        <v>23720</v>
      </c>
      <c r="C5136" s="8" t="s">
        <v>38425</v>
      </c>
      <c r="D5136" s="9" t="b">
        <v>0</v>
      </c>
      <c r="E5136" s="9"/>
    </row>
    <row r="5137" ht="15.75" customHeight="1">
      <c r="A5137" s="9" t="s">
        <v>38426</v>
      </c>
      <c r="B5137" s="9" t="s">
        <v>23847</v>
      </c>
      <c r="C5137" s="8" t="s">
        <v>38427</v>
      </c>
      <c r="D5137" s="9" t="b">
        <v>0</v>
      </c>
      <c r="E5137" s="9"/>
    </row>
    <row r="5138" ht="15.75" customHeight="1">
      <c r="A5138" s="9" t="s">
        <v>38428</v>
      </c>
      <c r="B5138" s="9" t="s">
        <v>23847</v>
      </c>
      <c r="C5138" s="8" t="s">
        <v>38429</v>
      </c>
      <c r="D5138" s="9" t="b">
        <v>0</v>
      </c>
      <c r="E5138" s="9"/>
    </row>
    <row r="5139" ht="15.75" customHeight="1">
      <c r="A5139" s="9" t="s">
        <v>38430</v>
      </c>
      <c r="B5139" s="9" t="s">
        <v>23847</v>
      </c>
      <c r="C5139" s="8" t="s">
        <v>38431</v>
      </c>
      <c r="D5139" s="9" t="b">
        <v>1</v>
      </c>
      <c r="E5139" s="9"/>
    </row>
    <row r="5140" ht="15.75" customHeight="1">
      <c r="A5140" s="9" t="s">
        <v>38432</v>
      </c>
      <c r="B5140" s="9" t="s">
        <v>9778</v>
      </c>
      <c r="C5140" s="8" t="s">
        <v>38433</v>
      </c>
      <c r="D5140" s="9" t="b">
        <v>0</v>
      </c>
      <c r="E5140" s="9"/>
    </row>
    <row r="5141" ht="15.75" customHeight="1">
      <c r="A5141" s="9" t="s">
        <v>38434</v>
      </c>
      <c r="B5141" s="9" t="s">
        <v>9778</v>
      </c>
      <c r="C5141" s="8" t="s">
        <v>38435</v>
      </c>
      <c r="D5141" s="9" t="b">
        <v>0</v>
      </c>
      <c r="E5141" s="9"/>
    </row>
    <row r="5142" ht="15.75" customHeight="1">
      <c r="A5142" s="9" t="s">
        <v>38436</v>
      </c>
      <c r="B5142" s="9" t="s">
        <v>9778</v>
      </c>
      <c r="C5142" s="8" t="s">
        <v>38437</v>
      </c>
      <c r="D5142" s="9" t="b">
        <v>1</v>
      </c>
      <c r="E5142" s="9"/>
    </row>
    <row r="5143" ht="15.75" customHeight="1">
      <c r="A5143" s="9" t="s">
        <v>38438</v>
      </c>
      <c r="B5143" s="9" t="s">
        <v>11919</v>
      </c>
      <c r="C5143" s="8" t="s">
        <v>38439</v>
      </c>
      <c r="D5143" s="9" t="b">
        <v>1</v>
      </c>
      <c r="E5143" s="9"/>
    </row>
    <row r="5144" ht="15.75" customHeight="1">
      <c r="A5144" s="9" t="s">
        <v>38440</v>
      </c>
      <c r="B5144" s="9" t="s">
        <v>11919</v>
      </c>
      <c r="C5144" s="8" t="s">
        <v>38441</v>
      </c>
      <c r="D5144" s="9" t="b">
        <v>0</v>
      </c>
      <c r="E5144" s="9"/>
    </row>
    <row r="5145" ht="15.75" customHeight="1">
      <c r="A5145" s="9" t="s">
        <v>38442</v>
      </c>
      <c r="B5145" s="9" t="s">
        <v>3027</v>
      </c>
      <c r="C5145" s="8" t="s">
        <v>38443</v>
      </c>
      <c r="D5145" s="9" t="b">
        <v>1</v>
      </c>
      <c r="E5145" s="9"/>
    </row>
    <row r="5146" ht="15.75" customHeight="1">
      <c r="A5146" s="9" t="s">
        <v>38444</v>
      </c>
      <c r="B5146" s="9" t="s">
        <v>23913</v>
      </c>
      <c r="C5146" s="8" t="s">
        <v>38445</v>
      </c>
      <c r="D5146" s="9" t="b">
        <v>0</v>
      </c>
      <c r="E5146" s="9"/>
    </row>
    <row r="5147" ht="15.75" customHeight="1">
      <c r="A5147" s="9" t="s">
        <v>38446</v>
      </c>
      <c r="B5147" s="9" t="s">
        <v>23913</v>
      </c>
      <c r="C5147" s="8" t="s">
        <v>38447</v>
      </c>
      <c r="D5147" s="9" t="b">
        <v>0</v>
      </c>
      <c r="E5147" s="9"/>
    </row>
    <row r="5148" ht="15.75" customHeight="1">
      <c r="A5148" s="9" t="s">
        <v>38448</v>
      </c>
      <c r="B5148" s="9" t="s">
        <v>23913</v>
      </c>
      <c r="C5148" s="8" t="s">
        <v>38449</v>
      </c>
      <c r="D5148" s="9" t="b">
        <v>0</v>
      </c>
      <c r="E5148" s="9"/>
    </row>
    <row r="5149" ht="15.75" customHeight="1">
      <c r="A5149" s="9" t="s">
        <v>38450</v>
      </c>
      <c r="B5149" s="9" t="s">
        <v>23913</v>
      </c>
      <c r="C5149" s="8" t="s">
        <v>38451</v>
      </c>
      <c r="D5149" s="9" t="b">
        <v>0</v>
      </c>
      <c r="E5149" s="9"/>
    </row>
    <row r="5150" ht="15.75" customHeight="1">
      <c r="A5150" s="9" t="s">
        <v>38452</v>
      </c>
      <c r="B5150" s="9" t="s">
        <v>23913</v>
      </c>
      <c r="C5150" s="8" t="s">
        <v>38453</v>
      </c>
      <c r="D5150" s="9" t="b">
        <v>1</v>
      </c>
      <c r="E5150" s="9"/>
    </row>
    <row r="5151" ht="15.75" customHeight="1">
      <c r="A5151" s="9" t="s">
        <v>38454</v>
      </c>
      <c r="B5151" s="9" t="s">
        <v>23928</v>
      </c>
      <c r="C5151" s="8" t="s">
        <v>38455</v>
      </c>
      <c r="D5151" s="9" t="b">
        <v>0</v>
      </c>
      <c r="E5151" s="9"/>
    </row>
    <row r="5152" ht="15.75" customHeight="1">
      <c r="A5152" s="9" t="s">
        <v>38456</v>
      </c>
      <c r="B5152" s="9" t="s">
        <v>23928</v>
      </c>
      <c r="C5152" s="8" t="s">
        <v>38457</v>
      </c>
      <c r="D5152" s="9" t="b">
        <v>0</v>
      </c>
      <c r="E5152" s="9"/>
    </row>
    <row r="5153" ht="15.75" customHeight="1">
      <c r="A5153" s="9" t="s">
        <v>38458</v>
      </c>
      <c r="B5153" s="9" t="s">
        <v>23928</v>
      </c>
      <c r="C5153" s="8" t="s">
        <v>38459</v>
      </c>
      <c r="D5153" s="9" t="b">
        <v>0</v>
      </c>
      <c r="E5153" s="9"/>
    </row>
    <row r="5154" ht="15.75" customHeight="1">
      <c r="A5154" s="9" t="s">
        <v>38460</v>
      </c>
      <c r="B5154" s="9" t="s">
        <v>23928</v>
      </c>
      <c r="C5154" s="8" t="s">
        <v>38461</v>
      </c>
      <c r="D5154" s="9" t="b">
        <v>1</v>
      </c>
      <c r="E5154" s="9"/>
    </row>
    <row r="5155" ht="15.75" customHeight="1">
      <c r="A5155" s="9" t="s">
        <v>38462</v>
      </c>
      <c r="B5155" s="9" t="s">
        <v>23942</v>
      </c>
      <c r="C5155" s="8" t="s">
        <v>38463</v>
      </c>
      <c r="D5155" s="9" t="b">
        <v>1</v>
      </c>
      <c r="E5155" s="9"/>
    </row>
    <row r="5156" ht="15.75" customHeight="1">
      <c r="A5156" s="9" t="s">
        <v>38464</v>
      </c>
      <c r="B5156" s="9" t="s">
        <v>23942</v>
      </c>
      <c r="C5156" s="8" t="s">
        <v>38465</v>
      </c>
      <c r="D5156" s="9" t="b">
        <v>0</v>
      </c>
      <c r="E5156" s="9"/>
    </row>
    <row r="5157" ht="15.75" customHeight="1">
      <c r="A5157" s="9" t="s">
        <v>38466</v>
      </c>
      <c r="B5157" s="9" t="s">
        <v>23942</v>
      </c>
      <c r="C5157" s="8" t="s">
        <v>38467</v>
      </c>
      <c r="D5157" s="9" t="b">
        <v>0</v>
      </c>
      <c r="E5157" s="9"/>
    </row>
    <row r="5158" ht="15.75" customHeight="1">
      <c r="A5158" s="9" t="s">
        <v>38468</v>
      </c>
      <c r="B5158" s="9" t="s">
        <v>23942</v>
      </c>
      <c r="C5158" s="8" t="s">
        <v>38469</v>
      </c>
      <c r="D5158" s="9" t="b">
        <v>0</v>
      </c>
      <c r="E5158" s="9"/>
    </row>
    <row r="5159" ht="15.75" customHeight="1">
      <c r="A5159" s="9" t="s">
        <v>38470</v>
      </c>
      <c r="B5159" s="9" t="s">
        <v>23942</v>
      </c>
      <c r="C5159" s="8" t="s">
        <v>38471</v>
      </c>
      <c r="D5159" s="9" t="b">
        <v>0</v>
      </c>
      <c r="E5159" s="9"/>
    </row>
    <row r="5160" ht="15.75" customHeight="1">
      <c r="A5160" s="52" t="s">
        <v>38472</v>
      </c>
      <c r="B5160" s="9" t="s">
        <v>23942</v>
      </c>
      <c r="C5160" s="8" t="s">
        <v>38473</v>
      </c>
      <c r="D5160" s="9" t="b">
        <v>0</v>
      </c>
      <c r="E5160" s="9"/>
    </row>
    <row r="5161" ht="15.75" customHeight="1">
      <c r="A5161" s="9" t="s">
        <v>38474</v>
      </c>
      <c r="B5161" s="9" t="s">
        <v>23942</v>
      </c>
      <c r="C5161" s="8" t="s">
        <v>38475</v>
      </c>
      <c r="D5161" s="9" t="b">
        <v>0</v>
      </c>
      <c r="E5161" s="9"/>
    </row>
    <row r="5162" ht="15.75" customHeight="1">
      <c r="A5162" s="52" t="s">
        <v>38476</v>
      </c>
      <c r="B5162" s="9" t="s">
        <v>23942</v>
      </c>
      <c r="C5162" s="8" t="s">
        <v>38477</v>
      </c>
      <c r="D5162" s="9" t="b">
        <v>0</v>
      </c>
      <c r="E5162" s="9"/>
    </row>
    <row r="5163" ht="15.75" customHeight="1">
      <c r="A5163" s="9" t="s">
        <v>38478</v>
      </c>
      <c r="B5163" s="9" t="s">
        <v>23956</v>
      </c>
      <c r="C5163" s="8" t="s">
        <v>38479</v>
      </c>
      <c r="D5163" s="9" t="b">
        <v>0</v>
      </c>
      <c r="E5163" s="9"/>
    </row>
    <row r="5164" ht="15.75" customHeight="1">
      <c r="A5164" s="9" t="s">
        <v>38480</v>
      </c>
      <c r="B5164" s="9" t="s">
        <v>23956</v>
      </c>
      <c r="C5164" s="8" t="s">
        <v>38481</v>
      </c>
      <c r="D5164" s="9" t="b">
        <v>1</v>
      </c>
      <c r="E5164" s="9"/>
    </row>
    <row r="5165" ht="15.75" customHeight="1">
      <c r="A5165" s="9" t="s">
        <v>38482</v>
      </c>
      <c r="B5165" s="9" t="s">
        <v>23956</v>
      </c>
      <c r="C5165" s="8" t="s">
        <v>38483</v>
      </c>
      <c r="D5165" s="9" t="b">
        <v>0</v>
      </c>
      <c r="E5165" s="9"/>
    </row>
    <row r="5166" ht="15.75" customHeight="1">
      <c r="A5166" s="9" t="s">
        <v>38484</v>
      </c>
      <c r="B5166" s="9" t="s">
        <v>23956</v>
      </c>
      <c r="C5166" s="8" t="s">
        <v>38485</v>
      </c>
      <c r="D5166" s="9" t="b">
        <v>0</v>
      </c>
      <c r="E5166" s="9"/>
    </row>
    <row r="5167" ht="15.75" customHeight="1">
      <c r="A5167" s="9" t="s">
        <v>38486</v>
      </c>
      <c r="B5167" s="9" t="s">
        <v>23956</v>
      </c>
      <c r="C5167" s="8" t="s">
        <v>38487</v>
      </c>
      <c r="D5167" s="9" t="b">
        <v>0</v>
      </c>
      <c r="E5167" s="9"/>
    </row>
    <row r="5168" ht="15.75" customHeight="1">
      <c r="A5168" s="9" t="s">
        <v>38488</v>
      </c>
      <c r="B5168" s="9" t="s">
        <v>23970</v>
      </c>
      <c r="C5168" s="8" t="s">
        <v>38489</v>
      </c>
      <c r="D5168" s="9" t="b">
        <v>1</v>
      </c>
      <c r="E5168" s="9"/>
    </row>
    <row r="5169" ht="15.75" customHeight="1">
      <c r="A5169" s="9" t="s">
        <v>38490</v>
      </c>
      <c r="B5169" s="9" t="s">
        <v>23970</v>
      </c>
      <c r="C5169" s="8" t="s">
        <v>38491</v>
      </c>
      <c r="D5169" s="9" t="b">
        <v>0</v>
      </c>
      <c r="E5169" s="9"/>
    </row>
    <row r="5170" ht="15.75" customHeight="1">
      <c r="A5170" s="9" t="s">
        <v>38492</v>
      </c>
      <c r="B5170" s="9" t="s">
        <v>23992</v>
      </c>
      <c r="C5170" s="8" t="s">
        <v>38493</v>
      </c>
      <c r="D5170" s="9" t="b">
        <v>0</v>
      </c>
      <c r="E5170" s="9"/>
    </row>
    <row r="5171" ht="15.75" customHeight="1">
      <c r="A5171" s="9" t="s">
        <v>38494</v>
      </c>
      <c r="B5171" s="9" t="s">
        <v>23992</v>
      </c>
      <c r="C5171" s="8" t="s">
        <v>38495</v>
      </c>
      <c r="D5171" s="9" t="b">
        <v>0</v>
      </c>
      <c r="E5171" s="9"/>
    </row>
    <row r="5172" ht="15.75" customHeight="1">
      <c r="A5172" s="9" t="s">
        <v>38496</v>
      </c>
      <c r="B5172" s="9" t="s">
        <v>23992</v>
      </c>
      <c r="C5172" s="8" t="s">
        <v>38497</v>
      </c>
      <c r="D5172" s="9" t="b">
        <v>0</v>
      </c>
      <c r="E5172" s="9"/>
    </row>
    <row r="5173" ht="15.75" customHeight="1">
      <c r="A5173" s="9" t="s">
        <v>38498</v>
      </c>
      <c r="B5173" s="9" t="s">
        <v>23992</v>
      </c>
      <c r="C5173" s="8" t="s">
        <v>38499</v>
      </c>
      <c r="D5173" s="9" t="b">
        <v>0</v>
      </c>
      <c r="E5173" s="9"/>
    </row>
    <row r="5174" ht="15.75" customHeight="1">
      <c r="A5174" s="9" t="s">
        <v>38500</v>
      </c>
      <c r="B5174" s="9" t="s">
        <v>23992</v>
      </c>
      <c r="C5174" s="8" t="s">
        <v>38501</v>
      </c>
      <c r="D5174" s="9" t="b">
        <v>0</v>
      </c>
      <c r="E5174" s="9"/>
    </row>
    <row r="5175" ht="15.75" customHeight="1">
      <c r="A5175" s="52" t="s">
        <v>38502</v>
      </c>
      <c r="B5175" s="9" t="s">
        <v>23992</v>
      </c>
      <c r="C5175" s="8" t="s">
        <v>38503</v>
      </c>
      <c r="D5175" s="9" t="b">
        <v>1</v>
      </c>
      <c r="E5175" s="9"/>
    </row>
    <row r="5176" ht="15.75" customHeight="1">
      <c r="A5176" s="9" t="s">
        <v>38504</v>
      </c>
      <c r="B5176" s="9" t="s">
        <v>23748</v>
      </c>
      <c r="C5176" s="8" t="s">
        <v>38505</v>
      </c>
      <c r="D5176" s="9" t="b">
        <v>0</v>
      </c>
      <c r="E5176" s="9"/>
    </row>
    <row r="5177" ht="15.75" customHeight="1">
      <c r="A5177" s="9" t="s">
        <v>38506</v>
      </c>
      <c r="B5177" s="9" t="s">
        <v>23748</v>
      </c>
      <c r="C5177" s="8" t="s">
        <v>38507</v>
      </c>
      <c r="D5177" s="9" t="b">
        <v>0</v>
      </c>
      <c r="E5177" s="9"/>
    </row>
    <row r="5178" ht="15.75" customHeight="1">
      <c r="A5178" s="9" t="s">
        <v>38508</v>
      </c>
      <c r="B5178" s="9" t="s">
        <v>23748</v>
      </c>
      <c r="C5178" s="8" t="s">
        <v>38509</v>
      </c>
      <c r="D5178" s="9" t="b">
        <v>0</v>
      </c>
      <c r="E5178" s="9"/>
    </row>
    <row r="5179" ht="15.75" customHeight="1">
      <c r="A5179" s="9" t="s">
        <v>38510</v>
      </c>
      <c r="B5179" s="9" t="s">
        <v>23748</v>
      </c>
      <c r="C5179" s="8" t="s">
        <v>38511</v>
      </c>
      <c r="D5179" s="9" t="b">
        <v>0</v>
      </c>
      <c r="E5179" s="9"/>
    </row>
    <row r="5180" ht="15.75" customHeight="1">
      <c r="A5180" s="9" t="s">
        <v>38512</v>
      </c>
      <c r="B5180" s="9" t="s">
        <v>23748</v>
      </c>
      <c r="C5180" s="8" t="s">
        <v>38513</v>
      </c>
      <c r="D5180" s="9" t="b">
        <v>1</v>
      </c>
      <c r="E5180" s="9"/>
    </row>
    <row r="5181" ht="15.75" customHeight="1">
      <c r="A5181" s="9" t="s">
        <v>38514</v>
      </c>
      <c r="B5181" s="9" t="s">
        <v>23677</v>
      </c>
      <c r="C5181" s="8" t="s">
        <v>38515</v>
      </c>
      <c r="D5181" s="9" t="b">
        <v>1</v>
      </c>
      <c r="E5181" s="9"/>
    </row>
    <row r="5182" ht="15.75" customHeight="1">
      <c r="A5182" s="9" t="s">
        <v>38516</v>
      </c>
      <c r="B5182" s="9" t="s">
        <v>24006</v>
      </c>
      <c r="C5182" s="8" t="s">
        <v>38517</v>
      </c>
      <c r="D5182" s="9" t="b">
        <v>0</v>
      </c>
      <c r="E5182" s="9"/>
    </row>
    <row r="5183" ht="15.75" customHeight="1">
      <c r="A5183" s="9" t="s">
        <v>38518</v>
      </c>
      <c r="B5183" s="9" t="s">
        <v>24006</v>
      </c>
      <c r="C5183" s="8" t="s">
        <v>38519</v>
      </c>
      <c r="D5183" s="9" t="b">
        <v>0</v>
      </c>
      <c r="E5183" s="9"/>
    </row>
    <row r="5184" ht="15.75" customHeight="1">
      <c r="A5184" s="9" t="s">
        <v>38520</v>
      </c>
      <c r="B5184" s="9" t="s">
        <v>24006</v>
      </c>
      <c r="C5184" s="8" t="s">
        <v>38521</v>
      </c>
      <c r="D5184" s="9" t="b">
        <v>0</v>
      </c>
      <c r="E5184" s="9"/>
    </row>
    <row r="5185" ht="15.75" customHeight="1">
      <c r="A5185" s="9" t="s">
        <v>38522</v>
      </c>
      <c r="B5185" s="9" t="s">
        <v>24006</v>
      </c>
      <c r="C5185" s="8" t="s">
        <v>38523</v>
      </c>
      <c r="D5185" s="9" t="b">
        <v>0</v>
      </c>
      <c r="E5185" s="9"/>
    </row>
    <row r="5186" ht="15.75" customHeight="1">
      <c r="A5186" s="9" t="s">
        <v>38524</v>
      </c>
      <c r="B5186" s="9" t="s">
        <v>24006</v>
      </c>
      <c r="C5186" s="8" t="s">
        <v>38525</v>
      </c>
      <c r="D5186" s="9" t="b">
        <v>0</v>
      </c>
      <c r="E5186" s="9"/>
    </row>
    <row r="5187" ht="15.75" customHeight="1">
      <c r="A5187" s="9" t="s">
        <v>38526</v>
      </c>
      <c r="B5187" s="9" t="s">
        <v>24006</v>
      </c>
      <c r="C5187" s="8" t="s">
        <v>38527</v>
      </c>
      <c r="D5187" s="9" t="b">
        <v>1</v>
      </c>
      <c r="E5187" s="9"/>
    </row>
    <row r="5188" ht="15.75" customHeight="1">
      <c r="A5188" s="9" t="s">
        <v>38528</v>
      </c>
      <c r="B5188" s="9" t="s">
        <v>24006</v>
      </c>
      <c r="C5188" s="8" t="s">
        <v>38529</v>
      </c>
      <c r="D5188" s="9" t="b">
        <v>0</v>
      </c>
      <c r="E5188" s="9"/>
    </row>
    <row r="5189" ht="15.75" customHeight="1">
      <c r="A5189" s="9" t="s">
        <v>38530</v>
      </c>
      <c r="B5189" s="9" t="s">
        <v>24021</v>
      </c>
      <c r="C5189" s="8" t="s">
        <v>24037</v>
      </c>
      <c r="D5189" s="9" t="b">
        <v>1</v>
      </c>
      <c r="E5189" s="9"/>
    </row>
    <row r="5190" ht="15.75" customHeight="1">
      <c r="A5190" s="9" t="s">
        <v>38531</v>
      </c>
      <c r="B5190" s="9" t="s">
        <v>24021</v>
      </c>
      <c r="C5190" s="8" t="s">
        <v>38532</v>
      </c>
      <c r="D5190" s="9" t="b">
        <v>0</v>
      </c>
      <c r="E5190" s="9"/>
    </row>
    <row r="5191" ht="15.75" customHeight="1">
      <c r="A5191" s="9" t="s">
        <v>38533</v>
      </c>
      <c r="B5191" s="9" t="s">
        <v>24021</v>
      </c>
      <c r="C5191" s="8" t="s">
        <v>38534</v>
      </c>
      <c r="D5191" s="9" t="b">
        <v>0</v>
      </c>
      <c r="E5191" s="9"/>
    </row>
    <row r="5192" ht="15.75" customHeight="1">
      <c r="A5192" s="9" t="s">
        <v>38535</v>
      </c>
      <c r="B5192" s="9" t="s">
        <v>24038</v>
      </c>
      <c r="C5192" s="8" t="s">
        <v>38536</v>
      </c>
      <c r="D5192" s="9" t="b">
        <v>1</v>
      </c>
      <c r="E5192" s="9"/>
    </row>
    <row r="5193" ht="15.75" customHeight="1">
      <c r="A5193" s="9" t="s">
        <v>38537</v>
      </c>
      <c r="B5193" s="9" t="s">
        <v>24038</v>
      </c>
      <c r="C5193" s="8" t="s">
        <v>38538</v>
      </c>
      <c r="D5193" s="9" t="b">
        <v>0</v>
      </c>
      <c r="E5193" s="9"/>
    </row>
    <row r="5194" ht="15.75" customHeight="1">
      <c r="A5194" s="9" t="s">
        <v>38539</v>
      </c>
      <c r="B5194" s="9" t="s">
        <v>24038</v>
      </c>
      <c r="C5194" s="8" t="s">
        <v>38540</v>
      </c>
      <c r="D5194" s="9" t="b">
        <v>0</v>
      </c>
      <c r="E5194" s="9"/>
    </row>
    <row r="5195" ht="15.75" customHeight="1">
      <c r="A5195" s="9" t="s">
        <v>38541</v>
      </c>
      <c r="B5195" s="9" t="s">
        <v>24038</v>
      </c>
      <c r="C5195" s="8" t="s">
        <v>38542</v>
      </c>
      <c r="D5195" s="9" t="b">
        <v>0</v>
      </c>
      <c r="E5195" s="9"/>
    </row>
    <row r="5196" ht="15.75" customHeight="1">
      <c r="A5196" s="9" t="s">
        <v>38543</v>
      </c>
      <c r="B5196" s="9" t="s">
        <v>24038</v>
      </c>
      <c r="C5196" s="8" t="s">
        <v>38544</v>
      </c>
      <c r="D5196" s="9" t="b">
        <v>0</v>
      </c>
      <c r="E5196" s="9"/>
    </row>
    <row r="5197" ht="15.75" customHeight="1">
      <c r="A5197" s="9" t="s">
        <v>38545</v>
      </c>
      <c r="B5197" s="9" t="s">
        <v>24038</v>
      </c>
      <c r="C5197" s="8" t="s">
        <v>38546</v>
      </c>
      <c r="D5197" s="9" t="b">
        <v>0</v>
      </c>
      <c r="E5197" s="9"/>
    </row>
    <row r="5198" ht="15.75" customHeight="1">
      <c r="A5198" s="9" t="s">
        <v>38547</v>
      </c>
      <c r="B5198" s="9" t="s">
        <v>24038</v>
      </c>
      <c r="C5198" s="8" t="s">
        <v>38548</v>
      </c>
      <c r="D5198" s="9" t="b">
        <v>0</v>
      </c>
      <c r="E5198" s="9"/>
    </row>
    <row r="5199" ht="15.75" customHeight="1">
      <c r="A5199" s="9" t="s">
        <v>38549</v>
      </c>
      <c r="B5199" s="9" t="s">
        <v>24038</v>
      </c>
      <c r="C5199" s="8" t="s">
        <v>38550</v>
      </c>
      <c r="D5199" s="9" t="b">
        <v>0</v>
      </c>
      <c r="E5199" s="9"/>
    </row>
    <row r="5200" ht="15.75" customHeight="1">
      <c r="A5200" s="9" t="s">
        <v>38551</v>
      </c>
      <c r="B5200" s="9" t="s">
        <v>24053</v>
      </c>
      <c r="C5200" s="8" t="s">
        <v>38552</v>
      </c>
      <c r="D5200" s="9" t="b">
        <v>0</v>
      </c>
      <c r="E5200" s="9"/>
    </row>
    <row r="5201" ht="15.75" customHeight="1">
      <c r="A5201" s="9" t="s">
        <v>38553</v>
      </c>
      <c r="B5201" s="9" t="s">
        <v>24053</v>
      </c>
      <c r="C5201" s="8" t="s">
        <v>38554</v>
      </c>
      <c r="D5201" s="9" t="b">
        <v>0</v>
      </c>
      <c r="E5201" s="9"/>
    </row>
    <row r="5202" ht="15.75" customHeight="1">
      <c r="A5202" s="9" t="s">
        <v>38555</v>
      </c>
      <c r="B5202" s="9" t="s">
        <v>24053</v>
      </c>
      <c r="C5202" s="8" t="s">
        <v>38556</v>
      </c>
      <c r="D5202" s="9" t="b">
        <v>0</v>
      </c>
      <c r="E5202" s="9"/>
    </row>
    <row r="5203" ht="15.75" customHeight="1">
      <c r="A5203" s="9" t="s">
        <v>38557</v>
      </c>
      <c r="B5203" s="9" t="s">
        <v>24053</v>
      </c>
      <c r="C5203" s="8" t="s">
        <v>38558</v>
      </c>
      <c r="D5203" s="9" t="b">
        <v>0</v>
      </c>
      <c r="E5203" s="9"/>
    </row>
    <row r="5204" ht="15.75" customHeight="1">
      <c r="A5204" s="9" t="s">
        <v>38559</v>
      </c>
      <c r="B5204" s="9" t="s">
        <v>24053</v>
      </c>
      <c r="C5204" s="8" t="s">
        <v>38560</v>
      </c>
      <c r="D5204" s="9" t="b">
        <v>0</v>
      </c>
      <c r="E5204" s="9"/>
    </row>
    <row r="5205" ht="15.75" customHeight="1">
      <c r="A5205" s="9" t="s">
        <v>38561</v>
      </c>
      <c r="B5205" s="9" t="s">
        <v>24053</v>
      </c>
      <c r="C5205" s="8" t="s">
        <v>38562</v>
      </c>
      <c r="D5205" s="9" t="b">
        <v>0</v>
      </c>
      <c r="E5205" s="9"/>
    </row>
    <row r="5206" ht="15.75" customHeight="1">
      <c r="A5206" s="9" t="s">
        <v>38563</v>
      </c>
      <c r="B5206" s="9" t="s">
        <v>24053</v>
      </c>
      <c r="C5206" s="8" t="s">
        <v>38564</v>
      </c>
      <c r="D5206" s="9" t="b">
        <v>1</v>
      </c>
      <c r="E5206" s="9"/>
    </row>
    <row r="5207" ht="15.75" customHeight="1">
      <c r="A5207" s="9"/>
      <c r="B5207" s="9"/>
      <c r="C5207" s="9"/>
      <c r="D5207" s="9"/>
      <c r="E5207" s="9"/>
    </row>
    <row r="5208" ht="15.75" customHeight="1">
      <c r="A5208" s="9" t="s">
        <v>38565</v>
      </c>
      <c r="B5208" s="9" t="s">
        <v>24038</v>
      </c>
      <c r="C5208" s="8" t="s">
        <v>38566</v>
      </c>
      <c r="D5208" s="9" t="b">
        <v>0</v>
      </c>
      <c r="E5208" s="9"/>
    </row>
    <row r="5209" ht="15.75" customHeight="1">
      <c r="A5209" s="9" t="s">
        <v>38567</v>
      </c>
      <c r="B5209" s="9" t="s">
        <v>24069</v>
      </c>
      <c r="C5209" s="8" t="s">
        <v>38568</v>
      </c>
      <c r="D5209" s="9" t="b">
        <v>0</v>
      </c>
      <c r="E5209" s="9"/>
    </row>
    <row r="5210" ht="15.75" customHeight="1">
      <c r="A5210" s="9" t="s">
        <v>38569</v>
      </c>
      <c r="B5210" s="9" t="s">
        <v>24069</v>
      </c>
      <c r="C5210" s="8" t="s">
        <v>38570</v>
      </c>
      <c r="D5210" s="9" t="b">
        <v>0</v>
      </c>
      <c r="E5210" s="9"/>
    </row>
    <row r="5211" ht="15.75" customHeight="1">
      <c r="A5211" s="9" t="s">
        <v>38571</v>
      </c>
      <c r="B5211" s="9" t="s">
        <v>24069</v>
      </c>
      <c r="C5211" s="8" t="s">
        <v>38572</v>
      </c>
      <c r="D5211" s="9" t="b">
        <v>0</v>
      </c>
      <c r="E5211" s="9"/>
    </row>
    <row r="5212" ht="15.75" customHeight="1">
      <c r="A5212" s="9" t="s">
        <v>38573</v>
      </c>
      <c r="B5212" s="9" t="s">
        <v>24069</v>
      </c>
      <c r="C5212" s="8" t="s">
        <v>38574</v>
      </c>
      <c r="D5212" s="9" t="b">
        <v>0</v>
      </c>
      <c r="E5212" s="9"/>
    </row>
    <row r="5213" ht="15.75" customHeight="1">
      <c r="A5213" s="9" t="s">
        <v>38575</v>
      </c>
      <c r="B5213" s="9" t="s">
        <v>24069</v>
      </c>
      <c r="C5213" s="8" t="s">
        <v>38576</v>
      </c>
      <c r="D5213" s="9" t="b">
        <v>0</v>
      </c>
      <c r="E5213" s="9"/>
    </row>
    <row r="5214" ht="15.75" customHeight="1">
      <c r="A5214" s="9" t="s">
        <v>38577</v>
      </c>
      <c r="B5214" s="9" t="s">
        <v>24069</v>
      </c>
      <c r="C5214" s="8" t="s">
        <v>38578</v>
      </c>
      <c r="D5214" s="9" t="b">
        <v>0</v>
      </c>
      <c r="E5214" s="9"/>
    </row>
    <row r="5215" ht="15.75" customHeight="1">
      <c r="A5215" s="9" t="s">
        <v>38579</v>
      </c>
      <c r="B5215" s="9" t="s">
        <v>24069</v>
      </c>
      <c r="C5215" s="8" t="s">
        <v>38580</v>
      </c>
      <c r="D5215" s="9" t="b">
        <v>1</v>
      </c>
      <c r="E5215" s="9"/>
    </row>
    <row r="5216" ht="15.75" customHeight="1">
      <c r="A5216" s="9" t="s">
        <v>38581</v>
      </c>
      <c r="B5216" s="9" t="s">
        <v>24069</v>
      </c>
      <c r="C5216" s="8" t="s">
        <v>38582</v>
      </c>
      <c r="D5216" s="9" t="b">
        <v>0</v>
      </c>
      <c r="E5216" s="9"/>
    </row>
    <row r="5217" ht="15.75" customHeight="1">
      <c r="A5217" s="9" t="s">
        <v>38583</v>
      </c>
      <c r="B5217" s="9" t="s">
        <v>24084</v>
      </c>
      <c r="C5217" s="8" t="s">
        <v>38584</v>
      </c>
      <c r="D5217" s="9" t="b">
        <v>1</v>
      </c>
      <c r="E5217" s="9"/>
    </row>
    <row r="5218" ht="15.75" customHeight="1">
      <c r="A5218" s="9" t="s">
        <v>38585</v>
      </c>
      <c r="B5218" s="9" t="s">
        <v>24084</v>
      </c>
      <c r="C5218" s="8" t="s">
        <v>38586</v>
      </c>
      <c r="D5218" s="9" t="b">
        <v>0</v>
      </c>
      <c r="E5218" s="9"/>
    </row>
    <row r="5219" ht="15.75" customHeight="1">
      <c r="A5219" s="9" t="s">
        <v>38587</v>
      </c>
      <c r="B5219" s="9" t="s">
        <v>24084</v>
      </c>
      <c r="C5219" s="8" t="s">
        <v>38588</v>
      </c>
      <c r="D5219" s="9" t="b">
        <v>0</v>
      </c>
      <c r="E5219" s="9"/>
    </row>
    <row r="5220" ht="15.75" customHeight="1">
      <c r="A5220" s="9" t="s">
        <v>38589</v>
      </c>
      <c r="B5220" s="9" t="s">
        <v>24084</v>
      </c>
      <c r="C5220" s="8" t="s">
        <v>38590</v>
      </c>
      <c r="D5220" s="9" t="b">
        <v>0</v>
      </c>
      <c r="E5220" s="9"/>
    </row>
    <row r="5221" ht="15.75" customHeight="1">
      <c r="A5221" s="9" t="s">
        <v>38591</v>
      </c>
      <c r="B5221" s="9" t="s">
        <v>24084</v>
      </c>
      <c r="C5221" s="8" t="s">
        <v>38592</v>
      </c>
      <c r="D5221" s="9" t="b">
        <v>0</v>
      </c>
      <c r="E5221" s="9"/>
    </row>
    <row r="5222" ht="15.75" customHeight="1">
      <c r="A5222" s="9" t="s">
        <v>38593</v>
      </c>
      <c r="B5222" s="9" t="s">
        <v>24084</v>
      </c>
      <c r="C5222" s="8" t="s">
        <v>38594</v>
      </c>
      <c r="D5222" s="9" t="b">
        <v>1</v>
      </c>
      <c r="E5222" s="9"/>
    </row>
    <row r="5223" ht="15.75" customHeight="1">
      <c r="A5223" s="9" t="s">
        <v>38595</v>
      </c>
      <c r="B5223" s="9" t="s">
        <v>24084</v>
      </c>
      <c r="C5223" s="8" t="s">
        <v>38596</v>
      </c>
      <c r="D5223" s="9" t="b">
        <v>0</v>
      </c>
      <c r="E5223" s="9"/>
    </row>
    <row r="5224" ht="15.75" customHeight="1">
      <c r="A5224" s="9" t="s">
        <v>38597</v>
      </c>
      <c r="B5224" s="9" t="s">
        <v>24097</v>
      </c>
      <c r="C5224" s="8" t="s">
        <v>38598</v>
      </c>
      <c r="D5224" s="9" t="b">
        <v>0</v>
      </c>
      <c r="E5224" s="9"/>
    </row>
    <row r="5225" ht="15.75" customHeight="1">
      <c r="A5225" s="9" t="s">
        <v>38599</v>
      </c>
      <c r="B5225" s="9" t="s">
        <v>24097</v>
      </c>
      <c r="C5225" s="8" t="s">
        <v>38600</v>
      </c>
      <c r="D5225" s="9" t="b">
        <v>0</v>
      </c>
      <c r="E5225" s="9"/>
    </row>
    <row r="5226" ht="15.75" customHeight="1">
      <c r="A5226" s="9" t="s">
        <v>38601</v>
      </c>
      <c r="B5226" s="9" t="s">
        <v>24097</v>
      </c>
      <c r="C5226" s="8" t="s">
        <v>38602</v>
      </c>
      <c r="D5226" s="9" t="b">
        <v>0</v>
      </c>
      <c r="E5226" s="9"/>
    </row>
    <row r="5227" ht="15.75" customHeight="1">
      <c r="A5227" s="9" t="s">
        <v>38603</v>
      </c>
      <c r="B5227" s="9" t="s">
        <v>24097</v>
      </c>
      <c r="C5227" s="8" t="s">
        <v>38604</v>
      </c>
      <c r="D5227" s="9" t="b">
        <v>0</v>
      </c>
      <c r="E5227" s="9"/>
    </row>
    <row r="5228" ht="15.75" customHeight="1">
      <c r="A5228" s="9" t="s">
        <v>38605</v>
      </c>
      <c r="B5228" s="9" t="s">
        <v>24097</v>
      </c>
      <c r="C5228" s="8" t="s">
        <v>38606</v>
      </c>
      <c r="D5228" s="9" t="b">
        <v>0</v>
      </c>
      <c r="E5228" s="9"/>
    </row>
    <row r="5229" ht="15.75" customHeight="1">
      <c r="A5229" s="9" t="s">
        <v>38607</v>
      </c>
      <c r="B5229" s="9" t="s">
        <v>24097</v>
      </c>
      <c r="C5229" s="8" t="s">
        <v>38608</v>
      </c>
      <c r="D5229" s="9" t="b">
        <v>1</v>
      </c>
      <c r="E5229" s="9"/>
    </row>
    <row r="5230" ht="15.75" customHeight="1">
      <c r="A5230" s="9" t="s">
        <v>38609</v>
      </c>
      <c r="B5230" s="9" t="s">
        <v>24111</v>
      </c>
      <c r="C5230" s="8" t="s">
        <v>38610</v>
      </c>
      <c r="D5230" s="9" t="b">
        <v>0</v>
      </c>
      <c r="E5230" s="9"/>
    </row>
    <row r="5231" ht="15.75" customHeight="1">
      <c r="A5231" s="9" t="s">
        <v>38611</v>
      </c>
      <c r="B5231" s="9" t="s">
        <v>24111</v>
      </c>
      <c r="C5231" s="8" t="s">
        <v>38612</v>
      </c>
      <c r="D5231" s="9" t="b">
        <v>0</v>
      </c>
      <c r="E5231" s="9"/>
    </row>
    <row r="5232" ht="15.75" customHeight="1">
      <c r="A5232" s="9" t="s">
        <v>38613</v>
      </c>
      <c r="B5232" s="9" t="s">
        <v>24111</v>
      </c>
      <c r="C5232" s="8" t="s">
        <v>38614</v>
      </c>
      <c r="D5232" s="9" t="b">
        <v>0</v>
      </c>
      <c r="E5232" s="9"/>
    </row>
    <row r="5233" ht="15.75" customHeight="1">
      <c r="A5233" s="9" t="s">
        <v>38615</v>
      </c>
      <c r="B5233" s="9" t="s">
        <v>24111</v>
      </c>
      <c r="C5233" s="8" t="s">
        <v>38616</v>
      </c>
      <c r="D5233" s="9" t="b">
        <v>0</v>
      </c>
      <c r="E5233" s="9"/>
    </row>
    <row r="5234" ht="15.75" customHeight="1">
      <c r="A5234" s="9" t="s">
        <v>38617</v>
      </c>
      <c r="B5234" s="9" t="s">
        <v>24111</v>
      </c>
      <c r="C5234" s="8" t="s">
        <v>38618</v>
      </c>
      <c r="D5234" s="9" t="b">
        <v>1</v>
      </c>
      <c r="E5234" s="9"/>
    </row>
    <row r="5235" ht="15.75" customHeight="1">
      <c r="A5235" s="9" t="s">
        <v>38619</v>
      </c>
      <c r="B5235" s="9" t="s">
        <v>24111</v>
      </c>
      <c r="C5235" s="8" t="s">
        <v>38620</v>
      </c>
      <c r="D5235" s="9" t="b">
        <v>0</v>
      </c>
      <c r="E5235" s="9"/>
    </row>
    <row r="5236" ht="15.75" customHeight="1">
      <c r="A5236" s="9" t="s">
        <v>38621</v>
      </c>
      <c r="B5236" s="9" t="s">
        <v>24111</v>
      </c>
      <c r="C5236" s="8" t="s">
        <v>38622</v>
      </c>
      <c r="D5236" s="9" t="b">
        <v>0</v>
      </c>
      <c r="E5236" s="9"/>
    </row>
    <row r="5237" ht="15.75" customHeight="1">
      <c r="A5237" s="9" t="s">
        <v>38623</v>
      </c>
      <c r="B5237" s="9" t="s">
        <v>24136</v>
      </c>
      <c r="C5237" s="8" t="s">
        <v>38624</v>
      </c>
      <c r="D5237" s="9" t="b">
        <v>1</v>
      </c>
      <c r="E5237" s="9"/>
    </row>
    <row r="5238" ht="15.75" customHeight="1">
      <c r="A5238" s="9" t="s">
        <v>38625</v>
      </c>
      <c r="B5238" s="9" t="s">
        <v>24136</v>
      </c>
      <c r="C5238" s="8" t="s">
        <v>38626</v>
      </c>
      <c r="D5238" s="9" t="b">
        <v>0</v>
      </c>
      <c r="E5238" s="9"/>
    </row>
    <row r="5239" ht="15.75" customHeight="1">
      <c r="A5239" s="9" t="s">
        <v>38627</v>
      </c>
      <c r="B5239" s="9" t="s">
        <v>24136</v>
      </c>
      <c r="C5239" s="8" t="s">
        <v>38628</v>
      </c>
      <c r="D5239" s="9" t="b">
        <v>0</v>
      </c>
      <c r="E5239" s="9"/>
    </row>
    <row r="5240" ht="15.75" customHeight="1">
      <c r="A5240" s="9" t="s">
        <v>38629</v>
      </c>
      <c r="B5240" s="9" t="s">
        <v>24136</v>
      </c>
      <c r="C5240" s="8" t="s">
        <v>38630</v>
      </c>
      <c r="D5240" s="9" t="b">
        <v>0</v>
      </c>
      <c r="E5240" s="9"/>
    </row>
    <row r="5241" ht="15.75" customHeight="1">
      <c r="A5241" s="9" t="s">
        <v>38631</v>
      </c>
      <c r="B5241" s="9" t="s">
        <v>24149</v>
      </c>
      <c r="C5241" s="8" t="s">
        <v>38632</v>
      </c>
      <c r="D5241" s="9" t="b">
        <v>1</v>
      </c>
      <c r="E5241" s="9"/>
    </row>
    <row r="5242" ht="15.75" customHeight="1">
      <c r="A5242" s="9" t="s">
        <v>38633</v>
      </c>
      <c r="B5242" s="9" t="s">
        <v>24149</v>
      </c>
      <c r="C5242" s="8" t="s">
        <v>38634</v>
      </c>
      <c r="D5242" s="9" t="b">
        <v>0</v>
      </c>
      <c r="E5242" s="9"/>
    </row>
    <row r="5243" ht="15.75" customHeight="1">
      <c r="A5243" s="9" t="s">
        <v>38635</v>
      </c>
      <c r="B5243" s="9" t="s">
        <v>24149</v>
      </c>
      <c r="C5243" s="8" t="s">
        <v>38636</v>
      </c>
      <c r="D5243" s="9" t="b">
        <v>0</v>
      </c>
      <c r="E5243" s="9"/>
    </row>
    <row r="5244" ht="15.75" customHeight="1">
      <c r="A5244" s="9" t="s">
        <v>38637</v>
      </c>
      <c r="B5244" s="9" t="s">
        <v>24149</v>
      </c>
      <c r="C5244" s="8" t="s">
        <v>38638</v>
      </c>
      <c r="D5244" s="9" t="b">
        <v>0</v>
      </c>
      <c r="E5244" s="9"/>
    </row>
    <row r="5245" ht="15.75" customHeight="1">
      <c r="A5245" s="9" t="s">
        <v>38639</v>
      </c>
      <c r="B5245" s="9" t="s">
        <v>12100</v>
      </c>
      <c r="C5245" s="8" t="s">
        <v>38640</v>
      </c>
      <c r="D5245" s="9" t="b">
        <v>0</v>
      </c>
      <c r="E5245" s="9"/>
    </row>
    <row r="5246" ht="15.75" customHeight="1">
      <c r="A5246" s="9" t="s">
        <v>38641</v>
      </c>
      <c r="B5246" s="9" t="s">
        <v>12100</v>
      </c>
      <c r="C5246" s="8" t="s">
        <v>38642</v>
      </c>
      <c r="D5246" s="9" t="b">
        <v>0</v>
      </c>
      <c r="E5246" s="9"/>
    </row>
    <row r="5247" ht="15.75" customHeight="1">
      <c r="A5247" s="9" t="s">
        <v>38643</v>
      </c>
      <c r="B5247" s="9" t="s">
        <v>12100</v>
      </c>
      <c r="C5247" s="8" t="s">
        <v>38644</v>
      </c>
      <c r="D5247" s="9" t="b">
        <v>0</v>
      </c>
      <c r="E5247" s="9"/>
    </row>
    <row r="5248" ht="15.75" customHeight="1">
      <c r="A5248" s="9" t="s">
        <v>38645</v>
      </c>
      <c r="B5248" s="9" t="s">
        <v>24162</v>
      </c>
      <c r="C5248" s="8" t="s">
        <v>38646</v>
      </c>
      <c r="D5248" s="9" t="b">
        <v>0</v>
      </c>
      <c r="E5248" s="9"/>
    </row>
    <row r="5249" ht="15.75" customHeight="1">
      <c r="A5249" s="9" t="s">
        <v>38647</v>
      </c>
      <c r="B5249" s="9" t="s">
        <v>24162</v>
      </c>
      <c r="C5249" s="8" t="s">
        <v>38648</v>
      </c>
      <c r="D5249" s="9" t="b">
        <v>1</v>
      </c>
      <c r="E5249" s="9"/>
    </row>
    <row r="5250" ht="15.75" customHeight="1">
      <c r="A5250" s="9" t="s">
        <v>38649</v>
      </c>
      <c r="B5250" s="9" t="s">
        <v>24162</v>
      </c>
      <c r="C5250" s="8" t="s">
        <v>38650</v>
      </c>
      <c r="D5250" s="9" t="b">
        <v>0</v>
      </c>
      <c r="E5250" s="9"/>
    </row>
    <row r="5251" ht="15.75" customHeight="1">
      <c r="A5251" s="9" t="s">
        <v>38651</v>
      </c>
      <c r="B5251" s="9" t="s">
        <v>24162</v>
      </c>
      <c r="C5251" s="8" t="s">
        <v>38652</v>
      </c>
      <c r="D5251" s="9" t="b">
        <v>1</v>
      </c>
      <c r="E5251" s="9"/>
    </row>
    <row r="5252" ht="15.75" customHeight="1">
      <c r="A5252" s="9" t="s">
        <v>38653</v>
      </c>
      <c r="B5252" s="9" t="s">
        <v>24162</v>
      </c>
      <c r="C5252" s="8" t="s">
        <v>38654</v>
      </c>
      <c r="D5252" s="9" t="b">
        <v>0</v>
      </c>
      <c r="E5252" s="9"/>
    </row>
    <row r="5253" ht="15.75" customHeight="1">
      <c r="A5253" s="9" t="s">
        <v>38655</v>
      </c>
      <c r="B5253" s="9" t="s">
        <v>24162</v>
      </c>
      <c r="C5253" s="8" t="s">
        <v>38656</v>
      </c>
      <c r="D5253" s="9" t="b">
        <v>0</v>
      </c>
      <c r="E5253" s="9"/>
    </row>
    <row r="5254" ht="15.75" customHeight="1">
      <c r="A5254" s="52" t="s">
        <v>38657</v>
      </c>
      <c r="B5254" s="9" t="s">
        <v>24162</v>
      </c>
      <c r="C5254" s="8" t="s">
        <v>38658</v>
      </c>
      <c r="D5254" s="9" t="b">
        <v>0</v>
      </c>
      <c r="E5254" s="9"/>
    </row>
    <row r="5255" ht="15.75" customHeight="1">
      <c r="A5255" s="9" t="s">
        <v>38659</v>
      </c>
      <c r="B5255" s="9" t="s">
        <v>24162</v>
      </c>
      <c r="C5255" s="8" t="s">
        <v>38660</v>
      </c>
      <c r="D5255" s="9" t="b">
        <v>0</v>
      </c>
      <c r="E5255" s="9"/>
    </row>
    <row r="5256" ht="15.75" customHeight="1">
      <c r="A5256" s="52" t="s">
        <v>38661</v>
      </c>
      <c r="B5256" s="9" t="s">
        <v>24162</v>
      </c>
      <c r="C5256" s="8" t="s">
        <v>38662</v>
      </c>
      <c r="D5256" s="9" t="b">
        <v>0</v>
      </c>
      <c r="E5256" s="9"/>
    </row>
    <row r="5257" ht="15.75" customHeight="1">
      <c r="A5257" s="9" t="s">
        <v>38663</v>
      </c>
      <c r="B5257" s="9" t="s">
        <v>24189</v>
      </c>
      <c r="C5257" s="8" t="s">
        <v>38664</v>
      </c>
      <c r="D5257" s="9" t="b">
        <v>0</v>
      </c>
      <c r="E5257" s="9"/>
    </row>
    <row r="5258" ht="15.75" customHeight="1">
      <c r="A5258" s="9" t="s">
        <v>38665</v>
      </c>
      <c r="B5258" s="9" t="s">
        <v>24216</v>
      </c>
      <c r="C5258" s="8" t="s">
        <v>38666</v>
      </c>
      <c r="D5258" s="9" t="b">
        <v>0</v>
      </c>
      <c r="E5258" s="9"/>
    </row>
    <row r="5259" ht="15.75" customHeight="1">
      <c r="A5259" s="9" t="s">
        <v>38667</v>
      </c>
      <c r="B5259" s="9" t="s">
        <v>24216</v>
      </c>
      <c r="C5259" s="8" t="s">
        <v>38668</v>
      </c>
      <c r="D5259" s="9" t="b">
        <v>0</v>
      </c>
      <c r="E5259" s="9"/>
    </row>
    <row r="5260" ht="15.75" customHeight="1">
      <c r="A5260" s="9" t="s">
        <v>38669</v>
      </c>
      <c r="B5260" s="9" t="s">
        <v>24216</v>
      </c>
      <c r="C5260" s="8" t="s">
        <v>38670</v>
      </c>
      <c r="D5260" s="9" t="b">
        <v>0</v>
      </c>
      <c r="E5260" s="9"/>
    </row>
    <row r="5261" ht="15.75" customHeight="1">
      <c r="A5261" s="9" t="s">
        <v>38671</v>
      </c>
      <c r="B5261" s="9" t="s">
        <v>24216</v>
      </c>
      <c r="C5261" s="8" t="s">
        <v>38672</v>
      </c>
      <c r="D5261" s="9" t="b">
        <v>0</v>
      </c>
      <c r="E5261" s="9"/>
    </row>
    <row r="5262" ht="15.75" customHeight="1">
      <c r="A5262" s="9" t="s">
        <v>38673</v>
      </c>
      <c r="B5262" s="9" t="s">
        <v>24216</v>
      </c>
      <c r="C5262" s="8" t="s">
        <v>38674</v>
      </c>
      <c r="D5262" s="9" t="b">
        <v>0</v>
      </c>
      <c r="E5262" s="9"/>
    </row>
    <row r="5263" ht="15.75" customHeight="1">
      <c r="A5263" s="9" t="s">
        <v>38675</v>
      </c>
      <c r="B5263" s="9" t="s">
        <v>24216</v>
      </c>
      <c r="C5263" s="8" t="s">
        <v>38676</v>
      </c>
      <c r="D5263" s="9" t="b">
        <v>0</v>
      </c>
      <c r="E5263" s="9"/>
    </row>
    <row r="5264" ht="15.75" customHeight="1">
      <c r="A5264" s="9" t="s">
        <v>38677</v>
      </c>
      <c r="B5264" s="9" t="s">
        <v>24216</v>
      </c>
      <c r="C5264" s="8" t="s">
        <v>38678</v>
      </c>
      <c r="D5264" s="9" t="b">
        <v>1</v>
      </c>
      <c r="E5264" s="9"/>
    </row>
    <row r="5265" ht="15.75" customHeight="1">
      <c r="A5265" s="9" t="s">
        <v>38679</v>
      </c>
      <c r="B5265" s="9" t="s">
        <v>24216</v>
      </c>
      <c r="C5265" s="8" t="s">
        <v>38680</v>
      </c>
      <c r="D5265" s="9" t="b">
        <v>0</v>
      </c>
      <c r="E5265" s="9"/>
    </row>
    <row r="5266" ht="15.75" customHeight="1">
      <c r="A5266" s="9" t="s">
        <v>38681</v>
      </c>
      <c r="B5266" s="9" t="s">
        <v>24216</v>
      </c>
      <c r="C5266" s="8" t="s">
        <v>38682</v>
      </c>
      <c r="D5266" s="9" t="b">
        <v>0</v>
      </c>
      <c r="E5266" s="9"/>
    </row>
    <row r="5267" ht="15.75" customHeight="1">
      <c r="A5267" s="9" t="s">
        <v>38683</v>
      </c>
      <c r="B5267" s="9" t="s">
        <v>24178</v>
      </c>
      <c r="C5267" s="8" t="s">
        <v>38684</v>
      </c>
      <c r="D5267" s="9" t="b">
        <v>1</v>
      </c>
      <c r="E5267" s="9"/>
    </row>
    <row r="5268" ht="15.75" customHeight="1">
      <c r="A5268" s="9" t="s">
        <v>38685</v>
      </c>
      <c r="B5268" s="9" t="s">
        <v>24231</v>
      </c>
      <c r="C5268" s="8" t="s">
        <v>38686</v>
      </c>
      <c r="D5268" s="9" t="b">
        <v>0</v>
      </c>
      <c r="E5268" s="9"/>
    </row>
    <row r="5269" ht="15.75" customHeight="1">
      <c r="A5269" s="9" t="s">
        <v>38687</v>
      </c>
      <c r="B5269" s="9" t="s">
        <v>24231</v>
      </c>
      <c r="C5269" s="8" t="s">
        <v>38688</v>
      </c>
      <c r="D5269" s="9" t="b">
        <v>0</v>
      </c>
      <c r="E5269" s="9"/>
    </row>
    <row r="5270" ht="15.75" customHeight="1">
      <c r="A5270" s="9" t="s">
        <v>38689</v>
      </c>
      <c r="B5270" s="9" t="s">
        <v>24231</v>
      </c>
      <c r="C5270" s="8" t="s">
        <v>38690</v>
      </c>
      <c r="D5270" s="9" t="b">
        <v>1</v>
      </c>
      <c r="E5270" s="9"/>
    </row>
    <row r="5271" ht="15.75" customHeight="1">
      <c r="A5271" s="9" t="s">
        <v>38691</v>
      </c>
      <c r="B5271" s="9" t="s">
        <v>24231</v>
      </c>
      <c r="C5271" s="8" t="s">
        <v>38692</v>
      </c>
      <c r="D5271" s="9" t="b">
        <v>0</v>
      </c>
      <c r="E5271" s="9"/>
    </row>
    <row r="5272" ht="15.75" customHeight="1">
      <c r="A5272" s="9" t="s">
        <v>38693</v>
      </c>
      <c r="B5272" s="9" t="s">
        <v>24231</v>
      </c>
      <c r="C5272" s="8" t="s">
        <v>38694</v>
      </c>
      <c r="D5272" s="9" t="b">
        <v>0</v>
      </c>
      <c r="E5272" s="9"/>
    </row>
    <row r="5273" ht="15.75" customHeight="1">
      <c r="A5273" s="9" t="s">
        <v>38695</v>
      </c>
      <c r="B5273" s="9" t="s">
        <v>24231</v>
      </c>
      <c r="C5273" s="8" t="s">
        <v>38696</v>
      </c>
      <c r="D5273" s="9" t="b">
        <v>0</v>
      </c>
      <c r="E5273" s="9"/>
    </row>
    <row r="5274" ht="15.75" customHeight="1">
      <c r="A5274" s="9" t="s">
        <v>38697</v>
      </c>
      <c r="B5274" s="9" t="s">
        <v>24244</v>
      </c>
      <c r="C5274" s="8" t="s">
        <v>38698</v>
      </c>
      <c r="D5274" s="9" t="b">
        <v>0</v>
      </c>
      <c r="E5274" s="9"/>
    </row>
    <row r="5275" ht="15.75" customHeight="1">
      <c r="A5275" s="9" t="s">
        <v>38699</v>
      </c>
      <c r="B5275" s="9" t="s">
        <v>24244</v>
      </c>
      <c r="C5275" s="8" t="s">
        <v>38700</v>
      </c>
      <c r="D5275" s="9" t="b">
        <v>0</v>
      </c>
      <c r="E5275" s="9"/>
    </row>
    <row r="5276" ht="15.75" customHeight="1">
      <c r="A5276" s="9" t="s">
        <v>38701</v>
      </c>
      <c r="B5276" s="9" t="s">
        <v>24244</v>
      </c>
      <c r="C5276" s="8" t="s">
        <v>38702</v>
      </c>
      <c r="D5276" s="9" t="b">
        <v>0</v>
      </c>
      <c r="E5276" s="9"/>
    </row>
    <row r="5277" ht="15.75" customHeight="1">
      <c r="A5277" s="9" t="s">
        <v>38703</v>
      </c>
      <c r="B5277" s="9" t="s">
        <v>24244</v>
      </c>
      <c r="C5277" s="8" t="s">
        <v>38704</v>
      </c>
      <c r="D5277" s="9" t="b">
        <v>1</v>
      </c>
      <c r="E5277" s="9"/>
    </row>
    <row r="5278" ht="15.75" customHeight="1">
      <c r="A5278" s="9" t="s">
        <v>38705</v>
      </c>
      <c r="B5278" s="9" t="s">
        <v>24244</v>
      </c>
      <c r="C5278" s="8" t="s">
        <v>38706</v>
      </c>
      <c r="D5278" s="9" t="b">
        <v>0</v>
      </c>
      <c r="E5278" s="9"/>
    </row>
    <row r="5279" ht="15.75" customHeight="1">
      <c r="A5279" s="9" t="s">
        <v>38707</v>
      </c>
      <c r="B5279" s="9" t="s">
        <v>24189</v>
      </c>
      <c r="C5279" s="8" t="s">
        <v>38708</v>
      </c>
      <c r="D5279" s="9" t="b">
        <v>0</v>
      </c>
      <c r="E5279" s="9"/>
    </row>
    <row r="5280" ht="15.75" customHeight="1">
      <c r="A5280" s="9" t="s">
        <v>38709</v>
      </c>
      <c r="B5280" s="9" t="s">
        <v>24189</v>
      </c>
      <c r="C5280" s="8" t="s">
        <v>38710</v>
      </c>
      <c r="D5280" s="9" t="b">
        <v>0</v>
      </c>
      <c r="E5280" s="9"/>
    </row>
    <row r="5281" ht="15.75" customHeight="1">
      <c r="A5281" s="9" t="s">
        <v>38711</v>
      </c>
      <c r="B5281" s="9" t="s">
        <v>24189</v>
      </c>
      <c r="C5281" s="8" t="s">
        <v>38712</v>
      </c>
      <c r="D5281" s="9" t="b">
        <v>0</v>
      </c>
      <c r="E5281" s="9"/>
    </row>
    <row r="5282" ht="15.75" customHeight="1">
      <c r="A5282" s="9" t="s">
        <v>38713</v>
      </c>
      <c r="B5282" s="9" t="s">
        <v>24189</v>
      </c>
      <c r="C5282" s="8" t="s">
        <v>38714</v>
      </c>
      <c r="D5282" s="9" t="b">
        <v>0</v>
      </c>
      <c r="E5282" s="9"/>
    </row>
    <row r="5283" ht="15.75" customHeight="1">
      <c r="A5283" s="9" t="s">
        <v>38715</v>
      </c>
      <c r="B5283" s="9" t="s">
        <v>24189</v>
      </c>
      <c r="C5283" s="8" t="s">
        <v>38716</v>
      </c>
      <c r="D5283" s="9" t="b">
        <v>0</v>
      </c>
      <c r="E5283" s="9"/>
    </row>
    <row r="5284" ht="15.75" customHeight="1">
      <c r="A5284" s="9" t="s">
        <v>38717</v>
      </c>
      <c r="B5284" s="9" t="s">
        <v>24189</v>
      </c>
      <c r="C5284" s="8" t="s">
        <v>38718</v>
      </c>
      <c r="D5284" s="9" t="b">
        <v>0</v>
      </c>
      <c r="E5284" s="9"/>
    </row>
    <row r="5285" ht="15.75" customHeight="1">
      <c r="A5285" s="9" t="s">
        <v>38719</v>
      </c>
      <c r="B5285" s="9" t="s">
        <v>24189</v>
      </c>
      <c r="C5285" s="8" t="s">
        <v>38720</v>
      </c>
      <c r="D5285" s="9" t="b">
        <v>0</v>
      </c>
      <c r="E5285" s="9"/>
    </row>
    <row r="5286" ht="15.75" customHeight="1">
      <c r="A5286" s="9" t="s">
        <v>38721</v>
      </c>
      <c r="B5286" s="9" t="s">
        <v>24189</v>
      </c>
      <c r="C5286" s="8" t="s">
        <v>38722</v>
      </c>
      <c r="D5286" s="9" t="b">
        <v>0</v>
      </c>
      <c r="E5286" s="9"/>
    </row>
    <row r="5287" ht="15.75" customHeight="1">
      <c r="A5287" s="52" t="s">
        <v>38723</v>
      </c>
      <c r="B5287" s="9" t="s">
        <v>24189</v>
      </c>
      <c r="C5287" s="8" t="s">
        <v>38724</v>
      </c>
      <c r="D5287" s="9" t="b">
        <v>0</v>
      </c>
      <c r="E5287" s="9"/>
    </row>
    <row r="5288" ht="15.75" customHeight="1">
      <c r="A5288" s="9" t="s">
        <v>38725</v>
      </c>
      <c r="B5288" s="9" t="s">
        <v>24189</v>
      </c>
      <c r="C5288" s="8" t="s">
        <v>38726</v>
      </c>
      <c r="D5288" s="9" t="b">
        <v>0</v>
      </c>
      <c r="E5288" s="9"/>
    </row>
    <row r="5289" ht="15.75" customHeight="1">
      <c r="A5289" s="9" t="s">
        <v>38727</v>
      </c>
      <c r="B5289" s="9" t="s">
        <v>24189</v>
      </c>
      <c r="C5289" s="8" t="s">
        <v>38728</v>
      </c>
      <c r="D5289" s="9" t="b">
        <v>0</v>
      </c>
      <c r="E5289" s="9"/>
    </row>
    <row r="5290" ht="15.75" customHeight="1">
      <c r="A5290" s="9" t="s">
        <v>38729</v>
      </c>
      <c r="B5290" s="9" t="s">
        <v>24189</v>
      </c>
      <c r="C5290" s="8" t="s">
        <v>38730</v>
      </c>
      <c r="D5290" s="9" t="b">
        <v>1</v>
      </c>
      <c r="E5290" s="9"/>
    </row>
    <row r="5291" ht="15.75" customHeight="1">
      <c r="A5291" s="9" t="s">
        <v>38731</v>
      </c>
      <c r="B5291" s="9" t="s">
        <v>24262</v>
      </c>
      <c r="C5291" s="8" t="s">
        <v>38732</v>
      </c>
      <c r="D5291" s="9" t="b">
        <v>1</v>
      </c>
      <c r="E5291" s="9"/>
    </row>
    <row r="5292" ht="15.75" customHeight="1">
      <c r="A5292" s="9" t="s">
        <v>38733</v>
      </c>
      <c r="B5292" s="9" t="s">
        <v>24262</v>
      </c>
      <c r="C5292" s="8" t="s">
        <v>38734</v>
      </c>
      <c r="D5292" s="9" t="b">
        <v>0</v>
      </c>
      <c r="E5292" s="9"/>
    </row>
    <row r="5293" ht="15.75" customHeight="1">
      <c r="A5293" s="9" t="s">
        <v>38735</v>
      </c>
      <c r="B5293" s="9" t="s">
        <v>24262</v>
      </c>
      <c r="C5293" s="8" t="s">
        <v>38736</v>
      </c>
      <c r="D5293" s="9" t="b">
        <v>0</v>
      </c>
      <c r="E5293" s="9"/>
    </row>
    <row r="5294" ht="15.75" customHeight="1">
      <c r="A5294" s="52" t="s">
        <v>38737</v>
      </c>
      <c r="B5294" s="9" t="s">
        <v>24274</v>
      </c>
      <c r="C5294" s="8" t="s">
        <v>38738</v>
      </c>
      <c r="D5294" s="9" t="b">
        <v>0</v>
      </c>
      <c r="E5294" s="9"/>
    </row>
    <row r="5295" ht="15.75" customHeight="1">
      <c r="A5295" s="9" t="s">
        <v>38739</v>
      </c>
      <c r="B5295" s="9" t="s">
        <v>24274</v>
      </c>
      <c r="C5295" s="8" t="s">
        <v>38740</v>
      </c>
      <c r="D5295" s="9" t="b">
        <v>0</v>
      </c>
      <c r="E5295" s="9"/>
    </row>
    <row r="5296" ht="15.75" customHeight="1">
      <c r="A5296" s="9" t="s">
        <v>38741</v>
      </c>
      <c r="B5296" s="9" t="s">
        <v>24274</v>
      </c>
      <c r="C5296" s="8" t="s">
        <v>38742</v>
      </c>
      <c r="D5296" s="9" t="b">
        <v>0</v>
      </c>
      <c r="E5296" s="9"/>
    </row>
    <row r="5297" ht="15.75" customHeight="1">
      <c r="A5297" s="9" t="s">
        <v>38743</v>
      </c>
      <c r="B5297" s="9" t="s">
        <v>24274</v>
      </c>
      <c r="C5297" s="8" t="s">
        <v>38744</v>
      </c>
      <c r="D5297" s="9" t="b">
        <v>0</v>
      </c>
      <c r="E5297" s="9"/>
    </row>
    <row r="5298" ht="15.75" customHeight="1">
      <c r="A5298" s="9" t="s">
        <v>38745</v>
      </c>
      <c r="B5298" s="9" t="s">
        <v>24274</v>
      </c>
      <c r="C5298" s="8" t="s">
        <v>38746</v>
      </c>
      <c r="D5298" s="9" t="b">
        <v>0</v>
      </c>
      <c r="E5298" s="9"/>
    </row>
    <row r="5299" ht="15.75" customHeight="1">
      <c r="A5299" s="9" t="s">
        <v>38747</v>
      </c>
      <c r="B5299" s="9" t="s">
        <v>24274</v>
      </c>
      <c r="C5299" s="8" t="s">
        <v>38748</v>
      </c>
      <c r="D5299" s="9" t="b">
        <v>1</v>
      </c>
      <c r="E5299" s="9"/>
    </row>
    <row r="5300" ht="15.75" customHeight="1">
      <c r="A5300" s="9" t="s">
        <v>38749</v>
      </c>
      <c r="B5300" s="9" t="s">
        <v>24274</v>
      </c>
      <c r="C5300" s="8" t="s">
        <v>38750</v>
      </c>
      <c r="D5300" s="9" t="b">
        <v>0</v>
      </c>
      <c r="E5300" s="9"/>
    </row>
    <row r="5301" ht="15.75" customHeight="1">
      <c r="A5301" s="9" t="s">
        <v>38751</v>
      </c>
      <c r="B5301" s="9" t="s">
        <v>274</v>
      </c>
      <c r="C5301" s="8" t="s">
        <v>24215</v>
      </c>
      <c r="D5301" s="9" t="b">
        <v>1</v>
      </c>
      <c r="E5301" s="9"/>
    </row>
    <row r="5302" ht="15.75" customHeight="1">
      <c r="A5302" s="9" t="s">
        <v>38752</v>
      </c>
      <c r="B5302" s="9" t="s">
        <v>274</v>
      </c>
      <c r="C5302" s="8" t="s">
        <v>38753</v>
      </c>
      <c r="D5302" s="9" t="b">
        <v>0</v>
      </c>
      <c r="E5302" s="9"/>
    </row>
    <row r="5303" ht="15.75" customHeight="1">
      <c r="A5303" s="9" t="s">
        <v>38754</v>
      </c>
      <c r="B5303" s="9" t="s">
        <v>274</v>
      </c>
      <c r="C5303" s="8" t="s">
        <v>38755</v>
      </c>
      <c r="D5303" s="9" t="b">
        <v>0</v>
      </c>
      <c r="E5303" s="9"/>
    </row>
    <row r="5304" ht="15.75" customHeight="1">
      <c r="A5304" s="9" t="s">
        <v>38756</v>
      </c>
      <c r="B5304" s="9" t="s">
        <v>274</v>
      </c>
      <c r="C5304" s="8" t="s">
        <v>38757</v>
      </c>
      <c r="D5304" s="9" t="b">
        <v>0</v>
      </c>
      <c r="E5304" s="9"/>
    </row>
    <row r="5305" ht="15.75" customHeight="1">
      <c r="A5305" s="9" t="s">
        <v>38758</v>
      </c>
      <c r="B5305" s="9" t="s">
        <v>274</v>
      </c>
      <c r="C5305" s="8" t="s">
        <v>38759</v>
      </c>
      <c r="D5305" s="9" t="b">
        <v>0</v>
      </c>
      <c r="E5305" s="9"/>
    </row>
    <row r="5306" ht="15.75" customHeight="1">
      <c r="A5306" s="9" t="s">
        <v>38760</v>
      </c>
      <c r="B5306" s="9" t="s">
        <v>274</v>
      </c>
      <c r="C5306" s="8" t="s">
        <v>38761</v>
      </c>
      <c r="D5306" s="9" t="b">
        <v>0</v>
      </c>
      <c r="E5306" s="9"/>
    </row>
    <row r="5307" ht="15.75" customHeight="1">
      <c r="A5307" s="9" t="s">
        <v>38762</v>
      </c>
      <c r="B5307" s="9" t="s">
        <v>274</v>
      </c>
      <c r="C5307" s="8" t="s">
        <v>38763</v>
      </c>
      <c r="D5307" s="9" t="b">
        <v>0</v>
      </c>
      <c r="E5307" s="9"/>
    </row>
    <row r="5308" ht="15.75" customHeight="1">
      <c r="A5308" s="9" t="s">
        <v>38764</v>
      </c>
      <c r="B5308" s="9" t="s">
        <v>24290</v>
      </c>
      <c r="C5308" s="8" t="s">
        <v>38765</v>
      </c>
      <c r="D5308" s="9" t="b">
        <v>0</v>
      </c>
      <c r="E5308" s="9"/>
    </row>
    <row r="5309" ht="15.75" customHeight="1">
      <c r="A5309" s="9" t="s">
        <v>38766</v>
      </c>
      <c r="B5309" s="9" t="s">
        <v>24290</v>
      </c>
      <c r="C5309" s="8" t="s">
        <v>38767</v>
      </c>
      <c r="D5309" s="9" t="b">
        <v>0</v>
      </c>
      <c r="E5309" s="9"/>
    </row>
    <row r="5310" ht="15.75" customHeight="1">
      <c r="A5310" s="9" t="s">
        <v>38768</v>
      </c>
      <c r="B5310" s="9" t="s">
        <v>24290</v>
      </c>
      <c r="C5310" s="8" t="s">
        <v>38769</v>
      </c>
      <c r="D5310" s="9" t="b">
        <v>1</v>
      </c>
      <c r="E5310" s="9"/>
    </row>
    <row r="5311" ht="15.75" customHeight="1">
      <c r="A5311" s="9" t="s">
        <v>38770</v>
      </c>
      <c r="B5311" s="9" t="s">
        <v>24290</v>
      </c>
      <c r="C5311" s="8" t="s">
        <v>38771</v>
      </c>
      <c r="D5311" s="9" t="b">
        <v>0</v>
      </c>
      <c r="E5311" s="9"/>
    </row>
    <row r="5312" ht="15.75" customHeight="1">
      <c r="A5312" s="9" t="s">
        <v>38772</v>
      </c>
      <c r="B5312" s="9" t="s">
        <v>24290</v>
      </c>
      <c r="C5312" s="8" t="s">
        <v>38773</v>
      </c>
      <c r="D5312" s="9" t="b">
        <v>0</v>
      </c>
      <c r="E5312" s="9"/>
    </row>
    <row r="5313" ht="15.75" customHeight="1">
      <c r="A5313" s="9" t="s">
        <v>38774</v>
      </c>
      <c r="B5313" s="9" t="s">
        <v>24290</v>
      </c>
      <c r="C5313" s="8" t="s">
        <v>38775</v>
      </c>
      <c r="D5313" s="9" t="b">
        <v>0</v>
      </c>
      <c r="E5313" s="9"/>
    </row>
    <row r="5314" ht="15.75" customHeight="1">
      <c r="A5314" s="9" t="s">
        <v>38776</v>
      </c>
      <c r="B5314" s="9" t="s">
        <v>24290</v>
      </c>
      <c r="C5314" s="8" t="s">
        <v>38777</v>
      </c>
      <c r="D5314" s="9" t="b">
        <v>0</v>
      </c>
      <c r="E5314" s="9"/>
    </row>
    <row r="5315" ht="15.75" customHeight="1">
      <c r="A5315" s="9" t="s">
        <v>38778</v>
      </c>
      <c r="B5315" s="9" t="s">
        <v>24304</v>
      </c>
      <c r="C5315" s="9" t="s">
        <v>38779</v>
      </c>
      <c r="D5315" s="9" t="b">
        <v>1</v>
      </c>
      <c r="E5315" s="9"/>
    </row>
    <row r="5316" ht="15.75" customHeight="1">
      <c r="A5316" s="9" t="s">
        <v>38780</v>
      </c>
      <c r="B5316" s="9" t="s">
        <v>24304</v>
      </c>
      <c r="C5316" s="9" t="s">
        <v>38781</v>
      </c>
      <c r="D5316" s="9" t="b">
        <v>0</v>
      </c>
      <c r="E5316" s="9"/>
    </row>
    <row r="5317" ht="15.75" customHeight="1">
      <c r="A5317" s="9" t="s">
        <v>38782</v>
      </c>
      <c r="B5317" s="9" t="s">
        <v>24304</v>
      </c>
      <c r="C5317" s="9" t="s">
        <v>38783</v>
      </c>
      <c r="D5317" s="9" t="b">
        <v>0</v>
      </c>
      <c r="E5317" s="9"/>
    </row>
    <row r="5318" ht="15.75" customHeight="1">
      <c r="A5318" s="9" t="s">
        <v>38784</v>
      </c>
      <c r="B5318" s="9" t="s">
        <v>24304</v>
      </c>
      <c r="C5318" s="9" t="s">
        <v>38785</v>
      </c>
      <c r="D5318" s="9" t="b">
        <v>0</v>
      </c>
      <c r="E5318" s="9"/>
    </row>
  </sheetData>
  <autoFilter ref="$A$1:$Z$4300"/>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7"/>
    <hyperlink r:id="rId25" ref="C28"/>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 r:id="rId42" ref="C48"/>
    <hyperlink r:id="rId43" ref="C49"/>
    <hyperlink r:id="rId44" ref="C50"/>
    <hyperlink r:id="rId45" ref="C51"/>
    <hyperlink r:id="rId46" ref="C52"/>
    <hyperlink r:id="rId47" ref="C59"/>
    <hyperlink r:id="rId48" ref="C60"/>
    <hyperlink r:id="rId49" ref="C61"/>
    <hyperlink r:id="rId50" ref="C62"/>
    <hyperlink r:id="rId51" ref="C63"/>
    <hyperlink r:id="rId52" ref="C64"/>
    <hyperlink r:id="rId53" ref="C65"/>
    <hyperlink r:id="rId54" ref="C66"/>
    <hyperlink r:id="rId55" ref="C67"/>
    <hyperlink r:id="rId56" ref="C68"/>
    <hyperlink r:id="rId57" ref="C69"/>
    <hyperlink r:id="rId58" ref="C70"/>
    <hyperlink r:id="rId59" ref="C71"/>
    <hyperlink r:id="rId60" ref="C72"/>
    <hyperlink r:id="rId61" ref="C73"/>
    <hyperlink r:id="rId62" ref="C75"/>
    <hyperlink r:id="rId63" ref="C77"/>
    <hyperlink r:id="rId64" ref="C78"/>
    <hyperlink r:id="rId65" ref="C79"/>
    <hyperlink r:id="rId66" ref="C80"/>
    <hyperlink r:id="rId67" ref="C81"/>
    <hyperlink r:id="rId68" ref="C82"/>
    <hyperlink r:id="rId69" ref="C83"/>
    <hyperlink r:id="rId70" ref="C84"/>
    <hyperlink r:id="rId71" ref="C85"/>
    <hyperlink r:id="rId72" ref="C86"/>
    <hyperlink r:id="rId73" ref="C87"/>
    <hyperlink r:id="rId74" ref="C88"/>
    <hyperlink r:id="rId75" ref="C89"/>
    <hyperlink r:id="rId76" ref="C90"/>
    <hyperlink r:id="rId77" ref="C91"/>
    <hyperlink r:id="rId78" ref="C92"/>
    <hyperlink r:id="rId79" ref="C93"/>
    <hyperlink r:id="rId80" ref="C94"/>
    <hyperlink r:id="rId81" ref="C95"/>
    <hyperlink r:id="rId82" ref="C96"/>
    <hyperlink r:id="rId83" ref="C97"/>
    <hyperlink r:id="rId84" ref="C98"/>
    <hyperlink r:id="rId85" ref="C99"/>
    <hyperlink r:id="rId86" ref="C100"/>
    <hyperlink r:id="rId87" ref="C101"/>
    <hyperlink r:id="rId88" ref="C102"/>
    <hyperlink r:id="rId89" ref="C103"/>
    <hyperlink r:id="rId90" ref="C104"/>
    <hyperlink r:id="rId91" ref="C105"/>
    <hyperlink r:id="rId92" ref="C110"/>
    <hyperlink r:id="rId93" ref="C111"/>
    <hyperlink r:id="rId94" ref="C112"/>
    <hyperlink r:id="rId95" ref="C113"/>
    <hyperlink r:id="rId96" ref="C114"/>
    <hyperlink r:id="rId97" ref="C115"/>
    <hyperlink r:id="rId98" ref="C116"/>
    <hyperlink r:id="rId99" ref="C117"/>
    <hyperlink r:id="rId100" ref="C118"/>
    <hyperlink r:id="rId101" ref="C119"/>
    <hyperlink r:id="rId102" ref="C120"/>
    <hyperlink r:id="rId103" ref="C121"/>
    <hyperlink r:id="rId104" ref="C122"/>
    <hyperlink r:id="rId105" ref="C123"/>
    <hyperlink r:id="rId106" ref="C124"/>
    <hyperlink r:id="rId107" ref="C125"/>
    <hyperlink r:id="rId108" ref="C126"/>
    <hyperlink r:id="rId109" ref="C127"/>
    <hyperlink r:id="rId110" ref="C128"/>
    <hyperlink r:id="rId111" ref="C129"/>
    <hyperlink r:id="rId112" ref="C130"/>
    <hyperlink r:id="rId113" ref="C131"/>
    <hyperlink r:id="rId114" ref="C132"/>
    <hyperlink r:id="rId115" ref="C133"/>
    <hyperlink r:id="rId116" ref="C134"/>
    <hyperlink r:id="rId117" ref="C135"/>
    <hyperlink r:id="rId118" ref="C136"/>
    <hyperlink r:id="rId119" ref="C137"/>
    <hyperlink r:id="rId120" ref="C138"/>
    <hyperlink r:id="rId121" ref="C139"/>
    <hyperlink r:id="rId122" ref="C140"/>
    <hyperlink r:id="rId123" ref="C141"/>
    <hyperlink r:id="rId124" ref="C142"/>
    <hyperlink r:id="rId125" ref="C143"/>
    <hyperlink r:id="rId126" ref="C144"/>
    <hyperlink r:id="rId127" ref="C145"/>
    <hyperlink r:id="rId128" ref="C146"/>
    <hyperlink r:id="rId129" ref="C147"/>
    <hyperlink r:id="rId130" ref="C148"/>
    <hyperlink r:id="rId131" ref="C149"/>
    <hyperlink r:id="rId132" ref="C150"/>
    <hyperlink r:id="rId133" ref="C151"/>
    <hyperlink r:id="rId134" ref="C152"/>
    <hyperlink r:id="rId135" ref="C153"/>
    <hyperlink r:id="rId136" ref="C154"/>
    <hyperlink r:id="rId137" ref="C155"/>
    <hyperlink r:id="rId138" ref="C160"/>
    <hyperlink r:id="rId139" ref="C161"/>
    <hyperlink r:id="rId140" ref="C162"/>
    <hyperlink r:id="rId141" ref="C163"/>
    <hyperlink r:id="rId142" ref="C164"/>
    <hyperlink r:id="rId143" ref="C165"/>
    <hyperlink r:id="rId144" ref="C166"/>
    <hyperlink r:id="rId145" ref="C167"/>
    <hyperlink r:id="rId146" ref="C168"/>
    <hyperlink r:id="rId147" ref="C169"/>
    <hyperlink r:id="rId148" ref="C170"/>
    <hyperlink r:id="rId149" ref="C176"/>
    <hyperlink r:id="rId150" ref="C177"/>
    <hyperlink r:id="rId151" ref="C178"/>
    <hyperlink r:id="rId152" ref="C179"/>
    <hyperlink r:id="rId153" ref="C180"/>
    <hyperlink r:id="rId154" ref="C181"/>
    <hyperlink r:id="rId155" ref="C182"/>
    <hyperlink r:id="rId156" ref="C185"/>
    <hyperlink r:id="rId157" ref="C186"/>
    <hyperlink r:id="rId158" ref="C187"/>
    <hyperlink r:id="rId159" ref="C188"/>
    <hyperlink r:id="rId160" ref="C189"/>
    <hyperlink r:id="rId161" ref="C190"/>
    <hyperlink r:id="rId162" ref="C191"/>
    <hyperlink r:id="rId163" ref="C192"/>
    <hyperlink r:id="rId164" ref="C193"/>
    <hyperlink r:id="rId165" ref="C194"/>
    <hyperlink r:id="rId166" ref="C195"/>
    <hyperlink r:id="rId167" ref="C196"/>
    <hyperlink r:id="rId168" ref="C197"/>
    <hyperlink r:id="rId169" ref="C198"/>
    <hyperlink r:id="rId170" ref="C199"/>
    <hyperlink r:id="rId171" ref="C200"/>
    <hyperlink r:id="rId172" ref="C201"/>
    <hyperlink r:id="rId173" ref="C202"/>
    <hyperlink r:id="rId174" ref="C203"/>
    <hyperlink r:id="rId175" ref="C204"/>
    <hyperlink r:id="rId176" ref="C205"/>
    <hyperlink r:id="rId177" ref="C206"/>
    <hyperlink r:id="rId178" ref="C207"/>
    <hyperlink r:id="rId179" ref="C208"/>
    <hyperlink r:id="rId180" ref="C209"/>
    <hyperlink r:id="rId181" ref="C210"/>
    <hyperlink r:id="rId182" ref="C211"/>
    <hyperlink r:id="rId183" ref="C212"/>
    <hyperlink r:id="rId184" ref="C213"/>
    <hyperlink r:id="rId185" ref="C214"/>
    <hyperlink r:id="rId186" ref="C215"/>
    <hyperlink r:id="rId187" ref="C216"/>
    <hyperlink r:id="rId188" ref="C217"/>
    <hyperlink r:id="rId189" ref="C218"/>
    <hyperlink r:id="rId190" ref="C219"/>
    <hyperlink r:id="rId191" ref="C220"/>
    <hyperlink r:id="rId192" ref="C221"/>
    <hyperlink r:id="rId193" ref="C222"/>
    <hyperlink r:id="rId194" ref="C223"/>
    <hyperlink r:id="rId195" ref="C224"/>
    <hyperlink r:id="rId196" ref="C225"/>
    <hyperlink r:id="rId197" ref="C237"/>
    <hyperlink r:id="rId198" ref="C238"/>
    <hyperlink r:id="rId199" ref="C239"/>
    <hyperlink r:id="rId200" ref="C240"/>
    <hyperlink r:id="rId201" ref="C241"/>
    <hyperlink r:id="rId202" ref="C242"/>
    <hyperlink r:id="rId203" ref="C243"/>
    <hyperlink r:id="rId204" ref="C244"/>
    <hyperlink r:id="rId205" ref="C245"/>
    <hyperlink r:id="rId206" ref="C246"/>
    <hyperlink r:id="rId207" ref="C247"/>
    <hyperlink r:id="rId208" ref="C248"/>
    <hyperlink r:id="rId209" ref="C249"/>
    <hyperlink r:id="rId210" ref="C250"/>
    <hyperlink r:id="rId211" ref="C251"/>
    <hyperlink r:id="rId212" ref="C252"/>
    <hyperlink r:id="rId213" ref="C253"/>
    <hyperlink r:id="rId214" ref="C254"/>
    <hyperlink r:id="rId215" ref="C255"/>
    <hyperlink r:id="rId216" ref="C256"/>
    <hyperlink r:id="rId217" ref="C257"/>
    <hyperlink r:id="rId218" ref="C258"/>
    <hyperlink r:id="rId219" ref="C259"/>
    <hyperlink r:id="rId220" ref="C260"/>
    <hyperlink r:id="rId221" ref="C261"/>
    <hyperlink r:id="rId222" ref="C262"/>
    <hyperlink r:id="rId223" ref="C263"/>
    <hyperlink r:id="rId224" ref="C264"/>
    <hyperlink r:id="rId225" ref="C265"/>
    <hyperlink r:id="rId226" ref="C266"/>
    <hyperlink r:id="rId227" ref="C267"/>
    <hyperlink r:id="rId228" ref="C268"/>
    <hyperlink r:id="rId229" ref="C269"/>
    <hyperlink r:id="rId230" ref="C270"/>
    <hyperlink r:id="rId231" ref="C271"/>
    <hyperlink r:id="rId232" ref="C272"/>
    <hyperlink r:id="rId233" ref="C273"/>
    <hyperlink r:id="rId234" ref="C274"/>
    <hyperlink r:id="rId235" ref="C275"/>
    <hyperlink r:id="rId236" ref="C276"/>
    <hyperlink r:id="rId237" ref="C277"/>
    <hyperlink r:id="rId238" ref="C279"/>
    <hyperlink r:id="rId239" ref="C280"/>
    <hyperlink r:id="rId240" ref="C281"/>
    <hyperlink r:id="rId241" ref="C282"/>
    <hyperlink r:id="rId242" ref="C283"/>
    <hyperlink r:id="rId243" ref="C284"/>
    <hyperlink r:id="rId244" ref="C285"/>
    <hyperlink r:id="rId245" ref="C286"/>
    <hyperlink r:id="rId246" ref="C287"/>
    <hyperlink r:id="rId247" ref="C288"/>
    <hyperlink r:id="rId248" ref="C289"/>
    <hyperlink r:id="rId249" ref="C290"/>
    <hyperlink r:id="rId250" ref="C291"/>
    <hyperlink r:id="rId251" ref="C292"/>
    <hyperlink r:id="rId252" ref="C293"/>
    <hyperlink r:id="rId253" ref="C294"/>
    <hyperlink r:id="rId254" ref="C295"/>
    <hyperlink r:id="rId255" ref="C296"/>
    <hyperlink r:id="rId256" ref="C297"/>
    <hyperlink r:id="rId257" ref="C298"/>
    <hyperlink r:id="rId258" ref="C299"/>
    <hyperlink r:id="rId259" ref="C300"/>
    <hyperlink r:id="rId260" ref="C301"/>
    <hyperlink r:id="rId261" ref="C302"/>
    <hyperlink r:id="rId262" ref="C303"/>
    <hyperlink r:id="rId263" ref="C304"/>
    <hyperlink r:id="rId264" ref="C305"/>
    <hyperlink r:id="rId265" ref="C306"/>
    <hyperlink r:id="rId266" ref="C307"/>
    <hyperlink r:id="rId267" ref="C308"/>
    <hyperlink r:id="rId268" ref="C309"/>
    <hyperlink r:id="rId269" ref="C310"/>
    <hyperlink r:id="rId270" ref="C311"/>
    <hyperlink r:id="rId271" ref="C312"/>
    <hyperlink r:id="rId272" ref="C313"/>
    <hyperlink r:id="rId273" ref="C316"/>
    <hyperlink r:id="rId274" ref="C317"/>
    <hyperlink r:id="rId275" ref="C318"/>
    <hyperlink r:id="rId276" ref="C319"/>
    <hyperlink r:id="rId277" ref="C320"/>
    <hyperlink r:id="rId278" ref="C321"/>
    <hyperlink r:id="rId279" ref="C322"/>
    <hyperlink r:id="rId280" ref="C323"/>
    <hyperlink r:id="rId281" ref="C324"/>
    <hyperlink r:id="rId282" ref="C325"/>
    <hyperlink r:id="rId283" ref="C326"/>
    <hyperlink r:id="rId284" ref="C327"/>
    <hyperlink r:id="rId285" ref="C328"/>
    <hyperlink r:id="rId286" ref="C329"/>
    <hyperlink r:id="rId287" ref="C330"/>
    <hyperlink r:id="rId288" ref="C331"/>
    <hyperlink r:id="rId289" ref="C332"/>
    <hyperlink r:id="rId290" ref="C333"/>
    <hyperlink r:id="rId291" ref="C334"/>
    <hyperlink r:id="rId292" ref="C335"/>
    <hyperlink r:id="rId293" ref="C336"/>
    <hyperlink r:id="rId294" ref="C337"/>
    <hyperlink r:id="rId295" ref="C338"/>
    <hyperlink r:id="rId296" ref="C339"/>
    <hyperlink r:id="rId297" ref="C340"/>
    <hyperlink r:id="rId298" ref="C341"/>
    <hyperlink r:id="rId299" ref="C342"/>
    <hyperlink r:id="rId300" ref="C343"/>
    <hyperlink r:id="rId301" ref="C344"/>
    <hyperlink r:id="rId302" ref="C345"/>
    <hyperlink r:id="rId303" ref="C346"/>
    <hyperlink r:id="rId304" ref="C347"/>
    <hyperlink r:id="rId305" ref="C348"/>
    <hyperlink r:id="rId306" ref="C349"/>
    <hyperlink r:id="rId307" ref="C350"/>
    <hyperlink r:id="rId308" ref="C351"/>
    <hyperlink r:id="rId309" ref="C352"/>
    <hyperlink r:id="rId310" ref="C353"/>
    <hyperlink r:id="rId311" ref="C354"/>
    <hyperlink r:id="rId312" ref="C355"/>
    <hyperlink r:id="rId313" ref="C356"/>
    <hyperlink r:id="rId314" ref="C357"/>
    <hyperlink r:id="rId315" ref="C358"/>
    <hyperlink r:id="rId316" ref="C359"/>
    <hyperlink r:id="rId317" ref="C360"/>
    <hyperlink r:id="rId318" ref="C361"/>
    <hyperlink r:id="rId319" ref="C362"/>
    <hyperlink r:id="rId320" ref="C363"/>
    <hyperlink r:id="rId321" ref="C364"/>
    <hyperlink r:id="rId322" ref="C365"/>
    <hyperlink r:id="rId323" ref="C366"/>
    <hyperlink r:id="rId324" ref="C367"/>
    <hyperlink r:id="rId325" ref="C368"/>
    <hyperlink r:id="rId326" ref="C369"/>
    <hyperlink r:id="rId327" ref="C370"/>
    <hyperlink r:id="rId328" ref="C371"/>
    <hyperlink r:id="rId329" ref="C372"/>
    <hyperlink r:id="rId330" ref="C373"/>
    <hyperlink r:id="rId331" ref="C374"/>
    <hyperlink r:id="rId332" ref="C375"/>
    <hyperlink r:id="rId333" ref="C376"/>
    <hyperlink r:id="rId334" ref="C377"/>
    <hyperlink r:id="rId335" ref="C378"/>
    <hyperlink r:id="rId336" ref="C379"/>
    <hyperlink r:id="rId337" ref="C380"/>
    <hyperlink r:id="rId338" ref="C381"/>
    <hyperlink r:id="rId339" ref="C382"/>
    <hyperlink r:id="rId340" ref="C383"/>
    <hyperlink r:id="rId341" ref="C384"/>
    <hyperlink r:id="rId342" ref="C385"/>
    <hyperlink r:id="rId343" ref="C386"/>
    <hyperlink r:id="rId344" ref="C387"/>
    <hyperlink r:id="rId345" ref="C388"/>
    <hyperlink r:id="rId346" ref="C389"/>
    <hyperlink r:id="rId347" ref="C390"/>
    <hyperlink r:id="rId348" ref="C391"/>
    <hyperlink r:id="rId349" ref="C392"/>
    <hyperlink r:id="rId350" ref="C393"/>
    <hyperlink r:id="rId351" ref="C394"/>
    <hyperlink r:id="rId352" ref="C395"/>
    <hyperlink r:id="rId353" ref="C396"/>
    <hyperlink r:id="rId354" ref="C397"/>
    <hyperlink r:id="rId355" ref="C398"/>
    <hyperlink r:id="rId356" ref="C399"/>
    <hyperlink r:id="rId357" ref="C400"/>
    <hyperlink r:id="rId358" ref="C401"/>
    <hyperlink r:id="rId359" ref="C402"/>
    <hyperlink r:id="rId360" ref="C403"/>
    <hyperlink r:id="rId361" ref="C404"/>
    <hyperlink r:id="rId362" ref="C405"/>
    <hyperlink r:id="rId363" ref="C406"/>
    <hyperlink r:id="rId364" ref="C407"/>
    <hyperlink r:id="rId365" ref="C408"/>
    <hyperlink r:id="rId366" ref="C409"/>
    <hyperlink r:id="rId367" ref="C410"/>
    <hyperlink r:id="rId368" ref="C411"/>
    <hyperlink r:id="rId369" ref="C412"/>
    <hyperlink r:id="rId370" ref="C413"/>
    <hyperlink r:id="rId371" ref="C414"/>
    <hyperlink r:id="rId372" ref="C415"/>
    <hyperlink r:id="rId373" ref="C416"/>
    <hyperlink r:id="rId374" ref="C417"/>
    <hyperlink r:id="rId375" ref="C418"/>
    <hyperlink r:id="rId376" ref="C419"/>
    <hyperlink r:id="rId377" ref="C420"/>
    <hyperlink r:id="rId378" ref="C421"/>
    <hyperlink r:id="rId379" ref="C422"/>
    <hyperlink r:id="rId380" ref="C423"/>
    <hyperlink r:id="rId381" ref="C424"/>
    <hyperlink r:id="rId382" ref="C425"/>
    <hyperlink r:id="rId383" ref="C426"/>
    <hyperlink r:id="rId384" ref="C427"/>
    <hyperlink r:id="rId385" ref="C428"/>
    <hyperlink r:id="rId386" ref="C429"/>
    <hyperlink r:id="rId387" ref="C434"/>
    <hyperlink r:id="rId388" ref="C435"/>
    <hyperlink r:id="rId389" ref="C436"/>
    <hyperlink r:id="rId390" ref="C437"/>
    <hyperlink r:id="rId391" ref="C438"/>
    <hyperlink r:id="rId392" ref="C439"/>
    <hyperlink r:id="rId393" ref="C440"/>
    <hyperlink r:id="rId394" ref="C441"/>
    <hyperlink r:id="rId395" ref="C442"/>
    <hyperlink r:id="rId396" ref="C443"/>
    <hyperlink r:id="rId397" ref="C444"/>
    <hyperlink r:id="rId398" ref="C445"/>
    <hyperlink r:id="rId399" ref="C446"/>
    <hyperlink r:id="rId400" ref="C447"/>
    <hyperlink r:id="rId401" ref="C448"/>
    <hyperlink r:id="rId402" ref="C449"/>
    <hyperlink r:id="rId403" ref="C450"/>
    <hyperlink r:id="rId404" ref="C451"/>
    <hyperlink r:id="rId405" ref="C452"/>
    <hyperlink r:id="rId406" ref="C453"/>
    <hyperlink r:id="rId407" ref="C454"/>
    <hyperlink r:id="rId408" ref="C455"/>
    <hyperlink r:id="rId409" ref="C456"/>
    <hyperlink r:id="rId410" ref="C457"/>
    <hyperlink r:id="rId411" ref="C458"/>
    <hyperlink r:id="rId412" ref="C459"/>
    <hyperlink r:id="rId413" ref="C460"/>
    <hyperlink r:id="rId414" ref="C461"/>
    <hyperlink r:id="rId415" ref="C462"/>
    <hyperlink r:id="rId416" ref="C463"/>
    <hyperlink r:id="rId417" ref="C464"/>
    <hyperlink r:id="rId418" ref="C465"/>
    <hyperlink r:id="rId419" ref="C466"/>
    <hyperlink r:id="rId420" ref="C467"/>
    <hyperlink r:id="rId421" ref="C468"/>
    <hyperlink r:id="rId422" ref="C469"/>
    <hyperlink r:id="rId423" ref="C470"/>
    <hyperlink r:id="rId424" ref="C471"/>
    <hyperlink r:id="rId425" ref="C472"/>
    <hyperlink r:id="rId426" ref="C473"/>
    <hyperlink r:id="rId427" ref="C474"/>
    <hyperlink r:id="rId428" ref="C475"/>
    <hyperlink r:id="rId429" ref="C476"/>
    <hyperlink r:id="rId430" ref="C477"/>
    <hyperlink r:id="rId431" ref="C478"/>
    <hyperlink r:id="rId432" ref="C479"/>
    <hyperlink r:id="rId433" ref="C480"/>
    <hyperlink r:id="rId434" ref="C481"/>
    <hyperlink r:id="rId435" ref="C486"/>
    <hyperlink r:id="rId436" ref="C489"/>
    <hyperlink r:id="rId437" ref="C491"/>
    <hyperlink r:id="rId438" ref="C492"/>
    <hyperlink r:id="rId439" ref="C493"/>
    <hyperlink r:id="rId440" ref="C500"/>
    <hyperlink r:id="rId441" ref="C505"/>
    <hyperlink r:id="rId442" ref="C506"/>
    <hyperlink r:id="rId443" ref="C507"/>
    <hyperlink r:id="rId444" ref="C508"/>
    <hyperlink r:id="rId445" ref="C509"/>
    <hyperlink r:id="rId446" ref="C510"/>
    <hyperlink r:id="rId447" ref="C511"/>
    <hyperlink r:id="rId448" ref="C512"/>
    <hyperlink r:id="rId449" ref="C513"/>
    <hyperlink r:id="rId450" ref="C515"/>
    <hyperlink r:id="rId451" ref="C516"/>
    <hyperlink r:id="rId452" ref="C517"/>
    <hyperlink r:id="rId453" ref="C518"/>
    <hyperlink r:id="rId454" ref="C519"/>
    <hyperlink r:id="rId455" ref="C520"/>
    <hyperlink r:id="rId456" ref="C521"/>
    <hyperlink r:id="rId457" ref="C522"/>
    <hyperlink r:id="rId458" ref="C523"/>
    <hyperlink r:id="rId459" ref="C524"/>
    <hyperlink r:id="rId460" ref="C525"/>
    <hyperlink r:id="rId461" ref="C526"/>
    <hyperlink r:id="rId462" ref="C527"/>
    <hyperlink r:id="rId463" ref="C528"/>
    <hyperlink r:id="rId464" ref="C529"/>
    <hyperlink r:id="rId465" ref="C530"/>
    <hyperlink r:id="rId466" ref="C531"/>
    <hyperlink r:id="rId467" ref="C532"/>
    <hyperlink r:id="rId468" ref="C533"/>
    <hyperlink r:id="rId469" ref="C534"/>
    <hyperlink r:id="rId470" ref="C535"/>
    <hyperlink r:id="rId471" ref="C536"/>
    <hyperlink r:id="rId472" ref="C537"/>
    <hyperlink r:id="rId473" ref="C538"/>
    <hyperlink r:id="rId474" ref="C539"/>
    <hyperlink r:id="rId475" ref="C540"/>
    <hyperlink r:id="rId476" ref="C541"/>
    <hyperlink r:id="rId477" ref="C542"/>
    <hyperlink r:id="rId478" ref="C543"/>
    <hyperlink r:id="rId479" ref="C544"/>
    <hyperlink r:id="rId480" ref="C545"/>
    <hyperlink r:id="rId481" ref="C546"/>
    <hyperlink r:id="rId482" ref="C547"/>
    <hyperlink r:id="rId483" ref="C548"/>
    <hyperlink r:id="rId484" ref="C549"/>
    <hyperlink r:id="rId485" ref="C550"/>
    <hyperlink r:id="rId486" ref="C551"/>
    <hyperlink r:id="rId487" ref="C552"/>
    <hyperlink r:id="rId488" ref="C553"/>
    <hyperlink r:id="rId489" ref="C554"/>
    <hyperlink r:id="rId490" ref="C555"/>
    <hyperlink r:id="rId491" ref="C556"/>
    <hyperlink r:id="rId492" ref="C557"/>
    <hyperlink r:id="rId493" ref="C558"/>
    <hyperlink r:id="rId494" ref="C559"/>
    <hyperlink r:id="rId495" ref="C560"/>
    <hyperlink r:id="rId496" ref="C561"/>
    <hyperlink r:id="rId497" ref="C562"/>
    <hyperlink r:id="rId498" ref="C563"/>
    <hyperlink r:id="rId499" ref="C564"/>
    <hyperlink r:id="rId500" ref="C565"/>
    <hyperlink r:id="rId501" ref="C566"/>
    <hyperlink r:id="rId502" ref="C567"/>
    <hyperlink r:id="rId503" ref="C568"/>
    <hyperlink r:id="rId504" ref="C569"/>
    <hyperlink r:id="rId505" ref="C570"/>
    <hyperlink r:id="rId506" ref="C571"/>
    <hyperlink r:id="rId507" ref="C572"/>
    <hyperlink r:id="rId508" ref="C573"/>
    <hyperlink r:id="rId509" ref="C574"/>
    <hyperlink r:id="rId510" ref="C575"/>
    <hyperlink r:id="rId511" ref="C576"/>
    <hyperlink r:id="rId512" ref="C577"/>
    <hyperlink r:id="rId513" ref="C578"/>
    <hyperlink r:id="rId514" ref="C579"/>
    <hyperlink r:id="rId515" ref="C580"/>
    <hyperlink r:id="rId516" ref="C581"/>
    <hyperlink r:id="rId517" ref="C582"/>
    <hyperlink r:id="rId518" ref="C583"/>
    <hyperlink r:id="rId519" ref="C584"/>
    <hyperlink r:id="rId520" ref="C585"/>
    <hyperlink r:id="rId521" ref="C586"/>
    <hyperlink r:id="rId522" ref="C587"/>
    <hyperlink r:id="rId523" ref="C588"/>
    <hyperlink r:id="rId524" ref="C589"/>
    <hyperlink r:id="rId525" ref="C590"/>
    <hyperlink r:id="rId526" ref="C591"/>
    <hyperlink r:id="rId527" ref="C592"/>
    <hyperlink r:id="rId528" ref="C593"/>
    <hyperlink r:id="rId529" ref="C594"/>
    <hyperlink r:id="rId530" ref="C595"/>
    <hyperlink r:id="rId531" ref="C596"/>
    <hyperlink r:id="rId532" ref="C597"/>
    <hyperlink r:id="rId533" ref="C598"/>
    <hyperlink r:id="rId534" ref="C599"/>
    <hyperlink r:id="rId535" ref="C600"/>
    <hyperlink r:id="rId536" ref="C601"/>
    <hyperlink r:id="rId537" ref="C602"/>
    <hyperlink r:id="rId538" ref="C603"/>
    <hyperlink r:id="rId539" ref="C604"/>
    <hyperlink r:id="rId540" ref="C605"/>
    <hyperlink r:id="rId541" ref="C606"/>
    <hyperlink r:id="rId542" ref="C607"/>
    <hyperlink r:id="rId543" ref="C608"/>
    <hyperlink r:id="rId544" ref="C609"/>
    <hyperlink r:id="rId545" ref="C610"/>
    <hyperlink r:id="rId546" ref="C611"/>
    <hyperlink r:id="rId547" ref="C612"/>
    <hyperlink r:id="rId548" ref="C613"/>
    <hyperlink r:id="rId549" ref="C614"/>
    <hyperlink r:id="rId550" ref="C615"/>
    <hyperlink r:id="rId551" ref="C616"/>
    <hyperlink r:id="rId552" ref="C617"/>
    <hyperlink r:id="rId553" ref="C618"/>
    <hyperlink r:id="rId554" ref="C619"/>
    <hyperlink r:id="rId555" ref="C620"/>
    <hyperlink r:id="rId556" ref="C622"/>
    <hyperlink r:id="rId557" ref="C623"/>
    <hyperlink r:id="rId558" ref="C624"/>
    <hyperlink r:id="rId559" ref="C625"/>
    <hyperlink r:id="rId560" ref="C626"/>
    <hyperlink r:id="rId561" ref="C627"/>
    <hyperlink r:id="rId562" ref="C628"/>
    <hyperlink r:id="rId563" ref="C629"/>
    <hyperlink r:id="rId564" ref="C630"/>
    <hyperlink r:id="rId565" ref="C631"/>
    <hyperlink r:id="rId566" ref="C632"/>
    <hyperlink r:id="rId567" ref="C633"/>
    <hyperlink r:id="rId568" ref="C634"/>
    <hyperlink r:id="rId569" ref="C635"/>
    <hyperlink r:id="rId570" ref="C636"/>
    <hyperlink r:id="rId571" ref="C637"/>
    <hyperlink r:id="rId572" ref="C638"/>
    <hyperlink r:id="rId573" ref="C639"/>
    <hyperlink r:id="rId574" ref="C640"/>
    <hyperlink r:id="rId575" ref="C641"/>
    <hyperlink r:id="rId576" ref="C642"/>
    <hyperlink r:id="rId577" ref="C643"/>
    <hyperlink r:id="rId578" ref="C644"/>
    <hyperlink r:id="rId579" ref="C645"/>
    <hyperlink r:id="rId580" ref="C646"/>
    <hyperlink r:id="rId581" ref="C647"/>
    <hyperlink r:id="rId582" ref="C648"/>
    <hyperlink r:id="rId583" ref="C649"/>
    <hyperlink r:id="rId584" ref="C650"/>
    <hyperlink r:id="rId585" ref="C651"/>
    <hyperlink r:id="rId586" ref="C652"/>
    <hyperlink r:id="rId587" ref="C653"/>
    <hyperlink r:id="rId588" ref="C654"/>
    <hyperlink r:id="rId589" ref="C655"/>
    <hyperlink r:id="rId590" ref="C656"/>
    <hyperlink r:id="rId591" ref="C657"/>
    <hyperlink r:id="rId592" ref="C658"/>
    <hyperlink r:id="rId593" ref="C659"/>
    <hyperlink r:id="rId594" ref="C660"/>
    <hyperlink r:id="rId595" ref="C661"/>
    <hyperlink r:id="rId596" ref="C662"/>
    <hyperlink r:id="rId597" ref="C663"/>
    <hyperlink r:id="rId598" ref="C664"/>
    <hyperlink r:id="rId599" ref="C665"/>
    <hyperlink r:id="rId600" ref="C666"/>
    <hyperlink r:id="rId601" ref="C668"/>
    <hyperlink r:id="rId602" ref="C669"/>
    <hyperlink r:id="rId603" ref="C670"/>
    <hyperlink r:id="rId604" ref="C671"/>
    <hyperlink r:id="rId605" ref="C672"/>
    <hyperlink r:id="rId606" ref="C673"/>
    <hyperlink r:id="rId607" ref="C674"/>
    <hyperlink r:id="rId608" ref="C675"/>
    <hyperlink r:id="rId609" ref="C676"/>
    <hyperlink r:id="rId610" ref="C677"/>
    <hyperlink r:id="rId611" ref="C678"/>
    <hyperlink r:id="rId612" ref="C679"/>
    <hyperlink r:id="rId613" ref="C680"/>
    <hyperlink r:id="rId614" ref="C681"/>
    <hyperlink r:id="rId615" ref="C682"/>
    <hyperlink r:id="rId616" ref="C683"/>
    <hyperlink r:id="rId617" ref="C684"/>
    <hyperlink r:id="rId618" ref="C685"/>
    <hyperlink r:id="rId619" ref="C686"/>
    <hyperlink r:id="rId620" ref="C687"/>
    <hyperlink r:id="rId621" ref="C688"/>
    <hyperlink r:id="rId622" ref="C689"/>
    <hyperlink r:id="rId623" ref="C690"/>
    <hyperlink r:id="rId624" ref="C691"/>
    <hyperlink r:id="rId625" ref="C692"/>
    <hyperlink r:id="rId626" ref="C693"/>
    <hyperlink r:id="rId627" ref="C694"/>
    <hyperlink r:id="rId628" ref="C695"/>
    <hyperlink r:id="rId629" ref="C696"/>
    <hyperlink r:id="rId630" ref="C697"/>
    <hyperlink r:id="rId631" ref="C698"/>
    <hyperlink r:id="rId632" ref="C699"/>
    <hyperlink r:id="rId633" ref="C700"/>
    <hyperlink r:id="rId634" ref="C701"/>
    <hyperlink r:id="rId635" ref="C702"/>
    <hyperlink r:id="rId636" ref="C703"/>
    <hyperlink r:id="rId637" ref="C704"/>
    <hyperlink r:id="rId638" ref="C705"/>
    <hyperlink r:id="rId639" ref="C706"/>
    <hyperlink r:id="rId640" ref="C707"/>
    <hyperlink r:id="rId641" ref="C708"/>
    <hyperlink r:id="rId642" ref="C709"/>
    <hyperlink r:id="rId643" ref="C710"/>
    <hyperlink r:id="rId644" ref="C711"/>
    <hyperlink r:id="rId645" ref="C712"/>
    <hyperlink r:id="rId646" ref="C713"/>
    <hyperlink r:id="rId647" ref="C714"/>
    <hyperlink r:id="rId648" ref="C715"/>
    <hyperlink r:id="rId649" ref="C716"/>
    <hyperlink r:id="rId650" ref="C717"/>
    <hyperlink r:id="rId651" ref="C718"/>
    <hyperlink r:id="rId652" ref="C719"/>
    <hyperlink r:id="rId653" ref="C720"/>
    <hyperlink r:id="rId654" ref="C721"/>
    <hyperlink r:id="rId655" ref="C722"/>
    <hyperlink r:id="rId656" ref="C723"/>
    <hyperlink r:id="rId657" ref="C724"/>
    <hyperlink r:id="rId658" ref="C725"/>
    <hyperlink r:id="rId659" ref="C726"/>
    <hyperlink r:id="rId660" ref="C727"/>
    <hyperlink r:id="rId661" ref="C728"/>
    <hyperlink r:id="rId662" ref="C729"/>
    <hyperlink r:id="rId663" ref="C730"/>
    <hyperlink r:id="rId664" ref="C731"/>
    <hyperlink r:id="rId665" ref="C732"/>
    <hyperlink r:id="rId666" ref="C733"/>
    <hyperlink r:id="rId667" ref="C734"/>
    <hyperlink r:id="rId668" ref="C735"/>
    <hyperlink r:id="rId669" ref="C736"/>
    <hyperlink r:id="rId670" ref="C737"/>
    <hyperlink r:id="rId671" ref="C738"/>
    <hyperlink r:id="rId672" ref="C739"/>
    <hyperlink r:id="rId673" ref="C744"/>
    <hyperlink r:id="rId674" ref="C745"/>
    <hyperlink r:id="rId675" ref="C746"/>
    <hyperlink r:id="rId676" ref="C749"/>
    <hyperlink r:id="rId677" ref="C750"/>
    <hyperlink r:id="rId678" ref="C751"/>
    <hyperlink r:id="rId679" ref="C752"/>
    <hyperlink r:id="rId680" ref="C753"/>
    <hyperlink r:id="rId681" ref="C754"/>
    <hyperlink r:id="rId682" ref="C755"/>
    <hyperlink r:id="rId683" ref="C756"/>
    <hyperlink r:id="rId684" ref="C758"/>
    <hyperlink r:id="rId685" ref="C759"/>
    <hyperlink r:id="rId686" ref="C760"/>
    <hyperlink r:id="rId687" ref="C761"/>
    <hyperlink r:id="rId688" ref="C762"/>
    <hyperlink r:id="rId689" ref="C763"/>
    <hyperlink r:id="rId690" ref="C764"/>
    <hyperlink r:id="rId691" ref="C765"/>
    <hyperlink r:id="rId692" ref="C767"/>
    <hyperlink r:id="rId693" ref="C768"/>
    <hyperlink r:id="rId694" ref="C769"/>
    <hyperlink r:id="rId695" ref="C770"/>
    <hyperlink r:id="rId696" ref="C771"/>
    <hyperlink r:id="rId697" ref="C772"/>
    <hyperlink r:id="rId698" ref="C773"/>
    <hyperlink r:id="rId699" ref="C774"/>
    <hyperlink r:id="rId700" ref="C775"/>
    <hyperlink r:id="rId701" ref="C776"/>
    <hyperlink r:id="rId702" ref="C777"/>
    <hyperlink r:id="rId703" ref="C778"/>
    <hyperlink r:id="rId704" ref="C779"/>
    <hyperlink r:id="rId705" ref="C780"/>
    <hyperlink r:id="rId706" ref="C781"/>
    <hyperlink r:id="rId707" ref="C782"/>
    <hyperlink r:id="rId708" ref="C783"/>
    <hyperlink r:id="rId709" ref="C784"/>
    <hyperlink r:id="rId710" ref="C785"/>
    <hyperlink r:id="rId711" ref="C786"/>
    <hyperlink r:id="rId712" ref="C787"/>
    <hyperlink r:id="rId713" ref="C788"/>
    <hyperlink r:id="rId714" ref="C789"/>
    <hyperlink r:id="rId715" ref="C790"/>
    <hyperlink r:id="rId716" ref="C791"/>
    <hyperlink r:id="rId717" ref="C792"/>
    <hyperlink r:id="rId718" ref="C793"/>
    <hyperlink r:id="rId719" ref="C794"/>
    <hyperlink r:id="rId720" ref="C795"/>
    <hyperlink r:id="rId721" ref="C796"/>
    <hyperlink r:id="rId722" ref="C797"/>
    <hyperlink r:id="rId723" ref="C798"/>
    <hyperlink r:id="rId724" ref="C799"/>
    <hyperlink r:id="rId725" ref="C800"/>
    <hyperlink r:id="rId726" ref="C801"/>
    <hyperlink r:id="rId727" ref="C802"/>
    <hyperlink r:id="rId728" ref="C803"/>
    <hyperlink r:id="rId729" ref="C804"/>
    <hyperlink r:id="rId730" ref="C805"/>
    <hyperlink r:id="rId731" ref="C806"/>
    <hyperlink r:id="rId732" ref="C808"/>
    <hyperlink r:id="rId733" ref="C809"/>
    <hyperlink r:id="rId734" ref="C810"/>
    <hyperlink r:id="rId735" ref="C811"/>
    <hyperlink r:id="rId736" ref="C812"/>
    <hyperlink r:id="rId737" ref="C813"/>
    <hyperlink r:id="rId738" ref="C814"/>
    <hyperlink r:id="rId739" ref="C815"/>
    <hyperlink r:id="rId740" ref="C816"/>
    <hyperlink r:id="rId741" ref="C817"/>
    <hyperlink r:id="rId742" ref="C818"/>
    <hyperlink r:id="rId743" ref="C819"/>
    <hyperlink r:id="rId744" ref="C820"/>
    <hyperlink r:id="rId745" ref="C821"/>
    <hyperlink r:id="rId746" ref="C822"/>
    <hyperlink r:id="rId747" ref="C823"/>
    <hyperlink r:id="rId748" ref="C824"/>
    <hyperlink r:id="rId749" ref="C825"/>
    <hyperlink r:id="rId750" ref="C826"/>
    <hyperlink r:id="rId751" ref="C827"/>
    <hyperlink r:id="rId752" ref="C828"/>
    <hyperlink r:id="rId753" ref="C829"/>
    <hyperlink r:id="rId754" ref="C830"/>
    <hyperlink r:id="rId755" ref="C831"/>
    <hyperlink r:id="rId756" ref="C832"/>
    <hyperlink r:id="rId757" ref="C833"/>
    <hyperlink r:id="rId758" ref="C834"/>
    <hyperlink r:id="rId759" ref="C835"/>
    <hyperlink r:id="rId760" ref="C836"/>
    <hyperlink r:id="rId761" ref="C837"/>
    <hyperlink r:id="rId762" ref="C838"/>
    <hyperlink r:id="rId763" ref="C839"/>
    <hyperlink r:id="rId764" ref="C840"/>
    <hyperlink r:id="rId765" ref="C841"/>
    <hyperlink r:id="rId766" ref="C842"/>
    <hyperlink r:id="rId767" ref="C843"/>
    <hyperlink r:id="rId768" ref="C844"/>
    <hyperlink r:id="rId769" ref="C845"/>
    <hyperlink r:id="rId770" ref="C846"/>
    <hyperlink r:id="rId771" ref="C847"/>
    <hyperlink r:id="rId772" ref="C848"/>
    <hyperlink r:id="rId773" ref="C849"/>
    <hyperlink r:id="rId774" ref="C850"/>
    <hyperlink r:id="rId775" ref="C851"/>
    <hyperlink r:id="rId776" ref="C852"/>
    <hyperlink r:id="rId777" ref="C853"/>
    <hyperlink r:id="rId778" ref="C854"/>
    <hyperlink r:id="rId779" ref="C855"/>
    <hyperlink r:id="rId780" ref="C856"/>
    <hyperlink r:id="rId781" ref="C857"/>
    <hyperlink r:id="rId782" ref="C858"/>
    <hyperlink r:id="rId783" ref="C859"/>
    <hyperlink r:id="rId784" ref="C860"/>
    <hyperlink r:id="rId785" ref="C861"/>
    <hyperlink r:id="rId786" ref="C862"/>
    <hyperlink r:id="rId787" ref="C863"/>
    <hyperlink r:id="rId788" ref="C864"/>
    <hyperlink r:id="rId789" ref="C865"/>
    <hyperlink r:id="rId790" ref="C866"/>
    <hyperlink r:id="rId791" ref="C867"/>
    <hyperlink r:id="rId792" ref="C868"/>
    <hyperlink r:id="rId793" ref="C869"/>
    <hyperlink r:id="rId794" ref="C870"/>
    <hyperlink r:id="rId795" ref="C871"/>
    <hyperlink r:id="rId796" ref="C872"/>
    <hyperlink r:id="rId797" ref="C873"/>
    <hyperlink r:id="rId798" ref="C874"/>
    <hyperlink r:id="rId799" ref="C875"/>
    <hyperlink r:id="rId800" ref="C876"/>
    <hyperlink r:id="rId801" ref="C877"/>
    <hyperlink r:id="rId802" ref="C878"/>
    <hyperlink r:id="rId803" ref="C879"/>
    <hyperlink r:id="rId804" ref="C880"/>
    <hyperlink r:id="rId805" ref="C881"/>
    <hyperlink r:id="rId806" ref="C882"/>
    <hyperlink r:id="rId807" ref="C883"/>
    <hyperlink r:id="rId808" ref="C884"/>
    <hyperlink r:id="rId809" ref="C885"/>
    <hyperlink r:id="rId810" ref="C886"/>
    <hyperlink r:id="rId811" ref="C887"/>
    <hyperlink r:id="rId812" ref="C888"/>
    <hyperlink r:id="rId813" ref="C889"/>
    <hyperlink r:id="rId814" ref="C890"/>
    <hyperlink r:id="rId815" ref="C891"/>
    <hyperlink r:id="rId816" ref="C892"/>
    <hyperlink r:id="rId817" ref="C893"/>
    <hyperlink r:id="rId818" ref="C894"/>
    <hyperlink r:id="rId819" ref="C898"/>
    <hyperlink r:id="rId820" ref="C899"/>
    <hyperlink r:id="rId821" ref="C900"/>
    <hyperlink r:id="rId822" ref="C901"/>
    <hyperlink r:id="rId823" ref="C902"/>
    <hyperlink r:id="rId824" ref="C903"/>
    <hyperlink r:id="rId825" ref="C904"/>
    <hyperlink r:id="rId826" ref="C905"/>
    <hyperlink r:id="rId827" ref="C906"/>
    <hyperlink r:id="rId828" ref="C907"/>
    <hyperlink r:id="rId829" ref="C908"/>
    <hyperlink r:id="rId830" ref="C909"/>
    <hyperlink r:id="rId831" ref="C911"/>
    <hyperlink r:id="rId832" ref="C912"/>
    <hyperlink r:id="rId833" ref="C913"/>
    <hyperlink r:id="rId834" ref="C914"/>
    <hyperlink r:id="rId835" ref="C915"/>
    <hyperlink r:id="rId836" ref="C916"/>
    <hyperlink r:id="rId837" ref="C917"/>
    <hyperlink r:id="rId838" ref="C918"/>
    <hyperlink r:id="rId839" ref="C919"/>
    <hyperlink r:id="rId840" ref="C920"/>
    <hyperlink r:id="rId841" ref="C921"/>
    <hyperlink r:id="rId842" ref="C922"/>
    <hyperlink r:id="rId843" ref="C923"/>
    <hyperlink r:id="rId844" ref="C924"/>
    <hyperlink r:id="rId845" ref="C925"/>
    <hyperlink r:id="rId846" ref="C926"/>
    <hyperlink r:id="rId847" ref="C927"/>
    <hyperlink r:id="rId848" ref="C928"/>
    <hyperlink r:id="rId849" ref="C929"/>
    <hyperlink r:id="rId850" ref="C936"/>
    <hyperlink r:id="rId851" ref="C939"/>
    <hyperlink r:id="rId852" ref="C940"/>
    <hyperlink r:id="rId853" ref="C941"/>
    <hyperlink r:id="rId854" ref="C942"/>
    <hyperlink r:id="rId855" ref="C943"/>
    <hyperlink r:id="rId856" ref="C944"/>
    <hyperlink r:id="rId857" ref="C945"/>
    <hyperlink r:id="rId858" ref="C946"/>
    <hyperlink r:id="rId859" ref="C947"/>
    <hyperlink r:id="rId860" ref="C949"/>
    <hyperlink r:id="rId861" ref="C950"/>
    <hyperlink r:id="rId862" ref="C951"/>
    <hyperlink r:id="rId863" ref="C952"/>
    <hyperlink r:id="rId864" ref="C953"/>
    <hyperlink r:id="rId865" ref="C954"/>
    <hyperlink r:id="rId866" ref="C955"/>
    <hyperlink r:id="rId867" ref="C956"/>
    <hyperlink r:id="rId868" ref="C957"/>
    <hyperlink r:id="rId869" ref="C958"/>
    <hyperlink r:id="rId870" ref="C959"/>
    <hyperlink r:id="rId871" ref="C960"/>
    <hyperlink r:id="rId872" ref="C961"/>
    <hyperlink r:id="rId873" ref="C962"/>
    <hyperlink r:id="rId874" ref="C963"/>
    <hyperlink r:id="rId875" ref="C964"/>
    <hyperlink r:id="rId876" ref="C965"/>
    <hyperlink r:id="rId877" ref="C966"/>
    <hyperlink r:id="rId878" ref="C967"/>
    <hyperlink r:id="rId879" ref="C968"/>
    <hyperlink r:id="rId880" ref="C969"/>
    <hyperlink r:id="rId881" ref="C970"/>
    <hyperlink r:id="rId882" ref="C971"/>
    <hyperlink r:id="rId883" ref="C972"/>
    <hyperlink r:id="rId884" ref="C973"/>
    <hyperlink r:id="rId885" ref="C974"/>
    <hyperlink r:id="rId886" ref="C975"/>
    <hyperlink r:id="rId887" ref="C976"/>
    <hyperlink r:id="rId888" ref="C977"/>
    <hyperlink r:id="rId889" ref="C978"/>
    <hyperlink r:id="rId890" ref="C979"/>
    <hyperlink r:id="rId891" ref="C980"/>
    <hyperlink r:id="rId892" ref="C981"/>
    <hyperlink r:id="rId893" ref="C982"/>
    <hyperlink r:id="rId894" ref="C983"/>
    <hyperlink r:id="rId895" ref="C984"/>
    <hyperlink r:id="rId896" ref="C985"/>
    <hyperlink r:id="rId897" ref="C987"/>
    <hyperlink r:id="rId898" ref="C989"/>
    <hyperlink r:id="rId899" ref="C990"/>
    <hyperlink r:id="rId900" ref="C991"/>
    <hyperlink r:id="rId901" ref="C992"/>
    <hyperlink r:id="rId902" ref="C993"/>
    <hyperlink r:id="rId903" ref="C994"/>
    <hyperlink r:id="rId904" ref="C995"/>
    <hyperlink r:id="rId905" ref="C996"/>
    <hyperlink r:id="rId906" ref="C997"/>
    <hyperlink r:id="rId907" ref="C998"/>
    <hyperlink r:id="rId908" ref="C999"/>
    <hyperlink r:id="rId909" ref="C1000"/>
    <hyperlink r:id="rId910" ref="C1001"/>
    <hyperlink r:id="rId911" ref="C1002"/>
    <hyperlink r:id="rId912" ref="C1003"/>
    <hyperlink r:id="rId913" ref="C1004"/>
    <hyperlink r:id="rId914" ref="C1005"/>
    <hyperlink r:id="rId915" ref="C1006"/>
    <hyperlink r:id="rId916" ref="C1007"/>
    <hyperlink r:id="rId917" ref="C1009"/>
    <hyperlink r:id="rId918" ref="C1010"/>
    <hyperlink r:id="rId919" ref="C1011"/>
    <hyperlink r:id="rId920" ref="C1012"/>
    <hyperlink r:id="rId921" ref="C1013"/>
    <hyperlink r:id="rId922" ref="C1014"/>
    <hyperlink r:id="rId923" ref="C1015"/>
    <hyperlink r:id="rId924" ref="C1016"/>
    <hyperlink r:id="rId925" ref="C1017"/>
    <hyperlink r:id="rId926" ref="C1018"/>
    <hyperlink r:id="rId927" ref="C1019"/>
    <hyperlink r:id="rId928" ref="C1020"/>
    <hyperlink r:id="rId929" ref="C1021"/>
    <hyperlink r:id="rId930" ref="C1022"/>
    <hyperlink r:id="rId931" ref="C1023"/>
    <hyperlink r:id="rId932" ref="C1024"/>
    <hyperlink r:id="rId933" ref="C1025"/>
    <hyperlink r:id="rId934" ref="C1026"/>
    <hyperlink r:id="rId935" ref="C1027"/>
    <hyperlink r:id="rId936" ref="C1028"/>
    <hyperlink r:id="rId937" ref="C1029"/>
    <hyperlink r:id="rId938" ref="C1030"/>
    <hyperlink r:id="rId939" ref="C1031"/>
    <hyperlink r:id="rId940" ref="C1032"/>
    <hyperlink r:id="rId941" ref="C1034"/>
    <hyperlink r:id="rId942" ref="C1035"/>
    <hyperlink r:id="rId943" ref="C1036"/>
    <hyperlink r:id="rId944" ref="C1037"/>
    <hyperlink r:id="rId945" ref="C1038"/>
    <hyperlink r:id="rId946" ref="C1039"/>
    <hyperlink r:id="rId947" ref="C1040"/>
    <hyperlink r:id="rId948" ref="C1041"/>
    <hyperlink r:id="rId949" ref="C1042"/>
    <hyperlink r:id="rId950" ref="C1043"/>
    <hyperlink r:id="rId951" ref="C1044"/>
    <hyperlink r:id="rId952" ref="C1045"/>
    <hyperlink r:id="rId953" ref="C1046"/>
    <hyperlink r:id="rId954" ref="C1047"/>
    <hyperlink r:id="rId955" ref="C1048"/>
    <hyperlink r:id="rId956" ref="C1049"/>
    <hyperlink r:id="rId957" ref="C1050"/>
    <hyperlink r:id="rId958" ref="C1051"/>
    <hyperlink r:id="rId959" ref="C1052"/>
    <hyperlink r:id="rId960" ref="C1053"/>
    <hyperlink r:id="rId961" ref="C1054"/>
    <hyperlink r:id="rId962" ref="C1055"/>
    <hyperlink r:id="rId963" ref="C1056"/>
    <hyperlink r:id="rId964" ref="C1057"/>
    <hyperlink r:id="rId965" ref="C1058"/>
    <hyperlink r:id="rId966" ref="C1059"/>
    <hyperlink r:id="rId967" ref="C1060"/>
    <hyperlink r:id="rId968" ref="C1061"/>
    <hyperlink r:id="rId969" ref="C1062"/>
    <hyperlink r:id="rId970" ref="C1063"/>
    <hyperlink r:id="rId971" ref="C1064"/>
    <hyperlink r:id="rId972" ref="C1065"/>
    <hyperlink r:id="rId973" ref="C1066"/>
    <hyperlink r:id="rId974" ref="C1067"/>
    <hyperlink r:id="rId975" ref="C1068"/>
    <hyperlink r:id="rId976" ref="C1069"/>
    <hyperlink r:id="rId977" ref="C1070"/>
    <hyperlink r:id="rId978" ref="C1071"/>
    <hyperlink r:id="rId979" ref="C1072"/>
    <hyperlink r:id="rId980" ref="C1073"/>
    <hyperlink r:id="rId981" ref="C1074"/>
    <hyperlink r:id="rId982" ref="C1075"/>
    <hyperlink r:id="rId983" ref="C1076"/>
    <hyperlink r:id="rId984" ref="C1077"/>
    <hyperlink r:id="rId985" ref="C1078"/>
    <hyperlink r:id="rId986" ref="C1079"/>
    <hyperlink r:id="rId987" ref="C1080"/>
    <hyperlink r:id="rId988" ref="C1081"/>
    <hyperlink r:id="rId989" ref="C1082"/>
    <hyperlink r:id="rId990" ref="C1083"/>
    <hyperlink r:id="rId991" ref="C1084"/>
    <hyperlink r:id="rId992" ref="C1085"/>
    <hyperlink r:id="rId993" ref="C1086"/>
    <hyperlink r:id="rId994" ref="C1087"/>
    <hyperlink r:id="rId995" ref="C1090"/>
    <hyperlink r:id="rId996" ref="C1091"/>
    <hyperlink r:id="rId997" ref="C1092"/>
    <hyperlink r:id="rId998" ref="C1093"/>
    <hyperlink r:id="rId999" ref="C1094"/>
    <hyperlink r:id="rId1000" ref="C1095"/>
    <hyperlink r:id="rId1001" ref="C1096"/>
    <hyperlink r:id="rId1002" ref="C1097"/>
    <hyperlink r:id="rId1003" ref="C1098"/>
    <hyperlink r:id="rId1004" ref="C1099"/>
    <hyperlink r:id="rId1005" ref="C1100"/>
    <hyperlink r:id="rId1006" ref="C1101"/>
    <hyperlink r:id="rId1007" ref="C1102"/>
    <hyperlink r:id="rId1008" ref="C1103"/>
    <hyperlink r:id="rId1009" ref="C1104"/>
    <hyperlink r:id="rId1010" ref="C1105"/>
    <hyperlink r:id="rId1011" ref="C1106"/>
    <hyperlink r:id="rId1012" ref="C1107"/>
    <hyperlink r:id="rId1013" ref="C1108"/>
    <hyperlink r:id="rId1014" ref="C1109"/>
    <hyperlink r:id="rId1015" ref="C1110"/>
    <hyperlink r:id="rId1016" ref="C1111"/>
    <hyperlink r:id="rId1017" ref="C1112"/>
    <hyperlink r:id="rId1018" ref="C1113"/>
    <hyperlink r:id="rId1019" ref="C1114"/>
    <hyperlink r:id="rId1020" ref="C1115"/>
    <hyperlink r:id="rId1021" ref="C1116"/>
    <hyperlink r:id="rId1022" ref="C1117"/>
    <hyperlink r:id="rId1023" ref="C1118"/>
    <hyperlink r:id="rId1024" ref="C1119"/>
    <hyperlink r:id="rId1025" ref="C1120"/>
    <hyperlink r:id="rId1026" ref="C1121"/>
    <hyperlink r:id="rId1027" ref="C1122"/>
    <hyperlink r:id="rId1028" ref="C1123"/>
    <hyperlink r:id="rId1029" ref="C1124"/>
    <hyperlink r:id="rId1030" ref="C1125"/>
    <hyperlink r:id="rId1031" ref="C1126"/>
    <hyperlink r:id="rId1032" ref="C1127"/>
    <hyperlink r:id="rId1033" ref="C1128"/>
    <hyperlink r:id="rId1034" ref="C1129"/>
    <hyperlink r:id="rId1035" ref="C1130"/>
    <hyperlink r:id="rId1036" ref="C1131"/>
    <hyperlink r:id="rId1037" ref="C1132"/>
    <hyperlink r:id="rId1038" ref="C1133"/>
    <hyperlink r:id="rId1039" ref="C1134"/>
    <hyperlink r:id="rId1040" ref="C1135"/>
    <hyperlink r:id="rId1041" ref="C1136"/>
    <hyperlink r:id="rId1042" ref="C1137"/>
    <hyperlink r:id="rId1043" ref="C1138"/>
    <hyperlink r:id="rId1044" ref="C1139"/>
    <hyperlink r:id="rId1045" ref="C1140"/>
    <hyperlink r:id="rId1046" ref="C1141"/>
    <hyperlink r:id="rId1047" ref="C1142"/>
    <hyperlink r:id="rId1048" ref="C1143"/>
    <hyperlink r:id="rId1049" ref="C1144"/>
    <hyperlink r:id="rId1050" ref="C1145"/>
    <hyperlink r:id="rId1051" ref="C1146"/>
    <hyperlink r:id="rId1052" ref="C1147"/>
    <hyperlink r:id="rId1053" ref="C1149"/>
    <hyperlink r:id="rId1054" ref="C1150"/>
    <hyperlink r:id="rId1055" ref="C1151"/>
    <hyperlink r:id="rId1056" ref="C1152"/>
    <hyperlink r:id="rId1057" ref="C1153"/>
    <hyperlink r:id="rId1058" ref="C1154"/>
    <hyperlink r:id="rId1059" ref="C1155"/>
    <hyperlink r:id="rId1060" ref="C1156"/>
    <hyperlink r:id="rId1061" ref="C1157"/>
    <hyperlink r:id="rId1062" ref="C1160"/>
    <hyperlink r:id="rId1063" ref="C1162"/>
    <hyperlink r:id="rId1064" ref="C1164"/>
    <hyperlink r:id="rId1065" ref="C1165"/>
    <hyperlink r:id="rId1066" ref="C1172"/>
    <hyperlink r:id="rId1067" ref="C1173"/>
    <hyperlink r:id="rId1068" ref="C1174"/>
    <hyperlink r:id="rId1069" ref="C1176"/>
    <hyperlink r:id="rId1070" ref="C1177"/>
    <hyperlink r:id="rId1071" ref="C1178"/>
    <hyperlink r:id="rId1072" ref="C1179"/>
    <hyperlink r:id="rId1073" ref="C1180"/>
    <hyperlink r:id="rId1074" ref="C1181"/>
    <hyperlink r:id="rId1075" ref="C1182"/>
    <hyperlink r:id="rId1076" ref="C1183"/>
    <hyperlink r:id="rId1077" ref="C1184"/>
    <hyperlink r:id="rId1078" ref="C1185"/>
    <hyperlink r:id="rId1079" ref="C1186"/>
    <hyperlink r:id="rId1080" ref="C1188"/>
    <hyperlink r:id="rId1081" ref="C1189"/>
    <hyperlink r:id="rId1082" ref="C1193"/>
    <hyperlink r:id="rId1083" ref="C1194"/>
    <hyperlink r:id="rId1084" ref="C1195"/>
    <hyperlink r:id="rId1085" ref="C1198"/>
    <hyperlink r:id="rId1086" ref="C1199"/>
    <hyperlink r:id="rId1087" ref="C1200"/>
    <hyperlink r:id="rId1088" ref="C1201"/>
    <hyperlink r:id="rId1089" ref="C1202"/>
    <hyperlink r:id="rId1090" ref="C1203"/>
    <hyperlink r:id="rId1091" ref="C1204"/>
    <hyperlink r:id="rId1092" ref="C1205"/>
    <hyperlink r:id="rId1093" ref="C1206"/>
    <hyperlink r:id="rId1094" ref="C1207"/>
    <hyperlink r:id="rId1095" ref="C1208"/>
    <hyperlink r:id="rId1096" ref="C1210"/>
    <hyperlink r:id="rId1097" ref="C1211"/>
    <hyperlink r:id="rId1098" ref="C1212"/>
    <hyperlink r:id="rId1099" ref="C1213"/>
    <hyperlink r:id="rId1100" ref="C1214"/>
    <hyperlink r:id="rId1101" ref="C1215"/>
    <hyperlink r:id="rId1102" ref="C1216"/>
    <hyperlink r:id="rId1103" ref="C1217"/>
    <hyperlink r:id="rId1104" ref="C1218"/>
    <hyperlink r:id="rId1105" ref="C1219"/>
    <hyperlink r:id="rId1106" ref="C1220"/>
    <hyperlink r:id="rId1107" ref="C1221"/>
    <hyperlink r:id="rId1108" ref="C1222"/>
    <hyperlink r:id="rId1109" ref="C1223"/>
    <hyperlink r:id="rId1110" ref="C1224"/>
    <hyperlink r:id="rId1111" ref="C1225"/>
    <hyperlink r:id="rId1112" ref="C1226"/>
    <hyperlink r:id="rId1113" ref="C1227"/>
    <hyperlink r:id="rId1114" ref="C1228"/>
    <hyperlink r:id="rId1115" ref="C1229"/>
    <hyperlink r:id="rId1116" ref="C1230"/>
    <hyperlink r:id="rId1117" ref="C1231"/>
    <hyperlink r:id="rId1118" ref="C1232"/>
    <hyperlink r:id="rId1119" ref="C1233"/>
    <hyperlink r:id="rId1120" ref="C1234"/>
    <hyperlink r:id="rId1121" ref="C1235"/>
    <hyperlink r:id="rId1122" ref="C1236"/>
    <hyperlink r:id="rId1123" ref="C1237"/>
    <hyperlink r:id="rId1124" ref="C1238"/>
    <hyperlink r:id="rId1125" ref="C1239"/>
    <hyperlink r:id="rId1126" ref="C1240"/>
    <hyperlink r:id="rId1127" ref="C1241"/>
    <hyperlink r:id="rId1128" ref="C1242"/>
    <hyperlink r:id="rId1129" ref="C1243"/>
    <hyperlink r:id="rId1130" ref="C1244"/>
    <hyperlink r:id="rId1131" ref="C1245"/>
    <hyperlink r:id="rId1132" ref="C1246"/>
    <hyperlink r:id="rId1133" ref="C1247"/>
    <hyperlink r:id="rId1134" ref="C1248"/>
    <hyperlink r:id="rId1135" ref="C1249"/>
    <hyperlink r:id="rId1136" ref="C1250"/>
    <hyperlink r:id="rId1137" ref="C1251"/>
    <hyperlink r:id="rId1138" ref="C1252"/>
    <hyperlink r:id="rId1139" ref="C1253"/>
    <hyperlink r:id="rId1140" ref="C1254"/>
    <hyperlink r:id="rId1141" ref="C1255"/>
    <hyperlink r:id="rId1142" ref="C1256"/>
    <hyperlink r:id="rId1143" ref="C1257"/>
    <hyperlink r:id="rId1144" ref="C1258"/>
    <hyperlink r:id="rId1145" ref="C1259"/>
    <hyperlink r:id="rId1146" ref="C1260"/>
    <hyperlink r:id="rId1147" ref="C1261"/>
    <hyperlink r:id="rId1148" ref="C1262"/>
    <hyperlink r:id="rId1149" ref="C1263"/>
    <hyperlink r:id="rId1150" ref="C1264"/>
    <hyperlink r:id="rId1151" ref="C1265"/>
    <hyperlink r:id="rId1152" ref="C1266"/>
    <hyperlink r:id="rId1153" ref="C1267"/>
    <hyperlink r:id="rId1154" ref="C1268"/>
    <hyperlink r:id="rId1155" ref="C1269"/>
    <hyperlink r:id="rId1156" ref="C1270"/>
    <hyperlink r:id="rId1157" ref="C1271"/>
    <hyperlink r:id="rId1158" ref="C1272"/>
    <hyperlink r:id="rId1159" ref="C1273"/>
    <hyperlink r:id="rId1160" ref="C1274"/>
    <hyperlink r:id="rId1161" ref="C1275"/>
    <hyperlink r:id="rId1162" ref="C1276"/>
    <hyperlink r:id="rId1163" ref="C1277"/>
    <hyperlink r:id="rId1164" ref="C1278"/>
    <hyperlink r:id="rId1165" ref="C1279"/>
    <hyperlink r:id="rId1166" ref="C1280"/>
    <hyperlink r:id="rId1167" ref="C1281"/>
    <hyperlink r:id="rId1168" ref="C1282"/>
    <hyperlink r:id="rId1169" ref="C1283"/>
    <hyperlink r:id="rId1170" ref="C1284"/>
    <hyperlink r:id="rId1171" ref="C1285"/>
    <hyperlink r:id="rId1172" ref="C1286"/>
    <hyperlink r:id="rId1173" ref="C1287"/>
    <hyperlink r:id="rId1174" ref="C1288"/>
    <hyperlink r:id="rId1175" ref="C1289"/>
    <hyperlink r:id="rId1176" ref="C1290"/>
    <hyperlink r:id="rId1177" ref="C1291"/>
    <hyperlink r:id="rId1178" ref="C1292"/>
    <hyperlink r:id="rId1179" ref="C1293"/>
    <hyperlink r:id="rId1180" ref="C1294"/>
    <hyperlink r:id="rId1181" ref="C1295"/>
    <hyperlink r:id="rId1182" ref="C1296"/>
    <hyperlink r:id="rId1183" ref="C1297"/>
    <hyperlink r:id="rId1184" ref="C1298"/>
    <hyperlink r:id="rId1185" ref="C1299"/>
    <hyperlink r:id="rId1186" ref="C1300"/>
    <hyperlink r:id="rId1187" ref="C1301"/>
    <hyperlink r:id="rId1188" ref="C1302"/>
    <hyperlink r:id="rId1189" ref="C1303"/>
    <hyperlink r:id="rId1190" ref="C1304"/>
    <hyperlink r:id="rId1191" ref="C1305"/>
    <hyperlink r:id="rId1192" ref="C1306"/>
    <hyperlink r:id="rId1193" ref="C1307"/>
    <hyperlink r:id="rId1194" ref="C1308"/>
    <hyperlink r:id="rId1195" ref="C1309"/>
    <hyperlink r:id="rId1196" ref="C1312"/>
    <hyperlink r:id="rId1197" ref="C1313"/>
    <hyperlink r:id="rId1198" ref="C1314"/>
    <hyperlink r:id="rId1199" ref="C1315"/>
    <hyperlink r:id="rId1200" ref="C1316"/>
    <hyperlink r:id="rId1201" ref="C1317"/>
    <hyperlink r:id="rId1202" ref="C1330"/>
    <hyperlink r:id="rId1203" ref="C1331"/>
    <hyperlink r:id="rId1204" ref="C1332"/>
    <hyperlink r:id="rId1205" ref="C1333"/>
    <hyperlink r:id="rId1206" ref="C1334"/>
    <hyperlink r:id="rId1207" ref="C1336"/>
    <hyperlink r:id="rId1208" ref="C1337"/>
    <hyperlink r:id="rId1209" ref="C1338"/>
    <hyperlink r:id="rId1210" ref="C1340"/>
    <hyperlink r:id="rId1211" ref="C1341"/>
    <hyperlink r:id="rId1212" ref="C1342"/>
    <hyperlink r:id="rId1213" ref="C1343"/>
    <hyperlink r:id="rId1214" ref="C1344"/>
    <hyperlink r:id="rId1215" ref="C1345"/>
    <hyperlink r:id="rId1216" ref="C1346"/>
    <hyperlink r:id="rId1217" ref="C1347"/>
    <hyperlink r:id="rId1218" ref="C1348"/>
    <hyperlink r:id="rId1219" ref="C1349"/>
    <hyperlink r:id="rId1220" ref="C1350"/>
    <hyperlink r:id="rId1221" ref="C1351"/>
    <hyperlink r:id="rId1222" ref="C1352"/>
    <hyperlink r:id="rId1223" ref="C1353"/>
    <hyperlink r:id="rId1224" ref="C1354"/>
    <hyperlink r:id="rId1225" ref="C1355"/>
    <hyperlink r:id="rId1226" ref="C1356"/>
    <hyperlink r:id="rId1227" ref="C1357"/>
    <hyperlink r:id="rId1228" ref="C1358"/>
    <hyperlink r:id="rId1229" ref="C1359"/>
    <hyperlink r:id="rId1230" ref="C1360"/>
    <hyperlink r:id="rId1231" ref="C1361"/>
    <hyperlink r:id="rId1232" ref="C1362"/>
    <hyperlink r:id="rId1233" ref="C1363"/>
    <hyperlink r:id="rId1234" ref="C1364"/>
    <hyperlink r:id="rId1235" ref="C1365"/>
    <hyperlink r:id="rId1236" ref="C1366"/>
    <hyperlink r:id="rId1237" ref="C1367"/>
    <hyperlink r:id="rId1238" ref="C1368"/>
    <hyperlink r:id="rId1239" ref="C1369"/>
    <hyperlink r:id="rId1240" ref="C1370"/>
    <hyperlink r:id="rId1241" ref="C1371"/>
    <hyperlink r:id="rId1242" ref="C1372"/>
    <hyperlink r:id="rId1243" ref="C1373"/>
    <hyperlink r:id="rId1244" ref="C1374"/>
    <hyperlink r:id="rId1245" ref="C1375"/>
    <hyperlink r:id="rId1246" ref="C1376"/>
    <hyperlink r:id="rId1247" ref="C1377"/>
    <hyperlink r:id="rId1248" ref="C1378"/>
    <hyperlink r:id="rId1249" ref="C1379"/>
    <hyperlink r:id="rId1250" ref="C1380"/>
    <hyperlink r:id="rId1251" ref="C1382"/>
    <hyperlink r:id="rId1252" ref="C1383"/>
    <hyperlink r:id="rId1253" ref="C1385"/>
    <hyperlink r:id="rId1254" ref="C1386"/>
    <hyperlink r:id="rId1255" ref="C1387"/>
    <hyperlink r:id="rId1256" ref="C1388"/>
    <hyperlink r:id="rId1257" ref="C1389"/>
    <hyperlink r:id="rId1258" ref="C1390"/>
    <hyperlink r:id="rId1259" ref="C1391"/>
    <hyperlink r:id="rId1260" ref="C1392"/>
    <hyperlink r:id="rId1261" ref="C1393"/>
    <hyperlink r:id="rId1262" ref="C1394"/>
    <hyperlink r:id="rId1263" ref="C1396"/>
    <hyperlink r:id="rId1264" ref="C1397"/>
    <hyperlink r:id="rId1265" ref="C1398"/>
    <hyperlink r:id="rId1266" ref="C1399"/>
    <hyperlink r:id="rId1267" ref="C1400"/>
    <hyperlink r:id="rId1268" ref="C1401"/>
    <hyperlink r:id="rId1269" ref="C1402"/>
    <hyperlink r:id="rId1270" ref="C1403"/>
    <hyperlink r:id="rId1271" ref="C1404"/>
    <hyperlink r:id="rId1272" ref="C1405"/>
    <hyperlink r:id="rId1273" ref="C1406"/>
    <hyperlink r:id="rId1274" ref="C1407"/>
    <hyperlink r:id="rId1275" ref="C1408"/>
    <hyperlink r:id="rId1276" ref="C1409"/>
    <hyperlink r:id="rId1277" ref="C1410"/>
    <hyperlink r:id="rId1278" ref="C1411"/>
    <hyperlink r:id="rId1279" ref="C1412"/>
    <hyperlink r:id="rId1280" ref="C1413"/>
    <hyperlink r:id="rId1281" ref="C1414"/>
    <hyperlink r:id="rId1282" ref="C1415"/>
    <hyperlink r:id="rId1283" ref="C1416"/>
    <hyperlink r:id="rId1284" ref="C1417"/>
    <hyperlink r:id="rId1285" ref="C1418"/>
    <hyperlink r:id="rId1286" ref="C1419"/>
    <hyperlink r:id="rId1287" ref="C1420"/>
    <hyperlink r:id="rId1288" ref="C1421"/>
    <hyperlink r:id="rId1289" ref="C1422"/>
    <hyperlink r:id="rId1290" ref="C1423"/>
    <hyperlink r:id="rId1291" ref="C1424"/>
    <hyperlink r:id="rId1292" ref="C1425"/>
    <hyperlink r:id="rId1293" ref="C1426"/>
    <hyperlink r:id="rId1294" ref="C1427"/>
    <hyperlink r:id="rId1295" ref="C1428"/>
    <hyperlink r:id="rId1296" ref="C1429"/>
    <hyperlink r:id="rId1297" ref="C1430"/>
    <hyperlink r:id="rId1298" ref="C1431"/>
    <hyperlink r:id="rId1299" ref="C1432"/>
    <hyperlink r:id="rId1300" ref="C1433"/>
    <hyperlink r:id="rId1301" ref="C1434"/>
    <hyperlink r:id="rId1302" ref="C1435"/>
    <hyperlink r:id="rId1303" ref="C1436"/>
    <hyperlink r:id="rId1304" ref="C1437"/>
    <hyperlink r:id="rId1305" ref="C1438"/>
    <hyperlink r:id="rId1306" ref="C1439"/>
    <hyperlink r:id="rId1307" ref="C1440"/>
    <hyperlink r:id="rId1308" ref="C1441"/>
    <hyperlink r:id="rId1309" ref="C1442"/>
    <hyperlink r:id="rId1310" ref="C1443"/>
    <hyperlink r:id="rId1311" ref="C1444"/>
    <hyperlink r:id="rId1312" ref="C1445"/>
    <hyperlink r:id="rId1313" ref="C1446"/>
    <hyperlink r:id="rId1314" ref="C1447"/>
    <hyperlink r:id="rId1315" ref="C1448"/>
    <hyperlink r:id="rId1316" ref="C1449"/>
    <hyperlink r:id="rId1317" ref="C1452"/>
    <hyperlink r:id="rId1318" ref="C1453"/>
    <hyperlink r:id="rId1319" ref="C1454"/>
    <hyperlink r:id="rId1320" ref="C1455"/>
    <hyperlink r:id="rId1321" ref="C1456"/>
    <hyperlink r:id="rId1322" ref="C1457"/>
    <hyperlink r:id="rId1323" ref="C1458"/>
    <hyperlink r:id="rId1324" ref="C1459"/>
    <hyperlink r:id="rId1325" ref="C1460"/>
    <hyperlink r:id="rId1326" ref="C1461"/>
    <hyperlink r:id="rId1327" ref="C1462"/>
    <hyperlink r:id="rId1328" ref="C1463"/>
    <hyperlink r:id="rId1329" ref="C1464"/>
    <hyperlink r:id="rId1330" ref="C1465"/>
    <hyperlink r:id="rId1331" ref="C1466"/>
    <hyperlink r:id="rId1332" ref="C1467"/>
    <hyperlink r:id="rId1333" ref="C1468"/>
    <hyperlink r:id="rId1334" ref="C1469"/>
    <hyperlink r:id="rId1335" ref="C1470"/>
    <hyperlink r:id="rId1336" ref="C1471"/>
    <hyperlink r:id="rId1337" ref="C1472"/>
    <hyperlink r:id="rId1338" ref="C1473"/>
    <hyperlink r:id="rId1339" ref="C1474"/>
    <hyperlink r:id="rId1340" ref="C1475"/>
    <hyperlink r:id="rId1341" ref="C1476"/>
    <hyperlink r:id="rId1342" ref="C1477"/>
    <hyperlink r:id="rId1343" ref="C1478"/>
    <hyperlink r:id="rId1344" ref="C1479"/>
    <hyperlink r:id="rId1345" ref="C1480"/>
    <hyperlink r:id="rId1346" ref="C1481"/>
    <hyperlink r:id="rId1347" ref="C1482"/>
    <hyperlink r:id="rId1348" ref="C1483"/>
    <hyperlink r:id="rId1349" ref="C1484"/>
    <hyperlink r:id="rId1350" ref="C1485"/>
    <hyperlink r:id="rId1351" ref="C1486"/>
    <hyperlink r:id="rId1352" ref="C1487"/>
    <hyperlink r:id="rId1353" ref="C1488"/>
    <hyperlink r:id="rId1354" ref="C1489"/>
    <hyperlink r:id="rId1355" ref="C1490"/>
    <hyperlink r:id="rId1356" ref="C1491"/>
    <hyperlink r:id="rId1357" ref="C1492"/>
    <hyperlink r:id="rId1358" ref="C1493"/>
    <hyperlink r:id="rId1359" ref="C1494"/>
    <hyperlink r:id="rId1360" ref="C1495"/>
    <hyperlink r:id="rId1361" ref="C1496"/>
    <hyperlink r:id="rId1362" ref="C1497"/>
    <hyperlink r:id="rId1363" ref="C1498"/>
    <hyperlink r:id="rId1364" ref="C1499"/>
    <hyperlink r:id="rId1365" ref="C1500"/>
    <hyperlink r:id="rId1366" ref="C1501"/>
    <hyperlink r:id="rId1367" ref="C1502"/>
    <hyperlink r:id="rId1368" ref="C1503"/>
    <hyperlink r:id="rId1369" ref="C1504"/>
    <hyperlink r:id="rId1370" ref="C1505"/>
    <hyperlink r:id="rId1371" ref="C1506"/>
    <hyperlink r:id="rId1372" ref="C1507"/>
    <hyperlink r:id="rId1373" ref="C1508"/>
    <hyperlink r:id="rId1374" ref="C1509"/>
    <hyperlink r:id="rId1375" ref="C1510"/>
    <hyperlink r:id="rId1376" ref="C1511"/>
    <hyperlink r:id="rId1377" ref="C1512"/>
    <hyperlink r:id="rId1378" ref="C1513"/>
    <hyperlink r:id="rId1379" ref="C1514"/>
    <hyperlink r:id="rId1380" ref="C1515"/>
    <hyperlink r:id="rId1381" ref="C1516"/>
    <hyperlink r:id="rId1382" ref="C1517"/>
    <hyperlink r:id="rId1383" ref="C1518"/>
    <hyperlink r:id="rId1384" ref="C1519"/>
    <hyperlink r:id="rId1385" ref="C1520"/>
    <hyperlink r:id="rId1386" ref="C1521"/>
    <hyperlink r:id="rId1387" ref="C1522"/>
    <hyperlink r:id="rId1388" ref="C1523"/>
    <hyperlink r:id="rId1389" ref="C1524"/>
    <hyperlink r:id="rId1390" ref="C1525"/>
    <hyperlink r:id="rId1391" ref="C1526"/>
    <hyperlink r:id="rId1392" ref="C1527"/>
    <hyperlink r:id="rId1393" ref="C1528"/>
    <hyperlink r:id="rId1394" ref="C1529"/>
    <hyperlink r:id="rId1395" ref="C1530"/>
    <hyperlink r:id="rId1396" ref="C1531"/>
    <hyperlink r:id="rId1397" ref="C1532"/>
    <hyperlink r:id="rId1398" ref="C1533"/>
    <hyperlink r:id="rId1399" ref="C1534"/>
    <hyperlink r:id="rId1400" ref="C1535"/>
    <hyperlink r:id="rId1401" ref="C1536"/>
    <hyperlink r:id="rId1402" ref="C1537"/>
    <hyperlink r:id="rId1403" ref="C1538"/>
    <hyperlink r:id="rId1404" ref="C1539"/>
    <hyperlink r:id="rId1405" ref="C1540"/>
    <hyperlink r:id="rId1406" ref="C1541"/>
    <hyperlink r:id="rId1407" ref="C1542"/>
    <hyperlink r:id="rId1408" ref="C1543"/>
    <hyperlink r:id="rId1409" ref="C1544"/>
    <hyperlink r:id="rId1410" ref="C1545"/>
    <hyperlink r:id="rId1411" ref="C1546"/>
    <hyperlink r:id="rId1412" ref="C1547"/>
    <hyperlink r:id="rId1413" ref="C1548"/>
    <hyperlink r:id="rId1414" ref="C1549"/>
    <hyperlink r:id="rId1415" ref="C1550"/>
    <hyperlink r:id="rId1416" ref="C1551"/>
    <hyperlink r:id="rId1417" ref="C1552"/>
    <hyperlink r:id="rId1418" ref="C1553"/>
    <hyperlink r:id="rId1419" ref="C1554"/>
    <hyperlink r:id="rId1420" ref="C1555"/>
    <hyperlink r:id="rId1421" ref="C1556"/>
    <hyperlink r:id="rId1422" ref="C1557"/>
    <hyperlink r:id="rId1423" ref="C1558"/>
    <hyperlink r:id="rId1424" ref="C1559"/>
    <hyperlink r:id="rId1425" ref="C1560"/>
    <hyperlink r:id="rId1426" ref="C1561"/>
    <hyperlink r:id="rId1427" ref="C1562"/>
    <hyperlink r:id="rId1428" ref="C1563"/>
    <hyperlink r:id="rId1429" ref="C1564"/>
    <hyperlink r:id="rId1430" ref="C1565"/>
    <hyperlink r:id="rId1431" ref="C1566"/>
    <hyperlink r:id="rId1432" ref="C1567"/>
    <hyperlink r:id="rId1433" ref="C1568"/>
    <hyperlink r:id="rId1434" ref="C1569"/>
    <hyperlink r:id="rId1435" ref="C1570"/>
    <hyperlink r:id="rId1436" ref="C1571"/>
    <hyperlink r:id="rId1437" ref="C1572"/>
    <hyperlink r:id="rId1438" ref="C1573"/>
    <hyperlink r:id="rId1439" ref="C1574"/>
    <hyperlink r:id="rId1440" ref="C1575"/>
    <hyperlink r:id="rId1441" ref="C1576"/>
    <hyperlink r:id="rId1442" ref="C1577"/>
    <hyperlink r:id="rId1443" ref="C1578"/>
    <hyperlink r:id="rId1444" ref="C1579"/>
    <hyperlink r:id="rId1445" ref="C1580"/>
    <hyperlink r:id="rId1446" ref="C1581"/>
    <hyperlink r:id="rId1447" ref="C1582"/>
    <hyperlink r:id="rId1448" ref="C1583"/>
    <hyperlink r:id="rId1449" ref="C1584"/>
    <hyperlink r:id="rId1450" ref="C1585"/>
    <hyperlink r:id="rId1451" ref="C1586"/>
    <hyperlink r:id="rId1452" ref="C1587"/>
    <hyperlink r:id="rId1453" ref="C1588"/>
    <hyperlink r:id="rId1454" ref="C1589"/>
    <hyperlink r:id="rId1455" ref="C1590"/>
    <hyperlink r:id="rId1456" ref="C1591"/>
    <hyperlink r:id="rId1457" ref="C1592"/>
    <hyperlink r:id="rId1458" ref="C1593"/>
    <hyperlink r:id="rId1459" ref="C1594"/>
    <hyperlink r:id="rId1460" ref="C1595"/>
    <hyperlink r:id="rId1461" ref="C1596"/>
    <hyperlink r:id="rId1462" ref="C1597"/>
    <hyperlink r:id="rId1463" ref="C1598"/>
    <hyperlink r:id="rId1464" ref="C1599"/>
    <hyperlink r:id="rId1465" ref="C1600"/>
    <hyperlink r:id="rId1466" ref="C1601"/>
    <hyperlink r:id="rId1467" ref="C1602"/>
    <hyperlink r:id="rId1468" ref="C1603"/>
    <hyperlink r:id="rId1469" ref="C1604"/>
    <hyperlink r:id="rId1470" ref="C1605"/>
    <hyperlink r:id="rId1471" ref="C1606"/>
    <hyperlink r:id="rId1472" ref="C1607"/>
    <hyperlink r:id="rId1473" ref="C1608"/>
    <hyperlink r:id="rId1474" ref="C1609"/>
    <hyperlink r:id="rId1475" ref="C1610"/>
    <hyperlink r:id="rId1476" ref="C1611"/>
    <hyperlink r:id="rId1477" ref="C1612"/>
    <hyperlink r:id="rId1478" ref="C1613"/>
    <hyperlink r:id="rId1479" ref="C1614"/>
    <hyperlink r:id="rId1480" ref="C1615"/>
    <hyperlink r:id="rId1481" ref="C1617"/>
    <hyperlink r:id="rId1482" ref="C1618"/>
    <hyperlink r:id="rId1483" ref="C1619"/>
    <hyperlink r:id="rId1484" ref="C1620"/>
    <hyperlink r:id="rId1485" ref="C1621"/>
    <hyperlink r:id="rId1486" ref="C1622"/>
    <hyperlink r:id="rId1487" ref="C1623"/>
    <hyperlink r:id="rId1488" ref="C1624"/>
    <hyperlink r:id="rId1489" ref="C1625"/>
    <hyperlink r:id="rId1490" ref="C1626"/>
    <hyperlink r:id="rId1491" ref="C1627"/>
    <hyperlink r:id="rId1492" ref="C1628"/>
    <hyperlink r:id="rId1493" ref="C1629"/>
    <hyperlink r:id="rId1494" ref="C1630"/>
    <hyperlink r:id="rId1495" ref="C1631"/>
    <hyperlink r:id="rId1496" ref="C1632"/>
    <hyperlink r:id="rId1497" ref="C1633"/>
    <hyperlink r:id="rId1498" ref="C1634"/>
    <hyperlink r:id="rId1499" ref="C1635"/>
    <hyperlink r:id="rId1500" ref="C1636"/>
    <hyperlink r:id="rId1501" ref="C1637"/>
    <hyperlink r:id="rId1502" ref="C1638"/>
    <hyperlink r:id="rId1503" ref="C1639"/>
    <hyperlink r:id="rId1504" ref="C1640"/>
    <hyperlink r:id="rId1505" ref="C1642"/>
    <hyperlink r:id="rId1506" ref="C1643"/>
    <hyperlink r:id="rId1507" ref="C1644"/>
    <hyperlink r:id="rId1508" ref="C1645"/>
    <hyperlink r:id="rId1509" ref="C1646"/>
    <hyperlink r:id="rId1510" ref="C1647"/>
    <hyperlink r:id="rId1511" ref="C1648"/>
    <hyperlink r:id="rId1512" ref="C1649"/>
    <hyperlink r:id="rId1513" ref="C1650"/>
    <hyperlink r:id="rId1514" ref="C1651"/>
    <hyperlink r:id="rId1515" ref="C1652"/>
    <hyperlink r:id="rId1516" ref="C1653"/>
    <hyperlink r:id="rId1517" ref="C1654"/>
    <hyperlink r:id="rId1518" ref="C1655"/>
    <hyperlink r:id="rId1519" ref="C1656"/>
    <hyperlink r:id="rId1520" ref="C1657"/>
    <hyperlink r:id="rId1521" ref="C1658"/>
    <hyperlink r:id="rId1522" ref="C1659"/>
    <hyperlink r:id="rId1523" ref="C1660"/>
    <hyperlink r:id="rId1524" ref="C1661"/>
    <hyperlink r:id="rId1525" ref="C1662"/>
    <hyperlink r:id="rId1526" ref="C1663"/>
    <hyperlink r:id="rId1527" ref="C1664"/>
    <hyperlink r:id="rId1528" ref="C1665"/>
    <hyperlink r:id="rId1529" ref="C1666"/>
    <hyperlink r:id="rId1530" ref="C1667"/>
    <hyperlink r:id="rId1531" ref="C1668"/>
    <hyperlink r:id="rId1532" ref="C1669"/>
    <hyperlink r:id="rId1533" ref="C1670"/>
    <hyperlink r:id="rId1534" ref="C1671"/>
    <hyperlink r:id="rId1535" ref="C1672"/>
    <hyperlink r:id="rId1536" ref="C1673"/>
    <hyperlink r:id="rId1537" ref="C1674"/>
    <hyperlink r:id="rId1538" ref="C1675"/>
    <hyperlink r:id="rId1539" ref="C1676"/>
    <hyperlink r:id="rId1540" ref="C1677"/>
    <hyperlink r:id="rId1541" ref="C1678"/>
    <hyperlink r:id="rId1542" ref="C1679"/>
    <hyperlink r:id="rId1543" ref="C1680"/>
    <hyperlink r:id="rId1544" ref="C1681"/>
    <hyperlink r:id="rId1545" ref="C1682"/>
    <hyperlink r:id="rId1546" ref="C1683"/>
    <hyperlink r:id="rId1547" ref="C1684"/>
    <hyperlink r:id="rId1548" ref="C1685"/>
    <hyperlink r:id="rId1549" ref="C1686"/>
    <hyperlink r:id="rId1550" ref="C1687"/>
    <hyperlink r:id="rId1551" ref="C1688"/>
    <hyperlink r:id="rId1552" ref="C1689"/>
    <hyperlink r:id="rId1553" ref="C1690"/>
    <hyperlink r:id="rId1554" ref="C1691"/>
    <hyperlink r:id="rId1555" ref="C1692"/>
    <hyperlink r:id="rId1556" ref="C1693"/>
    <hyperlink r:id="rId1557" ref="C1694"/>
    <hyperlink r:id="rId1558" ref="C1695"/>
    <hyperlink r:id="rId1559" ref="C1696"/>
    <hyperlink r:id="rId1560" ref="C1697"/>
    <hyperlink r:id="rId1561" ref="C1698"/>
    <hyperlink r:id="rId1562" ref="C1699"/>
    <hyperlink r:id="rId1563" ref="C1700"/>
    <hyperlink r:id="rId1564" ref="C1701"/>
    <hyperlink r:id="rId1565" ref="C1702"/>
    <hyperlink r:id="rId1566" ref="C1703"/>
    <hyperlink r:id="rId1567" ref="C1704"/>
    <hyperlink r:id="rId1568" ref="C1705"/>
    <hyperlink r:id="rId1569" ref="C1706"/>
    <hyperlink r:id="rId1570" ref="C1707"/>
    <hyperlink r:id="rId1571" ref="C1708"/>
    <hyperlink r:id="rId1572" ref="C1709"/>
    <hyperlink r:id="rId1573" ref="C1710"/>
    <hyperlink r:id="rId1574" ref="C1711"/>
    <hyperlink r:id="rId1575" ref="C1712"/>
    <hyperlink r:id="rId1576" ref="C1713"/>
    <hyperlink r:id="rId1577" ref="C1714"/>
    <hyperlink r:id="rId1578" ref="C1715"/>
    <hyperlink r:id="rId1579" ref="C1717"/>
    <hyperlink r:id="rId1580" ref="C1718"/>
    <hyperlink r:id="rId1581" ref="C1719"/>
    <hyperlink r:id="rId1582" ref="C1720"/>
    <hyperlink r:id="rId1583" ref="C1721"/>
    <hyperlink r:id="rId1584" ref="C1722"/>
    <hyperlink r:id="rId1585" ref="C1723"/>
    <hyperlink r:id="rId1586" ref="C1724"/>
    <hyperlink r:id="rId1587" ref="C1725"/>
    <hyperlink r:id="rId1588" ref="C1726"/>
    <hyperlink r:id="rId1589" ref="C1727"/>
    <hyperlink r:id="rId1590" ref="C1728"/>
    <hyperlink r:id="rId1591" ref="C1729"/>
    <hyperlink r:id="rId1592" ref="C1730"/>
    <hyperlink r:id="rId1593" ref="C1731"/>
    <hyperlink r:id="rId1594" ref="C1732"/>
    <hyperlink r:id="rId1595" ref="C1733"/>
    <hyperlink r:id="rId1596" ref="C1734"/>
    <hyperlink r:id="rId1597" ref="C1735"/>
    <hyperlink r:id="rId1598" ref="C1736"/>
    <hyperlink r:id="rId1599" ref="C1737"/>
    <hyperlink r:id="rId1600" ref="C1738"/>
    <hyperlink r:id="rId1601" ref="C1739"/>
    <hyperlink r:id="rId1602" ref="C1740"/>
    <hyperlink r:id="rId1603" ref="C1741"/>
    <hyperlink r:id="rId1604" ref="C1742"/>
    <hyperlink r:id="rId1605" ref="C1743"/>
    <hyperlink r:id="rId1606" ref="C1744"/>
    <hyperlink r:id="rId1607" ref="C1745"/>
    <hyperlink r:id="rId1608" ref="C1746"/>
    <hyperlink r:id="rId1609" ref="C1747"/>
    <hyperlink r:id="rId1610" ref="C1748"/>
    <hyperlink r:id="rId1611" ref="C1749"/>
    <hyperlink r:id="rId1612" ref="C1750"/>
    <hyperlink r:id="rId1613" ref="C1751"/>
    <hyperlink r:id="rId1614" ref="C1752"/>
    <hyperlink r:id="rId1615" ref="C1753"/>
    <hyperlink r:id="rId1616" ref="C1754"/>
    <hyperlink r:id="rId1617" ref="C1755"/>
    <hyperlink r:id="rId1618" ref="C1756"/>
    <hyperlink r:id="rId1619" ref="C1757"/>
    <hyperlink r:id="rId1620" ref="C1758"/>
    <hyperlink r:id="rId1621" ref="C1759"/>
    <hyperlink r:id="rId1622" ref="C1760"/>
    <hyperlink r:id="rId1623" ref="C1761"/>
    <hyperlink r:id="rId1624" ref="C1762"/>
    <hyperlink r:id="rId1625" ref="C1763"/>
    <hyperlink r:id="rId1626" ref="C1764"/>
    <hyperlink r:id="rId1627" ref="C1765"/>
    <hyperlink r:id="rId1628" ref="C1766"/>
    <hyperlink r:id="rId1629" ref="C1767"/>
    <hyperlink r:id="rId1630" ref="C1768"/>
    <hyperlink r:id="rId1631" ref="C1769"/>
    <hyperlink r:id="rId1632" ref="C1770"/>
    <hyperlink r:id="rId1633" ref="C1771"/>
    <hyperlink r:id="rId1634" ref="C1772"/>
    <hyperlink r:id="rId1635" ref="C1773"/>
    <hyperlink r:id="rId1636" ref="C1774"/>
    <hyperlink r:id="rId1637" ref="C1775"/>
    <hyperlink r:id="rId1638" ref="C1776"/>
    <hyperlink r:id="rId1639" ref="C1777"/>
    <hyperlink r:id="rId1640" ref="C1778"/>
    <hyperlink r:id="rId1641" ref="C1779"/>
    <hyperlink r:id="rId1642" ref="C1780"/>
    <hyperlink r:id="rId1643" ref="C1781"/>
    <hyperlink r:id="rId1644" ref="C1782"/>
    <hyperlink r:id="rId1645" ref="C1783"/>
    <hyperlink r:id="rId1646" ref="C1784"/>
    <hyperlink r:id="rId1647" ref="C1785"/>
    <hyperlink r:id="rId1648" ref="C1786"/>
    <hyperlink r:id="rId1649" ref="C1787"/>
    <hyperlink r:id="rId1650" ref="C1788"/>
    <hyperlink r:id="rId1651" ref="C1789"/>
    <hyperlink r:id="rId1652" ref="C1790"/>
    <hyperlink r:id="rId1653" ref="C1791"/>
    <hyperlink r:id="rId1654" ref="C1792"/>
    <hyperlink r:id="rId1655" ref="C1793"/>
    <hyperlink r:id="rId1656" ref="C1794"/>
    <hyperlink r:id="rId1657" ref="C1795"/>
    <hyperlink r:id="rId1658" ref="C1796"/>
    <hyperlink r:id="rId1659" ref="C1797"/>
    <hyperlink r:id="rId1660" ref="C1798"/>
    <hyperlink r:id="rId1661" ref="C1799"/>
    <hyperlink r:id="rId1662" ref="C1800"/>
    <hyperlink r:id="rId1663" ref="C1801"/>
    <hyperlink r:id="rId1664" ref="C1802"/>
    <hyperlink r:id="rId1665" ref="C1803"/>
    <hyperlink r:id="rId1666" ref="C1804"/>
    <hyperlink r:id="rId1667" ref="C1805"/>
    <hyperlink r:id="rId1668" ref="C1806"/>
    <hyperlink r:id="rId1669" ref="C1807"/>
    <hyperlink r:id="rId1670" ref="C1809"/>
    <hyperlink r:id="rId1671" ref="C1811"/>
    <hyperlink r:id="rId1672" ref="C1812"/>
    <hyperlink r:id="rId1673" ref="C1813"/>
    <hyperlink r:id="rId1674" ref="C1814"/>
    <hyperlink r:id="rId1675" ref="C1815"/>
    <hyperlink r:id="rId1676" ref="C1816"/>
    <hyperlink r:id="rId1677" ref="C1817"/>
    <hyperlink r:id="rId1678" ref="C1818"/>
    <hyperlink r:id="rId1679" ref="C1819"/>
    <hyperlink r:id="rId1680" ref="C1820"/>
    <hyperlink r:id="rId1681" ref="C1821"/>
    <hyperlink r:id="rId1682" ref="C1822"/>
    <hyperlink r:id="rId1683" ref="C1823"/>
    <hyperlink r:id="rId1684" ref="C1824"/>
    <hyperlink r:id="rId1685" ref="C1825"/>
    <hyperlink r:id="rId1686" ref="C1826"/>
    <hyperlink r:id="rId1687" ref="C1827"/>
    <hyperlink r:id="rId1688" ref="C1828"/>
    <hyperlink r:id="rId1689" ref="C1829"/>
    <hyperlink r:id="rId1690" ref="C1830"/>
    <hyperlink r:id="rId1691" ref="C1831"/>
    <hyperlink r:id="rId1692" ref="C1832"/>
    <hyperlink r:id="rId1693" ref="C1837"/>
    <hyperlink r:id="rId1694" ref="C1838"/>
    <hyperlink r:id="rId1695" ref="C1853"/>
    <hyperlink r:id="rId1696" ref="C1854"/>
    <hyperlink r:id="rId1697" ref="C1855"/>
    <hyperlink r:id="rId1698" ref="C1856"/>
    <hyperlink r:id="rId1699" ref="C1857"/>
    <hyperlink r:id="rId1700" ref="C1858"/>
    <hyperlink r:id="rId1701" ref="C1859"/>
    <hyperlink r:id="rId1702" ref="C1860"/>
    <hyperlink r:id="rId1703" ref="C1861"/>
    <hyperlink r:id="rId1704" ref="C1862"/>
    <hyperlink r:id="rId1705" ref="C1863"/>
    <hyperlink r:id="rId1706" ref="C1864"/>
    <hyperlink r:id="rId1707" ref="C1865"/>
    <hyperlink r:id="rId1708" ref="C1866"/>
    <hyperlink r:id="rId1709" ref="C1867"/>
    <hyperlink r:id="rId1710" ref="C1868"/>
    <hyperlink r:id="rId1711" ref="C1869"/>
    <hyperlink r:id="rId1712" ref="C1871"/>
    <hyperlink r:id="rId1713" ref="C1875"/>
    <hyperlink r:id="rId1714" ref="C1876"/>
    <hyperlink r:id="rId1715" ref="C1877"/>
    <hyperlink r:id="rId1716" ref="C1878"/>
    <hyperlink r:id="rId1717" ref="C1879"/>
    <hyperlink r:id="rId1718" ref="C1880"/>
    <hyperlink r:id="rId1719" ref="C1881"/>
    <hyperlink r:id="rId1720" ref="C1882"/>
    <hyperlink r:id="rId1721" ref="C1883"/>
    <hyperlink r:id="rId1722" ref="C1884"/>
    <hyperlink r:id="rId1723" ref="C1885"/>
    <hyperlink r:id="rId1724" ref="C1886"/>
    <hyperlink r:id="rId1725" ref="C1887"/>
    <hyperlink r:id="rId1726" ref="C1888"/>
    <hyperlink r:id="rId1727" ref="C1889"/>
    <hyperlink r:id="rId1728" ref="C1890"/>
    <hyperlink r:id="rId1729" ref="C1891"/>
    <hyperlink r:id="rId1730" ref="C1892"/>
    <hyperlink r:id="rId1731" ref="C1893"/>
    <hyperlink r:id="rId1732" ref="C1894"/>
    <hyperlink r:id="rId1733" ref="C1895"/>
    <hyperlink r:id="rId1734" ref="C1896"/>
    <hyperlink r:id="rId1735" ref="C1897"/>
    <hyperlink r:id="rId1736" ref="C1898"/>
    <hyperlink r:id="rId1737" ref="C1899"/>
    <hyperlink r:id="rId1738" ref="C1900"/>
    <hyperlink r:id="rId1739" ref="C1901"/>
    <hyperlink r:id="rId1740" ref="C1902"/>
    <hyperlink r:id="rId1741" ref="C1903"/>
    <hyperlink r:id="rId1742" ref="C1904"/>
    <hyperlink r:id="rId1743" ref="C1905"/>
    <hyperlink r:id="rId1744" ref="C1906"/>
    <hyperlink r:id="rId1745" ref="C1907"/>
    <hyperlink r:id="rId1746" ref="C1908"/>
    <hyperlink r:id="rId1747" ref="C1909"/>
    <hyperlink r:id="rId1748" ref="C1910"/>
    <hyperlink r:id="rId1749" ref="C1911"/>
    <hyperlink r:id="rId1750" ref="C1912"/>
    <hyperlink r:id="rId1751" ref="C1913"/>
    <hyperlink r:id="rId1752" ref="C1914"/>
    <hyperlink r:id="rId1753" ref="C1915"/>
    <hyperlink r:id="rId1754" ref="C1916"/>
    <hyperlink r:id="rId1755" ref="C1917"/>
    <hyperlink r:id="rId1756" ref="C1918"/>
    <hyperlink r:id="rId1757" ref="C1919"/>
    <hyperlink r:id="rId1758" ref="C1920"/>
    <hyperlink r:id="rId1759" ref="C1921"/>
    <hyperlink r:id="rId1760" ref="C1922"/>
    <hyperlink r:id="rId1761" ref="C1923"/>
    <hyperlink r:id="rId1762" ref="C1924"/>
    <hyperlink r:id="rId1763" ref="C1925"/>
    <hyperlink r:id="rId1764" ref="C1926"/>
    <hyperlink r:id="rId1765" ref="C1927"/>
    <hyperlink r:id="rId1766" ref="C1928"/>
    <hyperlink r:id="rId1767" ref="C1929"/>
    <hyperlink r:id="rId1768" ref="C1930"/>
    <hyperlink r:id="rId1769" ref="C1931"/>
    <hyperlink r:id="rId1770" ref="C1932"/>
    <hyperlink r:id="rId1771" ref="C1933"/>
    <hyperlink r:id="rId1772" ref="C1934"/>
    <hyperlink r:id="rId1773" ref="C1935"/>
    <hyperlink r:id="rId1774" ref="C1936"/>
    <hyperlink r:id="rId1775" ref="C1937"/>
    <hyperlink r:id="rId1776" ref="C1938"/>
    <hyperlink r:id="rId1777" ref="C1939"/>
    <hyperlink r:id="rId1778" ref="C1940"/>
    <hyperlink r:id="rId1779" ref="C1941"/>
    <hyperlink r:id="rId1780" ref="C1942"/>
    <hyperlink r:id="rId1781" ref="C1943"/>
    <hyperlink r:id="rId1782" ref="C1944"/>
    <hyperlink r:id="rId1783" ref="C1945"/>
    <hyperlink r:id="rId1784" ref="C1946"/>
    <hyperlink r:id="rId1785" ref="C1947"/>
    <hyperlink r:id="rId1786" ref="C1948"/>
    <hyperlink r:id="rId1787" ref="C1949"/>
    <hyperlink r:id="rId1788" ref="C1950"/>
    <hyperlink r:id="rId1789" ref="C1951"/>
    <hyperlink r:id="rId1790" ref="C1952"/>
    <hyperlink r:id="rId1791" ref="C1953"/>
    <hyperlink r:id="rId1792" ref="C1954"/>
    <hyperlink r:id="rId1793" ref="C1955"/>
    <hyperlink r:id="rId1794" ref="C1956"/>
    <hyperlink r:id="rId1795" ref="C1957"/>
    <hyperlink r:id="rId1796" ref="C1958"/>
    <hyperlink r:id="rId1797" ref="C1959"/>
    <hyperlink r:id="rId1798" ref="C1960"/>
    <hyperlink r:id="rId1799" ref="C1961"/>
    <hyperlink r:id="rId1800" ref="C1962"/>
    <hyperlink r:id="rId1801" ref="C1963"/>
    <hyperlink r:id="rId1802" ref="C1964"/>
    <hyperlink r:id="rId1803" ref="C1965"/>
    <hyperlink r:id="rId1804" ref="C1966"/>
    <hyperlink r:id="rId1805" ref="C1967"/>
    <hyperlink r:id="rId1806" ref="C1968"/>
    <hyperlink r:id="rId1807" ref="C1969"/>
    <hyperlink r:id="rId1808" ref="C1970"/>
    <hyperlink r:id="rId1809" ref="C1971"/>
    <hyperlink r:id="rId1810" ref="C1972"/>
    <hyperlink r:id="rId1811" ref="C1973"/>
    <hyperlink r:id="rId1812" ref="C1974"/>
    <hyperlink r:id="rId1813" ref="C1975"/>
    <hyperlink r:id="rId1814" ref="C1976"/>
    <hyperlink r:id="rId1815" ref="C1977"/>
    <hyperlink r:id="rId1816" ref="C1978"/>
    <hyperlink r:id="rId1817" ref="C1979"/>
    <hyperlink r:id="rId1818" ref="C1980"/>
    <hyperlink r:id="rId1819" ref="C1981"/>
    <hyperlink r:id="rId1820" ref="C1982"/>
    <hyperlink r:id="rId1821" ref="C1983"/>
    <hyperlink r:id="rId1822" ref="C1984"/>
    <hyperlink r:id="rId1823" ref="C1985"/>
    <hyperlink r:id="rId1824" ref="C1986"/>
    <hyperlink r:id="rId1825" ref="C1987"/>
    <hyperlink r:id="rId1826" ref="C1988"/>
    <hyperlink r:id="rId1827" ref="C1989"/>
    <hyperlink r:id="rId1828" ref="C1990"/>
    <hyperlink r:id="rId1829" ref="C1991"/>
    <hyperlink r:id="rId1830" ref="C1992"/>
    <hyperlink r:id="rId1831" ref="C1993"/>
    <hyperlink r:id="rId1832" ref="C1994"/>
    <hyperlink r:id="rId1833" ref="C1995"/>
    <hyperlink r:id="rId1834" ref="C1996"/>
    <hyperlink r:id="rId1835" ref="C1997"/>
    <hyperlink r:id="rId1836" ref="C1998"/>
    <hyperlink r:id="rId1837" ref="C1999"/>
    <hyperlink r:id="rId1838" ref="C2000"/>
    <hyperlink r:id="rId1839" ref="C2001"/>
    <hyperlink r:id="rId1840" ref="C2002"/>
    <hyperlink r:id="rId1841" ref="C2003"/>
    <hyperlink r:id="rId1842" ref="C2004"/>
    <hyperlink r:id="rId1843" ref="C2005"/>
    <hyperlink r:id="rId1844" ref="C2006"/>
    <hyperlink r:id="rId1845" ref="C2007"/>
    <hyperlink r:id="rId1846" ref="C2008"/>
    <hyperlink r:id="rId1847" ref="C2009"/>
    <hyperlink r:id="rId1848" ref="C2010"/>
    <hyperlink r:id="rId1849" ref="C2011"/>
    <hyperlink r:id="rId1850" ref="C2012"/>
    <hyperlink r:id="rId1851" ref="C2013"/>
    <hyperlink r:id="rId1852" ref="C2014"/>
    <hyperlink r:id="rId1853" ref="C2015"/>
    <hyperlink r:id="rId1854" ref="C2016"/>
    <hyperlink r:id="rId1855" ref="C2017"/>
    <hyperlink r:id="rId1856" ref="C2018"/>
    <hyperlink r:id="rId1857" ref="C2019"/>
    <hyperlink r:id="rId1858" ref="C2020"/>
    <hyperlink r:id="rId1859" ref="C2021"/>
    <hyperlink r:id="rId1860" ref="C2022"/>
    <hyperlink r:id="rId1861" ref="C2023"/>
    <hyperlink r:id="rId1862" ref="C2024"/>
    <hyperlink r:id="rId1863" ref="C2025"/>
    <hyperlink r:id="rId1864" ref="C2026"/>
    <hyperlink r:id="rId1865" ref="C2027"/>
    <hyperlink r:id="rId1866" ref="C2028"/>
    <hyperlink r:id="rId1867" ref="C2032"/>
    <hyperlink r:id="rId1868" ref="C2033"/>
    <hyperlink r:id="rId1869" ref="C2034"/>
    <hyperlink r:id="rId1870" ref="C2035"/>
    <hyperlink r:id="rId1871" ref="C2036"/>
    <hyperlink r:id="rId1872" ref="C2037"/>
    <hyperlink r:id="rId1873" ref="C2038"/>
    <hyperlink r:id="rId1874" ref="C2039"/>
    <hyperlink r:id="rId1875" ref="C2040"/>
    <hyperlink r:id="rId1876" ref="C2041"/>
    <hyperlink r:id="rId1877" ref="C2042"/>
    <hyperlink r:id="rId1878" ref="C2043"/>
    <hyperlink r:id="rId1879" ref="C2044"/>
    <hyperlink r:id="rId1880" ref="C2045"/>
    <hyperlink r:id="rId1881" ref="C2047"/>
    <hyperlink r:id="rId1882" ref="C2048"/>
    <hyperlink r:id="rId1883" ref="C2049"/>
    <hyperlink r:id="rId1884" ref="C2050"/>
    <hyperlink r:id="rId1885" ref="C2051"/>
    <hyperlink r:id="rId1886" ref="C2052"/>
    <hyperlink r:id="rId1887" ref="C2053"/>
    <hyperlink r:id="rId1888" ref="C2054"/>
    <hyperlink r:id="rId1889" ref="C2055"/>
    <hyperlink r:id="rId1890" ref="C2056"/>
    <hyperlink r:id="rId1891" ref="C2057"/>
    <hyperlink r:id="rId1892" ref="C2058"/>
    <hyperlink r:id="rId1893" ref="C2059"/>
    <hyperlink r:id="rId1894" ref="C2060"/>
    <hyperlink r:id="rId1895" ref="C2061"/>
    <hyperlink r:id="rId1896" ref="C2062"/>
    <hyperlink r:id="rId1897" ref="C2063"/>
    <hyperlink r:id="rId1898" ref="C2064"/>
    <hyperlink r:id="rId1899" ref="C2065"/>
    <hyperlink r:id="rId1900" ref="C2066"/>
    <hyperlink r:id="rId1901" ref="C2067"/>
    <hyperlink r:id="rId1902" ref="C2068"/>
    <hyperlink r:id="rId1903" ref="C2069"/>
    <hyperlink r:id="rId1904" ref="C2070"/>
    <hyperlink r:id="rId1905" ref="C2071"/>
    <hyperlink r:id="rId1906" ref="C2072"/>
    <hyperlink r:id="rId1907" ref="C2073"/>
    <hyperlink r:id="rId1908" ref="C2075"/>
    <hyperlink r:id="rId1909" ref="C2076"/>
    <hyperlink r:id="rId1910" ref="C2077"/>
    <hyperlink r:id="rId1911" ref="C2078"/>
    <hyperlink r:id="rId1912" ref="C2079"/>
    <hyperlink r:id="rId1913" ref="C2080"/>
    <hyperlink r:id="rId1914" ref="C2081"/>
    <hyperlink r:id="rId1915" ref="C2082"/>
    <hyperlink r:id="rId1916" ref="C2083"/>
    <hyperlink r:id="rId1917" ref="C2084"/>
    <hyperlink r:id="rId1918" ref="C2085"/>
    <hyperlink r:id="rId1919" ref="C2086"/>
    <hyperlink r:id="rId1920" ref="C2087"/>
    <hyperlink r:id="rId1921" ref="C2088"/>
    <hyperlink r:id="rId1922" ref="C2089"/>
    <hyperlink r:id="rId1923" ref="C2090"/>
    <hyperlink r:id="rId1924" ref="C2091"/>
    <hyperlink r:id="rId1925" ref="C2092"/>
    <hyperlink r:id="rId1926" ref="C2093"/>
    <hyperlink r:id="rId1927" ref="C2094"/>
    <hyperlink r:id="rId1928" ref="C2095"/>
    <hyperlink r:id="rId1929" ref="C2096"/>
    <hyperlink r:id="rId1930" ref="C2097"/>
    <hyperlink r:id="rId1931" ref="C2098"/>
    <hyperlink r:id="rId1932" ref="C2100"/>
    <hyperlink r:id="rId1933" ref="C2101"/>
    <hyperlink r:id="rId1934" ref="C2102"/>
    <hyperlink r:id="rId1935" ref="C2103"/>
    <hyperlink r:id="rId1936" ref="C2104"/>
    <hyperlink r:id="rId1937" ref="C2105"/>
    <hyperlink r:id="rId1938" ref="C2106"/>
    <hyperlink r:id="rId1939" ref="C2107"/>
    <hyperlink r:id="rId1940" ref="C2108"/>
    <hyperlink r:id="rId1941" ref="C2109"/>
    <hyperlink r:id="rId1942" ref="C2110"/>
    <hyperlink r:id="rId1943" ref="C2111"/>
    <hyperlink r:id="rId1944" ref="C2112"/>
    <hyperlink r:id="rId1945" ref="C2113"/>
    <hyperlink r:id="rId1946" ref="C2114"/>
    <hyperlink r:id="rId1947" ref="C2115"/>
    <hyperlink r:id="rId1948" ref="C2116"/>
    <hyperlink r:id="rId1949" ref="C2117"/>
    <hyperlink r:id="rId1950" ref="C2118"/>
    <hyperlink r:id="rId1951" ref="C2119"/>
    <hyperlink r:id="rId1952" ref="C2120"/>
    <hyperlink r:id="rId1953" ref="C2121"/>
    <hyperlink r:id="rId1954" ref="C2122"/>
    <hyperlink r:id="rId1955" ref="C2123"/>
    <hyperlink r:id="rId1956" ref="C2124"/>
    <hyperlink r:id="rId1957" ref="C2125"/>
    <hyperlink r:id="rId1958" ref="C2126"/>
    <hyperlink r:id="rId1959" ref="C2127"/>
    <hyperlink r:id="rId1960" ref="C2128"/>
    <hyperlink r:id="rId1961" ref="C2129"/>
    <hyperlink r:id="rId1962" ref="C2130"/>
    <hyperlink r:id="rId1963" ref="C2131"/>
    <hyperlink r:id="rId1964" ref="C2132"/>
    <hyperlink r:id="rId1965" ref="C2133"/>
    <hyperlink r:id="rId1966" ref="C2134"/>
    <hyperlink r:id="rId1967" ref="C2135"/>
    <hyperlink r:id="rId1968" ref="C2136"/>
    <hyperlink r:id="rId1969" ref="C2137"/>
    <hyperlink r:id="rId1970" ref="C2138"/>
    <hyperlink r:id="rId1971" ref="C2139"/>
    <hyperlink r:id="rId1972" ref="C2140"/>
    <hyperlink r:id="rId1973" ref="C2141"/>
    <hyperlink r:id="rId1974" ref="C2142"/>
    <hyperlink r:id="rId1975" ref="C2143"/>
    <hyperlink r:id="rId1976" ref="C2144"/>
    <hyperlink r:id="rId1977" ref="C2145"/>
    <hyperlink r:id="rId1978" ref="C2146"/>
    <hyperlink r:id="rId1979" ref="C2147"/>
    <hyperlink r:id="rId1980" ref="C2148"/>
    <hyperlink r:id="rId1981" ref="C2149"/>
    <hyperlink r:id="rId1982" ref="C2150"/>
    <hyperlink r:id="rId1983" ref="C2151"/>
    <hyperlink r:id="rId1984" ref="C2152"/>
    <hyperlink r:id="rId1985" ref="C2153"/>
    <hyperlink r:id="rId1986" ref="C2154"/>
    <hyperlink r:id="rId1987" ref="C2155"/>
    <hyperlink r:id="rId1988" ref="C2156"/>
    <hyperlink r:id="rId1989" ref="C2157"/>
    <hyperlink r:id="rId1990" ref="C2158"/>
    <hyperlink r:id="rId1991" ref="C2159"/>
    <hyperlink r:id="rId1992" ref="C2160"/>
    <hyperlink r:id="rId1993" ref="C2161"/>
    <hyperlink r:id="rId1994" ref="C2162"/>
    <hyperlink r:id="rId1995" ref="C2163"/>
    <hyperlink r:id="rId1996" ref="C2164"/>
    <hyperlink r:id="rId1997" ref="C2165"/>
    <hyperlink r:id="rId1998" ref="C2166"/>
    <hyperlink r:id="rId1999" ref="C2167"/>
    <hyperlink r:id="rId2000" ref="C2168"/>
    <hyperlink r:id="rId2001" ref="C2169"/>
    <hyperlink r:id="rId2002" ref="C2170"/>
    <hyperlink r:id="rId2003" ref="C2171"/>
    <hyperlink r:id="rId2004" ref="C2172"/>
    <hyperlink r:id="rId2005" ref="C2173"/>
    <hyperlink r:id="rId2006" ref="C2174"/>
    <hyperlink r:id="rId2007" ref="C2175"/>
    <hyperlink r:id="rId2008" ref="C2176"/>
    <hyperlink r:id="rId2009" ref="C2177"/>
    <hyperlink r:id="rId2010" ref="C2178"/>
    <hyperlink r:id="rId2011" ref="C2179"/>
    <hyperlink r:id="rId2012" ref="C2180"/>
    <hyperlink r:id="rId2013" ref="C2181"/>
    <hyperlink r:id="rId2014" ref="C2182"/>
    <hyperlink r:id="rId2015" ref="C2183"/>
    <hyperlink r:id="rId2016" ref="C2184"/>
    <hyperlink r:id="rId2017" ref="C2185"/>
    <hyperlink r:id="rId2018" ref="C2186"/>
    <hyperlink r:id="rId2019" ref="C2187"/>
    <hyperlink r:id="rId2020" ref="C2188"/>
    <hyperlink r:id="rId2021" ref="C2189"/>
    <hyperlink r:id="rId2022" ref="C2190"/>
    <hyperlink r:id="rId2023" ref="C2191"/>
    <hyperlink r:id="rId2024" ref="C2192"/>
    <hyperlink r:id="rId2025" ref="C2193"/>
    <hyperlink r:id="rId2026" ref="C2194"/>
    <hyperlink r:id="rId2027" ref="C2195"/>
    <hyperlink r:id="rId2028" ref="C2196"/>
    <hyperlink r:id="rId2029" ref="C2197"/>
    <hyperlink r:id="rId2030" ref="C2198"/>
    <hyperlink r:id="rId2031" ref="C2199"/>
    <hyperlink r:id="rId2032" ref="C2200"/>
    <hyperlink r:id="rId2033" ref="C2201"/>
    <hyperlink r:id="rId2034" ref="C2202"/>
    <hyperlink r:id="rId2035" ref="C2203"/>
    <hyperlink r:id="rId2036" ref="C2204"/>
    <hyperlink r:id="rId2037" ref="C2205"/>
    <hyperlink r:id="rId2038" ref="C2206"/>
    <hyperlink r:id="rId2039" ref="C2207"/>
    <hyperlink r:id="rId2040" ref="C2208"/>
    <hyperlink r:id="rId2041" ref="C2209"/>
    <hyperlink r:id="rId2042" ref="C2210"/>
    <hyperlink r:id="rId2043" ref="C2211"/>
    <hyperlink r:id="rId2044" ref="C2212"/>
    <hyperlink r:id="rId2045" ref="C2213"/>
    <hyperlink r:id="rId2046" ref="C2214"/>
    <hyperlink r:id="rId2047" ref="C2215"/>
    <hyperlink r:id="rId2048" ref="C2216"/>
    <hyperlink r:id="rId2049" ref="C2217"/>
    <hyperlink r:id="rId2050" ref="C2218"/>
    <hyperlink r:id="rId2051" ref="C2219"/>
    <hyperlink r:id="rId2052" ref="C2220"/>
    <hyperlink r:id="rId2053" ref="C2221"/>
    <hyperlink r:id="rId2054" ref="C2222"/>
    <hyperlink r:id="rId2055" ref="C2223"/>
    <hyperlink r:id="rId2056" ref="C2224"/>
    <hyperlink r:id="rId2057" ref="C2225"/>
    <hyperlink r:id="rId2058" ref="C2226"/>
    <hyperlink r:id="rId2059" ref="C2227"/>
    <hyperlink r:id="rId2060" ref="C2228"/>
    <hyperlink r:id="rId2061" ref="C2229"/>
    <hyperlink r:id="rId2062" ref="C2230"/>
    <hyperlink r:id="rId2063" ref="C2231"/>
    <hyperlink r:id="rId2064" ref="C2232"/>
    <hyperlink r:id="rId2065" ref="C2233"/>
    <hyperlink r:id="rId2066" ref="C2234"/>
    <hyperlink r:id="rId2067" ref="C2235"/>
    <hyperlink r:id="rId2068" ref="C2236"/>
    <hyperlink r:id="rId2069" ref="C2237"/>
    <hyperlink r:id="rId2070" ref="C2238"/>
    <hyperlink r:id="rId2071" ref="C2239"/>
    <hyperlink r:id="rId2072" ref="C2240"/>
    <hyperlink r:id="rId2073" ref="C2241"/>
    <hyperlink r:id="rId2074" ref="C2242"/>
    <hyperlink r:id="rId2075" ref="C2243"/>
    <hyperlink r:id="rId2076" ref="C2244"/>
    <hyperlink r:id="rId2077" ref="C2245"/>
    <hyperlink r:id="rId2078" ref="C2246"/>
    <hyperlink r:id="rId2079" ref="C2247"/>
    <hyperlink r:id="rId2080" ref="C2248"/>
    <hyperlink r:id="rId2081" ref="C2249"/>
    <hyperlink r:id="rId2082" ref="C2250"/>
    <hyperlink r:id="rId2083" ref="C2251"/>
    <hyperlink r:id="rId2084" ref="C2252"/>
    <hyperlink r:id="rId2085" ref="C2253"/>
    <hyperlink r:id="rId2086" ref="C2254"/>
    <hyperlink r:id="rId2087" ref="C2255"/>
    <hyperlink r:id="rId2088" ref="C2256"/>
    <hyperlink r:id="rId2089" ref="C2257"/>
    <hyperlink r:id="rId2090" ref="C2258"/>
    <hyperlink r:id="rId2091" ref="C2259"/>
    <hyperlink r:id="rId2092" ref="C2260"/>
    <hyperlink r:id="rId2093" ref="C2261"/>
    <hyperlink r:id="rId2094" ref="C2262"/>
    <hyperlink r:id="rId2095" ref="C2263"/>
    <hyperlink r:id="rId2096" ref="C2264"/>
    <hyperlink r:id="rId2097" ref="C2265"/>
    <hyperlink r:id="rId2098" ref="C2266"/>
    <hyperlink r:id="rId2099" ref="C2267"/>
    <hyperlink r:id="rId2100" ref="C2268"/>
    <hyperlink r:id="rId2101" ref="C2269"/>
    <hyperlink r:id="rId2102" ref="C2270"/>
    <hyperlink r:id="rId2103" ref="C2271"/>
    <hyperlink r:id="rId2104" ref="C2272"/>
    <hyperlink r:id="rId2105" ref="C2273"/>
    <hyperlink r:id="rId2106" ref="C2274"/>
    <hyperlink r:id="rId2107" ref="C2275"/>
    <hyperlink r:id="rId2108" ref="C2276"/>
    <hyperlink r:id="rId2109" ref="C2277"/>
    <hyperlink r:id="rId2110" ref="C2278"/>
    <hyperlink r:id="rId2111" ref="C2279"/>
    <hyperlink r:id="rId2112" ref="C2280"/>
    <hyperlink r:id="rId2113" ref="C2281"/>
    <hyperlink r:id="rId2114" ref="C2282"/>
    <hyperlink r:id="rId2115" ref="C2283"/>
    <hyperlink r:id="rId2116" ref="C2284"/>
    <hyperlink r:id="rId2117" ref="C2285"/>
    <hyperlink r:id="rId2118" ref="C2286"/>
    <hyperlink r:id="rId2119" ref="C2287"/>
    <hyperlink r:id="rId2120" ref="C2288"/>
    <hyperlink r:id="rId2121" ref="C2289"/>
    <hyperlink r:id="rId2122" ref="C2290"/>
    <hyperlink r:id="rId2123" ref="C2291"/>
    <hyperlink r:id="rId2124" ref="C2292"/>
    <hyperlink r:id="rId2125" ref="C2293"/>
    <hyperlink r:id="rId2126" ref="C2294"/>
    <hyperlink r:id="rId2127" ref="C2295"/>
    <hyperlink r:id="rId2128" ref="C2296"/>
    <hyperlink r:id="rId2129" ref="C2297"/>
    <hyperlink r:id="rId2130" ref="C2298"/>
    <hyperlink r:id="rId2131" ref="C2299"/>
    <hyperlink r:id="rId2132" ref="C2300"/>
    <hyperlink r:id="rId2133" ref="C2302"/>
    <hyperlink r:id="rId2134" ref="C2303"/>
    <hyperlink r:id="rId2135" ref="C2304"/>
    <hyperlink r:id="rId2136" ref="C2305"/>
    <hyperlink r:id="rId2137" ref="C2306"/>
    <hyperlink r:id="rId2138" ref="C2307"/>
    <hyperlink r:id="rId2139" ref="C2308"/>
    <hyperlink r:id="rId2140" ref="C2309"/>
    <hyperlink r:id="rId2141" ref="C2310"/>
    <hyperlink r:id="rId2142" ref="C2311"/>
    <hyperlink r:id="rId2143" ref="C2312"/>
    <hyperlink r:id="rId2144" ref="C2313"/>
    <hyperlink r:id="rId2145" ref="C2314"/>
    <hyperlink r:id="rId2146" ref="C2315"/>
    <hyperlink r:id="rId2147" ref="C2316"/>
    <hyperlink r:id="rId2148" ref="C2317"/>
    <hyperlink r:id="rId2149" ref="C2318"/>
    <hyperlink r:id="rId2150" ref="C2319"/>
    <hyperlink r:id="rId2151" ref="C2320"/>
    <hyperlink r:id="rId2152" ref="C2321"/>
    <hyperlink r:id="rId2153" ref="C2322"/>
    <hyperlink r:id="rId2154" ref="C2323"/>
    <hyperlink r:id="rId2155" ref="C2324"/>
    <hyperlink r:id="rId2156" ref="C2325"/>
    <hyperlink r:id="rId2157" ref="C2326"/>
    <hyperlink r:id="rId2158" ref="C2327"/>
    <hyperlink r:id="rId2159" ref="C2328"/>
    <hyperlink r:id="rId2160" ref="C2329"/>
    <hyperlink r:id="rId2161" ref="C2330"/>
    <hyperlink r:id="rId2162" ref="C2331"/>
    <hyperlink r:id="rId2163" ref="C2332"/>
    <hyperlink r:id="rId2164" ref="C2333"/>
    <hyperlink r:id="rId2165" ref="C2334"/>
    <hyperlink r:id="rId2166" ref="C2335"/>
    <hyperlink r:id="rId2167" ref="C2336"/>
    <hyperlink r:id="rId2168" ref="C2337"/>
    <hyperlink r:id="rId2169" ref="C2338"/>
    <hyperlink r:id="rId2170" ref="C2339"/>
    <hyperlink r:id="rId2171" ref="C2340"/>
    <hyperlink r:id="rId2172" ref="C2341"/>
    <hyperlink r:id="rId2173" ref="C2342"/>
    <hyperlink r:id="rId2174" ref="C2343"/>
    <hyperlink r:id="rId2175" ref="C2344"/>
    <hyperlink r:id="rId2176" ref="C2345"/>
    <hyperlink r:id="rId2177" ref="C2346"/>
    <hyperlink r:id="rId2178" ref="C2347"/>
    <hyperlink r:id="rId2179" ref="C2348"/>
    <hyperlink r:id="rId2180" ref="C2349"/>
    <hyperlink r:id="rId2181" ref="C2350"/>
    <hyperlink r:id="rId2182" ref="C2351"/>
    <hyperlink r:id="rId2183" ref="C2352"/>
    <hyperlink r:id="rId2184" ref="C2353"/>
    <hyperlink r:id="rId2185" ref="C2354"/>
    <hyperlink r:id="rId2186" ref="C2355"/>
    <hyperlink r:id="rId2187" ref="C2356"/>
    <hyperlink r:id="rId2188" ref="C2357"/>
    <hyperlink r:id="rId2189" ref="C2358"/>
    <hyperlink r:id="rId2190" ref="C2359"/>
    <hyperlink r:id="rId2191" ref="C2360"/>
    <hyperlink r:id="rId2192" ref="C2361"/>
    <hyperlink r:id="rId2193" ref="C2362"/>
    <hyperlink r:id="rId2194" ref="C2363"/>
    <hyperlink r:id="rId2195" ref="C2365"/>
    <hyperlink r:id="rId2196" ref="C2366"/>
    <hyperlink r:id="rId2197" ref="C2367"/>
    <hyperlink r:id="rId2198" ref="C2368"/>
    <hyperlink r:id="rId2199" ref="C2369"/>
    <hyperlink r:id="rId2200" ref="C2370"/>
    <hyperlink r:id="rId2201" ref="C2371"/>
    <hyperlink r:id="rId2202" ref="C2372"/>
    <hyperlink r:id="rId2203" ref="C2373"/>
    <hyperlink r:id="rId2204" ref="C2374"/>
    <hyperlink r:id="rId2205" ref="C2375"/>
    <hyperlink r:id="rId2206" ref="C2376"/>
    <hyperlink r:id="rId2207" ref="C2377"/>
    <hyperlink r:id="rId2208" ref="C2378"/>
    <hyperlink r:id="rId2209" ref="C2379"/>
    <hyperlink r:id="rId2210" ref="C2380"/>
    <hyperlink r:id="rId2211" ref="C2381"/>
    <hyperlink r:id="rId2212" ref="C2382"/>
    <hyperlink r:id="rId2213" ref="C2383"/>
    <hyperlink r:id="rId2214" ref="C2384"/>
    <hyperlink r:id="rId2215" ref="C2385"/>
    <hyperlink r:id="rId2216" ref="C2386"/>
    <hyperlink r:id="rId2217" ref="C2387"/>
    <hyperlink r:id="rId2218" ref="C2388"/>
    <hyperlink r:id="rId2219" ref="C2389"/>
    <hyperlink r:id="rId2220" ref="C2390"/>
    <hyperlink r:id="rId2221" ref="C2391"/>
    <hyperlink r:id="rId2222" ref="C2394"/>
    <hyperlink r:id="rId2223" ref="C2395"/>
    <hyperlink r:id="rId2224" ref="C2396"/>
    <hyperlink r:id="rId2225" ref="C2397"/>
    <hyperlink r:id="rId2226" ref="C2398"/>
    <hyperlink r:id="rId2227" ref="C2399"/>
    <hyperlink r:id="rId2228" ref="C2400"/>
    <hyperlink r:id="rId2229" ref="C2401"/>
    <hyperlink r:id="rId2230" ref="C2402"/>
    <hyperlink r:id="rId2231" ref="C2403"/>
    <hyperlink r:id="rId2232" ref="C2404"/>
    <hyperlink r:id="rId2233" ref="C2405"/>
    <hyperlink r:id="rId2234" ref="C2406"/>
    <hyperlink r:id="rId2235" ref="C2407"/>
    <hyperlink r:id="rId2236" ref="C2408"/>
    <hyperlink r:id="rId2237" ref="C2409"/>
    <hyperlink r:id="rId2238" ref="C2410"/>
    <hyperlink r:id="rId2239" ref="C2411"/>
    <hyperlink r:id="rId2240" ref="C2412"/>
    <hyperlink r:id="rId2241" ref="C2413"/>
    <hyperlink r:id="rId2242" ref="C2414"/>
    <hyperlink r:id="rId2243" ref="C2415"/>
    <hyperlink r:id="rId2244" ref="C2416"/>
    <hyperlink r:id="rId2245" ref="C2417"/>
    <hyperlink r:id="rId2246" ref="C2418"/>
    <hyperlink r:id="rId2247" ref="C2419"/>
    <hyperlink r:id="rId2248" ref="C2420"/>
    <hyperlink r:id="rId2249" ref="C2421"/>
    <hyperlink r:id="rId2250" ref="C2422"/>
    <hyperlink r:id="rId2251" ref="C2423"/>
    <hyperlink r:id="rId2252" ref="C2424"/>
    <hyperlink r:id="rId2253" ref="C2425"/>
    <hyperlink r:id="rId2254" ref="C2426"/>
    <hyperlink r:id="rId2255" ref="C2427"/>
    <hyperlink r:id="rId2256" ref="C2428"/>
    <hyperlink r:id="rId2257" ref="C2429"/>
    <hyperlink r:id="rId2258" ref="C2430"/>
    <hyperlink r:id="rId2259" ref="C2431"/>
    <hyperlink r:id="rId2260" ref="C2432"/>
    <hyperlink r:id="rId2261" ref="C2433"/>
    <hyperlink r:id="rId2262" ref="C2434"/>
    <hyperlink r:id="rId2263" ref="C2435"/>
    <hyperlink r:id="rId2264" ref="C2436"/>
    <hyperlink r:id="rId2265" ref="C2437"/>
    <hyperlink r:id="rId2266" ref="C2438"/>
    <hyperlink r:id="rId2267" ref="C2439"/>
    <hyperlink r:id="rId2268" ref="C2440"/>
    <hyperlink r:id="rId2269" ref="C2441"/>
    <hyperlink r:id="rId2270" ref="C2442"/>
    <hyperlink r:id="rId2271" ref="C2443"/>
    <hyperlink r:id="rId2272" ref="C2444"/>
    <hyperlink r:id="rId2273" ref="C2445"/>
    <hyperlink r:id="rId2274" ref="C2446"/>
    <hyperlink r:id="rId2275" ref="C2447"/>
    <hyperlink r:id="rId2276" ref="C2448"/>
    <hyperlink r:id="rId2277" ref="C2449"/>
    <hyperlink r:id="rId2278" ref="C2450"/>
    <hyperlink r:id="rId2279" ref="C2451"/>
    <hyperlink r:id="rId2280" ref="C2452"/>
    <hyperlink r:id="rId2281" ref="C2453"/>
    <hyperlink r:id="rId2282" ref="C2454"/>
    <hyperlink r:id="rId2283" ref="C2455"/>
    <hyperlink r:id="rId2284" ref="C2456"/>
    <hyperlink r:id="rId2285" ref="C2457"/>
    <hyperlink r:id="rId2286" ref="C2458"/>
    <hyperlink r:id="rId2287" ref="C2459"/>
    <hyperlink r:id="rId2288" ref="C2460"/>
    <hyperlink r:id="rId2289" ref="C2461"/>
    <hyperlink r:id="rId2290" ref="C2462"/>
    <hyperlink r:id="rId2291" ref="C2463"/>
    <hyperlink r:id="rId2292" ref="C2464"/>
    <hyperlink r:id="rId2293" ref="C2465"/>
    <hyperlink r:id="rId2294" ref="C2466"/>
    <hyperlink r:id="rId2295" ref="C2467"/>
    <hyperlink r:id="rId2296" ref="C2468"/>
    <hyperlink r:id="rId2297" ref="C2469"/>
    <hyperlink r:id="rId2298" ref="C2470"/>
    <hyperlink r:id="rId2299" ref="C2471"/>
    <hyperlink r:id="rId2300" ref="C2472"/>
    <hyperlink r:id="rId2301" ref="C2473"/>
    <hyperlink r:id="rId2302" ref="C2474"/>
    <hyperlink r:id="rId2303" ref="C2475"/>
    <hyperlink r:id="rId2304" ref="C2476"/>
    <hyperlink r:id="rId2305" ref="C2477"/>
    <hyperlink r:id="rId2306" ref="C2478"/>
    <hyperlink r:id="rId2307" ref="C2479"/>
    <hyperlink r:id="rId2308" ref="C2480"/>
    <hyperlink r:id="rId2309" ref="C2481"/>
    <hyperlink r:id="rId2310" ref="C2482"/>
    <hyperlink r:id="rId2311" ref="C2483"/>
    <hyperlink r:id="rId2312" ref="C2484"/>
    <hyperlink r:id="rId2313" ref="C2485"/>
    <hyperlink r:id="rId2314" ref="C2486"/>
    <hyperlink r:id="rId2315" ref="C2487"/>
    <hyperlink r:id="rId2316" ref="C2488"/>
    <hyperlink r:id="rId2317" ref="C2489"/>
    <hyperlink r:id="rId2318" ref="C2490"/>
    <hyperlink r:id="rId2319" ref="C2491"/>
    <hyperlink r:id="rId2320" ref="C2492"/>
    <hyperlink r:id="rId2321" ref="C2493"/>
    <hyperlink r:id="rId2322" ref="C2494"/>
    <hyperlink r:id="rId2323" ref="C2495"/>
    <hyperlink r:id="rId2324" ref="C2496"/>
    <hyperlink r:id="rId2325" ref="C2497"/>
    <hyperlink r:id="rId2326" ref="C2498"/>
    <hyperlink r:id="rId2327" ref="C2499"/>
    <hyperlink r:id="rId2328" ref="C2500"/>
    <hyperlink r:id="rId2329" ref="C2501"/>
    <hyperlink r:id="rId2330" ref="C2502"/>
    <hyperlink r:id="rId2331" ref="C2503"/>
    <hyperlink r:id="rId2332" ref="C2504"/>
    <hyperlink r:id="rId2333" ref="C2505"/>
    <hyperlink r:id="rId2334" ref="C2506"/>
    <hyperlink r:id="rId2335" ref="C2507"/>
    <hyperlink r:id="rId2336" ref="C2508"/>
    <hyperlink r:id="rId2337" ref="C2509"/>
    <hyperlink r:id="rId2338" ref="C2510"/>
    <hyperlink r:id="rId2339" ref="C2511"/>
    <hyperlink r:id="rId2340" ref="C2512"/>
    <hyperlink r:id="rId2341" ref="C2513"/>
    <hyperlink r:id="rId2342" ref="C2514"/>
    <hyperlink r:id="rId2343" ref="C2515"/>
    <hyperlink r:id="rId2344" ref="C2516"/>
    <hyperlink r:id="rId2345" ref="C2517"/>
    <hyperlink r:id="rId2346" ref="C2518"/>
    <hyperlink r:id="rId2347" ref="C2519"/>
    <hyperlink r:id="rId2348" ref="C2520"/>
    <hyperlink r:id="rId2349" ref="C2521"/>
    <hyperlink r:id="rId2350" ref="C2522"/>
    <hyperlink r:id="rId2351" ref="C2523"/>
    <hyperlink r:id="rId2352" ref="C2524"/>
    <hyperlink r:id="rId2353" ref="C2525"/>
    <hyperlink r:id="rId2354" ref="C2526"/>
    <hyperlink r:id="rId2355" ref="C2527"/>
    <hyperlink r:id="rId2356" ref="C2528"/>
    <hyperlink r:id="rId2357" ref="C2529"/>
    <hyperlink r:id="rId2358" ref="C2530"/>
    <hyperlink r:id="rId2359" ref="C2531"/>
    <hyperlink r:id="rId2360" ref="C2532"/>
    <hyperlink r:id="rId2361" ref="C2533"/>
    <hyperlink r:id="rId2362" ref="C2534"/>
    <hyperlink r:id="rId2363" ref="C2535"/>
    <hyperlink r:id="rId2364" ref="C2536"/>
    <hyperlink r:id="rId2365" ref="C2537"/>
    <hyperlink r:id="rId2366" ref="C2538"/>
    <hyperlink r:id="rId2367" ref="C2539"/>
    <hyperlink r:id="rId2368" ref="C2540"/>
    <hyperlink r:id="rId2369" ref="C2541"/>
    <hyperlink r:id="rId2370" ref="C2542"/>
    <hyperlink r:id="rId2371" ref="C2543"/>
    <hyperlink r:id="rId2372" ref="C2544"/>
    <hyperlink r:id="rId2373" ref="C2545"/>
    <hyperlink r:id="rId2374" ref="C2546"/>
    <hyperlink r:id="rId2375" ref="C2547"/>
    <hyperlink r:id="rId2376" ref="C2548"/>
    <hyperlink r:id="rId2377" ref="C2549"/>
    <hyperlink r:id="rId2378" ref="C2550"/>
    <hyperlink r:id="rId2379" ref="C2552"/>
    <hyperlink r:id="rId2380" ref="C2553"/>
    <hyperlink r:id="rId2381" ref="C2554"/>
    <hyperlink r:id="rId2382" ref="C2555"/>
    <hyperlink r:id="rId2383" ref="C2556"/>
    <hyperlink r:id="rId2384" ref="C2557"/>
    <hyperlink r:id="rId2385" ref="C2558"/>
    <hyperlink r:id="rId2386" ref="C2559"/>
    <hyperlink r:id="rId2387" ref="C2560"/>
    <hyperlink r:id="rId2388" ref="C2561"/>
    <hyperlink r:id="rId2389" ref="C2562"/>
    <hyperlink r:id="rId2390" ref="C2563"/>
    <hyperlink r:id="rId2391" ref="C2564"/>
    <hyperlink r:id="rId2392" ref="C2565"/>
    <hyperlink r:id="rId2393" ref="C2566"/>
    <hyperlink r:id="rId2394" ref="C2567"/>
    <hyperlink r:id="rId2395" ref="C2568"/>
    <hyperlink r:id="rId2396" ref="C2569"/>
    <hyperlink r:id="rId2397" ref="C2570"/>
    <hyperlink r:id="rId2398" ref="C2571"/>
    <hyperlink r:id="rId2399" ref="C2572"/>
    <hyperlink r:id="rId2400" ref="C2573"/>
    <hyperlink r:id="rId2401" ref="C2574"/>
    <hyperlink r:id="rId2402" ref="C2575"/>
    <hyperlink r:id="rId2403" ref="C2576"/>
    <hyperlink r:id="rId2404" ref="C2577"/>
    <hyperlink r:id="rId2405" ref="C2578"/>
    <hyperlink r:id="rId2406" ref="C2579"/>
    <hyperlink r:id="rId2407" ref="C2580"/>
    <hyperlink r:id="rId2408" ref="C2581"/>
    <hyperlink r:id="rId2409" ref="C2582"/>
    <hyperlink r:id="rId2410" ref="C2583"/>
    <hyperlink r:id="rId2411" ref="C2584"/>
    <hyperlink r:id="rId2412" ref="C2585"/>
    <hyperlink r:id="rId2413" ref="C2586"/>
    <hyperlink r:id="rId2414" ref="C2587"/>
    <hyperlink r:id="rId2415" ref="C2588"/>
    <hyperlink r:id="rId2416" ref="C2589"/>
    <hyperlink r:id="rId2417" ref="C2590"/>
    <hyperlink r:id="rId2418" ref="C2591"/>
    <hyperlink r:id="rId2419" ref="C2592"/>
    <hyperlink r:id="rId2420" ref="C2593"/>
    <hyperlink r:id="rId2421" ref="C2595"/>
    <hyperlink r:id="rId2422" ref="C2596"/>
    <hyperlink r:id="rId2423" ref="C2597"/>
    <hyperlink r:id="rId2424" ref="C2598"/>
    <hyperlink r:id="rId2425" ref="C2599"/>
    <hyperlink r:id="rId2426" ref="C2600"/>
    <hyperlink r:id="rId2427" ref="C2601"/>
    <hyperlink r:id="rId2428" ref="C2602"/>
    <hyperlink r:id="rId2429" ref="C2603"/>
    <hyperlink r:id="rId2430" ref="C2604"/>
    <hyperlink r:id="rId2431" ref="C2605"/>
    <hyperlink r:id="rId2432" ref="C2606"/>
    <hyperlink r:id="rId2433" ref="C2607"/>
    <hyperlink r:id="rId2434" ref="C2608"/>
    <hyperlink r:id="rId2435" ref="C2609"/>
    <hyperlink r:id="rId2436" ref="C2610"/>
    <hyperlink r:id="rId2437" ref="C2611"/>
    <hyperlink r:id="rId2438" ref="C2612"/>
    <hyperlink r:id="rId2439" ref="C2613"/>
    <hyperlink r:id="rId2440" ref="C2614"/>
    <hyperlink r:id="rId2441" ref="C2615"/>
    <hyperlink r:id="rId2442" ref="C2616"/>
    <hyperlink r:id="rId2443" ref="C2617"/>
    <hyperlink r:id="rId2444" ref="C2618"/>
    <hyperlink r:id="rId2445" ref="C2619"/>
    <hyperlink r:id="rId2446" ref="C2620"/>
    <hyperlink r:id="rId2447" ref="C2621"/>
    <hyperlink r:id="rId2448" ref="C2622"/>
    <hyperlink r:id="rId2449" ref="C2623"/>
    <hyperlink r:id="rId2450" ref="C2624"/>
    <hyperlink r:id="rId2451" ref="C2625"/>
    <hyperlink r:id="rId2452" ref="C2626"/>
    <hyperlink r:id="rId2453" ref="C2627"/>
    <hyperlink r:id="rId2454" ref="C2628"/>
    <hyperlink r:id="rId2455" ref="C2629"/>
    <hyperlink r:id="rId2456" ref="C2630"/>
    <hyperlink r:id="rId2457" ref="C2631"/>
    <hyperlink r:id="rId2458" ref="C2632"/>
    <hyperlink r:id="rId2459" ref="C2633"/>
    <hyperlink r:id="rId2460" ref="C2634"/>
    <hyperlink r:id="rId2461" ref="C2635"/>
    <hyperlink r:id="rId2462" ref="C2636"/>
    <hyperlink r:id="rId2463" ref="C2637"/>
    <hyperlink r:id="rId2464" ref="C2638"/>
    <hyperlink r:id="rId2465" ref="C2639"/>
    <hyperlink r:id="rId2466" ref="C2640"/>
    <hyperlink r:id="rId2467" ref="C2641"/>
    <hyperlink r:id="rId2468" ref="C2642"/>
    <hyperlink r:id="rId2469" ref="C2643"/>
    <hyperlink r:id="rId2470" ref="C2644"/>
    <hyperlink r:id="rId2471" ref="C2645"/>
    <hyperlink r:id="rId2472" ref="C2646"/>
    <hyperlink r:id="rId2473" ref="C2647"/>
    <hyperlink r:id="rId2474" ref="C2648"/>
    <hyperlink r:id="rId2475" ref="C2649"/>
    <hyperlink r:id="rId2476" ref="C2650"/>
    <hyperlink r:id="rId2477" ref="C2651"/>
    <hyperlink r:id="rId2478" ref="C2652"/>
    <hyperlink r:id="rId2479" ref="C2653"/>
    <hyperlink r:id="rId2480" ref="C2654"/>
    <hyperlink r:id="rId2481" ref="C2655"/>
    <hyperlink r:id="rId2482" ref="C2656"/>
    <hyperlink r:id="rId2483" ref="C2657"/>
    <hyperlink r:id="rId2484" ref="C2658"/>
    <hyperlink r:id="rId2485" ref="C2659"/>
    <hyperlink r:id="rId2486" ref="C2660"/>
    <hyperlink r:id="rId2487" ref="C2661"/>
    <hyperlink r:id="rId2488" ref="C2662"/>
    <hyperlink r:id="rId2489" ref="C2663"/>
    <hyperlink r:id="rId2490" ref="C2664"/>
    <hyperlink r:id="rId2491" ref="C2665"/>
    <hyperlink r:id="rId2492" ref="C2666"/>
    <hyperlink r:id="rId2493" ref="C2667"/>
    <hyperlink r:id="rId2494" ref="C2668"/>
    <hyperlink r:id="rId2495" ref="C2669"/>
    <hyperlink r:id="rId2496" ref="C2670"/>
    <hyperlink r:id="rId2497" ref="C2671"/>
    <hyperlink r:id="rId2498" ref="C2672"/>
    <hyperlink r:id="rId2499" ref="C2673"/>
    <hyperlink r:id="rId2500" ref="C2674"/>
    <hyperlink r:id="rId2501" ref="C2675"/>
    <hyperlink r:id="rId2502" ref="C2676"/>
    <hyperlink r:id="rId2503" ref="C2677"/>
    <hyperlink r:id="rId2504" ref="C2678"/>
    <hyperlink r:id="rId2505" ref="C2679"/>
    <hyperlink r:id="rId2506" ref="C2680"/>
    <hyperlink r:id="rId2507" ref="C2681"/>
    <hyperlink r:id="rId2508" ref="C2683"/>
    <hyperlink r:id="rId2509" ref="C2686"/>
    <hyperlink r:id="rId2510" ref="C2687"/>
    <hyperlink r:id="rId2511" ref="C2688"/>
    <hyperlink r:id="rId2512" ref="C2689"/>
    <hyperlink r:id="rId2513" ref="C2690"/>
    <hyperlink r:id="rId2514" ref="C2691"/>
    <hyperlink r:id="rId2515" ref="C2692"/>
    <hyperlink r:id="rId2516" ref="C2693"/>
    <hyperlink r:id="rId2517" ref="C2694"/>
    <hyperlink r:id="rId2518" ref="C2695"/>
    <hyperlink r:id="rId2519" ref="C2696"/>
    <hyperlink r:id="rId2520" ref="C2697"/>
    <hyperlink r:id="rId2521" ref="C2698"/>
    <hyperlink r:id="rId2522" ref="C2699"/>
    <hyperlink r:id="rId2523" ref="C2700"/>
    <hyperlink r:id="rId2524" ref="C2701"/>
    <hyperlink r:id="rId2525" ref="C2702"/>
    <hyperlink r:id="rId2526" ref="C2703"/>
    <hyperlink r:id="rId2527" ref="C2704"/>
    <hyperlink r:id="rId2528" ref="C2705"/>
    <hyperlink r:id="rId2529" ref="C2706"/>
    <hyperlink r:id="rId2530" ref="C2707"/>
    <hyperlink r:id="rId2531" ref="C2708"/>
    <hyperlink r:id="rId2532" ref="C2709"/>
    <hyperlink r:id="rId2533" ref="C2710"/>
    <hyperlink r:id="rId2534" ref="C2711"/>
    <hyperlink r:id="rId2535" ref="C2712"/>
    <hyperlink r:id="rId2536" ref="C2713"/>
    <hyperlink r:id="rId2537" ref="C2714"/>
    <hyperlink r:id="rId2538" ref="C2715"/>
    <hyperlink r:id="rId2539" ref="C2716"/>
    <hyperlink r:id="rId2540" ref="C2717"/>
    <hyperlink r:id="rId2541" ref="C2718"/>
    <hyperlink r:id="rId2542" ref="C2719"/>
    <hyperlink r:id="rId2543" ref="C2720"/>
    <hyperlink r:id="rId2544" ref="C2721"/>
    <hyperlink r:id="rId2545" ref="C2722"/>
    <hyperlink r:id="rId2546" ref="C2723"/>
    <hyperlink r:id="rId2547" ref="C2724"/>
    <hyperlink r:id="rId2548" ref="C2725"/>
    <hyperlink r:id="rId2549" ref="C2726"/>
    <hyperlink r:id="rId2550" ref="C2727"/>
    <hyperlink r:id="rId2551" ref="C2728"/>
    <hyperlink r:id="rId2552" ref="C2729"/>
    <hyperlink r:id="rId2553" ref="C2730"/>
    <hyperlink r:id="rId2554" ref="C2731"/>
    <hyperlink r:id="rId2555" ref="C2732"/>
    <hyperlink r:id="rId2556" ref="C2733"/>
    <hyperlink r:id="rId2557" ref="C2734"/>
    <hyperlink r:id="rId2558" ref="C2735"/>
    <hyperlink r:id="rId2559" ref="C2736"/>
    <hyperlink r:id="rId2560" ref="C2737"/>
    <hyperlink r:id="rId2561" ref="C2738"/>
    <hyperlink r:id="rId2562" ref="C2739"/>
    <hyperlink r:id="rId2563" ref="C2740"/>
    <hyperlink r:id="rId2564" ref="C2741"/>
    <hyperlink r:id="rId2565" ref="C2742"/>
    <hyperlink r:id="rId2566" ref="C2743"/>
    <hyperlink r:id="rId2567" ref="C2744"/>
    <hyperlink r:id="rId2568" ref="C2745"/>
    <hyperlink r:id="rId2569" ref="C2746"/>
    <hyperlink r:id="rId2570" ref="C2747"/>
    <hyperlink r:id="rId2571" ref="C2748"/>
    <hyperlink r:id="rId2572" ref="C2749"/>
    <hyperlink r:id="rId2573" ref="C2750"/>
    <hyperlink r:id="rId2574" ref="C2751"/>
    <hyperlink r:id="rId2575" ref="C2752"/>
    <hyperlink r:id="rId2576" ref="C2753"/>
    <hyperlink r:id="rId2577" ref="C2754"/>
    <hyperlink r:id="rId2578" ref="C2755"/>
    <hyperlink r:id="rId2579" ref="C2756"/>
    <hyperlink r:id="rId2580" ref="C2757"/>
    <hyperlink r:id="rId2581" ref="C2758"/>
    <hyperlink r:id="rId2582" ref="C2759"/>
    <hyperlink r:id="rId2583" ref="C2760"/>
    <hyperlink r:id="rId2584" ref="C2761"/>
    <hyperlink r:id="rId2585" ref="C2762"/>
    <hyperlink r:id="rId2586" ref="C2763"/>
    <hyperlink r:id="rId2587" ref="C2764"/>
    <hyperlink r:id="rId2588" ref="C2765"/>
    <hyperlink r:id="rId2589" ref="C2766"/>
    <hyperlink r:id="rId2590" ref="C2767"/>
    <hyperlink r:id="rId2591" ref="C2768"/>
    <hyperlink r:id="rId2592" ref="C2769"/>
    <hyperlink r:id="rId2593" ref="C2770"/>
    <hyperlink r:id="rId2594" ref="C2771"/>
    <hyperlink r:id="rId2595" ref="C2772"/>
    <hyperlink r:id="rId2596" ref="C2773"/>
    <hyperlink r:id="rId2597" ref="C2774"/>
    <hyperlink r:id="rId2598" ref="C2775"/>
    <hyperlink r:id="rId2599" ref="C2776"/>
    <hyperlink r:id="rId2600" ref="C2777"/>
    <hyperlink r:id="rId2601" ref="C2778"/>
    <hyperlink r:id="rId2602" ref="C2779"/>
    <hyperlink r:id="rId2603" ref="C2780"/>
    <hyperlink r:id="rId2604" ref="C2781"/>
    <hyperlink r:id="rId2605" ref="C2782"/>
    <hyperlink r:id="rId2606" ref="C2783"/>
    <hyperlink r:id="rId2607" ref="C2784"/>
    <hyperlink r:id="rId2608" ref="C2785"/>
    <hyperlink r:id="rId2609" ref="C2786"/>
    <hyperlink r:id="rId2610" ref="C2787"/>
    <hyperlink r:id="rId2611" ref="C2788"/>
    <hyperlink r:id="rId2612" ref="C2789"/>
    <hyperlink r:id="rId2613" ref="C2790"/>
    <hyperlink r:id="rId2614" ref="C2791"/>
    <hyperlink r:id="rId2615" ref="C2792"/>
    <hyperlink r:id="rId2616" ref="C2793"/>
    <hyperlink r:id="rId2617" ref="C2794"/>
    <hyperlink r:id="rId2618" ref="C2795"/>
    <hyperlink r:id="rId2619" ref="C2796"/>
    <hyperlink r:id="rId2620" ref="C2797"/>
    <hyperlink r:id="rId2621" ref="C2798"/>
    <hyperlink r:id="rId2622" ref="C2799"/>
    <hyperlink r:id="rId2623" ref="C2800"/>
    <hyperlink r:id="rId2624" ref="C2801"/>
    <hyperlink r:id="rId2625" ref="C2802"/>
    <hyperlink r:id="rId2626" ref="C2806"/>
    <hyperlink r:id="rId2627" ref="C2808"/>
    <hyperlink r:id="rId2628" ref="C2809"/>
    <hyperlink r:id="rId2629" ref="C2810"/>
    <hyperlink r:id="rId2630" ref="C2811"/>
    <hyperlink r:id="rId2631" ref="C2813"/>
    <hyperlink r:id="rId2632" ref="C2814"/>
    <hyperlink r:id="rId2633" ref="C2815"/>
    <hyperlink r:id="rId2634" ref="C2817"/>
    <hyperlink r:id="rId2635" ref="C2818"/>
    <hyperlink r:id="rId2636" ref="C2819"/>
    <hyperlink r:id="rId2637" ref="C2820"/>
    <hyperlink r:id="rId2638" ref="C2821"/>
    <hyperlink r:id="rId2639" ref="C2822"/>
    <hyperlink r:id="rId2640" ref="C2823"/>
    <hyperlink r:id="rId2641" ref="C2824"/>
    <hyperlink r:id="rId2642" ref="C2825"/>
    <hyperlink r:id="rId2643" ref="C2826"/>
    <hyperlink r:id="rId2644" ref="C2827"/>
    <hyperlink r:id="rId2645" ref="C2828"/>
    <hyperlink r:id="rId2646" ref="C2829"/>
    <hyperlink r:id="rId2647" ref="C2830"/>
    <hyperlink r:id="rId2648" ref="C2831"/>
    <hyperlink r:id="rId2649" ref="C2832"/>
    <hyperlink r:id="rId2650" ref="C2833"/>
    <hyperlink r:id="rId2651" ref="C2834"/>
    <hyperlink r:id="rId2652" ref="C2835"/>
    <hyperlink r:id="rId2653" ref="C2836"/>
    <hyperlink r:id="rId2654" ref="C2837"/>
    <hyperlink r:id="rId2655" ref="C2838"/>
    <hyperlink r:id="rId2656" ref="C2839"/>
    <hyperlink r:id="rId2657" ref="C2840"/>
    <hyperlink r:id="rId2658" ref="C2841"/>
    <hyperlink r:id="rId2659" ref="C2842"/>
    <hyperlink r:id="rId2660" ref="C2843"/>
    <hyperlink r:id="rId2661" ref="C2844"/>
    <hyperlink r:id="rId2662" ref="C2845"/>
    <hyperlink r:id="rId2663" ref="C2846"/>
    <hyperlink r:id="rId2664" ref="C2847"/>
    <hyperlink r:id="rId2665" ref="C2848"/>
    <hyperlink r:id="rId2666" ref="C2849"/>
    <hyperlink r:id="rId2667" ref="C2850"/>
    <hyperlink r:id="rId2668" ref="C2851"/>
    <hyperlink r:id="rId2669" ref="C2852"/>
    <hyperlink r:id="rId2670" ref="C2853"/>
    <hyperlink r:id="rId2671" ref="C2854"/>
    <hyperlink r:id="rId2672" ref="C2855"/>
    <hyperlink r:id="rId2673" ref="C2856"/>
    <hyperlink r:id="rId2674" ref="C2857"/>
    <hyperlink r:id="rId2675" ref="C2858"/>
    <hyperlink r:id="rId2676" ref="C2859"/>
    <hyperlink r:id="rId2677" ref="C2860"/>
    <hyperlink r:id="rId2678" ref="C2861"/>
    <hyperlink r:id="rId2679" ref="C2862"/>
    <hyperlink r:id="rId2680" ref="C2863"/>
    <hyperlink r:id="rId2681" ref="C2864"/>
    <hyperlink r:id="rId2682" ref="C2865"/>
    <hyperlink r:id="rId2683" ref="C2866"/>
    <hyperlink r:id="rId2684" ref="C2867"/>
    <hyperlink r:id="rId2685" ref="C2868"/>
    <hyperlink r:id="rId2686" ref="C2869"/>
    <hyperlink r:id="rId2687" ref="C2870"/>
    <hyperlink r:id="rId2688" ref="C2871"/>
    <hyperlink r:id="rId2689" ref="C2872"/>
    <hyperlink r:id="rId2690" ref="C2873"/>
    <hyperlink r:id="rId2691" ref="C2874"/>
    <hyperlink r:id="rId2692" ref="C2875"/>
    <hyperlink r:id="rId2693" ref="C2877"/>
    <hyperlink r:id="rId2694" ref="C2878"/>
    <hyperlink r:id="rId2695" ref="C2879"/>
    <hyperlink r:id="rId2696" ref="C2880"/>
    <hyperlink r:id="rId2697" ref="C2881"/>
    <hyperlink r:id="rId2698" ref="C2882"/>
    <hyperlink r:id="rId2699" ref="C2883"/>
    <hyperlink r:id="rId2700" ref="C2884"/>
    <hyperlink r:id="rId2701" ref="C2885"/>
    <hyperlink r:id="rId2702" ref="C2886"/>
    <hyperlink r:id="rId2703" ref="C2887"/>
    <hyperlink r:id="rId2704" ref="C2888"/>
    <hyperlink r:id="rId2705" ref="C2889"/>
    <hyperlink r:id="rId2706" ref="C2890"/>
    <hyperlink r:id="rId2707" ref="C2891"/>
    <hyperlink r:id="rId2708" ref="C2892"/>
    <hyperlink r:id="rId2709" ref="C2893"/>
    <hyperlink r:id="rId2710" ref="C2894"/>
    <hyperlink r:id="rId2711" ref="C2895"/>
    <hyperlink r:id="rId2712" ref="C2896"/>
    <hyperlink r:id="rId2713" ref="C2897"/>
    <hyperlink r:id="rId2714" ref="C2898"/>
    <hyperlink r:id="rId2715" ref="C2899"/>
    <hyperlink r:id="rId2716" ref="C2900"/>
    <hyperlink r:id="rId2717" ref="C2901"/>
    <hyperlink r:id="rId2718" ref="C2902"/>
    <hyperlink r:id="rId2719" ref="C2903"/>
    <hyperlink r:id="rId2720" ref="C2904"/>
    <hyperlink r:id="rId2721" ref="C2905"/>
    <hyperlink r:id="rId2722" ref="C2906"/>
    <hyperlink r:id="rId2723" ref="C2907"/>
    <hyperlink r:id="rId2724" ref="C2908"/>
    <hyperlink r:id="rId2725" ref="C2909"/>
    <hyperlink r:id="rId2726" ref="C2910"/>
    <hyperlink r:id="rId2727" ref="C2911"/>
    <hyperlink r:id="rId2728" ref="C2912"/>
    <hyperlink r:id="rId2729" ref="C2913"/>
    <hyperlink r:id="rId2730" ref="C2914"/>
    <hyperlink r:id="rId2731" ref="C2915"/>
    <hyperlink r:id="rId2732" ref="C2916"/>
    <hyperlink r:id="rId2733" ref="C2917"/>
    <hyperlink r:id="rId2734" ref="C2918"/>
    <hyperlink r:id="rId2735" ref="C2919"/>
    <hyperlink r:id="rId2736" ref="C2920"/>
    <hyperlink r:id="rId2737" ref="C2921"/>
    <hyperlink r:id="rId2738" ref="C2922"/>
    <hyperlink r:id="rId2739" ref="C2923"/>
    <hyperlink r:id="rId2740" ref="C2924"/>
    <hyperlink r:id="rId2741" ref="C2925"/>
    <hyperlink r:id="rId2742" ref="C2926"/>
    <hyperlink r:id="rId2743" ref="C2927"/>
    <hyperlink r:id="rId2744" ref="C2928"/>
    <hyperlink r:id="rId2745" ref="C2929"/>
    <hyperlink r:id="rId2746" ref="C2930"/>
    <hyperlink r:id="rId2747" ref="C2931"/>
    <hyperlink r:id="rId2748" ref="C2932"/>
    <hyperlink r:id="rId2749" ref="C2933"/>
    <hyperlink r:id="rId2750" ref="C2934"/>
    <hyperlink r:id="rId2751" ref="C2936"/>
    <hyperlink r:id="rId2752" ref="C2937"/>
    <hyperlink r:id="rId2753" ref="C2939"/>
    <hyperlink r:id="rId2754" ref="C2940"/>
    <hyperlink r:id="rId2755" ref="C2941"/>
    <hyperlink r:id="rId2756" ref="C2942"/>
    <hyperlink r:id="rId2757" ref="C2943"/>
    <hyperlink r:id="rId2758" ref="C2944"/>
    <hyperlink r:id="rId2759" ref="C2945"/>
    <hyperlink r:id="rId2760" ref="C2946"/>
    <hyperlink r:id="rId2761" ref="C2947"/>
    <hyperlink r:id="rId2762" ref="C2948"/>
    <hyperlink r:id="rId2763" ref="C2949"/>
    <hyperlink r:id="rId2764" ref="C2950"/>
    <hyperlink r:id="rId2765" ref="C2951"/>
    <hyperlink r:id="rId2766" ref="C2952"/>
    <hyperlink r:id="rId2767" ref="C2953"/>
    <hyperlink r:id="rId2768" ref="C2954"/>
    <hyperlink r:id="rId2769" ref="C2955"/>
    <hyperlink r:id="rId2770" ref="C2956"/>
    <hyperlink r:id="rId2771" ref="C2957"/>
    <hyperlink r:id="rId2772" ref="C2958"/>
    <hyperlink r:id="rId2773" ref="C2959"/>
    <hyperlink r:id="rId2774" ref="C2960"/>
    <hyperlink r:id="rId2775" ref="C2961"/>
    <hyperlink r:id="rId2776" ref="C2962"/>
    <hyperlink r:id="rId2777" ref="C2963"/>
    <hyperlink r:id="rId2778" ref="C2964"/>
    <hyperlink r:id="rId2779" ref="C2965"/>
    <hyperlink r:id="rId2780" ref="C2966"/>
    <hyperlink r:id="rId2781" ref="C2967"/>
    <hyperlink r:id="rId2782" ref="C2968"/>
    <hyperlink r:id="rId2783" ref="C2969"/>
    <hyperlink r:id="rId2784" ref="C2970"/>
    <hyperlink r:id="rId2785" ref="C2971"/>
    <hyperlink r:id="rId2786" ref="C2972"/>
    <hyperlink r:id="rId2787" ref="C2973"/>
    <hyperlink r:id="rId2788" ref="C2974"/>
    <hyperlink r:id="rId2789" ref="C2975"/>
    <hyperlink r:id="rId2790" ref="C2976"/>
    <hyperlink r:id="rId2791" ref="C2977"/>
    <hyperlink r:id="rId2792" ref="C2978"/>
    <hyperlink r:id="rId2793" ref="C2979"/>
    <hyperlink r:id="rId2794" ref="C2980"/>
    <hyperlink r:id="rId2795" ref="C2981"/>
    <hyperlink r:id="rId2796" ref="C2982"/>
    <hyperlink r:id="rId2797" ref="C2983"/>
    <hyperlink r:id="rId2798" ref="C2984"/>
    <hyperlink r:id="rId2799" ref="C2985"/>
    <hyperlink r:id="rId2800" ref="C2986"/>
    <hyperlink r:id="rId2801" ref="C2987"/>
    <hyperlink r:id="rId2802" ref="C2988"/>
    <hyperlink r:id="rId2803" ref="C2989"/>
    <hyperlink r:id="rId2804" ref="C2990"/>
    <hyperlink r:id="rId2805" ref="C2991"/>
    <hyperlink r:id="rId2806" ref="C2992"/>
    <hyperlink r:id="rId2807" ref="C2993"/>
    <hyperlink r:id="rId2808" ref="C2994"/>
    <hyperlink r:id="rId2809" ref="C2995"/>
    <hyperlink r:id="rId2810" ref="C2996"/>
    <hyperlink r:id="rId2811" ref="C2997"/>
    <hyperlink r:id="rId2812" ref="C2998"/>
    <hyperlink r:id="rId2813" ref="C2999"/>
    <hyperlink r:id="rId2814" ref="C3000"/>
    <hyperlink r:id="rId2815" ref="C3001"/>
    <hyperlink r:id="rId2816" ref="C3002"/>
    <hyperlink r:id="rId2817" ref="C3003"/>
    <hyperlink r:id="rId2818" ref="C3004"/>
    <hyperlink r:id="rId2819" ref="C3005"/>
    <hyperlink r:id="rId2820" ref="C3006"/>
    <hyperlink r:id="rId2821" ref="C3007"/>
    <hyperlink r:id="rId2822" ref="C3008"/>
    <hyperlink r:id="rId2823" ref="C3009"/>
    <hyperlink r:id="rId2824" ref="C3010"/>
    <hyperlink r:id="rId2825" ref="C3011"/>
    <hyperlink r:id="rId2826" ref="C3012"/>
    <hyperlink r:id="rId2827" ref="C3013"/>
    <hyperlink r:id="rId2828" ref="C3014"/>
    <hyperlink r:id="rId2829" ref="C3015"/>
    <hyperlink r:id="rId2830" ref="C3016"/>
    <hyperlink r:id="rId2831" ref="C3017"/>
    <hyperlink r:id="rId2832" ref="C3018"/>
    <hyperlink r:id="rId2833" ref="C3019"/>
    <hyperlink r:id="rId2834" ref="C3020"/>
    <hyperlink r:id="rId2835" ref="C3021"/>
    <hyperlink r:id="rId2836" ref="C3022"/>
    <hyperlink r:id="rId2837" ref="C3023"/>
    <hyperlink r:id="rId2838" ref="C3024"/>
    <hyperlink r:id="rId2839" ref="C3025"/>
    <hyperlink r:id="rId2840" ref="C3026"/>
    <hyperlink r:id="rId2841" ref="C3027"/>
    <hyperlink r:id="rId2842" ref="C3028"/>
    <hyperlink r:id="rId2843" ref="C3029"/>
    <hyperlink r:id="rId2844" ref="C3030"/>
    <hyperlink r:id="rId2845" ref="C3031"/>
    <hyperlink r:id="rId2846" ref="C3032"/>
    <hyperlink r:id="rId2847" ref="C3033"/>
    <hyperlink r:id="rId2848" ref="C3034"/>
    <hyperlink r:id="rId2849" ref="C3035"/>
    <hyperlink r:id="rId2850" ref="C3036"/>
    <hyperlink r:id="rId2851" ref="C3037"/>
    <hyperlink r:id="rId2852" ref="C3038"/>
    <hyperlink r:id="rId2853" ref="C3039"/>
    <hyperlink r:id="rId2854" ref="C3040"/>
    <hyperlink r:id="rId2855" ref="C3041"/>
    <hyperlink r:id="rId2856" ref="C3042"/>
    <hyperlink r:id="rId2857" ref="C3043"/>
    <hyperlink r:id="rId2858" ref="C3044"/>
    <hyperlink r:id="rId2859" ref="C3045"/>
    <hyperlink r:id="rId2860" ref="C3046"/>
    <hyperlink r:id="rId2861" ref="C3047"/>
    <hyperlink r:id="rId2862" ref="C3048"/>
    <hyperlink r:id="rId2863" ref="C3049"/>
    <hyperlink r:id="rId2864" ref="C3050"/>
    <hyperlink r:id="rId2865" ref="C3051"/>
    <hyperlink r:id="rId2866" ref="C3052"/>
    <hyperlink r:id="rId2867" ref="C3053"/>
    <hyperlink r:id="rId2868" ref="C3054"/>
    <hyperlink r:id="rId2869" ref="C3055"/>
    <hyperlink r:id="rId2870" ref="C3056"/>
    <hyperlink r:id="rId2871" ref="C3057"/>
    <hyperlink r:id="rId2872" ref="C3058"/>
    <hyperlink r:id="rId2873" ref="C3059"/>
    <hyperlink r:id="rId2874" ref="C3060"/>
    <hyperlink r:id="rId2875" ref="C3061"/>
    <hyperlink r:id="rId2876" ref="C3062"/>
    <hyperlink r:id="rId2877" ref="C3063"/>
    <hyperlink r:id="rId2878" ref="C3064"/>
    <hyperlink r:id="rId2879" ref="C3065"/>
    <hyperlink r:id="rId2880" ref="C3066"/>
    <hyperlink r:id="rId2881" ref="C3070"/>
    <hyperlink r:id="rId2882" ref="C3071"/>
    <hyperlink r:id="rId2883" ref="C3073"/>
    <hyperlink r:id="rId2884" ref="C3074"/>
    <hyperlink r:id="rId2885" ref="C3075"/>
    <hyperlink r:id="rId2886" ref="C3076"/>
    <hyperlink r:id="rId2887" ref="C3077"/>
    <hyperlink r:id="rId2888" ref="C3078"/>
    <hyperlink r:id="rId2889" ref="C3079"/>
    <hyperlink r:id="rId2890" ref="C3080"/>
    <hyperlink r:id="rId2891" ref="C3081"/>
    <hyperlink r:id="rId2892" ref="C3082"/>
    <hyperlink r:id="rId2893" ref="C3083"/>
    <hyperlink r:id="rId2894" ref="C3084"/>
    <hyperlink r:id="rId2895" ref="C3085"/>
    <hyperlink r:id="rId2896" ref="C3086"/>
    <hyperlink r:id="rId2897" ref="C3087"/>
    <hyperlink r:id="rId2898" ref="C3088"/>
    <hyperlink r:id="rId2899" ref="C3089"/>
    <hyperlink r:id="rId2900" ref="C3090"/>
    <hyperlink r:id="rId2901" ref="C3091"/>
    <hyperlink r:id="rId2902" ref="C3092"/>
    <hyperlink r:id="rId2903" ref="C3093"/>
    <hyperlink r:id="rId2904" ref="C3094"/>
    <hyperlink r:id="rId2905" ref="C3095"/>
    <hyperlink r:id="rId2906" ref="C3096"/>
    <hyperlink r:id="rId2907" ref="C3097"/>
    <hyperlink r:id="rId2908" ref="C3098"/>
    <hyperlink r:id="rId2909" ref="C3099"/>
    <hyperlink r:id="rId2910" ref="C3100"/>
    <hyperlink r:id="rId2911" ref="C3101"/>
    <hyperlink r:id="rId2912" ref="C3102"/>
    <hyperlink r:id="rId2913" ref="C3103"/>
    <hyperlink r:id="rId2914" ref="C3104"/>
    <hyperlink r:id="rId2915" ref="C3105"/>
    <hyperlink r:id="rId2916" ref="C3106"/>
    <hyperlink r:id="rId2917" ref="C3107"/>
    <hyperlink r:id="rId2918" ref="C3108"/>
    <hyperlink r:id="rId2919" ref="C3109"/>
    <hyperlink r:id="rId2920" ref="C3110"/>
    <hyperlink r:id="rId2921" ref="C3111"/>
    <hyperlink r:id="rId2922" ref="C3112"/>
    <hyperlink r:id="rId2923" ref="C3113"/>
    <hyperlink r:id="rId2924" ref="C3114"/>
    <hyperlink r:id="rId2925" ref="C3115"/>
    <hyperlink r:id="rId2926" ref="C3116"/>
    <hyperlink r:id="rId2927" ref="C3117"/>
    <hyperlink r:id="rId2928" ref="C3118"/>
    <hyperlink r:id="rId2929" ref="C3119"/>
    <hyperlink r:id="rId2930" ref="C3120"/>
    <hyperlink r:id="rId2931" ref="C3121"/>
    <hyperlink r:id="rId2932" ref="C3122"/>
    <hyperlink r:id="rId2933" ref="C3123"/>
    <hyperlink r:id="rId2934" ref="C3124"/>
    <hyperlink r:id="rId2935" ref="C3125"/>
    <hyperlink r:id="rId2936" ref="C3126"/>
    <hyperlink r:id="rId2937" ref="C3127"/>
    <hyperlink r:id="rId2938" ref="C3128"/>
    <hyperlink r:id="rId2939" ref="C3129"/>
    <hyperlink r:id="rId2940" ref="C3130"/>
    <hyperlink r:id="rId2941" ref="C3131"/>
    <hyperlink r:id="rId2942" ref="C3132"/>
    <hyperlink r:id="rId2943" ref="C3133"/>
    <hyperlink r:id="rId2944" ref="C3134"/>
    <hyperlink r:id="rId2945" ref="C3135"/>
    <hyperlink r:id="rId2946" ref="C3136"/>
    <hyperlink r:id="rId2947" ref="C3137"/>
    <hyperlink r:id="rId2948" ref="C3138"/>
    <hyperlink r:id="rId2949" ref="C3139"/>
    <hyperlink r:id="rId2950" ref="C3140"/>
    <hyperlink r:id="rId2951" ref="C3141"/>
    <hyperlink r:id="rId2952" ref="C3142"/>
    <hyperlink r:id="rId2953" ref="C3143"/>
    <hyperlink r:id="rId2954" ref="C3144"/>
    <hyperlink r:id="rId2955" ref="C3145"/>
    <hyperlink r:id="rId2956" ref="C3146"/>
    <hyperlink r:id="rId2957" ref="C3147"/>
    <hyperlink r:id="rId2958" ref="C3148"/>
    <hyperlink r:id="rId2959" ref="C3149"/>
    <hyperlink r:id="rId2960" ref="C3150"/>
    <hyperlink r:id="rId2961" ref="C3151"/>
    <hyperlink r:id="rId2962" ref="C3152"/>
    <hyperlink r:id="rId2963" ref="C3153"/>
    <hyperlink r:id="rId2964" ref="C3154"/>
    <hyperlink r:id="rId2965" ref="C3155"/>
    <hyperlink r:id="rId2966" ref="C3156"/>
    <hyperlink r:id="rId2967" ref="C3157"/>
    <hyperlink r:id="rId2968" ref="C3158"/>
    <hyperlink r:id="rId2969" ref="C3159"/>
    <hyperlink r:id="rId2970" ref="C3160"/>
    <hyperlink r:id="rId2971" ref="C3161"/>
    <hyperlink r:id="rId2972" ref="C3162"/>
    <hyperlink r:id="rId2973" ref="C3163"/>
    <hyperlink r:id="rId2974" ref="C3164"/>
    <hyperlink r:id="rId2975" ref="C3165"/>
    <hyperlink r:id="rId2976" ref="C3166"/>
    <hyperlink r:id="rId2977" ref="C3167"/>
    <hyperlink r:id="rId2978" ref="C3168"/>
    <hyperlink r:id="rId2979" ref="C3169"/>
    <hyperlink r:id="rId2980" ref="C3170"/>
    <hyperlink r:id="rId2981" ref="C3171"/>
    <hyperlink r:id="rId2982" ref="C3172"/>
    <hyperlink r:id="rId2983" ref="C3173"/>
    <hyperlink r:id="rId2984" ref="C3174"/>
    <hyperlink r:id="rId2985" ref="C3175"/>
    <hyperlink r:id="rId2986" ref="C3176"/>
    <hyperlink r:id="rId2987" ref="C3177"/>
    <hyperlink r:id="rId2988" ref="C3178"/>
    <hyperlink r:id="rId2989" ref="C3179"/>
    <hyperlink r:id="rId2990" ref="C3180"/>
    <hyperlink r:id="rId2991" ref="C3181"/>
    <hyperlink r:id="rId2992" ref="C3182"/>
    <hyperlink r:id="rId2993" ref="C3183"/>
    <hyperlink r:id="rId2994" ref="C3184"/>
    <hyperlink r:id="rId2995" ref="C3185"/>
    <hyperlink r:id="rId2996" ref="C3186"/>
    <hyperlink r:id="rId2997" ref="C3187"/>
    <hyperlink r:id="rId2998" ref="C3188"/>
    <hyperlink r:id="rId2999" ref="C3189"/>
    <hyperlink r:id="rId3000" ref="C3190"/>
    <hyperlink r:id="rId3001" ref="C3191"/>
    <hyperlink r:id="rId3002" ref="C3192"/>
    <hyperlink r:id="rId3003" ref="C3193"/>
    <hyperlink r:id="rId3004" ref="C3194"/>
    <hyperlink r:id="rId3005" ref="C3195"/>
    <hyperlink r:id="rId3006" ref="C3196"/>
    <hyperlink r:id="rId3007" ref="C3197"/>
    <hyperlink r:id="rId3008" ref="C3198"/>
    <hyperlink r:id="rId3009" ref="C3199"/>
    <hyperlink r:id="rId3010" ref="C3200"/>
    <hyperlink r:id="rId3011" ref="C3201"/>
    <hyperlink r:id="rId3012" ref="C3202"/>
    <hyperlink r:id="rId3013" ref="C3203"/>
    <hyperlink r:id="rId3014" ref="C3204"/>
    <hyperlink r:id="rId3015" ref="C3206"/>
    <hyperlink r:id="rId3016" ref="C3207"/>
    <hyperlink r:id="rId3017" ref="C3208"/>
    <hyperlink r:id="rId3018" ref="C3209"/>
    <hyperlink r:id="rId3019" ref="C3210"/>
    <hyperlink r:id="rId3020" ref="C3211"/>
    <hyperlink r:id="rId3021" ref="C3212"/>
    <hyperlink r:id="rId3022" ref="C3213"/>
    <hyperlink r:id="rId3023" ref="C3214"/>
    <hyperlink r:id="rId3024" ref="C3215"/>
    <hyperlink r:id="rId3025" ref="C3216"/>
    <hyperlink r:id="rId3026" ref="C3217"/>
    <hyperlink r:id="rId3027" ref="C3218"/>
    <hyperlink r:id="rId3028" ref="C3219"/>
    <hyperlink r:id="rId3029" ref="C3220"/>
    <hyperlink r:id="rId3030" ref="C3221"/>
    <hyperlink r:id="rId3031" ref="C3222"/>
    <hyperlink r:id="rId3032" ref="C3223"/>
    <hyperlink r:id="rId3033" ref="C3224"/>
    <hyperlink r:id="rId3034" ref="C3225"/>
    <hyperlink r:id="rId3035" ref="C3226"/>
    <hyperlink r:id="rId3036" ref="C3227"/>
    <hyperlink r:id="rId3037" ref="C3228"/>
    <hyperlink r:id="rId3038" ref="C3229"/>
    <hyperlink r:id="rId3039" ref="C3230"/>
    <hyperlink r:id="rId3040" ref="C3231"/>
    <hyperlink r:id="rId3041" ref="C3232"/>
    <hyperlink r:id="rId3042" ref="C3233"/>
    <hyperlink r:id="rId3043" ref="C3234"/>
    <hyperlink r:id="rId3044" ref="C3235"/>
    <hyperlink r:id="rId3045" ref="C3236"/>
    <hyperlink r:id="rId3046" ref="C3237"/>
    <hyperlink r:id="rId3047" ref="C3238"/>
    <hyperlink r:id="rId3048" ref="C3239"/>
    <hyperlink r:id="rId3049" ref="C3240"/>
    <hyperlink r:id="rId3050" ref="C3241"/>
    <hyperlink r:id="rId3051" ref="C3242"/>
    <hyperlink r:id="rId3052" ref="C3243"/>
    <hyperlink r:id="rId3053" ref="C3244"/>
    <hyperlink r:id="rId3054" ref="C3246"/>
    <hyperlink r:id="rId3055" ref="C3247"/>
    <hyperlink r:id="rId3056" ref="C3248"/>
    <hyperlink r:id="rId3057" ref="C3249"/>
    <hyperlink r:id="rId3058" ref="C3250"/>
    <hyperlink r:id="rId3059" ref="C3251"/>
    <hyperlink r:id="rId3060" ref="C3252"/>
    <hyperlink r:id="rId3061" ref="C3253"/>
    <hyperlink r:id="rId3062" ref="C3254"/>
    <hyperlink r:id="rId3063" ref="C3255"/>
    <hyperlink r:id="rId3064" ref="C3256"/>
    <hyperlink r:id="rId3065" ref="C3257"/>
    <hyperlink r:id="rId3066" ref="C3258"/>
    <hyperlink r:id="rId3067" ref="C3259"/>
    <hyperlink r:id="rId3068" ref="C3260"/>
    <hyperlink r:id="rId3069" ref="C3261"/>
    <hyperlink r:id="rId3070" ref="C3262"/>
    <hyperlink r:id="rId3071" ref="C3263"/>
    <hyperlink r:id="rId3072" ref="C3264"/>
    <hyperlink r:id="rId3073" ref="C3265"/>
    <hyperlink r:id="rId3074" ref="C3266"/>
    <hyperlink r:id="rId3075" ref="C3267"/>
    <hyperlink r:id="rId3076" ref="C3268"/>
    <hyperlink r:id="rId3077" ref="C3269"/>
    <hyperlink r:id="rId3078" ref="C3270"/>
    <hyperlink r:id="rId3079" ref="C3271"/>
    <hyperlink r:id="rId3080" ref="C3272"/>
    <hyperlink r:id="rId3081" ref="C3273"/>
    <hyperlink r:id="rId3082" ref="C3275"/>
    <hyperlink r:id="rId3083" ref="C3276"/>
    <hyperlink r:id="rId3084" ref="C3277"/>
    <hyperlink r:id="rId3085" ref="C3279"/>
    <hyperlink r:id="rId3086" ref="C3280"/>
    <hyperlink r:id="rId3087" ref="C3281"/>
    <hyperlink r:id="rId3088" ref="C3282"/>
    <hyperlink r:id="rId3089" ref="C3283"/>
    <hyperlink r:id="rId3090" ref="C3284"/>
    <hyperlink r:id="rId3091" ref="C3285"/>
    <hyperlink r:id="rId3092" ref="C3286"/>
    <hyperlink r:id="rId3093" ref="C3287"/>
    <hyperlink r:id="rId3094" ref="C3288"/>
    <hyperlink r:id="rId3095" ref="C3289"/>
    <hyperlink r:id="rId3096" ref="C3290"/>
    <hyperlink r:id="rId3097" ref="C3294"/>
    <hyperlink r:id="rId3098" ref="C3295"/>
    <hyperlink r:id="rId3099" ref="C3296"/>
    <hyperlink r:id="rId3100" ref="C3297"/>
    <hyperlink r:id="rId3101" ref="C3298"/>
    <hyperlink r:id="rId3102" ref="C3299"/>
    <hyperlink r:id="rId3103" ref="C3300"/>
    <hyperlink r:id="rId3104" ref="C3301"/>
    <hyperlink r:id="rId3105" ref="C3302"/>
    <hyperlink r:id="rId3106" ref="C3303"/>
    <hyperlink r:id="rId3107" ref="C3304"/>
    <hyperlink r:id="rId3108" ref="C3305"/>
    <hyperlink r:id="rId3109" ref="C3306"/>
    <hyperlink r:id="rId3110" ref="C3307"/>
    <hyperlink r:id="rId3111" ref="C3308"/>
    <hyperlink r:id="rId3112" ref="C3309"/>
    <hyperlink r:id="rId3113" ref="C3310"/>
    <hyperlink r:id="rId3114" ref="C3311"/>
    <hyperlink r:id="rId3115" ref="C3312"/>
    <hyperlink r:id="rId3116" ref="C3313"/>
    <hyperlink r:id="rId3117" ref="C3314"/>
    <hyperlink r:id="rId3118" ref="C3315"/>
    <hyperlink r:id="rId3119" ref="C3316"/>
    <hyperlink r:id="rId3120" ref="C3317"/>
    <hyperlink r:id="rId3121" ref="C3318"/>
    <hyperlink r:id="rId3122" ref="C3319"/>
    <hyperlink r:id="rId3123" ref="C3320"/>
    <hyperlink r:id="rId3124" ref="C3321"/>
    <hyperlink r:id="rId3125" ref="C3322"/>
    <hyperlink r:id="rId3126" ref="C3323"/>
    <hyperlink r:id="rId3127" ref="C3324"/>
    <hyperlink r:id="rId3128" ref="C3325"/>
    <hyperlink r:id="rId3129" ref="C3326"/>
    <hyperlink r:id="rId3130" ref="C3327"/>
    <hyperlink r:id="rId3131" ref="C3328"/>
    <hyperlink r:id="rId3132" ref="C3329"/>
    <hyperlink r:id="rId3133" ref="C3330"/>
    <hyperlink r:id="rId3134" ref="C3331"/>
    <hyperlink r:id="rId3135" ref="C3332"/>
    <hyperlink r:id="rId3136" ref="C3333"/>
    <hyperlink r:id="rId3137" ref="C3334"/>
    <hyperlink r:id="rId3138" ref="C3335"/>
    <hyperlink r:id="rId3139" ref="C3336"/>
    <hyperlink r:id="rId3140" ref="C3337"/>
    <hyperlink r:id="rId3141" ref="C3338"/>
    <hyperlink r:id="rId3142" ref="C3339"/>
    <hyperlink r:id="rId3143" ref="C3340"/>
    <hyperlink r:id="rId3144" ref="C3341"/>
    <hyperlink r:id="rId3145" ref="C3342"/>
    <hyperlink r:id="rId3146" ref="C3343"/>
    <hyperlink r:id="rId3147" ref="C3344"/>
    <hyperlink r:id="rId3148" ref="C3345"/>
    <hyperlink r:id="rId3149" ref="C3346"/>
    <hyperlink r:id="rId3150" ref="C3347"/>
    <hyperlink r:id="rId3151" ref="C3348"/>
    <hyperlink r:id="rId3152" ref="C3349"/>
    <hyperlink r:id="rId3153" ref="C3350"/>
    <hyperlink r:id="rId3154" ref="C3351"/>
    <hyperlink r:id="rId3155" ref="C3352"/>
    <hyperlink r:id="rId3156" ref="C3353"/>
    <hyperlink r:id="rId3157" ref="C3354"/>
    <hyperlink r:id="rId3158" ref="C3355"/>
    <hyperlink r:id="rId3159" ref="C3356"/>
    <hyperlink r:id="rId3160" ref="C3357"/>
    <hyperlink r:id="rId3161" ref="C3358"/>
    <hyperlink r:id="rId3162" ref="C3359"/>
    <hyperlink r:id="rId3163" ref="C3360"/>
    <hyperlink r:id="rId3164" ref="C3361"/>
    <hyperlink r:id="rId3165" ref="C3362"/>
    <hyperlink r:id="rId3166" ref="C3363"/>
    <hyperlink r:id="rId3167" ref="C3364"/>
    <hyperlink r:id="rId3168" ref="C3365"/>
    <hyperlink r:id="rId3169" ref="C3367"/>
    <hyperlink r:id="rId3170" ref="C3368"/>
    <hyperlink r:id="rId3171" ref="C3369"/>
    <hyperlink r:id="rId3172" ref="C3370"/>
    <hyperlink r:id="rId3173" ref="C3371"/>
    <hyperlink r:id="rId3174" ref="C3372"/>
    <hyperlink r:id="rId3175" ref="C3373"/>
    <hyperlink r:id="rId3176" ref="C3374"/>
    <hyperlink r:id="rId3177" ref="C3375"/>
    <hyperlink r:id="rId3178" ref="C3376"/>
    <hyperlink r:id="rId3179" ref="C3377"/>
    <hyperlink r:id="rId3180" ref="C3378"/>
    <hyperlink r:id="rId3181" ref="C3379"/>
    <hyperlink r:id="rId3182" ref="C3380"/>
    <hyperlink r:id="rId3183" ref="C3381"/>
    <hyperlink r:id="rId3184" ref="C3383"/>
    <hyperlink r:id="rId3185" ref="C3384"/>
    <hyperlink r:id="rId3186" ref="C3385"/>
    <hyperlink r:id="rId3187" ref="C3386"/>
    <hyperlink r:id="rId3188" ref="C3387"/>
    <hyperlink r:id="rId3189" ref="C3388"/>
    <hyperlink r:id="rId3190" ref="C3389"/>
    <hyperlink r:id="rId3191" ref="C3390"/>
    <hyperlink r:id="rId3192" ref="C3391"/>
    <hyperlink r:id="rId3193" ref="C3392"/>
    <hyperlink r:id="rId3194" ref="C3393"/>
    <hyperlink r:id="rId3195" ref="C3394"/>
    <hyperlink r:id="rId3196" ref="C3395"/>
    <hyperlink r:id="rId3197" ref="C3396"/>
    <hyperlink r:id="rId3198" ref="C3397"/>
    <hyperlink r:id="rId3199" ref="C3398"/>
    <hyperlink r:id="rId3200" ref="C3399"/>
    <hyperlink r:id="rId3201" ref="C3400"/>
    <hyperlink r:id="rId3202" ref="C3401"/>
    <hyperlink r:id="rId3203" ref="C3402"/>
    <hyperlink r:id="rId3204" ref="C3403"/>
    <hyperlink r:id="rId3205" ref="C3404"/>
    <hyperlink r:id="rId3206" ref="C3405"/>
    <hyperlink r:id="rId3207" ref="C3406"/>
    <hyperlink r:id="rId3208" ref="C3407"/>
    <hyperlink r:id="rId3209" ref="C3408"/>
    <hyperlink r:id="rId3210" ref="C3409"/>
    <hyperlink r:id="rId3211" ref="C3410"/>
    <hyperlink r:id="rId3212" ref="C3411"/>
    <hyperlink r:id="rId3213" ref="C3412"/>
    <hyperlink r:id="rId3214" ref="C3413"/>
    <hyperlink r:id="rId3215" ref="C3414"/>
    <hyperlink r:id="rId3216" ref="C3415"/>
    <hyperlink r:id="rId3217" ref="C3416"/>
    <hyperlink r:id="rId3218" ref="C3417"/>
    <hyperlink r:id="rId3219" ref="C3418"/>
    <hyperlink r:id="rId3220" ref="C3419"/>
    <hyperlink r:id="rId3221" ref="C3420"/>
    <hyperlink r:id="rId3222" ref="C3421"/>
    <hyperlink r:id="rId3223" ref="C3422"/>
    <hyperlink r:id="rId3224" ref="C3423"/>
    <hyperlink r:id="rId3225" ref="C3424"/>
    <hyperlink r:id="rId3226" ref="C3425"/>
    <hyperlink r:id="rId3227" ref="C3426"/>
    <hyperlink r:id="rId3228" ref="C3427"/>
    <hyperlink r:id="rId3229" ref="C3428"/>
    <hyperlink r:id="rId3230" ref="C3429"/>
    <hyperlink r:id="rId3231" ref="C3430"/>
    <hyperlink r:id="rId3232" ref="C3431"/>
    <hyperlink r:id="rId3233" ref="C3432"/>
    <hyperlink r:id="rId3234" ref="C3433"/>
    <hyperlink r:id="rId3235" ref="C3434"/>
    <hyperlink r:id="rId3236" ref="C3435"/>
    <hyperlink r:id="rId3237" ref="C3436"/>
    <hyperlink r:id="rId3238" ref="C3437"/>
    <hyperlink r:id="rId3239" ref="C3438"/>
    <hyperlink r:id="rId3240" ref="C3439"/>
    <hyperlink r:id="rId3241" ref="C3440"/>
    <hyperlink r:id="rId3242" ref="C3441"/>
    <hyperlink r:id="rId3243" ref="C3442"/>
    <hyperlink r:id="rId3244" ref="C3443"/>
    <hyperlink r:id="rId3245" ref="C3444"/>
    <hyperlink r:id="rId3246" ref="C3445"/>
    <hyperlink r:id="rId3247" ref="C3446"/>
    <hyperlink r:id="rId3248" ref="C3447"/>
    <hyperlink r:id="rId3249" ref="C3448"/>
    <hyperlink r:id="rId3250" ref="C3449"/>
    <hyperlink r:id="rId3251" ref="C3450"/>
    <hyperlink r:id="rId3252" ref="C3451"/>
    <hyperlink r:id="rId3253" ref="C3452"/>
    <hyperlink r:id="rId3254" ref="C3453"/>
    <hyperlink r:id="rId3255" ref="C3454"/>
    <hyperlink r:id="rId3256" ref="C3455"/>
    <hyperlink r:id="rId3257" ref="C3456"/>
    <hyperlink r:id="rId3258" ref="C3457"/>
    <hyperlink r:id="rId3259" ref="C3458"/>
    <hyperlink r:id="rId3260" ref="C3459"/>
    <hyperlink r:id="rId3261" ref="C3460"/>
    <hyperlink r:id="rId3262" ref="C3461"/>
    <hyperlink r:id="rId3263" ref="C3462"/>
    <hyperlink r:id="rId3264" ref="C3463"/>
    <hyperlink r:id="rId3265" ref="C3464"/>
    <hyperlink r:id="rId3266" ref="C3465"/>
    <hyperlink r:id="rId3267" ref="C3466"/>
    <hyperlink r:id="rId3268" ref="C3467"/>
    <hyperlink r:id="rId3269" ref="C3468"/>
    <hyperlink r:id="rId3270" ref="C3469"/>
    <hyperlink r:id="rId3271" ref="C3470"/>
    <hyperlink r:id="rId3272" ref="C3471"/>
    <hyperlink r:id="rId3273" ref="C3472"/>
    <hyperlink r:id="rId3274" ref="C3473"/>
    <hyperlink r:id="rId3275" ref="C3474"/>
    <hyperlink r:id="rId3276" ref="C3475"/>
    <hyperlink r:id="rId3277" ref="C3476"/>
    <hyperlink r:id="rId3278" ref="C3477"/>
    <hyperlink r:id="rId3279" ref="C3478"/>
    <hyperlink r:id="rId3280" ref="C3479"/>
    <hyperlink r:id="rId3281" ref="C3480"/>
    <hyperlink r:id="rId3282" ref="C3481"/>
    <hyperlink r:id="rId3283" ref="C3482"/>
    <hyperlink r:id="rId3284" ref="C3483"/>
    <hyperlink r:id="rId3285" ref="C3484"/>
    <hyperlink r:id="rId3286" ref="C3485"/>
    <hyperlink r:id="rId3287" ref="C3486"/>
    <hyperlink r:id="rId3288" ref="C3487"/>
    <hyperlink r:id="rId3289" ref="C3488"/>
    <hyperlink r:id="rId3290" ref="C3489"/>
    <hyperlink r:id="rId3291" ref="C3490"/>
    <hyperlink r:id="rId3292" ref="C3491"/>
    <hyperlink r:id="rId3293" ref="C3492"/>
    <hyperlink r:id="rId3294" ref="C3493"/>
    <hyperlink r:id="rId3295" ref="C3494"/>
    <hyperlink r:id="rId3296" ref="C3495"/>
    <hyperlink r:id="rId3297" ref="C3496"/>
    <hyperlink r:id="rId3298" ref="C3497"/>
    <hyperlink r:id="rId3299" ref="C3498"/>
    <hyperlink r:id="rId3300" ref="C3499"/>
    <hyperlink r:id="rId3301" ref="C3500"/>
    <hyperlink r:id="rId3302" ref="C3501"/>
    <hyperlink r:id="rId3303" ref="C3502"/>
    <hyperlink r:id="rId3304" ref="C3503"/>
    <hyperlink r:id="rId3305" ref="C3504"/>
    <hyperlink r:id="rId3306" ref="C3505"/>
    <hyperlink r:id="rId3307" ref="C3506"/>
    <hyperlink r:id="rId3308" ref="C3507"/>
    <hyperlink r:id="rId3309" ref="C3508"/>
    <hyperlink r:id="rId3310" ref="C3509"/>
    <hyperlink r:id="rId3311" ref="C3510"/>
    <hyperlink r:id="rId3312" ref="C3511"/>
    <hyperlink r:id="rId3313" ref="C3512"/>
    <hyperlink r:id="rId3314" ref="C3513"/>
    <hyperlink r:id="rId3315" ref="C3514"/>
    <hyperlink r:id="rId3316" ref="C3515"/>
    <hyperlink r:id="rId3317" ref="C3516"/>
    <hyperlink r:id="rId3318" ref="C3517"/>
    <hyperlink r:id="rId3319" ref="C3518"/>
    <hyperlink r:id="rId3320" ref="C3520"/>
    <hyperlink r:id="rId3321" ref="C3521"/>
    <hyperlink r:id="rId3322" ref="C3522"/>
    <hyperlink r:id="rId3323" ref="C3523"/>
    <hyperlink r:id="rId3324" ref="C3524"/>
    <hyperlink r:id="rId3325" ref="C3525"/>
    <hyperlink r:id="rId3326" ref="C3526"/>
    <hyperlink r:id="rId3327" ref="C3527"/>
    <hyperlink r:id="rId3328" ref="C3528"/>
    <hyperlink r:id="rId3329" ref="C3529"/>
    <hyperlink r:id="rId3330" ref="C3530"/>
    <hyperlink r:id="rId3331" ref="C3531"/>
    <hyperlink r:id="rId3332" ref="C3532"/>
    <hyperlink r:id="rId3333" ref="C3533"/>
    <hyperlink r:id="rId3334" ref="C3534"/>
    <hyperlink r:id="rId3335" ref="C3535"/>
    <hyperlink r:id="rId3336" ref="C3536"/>
    <hyperlink r:id="rId3337" ref="C3537"/>
    <hyperlink r:id="rId3338" ref="C3538"/>
    <hyperlink r:id="rId3339" ref="C3539"/>
    <hyperlink r:id="rId3340" ref="C3540"/>
    <hyperlink r:id="rId3341" ref="C3541"/>
    <hyperlink r:id="rId3342" ref="C3542"/>
    <hyperlink r:id="rId3343" ref="C3543"/>
    <hyperlink r:id="rId3344" ref="C3544"/>
    <hyperlink r:id="rId3345" ref="C3545"/>
    <hyperlink r:id="rId3346" ref="C3546"/>
    <hyperlink r:id="rId3347" ref="C3547"/>
    <hyperlink r:id="rId3348" ref="C3548"/>
    <hyperlink r:id="rId3349" ref="C3549"/>
    <hyperlink r:id="rId3350" ref="C3550"/>
    <hyperlink r:id="rId3351" ref="C3551"/>
    <hyperlink r:id="rId3352" ref="C3552"/>
    <hyperlink r:id="rId3353" ref="C3553"/>
    <hyperlink r:id="rId3354" ref="C3554"/>
    <hyperlink r:id="rId3355" ref="C3555"/>
    <hyperlink r:id="rId3356" ref="C3556"/>
    <hyperlink r:id="rId3357" ref="C3557"/>
    <hyperlink r:id="rId3358" ref="C3558"/>
    <hyperlink r:id="rId3359" ref="C3559"/>
    <hyperlink r:id="rId3360" ref="C3560"/>
    <hyperlink r:id="rId3361" ref="C3561"/>
    <hyperlink r:id="rId3362" ref="C3562"/>
    <hyperlink r:id="rId3363" ref="C3563"/>
    <hyperlink r:id="rId3364" ref="C3564"/>
    <hyperlink r:id="rId3365" ref="C3565"/>
    <hyperlink r:id="rId3366" ref="C3566"/>
    <hyperlink r:id="rId3367" ref="C3567"/>
    <hyperlink r:id="rId3368" ref="C3568"/>
    <hyperlink r:id="rId3369" ref="C3569"/>
    <hyperlink r:id="rId3370" ref="C3570"/>
    <hyperlink r:id="rId3371" ref="C3571"/>
    <hyperlink r:id="rId3372" ref="C3572"/>
    <hyperlink r:id="rId3373" ref="C3573"/>
    <hyperlink r:id="rId3374" ref="C3574"/>
    <hyperlink r:id="rId3375" ref="C3575"/>
    <hyperlink r:id="rId3376" ref="C3576"/>
    <hyperlink r:id="rId3377" ref="C3577"/>
    <hyperlink r:id="rId3378" ref="C3578"/>
    <hyperlink r:id="rId3379" ref="C3579"/>
    <hyperlink r:id="rId3380" ref="C3580"/>
    <hyperlink r:id="rId3381" ref="C3581"/>
    <hyperlink r:id="rId3382" ref="C3582"/>
    <hyperlink r:id="rId3383" ref="C3583"/>
    <hyperlink r:id="rId3384" ref="C3584"/>
    <hyperlink r:id="rId3385" ref="C3585"/>
    <hyperlink r:id="rId3386" ref="C3586"/>
    <hyperlink r:id="rId3387" ref="C3587"/>
    <hyperlink r:id="rId3388" ref="C3588"/>
    <hyperlink r:id="rId3389" ref="C3589"/>
    <hyperlink r:id="rId3390" ref="C3590"/>
    <hyperlink r:id="rId3391" ref="C3591"/>
    <hyperlink r:id="rId3392" ref="C3592"/>
    <hyperlink r:id="rId3393" ref="C3593"/>
    <hyperlink r:id="rId3394" ref="C3594"/>
    <hyperlink r:id="rId3395" ref="C3595"/>
    <hyperlink r:id="rId3396" ref="C3596"/>
    <hyperlink r:id="rId3397" ref="C3597"/>
    <hyperlink r:id="rId3398" ref="C3598"/>
    <hyperlink r:id="rId3399" ref="C3599"/>
    <hyperlink r:id="rId3400" ref="C3600"/>
    <hyperlink r:id="rId3401" ref="C3601"/>
    <hyperlink r:id="rId3402" ref="C3602"/>
    <hyperlink r:id="rId3403" ref="C3603"/>
    <hyperlink r:id="rId3404" ref="C3604"/>
    <hyperlink r:id="rId3405" ref="C3605"/>
    <hyperlink r:id="rId3406" ref="C3606"/>
    <hyperlink r:id="rId3407" ref="C3607"/>
    <hyperlink r:id="rId3408" ref="C3608"/>
    <hyperlink r:id="rId3409" ref="C3609"/>
    <hyperlink r:id="rId3410" ref="C3610"/>
    <hyperlink r:id="rId3411" ref="C3611"/>
    <hyperlink r:id="rId3412" ref="C3612"/>
    <hyperlink r:id="rId3413" ref="C3613"/>
    <hyperlink r:id="rId3414" ref="C3614"/>
    <hyperlink r:id="rId3415" ref="C3615"/>
    <hyperlink r:id="rId3416" ref="C3616"/>
    <hyperlink r:id="rId3417" ref="C3617"/>
    <hyperlink r:id="rId3418" ref="C3618"/>
    <hyperlink r:id="rId3419" ref="C3619"/>
    <hyperlink r:id="rId3420" ref="C3620"/>
    <hyperlink r:id="rId3421" ref="C3621"/>
    <hyperlink r:id="rId3422" ref="C3622"/>
    <hyperlink r:id="rId3423" ref="C3623"/>
    <hyperlink r:id="rId3424" ref="C3624"/>
    <hyperlink r:id="rId3425" ref="C3625"/>
    <hyperlink r:id="rId3426" ref="C3626"/>
    <hyperlink r:id="rId3427" ref="C3627"/>
    <hyperlink r:id="rId3428" ref="C3628"/>
    <hyperlink r:id="rId3429" ref="C3629"/>
    <hyperlink r:id="rId3430" ref="C3630"/>
    <hyperlink r:id="rId3431" ref="C3631"/>
    <hyperlink r:id="rId3432" ref="C3632"/>
    <hyperlink r:id="rId3433" ref="C3633"/>
    <hyperlink r:id="rId3434" ref="C3634"/>
    <hyperlink r:id="rId3435" ref="C3635"/>
    <hyperlink r:id="rId3436" ref="C3636"/>
    <hyperlink r:id="rId3437" ref="C3637"/>
    <hyperlink r:id="rId3438" ref="C3638"/>
    <hyperlink r:id="rId3439" ref="C3639"/>
    <hyperlink r:id="rId3440" ref="C3640"/>
    <hyperlink r:id="rId3441" ref="C3641"/>
    <hyperlink r:id="rId3442" ref="C3642"/>
    <hyperlink r:id="rId3443" ref="C3643"/>
    <hyperlink r:id="rId3444" ref="C3644"/>
    <hyperlink r:id="rId3445" ref="C3645"/>
    <hyperlink r:id="rId3446" ref="C3646"/>
    <hyperlink r:id="rId3447" ref="C3647"/>
    <hyperlink r:id="rId3448" ref="C3648"/>
    <hyperlink r:id="rId3449" ref="C3649"/>
    <hyperlink r:id="rId3450" ref="C3650"/>
    <hyperlink r:id="rId3451" ref="C3651"/>
    <hyperlink r:id="rId3452" ref="C3652"/>
    <hyperlink r:id="rId3453" ref="C3653"/>
    <hyperlink r:id="rId3454" ref="C3655"/>
    <hyperlink r:id="rId3455" ref="C3656"/>
    <hyperlink r:id="rId3456" ref="C3657"/>
    <hyperlink r:id="rId3457" ref="C3658"/>
    <hyperlink r:id="rId3458" ref="C3659"/>
    <hyperlink r:id="rId3459" ref="C3660"/>
    <hyperlink r:id="rId3460" ref="C3661"/>
    <hyperlink r:id="rId3461" ref="C3662"/>
    <hyperlink r:id="rId3462" ref="C3663"/>
    <hyperlink r:id="rId3463" ref="C3664"/>
    <hyperlink r:id="rId3464" ref="C3665"/>
    <hyperlink r:id="rId3465" ref="C3666"/>
    <hyperlink r:id="rId3466" ref="C3667"/>
    <hyperlink r:id="rId3467" ref="C3668"/>
    <hyperlink r:id="rId3468" ref="C3669"/>
    <hyperlink r:id="rId3469" ref="C3670"/>
    <hyperlink r:id="rId3470" ref="C3671"/>
    <hyperlink r:id="rId3471" ref="C3672"/>
    <hyperlink r:id="rId3472" ref="C3673"/>
    <hyperlink r:id="rId3473" ref="C3674"/>
    <hyperlink r:id="rId3474" ref="C3675"/>
    <hyperlink r:id="rId3475" ref="C3676"/>
    <hyperlink r:id="rId3476" ref="C3677"/>
    <hyperlink r:id="rId3477" ref="C3678"/>
    <hyperlink r:id="rId3478" ref="C3679"/>
    <hyperlink r:id="rId3479" ref="C3680"/>
    <hyperlink r:id="rId3480" ref="C3681"/>
    <hyperlink r:id="rId3481" ref="C3682"/>
    <hyperlink r:id="rId3482" ref="C3683"/>
    <hyperlink r:id="rId3483" ref="C3684"/>
    <hyperlink r:id="rId3484" ref="C3685"/>
    <hyperlink r:id="rId3485" ref="C3686"/>
    <hyperlink r:id="rId3486" ref="C3687"/>
    <hyperlink r:id="rId3487" ref="C3688"/>
    <hyperlink r:id="rId3488" ref="C3689"/>
    <hyperlink r:id="rId3489" ref="C3690"/>
    <hyperlink r:id="rId3490" ref="C3691"/>
    <hyperlink r:id="rId3491" ref="C3692"/>
    <hyperlink r:id="rId3492" ref="C3693"/>
    <hyperlink r:id="rId3493" ref="C3694"/>
    <hyperlink r:id="rId3494" ref="C3695"/>
    <hyperlink r:id="rId3495" ref="C3696"/>
    <hyperlink r:id="rId3496" ref="C3697"/>
    <hyperlink r:id="rId3497" ref="C3698"/>
    <hyperlink r:id="rId3498" ref="C3699"/>
    <hyperlink r:id="rId3499" ref="C3700"/>
    <hyperlink r:id="rId3500" ref="C3701"/>
    <hyperlink r:id="rId3501" ref="C3702"/>
    <hyperlink r:id="rId3502" ref="C3703"/>
    <hyperlink r:id="rId3503" ref="C3704"/>
    <hyperlink r:id="rId3504" ref="C3705"/>
    <hyperlink r:id="rId3505" ref="C3706"/>
    <hyperlink r:id="rId3506" ref="C3707"/>
    <hyperlink r:id="rId3507" ref="C3708"/>
    <hyperlink r:id="rId3508" ref="C3709"/>
    <hyperlink r:id="rId3509" ref="C3710"/>
    <hyperlink r:id="rId3510" ref="C3711"/>
    <hyperlink r:id="rId3511" ref="C3712"/>
    <hyperlink r:id="rId3512" ref="C3713"/>
    <hyperlink r:id="rId3513" ref="C3714"/>
    <hyperlink r:id="rId3514" ref="C3715"/>
    <hyperlink r:id="rId3515" ref="C3716"/>
    <hyperlink r:id="rId3516" ref="C3717"/>
    <hyperlink r:id="rId3517" ref="C3718"/>
    <hyperlink r:id="rId3518" ref="C3719"/>
    <hyperlink r:id="rId3519" ref="C3720"/>
    <hyperlink r:id="rId3520" ref="C3721"/>
    <hyperlink r:id="rId3521" ref="C3722"/>
    <hyperlink r:id="rId3522" ref="C3723"/>
    <hyperlink r:id="rId3523" ref="C3724"/>
    <hyperlink r:id="rId3524" ref="C3725"/>
    <hyperlink r:id="rId3525" ref="C3726"/>
    <hyperlink r:id="rId3526" ref="C3727"/>
    <hyperlink r:id="rId3527" ref="C3728"/>
    <hyperlink r:id="rId3528" ref="C3729"/>
    <hyperlink r:id="rId3529" ref="C3730"/>
    <hyperlink r:id="rId3530" ref="C3731"/>
    <hyperlink r:id="rId3531" ref="C3732"/>
    <hyperlink r:id="rId3532" ref="C3733"/>
    <hyperlink r:id="rId3533" ref="C3739"/>
    <hyperlink r:id="rId3534" ref="C3740"/>
    <hyperlink r:id="rId3535" ref="C3741"/>
    <hyperlink r:id="rId3536" ref="C3742"/>
    <hyperlink r:id="rId3537" ref="C3743"/>
    <hyperlink r:id="rId3538" ref="C3744"/>
    <hyperlink r:id="rId3539" ref="C3745"/>
    <hyperlink r:id="rId3540" ref="C3746"/>
    <hyperlink r:id="rId3541" ref="C3747"/>
    <hyperlink r:id="rId3542" ref="C3748"/>
    <hyperlink r:id="rId3543" ref="C3749"/>
    <hyperlink r:id="rId3544" ref="C3750"/>
    <hyperlink r:id="rId3545" ref="C3751"/>
    <hyperlink r:id="rId3546" ref="C3752"/>
    <hyperlink r:id="rId3547" ref="C3753"/>
    <hyperlink r:id="rId3548" ref="C3754"/>
    <hyperlink r:id="rId3549" ref="C3755"/>
    <hyperlink r:id="rId3550" ref="C3756"/>
    <hyperlink r:id="rId3551" ref="C3757"/>
    <hyperlink r:id="rId3552" ref="C3758"/>
    <hyperlink r:id="rId3553" ref="C3759"/>
    <hyperlink r:id="rId3554" ref="C3760"/>
    <hyperlink r:id="rId3555" ref="C3761"/>
    <hyperlink r:id="rId3556" ref="C3762"/>
    <hyperlink r:id="rId3557" ref="C3763"/>
    <hyperlink r:id="rId3558" ref="C3764"/>
    <hyperlink r:id="rId3559" ref="C3765"/>
    <hyperlink r:id="rId3560" ref="C3766"/>
    <hyperlink r:id="rId3561" ref="C3767"/>
    <hyperlink r:id="rId3562" ref="C3768"/>
    <hyperlink r:id="rId3563" ref="C3769"/>
    <hyperlink r:id="rId3564" ref="C3770"/>
    <hyperlink r:id="rId3565" ref="C3771"/>
    <hyperlink r:id="rId3566" ref="C3772"/>
    <hyperlink r:id="rId3567" ref="C3773"/>
    <hyperlink r:id="rId3568" ref="C3774"/>
    <hyperlink r:id="rId3569" ref="C3775"/>
    <hyperlink r:id="rId3570" ref="C3776"/>
    <hyperlink r:id="rId3571" ref="C3777"/>
    <hyperlink r:id="rId3572" ref="C3778"/>
    <hyperlink r:id="rId3573" ref="C3779"/>
    <hyperlink r:id="rId3574" ref="C3780"/>
    <hyperlink r:id="rId3575" ref="C3785"/>
    <hyperlink r:id="rId3576" ref="C3786"/>
    <hyperlink r:id="rId3577" ref="C3787"/>
    <hyperlink r:id="rId3578" ref="C3788"/>
    <hyperlink r:id="rId3579" ref="C3789"/>
    <hyperlink r:id="rId3580" ref="C3790"/>
    <hyperlink r:id="rId3581" ref="C3791"/>
    <hyperlink r:id="rId3582" ref="C3792"/>
    <hyperlink r:id="rId3583" ref="C3793"/>
    <hyperlink r:id="rId3584" ref="C3794"/>
    <hyperlink r:id="rId3585" ref="C3795"/>
    <hyperlink r:id="rId3586" ref="C3796"/>
    <hyperlink r:id="rId3587" ref="C3797"/>
    <hyperlink r:id="rId3588" ref="C3798"/>
    <hyperlink r:id="rId3589" ref="C3799"/>
    <hyperlink r:id="rId3590" ref="C3800"/>
    <hyperlink r:id="rId3591" ref="C3801"/>
    <hyperlink r:id="rId3592" ref="C3802"/>
    <hyperlink r:id="rId3593" ref="C3803"/>
    <hyperlink r:id="rId3594" ref="C3804"/>
    <hyperlink r:id="rId3595" ref="C3805"/>
    <hyperlink r:id="rId3596" ref="C3806"/>
    <hyperlink r:id="rId3597" ref="C3807"/>
    <hyperlink r:id="rId3598" ref="C3808"/>
    <hyperlink r:id="rId3599" ref="C3809"/>
    <hyperlink r:id="rId3600" ref="C3810"/>
    <hyperlink r:id="rId3601" ref="C3811"/>
    <hyperlink r:id="rId3602" ref="C3812"/>
    <hyperlink r:id="rId3603" ref="C3813"/>
    <hyperlink r:id="rId3604" ref="C3814"/>
    <hyperlink r:id="rId3605" ref="C3815"/>
    <hyperlink r:id="rId3606" ref="C3816"/>
    <hyperlink r:id="rId3607" ref="C3817"/>
    <hyperlink r:id="rId3608" ref="C3818"/>
    <hyperlink r:id="rId3609" ref="C3819"/>
    <hyperlink r:id="rId3610" ref="C3820"/>
    <hyperlink r:id="rId3611" ref="C3821"/>
    <hyperlink r:id="rId3612" ref="C3822"/>
    <hyperlink r:id="rId3613" ref="C3823"/>
    <hyperlink r:id="rId3614" ref="C3824"/>
    <hyperlink r:id="rId3615" ref="C3825"/>
    <hyperlink r:id="rId3616" ref="C3826"/>
    <hyperlink r:id="rId3617" ref="C3827"/>
    <hyperlink r:id="rId3618" ref="C3828"/>
    <hyperlink r:id="rId3619" ref="C3829"/>
    <hyperlink r:id="rId3620" ref="C3830"/>
    <hyperlink r:id="rId3621" ref="C3831"/>
    <hyperlink r:id="rId3622" ref="C3832"/>
    <hyperlink r:id="rId3623" ref="C3833"/>
    <hyperlink r:id="rId3624" ref="C3834"/>
    <hyperlink r:id="rId3625" ref="C3835"/>
    <hyperlink r:id="rId3626" ref="C3836"/>
    <hyperlink r:id="rId3627" ref="C3837"/>
    <hyperlink r:id="rId3628" ref="C3838"/>
    <hyperlink r:id="rId3629" ref="C3839"/>
    <hyperlink r:id="rId3630" ref="C3840"/>
    <hyperlink r:id="rId3631" ref="C3841"/>
    <hyperlink r:id="rId3632" ref="C3842"/>
    <hyperlink r:id="rId3633" ref="C3843"/>
    <hyperlink r:id="rId3634" ref="C3844"/>
    <hyperlink r:id="rId3635" ref="C3845"/>
    <hyperlink r:id="rId3636" ref="C3846"/>
    <hyperlink r:id="rId3637" ref="C3847"/>
    <hyperlink r:id="rId3638" ref="C3848"/>
    <hyperlink r:id="rId3639" ref="C3849"/>
    <hyperlink r:id="rId3640" ref="C3850"/>
    <hyperlink r:id="rId3641" ref="C3851"/>
    <hyperlink r:id="rId3642" ref="C3852"/>
    <hyperlink r:id="rId3643" ref="C3853"/>
    <hyperlink r:id="rId3644" ref="C3854"/>
    <hyperlink r:id="rId3645" ref="C3855"/>
    <hyperlink r:id="rId3646" ref="C3856"/>
    <hyperlink r:id="rId3647" ref="C3857"/>
    <hyperlink r:id="rId3648" ref="C3858"/>
    <hyperlink r:id="rId3649" ref="C3859"/>
    <hyperlink r:id="rId3650" ref="C3860"/>
    <hyperlink r:id="rId3651" ref="C3861"/>
    <hyperlink r:id="rId3652" ref="C3862"/>
    <hyperlink r:id="rId3653" ref="C3863"/>
    <hyperlink r:id="rId3654" ref="C3864"/>
    <hyperlink r:id="rId3655" ref="C3865"/>
    <hyperlink r:id="rId3656" ref="C3866"/>
    <hyperlink r:id="rId3657" ref="C3867"/>
    <hyperlink r:id="rId3658" ref="C3868"/>
    <hyperlink r:id="rId3659" ref="C3869"/>
    <hyperlink r:id="rId3660" ref="C3870"/>
    <hyperlink r:id="rId3661" ref="C3871"/>
    <hyperlink r:id="rId3662" ref="C3872"/>
    <hyperlink r:id="rId3663" ref="C3873"/>
    <hyperlink r:id="rId3664" ref="C3874"/>
    <hyperlink r:id="rId3665" ref="C3875"/>
    <hyperlink r:id="rId3666" ref="C3876"/>
    <hyperlink r:id="rId3667" ref="C3877"/>
    <hyperlink r:id="rId3668" ref="C3878"/>
    <hyperlink r:id="rId3669" ref="C3879"/>
    <hyperlink r:id="rId3670" ref="C3880"/>
    <hyperlink r:id="rId3671" ref="C3881"/>
    <hyperlink r:id="rId3672" ref="C3882"/>
    <hyperlink r:id="rId3673" ref="C3883"/>
    <hyperlink r:id="rId3674" ref="C3884"/>
    <hyperlink r:id="rId3675" ref="C3885"/>
    <hyperlink r:id="rId3676" ref="C3886"/>
    <hyperlink r:id="rId3677" ref="C3887"/>
    <hyperlink r:id="rId3678" ref="C3888"/>
    <hyperlink r:id="rId3679" ref="C3889"/>
    <hyperlink r:id="rId3680" ref="C3890"/>
    <hyperlink r:id="rId3681" ref="C3891"/>
    <hyperlink r:id="rId3682" ref="C3893"/>
    <hyperlink r:id="rId3683" ref="C3894"/>
    <hyperlink r:id="rId3684" ref="C3895"/>
    <hyperlink r:id="rId3685" ref="C3896"/>
    <hyperlink r:id="rId3686" ref="C3897"/>
    <hyperlink r:id="rId3687" ref="C3898"/>
    <hyperlink r:id="rId3688" ref="C3899"/>
    <hyperlink r:id="rId3689" ref="C3900"/>
    <hyperlink r:id="rId3690" ref="C3901"/>
    <hyperlink r:id="rId3691" ref="C3902"/>
    <hyperlink r:id="rId3692" ref="C3903"/>
    <hyperlink r:id="rId3693" ref="C3904"/>
    <hyperlink r:id="rId3694" ref="C3905"/>
    <hyperlink r:id="rId3695" ref="C3906"/>
    <hyperlink r:id="rId3696" ref="C3907"/>
    <hyperlink r:id="rId3697" ref="C3908"/>
    <hyperlink r:id="rId3698" ref="C3909"/>
    <hyperlink r:id="rId3699" ref="C3910"/>
    <hyperlink r:id="rId3700" ref="C3911"/>
    <hyperlink r:id="rId3701" ref="C3912"/>
    <hyperlink r:id="rId3702" ref="C3913"/>
    <hyperlink r:id="rId3703" ref="C3914"/>
    <hyperlink r:id="rId3704" ref="C3915"/>
    <hyperlink r:id="rId3705" ref="C3916"/>
    <hyperlink r:id="rId3706" ref="C3917"/>
    <hyperlink r:id="rId3707" ref="C3918"/>
    <hyperlink r:id="rId3708" ref="C3919"/>
    <hyperlink r:id="rId3709" ref="C3920"/>
    <hyperlink r:id="rId3710" ref="C3921"/>
    <hyperlink r:id="rId3711" ref="C3922"/>
    <hyperlink r:id="rId3712" ref="C3923"/>
    <hyperlink r:id="rId3713" ref="C3924"/>
    <hyperlink r:id="rId3714" ref="C3925"/>
    <hyperlink r:id="rId3715" ref="C3926"/>
    <hyperlink r:id="rId3716" ref="C3927"/>
    <hyperlink r:id="rId3717" ref="C3928"/>
    <hyperlink r:id="rId3718" ref="C3929"/>
    <hyperlink r:id="rId3719" ref="C3930"/>
    <hyperlink r:id="rId3720" ref="C3931"/>
    <hyperlink r:id="rId3721" ref="C3932"/>
    <hyperlink r:id="rId3722" ref="C3933"/>
    <hyperlink r:id="rId3723" ref="C3934"/>
    <hyperlink r:id="rId3724" ref="C3935"/>
    <hyperlink r:id="rId3725" ref="C3936"/>
    <hyperlink r:id="rId3726" ref="C3937"/>
    <hyperlink r:id="rId3727" ref="C3938"/>
    <hyperlink r:id="rId3728" ref="C3939"/>
    <hyperlink r:id="rId3729" ref="C3940"/>
    <hyperlink r:id="rId3730" ref="C3941"/>
    <hyperlink r:id="rId3731" ref="C3942"/>
    <hyperlink r:id="rId3732" ref="C3943"/>
    <hyperlink r:id="rId3733" ref="C3944"/>
    <hyperlink r:id="rId3734" ref="C3945"/>
    <hyperlink r:id="rId3735" ref="C3946"/>
    <hyperlink r:id="rId3736" ref="C3947"/>
    <hyperlink r:id="rId3737" ref="C3948"/>
    <hyperlink r:id="rId3738" ref="C3949"/>
    <hyperlink r:id="rId3739" ref="C3950"/>
    <hyperlink r:id="rId3740" ref="C3951"/>
    <hyperlink r:id="rId3741" ref="C3952"/>
    <hyperlink r:id="rId3742" ref="C3953"/>
    <hyperlink r:id="rId3743" ref="C3954"/>
    <hyperlink r:id="rId3744" ref="C3955"/>
    <hyperlink r:id="rId3745" ref="C3956"/>
    <hyperlink r:id="rId3746" ref="C3957"/>
    <hyperlink r:id="rId3747" ref="C3958"/>
    <hyperlink r:id="rId3748" ref="C3959"/>
    <hyperlink r:id="rId3749" ref="C3960"/>
    <hyperlink r:id="rId3750" ref="C3961"/>
    <hyperlink r:id="rId3751" ref="C3962"/>
    <hyperlink r:id="rId3752" ref="C3963"/>
    <hyperlink r:id="rId3753" ref="C3964"/>
    <hyperlink r:id="rId3754" ref="C3965"/>
    <hyperlink r:id="rId3755" ref="C3966"/>
    <hyperlink r:id="rId3756" ref="C3967"/>
    <hyperlink r:id="rId3757" ref="C3968"/>
    <hyperlink r:id="rId3758" ref="C3970"/>
    <hyperlink r:id="rId3759" ref="C3971"/>
    <hyperlink r:id="rId3760" ref="C3972"/>
    <hyperlink r:id="rId3761" ref="C3973"/>
    <hyperlink r:id="rId3762" ref="C3974"/>
    <hyperlink r:id="rId3763" ref="C3975"/>
    <hyperlink r:id="rId3764" ref="C3976"/>
    <hyperlink r:id="rId3765" ref="C3977"/>
    <hyperlink r:id="rId3766" ref="C3978"/>
    <hyperlink r:id="rId3767" ref="C3979"/>
    <hyperlink r:id="rId3768" ref="C3980"/>
    <hyperlink r:id="rId3769" ref="C3981"/>
    <hyperlink r:id="rId3770" ref="C3982"/>
    <hyperlink r:id="rId3771" ref="C3983"/>
    <hyperlink r:id="rId3772" ref="C3984"/>
    <hyperlink r:id="rId3773" ref="C3985"/>
    <hyperlink r:id="rId3774" ref="C3986"/>
    <hyperlink r:id="rId3775" ref="C3987"/>
    <hyperlink r:id="rId3776" ref="C3988"/>
    <hyperlink r:id="rId3777" ref="C3989"/>
    <hyperlink r:id="rId3778" ref="C3990"/>
    <hyperlink r:id="rId3779" ref="C3991"/>
    <hyperlink r:id="rId3780" ref="C3992"/>
    <hyperlink r:id="rId3781" ref="C3993"/>
    <hyperlink r:id="rId3782" ref="C3994"/>
    <hyperlink r:id="rId3783" ref="C3995"/>
    <hyperlink r:id="rId3784" ref="C3996"/>
    <hyperlink r:id="rId3785" ref="C3997"/>
    <hyperlink r:id="rId3786" ref="C3998"/>
    <hyperlink r:id="rId3787" ref="C3999"/>
    <hyperlink r:id="rId3788" ref="C4000"/>
    <hyperlink r:id="rId3789" ref="C4001"/>
    <hyperlink r:id="rId3790" ref="C4002"/>
    <hyperlink r:id="rId3791" ref="C4003"/>
    <hyperlink r:id="rId3792" ref="C4004"/>
    <hyperlink r:id="rId3793" ref="C4005"/>
    <hyperlink r:id="rId3794" ref="C4006"/>
    <hyperlink r:id="rId3795" ref="C4007"/>
    <hyperlink r:id="rId3796" ref="C4008"/>
    <hyperlink r:id="rId3797" ref="C4009"/>
    <hyperlink r:id="rId3798" ref="C4010"/>
    <hyperlink r:id="rId3799" ref="C4011"/>
    <hyperlink r:id="rId3800" ref="C4012"/>
    <hyperlink r:id="rId3801" ref="C4013"/>
    <hyperlink r:id="rId3802" ref="C4014"/>
    <hyperlink r:id="rId3803" ref="C4015"/>
    <hyperlink r:id="rId3804" ref="C4016"/>
    <hyperlink r:id="rId3805" ref="C4017"/>
    <hyperlink r:id="rId3806" ref="C4018"/>
    <hyperlink r:id="rId3807" ref="C4019"/>
    <hyperlink r:id="rId3808" ref="C4020"/>
    <hyperlink r:id="rId3809" ref="C4021"/>
    <hyperlink r:id="rId3810" ref="C4022"/>
    <hyperlink r:id="rId3811" ref="C4023"/>
    <hyperlink r:id="rId3812" ref="C4024"/>
    <hyperlink r:id="rId3813" ref="C4025"/>
    <hyperlink r:id="rId3814" ref="C4026"/>
    <hyperlink r:id="rId3815" ref="C4027"/>
    <hyperlink r:id="rId3816" ref="C4028"/>
    <hyperlink r:id="rId3817" ref="C4029"/>
    <hyperlink r:id="rId3818" ref="C4030"/>
    <hyperlink r:id="rId3819" ref="C4031"/>
    <hyperlink r:id="rId3820" ref="C4032"/>
    <hyperlink r:id="rId3821" ref="C4033"/>
    <hyperlink r:id="rId3822" ref="C4034"/>
    <hyperlink r:id="rId3823" ref="C4035"/>
    <hyperlink r:id="rId3824" ref="C4036"/>
    <hyperlink r:id="rId3825" ref="C4037"/>
    <hyperlink r:id="rId3826" ref="C4038"/>
    <hyperlink r:id="rId3827" ref="C4039"/>
    <hyperlink r:id="rId3828" ref="C4040"/>
    <hyperlink r:id="rId3829" ref="C4041"/>
    <hyperlink r:id="rId3830" ref="C4042"/>
    <hyperlink r:id="rId3831" ref="C4043"/>
    <hyperlink r:id="rId3832" ref="C4044"/>
    <hyperlink r:id="rId3833" ref="C4045"/>
    <hyperlink r:id="rId3834" ref="C4046"/>
    <hyperlink r:id="rId3835" ref="C4047"/>
    <hyperlink r:id="rId3836" ref="C4048"/>
    <hyperlink r:id="rId3837" ref="C4049"/>
    <hyperlink r:id="rId3838" ref="C4050"/>
    <hyperlink r:id="rId3839" ref="C4051"/>
    <hyperlink r:id="rId3840" ref="C4052"/>
    <hyperlink r:id="rId3841" ref="C4054"/>
    <hyperlink r:id="rId3842" ref="C4055"/>
    <hyperlink r:id="rId3843" ref="C4056"/>
    <hyperlink r:id="rId3844" ref="C4057"/>
    <hyperlink r:id="rId3845" ref="C4058"/>
    <hyperlink r:id="rId3846" ref="C4059"/>
    <hyperlink r:id="rId3847" ref="C4060"/>
    <hyperlink r:id="rId3848" ref="C4061"/>
    <hyperlink r:id="rId3849" ref="C4062"/>
    <hyperlink r:id="rId3850" ref="C4063"/>
    <hyperlink r:id="rId3851" ref="C4064"/>
    <hyperlink r:id="rId3852" ref="C4065"/>
    <hyperlink r:id="rId3853" ref="C4066"/>
    <hyperlink r:id="rId3854" ref="C4067"/>
    <hyperlink r:id="rId3855" ref="C4068"/>
    <hyperlink r:id="rId3856" ref="C4069"/>
    <hyperlink r:id="rId3857" ref="C4070"/>
    <hyperlink r:id="rId3858" ref="C4071"/>
    <hyperlink r:id="rId3859" ref="C4072"/>
    <hyperlink r:id="rId3860" ref="C4073"/>
    <hyperlink r:id="rId3861" ref="C4074"/>
    <hyperlink r:id="rId3862" ref="C4075"/>
    <hyperlink r:id="rId3863" ref="C4076"/>
    <hyperlink r:id="rId3864" ref="C4077"/>
    <hyperlink r:id="rId3865" ref="C4078"/>
    <hyperlink r:id="rId3866" ref="C4079"/>
    <hyperlink r:id="rId3867" ref="C4080"/>
    <hyperlink r:id="rId3868" ref="C4081"/>
    <hyperlink r:id="rId3869" ref="C4082"/>
    <hyperlink r:id="rId3870" ref="C4083"/>
    <hyperlink r:id="rId3871" ref="C4084"/>
    <hyperlink r:id="rId3872" ref="C4085"/>
    <hyperlink r:id="rId3873" ref="C4086"/>
    <hyperlink r:id="rId3874" ref="C4087"/>
    <hyperlink r:id="rId3875" ref="C4088"/>
    <hyperlink r:id="rId3876" ref="C4089"/>
    <hyperlink r:id="rId3877" ref="C4090"/>
    <hyperlink r:id="rId3878" ref="C4091"/>
    <hyperlink r:id="rId3879" ref="C4092"/>
    <hyperlink r:id="rId3880" ref="C4093"/>
    <hyperlink r:id="rId3881" ref="C4094"/>
    <hyperlink r:id="rId3882" ref="C4095"/>
    <hyperlink r:id="rId3883" ref="C4096"/>
    <hyperlink r:id="rId3884" ref="C4097"/>
    <hyperlink r:id="rId3885" ref="C4098"/>
    <hyperlink r:id="rId3886" ref="C4099"/>
    <hyperlink r:id="rId3887" ref="C4100"/>
    <hyperlink r:id="rId3888" ref="C4101"/>
    <hyperlink r:id="rId3889" ref="C4102"/>
    <hyperlink r:id="rId3890" ref="C4103"/>
    <hyperlink r:id="rId3891" ref="C4104"/>
    <hyperlink r:id="rId3892" ref="C4105"/>
    <hyperlink r:id="rId3893" ref="C4106"/>
    <hyperlink r:id="rId3894" ref="C4107"/>
    <hyperlink r:id="rId3895" ref="C4108"/>
    <hyperlink r:id="rId3896" ref="C4109"/>
    <hyperlink r:id="rId3897" ref="C4110"/>
    <hyperlink r:id="rId3898" ref="C4111"/>
    <hyperlink r:id="rId3899" ref="C4112"/>
    <hyperlink r:id="rId3900" ref="C4113"/>
    <hyperlink r:id="rId3901" ref="C4114"/>
    <hyperlink r:id="rId3902" ref="C4115"/>
    <hyperlink r:id="rId3903" ref="C4116"/>
    <hyperlink r:id="rId3904" ref="C4117"/>
    <hyperlink r:id="rId3905" ref="C4118"/>
    <hyperlink r:id="rId3906" ref="C4119"/>
    <hyperlink r:id="rId3907" ref="C4120"/>
    <hyperlink r:id="rId3908" ref="C4121"/>
    <hyperlink r:id="rId3909" ref="C4122"/>
    <hyperlink r:id="rId3910" ref="C4123"/>
    <hyperlink r:id="rId3911" ref="C4124"/>
    <hyperlink r:id="rId3912" ref="C4125"/>
    <hyperlink r:id="rId3913" ref="C4126"/>
    <hyperlink r:id="rId3914" ref="C4127"/>
    <hyperlink r:id="rId3915" ref="C4128"/>
    <hyperlink r:id="rId3916" ref="C4129"/>
    <hyperlink r:id="rId3917" ref="C4130"/>
    <hyperlink r:id="rId3918" ref="C4131"/>
    <hyperlink r:id="rId3919" ref="C4132"/>
    <hyperlink r:id="rId3920" ref="C4133"/>
    <hyperlink r:id="rId3921" ref="C4134"/>
    <hyperlink r:id="rId3922" ref="C4135"/>
    <hyperlink r:id="rId3923" ref="C4136"/>
    <hyperlink r:id="rId3924" ref="C4137"/>
    <hyperlink r:id="rId3925" ref="C4138"/>
    <hyperlink r:id="rId3926" ref="C4139"/>
    <hyperlink r:id="rId3927" ref="C4140"/>
    <hyperlink r:id="rId3928" ref="C4141"/>
    <hyperlink r:id="rId3929" ref="C4142"/>
    <hyperlink r:id="rId3930" ref="C4143"/>
    <hyperlink r:id="rId3931" ref="C4144"/>
    <hyperlink r:id="rId3932" ref="C4145"/>
    <hyperlink r:id="rId3933" ref="C4146"/>
    <hyperlink r:id="rId3934" ref="C4147"/>
    <hyperlink r:id="rId3935" ref="C4148"/>
    <hyperlink r:id="rId3936" ref="C4149"/>
    <hyperlink r:id="rId3937" ref="C4150"/>
    <hyperlink r:id="rId3938" ref="C4151"/>
    <hyperlink r:id="rId3939" ref="C4152"/>
    <hyperlink r:id="rId3940" ref="C4153"/>
    <hyperlink r:id="rId3941" ref="C4154"/>
    <hyperlink r:id="rId3942" ref="C4155"/>
    <hyperlink r:id="rId3943" ref="C4156"/>
    <hyperlink r:id="rId3944" ref="C4157"/>
    <hyperlink r:id="rId3945" ref="C4158"/>
    <hyperlink r:id="rId3946" ref="C4159"/>
    <hyperlink r:id="rId3947" ref="C4160"/>
    <hyperlink r:id="rId3948" ref="C4161"/>
    <hyperlink r:id="rId3949" ref="C4162"/>
    <hyperlink r:id="rId3950" ref="C4163"/>
    <hyperlink r:id="rId3951" ref="C4164"/>
    <hyperlink r:id="rId3952" ref="C4165"/>
    <hyperlink r:id="rId3953" ref="C4166"/>
    <hyperlink r:id="rId3954" ref="C4167"/>
    <hyperlink r:id="rId3955" ref="C4168"/>
    <hyperlink r:id="rId3956" ref="C4169"/>
    <hyperlink r:id="rId3957" ref="C4170"/>
    <hyperlink r:id="rId3958" ref="C4171"/>
    <hyperlink r:id="rId3959" ref="C4172"/>
    <hyperlink r:id="rId3960" ref="C4173"/>
    <hyperlink r:id="rId3961" ref="C4174"/>
    <hyperlink r:id="rId3962" ref="C4175"/>
    <hyperlink r:id="rId3963" ref="C4176"/>
    <hyperlink r:id="rId3964" ref="C4177"/>
    <hyperlink r:id="rId3965" ref="C4178"/>
    <hyperlink r:id="rId3966" ref="C4179"/>
    <hyperlink r:id="rId3967" ref="C4180"/>
    <hyperlink r:id="rId3968" ref="C4181"/>
    <hyperlink r:id="rId3969" ref="C4182"/>
    <hyperlink r:id="rId3970" ref="C4183"/>
    <hyperlink r:id="rId3971" ref="C4184"/>
    <hyperlink r:id="rId3972" ref="C4185"/>
    <hyperlink r:id="rId3973" ref="C4186"/>
    <hyperlink r:id="rId3974" ref="C4187"/>
    <hyperlink r:id="rId3975" ref="C4188"/>
    <hyperlink r:id="rId3976" ref="C4189"/>
    <hyperlink r:id="rId3977" ref="C4190"/>
    <hyperlink r:id="rId3978" ref="C4191"/>
    <hyperlink r:id="rId3979" ref="C4192"/>
    <hyperlink r:id="rId3980" ref="C4193"/>
    <hyperlink r:id="rId3981" ref="C4194"/>
    <hyperlink r:id="rId3982" ref="C4195"/>
    <hyperlink r:id="rId3983" ref="C4196"/>
    <hyperlink r:id="rId3984" ref="C4197"/>
    <hyperlink r:id="rId3985" ref="C4198"/>
    <hyperlink r:id="rId3986" ref="C4199"/>
    <hyperlink r:id="rId3987" ref="C4200"/>
    <hyperlink r:id="rId3988" ref="C4201"/>
    <hyperlink r:id="rId3989" ref="C4202"/>
    <hyperlink r:id="rId3990" ref="C4203"/>
    <hyperlink r:id="rId3991" ref="C4204"/>
    <hyperlink r:id="rId3992" ref="C4205"/>
    <hyperlink r:id="rId3993" ref="C4206"/>
    <hyperlink r:id="rId3994" ref="C4207"/>
    <hyperlink r:id="rId3995" ref="C4208"/>
    <hyperlink r:id="rId3996" ref="C4209"/>
    <hyperlink r:id="rId3997" ref="C4210"/>
    <hyperlink r:id="rId3998" ref="C4211"/>
    <hyperlink r:id="rId3999" ref="C4212"/>
    <hyperlink r:id="rId4000" ref="C4213"/>
    <hyperlink r:id="rId4001" ref="C4214"/>
    <hyperlink r:id="rId4002" ref="C4215"/>
    <hyperlink r:id="rId4003" ref="C4216"/>
    <hyperlink r:id="rId4004" ref="C4217"/>
    <hyperlink r:id="rId4005" ref="C4218"/>
    <hyperlink r:id="rId4006" ref="C4219"/>
    <hyperlink r:id="rId4007" ref="C4220"/>
    <hyperlink r:id="rId4008" ref="C4221"/>
    <hyperlink r:id="rId4009" ref="C4222"/>
    <hyperlink r:id="rId4010" ref="C4223"/>
    <hyperlink r:id="rId4011" ref="C4224"/>
    <hyperlink r:id="rId4012" ref="C4225"/>
    <hyperlink r:id="rId4013" ref="C4226"/>
    <hyperlink r:id="rId4014" ref="C4227"/>
    <hyperlink r:id="rId4015" ref="C4228"/>
    <hyperlink r:id="rId4016" ref="C4229"/>
    <hyperlink r:id="rId4017" ref="C4230"/>
    <hyperlink r:id="rId4018" ref="C4231"/>
    <hyperlink r:id="rId4019" ref="C4232"/>
    <hyperlink r:id="rId4020" ref="C4233"/>
    <hyperlink r:id="rId4021" ref="C4234"/>
    <hyperlink r:id="rId4022" ref="C4235"/>
    <hyperlink r:id="rId4023" ref="C4236"/>
    <hyperlink r:id="rId4024" ref="C4237"/>
    <hyperlink r:id="rId4025" ref="C4238"/>
    <hyperlink r:id="rId4026" ref="C4239"/>
    <hyperlink r:id="rId4027" ref="C4243"/>
    <hyperlink r:id="rId4028" ref="C4245"/>
    <hyperlink r:id="rId4029" ref="C4246"/>
    <hyperlink r:id="rId4030" ref="C4247"/>
    <hyperlink r:id="rId4031" ref="C4248"/>
    <hyperlink r:id="rId4032" ref="C4249"/>
    <hyperlink r:id="rId4033" ref="C4250"/>
    <hyperlink r:id="rId4034" ref="C4251"/>
    <hyperlink r:id="rId4035" ref="C4252"/>
    <hyperlink r:id="rId4036" ref="C4253"/>
    <hyperlink r:id="rId4037" ref="C4254"/>
    <hyperlink r:id="rId4038" ref="C4255"/>
    <hyperlink r:id="rId4039" ref="C4256"/>
    <hyperlink r:id="rId4040" ref="C4257"/>
    <hyperlink r:id="rId4041" ref="C4258"/>
    <hyperlink r:id="rId4042" ref="C4259"/>
    <hyperlink r:id="rId4043" ref="C4260"/>
    <hyperlink r:id="rId4044" ref="C4261"/>
    <hyperlink r:id="rId4045" ref="C4262"/>
    <hyperlink r:id="rId4046" ref="C4263"/>
    <hyperlink r:id="rId4047" ref="C4264"/>
    <hyperlink r:id="rId4048" ref="C4265"/>
    <hyperlink r:id="rId4049" ref="C4266"/>
    <hyperlink r:id="rId4050" ref="C4267"/>
    <hyperlink r:id="rId4051" ref="C4268"/>
    <hyperlink r:id="rId4052" ref="C4269"/>
    <hyperlink r:id="rId4053" ref="C4270"/>
    <hyperlink r:id="rId4054" ref="C4271"/>
    <hyperlink r:id="rId4055" ref="C4272"/>
    <hyperlink r:id="rId4056" ref="C4273"/>
    <hyperlink r:id="rId4057" ref="C4274"/>
    <hyperlink r:id="rId4058" ref="C4275"/>
    <hyperlink r:id="rId4059" ref="C4276"/>
    <hyperlink r:id="rId4060" ref="C4277"/>
    <hyperlink r:id="rId4061" ref="C4278"/>
    <hyperlink r:id="rId4062" ref="C4279"/>
    <hyperlink r:id="rId4063" ref="C4280"/>
    <hyperlink r:id="rId4064" ref="C4281"/>
    <hyperlink r:id="rId4065" ref="C4283"/>
    <hyperlink r:id="rId4066" ref="C4284"/>
    <hyperlink r:id="rId4067" ref="C4285"/>
    <hyperlink r:id="rId4068" ref="C4286"/>
    <hyperlink r:id="rId4069" ref="C4287"/>
    <hyperlink r:id="rId4070" ref="C4288"/>
    <hyperlink r:id="rId4071" ref="C4289"/>
    <hyperlink r:id="rId4072" ref="C4290"/>
    <hyperlink r:id="rId4073" ref="C4291"/>
    <hyperlink r:id="rId4074" ref="C4292"/>
    <hyperlink r:id="rId4075" ref="C4293"/>
    <hyperlink r:id="rId4076" ref="C4294"/>
    <hyperlink r:id="rId4077" ref="C4295"/>
    <hyperlink r:id="rId4078" ref="C4296"/>
    <hyperlink r:id="rId4079" ref="C4297"/>
    <hyperlink r:id="rId4080" ref="C4298"/>
    <hyperlink r:id="rId4081" ref="C4299"/>
    <hyperlink r:id="rId4082" ref="C4300"/>
    <hyperlink r:id="rId4083" ref="C4301"/>
    <hyperlink r:id="rId4084" ref="C4302"/>
    <hyperlink r:id="rId4085" ref="C4303"/>
    <hyperlink r:id="rId4086" ref="C4304"/>
    <hyperlink r:id="rId4087" ref="C4305"/>
    <hyperlink r:id="rId4088" ref="C4306"/>
    <hyperlink r:id="rId4089" ref="C4307"/>
    <hyperlink r:id="rId4090" ref="C4308"/>
    <hyperlink r:id="rId4091" ref="C4309"/>
    <hyperlink r:id="rId4092" ref="C4310"/>
    <hyperlink r:id="rId4093" ref="C4311"/>
    <hyperlink r:id="rId4094" ref="C4312"/>
    <hyperlink r:id="rId4095" ref="C4313"/>
    <hyperlink r:id="rId4096" ref="C4314"/>
    <hyperlink r:id="rId4097" ref="C4315"/>
    <hyperlink r:id="rId4098" ref="C4316"/>
    <hyperlink r:id="rId4099" ref="C4317"/>
    <hyperlink r:id="rId4100" ref="C4318"/>
    <hyperlink r:id="rId4101" ref="C4319"/>
    <hyperlink r:id="rId4102" ref="C4320"/>
    <hyperlink r:id="rId4103" ref="C4321"/>
    <hyperlink r:id="rId4104" ref="C4322"/>
    <hyperlink r:id="rId4105" ref="C4323"/>
    <hyperlink r:id="rId4106" ref="C4324"/>
    <hyperlink r:id="rId4107" ref="C4325"/>
    <hyperlink r:id="rId4108" ref="C4326"/>
    <hyperlink r:id="rId4109" ref="C4327"/>
    <hyperlink r:id="rId4110" ref="C4328"/>
    <hyperlink r:id="rId4111" ref="C4329"/>
    <hyperlink r:id="rId4112" ref="C4330"/>
    <hyperlink r:id="rId4113" ref="C4331"/>
    <hyperlink r:id="rId4114" ref="C4332"/>
    <hyperlink r:id="rId4115" ref="C4333"/>
    <hyperlink r:id="rId4116" ref="C4334"/>
    <hyperlink r:id="rId4117" ref="C4335"/>
    <hyperlink r:id="rId4118" ref="C4336"/>
    <hyperlink r:id="rId4119" ref="C4337"/>
    <hyperlink r:id="rId4120" ref="C4338"/>
    <hyperlink r:id="rId4121" ref="C4339"/>
    <hyperlink r:id="rId4122" ref="C4340"/>
    <hyperlink r:id="rId4123" ref="C4341"/>
    <hyperlink r:id="rId4124" ref="C4342"/>
    <hyperlink r:id="rId4125" ref="C4343"/>
    <hyperlink r:id="rId4126" ref="C4344"/>
    <hyperlink r:id="rId4127" ref="C4345"/>
    <hyperlink r:id="rId4128" ref="C4346"/>
    <hyperlink r:id="rId4129" ref="C4347"/>
    <hyperlink r:id="rId4130" ref="C4348"/>
    <hyperlink r:id="rId4131" ref="C4349"/>
    <hyperlink r:id="rId4132" ref="C4350"/>
    <hyperlink r:id="rId4133" ref="C4351"/>
    <hyperlink r:id="rId4134" ref="C4352"/>
    <hyperlink r:id="rId4135" ref="C4353"/>
    <hyperlink r:id="rId4136" ref="C4354"/>
    <hyperlink r:id="rId4137" ref="C4355"/>
    <hyperlink r:id="rId4138" ref="C4356"/>
    <hyperlink r:id="rId4139" ref="C4357"/>
    <hyperlink r:id="rId4140" ref="C4358"/>
    <hyperlink r:id="rId4141" ref="C4359"/>
    <hyperlink r:id="rId4142" ref="C4360"/>
    <hyperlink r:id="rId4143" ref="C4361"/>
    <hyperlink r:id="rId4144" ref="C4362"/>
    <hyperlink r:id="rId4145" ref="C4363"/>
    <hyperlink r:id="rId4146" ref="C4364"/>
    <hyperlink r:id="rId4147" ref="C4365"/>
    <hyperlink r:id="rId4148" ref="C4366"/>
    <hyperlink r:id="rId4149" ref="C4367"/>
    <hyperlink r:id="rId4150" ref="C4368"/>
    <hyperlink r:id="rId4151" ref="C4369"/>
    <hyperlink r:id="rId4152" ref="C4370"/>
    <hyperlink r:id="rId4153" ref="C4371"/>
    <hyperlink r:id="rId4154" ref="C4372"/>
    <hyperlink r:id="rId4155" ref="C4373"/>
    <hyperlink r:id="rId4156" ref="C4374"/>
    <hyperlink r:id="rId4157" ref="C4375"/>
    <hyperlink r:id="rId4158" ref="C4376"/>
    <hyperlink r:id="rId4159" ref="C4377"/>
    <hyperlink r:id="rId4160" ref="C4378"/>
    <hyperlink r:id="rId4161" ref="C4379"/>
    <hyperlink r:id="rId4162" ref="C4380"/>
    <hyperlink r:id="rId4163" ref="C4381"/>
    <hyperlink r:id="rId4164" ref="C4382"/>
    <hyperlink r:id="rId4165" ref="C4383"/>
    <hyperlink r:id="rId4166" ref="C4384"/>
    <hyperlink r:id="rId4167" ref="C4385"/>
    <hyperlink r:id="rId4168" ref="C4386"/>
    <hyperlink r:id="rId4169" ref="C4387"/>
    <hyperlink r:id="rId4170" ref="C4388"/>
    <hyperlink r:id="rId4171" ref="C4389"/>
    <hyperlink r:id="rId4172" ref="C4390"/>
    <hyperlink r:id="rId4173" ref="C4391"/>
    <hyperlink r:id="rId4174" ref="C4392"/>
    <hyperlink r:id="rId4175" ref="C4393"/>
    <hyperlink r:id="rId4176" ref="C4394"/>
    <hyperlink r:id="rId4177" ref="C4395"/>
    <hyperlink r:id="rId4178" ref="C4396"/>
    <hyperlink r:id="rId4179" ref="C4397"/>
    <hyperlink r:id="rId4180" ref="C4398"/>
    <hyperlink r:id="rId4181" ref="C4399"/>
    <hyperlink r:id="rId4182" ref="C4400"/>
    <hyperlink r:id="rId4183" ref="C4401"/>
    <hyperlink r:id="rId4184" ref="C4402"/>
    <hyperlink r:id="rId4185" ref="C4403"/>
    <hyperlink r:id="rId4186" ref="C4404"/>
    <hyperlink r:id="rId4187" ref="C4405"/>
    <hyperlink r:id="rId4188" ref="C4406"/>
    <hyperlink r:id="rId4189" ref="C4407"/>
    <hyperlink r:id="rId4190" ref="C4408"/>
    <hyperlink r:id="rId4191" ref="C4409"/>
    <hyperlink r:id="rId4192" ref="C4410"/>
    <hyperlink r:id="rId4193" ref="C4411"/>
    <hyperlink r:id="rId4194" ref="C4412"/>
    <hyperlink r:id="rId4195" ref="C4413"/>
    <hyperlink r:id="rId4196" ref="C4414"/>
    <hyperlink r:id="rId4197" ref="C4415"/>
    <hyperlink r:id="rId4198" ref="C4416"/>
    <hyperlink r:id="rId4199" ref="C4417"/>
    <hyperlink r:id="rId4200" ref="C4418"/>
    <hyperlink r:id="rId4201" ref="C4419"/>
    <hyperlink r:id="rId4202" ref="C4420"/>
    <hyperlink r:id="rId4203" ref="C4421"/>
    <hyperlink r:id="rId4204" ref="C4422"/>
    <hyperlink r:id="rId4205" ref="C4423"/>
    <hyperlink r:id="rId4206" ref="C4424"/>
    <hyperlink r:id="rId4207" ref="C4425"/>
    <hyperlink r:id="rId4208" ref="C4426"/>
    <hyperlink r:id="rId4209" ref="C4427"/>
    <hyperlink r:id="rId4210" ref="C4428"/>
    <hyperlink r:id="rId4211" ref="C4429"/>
    <hyperlink r:id="rId4212" ref="C4430"/>
    <hyperlink r:id="rId4213" ref="C4431"/>
    <hyperlink r:id="rId4214" ref="C4432"/>
    <hyperlink r:id="rId4215" ref="C4433"/>
    <hyperlink r:id="rId4216" ref="C4434"/>
    <hyperlink r:id="rId4217" ref="C4435"/>
    <hyperlink r:id="rId4218" ref="C4436"/>
    <hyperlink r:id="rId4219" ref="C4437"/>
    <hyperlink r:id="rId4220" ref="C4438"/>
    <hyperlink r:id="rId4221" ref="C4439"/>
    <hyperlink r:id="rId4222" ref="C4440"/>
    <hyperlink r:id="rId4223" ref="C4441"/>
    <hyperlink r:id="rId4224" ref="C4442"/>
    <hyperlink r:id="rId4225" ref="C4443"/>
    <hyperlink r:id="rId4226" ref="C4444"/>
    <hyperlink r:id="rId4227" ref="C4445"/>
    <hyperlink r:id="rId4228" ref="C4446"/>
    <hyperlink r:id="rId4229" ref="C4447"/>
    <hyperlink r:id="rId4230" ref="C4448"/>
    <hyperlink r:id="rId4231" ref="C4449"/>
    <hyperlink r:id="rId4232" ref="C4450"/>
    <hyperlink r:id="rId4233" ref="C4451"/>
    <hyperlink r:id="rId4234" ref="C4452"/>
    <hyperlink r:id="rId4235" ref="C4453"/>
    <hyperlink r:id="rId4236" ref="C4454"/>
    <hyperlink r:id="rId4237" ref="C4455"/>
    <hyperlink r:id="rId4238" ref="C4456"/>
    <hyperlink r:id="rId4239" ref="C4457"/>
    <hyperlink r:id="rId4240" ref="C4458"/>
    <hyperlink r:id="rId4241" ref="C4459"/>
    <hyperlink r:id="rId4242" ref="C4460"/>
    <hyperlink r:id="rId4243" ref="C4461"/>
    <hyperlink r:id="rId4244" ref="C4462"/>
    <hyperlink r:id="rId4245" ref="C4463"/>
    <hyperlink r:id="rId4246" ref="C4464"/>
    <hyperlink r:id="rId4247" ref="C4465"/>
    <hyperlink r:id="rId4248" ref="C4466"/>
    <hyperlink r:id="rId4249" ref="C4467"/>
    <hyperlink r:id="rId4250" ref="C4468"/>
    <hyperlink r:id="rId4251" ref="C4469"/>
    <hyperlink r:id="rId4252" ref="C4470"/>
    <hyperlink r:id="rId4253" ref="C4471"/>
    <hyperlink r:id="rId4254" ref="C4472"/>
    <hyperlink r:id="rId4255" ref="C4473"/>
    <hyperlink r:id="rId4256" ref="C4474"/>
    <hyperlink r:id="rId4257" ref="C4475"/>
    <hyperlink r:id="rId4258" ref="C4476"/>
    <hyperlink r:id="rId4259" ref="C4477"/>
    <hyperlink r:id="rId4260" ref="C4478"/>
    <hyperlink r:id="rId4261" ref="C4479"/>
    <hyperlink r:id="rId4262" ref="C4480"/>
    <hyperlink r:id="rId4263" ref="C4481"/>
    <hyperlink r:id="rId4264" ref="C4482"/>
    <hyperlink r:id="rId4265" ref="C4483"/>
    <hyperlink r:id="rId4266" ref="C4484"/>
    <hyperlink r:id="rId4267" ref="C4485"/>
    <hyperlink r:id="rId4268" ref="C4486"/>
    <hyperlink r:id="rId4269" ref="C4487"/>
    <hyperlink r:id="rId4270" ref="C4488"/>
    <hyperlink r:id="rId4271" ref="C4489"/>
    <hyperlink r:id="rId4272" ref="C4490"/>
    <hyperlink r:id="rId4273" ref="C4491"/>
    <hyperlink r:id="rId4274" ref="C4492"/>
    <hyperlink r:id="rId4275" ref="C4493"/>
    <hyperlink r:id="rId4276" ref="C4494"/>
    <hyperlink r:id="rId4277" ref="C4495"/>
    <hyperlink r:id="rId4278" ref="C4496"/>
    <hyperlink r:id="rId4279" ref="C4497"/>
    <hyperlink r:id="rId4280" ref="C4498"/>
    <hyperlink r:id="rId4281" ref="C4499"/>
    <hyperlink r:id="rId4282" ref="C4500"/>
    <hyperlink r:id="rId4283" ref="C4501"/>
    <hyperlink r:id="rId4284" ref="C4502"/>
    <hyperlink r:id="rId4285" ref="C4503"/>
    <hyperlink r:id="rId4286" ref="C4504"/>
    <hyperlink r:id="rId4287" ref="C4505"/>
    <hyperlink r:id="rId4288" ref="C4506"/>
    <hyperlink r:id="rId4289" ref="C4507"/>
    <hyperlink r:id="rId4290" ref="C4508"/>
    <hyperlink r:id="rId4291" ref="C4509"/>
    <hyperlink r:id="rId4292" ref="C4510"/>
    <hyperlink r:id="rId4293" ref="C4511"/>
    <hyperlink r:id="rId4294" ref="C4512"/>
    <hyperlink r:id="rId4295" ref="C4513"/>
    <hyperlink r:id="rId4296" ref="C4514"/>
    <hyperlink r:id="rId4297" ref="C4515"/>
    <hyperlink r:id="rId4298" ref="C4516"/>
    <hyperlink r:id="rId4299" ref="C4517"/>
    <hyperlink r:id="rId4300" ref="C4518"/>
    <hyperlink r:id="rId4301" ref="C4519"/>
    <hyperlink r:id="rId4302" ref="C4520"/>
    <hyperlink r:id="rId4303" ref="C4521"/>
    <hyperlink r:id="rId4304" ref="C4522"/>
    <hyperlink r:id="rId4305" ref="C4523"/>
    <hyperlink r:id="rId4306" ref="C4524"/>
    <hyperlink r:id="rId4307" ref="C4525"/>
    <hyperlink r:id="rId4308" ref="C4526"/>
    <hyperlink r:id="rId4309" ref="C4527"/>
    <hyperlink r:id="rId4310" ref="C4528"/>
    <hyperlink r:id="rId4311" ref="C4529"/>
    <hyperlink r:id="rId4312" ref="C4530"/>
    <hyperlink r:id="rId4313" ref="C4531"/>
    <hyperlink r:id="rId4314" ref="C4532"/>
    <hyperlink r:id="rId4315" ref="C4533"/>
    <hyperlink r:id="rId4316" ref="C4534"/>
    <hyperlink r:id="rId4317" ref="C4535"/>
    <hyperlink r:id="rId4318" ref="C4536"/>
    <hyperlink r:id="rId4319" ref="C4537"/>
    <hyperlink r:id="rId4320" ref="C4538"/>
    <hyperlink r:id="rId4321" ref="C4539"/>
    <hyperlink r:id="rId4322" ref="C4540"/>
    <hyperlink r:id="rId4323" ref="C4541"/>
    <hyperlink r:id="rId4324" ref="C4542"/>
    <hyperlink r:id="rId4325" ref="C4543"/>
    <hyperlink r:id="rId4326" ref="C4544"/>
    <hyperlink r:id="rId4327" ref="C4550"/>
    <hyperlink r:id="rId4328" ref="C4551"/>
    <hyperlink r:id="rId4329" ref="C4552"/>
    <hyperlink r:id="rId4330" ref="C4553"/>
    <hyperlink r:id="rId4331" ref="C4554"/>
    <hyperlink r:id="rId4332" ref="C4555"/>
    <hyperlink r:id="rId4333" ref="C4556"/>
    <hyperlink r:id="rId4334" ref="C4557"/>
    <hyperlink r:id="rId4335" ref="C4558"/>
    <hyperlink r:id="rId4336" ref="C4559"/>
    <hyperlink r:id="rId4337" ref="C4560"/>
    <hyperlink r:id="rId4338" ref="C4561"/>
    <hyperlink r:id="rId4339" ref="C4562"/>
    <hyperlink r:id="rId4340" ref="C4563"/>
    <hyperlink r:id="rId4341" ref="C4564"/>
    <hyperlink r:id="rId4342" ref="C4565"/>
    <hyperlink r:id="rId4343" ref="C4566"/>
    <hyperlink r:id="rId4344" ref="C4567"/>
    <hyperlink r:id="rId4345" ref="C4568"/>
    <hyperlink r:id="rId4346" ref="C4569"/>
    <hyperlink r:id="rId4347" ref="C4570"/>
    <hyperlink r:id="rId4348" ref="C4571"/>
    <hyperlink r:id="rId4349" ref="C4572"/>
    <hyperlink r:id="rId4350" ref="C4573"/>
    <hyperlink r:id="rId4351" ref="C4574"/>
    <hyperlink r:id="rId4352" ref="C4575"/>
    <hyperlink r:id="rId4353" ref="C4576"/>
    <hyperlink r:id="rId4354" ref="C4577"/>
    <hyperlink r:id="rId4355" ref="C4578"/>
    <hyperlink r:id="rId4356" ref="C4579"/>
    <hyperlink r:id="rId4357" ref="C4580"/>
    <hyperlink r:id="rId4358" ref="C4581"/>
    <hyperlink r:id="rId4359" ref="C4582"/>
    <hyperlink r:id="rId4360" ref="C4583"/>
    <hyperlink r:id="rId4361" ref="C4584"/>
    <hyperlink r:id="rId4362" ref="C4585"/>
    <hyperlink r:id="rId4363" ref="C4586"/>
    <hyperlink r:id="rId4364" ref="C4587"/>
    <hyperlink r:id="rId4365" ref="C4588"/>
    <hyperlink r:id="rId4366" ref="C4589"/>
    <hyperlink r:id="rId4367" ref="C4590"/>
    <hyperlink r:id="rId4368" ref="C4591"/>
    <hyperlink r:id="rId4369" ref="C4592"/>
    <hyperlink r:id="rId4370" ref="C4593"/>
    <hyperlink r:id="rId4371" ref="C4594"/>
    <hyperlink r:id="rId4372" ref="C4595"/>
    <hyperlink r:id="rId4373" ref="C4596"/>
    <hyperlink r:id="rId4374" ref="C4597"/>
    <hyperlink r:id="rId4375" ref="C4598"/>
    <hyperlink r:id="rId4376" ref="C4599"/>
    <hyperlink r:id="rId4377" ref="C4600"/>
    <hyperlink r:id="rId4378" ref="C4601"/>
    <hyperlink r:id="rId4379" ref="C4602"/>
    <hyperlink r:id="rId4380" ref="C4603"/>
    <hyperlink r:id="rId4381" ref="C4604"/>
    <hyperlink r:id="rId4382" ref="C4605"/>
    <hyperlink r:id="rId4383" ref="C4606"/>
    <hyperlink r:id="rId4384" ref="C4607"/>
    <hyperlink r:id="rId4385" ref="C4608"/>
    <hyperlink r:id="rId4386" ref="C4609"/>
    <hyperlink r:id="rId4387" ref="C4610"/>
    <hyperlink r:id="rId4388" ref="C4611"/>
    <hyperlink r:id="rId4389" ref="C4612"/>
    <hyperlink r:id="rId4390" ref="C4613"/>
    <hyperlink r:id="rId4391" ref="C4614"/>
    <hyperlink r:id="rId4392" ref="C4615"/>
    <hyperlink r:id="rId4393" ref="C4616"/>
    <hyperlink r:id="rId4394" ref="C4617"/>
    <hyperlink r:id="rId4395" ref="C4618"/>
    <hyperlink r:id="rId4396" ref="C4619"/>
    <hyperlink r:id="rId4397" ref="C4620"/>
    <hyperlink r:id="rId4398" ref="C4621"/>
    <hyperlink r:id="rId4399" ref="C4622"/>
    <hyperlink r:id="rId4400" ref="C4623"/>
    <hyperlink r:id="rId4401" ref="C4624"/>
    <hyperlink r:id="rId4402" ref="C4625"/>
    <hyperlink r:id="rId4403" ref="C4626"/>
    <hyperlink r:id="rId4404" ref="C4627"/>
    <hyperlink r:id="rId4405" ref="C4628"/>
    <hyperlink r:id="rId4406" ref="C4629"/>
    <hyperlink r:id="rId4407" ref="C4630"/>
    <hyperlink r:id="rId4408" ref="C4631"/>
    <hyperlink r:id="rId4409" ref="C4632"/>
    <hyperlink r:id="rId4410" ref="C4633"/>
    <hyperlink r:id="rId4411" ref="C4634"/>
    <hyperlink r:id="rId4412" ref="C4635"/>
    <hyperlink r:id="rId4413" ref="C4636"/>
    <hyperlink r:id="rId4414" ref="C4637"/>
    <hyperlink r:id="rId4415" ref="C4638"/>
    <hyperlink r:id="rId4416" ref="C4639"/>
    <hyperlink r:id="rId4417" ref="C4640"/>
    <hyperlink r:id="rId4418" ref="C4641"/>
    <hyperlink r:id="rId4419" ref="C4642"/>
    <hyperlink r:id="rId4420" ref="C4643"/>
    <hyperlink r:id="rId4421" ref="C4644"/>
    <hyperlink r:id="rId4422" ref="C4645"/>
    <hyperlink r:id="rId4423" ref="C4646"/>
    <hyperlink r:id="rId4424" ref="C4647"/>
    <hyperlink r:id="rId4425" ref="C4648"/>
    <hyperlink r:id="rId4426" ref="C4649"/>
    <hyperlink r:id="rId4427" ref="C4650"/>
    <hyperlink r:id="rId4428" ref="C4651"/>
    <hyperlink r:id="rId4429" ref="C4652"/>
    <hyperlink r:id="rId4430" ref="C4653"/>
    <hyperlink r:id="rId4431" ref="C4654"/>
    <hyperlink r:id="rId4432" ref="C4655"/>
    <hyperlink r:id="rId4433" ref="C4656"/>
    <hyperlink r:id="rId4434" ref="C4657"/>
    <hyperlink r:id="rId4435" ref="C4658"/>
    <hyperlink r:id="rId4436" ref="C4659"/>
    <hyperlink r:id="rId4437" ref="C4660"/>
    <hyperlink r:id="rId4438" ref="C4661"/>
    <hyperlink r:id="rId4439" ref="C4662"/>
    <hyperlink r:id="rId4440" ref="C4663"/>
    <hyperlink r:id="rId4441" ref="C4664"/>
    <hyperlink r:id="rId4442" ref="C4665"/>
    <hyperlink r:id="rId4443" ref="C4666"/>
    <hyperlink r:id="rId4444" ref="C4667"/>
    <hyperlink r:id="rId4445" ref="C4670"/>
    <hyperlink r:id="rId4446" ref="C4671"/>
    <hyperlink r:id="rId4447" ref="C4672"/>
    <hyperlink r:id="rId4448" ref="C4673"/>
    <hyperlink r:id="rId4449" ref="C4674"/>
    <hyperlink r:id="rId4450" ref="C4675"/>
    <hyperlink r:id="rId4451" ref="C4676"/>
    <hyperlink r:id="rId4452" ref="C4677"/>
    <hyperlink r:id="rId4453" ref="C4678"/>
    <hyperlink r:id="rId4454" ref="C4679"/>
    <hyperlink r:id="rId4455" ref="C4680"/>
    <hyperlink r:id="rId4456" ref="C4681"/>
    <hyperlink r:id="rId4457" ref="C4682"/>
    <hyperlink r:id="rId4458" ref="C4683"/>
    <hyperlink r:id="rId4459" ref="C4684"/>
    <hyperlink r:id="rId4460" ref="C4685"/>
    <hyperlink r:id="rId4461" ref="C4686"/>
    <hyperlink r:id="rId4462" ref="C4687"/>
    <hyperlink r:id="rId4463" ref="C4688"/>
    <hyperlink r:id="rId4464" ref="C4689"/>
    <hyperlink r:id="rId4465" ref="C4690"/>
    <hyperlink r:id="rId4466" ref="C4691"/>
    <hyperlink r:id="rId4467" ref="C4692"/>
    <hyperlink r:id="rId4468" ref="C4693"/>
    <hyperlink r:id="rId4469" ref="C4694"/>
    <hyperlink r:id="rId4470" ref="C4695"/>
    <hyperlink r:id="rId4471" ref="C4696"/>
    <hyperlink r:id="rId4472" ref="C4697"/>
    <hyperlink r:id="rId4473" ref="C4698"/>
    <hyperlink r:id="rId4474" ref="C4699"/>
    <hyperlink r:id="rId4475" ref="C4700"/>
    <hyperlink r:id="rId4476" ref="C4701"/>
    <hyperlink r:id="rId4477" ref="C4702"/>
    <hyperlink r:id="rId4478" ref="C4703"/>
    <hyperlink r:id="rId4479" ref="C4704"/>
    <hyperlink r:id="rId4480" ref="C4705"/>
    <hyperlink r:id="rId4481" ref="C4706"/>
    <hyperlink r:id="rId4482" ref="C4707"/>
    <hyperlink r:id="rId4483" ref="C4708"/>
    <hyperlink r:id="rId4484" ref="C4709"/>
    <hyperlink r:id="rId4485" ref="C4710"/>
    <hyperlink r:id="rId4486" ref="C4711"/>
    <hyperlink r:id="rId4487" ref="C4712"/>
    <hyperlink r:id="rId4488" ref="C4713"/>
    <hyperlink r:id="rId4489" ref="C4714"/>
    <hyperlink r:id="rId4490" ref="C4715"/>
    <hyperlink r:id="rId4491" ref="C4716"/>
    <hyperlink r:id="rId4492" ref="C4717"/>
    <hyperlink r:id="rId4493" ref="C4718"/>
    <hyperlink r:id="rId4494" ref="C4719"/>
    <hyperlink r:id="rId4495" ref="C4720"/>
    <hyperlink r:id="rId4496" ref="C4721"/>
    <hyperlink r:id="rId4497" ref="C4722"/>
    <hyperlink r:id="rId4498" ref="C4723"/>
    <hyperlink r:id="rId4499" ref="C4724"/>
    <hyperlink r:id="rId4500" ref="C4725"/>
    <hyperlink r:id="rId4501" ref="C4726"/>
    <hyperlink r:id="rId4502" ref="C4727"/>
    <hyperlink r:id="rId4503" ref="C4728"/>
    <hyperlink r:id="rId4504" ref="C4729"/>
    <hyperlink r:id="rId4505" ref="C4730"/>
    <hyperlink r:id="rId4506" ref="C4731"/>
    <hyperlink r:id="rId4507" ref="C4732"/>
    <hyperlink r:id="rId4508" ref="C4733"/>
    <hyperlink r:id="rId4509" ref="C4734"/>
    <hyperlink r:id="rId4510" ref="C4735"/>
    <hyperlink r:id="rId4511" ref="C4736"/>
    <hyperlink r:id="rId4512" ref="C4737"/>
    <hyperlink r:id="rId4513" ref="C4738"/>
    <hyperlink r:id="rId4514" ref="C4739"/>
    <hyperlink r:id="rId4515" ref="C4740"/>
    <hyperlink r:id="rId4516" ref="C4741"/>
    <hyperlink r:id="rId4517" ref="C4742"/>
    <hyperlink r:id="rId4518" ref="C4743"/>
    <hyperlink r:id="rId4519" ref="C4744"/>
    <hyperlink r:id="rId4520" ref="C4745"/>
    <hyperlink r:id="rId4521" ref="C4746"/>
    <hyperlink r:id="rId4522" ref="C4747"/>
    <hyperlink r:id="rId4523" ref="C4748"/>
    <hyperlink r:id="rId4524" ref="C4749"/>
    <hyperlink r:id="rId4525" ref="C4750"/>
    <hyperlink r:id="rId4526" ref="C4751"/>
    <hyperlink r:id="rId4527" ref="C4752"/>
    <hyperlink r:id="rId4528" ref="C4753"/>
    <hyperlink r:id="rId4529" ref="C4754"/>
    <hyperlink r:id="rId4530" ref="C4755"/>
    <hyperlink r:id="rId4531" ref="C4756"/>
    <hyperlink r:id="rId4532" ref="C4757"/>
    <hyperlink r:id="rId4533" ref="C4758"/>
    <hyperlink r:id="rId4534" ref="C4759"/>
    <hyperlink r:id="rId4535" ref="C4760"/>
    <hyperlink r:id="rId4536" ref="C4761"/>
    <hyperlink r:id="rId4537" ref="C4762"/>
    <hyperlink r:id="rId4538" ref="C4763"/>
    <hyperlink r:id="rId4539" ref="C4764"/>
    <hyperlink r:id="rId4540" ref="C4765"/>
    <hyperlink r:id="rId4541" ref="C4766"/>
    <hyperlink r:id="rId4542" ref="C4767"/>
    <hyperlink r:id="rId4543" ref="C4768"/>
    <hyperlink r:id="rId4544" ref="C4769"/>
    <hyperlink r:id="rId4545" ref="C4770"/>
    <hyperlink r:id="rId4546" ref="C4771"/>
    <hyperlink r:id="rId4547" ref="C4772"/>
    <hyperlink r:id="rId4548" ref="C4773"/>
    <hyperlink r:id="rId4549" ref="C4774"/>
    <hyperlink r:id="rId4550" ref="C4775"/>
    <hyperlink r:id="rId4551" ref="C4776"/>
    <hyperlink r:id="rId4552" ref="C4777"/>
    <hyperlink r:id="rId4553" ref="C4778"/>
    <hyperlink r:id="rId4554" ref="C4779"/>
    <hyperlink r:id="rId4555" ref="C4780"/>
    <hyperlink r:id="rId4556" ref="C4781"/>
    <hyperlink r:id="rId4557" ref="C4782"/>
    <hyperlink r:id="rId4558" ref="C4783"/>
    <hyperlink r:id="rId4559" ref="C4784"/>
    <hyperlink r:id="rId4560" ref="C4785"/>
    <hyperlink r:id="rId4561" ref="C4786"/>
    <hyperlink r:id="rId4562" ref="C4787"/>
    <hyperlink r:id="rId4563" ref="C4788"/>
    <hyperlink r:id="rId4564" ref="C4789"/>
    <hyperlink r:id="rId4565" ref="C4790"/>
    <hyperlink r:id="rId4566" ref="C4791"/>
    <hyperlink r:id="rId4567" ref="C4792"/>
    <hyperlink r:id="rId4568" ref="C4793"/>
    <hyperlink r:id="rId4569" ref="C4794"/>
    <hyperlink r:id="rId4570" ref="C4795"/>
    <hyperlink r:id="rId4571" ref="C4796"/>
    <hyperlink r:id="rId4572" ref="C4797"/>
    <hyperlink r:id="rId4573" ref="C4798"/>
    <hyperlink r:id="rId4574" ref="C4799"/>
    <hyperlink r:id="rId4575" ref="C4800"/>
    <hyperlink r:id="rId4576" ref="C4801"/>
    <hyperlink r:id="rId4577" ref="C4802"/>
    <hyperlink r:id="rId4578" ref="C4803"/>
    <hyperlink r:id="rId4579" ref="C4804"/>
    <hyperlink r:id="rId4580" ref="C4805"/>
    <hyperlink r:id="rId4581" ref="C4806"/>
    <hyperlink r:id="rId4582" ref="C4807"/>
    <hyperlink r:id="rId4583" ref="C4808"/>
    <hyperlink r:id="rId4584" ref="C4809"/>
    <hyperlink r:id="rId4585" ref="C4810"/>
    <hyperlink r:id="rId4586" ref="C4811"/>
    <hyperlink r:id="rId4587" ref="C4812"/>
    <hyperlink r:id="rId4588" ref="C4813"/>
    <hyperlink r:id="rId4589" ref="C4814"/>
    <hyperlink r:id="rId4590" ref="C4815"/>
    <hyperlink r:id="rId4591" ref="C4816"/>
    <hyperlink r:id="rId4592" ref="C4817"/>
    <hyperlink r:id="rId4593" ref="C4818"/>
    <hyperlink r:id="rId4594" ref="C4819"/>
    <hyperlink r:id="rId4595" ref="C4820"/>
    <hyperlink r:id="rId4596" ref="C4821"/>
    <hyperlink r:id="rId4597" ref="C4822"/>
    <hyperlink r:id="rId4598" ref="C4823"/>
    <hyperlink r:id="rId4599" ref="C4824"/>
    <hyperlink r:id="rId4600" ref="C4825"/>
    <hyperlink r:id="rId4601" ref="C4826"/>
    <hyperlink r:id="rId4602" ref="C4827"/>
    <hyperlink r:id="rId4603" ref="C4828"/>
    <hyperlink r:id="rId4604" ref="C4829"/>
    <hyperlink r:id="rId4605" ref="C4830"/>
    <hyperlink r:id="rId4606" ref="C4831"/>
    <hyperlink r:id="rId4607" ref="C4832"/>
    <hyperlink r:id="rId4608" ref="C4833"/>
    <hyperlink r:id="rId4609" ref="C4834"/>
    <hyperlink r:id="rId4610" ref="C4835"/>
    <hyperlink r:id="rId4611" ref="C4836"/>
    <hyperlink r:id="rId4612" ref="C4837"/>
    <hyperlink r:id="rId4613" ref="C4838"/>
    <hyperlink r:id="rId4614" ref="C4839"/>
    <hyperlink r:id="rId4615" ref="C4840"/>
    <hyperlink r:id="rId4616" ref="C4841"/>
    <hyperlink r:id="rId4617" ref="C4842"/>
    <hyperlink r:id="rId4618" ref="C4843"/>
    <hyperlink r:id="rId4619" ref="C4844"/>
    <hyperlink r:id="rId4620" ref="C4845"/>
    <hyperlink r:id="rId4621" ref="C4846"/>
    <hyperlink r:id="rId4622" ref="C4847"/>
    <hyperlink r:id="rId4623" ref="C4848"/>
    <hyperlink r:id="rId4624" ref="C4849"/>
    <hyperlink r:id="rId4625" ref="C4850"/>
    <hyperlink r:id="rId4626" ref="C4851"/>
    <hyperlink r:id="rId4627" ref="C4852"/>
    <hyperlink r:id="rId4628" ref="C4853"/>
    <hyperlink r:id="rId4629" ref="C4854"/>
    <hyperlink r:id="rId4630" ref="C4855"/>
    <hyperlink r:id="rId4631" ref="C4856"/>
    <hyperlink r:id="rId4632" ref="C4857"/>
    <hyperlink r:id="rId4633" ref="C4858"/>
    <hyperlink r:id="rId4634" ref="C4859"/>
    <hyperlink r:id="rId4635" ref="C4860"/>
    <hyperlink r:id="rId4636" ref="C4861"/>
    <hyperlink r:id="rId4637" ref="C4862"/>
    <hyperlink r:id="rId4638" ref="C4863"/>
    <hyperlink r:id="rId4639" ref="C4864"/>
    <hyperlink r:id="rId4640" ref="C4865"/>
    <hyperlink r:id="rId4641" ref="C4866"/>
    <hyperlink r:id="rId4642" ref="C4867"/>
    <hyperlink r:id="rId4643" ref="C4868"/>
    <hyperlink r:id="rId4644" ref="C4869"/>
    <hyperlink r:id="rId4645" ref="C4870"/>
    <hyperlink r:id="rId4646" ref="C4871"/>
    <hyperlink r:id="rId4647" ref="C4872"/>
    <hyperlink r:id="rId4648" ref="C4873"/>
    <hyperlink r:id="rId4649" ref="C4874"/>
    <hyperlink r:id="rId4650" ref="C4875"/>
    <hyperlink r:id="rId4651" ref="C4876"/>
    <hyperlink r:id="rId4652" ref="C4877"/>
    <hyperlink r:id="rId4653" ref="C4878"/>
    <hyperlink r:id="rId4654" ref="C4879"/>
    <hyperlink r:id="rId4655" ref="C4880"/>
    <hyperlink r:id="rId4656" ref="C4881"/>
    <hyperlink r:id="rId4657" ref="C4882"/>
    <hyperlink r:id="rId4658" ref="C4883"/>
    <hyperlink r:id="rId4659" ref="C4884"/>
    <hyperlink r:id="rId4660" ref="C4885"/>
    <hyperlink r:id="rId4661" ref="C4886"/>
    <hyperlink r:id="rId4662" ref="C4887"/>
    <hyperlink r:id="rId4663" ref="C4888"/>
    <hyperlink r:id="rId4664" ref="C4889"/>
    <hyperlink r:id="rId4665" ref="C4890"/>
    <hyperlink r:id="rId4666" ref="C4891"/>
    <hyperlink r:id="rId4667" ref="C4892"/>
    <hyperlink r:id="rId4668" ref="C4893"/>
    <hyperlink r:id="rId4669" ref="C4894"/>
    <hyperlink r:id="rId4670" ref="C4895"/>
    <hyperlink r:id="rId4671" ref="C4896"/>
    <hyperlink r:id="rId4672" ref="C4897"/>
    <hyperlink r:id="rId4673" ref="C4898"/>
    <hyperlink r:id="rId4674" ref="C4899"/>
    <hyperlink r:id="rId4675" ref="C4900"/>
    <hyperlink r:id="rId4676" ref="C4901"/>
    <hyperlink r:id="rId4677" ref="C4902"/>
    <hyperlink r:id="rId4678" ref="C4903"/>
    <hyperlink r:id="rId4679" ref="C4904"/>
    <hyperlink r:id="rId4680" ref="C4905"/>
    <hyperlink r:id="rId4681" ref="C4906"/>
    <hyperlink r:id="rId4682" ref="C4907"/>
    <hyperlink r:id="rId4683" ref="C4908"/>
    <hyperlink r:id="rId4684" ref="C4909"/>
    <hyperlink r:id="rId4685" ref="C4910"/>
    <hyperlink r:id="rId4686" ref="C4911"/>
    <hyperlink r:id="rId4687" ref="C4912"/>
    <hyperlink r:id="rId4688" ref="C4913"/>
    <hyperlink r:id="rId4689" ref="C4914"/>
    <hyperlink r:id="rId4690" ref="C4915"/>
    <hyperlink r:id="rId4691" ref="C4916"/>
    <hyperlink r:id="rId4692" ref="C4917"/>
    <hyperlink r:id="rId4693" ref="C4918"/>
    <hyperlink r:id="rId4694" ref="C4919"/>
    <hyperlink r:id="rId4695" ref="C4920"/>
    <hyperlink r:id="rId4696" ref="C4921"/>
    <hyperlink r:id="rId4697" ref="C4922"/>
    <hyperlink r:id="rId4698" ref="C4923"/>
    <hyperlink r:id="rId4699" ref="C4924"/>
    <hyperlink r:id="rId4700" ref="C4925"/>
    <hyperlink r:id="rId4701" ref="C4926"/>
    <hyperlink r:id="rId4702" ref="C4927"/>
    <hyperlink r:id="rId4703" ref="C4928"/>
    <hyperlink r:id="rId4704" ref="C4929"/>
    <hyperlink r:id="rId4705" ref="C4930"/>
    <hyperlink r:id="rId4706" ref="C4931"/>
    <hyperlink r:id="rId4707" ref="C4932"/>
    <hyperlink r:id="rId4708" ref="C4933"/>
    <hyperlink r:id="rId4709" ref="C4934"/>
    <hyperlink r:id="rId4710" ref="C4935"/>
    <hyperlink r:id="rId4711" ref="C4936"/>
    <hyperlink r:id="rId4712" ref="C4937"/>
    <hyperlink r:id="rId4713" ref="C4938"/>
    <hyperlink r:id="rId4714" ref="C4939"/>
    <hyperlink r:id="rId4715" ref="C4940"/>
    <hyperlink r:id="rId4716" ref="C4941"/>
    <hyperlink r:id="rId4717" ref="C4942"/>
    <hyperlink r:id="rId4718" ref="C4943"/>
    <hyperlink r:id="rId4719" ref="C4944"/>
    <hyperlink r:id="rId4720" ref="C4945"/>
    <hyperlink r:id="rId4721" ref="C4946"/>
    <hyperlink r:id="rId4722" ref="C4947"/>
    <hyperlink r:id="rId4723" ref="C4948"/>
    <hyperlink r:id="rId4724" ref="C4949"/>
    <hyperlink r:id="rId4725" ref="C4950"/>
    <hyperlink r:id="rId4726" ref="C4951"/>
    <hyperlink r:id="rId4727" ref="C4952"/>
    <hyperlink r:id="rId4728" ref="C4953"/>
    <hyperlink r:id="rId4729" ref="C4954"/>
    <hyperlink r:id="rId4730" ref="C4955"/>
    <hyperlink r:id="rId4731" ref="C4956"/>
    <hyperlink r:id="rId4732" ref="C4957"/>
    <hyperlink r:id="rId4733" ref="C4958"/>
    <hyperlink r:id="rId4734" ref="C4959"/>
    <hyperlink r:id="rId4735" ref="C4960"/>
    <hyperlink r:id="rId4736" ref="C4961"/>
    <hyperlink r:id="rId4737" ref="C4962"/>
    <hyperlink r:id="rId4738" ref="C4963"/>
    <hyperlink r:id="rId4739" ref="C4964"/>
    <hyperlink r:id="rId4740" ref="C4965"/>
    <hyperlink r:id="rId4741" ref="C4966"/>
    <hyperlink r:id="rId4742" ref="C4967"/>
    <hyperlink r:id="rId4743" ref="C4968"/>
    <hyperlink r:id="rId4744" ref="C4969"/>
    <hyperlink r:id="rId4745" ref="C4970"/>
    <hyperlink r:id="rId4746" ref="C4971"/>
    <hyperlink r:id="rId4747" ref="C4972"/>
    <hyperlink r:id="rId4748" ref="C4973"/>
    <hyperlink r:id="rId4749" ref="C4974"/>
    <hyperlink r:id="rId4750" ref="C4975"/>
    <hyperlink r:id="rId4751" ref="C4976"/>
    <hyperlink r:id="rId4752" ref="C4977"/>
    <hyperlink r:id="rId4753" ref="C4978"/>
    <hyperlink r:id="rId4754" ref="C4979"/>
    <hyperlink r:id="rId4755" ref="C4980"/>
    <hyperlink r:id="rId4756" ref="C4981"/>
    <hyperlink r:id="rId4757" ref="C4982"/>
    <hyperlink r:id="rId4758" ref="C4983"/>
    <hyperlink r:id="rId4759" ref="C4984"/>
    <hyperlink r:id="rId4760" ref="C4985"/>
    <hyperlink r:id="rId4761" ref="C4986"/>
    <hyperlink r:id="rId4762" ref="C4987"/>
    <hyperlink r:id="rId4763" ref="C4988"/>
    <hyperlink r:id="rId4764" ref="C4989"/>
    <hyperlink r:id="rId4765" ref="C4990"/>
    <hyperlink r:id="rId4766" ref="C4991"/>
    <hyperlink r:id="rId4767" ref="C4992"/>
    <hyperlink r:id="rId4768" ref="C4993"/>
    <hyperlink r:id="rId4769" ref="C4994"/>
    <hyperlink r:id="rId4770" ref="C4995"/>
    <hyperlink r:id="rId4771" ref="C4996"/>
    <hyperlink r:id="rId4772" ref="C4997"/>
    <hyperlink r:id="rId4773" ref="C4998"/>
    <hyperlink r:id="rId4774" ref="C4999"/>
    <hyperlink r:id="rId4775" ref="C5000"/>
    <hyperlink r:id="rId4776" ref="C5001"/>
    <hyperlink r:id="rId4777" ref="C5002"/>
    <hyperlink r:id="rId4778" ref="C5003"/>
    <hyperlink r:id="rId4779" ref="C5004"/>
    <hyperlink r:id="rId4780" ref="C5005"/>
    <hyperlink r:id="rId4781" ref="C5006"/>
    <hyperlink r:id="rId4782" ref="C5007"/>
    <hyperlink r:id="rId4783" ref="C5008"/>
    <hyperlink r:id="rId4784" ref="C5009"/>
    <hyperlink r:id="rId4785" ref="C5010"/>
    <hyperlink r:id="rId4786" ref="C5011"/>
    <hyperlink r:id="rId4787" ref="C5012"/>
    <hyperlink r:id="rId4788" ref="C5013"/>
    <hyperlink r:id="rId4789" ref="C5014"/>
    <hyperlink r:id="rId4790" ref="C5015"/>
    <hyperlink r:id="rId4791" ref="C5016"/>
    <hyperlink r:id="rId4792" ref="C5017"/>
    <hyperlink r:id="rId4793" ref="C5018"/>
    <hyperlink r:id="rId4794" ref="C5019"/>
    <hyperlink r:id="rId4795" ref="C5020"/>
    <hyperlink r:id="rId4796" ref="C5021"/>
    <hyperlink r:id="rId4797" ref="C5022"/>
    <hyperlink r:id="rId4798" ref="C5023"/>
    <hyperlink r:id="rId4799" ref="C5024"/>
    <hyperlink r:id="rId4800" ref="C5025"/>
    <hyperlink r:id="rId4801" ref="C5026"/>
    <hyperlink r:id="rId4802" ref="C5027"/>
    <hyperlink r:id="rId4803" ref="C5028"/>
    <hyperlink r:id="rId4804" ref="C5029"/>
    <hyperlink r:id="rId4805" ref="C5030"/>
    <hyperlink r:id="rId4806" ref="C5031"/>
    <hyperlink r:id="rId4807" ref="C5032"/>
    <hyperlink r:id="rId4808" ref="C5033"/>
    <hyperlink r:id="rId4809" ref="C5034"/>
    <hyperlink r:id="rId4810" ref="C5035"/>
    <hyperlink r:id="rId4811" ref="C5036"/>
    <hyperlink r:id="rId4812" ref="C5037"/>
    <hyperlink r:id="rId4813" ref="C5038"/>
    <hyperlink r:id="rId4814" ref="C5039"/>
    <hyperlink r:id="rId4815" ref="C5040"/>
    <hyperlink r:id="rId4816" ref="C5041"/>
    <hyperlink r:id="rId4817" ref="C5042"/>
    <hyperlink r:id="rId4818" ref="C5043"/>
    <hyperlink r:id="rId4819" ref="C5044"/>
    <hyperlink r:id="rId4820" ref="C5045"/>
    <hyperlink r:id="rId4821" ref="C5046"/>
    <hyperlink r:id="rId4822" ref="C5047"/>
    <hyperlink r:id="rId4823" ref="C5048"/>
    <hyperlink r:id="rId4824" ref="C5049"/>
    <hyperlink r:id="rId4825" ref="C5050"/>
    <hyperlink r:id="rId4826" ref="C5051"/>
    <hyperlink r:id="rId4827" ref="C5052"/>
    <hyperlink r:id="rId4828" ref="C5053"/>
    <hyperlink r:id="rId4829" ref="C5054"/>
    <hyperlink r:id="rId4830" ref="C5055"/>
    <hyperlink r:id="rId4831" ref="C5056"/>
    <hyperlink r:id="rId4832" ref="C5057"/>
    <hyperlink r:id="rId4833" ref="C5058"/>
    <hyperlink r:id="rId4834" ref="C5059"/>
    <hyperlink r:id="rId4835" ref="C5060"/>
    <hyperlink r:id="rId4836" ref="C5061"/>
    <hyperlink r:id="rId4837" ref="C5062"/>
    <hyperlink r:id="rId4838" ref="C5063"/>
    <hyperlink r:id="rId4839" ref="C5064"/>
    <hyperlink r:id="rId4840" ref="C5065"/>
    <hyperlink r:id="rId4841" ref="C5066"/>
    <hyperlink r:id="rId4842" ref="C5067"/>
    <hyperlink r:id="rId4843" ref="C5068"/>
    <hyperlink r:id="rId4844" ref="C5069"/>
    <hyperlink r:id="rId4845" ref="C5070"/>
    <hyperlink r:id="rId4846" ref="C5071"/>
    <hyperlink r:id="rId4847" ref="C5072"/>
    <hyperlink r:id="rId4848" ref="C5073"/>
    <hyperlink r:id="rId4849" ref="C5074"/>
    <hyperlink r:id="rId4850" ref="C5075"/>
    <hyperlink r:id="rId4851" ref="C5076"/>
    <hyperlink r:id="rId4852" ref="C5077"/>
    <hyperlink r:id="rId4853" ref="C5078"/>
    <hyperlink r:id="rId4854" ref="C5079"/>
    <hyperlink r:id="rId4855" ref="C5080"/>
    <hyperlink r:id="rId4856" ref="C5081"/>
    <hyperlink r:id="rId4857" ref="C5082"/>
    <hyperlink r:id="rId4858" ref="C5083"/>
    <hyperlink r:id="rId4859" ref="C5084"/>
    <hyperlink r:id="rId4860" ref="C5085"/>
    <hyperlink r:id="rId4861" ref="C5086"/>
    <hyperlink r:id="rId4862" ref="C5087"/>
    <hyperlink r:id="rId4863" ref="C5088"/>
    <hyperlink r:id="rId4864" ref="C5089"/>
    <hyperlink r:id="rId4865" ref="C5090"/>
    <hyperlink r:id="rId4866" ref="C5091"/>
    <hyperlink r:id="rId4867" ref="C5092"/>
    <hyperlink r:id="rId4868" ref="C5093"/>
    <hyperlink r:id="rId4869" ref="C5094"/>
    <hyperlink r:id="rId4870" ref="C5095"/>
    <hyperlink r:id="rId4871" ref="C5096"/>
    <hyperlink r:id="rId4872" ref="C5097"/>
    <hyperlink r:id="rId4873" ref="C5098"/>
    <hyperlink r:id="rId4874" ref="C5099"/>
    <hyperlink r:id="rId4875" ref="C5100"/>
    <hyperlink r:id="rId4876" ref="C5101"/>
    <hyperlink r:id="rId4877" ref="C5102"/>
    <hyperlink r:id="rId4878" ref="C5103"/>
    <hyperlink r:id="rId4879" ref="C5104"/>
    <hyperlink r:id="rId4880" ref="C5105"/>
    <hyperlink r:id="rId4881" ref="C5106"/>
    <hyperlink r:id="rId4882" ref="C5107"/>
    <hyperlink r:id="rId4883" ref="C5108"/>
    <hyperlink r:id="rId4884" ref="C5109"/>
    <hyperlink r:id="rId4885" ref="C5110"/>
    <hyperlink r:id="rId4886" ref="C5111"/>
    <hyperlink r:id="rId4887" ref="C5112"/>
    <hyperlink r:id="rId4888" ref="C5113"/>
    <hyperlink r:id="rId4889" ref="C5114"/>
    <hyperlink r:id="rId4890" ref="C5115"/>
    <hyperlink r:id="rId4891" ref="C5116"/>
    <hyperlink r:id="rId4892" ref="C5117"/>
    <hyperlink r:id="rId4893" ref="C5118"/>
    <hyperlink r:id="rId4894" ref="C5119"/>
    <hyperlink r:id="rId4895" ref="C5120"/>
    <hyperlink r:id="rId4896" ref="C5121"/>
    <hyperlink r:id="rId4897" ref="C5122"/>
    <hyperlink r:id="rId4898" ref="C5123"/>
    <hyperlink r:id="rId4899" ref="C5124"/>
    <hyperlink r:id="rId4900" ref="C5125"/>
    <hyperlink r:id="rId4901" ref="C5126"/>
    <hyperlink r:id="rId4902" ref="C5127"/>
    <hyperlink r:id="rId4903" ref="C5128"/>
    <hyperlink r:id="rId4904" ref="C5129"/>
    <hyperlink r:id="rId4905" ref="C5130"/>
    <hyperlink r:id="rId4906" ref="C5131"/>
    <hyperlink r:id="rId4907" ref="C5132"/>
    <hyperlink r:id="rId4908" ref="C5133"/>
    <hyperlink r:id="rId4909" ref="C5134"/>
    <hyperlink r:id="rId4910" ref="C5135"/>
    <hyperlink r:id="rId4911" ref="C5136"/>
    <hyperlink r:id="rId4912" ref="C5137"/>
    <hyperlink r:id="rId4913" ref="C5138"/>
    <hyperlink r:id="rId4914" ref="C5139"/>
    <hyperlink r:id="rId4915" ref="C5140"/>
    <hyperlink r:id="rId4916" ref="C5141"/>
    <hyperlink r:id="rId4917" ref="C5142"/>
    <hyperlink r:id="rId4918" ref="C5143"/>
    <hyperlink r:id="rId4919" ref="C5144"/>
    <hyperlink r:id="rId4920" ref="C5145"/>
    <hyperlink r:id="rId4921" ref="C5146"/>
    <hyperlink r:id="rId4922" ref="C5147"/>
    <hyperlink r:id="rId4923" ref="C5148"/>
    <hyperlink r:id="rId4924" ref="C5149"/>
    <hyperlink r:id="rId4925" ref="C5150"/>
    <hyperlink r:id="rId4926" ref="C5151"/>
    <hyperlink r:id="rId4927" ref="C5152"/>
    <hyperlink r:id="rId4928" ref="C5153"/>
    <hyperlink r:id="rId4929" ref="C5154"/>
    <hyperlink r:id="rId4930" ref="C5155"/>
    <hyperlink r:id="rId4931" ref="C5156"/>
    <hyperlink r:id="rId4932" ref="C5157"/>
    <hyperlink r:id="rId4933" ref="C5158"/>
    <hyperlink r:id="rId4934" ref="C5159"/>
    <hyperlink r:id="rId4935" ref="C5160"/>
    <hyperlink r:id="rId4936" ref="C5161"/>
    <hyperlink r:id="rId4937" ref="C5162"/>
    <hyperlink r:id="rId4938" ref="C5163"/>
    <hyperlink r:id="rId4939" ref="C5164"/>
    <hyperlink r:id="rId4940" ref="C5165"/>
    <hyperlink r:id="rId4941" ref="C5166"/>
    <hyperlink r:id="rId4942" ref="C5167"/>
    <hyperlink r:id="rId4943" ref="C5168"/>
    <hyperlink r:id="rId4944" ref="C5169"/>
    <hyperlink r:id="rId4945" ref="C5170"/>
    <hyperlink r:id="rId4946" ref="C5171"/>
    <hyperlink r:id="rId4947" ref="C5172"/>
    <hyperlink r:id="rId4948" ref="C5173"/>
    <hyperlink r:id="rId4949" ref="C5174"/>
    <hyperlink r:id="rId4950" ref="C5175"/>
    <hyperlink r:id="rId4951" ref="C5176"/>
    <hyperlink r:id="rId4952" ref="C5177"/>
    <hyperlink r:id="rId4953" ref="C5178"/>
    <hyperlink r:id="rId4954" ref="C5179"/>
    <hyperlink r:id="rId4955" ref="C5180"/>
    <hyperlink r:id="rId4956" ref="C5181"/>
    <hyperlink r:id="rId4957" ref="C5182"/>
    <hyperlink r:id="rId4958" ref="C5183"/>
    <hyperlink r:id="rId4959" ref="C5184"/>
    <hyperlink r:id="rId4960" ref="C5185"/>
    <hyperlink r:id="rId4961" ref="C5186"/>
    <hyperlink r:id="rId4962" ref="C5187"/>
    <hyperlink r:id="rId4963" ref="C5188"/>
    <hyperlink r:id="rId4964" ref="C5189"/>
    <hyperlink r:id="rId4965" ref="C5190"/>
    <hyperlink r:id="rId4966" ref="C5191"/>
    <hyperlink r:id="rId4967" ref="C5192"/>
    <hyperlink r:id="rId4968" ref="C5193"/>
    <hyperlink r:id="rId4969" ref="C5194"/>
    <hyperlink r:id="rId4970" ref="C5195"/>
    <hyperlink r:id="rId4971" ref="C5196"/>
    <hyperlink r:id="rId4972" ref="C5197"/>
    <hyperlink r:id="rId4973" ref="C5198"/>
    <hyperlink r:id="rId4974" ref="C5199"/>
    <hyperlink r:id="rId4975" ref="C5200"/>
    <hyperlink r:id="rId4976" ref="C5201"/>
    <hyperlink r:id="rId4977" ref="C5202"/>
    <hyperlink r:id="rId4978" ref="C5203"/>
    <hyperlink r:id="rId4979" ref="C5204"/>
    <hyperlink r:id="rId4980" ref="C5205"/>
    <hyperlink r:id="rId4981" ref="C5206"/>
    <hyperlink r:id="rId4982" ref="C5208"/>
    <hyperlink r:id="rId4983" ref="C5209"/>
    <hyperlink r:id="rId4984" ref="C5210"/>
    <hyperlink r:id="rId4985" ref="C5211"/>
    <hyperlink r:id="rId4986" ref="C5212"/>
    <hyperlink r:id="rId4987" ref="C5213"/>
    <hyperlink r:id="rId4988" ref="C5214"/>
    <hyperlink r:id="rId4989" ref="C5215"/>
    <hyperlink r:id="rId4990" ref="C5216"/>
    <hyperlink r:id="rId4991" ref="C5217"/>
    <hyperlink r:id="rId4992" ref="C5218"/>
    <hyperlink r:id="rId4993" ref="C5219"/>
    <hyperlink r:id="rId4994" ref="C5220"/>
    <hyperlink r:id="rId4995" ref="C5221"/>
    <hyperlink r:id="rId4996" ref="C5222"/>
    <hyperlink r:id="rId4997" ref="C5223"/>
    <hyperlink r:id="rId4998" ref="C5224"/>
    <hyperlink r:id="rId4999" ref="C5225"/>
    <hyperlink r:id="rId5000" ref="C5226"/>
    <hyperlink r:id="rId5001" ref="C5227"/>
    <hyperlink r:id="rId5002" ref="C5228"/>
    <hyperlink r:id="rId5003" ref="C5229"/>
    <hyperlink r:id="rId5004" ref="C5230"/>
    <hyperlink r:id="rId5005" ref="C5231"/>
    <hyperlink r:id="rId5006" ref="C5232"/>
    <hyperlink r:id="rId5007" ref="C5233"/>
    <hyperlink r:id="rId5008" ref="C5234"/>
    <hyperlink r:id="rId5009" ref="C5235"/>
    <hyperlink r:id="rId5010" ref="C5236"/>
    <hyperlink r:id="rId5011" ref="C5237"/>
    <hyperlink r:id="rId5012" ref="C5238"/>
    <hyperlink r:id="rId5013" ref="C5239"/>
    <hyperlink r:id="rId5014" ref="C5240"/>
    <hyperlink r:id="rId5015" ref="C5241"/>
    <hyperlink r:id="rId5016" ref="C5242"/>
    <hyperlink r:id="rId5017" ref="C5243"/>
    <hyperlink r:id="rId5018" ref="C5244"/>
    <hyperlink r:id="rId5019" ref="C5245"/>
    <hyperlink r:id="rId5020" ref="C5246"/>
    <hyperlink r:id="rId5021" ref="C5247"/>
    <hyperlink r:id="rId5022" ref="C5248"/>
    <hyperlink r:id="rId5023" ref="C5249"/>
    <hyperlink r:id="rId5024" ref="C5250"/>
    <hyperlink r:id="rId5025" ref="C5251"/>
    <hyperlink r:id="rId5026" ref="C5252"/>
    <hyperlink r:id="rId5027" ref="C5253"/>
    <hyperlink r:id="rId5028" ref="C5254"/>
    <hyperlink r:id="rId5029" ref="C5255"/>
    <hyperlink r:id="rId5030" ref="C5256"/>
    <hyperlink r:id="rId5031" ref="C5257"/>
    <hyperlink r:id="rId5032" ref="C5258"/>
    <hyperlink r:id="rId5033" ref="C5259"/>
    <hyperlink r:id="rId5034" ref="C5260"/>
    <hyperlink r:id="rId5035" ref="C5261"/>
    <hyperlink r:id="rId5036" ref="C5262"/>
    <hyperlink r:id="rId5037" ref="C5263"/>
    <hyperlink r:id="rId5038" ref="C5264"/>
    <hyperlink r:id="rId5039" ref="C5265"/>
    <hyperlink r:id="rId5040" ref="C5266"/>
    <hyperlink r:id="rId5041" ref="C5267"/>
    <hyperlink r:id="rId5042" ref="C5268"/>
    <hyperlink r:id="rId5043" ref="C5269"/>
    <hyperlink r:id="rId5044" ref="C5270"/>
    <hyperlink r:id="rId5045" ref="C5271"/>
    <hyperlink r:id="rId5046" ref="C5272"/>
    <hyperlink r:id="rId5047" ref="C5273"/>
    <hyperlink r:id="rId5048" ref="C5274"/>
    <hyperlink r:id="rId5049" ref="C5275"/>
    <hyperlink r:id="rId5050" ref="C5276"/>
    <hyperlink r:id="rId5051" ref="C5277"/>
    <hyperlink r:id="rId5052" ref="C5278"/>
    <hyperlink r:id="rId5053" ref="C5279"/>
    <hyperlink r:id="rId5054" ref="C5280"/>
    <hyperlink r:id="rId5055" ref="C5281"/>
    <hyperlink r:id="rId5056" ref="C5282"/>
    <hyperlink r:id="rId5057" ref="C5283"/>
    <hyperlink r:id="rId5058" ref="C5284"/>
    <hyperlink r:id="rId5059" ref="C5285"/>
    <hyperlink r:id="rId5060" ref="C5286"/>
    <hyperlink r:id="rId5061" ref="C5287"/>
    <hyperlink r:id="rId5062" ref="C5288"/>
    <hyperlink r:id="rId5063" ref="C5289"/>
    <hyperlink r:id="rId5064" ref="C5290"/>
    <hyperlink r:id="rId5065" ref="C5291"/>
    <hyperlink r:id="rId5066" ref="C5292"/>
    <hyperlink r:id="rId5067" ref="C5293"/>
    <hyperlink r:id="rId5068" ref="C5294"/>
    <hyperlink r:id="rId5069" ref="C5295"/>
    <hyperlink r:id="rId5070" ref="C5296"/>
    <hyperlink r:id="rId5071" ref="C5297"/>
    <hyperlink r:id="rId5072" ref="C5298"/>
    <hyperlink r:id="rId5073" ref="C5299"/>
    <hyperlink r:id="rId5074" ref="C5300"/>
    <hyperlink r:id="rId5075" ref="C5301"/>
    <hyperlink r:id="rId5076" ref="C5302"/>
    <hyperlink r:id="rId5077" ref="C5303"/>
    <hyperlink r:id="rId5078" ref="C5304"/>
    <hyperlink r:id="rId5079" ref="C5305"/>
    <hyperlink r:id="rId5080" ref="C5306"/>
    <hyperlink r:id="rId5081" ref="C5307"/>
    <hyperlink r:id="rId5082" ref="C5308"/>
    <hyperlink r:id="rId5083" ref="C5309"/>
    <hyperlink r:id="rId5084" ref="C5310"/>
    <hyperlink r:id="rId5085" ref="C5311"/>
    <hyperlink r:id="rId5086" ref="C5312"/>
    <hyperlink r:id="rId5087" ref="C5313"/>
    <hyperlink r:id="rId5088" ref="C5314"/>
  </hyperlinks>
  <drawing r:id="rId508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5.75"/>
  </cols>
  <sheetData>
    <row r="1">
      <c r="A1" s="9" t="s">
        <v>28421</v>
      </c>
      <c r="B1" s="9" t="s">
        <v>28422</v>
      </c>
      <c r="C1" s="9" t="s">
        <v>12275</v>
      </c>
    </row>
    <row r="2">
      <c r="A2" s="9" t="s">
        <v>28438</v>
      </c>
      <c r="B2" s="8" t="s">
        <v>28439</v>
      </c>
      <c r="C2" s="9" t="s">
        <v>3515</v>
      </c>
    </row>
    <row r="3">
      <c r="A3" s="9" t="s">
        <v>28440</v>
      </c>
      <c r="B3" s="8" t="s">
        <v>28441</v>
      </c>
      <c r="C3" s="9" t="s">
        <v>3515</v>
      </c>
    </row>
    <row r="4">
      <c r="A4" s="9" t="s">
        <v>28466</v>
      </c>
      <c r="B4" s="8" t="s">
        <v>28467</v>
      </c>
      <c r="C4" s="9" t="s">
        <v>1260</v>
      </c>
    </row>
    <row r="5">
      <c r="A5" s="9" t="s">
        <v>28468</v>
      </c>
      <c r="B5" s="8" t="s">
        <v>28469</v>
      </c>
      <c r="C5" s="9" t="s">
        <v>1260</v>
      </c>
    </row>
    <row r="6">
      <c r="A6" s="9" t="s">
        <v>28470</v>
      </c>
      <c r="B6" s="8" t="s">
        <v>28471</v>
      </c>
      <c r="C6" s="9" t="s">
        <v>1260</v>
      </c>
    </row>
    <row r="7">
      <c r="A7" s="9" t="s">
        <v>28496</v>
      </c>
      <c r="B7" s="8" t="s">
        <v>28497</v>
      </c>
      <c r="C7" s="9" t="s">
        <v>8312</v>
      </c>
    </row>
    <row r="8">
      <c r="A8" s="9" t="s">
        <v>28500</v>
      </c>
      <c r="B8" s="8" t="s">
        <v>28501</v>
      </c>
      <c r="C8" s="9" t="s">
        <v>3945</v>
      </c>
    </row>
    <row r="9">
      <c r="A9" s="9" t="s">
        <v>28502</v>
      </c>
      <c r="B9" s="8" t="s">
        <v>28503</v>
      </c>
      <c r="C9" s="9" t="s">
        <v>3945</v>
      </c>
    </row>
    <row r="10">
      <c r="A10" s="9" t="s">
        <v>28508</v>
      </c>
      <c r="B10" s="8" t="s">
        <v>28509</v>
      </c>
      <c r="C10" s="9" t="s">
        <v>8468</v>
      </c>
    </row>
    <row r="11">
      <c r="A11" s="9" t="s">
        <v>28514</v>
      </c>
      <c r="B11" s="8" t="s">
        <v>28515</v>
      </c>
      <c r="C11" s="9" t="s">
        <v>4176</v>
      </c>
    </row>
    <row r="12">
      <c r="A12" s="9" t="s">
        <v>28516</v>
      </c>
      <c r="B12" s="8" t="s">
        <v>28517</v>
      </c>
      <c r="C12" s="9" t="s">
        <v>4176</v>
      </c>
    </row>
    <row r="13">
      <c r="A13" s="9" t="s">
        <v>28518</v>
      </c>
      <c r="B13" s="8" t="s">
        <v>28519</v>
      </c>
      <c r="C13" s="9" t="s">
        <v>8011</v>
      </c>
    </row>
    <row r="14">
      <c r="A14" s="9" t="s">
        <v>28520</v>
      </c>
      <c r="B14" s="8" t="s">
        <v>28521</v>
      </c>
      <c r="C14" s="9" t="s">
        <v>8011</v>
      </c>
    </row>
    <row r="15">
      <c r="A15" s="9" t="s">
        <v>28522</v>
      </c>
      <c r="B15" s="8" t="s">
        <v>28523</v>
      </c>
      <c r="C15" s="9" t="s">
        <v>8011</v>
      </c>
    </row>
    <row r="16">
      <c r="A16" s="9" t="s">
        <v>28524</v>
      </c>
      <c r="B16" s="8" t="s">
        <v>28525</v>
      </c>
      <c r="C16" s="9" t="s">
        <v>3368</v>
      </c>
    </row>
    <row r="17">
      <c r="A17" s="9" t="s">
        <v>28526</v>
      </c>
      <c r="B17" s="8" t="s">
        <v>28527</v>
      </c>
      <c r="C17" s="9" t="s">
        <v>3368</v>
      </c>
    </row>
    <row r="18">
      <c r="A18" s="9" t="s">
        <v>28558</v>
      </c>
      <c r="B18" s="8" t="s">
        <v>28559</v>
      </c>
      <c r="C18" s="9" t="s">
        <v>2029</v>
      </c>
    </row>
    <row r="19">
      <c r="A19" s="9" t="s">
        <v>28560</v>
      </c>
      <c r="B19" s="8" t="s">
        <v>28561</v>
      </c>
      <c r="C19" s="9" t="s">
        <v>2029</v>
      </c>
    </row>
    <row r="20">
      <c r="A20" s="9" t="s">
        <v>28562</v>
      </c>
      <c r="B20" s="8" t="s">
        <v>28563</v>
      </c>
      <c r="C20" s="9" t="s">
        <v>2029</v>
      </c>
    </row>
    <row r="21">
      <c r="A21" s="9" t="s">
        <v>28564</v>
      </c>
      <c r="B21" s="8" t="s">
        <v>28565</v>
      </c>
      <c r="C21" s="9" t="s">
        <v>2029</v>
      </c>
    </row>
    <row r="22">
      <c r="A22" s="9" t="s">
        <v>28596</v>
      </c>
      <c r="B22" s="8" t="s">
        <v>28597</v>
      </c>
      <c r="C22" s="9" t="s">
        <v>266</v>
      </c>
    </row>
    <row r="23">
      <c r="A23" s="9" t="s">
        <v>28617</v>
      </c>
      <c r="B23" s="8" t="s">
        <v>28618</v>
      </c>
      <c r="C23" s="9" t="s">
        <v>10023</v>
      </c>
    </row>
    <row r="24">
      <c r="A24" s="9" t="s">
        <v>28619</v>
      </c>
      <c r="B24" s="8" t="s">
        <v>28620</v>
      </c>
      <c r="C24" s="9" t="s">
        <v>10023</v>
      </c>
    </row>
    <row r="25">
      <c r="A25" s="9" t="s">
        <v>28621</v>
      </c>
      <c r="B25" s="8" t="s">
        <v>28622</v>
      </c>
      <c r="C25" s="9" t="s">
        <v>10023</v>
      </c>
    </row>
    <row r="26">
      <c r="A26" s="9" t="s">
        <v>28623</v>
      </c>
      <c r="B26" s="8" t="s">
        <v>28624</v>
      </c>
      <c r="C26" s="9" t="s">
        <v>10023</v>
      </c>
    </row>
    <row r="27">
      <c r="A27" s="9" t="s">
        <v>28625</v>
      </c>
      <c r="B27" s="8" t="s">
        <v>28626</v>
      </c>
      <c r="C27" s="9" t="s">
        <v>10023</v>
      </c>
    </row>
    <row r="28">
      <c r="A28" s="9" t="s">
        <v>28627</v>
      </c>
      <c r="B28" s="8" t="s">
        <v>28628</v>
      </c>
      <c r="C28" s="9" t="s">
        <v>9268</v>
      </c>
    </row>
    <row r="29">
      <c r="A29" s="9" t="s">
        <v>28629</v>
      </c>
      <c r="B29" s="8" t="s">
        <v>28630</v>
      </c>
      <c r="C29" s="9" t="s">
        <v>9268</v>
      </c>
    </row>
    <row r="30">
      <c r="A30" s="9" t="s">
        <v>28631</v>
      </c>
      <c r="B30" s="8" t="s">
        <v>28632</v>
      </c>
      <c r="C30" s="9" t="s">
        <v>9268</v>
      </c>
    </row>
    <row r="31">
      <c r="A31" s="9" t="s">
        <v>28633</v>
      </c>
      <c r="B31" s="8" t="s">
        <v>28634</v>
      </c>
      <c r="C31" s="9" t="s">
        <v>9268</v>
      </c>
    </row>
    <row r="32">
      <c r="A32" s="9" t="s">
        <v>28635</v>
      </c>
      <c r="B32" s="8" t="s">
        <v>28636</v>
      </c>
      <c r="C32" s="9" t="s">
        <v>9268</v>
      </c>
    </row>
    <row r="33">
      <c r="A33" s="9" t="s">
        <v>28637</v>
      </c>
      <c r="B33" s="8" t="s">
        <v>28638</v>
      </c>
      <c r="C33" s="9" t="s">
        <v>10079</v>
      </c>
    </row>
    <row r="34">
      <c r="A34" s="9" t="s">
        <v>28639</v>
      </c>
      <c r="B34" s="8" t="s">
        <v>28640</v>
      </c>
      <c r="C34" s="9" t="s">
        <v>10079</v>
      </c>
    </row>
    <row r="35">
      <c r="A35" s="9" t="s">
        <v>28641</v>
      </c>
      <c r="B35" s="8" t="s">
        <v>28642</v>
      </c>
      <c r="C35" s="9" t="s">
        <v>10079</v>
      </c>
    </row>
    <row r="36">
      <c r="A36" s="9" t="s">
        <v>28919</v>
      </c>
      <c r="B36" s="8" t="s">
        <v>28920</v>
      </c>
      <c r="C36" s="9" t="s">
        <v>2193</v>
      </c>
    </row>
    <row r="37">
      <c r="A37" s="9" t="s">
        <v>28921</v>
      </c>
      <c r="B37" s="8" t="s">
        <v>28922</v>
      </c>
      <c r="C37" s="9" t="s">
        <v>2193</v>
      </c>
    </row>
    <row r="38">
      <c r="A38" s="9" t="s">
        <v>28923</v>
      </c>
      <c r="B38" s="8" t="s">
        <v>28924</v>
      </c>
      <c r="C38" s="9" t="s">
        <v>2193</v>
      </c>
    </row>
    <row r="39">
      <c r="A39" s="9" t="s">
        <v>28925</v>
      </c>
      <c r="B39" s="8" t="s">
        <v>28926</v>
      </c>
      <c r="C39" s="9" t="s">
        <v>2193</v>
      </c>
    </row>
    <row r="40">
      <c r="A40" s="9">
        <v>7.2593083E7</v>
      </c>
      <c r="B40" s="8" t="s">
        <v>28928</v>
      </c>
      <c r="C40" s="9" t="s">
        <v>2193</v>
      </c>
    </row>
    <row r="41">
      <c r="A41" s="9" t="s">
        <v>28929</v>
      </c>
      <c r="B41" s="8" t="s">
        <v>28930</v>
      </c>
      <c r="C41" s="9" t="s">
        <v>2193</v>
      </c>
    </row>
    <row r="42">
      <c r="A42" s="9" t="s">
        <v>28931</v>
      </c>
      <c r="B42" s="8" t="s">
        <v>28932</v>
      </c>
      <c r="C42" s="9" t="s">
        <v>8568</v>
      </c>
    </row>
    <row r="43">
      <c r="A43" s="9" t="s">
        <v>28933</v>
      </c>
      <c r="B43" s="8" t="s">
        <v>28934</v>
      </c>
      <c r="C43" s="9" t="s">
        <v>8568</v>
      </c>
    </row>
    <row r="44">
      <c r="A44" s="9" t="s">
        <v>28935</v>
      </c>
      <c r="B44" s="8" t="s">
        <v>28936</v>
      </c>
      <c r="C44" s="9" t="s">
        <v>8568</v>
      </c>
    </row>
    <row r="45">
      <c r="A45" s="9" t="s">
        <v>28937</v>
      </c>
      <c r="B45" s="8" t="s">
        <v>28938</v>
      </c>
      <c r="C45" s="9" t="s">
        <v>8568</v>
      </c>
    </row>
    <row r="46">
      <c r="A46" s="9" t="s">
        <v>28939</v>
      </c>
      <c r="B46" s="8" t="s">
        <v>28940</v>
      </c>
      <c r="C46" s="9" t="s">
        <v>8568</v>
      </c>
    </row>
    <row r="47">
      <c r="A47" s="9" t="s">
        <v>28941</v>
      </c>
      <c r="B47" s="8" t="s">
        <v>28942</v>
      </c>
      <c r="C47" s="9" t="s">
        <v>8568</v>
      </c>
    </row>
    <row r="48">
      <c r="A48" s="9" t="s">
        <v>28943</v>
      </c>
      <c r="B48" s="8" t="s">
        <v>28944</v>
      </c>
      <c r="C48" s="9" t="s">
        <v>8568</v>
      </c>
    </row>
    <row r="49">
      <c r="A49" s="9" t="s">
        <v>28945</v>
      </c>
      <c r="B49" s="8" t="s">
        <v>28946</v>
      </c>
      <c r="C49" s="9" t="s">
        <v>8568</v>
      </c>
    </row>
    <row r="50">
      <c r="A50" s="9" t="s">
        <v>29041</v>
      </c>
      <c r="B50" s="8" t="s">
        <v>29042</v>
      </c>
      <c r="C50" s="9" t="s">
        <v>10725</v>
      </c>
    </row>
    <row r="51">
      <c r="A51" s="9" t="s">
        <v>29043</v>
      </c>
      <c r="B51" s="8" t="s">
        <v>29044</v>
      </c>
      <c r="C51" s="9" t="s">
        <v>10725</v>
      </c>
    </row>
    <row r="52">
      <c r="A52" s="9" t="s">
        <v>29045</v>
      </c>
      <c r="B52" s="8" t="s">
        <v>29046</v>
      </c>
      <c r="C52" s="9" t="s">
        <v>10725</v>
      </c>
    </row>
    <row r="53">
      <c r="A53" s="9" t="s">
        <v>29047</v>
      </c>
      <c r="B53" s="8" t="s">
        <v>29048</v>
      </c>
      <c r="C53" s="9" t="s">
        <v>10725</v>
      </c>
    </row>
    <row r="54">
      <c r="A54" s="9" t="s">
        <v>29049</v>
      </c>
      <c r="B54" s="8" t="s">
        <v>29050</v>
      </c>
      <c r="C54" s="9" t="s">
        <v>10725</v>
      </c>
    </row>
    <row r="55">
      <c r="A55" s="9" t="s">
        <v>29051</v>
      </c>
      <c r="B55" s="8" t="s">
        <v>29052</v>
      </c>
      <c r="C55" s="9" t="s">
        <v>10725</v>
      </c>
    </row>
    <row r="56">
      <c r="A56" s="9" t="s">
        <v>29053</v>
      </c>
      <c r="B56" s="8" t="s">
        <v>29054</v>
      </c>
      <c r="C56" s="9" t="s">
        <v>10725</v>
      </c>
    </row>
    <row r="57">
      <c r="A57" s="9" t="s">
        <v>29055</v>
      </c>
      <c r="B57" s="8" t="s">
        <v>29056</v>
      </c>
      <c r="C57" s="9" t="s">
        <v>10725</v>
      </c>
    </row>
    <row r="58">
      <c r="A58" s="9" t="s">
        <v>29057</v>
      </c>
      <c r="B58" s="8" t="s">
        <v>29058</v>
      </c>
      <c r="C58" s="9" t="s">
        <v>10725</v>
      </c>
    </row>
    <row r="59">
      <c r="A59" s="9" t="s">
        <v>29059</v>
      </c>
      <c r="B59" s="8" t="s">
        <v>29060</v>
      </c>
      <c r="C59" s="9" t="s">
        <v>10725</v>
      </c>
    </row>
    <row r="60">
      <c r="A60" s="9" t="s">
        <v>29061</v>
      </c>
      <c r="B60" s="8" t="s">
        <v>29062</v>
      </c>
      <c r="C60" s="9" t="s">
        <v>10725</v>
      </c>
    </row>
    <row r="61">
      <c r="A61" s="9" t="s">
        <v>29063</v>
      </c>
      <c r="B61" s="8" t="s">
        <v>29064</v>
      </c>
      <c r="C61" s="9" t="s">
        <v>10725</v>
      </c>
    </row>
    <row r="62">
      <c r="A62" s="9" t="s">
        <v>29065</v>
      </c>
      <c r="B62" s="8" t="s">
        <v>29066</v>
      </c>
      <c r="C62" s="9" t="s">
        <v>10725</v>
      </c>
    </row>
    <row r="63">
      <c r="A63" s="9" t="s">
        <v>29135</v>
      </c>
      <c r="B63" s="8" t="s">
        <v>29136</v>
      </c>
      <c r="C63" s="9" t="s">
        <v>10603</v>
      </c>
    </row>
    <row r="64">
      <c r="A64" s="9" t="s">
        <v>29138</v>
      </c>
      <c r="B64" s="8" t="s">
        <v>29139</v>
      </c>
      <c r="C64" s="9" t="s">
        <v>10603</v>
      </c>
    </row>
    <row r="65">
      <c r="A65" s="9" t="s">
        <v>29141</v>
      </c>
      <c r="B65" s="8" t="s">
        <v>29142</v>
      </c>
      <c r="C65" s="9" t="s">
        <v>10603</v>
      </c>
    </row>
    <row r="66">
      <c r="A66" s="9" t="s">
        <v>29144</v>
      </c>
      <c r="B66" s="8" t="s">
        <v>29145</v>
      </c>
      <c r="C66" s="9" t="s">
        <v>10603</v>
      </c>
    </row>
    <row r="67">
      <c r="A67" s="9" t="s">
        <v>29147</v>
      </c>
      <c r="B67" s="8" t="s">
        <v>29148</v>
      </c>
      <c r="C67" s="9" t="s">
        <v>10603</v>
      </c>
    </row>
    <row r="68">
      <c r="A68" s="9" t="s">
        <v>29149</v>
      </c>
      <c r="B68" s="8" t="s">
        <v>29150</v>
      </c>
      <c r="C68" s="9" t="s">
        <v>10603</v>
      </c>
    </row>
    <row r="69">
      <c r="A69" s="9" t="s">
        <v>29152</v>
      </c>
      <c r="B69" s="8" t="s">
        <v>29153</v>
      </c>
      <c r="C69" s="9" t="s">
        <v>10603</v>
      </c>
    </row>
    <row r="70">
      <c r="A70" s="9" t="s">
        <v>29155</v>
      </c>
      <c r="B70" s="8" t="s">
        <v>29156</v>
      </c>
      <c r="C70" s="9" t="s">
        <v>10603</v>
      </c>
    </row>
    <row r="71">
      <c r="A71" s="9" t="s">
        <v>29208</v>
      </c>
      <c r="B71" s="8" t="s">
        <v>29209</v>
      </c>
      <c r="C71" s="9" t="s">
        <v>10740</v>
      </c>
    </row>
    <row r="72">
      <c r="A72" s="9" t="s">
        <v>29210</v>
      </c>
      <c r="B72" s="8" t="s">
        <v>29211</v>
      </c>
      <c r="C72" s="9" t="s">
        <v>10740</v>
      </c>
    </row>
    <row r="73">
      <c r="A73" s="9" t="s">
        <v>29218</v>
      </c>
      <c r="B73" s="8" t="s">
        <v>29219</v>
      </c>
      <c r="C73" s="9" t="s">
        <v>266</v>
      </c>
    </row>
    <row r="74">
      <c r="A74" s="9" t="s">
        <v>29220</v>
      </c>
      <c r="B74" s="8" t="s">
        <v>29221</v>
      </c>
      <c r="C74" s="9" t="s">
        <v>266</v>
      </c>
    </row>
    <row r="75">
      <c r="A75" s="9" t="s">
        <v>29223</v>
      </c>
      <c r="B75" s="8" t="s">
        <v>29224</v>
      </c>
      <c r="C75" s="9" t="s">
        <v>266</v>
      </c>
    </row>
    <row r="76">
      <c r="A76" s="9" t="s">
        <v>29225</v>
      </c>
      <c r="B76" s="8" t="s">
        <v>29226</v>
      </c>
      <c r="C76" s="9" t="s">
        <v>266</v>
      </c>
    </row>
    <row r="77">
      <c r="A77" s="9" t="s">
        <v>29227</v>
      </c>
      <c r="B77" s="8" t="s">
        <v>29228</v>
      </c>
      <c r="C77" s="9" t="s">
        <v>266</v>
      </c>
    </row>
    <row r="78">
      <c r="A78" s="9" t="s">
        <v>29229</v>
      </c>
      <c r="B78" s="8" t="s">
        <v>29230</v>
      </c>
      <c r="C78" s="9" t="s">
        <v>266</v>
      </c>
    </row>
    <row r="79">
      <c r="A79" s="9" t="s">
        <v>29231</v>
      </c>
      <c r="B79" s="8" t="s">
        <v>29232</v>
      </c>
      <c r="C79" s="9" t="s">
        <v>266</v>
      </c>
    </row>
    <row r="80">
      <c r="A80" s="9" t="s">
        <v>29233</v>
      </c>
      <c r="B80" s="8" t="s">
        <v>29234</v>
      </c>
      <c r="C80" s="9" t="s">
        <v>266</v>
      </c>
    </row>
    <row r="81">
      <c r="A81" s="9" t="s">
        <v>29235</v>
      </c>
      <c r="B81" s="8" t="s">
        <v>29236</v>
      </c>
      <c r="C81" s="9" t="s">
        <v>266</v>
      </c>
    </row>
    <row r="82">
      <c r="A82" s="9" t="s">
        <v>29237</v>
      </c>
      <c r="B82" s="8" t="s">
        <v>29238</v>
      </c>
      <c r="C82" s="9" t="s">
        <v>11817</v>
      </c>
    </row>
    <row r="83">
      <c r="A83" s="9" t="s">
        <v>29239</v>
      </c>
      <c r="B83" s="8" t="s">
        <v>29240</v>
      </c>
      <c r="C83" s="9" t="s">
        <v>11817</v>
      </c>
    </row>
    <row r="84">
      <c r="A84" s="9" t="s">
        <v>29241</v>
      </c>
      <c r="B84" s="8" t="s">
        <v>29242</v>
      </c>
      <c r="C84" s="9" t="s">
        <v>11817</v>
      </c>
    </row>
    <row r="85">
      <c r="A85" s="9" t="s">
        <v>29283</v>
      </c>
      <c r="B85" s="8" t="s">
        <v>29284</v>
      </c>
      <c r="C85" s="9" t="s">
        <v>4176</v>
      </c>
    </row>
    <row r="86">
      <c r="A86" s="9" t="s">
        <v>29285</v>
      </c>
      <c r="B86" s="8" t="s">
        <v>29286</v>
      </c>
      <c r="C86" s="9" t="s">
        <v>4176</v>
      </c>
    </row>
    <row r="87">
      <c r="A87" s="9" t="s">
        <v>29287</v>
      </c>
      <c r="B87" s="8" t="s">
        <v>29288</v>
      </c>
      <c r="C87" s="9" t="s">
        <v>4176</v>
      </c>
    </row>
    <row r="88">
      <c r="A88" s="9" t="s">
        <v>29289</v>
      </c>
      <c r="B88" s="8" t="s">
        <v>29290</v>
      </c>
      <c r="C88" s="9" t="s">
        <v>4176</v>
      </c>
    </row>
    <row r="89">
      <c r="A89" s="9" t="s">
        <v>29291</v>
      </c>
      <c r="B89" s="8" t="s">
        <v>29292</v>
      </c>
      <c r="C89" s="9" t="s">
        <v>4176</v>
      </c>
    </row>
    <row r="90">
      <c r="A90" s="9" t="s">
        <v>29293</v>
      </c>
      <c r="B90" s="8" t="s">
        <v>29294</v>
      </c>
      <c r="C90" s="9" t="s">
        <v>4176</v>
      </c>
    </row>
    <row r="91">
      <c r="A91" s="9" t="s">
        <v>29295</v>
      </c>
      <c r="B91" s="8" t="s">
        <v>29296</v>
      </c>
      <c r="C91" s="9" t="s">
        <v>4176</v>
      </c>
    </row>
    <row r="92">
      <c r="A92" s="9" t="s">
        <v>29297</v>
      </c>
      <c r="B92" s="8" t="s">
        <v>29298</v>
      </c>
      <c r="C92" s="9" t="s">
        <v>4176</v>
      </c>
    </row>
    <row r="93">
      <c r="A93" s="9" t="s">
        <v>29299</v>
      </c>
      <c r="B93" s="8" t="s">
        <v>29300</v>
      </c>
      <c r="C93" s="9" t="s">
        <v>4176</v>
      </c>
    </row>
    <row r="94">
      <c r="A94" s="9" t="s">
        <v>29301</v>
      </c>
      <c r="B94" s="8" t="s">
        <v>29302</v>
      </c>
      <c r="C94" s="9" t="s">
        <v>4176</v>
      </c>
    </row>
    <row r="95">
      <c r="A95" s="9" t="s">
        <v>29303</v>
      </c>
      <c r="B95" s="8" t="s">
        <v>29304</v>
      </c>
      <c r="C95" s="9" t="s">
        <v>4176</v>
      </c>
    </row>
    <row r="96">
      <c r="A96" s="9" t="s">
        <v>29305</v>
      </c>
      <c r="B96" s="8" t="s">
        <v>29306</v>
      </c>
      <c r="C96" s="9" t="s">
        <v>4176</v>
      </c>
    </row>
    <row r="97">
      <c r="A97" s="9" t="s">
        <v>29307</v>
      </c>
      <c r="B97" s="8" t="s">
        <v>29308</v>
      </c>
      <c r="C97" s="9" t="s">
        <v>4176</v>
      </c>
    </row>
    <row r="98">
      <c r="A98" s="9" t="s">
        <v>29309</v>
      </c>
      <c r="B98" s="8" t="s">
        <v>29310</v>
      </c>
      <c r="C98" s="9" t="s">
        <v>10711</v>
      </c>
    </row>
    <row r="99">
      <c r="A99" s="9" t="s">
        <v>29311</v>
      </c>
      <c r="B99" s="8" t="s">
        <v>29312</v>
      </c>
      <c r="C99" s="9" t="s">
        <v>10711</v>
      </c>
    </row>
    <row r="100">
      <c r="A100" s="9" t="s">
        <v>29343</v>
      </c>
      <c r="B100" s="8" t="s">
        <v>29344</v>
      </c>
      <c r="C100" s="9" t="s">
        <v>4176</v>
      </c>
    </row>
    <row r="101">
      <c r="A101" s="9" t="s">
        <v>29359</v>
      </c>
      <c r="B101" s="8" t="s">
        <v>29360</v>
      </c>
      <c r="C101" s="9" t="s">
        <v>8306</v>
      </c>
    </row>
    <row r="102">
      <c r="A102" s="9" t="s">
        <v>29361</v>
      </c>
      <c r="B102" s="8" t="s">
        <v>29362</v>
      </c>
      <c r="C102" s="9" t="s">
        <v>8306</v>
      </c>
    </row>
    <row r="103">
      <c r="A103" s="9" t="s">
        <v>29363</v>
      </c>
      <c r="B103" s="8" t="s">
        <v>29364</v>
      </c>
      <c r="C103" s="9" t="s">
        <v>8306</v>
      </c>
    </row>
    <row r="104">
      <c r="A104" s="9" t="s">
        <v>29365</v>
      </c>
      <c r="B104" s="8" t="s">
        <v>29366</v>
      </c>
      <c r="C104" s="9" t="s">
        <v>8306</v>
      </c>
    </row>
    <row r="105">
      <c r="A105" s="9" t="s">
        <v>29367</v>
      </c>
      <c r="B105" s="8" t="s">
        <v>29368</v>
      </c>
      <c r="C105" s="9" t="s">
        <v>8306</v>
      </c>
    </row>
    <row r="106">
      <c r="A106" s="9" t="s">
        <v>29369</v>
      </c>
      <c r="B106" s="8" t="s">
        <v>29370</v>
      </c>
      <c r="C106" s="9" t="s">
        <v>8306</v>
      </c>
    </row>
    <row r="107">
      <c r="A107" s="9" t="s">
        <v>29371</v>
      </c>
      <c r="B107" s="8" t="s">
        <v>29372</v>
      </c>
      <c r="C107" s="9" t="s">
        <v>8306</v>
      </c>
    </row>
    <row r="108">
      <c r="A108" s="9" t="s">
        <v>29373</v>
      </c>
      <c r="B108" s="8" t="s">
        <v>29374</v>
      </c>
      <c r="C108" s="9" t="s">
        <v>8306</v>
      </c>
    </row>
    <row r="109">
      <c r="A109" s="9" t="s">
        <v>29441</v>
      </c>
      <c r="B109" s="8" t="s">
        <v>29442</v>
      </c>
      <c r="C109" s="9" t="s">
        <v>7556</v>
      </c>
    </row>
    <row r="110">
      <c r="A110" s="9" t="s">
        <v>29443</v>
      </c>
      <c r="B110" s="8" t="s">
        <v>29444</v>
      </c>
      <c r="C110" s="9" t="s">
        <v>7556</v>
      </c>
    </row>
    <row r="111">
      <c r="A111" s="9" t="s">
        <v>29445</v>
      </c>
      <c r="B111" s="8" t="s">
        <v>29446</v>
      </c>
      <c r="C111" s="9" t="s">
        <v>7556</v>
      </c>
    </row>
    <row r="112">
      <c r="A112" s="9" t="s">
        <v>29465</v>
      </c>
      <c r="B112" s="8" t="s">
        <v>29466</v>
      </c>
      <c r="C112" s="9" t="s">
        <v>7889</v>
      </c>
    </row>
    <row r="113">
      <c r="A113" s="9" t="s">
        <v>29467</v>
      </c>
      <c r="B113" s="8" t="s">
        <v>29468</v>
      </c>
      <c r="C113" s="9" t="s">
        <v>7889</v>
      </c>
    </row>
    <row r="114">
      <c r="A114" s="9">
        <v>6.4433208E7</v>
      </c>
      <c r="B114" s="8" t="s">
        <v>29470</v>
      </c>
      <c r="C114" s="9" t="s">
        <v>7889</v>
      </c>
    </row>
    <row r="115">
      <c r="A115" s="9" t="s">
        <v>29517</v>
      </c>
      <c r="B115" s="8" t="s">
        <v>29518</v>
      </c>
      <c r="C115" s="9" t="s">
        <v>10730</v>
      </c>
    </row>
    <row r="116">
      <c r="A116" s="9" t="s">
        <v>29519</v>
      </c>
      <c r="B116" s="8" t="s">
        <v>29520</v>
      </c>
      <c r="C116" s="9" t="s">
        <v>10730</v>
      </c>
    </row>
    <row r="117">
      <c r="A117" s="9" t="s">
        <v>29521</v>
      </c>
      <c r="B117" s="8" t="s">
        <v>29522</v>
      </c>
      <c r="C117" s="9" t="s">
        <v>10730</v>
      </c>
    </row>
    <row r="118">
      <c r="A118" s="9" t="s">
        <v>29523</v>
      </c>
      <c r="B118" s="8" t="s">
        <v>29524</v>
      </c>
      <c r="C118" s="9" t="s">
        <v>10730</v>
      </c>
    </row>
    <row r="119">
      <c r="A119" s="9" t="s">
        <v>29525</v>
      </c>
      <c r="B119" s="8" t="s">
        <v>29526</v>
      </c>
      <c r="C119" s="9" t="s">
        <v>10730</v>
      </c>
    </row>
    <row r="120">
      <c r="A120" s="9" t="s">
        <v>29527</v>
      </c>
      <c r="B120" s="8" t="s">
        <v>29528</v>
      </c>
      <c r="C120" s="9" t="s">
        <v>10730</v>
      </c>
    </row>
    <row r="121">
      <c r="A121" s="9" t="s">
        <v>29529</v>
      </c>
      <c r="B121" s="8" t="s">
        <v>29530</v>
      </c>
      <c r="C121" s="9" t="s">
        <v>10730</v>
      </c>
    </row>
    <row r="122">
      <c r="A122" s="9" t="s">
        <v>29565</v>
      </c>
      <c r="B122" s="8" t="s">
        <v>29566</v>
      </c>
      <c r="C122" s="9" t="s">
        <v>8948</v>
      </c>
    </row>
    <row r="123">
      <c r="A123" s="9" t="s">
        <v>29567</v>
      </c>
      <c r="B123" s="8" t="s">
        <v>29568</v>
      </c>
      <c r="C123" s="9" t="s">
        <v>8948</v>
      </c>
    </row>
    <row r="124">
      <c r="A124" s="9" t="s">
        <v>29569</v>
      </c>
      <c r="B124" s="8" t="s">
        <v>29570</v>
      </c>
      <c r="C124" s="9" t="s">
        <v>8948</v>
      </c>
    </row>
    <row r="125">
      <c r="A125" s="9" t="s">
        <v>29889</v>
      </c>
      <c r="B125" s="8" t="s">
        <v>29890</v>
      </c>
      <c r="C125" s="9" t="s">
        <v>7219</v>
      </c>
    </row>
    <row r="126">
      <c r="A126" s="9" t="s">
        <v>29891</v>
      </c>
      <c r="B126" s="8" t="s">
        <v>29892</v>
      </c>
      <c r="C126" s="9" t="s">
        <v>7219</v>
      </c>
    </row>
    <row r="127">
      <c r="A127" s="9" t="s">
        <v>29921</v>
      </c>
      <c r="B127" s="8" t="s">
        <v>29922</v>
      </c>
      <c r="C127" s="9" t="s">
        <v>11758</v>
      </c>
    </row>
    <row r="128">
      <c r="A128" s="9" t="s">
        <v>29923</v>
      </c>
      <c r="B128" s="8" t="s">
        <v>29924</v>
      </c>
      <c r="C128" s="9" t="s">
        <v>11758</v>
      </c>
    </row>
    <row r="129">
      <c r="A129" s="9" t="s">
        <v>29925</v>
      </c>
      <c r="B129" s="8" t="s">
        <v>29926</v>
      </c>
      <c r="C129" s="9" t="s">
        <v>11758</v>
      </c>
    </row>
    <row r="130">
      <c r="A130" s="9" t="s">
        <v>29927</v>
      </c>
      <c r="B130" s="8" t="s">
        <v>29928</v>
      </c>
      <c r="C130" s="9" t="s">
        <v>11758</v>
      </c>
    </row>
    <row r="131">
      <c r="A131" s="9" t="s">
        <v>29929</v>
      </c>
      <c r="B131" s="8" t="s">
        <v>29930</v>
      </c>
      <c r="C131" s="9" t="s">
        <v>11758</v>
      </c>
    </row>
    <row r="132">
      <c r="A132" s="9" t="s">
        <v>29931</v>
      </c>
      <c r="B132" s="8" t="s">
        <v>29932</v>
      </c>
      <c r="C132" s="9" t="s">
        <v>11758</v>
      </c>
    </row>
    <row r="133">
      <c r="A133" s="9" t="s">
        <v>29933</v>
      </c>
      <c r="B133" s="8" t="s">
        <v>29934</v>
      </c>
      <c r="C133" s="9" t="s">
        <v>11758</v>
      </c>
    </row>
    <row r="134">
      <c r="A134" s="9" t="s">
        <v>29935</v>
      </c>
      <c r="B134" s="8" t="s">
        <v>29936</v>
      </c>
      <c r="C134" s="9" t="s">
        <v>11758</v>
      </c>
    </row>
    <row r="135">
      <c r="A135" s="9" t="s">
        <v>29937</v>
      </c>
      <c r="B135" s="8" t="s">
        <v>29938</v>
      </c>
      <c r="C135" s="9" t="s">
        <v>11758</v>
      </c>
    </row>
    <row r="136">
      <c r="A136" s="9" t="s">
        <v>29939</v>
      </c>
      <c r="B136" s="8" t="s">
        <v>29940</v>
      </c>
      <c r="C136" s="9" t="s">
        <v>11758</v>
      </c>
    </row>
    <row r="137">
      <c r="A137" s="9" t="s">
        <v>29941</v>
      </c>
      <c r="B137" s="8" t="s">
        <v>29942</v>
      </c>
      <c r="C137" s="9" t="s">
        <v>11758</v>
      </c>
    </row>
    <row r="138">
      <c r="A138" s="9" t="s">
        <v>29943</v>
      </c>
      <c r="B138" s="8" t="s">
        <v>29944</v>
      </c>
      <c r="C138" s="9" t="s">
        <v>11758</v>
      </c>
    </row>
    <row r="139">
      <c r="A139" s="9" t="s">
        <v>29945</v>
      </c>
      <c r="B139" s="8" t="s">
        <v>29946</v>
      </c>
      <c r="C139" s="9" t="s">
        <v>11758</v>
      </c>
    </row>
    <row r="140">
      <c r="A140" s="9" t="s">
        <v>29947</v>
      </c>
      <c r="B140" s="8" t="s">
        <v>29948</v>
      </c>
      <c r="C140" s="9" t="s">
        <v>11758</v>
      </c>
    </row>
    <row r="141">
      <c r="A141" s="9" t="s">
        <v>30019</v>
      </c>
      <c r="B141" s="8" t="s">
        <v>30020</v>
      </c>
      <c r="C141" s="9" t="s">
        <v>1880</v>
      </c>
    </row>
    <row r="142">
      <c r="A142" s="9" t="s">
        <v>30021</v>
      </c>
      <c r="B142" s="8" t="s">
        <v>30022</v>
      </c>
      <c r="C142" s="9" t="s">
        <v>1880</v>
      </c>
    </row>
    <row r="143">
      <c r="A143" s="9" t="s">
        <v>30023</v>
      </c>
      <c r="B143" s="8" t="s">
        <v>30024</v>
      </c>
      <c r="C143" s="9" t="s">
        <v>1880</v>
      </c>
    </row>
    <row r="144">
      <c r="A144" s="9" t="s">
        <v>30091</v>
      </c>
      <c r="B144" s="8" t="s">
        <v>30092</v>
      </c>
      <c r="C144" s="9" t="s">
        <v>4568</v>
      </c>
    </row>
    <row r="145">
      <c r="A145" s="9" t="s">
        <v>30103</v>
      </c>
      <c r="B145" s="8" t="s">
        <v>30104</v>
      </c>
      <c r="C145" s="9" t="s">
        <v>10719</v>
      </c>
    </row>
    <row r="146">
      <c r="A146" s="9" t="s">
        <v>30105</v>
      </c>
      <c r="B146" s="8" t="s">
        <v>30106</v>
      </c>
      <c r="C146" s="9" t="s">
        <v>10719</v>
      </c>
    </row>
    <row r="147">
      <c r="A147" s="9" t="s">
        <v>30107</v>
      </c>
      <c r="B147" s="8" t="s">
        <v>30108</v>
      </c>
      <c r="C147" s="9" t="s">
        <v>10719</v>
      </c>
    </row>
    <row r="148">
      <c r="A148" s="9" t="s">
        <v>30109</v>
      </c>
      <c r="B148" s="8" t="s">
        <v>30110</v>
      </c>
      <c r="C148" s="9" t="s">
        <v>10719</v>
      </c>
    </row>
    <row r="149">
      <c r="A149" s="9" t="s">
        <v>30111</v>
      </c>
      <c r="B149" s="8" t="s">
        <v>30112</v>
      </c>
      <c r="C149" s="9" t="s">
        <v>10719</v>
      </c>
    </row>
    <row r="150">
      <c r="A150" s="9" t="s">
        <v>30113</v>
      </c>
      <c r="B150" s="8" t="s">
        <v>30114</v>
      </c>
      <c r="C150" s="9" t="s">
        <v>10719</v>
      </c>
    </row>
    <row r="151">
      <c r="A151" s="9" t="s">
        <v>30115</v>
      </c>
      <c r="B151" s="8" t="s">
        <v>30116</v>
      </c>
      <c r="C151" s="9" t="s">
        <v>10719</v>
      </c>
    </row>
    <row r="152">
      <c r="A152" s="9" t="s">
        <v>30117</v>
      </c>
      <c r="B152" s="8" t="s">
        <v>30118</v>
      </c>
      <c r="C152" s="9" t="s">
        <v>10719</v>
      </c>
    </row>
    <row r="153">
      <c r="A153" s="9" t="s">
        <v>30129</v>
      </c>
      <c r="B153" s="8" t="s">
        <v>30130</v>
      </c>
      <c r="C153" s="9" t="s">
        <v>6458</v>
      </c>
    </row>
    <row r="154">
      <c r="A154" s="9" t="s">
        <v>30131</v>
      </c>
      <c r="B154" s="8" t="s">
        <v>30132</v>
      </c>
      <c r="C154" s="9" t="s">
        <v>6458</v>
      </c>
    </row>
    <row r="155">
      <c r="A155" s="9" t="s">
        <v>30229</v>
      </c>
      <c r="B155" s="8" t="s">
        <v>30230</v>
      </c>
      <c r="C155" s="9" t="s">
        <v>10622</v>
      </c>
    </row>
    <row r="156">
      <c r="A156" s="9" t="s">
        <v>30231</v>
      </c>
      <c r="B156" s="8" t="s">
        <v>30232</v>
      </c>
      <c r="C156" s="9" t="s">
        <v>10622</v>
      </c>
    </row>
    <row r="157">
      <c r="A157" s="9" t="s">
        <v>30233</v>
      </c>
      <c r="B157" s="8" t="s">
        <v>30234</v>
      </c>
      <c r="C157" s="9" t="s">
        <v>10622</v>
      </c>
    </row>
    <row r="158">
      <c r="A158" s="9" t="s">
        <v>30257</v>
      </c>
      <c r="B158" s="8" t="s">
        <v>30258</v>
      </c>
      <c r="C158" s="9" t="s">
        <v>9329</v>
      </c>
    </row>
    <row r="159">
      <c r="A159" s="9" t="s">
        <v>30259</v>
      </c>
      <c r="B159" s="8" t="s">
        <v>30260</v>
      </c>
      <c r="C159" s="9" t="s">
        <v>9329</v>
      </c>
    </row>
    <row r="160">
      <c r="A160" s="9" t="s">
        <v>30309</v>
      </c>
      <c r="B160" s="8" t="s">
        <v>30310</v>
      </c>
      <c r="C160" s="9" t="s">
        <v>10564</v>
      </c>
    </row>
    <row r="161">
      <c r="A161" s="9">
        <v>1.9599999E7</v>
      </c>
      <c r="B161" s="8" t="s">
        <v>30312</v>
      </c>
      <c r="C161" s="9" t="s">
        <v>10564</v>
      </c>
    </row>
    <row r="162">
      <c r="A162" s="9" t="s">
        <v>30313</v>
      </c>
      <c r="B162" s="8" t="s">
        <v>30314</v>
      </c>
      <c r="C162" s="9" t="s">
        <v>10564</v>
      </c>
    </row>
    <row r="163">
      <c r="A163" s="9" t="s">
        <v>30315</v>
      </c>
      <c r="B163" s="8" t="s">
        <v>30316</v>
      </c>
      <c r="C163" s="9" t="s">
        <v>10564</v>
      </c>
    </row>
    <row r="164">
      <c r="A164" s="9">
        <v>7.552601E7</v>
      </c>
      <c r="B164" s="8" t="s">
        <v>30318</v>
      </c>
      <c r="C164" s="9" t="s">
        <v>10564</v>
      </c>
    </row>
    <row r="165">
      <c r="A165" s="9" t="s">
        <v>30364</v>
      </c>
      <c r="B165" s="8" t="s">
        <v>30365</v>
      </c>
      <c r="C165" s="9" t="s">
        <v>10564</v>
      </c>
    </row>
    <row r="166">
      <c r="A166" s="9" t="s">
        <v>30398</v>
      </c>
      <c r="B166" s="8" t="s">
        <v>30399</v>
      </c>
      <c r="C166" s="9" t="s">
        <v>10646</v>
      </c>
    </row>
    <row r="167">
      <c r="A167" s="9" t="s">
        <v>30400</v>
      </c>
      <c r="B167" s="8" t="s">
        <v>30401</v>
      </c>
      <c r="C167" s="9" t="s">
        <v>10646</v>
      </c>
    </row>
    <row r="168">
      <c r="A168" s="9" t="s">
        <v>30402</v>
      </c>
      <c r="B168" s="8" t="s">
        <v>30403</v>
      </c>
      <c r="C168" s="9" t="s">
        <v>10646</v>
      </c>
    </row>
    <row r="169">
      <c r="A169" s="9" t="s">
        <v>30404</v>
      </c>
      <c r="B169" s="8" t="s">
        <v>30405</v>
      </c>
      <c r="C169" s="9" t="s">
        <v>10646</v>
      </c>
    </row>
    <row r="170">
      <c r="A170" s="9" t="s">
        <v>30406</v>
      </c>
      <c r="B170" s="8" t="s">
        <v>30407</v>
      </c>
      <c r="C170" s="9" t="s">
        <v>10646</v>
      </c>
    </row>
    <row r="171">
      <c r="A171" s="9" t="s">
        <v>30408</v>
      </c>
      <c r="B171" s="8" t="s">
        <v>30409</v>
      </c>
      <c r="C171" s="9" t="s">
        <v>10646</v>
      </c>
    </row>
    <row r="172">
      <c r="A172" s="9" t="s">
        <v>30410</v>
      </c>
      <c r="B172" s="8" t="s">
        <v>30411</v>
      </c>
      <c r="C172" s="9" t="s">
        <v>10756</v>
      </c>
    </row>
    <row r="173">
      <c r="A173" s="9" t="s">
        <v>30412</v>
      </c>
      <c r="B173" s="8" t="s">
        <v>30413</v>
      </c>
      <c r="C173" s="9" t="s">
        <v>10756</v>
      </c>
    </row>
    <row r="174">
      <c r="A174" s="9" t="s">
        <v>30414</v>
      </c>
      <c r="B174" s="8" t="s">
        <v>30415</v>
      </c>
      <c r="C174" s="9" t="s">
        <v>10756</v>
      </c>
    </row>
    <row r="175">
      <c r="A175" s="9" t="s">
        <v>30416</v>
      </c>
      <c r="B175" s="8" t="s">
        <v>30417</v>
      </c>
      <c r="C175" s="9" t="s">
        <v>10756</v>
      </c>
    </row>
    <row r="176">
      <c r="A176" s="9" t="s">
        <v>30418</v>
      </c>
      <c r="B176" s="8" t="s">
        <v>30419</v>
      </c>
      <c r="C176" s="9" t="s">
        <v>10756</v>
      </c>
    </row>
    <row r="177">
      <c r="A177" s="9" t="s">
        <v>30420</v>
      </c>
      <c r="B177" s="8" t="s">
        <v>30421</v>
      </c>
      <c r="C177" s="9" t="s">
        <v>10756</v>
      </c>
    </row>
    <row r="178">
      <c r="A178" s="9" t="s">
        <v>30422</v>
      </c>
      <c r="B178" s="8" t="s">
        <v>30423</v>
      </c>
      <c r="C178" s="9" t="s">
        <v>10705</v>
      </c>
    </row>
    <row r="179">
      <c r="A179" s="9" t="s">
        <v>30424</v>
      </c>
      <c r="B179" s="8" t="s">
        <v>30425</v>
      </c>
      <c r="C179" s="9" t="s">
        <v>10705</v>
      </c>
    </row>
    <row r="180">
      <c r="A180" s="9" t="s">
        <v>30426</v>
      </c>
      <c r="B180" s="8" t="s">
        <v>30427</v>
      </c>
      <c r="C180" s="9" t="s">
        <v>10705</v>
      </c>
    </row>
    <row r="181">
      <c r="A181" s="9" t="s">
        <v>30428</v>
      </c>
      <c r="B181" s="8" t="s">
        <v>30429</v>
      </c>
      <c r="C181" s="9" t="s">
        <v>10705</v>
      </c>
    </row>
    <row r="182">
      <c r="A182" s="9" t="s">
        <v>30430</v>
      </c>
      <c r="B182" s="8" t="s">
        <v>30431</v>
      </c>
      <c r="C182" s="9" t="s">
        <v>10705</v>
      </c>
    </row>
    <row r="183">
      <c r="A183" s="9" t="s">
        <v>30432</v>
      </c>
      <c r="B183" s="8" t="s">
        <v>30433</v>
      </c>
      <c r="C183" s="9" t="s">
        <v>10705</v>
      </c>
    </row>
    <row r="184">
      <c r="A184" s="9" t="s">
        <v>30434</v>
      </c>
      <c r="B184" s="8" t="s">
        <v>30435</v>
      </c>
      <c r="C184" s="9" t="s">
        <v>10705</v>
      </c>
    </row>
    <row r="185">
      <c r="A185" s="9" t="s">
        <v>30470</v>
      </c>
      <c r="B185" s="8" t="s">
        <v>30471</v>
      </c>
      <c r="C185" s="9" t="s">
        <v>10721</v>
      </c>
    </row>
    <row r="186">
      <c r="A186" s="9" t="s">
        <v>30472</v>
      </c>
      <c r="B186" s="8" t="s">
        <v>30473</v>
      </c>
      <c r="C186" s="9" t="s">
        <v>10721</v>
      </c>
    </row>
    <row r="187">
      <c r="A187" s="9" t="s">
        <v>30474</v>
      </c>
      <c r="B187" s="8" t="s">
        <v>30475</v>
      </c>
      <c r="C187" s="9" t="s">
        <v>10721</v>
      </c>
    </row>
    <row r="188">
      <c r="A188" s="9" t="s">
        <v>30476</v>
      </c>
      <c r="B188" s="8" t="s">
        <v>30477</v>
      </c>
      <c r="C188" s="9" t="s">
        <v>10721</v>
      </c>
    </row>
    <row r="189">
      <c r="A189" s="9" t="s">
        <v>30478</v>
      </c>
      <c r="B189" s="8" t="s">
        <v>30479</v>
      </c>
      <c r="C189" s="9" t="s">
        <v>10721</v>
      </c>
    </row>
    <row r="190">
      <c r="A190" s="9" t="s">
        <v>30480</v>
      </c>
      <c r="B190" s="8" t="s">
        <v>30481</v>
      </c>
      <c r="C190" s="9" t="s">
        <v>10721</v>
      </c>
    </row>
    <row r="191">
      <c r="A191" s="9" t="s">
        <v>30482</v>
      </c>
      <c r="B191" s="8" t="s">
        <v>30483</v>
      </c>
      <c r="C191" s="9" t="s">
        <v>10721</v>
      </c>
    </row>
    <row r="192">
      <c r="A192" s="9" t="s">
        <v>30484</v>
      </c>
      <c r="B192" s="8" t="s">
        <v>30485</v>
      </c>
      <c r="C192" s="9" t="s">
        <v>10721</v>
      </c>
    </row>
    <row r="193">
      <c r="A193" s="9" t="s">
        <v>30486</v>
      </c>
      <c r="B193" s="8" t="s">
        <v>30487</v>
      </c>
      <c r="C193" s="9" t="s">
        <v>10721</v>
      </c>
    </row>
    <row r="194">
      <c r="A194" s="9" t="s">
        <v>30488</v>
      </c>
      <c r="B194" s="8" t="s">
        <v>30489</v>
      </c>
      <c r="C194" s="9" t="s">
        <v>10721</v>
      </c>
    </row>
    <row r="195">
      <c r="A195" s="9" t="s">
        <v>30490</v>
      </c>
      <c r="B195" s="8" t="s">
        <v>30491</v>
      </c>
      <c r="C195" s="9" t="s">
        <v>10721</v>
      </c>
    </row>
    <row r="196">
      <c r="A196" s="9" t="s">
        <v>30606</v>
      </c>
      <c r="B196" s="8" t="s">
        <v>30607</v>
      </c>
      <c r="C196" s="9" t="s">
        <v>11813</v>
      </c>
    </row>
    <row r="197">
      <c r="A197" s="9" t="s">
        <v>30608</v>
      </c>
      <c r="B197" s="8" t="s">
        <v>30609</v>
      </c>
      <c r="C197" s="9" t="s">
        <v>11813</v>
      </c>
    </row>
    <row r="198">
      <c r="A198" s="9" t="s">
        <v>30610</v>
      </c>
      <c r="B198" s="8" t="s">
        <v>30611</v>
      </c>
      <c r="C198" s="9" t="s">
        <v>11813</v>
      </c>
    </row>
    <row r="199">
      <c r="A199" s="9" t="s">
        <v>30612</v>
      </c>
      <c r="B199" s="8" t="s">
        <v>30613</v>
      </c>
      <c r="C199" s="9" t="s">
        <v>11813</v>
      </c>
    </row>
    <row r="200">
      <c r="A200" s="9" t="s">
        <v>30614</v>
      </c>
      <c r="B200" s="8" t="s">
        <v>30615</v>
      </c>
      <c r="C200" s="9" t="s">
        <v>11813</v>
      </c>
    </row>
    <row r="201">
      <c r="A201" s="9" t="s">
        <v>30616</v>
      </c>
      <c r="B201" s="8" t="s">
        <v>30617</v>
      </c>
      <c r="C201" s="9" t="s">
        <v>11813</v>
      </c>
    </row>
    <row r="202">
      <c r="A202" s="9" t="s">
        <v>30646</v>
      </c>
      <c r="B202" s="8" t="s">
        <v>30647</v>
      </c>
      <c r="C202" s="9" t="s">
        <v>10608</v>
      </c>
    </row>
    <row r="203">
      <c r="A203" s="9" t="s">
        <v>30648</v>
      </c>
      <c r="B203" s="8" t="s">
        <v>30649</v>
      </c>
      <c r="C203" s="9" t="s">
        <v>11947</v>
      </c>
    </row>
    <row r="204">
      <c r="A204" s="9" t="s">
        <v>30650</v>
      </c>
      <c r="B204" s="8" t="s">
        <v>30651</v>
      </c>
      <c r="C204" s="9" t="s">
        <v>11947</v>
      </c>
    </row>
    <row r="205">
      <c r="A205" s="9" t="s">
        <v>30652</v>
      </c>
      <c r="B205" s="8" t="s">
        <v>30653</v>
      </c>
      <c r="C205" s="9" t="s">
        <v>11947</v>
      </c>
    </row>
    <row r="206">
      <c r="A206" s="9" t="s">
        <v>30654</v>
      </c>
      <c r="B206" s="8" t="s">
        <v>30655</v>
      </c>
      <c r="C206" s="9" t="s">
        <v>11947</v>
      </c>
    </row>
    <row r="207">
      <c r="A207" s="9" t="s">
        <v>30656</v>
      </c>
      <c r="B207" s="8" t="s">
        <v>30657</v>
      </c>
      <c r="C207" s="9" t="s">
        <v>11947</v>
      </c>
    </row>
    <row r="208">
      <c r="A208" s="9" t="s">
        <v>30658</v>
      </c>
      <c r="B208" s="8" t="s">
        <v>30659</v>
      </c>
      <c r="C208" s="9" t="s">
        <v>11947</v>
      </c>
    </row>
    <row r="209">
      <c r="A209" s="9" t="s">
        <v>30660</v>
      </c>
      <c r="B209" s="8" t="s">
        <v>30661</v>
      </c>
      <c r="C209" s="9" t="s">
        <v>12030</v>
      </c>
    </row>
    <row r="210">
      <c r="A210" s="9" t="s">
        <v>30662</v>
      </c>
      <c r="B210" s="8" t="s">
        <v>30663</v>
      </c>
      <c r="C210" s="9" t="s">
        <v>12030</v>
      </c>
    </row>
    <row r="211">
      <c r="A211" s="9" t="s">
        <v>30664</v>
      </c>
      <c r="B211" s="8" t="s">
        <v>30665</v>
      </c>
      <c r="C211" s="9" t="s">
        <v>12030</v>
      </c>
    </row>
    <row r="212">
      <c r="A212" s="9" t="s">
        <v>30666</v>
      </c>
      <c r="B212" s="8" t="s">
        <v>30667</v>
      </c>
      <c r="C212" s="9" t="s">
        <v>12030</v>
      </c>
    </row>
    <row r="213">
      <c r="A213" s="9" t="s">
        <v>30668</v>
      </c>
      <c r="B213" s="8" t="s">
        <v>30669</v>
      </c>
      <c r="C213" s="9" t="s">
        <v>12030</v>
      </c>
    </row>
    <row r="214">
      <c r="A214" s="9" t="s">
        <v>30680</v>
      </c>
      <c r="B214" s="8" t="s">
        <v>30681</v>
      </c>
      <c r="C214" s="9" t="s">
        <v>4952</v>
      </c>
    </row>
    <row r="215">
      <c r="A215" s="9" t="s">
        <v>30682</v>
      </c>
      <c r="B215" s="8" t="s">
        <v>30683</v>
      </c>
      <c r="C215" s="9" t="s">
        <v>4952</v>
      </c>
    </row>
    <row r="216">
      <c r="A216" s="9" t="s">
        <v>30684</v>
      </c>
      <c r="B216" s="8" t="s">
        <v>30685</v>
      </c>
      <c r="C216" s="9" t="s">
        <v>4952</v>
      </c>
    </row>
    <row r="217">
      <c r="A217" s="9" t="s">
        <v>30686</v>
      </c>
      <c r="B217" s="8" t="s">
        <v>30687</v>
      </c>
      <c r="C217" s="9" t="s">
        <v>4952</v>
      </c>
    </row>
    <row r="218">
      <c r="A218" s="9" t="s">
        <v>30688</v>
      </c>
      <c r="B218" s="8" t="s">
        <v>30689</v>
      </c>
      <c r="C218" s="9" t="s">
        <v>4952</v>
      </c>
    </row>
    <row r="219">
      <c r="A219" s="9" t="s">
        <v>30690</v>
      </c>
      <c r="B219" s="8" t="s">
        <v>30691</v>
      </c>
      <c r="C219" s="9" t="s">
        <v>4952</v>
      </c>
    </row>
    <row r="220">
      <c r="A220" s="9" t="s">
        <v>30692</v>
      </c>
      <c r="B220" s="8" t="s">
        <v>30693</v>
      </c>
      <c r="C220" s="9" t="s">
        <v>4952</v>
      </c>
    </row>
    <row r="221">
      <c r="A221" s="9" t="s">
        <v>30694</v>
      </c>
      <c r="B221" s="8" t="s">
        <v>30695</v>
      </c>
      <c r="C221" s="9" t="s">
        <v>4952</v>
      </c>
    </row>
    <row r="222">
      <c r="A222" s="9" t="s">
        <v>30696</v>
      </c>
      <c r="B222" s="8" t="s">
        <v>30697</v>
      </c>
      <c r="C222" s="9" t="s">
        <v>4952</v>
      </c>
    </row>
    <row r="223">
      <c r="A223" s="9" t="s">
        <v>30766</v>
      </c>
      <c r="B223" s="8" t="s">
        <v>30767</v>
      </c>
      <c r="C223" s="9" t="s">
        <v>10591</v>
      </c>
    </row>
    <row r="224">
      <c r="A224" s="9" t="s">
        <v>30768</v>
      </c>
      <c r="B224" s="8" t="s">
        <v>30769</v>
      </c>
      <c r="C224" s="9" t="s">
        <v>10591</v>
      </c>
    </row>
    <row r="225">
      <c r="A225" s="9" t="s">
        <v>30770</v>
      </c>
      <c r="B225" s="8" t="s">
        <v>30771</v>
      </c>
      <c r="C225" s="9" t="s">
        <v>10591</v>
      </c>
    </row>
    <row r="226">
      <c r="A226" s="9" t="s">
        <v>30772</v>
      </c>
      <c r="B226" s="8" t="s">
        <v>30773</v>
      </c>
      <c r="C226" s="9" t="s">
        <v>10591</v>
      </c>
    </row>
    <row r="227">
      <c r="A227" s="9" t="s">
        <v>30780</v>
      </c>
      <c r="B227" s="8" t="s">
        <v>30781</v>
      </c>
      <c r="C227" s="9" t="s">
        <v>10310</v>
      </c>
    </row>
    <row r="228">
      <c r="A228" s="9" t="s">
        <v>30783</v>
      </c>
      <c r="B228" s="8" t="s">
        <v>30784</v>
      </c>
      <c r="C228" s="9" t="s">
        <v>10310</v>
      </c>
    </row>
    <row r="229">
      <c r="A229" s="9" t="s">
        <v>30786</v>
      </c>
      <c r="B229" s="8" t="s">
        <v>30787</v>
      </c>
      <c r="C229" s="9" t="s">
        <v>10310</v>
      </c>
    </row>
    <row r="230">
      <c r="A230" s="9" t="s">
        <v>30789</v>
      </c>
      <c r="B230" s="8" t="s">
        <v>30790</v>
      </c>
      <c r="C230" s="9" t="s">
        <v>10310</v>
      </c>
    </row>
    <row r="231">
      <c r="A231" s="9" t="s">
        <v>30792</v>
      </c>
      <c r="B231" s="8" t="s">
        <v>30793</v>
      </c>
      <c r="C231" s="9" t="s">
        <v>10310</v>
      </c>
    </row>
    <row r="232">
      <c r="A232" s="9" t="s">
        <v>30794</v>
      </c>
      <c r="B232" s="8" t="s">
        <v>30795</v>
      </c>
      <c r="C232" s="9" t="s">
        <v>10310</v>
      </c>
    </row>
    <row r="233">
      <c r="A233" s="9" t="s">
        <v>30797</v>
      </c>
      <c r="B233" s="8" t="s">
        <v>30798</v>
      </c>
      <c r="C233" s="9" t="s">
        <v>10310</v>
      </c>
    </row>
    <row r="234">
      <c r="A234" s="9" t="s">
        <v>30799</v>
      </c>
      <c r="B234" s="8" t="s">
        <v>30800</v>
      </c>
      <c r="C234" s="9" t="s">
        <v>10310</v>
      </c>
    </row>
    <row r="235">
      <c r="A235" s="9" t="s">
        <v>30801</v>
      </c>
      <c r="B235" s="8" t="s">
        <v>30802</v>
      </c>
      <c r="C235" s="9" t="s">
        <v>10310</v>
      </c>
    </row>
    <row r="236">
      <c r="A236" s="9" t="s">
        <v>30804</v>
      </c>
      <c r="B236" s="8" t="s">
        <v>30805</v>
      </c>
      <c r="C236" s="9" t="s">
        <v>10310</v>
      </c>
    </row>
    <row r="237">
      <c r="A237" s="9" t="s">
        <v>30806</v>
      </c>
      <c r="B237" s="8" t="s">
        <v>30807</v>
      </c>
      <c r="C237" s="9" t="s">
        <v>10310</v>
      </c>
    </row>
    <row r="238">
      <c r="A238" s="9" t="s">
        <v>30808</v>
      </c>
      <c r="B238" s="8" t="s">
        <v>30809</v>
      </c>
      <c r="C238" s="9" t="s">
        <v>10310</v>
      </c>
    </row>
    <row r="239">
      <c r="A239" s="9" t="s">
        <v>30811</v>
      </c>
      <c r="B239" s="8" t="s">
        <v>30812</v>
      </c>
      <c r="C239" s="9" t="s">
        <v>10310</v>
      </c>
    </row>
    <row r="240">
      <c r="A240" s="9" t="s">
        <v>30814</v>
      </c>
      <c r="B240" s="8" t="s">
        <v>30815</v>
      </c>
      <c r="C240" s="9" t="s">
        <v>10310</v>
      </c>
    </row>
    <row r="241">
      <c r="A241" s="9" t="s">
        <v>30848</v>
      </c>
      <c r="B241" s="8" t="s">
        <v>30849</v>
      </c>
      <c r="C241" s="9" t="s">
        <v>4089</v>
      </c>
    </row>
    <row r="242">
      <c r="A242" s="9" t="s">
        <v>30850</v>
      </c>
      <c r="B242" s="8" t="s">
        <v>30851</v>
      </c>
      <c r="C242" s="9" t="s">
        <v>4089</v>
      </c>
    </row>
    <row r="243">
      <c r="A243" s="9" t="s">
        <v>30852</v>
      </c>
      <c r="B243" s="8" t="s">
        <v>30853</v>
      </c>
      <c r="C243" s="9" t="s">
        <v>4089</v>
      </c>
    </row>
    <row r="244">
      <c r="A244" s="9" t="s">
        <v>30854</v>
      </c>
      <c r="B244" s="8" t="s">
        <v>30855</v>
      </c>
      <c r="C244" s="9" t="s">
        <v>4089</v>
      </c>
    </row>
    <row r="245">
      <c r="A245" s="9" t="s">
        <v>30856</v>
      </c>
      <c r="B245" s="8" t="s">
        <v>30857</v>
      </c>
      <c r="C245" s="9" t="s">
        <v>4106</v>
      </c>
    </row>
    <row r="246">
      <c r="A246" s="9" t="s">
        <v>30858</v>
      </c>
      <c r="B246" s="8" t="s">
        <v>30859</v>
      </c>
      <c r="C246" s="9" t="s">
        <v>4106</v>
      </c>
    </row>
    <row r="247">
      <c r="A247" s="9" t="s">
        <v>30890</v>
      </c>
      <c r="B247" s="8" t="s">
        <v>30891</v>
      </c>
      <c r="C247" s="9" t="s">
        <v>10391</v>
      </c>
    </row>
    <row r="248">
      <c r="A248" s="9" t="s">
        <v>30892</v>
      </c>
      <c r="B248" s="8" t="s">
        <v>30893</v>
      </c>
      <c r="C248" s="9" t="s">
        <v>10391</v>
      </c>
    </row>
    <row r="249">
      <c r="A249" s="9" t="s">
        <v>30894</v>
      </c>
      <c r="B249" s="8" t="s">
        <v>30895</v>
      </c>
      <c r="C249" s="9" t="s">
        <v>10391</v>
      </c>
    </row>
    <row r="250">
      <c r="A250" s="9" t="s">
        <v>30896</v>
      </c>
      <c r="B250" s="8" t="s">
        <v>30897</v>
      </c>
      <c r="C250" s="9" t="s">
        <v>10391</v>
      </c>
    </row>
    <row r="251">
      <c r="A251" s="9" t="s">
        <v>30898</v>
      </c>
      <c r="B251" s="8" t="s">
        <v>30899</v>
      </c>
      <c r="C251" s="9" t="s">
        <v>10391</v>
      </c>
    </row>
    <row r="252">
      <c r="A252" s="9" t="s">
        <v>30900</v>
      </c>
      <c r="B252" s="8" t="s">
        <v>30901</v>
      </c>
      <c r="C252" s="9" t="s">
        <v>10391</v>
      </c>
    </row>
    <row r="253">
      <c r="A253" s="9" t="s">
        <v>30904</v>
      </c>
      <c r="B253" s="8" t="s">
        <v>30905</v>
      </c>
      <c r="C253" s="9" t="s">
        <v>10391</v>
      </c>
    </row>
    <row r="254">
      <c r="A254" s="9" t="s">
        <v>31221</v>
      </c>
      <c r="B254" s="8" t="s">
        <v>31222</v>
      </c>
      <c r="C254" s="9" t="s">
        <v>10725</v>
      </c>
    </row>
    <row r="255">
      <c r="A255" s="9" t="s">
        <v>31224</v>
      </c>
      <c r="B255" s="8" t="s">
        <v>31225</v>
      </c>
      <c r="C255" s="9" t="s">
        <v>10725</v>
      </c>
    </row>
    <row r="256">
      <c r="A256" s="9" t="s">
        <v>31226</v>
      </c>
      <c r="B256" s="8" t="s">
        <v>31227</v>
      </c>
      <c r="C256" s="9" t="s">
        <v>10725</v>
      </c>
    </row>
    <row r="257">
      <c r="A257" s="9" t="s">
        <v>31229</v>
      </c>
      <c r="B257" s="8" t="s">
        <v>31230</v>
      </c>
      <c r="C257" s="9" t="s">
        <v>10725</v>
      </c>
    </row>
    <row r="258">
      <c r="A258" s="9" t="s">
        <v>31231</v>
      </c>
      <c r="B258" s="8" t="s">
        <v>31232</v>
      </c>
      <c r="C258" s="9" t="s">
        <v>10725</v>
      </c>
    </row>
    <row r="259">
      <c r="A259" s="9" t="s">
        <v>31234</v>
      </c>
      <c r="B259" s="8" t="s">
        <v>31235</v>
      </c>
      <c r="C259" s="9" t="s">
        <v>10725</v>
      </c>
    </row>
    <row r="260">
      <c r="A260" s="9" t="s">
        <v>31236</v>
      </c>
      <c r="B260" s="8" t="s">
        <v>31237</v>
      </c>
      <c r="C260" s="9" t="s">
        <v>10725</v>
      </c>
    </row>
    <row r="261">
      <c r="A261" s="9" t="s">
        <v>31239</v>
      </c>
      <c r="B261" s="8" t="s">
        <v>31240</v>
      </c>
      <c r="C261" s="9" t="s">
        <v>10725</v>
      </c>
    </row>
    <row r="262">
      <c r="A262" s="9" t="s">
        <v>31241</v>
      </c>
      <c r="B262" s="8" t="s">
        <v>31242</v>
      </c>
      <c r="C262" s="9" t="s">
        <v>10725</v>
      </c>
    </row>
    <row r="263">
      <c r="A263" s="9" t="s">
        <v>31244</v>
      </c>
      <c r="B263" s="8" t="s">
        <v>31245</v>
      </c>
      <c r="C263" s="9" t="s">
        <v>10725</v>
      </c>
    </row>
    <row r="264">
      <c r="A264" s="9" t="s">
        <v>31246</v>
      </c>
      <c r="B264" s="8" t="s">
        <v>31247</v>
      </c>
      <c r="C264" s="9" t="s">
        <v>10725</v>
      </c>
    </row>
    <row r="265">
      <c r="A265" s="9" t="s">
        <v>31248</v>
      </c>
      <c r="B265" s="8" t="s">
        <v>31249</v>
      </c>
      <c r="C265" s="9" t="s">
        <v>10705</v>
      </c>
    </row>
    <row r="266">
      <c r="A266" s="9" t="s">
        <v>31250</v>
      </c>
      <c r="B266" s="8" t="s">
        <v>31251</v>
      </c>
      <c r="C266" s="9" t="s">
        <v>10705</v>
      </c>
    </row>
    <row r="267">
      <c r="A267" s="9" t="s">
        <v>31252</v>
      </c>
      <c r="B267" s="8" t="s">
        <v>31253</v>
      </c>
      <c r="C267" s="9" t="s">
        <v>10705</v>
      </c>
    </row>
    <row r="268">
      <c r="A268" s="9" t="s">
        <v>31254</v>
      </c>
      <c r="B268" s="8" t="s">
        <v>31255</v>
      </c>
      <c r="C268" s="9" t="s">
        <v>10705</v>
      </c>
    </row>
    <row r="269">
      <c r="A269" s="9" t="s">
        <v>31256</v>
      </c>
      <c r="B269" s="8" t="s">
        <v>31257</v>
      </c>
      <c r="C269" s="9" t="s">
        <v>10705</v>
      </c>
    </row>
    <row r="270">
      <c r="A270" s="9" t="s">
        <v>31258</v>
      </c>
      <c r="B270" s="8" t="s">
        <v>31259</v>
      </c>
      <c r="C270" s="9" t="s">
        <v>10608</v>
      </c>
    </row>
    <row r="271">
      <c r="A271" s="9" t="s">
        <v>31260</v>
      </c>
      <c r="B271" s="8" t="s">
        <v>31261</v>
      </c>
      <c r="C271" s="9" t="s">
        <v>10608</v>
      </c>
    </row>
    <row r="272">
      <c r="A272" s="9" t="s">
        <v>31262</v>
      </c>
      <c r="B272" s="8" t="s">
        <v>31263</v>
      </c>
      <c r="C272" s="9" t="s">
        <v>10608</v>
      </c>
    </row>
    <row r="273">
      <c r="A273" s="9" t="s">
        <v>31264</v>
      </c>
      <c r="B273" s="8" t="s">
        <v>31265</v>
      </c>
      <c r="C273" s="9" t="s">
        <v>10608</v>
      </c>
    </row>
    <row r="274">
      <c r="A274" s="9" t="s">
        <v>31266</v>
      </c>
      <c r="B274" s="8" t="s">
        <v>31267</v>
      </c>
      <c r="C274" s="9" t="s">
        <v>10608</v>
      </c>
    </row>
    <row r="275">
      <c r="A275" s="9" t="s">
        <v>31268</v>
      </c>
      <c r="B275" s="8" t="s">
        <v>31269</v>
      </c>
      <c r="C275" s="9" t="s">
        <v>10608</v>
      </c>
    </row>
    <row r="276">
      <c r="A276" s="9" t="s">
        <v>31302</v>
      </c>
      <c r="B276" s="8" t="s">
        <v>31303</v>
      </c>
      <c r="C276" s="9" t="s">
        <v>8284</v>
      </c>
    </row>
    <row r="277">
      <c r="A277" s="9" t="s">
        <v>31314</v>
      </c>
      <c r="B277" s="8" t="s">
        <v>31315</v>
      </c>
      <c r="C277" s="9" t="s">
        <v>11947</v>
      </c>
    </row>
    <row r="278">
      <c r="A278" s="9" t="s">
        <v>31316</v>
      </c>
      <c r="B278" s="8" t="s">
        <v>31317</v>
      </c>
      <c r="C278" s="9" t="s">
        <v>11947</v>
      </c>
    </row>
    <row r="279">
      <c r="A279" s="9" t="s">
        <v>31318</v>
      </c>
      <c r="B279" s="8" t="s">
        <v>31319</v>
      </c>
      <c r="C279" s="9" t="s">
        <v>11947</v>
      </c>
    </row>
    <row r="280">
      <c r="A280" s="9" t="s">
        <v>31320</v>
      </c>
      <c r="B280" s="8" t="s">
        <v>31321</v>
      </c>
      <c r="C280" s="9" t="s">
        <v>11947</v>
      </c>
    </row>
    <row r="281">
      <c r="A281" s="9" t="s">
        <v>31322</v>
      </c>
      <c r="B281" s="8" t="s">
        <v>31323</v>
      </c>
      <c r="C281" s="9" t="s">
        <v>11947</v>
      </c>
    </row>
    <row r="282">
      <c r="A282" s="9" t="s">
        <v>31350</v>
      </c>
      <c r="B282" s="8" t="s">
        <v>31351</v>
      </c>
      <c r="C282" s="9" t="s">
        <v>11795</v>
      </c>
    </row>
    <row r="283">
      <c r="A283" s="9" t="s">
        <v>31352</v>
      </c>
      <c r="B283" s="8" t="s">
        <v>31353</v>
      </c>
      <c r="C283" s="9" t="s">
        <v>11795</v>
      </c>
    </row>
    <row r="284">
      <c r="A284" s="9" t="s">
        <v>31354</v>
      </c>
      <c r="B284" s="8" t="s">
        <v>31355</v>
      </c>
      <c r="C284" s="9" t="s">
        <v>11795</v>
      </c>
    </row>
    <row r="285">
      <c r="A285" s="9" t="s">
        <v>31356</v>
      </c>
      <c r="B285" s="8" t="s">
        <v>31357</v>
      </c>
      <c r="C285" s="9" t="s">
        <v>11795</v>
      </c>
    </row>
    <row r="286">
      <c r="A286" s="9" t="s">
        <v>31358</v>
      </c>
      <c r="B286" s="8" t="s">
        <v>31359</v>
      </c>
      <c r="C286" s="9" t="s">
        <v>11795</v>
      </c>
    </row>
    <row r="287">
      <c r="A287" s="9" t="s">
        <v>31360</v>
      </c>
      <c r="B287" s="8" t="s">
        <v>31361</v>
      </c>
      <c r="C287" s="9" t="s">
        <v>11795</v>
      </c>
    </row>
    <row r="288">
      <c r="A288" s="9" t="s">
        <v>31362</v>
      </c>
      <c r="B288" s="8" t="s">
        <v>31363</v>
      </c>
      <c r="C288" s="9" t="s">
        <v>11795</v>
      </c>
    </row>
    <row r="289">
      <c r="A289" s="9" t="s">
        <v>31364</v>
      </c>
      <c r="B289" s="8" t="s">
        <v>31365</v>
      </c>
      <c r="C289" s="9" t="s">
        <v>11795</v>
      </c>
    </row>
    <row r="290">
      <c r="A290" s="9" t="s">
        <v>31366</v>
      </c>
      <c r="B290" s="8" t="s">
        <v>31367</v>
      </c>
      <c r="C290" s="9" t="s">
        <v>11795</v>
      </c>
    </row>
    <row r="291">
      <c r="A291" s="9" t="s">
        <v>31368</v>
      </c>
      <c r="B291" s="8" t="s">
        <v>31369</v>
      </c>
      <c r="C291" s="9" t="s">
        <v>11795</v>
      </c>
    </row>
    <row r="292">
      <c r="A292" s="9" t="s">
        <v>31370</v>
      </c>
      <c r="B292" s="8" t="s">
        <v>31371</v>
      </c>
      <c r="C292" s="9" t="s">
        <v>11795</v>
      </c>
    </row>
    <row r="293">
      <c r="A293" s="9">
        <v>4.3565317E7</v>
      </c>
      <c r="B293" s="8" t="s">
        <v>31373</v>
      </c>
      <c r="C293" s="9" t="s">
        <v>11795</v>
      </c>
    </row>
    <row r="294">
      <c r="A294" s="9" t="s">
        <v>31374</v>
      </c>
      <c r="B294" s="8" t="s">
        <v>31375</v>
      </c>
      <c r="C294" s="9" t="s">
        <v>11795</v>
      </c>
    </row>
    <row r="295">
      <c r="A295" s="9" t="s">
        <v>31376</v>
      </c>
      <c r="B295" s="8" t="s">
        <v>31377</v>
      </c>
      <c r="C295" s="9" t="s">
        <v>10564</v>
      </c>
    </row>
    <row r="296">
      <c r="A296" s="9" t="s">
        <v>31378</v>
      </c>
      <c r="B296" s="8" t="s">
        <v>31379</v>
      </c>
      <c r="C296" s="9" t="s">
        <v>10564</v>
      </c>
    </row>
    <row r="297">
      <c r="A297" s="9" t="s">
        <v>31380</v>
      </c>
      <c r="B297" s="8" t="s">
        <v>31381</v>
      </c>
      <c r="C297" s="9" t="s">
        <v>10564</v>
      </c>
    </row>
    <row r="298">
      <c r="A298" s="9" t="s">
        <v>31382</v>
      </c>
      <c r="B298" s="8" t="s">
        <v>31383</v>
      </c>
      <c r="C298" s="9" t="s">
        <v>10141</v>
      </c>
    </row>
    <row r="299">
      <c r="A299" s="9" t="s">
        <v>31384</v>
      </c>
      <c r="B299" s="8" t="s">
        <v>31385</v>
      </c>
      <c r="C299" s="9" t="s">
        <v>10141</v>
      </c>
    </row>
    <row r="300">
      <c r="A300" s="9" t="s">
        <v>31386</v>
      </c>
      <c r="B300" s="8" t="s">
        <v>31387</v>
      </c>
      <c r="C300" s="9" t="s">
        <v>10141</v>
      </c>
    </row>
    <row r="301">
      <c r="A301" s="9" t="s">
        <v>31388</v>
      </c>
      <c r="B301" s="8" t="s">
        <v>31389</v>
      </c>
      <c r="C301" s="9" t="s">
        <v>10141</v>
      </c>
    </row>
    <row r="302">
      <c r="A302" s="9" t="s">
        <v>31390</v>
      </c>
      <c r="B302" s="8" t="s">
        <v>31391</v>
      </c>
      <c r="C302" s="9" t="s">
        <v>10141</v>
      </c>
    </row>
    <row r="303">
      <c r="A303" s="9" t="s">
        <v>31392</v>
      </c>
      <c r="B303" s="8" t="s">
        <v>31393</v>
      </c>
      <c r="C303" s="9" t="s">
        <v>10745</v>
      </c>
    </row>
    <row r="304">
      <c r="A304" s="9" t="s">
        <v>31394</v>
      </c>
      <c r="B304" s="8" t="s">
        <v>31395</v>
      </c>
      <c r="C304" s="9" t="s">
        <v>10745</v>
      </c>
    </row>
    <row r="305">
      <c r="A305" s="9" t="s">
        <v>31396</v>
      </c>
      <c r="B305" s="8" t="s">
        <v>31397</v>
      </c>
      <c r="C305" s="9" t="s">
        <v>10745</v>
      </c>
    </row>
    <row r="306">
      <c r="A306" s="9" t="s">
        <v>31398</v>
      </c>
      <c r="B306" s="8" t="s">
        <v>31399</v>
      </c>
      <c r="C306" s="9" t="s">
        <v>10745</v>
      </c>
    </row>
    <row r="307">
      <c r="A307" s="9" t="s">
        <v>31400</v>
      </c>
      <c r="B307" s="8" t="s">
        <v>31401</v>
      </c>
      <c r="C307" s="9" t="s">
        <v>10745</v>
      </c>
    </row>
    <row r="308">
      <c r="A308" s="9" t="s">
        <v>31402</v>
      </c>
      <c r="B308" s="8" t="s">
        <v>31403</v>
      </c>
      <c r="C308" s="9" t="s">
        <v>10745</v>
      </c>
    </row>
    <row r="309">
      <c r="A309" s="9" t="s">
        <v>31404</v>
      </c>
      <c r="B309" s="8" t="s">
        <v>31405</v>
      </c>
      <c r="C309" s="9" t="s">
        <v>10745</v>
      </c>
    </row>
    <row r="310">
      <c r="A310" s="9" t="s">
        <v>31406</v>
      </c>
      <c r="B310" s="8" t="s">
        <v>31407</v>
      </c>
      <c r="C310" s="9" t="s">
        <v>10745</v>
      </c>
    </row>
    <row r="311">
      <c r="A311" s="9" t="s">
        <v>31408</v>
      </c>
      <c r="B311" s="8" t="s">
        <v>31409</v>
      </c>
      <c r="C311" s="9" t="s">
        <v>10745</v>
      </c>
    </row>
    <row r="312">
      <c r="A312" s="9" t="s">
        <v>31410</v>
      </c>
      <c r="B312" s="8" t="s">
        <v>31411</v>
      </c>
      <c r="C312" s="9" t="s">
        <v>10745</v>
      </c>
    </row>
    <row r="313">
      <c r="A313" s="9" t="s">
        <v>31412</v>
      </c>
      <c r="B313" s="8" t="s">
        <v>31413</v>
      </c>
      <c r="C313" s="9" t="s">
        <v>10745</v>
      </c>
    </row>
    <row r="314">
      <c r="A314" s="9" t="s">
        <v>31414</v>
      </c>
      <c r="B314" s="8" t="s">
        <v>31415</v>
      </c>
      <c r="C314" s="9" t="s">
        <v>10745</v>
      </c>
    </row>
    <row r="315">
      <c r="A315" s="9" t="s">
        <v>31416</v>
      </c>
      <c r="B315" s="8" t="s">
        <v>31417</v>
      </c>
      <c r="C315" s="9" t="s">
        <v>10745</v>
      </c>
    </row>
    <row r="316">
      <c r="A316" s="9" t="s">
        <v>31418</v>
      </c>
      <c r="B316" s="8" t="s">
        <v>31419</v>
      </c>
      <c r="C316" s="9" t="s">
        <v>10745</v>
      </c>
    </row>
    <row r="317">
      <c r="A317" s="9" t="s">
        <v>31420</v>
      </c>
      <c r="B317" s="8" t="s">
        <v>31421</v>
      </c>
      <c r="C317" s="9" t="s">
        <v>10745</v>
      </c>
    </row>
    <row r="318">
      <c r="A318" s="9" t="s">
        <v>31452</v>
      </c>
      <c r="B318" s="8" t="s">
        <v>31453</v>
      </c>
      <c r="C318" s="9" t="s">
        <v>10715</v>
      </c>
    </row>
    <row r="319">
      <c r="A319" s="9" t="s">
        <v>31454</v>
      </c>
      <c r="B319" s="8" t="s">
        <v>31455</v>
      </c>
      <c r="C319" s="9" t="s">
        <v>10715</v>
      </c>
    </row>
    <row r="320">
      <c r="A320" s="9" t="s">
        <v>31456</v>
      </c>
      <c r="B320" s="8" t="s">
        <v>31457</v>
      </c>
      <c r="C320" s="9" t="s">
        <v>10715</v>
      </c>
    </row>
    <row r="321">
      <c r="A321" s="9" t="s">
        <v>31458</v>
      </c>
      <c r="B321" s="8" t="s">
        <v>31459</v>
      </c>
      <c r="C321" s="9" t="s">
        <v>10715</v>
      </c>
    </row>
    <row r="322">
      <c r="A322" s="9" t="s">
        <v>31460</v>
      </c>
      <c r="B322" s="8" t="s">
        <v>31461</v>
      </c>
      <c r="C322" s="9" t="s">
        <v>10715</v>
      </c>
    </row>
    <row r="323">
      <c r="A323" s="9" t="s">
        <v>31462</v>
      </c>
      <c r="B323" s="8" t="s">
        <v>31463</v>
      </c>
      <c r="C323" s="9" t="s">
        <v>10715</v>
      </c>
    </row>
    <row r="324">
      <c r="A324" s="9" t="s">
        <v>31464</v>
      </c>
      <c r="B324" s="8" t="s">
        <v>31465</v>
      </c>
      <c r="C324" s="9" t="s">
        <v>10715</v>
      </c>
    </row>
    <row r="325">
      <c r="A325" s="9" t="s">
        <v>31479</v>
      </c>
      <c r="B325" s="8" t="s">
        <v>31480</v>
      </c>
      <c r="C325" s="9" t="s">
        <v>10616</v>
      </c>
    </row>
    <row r="326">
      <c r="A326" s="9" t="s">
        <v>31481</v>
      </c>
      <c r="B326" s="8" t="s">
        <v>31482</v>
      </c>
      <c r="C326" s="9" t="s">
        <v>10616</v>
      </c>
    </row>
    <row r="327">
      <c r="A327" s="9" t="s">
        <v>31483</v>
      </c>
      <c r="B327" s="8" t="s">
        <v>31484</v>
      </c>
      <c r="C327" s="9" t="s">
        <v>10616</v>
      </c>
    </row>
    <row r="328">
      <c r="A328" s="9" t="s">
        <v>31485</v>
      </c>
      <c r="B328" s="8" t="s">
        <v>31486</v>
      </c>
      <c r="C328" s="9" t="s">
        <v>10616</v>
      </c>
    </row>
    <row r="329">
      <c r="A329" s="9" t="s">
        <v>31487</v>
      </c>
      <c r="B329" s="8" t="s">
        <v>31488</v>
      </c>
      <c r="C329" s="9" t="s">
        <v>10622</v>
      </c>
    </row>
    <row r="330">
      <c r="A330" s="9" t="s">
        <v>31489</v>
      </c>
      <c r="B330" s="8" t="s">
        <v>31490</v>
      </c>
      <c r="C330" s="9" t="s">
        <v>10622</v>
      </c>
    </row>
    <row r="331">
      <c r="A331" s="9" t="s">
        <v>31491</v>
      </c>
      <c r="B331" s="8" t="s">
        <v>31492</v>
      </c>
      <c r="C331" s="9" t="s">
        <v>10622</v>
      </c>
    </row>
    <row r="332">
      <c r="A332" s="9" t="s">
        <v>31493</v>
      </c>
      <c r="B332" s="8" t="s">
        <v>31494</v>
      </c>
      <c r="C332" s="9" t="s">
        <v>10622</v>
      </c>
    </row>
    <row r="333">
      <c r="A333" s="9" t="s">
        <v>31523</v>
      </c>
      <c r="B333" s="8" t="s">
        <v>31524</v>
      </c>
      <c r="C333" s="9" t="s">
        <v>11864</v>
      </c>
    </row>
    <row r="334">
      <c r="A334" s="9" t="s">
        <v>31525</v>
      </c>
      <c r="B334" s="8" t="s">
        <v>31526</v>
      </c>
      <c r="C334" s="9" t="s">
        <v>11864</v>
      </c>
    </row>
    <row r="335">
      <c r="A335" s="9" t="s">
        <v>31529</v>
      </c>
      <c r="B335" s="8" t="s">
        <v>31530</v>
      </c>
      <c r="C335" s="9" t="s">
        <v>11864</v>
      </c>
    </row>
    <row r="336">
      <c r="A336" s="9" t="s">
        <v>31532</v>
      </c>
      <c r="B336" s="8" t="s">
        <v>31533</v>
      </c>
      <c r="C336" s="9" t="s">
        <v>11864</v>
      </c>
    </row>
    <row r="337">
      <c r="A337" s="9" t="s">
        <v>31534</v>
      </c>
      <c r="B337" s="8" t="s">
        <v>31535</v>
      </c>
      <c r="C337" s="9" t="s">
        <v>11864</v>
      </c>
    </row>
    <row r="338">
      <c r="A338" s="9" t="s">
        <v>31536</v>
      </c>
      <c r="B338" s="8" t="s">
        <v>31537</v>
      </c>
      <c r="C338" s="9" t="s">
        <v>11864</v>
      </c>
    </row>
    <row r="339">
      <c r="A339" s="9" t="s">
        <v>31538</v>
      </c>
      <c r="B339" s="8" t="s">
        <v>31539</v>
      </c>
      <c r="C339" s="9" t="s">
        <v>11864</v>
      </c>
    </row>
    <row r="340">
      <c r="A340" s="9" t="s">
        <v>31540</v>
      </c>
      <c r="B340" s="8" t="s">
        <v>31541</v>
      </c>
      <c r="C340" s="9" t="s">
        <v>11864</v>
      </c>
    </row>
    <row r="341">
      <c r="A341" s="9" t="s">
        <v>31542</v>
      </c>
      <c r="B341" s="8" t="s">
        <v>31543</v>
      </c>
      <c r="C341" s="9" t="s">
        <v>11864</v>
      </c>
    </row>
    <row r="342">
      <c r="A342" s="9" t="s">
        <v>31544</v>
      </c>
      <c r="B342" s="8" t="s">
        <v>31545</v>
      </c>
      <c r="C342" s="9" t="s">
        <v>11864</v>
      </c>
    </row>
    <row r="343">
      <c r="A343" s="9" t="s">
        <v>31546</v>
      </c>
      <c r="B343" s="8" t="s">
        <v>31547</v>
      </c>
      <c r="C343" s="9" t="s">
        <v>11864</v>
      </c>
    </row>
    <row r="344">
      <c r="A344" s="9" t="s">
        <v>31548</v>
      </c>
      <c r="B344" s="8" t="s">
        <v>31549</v>
      </c>
      <c r="C344" s="9" t="s">
        <v>11864</v>
      </c>
    </row>
    <row r="345">
      <c r="A345" s="9" t="s">
        <v>31550</v>
      </c>
      <c r="B345" s="8" t="s">
        <v>31551</v>
      </c>
      <c r="C345" s="9" t="s">
        <v>11864</v>
      </c>
    </row>
    <row r="346">
      <c r="A346" s="9" t="s">
        <v>31552</v>
      </c>
      <c r="B346" s="8" t="s">
        <v>31553</v>
      </c>
      <c r="C346" s="9" t="s">
        <v>11864</v>
      </c>
    </row>
    <row r="347">
      <c r="A347" s="9" t="s">
        <v>31554</v>
      </c>
      <c r="B347" s="8" t="s">
        <v>31555</v>
      </c>
      <c r="C347" s="9" t="s">
        <v>11864</v>
      </c>
    </row>
    <row r="348">
      <c r="A348" s="9" t="s">
        <v>31556</v>
      </c>
      <c r="B348" s="8" t="s">
        <v>31557</v>
      </c>
      <c r="C348" s="9" t="s">
        <v>11864</v>
      </c>
    </row>
    <row r="349">
      <c r="A349" s="9" t="s">
        <v>31574</v>
      </c>
      <c r="B349" s="8" t="s">
        <v>31575</v>
      </c>
      <c r="C349" s="9" t="s">
        <v>10662</v>
      </c>
    </row>
    <row r="350">
      <c r="A350" s="9" t="s">
        <v>31576</v>
      </c>
      <c r="B350" s="8" t="s">
        <v>31577</v>
      </c>
      <c r="C350" s="9" t="s">
        <v>10662</v>
      </c>
    </row>
    <row r="351">
      <c r="A351" s="9" t="s">
        <v>31578</v>
      </c>
      <c r="B351" s="8" t="s">
        <v>31579</v>
      </c>
      <c r="C351" s="9" t="s">
        <v>10662</v>
      </c>
    </row>
    <row r="352">
      <c r="A352" s="9" t="s">
        <v>31580</v>
      </c>
      <c r="B352" s="8" t="s">
        <v>31581</v>
      </c>
      <c r="C352" s="9" t="s">
        <v>10662</v>
      </c>
    </row>
    <row r="353">
      <c r="A353" s="9" t="s">
        <v>31582</v>
      </c>
      <c r="B353" s="8" t="s">
        <v>31583</v>
      </c>
      <c r="C353" s="9" t="s">
        <v>10662</v>
      </c>
    </row>
    <row r="354">
      <c r="A354" s="9" t="s">
        <v>31584</v>
      </c>
      <c r="B354" s="8" t="s">
        <v>31585</v>
      </c>
      <c r="C354" s="9" t="s">
        <v>10662</v>
      </c>
    </row>
    <row r="355">
      <c r="A355" s="9" t="s">
        <v>31586</v>
      </c>
      <c r="B355" s="8" t="s">
        <v>31587</v>
      </c>
      <c r="C355" s="9" t="s">
        <v>10662</v>
      </c>
    </row>
    <row r="356">
      <c r="A356" s="9" t="s">
        <v>31588</v>
      </c>
      <c r="B356" s="8" t="s">
        <v>31589</v>
      </c>
      <c r="C356" s="9" t="s">
        <v>10662</v>
      </c>
    </row>
    <row r="357">
      <c r="A357" s="9" t="s">
        <v>31590</v>
      </c>
      <c r="B357" s="8" t="s">
        <v>31591</v>
      </c>
      <c r="C357" s="9" t="s">
        <v>10662</v>
      </c>
    </row>
    <row r="358">
      <c r="A358" s="9" t="s">
        <v>31632</v>
      </c>
      <c r="B358" s="8" t="s">
        <v>31633</v>
      </c>
      <c r="C358" s="9" t="s">
        <v>10711</v>
      </c>
    </row>
    <row r="359">
      <c r="A359" s="9" t="s">
        <v>31634</v>
      </c>
      <c r="B359" s="8" t="s">
        <v>31635</v>
      </c>
      <c r="C359" s="9" t="s">
        <v>10711</v>
      </c>
    </row>
    <row r="360">
      <c r="A360" s="9" t="s">
        <v>31636</v>
      </c>
      <c r="B360" s="8" t="s">
        <v>31637</v>
      </c>
      <c r="C360" s="9" t="s">
        <v>10711</v>
      </c>
    </row>
    <row r="361">
      <c r="A361" s="9" t="s">
        <v>31638</v>
      </c>
      <c r="B361" s="8" t="s">
        <v>31639</v>
      </c>
      <c r="C361" s="9" t="s">
        <v>10711</v>
      </c>
    </row>
    <row r="362">
      <c r="A362" s="9" t="s">
        <v>31640</v>
      </c>
      <c r="B362" s="8" t="s">
        <v>31641</v>
      </c>
      <c r="C362" s="9" t="s">
        <v>10711</v>
      </c>
    </row>
    <row r="363">
      <c r="A363" s="9" t="s">
        <v>31642</v>
      </c>
      <c r="B363" s="8" t="s">
        <v>31643</v>
      </c>
      <c r="C363" s="9" t="s">
        <v>10711</v>
      </c>
    </row>
    <row r="364">
      <c r="A364" s="9" t="s">
        <v>31681</v>
      </c>
      <c r="B364" s="8" t="s">
        <v>31682</v>
      </c>
      <c r="C364" s="9" t="s">
        <v>10477</v>
      </c>
    </row>
    <row r="365">
      <c r="A365" s="9" t="s">
        <v>31683</v>
      </c>
      <c r="B365" s="8" t="s">
        <v>31684</v>
      </c>
      <c r="C365" s="9" t="s">
        <v>10477</v>
      </c>
    </row>
    <row r="366">
      <c r="A366" s="9" t="s">
        <v>31685</v>
      </c>
      <c r="B366" s="8" t="s">
        <v>31686</v>
      </c>
      <c r="C366" s="9" t="s">
        <v>10477</v>
      </c>
    </row>
    <row r="367">
      <c r="A367" s="9" t="s">
        <v>31687</v>
      </c>
      <c r="B367" s="8" t="s">
        <v>31688</v>
      </c>
      <c r="C367" s="9" t="s">
        <v>10477</v>
      </c>
    </row>
    <row r="368">
      <c r="A368" s="9" t="s">
        <v>31689</v>
      </c>
      <c r="B368" s="8" t="s">
        <v>31690</v>
      </c>
      <c r="C368" s="9" t="s">
        <v>10477</v>
      </c>
    </row>
    <row r="369">
      <c r="A369" s="9" t="s">
        <v>31691</v>
      </c>
      <c r="B369" s="8" t="s">
        <v>31692</v>
      </c>
      <c r="C369" s="9" t="s">
        <v>10477</v>
      </c>
    </row>
    <row r="370">
      <c r="A370" s="9" t="s">
        <v>31693</v>
      </c>
      <c r="B370" s="8" t="s">
        <v>31694</v>
      </c>
      <c r="C370" s="9" t="s">
        <v>10477</v>
      </c>
    </row>
    <row r="371">
      <c r="A371" s="9" t="s">
        <v>31695</v>
      </c>
      <c r="B371" s="8" t="s">
        <v>31696</v>
      </c>
      <c r="C371" s="9" t="s">
        <v>10477</v>
      </c>
    </row>
    <row r="372">
      <c r="A372" s="9" t="s">
        <v>31697</v>
      </c>
      <c r="B372" s="8" t="s">
        <v>31698</v>
      </c>
      <c r="C372" s="9" t="s">
        <v>10477</v>
      </c>
    </row>
    <row r="373">
      <c r="A373" s="9" t="s">
        <v>31699</v>
      </c>
      <c r="B373" s="8" t="s">
        <v>31700</v>
      </c>
      <c r="C373" s="9" t="s">
        <v>10477</v>
      </c>
    </row>
    <row r="374">
      <c r="A374" s="9" t="s">
        <v>31701</v>
      </c>
      <c r="B374" s="8" t="s">
        <v>31702</v>
      </c>
      <c r="C374" s="9" t="s">
        <v>10477</v>
      </c>
    </row>
    <row r="375">
      <c r="A375" s="9" t="s">
        <v>31703</v>
      </c>
      <c r="B375" s="8" t="s">
        <v>31704</v>
      </c>
      <c r="C375" s="9" t="s">
        <v>11763</v>
      </c>
    </row>
    <row r="376">
      <c r="A376" s="9" t="s">
        <v>31705</v>
      </c>
      <c r="B376" s="8" t="s">
        <v>31706</v>
      </c>
      <c r="C376" s="9" t="s">
        <v>11763</v>
      </c>
    </row>
    <row r="377">
      <c r="A377" s="9" t="s">
        <v>31707</v>
      </c>
      <c r="B377" s="8" t="s">
        <v>31708</v>
      </c>
      <c r="C377" s="9" t="s">
        <v>11763</v>
      </c>
    </row>
    <row r="378">
      <c r="A378" s="9" t="s">
        <v>31709</v>
      </c>
      <c r="B378" s="8" t="s">
        <v>31710</v>
      </c>
      <c r="C378" s="9" t="s">
        <v>11763</v>
      </c>
    </row>
    <row r="379">
      <c r="A379" s="9" t="s">
        <v>31711</v>
      </c>
      <c r="B379" s="8" t="s">
        <v>31712</v>
      </c>
      <c r="C379" s="9" t="s">
        <v>11763</v>
      </c>
    </row>
    <row r="380">
      <c r="A380" s="9" t="s">
        <v>31714</v>
      </c>
      <c r="B380" s="8" t="s">
        <v>31715</v>
      </c>
      <c r="C380" s="9" t="s">
        <v>11763</v>
      </c>
    </row>
    <row r="381">
      <c r="A381" s="9" t="s">
        <v>31716</v>
      </c>
      <c r="B381" s="8" t="s">
        <v>31717</v>
      </c>
      <c r="C381" s="9" t="s">
        <v>11763</v>
      </c>
    </row>
    <row r="382">
      <c r="A382" s="9" t="s">
        <v>31741</v>
      </c>
      <c r="B382" s="8" t="s">
        <v>31742</v>
      </c>
      <c r="C382" s="9" t="s">
        <v>10616</v>
      </c>
    </row>
    <row r="383">
      <c r="A383" s="9" t="s">
        <v>31743</v>
      </c>
      <c r="B383" s="8" t="s">
        <v>31744</v>
      </c>
      <c r="C383" s="9" t="s">
        <v>10616</v>
      </c>
    </row>
    <row r="384">
      <c r="A384" s="9" t="s">
        <v>31745</v>
      </c>
      <c r="B384" s="8" t="s">
        <v>31746</v>
      </c>
      <c r="C384" s="9" t="s">
        <v>10616</v>
      </c>
    </row>
    <row r="385">
      <c r="A385" s="9" t="s">
        <v>31797</v>
      </c>
      <c r="B385" s="8" t="s">
        <v>31798</v>
      </c>
      <c r="C385" s="9" t="s">
        <v>12030</v>
      </c>
    </row>
    <row r="386">
      <c r="A386" s="9" t="s">
        <v>31844</v>
      </c>
      <c r="B386" s="8" t="s">
        <v>31845</v>
      </c>
      <c r="C386" s="9" t="s">
        <v>12024</v>
      </c>
    </row>
    <row r="387">
      <c r="A387" s="9" t="s">
        <v>31846</v>
      </c>
      <c r="B387" s="8" t="s">
        <v>31847</v>
      </c>
      <c r="C387" s="9" t="s">
        <v>12024</v>
      </c>
    </row>
    <row r="388">
      <c r="A388" s="9" t="s">
        <v>31848</v>
      </c>
      <c r="B388" s="8" t="s">
        <v>31849</v>
      </c>
      <c r="C388" s="9" t="s">
        <v>12024</v>
      </c>
    </row>
    <row r="389">
      <c r="A389" s="9" t="s">
        <v>31850</v>
      </c>
      <c r="B389" s="8" t="s">
        <v>31851</v>
      </c>
      <c r="C389" s="9" t="s">
        <v>12024</v>
      </c>
    </row>
    <row r="390">
      <c r="A390" s="9" t="s">
        <v>31852</v>
      </c>
      <c r="B390" s="8" t="s">
        <v>31853</v>
      </c>
      <c r="C390" s="9" t="s">
        <v>12024</v>
      </c>
    </row>
    <row r="391">
      <c r="A391" s="9" t="s">
        <v>31854</v>
      </c>
      <c r="B391" s="8" t="s">
        <v>31855</v>
      </c>
      <c r="C391" s="9" t="s">
        <v>12024</v>
      </c>
    </row>
    <row r="392">
      <c r="A392" s="9" t="s">
        <v>31856</v>
      </c>
      <c r="B392" s="8" t="s">
        <v>31857</v>
      </c>
      <c r="C392" s="9" t="s">
        <v>12024</v>
      </c>
    </row>
    <row r="393">
      <c r="A393" s="9" t="s">
        <v>31858</v>
      </c>
      <c r="B393" s="8" t="s">
        <v>31859</v>
      </c>
      <c r="C393" s="9" t="s">
        <v>12024</v>
      </c>
    </row>
    <row r="394">
      <c r="A394" s="9" t="s">
        <v>31878</v>
      </c>
      <c r="B394" s="8" t="s">
        <v>31879</v>
      </c>
      <c r="C394" s="9" t="s">
        <v>11813</v>
      </c>
    </row>
    <row r="395">
      <c r="A395" s="9" t="s">
        <v>31880</v>
      </c>
      <c r="B395" s="8" t="s">
        <v>31881</v>
      </c>
      <c r="C395" s="9" t="s">
        <v>11813</v>
      </c>
    </row>
    <row r="396">
      <c r="A396" s="9" t="s">
        <v>31918</v>
      </c>
      <c r="B396" s="8" t="s">
        <v>31919</v>
      </c>
      <c r="C396" s="9" t="s">
        <v>10735</v>
      </c>
    </row>
    <row r="397">
      <c r="A397" s="9" t="s">
        <v>31920</v>
      </c>
      <c r="B397" s="8" t="s">
        <v>31921</v>
      </c>
      <c r="C397" s="9" t="s">
        <v>10735</v>
      </c>
    </row>
    <row r="398">
      <c r="A398" s="9" t="s">
        <v>31922</v>
      </c>
      <c r="B398" s="8" t="s">
        <v>31923</v>
      </c>
      <c r="C398" s="9" t="s">
        <v>10735</v>
      </c>
    </row>
    <row r="399">
      <c r="A399" s="9" t="s">
        <v>31924</v>
      </c>
      <c r="B399" s="8" t="s">
        <v>31925</v>
      </c>
      <c r="C399" s="9" t="s">
        <v>10735</v>
      </c>
    </row>
    <row r="400">
      <c r="A400" s="9" t="s">
        <v>31926</v>
      </c>
      <c r="B400" s="8" t="s">
        <v>31927</v>
      </c>
      <c r="C400" s="9" t="s">
        <v>10735</v>
      </c>
    </row>
    <row r="401">
      <c r="A401" s="9" t="s">
        <v>31928</v>
      </c>
      <c r="B401" s="8" t="s">
        <v>31929</v>
      </c>
      <c r="C401" s="9" t="s">
        <v>10735</v>
      </c>
    </row>
    <row r="402">
      <c r="A402" s="9" t="s">
        <v>31930</v>
      </c>
      <c r="B402" s="8" t="s">
        <v>31931</v>
      </c>
      <c r="C402" s="9" t="s">
        <v>10735</v>
      </c>
    </row>
    <row r="403">
      <c r="A403" s="9" t="s">
        <v>31932</v>
      </c>
      <c r="B403" s="8" t="s">
        <v>31933</v>
      </c>
      <c r="C403" s="9" t="s">
        <v>10735</v>
      </c>
    </row>
    <row r="404">
      <c r="A404" s="9" t="s">
        <v>31956</v>
      </c>
      <c r="B404" s="8" t="s">
        <v>31957</v>
      </c>
      <c r="C404" s="9" t="s">
        <v>7537</v>
      </c>
    </row>
    <row r="405">
      <c r="A405" s="9" t="s">
        <v>31958</v>
      </c>
      <c r="B405" s="8" t="s">
        <v>31959</v>
      </c>
      <c r="C405" s="9" t="s">
        <v>7537</v>
      </c>
    </row>
    <row r="406">
      <c r="A406" s="9" t="s">
        <v>32216</v>
      </c>
      <c r="B406" s="8" t="s">
        <v>32217</v>
      </c>
      <c r="C406" s="9" t="s">
        <v>9522</v>
      </c>
    </row>
    <row r="407">
      <c r="A407" s="9" t="s">
        <v>32218</v>
      </c>
      <c r="B407" s="8" t="s">
        <v>32219</v>
      </c>
      <c r="C407" s="9" t="s">
        <v>9522</v>
      </c>
    </row>
    <row r="408">
      <c r="A408" s="9" t="s">
        <v>32220</v>
      </c>
      <c r="B408" s="8" t="s">
        <v>32221</v>
      </c>
      <c r="C408" s="9" t="s">
        <v>9522</v>
      </c>
    </row>
    <row r="409">
      <c r="A409" s="9" t="s">
        <v>32222</v>
      </c>
      <c r="B409" s="8" t="s">
        <v>32223</v>
      </c>
      <c r="C409" s="9" t="s">
        <v>9189</v>
      </c>
    </row>
    <row r="410">
      <c r="A410" s="9" t="s">
        <v>32224</v>
      </c>
      <c r="B410" s="8" t="s">
        <v>32225</v>
      </c>
      <c r="C410" s="9" t="s">
        <v>9522</v>
      </c>
    </row>
    <row r="411">
      <c r="A411" s="9" t="s">
        <v>32226</v>
      </c>
      <c r="B411" s="8" t="s">
        <v>32227</v>
      </c>
      <c r="C411" s="9" t="s">
        <v>9522</v>
      </c>
    </row>
    <row r="412">
      <c r="A412" s="9" t="s">
        <v>32239</v>
      </c>
      <c r="B412" s="8" t="s">
        <v>32240</v>
      </c>
      <c r="C412" s="9" t="s">
        <v>11813</v>
      </c>
    </row>
    <row r="413">
      <c r="A413" s="9" t="s">
        <v>32241</v>
      </c>
      <c r="B413" s="8" t="s">
        <v>32242</v>
      </c>
      <c r="C413" s="9" t="s">
        <v>11813</v>
      </c>
    </row>
    <row r="414">
      <c r="A414" s="9" t="s">
        <v>32243</v>
      </c>
      <c r="B414" s="8" t="s">
        <v>32244</v>
      </c>
      <c r="C414" s="9" t="s">
        <v>11813</v>
      </c>
    </row>
    <row r="415">
      <c r="A415" s="9" t="s">
        <v>32245</v>
      </c>
      <c r="B415" s="8" t="s">
        <v>32246</v>
      </c>
      <c r="C415" s="9" t="s">
        <v>11813</v>
      </c>
    </row>
    <row r="416">
      <c r="A416" s="9" t="s">
        <v>32247</v>
      </c>
      <c r="B416" s="8" t="s">
        <v>32248</v>
      </c>
      <c r="C416" s="9" t="s">
        <v>11813</v>
      </c>
    </row>
    <row r="417">
      <c r="A417" s="9" t="s">
        <v>32249</v>
      </c>
      <c r="B417" s="8" t="s">
        <v>32250</v>
      </c>
      <c r="C417" s="9" t="s">
        <v>11813</v>
      </c>
    </row>
    <row r="418">
      <c r="A418" s="9" t="s">
        <v>32251</v>
      </c>
      <c r="B418" s="8" t="s">
        <v>32252</v>
      </c>
      <c r="C418" s="9" t="s">
        <v>11813</v>
      </c>
    </row>
    <row r="419">
      <c r="A419" s="9" t="s">
        <v>32253</v>
      </c>
      <c r="B419" s="8" t="s">
        <v>32254</v>
      </c>
      <c r="C419" s="9" t="s">
        <v>11813</v>
      </c>
    </row>
    <row r="420">
      <c r="A420" s="9" t="s">
        <v>32271</v>
      </c>
      <c r="B420" s="8" t="s">
        <v>32272</v>
      </c>
      <c r="C420" s="9" t="s">
        <v>9268</v>
      </c>
    </row>
    <row r="421">
      <c r="A421" s="9" t="s">
        <v>32273</v>
      </c>
      <c r="B421" s="8" t="s">
        <v>32274</v>
      </c>
      <c r="C421" s="9" t="s">
        <v>9268</v>
      </c>
    </row>
    <row r="422">
      <c r="A422" s="9" t="s">
        <v>32276</v>
      </c>
      <c r="B422" s="8" t="s">
        <v>32277</v>
      </c>
      <c r="C422" s="9" t="s">
        <v>9268</v>
      </c>
    </row>
    <row r="423">
      <c r="A423" s="9" t="s">
        <v>32278</v>
      </c>
      <c r="B423" s="8" t="s">
        <v>32279</v>
      </c>
      <c r="C423" s="9" t="s">
        <v>9268</v>
      </c>
    </row>
    <row r="424">
      <c r="A424" s="9" t="s">
        <v>32280</v>
      </c>
      <c r="B424" s="8" t="s">
        <v>32281</v>
      </c>
      <c r="C424" s="9" t="s">
        <v>9268</v>
      </c>
    </row>
    <row r="425">
      <c r="A425" s="9" t="s">
        <v>32352</v>
      </c>
      <c r="B425" s="8" t="s">
        <v>32353</v>
      </c>
      <c r="C425" s="9" t="s">
        <v>10738</v>
      </c>
    </row>
    <row r="426">
      <c r="A426" s="9" t="s">
        <v>32354</v>
      </c>
      <c r="B426" s="8" t="s">
        <v>32355</v>
      </c>
      <c r="C426" s="9" t="s">
        <v>10738</v>
      </c>
    </row>
    <row r="427">
      <c r="A427" s="9" t="s">
        <v>32356</v>
      </c>
      <c r="B427" s="8" t="s">
        <v>32357</v>
      </c>
      <c r="C427" s="9" t="s">
        <v>10738</v>
      </c>
    </row>
    <row r="428">
      <c r="A428" s="9" t="s">
        <v>32358</v>
      </c>
      <c r="B428" s="8" t="s">
        <v>32359</v>
      </c>
      <c r="C428" s="9" t="s">
        <v>10738</v>
      </c>
    </row>
    <row r="429">
      <c r="A429" s="9" t="s">
        <v>32360</v>
      </c>
      <c r="B429" s="8" t="s">
        <v>32361</v>
      </c>
      <c r="C429" s="9" t="s">
        <v>10738</v>
      </c>
    </row>
    <row r="430">
      <c r="A430" s="9" t="s">
        <v>32362</v>
      </c>
      <c r="B430" s="8" t="s">
        <v>32363</v>
      </c>
      <c r="C430" s="9" t="s">
        <v>10738</v>
      </c>
    </row>
    <row r="431">
      <c r="A431" s="9" t="s">
        <v>32364</v>
      </c>
      <c r="B431" s="8" t="s">
        <v>32365</v>
      </c>
      <c r="C431" s="9" t="s">
        <v>10738</v>
      </c>
    </row>
    <row r="432">
      <c r="A432" s="9" t="s">
        <v>32366</v>
      </c>
      <c r="B432" s="8" t="s">
        <v>32367</v>
      </c>
      <c r="C432" s="9" t="s">
        <v>10738</v>
      </c>
    </row>
    <row r="433">
      <c r="A433" s="9" t="s">
        <v>32368</v>
      </c>
      <c r="B433" s="8" t="s">
        <v>32369</v>
      </c>
      <c r="C433" s="9" t="s">
        <v>10738</v>
      </c>
    </row>
    <row r="434">
      <c r="A434" s="9" t="s">
        <v>32372</v>
      </c>
      <c r="B434" s="8" t="s">
        <v>32373</v>
      </c>
      <c r="C434" s="9" t="s">
        <v>1561</v>
      </c>
    </row>
    <row r="435">
      <c r="A435" s="9" t="s">
        <v>32374</v>
      </c>
      <c r="B435" s="8" t="s">
        <v>32375</v>
      </c>
      <c r="C435" s="9" t="s">
        <v>1561</v>
      </c>
    </row>
    <row r="436">
      <c r="A436" s="9" t="s">
        <v>32404</v>
      </c>
      <c r="B436" s="8" t="s">
        <v>32405</v>
      </c>
      <c r="C436" s="9" t="s">
        <v>6989</v>
      </c>
    </row>
    <row r="437">
      <c r="A437" s="9" t="s">
        <v>32406</v>
      </c>
      <c r="B437" s="8" t="s">
        <v>32407</v>
      </c>
      <c r="C437" s="9" t="s">
        <v>6989</v>
      </c>
    </row>
    <row r="438">
      <c r="A438" s="9" t="s">
        <v>32410</v>
      </c>
      <c r="B438" s="8" t="s">
        <v>32411</v>
      </c>
      <c r="C438" s="9" t="s">
        <v>6209</v>
      </c>
    </row>
    <row r="439">
      <c r="A439" s="9" t="s">
        <v>32412</v>
      </c>
      <c r="B439" s="8" t="s">
        <v>32413</v>
      </c>
      <c r="C439" s="9" t="s">
        <v>6209</v>
      </c>
    </row>
    <row r="440">
      <c r="A440" s="9" t="s">
        <v>32414</v>
      </c>
      <c r="B440" s="8" t="s">
        <v>32415</v>
      </c>
      <c r="C440" s="9" t="s">
        <v>6209</v>
      </c>
    </row>
    <row r="441">
      <c r="A441" s="9" t="s">
        <v>33162</v>
      </c>
      <c r="B441" s="8" t="s">
        <v>33163</v>
      </c>
      <c r="C441" s="9" t="s">
        <v>10695</v>
      </c>
    </row>
    <row r="442">
      <c r="A442" s="9" t="s">
        <v>33164</v>
      </c>
      <c r="B442" s="8" t="s">
        <v>33165</v>
      </c>
      <c r="C442" s="9" t="s">
        <v>10695</v>
      </c>
    </row>
    <row r="443">
      <c r="A443" s="9" t="s">
        <v>33166</v>
      </c>
      <c r="B443" s="8" t="s">
        <v>33167</v>
      </c>
      <c r="C443" s="9" t="s">
        <v>10695</v>
      </c>
    </row>
    <row r="444">
      <c r="A444" s="9" t="s">
        <v>33168</v>
      </c>
      <c r="B444" s="8" t="s">
        <v>33169</v>
      </c>
      <c r="C444" s="9" t="s">
        <v>10695</v>
      </c>
    </row>
    <row r="445">
      <c r="A445" s="9" t="s">
        <v>33170</v>
      </c>
      <c r="B445" s="8" t="s">
        <v>33171</v>
      </c>
      <c r="C445" s="9" t="s">
        <v>10695</v>
      </c>
    </row>
    <row r="446">
      <c r="A446" s="9" t="s">
        <v>33172</v>
      </c>
      <c r="B446" s="8" t="s">
        <v>33173</v>
      </c>
      <c r="C446" s="9" t="s">
        <v>10695</v>
      </c>
    </row>
    <row r="447">
      <c r="A447" s="9" t="s">
        <v>33174</v>
      </c>
      <c r="B447" s="8" t="s">
        <v>33175</v>
      </c>
      <c r="C447" s="9" t="s">
        <v>10679</v>
      </c>
    </row>
    <row r="448">
      <c r="A448" s="9" t="s">
        <v>33176</v>
      </c>
      <c r="B448" s="8" t="s">
        <v>33177</v>
      </c>
      <c r="C448" s="9" t="s">
        <v>10679</v>
      </c>
    </row>
    <row r="449">
      <c r="A449" s="9" t="s">
        <v>33178</v>
      </c>
      <c r="B449" s="8" t="s">
        <v>33179</v>
      </c>
      <c r="C449" s="9" t="s">
        <v>10679</v>
      </c>
    </row>
    <row r="450">
      <c r="A450" s="9" t="s">
        <v>33180</v>
      </c>
      <c r="B450" s="8" t="s">
        <v>33181</v>
      </c>
      <c r="C450" s="9" t="s">
        <v>10679</v>
      </c>
    </row>
    <row r="451">
      <c r="A451" s="9" t="s">
        <v>33182</v>
      </c>
      <c r="B451" s="8" t="s">
        <v>33183</v>
      </c>
      <c r="C451" s="9" t="s">
        <v>10679</v>
      </c>
    </row>
    <row r="452">
      <c r="A452" s="9" t="s">
        <v>33184</v>
      </c>
      <c r="B452" s="8" t="s">
        <v>33185</v>
      </c>
      <c r="C452" s="9" t="s">
        <v>10679</v>
      </c>
    </row>
    <row r="453">
      <c r="A453" s="9" t="s">
        <v>33186</v>
      </c>
      <c r="B453" s="8" t="s">
        <v>33187</v>
      </c>
      <c r="C453" s="9" t="s">
        <v>10679</v>
      </c>
    </row>
    <row r="454">
      <c r="A454" s="9" t="s">
        <v>33215</v>
      </c>
      <c r="B454" s="8" t="s">
        <v>33216</v>
      </c>
      <c r="C454" s="9" t="s">
        <v>7925</v>
      </c>
    </row>
    <row r="455">
      <c r="A455" s="9" t="s">
        <v>33217</v>
      </c>
      <c r="B455" s="8" t="s">
        <v>33218</v>
      </c>
      <c r="C455" s="9" t="s">
        <v>7925</v>
      </c>
    </row>
    <row r="456">
      <c r="A456" s="9" t="s">
        <v>33219</v>
      </c>
      <c r="B456" s="8" t="s">
        <v>33220</v>
      </c>
      <c r="C456" s="9" t="s">
        <v>7925</v>
      </c>
    </row>
    <row r="457">
      <c r="A457" s="9" t="s">
        <v>33239</v>
      </c>
      <c r="B457" s="8" t="s">
        <v>33240</v>
      </c>
      <c r="C457" s="9" t="s">
        <v>11733</v>
      </c>
    </row>
    <row r="458">
      <c r="A458" s="9" t="s">
        <v>33241</v>
      </c>
      <c r="B458" s="8" t="s">
        <v>33242</v>
      </c>
      <c r="C458" s="9" t="s">
        <v>11733</v>
      </c>
    </row>
    <row r="459">
      <c r="A459" s="9" t="s">
        <v>33243</v>
      </c>
      <c r="B459" s="8" t="s">
        <v>33244</v>
      </c>
      <c r="C459" s="9" t="s">
        <v>11733</v>
      </c>
    </row>
    <row r="460">
      <c r="A460" s="9" t="s">
        <v>33271</v>
      </c>
      <c r="B460" s="8" t="s">
        <v>33272</v>
      </c>
      <c r="C460" s="9" t="s">
        <v>10707</v>
      </c>
    </row>
    <row r="461">
      <c r="A461" s="9" t="s">
        <v>33274</v>
      </c>
      <c r="B461" s="8" t="s">
        <v>33275</v>
      </c>
      <c r="C461" s="9" t="s">
        <v>10707</v>
      </c>
    </row>
    <row r="462">
      <c r="A462" s="9" t="s">
        <v>33277</v>
      </c>
      <c r="B462" s="8" t="s">
        <v>33278</v>
      </c>
      <c r="C462" s="9" t="s">
        <v>10707</v>
      </c>
    </row>
    <row r="463">
      <c r="A463" s="9" t="s">
        <v>33280</v>
      </c>
      <c r="B463" s="8" t="s">
        <v>33281</v>
      </c>
      <c r="C463" s="9" t="s">
        <v>10707</v>
      </c>
    </row>
    <row r="464">
      <c r="A464" s="9" t="s">
        <v>33283</v>
      </c>
      <c r="B464" s="8" t="s">
        <v>33284</v>
      </c>
      <c r="C464" s="9" t="s">
        <v>10707</v>
      </c>
    </row>
    <row r="465">
      <c r="A465" s="9" t="s">
        <v>33286</v>
      </c>
      <c r="B465" s="8" t="s">
        <v>33287</v>
      </c>
      <c r="C465" s="9" t="s">
        <v>10707</v>
      </c>
    </row>
    <row r="466">
      <c r="A466" s="9" t="s">
        <v>33289</v>
      </c>
      <c r="B466" s="8" t="s">
        <v>33290</v>
      </c>
      <c r="C466" s="9" t="s">
        <v>10707</v>
      </c>
    </row>
    <row r="467">
      <c r="A467" s="9" t="s">
        <v>33292</v>
      </c>
      <c r="B467" s="8" t="s">
        <v>33293</v>
      </c>
      <c r="C467" s="9" t="s">
        <v>10707</v>
      </c>
    </row>
    <row r="468">
      <c r="A468" s="9" t="s">
        <v>33295</v>
      </c>
      <c r="B468" s="8" t="s">
        <v>33296</v>
      </c>
      <c r="C468" s="9" t="s">
        <v>10707</v>
      </c>
    </row>
    <row r="469">
      <c r="A469" s="9" t="s">
        <v>33298</v>
      </c>
      <c r="B469" s="8" t="s">
        <v>33299</v>
      </c>
      <c r="C469" s="9" t="s">
        <v>10707</v>
      </c>
    </row>
    <row r="470">
      <c r="A470" s="9" t="s">
        <v>33301</v>
      </c>
      <c r="B470" s="8" t="s">
        <v>33302</v>
      </c>
      <c r="C470" s="9" t="s">
        <v>10707</v>
      </c>
    </row>
    <row r="471">
      <c r="A471" s="9" t="s">
        <v>33318</v>
      </c>
      <c r="B471" s="8" t="s">
        <v>33319</v>
      </c>
      <c r="C471" s="9" t="s">
        <v>11903</v>
      </c>
    </row>
    <row r="472">
      <c r="A472" s="9" t="s">
        <v>33358</v>
      </c>
      <c r="B472" s="8" t="s">
        <v>33359</v>
      </c>
      <c r="C472" s="9" t="s">
        <v>1546</v>
      </c>
    </row>
    <row r="473">
      <c r="A473" s="9" t="s">
        <v>33360</v>
      </c>
      <c r="B473" s="8" t="s">
        <v>33361</v>
      </c>
      <c r="C473" s="9" t="s">
        <v>1546</v>
      </c>
    </row>
    <row r="474">
      <c r="A474" s="9" t="s">
        <v>33362</v>
      </c>
      <c r="B474" s="8" t="s">
        <v>33363</v>
      </c>
      <c r="C474" s="9" t="s">
        <v>1546</v>
      </c>
    </row>
    <row r="475">
      <c r="A475" s="9" t="s">
        <v>33364</v>
      </c>
      <c r="B475" s="8" t="s">
        <v>33365</v>
      </c>
      <c r="C475" s="9" t="s">
        <v>1546</v>
      </c>
    </row>
    <row r="476">
      <c r="A476" s="9" t="s">
        <v>33366</v>
      </c>
      <c r="B476" s="8" t="s">
        <v>33367</v>
      </c>
      <c r="C476" s="9" t="s">
        <v>1546</v>
      </c>
    </row>
    <row r="477">
      <c r="A477" s="9" t="s">
        <v>33426</v>
      </c>
      <c r="B477" s="8" t="s">
        <v>33427</v>
      </c>
      <c r="C477" s="9" t="s">
        <v>1561</v>
      </c>
    </row>
    <row r="478">
      <c r="A478" s="9" t="s">
        <v>33428</v>
      </c>
      <c r="B478" s="8" t="s">
        <v>33429</v>
      </c>
      <c r="C478" s="9" t="s">
        <v>1561</v>
      </c>
    </row>
    <row r="479">
      <c r="A479" s="9" t="s">
        <v>33430</v>
      </c>
      <c r="B479" s="8" t="s">
        <v>33431</v>
      </c>
      <c r="C479" s="9" t="s">
        <v>1561</v>
      </c>
    </row>
    <row r="480">
      <c r="A480" s="9" t="s">
        <v>33432</v>
      </c>
      <c r="B480" s="8" t="s">
        <v>33433</v>
      </c>
      <c r="C480" s="9" t="s">
        <v>1561</v>
      </c>
    </row>
    <row r="481">
      <c r="A481" s="9" t="s">
        <v>33434</v>
      </c>
      <c r="B481" s="8" t="s">
        <v>33435</v>
      </c>
      <c r="C481" s="9" t="s">
        <v>1561</v>
      </c>
    </row>
    <row r="482">
      <c r="A482" s="9" t="s">
        <v>33436</v>
      </c>
      <c r="B482" s="8" t="s">
        <v>33437</v>
      </c>
      <c r="C482" s="9" t="s">
        <v>1561</v>
      </c>
    </row>
    <row r="483">
      <c r="A483" s="9" t="s">
        <v>33438</v>
      </c>
      <c r="B483" s="8" t="s">
        <v>33439</v>
      </c>
      <c r="C483" s="9" t="s">
        <v>1561</v>
      </c>
    </row>
    <row r="484">
      <c r="A484" s="9" t="s">
        <v>33440</v>
      </c>
      <c r="B484" s="8" t="s">
        <v>33441</v>
      </c>
      <c r="C484" s="9" t="s">
        <v>12093</v>
      </c>
    </row>
    <row r="485">
      <c r="A485" s="9" t="s">
        <v>33442</v>
      </c>
      <c r="B485" s="8" t="s">
        <v>33443</v>
      </c>
      <c r="C485" s="9" t="s">
        <v>12093</v>
      </c>
    </row>
    <row r="486">
      <c r="A486" s="9" t="s">
        <v>33444</v>
      </c>
      <c r="B486" s="8" t="s">
        <v>33445</v>
      </c>
      <c r="C486" s="9" t="s">
        <v>12093</v>
      </c>
    </row>
    <row r="487">
      <c r="A487" s="9" t="s">
        <v>33446</v>
      </c>
      <c r="B487" s="8" t="s">
        <v>33447</v>
      </c>
      <c r="C487" s="9" t="s">
        <v>12093</v>
      </c>
    </row>
    <row r="488">
      <c r="A488" s="9" t="s">
        <v>33448</v>
      </c>
      <c r="B488" s="8" t="s">
        <v>33449</v>
      </c>
      <c r="C488" s="9" t="s">
        <v>12093</v>
      </c>
    </row>
    <row r="489">
      <c r="A489" s="9" t="s">
        <v>33450</v>
      </c>
      <c r="B489" s="8" t="s">
        <v>33451</v>
      </c>
      <c r="C489" s="9" t="s">
        <v>12093</v>
      </c>
    </row>
    <row r="490">
      <c r="A490" s="9" t="s">
        <v>33452</v>
      </c>
      <c r="B490" s="8" t="s">
        <v>33453</v>
      </c>
      <c r="C490" s="9" t="s">
        <v>12093</v>
      </c>
    </row>
    <row r="491">
      <c r="A491" s="9" t="s">
        <v>33454</v>
      </c>
      <c r="B491" s="8" t="s">
        <v>33455</v>
      </c>
      <c r="C491" s="9" t="s">
        <v>12093</v>
      </c>
    </row>
    <row r="492">
      <c r="A492" s="9" t="s">
        <v>33456</v>
      </c>
      <c r="B492" s="8" t="s">
        <v>33457</v>
      </c>
      <c r="C492" s="9" t="s">
        <v>12093</v>
      </c>
    </row>
    <row r="493">
      <c r="A493" s="9" t="s">
        <v>33458</v>
      </c>
      <c r="B493" s="8" t="s">
        <v>33459</v>
      </c>
      <c r="C493" s="9" t="s">
        <v>12093</v>
      </c>
    </row>
    <row r="494">
      <c r="A494" s="9" t="s">
        <v>33460</v>
      </c>
      <c r="B494" s="8" t="s">
        <v>33461</v>
      </c>
      <c r="C494" s="9" t="s">
        <v>12093</v>
      </c>
    </row>
    <row r="495">
      <c r="A495" s="9" t="s">
        <v>33651</v>
      </c>
      <c r="B495" s="8" t="s">
        <v>33652</v>
      </c>
      <c r="C495" s="9" t="s">
        <v>11834</v>
      </c>
    </row>
    <row r="496">
      <c r="A496" s="9" t="s">
        <v>33653</v>
      </c>
      <c r="B496" s="8" t="s">
        <v>33654</v>
      </c>
      <c r="C496" s="9" t="s">
        <v>11834</v>
      </c>
    </row>
    <row r="497">
      <c r="A497" s="9" t="s">
        <v>33655</v>
      </c>
      <c r="B497" s="8" t="s">
        <v>33656</v>
      </c>
      <c r="C497" s="9" t="s">
        <v>11834</v>
      </c>
    </row>
    <row r="498">
      <c r="A498" s="9" t="s">
        <v>33657</v>
      </c>
      <c r="B498" s="8" t="s">
        <v>33658</v>
      </c>
      <c r="C498" s="9" t="s">
        <v>11834</v>
      </c>
    </row>
    <row r="499">
      <c r="A499" s="9" t="s">
        <v>33659</v>
      </c>
      <c r="B499" s="8" t="s">
        <v>33660</v>
      </c>
      <c r="C499" s="9" t="s">
        <v>11834</v>
      </c>
    </row>
    <row r="500">
      <c r="A500" s="9" t="s">
        <v>33661</v>
      </c>
      <c r="B500" s="8" t="s">
        <v>33662</v>
      </c>
      <c r="C500" s="9" t="s">
        <v>11834</v>
      </c>
    </row>
    <row r="501">
      <c r="A501" s="9">
        <v>8.3735996E7</v>
      </c>
      <c r="B501" s="8" t="s">
        <v>33664</v>
      </c>
      <c r="C501" s="9" t="s">
        <v>11834</v>
      </c>
    </row>
    <row r="502">
      <c r="A502" s="9" t="s">
        <v>33665</v>
      </c>
      <c r="B502" s="8" t="s">
        <v>33666</v>
      </c>
      <c r="C502" s="9" t="s">
        <v>11834</v>
      </c>
    </row>
    <row r="503">
      <c r="A503" s="9" t="s">
        <v>33667</v>
      </c>
      <c r="B503" s="8" t="s">
        <v>33668</v>
      </c>
      <c r="C503" s="9" t="s">
        <v>11834</v>
      </c>
    </row>
    <row r="504">
      <c r="A504" s="9" t="s">
        <v>33669</v>
      </c>
      <c r="B504" s="8" t="s">
        <v>33670</v>
      </c>
      <c r="C504" s="9" t="s">
        <v>11834</v>
      </c>
    </row>
    <row r="505">
      <c r="A505" s="9" t="s">
        <v>33671</v>
      </c>
      <c r="B505" s="8" t="s">
        <v>33672</v>
      </c>
      <c r="C505" s="9" t="s">
        <v>11834</v>
      </c>
    </row>
    <row r="506">
      <c r="A506" s="9" t="s">
        <v>33673</v>
      </c>
      <c r="B506" s="8" t="s">
        <v>33674</v>
      </c>
      <c r="C506" s="9" t="s">
        <v>11834</v>
      </c>
    </row>
    <row r="507">
      <c r="A507" s="9" t="s">
        <v>33675</v>
      </c>
      <c r="B507" s="8" t="s">
        <v>33676</v>
      </c>
      <c r="C507" s="9" t="s">
        <v>11834</v>
      </c>
    </row>
    <row r="508">
      <c r="A508" s="9" t="s">
        <v>33677</v>
      </c>
      <c r="B508" s="8" t="s">
        <v>33678</v>
      </c>
      <c r="C508" s="9" t="s">
        <v>11834</v>
      </c>
    </row>
    <row r="509">
      <c r="A509" s="9" t="s">
        <v>33882</v>
      </c>
      <c r="B509" s="8" t="s">
        <v>33883</v>
      </c>
      <c r="C509" s="9" t="s">
        <v>9012</v>
      </c>
    </row>
    <row r="510">
      <c r="A510" s="9" t="s">
        <v>33884</v>
      </c>
      <c r="B510" s="8" t="s">
        <v>33885</v>
      </c>
      <c r="C510" s="9" t="s">
        <v>9012</v>
      </c>
    </row>
    <row r="511">
      <c r="A511" s="9" t="s">
        <v>33886</v>
      </c>
      <c r="B511" s="8" t="s">
        <v>33887</v>
      </c>
      <c r="C511" s="9" t="s">
        <v>9012</v>
      </c>
    </row>
    <row r="512">
      <c r="A512" s="9" t="s">
        <v>33888</v>
      </c>
      <c r="B512" s="8" t="s">
        <v>33889</v>
      </c>
      <c r="C512" s="9" t="s">
        <v>9012</v>
      </c>
    </row>
    <row r="513">
      <c r="A513" s="9" t="s">
        <v>33936</v>
      </c>
      <c r="B513" s="8" t="s">
        <v>33937</v>
      </c>
      <c r="C513" s="9" t="s">
        <v>10709</v>
      </c>
    </row>
    <row r="514">
      <c r="A514" s="9">
        <v>7.2373394E7</v>
      </c>
      <c r="B514" s="8" t="s">
        <v>33939</v>
      </c>
      <c r="C514" s="9" t="s">
        <v>10709</v>
      </c>
    </row>
    <row r="515">
      <c r="A515" s="9" t="s">
        <v>33940</v>
      </c>
      <c r="B515" s="8" t="s">
        <v>33941</v>
      </c>
      <c r="C515" s="9" t="s">
        <v>10709</v>
      </c>
    </row>
    <row r="516">
      <c r="A516" s="9" t="s">
        <v>33942</v>
      </c>
      <c r="B516" s="8" t="s">
        <v>33943</v>
      </c>
      <c r="C516" s="9" t="s">
        <v>10709</v>
      </c>
    </row>
    <row r="517">
      <c r="A517" s="9" t="s">
        <v>33944</v>
      </c>
      <c r="B517" s="8" t="s">
        <v>33945</v>
      </c>
      <c r="C517" s="9" t="s">
        <v>10709</v>
      </c>
    </row>
    <row r="518">
      <c r="A518" s="9" t="s">
        <v>33946</v>
      </c>
      <c r="B518" s="8" t="s">
        <v>33947</v>
      </c>
      <c r="C518" s="9" t="s">
        <v>10709</v>
      </c>
    </row>
    <row r="519">
      <c r="A519" s="9" t="s">
        <v>33948</v>
      </c>
      <c r="B519" s="8" t="s">
        <v>33949</v>
      </c>
      <c r="C519" s="9" t="s">
        <v>10709</v>
      </c>
    </row>
    <row r="520">
      <c r="A520" s="9">
        <v>2.6727902E7</v>
      </c>
      <c r="B520" s="8" t="s">
        <v>33951</v>
      </c>
      <c r="C520" s="9" t="s">
        <v>10475</v>
      </c>
    </row>
    <row r="521">
      <c r="A521" s="9" t="s">
        <v>33953</v>
      </c>
      <c r="B521" s="8" t="s">
        <v>33954</v>
      </c>
      <c r="C521" s="9" t="s">
        <v>10475</v>
      </c>
    </row>
    <row r="522">
      <c r="A522" s="9" t="s">
        <v>33956</v>
      </c>
      <c r="B522" s="8" t="s">
        <v>33957</v>
      </c>
      <c r="C522" s="9" t="s">
        <v>10475</v>
      </c>
    </row>
    <row r="523">
      <c r="A523" s="9" t="s">
        <v>33959</v>
      </c>
      <c r="B523" s="8" t="s">
        <v>33960</v>
      </c>
      <c r="C523" s="9" t="s">
        <v>10475</v>
      </c>
    </row>
    <row r="524">
      <c r="A524" s="9" t="s">
        <v>33962</v>
      </c>
      <c r="B524" s="8" t="s">
        <v>33963</v>
      </c>
      <c r="C524" s="9" t="s">
        <v>11921</v>
      </c>
    </row>
    <row r="525">
      <c r="A525" s="9" t="s">
        <v>33965</v>
      </c>
      <c r="B525" s="8" t="s">
        <v>33966</v>
      </c>
      <c r="C525" s="9" t="s">
        <v>11921</v>
      </c>
    </row>
    <row r="526">
      <c r="A526" s="9" t="s">
        <v>33968</v>
      </c>
      <c r="B526" s="8" t="s">
        <v>33969</v>
      </c>
      <c r="C526" s="9" t="s">
        <v>11921</v>
      </c>
    </row>
    <row r="527">
      <c r="A527" s="9" t="s">
        <v>33982</v>
      </c>
      <c r="B527" s="8" t="s">
        <v>33983</v>
      </c>
      <c r="C527" s="9" t="s">
        <v>10707</v>
      </c>
    </row>
    <row r="528">
      <c r="A528" s="9" t="s">
        <v>34014</v>
      </c>
      <c r="B528" s="8" t="s">
        <v>34015</v>
      </c>
      <c r="C528" s="9" t="s">
        <v>1546</v>
      </c>
    </row>
    <row r="529">
      <c r="A529" s="9" t="s">
        <v>34016</v>
      </c>
      <c r="B529" s="8" t="s">
        <v>34017</v>
      </c>
      <c r="C529" s="9" t="s">
        <v>1546</v>
      </c>
    </row>
    <row r="530">
      <c r="A530" s="9" t="s">
        <v>34018</v>
      </c>
      <c r="B530" s="8" t="s">
        <v>34019</v>
      </c>
      <c r="C530" s="9" t="s">
        <v>1546</v>
      </c>
    </row>
    <row r="531">
      <c r="A531" s="9" t="s">
        <v>34020</v>
      </c>
      <c r="B531" s="8" t="s">
        <v>34021</v>
      </c>
      <c r="C531" s="9" t="s">
        <v>1546</v>
      </c>
    </row>
    <row r="532">
      <c r="A532" s="9" t="s">
        <v>34022</v>
      </c>
      <c r="B532" s="8" t="s">
        <v>34023</v>
      </c>
      <c r="C532" s="9" t="s">
        <v>1546</v>
      </c>
    </row>
    <row r="533">
      <c r="A533" s="9" t="s">
        <v>34024</v>
      </c>
      <c r="B533" s="8" t="s">
        <v>34025</v>
      </c>
      <c r="C533" s="9" t="s">
        <v>1546</v>
      </c>
    </row>
    <row r="534">
      <c r="A534" s="9">
        <v>4.7599047E7</v>
      </c>
      <c r="B534" s="8" t="s">
        <v>34027</v>
      </c>
      <c r="C534" s="9" t="s">
        <v>1546</v>
      </c>
    </row>
    <row r="535">
      <c r="A535" s="9" t="s">
        <v>34028</v>
      </c>
      <c r="B535" s="8" t="s">
        <v>34029</v>
      </c>
      <c r="C535" s="9" t="s">
        <v>12041</v>
      </c>
    </row>
    <row r="536">
      <c r="A536" s="9" t="s">
        <v>34030</v>
      </c>
      <c r="B536" s="8" t="s">
        <v>34031</v>
      </c>
      <c r="C536" s="9" t="s">
        <v>12041</v>
      </c>
    </row>
    <row r="537">
      <c r="A537" s="9">
        <v>1.1249518E7</v>
      </c>
      <c r="B537" s="8" t="s">
        <v>34033</v>
      </c>
      <c r="C537" s="9" t="s">
        <v>12041</v>
      </c>
    </row>
    <row r="538">
      <c r="A538" s="9" t="s">
        <v>34034</v>
      </c>
      <c r="B538" s="8" t="s">
        <v>34035</v>
      </c>
      <c r="C538" s="9" t="s">
        <v>12041</v>
      </c>
    </row>
    <row r="539">
      <c r="A539" s="9" t="s">
        <v>34036</v>
      </c>
      <c r="B539" s="8" t="s">
        <v>34037</v>
      </c>
      <c r="C539" s="9" t="s">
        <v>12041</v>
      </c>
    </row>
    <row r="540">
      <c r="A540" s="9" t="s">
        <v>34240</v>
      </c>
      <c r="B540" s="8" t="s">
        <v>34241</v>
      </c>
      <c r="C540" s="9" t="s">
        <v>10664</v>
      </c>
    </row>
    <row r="541">
      <c r="A541" s="9" t="s">
        <v>34242</v>
      </c>
      <c r="B541" s="8" t="s">
        <v>34243</v>
      </c>
      <c r="C541" s="9" t="s">
        <v>10664</v>
      </c>
    </row>
    <row r="542">
      <c r="A542" s="9" t="s">
        <v>34244</v>
      </c>
      <c r="B542" s="8" t="s">
        <v>34245</v>
      </c>
      <c r="C542" s="9" t="s">
        <v>10664</v>
      </c>
    </row>
    <row r="543">
      <c r="A543" s="9" t="s">
        <v>34246</v>
      </c>
      <c r="B543" s="8" t="s">
        <v>34247</v>
      </c>
      <c r="C543" s="9" t="s">
        <v>10664</v>
      </c>
    </row>
    <row r="544">
      <c r="A544" s="9" t="s">
        <v>34248</v>
      </c>
      <c r="B544" s="8" t="s">
        <v>34249</v>
      </c>
      <c r="C544" s="9" t="s">
        <v>10664</v>
      </c>
    </row>
    <row r="545">
      <c r="A545" s="9" t="s">
        <v>34250</v>
      </c>
      <c r="B545" s="8" t="s">
        <v>34251</v>
      </c>
      <c r="C545" s="9" t="s">
        <v>10128</v>
      </c>
    </row>
    <row r="546">
      <c r="A546" s="9" t="s">
        <v>34252</v>
      </c>
      <c r="B546" s="8" t="s">
        <v>34253</v>
      </c>
      <c r="C546" s="9" t="s">
        <v>10128</v>
      </c>
    </row>
    <row r="547">
      <c r="A547" s="9" t="s">
        <v>34254</v>
      </c>
      <c r="B547" s="8" t="s">
        <v>34255</v>
      </c>
      <c r="C547" s="9" t="s">
        <v>10128</v>
      </c>
    </row>
    <row r="548">
      <c r="A548" s="9" t="s">
        <v>34256</v>
      </c>
      <c r="B548" s="8" t="s">
        <v>34257</v>
      </c>
      <c r="C548" s="9" t="s">
        <v>10128</v>
      </c>
    </row>
    <row r="549">
      <c r="A549" s="9" t="s">
        <v>34312</v>
      </c>
      <c r="B549" s="8" t="s">
        <v>34313</v>
      </c>
      <c r="C549" s="9" t="s">
        <v>10291</v>
      </c>
    </row>
    <row r="550">
      <c r="A550" s="9" t="s">
        <v>34314</v>
      </c>
      <c r="B550" s="8" t="s">
        <v>34315</v>
      </c>
      <c r="C550" s="9" t="s">
        <v>10291</v>
      </c>
    </row>
    <row r="551">
      <c r="A551" s="9" t="s">
        <v>34316</v>
      </c>
      <c r="B551" s="8" t="s">
        <v>34317</v>
      </c>
      <c r="C551" s="9" t="s">
        <v>10291</v>
      </c>
    </row>
    <row r="552">
      <c r="A552" s="9" t="s">
        <v>34318</v>
      </c>
      <c r="B552" s="8" t="s">
        <v>34319</v>
      </c>
      <c r="C552" s="9" t="s">
        <v>10291</v>
      </c>
    </row>
    <row r="553">
      <c r="A553" s="9" t="s">
        <v>34320</v>
      </c>
      <c r="B553" s="8" t="s">
        <v>34321</v>
      </c>
      <c r="C553" s="9" t="s">
        <v>11795</v>
      </c>
    </row>
    <row r="554">
      <c r="A554" s="9" t="s">
        <v>34396</v>
      </c>
      <c r="B554" s="8" t="s">
        <v>34397</v>
      </c>
      <c r="C554" s="9" t="s">
        <v>10699</v>
      </c>
    </row>
    <row r="555">
      <c r="A555" s="9" t="s">
        <v>34399</v>
      </c>
      <c r="B555" s="8" t="s">
        <v>34400</v>
      </c>
      <c r="C555" s="9" t="s">
        <v>10699</v>
      </c>
    </row>
    <row r="556">
      <c r="A556" s="9">
        <v>5.4240409E7</v>
      </c>
      <c r="B556" s="8" t="s">
        <v>34402</v>
      </c>
      <c r="C556" s="9" t="s">
        <v>10699</v>
      </c>
    </row>
    <row r="557">
      <c r="A557" s="9" t="s">
        <v>34403</v>
      </c>
      <c r="B557" s="8" t="s">
        <v>34404</v>
      </c>
      <c r="C557" s="9" t="s">
        <v>10699</v>
      </c>
    </row>
    <row r="558">
      <c r="A558" s="9" t="s">
        <v>34405</v>
      </c>
      <c r="B558" s="8" t="s">
        <v>34406</v>
      </c>
      <c r="C558" s="9" t="s">
        <v>10699</v>
      </c>
    </row>
    <row r="559">
      <c r="A559" s="9" t="s">
        <v>34407</v>
      </c>
      <c r="B559" s="8" t="s">
        <v>34408</v>
      </c>
      <c r="C559" s="9" t="s">
        <v>10699</v>
      </c>
    </row>
    <row r="560">
      <c r="A560" s="9" t="s">
        <v>34409</v>
      </c>
      <c r="B560" s="8" t="s">
        <v>34410</v>
      </c>
      <c r="C560" s="9" t="s">
        <v>10699</v>
      </c>
    </row>
    <row r="561">
      <c r="A561" s="9" t="s">
        <v>34411</v>
      </c>
      <c r="B561" s="8" t="s">
        <v>34412</v>
      </c>
      <c r="C561" s="9" t="s">
        <v>10699</v>
      </c>
    </row>
    <row r="562">
      <c r="A562" s="9" t="s">
        <v>34531</v>
      </c>
      <c r="B562" s="8" t="s">
        <v>34532</v>
      </c>
      <c r="C562" s="9" t="s">
        <v>10416</v>
      </c>
    </row>
    <row r="563">
      <c r="A563" s="9" t="s">
        <v>34533</v>
      </c>
      <c r="B563" s="8" t="s">
        <v>34534</v>
      </c>
      <c r="C563" s="9" t="s">
        <v>10416</v>
      </c>
    </row>
    <row r="564">
      <c r="A564" s="9" t="s">
        <v>34535</v>
      </c>
      <c r="B564" s="8" t="s">
        <v>34536</v>
      </c>
      <c r="C564" s="9" t="s">
        <v>10416</v>
      </c>
    </row>
    <row r="565">
      <c r="A565" s="9" t="s">
        <v>34621</v>
      </c>
      <c r="B565" s="8" t="s">
        <v>34622</v>
      </c>
      <c r="C565" s="9" t="s">
        <v>8468</v>
      </c>
    </row>
    <row r="566">
      <c r="A566" s="9" t="s">
        <v>34623</v>
      </c>
      <c r="B566" s="8" t="s">
        <v>34624</v>
      </c>
      <c r="C566" s="9" t="s">
        <v>8468</v>
      </c>
    </row>
    <row r="567">
      <c r="A567" s="9" t="s">
        <v>34625</v>
      </c>
      <c r="B567" s="8" t="s">
        <v>34626</v>
      </c>
      <c r="C567" s="9" t="s">
        <v>8468</v>
      </c>
    </row>
    <row r="568">
      <c r="A568" s="9" t="s">
        <v>34627</v>
      </c>
      <c r="B568" s="8" t="s">
        <v>34628</v>
      </c>
      <c r="C568" s="9" t="s">
        <v>8468</v>
      </c>
    </row>
    <row r="569">
      <c r="A569" s="9" t="s">
        <v>34721</v>
      </c>
      <c r="B569" s="8" t="s">
        <v>34722</v>
      </c>
      <c r="C569" s="9" t="s">
        <v>10396</v>
      </c>
    </row>
    <row r="570">
      <c r="A570" s="9" t="s">
        <v>34731</v>
      </c>
      <c r="B570" s="8" t="s">
        <v>34732</v>
      </c>
      <c r="C570" s="9" t="s">
        <v>10312</v>
      </c>
    </row>
    <row r="571">
      <c r="A571" s="9" t="s">
        <v>34733</v>
      </c>
      <c r="B571" s="8" t="s">
        <v>34734</v>
      </c>
      <c r="C571" s="9" t="s">
        <v>10312</v>
      </c>
    </row>
    <row r="572">
      <c r="A572" s="9" t="s">
        <v>34735</v>
      </c>
      <c r="B572" s="8" t="s">
        <v>34736</v>
      </c>
      <c r="C572" s="9" t="s">
        <v>10312</v>
      </c>
    </row>
    <row r="573">
      <c r="A573" s="9" t="s">
        <v>34737</v>
      </c>
      <c r="B573" s="8" t="s">
        <v>34738</v>
      </c>
      <c r="C573" s="9" t="s">
        <v>10312</v>
      </c>
    </row>
    <row r="574">
      <c r="A574" s="9" t="s">
        <v>34739</v>
      </c>
      <c r="B574" s="8" t="s">
        <v>34740</v>
      </c>
      <c r="C574" s="9" t="s">
        <v>10312</v>
      </c>
    </row>
    <row r="575">
      <c r="A575" s="9" t="s">
        <v>34789</v>
      </c>
      <c r="B575" s="8" t="s">
        <v>34790</v>
      </c>
      <c r="C575" s="9" t="s">
        <v>11674</v>
      </c>
    </row>
    <row r="576">
      <c r="A576" s="9" t="s">
        <v>34791</v>
      </c>
      <c r="B576" s="8" t="s">
        <v>34792</v>
      </c>
      <c r="C576" s="9" t="s">
        <v>11674</v>
      </c>
    </row>
    <row r="577">
      <c r="A577" s="9" t="s">
        <v>34793</v>
      </c>
      <c r="B577" s="8" t="s">
        <v>34794</v>
      </c>
      <c r="C577" s="9" t="s">
        <v>11674</v>
      </c>
    </row>
    <row r="578">
      <c r="A578" s="9" t="s">
        <v>34795</v>
      </c>
      <c r="B578" s="8" t="s">
        <v>34796</v>
      </c>
      <c r="C578" s="9" t="s">
        <v>11674</v>
      </c>
    </row>
    <row r="579">
      <c r="A579" s="9" t="s">
        <v>34797</v>
      </c>
      <c r="B579" s="8" t="s">
        <v>34798</v>
      </c>
      <c r="C579" s="9" t="s">
        <v>11674</v>
      </c>
    </row>
    <row r="580">
      <c r="A580" s="9">
        <v>8.370815E7</v>
      </c>
      <c r="B580" s="8" t="s">
        <v>34806</v>
      </c>
      <c r="C580" s="9" t="s">
        <v>10674</v>
      </c>
    </row>
    <row r="581">
      <c r="A581" s="9" t="s">
        <v>34807</v>
      </c>
      <c r="B581" s="8" t="s">
        <v>34808</v>
      </c>
      <c r="C581" s="9" t="s">
        <v>10674</v>
      </c>
    </row>
    <row r="582">
      <c r="A582" s="9" t="s">
        <v>34809</v>
      </c>
      <c r="B582" s="8" t="s">
        <v>34810</v>
      </c>
      <c r="C582" s="9" t="s">
        <v>10674</v>
      </c>
    </row>
    <row r="583">
      <c r="A583" s="9" t="s">
        <v>34811</v>
      </c>
      <c r="B583" s="8" t="s">
        <v>34812</v>
      </c>
      <c r="C583" s="9" t="s">
        <v>10674</v>
      </c>
    </row>
    <row r="584">
      <c r="A584" s="9" t="s">
        <v>34813</v>
      </c>
      <c r="B584" s="8" t="s">
        <v>34814</v>
      </c>
      <c r="C584" s="9" t="s">
        <v>10674</v>
      </c>
    </row>
    <row r="585">
      <c r="A585" s="9" t="s">
        <v>34815</v>
      </c>
      <c r="B585" s="8" t="s">
        <v>34816</v>
      </c>
      <c r="C585" s="9" t="s">
        <v>10674</v>
      </c>
    </row>
    <row r="586">
      <c r="A586" s="9" t="s">
        <v>34817</v>
      </c>
      <c r="B586" s="8" t="s">
        <v>34818</v>
      </c>
      <c r="C586" s="9" t="s">
        <v>10674</v>
      </c>
    </row>
    <row r="587">
      <c r="A587" s="9" t="s">
        <v>34827</v>
      </c>
      <c r="B587" s="8" t="s">
        <v>34828</v>
      </c>
      <c r="C587" s="9" t="s">
        <v>10781</v>
      </c>
    </row>
    <row r="588">
      <c r="A588" s="9" t="s">
        <v>34829</v>
      </c>
      <c r="B588" s="8" t="s">
        <v>34830</v>
      </c>
      <c r="C588" s="9" t="s">
        <v>10781</v>
      </c>
    </row>
    <row r="589">
      <c r="A589" s="9" t="s">
        <v>34831</v>
      </c>
      <c r="B589" s="8" t="s">
        <v>34832</v>
      </c>
      <c r="C589" s="9" t="s">
        <v>10781</v>
      </c>
    </row>
    <row r="590">
      <c r="A590" s="9" t="s">
        <v>34833</v>
      </c>
      <c r="B590" s="8" t="s">
        <v>34834</v>
      </c>
      <c r="C590" s="9" t="s">
        <v>10781</v>
      </c>
    </row>
    <row r="591">
      <c r="A591" s="9" t="s">
        <v>34835</v>
      </c>
      <c r="B591" s="8" t="s">
        <v>34836</v>
      </c>
      <c r="C591" s="9" t="s">
        <v>10781</v>
      </c>
    </row>
    <row r="592">
      <c r="A592" s="9" t="s">
        <v>34837</v>
      </c>
      <c r="B592" s="8" t="s">
        <v>34838</v>
      </c>
      <c r="C592" s="9" t="s">
        <v>10781</v>
      </c>
    </row>
    <row r="593">
      <c r="A593" s="9" t="s">
        <v>34839</v>
      </c>
      <c r="B593" s="8" t="s">
        <v>34840</v>
      </c>
      <c r="C593" s="9" t="s">
        <v>10781</v>
      </c>
    </row>
    <row r="594">
      <c r="A594" s="9" t="s">
        <v>34841</v>
      </c>
      <c r="B594" s="8" t="s">
        <v>34842</v>
      </c>
      <c r="C594" s="9" t="s">
        <v>10781</v>
      </c>
    </row>
    <row r="595">
      <c r="A595" s="9" t="s">
        <v>34851</v>
      </c>
      <c r="B595" s="8" t="s">
        <v>34852</v>
      </c>
      <c r="C595" s="9" t="s">
        <v>231</v>
      </c>
    </row>
    <row r="596">
      <c r="A596" s="9" t="s">
        <v>34853</v>
      </c>
      <c r="B596" s="8" t="s">
        <v>34854</v>
      </c>
      <c r="C596" s="9" t="s">
        <v>231</v>
      </c>
    </row>
    <row r="597">
      <c r="A597" s="9" t="s">
        <v>34855</v>
      </c>
      <c r="B597" s="8" t="s">
        <v>34856</v>
      </c>
      <c r="C597" s="9" t="s">
        <v>231</v>
      </c>
    </row>
    <row r="598">
      <c r="A598" s="9" t="s">
        <v>34857</v>
      </c>
      <c r="B598" s="8" t="s">
        <v>34858</v>
      </c>
      <c r="C598" s="9" t="s">
        <v>231</v>
      </c>
    </row>
    <row r="599">
      <c r="A599" s="9" t="s">
        <v>34859</v>
      </c>
      <c r="B599" s="8" t="s">
        <v>34860</v>
      </c>
      <c r="C599" s="9" t="s">
        <v>231</v>
      </c>
    </row>
    <row r="600">
      <c r="A600" s="9" t="s">
        <v>34861</v>
      </c>
      <c r="B600" s="8" t="s">
        <v>34862</v>
      </c>
      <c r="C600" s="9" t="s">
        <v>231</v>
      </c>
    </row>
    <row r="601">
      <c r="A601" s="9" t="s">
        <v>34863</v>
      </c>
      <c r="B601" s="8" t="s">
        <v>34864</v>
      </c>
      <c r="C601" s="9" t="s">
        <v>231</v>
      </c>
    </row>
    <row r="602">
      <c r="A602" s="9" t="s">
        <v>34897</v>
      </c>
      <c r="B602" s="8" t="s">
        <v>34898</v>
      </c>
      <c r="C602" s="9" t="s">
        <v>6716</v>
      </c>
    </row>
    <row r="603">
      <c r="A603" s="9" t="s">
        <v>34915</v>
      </c>
      <c r="B603" s="8" t="s">
        <v>34916</v>
      </c>
      <c r="C603" s="9" t="s">
        <v>2522</v>
      </c>
    </row>
    <row r="604">
      <c r="A604" s="9" t="s">
        <v>34917</v>
      </c>
      <c r="B604" s="8" t="s">
        <v>34918</v>
      </c>
      <c r="C604" s="9" t="s">
        <v>2522</v>
      </c>
    </row>
    <row r="605">
      <c r="A605" s="9" t="s">
        <v>34919</v>
      </c>
      <c r="B605" s="8" t="s">
        <v>34920</v>
      </c>
      <c r="C605" s="9" t="s">
        <v>2522</v>
      </c>
    </row>
    <row r="606">
      <c r="A606" s="9" t="s">
        <v>34921</v>
      </c>
      <c r="B606" s="8" t="s">
        <v>34922</v>
      </c>
      <c r="C606" s="9" t="s">
        <v>2522</v>
      </c>
    </row>
    <row r="607">
      <c r="A607" s="9" t="s">
        <v>35003</v>
      </c>
      <c r="B607" s="8" t="s">
        <v>35004</v>
      </c>
      <c r="C607" s="9" t="s">
        <v>9122</v>
      </c>
    </row>
    <row r="608">
      <c r="A608" s="9" t="s">
        <v>35005</v>
      </c>
      <c r="B608" s="8" t="s">
        <v>35006</v>
      </c>
      <c r="C608" s="9" t="s">
        <v>9122</v>
      </c>
    </row>
    <row r="609">
      <c r="A609" s="9" t="s">
        <v>35007</v>
      </c>
      <c r="B609" s="8" t="s">
        <v>35008</v>
      </c>
      <c r="C609" s="9" t="s">
        <v>9122</v>
      </c>
    </row>
    <row r="610">
      <c r="A610" s="9" t="s">
        <v>35009</v>
      </c>
      <c r="B610" s="8" t="s">
        <v>35010</v>
      </c>
      <c r="C610" s="9" t="s">
        <v>9122</v>
      </c>
    </row>
    <row r="611">
      <c r="A611" s="9" t="s">
        <v>35029</v>
      </c>
      <c r="B611" s="8" t="s">
        <v>35030</v>
      </c>
      <c r="C611" s="9" t="s">
        <v>6947</v>
      </c>
    </row>
    <row r="612">
      <c r="A612" s="9" t="s">
        <v>35031</v>
      </c>
      <c r="B612" s="8" t="s">
        <v>35032</v>
      </c>
      <c r="C612" s="9" t="s">
        <v>6947</v>
      </c>
    </row>
    <row r="613">
      <c r="A613" s="9" t="s">
        <v>35033</v>
      </c>
      <c r="B613" s="8" t="s">
        <v>35034</v>
      </c>
      <c r="C613" s="9" t="s">
        <v>6947</v>
      </c>
    </row>
    <row r="614">
      <c r="A614" s="9" t="s">
        <v>35037</v>
      </c>
      <c r="B614" s="8" t="s">
        <v>35038</v>
      </c>
      <c r="C614" s="9" t="s">
        <v>10347</v>
      </c>
    </row>
    <row r="615">
      <c r="A615" s="9" t="s">
        <v>35039</v>
      </c>
      <c r="B615" s="8" t="s">
        <v>29954</v>
      </c>
      <c r="C615" s="9" t="s">
        <v>10347</v>
      </c>
    </row>
    <row r="616">
      <c r="A616" s="9" t="s">
        <v>35040</v>
      </c>
      <c r="B616" s="8" t="s">
        <v>35041</v>
      </c>
      <c r="C616" s="9" t="s">
        <v>10347</v>
      </c>
    </row>
    <row r="617">
      <c r="A617" s="9" t="s">
        <v>35042</v>
      </c>
      <c r="B617" s="8" t="s">
        <v>35043</v>
      </c>
      <c r="C617" s="9" t="s">
        <v>10347</v>
      </c>
    </row>
    <row r="618">
      <c r="A618" s="9" t="s">
        <v>35044</v>
      </c>
      <c r="B618" s="8" t="s">
        <v>35045</v>
      </c>
      <c r="C618" s="9" t="s">
        <v>10347</v>
      </c>
    </row>
    <row r="619">
      <c r="A619" s="9" t="s">
        <v>35046</v>
      </c>
      <c r="B619" s="8" t="s">
        <v>35047</v>
      </c>
      <c r="C619" s="9" t="s">
        <v>10347</v>
      </c>
    </row>
    <row r="620">
      <c r="A620" s="9" t="s">
        <v>35048</v>
      </c>
      <c r="B620" s="8" t="s">
        <v>35049</v>
      </c>
      <c r="C620" s="9" t="s">
        <v>10347</v>
      </c>
    </row>
    <row r="621">
      <c r="A621" s="9" t="s">
        <v>35050</v>
      </c>
      <c r="B621" s="8" t="s">
        <v>35051</v>
      </c>
      <c r="C621" s="9" t="s">
        <v>10347</v>
      </c>
    </row>
    <row r="622">
      <c r="A622" s="9" t="s">
        <v>35238</v>
      </c>
      <c r="B622" s="8" t="s">
        <v>35239</v>
      </c>
      <c r="C622" s="9" t="s">
        <v>11366</v>
      </c>
    </row>
    <row r="623">
      <c r="A623" s="9" t="s">
        <v>35241</v>
      </c>
      <c r="B623" s="8" t="s">
        <v>35242</v>
      </c>
      <c r="C623" s="9" t="s">
        <v>11366</v>
      </c>
    </row>
    <row r="624">
      <c r="A624" s="9" t="s">
        <v>35244</v>
      </c>
      <c r="B624" s="8" t="s">
        <v>35245</v>
      </c>
      <c r="C624" s="9" t="s">
        <v>11366</v>
      </c>
    </row>
    <row r="625">
      <c r="A625" s="9" t="s">
        <v>35246</v>
      </c>
      <c r="B625" s="8" t="s">
        <v>35247</v>
      </c>
      <c r="C625" s="9" t="s">
        <v>11366</v>
      </c>
    </row>
    <row r="626">
      <c r="A626" s="9" t="s">
        <v>35248</v>
      </c>
      <c r="B626" s="8" t="s">
        <v>35249</v>
      </c>
      <c r="C626" s="9" t="s">
        <v>11366</v>
      </c>
    </row>
    <row r="627">
      <c r="A627" s="9" t="s">
        <v>35250</v>
      </c>
      <c r="B627" s="8" t="s">
        <v>35251</v>
      </c>
      <c r="C627" s="9" t="s">
        <v>11366</v>
      </c>
    </row>
    <row r="628">
      <c r="A628" s="9" t="s">
        <v>35252</v>
      </c>
      <c r="B628" s="8" t="s">
        <v>35253</v>
      </c>
      <c r="C628" s="9" t="s">
        <v>11366</v>
      </c>
    </row>
    <row r="629">
      <c r="A629" s="9" t="s">
        <v>35304</v>
      </c>
      <c r="B629" s="8" t="s">
        <v>35305</v>
      </c>
      <c r="C629" s="9" t="s">
        <v>10297</v>
      </c>
    </row>
    <row r="630">
      <c r="A630" s="9" t="s">
        <v>35306</v>
      </c>
      <c r="B630" s="8" t="s">
        <v>35307</v>
      </c>
      <c r="C630" s="9" t="s">
        <v>10297</v>
      </c>
    </row>
    <row r="631">
      <c r="A631" s="9" t="s">
        <v>35309</v>
      </c>
      <c r="B631" s="8" t="s">
        <v>35310</v>
      </c>
      <c r="C631" s="9" t="s">
        <v>10297</v>
      </c>
    </row>
    <row r="632">
      <c r="A632" s="9" t="s">
        <v>35311</v>
      </c>
      <c r="B632" s="8" t="s">
        <v>35312</v>
      </c>
      <c r="C632" s="9" t="s">
        <v>10297</v>
      </c>
    </row>
    <row r="633">
      <c r="A633" s="9" t="s">
        <v>35313</v>
      </c>
      <c r="B633" s="8" t="s">
        <v>35314</v>
      </c>
      <c r="C633" s="9" t="s">
        <v>10297</v>
      </c>
    </row>
    <row r="634">
      <c r="A634" s="9" t="s">
        <v>35316</v>
      </c>
      <c r="B634" s="8" t="s">
        <v>35317</v>
      </c>
      <c r="C634" s="9" t="s">
        <v>10297</v>
      </c>
    </row>
    <row r="635">
      <c r="A635" s="9" t="s">
        <v>35318</v>
      </c>
      <c r="B635" s="8" t="s">
        <v>35319</v>
      </c>
      <c r="C635" s="9" t="s">
        <v>10297</v>
      </c>
    </row>
    <row r="636">
      <c r="A636" s="9" t="s">
        <v>35321</v>
      </c>
      <c r="B636" s="8" t="s">
        <v>35322</v>
      </c>
      <c r="C636" s="9" t="s">
        <v>10297</v>
      </c>
    </row>
    <row r="637">
      <c r="A637" s="9" t="s">
        <v>35323</v>
      </c>
      <c r="B637" s="8" t="s">
        <v>35324</v>
      </c>
      <c r="C637" s="9" t="s">
        <v>10297</v>
      </c>
    </row>
    <row r="638">
      <c r="A638" s="9" t="s">
        <v>35325</v>
      </c>
      <c r="B638" s="8" t="s">
        <v>35326</v>
      </c>
      <c r="C638" s="9" t="s">
        <v>10297</v>
      </c>
    </row>
    <row r="639">
      <c r="A639" s="9" t="s">
        <v>35327</v>
      </c>
      <c r="B639" s="8" t="s">
        <v>35328</v>
      </c>
      <c r="C639" s="9" t="s">
        <v>10297</v>
      </c>
    </row>
    <row r="640">
      <c r="A640" s="9" t="s">
        <v>35329</v>
      </c>
      <c r="B640" s="8" t="s">
        <v>35330</v>
      </c>
      <c r="C640" s="9" t="s">
        <v>10297</v>
      </c>
    </row>
    <row r="641">
      <c r="A641" s="9" t="s">
        <v>35331</v>
      </c>
      <c r="B641" s="8" t="s">
        <v>35332</v>
      </c>
      <c r="C641" s="9" t="s">
        <v>10297</v>
      </c>
    </row>
    <row r="642">
      <c r="A642" s="9" t="s">
        <v>35334</v>
      </c>
      <c r="B642" s="8" t="s">
        <v>35335</v>
      </c>
      <c r="C642" s="9" t="s">
        <v>10297</v>
      </c>
    </row>
    <row r="643">
      <c r="A643" s="9" t="s">
        <v>35337</v>
      </c>
      <c r="B643" s="8" t="s">
        <v>35338</v>
      </c>
      <c r="C643" s="9" t="s">
        <v>10297</v>
      </c>
    </row>
    <row r="644">
      <c r="A644" s="9" t="s">
        <v>35339</v>
      </c>
      <c r="B644" s="8" t="s">
        <v>35340</v>
      </c>
      <c r="C644" s="9" t="s">
        <v>10297</v>
      </c>
    </row>
    <row r="645">
      <c r="A645" s="9" t="s">
        <v>35341</v>
      </c>
      <c r="B645" s="8" t="s">
        <v>35342</v>
      </c>
      <c r="C645" s="9" t="s">
        <v>10297</v>
      </c>
    </row>
    <row r="646">
      <c r="A646" s="9" t="s">
        <v>35343</v>
      </c>
      <c r="B646" s="8" t="s">
        <v>35344</v>
      </c>
      <c r="C646" s="9" t="s">
        <v>10297</v>
      </c>
    </row>
    <row r="647">
      <c r="A647" s="9" t="s">
        <v>35345</v>
      </c>
      <c r="B647" s="8" t="s">
        <v>35346</v>
      </c>
      <c r="C647" s="9" t="s">
        <v>10297</v>
      </c>
    </row>
    <row r="648">
      <c r="A648" s="9" t="s">
        <v>35347</v>
      </c>
      <c r="B648" s="8" t="s">
        <v>35348</v>
      </c>
      <c r="C648" s="9" t="s">
        <v>11955</v>
      </c>
    </row>
    <row r="649">
      <c r="A649" s="9" t="s">
        <v>35349</v>
      </c>
      <c r="B649" s="8" t="s">
        <v>35350</v>
      </c>
      <c r="C649" s="9" t="s">
        <v>11955</v>
      </c>
    </row>
    <row r="650">
      <c r="A650" s="9" t="s">
        <v>35351</v>
      </c>
      <c r="B650" s="8" t="s">
        <v>35352</v>
      </c>
      <c r="C650" s="9" t="s">
        <v>11955</v>
      </c>
    </row>
    <row r="651">
      <c r="A651" s="9" t="s">
        <v>35353</v>
      </c>
      <c r="B651" s="8" t="s">
        <v>35354</v>
      </c>
      <c r="C651" s="9" t="s">
        <v>11955</v>
      </c>
    </row>
    <row r="652">
      <c r="A652" s="9" t="s">
        <v>35355</v>
      </c>
      <c r="B652" s="8" t="s">
        <v>35356</v>
      </c>
      <c r="C652" s="9" t="s">
        <v>11955</v>
      </c>
    </row>
    <row r="653">
      <c r="A653" s="9" t="s">
        <v>35357</v>
      </c>
      <c r="B653" s="8" t="s">
        <v>35358</v>
      </c>
      <c r="C653" s="9" t="s">
        <v>11955</v>
      </c>
    </row>
    <row r="654">
      <c r="A654" s="9" t="s">
        <v>35359</v>
      </c>
      <c r="B654" s="8" t="s">
        <v>35360</v>
      </c>
      <c r="C654" s="9" t="s">
        <v>11955</v>
      </c>
    </row>
    <row r="655">
      <c r="A655" s="9" t="s">
        <v>35361</v>
      </c>
      <c r="B655" s="8" t="s">
        <v>35362</v>
      </c>
      <c r="C655" s="9" t="s">
        <v>11955</v>
      </c>
    </row>
    <row r="656">
      <c r="A656" s="9" t="s">
        <v>35363</v>
      </c>
      <c r="B656" s="8" t="s">
        <v>35364</v>
      </c>
      <c r="C656" s="9" t="s">
        <v>11955</v>
      </c>
    </row>
    <row r="657">
      <c r="A657" s="9" t="s">
        <v>35365</v>
      </c>
      <c r="B657" s="8" t="s">
        <v>35366</v>
      </c>
      <c r="C657" s="9" t="s">
        <v>11955</v>
      </c>
    </row>
    <row r="658">
      <c r="A658" s="9" t="s">
        <v>35367</v>
      </c>
      <c r="B658" s="8" t="s">
        <v>35368</v>
      </c>
      <c r="C658" s="9" t="s">
        <v>11955</v>
      </c>
    </row>
    <row r="659">
      <c r="A659" s="9" t="s">
        <v>35369</v>
      </c>
      <c r="B659" s="8" t="s">
        <v>35370</v>
      </c>
      <c r="C659" s="9" t="s">
        <v>11955</v>
      </c>
    </row>
    <row r="660">
      <c r="A660" s="9" t="s">
        <v>35371</v>
      </c>
      <c r="B660" s="8" t="s">
        <v>35372</v>
      </c>
      <c r="C660" s="9" t="s">
        <v>11955</v>
      </c>
    </row>
    <row r="661">
      <c r="A661" s="9" t="s">
        <v>35373</v>
      </c>
      <c r="B661" s="8" t="s">
        <v>35374</v>
      </c>
      <c r="C661" s="9" t="s">
        <v>11955</v>
      </c>
    </row>
    <row r="662">
      <c r="A662" s="9" t="s">
        <v>35379</v>
      </c>
      <c r="B662" s="8" t="s">
        <v>35380</v>
      </c>
      <c r="C662" s="9" t="s">
        <v>12219</v>
      </c>
    </row>
    <row r="663">
      <c r="A663" s="9" t="s">
        <v>35381</v>
      </c>
      <c r="B663" s="8" t="s">
        <v>35382</v>
      </c>
      <c r="C663" s="9" t="s">
        <v>12219</v>
      </c>
    </row>
    <row r="664">
      <c r="A664" s="9" t="s">
        <v>35383</v>
      </c>
      <c r="B664" s="8" t="s">
        <v>35384</v>
      </c>
      <c r="C664" s="9" t="s">
        <v>12219</v>
      </c>
    </row>
    <row r="665">
      <c r="A665" s="9" t="s">
        <v>35385</v>
      </c>
      <c r="B665" s="8" t="s">
        <v>35386</v>
      </c>
      <c r="C665" s="9" t="s">
        <v>12219</v>
      </c>
    </row>
    <row r="666">
      <c r="A666" s="9" t="s">
        <v>35387</v>
      </c>
      <c r="B666" s="8" t="s">
        <v>35388</v>
      </c>
      <c r="C666" s="9" t="s">
        <v>12219</v>
      </c>
    </row>
    <row r="667">
      <c r="A667" s="9" t="s">
        <v>35414</v>
      </c>
      <c r="B667" s="8" t="s">
        <v>35415</v>
      </c>
      <c r="C667" s="9" t="s">
        <v>12125</v>
      </c>
    </row>
    <row r="668">
      <c r="A668" s="9" t="s">
        <v>35416</v>
      </c>
      <c r="B668" s="8" t="s">
        <v>35417</v>
      </c>
      <c r="C668" s="9" t="s">
        <v>12125</v>
      </c>
    </row>
    <row r="669">
      <c r="A669" s="9" t="s">
        <v>35418</v>
      </c>
      <c r="B669" s="8" t="s">
        <v>35419</v>
      </c>
      <c r="C669" s="9" t="s">
        <v>12125</v>
      </c>
    </row>
    <row r="670">
      <c r="A670" s="9" t="s">
        <v>35420</v>
      </c>
      <c r="B670" s="8" t="s">
        <v>35421</v>
      </c>
      <c r="C670" s="9" t="s">
        <v>12125</v>
      </c>
    </row>
    <row r="671">
      <c r="A671" s="9" t="s">
        <v>35422</v>
      </c>
      <c r="B671" s="8" t="s">
        <v>35423</v>
      </c>
      <c r="C671" s="9" t="s">
        <v>12125</v>
      </c>
    </row>
    <row r="672">
      <c r="A672" s="9" t="s">
        <v>35424</v>
      </c>
      <c r="B672" s="8" t="s">
        <v>35425</v>
      </c>
      <c r="C672" s="9" t="s">
        <v>12125</v>
      </c>
    </row>
    <row r="673">
      <c r="A673" s="9" t="s">
        <v>35426</v>
      </c>
      <c r="B673" s="8" t="s">
        <v>35427</v>
      </c>
      <c r="C673" s="9" t="s">
        <v>12125</v>
      </c>
    </row>
    <row r="674">
      <c r="A674" s="9" t="s">
        <v>35444</v>
      </c>
      <c r="B674" s="8" t="s">
        <v>35445</v>
      </c>
      <c r="C674" s="9" t="s">
        <v>7372</v>
      </c>
    </row>
    <row r="675">
      <c r="A675" s="9" t="s">
        <v>35593</v>
      </c>
      <c r="B675" s="8" t="s">
        <v>35594</v>
      </c>
      <c r="C675" s="9" t="s">
        <v>10682</v>
      </c>
    </row>
    <row r="676">
      <c r="A676" s="9" t="s">
        <v>35595</v>
      </c>
      <c r="B676" s="8" t="s">
        <v>35596</v>
      </c>
      <c r="C676" s="9" t="s">
        <v>10682</v>
      </c>
    </row>
    <row r="677">
      <c r="A677" s="9" t="s">
        <v>35597</v>
      </c>
      <c r="B677" s="8" t="s">
        <v>35598</v>
      </c>
      <c r="C677" s="9" t="s">
        <v>10682</v>
      </c>
    </row>
    <row r="678">
      <c r="A678" s="9" t="s">
        <v>35599</v>
      </c>
      <c r="B678" s="8" t="s">
        <v>35600</v>
      </c>
      <c r="C678" s="9" t="s">
        <v>10682</v>
      </c>
    </row>
    <row r="679">
      <c r="A679" s="9" t="s">
        <v>35601</v>
      </c>
      <c r="B679" s="8" t="s">
        <v>35602</v>
      </c>
      <c r="C679" s="9" t="s">
        <v>10682</v>
      </c>
    </row>
    <row r="680">
      <c r="A680" s="9" t="s">
        <v>35603</v>
      </c>
      <c r="B680" s="8" t="s">
        <v>35604</v>
      </c>
      <c r="C680" s="9" t="s">
        <v>11526</v>
      </c>
    </row>
    <row r="681">
      <c r="A681" s="9" t="s">
        <v>35605</v>
      </c>
      <c r="B681" s="8" t="s">
        <v>35606</v>
      </c>
      <c r="C681" s="9" t="s">
        <v>11526</v>
      </c>
    </row>
    <row r="682">
      <c r="A682" s="9" t="s">
        <v>35607</v>
      </c>
      <c r="B682" s="8" t="s">
        <v>35608</v>
      </c>
      <c r="C682" s="9" t="s">
        <v>11526</v>
      </c>
    </row>
    <row r="683">
      <c r="A683" s="9" t="s">
        <v>35609</v>
      </c>
      <c r="B683" s="8" t="s">
        <v>35610</v>
      </c>
      <c r="C683" s="9" t="s">
        <v>11526</v>
      </c>
    </row>
    <row r="684">
      <c r="A684" s="9" t="s">
        <v>35689</v>
      </c>
      <c r="B684" s="8" t="s">
        <v>35690</v>
      </c>
      <c r="C684" s="9" t="s">
        <v>11377</v>
      </c>
    </row>
    <row r="685">
      <c r="A685" s="9" t="s">
        <v>35691</v>
      </c>
      <c r="B685" s="8" t="s">
        <v>35692</v>
      </c>
      <c r="C685" s="9" t="s">
        <v>11377</v>
      </c>
    </row>
    <row r="686">
      <c r="A686" s="9" t="s">
        <v>35693</v>
      </c>
      <c r="B686" s="8" t="s">
        <v>35694</v>
      </c>
      <c r="C686" s="9" t="s">
        <v>11377</v>
      </c>
    </row>
    <row r="687">
      <c r="A687" s="9" t="s">
        <v>35695</v>
      </c>
      <c r="B687" s="8" t="s">
        <v>35696</v>
      </c>
      <c r="C687" s="9" t="s">
        <v>11377</v>
      </c>
    </row>
    <row r="688">
      <c r="A688" s="9" t="s">
        <v>35697</v>
      </c>
      <c r="B688" s="8" t="s">
        <v>35698</v>
      </c>
      <c r="C688" s="9" t="s">
        <v>11377</v>
      </c>
    </row>
    <row r="689">
      <c r="A689" s="9" t="s">
        <v>35699</v>
      </c>
      <c r="B689" s="8" t="s">
        <v>35700</v>
      </c>
      <c r="C689" s="9" t="s">
        <v>11377</v>
      </c>
    </row>
    <row r="690">
      <c r="A690" s="9" t="s">
        <v>35709</v>
      </c>
      <c r="B690" s="8" t="s">
        <v>35710</v>
      </c>
      <c r="C690" s="9" t="s">
        <v>11381</v>
      </c>
    </row>
    <row r="691">
      <c r="A691" s="9" t="s">
        <v>35711</v>
      </c>
      <c r="B691" s="8" t="s">
        <v>35712</v>
      </c>
      <c r="C691" s="9" t="s">
        <v>11381</v>
      </c>
    </row>
    <row r="692">
      <c r="A692" s="9" t="s">
        <v>35713</v>
      </c>
      <c r="B692" s="8" t="s">
        <v>35714</v>
      </c>
      <c r="C692" s="9" t="s">
        <v>11381</v>
      </c>
    </row>
    <row r="693">
      <c r="A693" s="9" t="s">
        <v>35715</v>
      </c>
      <c r="B693" s="8" t="s">
        <v>35716</v>
      </c>
      <c r="C693" s="9" t="s">
        <v>11381</v>
      </c>
    </row>
    <row r="694">
      <c r="A694" s="9" t="s">
        <v>35717</v>
      </c>
      <c r="B694" s="8" t="s">
        <v>35718</v>
      </c>
      <c r="C694" s="9" t="s">
        <v>11381</v>
      </c>
    </row>
    <row r="695">
      <c r="A695" s="9" t="s">
        <v>35719</v>
      </c>
      <c r="B695" s="8" t="s">
        <v>35720</v>
      </c>
      <c r="C695" s="9" t="s">
        <v>11381</v>
      </c>
    </row>
    <row r="696">
      <c r="A696" s="9" t="s">
        <v>35721</v>
      </c>
      <c r="B696" s="8" t="s">
        <v>35722</v>
      </c>
      <c r="C696" s="9" t="s">
        <v>11381</v>
      </c>
    </row>
    <row r="697">
      <c r="A697" s="9" t="s">
        <v>35723</v>
      </c>
      <c r="B697" s="8" t="s">
        <v>35724</v>
      </c>
      <c r="C697" s="9" t="s">
        <v>11383</v>
      </c>
    </row>
    <row r="698">
      <c r="A698" s="9" t="s">
        <v>35725</v>
      </c>
      <c r="B698" s="8" t="s">
        <v>35726</v>
      </c>
      <c r="C698" s="9" t="s">
        <v>11383</v>
      </c>
    </row>
    <row r="699">
      <c r="A699" s="9" t="s">
        <v>35727</v>
      </c>
      <c r="B699" s="8" t="s">
        <v>35728</v>
      </c>
      <c r="C699" s="9" t="s">
        <v>11383</v>
      </c>
    </row>
    <row r="700">
      <c r="A700" s="9" t="s">
        <v>35729</v>
      </c>
      <c r="B700" s="8" t="s">
        <v>35730</v>
      </c>
      <c r="C700" s="9" t="s">
        <v>11383</v>
      </c>
    </row>
    <row r="701">
      <c r="A701" s="9" t="s">
        <v>35731</v>
      </c>
      <c r="B701" s="8" t="s">
        <v>35732</v>
      </c>
      <c r="C701" s="9" t="s">
        <v>11383</v>
      </c>
    </row>
    <row r="702">
      <c r="A702" s="9" t="s">
        <v>35733</v>
      </c>
      <c r="B702" s="8" t="s">
        <v>35734</v>
      </c>
      <c r="C702" s="9" t="s">
        <v>11383</v>
      </c>
    </row>
    <row r="703">
      <c r="A703" s="9" t="s">
        <v>35815</v>
      </c>
      <c r="B703" s="8" t="s">
        <v>35816</v>
      </c>
      <c r="C703" s="9" t="s">
        <v>11674</v>
      </c>
    </row>
    <row r="704">
      <c r="A704" s="9" t="s">
        <v>35839</v>
      </c>
      <c r="B704" s="8" t="s">
        <v>35840</v>
      </c>
      <c r="C704" s="9" t="s">
        <v>9261</v>
      </c>
    </row>
    <row r="705">
      <c r="A705" s="9" t="s">
        <v>35907</v>
      </c>
      <c r="B705" s="8" t="s">
        <v>35908</v>
      </c>
      <c r="C705" s="9" t="s">
        <v>8842</v>
      </c>
    </row>
    <row r="706">
      <c r="A706" s="9" t="s">
        <v>35909</v>
      </c>
      <c r="B706" s="8" t="s">
        <v>35910</v>
      </c>
      <c r="C706" s="9" t="s">
        <v>7001</v>
      </c>
    </row>
    <row r="707">
      <c r="A707" s="9" t="s">
        <v>35961</v>
      </c>
      <c r="B707" s="8" t="s">
        <v>35962</v>
      </c>
      <c r="C707" s="9" t="s">
        <v>9464</v>
      </c>
    </row>
    <row r="708">
      <c r="A708" s="9" t="s">
        <v>36047</v>
      </c>
      <c r="B708" s="8" t="s">
        <v>36048</v>
      </c>
      <c r="C708" s="9" t="s">
        <v>9478</v>
      </c>
    </row>
    <row r="709">
      <c r="A709" s="9" t="s">
        <v>36051</v>
      </c>
      <c r="B709" s="8" t="s">
        <v>36052</v>
      </c>
      <c r="C709" s="9" t="s">
        <v>9206</v>
      </c>
    </row>
    <row r="710">
      <c r="A710" s="9" t="s">
        <v>36071</v>
      </c>
      <c r="B710" s="8" t="s">
        <v>36072</v>
      </c>
      <c r="C710" s="9" t="s">
        <v>2219</v>
      </c>
    </row>
    <row r="711">
      <c r="A711" s="9" t="s">
        <v>36073</v>
      </c>
      <c r="B711" s="8" t="s">
        <v>36074</v>
      </c>
      <c r="C711" s="9" t="s">
        <v>2234</v>
      </c>
    </row>
    <row r="712">
      <c r="A712" s="9" t="s">
        <v>36081</v>
      </c>
      <c r="B712" s="8" t="s">
        <v>36082</v>
      </c>
      <c r="C712" s="9" t="s">
        <v>9080</v>
      </c>
    </row>
    <row r="713">
      <c r="A713" s="9" t="s">
        <v>36135</v>
      </c>
      <c r="B713" s="8" t="s">
        <v>36136</v>
      </c>
      <c r="C713" s="9" t="s">
        <v>12033</v>
      </c>
    </row>
    <row r="714">
      <c r="A714" s="9" t="s">
        <v>36137</v>
      </c>
      <c r="B714" s="8" t="s">
        <v>36138</v>
      </c>
      <c r="C714" s="9" t="s">
        <v>7157</v>
      </c>
    </row>
    <row r="715">
      <c r="A715" s="9" t="s">
        <v>36149</v>
      </c>
      <c r="B715" s="8" t="s">
        <v>36150</v>
      </c>
      <c r="C715" s="9" t="s">
        <v>1188</v>
      </c>
    </row>
    <row r="716">
      <c r="A716" s="9" t="s">
        <v>36151</v>
      </c>
      <c r="B716" s="8" t="s">
        <v>36152</v>
      </c>
      <c r="C716" s="9" t="s">
        <v>2354</v>
      </c>
    </row>
    <row r="717">
      <c r="A717" s="9" t="s">
        <v>36222</v>
      </c>
      <c r="B717" s="8" t="s">
        <v>36223</v>
      </c>
      <c r="C717" s="9" t="s">
        <v>9298</v>
      </c>
    </row>
    <row r="718">
      <c r="A718" s="9" t="s">
        <v>36244</v>
      </c>
      <c r="B718" s="8" t="s">
        <v>36245</v>
      </c>
      <c r="C718" s="9" t="s">
        <v>5620</v>
      </c>
    </row>
    <row r="719">
      <c r="A719" s="9" t="s">
        <v>36254</v>
      </c>
      <c r="B719" s="8" t="s">
        <v>36255</v>
      </c>
      <c r="C719" s="9" t="s">
        <v>759</v>
      </c>
    </row>
    <row r="720">
      <c r="A720" s="9" t="s">
        <v>36262</v>
      </c>
      <c r="B720" s="8" t="s">
        <v>36263</v>
      </c>
      <c r="C720" s="9" t="s">
        <v>8166</v>
      </c>
    </row>
    <row r="721">
      <c r="A721" s="9" t="s">
        <v>36270</v>
      </c>
      <c r="B721" s="8" t="s">
        <v>36271</v>
      </c>
      <c r="C721" s="9" t="s">
        <v>8598</v>
      </c>
    </row>
    <row r="722">
      <c r="A722" s="9" t="s">
        <v>36284</v>
      </c>
      <c r="B722" s="8" t="s">
        <v>36285</v>
      </c>
      <c r="C722" s="9" t="s">
        <v>1707</v>
      </c>
    </row>
    <row r="723">
      <c r="A723" s="9" t="s">
        <v>36290</v>
      </c>
      <c r="B723" s="8" t="s">
        <v>36291</v>
      </c>
      <c r="C723" s="9" t="s">
        <v>6255</v>
      </c>
    </row>
    <row r="724">
      <c r="A724" s="9" t="s">
        <v>36437</v>
      </c>
      <c r="B724" s="8" t="s">
        <v>36438</v>
      </c>
      <c r="C724" s="9" t="s">
        <v>11417</v>
      </c>
    </row>
    <row r="725">
      <c r="A725" s="9" t="s">
        <v>36439</v>
      </c>
      <c r="B725" s="8" t="s">
        <v>36440</v>
      </c>
      <c r="C725" s="9" t="s">
        <v>11417</v>
      </c>
    </row>
    <row r="726">
      <c r="A726" s="9" t="s">
        <v>36441</v>
      </c>
      <c r="B726" s="8" t="s">
        <v>36442</v>
      </c>
      <c r="C726" s="9" t="s">
        <v>11417</v>
      </c>
    </row>
    <row r="727">
      <c r="A727" s="9" t="s">
        <v>36443</v>
      </c>
      <c r="B727" s="8" t="s">
        <v>36444</v>
      </c>
      <c r="C727" s="9" t="s">
        <v>11417</v>
      </c>
    </row>
    <row r="728">
      <c r="A728" s="9" t="s">
        <v>36445</v>
      </c>
      <c r="B728" s="8" t="s">
        <v>36446</v>
      </c>
      <c r="C728" s="9" t="s">
        <v>11417</v>
      </c>
    </row>
    <row r="729">
      <c r="A729" s="9" t="s">
        <v>36447</v>
      </c>
      <c r="B729" s="8" t="s">
        <v>36448</v>
      </c>
      <c r="C729" s="9" t="s">
        <v>11417</v>
      </c>
    </row>
    <row r="730">
      <c r="A730" s="9" t="s">
        <v>36885</v>
      </c>
      <c r="B730" s="8" t="s">
        <v>36886</v>
      </c>
      <c r="C730" s="9" t="s">
        <v>11456</v>
      </c>
    </row>
    <row r="731">
      <c r="A731" s="9" t="s">
        <v>36887</v>
      </c>
      <c r="B731" s="8" t="s">
        <v>36888</v>
      </c>
      <c r="C731" s="9" t="s">
        <v>11456</v>
      </c>
    </row>
    <row r="732">
      <c r="A732" s="9" t="s">
        <v>36889</v>
      </c>
      <c r="B732" s="8" t="s">
        <v>36890</v>
      </c>
      <c r="C732" s="9" t="s">
        <v>11456</v>
      </c>
    </row>
    <row r="733">
      <c r="A733" s="9" t="s">
        <v>36891</v>
      </c>
      <c r="B733" s="8" t="s">
        <v>36892</v>
      </c>
      <c r="C733" s="9" t="s">
        <v>11456</v>
      </c>
    </row>
    <row r="734">
      <c r="A734" s="9" t="s">
        <v>36893</v>
      </c>
      <c r="B734" s="8" t="s">
        <v>36894</v>
      </c>
      <c r="C734" s="9" t="s">
        <v>11456</v>
      </c>
    </row>
    <row r="735">
      <c r="A735" s="9" t="s">
        <v>36895</v>
      </c>
      <c r="B735" s="8" t="s">
        <v>36896</v>
      </c>
      <c r="C735" s="9" t="s">
        <v>11456</v>
      </c>
    </row>
    <row r="736">
      <c r="A736" s="9" t="s">
        <v>36897</v>
      </c>
      <c r="B736" s="8" t="s">
        <v>36898</v>
      </c>
      <c r="C736" s="9" t="s">
        <v>10622</v>
      </c>
    </row>
    <row r="737">
      <c r="A737" s="9" t="s">
        <v>36899</v>
      </c>
      <c r="B737" s="8" t="s">
        <v>36900</v>
      </c>
      <c r="C737" s="9" t="s">
        <v>10622</v>
      </c>
    </row>
    <row r="738">
      <c r="A738" s="9" t="s">
        <v>36961</v>
      </c>
      <c r="B738" s="8" t="s">
        <v>36962</v>
      </c>
      <c r="C738" s="9" t="s">
        <v>10616</v>
      </c>
    </row>
    <row r="739">
      <c r="A739" s="9" t="s">
        <v>36963</v>
      </c>
      <c r="B739" s="8" t="s">
        <v>36964</v>
      </c>
      <c r="C739" s="9" t="s">
        <v>10616</v>
      </c>
    </row>
    <row r="740">
      <c r="A740" s="9" t="s">
        <v>36965</v>
      </c>
      <c r="B740" s="8" t="s">
        <v>36966</v>
      </c>
      <c r="C740" s="9" t="s">
        <v>10616</v>
      </c>
    </row>
    <row r="741">
      <c r="A741" s="9" t="s">
        <v>36967</v>
      </c>
      <c r="B741" s="8" t="s">
        <v>36968</v>
      </c>
      <c r="C741" s="9" t="s">
        <v>10616</v>
      </c>
    </row>
    <row r="742">
      <c r="A742" s="9" t="s">
        <v>36969</v>
      </c>
      <c r="B742" s="8" t="s">
        <v>36970</v>
      </c>
      <c r="C742" s="9" t="s">
        <v>10616</v>
      </c>
    </row>
    <row r="743">
      <c r="A743" s="9" t="s">
        <v>36971</v>
      </c>
      <c r="B743" s="8" t="s">
        <v>36972</v>
      </c>
      <c r="C743" s="9" t="s">
        <v>10616</v>
      </c>
    </row>
    <row r="744">
      <c r="A744" s="9" t="s">
        <v>36973</v>
      </c>
      <c r="B744" s="8" t="s">
        <v>36974</v>
      </c>
      <c r="C744" s="9" t="s">
        <v>10616</v>
      </c>
    </row>
    <row r="745">
      <c r="A745" s="9" t="s">
        <v>36975</v>
      </c>
      <c r="B745" s="8" t="s">
        <v>36976</v>
      </c>
      <c r="C745" s="9" t="s">
        <v>10622</v>
      </c>
    </row>
    <row r="746">
      <c r="A746" s="9" t="s">
        <v>37138</v>
      </c>
      <c r="B746" s="8" t="s">
        <v>37139</v>
      </c>
      <c r="C746" s="9" t="s">
        <v>10616</v>
      </c>
    </row>
    <row r="747">
      <c r="A747" s="9" t="s">
        <v>37140</v>
      </c>
      <c r="B747" s="8" t="s">
        <v>37141</v>
      </c>
      <c r="C747" s="9" t="s">
        <v>10616</v>
      </c>
    </row>
    <row r="748">
      <c r="A748" s="9" t="s">
        <v>37142</v>
      </c>
      <c r="B748" s="8" t="s">
        <v>37143</v>
      </c>
      <c r="C748" s="9" t="s">
        <v>10616</v>
      </c>
    </row>
    <row r="749">
      <c r="A749" s="9" t="s">
        <v>37144</v>
      </c>
      <c r="B749" s="8" t="s">
        <v>37145</v>
      </c>
      <c r="C749" s="9" t="s">
        <v>10616</v>
      </c>
    </row>
    <row r="750">
      <c r="A750" s="9" t="s">
        <v>37146</v>
      </c>
      <c r="B750" s="8" t="s">
        <v>37147</v>
      </c>
      <c r="C750" s="9" t="s">
        <v>10616</v>
      </c>
    </row>
    <row r="751">
      <c r="A751" s="9" t="s">
        <v>37148</v>
      </c>
      <c r="B751" s="8" t="s">
        <v>37149</v>
      </c>
      <c r="C751" s="9" t="s">
        <v>10616</v>
      </c>
    </row>
    <row r="752">
      <c r="A752" s="9" t="s">
        <v>37150</v>
      </c>
      <c r="B752" s="8" t="s">
        <v>37151</v>
      </c>
      <c r="C752" s="9" t="s">
        <v>10616</v>
      </c>
    </row>
    <row r="753">
      <c r="A753" s="9" t="s">
        <v>37152</v>
      </c>
      <c r="B753" s="8" t="s">
        <v>37153</v>
      </c>
      <c r="C753" s="9" t="s">
        <v>10616</v>
      </c>
    </row>
    <row r="754">
      <c r="A754" s="9" t="s">
        <v>37154</v>
      </c>
      <c r="B754" s="8" t="s">
        <v>37155</v>
      </c>
      <c r="C754" s="9" t="s">
        <v>10616</v>
      </c>
    </row>
    <row r="755">
      <c r="A755" s="9" t="s">
        <v>37156</v>
      </c>
      <c r="B755" s="8" t="s">
        <v>37157</v>
      </c>
      <c r="C755" s="9" t="s">
        <v>10616</v>
      </c>
    </row>
    <row r="756">
      <c r="A756" s="9" t="s">
        <v>37158</v>
      </c>
      <c r="B756" s="8" t="s">
        <v>37159</v>
      </c>
      <c r="C756" s="9" t="s">
        <v>10616</v>
      </c>
    </row>
    <row r="757">
      <c r="A757" s="9" t="s">
        <v>37160</v>
      </c>
      <c r="B757" s="8" t="s">
        <v>37161</v>
      </c>
      <c r="C757" s="9" t="s">
        <v>10616</v>
      </c>
    </row>
    <row r="758">
      <c r="A758" s="9" t="s">
        <v>37162</v>
      </c>
      <c r="B758" s="8" t="s">
        <v>37163</v>
      </c>
      <c r="C758" s="9" t="s">
        <v>10616</v>
      </c>
    </row>
    <row r="759">
      <c r="A759" s="9" t="s">
        <v>37164</v>
      </c>
      <c r="B759" s="8" t="s">
        <v>37165</v>
      </c>
      <c r="C759" s="9" t="s">
        <v>10616</v>
      </c>
    </row>
    <row r="760">
      <c r="A760" s="9" t="s">
        <v>37166</v>
      </c>
      <c r="B760" s="8" t="s">
        <v>37167</v>
      </c>
      <c r="C760" s="9" t="s">
        <v>10616</v>
      </c>
    </row>
    <row r="761">
      <c r="A761" s="9" t="s">
        <v>37168</v>
      </c>
      <c r="B761" s="8" t="s">
        <v>37169</v>
      </c>
      <c r="C761" s="9" t="s">
        <v>10616</v>
      </c>
    </row>
    <row r="762">
      <c r="A762" s="9" t="s">
        <v>37170</v>
      </c>
      <c r="B762" s="8" t="s">
        <v>37171</v>
      </c>
      <c r="C762" s="9" t="s">
        <v>10616</v>
      </c>
    </row>
    <row r="763">
      <c r="A763" s="9" t="s">
        <v>37172</v>
      </c>
      <c r="B763" s="8" t="s">
        <v>37173</v>
      </c>
      <c r="C763" s="9" t="s">
        <v>10616</v>
      </c>
    </row>
    <row r="764">
      <c r="A764" s="9" t="s">
        <v>37174</v>
      </c>
      <c r="B764" s="8" t="s">
        <v>37175</v>
      </c>
      <c r="C764" s="9" t="s">
        <v>10616</v>
      </c>
    </row>
    <row r="765">
      <c r="A765" s="9" t="s">
        <v>37176</v>
      </c>
      <c r="B765" s="8" t="s">
        <v>37177</v>
      </c>
      <c r="C765" s="9" t="s">
        <v>10616</v>
      </c>
    </row>
    <row r="766">
      <c r="A766" s="9" t="s">
        <v>38352</v>
      </c>
      <c r="B766" s="8" t="s">
        <v>38353</v>
      </c>
      <c r="C766" s="9" t="s">
        <v>23794</v>
      </c>
    </row>
    <row r="767">
      <c r="A767" s="9" t="s">
        <v>38354</v>
      </c>
      <c r="B767" s="8" t="s">
        <v>38355</v>
      </c>
      <c r="C767" s="9" t="s">
        <v>23804</v>
      </c>
    </row>
    <row r="768">
      <c r="A768" s="9" t="s">
        <v>38358</v>
      </c>
      <c r="B768" s="8" t="s">
        <v>38359</v>
      </c>
      <c r="C768" s="9" t="s">
        <v>23804</v>
      </c>
    </row>
    <row r="769">
      <c r="A769" s="9" t="s">
        <v>38360</v>
      </c>
      <c r="B769" s="8" t="s">
        <v>38361</v>
      </c>
      <c r="C769" s="9" t="s">
        <v>23804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s>
  <drawing r:id="rId76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0"/>
    <col customWidth="1" min="2" max="2" width="24.88"/>
    <col customWidth="1" min="3" max="3" width="12.63"/>
    <col customWidth="1" min="4" max="5" width="19.88"/>
    <col customWidth="1" min="6" max="6" width="53.38"/>
    <col customWidth="1" min="7" max="7" width="11.25"/>
    <col customWidth="1" min="8" max="8" width="12.63"/>
    <col customWidth="1" min="9" max="9" width="17.0"/>
    <col customWidth="1" min="13" max="13" width="17.38"/>
  </cols>
  <sheetData>
    <row r="1">
      <c r="A1" s="119" t="s">
        <v>38786</v>
      </c>
      <c r="B1" s="120" t="s">
        <v>12271</v>
      </c>
      <c r="C1" s="121" t="s">
        <v>38787</v>
      </c>
      <c r="D1" s="119" t="s">
        <v>38788</v>
      </c>
      <c r="E1" s="122" t="s">
        <v>38789</v>
      </c>
      <c r="F1" s="119" t="s">
        <v>38790</v>
      </c>
      <c r="G1" s="119" t="s">
        <v>38791</v>
      </c>
      <c r="H1" s="123" t="s">
        <v>38792</v>
      </c>
      <c r="I1" s="119" t="s">
        <v>38793</v>
      </c>
      <c r="J1" s="119" t="s">
        <v>330</v>
      </c>
      <c r="K1" s="119" t="s">
        <v>38794</v>
      </c>
      <c r="L1" s="119" t="s">
        <v>38795</v>
      </c>
      <c r="M1" s="122" t="s">
        <v>38796</v>
      </c>
      <c r="N1" s="122" t="s">
        <v>38797</v>
      </c>
      <c r="O1" s="119"/>
      <c r="P1" s="119"/>
      <c r="Q1" s="119"/>
      <c r="R1" s="119"/>
      <c r="S1" s="119"/>
      <c r="T1" s="119"/>
      <c r="U1" s="119"/>
      <c r="V1" s="119"/>
      <c r="W1" s="119"/>
      <c r="X1" s="119"/>
      <c r="Y1" s="119"/>
      <c r="Z1" s="119"/>
      <c r="AA1" s="119"/>
      <c r="AB1" s="119"/>
    </row>
    <row r="2">
      <c r="A2" s="5" t="s">
        <v>38798</v>
      </c>
      <c r="B2" s="5" t="s">
        <v>20625</v>
      </c>
      <c r="C2" s="5"/>
      <c r="D2" s="5" t="s">
        <v>12227</v>
      </c>
      <c r="E2" s="5"/>
      <c r="F2" s="124" t="s">
        <v>38799</v>
      </c>
      <c r="G2" s="5" t="s">
        <v>38800</v>
      </c>
      <c r="H2" s="125">
        <v>42735.0</v>
      </c>
      <c r="I2" s="5" t="s">
        <v>32</v>
      </c>
      <c r="J2" s="5" t="s">
        <v>38801</v>
      </c>
      <c r="K2" s="126">
        <v>44517.0</v>
      </c>
      <c r="M2" s="9" t="s">
        <v>7585</v>
      </c>
      <c r="N2" s="9" t="b">
        <v>0</v>
      </c>
    </row>
    <row r="3">
      <c r="A3" s="9" t="s">
        <v>38802</v>
      </c>
      <c r="B3" s="9" t="s">
        <v>20570</v>
      </c>
      <c r="C3" s="9"/>
      <c r="D3" s="5" t="s">
        <v>12227</v>
      </c>
      <c r="E3" s="5" t="s">
        <v>38803</v>
      </c>
      <c r="F3" s="9" t="s">
        <v>38804</v>
      </c>
      <c r="G3" s="9" t="s">
        <v>38800</v>
      </c>
      <c r="H3" s="127">
        <v>43085.0</v>
      </c>
      <c r="I3" s="9" t="s">
        <v>32</v>
      </c>
      <c r="J3" s="5" t="s">
        <v>38805</v>
      </c>
      <c r="M3" s="9" t="s">
        <v>3368</v>
      </c>
      <c r="N3" s="9" t="b">
        <v>0</v>
      </c>
    </row>
    <row r="4">
      <c r="A4" s="9" t="s">
        <v>38806</v>
      </c>
      <c r="B4" s="9" t="s">
        <v>20268</v>
      </c>
      <c r="C4" s="9"/>
      <c r="D4" s="5" t="s">
        <v>12227</v>
      </c>
      <c r="E4" s="5"/>
      <c r="F4" s="9" t="s">
        <v>38807</v>
      </c>
      <c r="G4" s="9" t="s">
        <v>38808</v>
      </c>
      <c r="H4" s="127">
        <v>43257.0</v>
      </c>
      <c r="I4" s="9" t="s">
        <v>32</v>
      </c>
      <c r="J4" s="5" t="s">
        <v>38801</v>
      </c>
      <c r="K4" s="55">
        <v>45411.0</v>
      </c>
      <c r="M4" s="9" t="s">
        <v>8044</v>
      </c>
    </row>
    <row r="5">
      <c r="A5" s="9" t="s">
        <v>38809</v>
      </c>
      <c r="B5" s="9" t="s">
        <v>17487</v>
      </c>
      <c r="C5" s="9"/>
      <c r="D5" s="5" t="s">
        <v>12227</v>
      </c>
      <c r="E5" s="5"/>
      <c r="F5" s="9" t="s">
        <v>38810</v>
      </c>
      <c r="G5" s="9" t="s">
        <v>38808</v>
      </c>
      <c r="H5" s="127">
        <v>43297.0</v>
      </c>
      <c r="I5" s="9" t="s">
        <v>32</v>
      </c>
      <c r="J5" s="5" t="s">
        <v>38801</v>
      </c>
      <c r="K5" s="61">
        <v>44489.0</v>
      </c>
      <c r="M5" s="9" t="s">
        <v>8871</v>
      </c>
      <c r="N5" s="9" t="b">
        <v>1</v>
      </c>
    </row>
    <row r="6">
      <c r="A6" s="9" t="s">
        <v>38811</v>
      </c>
      <c r="B6" s="9" t="s">
        <v>19334</v>
      </c>
      <c r="C6" s="9"/>
      <c r="D6" s="5" t="s">
        <v>12227</v>
      </c>
      <c r="E6" s="5"/>
      <c r="F6" s="9" t="s">
        <v>38812</v>
      </c>
      <c r="G6" s="9" t="s">
        <v>38808</v>
      </c>
      <c r="H6" s="127">
        <v>43297.0</v>
      </c>
      <c r="I6" s="9" t="s">
        <v>32</v>
      </c>
      <c r="J6" s="5" t="s">
        <v>38801</v>
      </c>
      <c r="K6" s="56">
        <v>44393.0</v>
      </c>
    </row>
    <row r="7">
      <c r="A7" s="9" t="s">
        <v>38813</v>
      </c>
      <c r="B7" s="9" t="s">
        <v>12882</v>
      </c>
      <c r="C7" s="9"/>
      <c r="D7" s="5" t="s">
        <v>12227</v>
      </c>
      <c r="E7" s="5"/>
      <c r="F7" s="9" t="s">
        <v>38814</v>
      </c>
      <c r="G7" s="9" t="s">
        <v>38808</v>
      </c>
      <c r="H7" s="127">
        <v>43418.0</v>
      </c>
      <c r="I7" s="9" t="s">
        <v>32</v>
      </c>
      <c r="J7" s="5" t="s">
        <v>38805</v>
      </c>
      <c r="M7" s="9" t="s">
        <v>2902</v>
      </c>
    </row>
    <row r="8">
      <c r="A8" s="9" t="s">
        <v>38815</v>
      </c>
      <c r="B8" s="9" t="s">
        <v>15529</v>
      </c>
      <c r="C8" s="9"/>
      <c r="D8" s="5" t="s">
        <v>12227</v>
      </c>
      <c r="E8" s="5"/>
      <c r="F8" s="9" t="s">
        <v>38816</v>
      </c>
      <c r="G8" s="9" t="s">
        <v>38808</v>
      </c>
      <c r="H8" s="127">
        <v>43450.0</v>
      </c>
      <c r="I8" s="9" t="s">
        <v>32</v>
      </c>
      <c r="J8" s="5" t="s">
        <v>38801</v>
      </c>
      <c r="K8" s="55">
        <v>45411.0</v>
      </c>
      <c r="M8" s="9" t="s">
        <v>6583</v>
      </c>
      <c r="N8" s="9" t="b">
        <v>1</v>
      </c>
    </row>
    <row r="9">
      <c r="A9" s="9" t="s">
        <v>38817</v>
      </c>
      <c r="B9" s="9" t="s">
        <v>18538</v>
      </c>
      <c r="C9" s="9"/>
      <c r="D9" s="5" t="s">
        <v>12227</v>
      </c>
      <c r="E9" s="5"/>
      <c r="F9" s="9" t="s">
        <v>38804</v>
      </c>
      <c r="G9" s="9" t="s">
        <v>38808</v>
      </c>
      <c r="H9" s="127">
        <v>43450.0</v>
      </c>
      <c r="I9" s="9" t="s">
        <v>32</v>
      </c>
      <c r="J9" s="5" t="s">
        <v>38805</v>
      </c>
      <c r="M9" s="9" t="s">
        <v>7511</v>
      </c>
      <c r="N9" s="9" t="b">
        <v>1</v>
      </c>
    </row>
    <row r="10">
      <c r="A10" s="9" t="s">
        <v>38818</v>
      </c>
      <c r="B10" s="9" t="s">
        <v>13533</v>
      </c>
      <c r="C10" s="9"/>
      <c r="D10" s="5" t="s">
        <v>12227</v>
      </c>
      <c r="E10" s="5" t="s">
        <v>38803</v>
      </c>
      <c r="F10" s="9" t="s">
        <v>38819</v>
      </c>
      <c r="G10" s="9" t="s">
        <v>38808</v>
      </c>
      <c r="H10" s="127">
        <v>43450.0</v>
      </c>
      <c r="I10" s="9" t="s">
        <v>32</v>
      </c>
      <c r="J10" s="5" t="s">
        <v>38805</v>
      </c>
      <c r="M10" s="9" t="s">
        <v>9703</v>
      </c>
      <c r="N10" s="9" t="b">
        <v>1</v>
      </c>
    </row>
    <row r="11">
      <c r="A11" s="9" t="s">
        <v>38820</v>
      </c>
      <c r="B11" s="9" t="s">
        <v>20237</v>
      </c>
      <c r="C11" s="9"/>
      <c r="D11" s="5" t="s">
        <v>12227</v>
      </c>
      <c r="E11" s="5"/>
      <c r="F11" s="9" t="s">
        <v>38816</v>
      </c>
      <c r="G11" s="9" t="s">
        <v>38808</v>
      </c>
      <c r="H11" s="127">
        <v>43452.0</v>
      </c>
      <c r="I11" s="9" t="s">
        <v>32</v>
      </c>
      <c r="J11" s="5" t="s">
        <v>38805</v>
      </c>
      <c r="M11" s="9" t="s">
        <v>2122</v>
      </c>
      <c r="N11" s="9" t="b">
        <v>1</v>
      </c>
    </row>
    <row r="12">
      <c r="A12" s="9" t="s">
        <v>38821</v>
      </c>
      <c r="B12" s="9" t="s">
        <v>19357</v>
      </c>
      <c r="D12" s="9" t="s">
        <v>12227</v>
      </c>
      <c r="E12" s="9" t="s">
        <v>38803</v>
      </c>
      <c r="F12" s="9" t="s">
        <v>38822</v>
      </c>
      <c r="G12" s="9" t="s">
        <v>38808</v>
      </c>
      <c r="H12" s="127">
        <v>43551.0</v>
      </c>
      <c r="I12" s="9" t="s">
        <v>19</v>
      </c>
      <c r="J12" s="9" t="s">
        <v>38805</v>
      </c>
      <c r="M12" s="9" t="s">
        <v>4121</v>
      </c>
    </row>
    <row r="13">
      <c r="A13" s="9" t="s">
        <v>38823</v>
      </c>
      <c r="B13" s="9" t="s">
        <v>14549</v>
      </c>
      <c r="C13" s="9"/>
      <c r="D13" s="5" t="s">
        <v>12227</v>
      </c>
      <c r="E13" s="5"/>
      <c r="F13" s="9" t="s">
        <v>38824</v>
      </c>
      <c r="G13" s="9" t="s">
        <v>38808</v>
      </c>
      <c r="H13" s="127">
        <v>43632.0</v>
      </c>
      <c r="I13" s="9" t="s">
        <v>32</v>
      </c>
      <c r="J13" s="5" t="s">
        <v>38801</v>
      </c>
      <c r="K13" s="56">
        <v>44539.0</v>
      </c>
      <c r="M13" s="9" t="s">
        <v>255</v>
      </c>
      <c r="N13" s="9" t="b">
        <v>0</v>
      </c>
    </row>
    <row r="14">
      <c r="A14" s="9" t="s">
        <v>38825</v>
      </c>
      <c r="B14" s="9" t="s">
        <v>14721</v>
      </c>
      <c r="C14" s="9"/>
      <c r="D14" s="5" t="s">
        <v>12227</v>
      </c>
      <c r="E14" s="5"/>
      <c r="F14" s="9" t="s">
        <v>38826</v>
      </c>
      <c r="G14" s="9" t="s">
        <v>38808</v>
      </c>
      <c r="H14" s="127">
        <v>43632.0</v>
      </c>
      <c r="I14" s="9" t="s">
        <v>32</v>
      </c>
      <c r="J14" s="5" t="s">
        <v>38805</v>
      </c>
      <c r="M14" s="9" t="s">
        <v>6330</v>
      </c>
    </row>
    <row r="15">
      <c r="A15" s="9" t="s">
        <v>38827</v>
      </c>
      <c r="B15" s="9" t="s">
        <v>13559</v>
      </c>
      <c r="C15" s="9"/>
      <c r="D15" s="5" t="s">
        <v>12227</v>
      </c>
      <c r="E15" s="5"/>
      <c r="F15" s="9" t="s">
        <v>38812</v>
      </c>
      <c r="G15" s="9" t="s">
        <v>38808</v>
      </c>
      <c r="H15" s="127">
        <v>43649.0</v>
      </c>
      <c r="I15" s="9" t="s">
        <v>32</v>
      </c>
      <c r="J15" s="5" t="s">
        <v>38805</v>
      </c>
      <c r="M15" s="9" t="s">
        <v>4838</v>
      </c>
    </row>
    <row r="16">
      <c r="A16" s="9" t="s">
        <v>38828</v>
      </c>
      <c r="B16" s="9" t="s">
        <v>16857</v>
      </c>
      <c r="C16" s="9"/>
      <c r="D16" s="5" t="s">
        <v>12227</v>
      </c>
      <c r="E16" s="5"/>
      <c r="F16" s="9" t="s">
        <v>38829</v>
      </c>
      <c r="G16" s="9" t="s">
        <v>38808</v>
      </c>
      <c r="H16" s="127">
        <v>43815.0</v>
      </c>
      <c r="I16" s="9" t="s">
        <v>32</v>
      </c>
      <c r="J16" s="5" t="s">
        <v>38805</v>
      </c>
      <c r="M16" s="9" t="s">
        <v>5823</v>
      </c>
    </row>
    <row r="17">
      <c r="A17" s="9" t="s">
        <v>38830</v>
      </c>
      <c r="B17" s="9" t="s">
        <v>12716</v>
      </c>
      <c r="D17" s="9" t="s">
        <v>12227</v>
      </c>
      <c r="E17" s="9" t="s">
        <v>38831</v>
      </c>
      <c r="F17" s="9" t="s">
        <v>38832</v>
      </c>
      <c r="G17" s="9" t="s">
        <v>38808</v>
      </c>
      <c r="H17" s="127">
        <v>44205.0</v>
      </c>
      <c r="I17" s="9" t="s">
        <v>47</v>
      </c>
      <c r="J17" s="9" t="s">
        <v>38805</v>
      </c>
      <c r="M17" s="9" t="s">
        <v>11999</v>
      </c>
    </row>
    <row r="18" ht="15.75" customHeight="1">
      <c r="A18" s="9" t="s">
        <v>38833</v>
      </c>
      <c r="B18" s="9" t="s">
        <v>13990</v>
      </c>
      <c r="C18" s="9"/>
      <c r="D18" s="5" t="s">
        <v>12227</v>
      </c>
      <c r="E18" s="5"/>
      <c r="F18" s="9" t="s">
        <v>38834</v>
      </c>
      <c r="G18" s="9" t="s">
        <v>38808</v>
      </c>
      <c r="H18" s="127">
        <v>44363.0</v>
      </c>
      <c r="I18" s="9" t="s">
        <v>32</v>
      </c>
      <c r="J18" s="5" t="s">
        <v>38801</v>
      </c>
      <c r="K18" s="55">
        <v>45527.0</v>
      </c>
      <c r="M18" s="9" t="s">
        <v>9189</v>
      </c>
      <c r="N18" s="9" t="b">
        <v>0</v>
      </c>
    </row>
    <row r="19" ht="15.75" customHeight="1">
      <c r="A19" s="9" t="s">
        <v>38835</v>
      </c>
      <c r="B19" s="9" t="s">
        <v>13711</v>
      </c>
      <c r="C19" s="9"/>
      <c r="D19" s="5" t="s">
        <v>12227</v>
      </c>
      <c r="E19" s="5" t="s">
        <v>38803</v>
      </c>
      <c r="F19" s="9" t="s">
        <v>38812</v>
      </c>
      <c r="G19" s="9" t="s">
        <v>38808</v>
      </c>
      <c r="H19" s="127">
        <v>44363.0</v>
      </c>
      <c r="I19" s="9" t="s">
        <v>32</v>
      </c>
      <c r="J19" s="5" t="s">
        <v>38801</v>
      </c>
      <c r="K19" s="55">
        <v>46060.0</v>
      </c>
      <c r="M19" s="9" t="s">
        <v>9020</v>
      </c>
      <c r="N19" s="9" t="b">
        <v>1</v>
      </c>
    </row>
    <row r="20" ht="15.75" customHeight="1">
      <c r="A20" s="9" t="s">
        <v>38836</v>
      </c>
      <c r="B20" s="9" t="s">
        <v>13126</v>
      </c>
      <c r="C20" s="9"/>
      <c r="D20" s="5" t="s">
        <v>12227</v>
      </c>
      <c r="E20" s="5"/>
      <c r="F20" s="9" t="s">
        <v>38812</v>
      </c>
      <c r="G20" s="9" t="s">
        <v>38808</v>
      </c>
      <c r="H20" s="127">
        <v>44363.0</v>
      </c>
      <c r="I20" s="9" t="s">
        <v>32</v>
      </c>
      <c r="J20" s="5" t="s">
        <v>38801</v>
      </c>
      <c r="K20" s="55">
        <v>46098.0</v>
      </c>
      <c r="M20" s="9" t="s">
        <v>6390</v>
      </c>
    </row>
    <row r="21" ht="15.75" customHeight="1">
      <c r="A21" s="9" t="s">
        <v>38837</v>
      </c>
      <c r="B21" s="9" t="s">
        <v>12903</v>
      </c>
      <c r="C21" s="9"/>
      <c r="D21" s="5" t="s">
        <v>12227</v>
      </c>
      <c r="E21" s="5"/>
      <c r="F21" s="9" t="s">
        <v>38812</v>
      </c>
      <c r="G21" s="9" t="s">
        <v>38808</v>
      </c>
      <c r="H21" s="127">
        <v>44363.0</v>
      </c>
      <c r="I21" s="9" t="s">
        <v>32</v>
      </c>
      <c r="J21" s="5" t="s">
        <v>38801</v>
      </c>
      <c r="K21" s="55">
        <v>46100.0</v>
      </c>
      <c r="M21" s="9" t="s">
        <v>9858</v>
      </c>
      <c r="N21" s="9" t="b">
        <v>1</v>
      </c>
    </row>
    <row r="22" ht="15.75" customHeight="1">
      <c r="A22" s="9" t="s">
        <v>38838</v>
      </c>
      <c r="B22" s="9" t="s">
        <v>13126</v>
      </c>
      <c r="C22" s="9"/>
      <c r="D22" s="5" t="s">
        <v>12227</v>
      </c>
      <c r="E22" s="5"/>
      <c r="F22" s="9" t="s">
        <v>38812</v>
      </c>
      <c r="G22" s="9" t="s">
        <v>38808</v>
      </c>
      <c r="H22" s="127">
        <v>44363.0</v>
      </c>
      <c r="I22" s="9" t="s">
        <v>32</v>
      </c>
      <c r="J22" s="5" t="s">
        <v>38801</v>
      </c>
      <c r="K22" s="55">
        <v>46098.0</v>
      </c>
      <c r="M22" s="9" t="s">
        <v>6390</v>
      </c>
    </row>
    <row r="23" ht="15.75" customHeight="1">
      <c r="A23" s="9" t="s">
        <v>38839</v>
      </c>
      <c r="B23" s="9" t="s">
        <v>15351</v>
      </c>
      <c r="C23" s="9"/>
      <c r="D23" s="5" t="s">
        <v>12227</v>
      </c>
      <c r="E23" s="5"/>
      <c r="F23" s="9" t="s">
        <v>38840</v>
      </c>
      <c r="G23" s="9" t="s">
        <v>38808</v>
      </c>
      <c r="H23" s="127">
        <v>44363.0</v>
      </c>
      <c r="I23" s="9" t="s">
        <v>32</v>
      </c>
      <c r="J23" s="5" t="s">
        <v>38801</v>
      </c>
      <c r="K23" s="55">
        <v>45433.0</v>
      </c>
      <c r="M23" s="9" t="s">
        <v>1579</v>
      </c>
      <c r="N23" s="9" t="b">
        <v>0</v>
      </c>
    </row>
    <row r="24" ht="15.75" customHeight="1">
      <c r="A24" s="9" t="s">
        <v>38841</v>
      </c>
      <c r="B24" s="9" t="s">
        <v>14283</v>
      </c>
      <c r="C24" s="9"/>
      <c r="D24" s="5" t="s">
        <v>12227</v>
      </c>
      <c r="E24" s="5"/>
      <c r="F24" s="9" t="s">
        <v>38812</v>
      </c>
      <c r="G24" s="9" t="s">
        <v>38808</v>
      </c>
      <c r="H24" s="127">
        <v>44363.0</v>
      </c>
      <c r="I24" s="9" t="s">
        <v>32</v>
      </c>
      <c r="J24" s="5" t="s">
        <v>38801</v>
      </c>
      <c r="K24" s="60">
        <v>45501.0</v>
      </c>
      <c r="M24" s="9" t="s">
        <v>7925</v>
      </c>
    </row>
    <row r="25" ht="15.75" customHeight="1">
      <c r="A25" s="9" t="s">
        <v>38842</v>
      </c>
      <c r="B25" s="9" t="s">
        <v>20257</v>
      </c>
      <c r="C25" s="9"/>
      <c r="D25" s="5" t="s">
        <v>12227</v>
      </c>
      <c r="E25" s="5"/>
      <c r="F25" s="9" t="s">
        <v>38812</v>
      </c>
      <c r="G25" s="9" t="s">
        <v>38808</v>
      </c>
      <c r="H25" s="127">
        <v>44363.0</v>
      </c>
      <c r="I25" s="9" t="s">
        <v>32</v>
      </c>
      <c r="J25" s="5" t="s">
        <v>38801</v>
      </c>
      <c r="K25" s="55">
        <v>45411.0</v>
      </c>
      <c r="M25" s="9" t="s">
        <v>6779</v>
      </c>
    </row>
    <row r="26" ht="15.75" customHeight="1">
      <c r="A26" s="9" t="s">
        <v>38843</v>
      </c>
      <c r="B26" s="9" t="s">
        <v>21645</v>
      </c>
      <c r="C26" s="9"/>
      <c r="D26" s="5" t="s">
        <v>12227</v>
      </c>
      <c r="E26" s="5" t="s">
        <v>38803</v>
      </c>
      <c r="F26" s="9" t="s">
        <v>38812</v>
      </c>
      <c r="G26" s="9" t="s">
        <v>38844</v>
      </c>
      <c r="H26" s="127">
        <v>44363.0</v>
      </c>
      <c r="I26" s="9" t="s">
        <v>32</v>
      </c>
      <c r="J26" s="5" t="s">
        <v>38801</v>
      </c>
      <c r="K26" s="55">
        <v>45411.0</v>
      </c>
      <c r="M26" s="9" t="s">
        <v>10151</v>
      </c>
      <c r="N26" s="9" t="b">
        <v>1</v>
      </c>
    </row>
    <row r="27" ht="15.75" customHeight="1">
      <c r="A27" s="9" t="s">
        <v>38845</v>
      </c>
      <c r="B27" s="9" t="s">
        <v>18799</v>
      </c>
      <c r="C27" s="9"/>
      <c r="D27" s="5" t="s">
        <v>12227</v>
      </c>
      <c r="E27" s="5" t="s">
        <v>38846</v>
      </c>
      <c r="F27" s="9" t="s">
        <v>38847</v>
      </c>
      <c r="G27" s="9" t="s">
        <v>38808</v>
      </c>
      <c r="H27" s="127">
        <v>44363.0</v>
      </c>
      <c r="I27" s="9" t="s">
        <v>32</v>
      </c>
      <c r="J27" s="5" t="s">
        <v>38801</v>
      </c>
      <c r="K27" s="55">
        <v>45411.0</v>
      </c>
      <c r="M27" s="9" t="s">
        <v>2029</v>
      </c>
      <c r="N27" s="9" t="b">
        <v>1</v>
      </c>
    </row>
    <row r="28" ht="15.75" customHeight="1">
      <c r="A28" s="9" t="s">
        <v>38848</v>
      </c>
      <c r="B28" s="9" t="s">
        <v>13012</v>
      </c>
      <c r="C28" s="9"/>
      <c r="D28" s="5" t="s">
        <v>12227</v>
      </c>
      <c r="E28" s="5"/>
      <c r="F28" s="9" t="s">
        <v>38812</v>
      </c>
      <c r="G28" s="9" t="s">
        <v>38808</v>
      </c>
      <c r="H28" s="127">
        <v>44363.0</v>
      </c>
      <c r="I28" s="9" t="s">
        <v>32</v>
      </c>
      <c r="J28" s="5" t="s">
        <v>38801</v>
      </c>
      <c r="K28" s="55">
        <v>45411.0</v>
      </c>
      <c r="M28" s="9" t="s">
        <v>10034</v>
      </c>
    </row>
    <row r="29" ht="15.75" customHeight="1">
      <c r="A29" s="9" t="s">
        <v>38849</v>
      </c>
      <c r="B29" s="9" t="s">
        <v>20273</v>
      </c>
      <c r="C29" s="9"/>
      <c r="D29" s="5" t="s">
        <v>12227</v>
      </c>
      <c r="E29" s="5"/>
      <c r="F29" s="9" t="s">
        <v>38850</v>
      </c>
      <c r="G29" s="9" t="s">
        <v>38808</v>
      </c>
      <c r="H29" s="127">
        <v>44363.0</v>
      </c>
      <c r="I29" s="9" t="s">
        <v>32</v>
      </c>
      <c r="J29" s="5" t="s">
        <v>38801</v>
      </c>
      <c r="K29" s="55">
        <v>45411.0</v>
      </c>
      <c r="M29" s="9" t="s">
        <v>1062</v>
      </c>
      <c r="N29" s="9" t="b">
        <v>1</v>
      </c>
    </row>
    <row r="30" ht="15.75" customHeight="1">
      <c r="A30" s="9" t="s">
        <v>38851</v>
      </c>
      <c r="B30" s="9" t="s">
        <v>20541</v>
      </c>
      <c r="C30" s="9"/>
      <c r="D30" s="5" t="s">
        <v>12227</v>
      </c>
      <c r="E30" s="5"/>
      <c r="F30" s="9" t="s">
        <v>38812</v>
      </c>
      <c r="G30" s="9" t="s">
        <v>38808</v>
      </c>
      <c r="H30" s="127">
        <v>44363.0</v>
      </c>
      <c r="I30" s="9" t="s">
        <v>32</v>
      </c>
      <c r="J30" s="5" t="s">
        <v>38801</v>
      </c>
      <c r="K30" s="55">
        <v>45411.0</v>
      </c>
      <c r="M30" s="9" t="s">
        <v>4470</v>
      </c>
    </row>
    <row r="31" ht="15.75" customHeight="1">
      <c r="A31" s="9" t="s">
        <v>38852</v>
      </c>
      <c r="B31" s="9" t="s">
        <v>16636</v>
      </c>
      <c r="C31" s="9"/>
      <c r="D31" s="5" t="s">
        <v>12227</v>
      </c>
      <c r="E31" s="5"/>
      <c r="F31" s="9" t="s">
        <v>38812</v>
      </c>
      <c r="G31" s="9" t="s">
        <v>38808</v>
      </c>
      <c r="H31" s="127">
        <v>44363.0</v>
      </c>
      <c r="I31" s="9" t="s">
        <v>32</v>
      </c>
      <c r="J31" s="5" t="s">
        <v>38801</v>
      </c>
      <c r="K31" s="55">
        <v>45411.0</v>
      </c>
      <c r="M31" s="9" t="s">
        <v>10090</v>
      </c>
    </row>
    <row r="32" ht="15.75" customHeight="1">
      <c r="A32" s="9" t="s">
        <v>38853</v>
      </c>
      <c r="B32" s="9" t="s">
        <v>16595</v>
      </c>
      <c r="C32" s="9"/>
      <c r="D32" s="5" t="s">
        <v>12227</v>
      </c>
      <c r="E32" s="5" t="s">
        <v>38803</v>
      </c>
      <c r="F32" s="9" t="s">
        <v>38812</v>
      </c>
      <c r="G32" s="9" t="s">
        <v>38808</v>
      </c>
      <c r="H32" s="127">
        <v>44363.0</v>
      </c>
      <c r="I32" s="9" t="s">
        <v>32</v>
      </c>
      <c r="J32" s="5" t="s">
        <v>38801</v>
      </c>
      <c r="K32" s="55">
        <v>45411.0</v>
      </c>
      <c r="M32" s="9" t="s">
        <v>8568</v>
      </c>
      <c r="N32" s="9" t="b">
        <v>0</v>
      </c>
    </row>
    <row r="33" ht="15.75" customHeight="1">
      <c r="A33" s="9" t="s">
        <v>38854</v>
      </c>
      <c r="B33" s="9" t="s">
        <v>13052</v>
      </c>
      <c r="C33" s="9"/>
      <c r="D33" s="5" t="s">
        <v>12227</v>
      </c>
      <c r="E33" s="5"/>
      <c r="F33" s="9" t="s">
        <v>38812</v>
      </c>
      <c r="G33" s="9" t="s">
        <v>38808</v>
      </c>
      <c r="H33" s="127">
        <v>44363.0</v>
      </c>
      <c r="I33" s="9" t="s">
        <v>32</v>
      </c>
      <c r="J33" s="5" t="s">
        <v>38801</v>
      </c>
      <c r="K33" s="55">
        <v>45411.0</v>
      </c>
      <c r="M33" s="9" t="s">
        <v>10023</v>
      </c>
      <c r="N33" s="9" t="b">
        <v>1</v>
      </c>
    </row>
    <row r="34" ht="15.75" customHeight="1">
      <c r="A34" s="9" t="s">
        <v>38855</v>
      </c>
      <c r="B34" s="9" t="s">
        <v>15312</v>
      </c>
      <c r="C34" s="9"/>
      <c r="D34" s="5" t="s">
        <v>12227</v>
      </c>
      <c r="E34" s="5"/>
      <c r="F34" s="9" t="s">
        <v>38812</v>
      </c>
      <c r="G34" s="9" t="s">
        <v>38808</v>
      </c>
      <c r="H34" s="127">
        <v>44363.0</v>
      </c>
      <c r="I34" s="9" t="s">
        <v>32</v>
      </c>
      <c r="J34" s="5" t="s">
        <v>38801</v>
      </c>
      <c r="K34" s="55">
        <v>45411.0</v>
      </c>
      <c r="M34" s="9" t="s">
        <v>9667</v>
      </c>
      <c r="N34" s="9" t="b">
        <v>0</v>
      </c>
    </row>
    <row r="35" ht="15.75" customHeight="1">
      <c r="A35" s="9" t="s">
        <v>38856</v>
      </c>
      <c r="B35" s="9" t="s">
        <v>20554</v>
      </c>
      <c r="C35" s="9"/>
      <c r="D35" s="5" t="s">
        <v>12227</v>
      </c>
      <c r="E35" s="5"/>
      <c r="F35" s="9" t="s">
        <v>38812</v>
      </c>
      <c r="G35" s="9" t="s">
        <v>38808</v>
      </c>
      <c r="H35" s="127">
        <v>44363.0</v>
      </c>
      <c r="I35" s="9" t="s">
        <v>32</v>
      </c>
      <c r="J35" s="5" t="s">
        <v>38801</v>
      </c>
      <c r="K35" s="55">
        <v>45411.0</v>
      </c>
      <c r="M35" s="9" t="s">
        <v>5331</v>
      </c>
    </row>
    <row r="36" ht="15.75" customHeight="1">
      <c r="A36" s="9" t="s">
        <v>38857</v>
      </c>
      <c r="B36" s="9" t="s">
        <v>20770</v>
      </c>
      <c r="C36" s="9"/>
      <c r="D36" s="5" t="s">
        <v>12227</v>
      </c>
      <c r="E36" s="5"/>
      <c r="F36" s="9" t="s">
        <v>38812</v>
      </c>
      <c r="G36" s="9" t="s">
        <v>38808</v>
      </c>
      <c r="H36" s="127">
        <v>44363.0</v>
      </c>
      <c r="I36" s="9" t="s">
        <v>32</v>
      </c>
      <c r="J36" s="5" t="s">
        <v>38801</v>
      </c>
      <c r="K36" s="55">
        <v>45411.0</v>
      </c>
      <c r="M36" s="9" t="s">
        <v>8457</v>
      </c>
    </row>
    <row r="37" ht="15.75" customHeight="1">
      <c r="A37" s="9" t="s">
        <v>38858</v>
      </c>
      <c r="B37" s="9" t="s">
        <v>20586</v>
      </c>
      <c r="C37" s="9"/>
      <c r="D37" s="5" t="s">
        <v>12227</v>
      </c>
      <c r="E37" s="5"/>
      <c r="F37" s="9" t="s">
        <v>38812</v>
      </c>
      <c r="G37" s="9" t="s">
        <v>38808</v>
      </c>
      <c r="H37" s="127">
        <v>44363.0</v>
      </c>
      <c r="I37" s="9" t="s">
        <v>32</v>
      </c>
      <c r="J37" s="5" t="s">
        <v>38801</v>
      </c>
      <c r="K37" s="55">
        <v>45411.0</v>
      </c>
      <c r="M37" s="9" t="s">
        <v>5955</v>
      </c>
      <c r="N37" s="9" t="b">
        <v>0</v>
      </c>
    </row>
    <row r="38" ht="15.75" customHeight="1">
      <c r="A38" s="9" t="s">
        <v>38859</v>
      </c>
      <c r="B38" s="9" t="s">
        <v>20870</v>
      </c>
      <c r="C38" s="9"/>
      <c r="D38" s="5" t="s">
        <v>12227</v>
      </c>
      <c r="E38" s="5" t="s">
        <v>38803</v>
      </c>
      <c r="F38" s="9" t="s">
        <v>38812</v>
      </c>
      <c r="G38" s="9" t="s">
        <v>38808</v>
      </c>
      <c r="H38" s="127">
        <v>44363.0</v>
      </c>
      <c r="I38" s="9" t="s">
        <v>32</v>
      </c>
      <c r="J38" s="5" t="s">
        <v>38801</v>
      </c>
      <c r="K38" s="55">
        <v>45411.0</v>
      </c>
      <c r="M38" s="9" t="s">
        <v>9228</v>
      </c>
      <c r="N38" s="9" t="b">
        <v>1</v>
      </c>
    </row>
    <row r="39" ht="15.75" customHeight="1">
      <c r="A39" s="9" t="s">
        <v>38860</v>
      </c>
      <c r="B39" s="9" t="s">
        <v>12379</v>
      </c>
      <c r="C39" s="9"/>
      <c r="D39" s="5" t="s">
        <v>12227</v>
      </c>
      <c r="E39" s="5"/>
      <c r="F39" s="9" t="s">
        <v>38812</v>
      </c>
      <c r="G39" s="9" t="s">
        <v>38808</v>
      </c>
      <c r="H39" s="127">
        <v>44363.0</v>
      </c>
      <c r="I39" s="9" t="s">
        <v>32</v>
      </c>
      <c r="J39" s="5" t="s">
        <v>38801</v>
      </c>
      <c r="K39" s="56">
        <v>44539.0</v>
      </c>
      <c r="M39" s="9" t="s">
        <v>9048</v>
      </c>
      <c r="N39" s="9" t="b">
        <v>0</v>
      </c>
    </row>
    <row r="40" ht="15.75" customHeight="1">
      <c r="A40" s="9" t="s">
        <v>38861</v>
      </c>
      <c r="B40" s="9" t="s">
        <v>15029</v>
      </c>
      <c r="C40" s="9"/>
      <c r="D40" s="5" t="s">
        <v>12227</v>
      </c>
      <c r="E40" s="5"/>
      <c r="F40" s="9" t="s">
        <v>38812</v>
      </c>
      <c r="G40" s="9" t="s">
        <v>38808</v>
      </c>
      <c r="H40" s="127">
        <v>44363.0</v>
      </c>
      <c r="I40" s="9" t="s">
        <v>32</v>
      </c>
      <c r="J40" s="5" t="s">
        <v>38801</v>
      </c>
      <c r="K40" s="56">
        <v>44539.0</v>
      </c>
      <c r="M40" s="9" t="s">
        <v>4800</v>
      </c>
      <c r="N40" s="9" t="b">
        <v>1</v>
      </c>
    </row>
    <row r="41" ht="15.75" customHeight="1">
      <c r="A41" s="9" t="s">
        <v>38862</v>
      </c>
      <c r="B41" s="9" t="s">
        <v>16463</v>
      </c>
      <c r="C41" s="9"/>
      <c r="D41" s="5" t="s">
        <v>12227</v>
      </c>
      <c r="E41" s="5"/>
      <c r="F41" s="9" t="s">
        <v>38863</v>
      </c>
      <c r="G41" s="9" t="s">
        <v>38808</v>
      </c>
      <c r="H41" s="127">
        <v>44363.0</v>
      </c>
      <c r="I41" s="9" t="s">
        <v>32</v>
      </c>
      <c r="J41" s="5" t="s">
        <v>38801</v>
      </c>
      <c r="K41" s="61">
        <v>44530.0</v>
      </c>
      <c r="M41" s="9" t="s">
        <v>9429</v>
      </c>
    </row>
    <row r="42" ht="15.75" customHeight="1">
      <c r="A42" s="9" t="s">
        <v>38864</v>
      </c>
      <c r="B42" s="9" t="s">
        <v>13052</v>
      </c>
      <c r="C42" s="9"/>
      <c r="D42" s="5" t="s">
        <v>12227</v>
      </c>
      <c r="E42" s="5"/>
      <c r="F42" s="9" t="s">
        <v>38865</v>
      </c>
      <c r="G42" s="9" t="s">
        <v>38808</v>
      </c>
      <c r="H42" s="127">
        <v>44363.0</v>
      </c>
      <c r="I42" s="9" t="s">
        <v>32</v>
      </c>
      <c r="J42" s="5" t="s">
        <v>38801</v>
      </c>
      <c r="K42" s="55">
        <v>46099.0</v>
      </c>
      <c r="M42" s="9" t="s">
        <v>10079</v>
      </c>
      <c r="N42" s="9" t="b">
        <v>0</v>
      </c>
    </row>
    <row r="43" ht="15.75" customHeight="1">
      <c r="A43" s="9" t="s">
        <v>38866</v>
      </c>
      <c r="B43" s="9" t="s">
        <v>19467</v>
      </c>
      <c r="C43" s="9"/>
      <c r="D43" s="5" t="s">
        <v>12227</v>
      </c>
      <c r="E43" s="5"/>
      <c r="F43" s="9" t="s">
        <v>38812</v>
      </c>
      <c r="G43" s="9" t="s">
        <v>38808</v>
      </c>
      <c r="H43" s="127">
        <v>44363.0</v>
      </c>
      <c r="I43" s="9" t="s">
        <v>32</v>
      </c>
      <c r="J43" s="5" t="s">
        <v>38801</v>
      </c>
      <c r="K43" s="61">
        <v>44494.0</v>
      </c>
      <c r="M43" s="9" t="s">
        <v>565</v>
      </c>
    </row>
    <row r="44" ht="15.75" customHeight="1">
      <c r="A44" s="9" t="s">
        <v>38867</v>
      </c>
      <c r="B44" s="9" t="s">
        <v>20766</v>
      </c>
      <c r="C44" s="9"/>
      <c r="D44" s="5" t="s">
        <v>12227</v>
      </c>
      <c r="E44" s="5"/>
      <c r="F44" s="9" t="s">
        <v>38868</v>
      </c>
      <c r="G44" s="9" t="s">
        <v>38808</v>
      </c>
      <c r="H44" s="127">
        <v>44363.0</v>
      </c>
      <c r="I44" s="9" t="s">
        <v>32</v>
      </c>
      <c r="J44" s="5" t="s">
        <v>38801</v>
      </c>
      <c r="K44" s="56">
        <v>44393.0</v>
      </c>
    </row>
    <row r="45" ht="15.75" customHeight="1">
      <c r="A45" s="9" t="s">
        <v>38869</v>
      </c>
      <c r="B45" s="9" t="s">
        <v>13411</v>
      </c>
      <c r="C45" s="9"/>
      <c r="D45" s="5" t="s">
        <v>12227</v>
      </c>
      <c r="E45" s="5"/>
      <c r="F45" s="9" t="s">
        <v>38812</v>
      </c>
      <c r="G45" s="9" t="s">
        <v>38808</v>
      </c>
      <c r="H45" s="127">
        <v>44363.0</v>
      </c>
      <c r="I45" s="9" t="s">
        <v>32</v>
      </c>
      <c r="J45" s="5" t="s">
        <v>38801</v>
      </c>
      <c r="K45" s="56">
        <v>44393.0</v>
      </c>
    </row>
    <row r="46" ht="15.75" customHeight="1">
      <c r="A46" s="9" t="s">
        <v>38870</v>
      </c>
      <c r="B46" s="9" t="s">
        <v>18757</v>
      </c>
      <c r="C46" s="9"/>
      <c r="D46" s="5" t="s">
        <v>12227</v>
      </c>
      <c r="E46" s="5"/>
      <c r="F46" s="9" t="s">
        <v>38812</v>
      </c>
      <c r="G46" s="9" t="s">
        <v>38808</v>
      </c>
      <c r="H46" s="127">
        <v>44363.0</v>
      </c>
      <c r="I46" s="9" t="s">
        <v>32</v>
      </c>
      <c r="J46" s="5" t="s">
        <v>38801</v>
      </c>
      <c r="K46" s="56">
        <v>44393.0</v>
      </c>
    </row>
    <row r="47" ht="15.75" customHeight="1">
      <c r="A47" s="9" t="s">
        <v>38871</v>
      </c>
      <c r="B47" s="9" t="s">
        <v>19188</v>
      </c>
      <c r="C47" s="9"/>
      <c r="D47" s="5" t="s">
        <v>12227</v>
      </c>
      <c r="E47" s="5"/>
      <c r="F47" s="9" t="s">
        <v>38812</v>
      </c>
      <c r="G47" s="9" t="s">
        <v>38808</v>
      </c>
      <c r="H47" s="127">
        <v>44363.0</v>
      </c>
      <c r="I47" s="9" t="s">
        <v>32</v>
      </c>
      <c r="J47" s="5" t="s">
        <v>38801</v>
      </c>
      <c r="K47" s="56">
        <v>44393.0</v>
      </c>
    </row>
    <row r="48" ht="15.75" customHeight="1">
      <c r="A48" s="9" t="s">
        <v>38872</v>
      </c>
      <c r="B48" s="9" t="s">
        <v>14876</v>
      </c>
      <c r="C48" s="9"/>
      <c r="D48" s="5" t="s">
        <v>12227</v>
      </c>
      <c r="E48" s="5"/>
      <c r="F48" s="9" t="s">
        <v>38812</v>
      </c>
      <c r="G48" s="9" t="s">
        <v>38808</v>
      </c>
      <c r="H48" s="127">
        <v>44363.0</v>
      </c>
      <c r="I48" s="9" t="s">
        <v>32</v>
      </c>
      <c r="J48" s="5" t="s">
        <v>38801</v>
      </c>
      <c r="K48" s="56">
        <v>44393.0</v>
      </c>
    </row>
    <row r="49" ht="15.75" customHeight="1">
      <c r="A49" s="9" t="s">
        <v>38873</v>
      </c>
      <c r="B49" s="9" t="s">
        <v>12997</v>
      </c>
      <c r="C49" s="9"/>
      <c r="D49" s="5" t="s">
        <v>12227</v>
      </c>
      <c r="E49" s="5"/>
      <c r="F49" s="9" t="s">
        <v>38874</v>
      </c>
      <c r="G49" s="9" t="s">
        <v>38808</v>
      </c>
      <c r="H49" s="127">
        <v>44363.0</v>
      </c>
      <c r="I49" s="9" t="s">
        <v>32</v>
      </c>
      <c r="J49" s="5" t="s">
        <v>38805</v>
      </c>
      <c r="M49" s="9" t="s">
        <v>4712</v>
      </c>
      <c r="N49" s="9" t="b">
        <v>0</v>
      </c>
    </row>
    <row r="50" ht="15.75" customHeight="1">
      <c r="A50" s="9" t="s">
        <v>38875</v>
      </c>
      <c r="B50" s="9" t="s">
        <v>20249</v>
      </c>
      <c r="C50" s="9"/>
      <c r="D50" s="5" t="s">
        <v>12227</v>
      </c>
      <c r="E50" s="5"/>
      <c r="F50" s="9" t="s">
        <v>38812</v>
      </c>
      <c r="G50" s="9" t="s">
        <v>38808</v>
      </c>
      <c r="H50" s="127">
        <v>44363.0</v>
      </c>
      <c r="I50" s="9" t="s">
        <v>32</v>
      </c>
      <c r="J50" s="5" t="s">
        <v>38801</v>
      </c>
      <c r="M50" s="9" t="s">
        <v>3056</v>
      </c>
    </row>
    <row r="51" ht="15.75" customHeight="1">
      <c r="A51" s="52" t="s">
        <v>38876</v>
      </c>
      <c r="B51" s="9" t="s">
        <v>16697</v>
      </c>
      <c r="C51" s="9"/>
      <c r="D51" s="5" t="s">
        <v>12227</v>
      </c>
      <c r="E51" s="5"/>
      <c r="F51" s="9" t="s">
        <v>38877</v>
      </c>
      <c r="G51" s="9" t="s">
        <v>38808</v>
      </c>
      <c r="H51" s="127">
        <v>44363.0</v>
      </c>
      <c r="I51" s="9" t="s">
        <v>32</v>
      </c>
      <c r="J51" s="5" t="s">
        <v>38805</v>
      </c>
      <c r="M51" s="9" t="s">
        <v>7298</v>
      </c>
      <c r="N51" s="9" t="b">
        <v>1</v>
      </c>
    </row>
    <row r="52" ht="15.75" customHeight="1">
      <c r="A52" s="9" t="s">
        <v>38878</v>
      </c>
      <c r="B52" s="9" t="s">
        <v>14460</v>
      </c>
      <c r="C52" s="9"/>
      <c r="D52" s="5" t="s">
        <v>12227</v>
      </c>
      <c r="E52" s="5"/>
      <c r="F52" s="9" t="s">
        <v>38812</v>
      </c>
      <c r="G52" s="9" t="s">
        <v>38808</v>
      </c>
      <c r="H52" s="127">
        <v>44363.0</v>
      </c>
      <c r="I52" s="9" t="s">
        <v>32</v>
      </c>
      <c r="J52" s="5" t="s">
        <v>38805</v>
      </c>
      <c r="M52" s="9" t="s">
        <v>3079</v>
      </c>
      <c r="N52" s="9" t="b">
        <v>1</v>
      </c>
    </row>
    <row r="53" ht="15.75" customHeight="1">
      <c r="A53" s="9" t="s">
        <v>38879</v>
      </c>
      <c r="B53" s="9" t="s">
        <v>20980</v>
      </c>
      <c r="C53" s="9"/>
      <c r="D53" s="5" t="s">
        <v>12227</v>
      </c>
      <c r="E53" s="5"/>
      <c r="F53" s="9" t="s">
        <v>38880</v>
      </c>
      <c r="G53" s="9" t="s">
        <v>38808</v>
      </c>
      <c r="H53" s="127">
        <v>44363.0</v>
      </c>
      <c r="I53" s="9" t="s">
        <v>32</v>
      </c>
      <c r="J53" s="5" t="s">
        <v>38805</v>
      </c>
      <c r="M53" s="9" t="s">
        <v>9901</v>
      </c>
      <c r="N53" s="9" t="b">
        <v>1</v>
      </c>
    </row>
    <row r="54" ht="15.75" customHeight="1">
      <c r="A54" s="9" t="s">
        <v>38881</v>
      </c>
      <c r="B54" s="9" t="s">
        <v>14635</v>
      </c>
      <c r="C54" s="9"/>
      <c r="D54" s="5" t="s">
        <v>12227</v>
      </c>
      <c r="E54" s="5" t="s">
        <v>38803</v>
      </c>
      <c r="F54" s="9" t="s">
        <v>38812</v>
      </c>
      <c r="G54" s="9" t="s">
        <v>38808</v>
      </c>
      <c r="H54" s="127">
        <v>44363.0</v>
      </c>
      <c r="I54" s="9" t="s">
        <v>32</v>
      </c>
      <c r="J54" s="5" t="s">
        <v>38805</v>
      </c>
      <c r="M54" s="9" t="s">
        <v>8657</v>
      </c>
      <c r="N54" s="9" t="b">
        <v>1</v>
      </c>
    </row>
    <row r="55" ht="15.75" customHeight="1">
      <c r="A55" s="9" t="s">
        <v>38882</v>
      </c>
      <c r="B55" s="9" t="s">
        <v>18135</v>
      </c>
      <c r="C55" s="9"/>
      <c r="D55" s="5" t="s">
        <v>12227</v>
      </c>
      <c r="E55" s="5"/>
      <c r="F55" s="9" t="s">
        <v>38812</v>
      </c>
      <c r="G55" s="9" t="s">
        <v>38808</v>
      </c>
      <c r="H55" s="127">
        <v>44363.0</v>
      </c>
      <c r="I55" s="9" t="s">
        <v>32</v>
      </c>
      <c r="J55" s="5" t="s">
        <v>38805</v>
      </c>
      <c r="M55" s="9" t="s">
        <v>265</v>
      </c>
      <c r="N55" s="9" t="b">
        <v>1</v>
      </c>
    </row>
    <row r="56" ht="15.75" customHeight="1">
      <c r="A56" s="9" t="s">
        <v>38883</v>
      </c>
      <c r="B56" s="9" t="s">
        <v>16334</v>
      </c>
      <c r="C56" s="9"/>
      <c r="D56" s="5" t="s">
        <v>12227</v>
      </c>
      <c r="E56" s="5" t="s">
        <v>38884</v>
      </c>
      <c r="F56" s="9" t="s">
        <v>38885</v>
      </c>
      <c r="G56" s="9" t="s">
        <v>38808</v>
      </c>
      <c r="H56" s="127">
        <v>44363.0</v>
      </c>
      <c r="I56" s="9" t="s">
        <v>32</v>
      </c>
      <c r="J56" s="5" t="s">
        <v>38805</v>
      </c>
      <c r="M56" s="9" t="s">
        <v>9375</v>
      </c>
    </row>
    <row r="57" ht="15.75" customHeight="1">
      <c r="A57" s="9" t="s">
        <v>38886</v>
      </c>
      <c r="B57" s="9" t="s">
        <v>13499</v>
      </c>
      <c r="C57" s="9"/>
      <c r="D57" s="5" t="s">
        <v>12227</v>
      </c>
      <c r="E57" s="5"/>
      <c r="F57" s="9" t="s">
        <v>38885</v>
      </c>
      <c r="G57" s="9" t="s">
        <v>38808</v>
      </c>
      <c r="H57" s="127">
        <v>44363.0</v>
      </c>
      <c r="I57" s="9" t="s">
        <v>32</v>
      </c>
      <c r="J57" s="5" t="s">
        <v>38805</v>
      </c>
      <c r="M57" s="9" t="s">
        <v>4224</v>
      </c>
      <c r="N57" s="9" t="b">
        <v>0</v>
      </c>
    </row>
    <row r="58" ht="15.75" customHeight="1">
      <c r="A58" s="9" t="s">
        <v>38887</v>
      </c>
      <c r="B58" s="9" t="s">
        <v>17945</v>
      </c>
      <c r="C58" s="9"/>
      <c r="D58" s="5" t="s">
        <v>12227</v>
      </c>
      <c r="E58" s="5"/>
      <c r="F58" s="9" t="s">
        <v>38888</v>
      </c>
      <c r="G58" s="9" t="s">
        <v>38800</v>
      </c>
      <c r="H58" s="127">
        <v>44363.0</v>
      </c>
      <c r="I58" s="9" t="s">
        <v>32</v>
      </c>
      <c r="J58" s="5" t="s">
        <v>38805</v>
      </c>
      <c r="M58" s="9" t="s">
        <v>2385</v>
      </c>
      <c r="N58" s="9" t="b">
        <v>1</v>
      </c>
    </row>
    <row r="59" ht="15.75" customHeight="1">
      <c r="A59" s="9" t="s">
        <v>38889</v>
      </c>
      <c r="B59" s="9" t="s">
        <v>16734</v>
      </c>
      <c r="C59" s="9"/>
      <c r="D59" s="5" t="s">
        <v>12227</v>
      </c>
      <c r="E59" s="5"/>
      <c r="F59" s="9" t="s">
        <v>38812</v>
      </c>
      <c r="G59" s="9" t="s">
        <v>38808</v>
      </c>
      <c r="H59" s="127">
        <v>44363.0</v>
      </c>
      <c r="I59" s="9" t="s">
        <v>32</v>
      </c>
      <c r="J59" s="5" t="s">
        <v>38805</v>
      </c>
      <c r="M59" s="9" t="s">
        <v>1034</v>
      </c>
      <c r="N59" s="9" t="b">
        <v>1</v>
      </c>
    </row>
    <row r="60" ht="15.75" customHeight="1">
      <c r="A60" s="9" t="s">
        <v>38890</v>
      </c>
      <c r="B60" s="9" t="s">
        <v>20694</v>
      </c>
      <c r="C60" s="9"/>
      <c r="D60" s="5" t="s">
        <v>12227</v>
      </c>
      <c r="E60" s="5" t="s">
        <v>38803</v>
      </c>
      <c r="F60" s="9" t="s">
        <v>38812</v>
      </c>
      <c r="G60" s="9" t="s">
        <v>38808</v>
      </c>
      <c r="H60" s="127">
        <v>44363.0</v>
      </c>
      <c r="I60" s="9" t="s">
        <v>32</v>
      </c>
      <c r="J60" s="5" t="s">
        <v>38801</v>
      </c>
      <c r="K60" s="55">
        <v>45705.0</v>
      </c>
      <c r="M60" s="9" t="s">
        <v>8011</v>
      </c>
      <c r="N60" s="9" t="b">
        <v>1</v>
      </c>
    </row>
    <row r="61" ht="15.75" customHeight="1">
      <c r="A61" s="9" t="s">
        <v>38891</v>
      </c>
      <c r="B61" s="9" t="s">
        <v>17012</v>
      </c>
      <c r="C61" s="9"/>
      <c r="D61" s="5" t="s">
        <v>12227</v>
      </c>
      <c r="E61" s="5"/>
      <c r="F61" s="9" t="s">
        <v>38812</v>
      </c>
      <c r="G61" s="9" t="s">
        <v>38808</v>
      </c>
      <c r="H61" s="127">
        <v>44363.0</v>
      </c>
      <c r="I61" s="9" t="s">
        <v>32</v>
      </c>
      <c r="J61" s="5" t="s">
        <v>38805</v>
      </c>
      <c r="M61" s="9" t="s">
        <v>9285</v>
      </c>
    </row>
    <row r="62" ht="15.75" customHeight="1">
      <c r="A62" s="9" t="s">
        <v>38892</v>
      </c>
      <c r="B62" s="9" t="s">
        <v>16803</v>
      </c>
      <c r="C62" s="9"/>
      <c r="D62" s="5" t="s">
        <v>12227</v>
      </c>
      <c r="E62" s="5"/>
      <c r="F62" s="9" t="s">
        <v>38812</v>
      </c>
      <c r="G62" s="9" t="s">
        <v>38808</v>
      </c>
      <c r="H62" s="127">
        <v>44363.0</v>
      </c>
      <c r="I62" s="9" t="s">
        <v>32</v>
      </c>
      <c r="J62" s="5" t="s">
        <v>38805</v>
      </c>
      <c r="M62" s="9" t="s">
        <v>1722</v>
      </c>
    </row>
    <row r="63" ht="15.75" customHeight="1">
      <c r="A63" s="9" t="s">
        <v>38893</v>
      </c>
      <c r="B63" s="9" t="s">
        <v>15703</v>
      </c>
      <c r="C63" s="9"/>
      <c r="D63" s="5" t="s">
        <v>12227</v>
      </c>
      <c r="E63" s="5"/>
      <c r="F63" s="9" t="s">
        <v>38812</v>
      </c>
      <c r="G63" s="9" t="s">
        <v>38808</v>
      </c>
      <c r="H63" s="127">
        <v>44363.0</v>
      </c>
      <c r="I63" s="9" t="s">
        <v>32</v>
      </c>
      <c r="J63" s="5" t="s">
        <v>38805</v>
      </c>
      <c r="M63" s="9" t="s">
        <v>9411</v>
      </c>
    </row>
    <row r="64" ht="15.75" customHeight="1">
      <c r="A64" s="9" t="s">
        <v>38894</v>
      </c>
      <c r="B64" s="9" t="s">
        <v>20386</v>
      </c>
      <c r="C64" s="9"/>
      <c r="D64" s="5" t="s">
        <v>12227</v>
      </c>
      <c r="E64" s="5"/>
      <c r="F64" s="9" t="s">
        <v>38877</v>
      </c>
      <c r="G64" s="9" t="s">
        <v>38808</v>
      </c>
      <c r="H64" s="127">
        <v>44363.0</v>
      </c>
      <c r="I64" s="9" t="s">
        <v>32</v>
      </c>
      <c r="J64" s="5" t="s">
        <v>38805</v>
      </c>
      <c r="M64" s="9" t="s">
        <v>2136</v>
      </c>
      <c r="N64" s="9" t="b">
        <v>1</v>
      </c>
    </row>
    <row r="65" ht="15.75" customHeight="1">
      <c r="A65" s="9" t="s">
        <v>38895</v>
      </c>
      <c r="B65" s="9" t="s">
        <v>18454</v>
      </c>
      <c r="C65" s="9"/>
      <c r="D65" s="5" t="s">
        <v>12227</v>
      </c>
      <c r="E65" s="5"/>
      <c r="F65" s="9" t="s">
        <v>38812</v>
      </c>
      <c r="G65" s="9" t="s">
        <v>38808</v>
      </c>
      <c r="H65" s="127">
        <v>44363.0</v>
      </c>
      <c r="I65" s="9" t="s">
        <v>32</v>
      </c>
      <c r="J65" s="5" t="s">
        <v>38805</v>
      </c>
      <c r="M65" s="9" t="s">
        <v>4935</v>
      </c>
    </row>
    <row r="66" ht="15.75" customHeight="1">
      <c r="A66" s="9" t="s">
        <v>38896</v>
      </c>
      <c r="B66" s="9" t="s">
        <v>24403</v>
      </c>
      <c r="C66" s="9"/>
      <c r="D66" s="5" t="s">
        <v>12227</v>
      </c>
      <c r="E66" s="5"/>
      <c r="F66" s="9" t="s">
        <v>38812</v>
      </c>
      <c r="G66" s="9" t="s">
        <v>38808</v>
      </c>
      <c r="H66" s="127">
        <v>44363.0</v>
      </c>
      <c r="I66" s="9" t="s">
        <v>32</v>
      </c>
      <c r="J66" s="5" t="s">
        <v>38805</v>
      </c>
      <c r="M66" s="9" t="s">
        <v>8889</v>
      </c>
      <c r="N66" s="9" t="b">
        <v>0</v>
      </c>
    </row>
    <row r="67" ht="15.75" customHeight="1">
      <c r="A67" s="9" t="s">
        <v>38897</v>
      </c>
      <c r="B67" s="9" t="s">
        <v>20987</v>
      </c>
      <c r="C67" s="9"/>
      <c r="D67" s="5" t="s">
        <v>12227</v>
      </c>
      <c r="E67" s="5"/>
      <c r="F67" s="9" t="s">
        <v>38812</v>
      </c>
      <c r="G67" s="9" t="s">
        <v>38808</v>
      </c>
      <c r="H67" s="127">
        <v>44363.0</v>
      </c>
      <c r="I67" s="9" t="s">
        <v>32</v>
      </c>
      <c r="J67" s="5" t="s">
        <v>38805</v>
      </c>
      <c r="M67" s="9" t="s">
        <v>9949</v>
      </c>
    </row>
    <row r="68" ht="15.75" customHeight="1">
      <c r="A68" s="9" t="s">
        <v>38898</v>
      </c>
      <c r="B68" s="9" t="s">
        <v>20819</v>
      </c>
      <c r="C68" s="9"/>
      <c r="D68" s="5" t="s">
        <v>12227</v>
      </c>
      <c r="E68" s="5"/>
      <c r="F68" s="9" t="s">
        <v>38812</v>
      </c>
      <c r="G68" s="9" t="s">
        <v>38808</v>
      </c>
      <c r="H68" s="127">
        <v>44363.0</v>
      </c>
      <c r="I68" s="9" t="s">
        <v>32</v>
      </c>
      <c r="J68" s="5" t="s">
        <v>38805</v>
      </c>
      <c r="M68" s="9" t="s">
        <v>8795</v>
      </c>
    </row>
    <row r="69" ht="15.75" customHeight="1">
      <c r="A69" s="9" t="s">
        <v>38899</v>
      </c>
      <c r="B69" s="9" t="s">
        <v>17098</v>
      </c>
      <c r="C69" s="9"/>
      <c r="D69" s="5" t="s">
        <v>12227</v>
      </c>
      <c r="E69" s="5"/>
      <c r="F69" s="9" t="s">
        <v>38812</v>
      </c>
      <c r="G69" s="9" t="s">
        <v>38808</v>
      </c>
      <c r="H69" s="127">
        <v>44363.0</v>
      </c>
      <c r="I69" s="9" t="s">
        <v>32</v>
      </c>
      <c r="J69" s="5" t="s">
        <v>38805</v>
      </c>
      <c r="M69" s="9" t="s">
        <v>9361</v>
      </c>
      <c r="N69" s="9" t="b">
        <v>0</v>
      </c>
    </row>
    <row r="70" ht="15.75" customHeight="1">
      <c r="A70" s="9" t="s">
        <v>38900</v>
      </c>
      <c r="B70" s="9" t="s">
        <v>15576</v>
      </c>
      <c r="C70" s="9"/>
      <c r="D70" s="5" t="s">
        <v>12227</v>
      </c>
      <c r="E70" s="5"/>
      <c r="F70" s="9" t="s">
        <v>38812</v>
      </c>
      <c r="G70" s="9" t="s">
        <v>38808</v>
      </c>
      <c r="H70" s="127">
        <v>44363.0</v>
      </c>
      <c r="I70" s="9" t="s">
        <v>32</v>
      </c>
      <c r="J70" s="5" t="s">
        <v>38805</v>
      </c>
      <c r="M70" s="9" t="s">
        <v>8608</v>
      </c>
      <c r="N70" s="9" t="b">
        <v>1</v>
      </c>
    </row>
    <row r="71" ht="15.75" customHeight="1">
      <c r="A71" s="9" t="s">
        <v>38901</v>
      </c>
      <c r="B71" s="9" t="s">
        <v>14691</v>
      </c>
      <c r="C71" s="9"/>
      <c r="D71" s="5" t="s">
        <v>12227</v>
      </c>
      <c r="E71" s="5" t="s">
        <v>38803</v>
      </c>
      <c r="F71" s="9" t="s">
        <v>38812</v>
      </c>
      <c r="G71" s="9" t="s">
        <v>38808</v>
      </c>
      <c r="H71" s="127">
        <v>44363.0</v>
      </c>
      <c r="I71" s="9" t="s">
        <v>32</v>
      </c>
      <c r="J71" s="5" t="s">
        <v>38805</v>
      </c>
      <c r="M71" s="9" t="s">
        <v>249</v>
      </c>
      <c r="N71" s="9" t="b">
        <v>0</v>
      </c>
    </row>
    <row r="72" ht="15.75" customHeight="1">
      <c r="A72" s="9" t="s">
        <v>38902</v>
      </c>
      <c r="B72" s="9" t="s">
        <v>18361</v>
      </c>
      <c r="C72" s="9"/>
      <c r="D72" s="5" t="s">
        <v>12227</v>
      </c>
      <c r="E72" s="5"/>
      <c r="F72" s="9" t="s">
        <v>38812</v>
      </c>
      <c r="G72" s="9" t="s">
        <v>38808</v>
      </c>
      <c r="H72" s="127">
        <v>44363.0</v>
      </c>
      <c r="I72" s="9" t="s">
        <v>32</v>
      </c>
      <c r="J72" s="5" t="s">
        <v>38805</v>
      </c>
      <c r="M72" s="9" t="s">
        <v>8644</v>
      </c>
    </row>
    <row r="73" ht="15.75" customHeight="1">
      <c r="A73" s="9" t="s">
        <v>38903</v>
      </c>
      <c r="B73" s="9" t="s">
        <v>13748</v>
      </c>
      <c r="C73" s="9"/>
      <c r="D73" s="5" t="s">
        <v>12227</v>
      </c>
      <c r="E73" s="5"/>
      <c r="F73" s="9" t="s">
        <v>38812</v>
      </c>
      <c r="G73" s="9" t="s">
        <v>38808</v>
      </c>
      <c r="H73" s="127">
        <v>44363.0</v>
      </c>
      <c r="I73" s="9" t="s">
        <v>32</v>
      </c>
      <c r="J73" s="5" t="s">
        <v>38805</v>
      </c>
      <c r="M73" s="9" t="s">
        <v>7640</v>
      </c>
      <c r="N73" s="9" t="b">
        <v>1</v>
      </c>
    </row>
    <row r="74" ht="15.75" customHeight="1">
      <c r="A74" s="9" t="s">
        <v>38904</v>
      </c>
      <c r="B74" s="9" t="s">
        <v>24412</v>
      </c>
      <c r="C74" s="9"/>
      <c r="D74" s="5" t="s">
        <v>12227</v>
      </c>
      <c r="E74" s="5"/>
      <c r="F74" s="9" t="s">
        <v>38812</v>
      </c>
      <c r="G74" s="9" t="s">
        <v>38808</v>
      </c>
      <c r="H74" s="127">
        <v>44363.0</v>
      </c>
      <c r="I74" s="9" t="s">
        <v>32</v>
      </c>
      <c r="J74" s="5" t="s">
        <v>38805</v>
      </c>
      <c r="M74" s="9" t="s">
        <v>627</v>
      </c>
      <c r="N74" s="9" t="b">
        <v>1</v>
      </c>
    </row>
    <row r="75" ht="15.75" customHeight="1">
      <c r="A75" s="9" t="s">
        <v>38905</v>
      </c>
      <c r="B75" s="9" t="s">
        <v>14673</v>
      </c>
      <c r="C75" s="9"/>
      <c r="D75" s="5" t="s">
        <v>12227</v>
      </c>
      <c r="E75" s="5"/>
      <c r="F75" s="9" t="s">
        <v>38812</v>
      </c>
      <c r="G75" s="9" t="s">
        <v>38808</v>
      </c>
      <c r="H75" s="127">
        <v>44363.0</v>
      </c>
      <c r="I75" s="9" t="s">
        <v>32</v>
      </c>
      <c r="J75" s="5" t="s">
        <v>38805</v>
      </c>
      <c r="M75" s="9" t="s">
        <v>8236</v>
      </c>
    </row>
    <row r="76" ht="15.75" customHeight="1">
      <c r="A76" s="9" t="s">
        <v>38906</v>
      </c>
      <c r="B76" s="9" t="s">
        <v>12300</v>
      </c>
      <c r="C76" s="9"/>
      <c r="D76" s="5" t="s">
        <v>12227</v>
      </c>
      <c r="E76" s="5"/>
      <c r="F76" s="9" t="s">
        <v>38812</v>
      </c>
      <c r="G76" s="9" t="s">
        <v>38808</v>
      </c>
      <c r="H76" s="127">
        <v>44363.0</v>
      </c>
      <c r="I76" s="9" t="s">
        <v>32</v>
      </c>
      <c r="J76" s="5" t="s">
        <v>38805</v>
      </c>
      <c r="M76" s="9" t="s">
        <v>3844</v>
      </c>
      <c r="N76" s="9" t="b">
        <v>1</v>
      </c>
    </row>
    <row r="77" ht="15.75" customHeight="1">
      <c r="A77" s="9" t="s">
        <v>38907</v>
      </c>
      <c r="B77" s="9" t="s">
        <v>20504</v>
      </c>
      <c r="C77" s="9"/>
      <c r="D77" s="5" t="s">
        <v>12227</v>
      </c>
      <c r="E77" s="5"/>
      <c r="F77" s="9" t="s">
        <v>38812</v>
      </c>
      <c r="G77" s="9" t="s">
        <v>38808</v>
      </c>
      <c r="H77" s="127">
        <v>44363.0</v>
      </c>
      <c r="I77" s="9" t="s">
        <v>32</v>
      </c>
      <c r="J77" s="5" t="s">
        <v>38805</v>
      </c>
      <c r="M77" s="9" t="s">
        <v>4453</v>
      </c>
      <c r="N77" s="9" t="b">
        <v>1</v>
      </c>
    </row>
    <row r="78" ht="15.75" customHeight="1">
      <c r="A78" s="9" t="s">
        <v>38908</v>
      </c>
      <c r="B78" s="9" t="s">
        <v>20400</v>
      </c>
      <c r="C78" s="9"/>
      <c r="D78" s="5" t="s">
        <v>12227</v>
      </c>
      <c r="E78" s="5"/>
      <c r="F78" s="9" t="s">
        <v>38812</v>
      </c>
      <c r="G78" s="9" t="s">
        <v>38808</v>
      </c>
      <c r="H78" s="127">
        <v>44363.0</v>
      </c>
      <c r="I78" s="9" t="s">
        <v>32</v>
      </c>
      <c r="J78" s="5" t="s">
        <v>38805</v>
      </c>
      <c r="M78" s="9" t="s">
        <v>808</v>
      </c>
      <c r="N78" s="9" t="b">
        <v>1</v>
      </c>
    </row>
    <row r="79" ht="15.75" customHeight="1">
      <c r="A79" s="9" t="s">
        <v>38909</v>
      </c>
      <c r="B79" s="9" t="s">
        <v>18835</v>
      </c>
      <c r="C79" s="9"/>
      <c r="D79" s="5" t="s">
        <v>12227</v>
      </c>
      <c r="E79" s="5"/>
      <c r="F79" s="9" t="s">
        <v>38812</v>
      </c>
      <c r="G79" s="9" t="s">
        <v>38808</v>
      </c>
      <c r="H79" s="127">
        <v>44363.0</v>
      </c>
      <c r="I79" s="9" t="s">
        <v>32</v>
      </c>
      <c r="J79" s="5" t="s">
        <v>38805</v>
      </c>
      <c r="M79" s="9" t="s">
        <v>8397</v>
      </c>
    </row>
    <row r="80" ht="15.75" customHeight="1">
      <c r="A80" s="9" t="s">
        <v>38910</v>
      </c>
      <c r="B80" s="9" t="s">
        <v>20536</v>
      </c>
      <c r="C80" s="9"/>
      <c r="D80" s="5" t="s">
        <v>12227</v>
      </c>
      <c r="E80" s="5"/>
      <c r="F80" s="9" t="s">
        <v>38812</v>
      </c>
      <c r="G80" s="9" t="s">
        <v>38808</v>
      </c>
      <c r="H80" s="127">
        <v>44363.0</v>
      </c>
      <c r="I80" s="9" t="s">
        <v>32</v>
      </c>
      <c r="J80" s="5" t="s">
        <v>38805</v>
      </c>
      <c r="M80" s="9" t="s">
        <v>1491</v>
      </c>
    </row>
    <row r="81" ht="15.75" customHeight="1">
      <c r="A81" s="9" t="s">
        <v>38911</v>
      </c>
      <c r="B81" s="9" t="s">
        <v>19164</v>
      </c>
      <c r="C81" s="9"/>
      <c r="D81" s="5" t="s">
        <v>12227</v>
      </c>
      <c r="E81" s="5"/>
      <c r="F81" s="9" t="s">
        <v>38812</v>
      </c>
      <c r="G81" s="9" t="s">
        <v>38808</v>
      </c>
      <c r="H81" s="127">
        <v>44363.0</v>
      </c>
      <c r="I81" s="9" t="s">
        <v>32</v>
      </c>
      <c r="J81" s="5" t="s">
        <v>38805</v>
      </c>
      <c r="M81" s="9" t="s">
        <v>722</v>
      </c>
      <c r="N81" s="9" t="b">
        <v>0</v>
      </c>
    </row>
    <row r="82" ht="15.75" customHeight="1">
      <c r="A82" s="9" t="s">
        <v>38912</v>
      </c>
      <c r="B82" s="9" t="s">
        <v>13568</v>
      </c>
      <c r="C82" s="9"/>
      <c r="D82" s="5" t="s">
        <v>12227</v>
      </c>
      <c r="E82" s="5"/>
      <c r="F82" s="9" t="s">
        <v>38812</v>
      </c>
      <c r="G82" s="9" t="s">
        <v>38808</v>
      </c>
      <c r="H82" s="127">
        <v>44363.0</v>
      </c>
      <c r="I82" s="9" t="s">
        <v>32</v>
      </c>
      <c r="J82" s="5" t="s">
        <v>38805</v>
      </c>
      <c r="M82" s="9" t="s">
        <v>7328</v>
      </c>
    </row>
    <row r="83" ht="15.75" customHeight="1">
      <c r="A83" s="9" t="s">
        <v>38913</v>
      </c>
      <c r="B83" s="9" t="s">
        <v>20310</v>
      </c>
      <c r="C83" s="9"/>
      <c r="D83" s="5" t="s">
        <v>12227</v>
      </c>
      <c r="E83" s="5"/>
      <c r="F83" s="9" t="s">
        <v>38812</v>
      </c>
      <c r="G83" s="9" t="s">
        <v>38808</v>
      </c>
      <c r="H83" s="127">
        <v>44363.0</v>
      </c>
      <c r="I83" s="9" t="s">
        <v>32</v>
      </c>
      <c r="J83" s="5" t="s">
        <v>38805</v>
      </c>
      <c r="M83" s="9" t="s">
        <v>5604</v>
      </c>
      <c r="N83" s="9" t="b">
        <v>1</v>
      </c>
    </row>
    <row r="84" ht="15.75" customHeight="1">
      <c r="A84" s="9" t="s">
        <v>38914</v>
      </c>
      <c r="B84" s="9" t="s">
        <v>18028</v>
      </c>
      <c r="C84" s="9"/>
      <c r="D84" s="5" t="s">
        <v>12227</v>
      </c>
      <c r="E84" s="5"/>
      <c r="F84" s="9" t="s">
        <v>38812</v>
      </c>
      <c r="G84" s="9" t="s">
        <v>38808</v>
      </c>
      <c r="H84" s="127">
        <v>44363.0</v>
      </c>
      <c r="I84" s="9" t="s">
        <v>32</v>
      </c>
      <c r="J84" s="5" t="s">
        <v>38805</v>
      </c>
      <c r="M84" s="9" t="s">
        <v>6444</v>
      </c>
      <c r="N84" s="9" t="b">
        <v>1</v>
      </c>
    </row>
    <row r="85" ht="15.75" customHeight="1">
      <c r="A85" s="9" t="s">
        <v>38915</v>
      </c>
      <c r="B85" s="9" t="s">
        <v>19539</v>
      </c>
      <c r="C85" s="9"/>
      <c r="D85" s="5" t="s">
        <v>12227</v>
      </c>
      <c r="E85" s="5"/>
      <c r="F85" s="9" t="s">
        <v>38916</v>
      </c>
      <c r="G85" s="9" t="s">
        <v>38808</v>
      </c>
      <c r="H85" s="127">
        <v>44363.0</v>
      </c>
      <c r="I85" s="9" t="s">
        <v>32</v>
      </c>
      <c r="J85" s="5" t="s">
        <v>38805</v>
      </c>
      <c r="M85" s="9" t="s">
        <v>5899</v>
      </c>
      <c r="N85" s="9" t="b">
        <v>0</v>
      </c>
    </row>
    <row r="86" ht="15.75" customHeight="1">
      <c r="A86" s="9" t="s">
        <v>38917</v>
      </c>
      <c r="B86" s="9" t="s">
        <v>15039</v>
      </c>
      <c r="C86" s="9"/>
      <c r="D86" s="5" t="s">
        <v>12227</v>
      </c>
      <c r="E86" s="5"/>
      <c r="F86" s="9" t="s">
        <v>38918</v>
      </c>
      <c r="G86" s="9" t="s">
        <v>38808</v>
      </c>
      <c r="H86" s="127">
        <v>44363.0</v>
      </c>
      <c r="I86" s="9" t="s">
        <v>32</v>
      </c>
      <c r="J86" s="5" t="s">
        <v>38805</v>
      </c>
      <c r="M86" s="9" t="s">
        <v>7102</v>
      </c>
    </row>
    <row r="87" ht="15.75" customHeight="1">
      <c r="A87" s="9" t="s">
        <v>38919</v>
      </c>
      <c r="B87" s="9" t="s">
        <v>15738</v>
      </c>
      <c r="C87" s="9"/>
      <c r="D87" s="5" t="s">
        <v>12227</v>
      </c>
      <c r="E87" s="5"/>
      <c r="F87" s="9" t="s">
        <v>38812</v>
      </c>
      <c r="G87" s="9" t="s">
        <v>38808</v>
      </c>
      <c r="H87" s="127">
        <v>44363.0</v>
      </c>
      <c r="I87" s="9" t="s">
        <v>32</v>
      </c>
      <c r="J87" s="5" t="s">
        <v>38805</v>
      </c>
      <c r="M87" s="9" t="s">
        <v>1747</v>
      </c>
      <c r="N87" s="9" t="b">
        <v>0</v>
      </c>
    </row>
    <row r="88" ht="15.75" customHeight="1">
      <c r="A88" s="9" t="s">
        <v>38920</v>
      </c>
      <c r="B88" s="9" t="s">
        <v>13384</v>
      </c>
      <c r="C88" s="9"/>
      <c r="D88" s="5" t="s">
        <v>12227</v>
      </c>
      <c r="E88" s="5" t="s">
        <v>38803</v>
      </c>
      <c r="F88" s="9" t="s">
        <v>38812</v>
      </c>
      <c r="G88" s="9" t="s">
        <v>38808</v>
      </c>
      <c r="H88" s="127">
        <v>44363.0</v>
      </c>
      <c r="I88" s="9" t="s">
        <v>32</v>
      </c>
      <c r="J88" s="5" t="s">
        <v>38805</v>
      </c>
      <c r="M88" s="9" t="s">
        <v>9778</v>
      </c>
    </row>
    <row r="89" ht="15.75" customHeight="1">
      <c r="A89" s="9" t="s">
        <v>38921</v>
      </c>
      <c r="B89" s="9" t="s">
        <v>20733</v>
      </c>
      <c r="C89" s="9"/>
      <c r="D89" s="5" t="s">
        <v>12227</v>
      </c>
      <c r="E89" s="5" t="s">
        <v>38803</v>
      </c>
      <c r="F89" s="9" t="s">
        <v>38812</v>
      </c>
      <c r="G89" s="9" t="s">
        <v>38808</v>
      </c>
      <c r="H89" s="127">
        <v>44363.0</v>
      </c>
      <c r="I89" s="9" t="s">
        <v>32</v>
      </c>
      <c r="J89" s="5" t="s">
        <v>38805</v>
      </c>
      <c r="M89" s="9" t="s">
        <v>8275</v>
      </c>
      <c r="N89" s="9" t="b">
        <v>0</v>
      </c>
    </row>
    <row r="90" ht="15.75" customHeight="1">
      <c r="A90" s="9" t="s">
        <v>38922</v>
      </c>
      <c r="B90" s="9" t="s">
        <v>19201</v>
      </c>
      <c r="C90" s="9"/>
      <c r="D90" s="5" t="s">
        <v>12227</v>
      </c>
      <c r="E90" s="5"/>
      <c r="F90" s="9" t="s">
        <v>38812</v>
      </c>
      <c r="G90" s="9" t="s">
        <v>38808</v>
      </c>
      <c r="H90" s="127">
        <v>44363.0</v>
      </c>
      <c r="I90" s="9" t="s">
        <v>32</v>
      </c>
      <c r="J90" s="5" t="s">
        <v>38805</v>
      </c>
      <c r="M90" s="9" t="s">
        <v>9577</v>
      </c>
      <c r="N90" s="9" t="b">
        <v>1</v>
      </c>
    </row>
    <row r="91" ht="15.75" customHeight="1">
      <c r="A91" s="9" t="s">
        <v>38923</v>
      </c>
      <c r="B91" s="9" t="s">
        <v>15056</v>
      </c>
      <c r="C91" s="9"/>
      <c r="D91" s="5" t="s">
        <v>12227</v>
      </c>
      <c r="E91" s="5"/>
      <c r="F91" s="9" t="s">
        <v>38812</v>
      </c>
      <c r="G91" s="9" t="s">
        <v>38808</v>
      </c>
      <c r="H91" s="127">
        <v>44363.0</v>
      </c>
      <c r="I91" s="9" t="s">
        <v>32</v>
      </c>
      <c r="J91" s="5" t="s">
        <v>38805</v>
      </c>
      <c r="M91" s="9" t="s">
        <v>6314</v>
      </c>
      <c r="N91" s="9" t="b">
        <v>0</v>
      </c>
    </row>
    <row r="92" ht="15.75" customHeight="1">
      <c r="A92" s="9" t="s">
        <v>38924</v>
      </c>
      <c r="B92" s="9" t="s">
        <v>19556</v>
      </c>
      <c r="C92" s="9"/>
      <c r="D92" s="5" t="s">
        <v>12227</v>
      </c>
      <c r="E92" s="5"/>
      <c r="F92" s="9" t="s">
        <v>38812</v>
      </c>
      <c r="G92" s="9" t="s">
        <v>38808</v>
      </c>
      <c r="H92" s="127">
        <v>44363.0</v>
      </c>
      <c r="I92" s="9" t="s">
        <v>32</v>
      </c>
      <c r="J92" s="5" t="s">
        <v>38805</v>
      </c>
      <c r="M92" s="9" t="s">
        <v>1393</v>
      </c>
    </row>
    <row r="93" ht="15.75" customHeight="1">
      <c r="A93" s="9" t="s">
        <v>38925</v>
      </c>
      <c r="B93" s="9" t="s">
        <v>19837</v>
      </c>
      <c r="C93" s="9"/>
      <c r="D93" s="5" t="s">
        <v>12227</v>
      </c>
      <c r="E93" s="5"/>
      <c r="F93" s="9" t="s">
        <v>38812</v>
      </c>
      <c r="G93" s="9" t="s">
        <v>38808</v>
      </c>
      <c r="H93" s="127">
        <v>44363.0</v>
      </c>
      <c r="I93" s="9" t="s">
        <v>32</v>
      </c>
      <c r="J93" s="5" t="s">
        <v>38805</v>
      </c>
      <c r="M93" s="9" t="s">
        <v>8331</v>
      </c>
    </row>
    <row r="94" ht="15.75" customHeight="1">
      <c r="A94" s="9" t="s">
        <v>38926</v>
      </c>
      <c r="B94" s="9" t="s">
        <v>12800</v>
      </c>
      <c r="C94" s="9"/>
      <c r="D94" s="5" t="s">
        <v>12227</v>
      </c>
      <c r="E94" s="5"/>
      <c r="F94" s="9" t="s">
        <v>38812</v>
      </c>
      <c r="G94" s="9" t="s">
        <v>38808</v>
      </c>
      <c r="H94" s="127">
        <v>44363.0</v>
      </c>
      <c r="I94" s="9" t="s">
        <v>32</v>
      </c>
      <c r="J94" s="5" t="s">
        <v>38805</v>
      </c>
      <c r="M94" s="9" t="s">
        <v>8351</v>
      </c>
      <c r="N94" s="9" t="b">
        <v>0</v>
      </c>
    </row>
    <row r="95" ht="15.75" customHeight="1">
      <c r="A95" s="9" t="s">
        <v>38927</v>
      </c>
      <c r="B95" s="9" t="s">
        <v>14535</v>
      </c>
      <c r="C95" s="9"/>
      <c r="D95" s="5" t="s">
        <v>12227</v>
      </c>
      <c r="E95" s="5"/>
      <c r="F95" s="9" t="s">
        <v>38812</v>
      </c>
      <c r="G95" s="9" t="s">
        <v>38808</v>
      </c>
      <c r="H95" s="127">
        <v>44363.0</v>
      </c>
      <c r="I95" s="9" t="s">
        <v>32</v>
      </c>
      <c r="J95" s="5" t="s">
        <v>38805</v>
      </c>
      <c r="M95" s="9" t="s">
        <v>9323</v>
      </c>
      <c r="N95" s="9" t="b">
        <v>0</v>
      </c>
    </row>
    <row r="96" ht="15.75" customHeight="1">
      <c r="A96" s="9" t="s">
        <v>38928</v>
      </c>
      <c r="B96" s="9" t="s">
        <v>13299</v>
      </c>
      <c r="C96" s="9"/>
      <c r="D96" s="5" t="s">
        <v>12227</v>
      </c>
      <c r="E96" s="5"/>
      <c r="F96" s="9" t="s">
        <v>38812</v>
      </c>
      <c r="G96" s="9" t="s">
        <v>38808</v>
      </c>
      <c r="H96" s="127">
        <v>44363.0</v>
      </c>
      <c r="I96" s="9" t="s">
        <v>32</v>
      </c>
      <c r="J96" s="5" t="s">
        <v>38805</v>
      </c>
      <c r="M96" s="9" t="s">
        <v>3203</v>
      </c>
    </row>
    <row r="97" ht="15.75" customHeight="1">
      <c r="A97" s="9" t="s">
        <v>38929</v>
      </c>
      <c r="B97" s="9" t="s">
        <v>12462</v>
      </c>
      <c r="C97" s="9"/>
      <c r="D97" s="5" t="s">
        <v>12227</v>
      </c>
      <c r="E97" s="5"/>
      <c r="F97" s="9" t="s">
        <v>38812</v>
      </c>
      <c r="G97" s="9" t="s">
        <v>38808</v>
      </c>
      <c r="H97" s="127">
        <v>44363.0</v>
      </c>
      <c r="I97" s="9" t="s">
        <v>32</v>
      </c>
      <c r="J97" s="5" t="s">
        <v>38805</v>
      </c>
      <c r="M97" s="9" t="s">
        <v>2508</v>
      </c>
      <c r="N97" s="9" t="b">
        <v>0</v>
      </c>
    </row>
    <row r="98" ht="15.75" customHeight="1">
      <c r="A98" s="9" t="s">
        <v>38930</v>
      </c>
      <c r="B98" s="9" t="s">
        <v>12545</v>
      </c>
      <c r="C98" s="9"/>
      <c r="D98" s="5" t="s">
        <v>12227</v>
      </c>
      <c r="E98" s="5"/>
      <c r="F98" s="9" t="s">
        <v>38812</v>
      </c>
      <c r="G98" s="9" t="s">
        <v>38808</v>
      </c>
      <c r="H98" s="127">
        <v>44363.0</v>
      </c>
      <c r="I98" s="9" t="s">
        <v>32</v>
      </c>
      <c r="J98" s="5" t="s">
        <v>38805</v>
      </c>
      <c r="M98" s="9" t="s">
        <v>2496</v>
      </c>
      <c r="N98" s="9" t="b">
        <v>1</v>
      </c>
    </row>
    <row r="99" ht="15.75" customHeight="1">
      <c r="A99" s="9" t="s">
        <v>38931</v>
      </c>
      <c r="B99" s="9" t="s">
        <v>12440</v>
      </c>
      <c r="C99" s="9"/>
      <c r="D99" s="5" t="s">
        <v>12227</v>
      </c>
      <c r="E99" s="5"/>
      <c r="F99" s="9" t="s">
        <v>38812</v>
      </c>
      <c r="G99" s="9" t="s">
        <v>38808</v>
      </c>
      <c r="H99" s="127">
        <v>44363.0</v>
      </c>
      <c r="I99" s="9" t="s">
        <v>32</v>
      </c>
      <c r="J99" s="5" t="s">
        <v>38801</v>
      </c>
      <c r="K99" s="55">
        <v>46100.0</v>
      </c>
      <c r="M99" s="9" t="s">
        <v>9268</v>
      </c>
      <c r="N99" s="9" t="b">
        <v>0</v>
      </c>
    </row>
    <row r="100" ht="15.75" customHeight="1">
      <c r="A100" s="9" t="s">
        <v>38932</v>
      </c>
      <c r="B100" s="9" t="s">
        <v>16278</v>
      </c>
      <c r="C100" s="9"/>
      <c r="D100" s="5" t="s">
        <v>12227</v>
      </c>
      <c r="E100" s="5"/>
      <c r="F100" s="9" t="s">
        <v>38812</v>
      </c>
      <c r="G100" s="9" t="s">
        <v>38808</v>
      </c>
      <c r="H100" s="127">
        <v>44363.0</v>
      </c>
      <c r="I100" s="9" t="s">
        <v>32</v>
      </c>
      <c r="J100" s="5" t="s">
        <v>38805</v>
      </c>
      <c r="M100" s="9" t="s">
        <v>9639</v>
      </c>
    </row>
    <row r="101" ht="15.75" customHeight="1">
      <c r="A101" s="9" t="s">
        <v>38933</v>
      </c>
      <c r="B101" s="9" t="s">
        <v>20941</v>
      </c>
      <c r="C101" s="9"/>
      <c r="D101" s="5" t="s">
        <v>12227</v>
      </c>
      <c r="E101" s="5" t="s">
        <v>38846</v>
      </c>
      <c r="F101" s="9" t="s">
        <v>38812</v>
      </c>
      <c r="G101" s="9" t="s">
        <v>38808</v>
      </c>
      <c r="H101" s="127">
        <v>44363.0</v>
      </c>
      <c r="I101" s="9" t="s">
        <v>32</v>
      </c>
      <c r="J101" s="5" t="s">
        <v>38805</v>
      </c>
      <c r="M101" s="9" t="s">
        <v>9603</v>
      </c>
    </row>
    <row r="102" ht="15.75" customHeight="1">
      <c r="A102" s="9" t="s">
        <v>38934</v>
      </c>
      <c r="B102" s="9" t="s">
        <v>16104</v>
      </c>
      <c r="C102" s="9"/>
      <c r="D102" s="5" t="s">
        <v>12227</v>
      </c>
      <c r="E102" s="5"/>
      <c r="F102" s="9" t="s">
        <v>38812</v>
      </c>
      <c r="G102" s="9" t="s">
        <v>38808</v>
      </c>
      <c r="H102" s="127">
        <v>44363.0</v>
      </c>
      <c r="I102" s="9" t="s">
        <v>32</v>
      </c>
      <c r="J102" s="5" t="s">
        <v>38805</v>
      </c>
      <c r="M102" s="9" t="s">
        <v>4193</v>
      </c>
      <c r="N102" s="9" t="b">
        <v>1</v>
      </c>
    </row>
    <row r="103" ht="15.75" customHeight="1">
      <c r="A103" s="9" t="s">
        <v>38935</v>
      </c>
      <c r="B103" s="9" t="s">
        <v>18303</v>
      </c>
      <c r="C103" s="9"/>
      <c r="D103" s="5" t="s">
        <v>12227</v>
      </c>
      <c r="E103" s="5"/>
      <c r="F103" s="9" t="s">
        <v>38936</v>
      </c>
      <c r="G103" s="9" t="s">
        <v>38808</v>
      </c>
      <c r="H103" s="127">
        <v>44363.0</v>
      </c>
      <c r="I103" s="9" t="s">
        <v>32</v>
      </c>
      <c r="J103" s="5" t="s">
        <v>38805</v>
      </c>
      <c r="M103" s="9" t="s">
        <v>9958</v>
      </c>
      <c r="N103" s="9" t="b">
        <v>1</v>
      </c>
    </row>
    <row r="104" ht="15.75" customHeight="1">
      <c r="A104" s="9" t="s">
        <v>38937</v>
      </c>
      <c r="B104" s="9" t="s">
        <v>18845</v>
      </c>
      <c r="C104" s="9"/>
      <c r="D104" s="5" t="s">
        <v>12227</v>
      </c>
      <c r="E104" s="5"/>
      <c r="F104" s="9" t="s">
        <v>38812</v>
      </c>
      <c r="G104" s="9" t="s">
        <v>38808</v>
      </c>
      <c r="H104" s="127">
        <v>44363.0</v>
      </c>
      <c r="I104" s="9" t="s">
        <v>32</v>
      </c>
      <c r="J104" s="5" t="s">
        <v>38805</v>
      </c>
      <c r="M104" s="9" t="s">
        <v>5372</v>
      </c>
    </row>
    <row r="105" ht="15.75" customHeight="1">
      <c r="A105" s="9" t="s">
        <v>38938</v>
      </c>
      <c r="B105" s="9" t="s">
        <v>19141</v>
      </c>
      <c r="C105" s="9"/>
      <c r="D105" s="5" t="s">
        <v>12227</v>
      </c>
      <c r="E105" s="5"/>
      <c r="F105" s="9" t="s">
        <v>38812</v>
      </c>
      <c r="G105" s="9" t="s">
        <v>38808</v>
      </c>
      <c r="H105" s="127">
        <v>44363.0</v>
      </c>
      <c r="I105" s="9" t="s">
        <v>32</v>
      </c>
      <c r="J105" s="5" t="s">
        <v>38805</v>
      </c>
      <c r="M105" s="9" t="s">
        <v>8153</v>
      </c>
      <c r="N105" s="9" t="b">
        <v>1</v>
      </c>
    </row>
    <row r="106" ht="15.75" customHeight="1">
      <c r="A106" s="52" t="s">
        <v>38939</v>
      </c>
      <c r="B106" s="9" t="s">
        <v>24403</v>
      </c>
      <c r="C106" s="9"/>
      <c r="D106" s="5" t="s">
        <v>12227</v>
      </c>
      <c r="E106" s="5"/>
      <c r="F106" s="9" t="s">
        <v>38940</v>
      </c>
      <c r="G106" s="9" t="s">
        <v>38800</v>
      </c>
      <c r="H106" s="127">
        <v>44379.0</v>
      </c>
      <c r="I106" s="9" t="s">
        <v>26</v>
      </c>
      <c r="J106" s="5" t="s">
        <v>38805</v>
      </c>
      <c r="M106" s="9" t="s">
        <v>8889</v>
      </c>
    </row>
    <row r="107" ht="15.75" customHeight="1">
      <c r="A107" s="9" t="s">
        <v>38941</v>
      </c>
      <c r="B107" s="9" t="s">
        <v>21005</v>
      </c>
      <c r="C107" s="9"/>
      <c r="D107" s="5" t="s">
        <v>12227</v>
      </c>
      <c r="E107" s="5"/>
      <c r="F107" s="9" t="s">
        <v>38942</v>
      </c>
      <c r="G107" s="9" t="s">
        <v>38808</v>
      </c>
      <c r="H107" s="127">
        <v>44385.0</v>
      </c>
      <c r="I107" s="9" t="s">
        <v>47</v>
      </c>
      <c r="J107" s="5" t="s">
        <v>38805</v>
      </c>
      <c r="M107" s="9" t="s">
        <v>10014</v>
      </c>
    </row>
    <row r="108" ht="15.75" hidden="1" customHeight="1">
      <c r="A108" s="9" t="s">
        <v>38943</v>
      </c>
      <c r="B108" s="9" t="s">
        <v>38944</v>
      </c>
      <c r="C108" s="9"/>
      <c r="D108" s="9" t="s">
        <v>12258</v>
      </c>
      <c r="E108" s="9"/>
      <c r="F108" s="9" t="s">
        <v>38945</v>
      </c>
      <c r="G108" s="9" t="s">
        <v>38946</v>
      </c>
      <c r="H108" s="127">
        <v>44390.0</v>
      </c>
      <c r="I108" s="9" t="s">
        <v>39</v>
      </c>
      <c r="J108" s="5" t="s">
        <v>38801</v>
      </c>
      <c r="K108" s="56">
        <v>44393.0</v>
      </c>
      <c r="M108" s="9" t="s">
        <v>3158</v>
      </c>
    </row>
    <row r="109" ht="15.75" customHeight="1">
      <c r="A109" s="9" t="s">
        <v>38947</v>
      </c>
      <c r="B109" s="9" t="s">
        <v>15608</v>
      </c>
      <c r="D109" s="9" t="s">
        <v>12227</v>
      </c>
      <c r="E109" s="9"/>
      <c r="F109" s="9" t="s">
        <v>38948</v>
      </c>
      <c r="G109" s="9" t="s">
        <v>38808</v>
      </c>
      <c r="H109" s="127">
        <v>44396.0</v>
      </c>
      <c r="I109" s="9" t="s">
        <v>47</v>
      </c>
      <c r="J109" s="9" t="s">
        <v>38805</v>
      </c>
      <c r="M109" s="52" t="s">
        <v>15642</v>
      </c>
      <c r="N109" s="9" t="b">
        <v>1</v>
      </c>
    </row>
    <row r="110" ht="15.75" customHeight="1">
      <c r="A110" s="9" t="s">
        <v>38949</v>
      </c>
      <c r="B110" s="9" t="s">
        <v>17179</v>
      </c>
      <c r="D110" s="9" t="s">
        <v>12227</v>
      </c>
      <c r="E110" s="9"/>
      <c r="F110" s="9" t="s">
        <v>38950</v>
      </c>
      <c r="G110" s="9" t="s">
        <v>38808</v>
      </c>
      <c r="H110" s="127">
        <v>44410.0</v>
      </c>
      <c r="I110" s="9" t="s">
        <v>47</v>
      </c>
      <c r="J110" s="9" t="s">
        <v>38805</v>
      </c>
      <c r="M110" s="9" t="s">
        <v>12185</v>
      </c>
      <c r="N110" s="9" t="b">
        <v>0</v>
      </c>
    </row>
    <row r="111" ht="15.75" hidden="1" customHeight="1">
      <c r="A111" s="9" t="s">
        <v>38951</v>
      </c>
      <c r="B111" s="9" t="s">
        <v>17240</v>
      </c>
      <c r="D111" s="9" t="s">
        <v>12246</v>
      </c>
      <c r="E111" s="9"/>
      <c r="F111" s="9" t="s">
        <v>38952</v>
      </c>
      <c r="G111" s="9" t="s">
        <v>38946</v>
      </c>
      <c r="H111" s="127">
        <v>44421.0</v>
      </c>
      <c r="I111" s="9" t="s">
        <v>80</v>
      </c>
      <c r="J111" s="9" t="s">
        <v>38801</v>
      </c>
      <c r="K111" s="56">
        <v>44473.0</v>
      </c>
      <c r="M111" s="9" t="s">
        <v>4034</v>
      </c>
    </row>
    <row r="112" ht="15.75" hidden="1" customHeight="1">
      <c r="A112" s="9" t="s">
        <v>38953</v>
      </c>
      <c r="B112" s="9" t="s">
        <v>18989</v>
      </c>
      <c r="D112" s="9" t="s">
        <v>12246</v>
      </c>
      <c r="E112" s="9"/>
      <c r="F112" s="9" t="s">
        <v>38954</v>
      </c>
      <c r="G112" s="9" t="s">
        <v>38808</v>
      </c>
      <c r="H112" s="127">
        <v>44421.0</v>
      </c>
      <c r="I112" s="9" t="s">
        <v>80</v>
      </c>
      <c r="J112" s="9" t="s">
        <v>38801</v>
      </c>
      <c r="K112" s="56">
        <v>44470.0</v>
      </c>
      <c r="M112" s="9" t="s">
        <v>5067</v>
      </c>
    </row>
    <row r="113" ht="15.75" hidden="1" customHeight="1">
      <c r="A113" s="9" t="s">
        <v>38955</v>
      </c>
      <c r="B113" s="9" t="s">
        <v>20974</v>
      </c>
      <c r="D113" s="9" t="s">
        <v>12224</v>
      </c>
      <c r="E113" s="9"/>
      <c r="F113" s="9" t="s">
        <v>38956</v>
      </c>
      <c r="G113" s="9" t="s">
        <v>38800</v>
      </c>
      <c r="H113" s="127">
        <v>44435.0</v>
      </c>
      <c r="I113" s="9" t="s">
        <v>89</v>
      </c>
      <c r="J113" s="9" t="s">
        <v>38801</v>
      </c>
      <c r="K113" s="55">
        <v>45411.0</v>
      </c>
      <c r="M113" s="9" t="s">
        <v>9787</v>
      </c>
    </row>
    <row r="114" ht="15.75" hidden="1" customHeight="1">
      <c r="A114" s="9" t="s">
        <v>38957</v>
      </c>
      <c r="B114" s="9" t="s">
        <v>20147</v>
      </c>
      <c r="D114" s="9" t="s">
        <v>12258</v>
      </c>
      <c r="E114" s="9"/>
      <c r="F114" s="9" t="s">
        <v>38958</v>
      </c>
      <c r="G114" s="9" t="s">
        <v>38808</v>
      </c>
      <c r="H114" s="127">
        <v>44435.0</v>
      </c>
      <c r="I114" s="9" t="s">
        <v>47</v>
      </c>
      <c r="J114" s="9" t="s">
        <v>38801</v>
      </c>
      <c r="K114" s="56">
        <v>44460.0</v>
      </c>
      <c r="M114" s="9" t="s">
        <v>6081</v>
      </c>
    </row>
    <row r="115" ht="15.75" hidden="1" customHeight="1">
      <c r="A115" s="9" t="s">
        <v>38959</v>
      </c>
      <c r="B115" s="9" t="s">
        <v>17551</v>
      </c>
      <c r="D115" s="9" t="s">
        <v>12224</v>
      </c>
      <c r="E115" s="9"/>
      <c r="F115" s="9" t="s">
        <v>38960</v>
      </c>
      <c r="G115" s="9" t="s">
        <v>38946</v>
      </c>
      <c r="H115" s="127">
        <v>44438.0</v>
      </c>
      <c r="I115" s="9" t="s">
        <v>39</v>
      </c>
      <c r="J115" s="9" t="s">
        <v>38801</v>
      </c>
      <c r="K115" s="56">
        <v>44470.0</v>
      </c>
      <c r="M115" s="9" t="s">
        <v>8211</v>
      </c>
    </row>
    <row r="116" ht="15.75" customHeight="1">
      <c r="A116" s="9" t="s">
        <v>38961</v>
      </c>
      <c r="B116" s="9" t="s">
        <v>25578</v>
      </c>
      <c r="D116" s="9" t="s">
        <v>12227</v>
      </c>
      <c r="E116" s="9"/>
      <c r="F116" s="9" t="s">
        <v>38962</v>
      </c>
      <c r="G116" s="9" t="s">
        <v>38946</v>
      </c>
      <c r="H116" s="127">
        <v>44440.0</v>
      </c>
      <c r="I116" s="9" t="s">
        <v>47</v>
      </c>
      <c r="J116" s="9" t="s">
        <v>38801</v>
      </c>
      <c r="K116" s="55">
        <v>45411.0</v>
      </c>
      <c r="M116" s="9" t="s">
        <v>4505</v>
      </c>
      <c r="N116" s="9" t="b">
        <v>1</v>
      </c>
    </row>
    <row r="117" ht="15.75" customHeight="1">
      <c r="A117" s="9" t="s">
        <v>38963</v>
      </c>
      <c r="B117" s="9" t="s">
        <v>17668</v>
      </c>
      <c r="D117" s="9" t="s">
        <v>12227</v>
      </c>
      <c r="E117" s="9"/>
      <c r="F117" s="9" t="s">
        <v>38964</v>
      </c>
      <c r="G117" s="9" t="s">
        <v>38946</v>
      </c>
      <c r="H117" s="127">
        <v>44440.0</v>
      </c>
      <c r="I117" s="9" t="s">
        <v>47</v>
      </c>
      <c r="J117" s="9" t="s">
        <v>38805</v>
      </c>
      <c r="M117" s="9" t="s">
        <v>6224</v>
      </c>
      <c r="N117" s="9" t="b">
        <v>0</v>
      </c>
    </row>
    <row r="118" ht="15.75" hidden="1" customHeight="1">
      <c r="A118" s="9" t="s">
        <v>38965</v>
      </c>
      <c r="B118" s="9" t="s">
        <v>13711</v>
      </c>
      <c r="D118" s="9" t="s">
        <v>12224</v>
      </c>
      <c r="E118" s="9"/>
      <c r="F118" s="9" t="s">
        <v>38966</v>
      </c>
      <c r="G118" s="9" t="s">
        <v>38946</v>
      </c>
      <c r="H118" s="127">
        <v>44441.0</v>
      </c>
      <c r="I118" s="9" t="s">
        <v>57</v>
      </c>
      <c r="J118" s="9" t="s">
        <v>38801</v>
      </c>
      <c r="K118" s="55">
        <v>46060.0</v>
      </c>
      <c r="M118" s="9" t="s">
        <v>9020</v>
      </c>
    </row>
    <row r="119" ht="15.75" hidden="1" customHeight="1">
      <c r="A119" s="9" t="s">
        <v>38967</v>
      </c>
      <c r="B119" s="9" t="s">
        <v>12440</v>
      </c>
      <c r="D119" s="9" t="s">
        <v>12236</v>
      </c>
      <c r="E119" s="9"/>
      <c r="F119" s="9" t="s">
        <v>38968</v>
      </c>
      <c r="G119" s="9" t="s">
        <v>38946</v>
      </c>
      <c r="H119" s="127">
        <v>44445.0</v>
      </c>
      <c r="I119" s="9" t="s">
        <v>47</v>
      </c>
      <c r="J119" s="9" t="s">
        <v>38801</v>
      </c>
      <c r="K119" s="55">
        <v>46100.0</v>
      </c>
      <c r="M119" s="9" t="s">
        <v>9268</v>
      </c>
    </row>
    <row r="120" ht="15.75" hidden="1" customHeight="1">
      <c r="A120" s="9" t="s">
        <v>38969</v>
      </c>
      <c r="B120" s="9" t="s">
        <v>18058</v>
      </c>
      <c r="D120" s="9" t="s">
        <v>12239</v>
      </c>
      <c r="E120" s="9"/>
      <c r="F120" s="9" t="s">
        <v>38970</v>
      </c>
      <c r="G120" s="9" t="s">
        <v>38808</v>
      </c>
      <c r="H120" s="127">
        <v>44446.0</v>
      </c>
      <c r="I120" s="9" t="s">
        <v>47</v>
      </c>
      <c r="J120" s="9" t="s">
        <v>38801</v>
      </c>
      <c r="K120" s="56">
        <v>44459.0</v>
      </c>
      <c r="M120" s="9" t="s">
        <v>8993</v>
      </c>
    </row>
    <row r="121" ht="15.75" hidden="1" customHeight="1">
      <c r="A121" s="9" t="s">
        <v>38971</v>
      </c>
      <c r="B121" s="9" t="s">
        <v>18058</v>
      </c>
      <c r="C121" s="9" t="s">
        <v>38972</v>
      </c>
      <c r="D121" s="9" t="s">
        <v>12239</v>
      </c>
      <c r="E121" s="9"/>
      <c r="F121" s="9" t="s">
        <v>38973</v>
      </c>
      <c r="G121" s="9" t="s">
        <v>38808</v>
      </c>
      <c r="H121" s="127">
        <v>44446.0</v>
      </c>
      <c r="I121" s="9" t="s">
        <v>80</v>
      </c>
      <c r="J121" s="9" t="s">
        <v>38801</v>
      </c>
      <c r="K121" s="56">
        <v>44446.0</v>
      </c>
      <c r="M121" s="9" t="s">
        <v>8993</v>
      </c>
    </row>
    <row r="122" ht="15.75" hidden="1" customHeight="1">
      <c r="A122" s="9" t="s">
        <v>38974</v>
      </c>
      <c r="B122" s="9" t="s">
        <v>16264</v>
      </c>
      <c r="D122" s="9" t="s">
        <v>38975</v>
      </c>
      <c r="E122" s="9"/>
      <c r="F122" s="9" t="s">
        <v>38976</v>
      </c>
      <c r="G122" s="9" t="s">
        <v>38946</v>
      </c>
      <c r="H122" s="127">
        <v>44452.0</v>
      </c>
      <c r="I122" s="9" t="s">
        <v>47</v>
      </c>
      <c r="J122" s="9" t="s">
        <v>38801</v>
      </c>
      <c r="K122" s="55">
        <v>45411.0</v>
      </c>
      <c r="M122" s="9" t="s">
        <v>10711</v>
      </c>
    </row>
    <row r="123" ht="15.75" customHeight="1">
      <c r="A123" s="9" t="s">
        <v>38977</v>
      </c>
      <c r="B123" s="9" t="s">
        <v>16007</v>
      </c>
      <c r="D123" s="9" t="s">
        <v>12227</v>
      </c>
      <c r="E123" s="9"/>
      <c r="F123" s="9" t="s">
        <v>38978</v>
      </c>
      <c r="G123" s="9" t="s">
        <v>38946</v>
      </c>
      <c r="H123" s="127">
        <v>44452.0</v>
      </c>
      <c r="I123" s="9" t="s">
        <v>26</v>
      </c>
      <c r="J123" s="9" t="s">
        <v>38805</v>
      </c>
      <c r="M123" s="9" t="s">
        <v>5037</v>
      </c>
    </row>
    <row r="124" ht="15.75" hidden="1" customHeight="1">
      <c r="A124" s="9" t="s">
        <v>38979</v>
      </c>
      <c r="B124" s="9" t="s">
        <v>21692</v>
      </c>
      <c r="D124" s="9" t="s">
        <v>38975</v>
      </c>
      <c r="E124" s="9"/>
      <c r="F124" s="9" t="s">
        <v>38980</v>
      </c>
      <c r="G124" s="9" t="s">
        <v>38946</v>
      </c>
      <c r="H124" s="127">
        <v>44453.0</v>
      </c>
      <c r="I124" s="9" t="s">
        <v>47</v>
      </c>
      <c r="J124" s="9" t="s">
        <v>38801</v>
      </c>
      <c r="K124" s="56">
        <v>44453.0</v>
      </c>
      <c r="M124" s="9" t="s">
        <v>9911</v>
      </c>
    </row>
    <row r="125" ht="15.75" hidden="1" customHeight="1">
      <c r="A125" s="9" t="s">
        <v>38981</v>
      </c>
      <c r="B125" s="9" t="s">
        <v>17994</v>
      </c>
      <c r="D125" s="9" t="s">
        <v>12233</v>
      </c>
      <c r="E125" s="9"/>
      <c r="F125" s="9" t="s">
        <v>38982</v>
      </c>
      <c r="G125" s="9" t="s">
        <v>38946</v>
      </c>
      <c r="H125" s="127">
        <v>44455.0</v>
      </c>
      <c r="I125" s="9" t="s">
        <v>80</v>
      </c>
      <c r="J125" s="9" t="s">
        <v>38801</v>
      </c>
      <c r="K125" s="56">
        <v>44459.0</v>
      </c>
      <c r="M125" s="9" t="s">
        <v>4821</v>
      </c>
    </row>
    <row r="126" ht="15.75" hidden="1" customHeight="1">
      <c r="A126" s="9" t="s">
        <v>38983</v>
      </c>
      <c r="B126" s="9" t="s">
        <v>12356</v>
      </c>
      <c r="D126" s="9" t="s">
        <v>38975</v>
      </c>
      <c r="E126" s="9"/>
      <c r="F126" s="9" t="s">
        <v>38984</v>
      </c>
      <c r="G126" s="9" t="s">
        <v>38946</v>
      </c>
      <c r="H126" s="127">
        <v>44456.0</v>
      </c>
      <c r="I126" s="9" t="s">
        <v>47</v>
      </c>
      <c r="J126" s="9" t="s">
        <v>38801</v>
      </c>
      <c r="K126" s="55">
        <v>46100.0</v>
      </c>
      <c r="M126" s="9" t="s">
        <v>10662</v>
      </c>
    </row>
    <row r="127" ht="15.75" hidden="1" customHeight="1">
      <c r="A127" s="9" t="s">
        <v>38985</v>
      </c>
      <c r="B127" s="9" t="s">
        <v>14677</v>
      </c>
      <c r="D127" s="9" t="s">
        <v>38975</v>
      </c>
      <c r="E127" s="9"/>
      <c r="F127" s="9" t="s">
        <v>38986</v>
      </c>
      <c r="G127" s="9" t="s">
        <v>38946</v>
      </c>
      <c r="H127" s="127">
        <v>44456.0</v>
      </c>
      <c r="I127" s="9" t="s">
        <v>47</v>
      </c>
      <c r="J127" s="9" t="s">
        <v>38801</v>
      </c>
      <c r="K127" s="60">
        <v>45452.0</v>
      </c>
      <c r="M127" s="9" t="s">
        <v>9450</v>
      </c>
    </row>
    <row r="128" ht="15.75" hidden="1" customHeight="1">
      <c r="A128" s="9" t="s">
        <v>38987</v>
      </c>
      <c r="B128" s="9" t="s">
        <v>12692</v>
      </c>
      <c r="D128" s="9" t="s">
        <v>38975</v>
      </c>
      <c r="E128" s="9"/>
      <c r="F128" s="9" t="s">
        <v>38988</v>
      </c>
      <c r="G128" s="9" t="s">
        <v>38808</v>
      </c>
      <c r="H128" s="127">
        <v>44456.0</v>
      </c>
      <c r="I128" s="9" t="s">
        <v>47</v>
      </c>
      <c r="J128" s="9" t="s">
        <v>38801</v>
      </c>
      <c r="K128" s="56">
        <v>44474.0</v>
      </c>
      <c r="M128" s="9" t="s">
        <v>1966</v>
      </c>
    </row>
    <row r="129" ht="15.75" hidden="1" customHeight="1">
      <c r="A129" s="9" t="s">
        <v>38989</v>
      </c>
      <c r="B129" s="9" t="s">
        <v>16007</v>
      </c>
      <c r="D129" s="9" t="s">
        <v>12250</v>
      </c>
      <c r="E129" s="9"/>
      <c r="F129" s="9" t="s">
        <v>38990</v>
      </c>
      <c r="G129" s="9" t="s">
        <v>38808</v>
      </c>
      <c r="H129" s="127">
        <v>44456.0</v>
      </c>
      <c r="I129" s="9" t="s">
        <v>47</v>
      </c>
      <c r="J129" s="9" t="s">
        <v>38801</v>
      </c>
      <c r="K129" s="61">
        <v>44461.0</v>
      </c>
      <c r="M129" s="9" t="s">
        <v>5037</v>
      </c>
    </row>
    <row r="130" ht="15.75" hidden="1" customHeight="1">
      <c r="A130" s="9" t="s">
        <v>38991</v>
      </c>
      <c r="B130" s="9" t="s">
        <v>16007</v>
      </c>
      <c r="D130" s="9" t="s">
        <v>12239</v>
      </c>
      <c r="E130" s="9"/>
      <c r="F130" s="9" t="s">
        <v>38992</v>
      </c>
      <c r="G130" s="9" t="s">
        <v>38993</v>
      </c>
      <c r="H130" s="127">
        <v>44456.0</v>
      </c>
      <c r="I130" s="9" t="s">
        <v>47</v>
      </c>
      <c r="J130" s="9" t="s">
        <v>38801</v>
      </c>
      <c r="K130" s="56">
        <v>44460.0</v>
      </c>
      <c r="M130" s="9" t="s">
        <v>5037</v>
      </c>
    </row>
    <row r="131" ht="15.75" hidden="1" customHeight="1">
      <c r="A131" s="9" t="s">
        <v>38994</v>
      </c>
      <c r="B131" s="9" t="s">
        <v>16007</v>
      </c>
      <c r="D131" s="9" t="s">
        <v>12236</v>
      </c>
      <c r="E131" s="9"/>
      <c r="F131" s="9" t="s">
        <v>38995</v>
      </c>
      <c r="G131" s="9" t="s">
        <v>38808</v>
      </c>
      <c r="H131" s="127">
        <v>44456.0</v>
      </c>
      <c r="I131" s="9" t="s">
        <v>47</v>
      </c>
      <c r="J131" s="9" t="s">
        <v>38801</v>
      </c>
      <c r="K131" s="56">
        <v>44459.0</v>
      </c>
      <c r="M131" s="9" t="s">
        <v>5037</v>
      </c>
    </row>
    <row r="132" ht="15.75" hidden="1" customHeight="1">
      <c r="A132" s="9" t="s">
        <v>38996</v>
      </c>
      <c r="B132" s="9" t="s">
        <v>16007</v>
      </c>
      <c r="D132" s="9" t="s">
        <v>12239</v>
      </c>
      <c r="E132" s="9"/>
      <c r="F132" s="9" t="s">
        <v>38997</v>
      </c>
      <c r="G132" s="9" t="s">
        <v>38993</v>
      </c>
      <c r="H132" s="127">
        <v>44459.0</v>
      </c>
      <c r="I132" s="9" t="s">
        <v>26</v>
      </c>
      <c r="J132" s="9" t="s">
        <v>38801</v>
      </c>
      <c r="K132" s="56">
        <v>44504.0</v>
      </c>
      <c r="M132" s="9" t="s">
        <v>5037</v>
      </c>
    </row>
    <row r="133" ht="15.75" hidden="1" customHeight="1">
      <c r="A133" s="9" t="s">
        <v>38998</v>
      </c>
      <c r="B133" s="9" t="s">
        <v>26150</v>
      </c>
      <c r="D133" s="9" t="s">
        <v>12252</v>
      </c>
      <c r="E133" s="9"/>
      <c r="F133" s="9" t="s">
        <v>38999</v>
      </c>
      <c r="G133" s="9" t="s">
        <v>38946</v>
      </c>
      <c r="H133" s="127">
        <v>44459.0</v>
      </c>
      <c r="I133" s="9" t="s">
        <v>26</v>
      </c>
      <c r="J133" s="9" t="s">
        <v>38801</v>
      </c>
      <c r="K133" s="56">
        <v>44459.0</v>
      </c>
      <c r="M133" s="9" t="s">
        <v>11864</v>
      </c>
    </row>
    <row r="134" ht="15.75" hidden="1" customHeight="1">
      <c r="A134" s="9" t="s">
        <v>39000</v>
      </c>
      <c r="B134" s="9" t="s">
        <v>26098</v>
      </c>
      <c r="D134" s="9" t="s">
        <v>12252</v>
      </c>
      <c r="E134" s="9"/>
      <c r="F134" s="9" t="s">
        <v>39001</v>
      </c>
      <c r="G134" s="9" t="s">
        <v>38946</v>
      </c>
      <c r="H134" s="127">
        <v>44460.0</v>
      </c>
      <c r="I134" s="9" t="s">
        <v>64</v>
      </c>
      <c r="J134" s="9" t="s">
        <v>38801</v>
      </c>
      <c r="K134" s="56">
        <v>44462.0</v>
      </c>
      <c r="M134" s="9" t="s">
        <v>234</v>
      </c>
    </row>
    <row r="135" ht="15.75" hidden="1" customHeight="1">
      <c r="A135" s="9" t="s">
        <v>39002</v>
      </c>
      <c r="B135" s="9" t="s">
        <v>18058</v>
      </c>
      <c r="D135" s="9" t="s">
        <v>12258</v>
      </c>
      <c r="E135" s="9"/>
      <c r="F135" s="9" t="s">
        <v>39003</v>
      </c>
      <c r="G135" s="9" t="s">
        <v>38946</v>
      </c>
      <c r="H135" s="127">
        <v>44466.0</v>
      </c>
      <c r="I135" s="9" t="s">
        <v>26</v>
      </c>
      <c r="J135" s="9" t="s">
        <v>38801</v>
      </c>
      <c r="K135" s="56">
        <v>44466.0</v>
      </c>
      <c r="M135" s="9" t="s">
        <v>8993</v>
      </c>
    </row>
    <row r="136" ht="15.75" hidden="1" customHeight="1">
      <c r="A136" s="9" t="s">
        <v>39004</v>
      </c>
      <c r="B136" s="9" t="s">
        <v>20699</v>
      </c>
      <c r="D136" s="9" t="s">
        <v>12248</v>
      </c>
      <c r="E136" s="9"/>
      <c r="F136" s="9" t="s">
        <v>39005</v>
      </c>
      <c r="G136" s="9" t="s">
        <v>38946</v>
      </c>
      <c r="H136" s="127">
        <v>44467.0</v>
      </c>
      <c r="I136" s="9" t="s">
        <v>47</v>
      </c>
      <c r="J136" s="9" t="s">
        <v>38801</v>
      </c>
      <c r="K136" s="55">
        <v>45411.0</v>
      </c>
      <c r="M136" s="9" t="s">
        <v>5970</v>
      </c>
    </row>
    <row r="137" ht="15.75" hidden="1" customHeight="1">
      <c r="A137" s="9" t="s">
        <v>39006</v>
      </c>
      <c r="B137" s="9" t="s">
        <v>14549</v>
      </c>
      <c r="D137" s="9" t="s">
        <v>12258</v>
      </c>
      <c r="E137" s="9"/>
      <c r="F137" s="9" t="s">
        <v>39007</v>
      </c>
      <c r="G137" s="9" t="s">
        <v>38808</v>
      </c>
      <c r="H137" s="127">
        <v>44467.0</v>
      </c>
      <c r="I137" s="9" t="s">
        <v>89</v>
      </c>
      <c r="J137" s="9" t="s">
        <v>38801</v>
      </c>
      <c r="K137" s="55">
        <v>44656.0</v>
      </c>
      <c r="M137" s="9" t="s">
        <v>255</v>
      </c>
    </row>
    <row r="138" ht="15.75" hidden="1" customHeight="1">
      <c r="A138" s="9" t="s">
        <v>39008</v>
      </c>
      <c r="B138" s="9" t="s">
        <v>26150</v>
      </c>
      <c r="D138" s="9" t="s">
        <v>12236</v>
      </c>
      <c r="E138" s="9"/>
      <c r="F138" s="9" t="s">
        <v>39009</v>
      </c>
      <c r="G138" s="9" t="s">
        <v>38946</v>
      </c>
      <c r="H138" s="127">
        <v>44467.0</v>
      </c>
      <c r="I138" s="9" t="s">
        <v>26</v>
      </c>
      <c r="J138" s="9" t="s">
        <v>38801</v>
      </c>
      <c r="K138" s="61">
        <v>44494.0</v>
      </c>
      <c r="M138" s="9" t="s">
        <v>11864</v>
      </c>
    </row>
    <row r="139" ht="15.75" hidden="1" customHeight="1">
      <c r="A139" s="9" t="s">
        <v>39010</v>
      </c>
      <c r="B139" s="9" t="s">
        <v>16697</v>
      </c>
      <c r="D139" s="9" t="s">
        <v>12258</v>
      </c>
      <c r="E139" s="9"/>
      <c r="F139" s="9" t="s">
        <v>39011</v>
      </c>
      <c r="G139" s="9" t="s">
        <v>38946</v>
      </c>
      <c r="H139" s="127">
        <v>44467.0</v>
      </c>
      <c r="I139" s="9" t="s">
        <v>47</v>
      </c>
      <c r="J139" s="9" t="s">
        <v>38801</v>
      </c>
      <c r="K139" s="56">
        <v>44468.0</v>
      </c>
      <c r="M139" s="9" t="s">
        <v>7298</v>
      </c>
    </row>
    <row r="140" ht="15.75" hidden="1" customHeight="1">
      <c r="A140" s="9" t="s">
        <v>39012</v>
      </c>
      <c r="B140" s="9" t="s">
        <v>26150</v>
      </c>
      <c r="D140" s="9" t="s">
        <v>12230</v>
      </c>
      <c r="E140" s="9"/>
      <c r="F140" s="9" t="s">
        <v>39013</v>
      </c>
      <c r="G140" s="9" t="s">
        <v>38946</v>
      </c>
      <c r="H140" s="127">
        <v>44467.0</v>
      </c>
      <c r="I140" s="9" t="s">
        <v>26</v>
      </c>
      <c r="J140" s="9" t="s">
        <v>38801</v>
      </c>
      <c r="K140" s="56">
        <v>44467.0</v>
      </c>
      <c r="M140" s="9" t="s">
        <v>11864</v>
      </c>
    </row>
    <row r="141" ht="15.75" hidden="1" customHeight="1">
      <c r="A141" s="9" t="s">
        <v>39014</v>
      </c>
      <c r="B141" s="9" t="s">
        <v>17179</v>
      </c>
      <c r="D141" s="9" t="s">
        <v>12230</v>
      </c>
      <c r="E141" s="9"/>
      <c r="F141" s="9" t="s">
        <v>39015</v>
      </c>
      <c r="G141" s="9" t="s">
        <v>38808</v>
      </c>
      <c r="H141" s="127">
        <v>44468.0</v>
      </c>
      <c r="I141" s="9" t="s">
        <v>47</v>
      </c>
      <c r="J141" s="9" t="s">
        <v>38801</v>
      </c>
      <c r="K141" s="56">
        <v>44468.0</v>
      </c>
      <c r="M141" s="9" t="s">
        <v>12185</v>
      </c>
    </row>
    <row r="142" ht="15.75" hidden="1" customHeight="1">
      <c r="A142" s="9" t="s">
        <v>39016</v>
      </c>
      <c r="B142" s="9" t="s">
        <v>15833</v>
      </c>
      <c r="D142" s="9" t="s">
        <v>12233</v>
      </c>
      <c r="F142" s="9" t="s">
        <v>39017</v>
      </c>
      <c r="G142" s="9" t="s">
        <v>38946</v>
      </c>
      <c r="H142" s="127">
        <v>44469.0</v>
      </c>
      <c r="I142" s="9" t="s">
        <v>89</v>
      </c>
      <c r="J142" s="9" t="s">
        <v>38801</v>
      </c>
      <c r="K142" s="56">
        <v>44470.0</v>
      </c>
      <c r="M142" s="9" t="s">
        <v>8502</v>
      </c>
    </row>
    <row r="143" ht="15.75" hidden="1" customHeight="1">
      <c r="A143" s="9" t="s">
        <v>39018</v>
      </c>
      <c r="B143" s="9" t="s">
        <v>20950</v>
      </c>
      <c r="D143" s="9" t="s">
        <v>12230</v>
      </c>
      <c r="F143" s="9" t="s">
        <v>39019</v>
      </c>
      <c r="G143" s="9" t="s">
        <v>38946</v>
      </c>
      <c r="H143" s="127">
        <v>44469.0</v>
      </c>
      <c r="I143" s="9" t="s">
        <v>26</v>
      </c>
      <c r="J143" s="9" t="s">
        <v>38801</v>
      </c>
      <c r="K143" s="56">
        <v>44469.0</v>
      </c>
      <c r="M143" s="9" t="s">
        <v>9688</v>
      </c>
    </row>
    <row r="144" ht="15.75" hidden="1" customHeight="1">
      <c r="A144" s="9" t="s">
        <v>39020</v>
      </c>
      <c r="B144" s="9" t="s">
        <v>16595</v>
      </c>
      <c r="D144" s="9" t="s">
        <v>12250</v>
      </c>
      <c r="F144" s="9" t="s">
        <v>39021</v>
      </c>
      <c r="G144" s="9" t="s">
        <v>38946</v>
      </c>
      <c r="H144" s="127">
        <v>44473.0</v>
      </c>
      <c r="I144" s="9" t="s">
        <v>47</v>
      </c>
      <c r="J144" s="9" t="s">
        <v>38801</v>
      </c>
      <c r="K144" s="55">
        <v>45411.0</v>
      </c>
      <c r="M144" s="9" t="s">
        <v>8568</v>
      </c>
    </row>
    <row r="145" ht="15.75" hidden="1" customHeight="1">
      <c r="A145" s="9" t="s">
        <v>39022</v>
      </c>
      <c r="B145" s="9" t="s">
        <v>14635</v>
      </c>
      <c r="D145" s="9" t="s">
        <v>12246</v>
      </c>
      <c r="F145" s="9" t="s">
        <v>39023</v>
      </c>
      <c r="G145" s="9" t="s">
        <v>38946</v>
      </c>
      <c r="H145" s="127">
        <v>44473.0</v>
      </c>
      <c r="I145" s="9" t="s">
        <v>26</v>
      </c>
      <c r="J145" s="9" t="s">
        <v>38801</v>
      </c>
      <c r="K145" s="55">
        <v>44568.0</v>
      </c>
      <c r="M145" s="9" t="s">
        <v>8657</v>
      </c>
    </row>
    <row r="146" ht="15.75" hidden="1" customHeight="1">
      <c r="A146" s="9" t="s">
        <v>39024</v>
      </c>
      <c r="B146" s="9" t="s">
        <v>20694</v>
      </c>
      <c r="D146" s="9" t="s">
        <v>12250</v>
      </c>
      <c r="F146" s="9" t="s">
        <v>39025</v>
      </c>
      <c r="G146" s="9" t="s">
        <v>38946</v>
      </c>
      <c r="H146" s="127">
        <v>44473.0</v>
      </c>
      <c r="I146" s="9" t="s">
        <v>19</v>
      </c>
      <c r="J146" s="9" t="s">
        <v>38801</v>
      </c>
      <c r="K146" s="61">
        <v>44498.0</v>
      </c>
      <c r="M146" s="9" t="s">
        <v>8011</v>
      </c>
    </row>
    <row r="147" ht="15.75" hidden="1" customHeight="1">
      <c r="A147" s="9" t="s">
        <v>39026</v>
      </c>
      <c r="B147" s="9" t="s">
        <v>18270</v>
      </c>
      <c r="D147" s="9" t="s">
        <v>12224</v>
      </c>
      <c r="F147" s="9" t="s">
        <v>39027</v>
      </c>
      <c r="G147" s="9" t="s">
        <v>38808</v>
      </c>
      <c r="H147" s="127">
        <v>44473.0</v>
      </c>
      <c r="I147" s="9" t="s">
        <v>57</v>
      </c>
      <c r="J147" s="9" t="s">
        <v>38801</v>
      </c>
      <c r="K147" s="56">
        <v>44474.0</v>
      </c>
      <c r="M147" s="9" t="s">
        <v>388</v>
      </c>
    </row>
    <row r="148" ht="15.75" hidden="1" customHeight="1">
      <c r="A148" s="52" t="s">
        <v>39028</v>
      </c>
      <c r="B148" s="9" t="s">
        <v>16463</v>
      </c>
      <c r="D148" s="9" t="s">
        <v>12230</v>
      </c>
      <c r="F148" s="9" t="s">
        <v>39029</v>
      </c>
      <c r="G148" s="9" t="s">
        <v>38808</v>
      </c>
      <c r="H148" s="127">
        <v>44473.0</v>
      </c>
      <c r="I148" s="9" t="s">
        <v>47</v>
      </c>
      <c r="J148" s="9" t="s">
        <v>38801</v>
      </c>
      <c r="K148" s="56">
        <v>44473.0</v>
      </c>
      <c r="M148" s="9" t="s">
        <v>9429</v>
      </c>
    </row>
    <row r="149" ht="15.75" hidden="1" customHeight="1">
      <c r="A149" s="9" t="s">
        <v>39030</v>
      </c>
      <c r="B149" s="9" t="s">
        <v>16264</v>
      </c>
      <c r="D149" s="9" t="s">
        <v>12236</v>
      </c>
      <c r="F149" s="9" t="s">
        <v>39031</v>
      </c>
      <c r="G149" s="9" t="s">
        <v>38946</v>
      </c>
      <c r="H149" s="127">
        <v>44474.0</v>
      </c>
      <c r="I149" s="9" t="s">
        <v>47</v>
      </c>
      <c r="J149" s="9" t="s">
        <v>38801</v>
      </c>
      <c r="K149" s="55">
        <v>45411.0</v>
      </c>
      <c r="M149" s="9" t="s">
        <v>10711</v>
      </c>
    </row>
    <row r="150" ht="15.75" customHeight="1">
      <c r="A150" s="9" t="s">
        <v>39032</v>
      </c>
      <c r="B150" s="9" t="s">
        <v>16264</v>
      </c>
      <c r="D150" s="9" t="s">
        <v>12227</v>
      </c>
      <c r="E150" s="9" t="s">
        <v>38803</v>
      </c>
      <c r="F150" s="9" t="s">
        <v>39033</v>
      </c>
      <c r="G150" s="9" t="s">
        <v>38808</v>
      </c>
      <c r="H150" s="127">
        <v>44474.0</v>
      </c>
      <c r="I150" s="9" t="s">
        <v>47</v>
      </c>
      <c r="J150" s="9" t="s">
        <v>38801</v>
      </c>
      <c r="K150" s="55">
        <v>45411.0</v>
      </c>
      <c r="M150" s="9" t="s">
        <v>10711</v>
      </c>
      <c r="N150" s="9" t="b">
        <v>1</v>
      </c>
    </row>
    <row r="151" ht="15.75" hidden="1" customHeight="1">
      <c r="A151" s="9" t="s">
        <v>39034</v>
      </c>
      <c r="B151" s="9" t="s">
        <v>16293</v>
      </c>
      <c r="D151" s="9" t="s">
        <v>12236</v>
      </c>
      <c r="F151" s="9" t="s">
        <v>39035</v>
      </c>
      <c r="G151" s="9" t="s">
        <v>38808</v>
      </c>
      <c r="H151" s="127">
        <v>44474.0</v>
      </c>
      <c r="I151" s="9" t="s">
        <v>47</v>
      </c>
      <c r="J151" s="9" t="s">
        <v>38801</v>
      </c>
      <c r="K151" s="55">
        <v>44664.0</v>
      </c>
      <c r="M151" s="9" t="s">
        <v>11914</v>
      </c>
    </row>
    <row r="152" ht="15.75" hidden="1" customHeight="1">
      <c r="A152" s="9" t="s">
        <v>39036</v>
      </c>
      <c r="B152" s="9" t="s">
        <v>16293</v>
      </c>
      <c r="D152" s="9" t="s">
        <v>12252</v>
      </c>
      <c r="F152" s="9" t="s">
        <v>39037</v>
      </c>
      <c r="G152" s="9" t="s">
        <v>38946</v>
      </c>
      <c r="H152" s="127">
        <v>44474.0</v>
      </c>
      <c r="I152" s="9" t="s">
        <v>47</v>
      </c>
      <c r="J152" s="9" t="s">
        <v>38801</v>
      </c>
      <c r="K152" s="56">
        <v>44474.0</v>
      </c>
      <c r="M152" s="9" t="s">
        <v>11914</v>
      </c>
    </row>
    <row r="153" ht="15.75" hidden="1" customHeight="1">
      <c r="A153" s="9" t="s">
        <v>39038</v>
      </c>
      <c r="B153" s="9" t="s">
        <v>16293</v>
      </c>
      <c r="D153" s="9" t="s">
        <v>12230</v>
      </c>
      <c r="F153" s="9" t="s">
        <v>39039</v>
      </c>
      <c r="G153" s="9" t="s">
        <v>38808</v>
      </c>
      <c r="H153" s="127">
        <v>44474.0</v>
      </c>
      <c r="I153" s="9" t="s">
        <v>47</v>
      </c>
      <c r="J153" s="9" t="s">
        <v>38801</v>
      </c>
      <c r="K153" s="56">
        <v>44474.0</v>
      </c>
      <c r="M153" s="9" t="s">
        <v>11914</v>
      </c>
    </row>
    <row r="154" ht="15.75" customHeight="1">
      <c r="A154" s="9" t="s">
        <v>39040</v>
      </c>
      <c r="B154" s="9" t="s">
        <v>16293</v>
      </c>
      <c r="D154" s="9" t="s">
        <v>12227</v>
      </c>
      <c r="E154" s="9" t="s">
        <v>38803</v>
      </c>
      <c r="F154" s="9" t="s">
        <v>39041</v>
      </c>
      <c r="G154" s="9" t="s">
        <v>38808</v>
      </c>
      <c r="H154" s="127">
        <v>44474.0</v>
      </c>
      <c r="I154" s="9" t="s">
        <v>47</v>
      </c>
      <c r="J154" s="9" t="s">
        <v>38805</v>
      </c>
      <c r="M154" s="9" t="s">
        <v>11914</v>
      </c>
    </row>
    <row r="155" ht="15.75" hidden="1" customHeight="1">
      <c r="A155" s="9" t="s">
        <v>39042</v>
      </c>
      <c r="B155" s="9" t="s">
        <v>20714</v>
      </c>
      <c r="D155" s="9" t="s">
        <v>12230</v>
      </c>
      <c r="F155" s="9" t="s">
        <v>39043</v>
      </c>
      <c r="G155" s="9" t="s">
        <v>38946</v>
      </c>
      <c r="H155" s="127">
        <v>44475.0</v>
      </c>
      <c r="I155" s="9" t="s">
        <v>47</v>
      </c>
      <c r="J155" s="9" t="s">
        <v>38801</v>
      </c>
      <c r="K155" s="55">
        <v>45411.0</v>
      </c>
      <c r="M155" s="9" t="s">
        <v>1260</v>
      </c>
    </row>
    <row r="156" ht="15.75" hidden="1" customHeight="1">
      <c r="A156" s="9" t="s">
        <v>39044</v>
      </c>
      <c r="B156" s="9" t="s">
        <v>20709</v>
      </c>
      <c r="D156" s="9" t="s">
        <v>12248</v>
      </c>
      <c r="F156" s="9" t="s">
        <v>39045</v>
      </c>
      <c r="G156" s="9" t="s">
        <v>38808</v>
      </c>
      <c r="H156" s="127">
        <v>44475.0</v>
      </c>
      <c r="I156" s="9" t="s">
        <v>47</v>
      </c>
      <c r="J156" s="9" t="s">
        <v>38801</v>
      </c>
      <c r="K156" s="55">
        <v>45411.0</v>
      </c>
      <c r="M156" s="9" t="s">
        <v>4379</v>
      </c>
    </row>
    <row r="157" ht="15.75" hidden="1" customHeight="1">
      <c r="A157" s="9" t="s">
        <v>39046</v>
      </c>
      <c r="B157" s="9" t="s">
        <v>20675</v>
      </c>
      <c r="D157" s="9" t="s">
        <v>12224</v>
      </c>
      <c r="F157" s="9" t="s">
        <v>39047</v>
      </c>
      <c r="G157" s="9" t="s">
        <v>38946</v>
      </c>
      <c r="H157" s="127">
        <v>44475.0</v>
      </c>
      <c r="I157" s="9" t="s">
        <v>39</v>
      </c>
      <c r="J157" s="9" t="s">
        <v>38801</v>
      </c>
      <c r="K157" s="56">
        <v>44476.0</v>
      </c>
      <c r="M157" s="9" t="s">
        <v>6411</v>
      </c>
    </row>
    <row r="158" ht="15.75" hidden="1" customHeight="1">
      <c r="A158" s="9" t="s">
        <v>39048</v>
      </c>
      <c r="B158" s="9" t="s">
        <v>20059</v>
      </c>
      <c r="D158" s="9" t="s">
        <v>12230</v>
      </c>
      <c r="F158" s="9" t="s">
        <v>39049</v>
      </c>
      <c r="G158" s="9" t="s">
        <v>38946</v>
      </c>
      <c r="H158" s="127">
        <v>44475.0</v>
      </c>
      <c r="I158" s="9" t="s">
        <v>47</v>
      </c>
      <c r="J158" s="9" t="s">
        <v>38801</v>
      </c>
      <c r="K158" s="56">
        <v>44475.0</v>
      </c>
      <c r="M158" s="9" t="s">
        <v>26047</v>
      </c>
    </row>
    <row r="159" ht="15.75" hidden="1" customHeight="1">
      <c r="A159" s="9" t="s">
        <v>39050</v>
      </c>
      <c r="B159" s="9" t="s">
        <v>20339</v>
      </c>
      <c r="D159" s="9" t="s">
        <v>12230</v>
      </c>
      <c r="F159" s="9" t="s">
        <v>39051</v>
      </c>
      <c r="G159" s="9" t="s">
        <v>38808</v>
      </c>
      <c r="H159" s="127">
        <v>44480.0</v>
      </c>
      <c r="I159" s="9" t="s">
        <v>47</v>
      </c>
      <c r="J159" s="9" t="s">
        <v>38801</v>
      </c>
      <c r="K159" s="55">
        <v>45411.0</v>
      </c>
      <c r="M159" s="9" t="s">
        <v>6269</v>
      </c>
    </row>
    <row r="160" ht="15.75" hidden="1" customHeight="1">
      <c r="A160" s="9" t="s">
        <v>39052</v>
      </c>
      <c r="B160" s="9" t="s">
        <v>20339</v>
      </c>
      <c r="D160" s="9" t="s">
        <v>12224</v>
      </c>
      <c r="F160" s="9" t="s">
        <v>39053</v>
      </c>
      <c r="G160" s="9" t="s">
        <v>38808</v>
      </c>
      <c r="H160" s="127">
        <v>44480.0</v>
      </c>
      <c r="I160" s="9" t="s">
        <v>47</v>
      </c>
      <c r="J160" s="9" t="s">
        <v>38801</v>
      </c>
      <c r="K160" s="55">
        <v>45411.0</v>
      </c>
      <c r="M160" s="9" t="s">
        <v>6269</v>
      </c>
    </row>
    <row r="161" ht="15.75" hidden="1" customHeight="1">
      <c r="A161" s="9" t="s">
        <v>39054</v>
      </c>
      <c r="B161" s="9" t="s">
        <v>16595</v>
      </c>
      <c r="D161" s="9" t="s">
        <v>12236</v>
      </c>
      <c r="F161" s="9" t="s">
        <v>39055</v>
      </c>
      <c r="G161" s="9" t="s">
        <v>38808</v>
      </c>
      <c r="H161" s="127">
        <v>44480.0</v>
      </c>
      <c r="I161" s="9" t="s">
        <v>47</v>
      </c>
      <c r="J161" s="9" t="s">
        <v>38801</v>
      </c>
      <c r="K161" s="55">
        <v>45411.0</v>
      </c>
      <c r="M161" s="9" t="s">
        <v>8568</v>
      </c>
    </row>
    <row r="162" ht="15.75" hidden="1" customHeight="1">
      <c r="A162" s="9" t="s">
        <v>39056</v>
      </c>
      <c r="B162" s="9" t="s">
        <v>20019</v>
      </c>
      <c r="D162" s="9" t="s">
        <v>12236</v>
      </c>
      <c r="F162" s="9" t="s">
        <v>39057</v>
      </c>
      <c r="G162" s="9" t="s">
        <v>38808</v>
      </c>
      <c r="H162" s="127">
        <v>44481.0</v>
      </c>
      <c r="I162" s="9" t="s">
        <v>47</v>
      </c>
      <c r="J162" s="9" t="s">
        <v>38801</v>
      </c>
      <c r="K162" s="60">
        <v>44875.0</v>
      </c>
      <c r="M162" s="9" t="s">
        <v>12120</v>
      </c>
    </row>
    <row r="163" ht="15.75" hidden="1" customHeight="1">
      <c r="A163" s="9" t="s">
        <v>39058</v>
      </c>
      <c r="B163" s="9" t="s">
        <v>20019</v>
      </c>
      <c r="D163" s="9" t="s">
        <v>12250</v>
      </c>
      <c r="F163" s="9" t="s">
        <v>39059</v>
      </c>
      <c r="G163" s="9" t="s">
        <v>38808</v>
      </c>
      <c r="H163" s="127">
        <v>44481.0</v>
      </c>
      <c r="I163" s="9" t="s">
        <v>47</v>
      </c>
      <c r="J163" s="9" t="s">
        <v>38801</v>
      </c>
      <c r="K163" s="61">
        <v>44498.0</v>
      </c>
      <c r="M163" s="9" t="s">
        <v>12120</v>
      </c>
    </row>
    <row r="164" ht="15.75" hidden="1" customHeight="1">
      <c r="A164" s="9" t="s">
        <v>39060</v>
      </c>
      <c r="B164" s="9" t="s">
        <v>12692</v>
      </c>
      <c r="D164" s="9" t="s">
        <v>12236</v>
      </c>
      <c r="F164" s="9" t="s">
        <v>39061</v>
      </c>
      <c r="G164" s="9" t="s">
        <v>38946</v>
      </c>
      <c r="H164" s="127">
        <v>44481.0</v>
      </c>
      <c r="I164" s="9" t="s">
        <v>47</v>
      </c>
      <c r="J164" s="9" t="s">
        <v>38801</v>
      </c>
      <c r="K164" s="61">
        <v>44483.0</v>
      </c>
      <c r="M164" s="9" t="s">
        <v>1966</v>
      </c>
    </row>
    <row r="165" ht="15.75" hidden="1" customHeight="1">
      <c r="A165" s="9" t="s">
        <v>39062</v>
      </c>
      <c r="B165" s="9" t="s">
        <v>12692</v>
      </c>
      <c r="D165" s="9" t="s">
        <v>12224</v>
      </c>
      <c r="F165" s="9" t="s">
        <v>39063</v>
      </c>
      <c r="G165" s="9" t="s">
        <v>38946</v>
      </c>
      <c r="H165" s="127">
        <v>44481.0</v>
      </c>
      <c r="I165" s="9" t="s">
        <v>47</v>
      </c>
      <c r="J165" s="9" t="s">
        <v>38801</v>
      </c>
      <c r="K165" s="61">
        <v>44481.0</v>
      </c>
      <c r="M165" s="9" t="s">
        <v>1966</v>
      </c>
    </row>
    <row r="166" ht="15.75" hidden="1" customHeight="1">
      <c r="A166" s="9" t="s">
        <v>39064</v>
      </c>
      <c r="B166" s="9" t="s">
        <v>12692</v>
      </c>
      <c r="D166" s="9" t="s">
        <v>12230</v>
      </c>
      <c r="F166" s="9" t="s">
        <v>39065</v>
      </c>
      <c r="G166" s="9" t="s">
        <v>38946</v>
      </c>
      <c r="H166" s="127">
        <v>44481.0</v>
      </c>
      <c r="I166" s="9" t="s">
        <v>47</v>
      </c>
      <c r="J166" s="9" t="s">
        <v>38801</v>
      </c>
      <c r="K166" s="61">
        <v>44481.0</v>
      </c>
      <c r="M166" s="9" t="s">
        <v>1966</v>
      </c>
    </row>
    <row r="167" ht="15.75" hidden="1" customHeight="1">
      <c r="A167" s="9" t="s">
        <v>39066</v>
      </c>
      <c r="B167" s="9" t="s">
        <v>20019</v>
      </c>
      <c r="D167" s="9" t="s">
        <v>12224</v>
      </c>
      <c r="F167" s="9" t="s">
        <v>39067</v>
      </c>
      <c r="G167" s="9" t="s">
        <v>38946</v>
      </c>
      <c r="H167" s="127">
        <v>44481.0</v>
      </c>
      <c r="I167" s="9" t="s">
        <v>47</v>
      </c>
      <c r="J167" s="9" t="s">
        <v>38801</v>
      </c>
      <c r="K167" s="61">
        <v>44481.0</v>
      </c>
      <c r="M167" s="9" t="s">
        <v>12120</v>
      </c>
    </row>
    <row r="168" ht="15.75" hidden="1" customHeight="1">
      <c r="A168" s="9" t="s">
        <v>39068</v>
      </c>
      <c r="B168" s="9" t="s">
        <v>20019</v>
      </c>
      <c r="D168" s="9" t="s">
        <v>12230</v>
      </c>
      <c r="F168" s="9" t="s">
        <v>39069</v>
      </c>
      <c r="G168" s="9" t="s">
        <v>38946</v>
      </c>
      <c r="H168" s="127">
        <v>44481.0</v>
      </c>
      <c r="I168" s="9" t="s">
        <v>47</v>
      </c>
      <c r="J168" s="9" t="s">
        <v>38801</v>
      </c>
      <c r="K168" s="61">
        <v>44481.0</v>
      </c>
      <c r="M168" s="9" t="s">
        <v>12120</v>
      </c>
    </row>
    <row r="169" ht="15.75" hidden="1" customHeight="1">
      <c r="A169" s="9" t="s">
        <v>39070</v>
      </c>
      <c r="B169" s="9" t="s">
        <v>20268</v>
      </c>
      <c r="D169" s="9" t="s">
        <v>12248</v>
      </c>
      <c r="F169" s="9" t="s">
        <v>39071</v>
      </c>
      <c r="G169" s="9" t="s">
        <v>38808</v>
      </c>
      <c r="H169" s="127">
        <v>44483.0</v>
      </c>
      <c r="I169" s="9" t="s">
        <v>47</v>
      </c>
      <c r="J169" s="9" t="s">
        <v>38801</v>
      </c>
      <c r="K169" s="55">
        <v>45411.0</v>
      </c>
      <c r="M169" s="9" t="s">
        <v>8044</v>
      </c>
    </row>
    <row r="170" ht="15.75" hidden="1" customHeight="1">
      <c r="A170" s="9" t="s">
        <v>39072</v>
      </c>
      <c r="B170" s="9" t="s">
        <v>17535</v>
      </c>
      <c r="D170" s="9" t="s">
        <v>12246</v>
      </c>
      <c r="F170" s="9" t="s">
        <v>39073</v>
      </c>
      <c r="G170" s="9" t="s">
        <v>38808</v>
      </c>
      <c r="H170" s="127">
        <v>44484.0</v>
      </c>
      <c r="I170" s="9" t="s">
        <v>47</v>
      </c>
      <c r="J170" s="9" t="s">
        <v>38801</v>
      </c>
      <c r="K170" s="55">
        <v>44579.0</v>
      </c>
      <c r="M170" s="9" t="s">
        <v>5586</v>
      </c>
    </row>
    <row r="171" ht="15.75" hidden="1" customHeight="1">
      <c r="A171" s="9" t="s">
        <v>39074</v>
      </c>
      <c r="B171" s="9" t="s">
        <v>12340</v>
      </c>
      <c r="D171" s="9" t="s">
        <v>12230</v>
      </c>
      <c r="F171" s="9" t="s">
        <v>39075</v>
      </c>
      <c r="G171" s="9" t="s">
        <v>38808</v>
      </c>
      <c r="H171" s="127">
        <v>44487.0</v>
      </c>
      <c r="I171" s="9" t="s">
        <v>47</v>
      </c>
      <c r="J171" s="9" t="s">
        <v>38801</v>
      </c>
      <c r="K171" s="55">
        <v>45411.0</v>
      </c>
      <c r="M171" s="9" t="s">
        <v>10251</v>
      </c>
    </row>
    <row r="172" ht="15.75" hidden="1" customHeight="1">
      <c r="A172" s="9" t="s">
        <v>39076</v>
      </c>
      <c r="B172" s="9" t="s">
        <v>12692</v>
      </c>
      <c r="D172" s="9" t="s">
        <v>12230</v>
      </c>
      <c r="F172" s="9" t="s">
        <v>39075</v>
      </c>
      <c r="G172" s="9" t="s">
        <v>38808</v>
      </c>
      <c r="H172" s="127">
        <v>44487.0</v>
      </c>
      <c r="I172" s="9" t="s">
        <v>47</v>
      </c>
      <c r="J172" s="9" t="s">
        <v>38801</v>
      </c>
      <c r="K172" s="61">
        <v>44487.0</v>
      </c>
      <c r="M172" s="9" t="s">
        <v>1966</v>
      </c>
    </row>
    <row r="173" ht="15.75" hidden="1" customHeight="1">
      <c r="A173" s="9" t="s">
        <v>39077</v>
      </c>
      <c r="B173" s="9" t="s">
        <v>18082</v>
      </c>
      <c r="D173" s="9" t="s">
        <v>12224</v>
      </c>
      <c r="F173" s="9" t="s">
        <v>39078</v>
      </c>
      <c r="G173" s="9" t="s">
        <v>38808</v>
      </c>
      <c r="H173" s="127">
        <v>44489.0</v>
      </c>
      <c r="I173" s="9" t="s">
        <v>47</v>
      </c>
      <c r="J173" s="9" t="s">
        <v>38801</v>
      </c>
      <c r="K173" s="61">
        <v>44490.0</v>
      </c>
      <c r="M173" s="9" t="s">
        <v>2508</v>
      </c>
    </row>
    <row r="174" ht="15.75" hidden="1" customHeight="1">
      <c r="A174" s="9" t="s">
        <v>39079</v>
      </c>
      <c r="B174" s="9" t="s">
        <v>12462</v>
      </c>
      <c r="D174" s="9" t="s">
        <v>12224</v>
      </c>
      <c r="F174" s="9" t="s">
        <v>39080</v>
      </c>
      <c r="G174" s="9" t="s">
        <v>38808</v>
      </c>
      <c r="H174" s="127">
        <v>44489.0</v>
      </c>
      <c r="I174" s="9" t="s">
        <v>47</v>
      </c>
      <c r="J174" s="9" t="s">
        <v>38801</v>
      </c>
      <c r="K174" s="61">
        <v>44490.0</v>
      </c>
      <c r="M174" s="9" t="s">
        <v>245</v>
      </c>
    </row>
    <row r="175" ht="15.75" hidden="1" customHeight="1">
      <c r="A175" s="9" t="s">
        <v>39081</v>
      </c>
      <c r="B175" s="9" t="s">
        <v>13984</v>
      </c>
      <c r="D175" s="9" t="s">
        <v>12230</v>
      </c>
      <c r="F175" s="9" t="s">
        <v>39082</v>
      </c>
      <c r="G175" s="9" t="s">
        <v>38808</v>
      </c>
      <c r="H175" s="127">
        <v>44491.0</v>
      </c>
      <c r="I175" s="9" t="s">
        <v>47</v>
      </c>
      <c r="J175" s="9" t="s">
        <v>38801</v>
      </c>
      <c r="K175" s="55">
        <v>45537.0</v>
      </c>
      <c r="M175" s="9" t="s">
        <v>9530</v>
      </c>
    </row>
    <row r="176" ht="15.75" hidden="1" customHeight="1">
      <c r="A176" s="9" t="s">
        <v>39083</v>
      </c>
      <c r="B176" s="9" t="s">
        <v>20785</v>
      </c>
      <c r="D176" s="9" t="s">
        <v>12230</v>
      </c>
      <c r="F176" s="9" t="s">
        <v>39084</v>
      </c>
      <c r="G176" s="9" t="s">
        <v>38808</v>
      </c>
      <c r="H176" s="127">
        <v>44491.0</v>
      </c>
      <c r="I176" s="9" t="s">
        <v>47</v>
      </c>
      <c r="J176" s="9" t="s">
        <v>38801</v>
      </c>
      <c r="K176" s="61">
        <v>44491.0</v>
      </c>
      <c r="M176" s="9" t="s">
        <v>8512</v>
      </c>
    </row>
    <row r="177" ht="15.75" hidden="1" customHeight="1">
      <c r="A177" s="9" t="s">
        <v>39085</v>
      </c>
      <c r="B177" s="9" t="s">
        <v>20625</v>
      </c>
      <c r="D177" s="9" t="s">
        <v>12236</v>
      </c>
      <c r="F177" s="9" t="s">
        <v>39086</v>
      </c>
      <c r="G177" s="9" t="s">
        <v>38946</v>
      </c>
      <c r="H177" s="127">
        <v>44494.0</v>
      </c>
      <c r="I177" s="9" t="s">
        <v>47</v>
      </c>
      <c r="J177" s="9" t="s">
        <v>38801</v>
      </c>
      <c r="K177" s="61">
        <v>44495.0</v>
      </c>
      <c r="M177" s="9" t="s">
        <v>7585</v>
      </c>
    </row>
    <row r="178" ht="15.75" hidden="1" customHeight="1">
      <c r="A178" s="9" t="s">
        <v>39087</v>
      </c>
      <c r="B178" s="9" t="s">
        <v>20625</v>
      </c>
      <c r="D178" s="9" t="s">
        <v>12224</v>
      </c>
      <c r="F178" s="9" t="s">
        <v>39088</v>
      </c>
      <c r="G178" s="9" t="s">
        <v>38946</v>
      </c>
      <c r="H178" s="127">
        <v>44494.0</v>
      </c>
      <c r="I178" s="9" t="s">
        <v>47</v>
      </c>
      <c r="J178" s="9" t="s">
        <v>38801</v>
      </c>
      <c r="K178" s="61">
        <v>44494.0</v>
      </c>
      <c r="M178" s="9" t="s">
        <v>7585</v>
      </c>
    </row>
    <row r="179" ht="15.75" hidden="1" customHeight="1">
      <c r="A179" s="9" t="s">
        <v>39089</v>
      </c>
      <c r="B179" s="9" t="s">
        <v>20625</v>
      </c>
      <c r="D179" s="9" t="s">
        <v>12230</v>
      </c>
      <c r="F179" s="9" t="s">
        <v>39090</v>
      </c>
      <c r="G179" s="9" t="s">
        <v>38946</v>
      </c>
      <c r="H179" s="127">
        <v>44494.0</v>
      </c>
      <c r="I179" s="9" t="s">
        <v>47</v>
      </c>
      <c r="J179" s="9" t="s">
        <v>38801</v>
      </c>
      <c r="K179" s="61">
        <v>44494.0</v>
      </c>
      <c r="M179" s="9" t="s">
        <v>7585</v>
      </c>
    </row>
    <row r="180" ht="15.75" customHeight="1">
      <c r="A180" s="9" t="s">
        <v>39091</v>
      </c>
      <c r="B180" s="9" t="s">
        <v>20625</v>
      </c>
      <c r="D180" s="9" t="s">
        <v>12227</v>
      </c>
      <c r="E180" s="9" t="s">
        <v>38803</v>
      </c>
      <c r="F180" s="9" t="s">
        <v>39092</v>
      </c>
      <c r="G180" s="9" t="s">
        <v>38808</v>
      </c>
      <c r="H180" s="127">
        <v>44494.0</v>
      </c>
      <c r="I180" s="9" t="s">
        <v>47</v>
      </c>
      <c r="J180" s="9" t="s">
        <v>38805</v>
      </c>
      <c r="M180" s="9" t="s">
        <v>7585</v>
      </c>
      <c r="N180" s="9" t="b">
        <v>1</v>
      </c>
    </row>
    <row r="181" ht="15.75" hidden="1" customHeight="1">
      <c r="A181" s="9" t="s">
        <v>39093</v>
      </c>
      <c r="B181" s="9" t="s">
        <v>13052</v>
      </c>
      <c r="D181" s="9" t="s">
        <v>12242</v>
      </c>
      <c r="F181" s="9" t="s">
        <v>39094</v>
      </c>
      <c r="G181" s="9" t="s">
        <v>38993</v>
      </c>
      <c r="H181" s="127">
        <v>44498.0</v>
      </c>
      <c r="I181" s="9" t="s">
        <v>26</v>
      </c>
      <c r="J181" s="9" t="s">
        <v>38801</v>
      </c>
      <c r="K181" s="55">
        <v>45411.0</v>
      </c>
      <c r="M181" s="9" t="s">
        <v>10023</v>
      </c>
    </row>
    <row r="182" ht="15.75" hidden="1" customHeight="1">
      <c r="A182" s="9" t="s">
        <v>39095</v>
      </c>
      <c r="B182" s="9" t="s">
        <v>13052</v>
      </c>
      <c r="D182" s="9" t="s">
        <v>12250</v>
      </c>
      <c r="F182" s="9" t="s">
        <v>39096</v>
      </c>
      <c r="G182" s="9" t="s">
        <v>38946</v>
      </c>
      <c r="H182" s="127">
        <v>44498.0</v>
      </c>
      <c r="I182" s="9" t="s">
        <v>26</v>
      </c>
      <c r="J182" s="9" t="s">
        <v>38801</v>
      </c>
      <c r="K182" s="60">
        <v>45411.0</v>
      </c>
      <c r="M182" s="9" t="s">
        <v>10023</v>
      </c>
    </row>
    <row r="183" ht="15.75" hidden="1" customHeight="1">
      <c r="A183" s="9" t="s">
        <v>39097</v>
      </c>
      <c r="B183" s="9" t="s">
        <v>18454</v>
      </c>
      <c r="D183" s="9" t="s">
        <v>12236</v>
      </c>
      <c r="F183" s="9" t="s">
        <v>39098</v>
      </c>
      <c r="G183" s="9" t="s">
        <v>38946</v>
      </c>
      <c r="H183" s="127">
        <v>44498.0</v>
      </c>
      <c r="I183" s="9" t="s">
        <v>52</v>
      </c>
      <c r="J183" s="9" t="s">
        <v>38801</v>
      </c>
      <c r="K183" s="55">
        <v>44816.0</v>
      </c>
      <c r="M183" s="9" t="s">
        <v>4952</v>
      </c>
    </row>
    <row r="184" ht="15.75" hidden="1" customHeight="1">
      <c r="A184" s="9" t="s">
        <v>39099</v>
      </c>
      <c r="B184" s="9" t="s">
        <v>19803</v>
      </c>
      <c r="D184" s="9" t="s">
        <v>12230</v>
      </c>
      <c r="F184" s="9" t="s">
        <v>39100</v>
      </c>
      <c r="G184" s="9" t="s">
        <v>38808</v>
      </c>
      <c r="H184" s="127">
        <v>44498.0</v>
      </c>
      <c r="I184" s="9" t="s">
        <v>47</v>
      </c>
      <c r="J184" s="9" t="s">
        <v>38801</v>
      </c>
      <c r="K184" s="61">
        <v>44519.0</v>
      </c>
      <c r="M184" s="9" t="s">
        <v>10672</v>
      </c>
    </row>
    <row r="185" ht="15.75" hidden="1" customHeight="1">
      <c r="A185" s="9" t="s">
        <v>39101</v>
      </c>
      <c r="B185" s="9" t="s">
        <v>14885</v>
      </c>
      <c r="D185" s="9" t="s">
        <v>12233</v>
      </c>
      <c r="F185" s="9" t="s">
        <v>39102</v>
      </c>
      <c r="G185" s="9" t="s">
        <v>38993</v>
      </c>
      <c r="H185" s="127">
        <v>44498.0</v>
      </c>
      <c r="I185" s="9" t="s">
        <v>26</v>
      </c>
      <c r="J185" s="9" t="s">
        <v>38801</v>
      </c>
      <c r="K185" s="56">
        <v>44504.0</v>
      </c>
      <c r="M185" s="9" t="s">
        <v>3331</v>
      </c>
    </row>
    <row r="186" ht="15.75" hidden="1" customHeight="1">
      <c r="A186" s="9" t="s">
        <v>39103</v>
      </c>
      <c r="B186" s="9" t="s">
        <v>19803</v>
      </c>
      <c r="D186" s="9" t="s">
        <v>12252</v>
      </c>
      <c r="F186" s="9" t="s">
        <v>39104</v>
      </c>
      <c r="G186" s="9" t="s">
        <v>38946</v>
      </c>
      <c r="H186" s="127">
        <v>44498.0</v>
      </c>
      <c r="I186" s="9" t="s">
        <v>47</v>
      </c>
      <c r="J186" s="9" t="s">
        <v>38801</v>
      </c>
      <c r="K186" s="61">
        <v>44498.0</v>
      </c>
      <c r="M186" s="9" t="s">
        <v>10672</v>
      </c>
    </row>
    <row r="187" ht="15.75" hidden="1" customHeight="1">
      <c r="A187" s="9" t="s">
        <v>39105</v>
      </c>
      <c r="B187" s="9" t="s">
        <v>19803</v>
      </c>
      <c r="D187" s="9" t="s">
        <v>12250</v>
      </c>
      <c r="F187" s="9" t="s">
        <v>39106</v>
      </c>
      <c r="G187" s="9" t="s">
        <v>38946</v>
      </c>
      <c r="H187" s="127">
        <v>44498.0</v>
      </c>
      <c r="I187" s="9" t="s">
        <v>47</v>
      </c>
      <c r="J187" s="9" t="s">
        <v>38801</v>
      </c>
      <c r="K187" s="61">
        <v>44498.0</v>
      </c>
      <c r="M187" s="9" t="s">
        <v>10672</v>
      </c>
    </row>
    <row r="188" ht="15.75" hidden="1" customHeight="1">
      <c r="A188" s="9" t="s">
        <v>39107</v>
      </c>
      <c r="B188" s="9" t="s">
        <v>18454</v>
      </c>
      <c r="D188" s="9" t="s">
        <v>12258</v>
      </c>
      <c r="F188" s="9" t="s">
        <v>39108</v>
      </c>
      <c r="G188" s="9" t="s">
        <v>38946</v>
      </c>
      <c r="H188" s="127">
        <v>44498.0</v>
      </c>
      <c r="I188" s="9" t="s">
        <v>52</v>
      </c>
      <c r="J188" s="9" t="s">
        <v>38801</v>
      </c>
      <c r="K188" s="61">
        <v>44498.0</v>
      </c>
      <c r="M188" s="9" t="s">
        <v>4952</v>
      </c>
    </row>
    <row r="189" ht="15.75" hidden="1" customHeight="1">
      <c r="A189" s="9" t="s">
        <v>39109</v>
      </c>
      <c r="B189" s="9" t="s">
        <v>18454</v>
      </c>
      <c r="D189" s="9" t="s">
        <v>12248</v>
      </c>
      <c r="F189" s="9" t="s">
        <v>39110</v>
      </c>
      <c r="G189" s="9" t="s">
        <v>38946</v>
      </c>
      <c r="H189" s="127">
        <v>44498.0</v>
      </c>
      <c r="I189" s="9" t="s">
        <v>47</v>
      </c>
      <c r="J189" s="9" t="s">
        <v>38801</v>
      </c>
      <c r="K189" s="61">
        <v>44498.0</v>
      </c>
      <c r="M189" s="9" t="s">
        <v>4952</v>
      </c>
    </row>
    <row r="190" ht="15.75" hidden="1" customHeight="1">
      <c r="A190" s="9" t="s">
        <v>39111</v>
      </c>
      <c r="B190" s="9" t="s">
        <v>19357</v>
      </c>
      <c r="D190" s="9" t="s">
        <v>12242</v>
      </c>
      <c r="F190" s="9" t="s">
        <v>39112</v>
      </c>
      <c r="G190" s="9" t="s">
        <v>38808</v>
      </c>
      <c r="H190" s="127">
        <v>44502.0</v>
      </c>
      <c r="I190" s="9" t="s">
        <v>19</v>
      </c>
      <c r="J190" s="9" t="s">
        <v>38801</v>
      </c>
      <c r="K190" s="55">
        <v>44579.0</v>
      </c>
      <c r="M190" s="9" t="s">
        <v>4121</v>
      </c>
    </row>
    <row r="191" ht="15.75" hidden="1" customHeight="1">
      <c r="A191" s="9" t="s">
        <v>39113</v>
      </c>
      <c r="B191" s="9" t="s">
        <v>19357</v>
      </c>
      <c r="D191" s="9" t="s">
        <v>12250</v>
      </c>
      <c r="F191" s="9" t="s">
        <v>39114</v>
      </c>
      <c r="G191" s="9" t="s">
        <v>38946</v>
      </c>
      <c r="H191" s="127">
        <v>44502.0</v>
      </c>
      <c r="I191" s="9" t="s">
        <v>19</v>
      </c>
      <c r="J191" s="9" t="s">
        <v>38801</v>
      </c>
      <c r="K191" s="61">
        <v>44526.0</v>
      </c>
      <c r="M191" s="9" t="s">
        <v>4121</v>
      </c>
    </row>
    <row r="192" ht="15.75" hidden="1" customHeight="1">
      <c r="A192" s="9" t="s">
        <v>39115</v>
      </c>
      <c r="B192" s="9" t="s">
        <v>16293</v>
      </c>
      <c r="D192" s="9" t="s">
        <v>12230</v>
      </c>
      <c r="F192" s="9" t="s">
        <v>39116</v>
      </c>
      <c r="G192" s="9" t="s">
        <v>38808</v>
      </c>
      <c r="H192" s="127">
        <v>44503.0</v>
      </c>
      <c r="I192" s="9" t="s">
        <v>47</v>
      </c>
      <c r="J192" s="9" t="s">
        <v>38801</v>
      </c>
      <c r="K192" s="56">
        <v>44509.0</v>
      </c>
      <c r="M192" s="9" t="s">
        <v>11914</v>
      </c>
    </row>
    <row r="193" ht="15.75" hidden="1" customHeight="1">
      <c r="A193" s="9" t="s">
        <v>39117</v>
      </c>
      <c r="B193" s="9" t="s">
        <v>19998</v>
      </c>
      <c r="D193" s="9" t="s">
        <v>12230</v>
      </c>
      <c r="F193" s="9" t="s">
        <v>39049</v>
      </c>
      <c r="G193" s="9" t="s">
        <v>38808</v>
      </c>
      <c r="H193" s="127">
        <v>44503.0</v>
      </c>
      <c r="I193" s="9" t="s">
        <v>47</v>
      </c>
      <c r="J193" s="9" t="s">
        <v>38801</v>
      </c>
      <c r="K193" s="56">
        <v>44503.0</v>
      </c>
      <c r="M193" s="9" t="s">
        <v>12162</v>
      </c>
    </row>
    <row r="194" ht="15.75" hidden="1" customHeight="1">
      <c r="A194" s="9" t="s">
        <v>39118</v>
      </c>
      <c r="B194" s="9" t="s">
        <v>16378</v>
      </c>
      <c r="D194" s="9" t="s">
        <v>12236</v>
      </c>
      <c r="F194" s="9" t="s">
        <v>39119</v>
      </c>
      <c r="G194" s="9" t="s">
        <v>38946</v>
      </c>
      <c r="H194" s="127">
        <v>44504.0</v>
      </c>
      <c r="I194" s="9" t="s">
        <v>52</v>
      </c>
      <c r="J194" s="9" t="s">
        <v>38801</v>
      </c>
      <c r="K194" s="60">
        <v>44875.0</v>
      </c>
      <c r="M194" s="9" t="s">
        <v>9746</v>
      </c>
    </row>
    <row r="195" ht="15.75" hidden="1" customHeight="1">
      <c r="A195" s="9" t="s">
        <v>39120</v>
      </c>
      <c r="B195" s="9" t="s">
        <v>15244</v>
      </c>
      <c r="D195" s="9" t="s">
        <v>12239</v>
      </c>
      <c r="F195" s="9" t="s">
        <v>39121</v>
      </c>
      <c r="G195" s="9" t="s">
        <v>38946</v>
      </c>
      <c r="H195" s="127">
        <v>44504.0</v>
      </c>
      <c r="I195" s="9" t="s">
        <v>26</v>
      </c>
      <c r="J195" s="9" t="s">
        <v>38801</v>
      </c>
      <c r="K195" s="56">
        <v>44539.0</v>
      </c>
      <c r="M195" s="9" t="s">
        <v>1904</v>
      </c>
    </row>
    <row r="196" ht="15.75" hidden="1" customHeight="1">
      <c r="A196" s="9" t="s">
        <v>39122</v>
      </c>
      <c r="B196" s="9" t="s">
        <v>13822</v>
      </c>
      <c r="D196" s="9" t="s">
        <v>12236</v>
      </c>
      <c r="F196" s="9" t="s">
        <v>39123</v>
      </c>
      <c r="G196" s="9" t="s">
        <v>38946</v>
      </c>
      <c r="H196" s="127">
        <v>44505.0</v>
      </c>
      <c r="I196" s="9" t="s">
        <v>52</v>
      </c>
      <c r="J196" s="9" t="s">
        <v>38801</v>
      </c>
      <c r="K196" s="55">
        <v>44665.0</v>
      </c>
      <c r="M196" s="9" t="s">
        <v>8598</v>
      </c>
    </row>
    <row r="197" ht="15.75" hidden="1" customHeight="1">
      <c r="A197" s="9" t="s">
        <v>39124</v>
      </c>
      <c r="B197" s="9" t="s">
        <v>16293</v>
      </c>
      <c r="D197" s="9" t="s">
        <v>12236</v>
      </c>
      <c r="F197" s="9" t="s">
        <v>39125</v>
      </c>
      <c r="G197" s="9" t="s">
        <v>38946</v>
      </c>
      <c r="H197" s="127">
        <v>44505.0</v>
      </c>
      <c r="I197" s="9" t="s">
        <v>52</v>
      </c>
      <c r="J197" s="9" t="s">
        <v>38801</v>
      </c>
      <c r="K197" s="55">
        <v>44586.0</v>
      </c>
      <c r="M197" s="9" t="s">
        <v>11914</v>
      </c>
    </row>
    <row r="198" ht="15.75" hidden="1" customHeight="1">
      <c r="A198" s="9" t="s">
        <v>39126</v>
      </c>
      <c r="B198" s="9" t="s">
        <v>13559</v>
      </c>
      <c r="D198" s="9" t="s">
        <v>12236</v>
      </c>
      <c r="F198" s="9" t="s">
        <v>39127</v>
      </c>
      <c r="G198" s="9" t="s">
        <v>38946</v>
      </c>
      <c r="H198" s="127">
        <v>44505.0</v>
      </c>
      <c r="I198" s="9" t="s">
        <v>52</v>
      </c>
      <c r="J198" s="9" t="s">
        <v>38801</v>
      </c>
      <c r="K198" s="55">
        <v>44579.0</v>
      </c>
      <c r="M198" s="9" t="s">
        <v>4838</v>
      </c>
    </row>
    <row r="199" ht="15.75" hidden="1" customHeight="1">
      <c r="A199" s="9" t="s">
        <v>39128</v>
      </c>
      <c r="B199" s="9" t="s">
        <v>25873</v>
      </c>
      <c r="D199" s="9" t="s">
        <v>12236</v>
      </c>
      <c r="F199" s="9" t="s">
        <v>39129</v>
      </c>
      <c r="G199" s="9" t="s">
        <v>38946</v>
      </c>
      <c r="H199" s="127">
        <v>44505.0</v>
      </c>
      <c r="I199" s="9" t="s">
        <v>52</v>
      </c>
      <c r="J199" s="9" t="s">
        <v>38801</v>
      </c>
      <c r="K199" s="61">
        <v>44544.0</v>
      </c>
      <c r="M199" s="9" t="s">
        <v>4852</v>
      </c>
    </row>
    <row r="200" ht="15.75" hidden="1" customHeight="1">
      <c r="A200" s="9" t="s">
        <v>39130</v>
      </c>
      <c r="B200" s="9" t="s">
        <v>18454</v>
      </c>
      <c r="D200" s="9" t="s">
        <v>12230</v>
      </c>
      <c r="F200" s="9" t="s">
        <v>39131</v>
      </c>
      <c r="G200" s="9" t="s">
        <v>38946</v>
      </c>
      <c r="H200" s="127">
        <v>44505.0</v>
      </c>
      <c r="I200" s="9" t="s">
        <v>52</v>
      </c>
      <c r="J200" s="9" t="s">
        <v>38801</v>
      </c>
      <c r="K200" s="61">
        <v>44510.0</v>
      </c>
      <c r="M200" s="9" t="s">
        <v>4935</v>
      </c>
    </row>
    <row r="201" ht="15.75" hidden="1" customHeight="1">
      <c r="A201" s="9" t="s">
        <v>39132</v>
      </c>
      <c r="B201" s="9" t="s">
        <v>25578</v>
      </c>
      <c r="D201" s="9" t="s">
        <v>12248</v>
      </c>
      <c r="F201" s="9" t="s">
        <v>39133</v>
      </c>
      <c r="G201" s="9" t="s">
        <v>38946</v>
      </c>
      <c r="H201" s="127">
        <v>44508.0</v>
      </c>
      <c r="I201" s="9" t="s">
        <v>47</v>
      </c>
      <c r="J201" s="9" t="s">
        <v>38801</v>
      </c>
      <c r="K201" s="55">
        <v>45411.0</v>
      </c>
      <c r="M201" s="9" t="s">
        <v>4505</v>
      </c>
    </row>
    <row r="202" ht="15.75" hidden="1" customHeight="1">
      <c r="A202" s="9" t="s">
        <v>39134</v>
      </c>
      <c r="B202" s="9" t="s">
        <v>25873</v>
      </c>
      <c r="D202" s="9" t="s">
        <v>12236</v>
      </c>
      <c r="F202" s="9" t="s">
        <v>39135</v>
      </c>
      <c r="G202" s="9" t="s">
        <v>38946</v>
      </c>
      <c r="H202" s="127">
        <v>44508.0</v>
      </c>
      <c r="I202" s="9" t="s">
        <v>52</v>
      </c>
      <c r="J202" s="9" t="s">
        <v>38801</v>
      </c>
      <c r="K202" s="60">
        <v>44883.0</v>
      </c>
      <c r="M202" s="9" t="s">
        <v>4852</v>
      </c>
    </row>
    <row r="203" ht="15.75" hidden="1" customHeight="1">
      <c r="A203" s="9" t="s">
        <v>39136</v>
      </c>
      <c r="B203" s="9" t="s">
        <v>17376</v>
      </c>
      <c r="D203" s="9" t="s">
        <v>12236</v>
      </c>
      <c r="F203" s="9" t="s">
        <v>39135</v>
      </c>
      <c r="G203" s="9" t="s">
        <v>38946</v>
      </c>
      <c r="H203" s="127">
        <v>44508.0</v>
      </c>
      <c r="I203" s="9" t="s">
        <v>52</v>
      </c>
      <c r="J203" s="9" t="s">
        <v>38801</v>
      </c>
      <c r="K203" s="60">
        <v>44875.0</v>
      </c>
      <c r="M203" s="9" t="s">
        <v>8558</v>
      </c>
    </row>
    <row r="204" ht="15.75" hidden="1" customHeight="1">
      <c r="A204" s="9" t="s">
        <v>39137</v>
      </c>
      <c r="B204" s="9" t="s">
        <v>16857</v>
      </c>
      <c r="D204" s="9" t="s">
        <v>12236</v>
      </c>
      <c r="F204" s="9" t="s">
        <v>39138</v>
      </c>
      <c r="G204" s="9" t="s">
        <v>38946</v>
      </c>
      <c r="H204" s="127">
        <v>44508.0</v>
      </c>
      <c r="I204" s="9" t="s">
        <v>52</v>
      </c>
      <c r="J204" s="9" t="s">
        <v>38801</v>
      </c>
      <c r="K204" s="60">
        <v>44875.0</v>
      </c>
      <c r="M204" s="9" t="s">
        <v>5823</v>
      </c>
    </row>
    <row r="205" ht="15.75" hidden="1" customHeight="1">
      <c r="A205" s="9" t="s">
        <v>39139</v>
      </c>
      <c r="B205" s="9" t="s">
        <v>20785</v>
      </c>
      <c r="D205" s="9" t="s">
        <v>12236</v>
      </c>
      <c r="F205" s="9" t="s">
        <v>39140</v>
      </c>
      <c r="G205" s="9" t="s">
        <v>38946</v>
      </c>
      <c r="H205" s="127">
        <v>44508.0</v>
      </c>
      <c r="I205" s="9" t="s">
        <v>52</v>
      </c>
      <c r="J205" s="9" t="s">
        <v>38801</v>
      </c>
      <c r="K205" s="61">
        <v>44559.0</v>
      </c>
      <c r="M205" s="9" t="s">
        <v>8512</v>
      </c>
    </row>
    <row r="206" ht="15.75" hidden="1" customHeight="1">
      <c r="A206" s="9" t="s">
        <v>39141</v>
      </c>
      <c r="B206" s="9" t="s">
        <v>22274</v>
      </c>
      <c r="D206" s="9" t="s">
        <v>12239</v>
      </c>
      <c r="F206" s="9" t="s">
        <v>39142</v>
      </c>
      <c r="G206" s="9" t="s">
        <v>38946</v>
      </c>
      <c r="H206" s="127">
        <v>44508.0</v>
      </c>
      <c r="I206" s="9" t="s">
        <v>76</v>
      </c>
      <c r="J206" s="9" t="s">
        <v>38801</v>
      </c>
      <c r="K206" s="56">
        <v>44531.0</v>
      </c>
      <c r="M206" s="9" t="s">
        <v>3158</v>
      </c>
    </row>
    <row r="207" ht="15.75" hidden="1" customHeight="1">
      <c r="A207" s="9" t="s">
        <v>39143</v>
      </c>
      <c r="B207" s="9" t="s">
        <v>18262</v>
      </c>
      <c r="D207" s="9" t="s">
        <v>12236</v>
      </c>
      <c r="F207" s="9" t="s">
        <v>39144</v>
      </c>
      <c r="G207" s="9" t="s">
        <v>38946</v>
      </c>
      <c r="H207" s="127">
        <v>44509.0</v>
      </c>
      <c r="I207" s="9" t="s">
        <v>52</v>
      </c>
      <c r="J207" s="9" t="s">
        <v>38801</v>
      </c>
      <c r="K207" s="55">
        <v>45131.0</v>
      </c>
      <c r="M207" s="9" t="s">
        <v>3793</v>
      </c>
    </row>
    <row r="208" ht="15.75" hidden="1" customHeight="1">
      <c r="A208" s="9" t="s">
        <v>39145</v>
      </c>
      <c r="B208" s="9" t="s">
        <v>12379</v>
      </c>
      <c r="D208" s="9" t="s">
        <v>12236</v>
      </c>
      <c r="F208" s="9" t="s">
        <v>39146</v>
      </c>
      <c r="G208" s="9" t="s">
        <v>38946</v>
      </c>
      <c r="H208" s="127">
        <v>44509.0</v>
      </c>
      <c r="I208" s="9" t="s">
        <v>52</v>
      </c>
      <c r="J208" s="9" t="s">
        <v>38801</v>
      </c>
      <c r="K208" s="60">
        <v>44883.0</v>
      </c>
      <c r="M208" s="9" t="s">
        <v>9048</v>
      </c>
    </row>
    <row r="209" ht="15.75" hidden="1" customHeight="1">
      <c r="A209" s="9" t="s">
        <v>39147</v>
      </c>
      <c r="B209" s="9" t="s">
        <v>18241</v>
      </c>
      <c r="D209" s="9" t="s">
        <v>12250</v>
      </c>
      <c r="F209" s="9" t="s">
        <v>39148</v>
      </c>
      <c r="G209" s="9" t="s">
        <v>38808</v>
      </c>
      <c r="H209" s="127">
        <v>44509.0</v>
      </c>
      <c r="I209" s="9" t="s">
        <v>47</v>
      </c>
      <c r="J209" s="9" t="s">
        <v>38801</v>
      </c>
      <c r="K209" s="61">
        <v>44510.0</v>
      </c>
      <c r="M209" s="9" t="s">
        <v>741</v>
      </c>
    </row>
    <row r="210" ht="15.75" hidden="1" customHeight="1">
      <c r="A210" s="9" t="s">
        <v>39149</v>
      </c>
      <c r="B210" s="9" t="s">
        <v>20339</v>
      </c>
      <c r="D210" s="9" t="s">
        <v>12258</v>
      </c>
      <c r="F210" s="9" t="s">
        <v>39150</v>
      </c>
      <c r="G210" s="9" t="s">
        <v>38808</v>
      </c>
      <c r="H210" s="127">
        <v>44510.0</v>
      </c>
      <c r="I210" s="9" t="s">
        <v>47</v>
      </c>
      <c r="J210" s="9" t="s">
        <v>38801</v>
      </c>
      <c r="K210" s="60">
        <v>45411.0</v>
      </c>
      <c r="M210" s="9" t="s">
        <v>6269</v>
      </c>
    </row>
    <row r="211" ht="15.75" hidden="1" customHeight="1">
      <c r="A211" s="9" t="s">
        <v>39151</v>
      </c>
      <c r="B211" s="9" t="s">
        <v>20473</v>
      </c>
      <c r="D211" s="9" t="s">
        <v>12236</v>
      </c>
      <c r="F211" s="9" t="s">
        <v>39152</v>
      </c>
      <c r="G211" s="9" t="s">
        <v>38946</v>
      </c>
      <c r="H211" s="127">
        <v>44510.0</v>
      </c>
      <c r="I211" s="9" t="s">
        <v>52</v>
      </c>
      <c r="J211" s="9" t="s">
        <v>38801</v>
      </c>
      <c r="K211" s="55">
        <v>45001.0</v>
      </c>
      <c r="M211" s="9" t="s">
        <v>1188</v>
      </c>
    </row>
    <row r="212" ht="15.75" hidden="1" customHeight="1">
      <c r="A212" s="9" t="s">
        <v>39153</v>
      </c>
      <c r="B212" s="9" t="s">
        <v>20886</v>
      </c>
      <c r="D212" s="9" t="s">
        <v>12236</v>
      </c>
      <c r="F212" s="9" t="s">
        <v>39154</v>
      </c>
      <c r="G212" s="9" t="s">
        <v>38946</v>
      </c>
      <c r="H212" s="127">
        <v>44510.0</v>
      </c>
      <c r="I212" s="9" t="s">
        <v>52</v>
      </c>
      <c r="J212" s="9" t="s">
        <v>38801</v>
      </c>
      <c r="K212" s="60">
        <v>44882.0</v>
      </c>
      <c r="M212" s="9" t="s">
        <v>9339</v>
      </c>
    </row>
    <row r="213" ht="15.75" hidden="1" customHeight="1">
      <c r="A213" s="9" t="s">
        <v>39155</v>
      </c>
      <c r="B213" s="9" t="s">
        <v>16293</v>
      </c>
      <c r="D213" s="9" t="s">
        <v>12242</v>
      </c>
      <c r="F213" s="9" t="s">
        <v>39156</v>
      </c>
      <c r="G213" s="9" t="s">
        <v>38808</v>
      </c>
      <c r="H213" s="127">
        <v>44510.0</v>
      </c>
      <c r="I213" s="9" t="s">
        <v>47</v>
      </c>
      <c r="J213" s="9" t="s">
        <v>38801</v>
      </c>
      <c r="K213" s="55">
        <v>44568.0</v>
      </c>
      <c r="M213" s="9" t="s">
        <v>11914</v>
      </c>
    </row>
    <row r="214" ht="15.75" hidden="1" customHeight="1">
      <c r="A214" s="9" t="s">
        <v>39157</v>
      </c>
      <c r="B214" s="9" t="s">
        <v>20886</v>
      </c>
      <c r="D214" s="9" t="s">
        <v>12224</v>
      </c>
      <c r="F214" s="9" t="s">
        <v>39158</v>
      </c>
      <c r="G214" s="9" t="s">
        <v>38946</v>
      </c>
      <c r="H214" s="127">
        <v>44510.0</v>
      </c>
      <c r="I214" s="9" t="s">
        <v>52</v>
      </c>
      <c r="J214" s="9" t="s">
        <v>38801</v>
      </c>
      <c r="K214" s="61">
        <v>44515.0</v>
      </c>
      <c r="M214" s="9" t="s">
        <v>9339</v>
      </c>
    </row>
    <row r="215" ht="15.75" hidden="1" customHeight="1">
      <c r="A215" s="9" t="s">
        <v>39159</v>
      </c>
      <c r="B215" s="9" t="s">
        <v>20473</v>
      </c>
      <c r="D215" s="9" t="s">
        <v>12224</v>
      </c>
      <c r="F215" s="9" t="s">
        <v>39160</v>
      </c>
      <c r="G215" s="9" t="s">
        <v>38946</v>
      </c>
      <c r="H215" s="127">
        <v>44510.0</v>
      </c>
      <c r="I215" s="9" t="s">
        <v>52</v>
      </c>
      <c r="J215" s="9" t="s">
        <v>38801</v>
      </c>
      <c r="K215" s="61">
        <v>44515.0</v>
      </c>
      <c r="M215" s="9" t="s">
        <v>1188</v>
      </c>
    </row>
    <row r="216" ht="15.75" hidden="1" customHeight="1">
      <c r="A216" s="9" t="s">
        <v>39161</v>
      </c>
      <c r="B216" s="9" t="s">
        <v>16293</v>
      </c>
      <c r="D216" s="9" t="s">
        <v>12258</v>
      </c>
      <c r="F216" s="9" t="s">
        <v>39162</v>
      </c>
      <c r="G216" s="9" t="s">
        <v>38808</v>
      </c>
      <c r="H216" s="127">
        <v>44510.0</v>
      </c>
      <c r="I216" s="9" t="s">
        <v>47</v>
      </c>
      <c r="J216" s="9" t="s">
        <v>38801</v>
      </c>
      <c r="K216" s="61">
        <v>44515.0</v>
      </c>
      <c r="M216" s="9" t="s">
        <v>11914</v>
      </c>
    </row>
    <row r="217" ht="15.75" hidden="1" customHeight="1">
      <c r="A217" s="9" t="s">
        <v>39163</v>
      </c>
      <c r="B217" s="9" t="s">
        <v>18689</v>
      </c>
      <c r="D217" s="9" t="s">
        <v>12252</v>
      </c>
      <c r="F217" s="9" t="s">
        <v>39164</v>
      </c>
      <c r="G217" s="9" t="s">
        <v>38808</v>
      </c>
      <c r="H217" s="127">
        <v>44510.0</v>
      </c>
      <c r="I217" s="9" t="s">
        <v>47</v>
      </c>
      <c r="J217" s="9" t="s">
        <v>38801</v>
      </c>
      <c r="K217" s="61">
        <v>44510.0</v>
      </c>
      <c r="M217" s="9" t="s">
        <v>11763</v>
      </c>
    </row>
    <row r="218" ht="15.75" hidden="1" customHeight="1">
      <c r="A218" s="9" t="s">
        <v>39165</v>
      </c>
      <c r="B218" s="9" t="s">
        <v>19363</v>
      </c>
      <c r="D218" s="9" t="s">
        <v>12236</v>
      </c>
      <c r="F218" s="9" t="s">
        <v>39166</v>
      </c>
      <c r="G218" s="9" t="s">
        <v>38946</v>
      </c>
      <c r="H218" s="127">
        <v>44512.0</v>
      </c>
      <c r="I218" s="9" t="s">
        <v>52</v>
      </c>
      <c r="J218" s="9" t="s">
        <v>38801</v>
      </c>
      <c r="K218" s="55">
        <v>45411.0</v>
      </c>
      <c r="M218" s="9" t="s">
        <v>8668</v>
      </c>
    </row>
    <row r="219" ht="15.75" hidden="1" customHeight="1">
      <c r="A219" s="9" t="s">
        <v>39167</v>
      </c>
      <c r="B219" s="9" t="s">
        <v>19626</v>
      </c>
      <c r="D219" s="9" t="s">
        <v>12236</v>
      </c>
      <c r="F219" s="9" t="s">
        <v>39168</v>
      </c>
      <c r="G219" s="9" t="s">
        <v>38946</v>
      </c>
      <c r="H219" s="127">
        <v>44512.0</v>
      </c>
      <c r="I219" s="9" t="s">
        <v>52</v>
      </c>
      <c r="J219" s="9" t="s">
        <v>38801</v>
      </c>
      <c r="K219" s="55">
        <v>45154.0</v>
      </c>
      <c r="M219" s="9" t="s">
        <v>262</v>
      </c>
    </row>
    <row r="220" ht="15.75" hidden="1" customHeight="1">
      <c r="A220" s="9" t="s">
        <v>39169</v>
      </c>
      <c r="B220" s="9" t="s">
        <v>21018</v>
      </c>
      <c r="D220" s="9" t="s">
        <v>12236</v>
      </c>
      <c r="F220" s="9" t="s">
        <v>39170</v>
      </c>
      <c r="G220" s="9" t="s">
        <v>38946</v>
      </c>
      <c r="H220" s="127">
        <v>44512.0</v>
      </c>
      <c r="I220" s="9" t="s">
        <v>52</v>
      </c>
      <c r="J220" s="9" t="s">
        <v>38801</v>
      </c>
      <c r="K220" s="60">
        <v>44882.0</v>
      </c>
      <c r="M220" s="9" t="s">
        <v>10044</v>
      </c>
    </row>
    <row r="221" ht="15.75" hidden="1" customHeight="1">
      <c r="A221" s="9" t="s">
        <v>39171</v>
      </c>
      <c r="B221" s="9" t="s">
        <v>16264</v>
      </c>
      <c r="D221" s="9" t="s">
        <v>12230</v>
      </c>
      <c r="F221" s="9" t="s">
        <v>39172</v>
      </c>
      <c r="G221" s="9" t="s">
        <v>38993</v>
      </c>
      <c r="H221" s="127">
        <v>44515.0</v>
      </c>
      <c r="I221" s="9" t="s">
        <v>26</v>
      </c>
      <c r="J221" s="9" t="s">
        <v>38801</v>
      </c>
      <c r="K221" s="60">
        <v>45411.0</v>
      </c>
      <c r="M221" s="9" t="s">
        <v>10711</v>
      </c>
    </row>
    <row r="222" ht="15.75" hidden="1" customHeight="1">
      <c r="A222" s="9" t="s">
        <v>39173</v>
      </c>
      <c r="B222" s="9" t="s">
        <v>20273</v>
      </c>
      <c r="D222" s="9" t="s">
        <v>12230</v>
      </c>
      <c r="F222" s="9" t="s">
        <v>39174</v>
      </c>
      <c r="G222" s="9" t="s">
        <v>38946</v>
      </c>
      <c r="H222" s="127">
        <v>44516.0</v>
      </c>
      <c r="I222" s="9" t="s">
        <v>52</v>
      </c>
      <c r="J222" s="9" t="s">
        <v>38801</v>
      </c>
      <c r="K222" s="60">
        <v>45411.0</v>
      </c>
      <c r="M222" s="9" t="s">
        <v>1062</v>
      </c>
    </row>
    <row r="223" ht="15.75" hidden="1" customHeight="1">
      <c r="A223" s="9" t="s">
        <v>39175</v>
      </c>
      <c r="B223" s="9" t="s">
        <v>24735</v>
      </c>
      <c r="D223" s="9" t="s">
        <v>12236</v>
      </c>
      <c r="F223" s="9" t="s">
        <v>39176</v>
      </c>
      <c r="G223" s="9" t="s">
        <v>38946</v>
      </c>
      <c r="H223" s="127">
        <v>44516.0</v>
      </c>
      <c r="I223" s="9" t="s">
        <v>52</v>
      </c>
      <c r="J223" s="9" t="s">
        <v>38801</v>
      </c>
      <c r="K223" s="60">
        <v>45250.0</v>
      </c>
      <c r="M223" s="9" t="s">
        <v>1247</v>
      </c>
    </row>
    <row r="224" ht="15.75" hidden="1" customHeight="1">
      <c r="A224" s="9" t="s">
        <v>39177</v>
      </c>
      <c r="B224" s="9" t="s">
        <v>19252</v>
      </c>
      <c r="D224" s="9" t="s">
        <v>12236</v>
      </c>
      <c r="F224" s="9" t="s">
        <v>39178</v>
      </c>
      <c r="G224" s="9" t="s">
        <v>38946</v>
      </c>
      <c r="H224" s="127">
        <v>44516.0</v>
      </c>
      <c r="I224" s="9" t="s">
        <v>52</v>
      </c>
      <c r="J224" s="9" t="s">
        <v>38801</v>
      </c>
      <c r="K224" s="60">
        <v>44882.0</v>
      </c>
      <c r="M224" s="9" t="s">
        <v>2242</v>
      </c>
    </row>
    <row r="225" ht="15.75" hidden="1" customHeight="1">
      <c r="A225" s="9" t="s">
        <v>39179</v>
      </c>
      <c r="B225" s="9" t="s">
        <v>17252</v>
      </c>
      <c r="D225" s="9" t="s">
        <v>12236</v>
      </c>
      <c r="F225" s="9" t="s">
        <v>39180</v>
      </c>
      <c r="G225" s="9" t="s">
        <v>38946</v>
      </c>
      <c r="H225" s="127">
        <v>44516.0</v>
      </c>
      <c r="I225" s="9" t="s">
        <v>52</v>
      </c>
      <c r="J225" s="9" t="s">
        <v>38801</v>
      </c>
      <c r="K225" s="60">
        <v>44875.0</v>
      </c>
      <c r="M225" s="9" t="s">
        <v>9039</v>
      </c>
    </row>
    <row r="226" ht="15.75" hidden="1" customHeight="1">
      <c r="A226" s="9" t="s">
        <v>39181</v>
      </c>
      <c r="B226" s="9" t="s">
        <v>15576</v>
      </c>
      <c r="D226" s="9" t="s">
        <v>12250</v>
      </c>
      <c r="F226" s="9" t="s">
        <v>39182</v>
      </c>
      <c r="G226" s="9" t="s">
        <v>38946</v>
      </c>
      <c r="H226" s="127">
        <v>44516.0</v>
      </c>
      <c r="I226" s="9" t="s">
        <v>26</v>
      </c>
      <c r="J226" s="9" t="s">
        <v>38801</v>
      </c>
      <c r="K226" s="61">
        <v>44546.0</v>
      </c>
      <c r="M226" s="9" t="s">
        <v>8608</v>
      </c>
    </row>
    <row r="227" ht="15.75" hidden="1" customHeight="1">
      <c r="A227" s="9" t="s">
        <v>39183</v>
      </c>
      <c r="B227" s="9" t="s">
        <v>15576</v>
      </c>
      <c r="D227" s="9" t="s">
        <v>12239</v>
      </c>
      <c r="F227" s="9" t="s">
        <v>39184</v>
      </c>
      <c r="G227" s="9" t="s">
        <v>38946</v>
      </c>
      <c r="H227" s="127">
        <v>44516.0</v>
      </c>
      <c r="I227" s="9" t="s">
        <v>26</v>
      </c>
      <c r="J227" s="9" t="s">
        <v>38801</v>
      </c>
      <c r="K227" s="56">
        <v>44531.0</v>
      </c>
      <c r="M227" s="9" t="s">
        <v>8608</v>
      </c>
    </row>
    <row r="228" ht="15.75" hidden="1" customHeight="1">
      <c r="A228" s="9" t="s">
        <v>39185</v>
      </c>
      <c r="B228" s="9" t="s">
        <v>15576</v>
      </c>
      <c r="D228" s="9" t="s">
        <v>12236</v>
      </c>
      <c r="F228" s="9" t="s">
        <v>39186</v>
      </c>
      <c r="G228" s="9" t="s">
        <v>38946</v>
      </c>
      <c r="H228" s="127">
        <v>44516.0</v>
      </c>
      <c r="I228" s="9" t="s">
        <v>26</v>
      </c>
      <c r="J228" s="9" t="s">
        <v>38801</v>
      </c>
      <c r="K228" s="61">
        <v>44518.0</v>
      </c>
      <c r="M228" s="9" t="s">
        <v>8608</v>
      </c>
    </row>
    <row r="229" ht="15.75" hidden="1" customHeight="1">
      <c r="A229" s="9" t="s">
        <v>39187</v>
      </c>
      <c r="B229" s="9" t="s">
        <v>19426</v>
      </c>
      <c r="D229" s="9" t="s">
        <v>12230</v>
      </c>
      <c r="F229" s="9" t="s">
        <v>39188</v>
      </c>
      <c r="G229" s="9" t="s">
        <v>38808</v>
      </c>
      <c r="H229" s="127">
        <v>44518.0</v>
      </c>
      <c r="I229" s="9" t="s">
        <v>47</v>
      </c>
      <c r="J229" s="9" t="s">
        <v>38801</v>
      </c>
      <c r="K229" s="60">
        <v>45411.0</v>
      </c>
      <c r="M229" s="9" t="s">
        <v>10667</v>
      </c>
    </row>
    <row r="230" ht="15.75" hidden="1" customHeight="1">
      <c r="A230" s="9" t="s">
        <v>39189</v>
      </c>
      <c r="B230" s="9" t="s">
        <v>19426</v>
      </c>
      <c r="D230" s="9" t="s">
        <v>12258</v>
      </c>
      <c r="F230" s="9" t="s">
        <v>39190</v>
      </c>
      <c r="G230" s="9" t="s">
        <v>38808</v>
      </c>
      <c r="H230" s="127">
        <v>44518.0</v>
      </c>
      <c r="I230" s="9" t="s">
        <v>47</v>
      </c>
      <c r="J230" s="9" t="s">
        <v>38801</v>
      </c>
      <c r="K230" s="55">
        <v>45411.0</v>
      </c>
      <c r="M230" s="9" t="s">
        <v>10667</v>
      </c>
    </row>
    <row r="231" ht="15.75" hidden="1" customHeight="1">
      <c r="A231" s="9" t="s">
        <v>39191</v>
      </c>
      <c r="B231" s="9" t="s">
        <v>19626</v>
      </c>
      <c r="D231" s="9" t="s">
        <v>12236</v>
      </c>
      <c r="F231" s="9" t="s">
        <v>39192</v>
      </c>
      <c r="G231" s="9" t="s">
        <v>38946</v>
      </c>
      <c r="H231" s="127">
        <v>44518.0</v>
      </c>
      <c r="I231" s="9" t="s">
        <v>52</v>
      </c>
      <c r="J231" s="9" t="s">
        <v>38801</v>
      </c>
      <c r="K231" s="55">
        <v>45411.0</v>
      </c>
      <c r="M231" s="9" t="s">
        <v>1124</v>
      </c>
    </row>
    <row r="232" ht="15.75" hidden="1" customHeight="1">
      <c r="A232" s="9" t="s">
        <v>39193</v>
      </c>
      <c r="B232" s="9" t="s">
        <v>20987</v>
      </c>
      <c r="D232" s="9" t="s">
        <v>12258</v>
      </c>
      <c r="F232" s="9" t="s">
        <v>39194</v>
      </c>
      <c r="G232" s="9" t="s">
        <v>38946</v>
      </c>
      <c r="H232" s="127">
        <v>44518.0</v>
      </c>
      <c r="I232" s="9" t="s">
        <v>39</v>
      </c>
      <c r="J232" s="9" t="s">
        <v>38801</v>
      </c>
      <c r="K232" s="61">
        <v>44529.0</v>
      </c>
      <c r="M232" s="9" t="s">
        <v>9949</v>
      </c>
    </row>
    <row r="233" ht="15.75" hidden="1" customHeight="1">
      <c r="A233" s="9" t="s">
        <v>39195</v>
      </c>
      <c r="B233" s="9" t="s">
        <v>15135</v>
      </c>
      <c r="D233" s="9" t="s">
        <v>12230</v>
      </c>
      <c r="F233" s="9" t="s">
        <v>39196</v>
      </c>
      <c r="G233" s="9" t="s">
        <v>38946</v>
      </c>
      <c r="H233" s="127">
        <v>44519.0</v>
      </c>
      <c r="I233" s="9" t="s">
        <v>52</v>
      </c>
      <c r="J233" s="9" t="s">
        <v>38801</v>
      </c>
      <c r="K233" s="55">
        <v>45433.0</v>
      </c>
      <c r="M233" s="9" t="s">
        <v>10701</v>
      </c>
    </row>
    <row r="234" ht="15.75" hidden="1" customHeight="1">
      <c r="A234" s="9" t="s">
        <v>39197</v>
      </c>
      <c r="B234" s="9" t="s">
        <v>21645</v>
      </c>
      <c r="D234" s="9" t="s">
        <v>12248</v>
      </c>
      <c r="F234" s="9" t="s">
        <v>39198</v>
      </c>
      <c r="G234" s="9" t="s">
        <v>38808</v>
      </c>
      <c r="H234" s="127">
        <v>44519.0</v>
      </c>
      <c r="I234" s="9" t="s">
        <v>47</v>
      </c>
      <c r="J234" s="9" t="s">
        <v>38801</v>
      </c>
      <c r="K234" s="60">
        <v>45411.0</v>
      </c>
      <c r="M234" s="9" t="s">
        <v>10151</v>
      </c>
    </row>
    <row r="235" ht="15.75" hidden="1" customHeight="1">
      <c r="A235" s="9" t="s">
        <v>39199</v>
      </c>
      <c r="B235" s="9" t="s">
        <v>13795</v>
      </c>
      <c r="D235" s="9" t="s">
        <v>12236</v>
      </c>
      <c r="F235" s="9" t="s">
        <v>39200</v>
      </c>
      <c r="G235" s="9" t="s">
        <v>38946</v>
      </c>
      <c r="H235" s="127">
        <v>44519.0</v>
      </c>
      <c r="I235" s="9" t="s">
        <v>52</v>
      </c>
      <c r="J235" s="9" t="s">
        <v>38801</v>
      </c>
      <c r="K235" s="60">
        <v>44882.0</v>
      </c>
      <c r="M235" s="9" t="s">
        <v>9122</v>
      </c>
    </row>
    <row r="236" ht="15.75" hidden="1" customHeight="1">
      <c r="A236" s="9" t="s">
        <v>39201</v>
      </c>
      <c r="B236" s="9" t="s">
        <v>16463</v>
      </c>
      <c r="D236" s="9" t="s">
        <v>12239</v>
      </c>
      <c r="F236" s="9" t="s">
        <v>39202</v>
      </c>
      <c r="G236" s="9" t="s">
        <v>38808</v>
      </c>
      <c r="H236" s="127">
        <v>44519.0</v>
      </c>
      <c r="I236" s="9" t="s">
        <v>47</v>
      </c>
      <c r="J236" s="9" t="s">
        <v>38801</v>
      </c>
      <c r="K236" s="61">
        <v>44540.0</v>
      </c>
      <c r="M236" s="9" t="s">
        <v>9429</v>
      </c>
    </row>
    <row r="237" ht="15.75" hidden="1" customHeight="1">
      <c r="A237" s="9" t="s">
        <v>39203</v>
      </c>
      <c r="B237" s="9" t="s">
        <v>13606</v>
      </c>
      <c r="D237" s="9" t="s">
        <v>12252</v>
      </c>
      <c r="F237" s="9" t="s">
        <v>39204</v>
      </c>
      <c r="G237" s="9" t="s">
        <v>38808</v>
      </c>
      <c r="H237" s="127">
        <v>44519.0</v>
      </c>
      <c r="I237" s="9" t="s">
        <v>47</v>
      </c>
      <c r="J237" s="9" t="s">
        <v>38801</v>
      </c>
      <c r="K237" s="61">
        <v>44524.0</v>
      </c>
      <c r="M237" s="9" t="s">
        <v>10344</v>
      </c>
    </row>
    <row r="238" ht="15.75" hidden="1" customHeight="1">
      <c r="A238" s="9" t="s">
        <v>39205</v>
      </c>
      <c r="B238" s="9" t="s">
        <v>16463</v>
      </c>
      <c r="D238" s="9" t="s">
        <v>12230</v>
      </c>
      <c r="F238" s="9" t="s">
        <v>39206</v>
      </c>
      <c r="G238" s="9" t="s">
        <v>38946</v>
      </c>
      <c r="H238" s="127">
        <v>44519.0</v>
      </c>
      <c r="I238" s="9" t="s">
        <v>47</v>
      </c>
      <c r="J238" s="9" t="s">
        <v>38801</v>
      </c>
      <c r="K238" s="61">
        <v>44519.0</v>
      </c>
      <c r="M238" s="9" t="s">
        <v>9429</v>
      </c>
    </row>
    <row r="239" ht="15.75" hidden="1" customHeight="1">
      <c r="A239" s="9" t="s">
        <v>39207</v>
      </c>
      <c r="B239" s="9" t="s">
        <v>16264</v>
      </c>
      <c r="D239" s="9" t="s">
        <v>12236</v>
      </c>
      <c r="F239" s="9" t="s">
        <v>39208</v>
      </c>
      <c r="G239" s="9" t="s">
        <v>38946</v>
      </c>
      <c r="H239" s="127">
        <v>44522.0</v>
      </c>
      <c r="I239" s="9" t="s">
        <v>52</v>
      </c>
      <c r="J239" s="9" t="s">
        <v>38801</v>
      </c>
      <c r="K239" s="55">
        <v>45411.0</v>
      </c>
      <c r="M239" s="9" t="s">
        <v>10711</v>
      </c>
    </row>
    <row r="240" ht="15.75" hidden="1" customHeight="1">
      <c r="A240" s="9" t="s">
        <v>39209</v>
      </c>
      <c r="B240" s="9" t="s">
        <v>15912</v>
      </c>
      <c r="D240" s="9" t="s">
        <v>12236</v>
      </c>
      <c r="F240" s="9" t="s">
        <v>39210</v>
      </c>
      <c r="G240" s="9" t="s">
        <v>38946</v>
      </c>
      <c r="H240" s="127">
        <v>44522.0</v>
      </c>
      <c r="I240" s="9" t="s">
        <v>52</v>
      </c>
      <c r="J240" s="9" t="s">
        <v>38801</v>
      </c>
      <c r="K240" s="55">
        <v>45120.0</v>
      </c>
      <c r="M240" s="9" t="s">
        <v>6239</v>
      </c>
    </row>
    <row r="241" ht="15.75" customHeight="1">
      <c r="A241" s="9" t="s">
        <v>39211</v>
      </c>
      <c r="B241" s="9" t="s">
        <v>14449</v>
      </c>
      <c r="D241" s="9" t="s">
        <v>12227</v>
      </c>
      <c r="E241" s="9" t="s">
        <v>38803</v>
      </c>
      <c r="F241" s="9" t="s">
        <v>39212</v>
      </c>
      <c r="G241" s="9" t="s">
        <v>38946</v>
      </c>
      <c r="H241" s="127">
        <v>44522.0</v>
      </c>
      <c r="I241" s="9" t="s">
        <v>26</v>
      </c>
      <c r="J241" s="9" t="s">
        <v>38805</v>
      </c>
      <c r="M241" s="9" t="s">
        <v>10509</v>
      </c>
      <c r="N241" s="9" t="b">
        <v>1</v>
      </c>
    </row>
    <row r="242" ht="15.75" hidden="1" customHeight="1">
      <c r="A242" s="9" t="s">
        <v>39213</v>
      </c>
      <c r="B242" s="9" t="s">
        <v>12915</v>
      </c>
      <c r="D242" s="9" t="s">
        <v>12236</v>
      </c>
      <c r="F242" s="9" t="s">
        <v>39214</v>
      </c>
      <c r="G242" s="9" t="s">
        <v>38808</v>
      </c>
      <c r="H242" s="127">
        <v>44523.0</v>
      </c>
      <c r="I242" s="9" t="s">
        <v>52</v>
      </c>
      <c r="J242" s="9" t="s">
        <v>38801</v>
      </c>
      <c r="K242" s="55">
        <v>46100.0</v>
      </c>
      <c r="M242" s="9" t="s">
        <v>4176</v>
      </c>
    </row>
    <row r="243" ht="15.75" hidden="1" customHeight="1">
      <c r="A243" s="9" t="s">
        <v>39215</v>
      </c>
      <c r="B243" s="9" t="s">
        <v>14274</v>
      </c>
      <c r="D243" s="9" t="s">
        <v>12236</v>
      </c>
      <c r="F243" s="9" t="s">
        <v>39216</v>
      </c>
      <c r="G243" s="9" t="s">
        <v>38946</v>
      </c>
      <c r="H243" s="127">
        <v>44523.0</v>
      </c>
      <c r="I243" s="9" t="s">
        <v>52</v>
      </c>
      <c r="J243" s="9" t="s">
        <v>38801</v>
      </c>
      <c r="K243" s="60">
        <v>45507.0</v>
      </c>
      <c r="M243" s="9" t="s">
        <v>10691</v>
      </c>
    </row>
    <row r="244" ht="15.75" hidden="1" customHeight="1">
      <c r="A244" s="9" t="s">
        <v>39217</v>
      </c>
      <c r="B244" s="9" t="s">
        <v>13177</v>
      </c>
      <c r="D244" s="9" t="s">
        <v>12236</v>
      </c>
      <c r="F244" s="9" t="s">
        <v>39218</v>
      </c>
      <c r="G244" s="9" t="s">
        <v>38946</v>
      </c>
      <c r="H244" s="127">
        <v>44523.0</v>
      </c>
      <c r="I244" s="9" t="s">
        <v>52</v>
      </c>
      <c r="J244" s="9" t="s">
        <v>38801</v>
      </c>
      <c r="K244" s="60">
        <v>44883.0</v>
      </c>
      <c r="M244" s="9" t="s">
        <v>10318</v>
      </c>
    </row>
    <row r="245" ht="15.75" hidden="1" customHeight="1">
      <c r="A245" s="9" t="s">
        <v>39219</v>
      </c>
      <c r="B245" s="9" t="s">
        <v>19416</v>
      </c>
      <c r="D245" s="9" t="s">
        <v>12230</v>
      </c>
      <c r="F245" s="9" t="s">
        <v>39220</v>
      </c>
      <c r="G245" s="9" t="s">
        <v>38808</v>
      </c>
      <c r="H245" s="127">
        <v>44523.0</v>
      </c>
      <c r="I245" s="9" t="s">
        <v>26</v>
      </c>
      <c r="J245" s="9" t="s">
        <v>38801</v>
      </c>
      <c r="K245" s="61">
        <v>44524.0</v>
      </c>
      <c r="M245" s="9" t="s">
        <v>10130</v>
      </c>
    </row>
    <row r="246" ht="15.75" hidden="1" customHeight="1">
      <c r="A246" s="9" t="s">
        <v>39221</v>
      </c>
      <c r="B246" s="9" t="s">
        <v>19416</v>
      </c>
      <c r="D246" s="9" t="s">
        <v>12236</v>
      </c>
      <c r="F246" s="9" t="s">
        <v>39222</v>
      </c>
      <c r="G246" s="9" t="s">
        <v>38946</v>
      </c>
      <c r="H246" s="127">
        <v>44523.0</v>
      </c>
      <c r="I246" s="9" t="s">
        <v>26</v>
      </c>
      <c r="J246" s="9" t="s">
        <v>38801</v>
      </c>
      <c r="K246" s="61">
        <v>44524.0</v>
      </c>
      <c r="M246" s="9" t="s">
        <v>10130</v>
      </c>
    </row>
    <row r="247" ht="15.75" customHeight="1">
      <c r="A247" s="9" t="s">
        <v>39223</v>
      </c>
      <c r="B247" s="9" t="s">
        <v>17139</v>
      </c>
      <c r="D247" s="9" t="s">
        <v>12227</v>
      </c>
      <c r="E247" s="9" t="s">
        <v>38803</v>
      </c>
      <c r="F247" s="9" t="s">
        <v>39224</v>
      </c>
      <c r="G247" s="9" t="s">
        <v>38946</v>
      </c>
      <c r="H247" s="127">
        <v>44523.0</v>
      </c>
      <c r="I247" s="9" t="s">
        <v>26</v>
      </c>
      <c r="J247" s="9" t="s">
        <v>38805</v>
      </c>
      <c r="M247" s="9" t="s">
        <v>10552</v>
      </c>
    </row>
    <row r="248" ht="15.75" hidden="1" customHeight="1">
      <c r="A248" s="9" t="s">
        <v>39225</v>
      </c>
      <c r="B248" s="9" t="s">
        <v>20512</v>
      </c>
      <c r="D248" s="9" t="s">
        <v>12236</v>
      </c>
      <c r="F248" s="9" t="s">
        <v>39226</v>
      </c>
      <c r="G248" s="9" t="s">
        <v>38946</v>
      </c>
      <c r="H248" s="127">
        <v>44524.0</v>
      </c>
      <c r="I248" s="9" t="s">
        <v>52</v>
      </c>
      <c r="J248" s="9" t="s">
        <v>38801</v>
      </c>
      <c r="K248" s="60">
        <v>45250.0</v>
      </c>
      <c r="M248" s="9" t="s">
        <v>6185</v>
      </c>
    </row>
    <row r="249" ht="15.75" hidden="1" customHeight="1">
      <c r="A249" s="9" t="s">
        <v>39227</v>
      </c>
      <c r="B249" s="9" t="s">
        <v>17179</v>
      </c>
      <c r="D249" s="9" t="s">
        <v>12236</v>
      </c>
      <c r="F249" s="9" t="s">
        <v>39228</v>
      </c>
      <c r="G249" s="9" t="s">
        <v>38946</v>
      </c>
      <c r="H249" s="127">
        <v>44524.0</v>
      </c>
      <c r="I249" s="9" t="s">
        <v>52</v>
      </c>
      <c r="J249" s="9" t="s">
        <v>38801</v>
      </c>
      <c r="K249" s="55">
        <v>44580.0</v>
      </c>
      <c r="M249" s="9" t="s">
        <v>12185</v>
      </c>
    </row>
    <row r="250" ht="15.75" hidden="1" customHeight="1">
      <c r="A250" s="9" t="s">
        <v>39229</v>
      </c>
      <c r="B250" s="9" t="s">
        <v>13606</v>
      </c>
      <c r="D250" s="9" t="s">
        <v>12236</v>
      </c>
      <c r="F250" s="9" t="s">
        <v>39230</v>
      </c>
      <c r="G250" s="9" t="s">
        <v>38808</v>
      </c>
      <c r="H250" s="127">
        <v>44524.0</v>
      </c>
      <c r="I250" s="9" t="s">
        <v>47</v>
      </c>
      <c r="J250" s="9" t="s">
        <v>38801</v>
      </c>
      <c r="K250" s="61">
        <v>44529.0</v>
      </c>
      <c r="M250" s="9" t="s">
        <v>10344</v>
      </c>
    </row>
    <row r="251" ht="15.75" hidden="1" customHeight="1">
      <c r="A251" s="9" t="s">
        <v>39231</v>
      </c>
      <c r="B251" s="9" t="s">
        <v>20376</v>
      </c>
      <c r="D251" s="9" t="s">
        <v>12236</v>
      </c>
      <c r="F251" s="9" t="s">
        <v>39232</v>
      </c>
      <c r="G251" s="9" t="s">
        <v>38946</v>
      </c>
      <c r="H251" s="127">
        <v>44524.0</v>
      </c>
      <c r="I251" s="9" t="s">
        <v>52</v>
      </c>
      <c r="J251" s="9" t="s">
        <v>38801</v>
      </c>
      <c r="K251" s="61">
        <v>44525.0</v>
      </c>
      <c r="M251" s="9" t="s">
        <v>4253</v>
      </c>
    </row>
    <row r="252" ht="15.75" hidden="1" customHeight="1">
      <c r="A252" s="9" t="s">
        <v>39233</v>
      </c>
      <c r="B252" s="9" t="s">
        <v>13606</v>
      </c>
      <c r="D252" s="9" t="s">
        <v>12230</v>
      </c>
      <c r="F252" s="9" t="s">
        <v>39234</v>
      </c>
      <c r="G252" s="9" t="s">
        <v>38946</v>
      </c>
      <c r="H252" s="127">
        <v>44524.0</v>
      </c>
      <c r="I252" s="9" t="s">
        <v>47</v>
      </c>
      <c r="J252" s="9" t="s">
        <v>38801</v>
      </c>
      <c r="K252" s="61">
        <v>44524.0</v>
      </c>
      <c r="M252" s="9" t="s">
        <v>10344</v>
      </c>
    </row>
    <row r="253" ht="15.75" customHeight="1">
      <c r="A253" s="9" t="s">
        <v>39235</v>
      </c>
      <c r="B253" s="9" t="s">
        <v>26150</v>
      </c>
      <c r="D253" s="9" t="s">
        <v>12227</v>
      </c>
      <c r="E253" s="9" t="s">
        <v>38803</v>
      </c>
      <c r="F253" s="9" t="s">
        <v>39236</v>
      </c>
      <c r="G253" s="9" t="s">
        <v>38946</v>
      </c>
      <c r="H253" s="127">
        <v>44524.0</v>
      </c>
      <c r="I253" s="9" t="s">
        <v>52</v>
      </c>
      <c r="J253" s="9" t="s">
        <v>38805</v>
      </c>
      <c r="M253" s="9" t="s">
        <v>11864</v>
      </c>
    </row>
    <row r="254" ht="15.75" customHeight="1">
      <c r="A254" s="9" t="s">
        <v>39237</v>
      </c>
      <c r="B254" s="9" t="s">
        <v>13606</v>
      </c>
      <c r="D254" s="9" t="s">
        <v>12227</v>
      </c>
      <c r="E254" s="9" t="s">
        <v>38803</v>
      </c>
      <c r="F254" s="9" t="s">
        <v>39238</v>
      </c>
      <c r="G254" s="9" t="s">
        <v>38946</v>
      </c>
      <c r="H254" s="127">
        <v>44524.0</v>
      </c>
      <c r="I254" s="9" t="s">
        <v>47</v>
      </c>
      <c r="J254" s="9" t="s">
        <v>38805</v>
      </c>
      <c r="M254" s="9" t="s">
        <v>10344</v>
      </c>
    </row>
    <row r="255" ht="15.75" hidden="1" customHeight="1">
      <c r="A255" s="9" t="s">
        <v>39239</v>
      </c>
      <c r="B255" s="9" t="s">
        <v>20723</v>
      </c>
      <c r="D255" s="9" t="s">
        <v>12248</v>
      </c>
      <c r="F255" s="9" t="s">
        <v>39240</v>
      </c>
      <c r="G255" s="9" t="s">
        <v>38808</v>
      </c>
      <c r="H255" s="127">
        <v>44525.0</v>
      </c>
      <c r="I255" s="9" t="s">
        <v>89</v>
      </c>
      <c r="J255" s="9" t="s">
        <v>38801</v>
      </c>
      <c r="K255" s="60">
        <v>45411.0</v>
      </c>
      <c r="M255" s="9" t="s">
        <v>8256</v>
      </c>
    </row>
    <row r="256" ht="15.75" hidden="1" customHeight="1">
      <c r="A256" s="9" t="s">
        <v>39241</v>
      </c>
      <c r="B256" s="9" t="s">
        <v>20987</v>
      </c>
      <c r="D256" s="9" t="s">
        <v>12236</v>
      </c>
      <c r="F256" s="9" t="s">
        <v>39242</v>
      </c>
      <c r="G256" s="9" t="s">
        <v>38946</v>
      </c>
      <c r="H256" s="127">
        <v>44525.0</v>
      </c>
      <c r="I256" s="9" t="s">
        <v>52</v>
      </c>
      <c r="J256" s="9" t="s">
        <v>38801</v>
      </c>
      <c r="K256" s="60">
        <v>44875.0</v>
      </c>
      <c r="M256" s="9" t="s">
        <v>9949</v>
      </c>
    </row>
    <row r="257" ht="15.75" hidden="1" customHeight="1">
      <c r="A257" s="9" t="s">
        <v>39243</v>
      </c>
      <c r="B257" s="9" t="s">
        <v>20376</v>
      </c>
      <c r="D257" s="9" t="s">
        <v>12258</v>
      </c>
      <c r="F257" s="9" t="s">
        <v>39244</v>
      </c>
      <c r="G257" s="9" t="s">
        <v>38946</v>
      </c>
      <c r="H257" s="127">
        <v>44525.0</v>
      </c>
      <c r="I257" s="9" t="s">
        <v>26</v>
      </c>
      <c r="J257" s="9" t="s">
        <v>38801</v>
      </c>
      <c r="K257" s="55">
        <v>44579.0</v>
      </c>
      <c r="M257" s="9" t="s">
        <v>4253</v>
      </c>
    </row>
    <row r="258" ht="15.75" hidden="1" customHeight="1">
      <c r="A258" s="9" t="s">
        <v>39245</v>
      </c>
      <c r="B258" s="9" t="s">
        <v>18661</v>
      </c>
      <c r="D258" s="9" t="s">
        <v>12236</v>
      </c>
      <c r="F258" s="9" t="s">
        <v>39246</v>
      </c>
      <c r="G258" s="9" t="s">
        <v>38946</v>
      </c>
      <c r="H258" s="127">
        <v>44525.0</v>
      </c>
      <c r="I258" s="9" t="s">
        <v>52</v>
      </c>
      <c r="J258" s="9" t="s">
        <v>38801</v>
      </c>
      <c r="K258" s="61">
        <v>44525.0</v>
      </c>
      <c r="M258" s="9" t="s">
        <v>11887</v>
      </c>
    </row>
    <row r="259" ht="15.75" hidden="1" customHeight="1">
      <c r="A259" s="9" t="s">
        <v>39247</v>
      </c>
      <c r="B259" s="9" t="s">
        <v>19990</v>
      </c>
      <c r="D259" s="9" t="s">
        <v>12258</v>
      </c>
      <c r="F259" s="9" t="s">
        <v>39248</v>
      </c>
      <c r="G259" s="9" t="s">
        <v>38808</v>
      </c>
      <c r="H259" s="127">
        <v>44526.0</v>
      </c>
      <c r="I259" s="9" t="s">
        <v>47</v>
      </c>
      <c r="J259" s="9" t="s">
        <v>38801</v>
      </c>
      <c r="K259" s="55">
        <v>44579.0</v>
      </c>
      <c r="M259" s="9" t="s">
        <v>10240</v>
      </c>
    </row>
    <row r="260" ht="15.75" hidden="1" customHeight="1">
      <c r="A260" s="9" t="s">
        <v>39249</v>
      </c>
      <c r="B260" s="9" t="s">
        <v>26150</v>
      </c>
      <c r="D260" s="9" t="s">
        <v>12236</v>
      </c>
      <c r="F260" s="9" t="s">
        <v>39250</v>
      </c>
      <c r="G260" s="9" t="s">
        <v>38946</v>
      </c>
      <c r="H260" s="127">
        <v>44526.0</v>
      </c>
      <c r="I260" s="9" t="s">
        <v>52</v>
      </c>
      <c r="J260" s="9" t="s">
        <v>38801</v>
      </c>
      <c r="K260" s="61">
        <v>44529.0</v>
      </c>
      <c r="M260" s="9" t="s">
        <v>11864</v>
      </c>
    </row>
    <row r="261" ht="15.75" hidden="1" customHeight="1">
      <c r="A261" s="9" t="s">
        <v>39251</v>
      </c>
      <c r="B261" s="9" t="s">
        <v>19164</v>
      </c>
      <c r="D261" s="9" t="s">
        <v>12236</v>
      </c>
      <c r="F261" s="9" t="s">
        <v>39252</v>
      </c>
      <c r="G261" s="9" t="s">
        <v>38946</v>
      </c>
      <c r="H261" s="127">
        <v>44529.0</v>
      </c>
      <c r="I261" s="9" t="s">
        <v>52</v>
      </c>
      <c r="J261" s="9" t="s">
        <v>38801</v>
      </c>
      <c r="K261" s="55">
        <v>45117.0</v>
      </c>
      <c r="M261" s="9" t="s">
        <v>722</v>
      </c>
    </row>
    <row r="262" ht="15.75" hidden="1" customHeight="1">
      <c r="A262" s="9" t="s">
        <v>39253</v>
      </c>
      <c r="B262" s="9" t="s">
        <v>17139</v>
      </c>
      <c r="D262" s="9" t="s">
        <v>12236</v>
      </c>
      <c r="F262" s="9" t="s">
        <v>39254</v>
      </c>
      <c r="G262" s="9" t="s">
        <v>38946</v>
      </c>
      <c r="H262" s="127">
        <v>44529.0</v>
      </c>
      <c r="I262" s="9" t="s">
        <v>19</v>
      </c>
      <c r="J262" s="9" t="s">
        <v>38801</v>
      </c>
      <c r="K262" s="60">
        <v>44882.0</v>
      </c>
      <c r="M262" s="9" t="s">
        <v>12118</v>
      </c>
    </row>
    <row r="263" ht="15.75" hidden="1" customHeight="1">
      <c r="A263" s="9" t="s">
        <v>39255</v>
      </c>
      <c r="B263" s="9" t="s">
        <v>14662</v>
      </c>
      <c r="D263" s="9" t="s">
        <v>12236</v>
      </c>
      <c r="F263" s="9" t="s">
        <v>39256</v>
      </c>
      <c r="G263" s="9" t="s">
        <v>38946</v>
      </c>
      <c r="H263" s="127">
        <v>44529.0</v>
      </c>
      <c r="I263" s="9" t="s">
        <v>52</v>
      </c>
      <c r="J263" s="9" t="s">
        <v>38801</v>
      </c>
      <c r="K263" s="60">
        <v>44882.0</v>
      </c>
      <c r="M263" s="9" t="s">
        <v>8408</v>
      </c>
    </row>
    <row r="264" ht="15.75" hidden="1" customHeight="1">
      <c r="A264" s="9" t="s">
        <v>39257</v>
      </c>
      <c r="B264" s="9" t="s">
        <v>16315</v>
      </c>
      <c r="D264" s="9" t="s">
        <v>12236</v>
      </c>
      <c r="F264" s="9" t="s">
        <v>39256</v>
      </c>
      <c r="G264" s="9" t="s">
        <v>38946</v>
      </c>
      <c r="H264" s="127">
        <v>44529.0</v>
      </c>
      <c r="I264" s="9" t="s">
        <v>52</v>
      </c>
      <c r="J264" s="9" t="s">
        <v>38801</v>
      </c>
      <c r="K264" s="60">
        <v>44882.0</v>
      </c>
      <c r="M264" s="9" t="s">
        <v>8341</v>
      </c>
    </row>
    <row r="265" ht="15.75" hidden="1" customHeight="1">
      <c r="A265" s="9" t="s">
        <v>39258</v>
      </c>
      <c r="B265" s="9" t="s">
        <v>20033</v>
      </c>
      <c r="D265" s="9" t="s">
        <v>12230</v>
      </c>
      <c r="F265" s="9" t="s">
        <v>39259</v>
      </c>
      <c r="G265" s="9" t="s">
        <v>38946</v>
      </c>
      <c r="H265" s="127">
        <v>44529.0</v>
      </c>
      <c r="I265" s="9" t="s">
        <v>47</v>
      </c>
      <c r="J265" s="9" t="s">
        <v>38801</v>
      </c>
      <c r="K265" s="61">
        <v>44529.0</v>
      </c>
      <c r="M265" s="9" t="s">
        <v>11919</v>
      </c>
    </row>
    <row r="266" ht="15.75" hidden="1" customHeight="1">
      <c r="A266" s="9" t="s">
        <v>39260</v>
      </c>
      <c r="B266" s="9" t="s">
        <v>20237</v>
      </c>
      <c r="D266" s="9" t="s">
        <v>12236</v>
      </c>
      <c r="F266" s="9" t="s">
        <v>39261</v>
      </c>
      <c r="G266" s="9" t="s">
        <v>38946</v>
      </c>
      <c r="H266" s="127">
        <v>44529.0</v>
      </c>
      <c r="I266" s="9" t="s">
        <v>52</v>
      </c>
      <c r="J266" s="9" t="s">
        <v>38801</v>
      </c>
      <c r="K266" s="61">
        <v>44529.0</v>
      </c>
      <c r="M266" s="9" t="s">
        <v>2122</v>
      </c>
    </row>
    <row r="267" ht="15.75" hidden="1" customHeight="1">
      <c r="A267" s="9" t="s">
        <v>39262</v>
      </c>
      <c r="B267" s="9" t="s">
        <v>14521</v>
      </c>
      <c r="D267" s="9" t="s">
        <v>12230</v>
      </c>
      <c r="F267" s="9" t="s">
        <v>39263</v>
      </c>
      <c r="G267" s="9" t="s">
        <v>38808</v>
      </c>
      <c r="H267" s="127">
        <v>44529.0</v>
      </c>
      <c r="I267" s="9" t="s">
        <v>47</v>
      </c>
      <c r="J267" s="9" t="s">
        <v>38801</v>
      </c>
      <c r="K267" s="61">
        <v>44529.0</v>
      </c>
      <c r="M267" s="9" t="s">
        <v>6764</v>
      </c>
    </row>
    <row r="268" ht="15.75" customHeight="1">
      <c r="A268" s="9" t="s">
        <v>39264</v>
      </c>
      <c r="B268" s="9" t="s">
        <v>15912</v>
      </c>
      <c r="D268" s="9" t="s">
        <v>12227</v>
      </c>
      <c r="E268" s="9" t="s">
        <v>39265</v>
      </c>
      <c r="F268" s="9" t="s">
        <v>39266</v>
      </c>
      <c r="G268" s="9" t="s">
        <v>38808</v>
      </c>
      <c r="H268" s="127">
        <v>44529.0</v>
      </c>
      <c r="I268" s="9" t="s">
        <v>52</v>
      </c>
      <c r="J268" s="9" t="s">
        <v>38805</v>
      </c>
      <c r="M268" s="9" t="s">
        <v>6239</v>
      </c>
    </row>
    <row r="269" ht="15.75" hidden="1" customHeight="1">
      <c r="A269" s="9" t="s">
        <v>39267</v>
      </c>
      <c r="B269" s="9" t="s">
        <v>13109</v>
      </c>
      <c r="D269" s="9" t="s">
        <v>12236</v>
      </c>
      <c r="F269" s="9" t="s">
        <v>39268</v>
      </c>
      <c r="G269" s="9" t="s">
        <v>38946</v>
      </c>
      <c r="H269" s="127">
        <v>44530.0</v>
      </c>
      <c r="I269" s="9" t="s">
        <v>52</v>
      </c>
      <c r="J269" s="9" t="s">
        <v>38801</v>
      </c>
      <c r="K269" s="55">
        <v>45117.0</v>
      </c>
      <c r="M269" s="9" t="s">
        <v>6049</v>
      </c>
    </row>
    <row r="270" ht="15.75" hidden="1" customHeight="1">
      <c r="A270" s="9" t="s">
        <v>39269</v>
      </c>
      <c r="B270" s="9" t="s">
        <v>15404</v>
      </c>
      <c r="D270" s="9" t="s">
        <v>12236</v>
      </c>
      <c r="F270" s="9" t="s">
        <v>39270</v>
      </c>
      <c r="G270" s="9" t="s">
        <v>38946</v>
      </c>
      <c r="H270" s="127">
        <v>44530.0</v>
      </c>
      <c r="I270" s="9" t="s">
        <v>52</v>
      </c>
      <c r="J270" s="9" t="s">
        <v>38801</v>
      </c>
      <c r="K270" s="55">
        <v>44995.0</v>
      </c>
      <c r="M270" s="9" t="s">
        <v>3436</v>
      </c>
    </row>
    <row r="271" ht="15.75" hidden="1" customHeight="1">
      <c r="A271" s="9" t="s">
        <v>39271</v>
      </c>
      <c r="B271" s="9" t="s">
        <v>22274</v>
      </c>
      <c r="D271" s="9" t="s">
        <v>12236</v>
      </c>
      <c r="F271" s="9" t="s">
        <v>39272</v>
      </c>
      <c r="G271" s="9" t="s">
        <v>38946</v>
      </c>
      <c r="H271" s="127">
        <v>44530.0</v>
      </c>
      <c r="I271" s="9" t="s">
        <v>52</v>
      </c>
      <c r="J271" s="9" t="s">
        <v>38801</v>
      </c>
      <c r="K271" s="55">
        <v>44978.0</v>
      </c>
      <c r="M271" s="9" t="s">
        <v>3515</v>
      </c>
    </row>
    <row r="272" ht="15.75" hidden="1" customHeight="1">
      <c r="A272" s="9" t="s">
        <v>39273</v>
      </c>
      <c r="B272" s="9" t="s">
        <v>12716</v>
      </c>
      <c r="D272" s="9" t="s">
        <v>12236</v>
      </c>
      <c r="F272" s="9" t="s">
        <v>39274</v>
      </c>
      <c r="G272" s="9" t="s">
        <v>38808</v>
      </c>
      <c r="H272" s="127">
        <v>44530.0</v>
      </c>
      <c r="I272" s="9" t="s">
        <v>47</v>
      </c>
      <c r="J272" s="9" t="s">
        <v>38801</v>
      </c>
      <c r="K272" s="60">
        <v>44882.0</v>
      </c>
      <c r="M272" s="9" t="s">
        <v>11999</v>
      </c>
    </row>
    <row r="273" ht="15.75" hidden="1" customHeight="1">
      <c r="A273" s="9" t="s">
        <v>39275</v>
      </c>
      <c r="B273" s="9" t="s">
        <v>14942</v>
      </c>
      <c r="D273" s="9" t="s">
        <v>12236</v>
      </c>
      <c r="F273" s="9" t="s">
        <v>39276</v>
      </c>
      <c r="G273" s="9" t="s">
        <v>38946</v>
      </c>
      <c r="H273" s="127">
        <v>44530.0</v>
      </c>
      <c r="I273" s="9" t="s">
        <v>52</v>
      </c>
      <c r="J273" s="9" t="s">
        <v>38801</v>
      </c>
      <c r="K273" s="60">
        <v>44875.0</v>
      </c>
      <c r="M273" s="9" t="s">
        <v>3852</v>
      </c>
    </row>
    <row r="274" ht="15.75" hidden="1" customHeight="1">
      <c r="A274" s="9" t="s">
        <v>39277</v>
      </c>
      <c r="B274" s="9" t="s">
        <v>12716</v>
      </c>
      <c r="D274" s="9" t="s">
        <v>12239</v>
      </c>
      <c r="F274" s="9" t="s">
        <v>39278</v>
      </c>
      <c r="G274" s="9" t="s">
        <v>38946</v>
      </c>
      <c r="H274" s="127">
        <v>44530.0</v>
      </c>
      <c r="I274" s="9" t="s">
        <v>47</v>
      </c>
      <c r="J274" s="9" t="s">
        <v>38801</v>
      </c>
      <c r="K274" s="56">
        <v>44539.0</v>
      </c>
      <c r="M274" s="9" t="s">
        <v>11999</v>
      </c>
    </row>
    <row r="275" ht="15.75" hidden="1" customHeight="1">
      <c r="A275" s="9" t="s">
        <v>39279</v>
      </c>
      <c r="B275" s="9" t="s">
        <v>12760</v>
      </c>
      <c r="D275" s="9" t="s">
        <v>12236</v>
      </c>
      <c r="F275" s="9" t="s">
        <v>39280</v>
      </c>
      <c r="G275" s="9" t="s">
        <v>38946</v>
      </c>
      <c r="H275" s="127">
        <v>44531.0</v>
      </c>
      <c r="I275" s="9" t="s">
        <v>52</v>
      </c>
      <c r="J275" s="9" t="s">
        <v>38801</v>
      </c>
      <c r="K275" s="60">
        <v>45250.0</v>
      </c>
      <c r="M275" s="9" t="s">
        <v>6071</v>
      </c>
    </row>
    <row r="276" ht="15.75" hidden="1" customHeight="1">
      <c r="A276" s="9" t="s">
        <v>39281</v>
      </c>
      <c r="B276" s="9" t="s">
        <v>18135</v>
      </c>
      <c r="D276" s="9" t="s">
        <v>12236</v>
      </c>
      <c r="F276" s="9" t="s">
        <v>39282</v>
      </c>
      <c r="G276" s="9" t="s">
        <v>38946</v>
      </c>
      <c r="H276" s="127">
        <v>44531.0</v>
      </c>
      <c r="I276" s="9" t="s">
        <v>52</v>
      </c>
      <c r="J276" s="9" t="s">
        <v>38801</v>
      </c>
      <c r="K276" s="55">
        <v>45154.0</v>
      </c>
      <c r="M276" s="9" t="s">
        <v>265</v>
      </c>
    </row>
    <row r="277" ht="15.75" hidden="1" customHeight="1">
      <c r="A277" s="9" t="s">
        <v>39283</v>
      </c>
      <c r="B277" s="9" t="s">
        <v>16278</v>
      </c>
      <c r="D277" s="9" t="s">
        <v>12236</v>
      </c>
      <c r="F277" s="9" t="s">
        <v>39284</v>
      </c>
      <c r="G277" s="9" t="s">
        <v>38946</v>
      </c>
      <c r="H277" s="127">
        <v>44531.0</v>
      </c>
      <c r="I277" s="9" t="s">
        <v>52</v>
      </c>
      <c r="J277" s="9" t="s">
        <v>38801</v>
      </c>
      <c r="K277" s="56">
        <v>44536.0</v>
      </c>
      <c r="M277" s="9" t="s">
        <v>9639</v>
      </c>
    </row>
    <row r="278" ht="15.75" hidden="1" customHeight="1">
      <c r="A278" s="9" t="s">
        <v>39285</v>
      </c>
      <c r="B278" s="9" t="s">
        <v>13606</v>
      </c>
      <c r="D278" s="9" t="s">
        <v>12230</v>
      </c>
      <c r="F278" s="9" t="s">
        <v>39286</v>
      </c>
      <c r="G278" s="9" t="s">
        <v>38946</v>
      </c>
      <c r="H278" s="127">
        <v>44531.0</v>
      </c>
      <c r="I278" s="9" t="s">
        <v>47</v>
      </c>
      <c r="J278" s="9" t="s">
        <v>38801</v>
      </c>
      <c r="K278" s="56">
        <v>44531.0</v>
      </c>
      <c r="M278" s="9" t="s">
        <v>10344</v>
      </c>
    </row>
    <row r="279" ht="15.75" hidden="1" customHeight="1">
      <c r="A279" s="9" t="s">
        <v>39287</v>
      </c>
      <c r="B279" s="9" t="s">
        <v>12716</v>
      </c>
      <c r="D279" s="9" t="s">
        <v>12230</v>
      </c>
      <c r="F279" s="9" t="s">
        <v>39288</v>
      </c>
      <c r="G279" s="9" t="s">
        <v>38946</v>
      </c>
      <c r="H279" s="127">
        <v>44531.0</v>
      </c>
      <c r="I279" s="9" t="s">
        <v>47</v>
      </c>
      <c r="J279" s="9" t="s">
        <v>38801</v>
      </c>
      <c r="K279" s="56">
        <v>44531.0</v>
      </c>
      <c r="M279" s="9" t="s">
        <v>11999</v>
      </c>
    </row>
    <row r="280" ht="15.75" hidden="1" customHeight="1">
      <c r="A280" s="9" t="s">
        <v>39289</v>
      </c>
      <c r="B280" s="9" t="s">
        <v>21645</v>
      </c>
      <c r="D280" s="9" t="s">
        <v>12258</v>
      </c>
      <c r="F280" s="9" t="s">
        <v>39290</v>
      </c>
      <c r="G280" s="9" t="s">
        <v>38946</v>
      </c>
      <c r="H280" s="127">
        <v>44532.0</v>
      </c>
      <c r="I280" s="9" t="s">
        <v>52</v>
      </c>
      <c r="J280" s="9" t="s">
        <v>38801</v>
      </c>
      <c r="K280" s="55">
        <v>45411.0</v>
      </c>
      <c r="M280" s="9" t="s">
        <v>10151</v>
      </c>
    </row>
    <row r="281" ht="15.75" hidden="1" customHeight="1">
      <c r="A281" s="9" t="s">
        <v>39291</v>
      </c>
      <c r="B281" s="9" t="s">
        <v>19972</v>
      </c>
      <c r="D281" s="9" t="s">
        <v>12258</v>
      </c>
      <c r="F281" s="9" t="s">
        <v>39292</v>
      </c>
      <c r="G281" s="9" t="s">
        <v>38946</v>
      </c>
      <c r="H281" s="127">
        <v>44532.0</v>
      </c>
      <c r="I281" s="9" t="s">
        <v>52</v>
      </c>
      <c r="J281" s="9" t="s">
        <v>38801</v>
      </c>
      <c r="K281" s="55">
        <v>45411.0</v>
      </c>
      <c r="M281" s="9" t="s">
        <v>10247</v>
      </c>
    </row>
    <row r="282" ht="15.75" hidden="1" customHeight="1">
      <c r="A282" s="9" t="s">
        <v>39293</v>
      </c>
      <c r="B282" s="9" t="s">
        <v>20819</v>
      </c>
      <c r="D282" s="9" t="s">
        <v>12236</v>
      </c>
      <c r="F282" s="9" t="s">
        <v>39294</v>
      </c>
      <c r="G282" s="9" t="s">
        <v>38946</v>
      </c>
      <c r="H282" s="127">
        <v>44532.0</v>
      </c>
      <c r="I282" s="9" t="s">
        <v>52</v>
      </c>
      <c r="J282" s="9" t="s">
        <v>38801</v>
      </c>
      <c r="K282" s="56">
        <v>44536.0</v>
      </c>
      <c r="M282" s="9" t="s">
        <v>8795</v>
      </c>
    </row>
    <row r="283" ht="15.75" hidden="1" customHeight="1">
      <c r="A283" s="52" t="s">
        <v>39295</v>
      </c>
      <c r="B283" s="9" t="s">
        <v>20950</v>
      </c>
      <c r="D283" s="9" t="s">
        <v>12230</v>
      </c>
      <c r="F283" s="9" t="s">
        <v>39296</v>
      </c>
      <c r="G283" s="9" t="s">
        <v>38946</v>
      </c>
      <c r="H283" s="127">
        <v>44532.0</v>
      </c>
      <c r="I283" s="9" t="s">
        <v>52</v>
      </c>
      <c r="J283" s="9" t="s">
        <v>38801</v>
      </c>
      <c r="K283" s="56">
        <v>44533.0</v>
      </c>
      <c r="M283" s="9" t="s">
        <v>9688</v>
      </c>
    </row>
    <row r="284" ht="15.75" customHeight="1">
      <c r="A284" s="9" t="s">
        <v>39297</v>
      </c>
      <c r="B284" s="9" t="s">
        <v>20819</v>
      </c>
      <c r="D284" s="9" t="s">
        <v>12227</v>
      </c>
      <c r="E284" s="9" t="s">
        <v>38803</v>
      </c>
      <c r="F284" s="9" t="s">
        <v>39298</v>
      </c>
      <c r="G284" s="9" t="s">
        <v>38808</v>
      </c>
      <c r="H284" s="127">
        <v>44532.0</v>
      </c>
      <c r="I284" s="9" t="s">
        <v>52</v>
      </c>
      <c r="J284" s="9" t="s">
        <v>38805</v>
      </c>
      <c r="M284" s="9" t="s">
        <v>8795</v>
      </c>
    </row>
    <row r="285" ht="15.75" hidden="1" customHeight="1">
      <c r="A285" s="52" t="s">
        <v>39299</v>
      </c>
      <c r="B285" s="9" t="s">
        <v>18390</v>
      </c>
      <c r="D285" s="9" t="s">
        <v>12236</v>
      </c>
      <c r="F285" s="9" t="s">
        <v>39300</v>
      </c>
      <c r="G285" s="9" t="s">
        <v>38946</v>
      </c>
      <c r="H285" s="127">
        <v>44533.0</v>
      </c>
      <c r="I285" s="9" t="s">
        <v>52</v>
      </c>
      <c r="J285" s="9" t="s">
        <v>38801</v>
      </c>
      <c r="K285" s="60">
        <v>44882.0</v>
      </c>
      <c r="M285" s="9" t="s">
        <v>9054</v>
      </c>
    </row>
    <row r="286" ht="15.75" hidden="1" customHeight="1">
      <c r="A286" s="9" t="s">
        <v>39301</v>
      </c>
      <c r="B286" s="9" t="s">
        <v>16278</v>
      </c>
      <c r="D286" s="9" t="s">
        <v>12258</v>
      </c>
      <c r="F286" s="9" t="s">
        <v>39302</v>
      </c>
      <c r="G286" s="9" t="s">
        <v>38946</v>
      </c>
      <c r="H286" s="127">
        <v>44533.0</v>
      </c>
      <c r="I286" s="9" t="s">
        <v>52</v>
      </c>
      <c r="J286" s="9" t="s">
        <v>38801</v>
      </c>
      <c r="K286" s="61">
        <v>44551.0</v>
      </c>
      <c r="M286" s="9" t="s">
        <v>9639</v>
      </c>
    </row>
    <row r="287" ht="15.75" hidden="1" customHeight="1">
      <c r="A287" s="9" t="s">
        <v>39303</v>
      </c>
      <c r="B287" s="9" t="s">
        <v>19270</v>
      </c>
      <c r="D287" s="9" t="s">
        <v>12224</v>
      </c>
      <c r="F287" s="9" t="s">
        <v>39304</v>
      </c>
      <c r="G287" s="9" t="s">
        <v>38808</v>
      </c>
      <c r="H287" s="127">
        <v>44533.0</v>
      </c>
      <c r="I287" s="9" t="s">
        <v>47</v>
      </c>
      <c r="J287" s="9" t="s">
        <v>38801</v>
      </c>
      <c r="K287" s="61">
        <v>44540.0</v>
      </c>
      <c r="M287" s="9" t="s">
        <v>11652</v>
      </c>
    </row>
    <row r="288" ht="15.75" hidden="1" customHeight="1">
      <c r="A288" s="9" t="s">
        <v>39305</v>
      </c>
      <c r="B288" s="9" t="s">
        <v>19270</v>
      </c>
      <c r="D288" s="9" t="s">
        <v>12230</v>
      </c>
      <c r="F288" s="9" t="s">
        <v>39306</v>
      </c>
      <c r="G288" s="9" t="s">
        <v>38808</v>
      </c>
      <c r="H288" s="127">
        <v>44533.0</v>
      </c>
      <c r="I288" s="9" t="s">
        <v>47</v>
      </c>
      <c r="J288" s="9" t="s">
        <v>38801</v>
      </c>
      <c r="K288" s="56">
        <v>44533.0</v>
      </c>
      <c r="M288" s="9" t="s">
        <v>11652</v>
      </c>
    </row>
    <row r="289" ht="15.75" hidden="1" customHeight="1">
      <c r="A289" s="9" t="s">
        <v>39307</v>
      </c>
      <c r="B289" s="52" t="s">
        <v>17445</v>
      </c>
      <c r="D289" s="9" t="s">
        <v>12236</v>
      </c>
      <c r="F289" s="9" t="s">
        <v>39308</v>
      </c>
      <c r="G289" s="9" t="s">
        <v>38808</v>
      </c>
      <c r="H289" s="127">
        <v>44536.0</v>
      </c>
      <c r="I289" s="9" t="s">
        <v>52</v>
      </c>
      <c r="J289" s="9" t="s">
        <v>38801</v>
      </c>
      <c r="K289" s="60">
        <v>44883.0</v>
      </c>
      <c r="M289" s="9" t="s">
        <v>11975</v>
      </c>
    </row>
    <row r="290" ht="15.75" hidden="1" customHeight="1">
      <c r="A290" s="9" t="s">
        <v>39309</v>
      </c>
      <c r="B290" s="52" t="s">
        <v>17445</v>
      </c>
      <c r="D290" s="9" t="s">
        <v>12230</v>
      </c>
      <c r="F290" s="9" t="s">
        <v>39310</v>
      </c>
      <c r="G290" s="9" t="s">
        <v>38808</v>
      </c>
      <c r="H290" s="127">
        <v>44536.0</v>
      </c>
      <c r="I290" s="9" t="s">
        <v>52</v>
      </c>
      <c r="J290" s="9" t="s">
        <v>38801</v>
      </c>
      <c r="K290" s="61">
        <v>44543.0</v>
      </c>
      <c r="M290" s="9" t="s">
        <v>11975</v>
      </c>
    </row>
    <row r="291" ht="15.75" hidden="1" customHeight="1">
      <c r="A291" s="9" t="s">
        <v>39311</v>
      </c>
      <c r="B291" s="9" t="s">
        <v>14885</v>
      </c>
      <c r="D291" s="9" t="s">
        <v>12224</v>
      </c>
      <c r="F291" s="9" t="s">
        <v>39312</v>
      </c>
      <c r="G291" s="9" t="s">
        <v>38946</v>
      </c>
      <c r="H291" s="127">
        <v>44536.0</v>
      </c>
      <c r="I291" s="9" t="s">
        <v>52</v>
      </c>
      <c r="J291" s="9" t="s">
        <v>38801</v>
      </c>
      <c r="K291" s="56">
        <v>44536.0</v>
      </c>
      <c r="M291" s="9" t="s">
        <v>3331</v>
      </c>
    </row>
    <row r="292" ht="15.75" hidden="1" customHeight="1">
      <c r="A292" s="9" t="s">
        <v>39313</v>
      </c>
      <c r="B292" s="9" t="s">
        <v>14885</v>
      </c>
      <c r="D292" s="9" t="s">
        <v>12236</v>
      </c>
      <c r="F292" s="9" t="s">
        <v>39314</v>
      </c>
      <c r="G292" s="9" t="s">
        <v>38946</v>
      </c>
      <c r="H292" s="127">
        <v>44536.0</v>
      </c>
      <c r="I292" s="9" t="s">
        <v>52</v>
      </c>
      <c r="J292" s="9" t="s">
        <v>38801</v>
      </c>
      <c r="K292" s="56">
        <v>44536.0</v>
      </c>
      <c r="M292" s="9" t="s">
        <v>3331</v>
      </c>
    </row>
    <row r="293" ht="15.75" hidden="1" customHeight="1">
      <c r="A293" s="9" t="s">
        <v>39315</v>
      </c>
      <c r="B293" s="52" t="s">
        <v>17445</v>
      </c>
      <c r="D293" s="9" t="s">
        <v>12224</v>
      </c>
      <c r="F293" s="9" t="s">
        <v>39316</v>
      </c>
      <c r="G293" s="9" t="s">
        <v>38946</v>
      </c>
      <c r="H293" s="127">
        <v>44536.0</v>
      </c>
      <c r="I293" s="9" t="s">
        <v>52</v>
      </c>
      <c r="J293" s="9" t="s">
        <v>38801</v>
      </c>
      <c r="K293" s="56">
        <v>44536.0</v>
      </c>
      <c r="M293" s="9" t="s">
        <v>11975</v>
      </c>
    </row>
    <row r="294" ht="15.75" hidden="1" customHeight="1">
      <c r="A294" s="9" t="s">
        <v>39317</v>
      </c>
      <c r="B294" s="9" t="s">
        <v>12670</v>
      </c>
      <c r="D294" s="9" t="s">
        <v>12252</v>
      </c>
      <c r="F294" s="9" t="s">
        <v>39318</v>
      </c>
      <c r="G294" s="9" t="s">
        <v>38808</v>
      </c>
      <c r="H294" s="127">
        <v>44537.0</v>
      </c>
      <c r="I294" s="9" t="s">
        <v>47</v>
      </c>
      <c r="J294" s="9" t="s">
        <v>38801</v>
      </c>
      <c r="K294" s="55">
        <v>46100.0</v>
      </c>
      <c r="M294" s="9" t="s">
        <v>10289</v>
      </c>
    </row>
    <row r="295" ht="15.75" hidden="1" customHeight="1">
      <c r="A295" s="9" t="s">
        <v>39319</v>
      </c>
      <c r="B295" s="9" t="s">
        <v>12670</v>
      </c>
      <c r="D295" s="9" t="s">
        <v>12230</v>
      </c>
      <c r="F295" s="9" t="s">
        <v>39320</v>
      </c>
      <c r="G295" s="9" t="s">
        <v>38808</v>
      </c>
      <c r="H295" s="127">
        <v>44537.0</v>
      </c>
      <c r="I295" s="9" t="s">
        <v>47</v>
      </c>
      <c r="J295" s="9" t="s">
        <v>38801</v>
      </c>
      <c r="K295" s="55">
        <v>46100.0</v>
      </c>
      <c r="M295" s="9" t="s">
        <v>10289</v>
      </c>
    </row>
    <row r="296" ht="15.75" hidden="1" customHeight="1">
      <c r="A296" s="9" t="s">
        <v>39321</v>
      </c>
      <c r="B296" s="9" t="s">
        <v>12670</v>
      </c>
      <c r="D296" s="9" t="s">
        <v>12236</v>
      </c>
      <c r="F296" s="9" t="s">
        <v>39322</v>
      </c>
      <c r="G296" s="9" t="s">
        <v>38808</v>
      </c>
      <c r="H296" s="127">
        <v>44537.0</v>
      </c>
      <c r="I296" s="9" t="s">
        <v>47</v>
      </c>
      <c r="J296" s="9" t="s">
        <v>38801</v>
      </c>
      <c r="K296" s="55">
        <v>46100.0</v>
      </c>
      <c r="M296" s="9" t="s">
        <v>10289</v>
      </c>
    </row>
    <row r="297" ht="15.75" hidden="1" customHeight="1">
      <c r="A297" s="9" t="s">
        <v>39323</v>
      </c>
      <c r="B297" s="9" t="s">
        <v>12670</v>
      </c>
      <c r="D297" s="9" t="s">
        <v>12250</v>
      </c>
      <c r="F297" s="9" t="s">
        <v>39324</v>
      </c>
      <c r="G297" s="9" t="s">
        <v>38808</v>
      </c>
      <c r="H297" s="127">
        <v>44537.0</v>
      </c>
      <c r="I297" s="9" t="s">
        <v>47</v>
      </c>
      <c r="J297" s="9" t="s">
        <v>38801</v>
      </c>
      <c r="K297" s="55">
        <v>46100.0</v>
      </c>
      <c r="M297" s="9" t="s">
        <v>10289</v>
      </c>
    </row>
    <row r="298" ht="15.75" hidden="1" customHeight="1">
      <c r="A298" s="9" t="s">
        <v>39325</v>
      </c>
      <c r="B298" s="9" t="s">
        <v>13371</v>
      </c>
      <c r="D298" s="9" t="s">
        <v>12236</v>
      </c>
      <c r="F298" s="9" t="s">
        <v>39326</v>
      </c>
      <c r="G298" s="9" t="s">
        <v>38946</v>
      </c>
      <c r="H298" s="127">
        <v>44537.0</v>
      </c>
      <c r="I298" s="9" t="s">
        <v>52</v>
      </c>
      <c r="J298" s="9" t="s">
        <v>38801</v>
      </c>
      <c r="K298" s="60">
        <v>45250.0</v>
      </c>
      <c r="M298" s="9" t="s">
        <v>2219</v>
      </c>
    </row>
    <row r="299" ht="15.75" hidden="1" customHeight="1">
      <c r="A299" s="9" t="s">
        <v>39327</v>
      </c>
      <c r="B299" s="9" t="s">
        <v>19990</v>
      </c>
      <c r="D299" s="9" t="s">
        <v>12258</v>
      </c>
      <c r="F299" s="9" t="s">
        <v>39328</v>
      </c>
      <c r="G299" s="9" t="s">
        <v>38808</v>
      </c>
      <c r="H299" s="127">
        <v>44537.0</v>
      </c>
      <c r="I299" s="9" t="s">
        <v>47</v>
      </c>
      <c r="J299" s="9" t="s">
        <v>38801</v>
      </c>
      <c r="K299" s="55">
        <v>44579.0</v>
      </c>
      <c r="M299" s="9" t="s">
        <v>10240</v>
      </c>
    </row>
    <row r="300" ht="15.75" hidden="1" customHeight="1">
      <c r="A300" s="9" t="s">
        <v>39329</v>
      </c>
      <c r="B300" s="9" t="s">
        <v>13748</v>
      </c>
      <c r="D300" s="9" t="s">
        <v>12246</v>
      </c>
      <c r="F300" s="9" t="s">
        <v>39330</v>
      </c>
      <c r="G300" s="9" t="s">
        <v>38946</v>
      </c>
      <c r="H300" s="127">
        <v>44537.0</v>
      </c>
      <c r="I300" s="9" t="s">
        <v>26</v>
      </c>
      <c r="J300" s="9" t="s">
        <v>38801</v>
      </c>
      <c r="K300" s="55">
        <v>44579.0</v>
      </c>
      <c r="M300" s="9" t="s">
        <v>9970</v>
      </c>
    </row>
    <row r="301" ht="15.75" hidden="1" customHeight="1">
      <c r="A301" s="9" t="s">
        <v>39331</v>
      </c>
      <c r="B301" s="9" t="s">
        <v>16278</v>
      </c>
      <c r="D301" s="9" t="s">
        <v>12236</v>
      </c>
      <c r="F301" s="9" t="s">
        <v>39332</v>
      </c>
      <c r="G301" s="9" t="s">
        <v>38946</v>
      </c>
      <c r="H301" s="127">
        <v>44537.0</v>
      </c>
      <c r="I301" s="9" t="s">
        <v>52</v>
      </c>
      <c r="J301" s="9" t="s">
        <v>38801</v>
      </c>
      <c r="K301" s="61">
        <v>44543.0</v>
      </c>
      <c r="M301" s="9" t="s">
        <v>9639</v>
      </c>
    </row>
    <row r="302" ht="15.75" hidden="1" customHeight="1">
      <c r="A302" s="9" t="s">
        <v>39333</v>
      </c>
      <c r="B302" s="9" t="s">
        <v>14366</v>
      </c>
      <c r="D302" s="9" t="s">
        <v>12230</v>
      </c>
      <c r="F302" s="9" t="s">
        <v>39334</v>
      </c>
      <c r="G302" s="9" t="s">
        <v>38808</v>
      </c>
      <c r="H302" s="127">
        <v>44537.0</v>
      </c>
      <c r="I302" s="9" t="s">
        <v>47</v>
      </c>
      <c r="J302" s="9" t="s">
        <v>38801</v>
      </c>
      <c r="K302" s="56">
        <v>44537.0</v>
      </c>
      <c r="M302" s="9" t="s">
        <v>9080</v>
      </c>
    </row>
    <row r="303" ht="15.75" hidden="1" customHeight="1">
      <c r="A303" s="9" t="s">
        <v>39335</v>
      </c>
      <c r="B303" s="9" t="s">
        <v>26150</v>
      </c>
      <c r="D303" s="9" t="s">
        <v>12230</v>
      </c>
      <c r="F303" s="9" t="s">
        <v>39336</v>
      </c>
      <c r="G303" s="9" t="s">
        <v>38808</v>
      </c>
      <c r="H303" s="127">
        <v>44537.0</v>
      </c>
      <c r="I303" s="9" t="s">
        <v>47</v>
      </c>
      <c r="J303" s="9" t="s">
        <v>38801</v>
      </c>
      <c r="K303" s="56">
        <v>44537.0</v>
      </c>
      <c r="M303" s="9" t="s">
        <v>11864</v>
      </c>
    </row>
    <row r="304" ht="15.75" hidden="1" customHeight="1">
      <c r="A304" s="9" t="s">
        <v>39337</v>
      </c>
      <c r="B304" s="9" t="s">
        <v>16293</v>
      </c>
      <c r="D304" s="9" t="s">
        <v>12230</v>
      </c>
      <c r="F304" s="9" t="s">
        <v>39338</v>
      </c>
      <c r="G304" s="9" t="s">
        <v>38808</v>
      </c>
      <c r="H304" s="127">
        <v>44538.0</v>
      </c>
      <c r="I304" s="9" t="s">
        <v>47</v>
      </c>
      <c r="J304" s="9" t="s">
        <v>38801</v>
      </c>
      <c r="K304" s="56">
        <v>44538.0</v>
      </c>
      <c r="M304" s="9" t="s">
        <v>11914</v>
      </c>
    </row>
    <row r="305" ht="15.75" hidden="1" customHeight="1">
      <c r="A305" s="9" t="s">
        <v>39339</v>
      </c>
      <c r="B305" s="9" t="s">
        <v>13299</v>
      </c>
      <c r="D305" s="9" t="s">
        <v>12230</v>
      </c>
      <c r="F305" s="9" t="s">
        <v>39340</v>
      </c>
      <c r="G305" s="9" t="s">
        <v>38808</v>
      </c>
      <c r="H305" s="127">
        <v>44538.0</v>
      </c>
      <c r="I305" s="9" t="s">
        <v>47</v>
      </c>
      <c r="J305" s="9" t="s">
        <v>38801</v>
      </c>
      <c r="K305" s="56">
        <v>44538.0</v>
      </c>
      <c r="M305" s="9" t="s">
        <v>3203</v>
      </c>
    </row>
    <row r="306" ht="15.75" hidden="1" customHeight="1">
      <c r="A306" s="9" t="s">
        <v>39341</v>
      </c>
      <c r="B306" s="9" t="s">
        <v>12609</v>
      </c>
      <c r="D306" s="9" t="s">
        <v>12236</v>
      </c>
      <c r="F306" s="9" t="s">
        <v>39342</v>
      </c>
      <c r="G306" s="9" t="s">
        <v>38946</v>
      </c>
      <c r="H306" s="127">
        <v>44538.0</v>
      </c>
      <c r="I306" s="9" t="s">
        <v>52</v>
      </c>
      <c r="J306" s="9" t="s">
        <v>38801</v>
      </c>
      <c r="K306" s="56">
        <v>44538.0</v>
      </c>
      <c r="M306" s="9" t="s">
        <v>266</v>
      </c>
    </row>
    <row r="307" ht="15.75" hidden="1" customHeight="1">
      <c r="A307" s="9" t="s">
        <v>39343</v>
      </c>
      <c r="B307" s="9" t="s">
        <v>13748</v>
      </c>
      <c r="D307" s="9" t="s">
        <v>12236</v>
      </c>
      <c r="F307" s="9" t="s">
        <v>39344</v>
      </c>
      <c r="G307" s="9" t="s">
        <v>38946</v>
      </c>
      <c r="H307" s="127">
        <v>44539.0</v>
      </c>
      <c r="I307" s="9" t="s">
        <v>26</v>
      </c>
      <c r="J307" s="9" t="s">
        <v>38801</v>
      </c>
      <c r="K307" s="60">
        <v>44882.0</v>
      </c>
      <c r="M307" s="9" t="s">
        <v>7640</v>
      </c>
    </row>
    <row r="308" ht="15.75" hidden="1" customHeight="1">
      <c r="A308" s="9" t="s">
        <v>39345</v>
      </c>
      <c r="B308" s="9" t="s">
        <v>14549</v>
      </c>
      <c r="D308" s="9" t="s">
        <v>12258</v>
      </c>
      <c r="F308" s="9" t="s">
        <v>39346</v>
      </c>
      <c r="G308" s="9" t="s">
        <v>38808</v>
      </c>
      <c r="H308" s="127">
        <v>44539.0</v>
      </c>
      <c r="I308" s="9" t="s">
        <v>19</v>
      </c>
      <c r="J308" s="9" t="s">
        <v>38801</v>
      </c>
      <c r="K308" s="55">
        <v>44874.0</v>
      </c>
      <c r="M308" s="9" t="s">
        <v>255</v>
      </c>
    </row>
    <row r="309" ht="15.75" hidden="1" customHeight="1">
      <c r="A309" s="9" t="s">
        <v>39347</v>
      </c>
      <c r="B309" s="9" t="s">
        <v>15029</v>
      </c>
      <c r="D309" s="9" t="s">
        <v>12258</v>
      </c>
      <c r="F309" s="9" t="s">
        <v>39346</v>
      </c>
      <c r="G309" s="9" t="s">
        <v>38808</v>
      </c>
      <c r="H309" s="127">
        <v>44539.0</v>
      </c>
      <c r="I309" s="9" t="s">
        <v>19</v>
      </c>
      <c r="J309" s="9" t="s">
        <v>38801</v>
      </c>
      <c r="K309" s="55">
        <v>44874.0</v>
      </c>
      <c r="M309" s="9" t="s">
        <v>4800</v>
      </c>
    </row>
    <row r="310" ht="15.75" hidden="1" customHeight="1">
      <c r="A310" s="9" t="s">
        <v>39348</v>
      </c>
      <c r="B310" s="9" t="s">
        <v>15576</v>
      </c>
      <c r="D310" s="9" t="s">
        <v>12239</v>
      </c>
      <c r="F310" s="9" t="s">
        <v>39349</v>
      </c>
      <c r="G310" s="9" t="s">
        <v>38946</v>
      </c>
      <c r="H310" s="127">
        <v>44539.0</v>
      </c>
      <c r="I310" s="9" t="s">
        <v>26</v>
      </c>
      <c r="J310" s="9" t="s">
        <v>38801</v>
      </c>
      <c r="K310" s="61">
        <v>44559.0</v>
      </c>
      <c r="M310" s="9" t="s">
        <v>8608</v>
      </c>
    </row>
    <row r="311" ht="15.75" hidden="1" customHeight="1">
      <c r="A311" s="9" t="s">
        <v>39350</v>
      </c>
      <c r="B311" s="9" t="s">
        <v>13748</v>
      </c>
      <c r="D311" s="9" t="s">
        <v>12230</v>
      </c>
      <c r="F311" s="9" t="s">
        <v>39351</v>
      </c>
      <c r="G311" s="9" t="s">
        <v>38946</v>
      </c>
      <c r="H311" s="127">
        <v>44539.0</v>
      </c>
      <c r="I311" s="9" t="s">
        <v>26</v>
      </c>
      <c r="J311" s="9" t="s">
        <v>38801</v>
      </c>
      <c r="K311" s="61">
        <v>44547.0</v>
      </c>
      <c r="M311" s="9" t="s">
        <v>7640</v>
      </c>
    </row>
    <row r="312" ht="15.75" hidden="1" customHeight="1">
      <c r="A312" s="9" t="s">
        <v>39352</v>
      </c>
      <c r="B312" s="9" t="s">
        <v>18390</v>
      </c>
      <c r="D312" s="9" t="s">
        <v>12250</v>
      </c>
      <c r="F312" s="9" t="s">
        <v>39353</v>
      </c>
      <c r="G312" s="9" t="s">
        <v>38946</v>
      </c>
      <c r="H312" s="127">
        <v>44539.0</v>
      </c>
      <c r="I312" s="9" t="s">
        <v>52</v>
      </c>
      <c r="J312" s="9" t="s">
        <v>38801</v>
      </c>
      <c r="K312" s="61">
        <v>44546.0</v>
      </c>
      <c r="M312" s="9" t="s">
        <v>9054</v>
      </c>
    </row>
    <row r="313" ht="15.75" hidden="1" customHeight="1">
      <c r="A313" s="9" t="s">
        <v>39354</v>
      </c>
      <c r="B313" s="9" t="s">
        <v>18390</v>
      </c>
      <c r="D313" s="9" t="s">
        <v>12250</v>
      </c>
      <c r="F313" s="9" t="s">
        <v>39355</v>
      </c>
      <c r="G313" s="9" t="s">
        <v>38946</v>
      </c>
      <c r="H313" s="127">
        <v>44539.0</v>
      </c>
      <c r="I313" s="9" t="s">
        <v>52</v>
      </c>
      <c r="J313" s="9" t="s">
        <v>38801</v>
      </c>
      <c r="K313" s="61">
        <v>44546.0</v>
      </c>
      <c r="M313" s="9" t="s">
        <v>9237</v>
      </c>
    </row>
    <row r="314" ht="15.75" hidden="1" customHeight="1">
      <c r="A314" s="9" t="s">
        <v>39356</v>
      </c>
      <c r="B314" s="9" t="s">
        <v>18069</v>
      </c>
      <c r="D314" s="9" t="s">
        <v>12236</v>
      </c>
      <c r="F314" s="9" t="s">
        <v>39357</v>
      </c>
      <c r="G314" s="9" t="s">
        <v>38946</v>
      </c>
      <c r="H314" s="127">
        <v>44539.0</v>
      </c>
      <c r="I314" s="9" t="s">
        <v>52</v>
      </c>
      <c r="J314" s="9" t="s">
        <v>38801</v>
      </c>
      <c r="K314" s="61">
        <v>44540.0</v>
      </c>
      <c r="M314" s="9" t="s">
        <v>5620</v>
      </c>
    </row>
    <row r="315" ht="15.75" hidden="1" customHeight="1">
      <c r="A315" s="9" t="s">
        <v>39358</v>
      </c>
      <c r="B315" s="9" t="s">
        <v>16463</v>
      </c>
      <c r="D315" s="9" t="s">
        <v>12236</v>
      </c>
      <c r="F315" s="9" t="s">
        <v>39359</v>
      </c>
      <c r="G315" s="9" t="s">
        <v>38946</v>
      </c>
      <c r="H315" s="127">
        <v>44540.0</v>
      </c>
      <c r="I315" s="9" t="s">
        <v>52</v>
      </c>
      <c r="J315" s="9" t="s">
        <v>38801</v>
      </c>
      <c r="K315" s="60">
        <v>45250.0</v>
      </c>
      <c r="M315" s="9" t="s">
        <v>9429</v>
      </c>
    </row>
    <row r="316" ht="15.75" hidden="1" customHeight="1">
      <c r="A316" s="9" t="s">
        <v>39360</v>
      </c>
      <c r="B316" s="9" t="s">
        <v>14885</v>
      </c>
      <c r="D316" s="9" t="s">
        <v>12239</v>
      </c>
      <c r="F316" s="9" t="s">
        <v>39361</v>
      </c>
      <c r="G316" s="9" t="s">
        <v>38946</v>
      </c>
      <c r="H316" s="127">
        <v>44540.0</v>
      </c>
      <c r="I316" s="9" t="s">
        <v>52</v>
      </c>
      <c r="J316" s="9" t="s">
        <v>38801</v>
      </c>
      <c r="K316" s="55">
        <v>44586.0</v>
      </c>
      <c r="M316" s="9" t="s">
        <v>3331</v>
      </c>
    </row>
    <row r="317" ht="15.75" hidden="1" customHeight="1">
      <c r="A317" s="9" t="s">
        <v>39362</v>
      </c>
      <c r="B317" s="9" t="s">
        <v>18069</v>
      </c>
      <c r="D317" s="9" t="s">
        <v>12246</v>
      </c>
      <c r="F317" s="9" t="s">
        <v>39363</v>
      </c>
      <c r="G317" s="9" t="s">
        <v>38808</v>
      </c>
      <c r="H317" s="127">
        <v>44540.0</v>
      </c>
      <c r="I317" s="9" t="s">
        <v>47</v>
      </c>
      <c r="J317" s="9" t="s">
        <v>38801</v>
      </c>
      <c r="K317" s="55">
        <v>44579.0</v>
      </c>
      <c r="M317" s="9" t="s">
        <v>5620</v>
      </c>
    </row>
    <row r="318" ht="15.75" hidden="1" customHeight="1">
      <c r="A318" s="9" t="s">
        <v>39364</v>
      </c>
      <c r="B318" s="9" t="s">
        <v>16463</v>
      </c>
      <c r="D318" s="9" t="s">
        <v>12239</v>
      </c>
      <c r="F318" s="9" t="s">
        <v>39365</v>
      </c>
      <c r="G318" s="9" t="s">
        <v>38946</v>
      </c>
      <c r="H318" s="127">
        <v>44540.0</v>
      </c>
      <c r="I318" s="9" t="s">
        <v>26</v>
      </c>
      <c r="J318" s="9" t="s">
        <v>38801</v>
      </c>
      <c r="K318" s="61">
        <v>44558.0</v>
      </c>
      <c r="M318" s="9" t="s">
        <v>9429</v>
      </c>
    </row>
    <row r="319" ht="15.75" hidden="1" customHeight="1">
      <c r="A319" s="9" t="s">
        <v>39366</v>
      </c>
      <c r="B319" s="9" t="s">
        <v>18069</v>
      </c>
      <c r="D319" s="9" t="s">
        <v>12230</v>
      </c>
      <c r="F319" s="9" t="s">
        <v>39367</v>
      </c>
      <c r="G319" s="9" t="s">
        <v>38808</v>
      </c>
      <c r="H319" s="127">
        <v>44540.0</v>
      </c>
      <c r="I319" s="9" t="s">
        <v>52</v>
      </c>
      <c r="J319" s="9" t="s">
        <v>38801</v>
      </c>
      <c r="K319" s="61">
        <v>44540.0</v>
      </c>
      <c r="M319" s="9" t="s">
        <v>5620</v>
      </c>
    </row>
    <row r="320" ht="15.75" hidden="1" customHeight="1">
      <c r="A320" s="9" t="s">
        <v>39368</v>
      </c>
      <c r="B320" s="9" t="s">
        <v>16104</v>
      </c>
      <c r="D320" s="9" t="s">
        <v>12239</v>
      </c>
      <c r="F320" s="9" t="s">
        <v>39369</v>
      </c>
      <c r="G320" s="9" t="s">
        <v>38946</v>
      </c>
      <c r="H320" s="127">
        <v>44541.0</v>
      </c>
      <c r="I320" s="9" t="s">
        <v>26</v>
      </c>
      <c r="J320" s="9" t="s">
        <v>38801</v>
      </c>
      <c r="K320" s="55">
        <v>44580.0</v>
      </c>
      <c r="M320" s="9" t="s">
        <v>5446</v>
      </c>
    </row>
    <row r="321" ht="15.75" hidden="1" customHeight="1">
      <c r="A321" s="9" t="s">
        <v>39370</v>
      </c>
      <c r="B321" s="9" t="s">
        <v>13052</v>
      </c>
      <c r="D321" s="9" t="s">
        <v>12230</v>
      </c>
      <c r="F321" s="9" t="s">
        <v>39371</v>
      </c>
      <c r="G321" s="9" t="s">
        <v>38946</v>
      </c>
      <c r="H321" s="127">
        <v>44543.0</v>
      </c>
      <c r="I321" s="9" t="s">
        <v>52</v>
      </c>
      <c r="J321" s="9" t="s">
        <v>38801</v>
      </c>
      <c r="K321" s="55">
        <v>45411.0</v>
      </c>
      <c r="M321" s="9" t="s">
        <v>10023</v>
      </c>
    </row>
    <row r="322" ht="15.75" hidden="1" customHeight="1">
      <c r="A322" s="9" t="s">
        <v>39372</v>
      </c>
      <c r="B322" s="9" t="s">
        <v>12832</v>
      </c>
      <c r="D322" s="9" t="s">
        <v>12236</v>
      </c>
      <c r="F322" s="9" t="s">
        <v>39373</v>
      </c>
      <c r="G322" s="9" t="s">
        <v>38946</v>
      </c>
      <c r="H322" s="127">
        <v>44543.0</v>
      </c>
      <c r="I322" s="9" t="s">
        <v>52</v>
      </c>
      <c r="J322" s="9" t="s">
        <v>38801</v>
      </c>
      <c r="K322" s="60">
        <v>46100.0</v>
      </c>
      <c r="M322" s="9" t="s">
        <v>10664</v>
      </c>
    </row>
    <row r="323" ht="15.75" hidden="1" customHeight="1">
      <c r="A323" s="9" t="s">
        <v>39374</v>
      </c>
      <c r="B323" s="9" t="s">
        <v>18912</v>
      </c>
      <c r="D323" s="9" t="s">
        <v>12236</v>
      </c>
      <c r="F323" s="9" t="s">
        <v>39375</v>
      </c>
      <c r="G323" s="9" t="s">
        <v>38946</v>
      </c>
      <c r="H323" s="127">
        <v>44543.0</v>
      </c>
      <c r="I323" s="9" t="s">
        <v>52</v>
      </c>
      <c r="J323" s="9" t="s">
        <v>38801</v>
      </c>
      <c r="K323" s="60">
        <v>44875.0</v>
      </c>
      <c r="M323" s="9" t="s">
        <v>11491</v>
      </c>
    </row>
    <row r="324" ht="15.75" hidden="1" customHeight="1">
      <c r="A324" s="9" t="s">
        <v>39376</v>
      </c>
      <c r="B324" s="9" t="s">
        <v>13941</v>
      </c>
      <c r="D324" s="9" t="s">
        <v>12236</v>
      </c>
      <c r="F324" s="9" t="s">
        <v>39377</v>
      </c>
      <c r="G324" s="9" t="s">
        <v>38946</v>
      </c>
      <c r="H324" s="127">
        <v>44543.0</v>
      </c>
      <c r="I324" s="9" t="s">
        <v>52</v>
      </c>
      <c r="J324" s="9" t="s">
        <v>38801</v>
      </c>
      <c r="K324" s="60">
        <v>44875.0</v>
      </c>
      <c r="M324" s="9" t="s">
        <v>5388</v>
      </c>
    </row>
    <row r="325" ht="15.75" hidden="1" customHeight="1">
      <c r="A325" s="9" t="s">
        <v>39378</v>
      </c>
      <c r="B325" s="9" t="s">
        <v>19753</v>
      </c>
      <c r="D325" s="9" t="s">
        <v>12239</v>
      </c>
      <c r="F325" s="9" t="s">
        <v>39379</v>
      </c>
      <c r="G325" s="9" t="s">
        <v>38946</v>
      </c>
      <c r="H325" s="127">
        <v>44543.0</v>
      </c>
      <c r="I325" s="9" t="s">
        <v>26</v>
      </c>
      <c r="J325" s="9" t="s">
        <v>38801</v>
      </c>
      <c r="K325" s="55">
        <v>44567.0</v>
      </c>
      <c r="M325" s="9" t="s">
        <v>9583</v>
      </c>
    </row>
    <row r="326" ht="15.75" hidden="1" customHeight="1">
      <c r="A326" s="9" t="s">
        <v>39380</v>
      </c>
      <c r="B326" s="9" t="s">
        <v>19753</v>
      </c>
      <c r="D326" s="9" t="s">
        <v>12236</v>
      </c>
      <c r="F326" s="9" t="s">
        <v>39381</v>
      </c>
      <c r="G326" s="9" t="s">
        <v>38946</v>
      </c>
      <c r="H326" s="127">
        <v>44543.0</v>
      </c>
      <c r="I326" s="9" t="s">
        <v>26</v>
      </c>
      <c r="J326" s="9" t="s">
        <v>38801</v>
      </c>
      <c r="K326" s="60">
        <v>44561.0</v>
      </c>
      <c r="M326" s="9" t="s">
        <v>9583</v>
      </c>
    </row>
    <row r="327" ht="15.75" hidden="1" customHeight="1">
      <c r="A327" s="9" t="s">
        <v>39382</v>
      </c>
      <c r="B327" s="9" t="s">
        <v>18912</v>
      </c>
      <c r="D327" s="9" t="s">
        <v>12230</v>
      </c>
      <c r="F327" s="9" t="s">
        <v>39383</v>
      </c>
      <c r="G327" s="9" t="s">
        <v>38946</v>
      </c>
      <c r="H327" s="127">
        <v>44543.0</v>
      </c>
      <c r="I327" s="9" t="s">
        <v>52</v>
      </c>
      <c r="J327" s="9" t="s">
        <v>38801</v>
      </c>
      <c r="K327" s="61">
        <v>44547.0</v>
      </c>
      <c r="M327" s="9" t="s">
        <v>11491</v>
      </c>
    </row>
    <row r="328" ht="15.75" customHeight="1">
      <c r="A328" s="9" t="s">
        <v>39384</v>
      </c>
      <c r="B328" s="9" t="s">
        <v>19753</v>
      </c>
      <c r="D328" s="9" t="s">
        <v>12227</v>
      </c>
      <c r="E328" s="9" t="s">
        <v>38803</v>
      </c>
      <c r="F328" s="9" t="s">
        <v>39385</v>
      </c>
      <c r="G328" s="9" t="s">
        <v>38946</v>
      </c>
      <c r="H328" s="127">
        <v>44543.0</v>
      </c>
      <c r="I328" s="9" t="s">
        <v>26</v>
      </c>
      <c r="J328" s="9" t="s">
        <v>38805</v>
      </c>
      <c r="M328" s="9" t="s">
        <v>9583</v>
      </c>
    </row>
    <row r="329" ht="15.75" hidden="1" customHeight="1">
      <c r="A329" s="9" t="s">
        <v>39386</v>
      </c>
      <c r="B329" s="9" t="s">
        <v>13052</v>
      </c>
      <c r="D329" s="9" t="s">
        <v>12230</v>
      </c>
      <c r="F329" s="9" t="s">
        <v>39387</v>
      </c>
      <c r="G329" s="9" t="s">
        <v>38808</v>
      </c>
      <c r="H329" s="127">
        <v>44544.0</v>
      </c>
      <c r="I329" s="9" t="s">
        <v>47</v>
      </c>
      <c r="J329" s="9" t="s">
        <v>38801</v>
      </c>
      <c r="K329" s="55">
        <v>45411.0</v>
      </c>
      <c r="M329" s="9" t="s">
        <v>10023</v>
      </c>
    </row>
    <row r="330" ht="15.75" hidden="1" customHeight="1">
      <c r="A330" s="9" t="s">
        <v>39388</v>
      </c>
      <c r="B330" s="9" t="s">
        <v>15608</v>
      </c>
      <c r="D330" s="9" t="s">
        <v>12230</v>
      </c>
      <c r="F330" s="9" t="s">
        <v>39389</v>
      </c>
      <c r="G330" s="9" t="s">
        <v>38808</v>
      </c>
      <c r="H330" s="127">
        <v>44544.0</v>
      </c>
      <c r="I330" s="9" t="s">
        <v>47</v>
      </c>
      <c r="J330" s="9" t="s">
        <v>38801</v>
      </c>
      <c r="K330" s="61">
        <v>44544.0</v>
      </c>
      <c r="M330" s="52" t="s">
        <v>15642</v>
      </c>
    </row>
    <row r="331" ht="15.75" hidden="1" customHeight="1">
      <c r="A331" s="9" t="s">
        <v>39390</v>
      </c>
      <c r="B331" s="9" t="s">
        <v>14283</v>
      </c>
      <c r="D331" s="9" t="s">
        <v>12250</v>
      </c>
      <c r="F331" s="9" t="s">
        <v>39391</v>
      </c>
      <c r="G331" s="9" t="s">
        <v>38808</v>
      </c>
      <c r="H331" s="127">
        <v>44545.0</v>
      </c>
      <c r="I331" s="9" t="s">
        <v>52</v>
      </c>
      <c r="J331" s="9" t="s">
        <v>38801</v>
      </c>
      <c r="K331" s="60">
        <v>45501.0</v>
      </c>
      <c r="M331" s="9" t="s">
        <v>7925</v>
      </c>
    </row>
    <row r="332" ht="15.75" hidden="1" customHeight="1">
      <c r="A332" s="9" t="s">
        <v>39392</v>
      </c>
      <c r="B332" s="9" t="s">
        <v>26228</v>
      </c>
      <c r="D332" s="9" t="s">
        <v>12252</v>
      </c>
      <c r="F332" s="9" t="s">
        <v>39393</v>
      </c>
      <c r="G332" s="9" t="s">
        <v>38946</v>
      </c>
      <c r="H332" s="127">
        <v>44545.0</v>
      </c>
      <c r="I332" s="9" t="s">
        <v>47</v>
      </c>
      <c r="J332" s="9" t="s">
        <v>38801</v>
      </c>
      <c r="K332" s="60">
        <v>45411.0</v>
      </c>
      <c r="M332" s="9" t="s">
        <v>10725</v>
      </c>
    </row>
    <row r="333" ht="15.75" hidden="1" customHeight="1">
      <c r="A333" s="9" t="s">
        <v>39394</v>
      </c>
      <c r="B333" s="9" t="s">
        <v>26228</v>
      </c>
      <c r="D333" s="9" t="s">
        <v>12258</v>
      </c>
      <c r="F333" s="9" t="s">
        <v>39395</v>
      </c>
      <c r="G333" s="9" t="s">
        <v>38808</v>
      </c>
      <c r="H333" s="127">
        <v>44545.0</v>
      </c>
      <c r="I333" s="9" t="s">
        <v>47</v>
      </c>
      <c r="J333" s="9" t="s">
        <v>38801</v>
      </c>
      <c r="K333" s="55">
        <v>45411.0</v>
      </c>
      <c r="M333" s="9" t="s">
        <v>10725</v>
      </c>
    </row>
    <row r="334" ht="15.75" hidden="1" customHeight="1">
      <c r="A334" s="9" t="s">
        <v>39396</v>
      </c>
      <c r="B334" s="9" t="s">
        <v>16278</v>
      </c>
      <c r="D334" s="9" t="s">
        <v>12239</v>
      </c>
      <c r="F334" s="9" t="s">
        <v>39397</v>
      </c>
      <c r="G334" s="9" t="s">
        <v>38946</v>
      </c>
      <c r="H334" s="127">
        <v>44545.0</v>
      </c>
      <c r="I334" s="9" t="s">
        <v>19</v>
      </c>
      <c r="J334" s="9" t="s">
        <v>38801</v>
      </c>
      <c r="K334" s="55">
        <v>44614.0</v>
      </c>
      <c r="M334" s="9" t="s">
        <v>9639</v>
      </c>
    </row>
    <row r="335" ht="15.75" hidden="1" customHeight="1">
      <c r="A335" s="9" t="s">
        <v>39398</v>
      </c>
      <c r="B335" s="9" t="s">
        <v>19486</v>
      </c>
      <c r="D335" s="9" t="s">
        <v>12230</v>
      </c>
      <c r="F335" s="9" t="s">
        <v>39399</v>
      </c>
      <c r="G335" s="9" t="s">
        <v>38808</v>
      </c>
      <c r="H335" s="127">
        <v>44546.0</v>
      </c>
      <c r="I335" s="9" t="s">
        <v>52</v>
      </c>
      <c r="J335" s="9" t="s">
        <v>38801</v>
      </c>
      <c r="K335" s="60">
        <v>45411.0</v>
      </c>
      <c r="M335" s="9" t="s">
        <v>8736</v>
      </c>
    </row>
    <row r="336" ht="15.75" hidden="1" customHeight="1">
      <c r="A336" s="9" t="s">
        <v>39400</v>
      </c>
      <c r="B336" s="9" t="s">
        <v>18461</v>
      </c>
      <c r="D336" s="9" t="s">
        <v>12258</v>
      </c>
      <c r="F336" s="9" t="s">
        <v>39401</v>
      </c>
      <c r="G336" s="9" t="s">
        <v>38800</v>
      </c>
      <c r="H336" s="127">
        <v>44546.0</v>
      </c>
      <c r="I336" s="9" t="s">
        <v>52</v>
      </c>
      <c r="J336" s="9" t="s">
        <v>38801</v>
      </c>
      <c r="K336" s="60">
        <v>45411.0</v>
      </c>
      <c r="M336" s="9" t="s">
        <v>9141</v>
      </c>
    </row>
    <row r="337" ht="15.75" hidden="1" customHeight="1">
      <c r="A337" s="9" t="s">
        <v>39402</v>
      </c>
      <c r="B337" s="9" t="s">
        <v>14549</v>
      </c>
      <c r="D337" s="9" t="s">
        <v>12236</v>
      </c>
      <c r="F337" s="9" t="s">
        <v>39403</v>
      </c>
      <c r="G337" s="9" t="s">
        <v>38808</v>
      </c>
      <c r="H337" s="127">
        <v>44546.0</v>
      </c>
      <c r="I337" s="9" t="s">
        <v>47</v>
      </c>
      <c r="J337" s="9" t="s">
        <v>38801</v>
      </c>
      <c r="K337" s="55">
        <v>44783.0</v>
      </c>
      <c r="M337" s="9" t="s">
        <v>255</v>
      </c>
    </row>
    <row r="338" ht="15.75" hidden="1" customHeight="1">
      <c r="A338" s="9" t="s">
        <v>39404</v>
      </c>
      <c r="B338" s="9" t="s">
        <v>19349</v>
      </c>
      <c r="D338" s="9" t="s">
        <v>12250</v>
      </c>
      <c r="F338" s="9" t="s">
        <v>39405</v>
      </c>
      <c r="G338" s="9" t="s">
        <v>38946</v>
      </c>
      <c r="H338" s="127">
        <v>44546.0</v>
      </c>
      <c r="I338" s="9" t="s">
        <v>52</v>
      </c>
      <c r="J338" s="9" t="s">
        <v>38801</v>
      </c>
      <c r="K338" s="55">
        <v>44656.0</v>
      </c>
      <c r="M338" s="9" t="s">
        <v>10658</v>
      </c>
    </row>
    <row r="339" ht="15.75" hidden="1" customHeight="1">
      <c r="A339" s="9" t="s">
        <v>39406</v>
      </c>
      <c r="B339" s="9" t="s">
        <v>19349</v>
      </c>
      <c r="D339" s="9" t="s">
        <v>12239</v>
      </c>
      <c r="F339" s="9" t="s">
        <v>39407</v>
      </c>
      <c r="G339" s="9" t="s">
        <v>38946</v>
      </c>
      <c r="H339" s="127">
        <v>44546.0</v>
      </c>
      <c r="I339" s="9" t="s">
        <v>52</v>
      </c>
      <c r="J339" s="9" t="s">
        <v>38801</v>
      </c>
      <c r="K339" s="55">
        <v>44615.0</v>
      </c>
      <c r="M339" s="9" t="s">
        <v>10658</v>
      </c>
    </row>
    <row r="340" ht="15.75" hidden="1" customHeight="1">
      <c r="A340" s="9" t="s">
        <v>39408</v>
      </c>
      <c r="B340" s="9" t="s">
        <v>19349</v>
      </c>
      <c r="D340" s="9" t="s">
        <v>12230</v>
      </c>
      <c r="F340" s="9" t="s">
        <v>39409</v>
      </c>
      <c r="G340" s="9" t="s">
        <v>38946</v>
      </c>
      <c r="H340" s="127">
        <v>44546.0</v>
      </c>
      <c r="I340" s="9" t="s">
        <v>52</v>
      </c>
      <c r="J340" s="9" t="s">
        <v>38801</v>
      </c>
      <c r="K340" s="55">
        <v>44580.0</v>
      </c>
      <c r="M340" s="9" t="s">
        <v>10658</v>
      </c>
    </row>
    <row r="341" ht="15.75" hidden="1" customHeight="1">
      <c r="A341" s="9" t="s">
        <v>39410</v>
      </c>
      <c r="B341" s="9" t="s">
        <v>18706</v>
      </c>
      <c r="D341" s="9" t="s">
        <v>12236</v>
      </c>
      <c r="F341" s="9" t="s">
        <v>39411</v>
      </c>
      <c r="G341" s="9" t="s">
        <v>38946</v>
      </c>
      <c r="H341" s="127">
        <v>44546.0</v>
      </c>
      <c r="I341" s="9" t="s">
        <v>26</v>
      </c>
      <c r="J341" s="9" t="s">
        <v>38801</v>
      </c>
      <c r="K341" s="55">
        <v>44565.0</v>
      </c>
      <c r="M341" s="9" t="s">
        <v>11657</v>
      </c>
    </row>
    <row r="342" ht="15.75" hidden="1" customHeight="1">
      <c r="A342" s="9" t="s">
        <v>39412</v>
      </c>
      <c r="B342" s="9" t="s">
        <v>15454</v>
      </c>
      <c r="D342" s="9" t="s">
        <v>12233</v>
      </c>
      <c r="F342" s="9" t="s">
        <v>39413</v>
      </c>
      <c r="G342" s="9" t="s">
        <v>38808</v>
      </c>
      <c r="H342" s="127">
        <v>44546.0</v>
      </c>
      <c r="I342" s="9" t="s">
        <v>101</v>
      </c>
      <c r="J342" s="9" t="s">
        <v>38801</v>
      </c>
      <c r="K342" s="61">
        <v>44551.0</v>
      </c>
      <c r="M342" s="9" t="s">
        <v>8578</v>
      </c>
    </row>
    <row r="343" ht="15.75" hidden="1" customHeight="1">
      <c r="A343" s="9" t="s">
        <v>39414</v>
      </c>
      <c r="B343" s="9" t="s">
        <v>21024</v>
      </c>
      <c r="D343" s="9" t="s">
        <v>12230</v>
      </c>
      <c r="F343" s="9" t="s">
        <v>39415</v>
      </c>
      <c r="G343" s="9" t="s">
        <v>38946</v>
      </c>
      <c r="H343" s="127">
        <v>44546.0</v>
      </c>
      <c r="I343" s="9" t="s">
        <v>52</v>
      </c>
      <c r="J343" s="9" t="s">
        <v>38801</v>
      </c>
      <c r="K343" s="61">
        <v>44547.0</v>
      </c>
      <c r="M343" s="9" t="s">
        <v>8114</v>
      </c>
    </row>
    <row r="344" ht="15.75" hidden="1" customHeight="1">
      <c r="A344" s="9" t="s">
        <v>39416</v>
      </c>
      <c r="B344" s="9" t="s">
        <v>19952</v>
      </c>
      <c r="D344" s="9" t="s">
        <v>12248</v>
      </c>
      <c r="F344" s="9" t="s">
        <v>39417</v>
      </c>
      <c r="G344" s="9" t="s">
        <v>38808</v>
      </c>
      <c r="H344" s="127">
        <v>44547.0</v>
      </c>
      <c r="I344" s="9" t="s">
        <v>47</v>
      </c>
      <c r="J344" s="9" t="s">
        <v>38801</v>
      </c>
      <c r="K344" s="55">
        <v>45411.0</v>
      </c>
      <c r="M344" s="9" t="s">
        <v>10245</v>
      </c>
    </row>
    <row r="345" ht="15.75" hidden="1" customHeight="1">
      <c r="A345" s="9" t="s">
        <v>39418</v>
      </c>
      <c r="B345" s="9" t="s">
        <v>17668</v>
      </c>
      <c r="D345" s="9" t="s">
        <v>12236</v>
      </c>
      <c r="F345" s="9" t="s">
        <v>39419</v>
      </c>
      <c r="G345" s="9" t="s">
        <v>38808</v>
      </c>
      <c r="H345" s="127">
        <v>44551.0</v>
      </c>
      <c r="I345" s="9" t="s">
        <v>47</v>
      </c>
      <c r="J345" s="9" t="s">
        <v>38801</v>
      </c>
      <c r="K345" s="55">
        <v>44587.0</v>
      </c>
      <c r="M345" s="9" t="s">
        <v>6224</v>
      </c>
    </row>
    <row r="346" ht="15.75" hidden="1" customHeight="1">
      <c r="A346" s="9" t="s">
        <v>39420</v>
      </c>
      <c r="B346" s="9" t="s">
        <v>14066</v>
      </c>
      <c r="D346" s="9" t="s">
        <v>12230</v>
      </c>
      <c r="F346" s="9" t="s">
        <v>39421</v>
      </c>
      <c r="G346" s="9" t="s">
        <v>38946</v>
      </c>
      <c r="H346" s="127">
        <v>44551.0</v>
      </c>
      <c r="I346" s="9" t="s">
        <v>26</v>
      </c>
      <c r="J346" s="9" t="s">
        <v>38801</v>
      </c>
      <c r="K346" s="55">
        <v>44580.0</v>
      </c>
      <c r="M346" s="9" t="s">
        <v>10378</v>
      </c>
    </row>
    <row r="347" ht="15.75" hidden="1" customHeight="1">
      <c r="A347" s="9" t="s">
        <v>39422</v>
      </c>
      <c r="B347" s="9" t="s">
        <v>18937</v>
      </c>
      <c r="D347" s="9" t="s">
        <v>12233</v>
      </c>
      <c r="F347" s="9" t="s">
        <v>39423</v>
      </c>
      <c r="G347" s="9" t="s">
        <v>38946</v>
      </c>
      <c r="H347" s="127">
        <v>44551.0</v>
      </c>
      <c r="I347" s="9" t="s">
        <v>64</v>
      </c>
      <c r="J347" s="9" t="s">
        <v>38801</v>
      </c>
      <c r="K347" s="61">
        <v>44557.0</v>
      </c>
      <c r="M347" s="9" t="s">
        <v>3810</v>
      </c>
    </row>
    <row r="348" ht="15.75" customHeight="1">
      <c r="A348" s="9" t="s">
        <v>39424</v>
      </c>
      <c r="B348" s="9" t="s">
        <v>19349</v>
      </c>
      <c r="D348" s="9" t="s">
        <v>12227</v>
      </c>
      <c r="E348" s="9" t="s">
        <v>38803</v>
      </c>
      <c r="F348" s="9" t="s">
        <v>39425</v>
      </c>
      <c r="G348" s="9" t="s">
        <v>38946</v>
      </c>
      <c r="H348" s="127">
        <v>44551.0</v>
      </c>
      <c r="I348" s="9" t="s">
        <v>52</v>
      </c>
      <c r="J348" s="9" t="s">
        <v>38805</v>
      </c>
      <c r="M348" s="9" t="s">
        <v>10658</v>
      </c>
    </row>
    <row r="349" ht="15.75" hidden="1" customHeight="1">
      <c r="A349" s="9" t="s">
        <v>39426</v>
      </c>
      <c r="B349" s="9" t="s">
        <v>19349</v>
      </c>
      <c r="D349" s="9" t="s">
        <v>12236</v>
      </c>
      <c r="F349" s="9" t="s">
        <v>39427</v>
      </c>
      <c r="G349" s="9" t="s">
        <v>38946</v>
      </c>
      <c r="H349" s="127">
        <v>44552.0</v>
      </c>
      <c r="I349" s="9" t="s">
        <v>52</v>
      </c>
      <c r="J349" s="9" t="s">
        <v>38801</v>
      </c>
      <c r="K349" s="55">
        <v>44615.0</v>
      </c>
      <c r="M349" s="9" t="s">
        <v>10658</v>
      </c>
    </row>
    <row r="350" ht="15.75" hidden="1" customHeight="1">
      <c r="A350" s="9" t="s">
        <v>39428</v>
      </c>
      <c r="B350" s="9" t="s">
        <v>14449</v>
      </c>
      <c r="D350" s="9" t="s">
        <v>12233</v>
      </c>
      <c r="F350" s="9" t="s">
        <v>39429</v>
      </c>
      <c r="G350" s="9" t="s">
        <v>38946</v>
      </c>
      <c r="H350" s="127">
        <v>44552.0</v>
      </c>
      <c r="I350" s="9" t="s">
        <v>89</v>
      </c>
      <c r="J350" s="9" t="s">
        <v>38801</v>
      </c>
      <c r="K350" s="61">
        <v>44557.0</v>
      </c>
      <c r="M350" s="9" t="s">
        <v>10509</v>
      </c>
    </row>
    <row r="351" ht="15.75" hidden="1" customHeight="1">
      <c r="A351" s="9" t="s">
        <v>39430</v>
      </c>
      <c r="B351" s="9" t="s">
        <v>18405</v>
      </c>
      <c r="D351" s="9" t="s">
        <v>12230</v>
      </c>
      <c r="F351" s="9" t="s">
        <v>39431</v>
      </c>
      <c r="G351" s="9" t="s">
        <v>38946</v>
      </c>
      <c r="H351" s="127">
        <v>44554.0</v>
      </c>
      <c r="I351" s="9" t="s">
        <v>52</v>
      </c>
      <c r="J351" s="9" t="s">
        <v>38801</v>
      </c>
      <c r="K351" s="55">
        <v>44580.0</v>
      </c>
      <c r="M351" s="9" t="s">
        <v>10608</v>
      </c>
    </row>
    <row r="352" ht="15.75" hidden="1" customHeight="1">
      <c r="A352" s="9" t="s">
        <v>39432</v>
      </c>
      <c r="B352" s="9" t="s">
        <v>18405</v>
      </c>
      <c r="D352" s="9" t="s">
        <v>12230</v>
      </c>
      <c r="F352" s="9" t="s">
        <v>39433</v>
      </c>
      <c r="G352" s="9" t="s">
        <v>38946</v>
      </c>
      <c r="H352" s="127">
        <v>44554.0</v>
      </c>
      <c r="I352" s="9" t="s">
        <v>52</v>
      </c>
      <c r="J352" s="9" t="s">
        <v>38801</v>
      </c>
      <c r="K352" s="55">
        <v>44580.0</v>
      </c>
      <c r="M352" s="9" t="s">
        <v>12030</v>
      </c>
    </row>
    <row r="353" ht="15.75" hidden="1" customHeight="1">
      <c r="A353" s="9" t="s">
        <v>39434</v>
      </c>
      <c r="B353" s="9" t="s">
        <v>16463</v>
      </c>
      <c r="D353" s="9" t="s">
        <v>12230</v>
      </c>
      <c r="F353" s="9" t="s">
        <v>39435</v>
      </c>
      <c r="G353" s="9" t="s">
        <v>38808</v>
      </c>
      <c r="H353" s="127">
        <v>44554.0</v>
      </c>
      <c r="I353" s="9" t="s">
        <v>47</v>
      </c>
      <c r="J353" s="9" t="s">
        <v>38801</v>
      </c>
      <c r="K353" s="55">
        <v>44568.0</v>
      </c>
      <c r="M353" s="9" t="s">
        <v>9429</v>
      </c>
    </row>
    <row r="354" ht="15.75" hidden="1" customHeight="1">
      <c r="A354" s="9" t="s">
        <v>39436</v>
      </c>
      <c r="B354" s="9" t="s">
        <v>13979</v>
      </c>
      <c r="D354" s="9" t="s">
        <v>12246</v>
      </c>
      <c r="F354" s="9" t="s">
        <v>39437</v>
      </c>
      <c r="G354" s="9" t="s">
        <v>38946</v>
      </c>
      <c r="H354" s="127">
        <v>44557.0</v>
      </c>
      <c r="I354" s="9" t="s">
        <v>26</v>
      </c>
      <c r="J354" s="9" t="s">
        <v>38801</v>
      </c>
      <c r="K354" s="55">
        <v>46095.0</v>
      </c>
      <c r="M354" s="9" t="s">
        <v>8448</v>
      </c>
    </row>
    <row r="355" ht="15.75" hidden="1" customHeight="1">
      <c r="A355" s="9" t="s">
        <v>39438</v>
      </c>
      <c r="B355" s="9" t="s">
        <v>20850</v>
      </c>
      <c r="D355" s="9" t="s">
        <v>12246</v>
      </c>
      <c r="F355" s="9" t="s">
        <v>39439</v>
      </c>
      <c r="G355" s="9" t="s">
        <v>38946</v>
      </c>
      <c r="H355" s="127">
        <v>44558.0</v>
      </c>
      <c r="I355" s="9" t="s">
        <v>52</v>
      </c>
      <c r="J355" s="9" t="s">
        <v>38801</v>
      </c>
      <c r="K355" s="55">
        <v>45411.0</v>
      </c>
      <c r="M355" s="9" t="s">
        <v>9063</v>
      </c>
    </row>
    <row r="356" ht="15.75" hidden="1" customHeight="1">
      <c r="A356" s="9" t="s">
        <v>39440</v>
      </c>
      <c r="B356" s="9" t="s">
        <v>14777</v>
      </c>
      <c r="D356" s="9" t="s">
        <v>12250</v>
      </c>
      <c r="F356" s="9" t="s">
        <v>39441</v>
      </c>
      <c r="G356" s="9" t="s">
        <v>38946</v>
      </c>
      <c r="H356" s="127">
        <v>44558.0</v>
      </c>
      <c r="I356" s="9" t="s">
        <v>52</v>
      </c>
      <c r="J356" s="9" t="s">
        <v>38801</v>
      </c>
      <c r="K356" s="55">
        <v>44656.0</v>
      </c>
      <c r="M356" s="9" t="s">
        <v>8100</v>
      </c>
    </row>
    <row r="357" ht="15.75" hidden="1" customHeight="1">
      <c r="A357" s="9" t="s">
        <v>39442</v>
      </c>
      <c r="B357" s="9" t="s">
        <v>19972</v>
      </c>
      <c r="D357" s="9" t="s">
        <v>12230</v>
      </c>
      <c r="F357" s="9" t="s">
        <v>39443</v>
      </c>
      <c r="G357" s="9" t="s">
        <v>38808</v>
      </c>
      <c r="H357" s="127">
        <v>44559.0</v>
      </c>
      <c r="I357" s="9" t="s">
        <v>52</v>
      </c>
      <c r="J357" s="9" t="s">
        <v>38801</v>
      </c>
      <c r="K357" s="55">
        <v>45411.0</v>
      </c>
      <c r="M357" s="9" t="s">
        <v>10247</v>
      </c>
    </row>
    <row r="358" ht="15.75" hidden="1" customHeight="1">
      <c r="A358" s="9" t="s">
        <v>39444</v>
      </c>
      <c r="B358" s="9" t="s">
        <v>20785</v>
      </c>
      <c r="D358" s="9" t="s">
        <v>12236</v>
      </c>
      <c r="F358" s="9" t="s">
        <v>39445</v>
      </c>
      <c r="G358" s="9" t="s">
        <v>38946</v>
      </c>
      <c r="H358" s="127">
        <v>44559.0</v>
      </c>
      <c r="I358" s="9" t="s">
        <v>52</v>
      </c>
      <c r="J358" s="9" t="s">
        <v>38801</v>
      </c>
      <c r="K358" s="60">
        <v>44882.0</v>
      </c>
      <c r="M358" s="9" t="s">
        <v>9590</v>
      </c>
    </row>
    <row r="359" ht="15.75" hidden="1" customHeight="1">
      <c r="A359" s="9" t="s">
        <v>39446</v>
      </c>
      <c r="B359" s="9" t="s">
        <v>14635</v>
      </c>
      <c r="D359" s="9" t="s">
        <v>12246</v>
      </c>
      <c r="F359" s="9" t="s">
        <v>14639</v>
      </c>
      <c r="G359" s="9" t="s">
        <v>38946</v>
      </c>
      <c r="H359" s="127">
        <v>44559.0</v>
      </c>
      <c r="I359" s="9" t="s">
        <v>96</v>
      </c>
      <c r="J359" s="9" t="s">
        <v>38801</v>
      </c>
      <c r="K359" s="55">
        <v>44579.0</v>
      </c>
      <c r="M359" s="9" t="s">
        <v>8657</v>
      </c>
    </row>
    <row r="360" ht="15.75" hidden="1" customHeight="1">
      <c r="A360" s="9" t="s">
        <v>39447</v>
      </c>
      <c r="B360" s="9" t="s">
        <v>20785</v>
      </c>
      <c r="D360" s="9" t="s">
        <v>12230</v>
      </c>
      <c r="F360" s="9" t="s">
        <v>39448</v>
      </c>
      <c r="G360" s="9" t="s">
        <v>38946</v>
      </c>
      <c r="H360" s="127">
        <v>44559.0</v>
      </c>
      <c r="I360" s="9" t="s">
        <v>52</v>
      </c>
      <c r="J360" s="9" t="s">
        <v>38801</v>
      </c>
      <c r="K360" s="61">
        <v>44559.0</v>
      </c>
      <c r="M360" s="9" t="s">
        <v>9590</v>
      </c>
    </row>
    <row r="361" ht="15.75" hidden="1" customHeight="1">
      <c r="A361" s="9" t="s">
        <v>39449</v>
      </c>
      <c r="B361" s="9" t="s">
        <v>21286</v>
      </c>
      <c r="D361" s="9" t="s">
        <v>12258</v>
      </c>
      <c r="F361" s="9" t="s">
        <v>39450</v>
      </c>
      <c r="G361" s="9" t="s">
        <v>38808</v>
      </c>
      <c r="H361" s="127">
        <v>44560.0</v>
      </c>
      <c r="I361" s="9" t="s">
        <v>52</v>
      </c>
      <c r="J361" s="9" t="s">
        <v>38801</v>
      </c>
      <c r="K361" s="61">
        <v>44560.0</v>
      </c>
      <c r="M361" s="9" t="s">
        <v>12033</v>
      </c>
    </row>
    <row r="362" ht="15.75" hidden="1" customHeight="1">
      <c r="A362" s="9" t="s">
        <v>39451</v>
      </c>
      <c r="B362" s="9" t="s">
        <v>18879</v>
      </c>
      <c r="D362" s="9" t="s">
        <v>12230</v>
      </c>
      <c r="F362" s="9" t="s">
        <v>39452</v>
      </c>
      <c r="G362" s="9" t="s">
        <v>38946</v>
      </c>
      <c r="H362" s="127">
        <v>44564.0</v>
      </c>
      <c r="I362" s="9" t="s">
        <v>52</v>
      </c>
      <c r="J362" s="9" t="s">
        <v>38801</v>
      </c>
      <c r="K362" s="55">
        <v>44587.0</v>
      </c>
      <c r="M362" s="9" t="s">
        <v>11917</v>
      </c>
    </row>
    <row r="363" ht="15.75" hidden="1" customHeight="1">
      <c r="A363" s="9" t="s">
        <v>39453</v>
      </c>
      <c r="B363" s="9" t="s">
        <v>13052</v>
      </c>
      <c r="D363" s="9" t="s">
        <v>12230</v>
      </c>
      <c r="F363" s="9" t="s">
        <v>39454</v>
      </c>
      <c r="G363" s="9" t="s">
        <v>38946</v>
      </c>
      <c r="H363" s="127">
        <v>44564.0</v>
      </c>
      <c r="I363" s="9" t="s">
        <v>52</v>
      </c>
      <c r="J363" s="9" t="s">
        <v>38801</v>
      </c>
      <c r="K363" s="55">
        <v>46099.0</v>
      </c>
      <c r="M363" s="9" t="s">
        <v>10079</v>
      </c>
    </row>
    <row r="364" ht="15.75" hidden="1" customHeight="1">
      <c r="A364" s="9" t="s">
        <v>39455</v>
      </c>
      <c r="B364" s="9" t="s">
        <v>18879</v>
      </c>
      <c r="D364" s="9" t="s">
        <v>12236</v>
      </c>
      <c r="F364" s="9" t="s">
        <v>39456</v>
      </c>
      <c r="G364" s="9" t="s">
        <v>38946</v>
      </c>
      <c r="H364" s="127">
        <v>44564.0</v>
      </c>
      <c r="I364" s="9" t="s">
        <v>52</v>
      </c>
      <c r="J364" s="9" t="s">
        <v>38801</v>
      </c>
      <c r="K364" s="55">
        <v>44564.0</v>
      </c>
      <c r="M364" s="9" t="s">
        <v>11917</v>
      </c>
    </row>
    <row r="365" ht="15.75" hidden="1" customHeight="1">
      <c r="A365" s="9" t="s">
        <v>39457</v>
      </c>
      <c r="B365" s="9" t="s">
        <v>17240</v>
      </c>
      <c r="D365" s="9" t="s">
        <v>12236</v>
      </c>
      <c r="F365" s="9" t="s">
        <v>39458</v>
      </c>
      <c r="G365" s="9" t="s">
        <v>38946</v>
      </c>
      <c r="H365" s="127">
        <v>44566.0</v>
      </c>
      <c r="I365" s="9" t="s">
        <v>52</v>
      </c>
      <c r="J365" s="9" t="s">
        <v>38801</v>
      </c>
      <c r="K365" s="55">
        <v>45152.0</v>
      </c>
      <c r="M365" s="9" t="s">
        <v>4045</v>
      </c>
    </row>
    <row r="366" ht="15.75" hidden="1" customHeight="1">
      <c r="A366" s="9" t="s">
        <v>39459</v>
      </c>
      <c r="B366" s="9" t="s">
        <v>17240</v>
      </c>
      <c r="D366" s="9" t="s">
        <v>12236</v>
      </c>
      <c r="F366" s="9" t="s">
        <v>39458</v>
      </c>
      <c r="G366" s="9" t="s">
        <v>38946</v>
      </c>
      <c r="H366" s="127">
        <v>44566.0</v>
      </c>
      <c r="I366" s="9" t="s">
        <v>52</v>
      </c>
      <c r="J366" s="9" t="s">
        <v>38801</v>
      </c>
      <c r="K366" s="55">
        <v>45061.0</v>
      </c>
      <c r="M366" s="9" t="s">
        <v>4034</v>
      </c>
    </row>
    <row r="367" ht="15.75" hidden="1" customHeight="1">
      <c r="A367" s="9" t="s">
        <v>39460</v>
      </c>
      <c r="B367" s="9" t="s">
        <v>17551</v>
      </c>
      <c r="D367" s="9" t="s">
        <v>12239</v>
      </c>
      <c r="F367" s="9" t="s">
        <v>39461</v>
      </c>
      <c r="G367" s="9" t="s">
        <v>38946</v>
      </c>
      <c r="H367" s="127">
        <v>44567.0</v>
      </c>
      <c r="I367" s="9" t="s">
        <v>52</v>
      </c>
      <c r="J367" s="9" t="s">
        <v>38801</v>
      </c>
      <c r="K367" s="55">
        <v>44574.0</v>
      </c>
      <c r="M367" s="9" t="s">
        <v>8211</v>
      </c>
    </row>
    <row r="368" ht="15.75" hidden="1" customHeight="1">
      <c r="A368" s="9" t="s">
        <v>39462</v>
      </c>
      <c r="B368" s="9" t="s">
        <v>15860</v>
      </c>
      <c r="D368" s="9" t="s">
        <v>12239</v>
      </c>
      <c r="F368" s="9" t="s">
        <v>39463</v>
      </c>
      <c r="G368" s="9" t="s">
        <v>38946</v>
      </c>
      <c r="H368" s="127">
        <v>44568.0</v>
      </c>
      <c r="I368" s="9" t="s">
        <v>52</v>
      </c>
      <c r="J368" s="9" t="s">
        <v>38801</v>
      </c>
      <c r="K368" s="55">
        <v>44611.0</v>
      </c>
      <c r="M368" s="9" t="s">
        <v>1530</v>
      </c>
    </row>
    <row r="369" ht="15.75" hidden="1" customHeight="1">
      <c r="A369" s="9" t="s">
        <v>39464</v>
      </c>
      <c r="B369" s="9" t="s">
        <v>19930</v>
      </c>
      <c r="D369" s="9" t="s">
        <v>12230</v>
      </c>
      <c r="F369" s="9" t="s">
        <v>39465</v>
      </c>
      <c r="G369" s="9" t="s">
        <v>38946</v>
      </c>
      <c r="H369" s="127">
        <v>44568.0</v>
      </c>
      <c r="I369" s="9" t="s">
        <v>52</v>
      </c>
      <c r="J369" s="9" t="s">
        <v>38801</v>
      </c>
      <c r="K369" s="55">
        <v>44580.0</v>
      </c>
      <c r="M369" s="9" t="s">
        <v>11671</v>
      </c>
    </row>
    <row r="370" ht="15.75" hidden="1" customHeight="1">
      <c r="A370" s="9" t="s">
        <v>39466</v>
      </c>
      <c r="B370" s="9" t="s">
        <v>12356</v>
      </c>
      <c r="D370" s="9" t="s">
        <v>12230</v>
      </c>
      <c r="F370" s="9" t="s">
        <v>39467</v>
      </c>
      <c r="G370" s="9" t="s">
        <v>38808</v>
      </c>
      <c r="H370" s="127">
        <v>44571.0</v>
      </c>
      <c r="I370" s="9" t="s">
        <v>47</v>
      </c>
      <c r="J370" s="9" t="s">
        <v>38801</v>
      </c>
      <c r="K370" s="55">
        <v>46100.0</v>
      </c>
      <c r="M370" s="9" t="s">
        <v>10662</v>
      </c>
    </row>
    <row r="371" ht="15.75" hidden="1" customHeight="1">
      <c r="A371" s="9" t="s">
        <v>39468</v>
      </c>
      <c r="B371" s="9" t="s">
        <v>18799</v>
      </c>
      <c r="D371" s="9" t="s">
        <v>12230</v>
      </c>
      <c r="F371" s="9" t="s">
        <v>39469</v>
      </c>
      <c r="G371" s="9" t="s">
        <v>38808</v>
      </c>
      <c r="H371" s="127">
        <v>44571.0</v>
      </c>
      <c r="I371" s="9" t="s">
        <v>47</v>
      </c>
      <c r="J371" s="9" t="s">
        <v>38801</v>
      </c>
      <c r="K371" s="55">
        <v>45411.0</v>
      </c>
      <c r="M371" s="9" t="s">
        <v>2029</v>
      </c>
    </row>
    <row r="372" ht="15.75" hidden="1" customHeight="1">
      <c r="A372" s="9" t="s">
        <v>39470</v>
      </c>
      <c r="B372" s="9" t="s">
        <v>18799</v>
      </c>
      <c r="D372" s="9" t="s">
        <v>12250</v>
      </c>
      <c r="F372" s="9" t="s">
        <v>39471</v>
      </c>
      <c r="G372" s="9" t="s">
        <v>38808</v>
      </c>
      <c r="H372" s="127">
        <v>44571.0</v>
      </c>
      <c r="I372" s="9" t="s">
        <v>47</v>
      </c>
      <c r="J372" s="9" t="s">
        <v>38801</v>
      </c>
      <c r="K372" s="55">
        <v>45411.0</v>
      </c>
      <c r="M372" s="9" t="s">
        <v>2029</v>
      </c>
    </row>
    <row r="373" ht="15.75" hidden="1" customHeight="1">
      <c r="A373" s="9" t="s">
        <v>39472</v>
      </c>
      <c r="B373" s="9" t="s">
        <v>19334</v>
      </c>
      <c r="D373" s="9" t="s">
        <v>12236</v>
      </c>
      <c r="F373" s="9" t="s">
        <v>39473</v>
      </c>
      <c r="G373" s="9" t="s">
        <v>38946</v>
      </c>
      <c r="H373" s="127">
        <v>44571.0</v>
      </c>
      <c r="I373" s="9" t="s">
        <v>52</v>
      </c>
      <c r="J373" s="9" t="s">
        <v>38801</v>
      </c>
      <c r="K373" s="55">
        <v>44608.0</v>
      </c>
      <c r="M373" s="9" t="s">
        <v>9594</v>
      </c>
    </row>
    <row r="374" ht="15.75" hidden="1" customHeight="1">
      <c r="A374" s="9" t="s">
        <v>39474</v>
      </c>
      <c r="B374" s="9" t="s">
        <v>17475</v>
      </c>
      <c r="D374" s="9" t="s">
        <v>12230</v>
      </c>
      <c r="F374" s="9" t="s">
        <v>39452</v>
      </c>
      <c r="G374" s="9" t="s">
        <v>38946</v>
      </c>
      <c r="H374" s="127">
        <v>44571.0</v>
      </c>
      <c r="I374" s="9" t="s">
        <v>52</v>
      </c>
      <c r="J374" s="9" t="s">
        <v>38801</v>
      </c>
      <c r="K374" s="55">
        <v>44581.0</v>
      </c>
      <c r="M374" s="9" t="s">
        <v>12102</v>
      </c>
    </row>
    <row r="375" ht="15.75" hidden="1" customHeight="1">
      <c r="A375" s="9" t="s">
        <v>39475</v>
      </c>
      <c r="B375" s="9" t="s">
        <v>13842</v>
      </c>
      <c r="D375" s="9" t="s">
        <v>12250</v>
      </c>
      <c r="F375" s="9" t="s">
        <v>39476</v>
      </c>
      <c r="G375" s="9" t="s">
        <v>38946</v>
      </c>
      <c r="H375" s="127">
        <v>44571.0</v>
      </c>
      <c r="I375" s="9" t="s">
        <v>52</v>
      </c>
      <c r="J375" s="9" t="s">
        <v>38801</v>
      </c>
      <c r="K375" s="55">
        <v>44573.0</v>
      </c>
      <c r="M375" s="9" t="s">
        <v>10113</v>
      </c>
    </row>
    <row r="376" ht="15.75" hidden="1" customHeight="1">
      <c r="A376" s="9" t="s">
        <v>39477</v>
      </c>
      <c r="B376" s="9" t="s">
        <v>20950</v>
      </c>
      <c r="D376" s="9" t="s">
        <v>12230</v>
      </c>
      <c r="F376" s="9" t="s">
        <v>39478</v>
      </c>
      <c r="G376" s="9" t="s">
        <v>38946</v>
      </c>
      <c r="H376" s="127">
        <v>44571.0</v>
      </c>
      <c r="I376" s="9" t="s">
        <v>52</v>
      </c>
      <c r="J376" s="9" t="s">
        <v>38801</v>
      </c>
      <c r="K376" s="55">
        <v>44571.0</v>
      </c>
      <c r="M376" s="9" t="s">
        <v>9688</v>
      </c>
    </row>
    <row r="377" ht="15.75" hidden="1" customHeight="1">
      <c r="A377" s="9" t="s">
        <v>39479</v>
      </c>
      <c r="B377" s="9" t="s">
        <v>18230</v>
      </c>
      <c r="D377" s="9" t="s">
        <v>12252</v>
      </c>
      <c r="F377" s="9" t="s">
        <v>39480</v>
      </c>
      <c r="G377" s="9" t="s">
        <v>38946</v>
      </c>
      <c r="H377" s="127">
        <v>44572.0</v>
      </c>
      <c r="I377" s="9" t="s">
        <v>47</v>
      </c>
      <c r="J377" s="9" t="s">
        <v>38801</v>
      </c>
      <c r="K377" s="55">
        <v>45411.0</v>
      </c>
      <c r="M377" s="9" t="s">
        <v>10603</v>
      </c>
    </row>
    <row r="378" ht="15.75" hidden="1" customHeight="1">
      <c r="A378" s="9" t="s">
        <v>39481</v>
      </c>
      <c r="B378" s="9" t="s">
        <v>18230</v>
      </c>
      <c r="D378" s="9" t="s">
        <v>12230</v>
      </c>
      <c r="F378" s="9" t="s">
        <v>39039</v>
      </c>
      <c r="G378" s="9" t="s">
        <v>38946</v>
      </c>
      <c r="H378" s="127">
        <v>44572.0</v>
      </c>
      <c r="I378" s="9" t="s">
        <v>47</v>
      </c>
      <c r="J378" s="9" t="s">
        <v>38801</v>
      </c>
      <c r="K378" s="55">
        <v>45411.0</v>
      </c>
      <c r="M378" s="9" t="s">
        <v>10603</v>
      </c>
    </row>
    <row r="379" ht="15.75" hidden="1" customHeight="1">
      <c r="A379" s="9" t="s">
        <v>39482</v>
      </c>
      <c r="B379" s="9" t="s">
        <v>14066</v>
      </c>
      <c r="D379" s="9" t="s">
        <v>12236</v>
      </c>
      <c r="F379" s="9" t="s">
        <v>39483</v>
      </c>
      <c r="G379" s="9" t="s">
        <v>38946</v>
      </c>
      <c r="H379" s="127">
        <v>44572.0</v>
      </c>
      <c r="I379" s="9" t="s">
        <v>52</v>
      </c>
      <c r="J379" s="9" t="s">
        <v>38801</v>
      </c>
      <c r="K379" s="55">
        <v>44606.0</v>
      </c>
      <c r="M379" s="9" t="s">
        <v>10378</v>
      </c>
    </row>
    <row r="380" ht="15.75" hidden="1" customHeight="1">
      <c r="A380" s="9" t="s">
        <v>39484</v>
      </c>
      <c r="B380" s="9" t="s">
        <v>16007</v>
      </c>
      <c r="D380" s="9" t="s">
        <v>12230</v>
      </c>
      <c r="F380" s="9" t="s">
        <v>39485</v>
      </c>
      <c r="G380" s="9" t="s">
        <v>38808</v>
      </c>
      <c r="H380" s="127">
        <v>44572.0</v>
      </c>
      <c r="I380" s="9" t="s">
        <v>47</v>
      </c>
      <c r="J380" s="9" t="s">
        <v>38801</v>
      </c>
      <c r="K380" s="55">
        <v>44573.0</v>
      </c>
      <c r="M380" s="9" t="s">
        <v>5037</v>
      </c>
    </row>
    <row r="381" ht="15.75" hidden="1" customHeight="1">
      <c r="A381" s="9" t="s">
        <v>39486</v>
      </c>
      <c r="B381" s="9" t="s">
        <v>20675</v>
      </c>
      <c r="D381" s="9" t="s">
        <v>12236</v>
      </c>
      <c r="F381" s="9" t="s">
        <v>39487</v>
      </c>
      <c r="G381" s="9" t="s">
        <v>38946</v>
      </c>
      <c r="H381" s="127">
        <v>44573.0</v>
      </c>
      <c r="I381" s="9" t="s">
        <v>52</v>
      </c>
      <c r="J381" s="9" t="s">
        <v>38801</v>
      </c>
      <c r="K381" s="55">
        <v>44609.0</v>
      </c>
      <c r="M381" s="9" t="s">
        <v>6411</v>
      </c>
    </row>
    <row r="382" ht="15.75" hidden="1" customHeight="1">
      <c r="A382" s="9" t="s">
        <v>39488</v>
      </c>
      <c r="B382" s="9" t="s">
        <v>13568</v>
      </c>
      <c r="D382" s="9" t="s">
        <v>12239</v>
      </c>
      <c r="F382" s="9" t="s">
        <v>39489</v>
      </c>
      <c r="G382" s="9" t="s">
        <v>38946</v>
      </c>
      <c r="H382" s="127">
        <v>44573.0</v>
      </c>
      <c r="I382" s="9" t="s">
        <v>52</v>
      </c>
      <c r="J382" s="9" t="s">
        <v>38801</v>
      </c>
      <c r="K382" s="55">
        <v>44586.0</v>
      </c>
      <c r="M382" s="9" t="s">
        <v>7328</v>
      </c>
    </row>
    <row r="383" ht="15.75" hidden="1" customHeight="1">
      <c r="A383" s="9" t="s">
        <v>39490</v>
      </c>
      <c r="B383" s="9" t="s">
        <v>21005</v>
      </c>
      <c r="D383" s="9" t="s">
        <v>12230</v>
      </c>
      <c r="F383" s="9" t="s">
        <v>39491</v>
      </c>
      <c r="G383" s="9" t="s">
        <v>38946</v>
      </c>
      <c r="H383" s="127">
        <v>44573.0</v>
      </c>
      <c r="I383" s="9" t="s">
        <v>52</v>
      </c>
      <c r="J383" s="9" t="s">
        <v>38801</v>
      </c>
      <c r="K383" s="55">
        <v>44574.0</v>
      </c>
      <c r="M383" s="9" t="s">
        <v>10014</v>
      </c>
    </row>
    <row r="384" ht="15.75" hidden="1" customHeight="1">
      <c r="A384" s="9" t="s">
        <v>39492</v>
      </c>
      <c r="B384" s="9" t="s">
        <v>16007</v>
      </c>
      <c r="D384" s="9" t="s">
        <v>12258</v>
      </c>
      <c r="F384" s="9" t="s">
        <v>39493</v>
      </c>
      <c r="G384" s="9" t="s">
        <v>38946</v>
      </c>
      <c r="H384" s="127">
        <v>44573.0</v>
      </c>
      <c r="I384" s="9" t="s">
        <v>47</v>
      </c>
      <c r="J384" s="9" t="s">
        <v>38801</v>
      </c>
      <c r="K384" s="55">
        <v>44573.0</v>
      </c>
      <c r="M384" s="9" t="s">
        <v>5037</v>
      </c>
    </row>
    <row r="385" ht="15.75" hidden="1" customHeight="1">
      <c r="A385" s="9" t="s">
        <v>39494</v>
      </c>
      <c r="B385" s="9" t="s">
        <v>20339</v>
      </c>
      <c r="D385" s="9" t="s">
        <v>12230</v>
      </c>
      <c r="F385" s="9" t="s">
        <v>39495</v>
      </c>
      <c r="G385" s="9" t="s">
        <v>38808</v>
      </c>
      <c r="H385" s="127">
        <v>44574.0</v>
      </c>
      <c r="I385" s="9" t="s">
        <v>47</v>
      </c>
      <c r="J385" s="9" t="s">
        <v>38801</v>
      </c>
      <c r="K385" s="55">
        <v>45411.0</v>
      </c>
      <c r="M385" s="9" t="s">
        <v>6269</v>
      </c>
    </row>
    <row r="386" ht="15.75" hidden="1" customHeight="1">
      <c r="A386" s="9" t="s">
        <v>39496</v>
      </c>
      <c r="B386" s="9" t="s">
        <v>19610</v>
      </c>
      <c r="D386" s="9" t="s">
        <v>12236</v>
      </c>
      <c r="F386" s="9" t="s">
        <v>39497</v>
      </c>
      <c r="G386" s="9" t="s">
        <v>38946</v>
      </c>
      <c r="H386" s="127">
        <v>44574.0</v>
      </c>
      <c r="I386" s="9" t="s">
        <v>52</v>
      </c>
      <c r="J386" s="9" t="s">
        <v>38801</v>
      </c>
      <c r="K386" s="60">
        <v>44882.0</v>
      </c>
      <c r="M386" s="9" t="s">
        <v>9868</v>
      </c>
    </row>
    <row r="387" ht="15.75" hidden="1" customHeight="1">
      <c r="A387" s="9" t="s">
        <v>39498</v>
      </c>
      <c r="B387" s="9" t="s">
        <v>17418</v>
      </c>
      <c r="D387" s="9" t="s">
        <v>12236</v>
      </c>
      <c r="F387" s="9" t="s">
        <v>39499</v>
      </c>
      <c r="G387" s="9" t="s">
        <v>38946</v>
      </c>
      <c r="H387" s="127">
        <v>44574.0</v>
      </c>
      <c r="I387" s="9" t="s">
        <v>52</v>
      </c>
      <c r="J387" s="9" t="s">
        <v>38801</v>
      </c>
      <c r="K387" s="55">
        <v>44746.0</v>
      </c>
      <c r="M387" s="9" t="s">
        <v>10562</v>
      </c>
    </row>
    <row r="388" ht="15.75" hidden="1" customHeight="1">
      <c r="A388" s="9" t="s">
        <v>39500</v>
      </c>
      <c r="B388" s="9" t="s">
        <v>17418</v>
      </c>
      <c r="D388" s="9" t="s">
        <v>12230</v>
      </c>
      <c r="F388" s="9" t="s">
        <v>39452</v>
      </c>
      <c r="G388" s="9" t="s">
        <v>38946</v>
      </c>
      <c r="H388" s="127">
        <v>44574.0</v>
      </c>
      <c r="I388" s="9" t="s">
        <v>52</v>
      </c>
      <c r="J388" s="9" t="s">
        <v>38801</v>
      </c>
      <c r="K388" s="55">
        <v>44580.0</v>
      </c>
      <c r="M388" s="9" t="s">
        <v>10562</v>
      </c>
    </row>
    <row r="389" ht="15.75" hidden="1" customHeight="1">
      <c r="A389" s="9" t="s">
        <v>39501</v>
      </c>
      <c r="B389" s="9" t="s">
        <v>16463</v>
      </c>
      <c r="D389" s="9" t="s">
        <v>12246</v>
      </c>
      <c r="F389" s="9" t="s">
        <v>39502</v>
      </c>
      <c r="G389" s="9" t="s">
        <v>38946</v>
      </c>
      <c r="H389" s="127">
        <v>44574.0</v>
      </c>
      <c r="I389" s="9" t="s">
        <v>52</v>
      </c>
      <c r="J389" s="9" t="s">
        <v>38801</v>
      </c>
      <c r="K389" s="55">
        <v>44579.0</v>
      </c>
      <c r="M389" s="9" t="s">
        <v>9429</v>
      </c>
    </row>
    <row r="390" ht="15.75" hidden="1" customHeight="1">
      <c r="A390" s="9" t="s">
        <v>39503</v>
      </c>
      <c r="B390" s="9" t="s">
        <v>16007</v>
      </c>
      <c r="D390" s="9" t="s">
        <v>12230</v>
      </c>
      <c r="F390" s="9" t="s">
        <v>39504</v>
      </c>
      <c r="G390" s="9" t="s">
        <v>38808</v>
      </c>
      <c r="H390" s="127">
        <v>44574.0</v>
      </c>
      <c r="I390" s="9" t="s">
        <v>47</v>
      </c>
      <c r="J390" s="9" t="s">
        <v>38801</v>
      </c>
      <c r="K390" s="55">
        <v>44574.0</v>
      </c>
      <c r="M390" s="9" t="s">
        <v>7526</v>
      </c>
    </row>
    <row r="391" ht="15.75" customHeight="1">
      <c r="A391" s="9" t="s">
        <v>39505</v>
      </c>
      <c r="B391" s="9" t="s">
        <v>17418</v>
      </c>
      <c r="D391" s="9" t="s">
        <v>12227</v>
      </c>
      <c r="E391" s="9" t="s">
        <v>38803</v>
      </c>
      <c r="F391" s="9" t="s">
        <v>39506</v>
      </c>
      <c r="G391" s="9" t="s">
        <v>38946</v>
      </c>
      <c r="H391" s="127">
        <v>44574.0</v>
      </c>
      <c r="I391" s="9" t="s">
        <v>52</v>
      </c>
      <c r="J391" s="9" t="s">
        <v>38805</v>
      </c>
      <c r="M391" s="9" t="s">
        <v>10562</v>
      </c>
    </row>
    <row r="392" ht="15.75" hidden="1" customHeight="1">
      <c r="A392" s="9" t="s">
        <v>39507</v>
      </c>
      <c r="B392" s="9" t="s">
        <v>17535</v>
      </c>
      <c r="D392" s="9" t="s">
        <v>12248</v>
      </c>
      <c r="F392" s="9" t="s">
        <v>39508</v>
      </c>
      <c r="G392" s="9" t="s">
        <v>38808</v>
      </c>
      <c r="H392" s="127">
        <v>44578.0</v>
      </c>
      <c r="I392" s="9" t="s">
        <v>47</v>
      </c>
      <c r="J392" s="9" t="s">
        <v>38801</v>
      </c>
      <c r="K392" s="60">
        <v>45411.0</v>
      </c>
      <c r="M392" s="9" t="s">
        <v>10249</v>
      </c>
    </row>
    <row r="393" ht="15.75" hidden="1" customHeight="1">
      <c r="A393" s="9" t="s">
        <v>39509</v>
      </c>
      <c r="B393" s="9" t="s">
        <v>19917</v>
      </c>
      <c r="D393" s="9" t="s">
        <v>12250</v>
      </c>
      <c r="F393" s="9" t="s">
        <v>39510</v>
      </c>
      <c r="G393" s="9" t="s">
        <v>38808</v>
      </c>
      <c r="H393" s="127">
        <v>44578.0</v>
      </c>
      <c r="I393" s="9" t="s">
        <v>47</v>
      </c>
      <c r="J393" s="9" t="s">
        <v>38801</v>
      </c>
      <c r="K393" s="55">
        <v>44656.0</v>
      </c>
      <c r="M393" s="9" t="s">
        <v>11780</v>
      </c>
    </row>
    <row r="394" ht="15.75" hidden="1" customHeight="1">
      <c r="A394" s="9" t="s">
        <v>39511</v>
      </c>
      <c r="B394" s="9" t="s">
        <v>19917</v>
      </c>
      <c r="D394" s="9" t="s">
        <v>12230</v>
      </c>
      <c r="F394" s="9" t="s">
        <v>39512</v>
      </c>
      <c r="G394" s="9" t="s">
        <v>38808</v>
      </c>
      <c r="H394" s="127">
        <v>44578.0</v>
      </c>
      <c r="I394" s="9" t="s">
        <v>47</v>
      </c>
      <c r="J394" s="9" t="s">
        <v>38801</v>
      </c>
      <c r="K394" s="55">
        <v>44580.0</v>
      </c>
      <c r="M394" s="9" t="s">
        <v>11780</v>
      </c>
    </row>
    <row r="395" ht="15.75" hidden="1" customHeight="1">
      <c r="A395" s="9" t="s">
        <v>39513</v>
      </c>
      <c r="B395" s="9" t="s">
        <v>13177</v>
      </c>
      <c r="D395" s="9" t="s">
        <v>12230</v>
      </c>
      <c r="F395" s="9" t="s">
        <v>39514</v>
      </c>
      <c r="G395" s="9" t="s">
        <v>38808</v>
      </c>
      <c r="H395" s="127">
        <v>44578.0</v>
      </c>
      <c r="I395" s="9" t="s">
        <v>47</v>
      </c>
      <c r="J395" s="9" t="s">
        <v>38801</v>
      </c>
      <c r="K395" s="55">
        <v>44580.0</v>
      </c>
      <c r="M395" s="9" t="s">
        <v>10318</v>
      </c>
    </row>
    <row r="396" ht="15.75" hidden="1" customHeight="1">
      <c r="A396" s="9" t="s">
        <v>39515</v>
      </c>
      <c r="B396" s="9" t="s">
        <v>19917</v>
      </c>
      <c r="D396" s="9" t="s">
        <v>12252</v>
      </c>
      <c r="F396" s="9" t="s">
        <v>39516</v>
      </c>
      <c r="G396" s="9" t="s">
        <v>38808</v>
      </c>
      <c r="H396" s="127">
        <v>44578.0</v>
      </c>
      <c r="I396" s="9" t="s">
        <v>47</v>
      </c>
      <c r="J396" s="9" t="s">
        <v>38801</v>
      </c>
      <c r="K396" s="55">
        <v>44579.0</v>
      </c>
      <c r="M396" s="9" t="s">
        <v>11780</v>
      </c>
    </row>
    <row r="397" ht="15.75" customHeight="1">
      <c r="A397" s="9" t="s">
        <v>39517</v>
      </c>
      <c r="B397" s="9" t="s">
        <v>13177</v>
      </c>
      <c r="D397" s="9" t="s">
        <v>12227</v>
      </c>
      <c r="E397" s="9" t="s">
        <v>38803</v>
      </c>
      <c r="F397" s="9" t="s">
        <v>39518</v>
      </c>
      <c r="G397" s="9" t="s">
        <v>38808</v>
      </c>
      <c r="H397" s="127">
        <v>44578.0</v>
      </c>
      <c r="I397" s="9" t="s">
        <v>47</v>
      </c>
      <c r="J397" s="9" t="s">
        <v>38805</v>
      </c>
      <c r="M397" s="9" t="s">
        <v>10318</v>
      </c>
    </row>
    <row r="398" ht="15.75" hidden="1" customHeight="1">
      <c r="A398" s="9" t="s">
        <v>39519</v>
      </c>
      <c r="B398" s="9" t="s">
        <v>12670</v>
      </c>
      <c r="D398" s="9" t="s">
        <v>12258</v>
      </c>
      <c r="F398" s="9" t="s">
        <v>39520</v>
      </c>
      <c r="G398" s="9" t="s">
        <v>38808</v>
      </c>
      <c r="H398" s="127">
        <v>44579.0</v>
      </c>
      <c r="I398" s="9" t="s">
        <v>47</v>
      </c>
      <c r="J398" s="9" t="s">
        <v>38801</v>
      </c>
      <c r="K398" s="55">
        <v>46100.0</v>
      </c>
      <c r="M398" s="9" t="s">
        <v>10289</v>
      </c>
    </row>
    <row r="399" ht="15.75" hidden="1" customHeight="1">
      <c r="A399" s="9" t="s">
        <v>39521</v>
      </c>
      <c r="B399" s="9" t="s">
        <v>13669</v>
      </c>
      <c r="D399" s="9" t="s">
        <v>12236</v>
      </c>
      <c r="F399" s="9" t="s">
        <v>39522</v>
      </c>
      <c r="G399" s="9" t="s">
        <v>38946</v>
      </c>
      <c r="H399" s="127">
        <v>44579.0</v>
      </c>
      <c r="I399" s="9" t="s">
        <v>52</v>
      </c>
      <c r="J399" s="9" t="s">
        <v>38801</v>
      </c>
      <c r="K399" s="60">
        <v>46060.0</v>
      </c>
      <c r="M399" s="9" t="s">
        <v>1880</v>
      </c>
    </row>
    <row r="400" ht="15.75" hidden="1" customHeight="1">
      <c r="A400" s="9" t="s">
        <v>39523</v>
      </c>
      <c r="B400" s="9" t="s">
        <v>18454</v>
      </c>
      <c r="D400" s="9" t="s">
        <v>12230</v>
      </c>
      <c r="F400" s="9" t="s">
        <v>39524</v>
      </c>
      <c r="G400" s="9" t="s">
        <v>38946</v>
      </c>
      <c r="H400" s="127">
        <v>44579.0</v>
      </c>
      <c r="I400" s="9" t="s">
        <v>26</v>
      </c>
      <c r="J400" s="9" t="s">
        <v>38801</v>
      </c>
      <c r="K400" s="55">
        <v>44580.0</v>
      </c>
      <c r="M400" s="9" t="s">
        <v>4935</v>
      </c>
    </row>
    <row r="401" ht="15.75" hidden="1" customHeight="1">
      <c r="A401" s="9" t="s">
        <v>39525</v>
      </c>
      <c r="B401" s="9" t="s">
        <v>12716</v>
      </c>
      <c r="D401" s="9" t="s">
        <v>12230</v>
      </c>
      <c r="F401" s="9" t="s">
        <v>39526</v>
      </c>
      <c r="G401" s="9" t="s">
        <v>38946</v>
      </c>
      <c r="H401" s="127">
        <v>44579.0</v>
      </c>
      <c r="I401" s="9" t="s">
        <v>47</v>
      </c>
      <c r="J401" s="9" t="s">
        <v>38801</v>
      </c>
      <c r="K401" s="55">
        <v>44579.0</v>
      </c>
      <c r="M401" s="9" t="s">
        <v>11999</v>
      </c>
    </row>
    <row r="402" ht="15.75" hidden="1" customHeight="1">
      <c r="A402" s="52" t="s">
        <v>39527</v>
      </c>
      <c r="B402" s="9" t="s">
        <v>18454</v>
      </c>
      <c r="D402" s="9" t="s">
        <v>12250</v>
      </c>
      <c r="F402" s="9" t="s">
        <v>39528</v>
      </c>
      <c r="G402" s="9" t="s">
        <v>38946</v>
      </c>
      <c r="H402" s="127">
        <v>44580.0</v>
      </c>
      <c r="I402" s="9" t="s">
        <v>47</v>
      </c>
      <c r="J402" s="9" t="s">
        <v>38801</v>
      </c>
      <c r="K402" s="55">
        <v>44656.0</v>
      </c>
      <c r="M402" s="9" t="s">
        <v>4952</v>
      </c>
    </row>
    <row r="403" ht="15.75" hidden="1" customHeight="1">
      <c r="A403" s="9" t="s">
        <v>39529</v>
      </c>
      <c r="B403" s="9" t="s">
        <v>18454</v>
      </c>
      <c r="D403" s="9" t="s">
        <v>12248</v>
      </c>
      <c r="F403" s="9" t="s">
        <v>39530</v>
      </c>
      <c r="G403" s="9" t="s">
        <v>38808</v>
      </c>
      <c r="H403" s="127">
        <v>44580.0</v>
      </c>
      <c r="I403" s="9" t="s">
        <v>47</v>
      </c>
      <c r="J403" s="9" t="s">
        <v>38801</v>
      </c>
      <c r="K403" s="55">
        <v>44581.0</v>
      </c>
      <c r="M403" s="9" t="s">
        <v>4935</v>
      </c>
    </row>
    <row r="404" ht="15.75" hidden="1" customHeight="1">
      <c r="A404" s="9" t="s">
        <v>39531</v>
      </c>
      <c r="B404" s="9" t="s">
        <v>19972</v>
      </c>
      <c r="D404" s="9" t="s">
        <v>12236</v>
      </c>
      <c r="F404" s="9" t="s">
        <v>39532</v>
      </c>
      <c r="G404" s="9" t="s">
        <v>38946</v>
      </c>
      <c r="H404" s="127">
        <v>44581.0</v>
      </c>
      <c r="I404" s="9" t="s">
        <v>52</v>
      </c>
      <c r="J404" s="9" t="s">
        <v>38801</v>
      </c>
      <c r="K404" s="55">
        <v>45411.0</v>
      </c>
      <c r="M404" s="9" t="s">
        <v>10247</v>
      </c>
    </row>
    <row r="405" ht="15.75" hidden="1" customHeight="1">
      <c r="A405" s="52" t="s">
        <v>39533</v>
      </c>
      <c r="B405" s="9" t="s">
        <v>17110</v>
      </c>
      <c r="D405" s="9" t="s">
        <v>12236</v>
      </c>
      <c r="F405" s="9" t="s">
        <v>39534</v>
      </c>
      <c r="G405" s="9" t="s">
        <v>38946</v>
      </c>
      <c r="H405" s="127">
        <v>44581.0</v>
      </c>
      <c r="I405" s="9" t="s">
        <v>52</v>
      </c>
      <c r="J405" s="9" t="s">
        <v>38801</v>
      </c>
      <c r="K405" s="60">
        <v>44882.0</v>
      </c>
      <c r="M405" s="9" t="s">
        <v>8833</v>
      </c>
    </row>
    <row r="406" ht="15.75" hidden="1" customHeight="1">
      <c r="A406" s="9" t="s">
        <v>39535</v>
      </c>
      <c r="B406" s="9" t="s">
        <v>17900</v>
      </c>
      <c r="D406" s="9" t="s">
        <v>12252</v>
      </c>
      <c r="F406" s="9" t="s">
        <v>39536</v>
      </c>
      <c r="G406" s="9" t="s">
        <v>38808</v>
      </c>
      <c r="H406" s="127">
        <v>44581.0</v>
      </c>
      <c r="I406" s="9" t="s">
        <v>47</v>
      </c>
      <c r="J406" s="9" t="s">
        <v>38801</v>
      </c>
      <c r="K406" s="55">
        <v>44581.0</v>
      </c>
      <c r="M406" s="9" t="s">
        <v>11875</v>
      </c>
    </row>
    <row r="407" ht="15.75" hidden="1" customHeight="1">
      <c r="A407" s="9" t="s">
        <v>39537</v>
      </c>
      <c r="B407" s="9" t="s">
        <v>17900</v>
      </c>
      <c r="D407" s="9" t="s">
        <v>12230</v>
      </c>
      <c r="F407" s="9" t="s">
        <v>39538</v>
      </c>
      <c r="G407" s="9" t="s">
        <v>38808</v>
      </c>
      <c r="H407" s="127">
        <v>44581.0</v>
      </c>
      <c r="I407" s="9" t="s">
        <v>47</v>
      </c>
      <c r="J407" s="9" t="s">
        <v>38801</v>
      </c>
      <c r="K407" s="55">
        <v>44581.0</v>
      </c>
      <c r="M407" s="9" t="s">
        <v>11875</v>
      </c>
    </row>
    <row r="408" ht="15.75" hidden="1" customHeight="1">
      <c r="A408" s="9" t="s">
        <v>39539</v>
      </c>
      <c r="B408" s="9" t="s">
        <v>17110</v>
      </c>
      <c r="D408" s="9" t="s">
        <v>12224</v>
      </c>
      <c r="F408" s="9" t="s">
        <v>39540</v>
      </c>
      <c r="G408" s="9" t="s">
        <v>38808</v>
      </c>
      <c r="H408" s="127">
        <v>44581.0</v>
      </c>
      <c r="I408" s="9" t="s">
        <v>47</v>
      </c>
      <c r="J408" s="9" t="s">
        <v>38801</v>
      </c>
      <c r="K408" s="55">
        <v>44581.0</v>
      </c>
      <c r="M408" s="9" t="s">
        <v>8833</v>
      </c>
    </row>
    <row r="409" ht="15.75" hidden="1" customHeight="1">
      <c r="A409" s="9" t="s">
        <v>39541</v>
      </c>
      <c r="B409" s="9" t="s">
        <v>20339</v>
      </c>
      <c r="D409" s="9" t="s">
        <v>12248</v>
      </c>
      <c r="F409" s="9" t="s">
        <v>39542</v>
      </c>
      <c r="G409" s="9" t="s">
        <v>38808</v>
      </c>
      <c r="H409" s="127">
        <v>44585.0</v>
      </c>
      <c r="I409" s="9" t="s">
        <v>47</v>
      </c>
      <c r="J409" s="9" t="s">
        <v>38801</v>
      </c>
      <c r="K409" s="55">
        <v>45411.0</v>
      </c>
      <c r="M409" s="9" t="s">
        <v>6269</v>
      </c>
    </row>
    <row r="410" ht="15.75" hidden="1" customHeight="1">
      <c r="A410" s="9" t="s">
        <v>39543</v>
      </c>
      <c r="B410" s="9" t="s">
        <v>18706</v>
      </c>
      <c r="D410" s="9" t="s">
        <v>12252</v>
      </c>
      <c r="F410" s="9" t="s">
        <v>39544</v>
      </c>
      <c r="G410" s="9" t="s">
        <v>38946</v>
      </c>
      <c r="H410" s="127">
        <v>44585.0</v>
      </c>
      <c r="I410" s="9" t="s">
        <v>26</v>
      </c>
      <c r="J410" s="9" t="s">
        <v>38801</v>
      </c>
      <c r="K410" s="55">
        <v>44587.0</v>
      </c>
      <c r="M410" s="9" t="s">
        <v>11657</v>
      </c>
    </row>
    <row r="411" ht="15.75" hidden="1" customHeight="1">
      <c r="A411" s="9" t="s">
        <v>39545</v>
      </c>
      <c r="B411" s="9" t="s">
        <v>17110</v>
      </c>
      <c r="D411" s="9" t="s">
        <v>12230</v>
      </c>
      <c r="F411" s="9" t="s">
        <v>39546</v>
      </c>
      <c r="G411" s="9" t="s">
        <v>38808</v>
      </c>
      <c r="H411" s="127">
        <v>44585.0</v>
      </c>
      <c r="I411" s="9" t="s">
        <v>47</v>
      </c>
      <c r="J411" s="9" t="s">
        <v>38801</v>
      </c>
      <c r="K411" s="55">
        <v>44585.0</v>
      </c>
      <c r="M411" s="9" t="s">
        <v>8833</v>
      </c>
    </row>
    <row r="412" ht="15.75" hidden="1" customHeight="1">
      <c r="A412" s="9" t="s">
        <v>39547</v>
      </c>
      <c r="B412" s="9" t="s">
        <v>20824</v>
      </c>
      <c r="D412" s="9" t="s">
        <v>12236</v>
      </c>
      <c r="F412" s="9" t="s">
        <v>39548</v>
      </c>
      <c r="G412" s="9" t="s">
        <v>38946</v>
      </c>
      <c r="H412" s="127">
        <v>44586.0</v>
      </c>
      <c r="I412" s="9" t="s">
        <v>52</v>
      </c>
      <c r="J412" s="9" t="s">
        <v>38801</v>
      </c>
      <c r="K412" s="60">
        <v>44881.0</v>
      </c>
      <c r="M412" s="9" t="s">
        <v>8842</v>
      </c>
    </row>
    <row r="413" ht="15.75" hidden="1" customHeight="1">
      <c r="A413" s="9" t="s">
        <v>39549</v>
      </c>
      <c r="B413" s="9" t="s">
        <v>19349</v>
      </c>
      <c r="D413" s="9" t="s">
        <v>12230</v>
      </c>
      <c r="F413" s="9" t="s">
        <v>39550</v>
      </c>
      <c r="G413" s="9" t="s">
        <v>38946</v>
      </c>
      <c r="H413" s="127">
        <v>44586.0</v>
      </c>
      <c r="I413" s="9" t="s">
        <v>52</v>
      </c>
      <c r="J413" s="9" t="s">
        <v>38801</v>
      </c>
      <c r="K413" s="55">
        <v>44651.0</v>
      </c>
      <c r="M413" s="9" t="s">
        <v>10658</v>
      </c>
    </row>
    <row r="414" ht="15.75" hidden="1" customHeight="1">
      <c r="A414" s="9" t="s">
        <v>39551</v>
      </c>
      <c r="B414" s="9" t="s">
        <v>18937</v>
      </c>
      <c r="D414" s="9" t="s">
        <v>12233</v>
      </c>
      <c r="F414" s="9" t="s">
        <v>39552</v>
      </c>
      <c r="G414" s="9" t="s">
        <v>38946</v>
      </c>
      <c r="H414" s="127">
        <v>44586.0</v>
      </c>
      <c r="I414" s="9" t="s">
        <v>96</v>
      </c>
      <c r="J414" s="9" t="s">
        <v>38801</v>
      </c>
      <c r="K414" s="55">
        <v>44587.0</v>
      </c>
      <c r="M414" s="9" t="s">
        <v>3810</v>
      </c>
    </row>
    <row r="415" ht="15.75" hidden="1" customHeight="1">
      <c r="A415" s="9" t="s">
        <v>39553</v>
      </c>
      <c r="B415" s="9" t="s">
        <v>16278</v>
      </c>
      <c r="D415" s="9" t="s">
        <v>12242</v>
      </c>
      <c r="F415" s="9" t="s">
        <v>39554</v>
      </c>
      <c r="G415" s="9" t="s">
        <v>38946</v>
      </c>
      <c r="H415" s="127">
        <v>44586.0</v>
      </c>
      <c r="I415" s="9" t="s">
        <v>26</v>
      </c>
      <c r="J415" s="9" t="s">
        <v>38801</v>
      </c>
      <c r="K415" s="55">
        <v>44586.0</v>
      </c>
      <c r="M415" s="9" t="s">
        <v>9639</v>
      </c>
    </row>
    <row r="416" ht="15.75" hidden="1" customHeight="1">
      <c r="A416" s="9" t="s">
        <v>39555</v>
      </c>
      <c r="B416" s="9" t="s">
        <v>16171</v>
      </c>
      <c r="D416" s="9" t="s">
        <v>12236</v>
      </c>
      <c r="F416" s="9" t="s">
        <v>39556</v>
      </c>
      <c r="G416" s="9" t="s">
        <v>38808</v>
      </c>
      <c r="H416" s="127">
        <v>44587.0</v>
      </c>
      <c r="I416" s="9" t="s">
        <v>47</v>
      </c>
      <c r="J416" s="9" t="s">
        <v>38801</v>
      </c>
      <c r="K416" s="55">
        <v>44810.0</v>
      </c>
      <c r="M416" s="9" t="s">
        <v>11805</v>
      </c>
    </row>
    <row r="417" ht="15.75" hidden="1" customHeight="1">
      <c r="A417" s="9" t="s">
        <v>39557</v>
      </c>
      <c r="B417" s="9" t="s">
        <v>16171</v>
      </c>
      <c r="D417" s="9" t="s">
        <v>12252</v>
      </c>
      <c r="F417" s="9" t="s">
        <v>39558</v>
      </c>
      <c r="G417" s="9" t="s">
        <v>38808</v>
      </c>
      <c r="H417" s="127">
        <v>44587.0</v>
      </c>
      <c r="I417" s="9" t="s">
        <v>47</v>
      </c>
      <c r="J417" s="9" t="s">
        <v>38801</v>
      </c>
      <c r="K417" s="55">
        <v>44587.0</v>
      </c>
      <c r="M417" s="9" t="s">
        <v>11805</v>
      </c>
    </row>
    <row r="418" ht="15.75" hidden="1" customHeight="1">
      <c r="A418" s="9" t="s">
        <v>39559</v>
      </c>
      <c r="B418" s="9" t="s">
        <v>16171</v>
      </c>
      <c r="D418" s="9" t="s">
        <v>12230</v>
      </c>
      <c r="F418" s="9" t="s">
        <v>39560</v>
      </c>
      <c r="G418" s="9" t="s">
        <v>38808</v>
      </c>
      <c r="H418" s="127">
        <v>44587.0</v>
      </c>
      <c r="I418" s="9" t="s">
        <v>47</v>
      </c>
      <c r="J418" s="9" t="s">
        <v>38801</v>
      </c>
      <c r="K418" s="55">
        <v>44587.0</v>
      </c>
      <c r="M418" s="9" t="s">
        <v>11805</v>
      </c>
    </row>
    <row r="419" ht="15.75" customHeight="1">
      <c r="A419" s="9" t="s">
        <v>39561</v>
      </c>
      <c r="B419" s="9" t="s">
        <v>16171</v>
      </c>
      <c r="D419" s="9" t="s">
        <v>12227</v>
      </c>
      <c r="E419" s="9" t="s">
        <v>38803</v>
      </c>
      <c r="F419" s="9" t="s">
        <v>39562</v>
      </c>
      <c r="G419" s="9" t="s">
        <v>38808</v>
      </c>
      <c r="H419" s="127">
        <v>44587.0</v>
      </c>
      <c r="I419" s="9" t="s">
        <v>47</v>
      </c>
      <c r="J419" s="9" t="s">
        <v>38805</v>
      </c>
      <c r="M419" s="9" t="s">
        <v>11805</v>
      </c>
    </row>
    <row r="420" ht="15.75" hidden="1" customHeight="1">
      <c r="A420" s="9" t="s">
        <v>39563</v>
      </c>
      <c r="B420" s="9" t="s">
        <v>18689</v>
      </c>
      <c r="D420" s="9" t="s">
        <v>12230</v>
      </c>
      <c r="F420" s="9" t="s">
        <v>39564</v>
      </c>
      <c r="G420" s="9" t="s">
        <v>38808</v>
      </c>
      <c r="H420" s="127">
        <v>44588.0</v>
      </c>
      <c r="I420" s="9" t="s">
        <v>47</v>
      </c>
      <c r="J420" s="9" t="s">
        <v>38801</v>
      </c>
      <c r="K420" s="55">
        <v>44588.0</v>
      </c>
      <c r="M420" s="9" t="s">
        <v>11763</v>
      </c>
    </row>
    <row r="421" ht="15.75" hidden="1" customHeight="1">
      <c r="A421" s="52" t="s">
        <v>39565</v>
      </c>
      <c r="B421" s="9" t="s">
        <v>14221</v>
      </c>
      <c r="D421" s="9" t="s">
        <v>12236</v>
      </c>
      <c r="F421" s="9" t="s">
        <v>38948</v>
      </c>
      <c r="G421" s="9" t="s">
        <v>38946</v>
      </c>
      <c r="H421" s="127">
        <v>44592.0</v>
      </c>
      <c r="I421" s="9" t="s">
        <v>52</v>
      </c>
      <c r="J421" s="9" t="s">
        <v>38801</v>
      </c>
      <c r="K421" s="60">
        <v>44881.0</v>
      </c>
      <c r="M421" s="9" t="s">
        <v>10387</v>
      </c>
    </row>
    <row r="422" ht="15.75" hidden="1" customHeight="1">
      <c r="A422" s="9" t="s">
        <v>39566</v>
      </c>
      <c r="B422" s="9" t="s">
        <v>14221</v>
      </c>
      <c r="D422" s="9" t="s">
        <v>12230</v>
      </c>
      <c r="F422" s="9" t="s">
        <v>39567</v>
      </c>
      <c r="G422" s="9" t="s">
        <v>38946</v>
      </c>
      <c r="H422" s="127">
        <v>44592.0</v>
      </c>
      <c r="I422" s="9" t="s">
        <v>52</v>
      </c>
      <c r="J422" s="9" t="s">
        <v>38801</v>
      </c>
      <c r="K422" s="55">
        <v>44651.0</v>
      </c>
      <c r="M422" s="9" t="s">
        <v>10387</v>
      </c>
    </row>
    <row r="423" ht="15.75" hidden="1" customHeight="1">
      <c r="A423" s="9" t="s">
        <v>39568</v>
      </c>
      <c r="B423" s="9" t="s">
        <v>19478</v>
      </c>
      <c r="D423" s="9" t="s">
        <v>12236</v>
      </c>
      <c r="F423" s="9" t="s">
        <v>39548</v>
      </c>
      <c r="G423" s="9" t="s">
        <v>38946</v>
      </c>
      <c r="H423" s="127">
        <v>44593.0</v>
      </c>
      <c r="I423" s="9" t="s">
        <v>52</v>
      </c>
      <c r="J423" s="9" t="s">
        <v>38801</v>
      </c>
      <c r="K423" s="60">
        <v>44882.0</v>
      </c>
      <c r="M423" s="9" t="s">
        <v>11847</v>
      </c>
    </row>
    <row r="424" ht="15.75" hidden="1" customHeight="1">
      <c r="A424" s="9" t="s">
        <v>39569</v>
      </c>
      <c r="B424" s="9" t="s">
        <v>19478</v>
      </c>
      <c r="D424" s="9" t="s">
        <v>12230</v>
      </c>
      <c r="F424" s="9" t="s">
        <v>39570</v>
      </c>
      <c r="G424" s="9" t="s">
        <v>38946</v>
      </c>
      <c r="H424" s="127">
        <v>44593.0</v>
      </c>
      <c r="I424" s="9" t="s">
        <v>52</v>
      </c>
      <c r="J424" s="9" t="s">
        <v>38801</v>
      </c>
      <c r="K424" s="55">
        <v>44687.0</v>
      </c>
      <c r="M424" s="9" t="s">
        <v>11847</v>
      </c>
    </row>
    <row r="425" ht="15.75" hidden="1" customHeight="1">
      <c r="A425" s="9" t="s">
        <v>39571</v>
      </c>
      <c r="B425" s="9" t="s">
        <v>20950</v>
      </c>
      <c r="D425" s="9" t="s">
        <v>12230</v>
      </c>
      <c r="F425" s="9" t="s">
        <v>39572</v>
      </c>
      <c r="G425" s="9" t="s">
        <v>38946</v>
      </c>
      <c r="H425" s="127">
        <v>44593.0</v>
      </c>
      <c r="I425" s="9" t="s">
        <v>26</v>
      </c>
      <c r="J425" s="9" t="s">
        <v>38801</v>
      </c>
      <c r="K425" s="55">
        <v>44629.0</v>
      </c>
      <c r="M425" s="9" t="s">
        <v>9688</v>
      </c>
    </row>
    <row r="426" ht="15.75" hidden="1" customHeight="1">
      <c r="A426" s="9" t="s">
        <v>39573</v>
      </c>
      <c r="B426" s="9" t="s">
        <v>17389</v>
      </c>
      <c r="D426" s="9" t="s">
        <v>12236</v>
      </c>
      <c r="F426" s="9" t="s">
        <v>39548</v>
      </c>
      <c r="G426" s="9" t="s">
        <v>38946</v>
      </c>
      <c r="H426" s="127">
        <v>44594.0</v>
      </c>
      <c r="I426" s="9" t="s">
        <v>52</v>
      </c>
      <c r="J426" s="9" t="s">
        <v>38801</v>
      </c>
      <c r="K426" s="60">
        <v>44882.0</v>
      </c>
      <c r="M426" s="9" t="s">
        <v>12144</v>
      </c>
    </row>
    <row r="427" ht="15.75" hidden="1" customHeight="1">
      <c r="A427" s="9" t="s">
        <v>39574</v>
      </c>
      <c r="B427" s="9" t="s">
        <v>17389</v>
      </c>
      <c r="D427" s="9" t="s">
        <v>12230</v>
      </c>
      <c r="F427" s="9" t="s">
        <v>39575</v>
      </c>
      <c r="G427" s="9" t="s">
        <v>38946</v>
      </c>
      <c r="H427" s="127">
        <v>44594.0</v>
      </c>
      <c r="I427" s="9" t="s">
        <v>52</v>
      </c>
      <c r="J427" s="9" t="s">
        <v>38801</v>
      </c>
      <c r="K427" s="55">
        <v>44690.0</v>
      </c>
      <c r="M427" s="9" t="s">
        <v>12144</v>
      </c>
    </row>
    <row r="428" ht="15.75" hidden="1" customHeight="1">
      <c r="A428" s="9" t="s">
        <v>39576</v>
      </c>
      <c r="B428" s="9" t="s">
        <v>18454</v>
      </c>
      <c r="D428" s="9" t="s">
        <v>12230</v>
      </c>
      <c r="F428" s="9" t="s">
        <v>39577</v>
      </c>
      <c r="G428" s="9" t="s">
        <v>38946</v>
      </c>
      <c r="H428" s="127">
        <v>44600.0</v>
      </c>
      <c r="I428" s="9" t="s">
        <v>52</v>
      </c>
      <c r="J428" s="9" t="s">
        <v>38801</v>
      </c>
      <c r="K428" s="55">
        <v>44600.0</v>
      </c>
      <c r="M428" s="9" t="s">
        <v>4952</v>
      </c>
    </row>
    <row r="429" ht="15.75" hidden="1" customHeight="1">
      <c r="A429" s="9" t="s">
        <v>39578</v>
      </c>
      <c r="B429" s="9" t="s">
        <v>15880</v>
      </c>
      <c r="D429" s="9" t="s">
        <v>12230</v>
      </c>
      <c r="F429" s="9" t="s">
        <v>39570</v>
      </c>
      <c r="G429" s="9" t="s">
        <v>38946</v>
      </c>
      <c r="H429" s="127">
        <v>44601.0</v>
      </c>
      <c r="I429" s="9" t="s">
        <v>52</v>
      </c>
      <c r="J429" s="9" t="s">
        <v>38801</v>
      </c>
      <c r="K429" s="55">
        <v>45411.0</v>
      </c>
      <c r="M429" s="9" t="s">
        <v>10477</v>
      </c>
    </row>
    <row r="430" ht="15.75" customHeight="1">
      <c r="A430" s="9" t="s">
        <v>39579</v>
      </c>
      <c r="B430" s="9" t="s">
        <v>15880</v>
      </c>
      <c r="D430" s="9" t="s">
        <v>12227</v>
      </c>
      <c r="E430" s="9" t="s">
        <v>38803</v>
      </c>
      <c r="F430" s="9" t="s">
        <v>39580</v>
      </c>
      <c r="G430" s="9" t="s">
        <v>38946</v>
      </c>
      <c r="H430" s="127">
        <v>44601.0</v>
      </c>
      <c r="I430" s="9" t="s">
        <v>52</v>
      </c>
      <c r="J430" s="9" t="s">
        <v>38801</v>
      </c>
      <c r="K430" s="55">
        <v>45411.0</v>
      </c>
      <c r="M430" s="9" t="s">
        <v>10477</v>
      </c>
    </row>
    <row r="431" ht="15.75" hidden="1" customHeight="1">
      <c r="A431" s="9" t="s">
        <v>39581</v>
      </c>
      <c r="B431" s="9" t="s">
        <v>19772</v>
      </c>
      <c r="D431" s="9" t="s">
        <v>12236</v>
      </c>
      <c r="F431" s="9" t="s">
        <v>38948</v>
      </c>
      <c r="G431" s="9" t="s">
        <v>38946</v>
      </c>
      <c r="H431" s="127">
        <v>44601.0</v>
      </c>
      <c r="I431" s="9" t="s">
        <v>52</v>
      </c>
      <c r="J431" s="9" t="s">
        <v>38801</v>
      </c>
      <c r="K431" s="60">
        <v>44882.0</v>
      </c>
      <c r="M431" s="9" t="s">
        <v>11851</v>
      </c>
    </row>
    <row r="432" ht="15.75" hidden="1" customHeight="1">
      <c r="A432" s="9" t="s">
        <v>39582</v>
      </c>
      <c r="B432" s="9" t="s">
        <v>19772</v>
      </c>
      <c r="D432" s="9" t="s">
        <v>12230</v>
      </c>
      <c r="F432" s="9" t="s">
        <v>39570</v>
      </c>
      <c r="G432" s="9" t="s">
        <v>38946</v>
      </c>
      <c r="H432" s="127">
        <v>44601.0</v>
      </c>
      <c r="I432" s="9" t="s">
        <v>52</v>
      </c>
      <c r="J432" s="9" t="s">
        <v>38801</v>
      </c>
      <c r="K432" s="55">
        <v>44691.0</v>
      </c>
      <c r="M432" s="9" t="s">
        <v>11851</v>
      </c>
    </row>
    <row r="433" ht="15.75" hidden="1" customHeight="1">
      <c r="A433" s="9" t="s">
        <v>39583</v>
      </c>
      <c r="B433" s="9" t="s">
        <v>17487</v>
      </c>
      <c r="D433" s="9" t="s">
        <v>12258</v>
      </c>
      <c r="F433" s="9" t="s">
        <v>39584</v>
      </c>
      <c r="G433" s="9" t="s">
        <v>38946</v>
      </c>
      <c r="H433" s="127">
        <v>44601.0</v>
      </c>
      <c r="I433" s="9" t="s">
        <v>26</v>
      </c>
      <c r="J433" s="9" t="s">
        <v>38801</v>
      </c>
      <c r="K433" s="55">
        <v>44601.0</v>
      </c>
      <c r="M433" s="9" t="s">
        <v>8871</v>
      </c>
    </row>
    <row r="434" ht="15.75" hidden="1" customHeight="1">
      <c r="A434" s="9" t="s">
        <v>39585</v>
      </c>
      <c r="B434" s="9" t="s">
        <v>19323</v>
      </c>
      <c r="D434" s="9" t="s">
        <v>12230</v>
      </c>
      <c r="F434" s="9" t="s">
        <v>39586</v>
      </c>
      <c r="G434" s="9" t="s">
        <v>38946</v>
      </c>
      <c r="H434" s="127">
        <v>44601.0</v>
      </c>
      <c r="I434" s="9" t="s">
        <v>52</v>
      </c>
      <c r="J434" s="9" t="s">
        <v>38801</v>
      </c>
      <c r="K434" s="55">
        <v>44601.0</v>
      </c>
      <c r="M434" s="9" t="s">
        <v>3129</v>
      </c>
    </row>
    <row r="435" ht="15.75" customHeight="1">
      <c r="A435" s="9" t="s">
        <v>39587</v>
      </c>
      <c r="B435" s="9" t="s">
        <v>13786</v>
      </c>
      <c r="D435" s="9" t="s">
        <v>12227</v>
      </c>
      <c r="E435" s="9" t="s">
        <v>38803</v>
      </c>
      <c r="F435" s="9" t="s">
        <v>39580</v>
      </c>
      <c r="G435" s="9" t="s">
        <v>38946</v>
      </c>
      <c r="H435" s="127">
        <v>44601.0</v>
      </c>
      <c r="I435" s="9" t="s">
        <v>52</v>
      </c>
      <c r="J435" s="9" t="s">
        <v>38805</v>
      </c>
      <c r="M435" s="9" t="s">
        <v>10354</v>
      </c>
    </row>
    <row r="436" ht="15.75" customHeight="1">
      <c r="A436" s="9" t="s">
        <v>39588</v>
      </c>
      <c r="B436" s="9" t="s">
        <v>19772</v>
      </c>
      <c r="D436" s="9" t="s">
        <v>12227</v>
      </c>
      <c r="E436" s="9" t="s">
        <v>38803</v>
      </c>
      <c r="F436" s="9" t="s">
        <v>39580</v>
      </c>
      <c r="G436" s="9" t="s">
        <v>38946</v>
      </c>
      <c r="H436" s="127">
        <v>44601.0</v>
      </c>
      <c r="I436" s="9" t="s">
        <v>52</v>
      </c>
      <c r="J436" s="9" t="s">
        <v>38805</v>
      </c>
      <c r="M436" s="9" t="s">
        <v>11851</v>
      </c>
    </row>
    <row r="437" ht="15.75" hidden="1" customHeight="1">
      <c r="A437" s="9" t="s">
        <v>39589</v>
      </c>
      <c r="B437" s="9" t="s">
        <v>18012</v>
      </c>
      <c r="D437" s="9" t="s">
        <v>12252</v>
      </c>
      <c r="F437" s="9" t="s">
        <v>12257</v>
      </c>
      <c r="G437" s="9" t="s">
        <v>38946</v>
      </c>
      <c r="H437" s="127">
        <v>44603.0</v>
      </c>
      <c r="I437" s="9" t="s">
        <v>26</v>
      </c>
      <c r="J437" s="9" t="s">
        <v>38801</v>
      </c>
      <c r="K437" s="55">
        <v>45411.0</v>
      </c>
      <c r="M437" s="9" t="s">
        <v>10740</v>
      </c>
    </row>
    <row r="438" ht="15.75" hidden="1" customHeight="1">
      <c r="A438" s="9" t="s">
        <v>39590</v>
      </c>
      <c r="B438" s="9" t="s">
        <v>18924</v>
      </c>
      <c r="D438" s="9" t="s">
        <v>12230</v>
      </c>
      <c r="F438" s="9" t="s">
        <v>39570</v>
      </c>
      <c r="G438" s="9" t="s">
        <v>38946</v>
      </c>
      <c r="H438" s="127">
        <v>44603.0</v>
      </c>
      <c r="I438" s="9" t="s">
        <v>52</v>
      </c>
      <c r="J438" s="9" t="s">
        <v>38801</v>
      </c>
      <c r="K438" s="55">
        <v>45411.0</v>
      </c>
      <c r="M438" s="9" t="s">
        <v>10638</v>
      </c>
    </row>
    <row r="439" ht="15.75" hidden="1" customHeight="1">
      <c r="A439" s="9" t="s">
        <v>39591</v>
      </c>
      <c r="B439" s="9" t="s">
        <v>18924</v>
      </c>
      <c r="D439" s="9" t="s">
        <v>12236</v>
      </c>
      <c r="F439" s="9" t="s">
        <v>39592</v>
      </c>
      <c r="G439" s="9" t="s">
        <v>38946</v>
      </c>
      <c r="H439" s="127">
        <v>44603.0</v>
      </c>
      <c r="I439" s="9" t="s">
        <v>52</v>
      </c>
      <c r="J439" s="9" t="s">
        <v>38801</v>
      </c>
      <c r="K439" s="55">
        <v>45411.0</v>
      </c>
      <c r="M439" s="9" t="s">
        <v>10638</v>
      </c>
    </row>
    <row r="440" ht="15.75" hidden="1" customHeight="1">
      <c r="A440" s="9" t="s">
        <v>39593</v>
      </c>
      <c r="B440" s="9" t="s">
        <v>18879</v>
      </c>
      <c r="D440" s="9" t="s">
        <v>12236</v>
      </c>
      <c r="F440" s="9" t="s">
        <v>38948</v>
      </c>
      <c r="G440" s="9" t="s">
        <v>38946</v>
      </c>
      <c r="H440" s="127">
        <v>44603.0</v>
      </c>
      <c r="I440" s="9" t="s">
        <v>52</v>
      </c>
      <c r="J440" s="9" t="s">
        <v>38801</v>
      </c>
      <c r="K440" s="60">
        <v>44882.0</v>
      </c>
      <c r="M440" s="9" t="s">
        <v>8779</v>
      </c>
    </row>
    <row r="441" ht="15.75" hidden="1" customHeight="1">
      <c r="A441" s="9" t="s">
        <v>39594</v>
      </c>
      <c r="B441" s="9" t="s">
        <v>13229</v>
      </c>
      <c r="D441" s="9" t="s">
        <v>12258</v>
      </c>
      <c r="F441" s="9" t="s">
        <v>39595</v>
      </c>
      <c r="G441" s="9" t="s">
        <v>38946</v>
      </c>
      <c r="H441" s="127">
        <v>44603.0</v>
      </c>
      <c r="I441" s="9" t="s">
        <v>26</v>
      </c>
      <c r="J441" s="9" t="s">
        <v>38801</v>
      </c>
      <c r="K441" s="60">
        <v>44875.0</v>
      </c>
      <c r="M441" s="9" t="s">
        <v>10322</v>
      </c>
    </row>
    <row r="442" ht="15.75" hidden="1" customHeight="1">
      <c r="A442" s="9" t="s">
        <v>39596</v>
      </c>
      <c r="B442" s="9" t="s">
        <v>13229</v>
      </c>
      <c r="D442" s="9" t="s">
        <v>12230</v>
      </c>
      <c r="F442" s="9" t="s">
        <v>39597</v>
      </c>
      <c r="G442" s="9" t="s">
        <v>38946</v>
      </c>
      <c r="H442" s="127">
        <v>44603.0</v>
      </c>
      <c r="I442" s="9" t="s">
        <v>26</v>
      </c>
      <c r="J442" s="9" t="s">
        <v>38801</v>
      </c>
      <c r="K442" s="55">
        <v>44733.0</v>
      </c>
      <c r="M442" s="9" t="s">
        <v>10322</v>
      </c>
    </row>
    <row r="443" ht="15.75" hidden="1" customHeight="1">
      <c r="A443" s="9" t="s">
        <v>39598</v>
      </c>
      <c r="B443" s="9" t="s">
        <v>16784</v>
      </c>
      <c r="D443" s="9" t="s">
        <v>12258</v>
      </c>
      <c r="F443" s="9" t="s">
        <v>39599</v>
      </c>
      <c r="G443" s="9" t="s">
        <v>38946</v>
      </c>
      <c r="H443" s="127">
        <v>44603.0</v>
      </c>
      <c r="I443" s="9" t="s">
        <v>26</v>
      </c>
      <c r="J443" s="9" t="s">
        <v>38801</v>
      </c>
      <c r="K443" s="55">
        <v>44652.0</v>
      </c>
      <c r="M443" s="9" t="s">
        <v>3274</v>
      </c>
    </row>
    <row r="444" ht="15.75" hidden="1" customHeight="1">
      <c r="A444" s="9" t="s">
        <v>39600</v>
      </c>
      <c r="B444" s="9" t="s">
        <v>13229</v>
      </c>
      <c r="D444" s="9" t="s">
        <v>12239</v>
      </c>
      <c r="F444" s="9" t="s">
        <v>39601</v>
      </c>
      <c r="G444" s="9" t="s">
        <v>38946</v>
      </c>
      <c r="H444" s="127">
        <v>44603.0</v>
      </c>
      <c r="I444" s="9" t="s">
        <v>26</v>
      </c>
      <c r="J444" s="9" t="s">
        <v>38801</v>
      </c>
      <c r="K444" s="55">
        <v>44651.0</v>
      </c>
      <c r="M444" s="9" t="s">
        <v>10322</v>
      </c>
    </row>
    <row r="445" ht="15.75" hidden="1" customHeight="1">
      <c r="A445" s="9" t="s">
        <v>39602</v>
      </c>
      <c r="B445" s="9" t="s">
        <v>14066</v>
      </c>
      <c r="D445" s="9" t="s">
        <v>12252</v>
      </c>
      <c r="F445" s="9" t="s">
        <v>39603</v>
      </c>
      <c r="G445" s="9" t="s">
        <v>38946</v>
      </c>
      <c r="H445" s="127">
        <v>44603.0</v>
      </c>
      <c r="I445" s="9" t="s">
        <v>26</v>
      </c>
      <c r="J445" s="9" t="s">
        <v>38801</v>
      </c>
      <c r="K445" s="55">
        <v>44603.0</v>
      </c>
      <c r="M445" s="9" t="s">
        <v>10378</v>
      </c>
    </row>
    <row r="446" ht="15.75" hidden="1" customHeight="1">
      <c r="A446" s="9" t="s">
        <v>39604</v>
      </c>
      <c r="B446" s="9" t="s">
        <v>14980</v>
      </c>
      <c r="D446" s="9" t="s">
        <v>12252</v>
      </c>
      <c r="F446" s="9" t="s">
        <v>12257</v>
      </c>
      <c r="G446" s="9" t="s">
        <v>38946</v>
      </c>
      <c r="H446" s="127">
        <v>44603.0</v>
      </c>
      <c r="I446" s="9" t="s">
        <v>26</v>
      </c>
      <c r="J446" s="9" t="s">
        <v>38801</v>
      </c>
      <c r="K446" s="55">
        <v>44603.0</v>
      </c>
      <c r="M446" s="9" t="s">
        <v>10432</v>
      </c>
    </row>
    <row r="447" ht="15.75" hidden="1" customHeight="1">
      <c r="A447" s="9" t="s">
        <v>39605</v>
      </c>
      <c r="B447" s="9" t="s">
        <v>13814</v>
      </c>
      <c r="D447" s="9" t="s">
        <v>12258</v>
      </c>
      <c r="F447" s="9" t="s">
        <v>39606</v>
      </c>
      <c r="G447" s="9" t="s">
        <v>38946</v>
      </c>
      <c r="H447" s="127">
        <v>44603.0</v>
      </c>
      <c r="I447" s="9" t="s">
        <v>26</v>
      </c>
      <c r="J447" s="9" t="s">
        <v>38801</v>
      </c>
      <c r="K447" s="55">
        <v>44603.0</v>
      </c>
      <c r="M447" s="9" t="s">
        <v>9106</v>
      </c>
    </row>
    <row r="448" ht="15.75" hidden="1" customHeight="1">
      <c r="A448" s="9" t="s">
        <v>39607</v>
      </c>
      <c r="B448" s="9" t="s">
        <v>18706</v>
      </c>
      <c r="D448" s="9" t="s">
        <v>12239</v>
      </c>
      <c r="F448" s="9" t="s">
        <v>39608</v>
      </c>
      <c r="G448" s="9" t="s">
        <v>38946</v>
      </c>
      <c r="H448" s="127">
        <v>44603.0</v>
      </c>
      <c r="I448" s="9" t="s">
        <v>26</v>
      </c>
      <c r="J448" s="9" t="s">
        <v>38801</v>
      </c>
      <c r="K448" s="55">
        <v>44603.0</v>
      </c>
      <c r="M448" s="9" t="s">
        <v>11657</v>
      </c>
    </row>
    <row r="449" ht="15.75" hidden="1" customHeight="1">
      <c r="A449" s="9" t="s">
        <v>39609</v>
      </c>
      <c r="B449" s="9" t="s">
        <v>20987</v>
      </c>
      <c r="D449" s="9" t="s">
        <v>12258</v>
      </c>
      <c r="F449" s="9" t="s">
        <v>39610</v>
      </c>
      <c r="G449" s="9" t="s">
        <v>38946</v>
      </c>
      <c r="H449" s="127">
        <v>44603.0</v>
      </c>
      <c r="I449" s="9" t="s">
        <v>26</v>
      </c>
      <c r="J449" s="9" t="s">
        <v>38801</v>
      </c>
      <c r="K449" s="55">
        <v>44603.0</v>
      </c>
      <c r="M449" s="9" t="s">
        <v>9949</v>
      </c>
    </row>
    <row r="450" ht="15.75" hidden="1" customHeight="1">
      <c r="A450" s="9" t="s">
        <v>39611</v>
      </c>
      <c r="B450" s="9" t="s">
        <v>13763</v>
      </c>
      <c r="D450" s="9" t="s">
        <v>12258</v>
      </c>
      <c r="F450" s="9" t="s">
        <v>12257</v>
      </c>
      <c r="G450" s="9" t="s">
        <v>38946</v>
      </c>
      <c r="H450" s="127">
        <v>44603.0</v>
      </c>
      <c r="I450" s="9" t="s">
        <v>26</v>
      </c>
      <c r="J450" s="9" t="s">
        <v>38801</v>
      </c>
      <c r="K450" s="55">
        <v>44603.0</v>
      </c>
      <c r="M450" s="9" t="s">
        <v>9006</v>
      </c>
    </row>
    <row r="451" ht="15.75" customHeight="1">
      <c r="A451" s="9" t="s">
        <v>39612</v>
      </c>
      <c r="B451" s="9" t="s">
        <v>13229</v>
      </c>
      <c r="D451" s="9" t="s">
        <v>12227</v>
      </c>
      <c r="E451" s="9" t="s">
        <v>38803</v>
      </c>
      <c r="F451" s="9" t="s">
        <v>39613</v>
      </c>
      <c r="G451" s="9" t="s">
        <v>38946</v>
      </c>
      <c r="H451" s="127">
        <v>44603.0</v>
      </c>
      <c r="I451" s="9" t="s">
        <v>26</v>
      </c>
      <c r="J451" s="9" t="s">
        <v>38805</v>
      </c>
      <c r="M451" s="9" t="s">
        <v>10322</v>
      </c>
    </row>
    <row r="452" ht="15.75" hidden="1" customHeight="1">
      <c r="A452" s="9" t="s">
        <v>39614</v>
      </c>
      <c r="B452" s="9" t="s">
        <v>20033</v>
      </c>
      <c r="D452" s="9" t="s">
        <v>12230</v>
      </c>
      <c r="F452" s="9" t="s">
        <v>39615</v>
      </c>
      <c r="G452" s="9" t="s">
        <v>38946</v>
      </c>
      <c r="H452" s="127">
        <v>44606.0</v>
      </c>
      <c r="I452" s="9" t="s">
        <v>52</v>
      </c>
      <c r="J452" s="9" t="s">
        <v>38801</v>
      </c>
      <c r="K452" s="55">
        <v>44727.0</v>
      </c>
      <c r="M452" s="9" t="s">
        <v>11919</v>
      </c>
    </row>
    <row r="453" ht="15.75" hidden="1" customHeight="1">
      <c r="A453" s="9" t="s">
        <v>39616</v>
      </c>
      <c r="B453" s="9" t="s">
        <v>20033</v>
      </c>
      <c r="D453" s="9" t="s">
        <v>12236</v>
      </c>
      <c r="F453" s="9" t="s">
        <v>39548</v>
      </c>
      <c r="G453" s="9" t="s">
        <v>38946</v>
      </c>
      <c r="H453" s="127">
        <v>44607.0</v>
      </c>
      <c r="I453" s="9" t="s">
        <v>52</v>
      </c>
      <c r="J453" s="9" t="s">
        <v>38801</v>
      </c>
      <c r="K453" s="60">
        <v>44882.0</v>
      </c>
      <c r="M453" s="9" t="s">
        <v>11919</v>
      </c>
    </row>
    <row r="454" ht="15.75" hidden="1" customHeight="1">
      <c r="A454" s="9" t="s">
        <v>39617</v>
      </c>
      <c r="B454" s="9" t="s">
        <v>20595</v>
      </c>
      <c r="D454" s="9" t="s">
        <v>12230</v>
      </c>
      <c r="F454" s="9" t="s">
        <v>39618</v>
      </c>
      <c r="G454" s="9" t="s">
        <v>38946</v>
      </c>
      <c r="H454" s="127">
        <v>44608.0</v>
      </c>
      <c r="I454" s="9" t="s">
        <v>26</v>
      </c>
      <c r="J454" s="9" t="s">
        <v>38801</v>
      </c>
      <c r="K454" s="55">
        <v>45411.0</v>
      </c>
      <c r="M454" s="9" t="s">
        <v>7808</v>
      </c>
    </row>
    <row r="455" ht="15.75" hidden="1" customHeight="1">
      <c r="A455" s="9" t="s">
        <v>39619</v>
      </c>
      <c r="B455" s="9" t="s">
        <v>20595</v>
      </c>
      <c r="D455" s="9" t="s">
        <v>12248</v>
      </c>
      <c r="F455" s="9" t="s">
        <v>39620</v>
      </c>
      <c r="G455" s="9" t="s">
        <v>38946</v>
      </c>
      <c r="H455" s="127">
        <v>44608.0</v>
      </c>
      <c r="I455" s="9" t="s">
        <v>26</v>
      </c>
      <c r="J455" s="9" t="s">
        <v>38801</v>
      </c>
      <c r="K455" s="55">
        <v>45411.0</v>
      </c>
      <c r="M455" s="9" t="s">
        <v>7808</v>
      </c>
    </row>
    <row r="456" ht="15.75" hidden="1" customHeight="1">
      <c r="A456" s="9" t="s">
        <v>39621</v>
      </c>
      <c r="B456" s="9" t="s">
        <v>18762</v>
      </c>
      <c r="D456" s="9" t="s">
        <v>12230</v>
      </c>
      <c r="F456" s="9" t="s">
        <v>39622</v>
      </c>
      <c r="G456" s="9" t="s">
        <v>38808</v>
      </c>
      <c r="H456" s="127">
        <v>44608.0</v>
      </c>
      <c r="I456" s="9" t="s">
        <v>52</v>
      </c>
      <c r="J456" s="9" t="s">
        <v>38801</v>
      </c>
      <c r="K456" s="60">
        <v>44875.0</v>
      </c>
      <c r="M456" s="9" t="s">
        <v>9847</v>
      </c>
    </row>
    <row r="457" ht="15.75" hidden="1" customHeight="1">
      <c r="A457" s="9" t="s">
        <v>39623</v>
      </c>
      <c r="B457" s="9" t="s">
        <v>16463</v>
      </c>
      <c r="D457" s="9" t="s">
        <v>12246</v>
      </c>
      <c r="F457" s="9" t="s">
        <v>39624</v>
      </c>
      <c r="G457" s="9" t="s">
        <v>38946</v>
      </c>
      <c r="H457" s="127">
        <v>44608.0</v>
      </c>
      <c r="I457" s="9" t="s">
        <v>26</v>
      </c>
      <c r="J457" s="9" t="s">
        <v>38801</v>
      </c>
      <c r="K457" s="55">
        <v>44629.0</v>
      </c>
      <c r="M457" s="9" t="s">
        <v>9429</v>
      </c>
    </row>
    <row r="458" ht="15.75" hidden="1" customHeight="1">
      <c r="A458" s="9" t="s">
        <v>39625</v>
      </c>
      <c r="B458" s="9" t="s">
        <v>12609</v>
      </c>
      <c r="D458" s="9" t="s">
        <v>12230</v>
      </c>
      <c r="F458" s="9" t="s">
        <v>39626</v>
      </c>
      <c r="G458" s="9" t="s">
        <v>38946</v>
      </c>
      <c r="H458" s="127">
        <v>44609.0</v>
      </c>
      <c r="I458" s="9" t="s">
        <v>52</v>
      </c>
      <c r="J458" s="9" t="s">
        <v>38801</v>
      </c>
      <c r="K458" s="55">
        <v>46100.0</v>
      </c>
      <c r="M458" s="9" t="s">
        <v>11817</v>
      </c>
    </row>
    <row r="459" ht="15.75" hidden="1" customHeight="1">
      <c r="A459" s="9" t="s">
        <v>39627</v>
      </c>
      <c r="B459" s="9" t="s">
        <v>19323</v>
      </c>
      <c r="D459" s="9" t="s">
        <v>12236</v>
      </c>
      <c r="F459" s="9" t="s">
        <v>39628</v>
      </c>
      <c r="G459" s="9" t="s">
        <v>38946</v>
      </c>
      <c r="H459" s="127">
        <v>44610.0</v>
      </c>
      <c r="I459" s="9" t="s">
        <v>52</v>
      </c>
      <c r="J459" s="9" t="s">
        <v>38801</v>
      </c>
      <c r="K459" s="60">
        <v>45250.0</v>
      </c>
      <c r="M459" s="9" t="s">
        <v>3129</v>
      </c>
    </row>
    <row r="460" ht="15.75" hidden="1" customHeight="1">
      <c r="A460" s="9" t="s">
        <v>39629</v>
      </c>
      <c r="B460" s="9" t="s">
        <v>19323</v>
      </c>
      <c r="D460" s="9" t="s">
        <v>12230</v>
      </c>
      <c r="F460" s="9" t="s">
        <v>39630</v>
      </c>
      <c r="G460" s="9" t="s">
        <v>38946</v>
      </c>
      <c r="H460" s="127">
        <v>44610.0</v>
      </c>
      <c r="I460" s="9" t="s">
        <v>52</v>
      </c>
      <c r="J460" s="9" t="s">
        <v>38801</v>
      </c>
      <c r="K460" s="55">
        <v>44629.0</v>
      </c>
      <c r="M460" s="9" t="s">
        <v>3129</v>
      </c>
    </row>
    <row r="461" ht="15.75" hidden="1" customHeight="1">
      <c r="A461" s="9" t="s">
        <v>39631</v>
      </c>
      <c r="B461" s="9" t="s">
        <v>24403</v>
      </c>
      <c r="D461" s="9" t="s">
        <v>12236</v>
      </c>
      <c r="F461" s="9" t="s">
        <v>39548</v>
      </c>
      <c r="G461" s="9" t="s">
        <v>38808</v>
      </c>
      <c r="H461" s="127">
        <v>44614.0</v>
      </c>
      <c r="I461" s="9" t="s">
        <v>52</v>
      </c>
      <c r="J461" s="9" t="s">
        <v>38801</v>
      </c>
      <c r="K461" s="60">
        <v>44882.0</v>
      </c>
      <c r="M461" s="9" t="s">
        <v>8889</v>
      </c>
    </row>
    <row r="462" ht="15.75" hidden="1" customHeight="1">
      <c r="A462" s="9" t="s">
        <v>39632</v>
      </c>
      <c r="B462" s="9" t="s">
        <v>17487</v>
      </c>
      <c r="D462" s="9" t="s">
        <v>12258</v>
      </c>
      <c r="F462" s="9" t="s">
        <v>39633</v>
      </c>
      <c r="G462" s="9" t="s">
        <v>38946</v>
      </c>
      <c r="H462" s="127">
        <v>44616.0</v>
      </c>
      <c r="I462" s="9" t="s">
        <v>96</v>
      </c>
      <c r="J462" s="9" t="s">
        <v>38801</v>
      </c>
      <c r="K462" s="60">
        <v>44875.0</v>
      </c>
      <c r="M462" s="9" t="s">
        <v>8871</v>
      </c>
    </row>
    <row r="463" ht="15.75" hidden="1" customHeight="1">
      <c r="A463" s="9" t="s">
        <v>39634</v>
      </c>
      <c r="B463" s="9" t="s">
        <v>20743</v>
      </c>
      <c r="D463" s="9" t="s">
        <v>12258</v>
      </c>
      <c r="F463" s="9" t="s">
        <v>39635</v>
      </c>
      <c r="G463" s="9" t="s">
        <v>38946</v>
      </c>
      <c r="H463" s="127">
        <v>44616.0</v>
      </c>
      <c r="I463" s="9" t="s">
        <v>96</v>
      </c>
      <c r="J463" s="9" t="s">
        <v>38801</v>
      </c>
      <c r="K463" s="55">
        <v>44874.0</v>
      </c>
      <c r="M463" s="9" t="s">
        <v>243</v>
      </c>
    </row>
    <row r="464" ht="15.75" hidden="1" customHeight="1">
      <c r="A464" s="9" t="s">
        <v>39636</v>
      </c>
      <c r="B464" s="9" t="s">
        <v>20733</v>
      </c>
      <c r="D464" s="9" t="s">
        <v>12224</v>
      </c>
      <c r="F464" s="9" t="s">
        <v>39637</v>
      </c>
      <c r="G464" s="9" t="s">
        <v>38946</v>
      </c>
      <c r="H464" s="127">
        <v>44616.0</v>
      </c>
      <c r="I464" s="9" t="s">
        <v>96</v>
      </c>
      <c r="J464" s="9" t="s">
        <v>38801</v>
      </c>
      <c r="K464" s="55">
        <v>44629.0</v>
      </c>
      <c r="M464" s="9" t="s">
        <v>8275</v>
      </c>
    </row>
    <row r="465" ht="15.75" hidden="1" customHeight="1">
      <c r="A465" s="9" t="s">
        <v>39638</v>
      </c>
      <c r="B465" s="9" t="s">
        <v>20950</v>
      </c>
      <c r="D465" s="9" t="s">
        <v>12230</v>
      </c>
      <c r="F465" s="9" t="s">
        <v>39639</v>
      </c>
      <c r="G465" s="9" t="s">
        <v>38946</v>
      </c>
      <c r="H465" s="127">
        <v>44620.0</v>
      </c>
      <c r="I465" s="9" t="s">
        <v>52</v>
      </c>
      <c r="J465" s="9" t="s">
        <v>38801</v>
      </c>
      <c r="K465" s="55">
        <v>44629.0</v>
      </c>
      <c r="M465" s="9" t="s">
        <v>9688</v>
      </c>
    </row>
    <row r="466" ht="15.75" customHeight="1">
      <c r="A466" s="9" t="s">
        <v>39640</v>
      </c>
      <c r="B466" s="9" t="s">
        <v>21684</v>
      </c>
      <c r="D466" s="9" t="s">
        <v>12227</v>
      </c>
      <c r="E466" s="9" t="s">
        <v>38803</v>
      </c>
      <c r="F466" s="9" t="s">
        <v>39641</v>
      </c>
      <c r="G466" s="9" t="s">
        <v>38808</v>
      </c>
      <c r="H466" s="127">
        <v>44620.0</v>
      </c>
      <c r="I466" s="9" t="s">
        <v>52</v>
      </c>
      <c r="J466" s="9" t="s">
        <v>38805</v>
      </c>
      <c r="M466" s="9" t="s">
        <v>10180</v>
      </c>
    </row>
    <row r="467" ht="15.75" customHeight="1">
      <c r="A467" s="9" t="s">
        <v>39642</v>
      </c>
      <c r="B467" s="9" t="s">
        <v>14449</v>
      </c>
      <c r="D467" s="9" t="s">
        <v>12227</v>
      </c>
      <c r="E467" s="9" t="s">
        <v>38803</v>
      </c>
      <c r="F467" s="9" t="s">
        <v>39643</v>
      </c>
      <c r="G467" s="9" t="s">
        <v>38808</v>
      </c>
      <c r="H467" s="127">
        <v>44622.0</v>
      </c>
      <c r="I467" s="9" t="s">
        <v>52</v>
      </c>
      <c r="J467" s="9" t="s">
        <v>38805</v>
      </c>
      <c r="M467" s="9" t="s">
        <v>10509</v>
      </c>
    </row>
    <row r="468" ht="15.75" hidden="1" customHeight="1">
      <c r="A468" s="9" t="s">
        <v>39644</v>
      </c>
      <c r="B468" s="9" t="s">
        <v>15729</v>
      </c>
      <c r="D468" s="9" t="s">
        <v>12236</v>
      </c>
      <c r="F468" s="9" t="s">
        <v>39548</v>
      </c>
      <c r="G468" s="9" t="s">
        <v>38946</v>
      </c>
      <c r="H468" s="127">
        <v>44624.0</v>
      </c>
      <c r="I468" s="9" t="s">
        <v>52</v>
      </c>
      <c r="J468" s="9" t="s">
        <v>38801</v>
      </c>
      <c r="K468" s="55">
        <v>44628.0</v>
      </c>
      <c r="M468" s="9" t="s">
        <v>9801</v>
      </c>
    </row>
    <row r="469" ht="15.75" hidden="1" customHeight="1">
      <c r="A469" s="9" t="s">
        <v>39645</v>
      </c>
      <c r="B469" s="9" t="s">
        <v>20595</v>
      </c>
      <c r="D469" s="9" t="s">
        <v>12230</v>
      </c>
      <c r="F469" s="9" t="s">
        <v>20598</v>
      </c>
      <c r="G469" s="9" t="s">
        <v>38946</v>
      </c>
      <c r="H469" s="127">
        <v>44629.0</v>
      </c>
      <c r="I469" s="9" t="s">
        <v>26</v>
      </c>
      <c r="J469" s="9" t="s">
        <v>38801</v>
      </c>
      <c r="K469" s="55">
        <v>45411.0</v>
      </c>
      <c r="M469" s="9" t="s">
        <v>7808</v>
      </c>
    </row>
    <row r="470" ht="15.75" hidden="1" customHeight="1">
      <c r="A470" s="9" t="s">
        <v>39646</v>
      </c>
      <c r="B470" s="9" t="s">
        <v>18043</v>
      </c>
      <c r="D470" s="9" t="s">
        <v>12236</v>
      </c>
      <c r="F470" s="9" t="s">
        <v>39548</v>
      </c>
      <c r="G470" s="9" t="s">
        <v>38946</v>
      </c>
      <c r="H470" s="127">
        <v>44630.0</v>
      </c>
      <c r="I470" s="9" t="s">
        <v>52</v>
      </c>
      <c r="J470" s="9" t="s">
        <v>38801</v>
      </c>
      <c r="K470" s="60">
        <v>44882.0</v>
      </c>
      <c r="M470" s="9" t="s">
        <v>12018</v>
      </c>
    </row>
    <row r="471" ht="15.75" hidden="1" customHeight="1">
      <c r="A471" s="9" t="s">
        <v>39647</v>
      </c>
      <c r="B471" s="9" t="s">
        <v>18043</v>
      </c>
      <c r="D471" s="9" t="s">
        <v>12230</v>
      </c>
      <c r="F471" s="9" t="s">
        <v>39567</v>
      </c>
      <c r="G471" s="9" t="s">
        <v>38946</v>
      </c>
      <c r="H471" s="127">
        <v>44631.0</v>
      </c>
      <c r="I471" s="9" t="s">
        <v>52</v>
      </c>
      <c r="J471" s="9" t="s">
        <v>38801</v>
      </c>
      <c r="K471" s="55">
        <v>44727.0</v>
      </c>
      <c r="M471" s="9" t="s">
        <v>12018</v>
      </c>
    </row>
    <row r="472" ht="15.75" hidden="1" customHeight="1">
      <c r="A472" s="9" t="s">
        <v>39648</v>
      </c>
      <c r="B472" s="9" t="s">
        <v>15520</v>
      </c>
      <c r="D472" s="9" t="s">
        <v>12236</v>
      </c>
      <c r="F472" s="9" t="s">
        <v>39649</v>
      </c>
      <c r="G472" s="9" t="s">
        <v>38946</v>
      </c>
      <c r="H472" s="127">
        <v>44634.0</v>
      </c>
      <c r="I472" s="9" t="s">
        <v>52</v>
      </c>
      <c r="J472" s="9" t="s">
        <v>38801</v>
      </c>
      <c r="K472" s="55">
        <v>45411.0</v>
      </c>
      <c r="M472" s="9" t="s">
        <v>7020</v>
      </c>
    </row>
    <row r="473" ht="15.75" hidden="1" customHeight="1">
      <c r="A473" s="9" t="s">
        <v>39650</v>
      </c>
      <c r="B473" s="9" t="s">
        <v>26228</v>
      </c>
      <c r="D473" s="9" t="s">
        <v>12236</v>
      </c>
      <c r="F473" s="9" t="s">
        <v>39548</v>
      </c>
      <c r="G473" s="9" t="s">
        <v>38946</v>
      </c>
      <c r="H473" s="127">
        <v>44634.0</v>
      </c>
      <c r="I473" s="9" t="s">
        <v>52</v>
      </c>
      <c r="J473" s="9" t="s">
        <v>38801</v>
      </c>
      <c r="K473" s="60">
        <v>45411.0</v>
      </c>
      <c r="M473" s="9" t="s">
        <v>10725</v>
      </c>
    </row>
    <row r="474" ht="15.75" hidden="1" customHeight="1">
      <c r="A474" s="9" t="s">
        <v>39651</v>
      </c>
      <c r="B474" s="9" t="s">
        <v>19520</v>
      </c>
      <c r="D474" s="9" t="s">
        <v>12258</v>
      </c>
      <c r="F474" s="9" t="s">
        <v>39652</v>
      </c>
      <c r="G474" s="9" t="s">
        <v>38946</v>
      </c>
      <c r="H474" s="127">
        <v>44634.0</v>
      </c>
      <c r="I474" s="9" t="s">
        <v>101</v>
      </c>
      <c r="J474" s="9" t="s">
        <v>38801</v>
      </c>
      <c r="K474" s="55">
        <v>44652.0</v>
      </c>
      <c r="M474" s="9" t="s">
        <v>8306</v>
      </c>
    </row>
    <row r="475" ht="15.75" hidden="1" customHeight="1">
      <c r="A475" s="9" t="s">
        <v>39653</v>
      </c>
      <c r="B475" s="9" t="s">
        <v>15070</v>
      </c>
      <c r="D475" s="9" t="s">
        <v>12236</v>
      </c>
      <c r="F475" s="9" t="s">
        <v>39548</v>
      </c>
      <c r="G475" s="9" t="s">
        <v>38946</v>
      </c>
      <c r="H475" s="127">
        <v>44636.0</v>
      </c>
      <c r="I475" s="9" t="s">
        <v>52</v>
      </c>
      <c r="J475" s="9" t="s">
        <v>38801</v>
      </c>
      <c r="K475" s="60">
        <v>44882.0</v>
      </c>
      <c r="M475" s="9" t="s">
        <v>10437</v>
      </c>
    </row>
    <row r="476" ht="15.75" hidden="1" customHeight="1">
      <c r="A476" s="9" t="s">
        <v>39654</v>
      </c>
      <c r="B476" s="9" t="s">
        <v>16378</v>
      </c>
      <c r="D476" s="9" t="s">
        <v>12236</v>
      </c>
      <c r="F476" s="9" t="s">
        <v>39548</v>
      </c>
      <c r="G476" s="9" t="s">
        <v>38946</v>
      </c>
      <c r="H476" s="127">
        <v>44636.0</v>
      </c>
      <c r="I476" s="9" t="s">
        <v>52</v>
      </c>
      <c r="J476" s="9" t="s">
        <v>38801</v>
      </c>
      <c r="K476" s="60">
        <v>44882.0</v>
      </c>
      <c r="M476" s="9" t="s">
        <v>244</v>
      </c>
    </row>
    <row r="477" ht="15.75" hidden="1" customHeight="1">
      <c r="A477" s="9" t="s">
        <v>39655</v>
      </c>
      <c r="B477" s="9" t="s">
        <v>19854</v>
      </c>
      <c r="D477" s="9" t="s">
        <v>12230</v>
      </c>
      <c r="F477" s="9" t="s">
        <v>39656</v>
      </c>
      <c r="G477" s="9" t="s">
        <v>38946</v>
      </c>
      <c r="H477" s="127">
        <v>44638.0</v>
      </c>
      <c r="I477" s="9" t="s">
        <v>26</v>
      </c>
      <c r="J477" s="9" t="s">
        <v>38801</v>
      </c>
      <c r="K477" s="55">
        <v>44735.0</v>
      </c>
      <c r="M477" s="9" t="s">
        <v>12148</v>
      </c>
    </row>
    <row r="478" ht="15.75" hidden="1" customHeight="1">
      <c r="A478" s="9" t="s">
        <v>39657</v>
      </c>
      <c r="B478" s="9" t="s">
        <v>17535</v>
      </c>
      <c r="D478" s="9" t="s">
        <v>12236</v>
      </c>
      <c r="F478" s="9" t="s">
        <v>39658</v>
      </c>
      <c r="G478" s="9" t="s">
        <v>38946</v>
      </c>
      <c r="H478" s="127">
        <v>44641.0</v>
      </c>
      <c r="I478" s="9" t="s">
        <v>52</v>
      </c>
      <c r="J478" s="9" t="s">
        <v>38801</v>
      </c>
      <c r="K478" s="60">
        <v>45250.0</v>
      </c>
      <c r="M478" s="9" t="s">
        <v>5586</v>
      </c>
    </row>
    <row r="479" ht="15.75" hidden="1" customHeight="1">
      <c r="A479" s="9" t="s">
        <v>39659</v>
      </c>
      <c r="B479" s="9" t="s">
        <v>18405</v>
      </c>
      <c r="D479" s="9" t="s">
        <v>12258</v>
      </c>
      <c r="F479" s="9" t="s">
        <v>39660</v>
      </c>
      <c r="G479" s="9" t="s">
        <v>38946</v>
      </c>
      <c r="H479" s="127">
        <v>44641.0</v>
      </c>
      <c r="I479" s="9" t="s">
        <v>52</v>
      </c>
      <c r="J479" s="9" t="s">
        <v>38801</v>
      </c>
      <c r="K479" s="55">
        <v>44764.0</v>
      </c>
      <c r="M479" s="9" t="s">
        <v>12030</v>
      </c>
    </row>
    <row r="480" ht="15.75" hidden="1" customHeight="1">
      <c r="A480" s="9" t="s">
        <v>39661</v>
      </c>
      <c r="B480" s="9" t="s">
        <v>20755</v>
      </c>
      <c r="D480" s="9" t="s">
        <v>12236</v>
      </c>
      <c r="F480" s="9" t="s">
        <v>39548</v>
      </c>
      <c r="G480" s="9" t="s">
        <v>38946</v>
      </c>
      <c r="H480" s="127">
        <v>44642.0</v>
      </c>
      <c r="I480" s="9" t="s">
        <v>52</v>
      </c>
      <c r="J480" s="9" t="s">
        <v>38801</v>
      </c>
      <c r="K480" s="60">
        <v>44882.0</v>
      </c>
      <c r="M480" s="9" t="s">
        <v>8322</v>
      </c>
    </row>
    <row r="481" ht="15.75" hidden="1" customHeight="1">
      <c r="A481" s="9" t="s">
        <v>39662</v>
      </c>
      <c r="B481" s="9" t="s">
        <v>13241</v>
      </c>
      <c r="D481" s="9" t="s">
        <v>12236</v>
      </c>
      <c r="F481" s="9" t="s">
        <v>39663</v>
      </c>
      <c r="G481" s="9" t="s">
        <v>38946</v>
      </c>
      <c r="H481" s="127">
        <v>44643.0</v>
      </c>
      <c r="I481" s="9" t="s">
        <v>52</v>
      </c>
      <c r="J481" s="9" t="s">
        <v>38801</v>
      </c>
      <c r="K481" s="60">
        <v>45250.0</v>
      </c>
      <c r="M481" s="9" t="s">
        <v>862</v>
      </c>
    </row>
    <row r="482" ht="15.75" hidden="1" customHeight="1">
      <c r="A482" s="9" t="s">
        <v>39664</v>
      </c>
      <c r="B482" s="9" t="s">
        <v>21005</v>
      </c>
      <c r="D482" s="9" t="s">
        <v>12230</v>
      </c>
      <c r="F482" s="9" t="s">
        <v>39665</v>
      </c>
      <c r="G482" s="9" t="s">
        <v>38946</v>
      </c>
      <c r="H482" s="127">
        <v>44643.0</v>
      </c>
      <c r="I482" s="9" t="s">
        <v>52</v>
      </c>
      <c r="J482" s="9" t="s">
        <v>38801</v>
      </c>
      <c r="K482" s="55">
        <v>44643.0</v>
      </c>
      <c r="M482" s="9" t="s">
        <v>10014</v>
      </c>
    </row>
    <row r="483" ht="15.75" customHeight="1">
      <c r="A483" s="9" t="s">
        <v>39666</v>
      </c>
      <c r="B483" s="9" t="s">
        <v>15765</v>
      </c>
      <c r="D483" s="9" t="s">
        <v>12227</v>
      </c>
      <c r="E483" s="9" t="s">
        <v>39265</v>
      </c>
      <c r="F483" s="9" t="s">
        <v>39667</v>
      </c>
      <c r="G483" s="9" t="s">
        <v>38808</v>
      </c>
      <c r="H483" s="127">
        <v>44649.0</v>
      </c>
      <c r="I483" s="9" t="s">
        <v>26</v>
      </c>
      <c r="J483" s="9" t="s">
        <v>38805</v>
      </c>
      <c r="M483" s="9" t="s">
        <v>12041</v>
      </c>
    </row>
    <row r="484" ht="15.75" hidden="1" customHeight="1">
      <c r="A484" s="9" t="s">
        <v>39668</v>
      </c>
      <c r="B484" s="9" t="s">
        <v>15991</v>
      </c>
      <c r="D484" s="9" t="s">
        <v>12239</v>
      </c>
      <c r="F484" s="9" t="s">
        <v>39669</v>
      </c>
      <c r="G484" s="9" t="s">
        <v>38946</v>
      </c>
      <c r="H484" s="127">
        <v>44657.0</v>
      </c>
      <c r="I484" s="9" t="s">
        <v>26</v>
      </c>
      <c r="J484" s="9" t="s">
        <v>38801</v>
      </c>
      <c r="K484" s="55">
        <v>44678.0</v>
      </c>
      <c r="M484" s="9" t="s">
        <v>10225</v>
      </c>
    </row>
    <row r="485" ht="15.75" hidden="1" customHeight="1">
      <c r="A485" s="9" t="s">
        <v>39670</v>
      </c>
      <c r="B485" s="9" t="s">
        <v>15991</v>
      </c>
      <c r="D485" s="9" t="s">
        <v>12236</v>
      </c>
      <c r="F485" s="9" t="s">
        <v>39671</v>
      </c>
      <c r="G485" s="9" t="s">
        <v>38946</v>
      </c>
      <c r="H485" s="127">
        <v>44657.0</v>
      </c>
      <c r="I485" s="9" t="s">
        <v>26</v>
      </c>
      <c r="J485" s="9" t="s">
        <v>38801</v>
      </c>
      <c r="K485" s="55">
        <v>44663.0</v>
      </c>
      <c r="M485" s="9" t="s">
        <v>10225</v>
      </c>
    </row>
    <row r="486" ht="15.75" hidden="1" customHeight="1">
      <c r="A486" s="9" t="s">
        <v>39672</v>
      </c>
      <c r="B486" s="9" t="s">
        <v>15991</v>
      </c>
      <c r="D486" s="9" t="s">
        <v>12250</v>
      </c>
      <c r="F486" s="9" t="s">
        <v>39673</v>
      </c>
      <c r="G486" s="9" t="s">
        <v>38946</v>
      </c>
      <c r="H486" s="127">
        <v>44657.0</v>
      </c>
      <c r="I486" s="9" t="s">
        <v>26</v>
      </c>
      <c r="J486" s="9" t="s">
        <v>38801</v>
      </c>
      <c r="K486" s="55">
        <v>44657.0</v>
      </c>
      <c r="M486" s="9" t="s">
        <v>10225</v>
      </c>
    </row>
    <row r="487" ht="15.75" hidden="1" customHeight="1">
      <c r="A487" s="9" t="s">
        <v>39674</v>
      </c>
      <c r="B487" s="9" t="s">
        <v>18390</v>
      </c>
      <c r="D487" s="9" t="s">
        <v>12236</v>
      </c>
      <c r="F487" s="9" t="s">
        <v>39675</v>
      </c>
      <c r="G487" s="9" t="s">
        <v>38946</v>
      </c>
      <c r="H487" s="127">
        <v>44658.0</v>
      </c>
      <c r="I487" s="9" t="s">
        <v>52</v>
      </c>
      <c r="J487" s="9" t="s">
        <v>38801</v>
      </c>
      <c r="K487" s="60">
        <v>44882.0</v>
      </c>
      <c r="M487" s="9" t="s">
        <v>9237</v>
      </c>
    </row>
    <row r="488" ht="15.75" hidden="1" customHeight="1">
      <c r="A488" s="9" t="s">
        <v>39676</v>
      </c>
      <c r="B488" s="9" t="s">
        <v>18230</v>
      </c>
      <c r="D488" s="9" t="s">
        <v>12236</v>
      </c>
      <c r="F488" s="9" t="s">
        <v>39677</v>
      </c>
      <c r="G488" s="9" t="s">
        <v>38946</v>
      </c>
      <c r="H488" s="127">
        <v>44659.0</v>
      </c>
      <c r="I488" s="9" t="s">
        <v>52</v>
      </c>
      <c r="J488" s="9" t="s">
        <v>38801</v>
      </c>
      <c r="K488" s="60">
        <v>45411.0</v>
      </c>
      <c r="M488" s="9" t="s">
        <v>10603</v>
      </c>
    </row>
    <row r="489" ht="15.75" hidden="1" customHeight="1">
      <c r="A489" s="9" t="s">
        <v>39678</v>
      </c>
      <c r="B489" s="9" t="s">
        <v>20950</v>
      </c>
      <c r="D489" s="9" t="s">
        <v>12230</v>
      </c>
      <c r="F489" s="9" t="s">
        <v>39679</v>
      </c>
      <c r="G489" s="9" t="s">
        <v>38946</v>
      </c>
      <c r="H489" s="127">
        <v>44659.0</v>
      </c>
      <c r="I489" s="9" t="s">
        <v>52</v>
      </c>
      <c r="J489" s="9" t="s">
        <v>38801</v>
      </c>
      <c r="K489" s="55">
        <v>44690.0</v>
      </c>
      <c r="M489" s="9" t="s">
        <v>9688</v>
      </c>
    </row>
    <row r="490" ht="15.75" hidden="1" customHeight="1">
      <c r="A490" s="9" t="s">
        <v>39680</v>
      </c>
      <c r="B490" s="9" t="s">
        <v>15677</v>
      </c>
      <c r="D490" s="9" t="s">
        <v>12236</v>
      </c>
      <c r="F490" s="9" t="s">
        <v>39677</v>
      </c>
      <c r="G490" s="9" t="s">
        <v>38946</v>
      </c>
      <c r="H490" s="127">
        <v>44659.0</v>
      </c>
      <c r="I490" s="9" t="s">
        <v>52</v>
      </c>
      <c r="J490" s="9" t="s">
        <v>38801</v>
      </c>
      <c r="K490" s="55">
        <v>44672.0</v>
      </c>
      <c r="M490" s="9" t="s">
        <v>8291</v>
      </c>
    </row>
    <row r="491" ht="15.75" hidden="1" customHeight="1">
      <c r="A491" s="9" t="s">
        <v>39681</v>
      </c>
      <c r="B491" s="9" t="s">
        <v>13590</v>
      </c>
      <c r="D491" s="9" t="s">
        <v>12248</v>
      </c>
      <c r="F491" s="9" t="s">
        <v>39682</v>
      </c>
      <c r="G491" s="9" t="s">
        <v>38946</v>
      </c>
      <c r="H491" s="127">
        <v>44662.0</v>
      </c>
      <c r="I491" s="9" t="s">
        <v>52</v>
      </c>
      <c r="J491" s="9" t="s">
        <v>38801</v>
      </c>
      <c r="K491" s="55">
        <v>45281.0</v>
      </c>
      <c r="M491" s="9" t="s">
        <v>9612</v>
      </c>
    </row>
    <row r="492" ht="15.75" hidden="1" customHeight="1">
      <c r="A492" s="9" t="s">
        <v>39683</v>
      </c>
      <c r="B492" s="9" t="s">
        <v>15344</v>
      </c>
      <c r="D492" s="9" t="s">
        <v>12230</v>
      </c>
      <c r="F492" s="9" t="s">
        <v>39684</v>
      </c>
      <c r="G492" s="9" t="s">
        <v>38946</v>
      </c>
      <c r="H492" s="127">
        <v>44662.0</v>
      </c>
      <c r="I492" s="9" t="s">
        <v>52</v>
      </c>
      <c r="J492" s="9" t="s">
        <v>38801</v>
      </c>
      <c r="K492" s="55">
        <v>44727.0</v>
      </c>
      <c r="M492" s="9" t="s">
        <v>11731</v>
      </c>
    </row>
    <row r="493" ht="15.75" hidden="1" customHeight="1">
      <c r="A493" s="9" t="s">
        <v>39685</v>
      </c>
      <c r="B493" s="9" t="s">
        <v>15344</v>
      </c>
      <c r="D493" s="9" t="s">
        <v>12236</v>
      </c>
      <c r="F493" s="9" t="s">
        <v>39677</v>
      </c>
      <c r="G493" s="9" t="s">
        <v>38946</v>
      </c>
      <c r="H493" s="127">
        <v>44663.0</v>
      </c>
      <c r="I493" s="9" t="s">
        <v>52</v>
      </c>
      <c r="J493" s="9" t="s">
        <v>38801</v>
      </c>
      <c r="K493" s="60">
        <v>44882.0</v>
      </c>
      <c r="M493" s="9" t="s">
        <v>11731</v>
      </c>
    </row>
    <row r="494" ht="15.75" hidden="1" customHeight="1">
      <c r="A494" s="9" t="s">
        <v>39686</v>
      </c>
      <c r="B494" s="9" t="s">
        <v>17647</v>
      </c>
      <c r="D494" s="9" t="s">
        <v>12230</v>
      </c>
      <c r="F494" s="9" t="s">
        <v>39687</v>
      </c>
      <c r="G494" s="9" t="s">
        <v>38946</v>
      </c>
      <c r="H494" s="127">
        <v>44664.0</v>
      </c>
      <c r="I494" s="9" t="s">
        <v>26</v>
      </c>
      <c r="J494" s="9" t="s">
        <v>38801</v>
      </c>
      <c r="K494" s="55">
        <v>45411.0</v>
      </c>
      <c r="M494" s="9" t="s">
        <v>10730</v>
      </c>
    </row>
    <row r="495" ht="15.75" hidden="1" customHeight="1">
      <c r="A495" s="9" t="s">
        <v>39688</v>
      </c>
      <c r="B495" s="9" t="s">
        <v>18098</v>
      </c>
      <c r="D495" s="9" t="s">
        <v>12236</v>
      </c>
      <c r="F495" s="9" t="s">
        <v>39677</v>
      </c>
      <c r="G495" s="9" t="s">
        <v>38946</v>
      </c>
      <c r="H495" s="127">
        <v>44664.0</v>
      </c>
      <c r="I495" s="9" t="s">
        <v>52</v>
      </c>
      <c r="J495" s="9" t="s">
        <v>38801</v>
      </c>
      <c r="K495" s="55">
        <v>44666.0</v>
      </c>
      <c r="M495" s="9" t="s">
        <v>12091</v>
      </c>
    </row>
    <row r="496" ht="15.75" hidden="1" customHeight="1">
      <c r="A496" s="9" t="s">
        <v>39689</v>
      </c>
      <c r="B496" s="9" t="s">
        <v>20610</v>
      </c>
      <c r="D496" s="9" t="s">
        <v>12236</v>
      </c>
      <c r="F496" s="9" t="s">
        <v>39690</v>
      </c>
      <c r="G496" s="9" t="s">
        <v>38946</v>
      </c>
      <c r="H496" s="127">
        <v>44665.0</v>
      </c>
      <c r="I496" s="9" t="s">
        <v>52</v>
      </c>
      <c r="J496" s="9" t="s">
        <v>38801</v>
      </c>
      <c r="K496" s="60">
        <v>45250.0</v>
      </c>
      <c r="M496" s="9" t="s">
        <v>7823</v>
      </c>
    </row>
    <row r="497" ht="15.75" hidden="1" customHeight="1">
      <c r="A497" s="52" t="s">
        <v>39691</v>
      </c>
      <c r="B497" s="9" t="s">
        <v>16293</v>
      </c>
      <c r="D497" s="9" t="s">
        <v>12239</v>
      </c>
      <c r="F497" s="9" t="s">
        <v>39692</v>
      </c>
      <c r="G497" s="9" t="s">
        <v>38946</v>
      </c>
      <c r="H497" s="127">
        <v>44665.0</v>
      </c>
      <c r="I497" s="9" t="s">
        <v>26</v>
      </c>
      <c r="J497" s="9" t="s">
        <v>38801</v>
      </c>
      <c r="K497" s="55">
        <v>44726.0</v>
      </c>
      <c r="M497" s="9" t="s">
        <v>11914</v>
      </c>
    </row>
    <row r="498" ht="15.75" hidden="1" customHeight="1">
      <c r="A498" s="9" t="s">
        <v>39693</v>
      </c>
      <c r="B498" s="9" t="s">
        <v>15565</v>
      </c>
      <c r="D498" s="9" t="s">
        <v>12236</v>
      </c>
      <c r="F498" s="9" t="s">
        <v>39694</v>
      </c>
      <c r="G498" s="9" t="s">
        <v>38946</v>
      </c>
      <c r="H498" s="127">
        <v>44673.0</v>
      </c>
      <c r="I498" s="9" t="s">
        <v>52</v>
      </c>
      <c r="J498" s="9" t="s">
        <v>38801</v>
      </c>
      <c r="K498" s="55">
        <v>45152.0</v>
      </c>
      <c r="M498" s="9" t="s">
        <v>9749</v>
      </c>
    </row>
    <row r="499" ht="15.75" hidden="1" customHeight="1">
      <c r="A499" s="9" t="s">
        <v>39695</v>
      </c>
      <c r="B499" s="9" t="s">
        <v>21673</v>
      </c>
      <c r="D499" s="9" t="s">
        <v>12236</v>
      </c>
      <c r="F499" s="9" t="s">
        <v>39677</v>
      </c>
      <c r="G499" s="9" t="s">
        <v>38946</v>
      </c>
      <c r="H499" s="127">
        <v>44673.0</v>
      </c>
      <c r="I499" s="9" t="s">
        <v>52</v>
      </c>
      <c r="J499" s="9" t="s">
        <v>38801</v>
      </c>
      <c r="K499" s="60">
        <v>44882.0</v>
      </c>
      <c r="M499" s="9" t="s">
        <v>9827</v>
      </c>
    </row>
    <row r="500" ht="15.75" hidden="1" customHeight="1">
      <c r="A500" s="9" t="s">
        <v>39696</v>
      </c>
      <c r="B500" s="9" t="s">
        <v>13763</v>
      </c>
      <c r="D500" s="9" t="s">
        <v>12236</v>
      </c>
      <c r="F500" s="9" t="s">
        <v>39677</v>
      </c>
      <c r="G500" s="9" t="s">
        <v>38946</v>
      </c>
      <c r="H500" s="127">
        <v>44673.0</v>
      </c>
      <c r="I500" s="9" t="s">
        <v>52</v>
      </c>
      <c r="J500" s="9" t="s">
        <v>38801</v>
      </c>
      <c r="K500" s="60">
        <v>44882.0</v>
      </c>
      <c r="M500" s="9" t="s">
        <v>9006</v>
      </c>
    </row>
    <row r="501" ht="15.75" hidden="1" customHeight="1">
      <c r="A501" s="9" t="s">
        <v>39697</v>
      </c>
      <c r="B501" s="9" t="s">
        <v>19854</v>
      </c>
      <c r="D501" s="9" t="s">
        <v>12236</v>
      </c>
      <c r="F501" s="9" t="s">
        <v>39677</v>
      </c>
      <c r="G501" s="9" t="s">
        <v>38946</v>
      </c>
      <c r="H501" s="127">
        <v>44677.0</v>
      </c>
      <c r="I501" s="9" t="s">
        <v>52</v>
      </c>
      <c r="J501" s="9" t="s">
        <v>38801</v>
      </c>
      <c r="K501" s="60">
        <v>44882.0</v>
      </c>
      <c r="M501" s="9" t="s">
        <v>12148</v>
      </c>
    </row>
    <row r="502" ht="15.75" hidden="1" customHeight="1">
      <c r="A502" s="9" t="s">
        <v>39698</v>
      </c>
      <c r="B502" s="9" t="s">
        <v>17551</v>
      </c>
      <c r="D502" s="9" t="s">
        <v>12233</v>
      </c>
      <c r="F502" s="9" t="s">
        <v>39699</v>
      </c>
      <c r="G502" s="9" t="s">
        <v>38946</v>
      </c>
      <c r="H502" s="127">
        <v>44678.0</v>
      </c>
      <c r="I502" s="9" t="s">
        <v>52</v>
      </c>
      <c r="J502" s="9" t="s">
        <v>38801</v>
      </c>
      <c r="K502" s="55">
        <v>44679.0</v>
      </c>
      <c r="M502" s="9" t="s">
        <v>8211</v>
      </c>
    </row>
    <row r="503" ht="15.75" hidden="1" customHeight="1">
      <c r="A503" s="9" t="s">
        <v>39700</v>
      </c>
      <c r="B503" s="9" t="s">
        <v>19086</v>
      </c>
      <c r="D503" s="9" t="s">
        <v>12236</v>
      </c>
      <c r="F503" s="9" t="s">
        <v>39677</v>
      </c>
      <c r="G503" s="9" t="s">
        <v>38946</v>
      </c>
      <c r="H503" s="127">
        <v>44679.0</v>
      </c>
      <c r="I503" s="9" t="s">
        <v>52</v>
      </c>
      <c r="J503" s="9" t="s">
        <v>38801</v>
      </c>
      <c r="K503" s="60">
        <v>44882.0</v>
      </c>
      <c r="M503" s="9" t="s">
        <v>9087</v>
      </c>
    </row>
    <row r="504" ht="15.75" hidden="1" customHeight="1">
      <c r="A504" s="9" t="s">
        <v>39701</v>
      </c>
      <c r="B504" s="9" t="s">
        <v>13147</v>
      </c>
      <c r="D504" s="9" t="s">
        <v>12236</v>
      </c>
      <c r="F504" s="9" t="s">
        <v>39677</v>
      </c>
      <c r="G504" s="9" t="s">
        <v>38946</v>
      </c>
      <c r="H504" s="127">
        <v>44679.0</v>
      </c>
      <c r="I504" s="9" t="s">
        <v>52</v>
      </c>
      <c r="J504" s="9" t="s">
        <v>38801</v>
      </c>
      <c r="K504" s="60">
        <v>44882.0</v>
      </c>
      <c r="M504" s="9" t="s">
        <v>8744</v>
      </c>
    </row>
    <row r="505" ht="15.75" hidden="1" customHeight="1">
      <c r="A505" s="9" t="s">
        <v>39702</v>
      </c>
      <c r="B505" s="9" t="s">
        <v>15608</v>
      </c>
      <c r="D505" s="9" t="s">
        <v>12236</v>
      </c>
      <c r="F505" s="9" t="s">
        <v>39677</v>
      </c>
      <c r="G505" s="9" t="s">
        <v>38946</v>
      </c>
      <c r="H505" s="127">
        <v>44683.0</v>
      </c>
      <c r="I505" s="9" t="s">
        <v>52</v>
      </c>
      <c r="J505" s="9" t="s">
        <v>38801</v>
      </c>
      <c r="K505" s="55">
        <v>44742.0</v>
      </c>
      <c r="M505" s="52" t="s">
        <v>15642</v>
      </c>
    </row>
    <row r="506" ht="15.75" hidden="1" customHeight="1">
      <c r="A506" s="9" t="s">
        <v>39703</v>
      </c>
      <c r="B506" s="9" t="s">
        <v>20950</v>
      </c>
      <c r="D506" s="9" t="s">
        <v>12230</v>
      </c>
      <c r="F506" s="9" t="s">
        <v>39704</v>
      </c>
      <c r="G506" s="9" t="s">
        <v>38946</v>
      </c>
      <c r="H506" s="127">
        <v>44683.0</v>
      </c>
      <c r="I506" s="9" t="s">
        <v>52</v>
      </c>
      <c r="J506" s="9" t="s">
        <v>38801</v>
      </c>
      <c r="K506" s="55">
        <v>44690.0</v>
      </c>
      <c r="M506" s="9" t="s">
        <v>9688</v>
      </c>
    </row>
    <row r="507" ht="15.75" hidden="1" customHeight="1">
      <c r="A507" s="9" t="s">
        <v>39705</v>
      </c>
      <c r="B507" s="9" t="s">
        <v>16025</v>
      </c>
      <c r="D507" s="9" t="s">
        <v>12236</v>
      </c>
      <c r="F507" s="9" t="s">
        <v>39706</v>
      </c>
      <c r="G507" s="9" t="s">
        <v>38946</v>
      </c>
      <c r="H507" s="127">
        <v>44685.0</v>
      </c>
      <c r="I507" s="9" t="s">
        <v>52</v>
      </c>
      <c r="J507" s="9" t="s">
        <v>38801</v>
      </c>
      <c r="K507" s="55">
        <v>45154.0</v>
      </c>
      <c r="M507" s="9" t="s">
        <v>1546</v>
      </c>
    </row>
    <row r="508" ht="15.75" hidden="1" customHeight="1">
      <c r="A508" s="9" t="s">
        <v>39707</v>
      </c>
      <c r="B508" s="9" t="s">
        <v>19803</v>
      </c>
      <c r="D508" s="9" t="s">
        <v>12236</v>
      </c>
      <c r="F508" s="9" t="s">
        <v>39708</v>
      </c>
      <c r="G508" s="9" t="s">
        <v>38946</v>
      </c>
      <c r="H508" s="127">
        <v>44686.0</v>
      </c>
      <c r="I508" s="9" t="s">
        <v>47</v>
      </c>
      <c r="J508" s="9" t="s">
        <v>38801</v>
      </c>
      <c r="K508" s="60">
        <v>44875.0</v>
      </c>
      <c r="M508" s="9" t="s">
        <v>10672</v>
      </c>
    </row>
    <row r="509" ht="15.75" hidden="1" customHeight="1">
      <c r="A509" s="9" t="s">
        <v>39709</v>
      </c>
      <c r="B509" s="9" t="s">
        <v>19803</v>
      </c>
      <c r="D509" s="9" t="s">
        <v>12224</v>
      </c>
      <c r="F509" s="9" t="s">
        <v>39710</v>
      </c>
      <c r="G509" s="9" t="s">
        <v>38946</v>
      </c>
      <c r="H509" s="127">
        <v>44686.0</v>
      </c>
      <c r="I509" s="9" t="s">
        <v>47</v>
      </c>
      <c r="J509" s="9" t="s">
        <v>38801</v>
      </c>
      <c r="K509" s="55">
        <v>44705.0</v>
      </c>
      <c r="M509" s="9" t="s">
        <v>10672</v>
      </c>
    </row>
    <row r="510" ht="15.75" hidden="1" customHeight="1">
      <c r="A510" s="9" t="s">
        <v>39711</v>
      </c>
      <c r="B510" s="9" t="s">
        <v>19574</v>
      </c>
      <c r="D510" s="9" t="s">
        <v>12230</v>
      </c>
      <c r="F510" s="9" t="s">
        <v>39684</v>
      </c>
      <c r="G510" s="9" t="s">
        <v>38946</v>
      </c>
      <c r="H510" s="127">
        <v>44686.0</v>
      </c>
      <c r="I510" s="9" t="s">
        <v>52</v>
      </c>
      <c r="J510" s="9" t="s">
        <v>38801</v>
      </c>
      <c r="K510" s="55">
        <v>44686.0</v>
      </c>
      <c r="M510" s="9" t="s">
        <v>11758</v>
      </c>
    </row>
    <row r="511" ht="15.75" hidden="1" customHeight="1">
      <c r="A511" s="9" t="s">
        <v>39712</v>
      </c>
      <c r="B511" s="9" t="s">
        <v>15991</v>
      </c>
      <c r="D511" s="9" t="s">
        <v>12230</v>
      </c>
      <c r="F511" s="9" t="s">
        <v>39713</v>
      </c>
      <c r="G511" s="9" t="s">
        <v>38808</v>
      </c>
      <c r="H511" s="127">
        <v>44687.0</v>
      </c>
      <c r="I511" s="9" t="s">
        <v>47</v>
      </c>
      <c r="J511" s="9" t="s">
        <v>38801</v>
      </c>
      <c r="K511" s="55">
        <v>44687.0</v>
      </c>
      <c r="M511" s="9" t="s">
        <v>10225</v>
      </c>
    </row>
    <row r="512" ht="15.75" hidden="1" customHeight="1">
      <c r="A512" s="9" t="s">
        <v>39714</v>
      </c>
      <c r="B512" s="9" t="s">
        <v>18924</v>
      </c>
      <c r="D512" s="9" t="s">
        <v>12248</v>
      </c>
      <c r="F512" s="9" t="s">
        <v>39715</v>
      </c>
      <c r="G512" s="9" t="s">
        <v>38808</v>
      </c>
      <c r="H512" s="127">
        <v>44691.0</v>
      </c>
      <c r="I512" s="9" t="s">
        <v>47</v>
      </c>
      <c r="J512" s="9" t="s">
        <v>38801</v>
      </c>
      <c r="K512" s="55">
        <v>45411.0</v>
      </c>
      <c r="M512" s="9" t="s">
        <v>10638</v>
      </c>
    </row>
    <row r="513" ht="15.75" hidden="1" customHeight="1">
      <c r="A513" s="9" t="s">
        <v>39716</v>
      </c>
      <c r="B513" s="9" t="s">
        <v>15378</v>
      </c>
      <c r="D513" s="9" t="s">
        <v>12252</v>
      </c>
      <c r="F513" s="9" t="s">
        <v>39717</v>
      </c>
      <c r="G513" s="9" t="s">
        <v>38808</v>
      </c>
      <c r="H513" s="127">
        <v>44691.0</v>
      </c>
      <c r="I513" s="9" t="s">
        <v>47</v>
      </c>
      <c r="J513" s="9" t="s">
        <v>38801</v>
      </c>
      <c r="K513" s="55">
        <v>44691.0</v>
      </c>
      <c r="M513" s="9" t="s">
        <v>12085</v>
      </c>
    </row>
    <row r="514" ht="15.75" hidden="1" customHeight="1">
      <c r="A514" s="9" t="s">
        <v>39718</v>
      </c>
      <c r="B514" s="9" t="s">
        <v>15378</v>
      </c>
      <c r="D514" s="9" t="s">
        <v>12230</v>
      </c>
      <c r="F514" s="9" t="s">
        <v>39719</v>
      </c>
      <c r="G514" s="9" t="s">
        <v>38808</v>
      </c>
      <c r="H514" s="127">
        <v>44691.0</v>
      </c>
      <c r="I514" s="9" t="s">
        <v>47</v>
      </c>
      <c r="J514" s="9" t="s">
        <v>38805</v>
      </c>
      <c r="M514" s="9" t="s">
        <v>12085</v>
      </c>
    </row>
    <row r="515" ht="15.75" hidden="1" customHeight="1">
      <c r="A515" s="9" t="s">
        <v>39720</v>
      </c>
      <c r="B515" s="9" t="s">
        <v>13559</v>
      </c>
      <c r="D515" s="9" t="s">
        <v>12230</v>
      </c>
      <c r="F515" s="9" t="s">
        <v>39721</v>
      </c>
      <c r="G515" s="9" t="s">
        <v>38808</v>
      </c>
      <c r="H515" s="127">
        <v>44692.0</v>
      </c>
      <c r="I515" s="9" t="s">
        <v>47</v>
      </c>
      <c r="J515" s="9" t="s">
        <v>38801</v>
      </c>
      <c r="K515" s="55">
        <v>44698.0</v>
      </c>
      <c r="M515" s="9" t="s">
        <v>4838</v>
      </c>
    </row>
    <row r="516" ht="15.75" hidden="1" customHeight="1">
      <c r="A516" s="9" t="s">
        <v>39722</v>
      </c>
      <c r="B516" s="9" t="s">
        <v>18845</v>
      </c>
      <c r="D516" s="9" t="s">
        <v>12230</v>
      </c>
      <c r="F516" s="9" t="s">
        <v>39723</v>
      </c>
      <c r="G516" s="9" t="s">
        <v>38808</v>
      </c>
      <c r="H516" s="127">
        <v>44692.0</v>
      </c>
      <c r="I516" s="9" t="s">
        <v>47</v>
      </c>
      <c r="J516" s="9" t="s">
        <v>38801</v>
      </c>
      <c r="K516" s="55">
        <v>44697.0</v>
      </c>
      <c r="M516" s="9" t="s">
        <v>5372</v>
      </c>
    </row>
    <row r="517" ht="15.75" hidden="1" customHeight="1">
      <c r="A517" s="9" t="s">
        <v>39724</v>
      </c>
      <c r="B517" s="9" t="s">
        <v>17303</v>
      </c>
      <c r="D517" s="9" t="s">
        <v>12230</v>
      </c>
      <c r="F517" s="9" t="s">
        <v>39725</v>
      </c>
      <c r="G517" s="9" t="s">
        <v>38808</v>
      </c>
      <c r="H517" s="127">
        <v>44692.0</v>
      </c>
      <c r="I517" s="9" t="s">
        <v>47</v>
      </c>
      <c r="J517" s="9" t="s">
        <v>38801</v>
      </c>
      <c r="K517" s="55">
        <v>44692.0</v>
      </c>
      <c r="M517" s="9" t="s">
        <v>12191</v>
      </c>
    </row>
    <row r="518" ht="15.75" hidden="1" customHeight="1">
      <c r="A518" s="9" t="s">
        <v>39726</v>
      </c>
      <c r="B518" s="9" t="s">
        <v>25873</v>
      </c>
      <c r="D518" s="9" t="s">
        <v>12230</v>
      </c>
      <c r="F518" s="9" t="s">
        <v>39727</v>
      </c>
      <c r="G518" s="9" t="s">
        <v>38808</v>
      </c>
      <c r="H518" s="127">
        <v>44692.0</v>
      </c>
      <c r="I518" s="9" t="s">
        <v>47</v>
      </c>
      <c r="J518" s="9" t="s">
        <v>38801</v>
      </c>
      <c r="K518" s="55">
        <v>44692.0</v>
      </c>
      <c r="M518" s="9" t="s">
        <v>4852</v>
      </c>
    </row>
    <row r="519" ht="15.75" hidden="1" customHeight="1">
      <c r="A519" s="9" t="s">
        <v>39728</v>
      </c>
      <c r="B519" s="9" t="s">
        <v>19478</v>
      </c>
      <c r="D519" s="9" t="s">
        <v>12230</v>
      </c>
      <c r="F519" s="9" t="s">
        <v>39729</v>
      </c>
      <c r="G519" s="9" t="s">
        <v>38808</v>
      </c>
      <c r="H519" s="127">
        <v>44694.0</v>
      </c>
      <c r="I519" s="9" t="s">
        <v>47</v>
      </c>
      <c r="J519" s="9" t="s">
        <v>38801</v>
      </c>
      <c r="K519" s="55">
        <v>44694.0</v>
      </c>
      <c r="M519" s="9" t="s">
        <v>11847</v>
      </c>
    </row>
    <row r="520" ht="15.75" hidden="1" customHeight="1">
      <c r="A520" s="9" t="s">
        <v>39730</v>
      </c>
      <c r="B520" s="9" t="s">
        <v>19230</v>
      </c>
      <c r="D520" s="9" t="s">
        <v>12236</v>
      </c>
      <c r="F520" s="9" t="s">
        <v>39677</v>
      </c>
      <c r="G520" s="9" t="s">
        <v>38946</v>
      </c>
      <c r="H520" s="127">
        <v>44697.0</v>
      </c>
      <c r="I520" s="9" t="s">
        <v>52</v>
      </c>
      <c r="J520" s="9" t="s">
        <v>38801</v>
      </c>
      <c r="K520" s="55">
        <v>44722.0</v>
      </c>
      <c r="M520" s="9" t="s">
        <v>11788</v>
      </c>
    </row>
    <row r="521" ht="15.75" hidden="1" customHeight="1">
      <c r="A521" s="9" t="s">
        <v>39731</v>
      </c>
      <c r="B521" s="9" t="s">
        <v>20033</v>
      </c>
      <c r="D521" s="9" t="s">
        <v>12230</v>
      </c>
      <c r="F521" s="9" t="s">
        <v>39732</v>
      </c>
      <c r="G521" s="9" t="s">
        <v>38946</v>
      </c>
      <c r="H521" s="127">
        <v>44697.0</v>
      </c>
      <c r="I521" s="9" t="s">
        <v>52</v>
      </c>
      <c r="J521" s="9" t="s">
        <v>38801</v>
      </c>
      <c r="K521" s="55">
        <v>44697.0</v>
      </c>
      <c r="M521" s="9" t="s">
        <v>11919</v>
      </c>
    </row>
    <row r="522" ht="15.75" hidden="1" customHeight="1">
      <c r="A522" s="9" t="s">
        <v>39733</v>
      </c>
      <c r="B522" s="9" t="s">
        <v>17389</v>
      </c>
      <c r="D522" s="9" t="s">
        <v>12230</v>
      </c>
      <c r="F522" s="9" t="s">
        <v>39334</v>
      </c>
      <c r="G522" s="9" t="s">
        <v>38808</v>
      </c>
      <c r="H522" s="127">
        <v>44697.0</v>
      </c>
      <c r="I522" s="9" t="s">
        <v>47</v>
      </c>
      <c r="J522" s="9" t="s">
        <v>38801</v>
      </c>
      <c r="K522" s="55">
        <v>44697.0</v>
      </c>
      <c r="M522" s="9" t="s">
        <v>12144</v>
      </c>
    </row>
    <row r="523" ht="15.75" hidden="1" customHeight="1">
      <c r="A523" s="9" t="s">
        <v>39734</v>
      </c>
      <c r="B523" s="9" t="s">
        <v>15848</v>
      </c>
      <c r="D523" s="9" t="s">
        <v>12236</v>
      </c>
      <c r="F523" s="9" t="s">
        <v>39677</v>
      </c>
      <c r="G523" s="9" t="s">
        <v>38946</v>
      </c>
      <c r="H523" s="127">
        <v>44698.0</v>
      </c>
      <c r="I523" s="9" t="s">
        <v>52</v>
      </c>
      <c r="J523" s="9" t="s">
        <v>38801</v>
      </c>
      <c r="K523" s="60">
        <v>44881.0</v>
      </c>
      <c r="M523" s="9" t="s">
        <v>263</v>
      </c>
    </row>
    <row r="524" ht="15.75" hidden="1" customHeight="1">
      <c r="A524" s="9" t="s">
        <v>39735</v>
      </c>
      <c r="B524" s="9" t="s">
        <v>18262</v>
      </c>
      <c r="D524" s="9" t="s">
        <v>12230</v>
      </c>
      <c r="F524" s="9" t="s">
        <v>39736</v>
      </c>
      <c r="G524" s="9" t="s">
        <v>38808</v>
      </c>
      <c r="H524" s="127">
        <v>44698.0</v>
      </c>
      <c r="I524" s="9" t="s">
        <v>52</v>
      </c>
      <c r="J524" s="9" t="s">
        <v>38801</v>
      </c>
      <c r="K524" s="55">
        <v>44698.0</v>
      </c>
      <c r="M524" s="9" t="s">
        <v>3793</v>
      </c>
    </row>
    <row r="525" ht="15.75" hidden="1" customHeight="1">
      <c r="A525" s="9" t="s">
        <v>39737</v>
      </c>
      <c r="B525" s="9" t="s">
        <v>15312</v>
      </c>
      <c r="D525" s="9" t="s">
        <v>12230</v>
      </c>
      <c r="F525" s="9" t="s">
        <v>39738</v>
      </c>
      <c r="G525" s="9" t="s">
        <v>38808</v>
      </c>
      <c r="H525" s="127">
        <v>44699.0</v>
      </c>
      <c r="I525" s="9" t="s">
        <v>47</v>
      </c>
      <c r="J525" s="9" t="s">
        <v>38801</v>
      </c>
      <c r="K525" s="55">
        <v>45411.0</v>
      </c>
      <c r="M525" s="9" t="s">
        <v>9667</v>
      </c>
    </row>
    <row r="526" ht="15.75" hidden="1" customHeight="1">
      <c r="A526" s="9" t="s">
        <v>39739</v>
      </c>
      <c r="B526" s="9" t="s">
        <v>15312</v>
      </c>
      <c r="D526" s="9" t="s">
        <v>12224</v>
      </c>
      <c r="F526" s="9" t="s">
        <v>39740</v>
      </c>
      <c r="G526" s="9" t="s">
        <v>38808</v>
      </c>
      <c r="H526" s="127">
        <v>44699.0</v>
      </c>
      <c r="I526" s="9" t="s">
        <v>47</v>
      </c>
      <c r="J526" s="9" t="s">
        <v>38801</v>
      </c>
      <c r="K526" s="55">
        <v>45411.0</v>
      </c>
      <c r="M526" s="9" t="s">
        <v>9667</v>
      </c>
    </row>
    <row r="527" ht="15.75" hidden="1" customHeight="1">
      <c r="A527" s="9" t="s">
        <v>39741</v>
      </c>
      <c r="B527" s="9" t="s">
        <v>15312</v>
      </c>
      <c r="D527" s="9" t="s">
        <v>12239</v>
      </c>
      <c r="F527" s="9" t="s">
        <v>39742</v>
      </c>
      <c r="G527" s="9" t="s">
        <v>38808</v>
      </c>
      <c r="H527" s="127">
        <v>44699.0</v>
      </c>
      <c r="I527" s="9" t="s">
        <v>47</v>
      </c>
      <c r="J527" s="9" t="s">
        <v>38801</v>
      </c>
      <c r="K527" s="55">
        <v>45411.0</v>
      </c>
      <c r="M527" s="9" t="s">
        <v>9667</v>
      </c>
    </row>
    <row r="528" ht="15.75" hidden="1" customHeight="1">
      <c r="A528" s="9" t="s">
        <v>39743</v>
      </c>
      <c r="B528" s="9" t="s">
        <v>15312</v>
      </c>
      <c r="D528" s="9" t="s">
        <v>12240</v>
      </c>
      <c r="F528" s="9" t="s">
        <v>39744</v>
      </c>
      <c r="G528" s="9" t="s">
        <v>38808</v>
      </c>
      <c r="H528" s="127">
        <v>44699.0</v>
      </c>
      <c r="I528" s="9" t="s">
        <v>47</v>
      </c>
      <c r="J528" s="9" t="s">
        <v>38801</v>
      </c>
      <c r="K528" s="55">
        <v>45411.0</v>
      </c>
      <c r="M528" s="9" t="s">
        <v>9667</v>
      </c>
    </row>
    <row r="529" ht="15.75" hidden="1" customHeight="1">
      <c r="A529" s="9" t="s">
        <v>39745</v>
      </c>
      <c r="B529" s="9" t="s">
        <v>15312</v>
      </c>
      <c r="D529" s="9" t="s">
        <v>12252</v>
      </c>
      <c r="F529" s="9" t="s">
        <v>39746</v>
      </c>
      <c r="G529" s="9" t="s">
        <v>38808</v>
      </c>
      <c r="H529" s="127">
        <v>44699.0</v>
      </c>
      <c r="I529" s="9" t="s">
        <v>47</v>
      </c>
      <c r="J529" s="9" t="s">
        <v>38801</v>
      </c>
      <c r="K529" s="55">
        <v>45411.0</v>
      </c>
      <c r="M529" s="9" t="s">
        <v>9667</v>
      </c>
    </row>
    <row r="530" ht="15.75" hidden="1" customHeight="1">
      <c r="A530" s="9" t="s">
        <v>39747</v>
      </c>
      <c r="B530" s="9" t="s">
        <v>15312</v>
      </c>
      <c r="D530" s="9" t="s">
        <v>12236</v>
      </c>
      <c r="F530" s="9" t="s">
        <v>39748</v>
      </c>
      <c r="G530" s="9" t="s">
        <v>38808</v>
      </c>
      <c r="H530" s="127">
        <v>44699.0</v>
      </c>
      <c r="I530" s="9" t="s">
        <v>47</v>
      </c>
      <c r="J530" s="9" t="s">
        <v>38801</v>
      </c>
      <c r="K530" s="55">
        <v>45411.0</v>
      </c>
      <c r="M530" s="9" t="s">
        <v>9667</v>
      </c>
    </row>
    <row r="531" ht="15.75" hidden="1" customHeight="1">
      <c r="A531" s="9" t="s">
        <v>39749</v>
      </c>
      <c r="B531" s="9" t="s">
        <v>25873</v>
      </c>
      <c r="D531" s="9" t="s">
        <v>12230</v>
      </c>
      <c r="F531" s="9" t="s">
        <v>39750</v>
      </c>
      <c r="G531" s="9" t="s">
        <v>38808</v>
      </c>
      <c r="H531" s="127">
        <v>44699.0</v>
      </c>
      <c r="I531" s="9" t="s">
        <v>47</v>
      </c>
      <c r="J531" s="9" t="s">
        <v>38801</v>
      </c>
      <c r="K531" s="55">
        <v>44699.0</v>
      </c>
      <c r="M531" s="9" t="s">
        <v>4852</v>
      </c>
    </row>
    <row r="532" ht="15.75" hidden="1" customHeight="1">
      <c r="A532" s="9" t="s">
        <v>39751</v>
      </c>
      <c r="B532" s="9" t="s">
        <v>16323</v>
      </c>
      <c r="D532" s="9" t="s">
        <v>12248</v>
      </c>
      <c r="F532" s="9" t="s">
        <v>39752</v>
      </c>
      <c r="G532" s="9" t="s">
        <v>38808</v>
      </c>
      <c r="H532" s="127">
        <v>44701.0</v>
      </c>
      <c r="I532" s="9" t="s">
        <v>47</v>
      </c>
      <c r="J532" s="9" t="s">
        <v>38801</v>
      </c>
      <c r="K532" s="60">
        <v>44875.0</v>
      </c>
      <c r="M532" s="9" t="s">
        <v>2050</v>
      </c>
    </row>
    <row r="533" ht="15.75" hidden="1" customHeight="1">
      <c r="A533" s="9" t="s">
        <v>39753</v>
      </c>
      <c r="B533" s="9" t="s">
        <v>16323</v>
      </c>
      <c r="D533" s="9" t="s">
        <v>12230</v>
      </c>
      <c r="F533" s="9" t="s">
        <v>39754</v>
      </c>
      <c r="G533" s="9" t="s">
        <v>38808</v>
      </c>
      <c r="H533" s="127">
        <v>44701.0</v>
      </c>
      <c r="I533" s="9" t="s">
        <v>47</v>
      </c>
      <c r="J533" s="9" t="s">
        <v>38805</v>
      </c>
      <c r="M533" s="9" t="s">
        <v>2050</v>
      </c>
    </row>
    <row r="534" ht="15.75" hidden="1" customHeight="1">
      <c r="A534" s="9" t="s">
        <v>39755</v>
      </c>
      <c r="B534" s="9" t="s">
        <v>19725</v>
      </c>
      <c r="D534" s="9" t="s">
        <v>12236</v>
      </c>
      <c r="F534" s="9" t="s">
        <v>39756</v>
      </c>
      <c r="G534" s="9" t="s">
        <v>38946</v>
      </c>
      <c r="H534" s="127">
        <v>44705.0</v>
      </c>
      <c r="I534" s="9" t="s">
        <v>52</v>
      </c>
      <c r="J534" s="9" t="s">
        <v>38801</v>
      </c>
      <c r="K534" s="55">
        <v>44706.0</v>
      </c>
      <c r="M534" s="9" t="s">
        <v>1307</v>
      </c>
    </row>
    <row r="535" ht="15.75" hidden="1" customHeight="1">
      <c r="A535" s="9" t="s">
        <v>39757</v>
      </c>
      <c r="B535" s="9" t="s">
        <v>17877</v>
      </c>
      <c r="D535" s="9" t="s">
        <v>12236</v>
      </c>
      <c r="F535" s="9" t="s">
        <v>39758</v>
      </c>
      <c r="G535" s="9" t="s">
        <v>38946</v>
      </c>
      <c r="H535" s="127">
        <v>44711.0</v>
      </c>
      <c r="I535" s="9" t="s">
        <v>52</v>
      </c>
      <c r="J535" s="9" t="s">
        <v>38801</v>
      </c>
      <c r="K535" s="60">
        <v>44881.0</v>
      </c>
      <c r="M535" s="9" t="s">
        <v>6928</v>
      </c>
    </row>
    <row r="536" ht="15.75" hidden="1" customHeight="1">
      <c r="A536" s="9" t="s">
        <v>39759</v>
      </c>
      <c r="B536" s="9" t="s">
        <v>15677</v>
      </c>
      <c r="D536" s="9" t="s">
        <v>12233</v>
      </c>
      <c r="F536" s="9" t="s">
        <v>39760</v>
      </c>
      <c r="G536" s="9" t="s">
        <v>38946</v>
      </c>
      <c r="H536" s="127">
        <v>44711.0</v>
      </c>
      <c r="I536" s="9" t="s">
        <v>52</v>
      </c>
      <c r="J536" s="9" t="s">
        <v>38801</v>
      </c>
      <c r="K536" s="55">
        <v>44712.0</v>
      </c>
      <c r="M536" s="9" t="s">
        <v>8291</v>
      </c>
    </row>
    <row r="537" ht="15.75" hidden="1" customHeight="1">
      <c r="A537" s="9" t="s">
        <v>39761</v>
      </c>
      <c r="B537" s="9" t="s">
        <v>16909</v>
      </c>
      <c r="D537" s="9" t="s">
        <v>12230</v>
      </c>
      <c r="F537" s="9" t="s">
        <v>39762</v>
      </c>
      <c r="G537" s="9" t="s">
        <v>38946</v>
      </c>
      <c r="H537" s="127">
        <v>44712.0</v>
      </c>
      <c r="I537" s="9" t="s">
        <v>52</v>
      </c>
      <c r="J537" s="9" t="s">
        <v>38801</v>
      </c>
      <c r="K537" s="55">
        <v>44734.0</v>
      </c>
      <c r="M537" s="9" t="s">
        <v>10719</v>
      </c>
    </row>
    <row r="538" ht="15.75" hidden="1" customHeight="1">
      <c r="A538" s="9" t="s">
        <v>39763</v>
      </c>
      <c r="B538" s="9" t="s">
        <v>19426</v>
      </c>
      <c r="D538" s="9" t="s">
        <v>12248</v>
      </c>
      <c r="F538" s="9" t="s">
        <v>39764</v>
      </c>
      <c r="G538" s="9" t="s">
        <v>38946</v>
      </c>
      <c r="H538" s="127">
        <v>44713.0</v>
      </c>
      <c r="I538" s="9" t="s">
        <v>52</v>
      </c>
      <c r="J538" s="9" t="s">
        <v>38801</v>
      </c>
      <c r="K538" s="55">
        <v>45411.0</v>
      </c>
      <c r="M538" s="9" t="s">
        <v>10667</v>
      </c>
    </row>
    <row r="539" ht="15.75" hidden="1" customHeight="1">
      <c r="A539" s="9" t="s">
        <v>39765</v>
      </c>
      <c r="B539" s="9" t="s">
        <v>15738</v>
      </c>
      <c r="D539" s="9" t="s">
        <v>12236</v>
      </c>
      <c r="F539" s="9" t="s">
        <v>39766</v>
      </c>
      <c r="G539" s="9" t="s">
        <v>38946</v>
      </c>
      <c r="H539" s="127">
        <v>44713.0</v>
      </c>
      <c r="I539" s="9" t="s">
        <v>52</v>
      </c>
      <c r="J539" s="9" t="s">
        <v>38801</v>
      </c>
      <c r="K539" s="60">
        <v>45250.0</v>
      </c>
      <c r="M539" s="9" t="s">
        <v>1747</v>
      </c>
    </row>
    <row r="540" ht="15.75" hidden="1" customHeight="1">
      <c r="A540" s="9" t="s">
        <v>39767</v>
      </c>
      <c r="B540" s="9" t="s">
        <v>13022</v>
      </c>
      <c r="D540" s="9" t="s">
        <v>12230</v>
      </c>
      <c r="F540" s="9" t="s">
        <v>39768</v>
      </c>
      <c r="G540" s="9" t="s">
        <v>38946</v>
      </c>
      <c r="H540" s="127">
        <v>44715.0</v>
      </c>
      <c r="I540" s="9" t="s">
        <v>52</v>
      </c>
      <c r="J540" s="9" t="s">
        <v>38801</v>
      </c>
      <c r="K540" s="55">
        <v>46099.0</v>
      </c>
      <c r="M540" s="9" t="s">
        <v>1561</v>
      </c>
    </row>
    <row r="541" ht="15.75" hidden="1" customHeight="1">
      <c r="A541" s="9" t="s">
        <v>39769</v>
      </c>
      <c r="B541" s="9" t="s">
        <v>238</v>
      </c>
      <c r="D541" s="9" t="s">
        <v>12252</v>
      </c>
      <c r="F541" s="9" t="s">
        <v>39770</v>
      </c>
      <c r="G541" s="9" t="s">
        <v>38946</v>
      </c>
      <c r="H541" s="127">
        <v>44719.0</v>
      </c>
      <c r="I541" s="9" t="s">
        <v>47</v>
      </c>
      <c r="J541" s="9" t="s">
        <v>38801</v>
      </c>
      <c r="K541" s="55">
        <v>44719.0</v>
      </c>
      <c r="M541" s="9" t="s">
        <v>237</v>
      </c>
    </row>
    <row r="542" ht="15.75" hidden="1" customHeight="1">
      <c r="A542" s="9" t="s">
        <v>39771</v>
      </c>
      <c r="B542" s="9" t="s">
        <v>238</v>
      </c>
      <c r="D542" s="9" t="s">
        <v>12230</v>
      </c>
      <c r="F542" s="9" t="s">
        <v>39039</v>
      </c>
      <c r="G542" s="9" t="s">
        <v>38946</v>
      </c>
      <c r="H542" s="127">
        <v>44719.0</v>
      </c>
      <c r="I542" s="9" t="s">
        <v>47</v>
      </c>
      <c r="J542" s="9" t="s">
        <v>38801</v>
      </c>
      <c r="K542" s="55">
        <v>44719.0</v>
      </c>
      <c r="M542" s="9" t="s">
        <v>237</v>
      </c>
    </row>
    <row r="543" ht="15.75" hidden="1" customHeight="1">
      <c r="A543" s="9" t="s">
        <v>39772</v>
      </c>
      <c r="B543" s="9" t="s">
        <v>26417</v>
      </c>
      <c r="D543" s="9" t="s">
        <v>12230</v>
      </c>
      <c r="F543" s="9" t="s">
        <v>39773</v>
      </c>
      <c r="G543" s="9" t="s">
        <v>38808</v>
      </c>
      <c r="H543" s="127">
        <v>44720.0</v>
      </c>
      <c r="I543" s="9" t="s">
        <v>47</v>
      </c>
      <c r="J543" s="9" t="s">
        <v>38801</v>
      </c>
      <c r="K543" s="55">
        <v>45411.0</v>
      </c>
      <c r="M543" s="9" t="s">
        <v>10705</v>
      </c>
    </row>
    <row r="544" ht="15.75" hidden="1" customHeight="1">
      <c r="A544" s="9" t="s">
        <v>39774</v>
      </c>
      <c r="B544" s="9" t="s">
        <v>26228</v>
      </c>
      <c r="D544" s="9" t="s">
        <v>12230</v>
      </c>
      <c r="F544" s="9" t="s">
        <v>39773</v>
      </c>
      <c r="G544" s="9" t="s">
        <v>38808</v>
      </c>
      <c r="H544" s="127">
        <v>44720.0</v>
      </c>
      <c r="I544" s="9" t="s">
        <v>47</v>
      </c>
      <c r="J544" s="9" t="s">
        <v>38801</v>
      </c>
      <c r="K544" s="55">
        <v>45411.0</v>
      </c>
      <c r="M544" s="9" t="s">
        <v>10725</v>
      </c>
    </row>
    <row r="545" ht="15.75" hidden="1" customHeight="1">
      <c r="A545" s="9" t="s">
        <v>39775</v>
      </c>
      <c r="B545" s="9" t="s">
        <v>26423</v>
      </c>
      <c r="D545" s="9" t="s">
        <v>12230</v>
      </c>
      <c r="F545" s="9" t="s">
        <v>39776</v>
      </c>
      <c r="G545" s="9" t="s">
        <v>38808</v>
      </c>
      <c r="H545" s="127">
        <v>44720.0</v>
      </c>
      <c r="I545" s="9" t="s">
        <v>47</v>
      </c>
      <c r="J545" s="9" t="s">
        <v>38801</v>
      </c>
      <c r="K545" s="55">
        <v>45411.0</v>
      </c>
      <c r="M545" s="9" t="s">
        <v>10756</v>
      </c>
    </row>
    <row r="546" ht="15.75" hidden="1" customHeight="1">
      <c r="A546" s="9" t="s">
        <v>39777</v>
      </c>
      <c r="B546" s="9" t="s">
        <v>17086</v>
      </c>
      <c r="D546" s="9" t="s">
        <v>12236</v>
      </c>
      <c r="F546" s="9" t="s">
        <v>39778</v>
      </c>
      <c r="G546" s="9" t="s">
        <v>38808</v>
      </c>
      <c r="H546" s="127">
        <v>44720.0</v>
      </c>
      <c r="I546" s="9" t="s">
        <v>47</v>
      </c>
      <c r="J546" s="9" t="s">
        <v>38801</v>
      </c>
      <c r="K546" s="60">
        <v>44875.0</v>
      </c>
      <c r="M546" s="9" t="s">
        <v>9394</v>
      </c>
    </row>
    <row r="547" ht="15.75" hidden="1" customHeight="1">
      <c r="A547" s="9" t="s">
        <v>39779</v>
      </c>
      <c r="B547" s="9" t="s">
        <v>18641</v>
      </c>
      <c r="D547" s="9" t="s">
        <v>12250</v>
      </c>
      <c r="F547" s="9" t="s">
        <v>39780</v>
      </c>
      <c r="G547" s="9" t="s">
        <v>38808</v>
      </c>
      <c r="H547" s="127">
        <v>44720.0</v>
      </c>
      <c r="I547" s="9" t="s">
        <v>47</v>
      </c>
      <c r="J547" s="9" t="s">
        <v>38801</v>
      </c>
      <c r="K547" s="55">
        <v>44763.0</v>
      </c>
      <c r="M547" s="9" t="s">
        <v>7600</v>
      </c>
    </row>
    <row r="548" ht="15.75" hidden="1" customHeight="1">
      <c r="A548" s="9" t="s">
        <v>39781</v>
      </c>
      <c r="B548" s="9" t="s">
        <v>17086</v>
      </c>
      <c r="D548" s="9" t="s">
        <v>12239</v>
      </c>
      <c r="F548" s="9" t="s">
        <v>39782</v>
      </c>
      <c r="G548" s="9" t="s">
        <v>38808</v>
      </c>
      <c r="H548" s="127">
        <v>44720.0</v>
      </c>
      <c r="I548" s="9" t="s">
        <v>47</v>
      </c>
      <c r="J548" s="9" t="s">
        <v>38801</v>
      </c>
      <c r="K548" s="55">
        <v>44748.0</v>
      </c>
      <c r="M548" s="9" t="s">
        <v>9394</v>
      </c>
    </row>
    <row r="549" ht="15.75" hidden="1" customHeight="1">
      <c r="A549" s="9" t="s">
        <v>39783</v>
      </c>
      <c r="B549" s="9" t="s">
        <v>17086</v>
      </c>
      <c r="D549" s="9" t="s">
        <v>12224</v>
      </c>
      <c r="F549" s="9" t="s">
        <v>39784</v>
      </c>
      <c r="G549" s="9" t="s">
        <v>38800</v>
      </c>
      <c r="H549" s="127">
        <v>44720.0</v>
      </c>
      <c r="I549" s="9" t="s">
        <v>47</v>
      </c>
      <c r="J549" s="9" t="s">
        <v>38801</v>
      </c>
      <c r="K549" s="55">
        <v>44720.0</v>
      </c>
      <c r="M549" s="9" t="s">
        <v>9394</v>
      </c>
    </row>
    <row r="550" ht="15.75" hidden="1" customHeight="1">
      <c r="A550" s="9" t="s">
        <v>39785</v>
      </c>
      <c r="B550" s="9" t="s">
        <v>17086</v>
      </c>
      <c r="D550" s="9" t="s">
        <v>12250</v>
      </c>
      <c r="F550" s="9" t="s">
        <v>39786</v>
      </c>
      <c r="G550" s="9" t="s">
        <v>38808</v>
      </c>
      <c r="H550" s="127">
        <v>44720.0</v>
      </c>
      <c r="I550" s="9" t="s">
        <v>47</v>
      </c>
      <c r="J550" s="9" t="s">
        <v>38801</v>
      </c>
      <c r="K550" s="55">
        <v>44720.0</v>
      </c>
      <c r="M550" s="9" t="s">
        <v>9394</v>
      </c>
    </row>
    <row r="551" ht="15.75" customHeight="1">
      <c r="A551" s="9" t="s">
        <v>39787</v>
      </c>
      <c r="B551" s="9" t="s">
        <v>18641</v>
      </c>
      <c r="D551" s="9" t="s">
        <v>12227</v>
      </c>
      <c r="E551" s="9" t="s">
        <v>39265</v>
      </c>
      <c r="F551" s="9" t="s">
        <v>39788</v>
      </c>
      <c r="G551" s="9" t="s">
        <v>38800</v>
      </c>
      <c r="H551" s="127">
        <v>44720.0</v>
      </c>
      <c r="I551" s="9" t="s">
        <v>47</v>
      </c>
      <c r="J551" s="9" t="s">
        <v>38805</v>
      </c>
      <c r="M551" s="9" t="s">
        <v>7600</v>
      </c>
    </row>
    <row r="552" ht="15.75" hidden="1" customHeight="1">
      <c r="A552" s="9" t="s">
        <v>39789</v>
      </c>
      <c r="B552" s="9" t="s">
        <v>17934</v>
      </c>
      <c r="D552" s="9" t="s">
        <v>12230</v>
      </c>
      <c r="F552" s="9" t="s">
        <v>39790</v>
      </c>
      <c r="G552" s="9" t="s">
        <v>38808</v>
      </c>
      <c r="H552" s="127">
        <v>44721.0</v>
      </c>
      <c r="I552" s="9" t="s">
        <v>47</v>
      </c>
      <c r="J552" s="9" t="s">
        <v>38801</v>
      </c>
      <c r="K552" s="55">
        <v>45411.0</v>
      </c>
      <c r="M552" s="9" t="s">
        <v>10735</v>
      </c>
    </row>
    <row r="553" ht="15.75" hidden="1" customHeight="1">
      <c r="A553" s="9" t="s">
        <v>39791</v>
      </c>
      <c r="B553" s="9" t="s">
        <v>17934</v>
      </c>
      <c r="D553" s="9" t="s">
        <v>12230</v>
      </c>
      <c r="F553" s="9" t="s">
        <v>39792</v>
      </c>
      <c r="G553" s="9" t="s">
        <v>38808</v>
      </c>
      <c r="H553" s="127">
        <v>44721.0</v>
      </c>
      <c r="I553" s="9" t="s">
        <v>47</v>
      </c>
      <c r="J553" s="9" t="s">
        <v>38801</v>
      </c>
      <c r="K553" s="55">
        <v>45411.0</v>
      </c>
      <c r="M553" s="9" t="s">
        <v>10735</v>
      </c>
    </row>
    <row r="554" ht="15.75" hidden="1" customHeight="1">
      <c r="A554" s="9" t="s">
        <v>39793</v>
      </c>
      <c r="B554" s="9" t="s">
        <v>13299</v>
      </c>
      <c r="D554" s="9" t="s">
        <v>12230</v>
      </c>
      <c r="F554" s="9" t="s">
        <v>39794</v>
      </c>
      <c r="G554" s="9" t="s">
        <v>38946</v>
      </c>
      <c r="H554" s="127">
        <v>44721.0</v>
      </c>
      <c r="I554" s="9" t="s">
        <v>26</v>
      </c>
      <c r="J554" s="9" t="s">
        <v>38801</v>
      </c>
      <c r="K554" s="55">
        <v>44735.0</v>
      </c>
      <c r="M554" s="9" t="s">
        <v>10571</v>
      </c>
    </row>
    <row r="555" ht="15.75" hidden="1" customHeight="1">
      <c r="A555" s="9" t="s">
        <v>39795</v>
      </c>
      <c r="B555" s="9" t="s">
        <v>18974</v>
      </c>
      <c r="D555" s="9" t="s">
        <v>12230</v>
      </c>
      <c r="F555" s="9" t="s">
        <v>39796</v>
      </c>
      <c r="G555" s="9" t="s">
        <v>38808</v>
      </c>
      <c r="H555" s="127">
        <v>44722.0</v>
      </c>
      <c r="I555" s="9" t="s">
        <v>47</v>
      </c>
      <c r="J555" s="9" t="s">
        <v>38801</v>
      </c>
      <c r="K555" s="55">
        <v>45411.0</v>
      </c>
      <c r="M555" s="9" t="s">
        <v>10646</v>
      </c>
    </row>
    <row r="556" ht="15.75" hidden="1" customHeight="1">
      <c r="A556" s="9" t="s">
        <v>39797</v>
      </c>
      <c r="B556" s="9" t="s">
        <v>13786</v>
      </c>
      <c r="D556" s="9" t="s">
        <v>12230</v>
      </c>
      <c r="F556" s="9" t="s">
        <v>39570</v>
      </c>
      <c r="G556" s="9" t="s">
        <v>38946</v>
      </c>
      <c r="H556" s="127">
        <v>44722.0</v>
      </c>
      <c r="I556" s="9" t="s">
        <v>52</v>
      </c>
      <c r="J556" s="9" t="s">
        <v>38801</v>
      </c>
      <c r="K556" s="55">
        <v>44735.0</v>
      </c>
      <c r="M556" s="9" t="s">
        <v>10354</v>
      </c>
    </row>
    <row r="557" ht="15.75" hidden="1" customHeight="1">
      <c r="A557" s="9" t="s">
        <v>39798</v>
      </c>
      <c r="B557" s="9" t="s">
        <v>17934</v>
      </c>
      <c r="D557" s="9" t="s">
        <v>12230</v>
      </c>
      <c r="F557" s="9" t="s">
        <v>39799</v>
      </c>
      <c r="G557" s="9" t="s">
        <v>38946</v>
      </c>
      <c r="H557" s="127">
        <v>44725.0</v>
      </c>
      <c r="I557" s="9" t="s">
        <v>52</v>
      </c>
      <c r="J557" s="9" t="s">
        <v>38801</v>
      </c>
      <c r="K557" s="55">
        <v>45411.0</v>
      </c>
      <c r="M557" s="9" t="s">
        <v>10735</v>
      </c>
    </row>
    <row r="558" ht="15.75" hidden="1" customHeight="1">
      <c r="A558" s="9" t="s">
        <v>39800</v>
      </c>
      <c r="B558" s="9" t="s">
        <v>19444</v>
      </c>
      <c r="D558" s="9" t="s">
        <v>12230</v>
      </c>
      <c r="F558" s="9" t="s">
        <v>39570</v>
      </c>
      <c r="G558" s="9" t="s">
        <v>38946</v>
      </c>
      <c r="H558" s="127">
        <v>44725.0</v>
      </c>
      <c r="I558" s="9" t="s">
        <v>52</v>
      </c>
      <c r="J558" s="9" t="s">
        <v>38801</v>
      </c>
      <c r="K558" s="55">
        <v>44736.0</v>
      </c>
      <c r="M558" s="9" t="s">
        <v>11686</v>
      </c>
    </row>
    <row r="559" ht="15.75" hidden="1" customHeight="1">
      <c r="A559" s="9" t="s">
        <v>39801</v>
      </c>
      <c r="B559" s="9" t="s">
        <v>19498</v>
      </c>
      <c r="D559" s="9" t="s">
        <v>12252</v>
      </c>
      <c r="F559" s="9" t="s">
        <v>39802</v>
      </c>
      <c r="G559" s="9" t="s">
        <v>38808</v>
      </c>
      <c r="H559" s="127">
        <v>44725.0</v>
      </c>
      <c r="I559" s="9" t="s">
        <v>47</v>
      </c>
      <c r="J559" s="9" t="s">
        <v>38801</v>
      </c>
      <c r="K559" s="55">
        <v>44725.0</v>
      </c>
      <c r="M559" s="9" t="s">
        <v>10211</v>
      </c>
    </row>
    <row r="560" ht="15.75" hidden="1" customHeight="1">
      <c r="A560" s="9" t="s">
        <v>39803</v>
      </c>
      <c r="B560" s="9" t="s">
        <v>19498</v>
      </c>
      <c r="D560" s="9" t="s">
        <v>12230</v>
      </c>
      <c r="F560" s="9" t="s">
        <v>39804</v>
      </c>
      <c r="G560" s="9" t="s">
        <v>38808</v>
      </c>
      <c r="H560" s="127">
        <v>44725.0</v>
      </c>
      <c r="I560" s="9" t="s">
        <v>47</v>
      </c>
      <c r="J560" s="9" t="s">
        <v>38801</v>
      </c>
      <c r="K560" s="55">
        <v>44725.0</v>
      </c>
      <c r="M560" s="9" t="s">
        <v>10211</v>
      </c>
    </row>
    <row r="561" ht="15.75" customHeight="1">
      <c r="A561" s="9" t="s">
        <v>39805</v>
      </c>
      <c r="B561" s="9" t="s">
        <v>16909</v>
      </c>
      <c r="D561" s="9" t="s">
        <v>12227</v>
      </c>
      <c r="E561" s="9" t="s">
        <v>38803</v>
      </c>
      <c r="F561" s="9" t="s">
        <v>39580</v>
      </c>
      <c r="G561" s="9" t="s">
        <v>38946</v>
      </c>
      <c r="H561" s="127">
        <v>44725.0</v>
      </c>
      <c r="I561" s="9" t="s">
        <v>52</v>
      </c>
      <c r="J561" s="9" t="s">
        <v>38801</v>
      </c>
      <c r="K561" s="55">
        <v>45750.0</v>
      </c>
      <c r="M561" s="9" t="s">
        <v>10719</v>
      </c>
    </row>
    <row r="562" ht="15.75" hidden="1" customHeight="1">
      <c r="A562" s="9" t="s">
        <v>39806</v>
      </c>
      <c r="B562" s="9" t="s">
        <v>12356</v>
      </c>
      <c r="D562" s="9" t="s">
        <v>12230</v>
      </c>
      <c r="F562" s="9" t="s">
        <v>39807</v>
      </c>
      <c r="G562" s="9" t="s">
        <v>38946</v>
      </c>
      <c r="H562" s="127">
        <v>44726.0</v>
      </c>
      <c r="I562" s="9" t="s">
        <v>52</v>
      </c>
      <c r="J562" s="9" t="s">
        <v>38801</v>
      </c>
      <c r="K562" s="55">
        <v>46100.0</v>
      </c>
      <c r="M562" s="9" t="s">
        <v>10662</v>
      </c>
    </row>
    <row r="563" ht="15.75" hidden="1" customHeight="1">
      <c r="A563" s="9" t="s">
        <v>39808</v>
      </c>
      <c r="B563" s="9" t="s">
        <v>18570</v>
      </c>
      <c r="D563" s="9" t="s">
        <v>12230</v>
      </c>
      <c r="F563" s="9" t="s">
        <v>39809</v>
      </c>
      <c r="G563" s="9" t="s">
        <v>38946</v>
      </c>
      <c r="H563" s="127">
        <v>44726.0</v>
      </c>
      <c r="I563" s="9" t="s">
        <v>26</v>
      </c>
      <c r="J563" s="9" t="s">
        <v>38801</v>
      </c>
      <c r="K563" s="55">
        <v>44740.0</v>
      </c>
      <c r="M563" s="9" t="s">
        <v>10622</v>
      </c>
    </row>
    <row r="564" ht="15.75" hidden="1" customHeight="1">
      <c r="A564" s="9" t="s">
        <v>39810</v>
      </c>
      <c r="B564" s="9" t="s">
        <v>15039</v>
      </c>
      <c r="D564" s="9" t="s">
        <v>12230</v>
      </c>
      <c r="F564" s="9" t="s">
        <v>39811</v>
      </c>
      <c r="G564" s="9" t="s">
        <v>38946</v>
      </c>
      <c r="H564" s="127">
        <v>44726.0</v>
      </c>
      <c r="I564" s="9" t="s">
        <v>52</v>
      </c>
      <c r="J564" s="9" t="s">
        <v>38801</v>
      </c>
      <c r="K564" s="55">
        <v>44726.0</v>
      </c>
      <c r="M564" s="9" t="s">
        <v>2944</v>
      </c>
    </row>
    <row r="565" ht="15.75" hidden="1" customHeight="1">
      <c r="A565" s="9" t="s">
        <v>39812</v>
      </c>
      <c r="B565" s="9" t="s">
        <v>19498</v>
      </c>
      <c r="D565" s="9" t="s">
        <v>12230</v>
      </c>
      <c r="F565" s="9" t="s">
        <v>39813</v>
      </c>
      <c r="G565" s="9" t="s">
        <v>38808</v>
      </c>
      <c r="H565" s="127">
        <v>44726.0</v>
      </c>
      <c r="I565" s="9" t="s">
        <v>47</v>
      </c>
      <c r="J565" s="9" t="s">
        <v>38801</v>
      </c>
      <c r="K565" s="55">
        <v>44726.0</v>
      </c>
      <c r="M565" s="9" t="s">
        <v>10211</v>
      </c>
    </row>
    <row r="566" ht="15.75" customHeight="1">
      <c r="A566" s="9" t="s">
        <v>39814</v>
      </c>
      <c r="B566" s="9" t="s">
        <v>17596</v>
      </c>
      <c r="D566" s="9" t="s">
        <v>12227</v>
      </c>
      <c r="E566" s="9" t="s">
        <v>38803</v>
      </c>
      <c r="F566" s="9" t="s">
        <v>39580</v>
      </c>
      <c r="G566" s="9" t="s">
        <v>38946</v>
      </c>
      <c r="H566" s="127">
        <v>44727.0</v>
      </c>
      <c r="I566" s="9" t="s">
        <v>52</v>
      </c>
      <c r="J566" s="9" t="s">
        <v>38801</v>
      </c>
      <c r="K566" s="55">
        <v>45411.0</v>
      </c>
      <c r="M566" s="9" t="s">
        <v>10564</v>
      </c>
    </row>
    <row r="567" ht="15.75" hidden="1" customHeight="1">
      <c r="A567" s="9" t="s">
        <v>39815</v>
      </c>
      <c r="B567" s="9" t="s">
        <v>16974</v>
      </c>
      <c r="D567" s="9" t="s">
        <v>12230</v>
      </c>
      <c r="F567" s="9" t="s">
        <v>39570</v>
      </c>
      <c r="G567" s="9" t="s">
        <v>38946</v>
      </c>
      <c r="H567" s="127">
        <v>44727.0</v>
      </c>
      <c r="I567" s="9" t="s">
        <v>52</v>
      </c>
      <c r="J567" s="9" t="s">
        <v>38801</v>
      </c>
      <c r="K567" s="55">
        <v>44742.0</v>
      </c>
      <c r="M567" s="9" t="s">
        <v>10721</v>
      </c>
    </row>
    <row r="568" ht="15.75" hidden="1" customHeight="1">
      <c r="A568" s="9" t="s">
        <v>39816</v>
      </c>
      <c r="B568" s="9" t="s">
        <v>14232</v>
      </c>
      <c r="D568" s="9" t="s">
        <v>12230</v>
      </c>
      <c r="F568" s="9" t="s">
        <v>39817</v>
      </c>
      <c r="G568" s="9" t="s">
        <v>38946</v>
      </c>
      <c r="H568" s="127">
        <v>44728.0</v>
      </c>
      <c r="I568" s="9" t="s">
        <v>52</v>
      </c>
      <c r="J568" s="9" t="s">
        <v>38801</v>
      </c>
      <c r="K568" s="55">
        <v>44742.0</v>
      </c>
      <c r="M568" s="9" t="s">
        <v>10116</v>
      </c>
    </row>
    <row r="569" ht="15.75" hidden="1" customHeight="1">
      <c r="A569" s="9" t="s">
        <v>39818</v>
      </c>
      <c r="B569" s="9" t="s">
        <v>19478</v>
      </c>
      <c r="D569" s="9" t="s">
        <v>12250</v>
      </c>
      <c r="F569" s="9" t="s">
        <v>39819</v>
      </c>
      <c r="G569" s="9" t="s">
        <v>38808</v>
      </c>
      <c r="H569" s="127">
        <v>44728.0</v>
      </c>
      <c r="I569" s="9" t="s">
        <v>47</v>
      </c>
      <c r="J569" s="9" t="s">
        <v>38801</v>
      </c>
      <c r="K569" s="55">
        <v>44728.0</v>
      </c>
      <c r="M569" s="9" t="s">
        <v>11847</v>
      </c>
    </row>
    <row r="570" ht="15.75" hidden="1" customHeight="1">
      <c r="A570" s="9" t="s">
        <v>39820</v>
      </c>
      <c r="B570" s="9" t="s">
        <v>19478</v>
      </c>
      <c r="D570" s="9" t="s">
        <v>12230</v>
      </c>
      <c r="F570" s="9" t="s">
        <v>39821</v>
      </c>
      <c r="G570" s="9" t="s">
        <v>38808</v>
      </c>
      <c r="H570" s="127">
        <v>44728.0</v>
      </c>
      <c r="I570" s="9" t="s">
        <v>47</v>
      </c>
      <c r="J570" s="9" t="s">
        <v>38801</v>
      </c>
      <c r="K570" s="55">
        <v>44728.0</v>
      </c>
      <c r="M570" s="9" t="s">
        <v>11847</v>
      </c>
    </row>
    <row r="571" ht="15.75" hidden="1" customHeight="1">
      <c r="A571" s="9" t="s">
        <v>39822</v>
      </c>
      <c r="B571" s="9" t="s">
        <v>13022</v>
      </c>
      <c r="D571" s="9" t="s">
        <v>12250</v>
      </c>
      <c r="F571" s="9" t="s">
        <v>39823</v>
      </c>
      <c r="G571" s="9" t="s">
        <v>38808</v>
      </c>
      <c r="H571" s="127">
        <v>44728.0</v>
      </c>
      <c r="I571" s="9" t="s">
        <v>47</v>
      </c>
      <c r="J571" s="9" t="s">
        <v>38801</v>
      </c>
      <c r="K571" s="55">
        <v>46099.0</v>
      </c>
      <c r="M571" s="9" t="s">
        <v>1561</v>
      </c>
    </row>
    <row r="572" ht="15.75" hidden="1" customHeight="1">
      <c r="A572" s="9" t="s">
        <v>39824</v>
      </c>
      <c r="B572" s="9" t="s">
        <v>18974</v>
      </c>
      <c r="D572" s="9" t="s">
        <v>12230</v>
      </c>
      <c r="F572" s="9" t="s">
        <v>39825</v>
      </c>
      <c r="G572" s="9" t="s">
        <v>38808</v>
      </c>
      <c r="H572" s="127">
        <v>44729.0</v>
      </c>
      <c r="I572" s="9" t="s">
        <v>47</v>
      </c>
      <c r="J572" s="9" t="s">
        <v>38801</v>
      </c>
      <c r="K572" s="55">
        <v>45411.0</v>
      </c>
      <c r="M572" s="9" t="s">
        <v>10646</v>
      </c>
    </row>
    <row r="573" ht="15.75" hidden="1" customHeight="1">
      <c r="A573" s="9" t="s">
        <v>39826</v>
      </c>
      <c r="B573" s="9" t="s">
        <v>16909</v>
      </c>
      <c r="D573" s="9" t="s">
        <v>12236</v>
      </c>
      <c r="F573" s="9" t="s">
        <v>39677</v>
      </c>
      <c r="G573" s="9" t="s">
        <v>38946</v>
      </c>
      <c r="H573" s="127">
        <v>44729.0</v>
      </c>
      <c r="I573" s="9" t="s">
        <v>52</v>
      </c>
      <c r="J573" s="9" t="s">
        <v>38801</v>
      </c>
      <c r="K573" s="60">
        <v>44882.0</v>
      </c>
      <c r="M573" s="9" t="s">
        <v>10719</v>
      </c>
    </row>
    <row r="574" ht="15.75" hidden="1" customHeight="1">
      <c r="A574" s="9" t="s">
        <v>39827</v>
      </c>
      <c r="B574" s="9" t="s">
        <v>18454</v>
      </c>
      <c r="D574" s="9" t="s">
        <v>12230</v>
      </c>
      <c r="F574" s="9" t="s">
        <v>39828</v>
      </c>
      <c r="G574" s="9" t="s">
        <v>38808</v>
      </c>
      <c r="H574" s="127">
        <v>44733.0</v>
      </c>
      <c r="I574" s="9" t="s">
        <v>47</v>
      </c>
      <c r="J574" s="9" t="s">
        <v>38801</v>
      </c>
      <c r="K574" s="55">
        <v>44813.0</v>
      </c>
      <c r="M574" s="9" t="s">
        <v>4935</v>
      </c>
    </row>
    <row r="575" ht="15.75" hidden="1" customHeight="1">
      <c r="A575" s="9" t="s">
        <v>39829</v>
      </c>
      <c r="B575" s="9" t="s">
        <v>19498</v>
      </c>
      <c r="D575" s="9" t="s">
        <v>12230</v>
      </c>
      <c r="F575" s="9" t="s">
        <v>39830</v>
      </c>
      <c r="G575" s="9" t="s">
        <v>38808</v>
      </c>
      <c r="H575" s="127">
        <v>44733.0</v>
      </c>
      <c r="I575" s="9" t="s">
        <v>47</v>
      </c>
      <c r="J575" s="9" t="s">
        <v>38801</v>
      </c>
      <c r="K575" s="55">
        <v>44733.0</v>
      </c>
      <c r="M575" s="9" t="s">
        <v>10211</v>
      </c>
    </row>
    <row r="576" ht="15.75" hidden="1" customHeight="1">
      <c r="A576" s="9" t="s">
        <v>39831</v>
      </c>
      <c r="B576" s="9" t="s">
        <v>22274</v>
      </c>
      <c r="D576" s="9" t="s">
        <v>12246</v>
      </c>
      <c r="F576" s="9" t="s">
        <v>39832</v>
      </c>
      <c r="G576" s="9" t="s">
        <v>38808</v>
      </c>
      <c r="H576" s="127">
        <v>44734.0</v>
      </c>
      <c r="I576" s="9" t="s">
        <v>47</v>
      </c>
      <c r="J576" s="9" t="s">
        <v>38801</v>
      </c>
      <c r="K576" s="55">
        <v>44749.0</v>
      </c>
      <c r="M576" s="9" t="s">
        <v>3158</v>
      </c>
    </row>
    <row r="577" ht="15.75" hidden="1" customHeight="1">
      <c r="A577" s="9" t="s">
        <v>39833</v>
      </c>
      <c r="B577" s="9" t="s">
        <v>20819</v>
      </c>
      <c r="D577" s="9" t="s">
        <v>12230</v>
      </c>
      <c r="F577" s="9" t="s">
        <v>39834</v>
      </c>
      <c r="G577" s="9" t="s">
        <v>38808</v>
      </c>
      <c r="H577" s="127">
        <v>44734.0</v>
      </c>
      <c r="I577" s="9" t="s">
        <v>47</v>
      </c>
      <c r="J577" s="9" t="s">
        <v>38801</v>
      </c>
      <c r="K577" s="55">
        <v>44734.0</v>
      </c>
      <c r="M577" s="9" t="s">
        <v>8795</v>
      </c>
    </row>
    <row r="578" ht="15.75" hidden="1" customHeight="1">
      <c r="A578" s="9" t="s">
        <v>39835</v>
      </c>
      <c r="B578" s="9" t="s">
        <v>22274</v>
      </c>
      <c r="D578" s="9" t="s">
        <v>12230</v>
      </c>
      <c r="F578" s="9" t="s">
        <v>39836</v>
      </c>
      <c r="G578" s="9" t="s">
        <v>38808</v>
      </c>
      <c r="H578" s="127">
        <v>44734.0</v>
      </c>
      <c r="I578" s="9" t="s">
        <v>47</v>
      </c>
      <c r="J578" s="9" t="s">
        <v>38801</v>
      </c>
      <c r="K578" s="55">
        <v>44734.0</v>
      </c>
      <c r="M578" s="9" t="s">
        <v>3158</v>
      </c>
    </row>
    <row r="579" ht="15.75" hidden="1" customHeight="1">
      <c r="A579" s="9" t="s">
        <v>39837</v>
      </c>
      <c r="B579" s="9" t="s">
        <v>14133</v>
      </c>
      <c r="D579" s="9" t="s">
        <v>12224</v>
      </c>
      <c r="F579" s="9" t="s">
        <v>39838</v>
      </c>
      <c r="G579" s="9" t="s">
        <v>38808</v>
      </c>
      <c r="H579" s="127">
        <v>44736.0</v>
      </c>
      <c r="I579" s="9" t="s">
        <v>47</v>
      </c>
      <c r="J579" s="9" t="s">
        <v>38801</v>
      </c>
      <c r="K579" s="55">
        <v>44736.0</v>
      </c>
      <c r="M579" s="9" t="s">
        <v>2522</v>
      </c>
    </row>
    <row r="580" ht="15.75" hidden="1" customHeight="1">
      <c r="A580" s="9" t="s">
        <v>39839</v>
      </c>
      <c r="B580" s="9" t="s">
        <v>14133</v>
      </c>
      <c r="D580" s="9" t="s">
        <v>12230</v>
      </c>
      <c r="F580" s="9" t="s">
        <v>39840</v>
      </c>
      <c r="G580" s="9" t="s">
        <v>38808</v>
      </c>
      <c r="H580" s="127">
        <v>44736.0</v>
      </c>
      <c r="I580" s="9" t="s">
        <v>47</v>
      </c>
      <c r="J580" s="9" t="s">
        <v>38801</v>
      </c>
      <c r="K580" s="55">
        <v>44736.0</v>
      </c>
      <c r="M580" s="9" t="s">
        <v>2522</v>
      </c>
    </row>
    <row r="581" ht="15.75" hidden="1" customHeight="1">
      <c r="A581" s="9" t="s">
        <v>39841</v>
      </c>
      <c r="B581" s="9" t="s">
        <v>15425</v>
      </c>
      <c r="D581" s="9" t="s">
        <v>12230</v>
      </c>
      <c r="F581" s="9" t="s">
        <v>39842</v>
      </c>
      <c r="G581" s="9" t="s">
        <v>38808</v>
      </c>
      <c r="H581" s="127">
        <v>44736.0</v>
      </c>
      <c r="I581" s="9" t="s">
        <v>47</v>
      </c>
      <c r="J581" s="9" t="s">
        <v>38801</v>
      </c>
      <c r="K581" s="55">
        <v>44736.0</v>
      </c>
      <c r="M581" s="9" t="s">
        <v>8166</v>
      </c>
    </row>
    <row r="582" ht="15.75" hidden="1" customHeight="1">
      <c r="A582" s="9" t="s">
        <v>39843</v>
      </c>
      <c r="B582" s="9" t="s">
        <v>15425</v>
      </c>
      <c r="D582" s="9" t="s">
        <v>12224</v>
      </c>
      <c r="F582" s="9" t="s">
        <v>39844</v>
      </c>
      <c r="G582" s="9" t="s">
        <v>38808</v>
      </c>
      <c r="H582" s="127">
        <v>44736.0</v>
      </c>
      <c r="I582" s="9" t="s">
        <v>47</v>
      </c>
      <c r="J582" s="9" t="s">
        <v>38801</v>
      </c>
      <c r="K582" s="55">
        <v>44736.0</v>
      </c>
      <c r="M582" s="9" t="s">
        <v>8166</v>
      </c>
    </row>
    <row r="583" ht="15.75" hidden="1" customHeight="1">
      <c r="A583" s="9" t="s">
        <v>39845</v>
      </c>
      <c r="B583" s="9" t="s">
        <v>19396</v>
      </c>
      <c r="D583" s="9" t="s">
        <v>12230</v>
      </c>
      <c r="F583" s="9" t="s">
        <v>39570</v>
      </c>
      <c r="G583" s="9" t="s">
        <v>38946</v>
      </c>
      <c r="H583" s="127">
        <v>44742.0</v>
      </c>
      <c r="I583" s="9" t="s">
        <v>52</v>
      </c>
      <c r="J583" s="9" t="s">
        <v>38801</v>
      </c>
      <c r="K583" s="55">
        <v>44768.0</v>
      </c>
      <c r="M583" s="9" t="s">
        <v>11774</v>
      </c>
    </row>
    <row r="584" ht="15.75" hidden="1" customHeight="1">
      <c r="A584" s="9" t="s">
        <v>39846</v>
      </c>
      <c r="B584" s="9" t="s">
        <v>20950</v>
      </c>
      <c r="D584" s="9" t="s">
        <v>12230</v>
      </c>
      <c r="F584" s="9" t="s">
        <v>39847</v>
      </c>
      <c r="G584" s="9" t="s">
        <v>38808</v>
      </c>
      <c r="H584" s="127">
        <v>44742.0</v>
      </c>
      <c r="I584" s="9" t="s">
        <v>47</v>
      </c>
      <c r="J584" s="9" t="s">
        <v>38801</v>
      </c>
      <c r="K584" s="55">
        <v>44747.0</v>
      </c>
      <c r="M584" s="9" t="s">
        <v>9688</v>
      </c>
    </row>
    <row r="585" ht="15.75" hidden="1" customHeight="1">
      <c r="A585" s="9" t="s">
        <v>39848</v>
      </c>
      <c r="B585" s="9" t="s">
        <v>17900</v>
      </c>
      <c r="D585" s="9" t="s">
        <v>12236</v>
      </c>
      <c r="F585" s="9" t="s">
        <v>39849</v>
      </c>
      <c r="G585" s="9" t="s">
        <v>38808</v>
      </c>
      <c r="H585" s="127">
        <v>44746.0</v>
      </c>
      <c r="I585" s="9" t="s">
        <v>47</v>
      </c>
      <c r="J585" s="9" t="s">
        <v>38801</v>
      </c>
      <c r="K585" s="55">
        <v>44791.0</v>
      </c>
      <c r="M585" s="9" t="s">
        <v>11875</v>
      </c>
    </row>
    <row r="586" ht="15.75" hidden="1" customHeight="1">
      <c r="A586" s="9" t="s">
        <v>39850</v>
      </c>
      <c r="B586" s="9" t="s">
        <v>19426</v>
      </c>
      <c r="D586" s="9" t="s">
        <v>12230</v>
      </c>
      <c r="F586" s="9" t="s">
        <v>39851</v>
      </c>
      <c r="G586" s="9" t="s">
        <v>38808</v>
      </c>
      <c r="H586" s="127">
        <v>44747.0</v>
      </c>
      <c r="I586" s="9" t="s">
        <v>47</v>
      </c>
      <c r="J586" s="9" t="s">
        <v>38801</v>
      </c>
      <c r="K586" s="55">
        <v>45411.0</v>
      </c>
      <c r="M586" s="9" t="s">
        <v>10667</v>
      </c>
    </row>
    <row r="587" ht="15.75" hidden="1" customHeight="1">
      <c r="A587" s="9" t="s">
        <v>39852</v>
      </c>
      <c r="B587" s="9" t="s">
        <v>21304</v>
      </c>
      <c r="D587" s="9" t="s">
        <v>12230</v>
      </c>
      <c r="F587" s="9" t="s">
        <v>39853</v>
      </c>
      <c r="G587" s="9" t="s">
        <v>38808</v>
      </c>
      <c r="H587" s="127">
        <v>44747.0</v>
      </c>
      <c r="I587" s="9" t="s">
        <v>47</v>
      </c>
      <c r="J587" s="9" t="s">
        <v>38801</v>
      </c>
      <c r="K587" s="55">
        <v>45411.0</v>
      </c>
      <c r="M587" s="9" t="s">
        <v>11031</v>
      </c>
    </row>
    <row r="588" ht="15.75" hidden="1" customHeight="1">
      <c r="A588" s="9" t="s">
        <v>39854</v>
      </c>
      <c r="B588" s="9" t="s">
        <v>21304</v>
      </c>
      <c r="D588" s="9" t="s">
        <v>12248</v>
      </c>
      <c r="F588" s="9" t="s">
        <v>39855</v>
      </c>
      <c r="G588" s="9" t="s">
        <v>38808</v>
      </c>
      <c r="H588" s="127">
        <v>44747.0</v>
      </c>
      <c r="I588" s="9" t="s">
        <v>47</v>
      </c>
      <c r="J588" s="9" t="s">
        <v>38801</v>
      </c>
      <c r="K588" s="55">
        <v>45411.0</v>
      </c>
      <c r="M588" s="9" t="s">
        <v>11031</v>
      </c>
    </row>
    <row r="589" ht="15.75" hidden="1" customHeight="1">
      <c r="A589" s="9" t="s">
        <v>39856</v>
      </c>
      <c r="B589" s="9" t="s">
        <v>19363</v>
      </c>
      <c r="D589" s="9" t="s">
        <v>12248</v>
      </c>
      <c r="F589" s="9" t="s">
        <v>39857</v>
      </c>
      <c r="G589" s="9" t="s">
        <v>38808</v>
      </c>
      <c r="H589" s="127">
        <v>44747.0</v>
      </c>
      <c r="I589" s="9" t="s">
        <v>47</v>
      </c>
      <c r="J589" s="9" t="s">
        <v>38801</v>
      </c>
      <c r="K589" s="55">
        <v>45411.0</v>
      </c>
      <c r="M589" s="9" t="s">
        <v>8668</v>
      </c>
    </row>
    <row r="590" ht="15.75" hidden="1" customHeight="1">
      <c r="A590" s="9" t="s">
        <v>39858</v>
      </c>
      <c r="B590" s="9" t="s">
        <v>19363</v>
      </c>
      <c r="D590" s="9" t="s">
        <v>12230</v>
      </c>
      <c r="F590" s="9" t="s">
        <v>39859</v>
      </c>
      <c r="G590" s="9" t="s">
        <v>38808</v>
      </c>
      <c r="H590" s="127">
        <v>44747.0</v>
      </c>
      <c r="I590" s="9" t="s">
        <v>47</v>
      </c>
      <c r="J590" s="9" t="s">
        <v>38801</v>
      </c>
      <c r="K590" s="55">
        <v>45411.0</v>
      </c>
      <c r="M590" s="9" t="s">
        <v>8668</v>
      </c>
    </row>
    <row r="591" ht="15.75" hidden="1" customHeight="1">
      <c r="A591" s="9" t="s">
        <v>39860</v>
      </c>
      <c r="B591" s="9" t="s">
        <v>16974</v>
      </c>
      <c r="D591" s="9" t="s">
        <v>12236</v>
      </c>
      <c r="F591" s="9" t="s">
        <v>39677</v>
      </c>
      <c r="G591" s="9" t="s">
        <v>38946</v>
      </c>
      <c r="H591" s="127">
        <v>44747.0</v>
      </c>
      <c r="I591" s="9" t="s">
        <v>52</v>
      </c>
      <c r="J591" s="9" t="s">
        <v>38801</v>
      </c>
      <c r="K591" s="60">
        <v>44882.0</v>
      </c>
      <c r="M591" s="9" t="s">
        <v>10721</v>
      </c>
    </row>
    <row r="592" ht="15.75" hidden="1" customHeight="1">
      <c r="A592" s="9" t="s">
        <v>39861</v>
      </c>
      <c r="B592" s="9" t="s">
        <v>13786</v>
      </c>
      <c r="D592" s="9" t="s">
        <v>12236</v>
      </c>
      <c r="F592" s="9" t="s">
        <v>39677</v>
      </c>
      <c r="G592" s="9" t="s">
        <v>38946</v>
      </c>
      <c r="H592" s="127">
        <v>44747.0</v>
      </c>
      <c r="I592" s="9" t="s">
        <v>52</v>
      </c>
      <c r="J592" s="9" t="s">
        <v>38801</v>
      </c>
      <c r="K592" s="60">
        <v>44882.0</v>
      </c>
      <c r="M592" s="9" t="s">
        <v>10354</v>
      </c>
    </row>
    <row r="593" ht="15.75" hidden="1" customHeight="1">
      <c r="A593" s="9" t="s">
        <v>39862</v>
      </c>
      <c r="B593" s="9" t="s">
        <v>13786</v>
      </c>
      <c r="D593" s="9" t="s">
        <v>12250</v>
      </c>
      <c r="F593" s="9" t="s">
        <v>39863</v>
      </c>
      <c r="G593" s="9" t="s">
        <v>38808</v>
      </c>
      <c r="H593" s="127">
        <v>44747.0</v>
      </c>
      <c r="I593" s="9" t="s">
        <v>47</v>
      </c>
      <c r="J593" s="9" t="s">
        <v>38801</v>
      </c>
      <c r="K593" s="55">
        <v>44747.0</v>
      </c>
      <c r="M593" s="9" t="s">
        <v>10354</v>
      </c>
    </row>
    <row r="594" ht="15.75" hidden="1" customHeight="1">
      <c r="A594" s="9" t="s">
        <v>39864</v>
      </c>
      <c r="B594" s="9" t="s">
        <v>13786</v>
      </c>
      <c r="D594" s="9" t="s">
        <v>12230</v>
      </c>
      <c r="F594" s="9" t="s">
        <v>39865</v>
      </c>
      <c r="G594" s="9" t="s">
        <v>38808</v>
      </c>
      <c r="H594" s="127">
        <v>44747.0</v>
      </c>
      <c r="I594" s="9" t="s">
        <v>47</v>
      </c>
      <c r="J594" s="9" t="s">
        <v>38801</v>
      </c>
      <c r="K594" s="55">
        <v>44747.0</v>
      </c>
      <c r="M594" s="9" t="s">
        <v>10354</v>
      </c>
    </row>
    <row r="595" ht="15.75" hidden="1" customHeight="1">
      <c r="A595" s="9" t="s">
        <v>39866</v>
      </c>
      <c r="B595" s="9" t="s">
        <v>17974</v>
      </c>
      <c r="D595" s="9" t="s">
        <v>12230</v>
      </c>
      <c r="F595" s="9" t="s">
        <v>39867</v>
      </c>
      <c r="G595" s="9" t="s">
        <v>38808</v>
      </c>
      <c r="H595" s="127">
        <v>44747.0</v>
      </c>
      <c r="I595" s="9" t="s">
        <v>47</v>
      </c>
      <c r="J595" s="9" t="s">
        <v>38801</v>
      </c>
      <c r="K595" s="55">
        <v>44747.0</v>
      </c>
      <c r="M595" s="9" t="s">
        <v>6473</v>
      </c>
    </row>
    <row r="596" ht="15.75" hidden="1" customHeight="1">
      <c r="A596" s="9" t="s">
        <v>39868</v>
      </c>
      <c r="B596" s="9" t="s">
        <v>22274</v>
      </c>
      <c r="D596" s="9" t="s">
        <v>12230</v>
      </c>
      <c r="F596" s="9" t="s">
        <v>39869</v>
      </c>
      <c r="G596" s="9" t="s">
        <v>38808</v>
      </c>
      <c r="H596" s="127">
        <v>44749.0</v>
      </c>
      <c r="I596" s="9" t="s">
        <v>47</v>
      </c>
      <c r="J596" s="9" t="s">
        <v>38801</v>
      </c>
      <c r="K596" s="55">
        <v>44749.0</v>
      </c>
      <c r="M596" s="9" t="s">
        <v>3158</v>
      </c>
    </row>
    <row r="597" ht="15.75" hidden="1" customHeight="1">
      <c r="A597" s="9" t="s">
        <v>39870</v>
      </c>
      <c r="B597" s="9" t="s">
        <v>14677</v>
      </c>
      <c r="D597" s="9" t="s">
        <v>12230</v>
      </c>
      <c r="F597" s="9" t="s">
        <v>39871</v>
      </c>
      <c r="G597" s="9" t="s">
        <v>38946</v>
      </c>
      <c r="H597" s="127">
        <v>44750.0</v>
      </c>
      <c r="I597" s="9" t="s">
        <v>52</v>
      </c>
      <c r="J597" s="9" t="s">
        <v>38801</v>
      </c>
      <c r="K597" s="55">
        <v>45452.0</v>
      </c>
      <c r="M597" s="9" t="s">
        <v>9450</v>
      </c>
    </row>
    <row r="598" ht="15.75" hidden="1" customHeight="1">
      <c r="A598" s="9" t="s">
        <v>39872</v>
      </c>
      <c r="B598" s="9" t="s">
        <v>18454</v>
      </c>
      <c r="D598" s="9" t="s">
        <v>12230</v>
      </c>
      <c r="F598" s="9" t="s">
        <v>39871</v>
      </c>
      <c r="G598" s="9" t="s">
        <v>38946</v>
      </c>
      <c r="H598" s="127">
        <v>44750.0</v>
      </c>
      <c r="I598" s="9" t="s">
        <v>52</v>
      </c>
      <c r="J598" s="9" t="s">
        <v>38801</v>
      </c>
      <c r="K598" s="55">
        <v>44750.0</v>
      </c>
      <c r="M598" s="9" t="s">
        <v>4952</v>
      </c>
    </row>
    <row r="599" ht="15.75" hidden="1" customHeight="1">
      <c r="A599" s="9" t="s">
        <v>39873</v>
      </c>
      <c r="B599" s="9" t="s">
        <v>19478</v>
      </c>
      <c r="D599" s="9" t="s">
        <v>12230</v>
      </c>
      <c r="F599" s="9" t="s">
        <v>39874</v>
      </c>
      <c r="G599" s="9" t="s">
        <v>38808</v>
      </c>
      <c r="H599" s="127">
        <v>44750.0</v>
      </c>
      <c r="I599" s="9" t="s">
        <v>47</v>
      </c>
      <c r="J599" s="9" t="s">
        <v>38801</v>
      </c>
      <c r="K599" s="55">
        <v>44750.0</v>
      </c>
      <c r="M599" s="9" t="s">
        <v>11847</v>
      </c>
    </row>
    <row r="600" ht="15.75" hidden="1" customHeight="1">
      <c r="A600" s="9" t="s">
        <v>39875</v>
      </c>
      <c r="B600" s="9" t="s">
        <v>14489</v>
      </c>
      <c r="D600" s="9" t="s">
        <v>12230</v>
      </c>
      <c r="F600" s="9" t="s">
        <v>39876</v>
      </c>
      <c r="G600" s="9" t="s">
        <v>38808</v>
      </c>
      <c r="H600" s="127">
        <v>44757.0</v>
      </c>
      <c r="I600" s="9" t="s">
        <v>47</v>
      </c>
      <c r="J600" s="9" t="s">
        <v>38801</v>
      </c>
      <c r="K600" s="55">
        <v>44757.0</v>
      </c>
      <c r="M600" s="9" t="s">
        <v>3552</v>
      </c>
    </row>
    <row r="601" ht="15.75" hidden="1" customHeight="1">
      <c r="A601" s="9" t="s">
        <v>39877</v>
      </c>
      <c r="B601" s="9" t="s">
        <v>18454</v>
      </c>
      <c r="D601" s="9" t="s">
        <v>12230</v>
      </c>
      <c r="F601" s="9" t="s">
        <v>39389</v>
      </c>
      <c r="G601" s="9" t="s">
        <v>38808</v>
      </c>
      <c r="H601" s="127">
        <v>44757.0</v>
      </c>
      <c r="I601" s="9" t="s">
        <v>47</v>
      </c>
      <c r="J601" s="9" t="s">
        <v>38801</v>
      </c>
      <c r="K601" s="55">
        <v>44757.0</v>
      </c>
      <c r="M601" s="9" t="s">
        <v>4952</v>
      </c>
    </row>
    <row r="602" ht="15.75" hidden="1" customHeight="1">
      <c r="A602" s="9" t="s">
        <v>39878</v>
      </c>
      <c r="B602" s="9" t="s">
        <v>12340</v>
      </c>
      <c r="D602" s="9" t="s">
        <v>12230</v>
      </c>
      <c r="F602" s="9" t="s">
        <v>39879</v>
      </c>
      <c r="G602" s="9" t="s">
        <v>38808</v>
      </c>
      <c r="H602" s="127">
        <v>44760.0</v>
      </c>
      <c r="I602" s="9" t="s">
        <v>47</v>
      </c>
      <c r="J602" s="9" t="s">
        <v>38801</v>
      </c>
      <c r="K602" s="55">
        <v>45411.0</v>
      </c>
      <c r="M602" s="9" t="s">
        <v>10251</v>
      </c>
    </row>
    <row r="603" ht="15.75" hidden="1" customHeight="1">
      <c r="A603" s="9" t="s">
        <v>39880</v>
      </c>
      <c r="B603" s="9" t="s">
        <v>17961</v>
      </c>
      <c r="D603" s="9" t="s">
        <v>12230</v>
      </c>
      <c r="F603" s="9" t="s">
        <v>39881</v>
      </c>
      <c r="G603" s="9" t="s">
        <v>38808</v>
      </c>
      <c r="H603" s="127">
        <v>44760.0</v>
      </c>
      <c r="I603" s="9" t="s">
        <v>47</v>
      </c>
      <c r="J603" s="9" t="s">
        <v>38801</v>
      </c>
      <c r="K603" s="55">
        <v>44769.0</v>
      </c>
      <c r="M603" s="9" t="s">
        <v>5651</v>
      </c>
    </row>
    <row r="604" ht="15.75" hidden="1" customHeight="1">
      <c r="A604" s="9" t="s">
        <v>39882</v>
      </c>
      <c r="B604" s="9" t="s">
        <v>12716</v>
      </c>
      <c r="D604" s="9" t="s">
        <v>12230</v>
      </c>
      <c r="F604" s="9" t="s">
        <v>39883</v>
      </c>
      <c r="G604" s="9" t="s">
        <v>38808</v>
      </c>
      <c r="H604" s="127">
        <v>44760.0</v>
      </c>
      <c r="I604" s="9" t="s">
        <v>47</v>
      </c>
      <c r="J604" s="9" t="s">
        <v>38801</v>
      </c>
      <c r="K604" s="55">
        <v>44762.0</v>
      </c>
      <c r="M604" s="9" t="s">
        <v>11999</v>
      </c>
    </row>
    <row r="605" ht="15.75" hidden="1" customHeight="1">
      <c r="A605" s="9" t="s">
        <v>39884</v>
      </c>
      <c r="B605" s="9" t="s">
        <v>12609</v>
      </c>
      <c r="D605" s="9" t="s">
        <v>12230</v>
      </c>
      <c r="F605" s="9" t="s">
        <v>39885</v>
      </c>
      <c r="G605" s="9" t="s">
        <v>38946</v>
      </c>
      <c r="H605" s="127">
        <v>44760.0</v>
      </c>
      <c r="I605" s="9" t="s">
        <v>47</v>
      </c>
      <c r="J605" s="9" t="s">
        <v>38801</v>
      </c>
      <c r="K605" s="55">
        <v>46100.0</v>
      </c>
      <c r="M605" s="9" t="s">
        <v>11817</v>
      </c>
    </row>
    <row r="606" ht="15.75" hidden="1" customHeight="1">
      <c r="A606" s="52" t="s">
        <v>39886</v>
      </c>
      <c r="B606" s="9" t="s">
        <v>19478</v>
      </c>
      <c r="D606" s="9" t="s">
        <v>12230</v>
      </c>
      <c r="F606" s="9" t="s">
        <v>39887</v>
      </c>
      <c r="G606" s="9" t="s">
        <v>38808</v>
      </c>
      <c r="H606" s="127">
        <v>44760.0</v>
      </c>
      <c r="I606" s="9" t="s">
        <v>47</v>
      </c>
      <c r="J606" s="9" t="s">
        <v>38801</v>
      </c>
      <c r="K606" s="55">
        <v>44760.0</v>
      </c>
      <c r="M606" s="9" t="s">
        <v>11847</v>
      </c>
    </row>
    <row r="607" ht="15.75" hidden="1" customHeight="1">
      <c r="A607" s="9" t="s">
        <v>39888</v>
      </c>
      <c r="B607" s="9" t="s">
        <v>21673</v>
      </c>
      <c r="D607" s="9" t="s">
        <v>12230</v>
      </c>
      <c r="F607" s="9" t="s">
        <v>39889</v>
      </c>
      <c r="G607" s="9" t="s">
        <v>38808</v>
      </c>
      <c r="H607" s="127">
        <v>44760.0</v>
      </c>
      <c r="I607" s="9" t="s">
        <v>47</v>
      </c>
      <c r="J607" s="9" t="s">
        <v>38801</v>
      </c>
      <c r="K607" s="55">
        <v>44760.0</v>
      </c>
      <c r="M607" s="9" t="s">
        <v>9827</v>
      </c>
    </row>
    <row r="608" ht="15.75" hidden="1" customHeight="1">
      <c r="A608" s="9" t="s">
        <v>39890</v>
      </c>
      <c r="B608" s="9" t="s">
        <v>17418</v>
      </c>
      <c r="D608" s="9" t="s">
        <v>12233</v>
      </c>
      <c r="F608" s="9" t="s">
        <v>39891</v>
      </c>
      <c r="G608" s="9" t="s">
        <v>38808</v>
      </c>
      <c r="H608" s="127">
        <v>44761.0</v>
      </c>
      <c r="I608" s="9" t="s">
        <v>47</v>
      </c>
      <c r="J608" s="9" t="s">
        <v>38801</v>
      </c>
      <c r="K608" s="55">
        <v>44776.0</v>
      </c>
      <c r="M608" s="9" t="s">
        <v>10562</v>
      </c>
    </row>
    <row r="609" ht="15.75" hidden="1" customHeight="1">
      <c r="A609" s="9" t="s">
        <v>39892</v>
      </c>
      <c r="B609" s="9" t="s">
        <v>19323</v>
      </c>
      <c r="D609" s="9" t="s">
        <v>12230</v>
      </c>
      <c r="F609" s="9" t="s">
        <v>39893</v>
      </c>
      <c r="G609" s="9" t="s">
        <v>38808</v>
      </c>
      <c r="H609" s="127">
        <v>44761.0</v>
      </c>
      <c r="I609" s="9" t="s">
        <v>47</v>
      </c>
      <c r="J609" s="9" t="s">
        <v>38801</v>
      </c>
      <c r="K609" s="55">
        <v>44761.0</v>
      </c>
      <c r="M609" s="9" t="s">
        <v>3129</v>
      </c>
    </row>
    <row r="610" ht="15.75" hidden="1" customHeight="1">
      <c r="A610" s="9" t="s">
        <v>39894</v>
      </c>
      <c r="B610" s="9" t="s">
        <v>18799</v>
      </c>
      <c r="D610" s="9" t="s">
        <v>12230</v>
      </c>
      <c r="F610" s="9" t="s">
        <v>39895</v>
      </c>
      <c r="G610" s="9" t="s">
        <v>38808</v>
      </c>
      <c r="H610" s="127">
        <v>44762.0</v>
      </c>
      <c r="I610" s="9" t="s">
        <v>47</v>
      </c>
      <c r="J610" s="9" t="s">
        <v>38801</v>
      </c>
      <c r="K610" s="55">
        <v>45411.0</v>
      </c>
      <c r="M610" s="9" t="s">
        <v>2029</v>
      </c>
    </row>
    <row r="611" ht="15.75" hidden="1" customHeight="1">
      <c r="A611" s="9" t="s">
        <v>39896</v>
      </c>
      <c r="B611" s="9" t="s">
        <v>18799</v>
      </c>
      <c r="D611" s="9" t="s">
        <v>12248</v>
      </c>
      <c r="F611" s="9" t="s">
        <v>39897</v>
      </c>
      <c r="G611" s="9" t="s">
        <v>38808</v>
      </c>
      <c r="H611" s="127">
        <v>44762.0</v>
      </c>
      <c r="I611" s="9" t="s">
        <v>47</v>
      </c>
      <c r="J611" s="9" t="s">
        <v>38801</v>
      </c>
      <c r="K611" s="55">
        <v>45411.0</v>
      </c>
      <c r="M611" s="9" t="s">
        <v>2029</v>
      </c>
    </row>
    <row r="612" ht="15.75" hidden="1" customHeight="1">
      <c r="A612" s="9" t="s">
        <v>39898</v>
      </c>
      <c r="B612" s="9" t="s">
        <v>19403</v>
      </c>
      <c r="D612" s="9" t="s">
        <v>12248</v>
      </c>
      <c r="F612" s="9" t="s">
        <v>39899</v>
      </c>
      <c r="G612" s="9" t="s">
        <v>38808</v>
      </c>
      <c r="H612" s="127">
        <v>44762.0</v>
      </c>
      <c r="I612" s="9" t="s">
        <v>47</v>
      </c>
      <c r="J612" s="9" t="s">
        <v>38801</v>
      </c>
      <c r="K612" s="55">
        <v>45411.0</v>
      </c>
      <c r="M612" s="9" t="s">
        <v>4688</v>
      </c>
    </row>
    <row r="613" ht="15.75" hidden="1" customHeight="1">
      <c r="A613" s="9" t="s">
        <v>39900</v>
      </c>
      <c r="B613" s="9" t="s">
        <v>19403</v>
      </c>
      <c r="D613" s="9" t="s">
        <v>12230</v>
      </c>
      <c r="F613" s="9" t="s">
        <v>39901</v>
      </c>
      <c r="G613" s="9" t="s">
        <v>38808</v>
      </c>
      <c r="H613" s="127">
        <v>44762.0</v>
      </c>
      <c r="I613" s="9" t="s">
        <v>47</v>
      </c>
      <c r="J613" s="9" t="s">
        <v>38801</v>
      </c>
      <c r="K613" s="55">
        <v>45411.0</v>
      </c>
      <c r="M613" s="9" t="s">
        <v>4688</v>
      </c>
    </row>
    <row r="614" ht="15.75" hidden="1" customHeight="1">
      <c r="A614" s="9" t="s">
        <v>39902</v>
      </c>
      <c r="B614" s="9" t="s">
        <v>19396</v>
      </c>
      <c r="D614" s="9" t="s">
        <v>12236</v>
      </c>
      <c r="F614" s="9" t="s">
        <v>39677</v>
      </c>
      <c r="G614" s="9" t="s">
        <v>38946</v>
      </c>
      <c r="H614" s="127">
        <v>44764.0</v>
      </c>
      <c r="I614" s="9" t="s">
        <v>52</v>
      </c>
      <c r="J614" s="9" t="s">
        <v>38801</v>
      </c>
      <c r="K614" s="60">
        <v>44882.0</v>
      </c>
      <c r="M614" s="9" t="s">
        <v>11774</v>
      </c>
    </row>
    <row r="615" ht="15.75" hidden="1" customHeight="1">
      <c r="A615" s="9" t="s">
        <v>39903</v>
      </c>
      <c r="B615" s="9" t="s">
        <v>15912</v>
      </c>
      <c r="D615" s="9" t="s">
        <v>12230</v>
      </c>
      <c r="F615" s="9" t="s">
        <v>39904</v>
      </c>
      <c r="G615" s="9" t="s">
        <v>38808</v>
      </c>
      <c r="H615" s="127">
        <v>44764.0</v>
      </c>
      <c r="I615" s="9" t="s">
        <v>47</v>
      </c>
      <c r="J615" s="9" t="s">
        <v>38801</v>
      </c>
      <c r="K615" s="55">
        <v>44798.0</v>
      </c>
      <c r="M615" s="9" t="s">
        <v>6239</v>
      </c>
    </row>
    <row r="616" ht="15.75" hidden="1" customHeight="1">
      <c r="A616" s="9" t="s">
        <v>39905</v>
      </c>
      <c r="B616" s="9" t="s">
        <v>15912</v>
      </c>
      <c r="D616" s="9" t="s">
        <v>12250</v>
      </c>
      <c r="F616" s="9" t="s">
        <v>39906</v>
      </c>
      <c r="G616" s="9" t="s">
        <v>38946</v>
      </c>
      <c r="H616" s="127">
        <v>44764.0</v>
      </c>
      <c r="I616" s="9" t="s">
        <v>47</v>
      </c>
      <c r="J616" s="9" t="s">
        <v>38801</v>
      </c>
      <c r="K616" s="55">
        <v>44798.0</v>
      </c>
      <c r="M616" s="9" t="s">
        <v>6239</v>
      </c>
    </row>
    <row r="617" ht="15.75" hidden="1" customHeight="1">
      <c r="A617" s="9" t="s">
        <v>39907</v>
      </c>
      <c r="B617" s="9" t="s">
        <v>15912</v>
      </c>
      <c r="D617" s="9" t="s">
        <v>12224</v>
      </c>
      <c r="F617" s="9" t="s">
        <v>39908</v>
      </c>
      <c r="G617" s="9" t="s">
        <v>38946</v>
      </c>
      <c r="H617" s="127">
        <v>44764.0</v>
      </c>
      <c r="I617" s="9" t="s">
        <v>52</v>
      </c>
      <c r="J617" s="9" t="s">
        <v>38801</v>
      </c>
      <c r="K617" s="55">
        <v>44767.0</v>
      </c>
      <c r="M617" s="9" t="s">
        <v>6239</v>
      </c>
    </row>
    <row r="618" ht="15.75" hidden="1" customHeight="1">
      <c r="A618" s="9" t="s">
        <v>39909</v>
      </c>
      <c r="B618" s="9" t="s">
        <v>14232</v>
      </c>
      <c r="D618" s="9" t="s">
        <v>12230</v>
      </c>
      <c r="F618" s="9" t="s">
        <v>39910</v>
      </c>
      <c r="G618" s="9" t="s">
        <v>38946</v>
      </c>
      <c r="H618" s="127">
        <v>44764.0</v>
      </c>
      <c r="I618" s="9" t="s">
        <v>52</v>
      </c>
      <c r="J618" s="9" t="s">
        <v>38801</v>
      </c>
      <c r="K618" s="55">
        <v>44764.0</v>
      </c>
      <c r="M618" s="9" t="s">
        <v>10116</v>
      </c>
    </row>
    <row r="619" ht="15.75" hidden="1" customHeight="1">
      <c r="A619" s="9" t="s">
        <v>39911</v>
      </c>
      <c r="B619" s="9" t="s">
        <v>19385</v>
      </c>
      <c r="D619" s="9" t="s">
        <v>12230</v>
      </c>
      <c r="F619" s="9" t="s">
        <v>39912</v>
      </c>
      <c r="G619" s="9" t="s">
        <v>38808</v>
      </c>
      <c r="H619" s="127">
        <v>44767.0</v>
      </c>
      <c r="I619" s="9" t="s">
        <v>47</v>
      </c>
      <c r="J619" s="9" t="s">
        <v>38801</v>
      </c>
      <c r="K619" s="55">
        <v>44768.0</v>
      </c>
      <c r="M619" s="9" t="s">
        <v>11767</v>
      </c>
    </row>
    <row r="620" ht="15.75" hidden="1" customHeight="1">
      <c r="A620" s="9" t="s">
        <v>39913</v>
      </c>
      <c r="B620" s="9" t="s">
        <v>19385</v>
      </c>
      <c r="D620" s="9" t="s">
        <v>12252</v>
      </c>
      <c r="F620" s="9" t="s">
        <v>39914</v>
      </c>
      <c r="G620" s="9" t="s">
        <v>38808</v>
      </c>
      <c r="H620" s="127">
        <v>44767.0</v>
      </c>
      <c r="I620" s="9" t="s">
        <v>47</v>
      </c>
      <c r="J620" s="9" t="s">
        <v>38801</v>
      </c>
      <c r="K620" s="55">
        <v>44767.0</v>
      </c>
      <c r="M620" s="9" t="s">
        <v>11767</v>
      </c>
    </row>
    <row r="621" ht="15.75" hidden="1" customHeight="1">
      <c r="A621" s="9" t="s">
        <v>39915</v>
      </c>
      <c r="B621" s="9" t="s">
        <v>13177</v>
      </c>
      <c r="D621" s="9" t="s">
        <v>12230</v>
      </c>
      <c r="F621" s="9" t="s">
        <v>39916</v>
      </c>
      <c r="G621" s="9" t="s">
        <v>38808</v>
      </c>
      <c r="H621" s="127">
        <v>44768.0</v>
      </c>
      <c r="I621" s="9" t="s">
        <v>47</v>
      </c>
      <c r="J621" s="9" t="s">
        <v>38801</v>
      </c>
      <c r="K621" s="55">
        <v>44988.0</v>
      </c>
      <c r="M621" s="9" t="s">
        <v>10318</v>
      </c>
    </row>
    <row r="622" ht="15.75" hidden="1" customHeight="1">
      <c r="A622" s="9" t="s">
        <v>39917</v>
      </c>
      <c r="B622" s="9" t="s">
        <v>18912</v>
      </c>
      <c r="D622" s="9" t="s">
        <v>12230</v>
      </c>
      <c r="F622" s="9" t="s">
        <v>39918</v>
      </c>
      <c r="G622" s="9" t="s">
        <v>38946</v>
      </c>
      <c r="H622" s="127">
        <v>44768.0</v>
      </c>
      <c r="I622" s="9" t="s">
        <v>52</v>
      </c>
      <c r="J622" s="9" t="s">
        <v>38801</v>
      </c>
      <c r="K622" s="55">
        <v>44783.0</v>
      </c>
      <c r="M622" s="9" t="s">
        <v>11491</v>
      </c>
    </row>
    <row r="623" ht="15.75" hidden="1" customHeight="1">
      <c r="A623" s="9" t="s">
        <v>39919</v>
      </c>
      <c r="B623" s="9" t="s">
        <v>19457</v>
      </c>
      <c r="D623" s="9" t="s">
        <v>12258</v>
      </c>
      <c r="F623" s="9" t="s">
        <v>39920</v>
      </c>
      <c r="G623" s="9" t="s">
        <v>38808</v>
      </c>
      <c r="H623" s="127">
        <v>44771.0</v>
      </c>
      <c r="I623" s="9" t="s">
        <v>47</v>
      </c>
      <c r="J623" s="9" t="s">
        <v>38801</v>
      </c>
      <c r="K623" s="60">
        <v>44875.0</v>
      </c>
      <c r="M623" s="9" t="s">
        <v>11945</v>
      </c>
    </row>
    <row r="624" ht="15.75" hidden="1" customHeight="1">
      <c r="A624" s="9" t="s">
        <v>39921</v>
      </c>
      <c r="B624" s="9" t="s">
        <v>16145</v>
      </c>
      <c r="D624" s="9" t="s">
        <v>12230</v>
      </c>
      <c r="F624" s="9" t="s">
        <v>39570</v>
      </c>
      <c r="G624" s="9" t="s">
        <v>38946</v>
      </c>
      <c r="H624" s="127">
        <v>44774.0</v>
      </c>
      <c r="I624" s="9" t="s">
        <v>52</v>
      </c>
      <c r="J624" s="9" t="s">
        <v>38801</v>
      </c>
      <c r="K624" s="55">
        <v>44776.0</v>
      </c>
      <c r="M624" s="9" t="s">
        <v>10498</v>
      </c>
    </row>
    <row r="625" ht="15.75" hidden="1" customHeight="1">
      <c r="A625" s="9" t="s">
        <v>39922</v>
      </c>
      <c r="B625" s="9" t="s">
        <v>20965</v>
      </c>
      <c r="D625" s="9" t="s">
        <v>12236</v>
      </c>
      <c r="F625" s="9" t="s">
        <v>39677</v>
      </c>
      <c r="G625" s="9" t="s">
        <v>38946</v>
      </c>
      <c r="H625" s="127">
        <v>44775.0</v>
      </c>
      <c r="I625" s="9" t="s">
        <v>52</v>
      </c>
      <c r="J625" s="9" t="s">
        <v>38801</v>
      </c>
      <c r="K625" s="60">
        <v>44875.0</v>
      </c>
      <c r="M625" s="9" t="s">
        <v>9736</v>
      </c>
    </row>
    <row r="626" ht="15.75" hidden="1" customHeight="1">
      <c r="A626" s="9" t="s">
        <v>39923</v>
      </c>
      <c r="B626" s="9" t="s">
        <v>18509</v>
      </c>
      <c r="D626" s="9" t="s">
        <v>12252</v>
      </c>
      <c r="F626" s="9" t="s">
        <v>39924</v>
      </c>
      <c r="G626" s="9" t="s">
        <v>38808</v>
      </c>
      <c r="H626" s="127">
        <v>44776.0</v>
      </c>
      <c r="I626" s="9" t="s">
        <v>47</v>
      </c>
      <c r="J626" s="9" t="s">
        <v>38801</v>
      </c>
      <c r="K626" s="55">
        <v>44799.0</v>
      </c>
      <c r="M626" s="9" t="s">
        <v>11623</v>
      </c>
    </row>
    <row r="627" ht="15.75" hidden="1" customHeight="1">
      <c r="A627" s="9" t="s">
        <v>39925</v>
      </c>
      <c r="B627" s="9" t="s">
        <v>13343</v>
      </c>
      <c r="D627" s="9" t="s">
        <v>12236</v>
      </c>
      <c r="F627" s="9" t="s">
        <v>39677</v>
      </c>
      <c r="G627" s="9" t="s">
        <v>38946</v>
      </c>
      <c r="H627" s="127">
        <v>44776.0</v>
      </c>
      <c r="I627" s="9" t="s">
        <v>52</v>
      </c>
      <c r="J627" s="9" t="s">
        <v>38801</v>
      </c>
      <c r="K627" s="55">
        <v>46095.0</v>
      </c>
      <c r="M627" s="9" t="s">
        <v>11813</v>
      </c>
    </row>
    <row r="628" ht="15.75" hidden="1" customHeight="1">
      <c r="A628" s="9" t="s">
        <v>39926</v>
      </c>
      <c r="B628" s="9" t="s">
        <v>18937</v>
      </c>
      <c r="D628" s="9" t="s">
        <v>12230</v>
      </c>
      <c r="F628" s="9" t="s">
        <v>39927</v>
      </c>
      <c r="G628" s="9" t="s">
        <v>38993</v>
      </c>
      <c r="H628" s="127">
        <v>44776.0</v>
      </c>
      <c r="I628" s="9" t="s">
        <v>131</v>
      </c>
      <c r="J628" s="9" t="s">
        <v>38801</v>
      </c>
      <c r="K628" s="55">
        <v>44776.0</v>
      </c>
      <c r="M628" s="9" t="s">
        <v>3810</v>
      </c>
    </row>
    <row r="629" ht="15.75" hidden="1" customHeight="1">
      <c r="A629" s="9" t="s">
        <v>39928</v>
      </c>
      <c r="B629" s="9" t="s">
        <v>20310</v>
      </c>
      <c r="D629" s="9" t="s">
        <v>12230</v>
      </c>
      <c r="F629" s="9" t="s">
        <v>39929</v>
      </c>
      <c r="G629" s="9" t="s">
        <v>38808</v>
      </c>
      <c r="H629" s="127">
        <v>44776.0</v>
      </c>
      <c r="I629" s="9" t="s">
        <v>131</v>
      </c>
      <c r="J629" s="9" t="s">
        <v>38801</v>
      </c>
      <c r="K629" s="55">
        <v>44776.0</v>
      </c>
      <c r="M629" s="9" t="s">
        <v>5604</v>
      </c>
    </row>
    <row r="630" ht="15.75" hidden="1" customHeight="1">
      <c r="A630" s="9" t="s">
        <v>39930</v>
      </c>
      <c r="B630" s="9" t="s">
        <v>19385</v>
      </c>
      <c r="D630" s="9" t="s">
        <v>12230</v>
      </c>
      <c r="F630" s="9" t="s">
        <v>39931</v>
      </c>
      <c r="G630" s="9" t="s">
        <v>38946</v>
      </c>
      <c r="H630" s="127">
        <v>44776.0</v>
      </c>
      <c r="I630" s="9" t="s">
        <v>47</v>
      </c>
      <c r="J630" s="9" t="s">
        <v>38801</v>
      </c>
      <c r="K630" s="55">
        <v>44776.0</v>
      </c>
      <c r="M630" s="9" t="s">
        <v>11767</v>
      </c>
    </row>
    <row r="631" ht="15.75" hidden="1" customHeight="1">
      <c r="A631" s="9" t="s">
        <v>39932</v>
      </c>
      <c r="B631" s="9" t="s">
        <v>20376</v>
      </c>
      <c r="D631" s="9" t="s">
        <v>12230</v>
      </c>
      <c r="F631" s="9" t="s">
        <v>39933</v>
      </c>
      <c r="G631" s="9" t="s">
        <v>38800</v>
      </c>
      <c r="H631" s="127">
        <v>44776.0</v>
      </c>
      <c r="I631" s="9" t="s">
        <v>47</v>
      </c>
      <c r="J631" s="9" t="s">
        <v>38801</v>
      </c>
      <c r="K631" s="55">
        <v>44776.0</v>
      </c>
      <c r="M631" s="9" t="s">
        <v>4253</v>
      </c>
    </row>
    <row r="632" ht="15.75" hidden="1" customHeight="1">
      <c r="A632" s="9" t="s">
        <v>39934</v>
      </c>
      <c r="B632" s="9" t="s">
        <v>16171</v>
      </c>
      <c r="D632" s="9" t="s">
        <v>12230</v>
      </c>
      <c r="F632" s="9" t="s">
        <v>39935</v>
      </c>
      <c r="G632" s="9" t="s">
        <v>38946</v>
      </c>
      <c r="H632" s="127">
        <v>44777.0</v>
      </c>
      <c r="I632" s="9" t="s">
        <v>131</v>
      </c>
      <c r="J632" s="9" t="s">
        <v>38801</v>
      </c>
      <c r="K632" s="55">
        <v>44778.0</v>
      </c>
      <c r="M632" s="9" t="s">
        <v>11805</v>
      </c>
    </row>
    <row r="633" ht="15.75" hidden="1" customHeight="1">
      <c r="A633" s="9" t="s">
        <v>39936</v>
      </c>
      <c r="B633" s="9" t="s">
        <v>14489</v>
      </c>
      <c r="D633" s="9" t="s">
        <v>12250</v>
      </c>
      <c r="F633" s="9" t="s">
        <v>39937</v>
      </c>
      <c r="G633" s="9" t="s">
        <v>38808</v>
      </c>
      <c r="H633" s="127">
        <v>44778.0</v>
      </c>
      <c r="I633" s="9" t="s">
        <v>47</v>
      </c>
      <c r="J633" s="9" t="s">
        <v>38801</v>
      </c>
      <c r="K633" s="55">
        <v>44784.0</v>
      </c>
      <c r="M633" s="9" t="s">
        <v>3552</v>
      </c>
    </row>
    <row r="634" ht="15.75" hidden="1" customHeight="1">
      <c r="A634" s="9" t="s">
        <v>39938</v>
      </c>
      <c r="B634" s="9" t="s">
        <v>19291</v>
      </c>
      <c r="D634" s="9" t="s">
        <v>12248</v>
      </c>
      <c r="F634" s="9" t="s">
        <v>12248</v>
      </c>
      <c r="G634" s="9" t="s">
        <v>38808</v>
      </c>
      <c r="H634" s="127">
        <v>44781.0</v>
      </c>
      <c r="I634" s="9" t="s">
        <v>131</v>
      </c>
      <c r="J634" s="9" t="s">
        <v>38801</v>
      </c>
      <c r="K634" s="55">
        <v>45411.0</v>
      </c>
      <c r="M634" s="9" t="s">
        <v>982</v>
      </c>
    </row>
    <row r="635" ht="15.75" hidden="1" customHeight="1">
      <c r="A635" s="9" t="s">
        <v>39939</v>
      </c>
      <c r="B635" s="9" t="s">
        <v>19291</v>
      </c>
      <c r="D635" s="9" t="s">
        <v>12230</v>
      </c>
      <c r="F635" s="9" t="s">
        <v>39940</v>
      </c>
      <c r="G635" s="9" t="s">
        <v>38808</v>
      </c>
      <c r="H635" s="127">
        <v>44781.0</v>
      </c>
      <c r="I635" s="9" t="s">
        <v>131</v>
      </c>
      <c r="J635" s="9" t="s">
        <v>38801</v>
      </c>
      <c r="K635" s="55">
        <v>45411.0</v>
      </c>
      <c r="M635" s="9" t="s">
        <v>982</v>
      </c>
    </row>
    <row r="636" ht="15.75" hidden="1" customHeight="1">
      <c r="A636" s="9" t="s">
        <v>39941</v>
      </c>
      <c r="B636" s="9" t="s">
        <v>18757</v>
      </c>
      <c r="D636" s="9" t="s">
        <v>12230</v>
      </c>
      <c r="F636" s="9" t="s">
        <v>39942</v>
      </c>
      <c r="G636" s="9" t="s">
        <v>38808</v>
      </c>
      <c r="H636" s="127">
        <v>44781.0</v>
      </c>
      <c r="I636" s="9" t="s">
        <v>131</v>
      </c>
      <c r="J636" s="9" t="s">
        <v>38801</v>
      </c>
      <c r="K636" s="60">
        <v>44875.0</v>
      </c>
      <c r="M636" s="9" t="s">
        <v>8028</v>
      </c>
    </row>
    <row r="637" ht="15.75" hidden="1" customHeight="1">
      <c r="A637" s="9" t="s">
        <v>39943</v>
      </c>
      <c r="B637" s="9" t="s">
        <v>16145</v>
      </c>
      <c r="D637" s="9" t="s">
        <v>12230</v>
      </c>
      <c r="F637" s="9" t="s">
        <v>39944</v>
      </c>
      <c r="G637" s="9" t="s">
        <v>38808</v>
      </c>
      <c r="H637" s="127">
        <v>44781.0</v>
      </c>
      <c r="I637" s="9" t="s">
        <v>47</v>
      </c>
      <c r="J637" s="9" t="s">
        <v>38801</v>
      </c>
      <c r="K637" s="55">
        <v>44781.0</v>
      </c>
      <c r="M637" s="9" t="s">
        <v>10498</v>
      </c>
    </row>
    <row r="638" ht="15.75" hidden="1" customHeight="1">
      <c r="A638" s="9" t="s">
        <v>39945</v>
      </c>
      <c r="B638" s="9" t="s">
        <v>18454</v>
      </c>
      <c r="D638" s="9" t="s">
        <v>12230</v>
      </c>
      <c r="F638" s="9" t="s">
        <v>39946</v>
      </c>
      <c r="G638" s="9" t="s">
        <v>38808</v>
      </c>
      <c r="H638" s="127">
        <v>44781.0</v>
      </c>
      <c r="I638" s="9" t="s">
        <v>47</v>
      </c>
      <c r="J638" s="9" t="s">
        <v>38801</v>
      </c>
      <c r="K638" s="55">
        <v>44781.0</v>
      </c>
      <c r="M638" s="9" t="s">
        <v>4952</v>
      </c>
    </row>
    <row r="639" ht="15.75" hidden="1" customHeight="1">
      <c r="A639" s="9" t="s">
        <v>39947</v>
      </c>
      <c r="B639" s="9" t="s">
        <v>14489</v>
      </c>
      <c r="D639" s="9" t="s">
        <v>12230</v>
      </c>
      <c r="F639" s="9" t="s">
        <v>39948</v>
      </c>
      <c r="G639" s="9" t="s">
        <v>38808</v>
      </c>
      <c r="H639" s="127">
        <v>44782.0</v>
      </c>
      <c r="I639" s="9" t="s">
        <v>131</v>
      </c>
      <c r="J639" s="9" t="s">
        <v>38801</v>
      </c>
      <c r="K639" s="55">
        <v>44784.0</v>
      </c>
      <c r="M639" s="9" t="s">
        <v>3552</v>
      </c>
    </row>
    <row r="640" ht="15.75" hidden="1" customHeight="1">
      <c r="A640" s="9" t="s">
        <v>39949</v>
      </c>
      <c r="B640" s="9" t="s">
        <v>13829</v>
      </c>
      <c r="D640" s="9" t="s">
        <v>12230</v>
      </c>
      <c r="F640" s="9" t="s">
        <v>39950</v>
      </c>
      <c r="G640" s="9" t="s">
        <v>38808</v>
      </c>
      <c r="H640" s="127">
        <v>44785.0</v>
      </c>
      <c r="I640" s="9" t="s">
        <v>131</v>
      </c>
      <c r="J640" s="9" t="s">
        <v>38801</v>
      </c>
      <c r="K640" s="55">
        <v>45537.0</v>
      </c>
      <c r="M640" s="9" t="s">
        <v>8817</v>
      </c>
    </row>
    <row r="641" ht="15.75" hidden="1" customHeight="1">
      <c r="A641" s="9" t="s">
        <v>39951</v>
      </c>
      <c r="B641" s="9" t="s">
        <v>15991</v>
      </c>
      <c r="D641" s="9" t="s">
        <v>12236</v>
      </c>
      <c r="F641" s="9" t="s">
        <v>39952</v>
      </c>
      <c r="G641" s="9" t="s">
        <v>38946</v>
      </c>
      <c r="H641" s="127">
        <v>44785.0</v>
      </c>
      <c r="I641" s="9" t="s">
        <v>52</v>
      </c>
      <c r="J641" s="9" t="s">
        <v>38801</v>
      </c>
      <c r="K641" s="60">
        <v>44853.0</v>
      </c>
      <c r="M641" s="9" t="s">
        <v>10225</v>
      </c>
    </row>
    <row r="642" ht="15.75" hidden="1" customHeight="1">
      <c r="A642" s="9" t="s">
        <v>39953</v>
      </c>
      <c r="B642" s="9" t="s">
        <v>15327</v>
      </c>
      <c r="D642" s="9" t="s">
        <v>12230</v>
      </c>
      <c r="F642" s="9" t="s">
        <v>39954</v>
      </c>
      <c r="G642" s="9" t="s">
        <v>38808</v>
      </c>
      <c r="H642" s="127">
        <v>44785.0</v>
      </c>
      <c r="I642" s="9" t="s">
        <v>131</v>
      </c>
      <c r="J642" s="9" t="s">
        <v>38801</v>
      </c>
      <c r="K642" s="60">
        <v>44845.0</v>
      </c>
      <c r="M642" s="9" t="s">
        <v>10535</v>
      </c>
    </row>
    <row r="643" ht="15.75" hidden="1" customHeight="1">
      <c r="A643" s="9" t="s">
        <v>39955</v>
      </c>
      <c r="B643" s="9" t="s">
        <v>15327</v>
      </c>
      <c r="D643" s="9" t="s">
        <v>12230</v>
      </c>
      <c r="F643" s="9" t="s">
        <v>39956</v>
      </c>
      <c r="G643" s="9" t="s">
        <v>38808</v>
      </c>
      <c r="H643" s="127">
        <v>44785.0</v>
      </c>
      <c r="I643" s="9" t="s">
        <v>131</v>
      </c>
      <c r="J643" s="9" t="s">
        <v>38801</v>
      </c>
      <c r="K643" s="60">
        <v>44845.0</v>
      </c>
      <c r="M643" s="9" t="s">
        <v>11949</v>
      </c>
    </row>
    <row r="644" ht="15.75" hidden="1" customHeight="1">
      <c r="A644" s="9" t="s">
        <v>39957</v>
      </c>
      <c r="B644" s="9" t="s">
        <v>19285</v>
      </c>
      <c r="D644" s="9" t="s">
        <v>12250</v>
      </c>
      <c r="F644" s="9" t="s">
        <v>39958</v>
      </c>
      <c r="G644" s="9" t="s">
        <v>38946</v>
      </c>
      <c r="H644" s="127">
        <v>44790.0</v>
      </c>
      <c r="I644" s="9" t="s">
        <v>131</v>
      </c>
      <c r="J644" s="9" t="s">
        <v>38801</v>
      </c>
      <c r="K644" s="55">
        <v>44790.0</v>
      </c>
      <c r="M644" s="9" t="s">
        <v>7631</v>
      </c>
    </row>
    <row r="645" ht="15.75" hidden="1" customHeight="1">
      <c r="A645" s="9" t="s">
        <v>39959</v>
      </c>
      <c r="B645" s="9" t="s">
        <v>19285</v>
      </c>
      <c r="D645" s="9" t="s">
        <v>12250</v>
      </c>
      <c r="F645" s="9" t="s">
        <v>39958</v>
      </c>
      <c r="G645" s="9" t="s">
        <v>38808</v>
      </c>
      <c r="H645" s="127">
        <v>44790.0</v>
      </c>
      <c r="I645" s="9" t="s">
        <v>131</v>
      </c>
      <c r="J645" s="9" t="s">
        <v>38801</v>
      </c>
      <c r="K645" s="55">
        <v>44790.0</v>
      </c>
      <c r="M645" s="9" t="s">
        <v>3009</v>
      </c>
    </row>
    <row r="646" ht="15.75" hidden="1" customHeight="1">
      <c r="A646" s="9" t="s">
        <v>39960</v>
      </c>
      <c r="B646" s="9" t="s">
        <v>19285</v>
      </c>
      <c r="D646" s="9" t="s">
        <v>12250</v>
      </c>
      <c r="F646" s="9" t="s">
        <v>39958</v>
      </c>
      <c r="G646" s="9" t="s">
        <v>38808</v>
      </c>
      <c r="H646" s="127">
        <v>44790.0</v>
      </c>
      <c r="I646" s="9" t="s">
        <v>131</v>
      </c>
      <c r="J646" s="9" t="s">
        <v>38801</v>
      </c>
      <c r="K646" s="55">
        <v>44790.0</v>
      </c>
      <c r="M646" s="9" t="s">
        <v>2994</v>
      </c>
    </row>
    <row r="647" ht="15.75" hidden="1" customHeight="1">
      <c r="A647" s="9" t="s">
        <v>39961</v>
      </c>
      <c r="B647" s="9" t="s">
        <v>19285</v>
      </c>
      <c r="D647" s="9" t="s">
        <v>12250</v>
      </c>
      <c r="F647" s="9" t="s">
        <v>39958</v>
      </c>
      <c r="G647" s="9" t="s">
        <v>38808</v>
      </c>
      <c r="H647" s="127">
        <v>44790.0</v>
      </c>
      <c r="I647" s="9" t="s">
        <v>131</v>
      </c>
      <c r="J647" s="9" t="s">
        <v>38801</v>
      </c>
      <c r="K647" s="55">
        <v>44790.0</v>
      </c>
      <c r="M647" s="9" t="s">
        <v>3018</v>
      </c>
    </row>
    <row r="648" ht="15.75" hidden="1" customHeight="1">
      <c r="A648" s="9" t="s">
        <v>39962</v>
      </c>
      <c r="B648" s="9" t="s">
        <v>13984</v>
      </c>
      <c r="D648" s="9" t="s">
        <v>12230</v>
      </c>
      <c r="F648" s="9" t="s">
        <v>39963</v>
      </c>
      <c r="G648" s="9" t="s">
        <v>38808</v>
      </c>
      <c r="H648" s="127">
        <v>44796.0</v>
      </c>
      <c r="I648" s="9" t="s">
        <v>47</v>
      </c>
      <c r="J648" s="9" t="s">
        <v>38801</v>
      </c>
      <c r="K648" s="55">
        <v>45537.0</v>
      </c>
      <c r="M648" s="9" t="s">
        <v>9530</v>
      </c>
    </row>
    <row r="649" ht="15.75" hidden="1" customHeight="1">
      <c r="A649" s="9" t="s">
        <v>39964</v>
      </c>
      <c r="B649" s="9" t="s">
        <v>13038</v>
      </c>
      <c r="D649" s="9" t="s">
        <v>12252</v>
      </c>
      <c r="F649" s="9" t="s">
        <v>39965</v>
      </c>
      <c r="G649" s="9" t="s">
        <v>38808</v>
      </c>
      <c r="H649" s="127">
        <v>44798.0</v>
      </c>
      <c r="I649" s="9" t="s">
        <v>47</v>
      </c>
      <c r="J649" s="9" t="s">
        <v>38801</v>
      </c>
      <c r="K649" s="55">
        <v>46099.0</v>
      </c>
      <c r="M649" s="9" t="s">
        <v>10310</v>
      </c>
    </row>
    <row r="650" ht="15.75" hidden="1" customHeight="1">
      <c r="A650" s="9" t="s">
        <v>39966</v>
      </c>
      <c r="B650" s="9" t="s">
        <v>13038</v>
      </c>
      <c r="D650" s="9" t="s">
        <v>12230</v>
      </c>
      <c r="F650" s="9" t="s">
        <v>39967</v>
      </c>
      <c r="G650" s="9" t="s">
        <v>38808</v>
      </c>
      <c r="H650" s="127">
        <v>44798.0</v>
      </c>
      <c r="I650" s="9" t="s">
        <v>47</v>
      </c>
      <c r="J650" s="9" t="s">
        <v>38801</v>
      </c>
      <c r="K650" s="55">
        <v>46099.0</v>
      </c>
      <c r="M650" s="9" t="s">
        <v>10310</v>
      </c>
    </row>
    <row r="651" ht="15.75" hidden="1" customHeight="1">
      <c r="A651" s="9" t="s">
        <v>39968</v>
      </c>
      <c r="B651" s="9" t="s">
        <v>18570</v>
      </c>
      <c r="D651" s="9" t="s">
        <v>12230</v>
      </c>
      <c r="F651" s="9" t="s">
        <v>39969</v>
      </c>
      <c r="G651" s="9" t="s">
        <v>38808</v>
      </c>
      <c r="H651" s="127">
        <v>44798.0</v>
      </c>
      <c r="I651" s="9" t="s">
        <v>131</v>
      </c>
      <c r="J651" s="9" t="s">
        <v>38801</v>
      </c>
      <c r="K651" s="55">
        <v>44798.0</v>
      </c>
      <c r="M651" s="9" t="s">
        <v>10622</v>
      </c>
    </row>
    <row r="652" ht="15.75" hidden="1" customHeight="1">
      <c r="A652" s="9" t="s">
        <v>39970</v>
      </c>
      <c r="B652" s="9" t="s">
        <v>19285</v>
      </c>
      <c r="D652" s="9" t="s">
        <v>12230</v>
      </c>
      <c r="F652" s="9" t="s">
        <v>39971</v>
      </c>
      <c r="G652" s="9" t="s">
        <v>38800</v>
      </c>
      <c r="H652" s="127">
        <v>44798.0</v>
      </c>
      <c r="I652" s="9" t="s">
        <v>131</v>
      </c>
      <c r="J652" s="9" t="s">
        <v>38801</v>
      </c>
      <c r="K652" s="55">
        <v>44798.0</v>
      </c>
      <c r="M652" s="9" t="s">
        <v>2994</v>
      </c>
    </row>
    <row r="653" ht="15.75" hidden="1" customHeight="1">
      <c r="A653" s="9" t="s">
        <v>39972</v>
      </c>
      <c r="B653" s="9" t="s">
        <v>13038</v>
      </c>
      <c r="D653" s="9" t="s">
        <v>12236</v>
      </c>
      <c r="F653" s="9" t="s">
        <v>39973</v>
      </c>
      <c r="G653" s="9" t="s">
        <v>38808</v>
      </c>
      <c r="H653" s="127">
        <v>44799.0</v>
      </c>
      <c r="I653" s="9" t="s">
        <v>47</v>
      </c>
      <c r="J653" s="9" t="s">
        <v>38801</v>
      </c>
      <c r="K653" s="60">
        <v>46099.0</v>
      </c>
      <c r="M653" s="9" t="s">
        <v>10310</v>
      </c>
    </row>
    <row r="654" ht="15.75" hidden="1" customHeight="1">
      <c r="A654" s="9" t="s">
        <v>39974</v>
      </c>
      <c r="B654" s="9" t="s">
        <v>13038</v>
      </c>
      <c r="D654" s="9" t="s">
        <v>12239</v>
      </c>
      <c r="F654" s="9" t="s">
        <v>39975</v>
      </c>
      <c r="G654" s="9" t="s">
        <v>38808</v>
      </c>
      <c r="H654" s="127">
        <v>44799.0</v>
      </c>
      <c r="I654" s="9" t="s">
        <v>47</v>
      </c>
      <c r="J654" s="9" t="s">
        <v>38801</v>
      </c>
      <c r="K654" s="60">
        <v>46099.0</v>
      </c>
      <c r="M654" s="9" t="s">
        <v>10310</v>
      </c>
    </row>
    <row r="655" ht="15.75" hidden="1" customHeight="1">
      <c r="A655" s="9" t="s">
        <v>39976</v>
      </c>
      <c r="B655" s="9" t="s">
        <v>18509</v>
      </c>
      <c r="D655" s="9" t="s">
        <v>12239</v>
      </c>
      <c r="F655" s="9" t="s">
        <v>39977</v>
      </c>
      <c r="G655" s="9" t="s">
        <v>38808</v>
      </c>
      <c r="H655" s="127">
        <v>44799.0</v>
      </c>
      <c r="I655" s="9" t="s">
        <v>47</v>
      </c>
      <c r="J655" s="9" t="s">
        <v>38801</v>
      </c>
      <c r="K655" s="60">
        <v>44845.0</v>
      </c>
      <c r="M655" s="9" t="s">
        <v>11623</v>
      </c>
    </row>
    <row r="656" ht="15.75" hidden="1" customHeight="1">
      <c r="A656" s="9" t="s">
        <v>39978</v>
      </c>
      <c r="B656" s="9" t="s">
        <v>19257</v>
      </c>
      <c r="D656" s="9" t="s">
        <v>12248</v>
      </c>
      <c r="F656" s="9" t="s">
        <v>39979</v>
      </c>
      <c r="G656" s="9" t="s">
        <v>38808</v>
      </c>
      <c r="H656" s="127">
        <v>44802.0</v>
      </c>
      <c r="I656" s="9" t="s">
        <v>131</v>
      </c>
      <c r="J656" s="9" t="s">
        <v>38801</v>
      </c>
      <c r="K656" s="55">
        <v>45411.0</v>
      </c>
      <c r="M656" s="9" t="s">
        <v>9383</v>
      </c>
    </row>
    <row r="657" ht="15.75" hidden="1" customHeight="1">
      <c r="A657" s="9" t="s">
        <v>39980</v>
      </c>
      <c r="B657" s="9" t="s">
        <v>19396</v>
      </c>
      <c r="D657" s="9" t="s">
        <v>12230</v>
      </c>
      <c r="F657" s="9" t="s">
        <v>39981</v>
      </c>
      <c r="G657" s="9" t="s">
        <v>38808</v>
      </c>
      <c r="H657" s="127">
        <v>44802.0</v>
      </c>
      <c r="I657" s="9" t="s">
        <v>131</v>
      </c>
      <c r="J657" s="9" t="s">
        <v>38801</v>
      </c>
      <c r="K657" s="55">
        <v>44802.0</v>
      </c>
      <c r="M657" s="9" t="s">
        <v>11774</v>
      </c>
    </row>
    <row r="658" ht="15.75" hidden="1" customHeight="1">
      <c r="A658" s="9" t="s">
        <v>39982</v>
      </c>
      <c r="B658" s="9" t="s">
        <v>26158</v>
      </c>
      <c r="D658" s="9" t="s">
        <v>12250</v>
      </c>
      <c r="F658" s="9" t="s">
        <v>39983</v>
      </c>
      <c r="G658" s="9" t="s">
        <v>38808</v>
      </c>
      <c r="H658" s="127">
        <v>44803.0</v>
      </c>
      <c r="I658" s="9" t="s">
        <v>47</v>
      </c>
      <c r="J658" s="9" t="s">
        <v>38801</v>
      </c>
      <c r="K658" s="60">
        <v>44875.0</v>
      </c>
      <c r="M658" s="9" t="s">
        <v>11864</v>
      </c>
    </row>
    <row r="659" ht="15.75" hidden="1" customHeight="1">
      <c r="A659" s="9" t="s">
        <v>39984</v>
      </c>
      <c r="B659" s="9" t="s">
        <v>16145</v>
      </c>
      <c r="D659" s="9" t="s">
        <v>12250</v>
      </c>
      <c r="F659" s="9" t="s">
        <v>39985</v>
      </c>
      <c r="G659" s="9" t="s">
        <v>38808</v>
      </c>
      <c r="H659" s="127">
        <v>44803.0</v>
      </c>
      <c r="I659" s="9" t="s">
        <v>47</v>
      </c>
      <c r="J659" s="9" t="s">
        <v>38801</v>
      </c>
      <c r="K659" s="60">
        <v>44875.0</v>
      </c>
      <c r="M659" s="9" t="s">
        <v>10498</v>
      </c>
    </row>
    <row r="660" ht="15.75" hidden="1" customHeight="1">
      <c r="A660" s="9" t="s">
        <v>39986</v>
      </c>
      <c r="B660" s="9" t="s">
        <v>19257</v>
      </c>
      <c r="D660" s="9" t="s">
        <v>12230</v>
      </c>
      <c r="F660" s="9" t="s">
        <v>39987</v>
      </c>
      <c r="G660" s="9" t="s">
        <v>38808</v>
      </c>
      <c r="H660" s="127">
        <v>44804.0</v>
      </c>
      <c r="I660" s="9" t="s">
        <v>47</v>
      </c>
      <c r="J660" s="9" t="s">
        <v>38801</v>
      </c>
      <c r="K660" s="55">
        <v>45411.0</v>
      </c>
      <c r="M660" s="9" t="s">
        <v>9383</v>
      </c>
    </row>
    <row r="661" ht="15.75" hidden="1" customHeight="1">
      <c r="A661" s="9" t="s">
        <v>39988</v>
      </c>
      <c r="B661" s="9" t="s">
        <v>15327</v>
      </c>
      <c r="D661" s="9" t="s">
        <v>12252</v>
      </c>
      <c r="F661" s="9" t="s">
        <v>39989</v>
      </c>
      <c r="G661" s="9" t="s">
        <v>38808</v>
      </c>
      <c r="H661" s="127">
        <v>44804.0</v>
      </c>
      <c r="I661" s="9" t="s">
        <v>131</v>
      </c>
      <c r="J661" s="9" t="s">
        <v>38801</v>
      </c>
      <c r="K661" s="60">
        <v>44875.0</v>
      </c>
      <c r="M661" s="9" t="s">
        <v>10535</v>
      </c>
    </row>
    <row r="662" ht="15.75" hidden="1" customHeight="1">
      <c r="A662" s="9" t="s">
        <v>39990</v>
      </c>
      <c r="B662" s="9" t="s">
        <v>15327</v>
      </c>
      <c r="D662" s="9" t="s">
        <v>12252</v>
      </c>
      <c r="F662" s="9" t="s">
        <v>39989</v>
      </c>
      <c r="G662" s="9" t="s">
        <v>38808</v>
      </c>
      <c r="H662" s="127">
        <v>44804.0</v>
      </c>
      <c r="I662" s="9" t="s">
        <v>131</v>
      </c>
      <c r="J662" s="9" t="s">
        <v>38801</v>
      </c>
      <c r="K662" s="60">
        <v>44875.0</v>
      </c>
      <c r="M662" s="9" t="s">
        <v>11949</v>
      </c>
    </row>
    <row r="663" ht="15.75" hidden="1" customHeight="1">
      <c r="A663" s="9" t="s">
        <v>39991</v>
      </c>
      <c r="B663" s="9" t="s">
        <v>18814</v>
      </c>
      <c r="D663" s="9" t="s">
        <v>12230</v>
      </c>
      <c r="F663" s="9" t="s">
        <v>39954</v>
      </c>
      <c r="G663" s="9" t="s">
        <v>38808</v>
      </c>
      <c r="H663" s="127">
        <v>44804.0</v>
      </c>
      <c r="I663" s="9" t="s">
        <v>131</v>
      </c>
      <c r="J663" s="9" t="s">
        <v>38801</v>
      </c>
      <c r="K663" s="55">
        <v>44813.0</v>
      </c>
      <c r="M663" s="9" t="s">
        <v>11947</v>
      </c>
    </row>
    <row r="664" ht="15.75" hidden="1" customHeight="1">
      <c r="A664" s="9" t="s">
        <v>39992</v>
      </c>
      <c r="B664" s="9" t="s">
        <v>18814</v>
      </c>
      <c r="D664" s="9" t="s">
        <v>12252</v>
      </c>
      <c r="F664" s="9" t="s">
        <v>39989</v>
      </c>
      <c r="G664" s="9" t="s">
        <v>38808</v>
      </c>
      <c r="H664" s="127">
        <v>44804.0</v>
      </c>
      <c r="I664" s="9" t="s">
        <v>131</v>
      </c>
      <c r="J664" s="9" t="s">
        <v>38801</v>
      </c>
      <c r="K664" s="55">
        <v>44811.0</v>
      </c>
      <c r="M664" s="9" t="s">
        <v>11947</v>
      </c>
    </row>
    <row r="665" ht="15.75" hidden="1" customHeight="1">
      <c r="A665" s="9" t="s">
        <v>39993</v>
      </c>
      <c r="B665" s="9" t="s">
        <v>20819</v>
      </c>
      <c r="D665" s="9" t="s">
        <v>12230</v>
      </c>
      <c r="F665" s="9" t="s">
        <v>39994</v>
      </c>
      <c r="G665" s="9" t="s">
        <v>38808</v>
      </c>
      <c r="H665" s="127">
        <v>44806.0</v>
      </c>
      <c r="I665" s="9" t="s">
        <v>131</v>
      </c>
      <c r="J665" s="9" t="s">
        <v>38801</v>
      </c>
      <c r="K665" s="55">
        <v>44806.0</v>
      </c>
      <c r="M665" s="9" t="s">
        <v>8795</v>
      </c>
    </row>
    <row r="666" ht="15.75" hidden="1" customHeight="1">
      <c r="A666" s="9" t="s">
        <v>39995</v>
      </c>
      <c r="B666" s="9" t="s">
        <v>20950</v>
      </c>
      <c r="D666" s="9" t="s">
        <v>12230</v>
      </c>
      <c r="F666" s="9" t="s">
        <v>39996</v>
      </c>
      <c r="G666" s="9" t="s">
        <v>38808</v>
      </c>
      <c r="H666" s="127">
        <v>44806.0</v>
      </c>
      <c r="I666" s="9" t="s">
        <v>131</v>
      </c>
      <c r="J666" s="9" t="s">
        <v>38801</v>
      </c>
      <c r="K666" s="55">
        <v>44806.0</v>
      </c>
      <c r="M666" s="9" t="s">
        <v>9688</v>
      </c>
    </row>
    <row r="667" ht="15.75" hidden="1" customHeight="1">
      <c r="A667" s="9" t="s">
        <v>39997</v>
      </c>
      <c r="B667" s="9" t="s">
        <v>15425</v>
      </c>
      <c r="D667" s="9" t="s">
        <v>12230</v>
      </c>
      <c r="F667" s="9" t="s">
        <v>39998</v>
      </c>
      <c r="G667" s="9" t="s">
        <v>38808</v>
      </c>
      <c r="H667" s="127">
        <v>44806.0</v>
      </c>
      <c r="I667" s="9" t="s">
        <v>131</v>
      </c>
      <c r="J667" s="9" t="s">
        <v>38801</v>
      </c>
      <c r="K667" s="55">
        <v>44806.0</v>
      </c>
      <c r="M667" s="9" t="s">
        <v>8166</v>
      </c>
    </row>
    <row r="668" ht="15.75" hidden="1" customHeight="1">
      <c r="A668" s="9" t="s">
        <v>39999</v>
      </c>
      <c r="B668" s="9" t="s">
        <v>15425</v>
      </c>
      <c r="D668" s="9" t="s">
        <v>12246</v>
      </c>
      <c r="F668" s="9" t="s">
        <v>40000</v>
      </c>
      <c r="G668" s="9" t="s">
        <v>38808</v>
      </c>
      <c r="H668" s="127">
        <v>44806.0</v>
      </c>
      <c r="I668" s="9" t="s">
        <v>131</v>
      </c>
      <c r="J668" s="9" t="s">
        <v>38801</v>
      </c>
      <c r="K668" s="55">
        <v>44806.0</v>
      </c>
      <c r="M668" s="9" t="s">
        <v>8166</v>
      </c>
    </row>
    <row r="669" ht="15.75" hidden="1" customHeight="1">
      <c r="A669" s="9" t="s">
        <v>40001</v>
      </c>
      <c r="B669" s="9" t="s">
        <v>15991</v>
      </c>
      <c r="D669" s="9" t="s">
        <v>12230</v>
      </c>
      <c r="F669" s="9" t="s">
        <v>40002</v>
      </c>
      <c r="G669" s="9" t="s">
        <v>38808</v>
      </c>
      <c r="H669" s="127">
        <v>44806.0</v>
      </c>
      <c r="I669" s="9" t="s">
        <v>47</v>
      </c>
      <c r="J669" s="9" t="s">
        <v>38801</v>
      </c>
      <c r="K669" s="55">
        <v>44806.0</v>
      </c>
      <c r="M669" s="9" t="s">
        <v>10225</v>
      </c>
    </row>
    <row r="670" ht="15.75" hidden="1" customHeight="1">
      <c r="A670" s="9" t="s">
        <v>40003</v>
      </c>
      <c r="B670" s="9" t="s">
        <v>16909</v>
      </c>
      <c r="D670" s="9" t="s">
        <v>12230</v>
      </c>
      <c r="F670" s="9" t="s">
        <v>40004</v>
      </c>
      <c r="G670" s="9" t="s">
        <v>38808</v>
      </c>
      <c r="H670" s="127">
        <v>44806.0</v>
      </c>
      <c r="I670" s="9" t="s">
        <v>131</v>
      </c>
      <c r="J670" s="9" t="s">
        <v>38801</v>
      </c>
      <c r="K670" s="55">
        <v>44806.0</v>
      </c>
      <c r="M670" s="9" t="s">
        <v>10719</v>
      </c>
    </row>
    <row r="671" ht="15.75" hidden="1" customHeight="1">
      <c r="A671" s="9" t="s">
        <v>40005</v>
      </c>
      <c r="B671" s="9" t="s">
        <v>15940</v>
      </c>
      <c r="D671" s="9" t="s">
        <v>12230</v>
      </c>
      <c r="F671" s="9" t="s">
        <v>40006</v>
      </c>
      <c r="G671" s="9" t="s">
        <v>38946</v>
      </c>
      <c r="H671" s="127">
        <v>44809.0</v>
      </c>
      <c r="I671" s="9" t="s">
        <v>52</v>
      </c>
      <c r="J671" s="9" t="s">
        <v>38801</v>
      </c>
      <c r="K671" s="55">
        <v>44827.0</v>
      </c>
      <c r="M671" s="9" t="s">
        <v>268</v>
      </c>
    </row>
    <row r="672" ht="15.75" hidden="1" customHeight="1">
      <c r="A672" s="9" t="s">
        <v>40007</v>
      </c>
      <c r="B672" s="9" t="s">
        <v>18454</v>
      </c>
      <c r="D672" s="9" t="s">
        <v>12250</v>
      </c>
      <c r="F672" s="9" t="s">
        <v>40008</v>
      </c>
      <c r="G672" s="9" t="s">
        <v>38946</v>
      </c>
      <c r="H672" s="127">
        <v>44809.0</v>
      </c>
      <c r="I672" s="9" t="s">
        <v>131</v>
      </c>
      <c r="J672" s="9" t="s">
        <v>38801</v>
      </c>
      <c r="K672" s="55">
        <v>44813.0</v>
      </c>
      <c r="M672" s="9" t="s">
        <v>4952</v>
      </c>
    </row>
    <row r="673" ht="15.75" hidden="1" customHeight="1">
      <c r="A673" s="9" t="s">
        <v>40009</v>
      </c>
      <c r="B673" s="9" t="s">
        <v>14175</v>
      </c>
      <c r="D673" s="9" t="s">
        <v>12230</v>
      </c>
      <c r="F673" s="9" t="s">
        <v>39954</v>
      </c>
      <c r="G673" s="9" t="s">
        <v>38946</v>
      </c>
      <c r="H673" s="127">
        <v>44809.0</v>
      </c>
      <c r="I673" s="9" t="s">
        <v>131</v>
      </c>
      <c r="J673" s="9" t="s">
        <v>38801</v>
      </c>
      <c r="K673" s="55">
        <v>44811.0</v>
      </c>
      <c r="M673" s="9" t="s">
        <v>10384</v>
      </c>
    </row>
    <row r="674" ht="15.75" hidden="1" customHeight="1">
      <c r="A674" s="9" t="s">
        <v>40010</v>
      </c>
      <c r="B674" s="9" t="s">
        <v>18454</v>
      </c>
      <c r="D674" s="9" t="s">
        <v>12230</v>
      </c>
      <c r="F674" s="9" t="s">
        <v>40011</v>
      </c>
      <c r="G674" s="9" t="s">
        <v>38946</v>
      </c>
      <c r="H674" s="127">
        <v>44809.0</v>
      </c>
      <c r="I674" s="9" t="s">
        <v>131</v>
      </c>
      <c r="J674" s="9" t="s">
        <v>38801</v>
      </c>
      <c r="K674" s="55">
        <v>44809.0</v>
      </c>
      <c r="M674" s="9" t="s">
        <v>4952</v>
      </c>
    </row>
    <row r="675" ht="15.75" customHeight="1">
      <c r="A675" s="9" t="s">
        <v>40012</v>
      </c>
      <c r="B675" s="9" t="s">
        <v>15729</v>
      </c>
      <c r="D675" s="9" t="s">
        <v>12227</v>
      </c>
      <c r="E675" s="9" t="s">
        <v>39265</v>
      </c>
      <c r="F675" s="9" t="s">
        <v>40013</v>
      </c>
      <c r="G675" s="9" t="s">
        <v>38800</v>
      </c>
      <c r="H675" s="127">
        <v>44809.0</v>
      </c>
      <c r="I675" s="9" t="s">
        <v>131</v>
      </c>
      <c r="J675" s="9" t="s">
        <v>38805</v>
      </c>
      <c r="M675" s="9" t="s">
        <v>1814</v>
      </c>
    </row>
    <row r="676" ht="15.75" hidden="1" customHeight="1">
      <c r="A676" s="9" t="s">
        <v>40014</v>
      </c>
      <c r="B676" s="9" t="s">
        <v>13984</v>
      </c>
      <c r="D676" s="9" t="s">
        <v>12230</v>
      </c>
      <c r="F676" s="9" t="s">
        <v>40015</v>
      </c>
      <c r="G676" s="9" t="s">
        <v>38808</v>
      </c>
      <c r="H676" s="127">
        <v>44810.0</v>
      </c>
      <c r="I676" s="9" t="s">
        <v>131</v>
      </c>
      <c r="J676" s="9" t="s">
        <v>38801</v>
      </c>
      <c r="K676" s="55">
        <v>45537.0</v>
      </c>
      <c r="M676" s="9" t="s">
        <v>9530</v>
      </c>
    </row>
    <row r="677" ht="15.75" hidden="1" customHeight="1">
      <c r="A677" s="9" t="s">
        <v>40016</v>
      </c>
      <c r="B677" s="9" t="s">
        <v>18454</v>
      </c>
      <c r="D677" s="9" t="s">
        <v>12230</v>
      </c>
      <c r="F677" s="9" t="s">
        <v>39334</v>
      </c>
      <c r="G677" s="9" t="s">
        <v>38808</v>
      </c>
      <c r="H677" s="127">
        <v>44811.0</v>
      </c>
      <c r="I677" s="9" t="s">
        <v>47</v>
      </c>
      <c r="J677" s="9" t="s">
        <v>38801</v>
      </c>
      <c r="K677" s="55">
        <v>44811.0</v>
      </c>
      <c r="M677" s="9" t="s">
        <v>4952</v>
      </c>
    </row>
    <row r="678" ht="15.75" hidden="1" customHeight="1">
      <c r="A678" s="9" t="s">
        <v>40017</v>
      </c>
      <c r="B678" s="9" t="s">
        <v>18454</v>
      </c>
      <c r="D678" s="9" t="s">
        <v>12239</v>
      </c>
      <c r="F678" s="9" t="s">
        <v>40018</v>
      </c>
      <c r="G678" s="9" t="s">
        <v>38946</v>
      </c>
      <c r="H678" s="127">
        <v>44813.0</v>
      </c>
      <c r="I678" s="9" t="s">
        <v>47</v>
      </c>
      <c r="J678" s="9" t="s">
        <v>38801</v>
      </c>
      <c r="K678" s="60">
        <v>44875.0</v>
      </c>
      <c r="M678" s="9" t="s">
        <v>4952</v>
      </c>
    </row>
    <row r="679" ht="15.75" hidden="1" customHeight="1">
      <c r="A679" s="9" t="s">
        <v>40019</v>
      </c>
      <c r="B679" s="9" t="s">
        <v>18454</v>
      </c>
      <c r="D679" s="9" t="s">
        <v>12242</v>
      </c>
      <c r="F679" s="9" t="s">
        <v>40020</v>
      </c>
      <c r="G679" s="9" t="s">
        <v>38808</v>
      </c>
      <c r="H679" s="127">
        <v>44813.0</v>
      </c>
      <c r="I679" s="9" t="s">
        <v>47</v>
      </c>
      <c r="J679" s="9" t="s">
        <v>38801</v>
      </c>
      <c r="K679" s="60">
        <v>44875.0</v>
      </c>
      <c r="M679" s="9" t="s">
        <v>4935</v>
      </c>
    </row>
    <row r="680" ht="15.75" hidden="1" customHeight="1">
      <c r="A680" s="9" t="s">
        <v>40021</v>
      </c>
      <c r="B680" s="9" t="s">
        <v>18454</v>
      </c>
      <c r="D680" s="9" t="s">
        <v>12240</v>
      </c>
      <c r="F680" s="9" t="s">
        <v>40022</v>
      </c>
      <c r="G680" s="9" t="s">
        <v>38946</v>
      </c>
      <c r="H680" s="127">
        <v>44813.0</v>
      </c>
      <c r="I680" s="9" t="s">
        <v>47</v>
      </c>
      <c r="J680" s="9" t="s">
        <v>38801</v>
      </c>
      <c r="K680" s="55">
        <v>44874.0</v>
      </c>
      <c r="M680" s="9" t="s">
        <v>4952</v>
      </c>
    </row>
    <row r="681" ht="15.75" hidden="1" customHeight="1">
      <c r="A681" s="9" t="s">
        <v>40023</v>
      </c>
      <c r="B681" s="9" t="s">
        <v>18454</v>
      </c>
      <c r="D681" s="9" t="s">
        <v>12258</v>
      </c>
      <c r="F681" s="9" t="s">
        <v>40024</v>
      </c>
      <c r="G681" s="9" t="s">
        <v>38946</v>
      </c>
      <c r="H681" s="127">
        <v>44813.0</v>
      </c>
      <c r="I681" s="9" t="s">
        <v>47</v>
      </c>
      <c r="J681" s="9" t="s">
        <v>38801</v>
      </c>
      <c r="K681" s="55">
        <v>44819.0</v>
      </c>
      <c r="M681" s="9" t="s">
        <v>4952</v>
      </c>
    </row>
    <row r="682" ht="15.75" hidden="1" customHeight="1">
      <c r="A682" s="9" t="s">
        <v>40025</v>
      </c>
      <c r="B682" s="9" t="s">
        <v>18454</v>
      </c>
      <c r="D682" s="9" t="s">
        <v>12236</v>
      </c>
      <c r="F682" s="9" t="s">
        <v>40026</v>
      </c>
      <c r="G682" s="9" t="s">
        <v>38808</v>
      </c>
      <c r="H682" s="127">
        <v>44813.0</v>
      </c>
      <c r="I682" s="9" t="s">
        <v>47</v>
      </c>
      <c r="J682" s="9" t="s">
        <v>38801</v>
      </c>
      <c r="K682" s="55">
        <v>44816.0</v>
      </c>
      <c r="M682" s="9" t="s">
        <v>4952</v>
      </c>
    </row>
    <row r="683" ht="15.75" hidden="1" customHeight="1">
      <c r="A683" s="52" t="s">
        <v>40027</v>
      </c>
      <c r="B683" s="9" t="s">
        <v>18454</v>
      </c>
      <c r="D683" s="9" t="s">
        <v>12236</v>
      </c>
      <c r="F683" s="9" t="s">
        <v>40028</v>
      </c>
      <c r="G683" s="9" t="s">
        <v>38808</v>
      </c>
      <c r="H683" s="127">
        <v>44813.0</v>
      </c>
      <c r="I683" s="9" t="s">
        <v>47</v>
      </c>
      <c r="J683" s="9" t="s">
        <v>38801</v>
      </c>
      <c r="K683" s="55">
        <v>44816.0</v>
      </c>
      <c r="M683" s="9" t="s">
        <v>4935</v>
      </c>
    </row>
    <row r="684" ht="15.75" hidden="1" customHeight="1">
      <c r="A684" s="9" t="s">
        <v>40029</v>
      </c>
      <c r="B684" s="9" t="s">
        <v>18454</v>
      </c>
      <c r="D684" s="9" t="s">
        <v>12230</v>
      </c>
      <c r="F684" s="9" t="s">
        <v>40030</v>
      </c>
      <c r="G684" s="9" t="s">
        <v>38946</v>
      </c>
      <c r="H684" s="127">
        <v>44813.0</v>
      </c>
      <c r="I684" s="9" t="s">
        <v>47</v>
      </c>
      <c r="J684" s="9" t="s">
        <v>38801</v>
      </c>
      <c r="K684" s="55">
        <v>44813.0</v>
      </c>
      <c r="M684" s="9" t="s">
        <v>4935</v>
      </c>
    </row>
    <row r="685" ht="15.75" hidden="1" customHeight="1">
      <c r="A685" s="9" t="s">
        <v>40031</v>
      </c>
      <c r="B685" s="9" t="s">
        <v>19075</v>
      </c>
      <c r="D685" s="9" t="s">
        <v>12248</v>
      </c>
      <c r="F685" s="9" t="s">
        <v>40032</v>
      </c>
      <c r="G685" s="9" t="s">
        <v>38808</v>
      </c>
      <c r="H685" s="127">
        <v>44816.0</v>
      </c>
      <c r="I685" s="9" t="s">
        <v>131</v>
      </c>
      <c r="J685" s="9" t="s">
        <v>38801</v>
      </c>
      <c r="K685" s="55">
        <v>45411.0</v>
      </c>
      <c r="M685" s="9" t="s">
        <v>9819</v>
      </c>
    </row>
    <row r="686" ht="15.75" hidden="1" customHeight="1">
      <c r="A686" s="9" t="s">
        <v>40033</v>
      </c>
      <c r="B686" s="9" t="s">
        <v>17900</v>
      </c>
      <c r="D686" s="9" t="s">
        <v>12239</v>
      </c>
      <c r="F686" s="9" t="s">
        <v>40034</v>
      </c>
      <c r="G686" s="9" t="s">
        <v>38946</v>
      </c>
      <c r="H686" s="127">
        <v>44816.0</v>
      </c>
      <c r="I686" s="9" t="s">
        <v>52</v>
      </c>
      <c r="J686" s="9" t="s">
        <v>38801</v>
      </c>
      <c r="K686" s="55">
        <v>44874.0</v>
      </c>
      <c r="M686" s="9" t="s">
        <v>11875</v>
      </c>
    </row>
    <row r="687" ht="15.75" hidden="1" customHeight="1">
      <c r="A687" s="9" t="s">
        <v>40035</v>
      </c>
      <c r="B687" s="9" t="s">
        <v>20785</v>
      </c>
      <c r="D687" s="9" t="s">
        <v>12250</v>
      </c>
      <c r="F687" s="9" t="s">
        <v>40036</v>
      </c>
      <c r="G687" s="9" t="s">
        <v>38808</v>
      </c>
      <c r="H687" s="127">
        <v>44816.0</v>
      </c>
      <c r="I687" s="9" t="s">
        <v>131</v>
      </c>
      <c r="J687" s="9" t="s">
        <v>38801</v>
      </c>
      <c r="K687" s="55">
        <v>44816.0</v>
      </c>
      <c r="M687" s="9" t="s">
        <v>8512</v>
      </c>
    </row>
    <row r="688" ht="15.75" hidden="1" customHeight="1">
      <c r="A688" s="9" t="s">
        <v>40037</v>
      </c>
      <c r="B688" s="9" t="s">
        <v>14299</v>
      </c>
      <c r="D688" s="9" t="s">
        <v>12236</v>
      </c>
      <c r="F688" s="9" t="s">
        <v>40038</v>
      </c>
      <c r="G688" s="9" t="s">
        <v>38808</v>
      </c>
      <c r="H688" s="127">
        <v>44819.0</v>
      </c>
      <c r="I688" s="9" t="s">
        <v>131</v>
      </c>
      <c r="J688" s="9" t="s">
        <v>38801</v>
      </c>
      <c r="K688" s="60">
        <v>44882.0</v>
      </c>
      <c r="M688" s="9" t="s">
        <v>11629</v>
      </c>
    </row>
    <row r="689" ht="15.75" hidden="1" customHeight="1">
      <c r="A689" s="9" t="s">
        <v>40039</v>
      </c>
      <c r="B689" s="9" t="s">
        <v>14299</v>
      </c>
      <c r="D689" s="9" t="s">
        <v>12240</v>
      </c>
      <c r="F689" s="9" t="s">
        <v>40040</v>
      </c>
      <c r="G689" s="9" t="s">
        <v>38946</v>
      </c>
      <c r="H689" s="127">
        <v>44819.0</v>
      </c>
      <c r="I689" s="9" t="s">
        <v>131</v>
      </c>
      <c r="J689" s="9" t="s">
        <v>38801</v>
      </c>
      <c r="K689" s="60">
        <v>44875.0</v>
      </c>
      <c r="M689" s="9" t="s">
        <v>11629</v>
      </c>
    </row>
    <row r="690" ht="15.75" hidden="1" customHeight="1">
      <c r="A690" s="9" t="s">
        <v>40041</v>
      </c>
      <c r="B690" s="9" t="s">
        <v>18390</v>
      </c>
      <c r="D690" s="9" t="s">
        <v>12239</v>
      </c>
      <c r="F690" s="9" t="s">
        <v>40042</v>
      </c>
      <c r="G690" s="9" t="s">
        <v>38946</v>
      </c>
      <c r="H690" s="127">
        <v>44819.0</v>
      </c>
      <c r="I690" s="9" t="s">
        <v>131</v>
      </c>
      <c r="J690" s="9" t="s">
        <v>38801</v>
      </c>
      <c r="K690" s="60">
        <v>44875.0</v>
      </c>
      <c r="M690" s="9" t="s">
        <v>9237</v>
      </c>
    </row>
    <row r="691" ht="15.75" hidden="1" customHeight="1">
      <c r="A691" s="9" t="s">
        <v>40043</v>
      </c>
      <c r="B691" s="9" t="s">
        <v>18390</v>
      </c>
      <c r="D691" s="9" t="s">
        <v>12240</v>
      </c>
      <c r="F691" s="9" t="s">
        <v>40044</v>
      </c>
      <c r="G691" s="9" t="s">
        <v>38946</v>
      </c>
      <c r="H691" s="127">
        <v>44819.0</v>
      </c>
      <c r="I691" s="9" t="s">
        <v>131</v>
      </c>
      <c r="J691" s="9" t="s">
        <v>38801</v>
      </c>
      <c r="K691" s="60">
        <v>44875.0</v>
      </c>
      <c r="M691" s="9" t="s">
        <v>9054</v>
      </c>
    </row>
    <row r="692" ht="15.75" hidden="1" customHeight="1">
      <c r="A692" s="9" t="s">
        <v>40045</v>
      </c>
      <c r="B692" s="9" t="s">
        <v>14299</v>
      </c>
      <c r="D692" s="9" t="s">
        <v>12242</v>
      </c>
      <c r="F692" s="9" t="s">
        <v>40046</v>
      </c>
      <c r="G692" s="9" t="s">
        <v>38808</v>
      </c>
      <c r="H692" s="127">
        <v>44819.0</v>
      </c>
      <c r="I692" s="9" t="s">
        <v>131</v>
      </c>
      <c r="J692" s="9" t="s">
        <v>38801</v>
      </c>
      <c r="K692" s="55">
        <v>44874.0</v>
      </c>
      <c r="M692" s="9" t="s">
        <v>11629</v>
      </c>
    </row>
    <row r="693" ht="15.75" hidden="1" customHeight="1">
      <c r="A693" s="9" t="s">
        <v>40047</v>
      </c>
      <c r="B693" s="9" t="s">
        <v>14299</v>
      </c>
      <c r="D693" s="9" t="s">
        <v>12239</v>
      </c>
      <c r="F693" s="9" t="s">
        <v>40048</v>
      </c>
      <c r="G693" s="9" t="s">
        <v>38946</v>
      </c>
      <c r="H693" s="127">
        <v>44819.0</v>
      </c>
      <c r="I693" s="9" t="s">
        <v>131</v>
      </c>
      <c r="J693" s="9" t="s">
        <v>38801</v>
      </c>
      <c r="K693" s="55">
        <v>44832.0</v>
      </c>
      <c r="M693" s="9" t="s">
        <v>11629</v>
      </c>
    </row>
    <row r="694" ht="15.75" hidden="1" customHeight="1">
      <c r="A694" s="9" t="s">
        <v>40049</v>
      </c>
      <c r="B694" s="9" t="s">
        <v>14299</v>
      </c>
      <c r="D694" s="9" t="s">
        <v>12230</v>
      </c>
      <c r="F694" s="9" t="s">
        <v>40050</v>
      </c>
      <c r="G694" s="9" t="s">
        <v>38946</v>
      </c>
      <c r="H694" s="127">
        <v>44819.0</v>
      </c>
      <c r="I694" s="9" t="s">
        <v>131</v>
      </c>
      <c r="J694" s="9" t="s">
        <v>38801</v>
      </c>
      <c r="K694" s="55">
        <v>44826.0</v>
      </c>
      <c r="M694" s="9" t="s">
        <v>11629</v>
      </c>
    </row>
    <row r="695" ht="15.75" hidden="1" customHeight="1">
      <c r="A695" s="9" t="s">
        <v>40051</v>
      </c>
      <c r="B695" s="9" t="s">
        <v>18390</v>
      </c>
      <c r="D695" s="9" t="s">
        <v>12230</v>
      </c>
      <c r="F695" s="9" t="s">
        <v>40052</v>
      </c>
      <c r="G695" s="9" t="s">
        <v>38946</v>
      </c>
      <c r="H695" s="127">
        <v>44819.0</v>
      </c>
      <c r="I695" s="9" t="s">
        <v>131</v>
      </c>
      <c r="J695" s="9" t="s">
        <v>38801</v>
      </c>
      <c r="K695" s="55">
        <v>44825.0</v>
      </c>
      <c r="M695" s="9" t="s">
        <v>9054</v>
      </c>
    </row>
    <row r="696" ht="15.75" hidden="1" customHeight="1">
      <c r="A696" s="9" t="s">
        <v>40053</v>
      </c>
      <c r="B696" s="9" t="s">
        <v>14175</v>
      </c>
      <c r="D696" s="9" t="s">
        <v>12230</v>
      </c>
      <c r="F696" s="9" t="s">
        <v>40054</v>
      </c>
      <c r="G696" s="9" t="s">
        <v>38946</v>
      </c>
      <c r="H696" s="127">
        <v>44819.0</v>
      </c>
      <c r="I696" s="9" t="s">
        <v>52</v>
      </c>
      <c r="J696" s="9" t="s">
        <v>38801</v>
      </c>
      <c r="K696" s="55">
        <v>44823.0</v>
      </c>
      <c r="M696" s="9" t="s">
        <v>10384</v>
      </c>
    </row>
    <row r="697" ht="15.75" hidden="1" customHeight="1">
      <c r="A697" s="9" t="s">
        <v>40055</v>
      </c>
      <c r="B697" s="9" t="s">
        <v>17900</v>
      </c>
      <c r="D697" s="9" t="s">
        <v>12258</v>
      </c>
      <c r="F697" s="9" t="s">
        <v>40056</v>
      </c>
      <c r="G697" s="9" t="s">
        <v>38946</v>
      </c>
      <c r="H697" s="127">
        <v>44819.0</v>
      </c>
      <c r="I697" s="9" t="s">
        <v>52</v>
      </c>
      <c r="J697" s="9" t="s">
        <v>38801</v>
      </c>
      <c r="K697" s="55">
        <v>44820.0</v>
      </c>
      <c r="M697" s="9" t="s">
        <v>11875</v>
      </c>
    </row>
    <row r="698" ht="15.75" hidden="1" customHeight="1">
      <c r="A698" s="9" t="s">
        <v>40057</v>
      </c>
      <c r="B698" s="9" t="s">
        <v>17900</v>
      </c>
      <c r="D698" s="9" t="s">
        <v>12233</v>
      </c>
      <c r="F698" s="9" t="s">
        <v>40058</v>
      </c>
      <c r="G698" s="9" t="s">
        <v>38946</v>
      </c>
      <c r="H698" s="127">
        <v>44819.0</v>
      </c>
      <c r="I698" s="9" t="s">
        <v>52</v>
      </c>
      <c r="J698" s="9" t="s">
        <v>38801</v>
      </c>
      <c r="K698" s="55">
        <v>44819.0</v>
      </c>
      <c r="M698" s="9" t="s">
        <v>11875</v>
      </c>
    </row>
    <row r="699" ht="15.75" hidden="1" customHeight="1">
      <c r="A699" s="9" t="s">
        <v>40059</v>
      </c>
      <c r="B699" s="9" t="s">
        <v>14299</v>
      </c>
      <c r="D699" s="9" t="s">
        <v>12250</v>
      </c>
      <c r="F699" s="9" t="s">
        <v>40060</v>
      </c>
      <c r="G699" s="9" t="s">
        <v>38946</v>
      </c>
      <c r="H699" s="127">
        <v>44819.0</v>
      </c>
      <c r="I699" s="9" t="s">
        <v>131</v>
      </c>
      <c r="J699" s="9" t="s">
        <v>38801</v>
      </c>
      <c r="K699" s="55">
        <v>44819.0</v>
      </c>
      <c r="M699" s="9" t="s">
        <v>11629</v>
      </c>
    </row>
    <row r="700" ht="15.75" hidden="1" customHeight="1">
      <c r="A700" s="9" t="s">
        <v>40061</v>
      </c>
      <c r="B700" s="9" t="s">
        <v>19069</v>
      </c>
      <c r="D700" s="9" t="s">
        <v>12236</v>
      </c>
      <c r="F700" s="9" t="s">
        <v>40062</v>
      </c>
      <c r="G700" s="9" t="s">
        <v>38808</v>
      </c>
      <c r="H700" s="127">
        <v>44823.0</v>
      </c>
      <c r="I700" s="9" t="s">
        <v>131</v>
      </c>
      <c r="J700" s="9" t="s">
        <v>38801</v>
      </c>
      <c r="K700" s="60">
        <v>44882.0</v>
      </c>
      <c r="M700" s="9" t="s">
        <v>12027</v>
      </c>
    </row>
    <row r="701" ht="15.75" hidden="1" customHeight="1">
      <c r="A701" s="9" t="s">
        <v>40063</v>
      </c>
      <c r="B701" s="9" t="s">
        <v>18814</v>
      </c>
      <c r="D701" s="9" t="s">
        <v>12239</v>
      </c>
      <c r="F701" s="9" t="s">
        <v>40064</v>
      </c>
      <c r="G701" s="9" t="s">
        <v>38946</v>
      </c>
      <c r="H701" s="127">
        <v>44823.0</v>
      </c>
      <c r="I701" s="9" t="s">
        <v>131</v>
      </c>
      <c r="J701" s="9" t="s">
        <v>38801</v>
      </c>
      <c r="K701" s="60">
        <v>44863.0</v>
      </c>
      <c r="M701" s="9" t="s">
        <v>11947</v>
      </c>
    </row>
    <row r="702" ht="15.75" hidden="1" customHeight="1">
      <c r="A702" s="9" t="s">
        <v>40065</v>
      </c>
      <c r="B702" s="9" t="s">
        <v>19069</v>
      </c>
      <c r="D702" s="9" t="s">
        <v>12230</v>
      </c>
      <c r="F702" s="9" t="s">
        <v>40066</v>
      </c>
      <c r="G702" s="9" t="s">
        <v>38808</v>
      </c>
      <c r="H702" s="127">
        <v>44823.0</v>
      </c>
      <c r="I702" s="9" t="s">
        <v>131</v>
      </c>
      <c r="J702" s="9" t="s">
        <v>38801</v>
      </c>
      <c r="K702" s="55">
        <v>44823.0</v>
      </c>
      <c r="M702" s="9" t="s">
        <v>12027</v>
      </c>
    </row>
    <row r="703" ht="15.75" hidden="1" customHeight="1">
      <c r="A703" s="9" t="s">
        <v>40067</v>
      </c>
      <c r="B703" s="9" t="s">
        <v>18814</v>
      </c>
      <c r="D703" s="9" t="s">
        <v>12230</v>
      </c>
      <c r="F703" s="9" t="s">
        <v>40068</v>
      </c>
      <c r="G703" s="9" t="s">
        <v>38808</v>
      </c>
      <c r="H703" s="127">
        <v>44823.0</v>
      </c>
      <c r="I703" s="9" t="s">
        <v>131</v>
      </c>
      <c r="J703" s="9" t="s">
        <v>38801</v>
      </c>
      <c r="K703" s="55">
        <v>44823.0</v>
      </c>
      <c r="M703" s="9" t="s">
        <v>11947</v>
      </c>
    </row>
    <row r="704" ht="15.75" hidden="1" customHeight="1">
      <c r="A704" s="9" t="s">
        <v>40069</v>
      </c>
      <c r="B704" s="9" t="s">
        <v>18974</v>
      </c>
      <c r="D704" s="9" t="s">
        <v>12248</v>
      </c>
      <c r="F704" s="9" t="s">
        <v>40070</v>
      </c>
      <c r="G704" s="9" t="s">
        <v>38946</v>
      </c>
      <c r="H704" s="127">
        <v>44824.0</v>
      </c>
      <c r="I704" s="9" t="s">
        <v>131</v>
      </c>
      <c r="J704" s="9" t="s">
        <v>38801</v>
      </c>
      <c r="K704" s="55">
        <v>45411.0</v>
      </c>
      <c r="M704" s="9" t="s">
        <v>10646</v>
      </c>
    </row>
    <row r="705" ht="15.75" hidden="1" customHeight="1">
      <c r="A705" s="9" t="s">
        <v>40071</v>
      </c>
      <c r="B705" s="9" t="s">
        <v>18974</v>
      </c>
      <c r="D705" s="9" t="s">
        <v>12230</v>
      </c>
      <c r="F705" s="9" t="s">
        <v>40072</v>
      </c>
      <c r="G705" s="9" t="s">
        <v>38808</v>
      </c>
      <c r="H705" s="127">
        <v>44824.0</v>
      </c>
      <c r="I705" s="9" t="s">
        <v>131</v>
      </c>
      <c r="J705" s="9" t="s">
        <v>38801</v>
      </c>
      <c r="K705" s="60">
        <v>45411.0</v>
      </c>
      <c r="M705" s="9" t="s">
        <v>10646</v>
      </c>
    </row>
    <row r="706" ht="15.75" hidden="1" customHeight="1">
      <c r="A706" s="9" t="s">
        <v>40073</v>
      </c>
      <c r="B706" s="9" t="s">
        <v>18974</v>
      </c>
      <c r="D706" s="9" t="s">
        <v>12248</v>
      </c>
      <c r="F706" s="9" t="s">
        <v>40072</v>
      </c>
      <c r="G706" s="9" t="s">
        <v>38808</v>
      </c>
      <c r="H706" s="127">
        <v>44826.0</v>
      </c>
      <c r="I706" s="9" t="s">
        <v>131</v>
      </c>
      <c r="J706" s="9" t="s">
        <v>38801</v>
      </c>
      <c r="K706" s="60">
        <v>45411.0</v>
      </c>
      <c r="M706" s="9" t="s">
        <v>10756</v>
      </c>
    </row>
    <row r="707" ht="15.75" hidden="1" customHeight="1">
      <c r="A707" s="9" t="s">
        <v>40074</v>
      </c>
      <c r="B707" s="9" t="s">
        <v>18974</v>
      </c>
      <c r="D707" s="9" t="s">
        <v>12230</v>
      </c>
      <c r="F707" s="9" t="s">
        <v>40075</v>
      </c>
      <c r="G707" s="9" t="s">
        <v>38808</v>
      </c>
      <c r="H707" s="127">
        <v>44826.0</v>
      </c>
      <c r="I707" s="9" t="s">
        <v>131</v>
      </c>
      <c r="J707" s="9" t="s">
        <v>38801</v>
      </c>
      <c r="K707" s="60">
        <v>45411.0</v>
      </c>
      <c r="M707" s="9" t="s">
        <v>10756</v>
      </c>
    </row>
    <row r="708" ht="15.75" hidden="1" customHeight="1">
      <c r="A708" s="9" t="s">
        <v>40076</v>
      </c>
      <c r="B708" s="9" t="s">
        <v>16038</v>
      </c>
      <c r="D708" s="9" t="s">
        <v>12242</v>
      </c>
      <c r="F708" s="9" t="s">
        <v>40077</v>
      </c>
      <c r="G708" s="9" t="s">
        <v>38808</v>
      </c>
      <c r="H708" s="127">
        <v>44827.0</v>
      </c>
      <c r="I708" s="9" t="s">
        <v>47</v>
      </c>
      <c r="J708" s="9" t="s">
        <v>38801</v>
      </c>
      <c r="K708" s="60">
        <v>44875.0</v>
      </c>
      <c r="M708" s="9" t="s">
        <v>10486</v>
      </c>
    </row>
    <row r="709" ht="15.75" hidden="1" customHeight="1">
      <c r="A709" s="9" t="s">
        <v>40078</v>
      </c>
      <c r="B709" s="9" t="s">
        <v>18341</v>
      </c>
      <c r="D709" s="9" t="s">
        <v>12230</v>
      </c>
      <c r="F709" s="9" t="s">
        <v>40079</v>
      </c>
      <c r="G709" s="9" t="s">
        <v>38808</v>
      </c>
      <c r="H709" s="127">
        <v>44827.0</v>
      </c>
      <c r="I709" s="9" t="s">
        <v>47</v>
      </c>
      <c r="J709" s="9" t="s">
        <v>38801</v>
      </c>
      <c r="K709" s="55">
        <v>44827.0</v>
      </c>
      <c r="M709" s="9" t="s">
        <v>11660</v>
      </c>
    </row>
    <row r="710" ht="15.75" hidden="1" customHeight="1">
      <c r="A710" s="9" t="s">
        <v>40080</v>
      </c>
      <c r="B710" s="9" t="s">
        <v>17389</v>
      </c>
      <c r="D710" s="9" t="s">
        <v>12230</v>
      </c>
      <c r="F710" s="9" t="s">
        <v>40081</v>
      </c>
      <c r="G710" s="9" t="s">
        <v>38808</v>
      </c>
      <c r="H710" s="127">
        <v>44827.0</v>
      </c>
      <c r="I710" s="9" t="s">
        <v>131</v>
      </c>
      <c r="J710" s="9" t="s">
        <v>38801</v>
      </c>
      <c r="K710" s="55">
        <v>44827.0</v>
      </c>
      <c r="M710" s="9" t="s">
        <v>12144</v>
      </c>
    </row>
    <row r="711" ht="15.75" hidden="1" customHeight="1">
      <c r="A711" s="9" t="s">
        <v>40082</v>
      </c>
      <c r="B711" s="9" t="s">
        <v>18341</v>
      </c>
      <c r="D711" s="9" t="s">
        <v>12230</v>
      </c>
      <c r="F711" s="9" t="s">
        <v>40083</v>
      </c>
      <c r="G711" s="9" t="s">
        <v>38808</v>
      </c>
      <c r="H711" s="127">
        <v>44827.0</v>
      </c>
      <c r="I711" s="9" t="s">
        <v>47</v>
      </c>
      <c r="J711" s="9" t="s">
        <v>38801</v>
      </c>
      <c r="K711" s="55">
        <v>44827.0</v>
      </c>
      <c r="M711" s="9" t="s">
        <v>11660</v>
      </c>
    </row>
    <row r="712" ht="15.75" hidden="1" customHeight="1">
      <c r="A712" s="9" t="s">
        <v>40084</v>
      </c>
      <c r="B712" s="9" t="s">
        <v>18924</v>
      </c>
      <c r="D712" s="9" t="s">
        <v>12248</v>
      </c>
      <c r="F712" s="9" t="s">
        <v>40085</v>
      </c>
      <c r="G712" s="9" t="s">
        <v>38808</v>
      </c>
      <c r="H712" s="127">
        <v>44831.0</v>
      </c>
      <c r="I712" s="9" t="s">
        <v>47</v>
      </c>
      <c r="J712" s="9" t="s">
        <v>38801</v>
      </c>
      <c r="K712" s="55">
        <v>45411.0</v>
      </c>
      <c r="M712" s="9" t="s">
        <v>10638</v>
      </c>
    </row>
    <row r="713" ht="15.75" hidden="1" customHeight="1">
      <c r="A713" s="9" t="s">
        <v>40086</v>
      </c>
      <c r="B713" s="9" t="s">
        <v>18924</v>
      </c>
      <c r="D713" s="9" t="s">
        <v>12230</v>
      </c>
      <c r="F713" s="9" t="s">
        <v>40087</v>
      </c>
      <c r="G713" s="9" t="s">
        <v>38808</v>
      </c>
      <c r="H713" s="127">
        <v>44831.0</v>
      </c>
      <c r="I713" s="9" t="s">
        <v>47</v>
      </c>
      <c r="J713" s="9" t="s">
        <v>38801</v>
      </c>
      <c r="K713" s="55">
        <v>45411.0</v>
      </c>
      <c r="M713" s="9" t="s">
        <v>10638</v>
      </c>
    </row>
    <row r="714" ht="15.75" hidden="1" customHeight="1">
      <c r="A714" s="9" t="s">
        <v>40088</v>
      </c>
      <c r="B714" s="9" t="s">
        <v>18341</v>
      </c>
      <c r="D714" s="9" t="s">
        <v>12236</v>
      </c>
      <c r="F714" s="9" t="s">
        <v>40089</v>
      </c>
      <c r="G714" s="9" t="s">
        <v>38808</v>
      </c>
      <c r="H714" s="127">
        <v>44831.0</v>
      </c>
      <c r="I714" s="9" t="s">
        <v>47</v>
      </c>
      <c r="J714" s="9" t="s">
        <v>38801</v>
      </c>
      <c r="K714" s="60">
        <v>44883.0</v>
      </c>
      <c r="M714" s="9" t="s">
        <v>11645</v>
      </c>
    </row>
    <row r="715" ht="15.75" hidden="1" customHeight="1">
      <c r="A715" s="52" t="s">
        <v>40090</v>
      </c>
      <c r="B715" s="9" t="s">
        <v>18937</v>
      </c>
      <c r="D715" s="9" t="s">
        <v>12239</v>
      </c>
      <c r="F715" s="9" t="s">
        <v>40034</v>
      </c>
      <c r="G715" s="9" t="s">
        <v>38946</v>
      </c>
      <c r="H715" s="127">
        <v>44831.0</v>
      </c>
      <c r="I715" s="9" t="s">
        <v>52</v>
      </c>
      <c r="J715" s="9" t="s">
        <v>38801</v>
      </c>
      <c r="K715" s="55">
        <v>44867.0</v>
      </c>
      <c r="M715" s="9" t="s">
        <v>3810</v>
      </c>
    </row>
    <row r="716" ht="15.75" hidden="1" customHeight="1">
      <c r="A716" s="9" t="s">
        <v>40091</v>
      </c>
      <c r="B716" s="9" t="s">
        <v>16038</v>
      </c>
      <c r="D716" s="9" t="s">
        <v>12230</v>
      </c>
      <c r="F716" s="9" t="s">
        <v>39570</v>
      </c>
      <c r="G716" s="9" t="s">
        <v>38946</v>
      </c>
      <c r="H716" s="127">
        <v>44831.0</v>
      </c>
      <c r="I716" s="9" t="s">
        <v>52</v>
      </c>
      <c r="J716" s="9" t="s">
        <v>38801</v>
      </c>
      <c r="K716" s="55">
        <v>44832.0</v>
      </c>
      <c r="M716" s="9" t="s">
        <v>10486</v>
      </c>
    </row>
    <row r="717" ht="15.75" hidden="1" customHeight="1">
      <c r="A717" s="9" t="s">
        <v>40092</v>
      </c>
      <c r="B717" s="9" t="s">
        <v>18341</v>
      </c>
      <c r="D717" s="9" t="s">
        <v>12250</v>
      </c>
      <c r="F717" s="9" t="s">
        <v>40093</v>
      </c>
      <c r="G717" s="9" t="s">
        <v>38946</v>
      </c>
      <c r="H717" s="127">
        <v>44831.0</v>
      </c>
      <c r="I717" s="9" t="s">
        <v>47</v>
      </c>
      <c r="J717" s="9" t="s">
        <v>38801</v>
      </c>
      <c r="K717" s="55">
        <v>44831.0</v>
      </c>
      <c r="M717" s="9" t="s">
        <v>11645</v>
      </c>
    </row>
    <row r="718" ht="15.75" hidden="1" customHeight="1">
      <c r="A718" s="9" t="s">
        <v>40094</v>
      </c>
      <c r="B718" s="9" t="s">
        <v>18390</v>
      </c>
      <c r="D718" s="9" t="s">
        <v>12230</v>
      </c>
      <c r="F718" s="9" t="s">
        <v>40095</v>
      </c>
      <c r="G718" s="9" t="s">
        <v>38808</v>
      </c>
      <c r="H718" s="127">
        <v>44832.0</v>
      </c>
      <c r="I718" s="9" t="s">
        <v>47</v>
      </c>
      <c r="J718" s="9" t="s">
        <v>38801</v>
      </c>
      <c r="K718" s="60">
        <v>44879.0</v>
      </c>
      <c r="M718" s="9" t="s">
        <v>11992</v>
      </c>
    </row>
    <row r="719" ht="15.75" hidden="1" customHeight="1">
      <c r="A719" s="9" t="s">
        <v>40096</v>
      </c>
      <c r="B719" s="9" t="s">
        <v>18341</v>
      </c>
      <c r="D719" s="9" t="s">
        <v>12239</v>
      </c>
      <c r="F719" s="9" t="s">
        <v>40097</v>
      </c>
      <c r="G719" s="9" t="s">
        <v>38808</v>
      </c>
      <c r="H719" s="127">
        <v>44832.0</v>
      </c>
      <c r="I719" s="9" t="s">
        <v>47</v>
      </c>
      <c r="J719" s="9" t="s">
        <v>38801</v>
      </c>
      <c r="K719" s="60">
        <v>44875.0</v>
      </c>
      <c r="M719" s="9" t="s">
        <v>11660</v>
      </c>
    </row>
    <row r="720" ht="15.75" hidden="1" customHeight="1">
      <c r="A720" s="9" t="s">
        <v>40098</v>
      </c>
      <c r="B720" s="9" t="s">
        <v>13022</v>
      </c>
      <c r="D720" s="9" t="s">
        <v>12250</v>
      </c>
      <c r="F720" s="9" t="s">
        <v>40099</v>
      </c>
      <c r="G720" s="9" t="s">
        <v>38946</v>
      </c>
      <c r="H720" s="127">
        <v>44832.0</v>
      </c>
      <c r="I720" s="9" t="s">
        <v>47</v>
      </c>
      <c r="J720" s="9" t="s">
        <v>38801</v>
      </c>
      <c r="K720" s="55">
        <v>46099.0</v>
      </c>
      <c r="M720" s="9" t="s">
        <v>1561</v>
      </c>
    </row>
    <row r="721" ht="15.75" hidden="1" customHeight="1">
      <c r="A721" s="9" t="s">
        <v>40100</v>
      </c>
      <c r="B721" s="9" t="s">
        <v>13022</v>
      </c>
      <c r="D721" s="9" t="s">
        <v>12236</v>
      </c>
      <c r="F721" s="9" t="s">
        <v>40101</v>
      </c>
      <c r="G721" s="9" t="s">
        <v>38946</v>
      </c>
      <c r="H721" s="127">
        <v>44833.0</v>
      </c>
      <c r="I721" s="9" t="s">
        <v>52</v>
      </c>
      <c r="J721" s="9" t="s">
        <v>38801</v>
      </c>
      <c r="K721" s="60">
        <v>46099.0</v>
      </c>
      <c r="M721" s="9" t="s">
        <v>1561</v>
      </c>
    </row>
    <row r="722" ht="15.75" hidden="1" customHeight="1">
      <c r="A722" s="9" t="s">
        <v>40102</v>
      </c>
      <c r="B722" s="9" t="s">
        <v>18135</v>
      </c>
      <c r="D722" s="9" t="s">
        <v>12236</v>
      </c>
      <c r="F722" s="9" t="s">
        <v>40103</v>
      </c>
      <c r="G722" s="9" t="s">
        <v>38946</v>
      </c>
      <c r="H722" s="127">
        <v>44834.0</v>
      </c>
      <c r="I722" s="9" t="s">
        <v>47</v>
      </c>
      <c r="J722" s="9" t="s">
        <v>38801</v>
      </c>
      <c r="K722" s="60">
        <v>44881.0</v>
      </c>
      <c r="M722" s="9" t="s">
        <v>10600</v>
      </c>
    </row>
    <row r="723" ht="15.75" hidden="1" customHeight="1">
      <c r="A723" s="9" t="s">
        <v>40104</v>
      </c>
      <c r="B723" s="9" t="s">
        <v>18135</v>
      </c>
      <c r="D723" s="9" t="s">
        <v>12239</v>
      </c>
      <c r="F723" s="9" t="s">
        <v>40105</v>
      </c>
      <c r="G723" s="9" t="s">
        <v>38808</v>
      </c>
      <c r="H723" s="127">
        <v>44834.0</v>
      </c>
      <c r="I723" s="9" t="s">
        <v>47</v>
      </c>
      <c r="J723" s="9" t="s">
        <v>38801</v>
      </c>
      <c r="K723" s="55">
        <v>44874.0</v>
      </c>
      <c r="M723" s="9" t="s">
        <v>10600</v>
      </c>
    </row>
    <row r="724" ht="15.75" hidden="1" customHeight="1">
      <c r="A724" s="9" t="s">
        <v>40106</v>
      </c>
      <c r="B724" s="9" t="s">
        <v>18135</v>
      </c>
      <c r="D724" s="9" t="s">
        <v>12230</v>
      </c>
      <c r="F724" s="9" t="s">
        <v>40107</v>
      </c>
      <c r="G724" s="9" t="s">
        <v>38946</v>
      </c>
      <c r="H724" s="127">
        <v>44834.0</v>
      </c>
      <c r="I724" s="9" t="s">
        <v>47</v>
      </c>
      <c r="J724" s="9" t="s">
        <v>38801</v>
      </c>
      <c r="K724" s="55">
        <v>44840.0</v>
      </c>
      <c r="M724" s="9" t="s">
        <v>10600</v>
      </c>
    </row>
    <row r="725" ht="15.75" hidden="1" customHeight="1">
      <c r="A725" s="9" t="s">
        <v>40108</v>
      </c>
      <c r="B725" s="9" t="s">
        <v>14299</v>
      </c>
      <c r="D725" s="9" t="s">
        <v>12230</v>
      </c>
      <c r="F725" s="9" t="s">
        <v>40109</v>
      </c>
      <c r="G725" s="9" t="s">
        <v>38946</v>
      </c>
      <c r="H725" s="127">
        <v>44838.0</v>
      </c>
      <c r="I725" s="9" t="s">
        <v>52</v>
      </c>
      <c r="J725" s="9" t="s">
        <v>38801</v>
      </c>
      <c r="K725" s="55">
        <v>44840.0</v>
      </c>
      <c r="M725" s="9" t="s">
        <v>11629</v>
      </c>
    </row>
    <row r="726" ht="15.75" hidden="1" customHeight="1">
      <c r="A726" s="9" t="s">
        <v>40110</v>
      </c>
      <c r="B726" s="9" t="s">
        <v>20950</v>
      </c>
      <c r="D726" s="9" t="s">
        <v>12230</v>
      </c>
      <c r="F726" s="9" t="s">
        <v>40111</v>
      </c>
      <c r="G726" s="9" t="s">
        <v>38946</v>
      </c>
      <c r="H726" s="127">
        <v>44839.0</v>
      </c>
      <c r="I726" s="9" t="s">
        <v>52</v>
      </c>
      <c r="J726" s="9" t="s">
        <v>38801</v>
      </c>
      <c r="K726" s="60">
        <v>44844.0</v>
      </c>
      <c r="M726" s="9" t="s">
        <v>9688</v>
      </c>
    </row>
    <row r="727" ht="15.75" hidden="1" customHeight="1">
      <c r="A727" s="9" t="s">
        <v>40112</v>
      </c>
      <c r="B727" s="9" t="s">
        <v>16171</v>
      </c>
      <c r="D727" s="9" t="s">
        <v>12236</v>
      </c>
      <c r="F727" s="9" t="s">
        <v>40113</v>
      </c>
      <c r="G727" s="9" t="s">
        <v>38946</v>
      </c>
      <c r="H727" s="127">
        <v>44839.0</v>
      </c>
      <c r="I727" s="9" t="s">
        <v>52</v>
      </c>
      <c r="J727" s="9" t="s">
        <v>38801</v>
      </c>
      <c r="K727" s="55">
        <v>44840.0</v>
      </c>
      <c r="M727" s="9" t="s">
        <v>11805</v>
      </c>
    </row>
    <row r="728" ht="15.75" hidden="1" customHeight="1">
      <c r="A728" s="9" t="s">
        <v>40114</v>
      </c>
      <c r="B728" s="9" t="s">
        <v>15593</v>
      </c>
      <c r="D728" s="9" t="s">
        <v>12230</v>
      </c>
      <c r="F728" s="9" t="s">
        <v>40006</v>
      </c>
      <c r="G728" s="9" t="s">
        <v>38946</v>
      </c>
      <c r="H728" s="127">
        <v>44840.0</v>
      </c>
      <c r="I728" s="9" t="s">
        <v>52</v>
      </c>
      <c r="J728" s="9" t="s">
        <v>38801</v>
      </c>
      <c r="K728" s="60">
        <v>44846.0</v>
      </c>
      <c r="M728" s="9" t="s">
        <v>11870</v>
      </c>
    </row>
    <row r="729" ht="15.75" hidden="1" customHeight="1">
      <c r="A729" s="9" t="s">
        <v>40115</v>
      </c>
      <c r="B729" s="9" t="s">
        <v>13038</v>
      </c>
      <c r="D729" s="9" t="s">
        <v>12230</v>
      </c>
      <c r="F729" s="9" t="s">
        <v>40116</v>
      </c>
      <c r="G729" s="9" t="s">
        <v>38808</v>
      </c>
      <c r="H729" s="127">
        <v>44840.0</v>
      </c>
      <c r="I729" s="9" t="s">
        <v>47</v>
      </c>
      <c r="J729" s="9" t="s">
        <v>38801</v>
      </c>
      <c r="K729" s="55">
        <v>46099.0</v>
      </c>
      <c r="M729" s="9" t="s">
        <v>10310</v>
      </c>
    </row>
    <row r="730" ht="15.75" hidden="1" customHeight="1">
      <c r="A730" s="9" t="s">
        <v>40117</v>
      </c>
      <c r="B730" s="9" t="s">
        <v>12440</v>
      </c>
      <c r="D730" s="9" t="s">
        <v>12230</v>
      </c>
      <c r="F730" s="9" t="s">
        <v>40118</v>
      </c>
      <c r="G730" s="9" t="s">
        <v>38808</v>
      </c>
      <c r="H730" s="127">
        <v>44840.0</v>
      </c>
      <c r="I730" s="9" t="s">
        <v>47</v>
      </c>
      <c r="J730" s="9" t="s">
        <v>38801</v>
      </c>
      <c r="K730" s="55">
        <v>46100.0</v>
      </c>
      <c r="M730" s="9" t="s">
        <v>9268</v>
      </c>
    </row>
    <row r="731" ht="15.75" hidden="1" customHeight="1">
      <c r="A731" s="9" t="s">
        <v>40119</v>
      </c>
      <c r="B731" s="9" t="s">
        <v>15593</v>
      </c>
      <c r="D731" s="9" t="s">
        <v>12236</v>
      </c>
      <c r="F731" s="9" t="s">
        <v>39677</v>
      </c>
      <c r="G731" s="9" t="s">
        <v>38946</v>
      </c>
      <c r="H731" s="127">
        <v>44841.0</v>
      </c>
      <c r="I731" s="9" t="s">
        <v>52</v>
      </c>
      <c r="J731" s="9" t="s">
        <v>38801</v>
      </c>
      <c r="K731" s="60">
        <v>44851.0</v>
      </c>
      <c r="M731" s="9" t="s">
        <v>11870</v>
      </c>
    </row>
    <row r="732" ht="15.75" hidden="1" customHeight="1">
      <c r="A732" s="9" t="s">
        <v>40120</v>
      </c>
      <c r="B732" s="9" t="s">
        <v>26150</v>
      </c>
      <c r="D732" s="9" t="s">
        <v>12250</v>
      </c>
      <c r="F732" s="9" t="s">
        <v>40121</v>
      </c>
      <c r="G732" s="9" t="s">
        <v>38808</v>
      </c>
      <c r="H732" s="127">
        <v>44845.0</v>
      </c>
      <c r="I732" s="9" t="s">
        <v>47</v>
      </c>
      <c r="J732" s="9" t="s">
        <v>38801</v>
      </c>
      <c r="K732" s="60">
        <v>44847.0</v>
      </c>
      <c r="M732" s="9" t="s">
        <v>11864</v>
      </c>
    </row>
    <row r="733" ht="15.75" hidden="1" customHeight="1">
      <c r="A733" s="9" t="s">
        <v>40122</v>
      </c>
      <c r="B733" s="9" t="s">
        <v>18405</v>
      </c>
      <c r="D733" s="9" t="s">
        <v>12236</v>
      </c>
      <c r="F733" s="9" t="s">
        <v>39677</v>
      </c>
      <c r="G733" s="9" t="s">
        <v>38946</v>
      </c>
      <c r="H733" s="127">
        <v>44846.0</v>
      </c>
      <c r="I733" s="9" t="s">
        <v>52</v>
      </c>
      <c r="J733" s="9" t="s">
        <v>38801</v>
      </c>
      <c r="K733" s="60">
        <v>44875.0</v>
      </c>
      <c r="M733" s="9" t="s">
        <v>10608</v>
      </c>
    </row>
    <row r="734" ht="15.75" hidden="1" customHeight="1">
      <c r="A734" s="9" t="s">
        <v>40123</v>
      </c>
      <c r="B734" s="9" t="s">
        <v>14299</v>
      </c>
      <c r="D734" s="9" t="s">
        <v>12250</v>
      </c>
      <c r="F734" s="9" t="s">
        <v>40124</v>
      </c>
      <c r="G734" s="9" t="s">
        <v>38808</v>
      </c>
      <c r="H734" s="127">
        <v>44846.0</v>
      </c>
      <c r="I734" s="9" t="s">
        <v>47</v>
      </c>
      <c r="J734" s="9" t="s">
        <v>38801</v>
      </c>
      <c r="K734" s="60">
        <v>44846.0</v>
      </c>
      <c r="M734" s="9" t="s">
        <v>11629</v>
      </c>
    </row>
    <row r="735" ht="15.75" hidden="1" customHeight="1">
      <c r="A735" s="9" t="s">
        <v>40125</v>
      </c>
      <c r="B735" s="9" t="s">
        <v>18749</v>
      </c>
      <c r="D735" s="9" t="s">
        <v>12248</v>
      </c>
      <c r="F735" s="9" t="s">
        <v>40126</v>
      </c>
      <c r="G735" s="9" t="s">
        <v>38946</v>
      </c>
      <c r="H735" s="127">
        <v>44847.0</v>
      </c>
      <c r="I735" s="9" t="s">
        <v>131</v>
      </c>
      <c r="J735" s="9" t="s">
        <v>38801</v>
      </c>
      <c r="K735" s="60">
        <v>45411.0</v>
      </c>
      <c r="M735" s="9" t="s">
        <v>4089</v>
      </c>
    </row>
    <row r="736" ht="15.75" hidden="1" customHeight="1">
      <c r="A736" s="9" t="s">
        <v>40127</v>
      </c>
      <c r="B736" s="9" t="s">
        <v>18749</v>
      </c>
      <c r="D736" s="9" t="s">
        <v>12248</v>
      </c>
      <c r="F736" s="9" t="s">
        <v>40128</v>
      </c>
      <c r="G736" s="9" t="s">
        <v>38946</v>
      </c>
      <c r="H736" s="127">
        <v>44847.0</v>
      </c>
      <c r="I736" s="9" t="s">
        <v>131</v>
      </c>
      <c r="J736" s="9" t="s">
        <v>38801</v>
      </c>
      <c r="K736" s="60">
        <v>45411.0</v>
      </c>
      <c r="M736" s="9" t="s">
        <v>4106</v>
      </c>
    </row>
    <row r="737" ht="15.75" hidden="1" customHeight="1">
      <c r="A737" s="9" t="s">
        <v>40129</v>
      </c>
      <c r="B737" s="9" t="s">
        <v>18749</v>
      </c>
      <c r="D737" s="9" t="s">
        <v>12230</v>
      </c>
      <c r="F737" s="9" t="s">
        <v>40130</v>
      </c>
      <c r="G737" s="9" t="s">
        <v>38946</v>
      </c>
      <c r="H737" s="127">
        <v>44847.0</v>
      </c>
      <c r="I737" s="9" t="s">
        <v>131</v>
      </c>
      <c r="J737" s="9" t="s">
        <v>38801</v>
      </c>
      <c r="K737" s="60">
        <v>45411.0</v>
      </c>
      <c r="M737" s="9" t="s">
        <v>4089</v>
      </c>
    </row>
    <row r="738" ht="15.75" hidden="1" customHeight="1">
      <c r="A738" s="9" t="s">
        <v>40131</v>
      </c>
      <c r="B738" s="9" t="s">
        <v>18405</v>
      </c>
      <c r="D738" s="9" t="s">
        <v>12239</v>
      </c>
      <c r="F738" s="9" t="s">
        <v>40034</v>
      </c>
      <c r="G738" s="9" t="s">
        <v>38946</v>
      </c>
      <c r="H738" s="127">
        <v>44847.0</v>
      </c>
      <c r="I738" s="9" t="s">
        <v>52</v>
      </c>
      <c r="J738" s="9" t="s">
        <v>38801</v>
      </c>
      <c r="K738" s="60">
        <v>44875.0</v>
      </c>
      <c r="M738" s="9" t="s">
        <v>10608</v>
      </c>
    </row>
    <row r="739" ht="15.75" hidden="1" customHeight="1">
      <c r="A739" s="9" t="s">
        <v>40132</v>
      </c>
      <c r="B739" s="9" t="s">
        <v>26150</v>
      </c>
      <c r="D739" s="9" t="s">
        <v>12236</v>
      </c>
      <c r="F739" s="9" t="s">
        <v>40133</v>
      </c>
      <c r="G739" s="9" t="s">
        <v>38946</v>
      </c>
      <c r="H739" s="127">
        <v>44851.0</v>
      </c>
      <c r="I739" s="9" t="s">
        <v>52</v>
      </c>
      <c r="J739" s="9" t="s">
        <v>38801</v>
      </c>
      <c r="K739" s="60">
        <v>44853.0</v>
      </c>
      <c r="M739" s="9" t="s">
        <v>11864</v>
      </c>
    </row>
    <row r="740" ht="15.75" hidden="1" customHeight="1">
      <c r="A740" s="9" t="s">
        <v>40134</v>
      </c>
      <c r="B740" s="9" t="s">
        <v>16293</v>
      </c>
      <c r="D740" s="9" t="s">
        <v>12233</v>
      </c>
      <c r="F740" s="9" t="s">
        <v>40135</v>
      </c>
      <c r="G740" s="9" t="s">
        <v>38946</v>
      </c>
      <c r="H740" s="127">
        <v>44854.0</v>
      </c>
      <c r="I740" s="9" t="s">
        <v>52</v>
      </c>
      <c r="J740" s="9" t="s">
        <v>38801</v>
      </c>
      <c r="K740" s="60">
        <v>44854.0</v>
      </c>
      <c r="M740" s="9" t="s">
        <v>11914</v>
      </c>
    </row>
    <row r="741" ht="15.75" hidden="1" customHeight="1">
      <c r="A741" s="9" t="s">
        <v>40136</v>
      </c>
      <c r="B741" s="9" t="s">
        <v>17596</v>
      </c>
      <c r="D741" s="9" t="s">
        <v>12239</v>
      </c>
      <c r="F741" s="9" t="s">
        <v>40137</v>
      </c>
      <c r="G741" s="9" t="s">
        <v>38946</v>
      </c>
      <c r="H741" s="127">
        <v>44858.0</v>
      </c>
      <c r="I741" s="9" t="s">
        <v>131</v>
      </c>
      <c r="J741" s="9" t="s">
        <v>38801</v>
      </c>
      <c r="K741" s="60">
        <v>45411.0</v>
      </c>
      <c r="M741" s="9" t="s">
        <v>10564</v>
      </c>
    </row>
    <row r="742" ht="15.75" hidden="1" customHeight="1">
      <c r="A742" s="9" t="s">
        <v>40138</v>
      </c>
      <c r="B742" s="9" t="s">
        <v>17596</v>
      </c>
      <c r="D742" s="9" t="s">
        <v>12236</v>
      </c>
      <c r="F742" s="9" t="s">
        <v>40139</v>
      </c>
      <c r="G742" s="9" t="s">
        <v>38946</v>
      </c>
      <c r="H742" s="127">
        <v>44858.0</v>
      </c>
      <c r="I742" s="9" t="s">
        <v>47</v>
      </c>
      <c r="J742" s="9" t="s">
        <v>38801</v>
      </c>
      <c r="K742" s="60">
        <v>45411.0</v>
      </c>
      <c r="M742" s="9" t="s">
        <v>10564</v>
      </c>
    </row>
    <row r="743" ht="15.75" hidden="1" customHeight="1">
      <c r="A743" s="9" t="s">
        <v>40140</v>
      </c>
      <c r="B743" s="9" t="s">
        <v>15312</v>
      </c>
      <c r="D743" s="9" t="s">
        <v>12230</v>
      </c>
      <c r="F743" s="9" t="s">
        <v>40141</v>
      </c>
      <c r="G743" s="9" t="s">
        <v>38808</v>
      </c>
      <c r="H743" s="127">
        <v>44858.0</v>
      </c>
      <c r="I743" s="9" t="s">
        <v>131</v>
      </c>
      <c r="J743" s="9" t="s">
        <v>38801</v>
      </c>
      <c r="K743" s="60">
        <v>45411.0</v>
      </c>
      <c r="M743" s="9" t="s">
        <v>9667</v>
      </c>
    </row>
    <row r="744" ht="15.75" hidden="1" customHeight="1">
      <c r="A744" s="9" t="s">
        <v>40142</v>
      </c>
      <c r="B744" s="9" t="s">
        <v>15312</v>
      </c>
      <c r="D744" s="9" t="s">
        <v>12236</v>
      </c>
      <c r="F744" s="9" t="s">
        <v>40143</v>
      </c>
      <c r="G744" s="9" t="s">
        <v>38946</v>
      </c>
      <c r="H744" s="127">
        <v>44858.0</v>
      </c>
      <c r="I744" s="9" t="s">
        <v>131</v>
      </c>
      <c r="J744" s="9" t="s">
        <v>38801</v>
      </c>
      <c r="K744" s="60">
        <v>44875.0</v>
      </c>
      <c r="M744" s="9" t="s">
        <v>11795</v>
      </c>
    </row>
    <row r="745" ht="15.75" hidden="1" customHeight="1">
      <c r="A745" s="9" t="s">
        <v>40144</v>
      </c>
      <c r="B745" s="9" t="s">
        <v>18814</v>
      </c>
      <c r="D745" s="9" t="s">
        <v>12236</v>
      </c>
      <c r="F745" s="9" t="s">
        <v>40145</v>
      </c>
      <c r="G745" s="9" t="s">
        <v>38946</v>
      </c>
      <c r="H745" s="127">
        <v>44858.0</v>
      </c>
      <c r="I745" s="9" t="s">
        <v>52</v>
      </c>
      <c r="J745" s="9" t="s">
        <v>38801</v>
      </c>
      <c r="K745" s="60">
        <v>44859.0</v>
      </c>
      <c r="M745" s="9" t="s">
        <v>11947</v>
      </c>
    </row>
    <row r="746" ht="15.75" hidden="1" customHeight="1">
      <c r="A746" s="9" t="s">
        <v>40146</v>
      </c>
      <c r="B746" s="9" t="s">
        <v>18285</v>
      </c>
      <c r="D746" s="9" t="s">
        <v>12230</v>
      </c>
      <c r="F746" s="9" t="s">
        <v>40006</v>
      </c>
      <c r="G746" s="9" t="s">
        <v>38946</v>
      </c>
      <c r="H746" s="127">
        <v>44860.0</v>
      </c>
      <c r="I746" s="9" t="s">
        <v>52</v>
      </c>
      <c r="J746" s="9" t="s">
        <v>38801</v>
      </c>
      <c r="K746" s="55">
        <v>44867.0</v>
      </c>
      <c r="M746" s="9" t="s">
        <v>10745</v>
      </c>
    </row>
    <row r="747" ht="15.75" hidden="1" customHeight="1">
      <c r="A747" s="9" t="s">
        <v>40147</v>
      </c>
      <c r="B747" s="9" t="s">
        <v>17454</v>
      </c>
      <c r="D747" s="9" t="s">
        <v>12248</v>
      </c>
      <c r="F747" s="9" t="s">
        <v>40148</v>
      </c>
      <c r="G747" s="9" t="s">
        <v>38808</v>
      </c>
      <c r="H747" s="127">
        <v>44861.0</v>
      </c>
      <c r="I747" s="9" t="s">
        <v>47</v>
      </c>
      <c r="J747" s="9" t="s">
        <v>38801</v>
      </c>
      <c r="K747" s="55">
        <v>44869.0</v>
      </c>
      <c r="M747" s="9" t="s">
        <v>2009</v>
      </c>
    </row>
    <row r="748" ht="15.75" hidden="1" customHeight="1">
      <c r="A748" s="9" t="s">
        <v>40149</v>
      </c>
      <c r="B748" s="9" t="s">
        <v>16293</v>
      </c>
      <c r="D748" s="9" t="s">
        <v>12230</v>
      </c>
      <c r="F748" s="9" t="s">
        <v>40150</v>
      </c>
      <c r="G748" s="9" t="s">
        <v>38808</v>
      </c>
      <c r="H748" s="127">
        <v>44861.0</v>
      </c>
      <c r="I748" s="9" t="s">
        <v>47</v>
      </c>
      <c r="J748" s="9" t="s">
        <v>38801</v>
      </c>
      <c r="K748" s="60">
        <v>44861.0</v>
      </c>
      <c r="M748" s="9" t="s">
        <v>11914</v>
      </c>
    </row>
    <row r="749" ht="15.75" hidden="1" customHeight="1">
      <c r="A749" s="9" t="s">
        <v>40151</v>
      </c>
      <c r="B749" s="52" t="s">
        <v>16883</v>
      </c>
      <c r="D749" s="9" t="s">
        <v>12236</v>
      </c>
      <c r="F749" s="9" t="s">
        <v>40152</v>
      </c>
      <c r="G749" s="9" t="s">
        <v>38808</v>
      </c>
      <c r="H749" s="127">
        <v>44862.0</v>
      </c>
      <c r="I749" s="9" t="s">
        <v>131</v>
      </c>
      <c r="J749" s="9" t="s">
        <v>38801</v>
      </c>
      <c r="K749" s="60">
        <v>44875.0</v>
      </c>
      <c r="M749" s="9" t="s">
        <v>10533</v>
      </c>
    </row>
    <row r="750" ht="15.75" hidden="1" customHeight="1">
      <c r="A750" s="9" t="s">
        <v>40153</v>
      </c>
      <c r="B750" s="52" t="s">
        <v>16883</v>
      </c>
      <c r="D750" s="9" t="s">
        <v>12230</v>
      </c>
      <c r="F750" s="9" t="s">
        <v>40154</v>
      </c>
      <c r="G750" s="9" t="s">
        <v>38946</v>
      </c>
      <c r="H750" s="127">
        <v>44862.0</v>
      </c>
      <c r="I750" s="9" t="s">
        <v>131</v>
      </c>
      <c r="J750" s="9" t="s">
        <v>38801</v>
      </c>
      <c r="K750" s="60">
        <v>44862.0</v>
      </c>
      <c r="M750" s="9" t="s">
        <v>10533</v>
      </c>
    </row>
    <row r="751" ht="15.75" customHeight="1">
      <c r="A751" s="9" t="s">
        <v>40155</v>
      </c>
      <c r="B751" s="9" t="s">
        <v>20675</v>
      </c>
      <c r="D751" s="9" t="s">
        <v>12227</v>
      </c>
      <c r="E751" s="9" t="s">
        <v>38803</v>
      </c>
      <c r="F751" s="9" t="s">
        <v>40156</v>
      </c>
      <c r="G751" s="9" t="s">
        <v>38808</v>
      </c>
      <c r="H751" s="127">
        <v>44862.0</v>
      </c>
      <c r="I751" s="9" t="s">
        <v>131</v>
      </c>
      <c r="J751" s="9" t="s">
        <v>38805</v>
      </c>
      <c r="M751" s="9" t="s">
        <v>6411</v>
      </c>
    </row>
    <row r="752" ht="15.75" hidden="1" customHeight="1">
      <c r="A752" s="9" t="s">
        <v>40157</v>
      </c>
      <c r="B752" s="9" t="s">
        <v>18135</v>
      </c>
      <c r="D752" s="9" t="s">
        <v>12230</v>
      </c>
      <c r="F752" s="9" t="s">
        <v>40158</v>
      </c>
      <c r="G752" s="9" t="s">
        <v>38946</v>
      </c>
      <c r="H752" s="127">
        <v>44865.0</v>
      </c>
      <c r="I752" s="9" t="s">
        <v>52</v>
      </c>
      <c r="J752" s="9" t="s">
        <v>38801</v>
      </c>
      <c r="K752" s="60">
        <v>44865.0</v>
      </c>
      <c r="M752" s="9" t="s">
        <v>10600</v>
      </c>
    </row>
    <row r="753" ht="15.75" hidden="1" customHeight="1">
      <c r="A753" s="9" t="s">
        <v>40159</v>
      </c>
      <c r="B753" s="9" t="s">
        <v>18135</v>
      </c>
      <c r="D753" s="9" t="s">
        <v>12250</v>
      </c>
      <c r="F753" s="9" t="s">
        <v>40160</v>
      </c>
      <c r="G753" s="9" t="s">
        <v>38946</v>
      </c>
      <c r="H753" s="127">
        <v>44865.0</v>
      </c>
      <c r="I753" s="9" t="s">
        <v>47</v>
      </c>
      <c r="J753" s="9" t="s">
        <v>38801</v>
      </c>
      <c r="K753" s="60">
        <v>44865.0</v>
      </c>
      <c r="M753" s="9" t="s">
        <v>10600</v>
      </c>
    </row>
    <row r="754" ht="15.75" hidden="1" customHeight="1">
      <c r="A754" s="9" t="s">
        <v>40161</v>
      </c>
      <c r="B754" s="9" t="s">
        <v>15886</v>
      </c>
      <c r="D754" s="9" t="s">
        <v>12248</v>
      </c>
      <c r="F754" s="9" t="s">
        <v>40162</v>
      </c>
      <c r="G754" s="9" t="s">
        <v>38808</v>
      </c>
      <c r="H754" s="127">
        <v>44867.0</v>
      </c>
      <c r="I754" s="9" t="s">
        <v>47</v>
      </c>
      <c r="J754" s="9" t="s">
        <v>38801</v>
      </c>
      <c r="K754" s="55">
        <v>45411.0</v>
      </c>
      <c r="M754" s="9" t="s">
        <v>9557</v>
      </c>
    </row>
    <row r="755" ht="15.75" hidden="1" customHeight="1">
      <c r="A755" s="9" t="s">
        <v>40163</v>
      </c>
      <c r="B755" s="9" t="s">
        <v>15886</v>
      </c>
      <c r="D755" s="9" t="s">
        <v>12230</v>
      </c>
      <c r="F755" s="9" t="s">
        <v>40164</v>
      </c>
      <c r="G755" s="9" t="s">
        <v>38808</v>
      </c>
      <c r="H755" s="127">
        <v>44867.0</v>
      </c>
      <c r="I755" s="9" t="s">
        <v>47</v>
      </c>
      <c r="J755" s="9" t="s">
        <v>38801</v>
      </c>
      <c r="K755" s="60">
        <v>45411.0</v>
      </c>
      <c r="M755" s="9" t="s">
        <v>9557</v>
      </c>
    </row>
    <row r="756" ht="15.75" hidden="1" customHeight="1">
      <c r="A756" s="9" t="s">
        <v>40165</v>
      </c>
      <c r="B756" s="52" t="s">
        <v>16883</v>
      </c>
      <c r="D756" s="9" t="s">
        <v>12230</v>
      </c>
      <c r="F756" s="9" t="s">
        <v>40166</v>
      </c>
      <c r="G756" s="9" t="s">
        <v>38808</v>
      </c>
      <c r="H756" s="127">
        <v>44867.0</v>
      </c>
      <c r="I756" s="9" t="s">
        <v>47</v>
      </c>
      <c r="J756" s="9" t="s">
        <v>38801</v>
      </c>
      <c r="K756" s="60">
        <v>44894.0</v>
      </c>
      <c r="M756" s="9" t="s">
        <v>10533</v>
      </c>
    </row>
    <row r="757" ht="15.75" hidden="1" customHeight="1">
      <c r="A757" s="9" t="s">
        <v>40167</v>
      </c>
      <c r="B757" s="9" t="s">
        <v>14489</v>
      </c>
      <c r="D757" s="9" t="s">
        <v>12230</v>
      </c>
      <c r="F757" s="9" t="s">
        <v>40168</v>
      </c>
      <c r="G757" s="9" t="s">
        <v>38808</v>
      </c>
      <c r="H757" s="127">
        <v>44867.0</v>
      </c>
      <c r="I757" s="9" t="s">
        <v>47</v>
      </c>
      <c r="J757" s="9" t="s">
        <v>38801</v>
      </c>
      <c r="K757" s="55">
        <v>44867.0</v>
      </c>
      <c r="M757" s="9" t="s">
        <v>3552</v>
      </c>
    </row>
    <row r="758" ht="15.75" hidden="1" customHeight="1">
      <c r="A758" s="9" t="s">
        <v>40169</v>
      </c>
      <c r="B758" s="9" t="s">
        <v>17900</v>
      </c>
      <c r="D758" s="9" t="s">
        <v>12250</v>
      </c>
      <c r="F758" s="9" t="s">
        <v>40170</v>
      </c>
      <c r="G758" s="9" t="s">
        <v>38808</v>
      </c>
      <c r="H758" s="127">
        <v>44867.0</v>
      </c>
      <c r="I758" s="9" t="s">
        <v>47</v>
      </c>
      <c r="J758" s="9" t="s">
        <v>38801</v>
      </c>
      <c r="K758" s="55">
        <v>44867.0</v>
      </c>
      <c r="M758" s="9" t="s">
        <v>11875</v>
      </c>
    </row>
    <row r="759" ht="15.75" hidden="1" customHeight="1">
      <c r="A759" s="9" t="s">
        <v>40171</v>
      </c>
      <c r="B759" s="9" t="s">
        <v>17900</v>
      </c>
      <c r="D759" s="9" t="s">
        <v>12230</v>
      </c>
      <c r="F759" s="9" t="s">
        <v>40172</v>
      </c>
      <c r="G759" s="9" t="s">
        <v>38808</v>
      </c>
      <c r="H759" s="127">
        <v>44867.0</v>
      </c>
      <c r="I759" s="9" t="s">
        <v>47</v>
      </c>
      <c r="J759" s="9" t="s">
        <v>38801</v>
      </c>
      <c r="K759" s="55">
        <v>44867.0</v>
      </c>
      <c r="M759" s="9" t="s">
        <v>11875</v>
      </c>
    </row>
    <row r="760" ht="15.75" hidden="1" customHeight="1">
      <c r="A760" s="9" t="s">
        <v>40173</v>
      </c>
      <c r="B760" s="9" t="s">
        <v>16501</v>
      </c>
      <c r="D760" s="9" t="s">
        <v>12230</v>
      </c>
      <c r="F760" s="9" t="s">
        <v>40174</v>
      </c>
      <c r="G760" s="9" t="s">
        <v>38808</v>
      </c>
      <c r="H760" s="127">
        <v>44867.0</v>
      </c>
      <c r="I760" s="9" t="s">
        <v>47</v>
      </c>
      <c r="J760" s="9" t="s">
        <v>38801</v>
      </c>
      <c r="K760" s="55">
        <v>44867.0</v>
      </c>
      <c r="M760" s="9" t="s">
        <v>759</v>
      </c>
    </row>
    <row r="761" ht="15.75" hidden="1" customHeight="1">
      <c r="A761" s="9" t="s">
        <v>40175</v>
      </c>
      <c r="B761" s="9" t="s">
        <v>20950</v>
      </c>
      <c r="D761" s="9" t="s">
        <v>12230</v>
      </c>
      <c r="F761" s="9" t="s">
        <v>40176</v>
      </c>
      <c r="G761" s="9" t="s">
        <v>38808</v>
      </c>
      <c r="H761" s="127">
        <v>44868.0</v>
      </c>
      <c r="I761" s="9" t="s">
        <v>47</v>
      </c>
      <c r="J761" s="9" t="s">
        <v>38801</v>
      </c>
      <c r="K761" s="60">
        <v>44875.0</v>
      </c>
      <c r="M761" s="9" t="s">
        <v>9688</v>
      </c>
    </row>
    <row r="762" ht="15.75" hidden="1" customHeight="1">
      <c r="A762" s="9" t="s">
        <v>40177</v>
      </c>
      <c r="B762" s="9" t="s">
        <v>14299</v>
      </c>
      <c r="D762" s="9" t="s">
        <v>12230</v>
      </c>
      <c r="F762" s="9" t="s">
        <v>39389</v>
      </c>
      <c r="G762" s="9" t="s">
        <v>38808</v>
      </c>
      <c r="H762" s="127">
        <v>44869.0</v>
      </c>
      <c r="I762" s="9" t="s">
        <v>47</v>
      </c>
      <c r="J762" s="9" t="s">
        <v>38801</v>
      </c>
      <c r="K762" s="55">
        <v>44869.0</v>
      </c>
      <c r="M762" s="9" t="s">
        <v>11629</v>
      </c>
    </row>
    <row r="763" ht="15.75" hidden="1" customHeight="1">
      <c r="A763" s="9" t="s">
        <v>40178</v>
      </c>
      <c r="B763" s="9" t="s">
        <v>17454</v>
      </c>
      <c r="D763" s="9" t="s">
        <v>12230</v>
      </c>
      <c r="F763" s="9" t="s">
        <v>40179</v>
      </c>
      <c r="G763" s="9" t="s">
        <v>38808</v>
      </c>
      <c r="H763" s="127">
        <v>44869.0</v>
      </c>
      <c r="I763" s="9" t="s">
        <v>47</v>
      </c>
      <c r="J763" s="9" t="s">
        <v>38801</v>
      </c>
      <c r="K763" s="55">
        <v>44869.0</v>
      </c>
      <c r="M763" s="9" t="s">
        <v>2009</v>
      </c>
    </row>
    <row r="764" ht="15.75" hidden="1" customHeight="1">
      <c r="A764" s="9" t="s">
        <v>40180</v>
      </c>
      <c r="B764" s="9" t="s">
        <v>19837</v>
      </c>
      <c r="D764" s="9" t="s">
        <v>12230</v>
      </c>
      <c r="F764" s="9" t="s">
        <v>40181</v>
      </c>
      <c r="G764" s="9" t="s">
        <v>38844</v>
      </c>
      <c r="H764" s="127">
        <v>44872.0</v>
      </c>
      <c r="I764" s="9" t="s">
        <v>131</v>
      </c>
      <c r="J764" s="9" t="s">
        <v>38801</v>
      </c>
      <c r="K764" s="55">
        <v>44872.0</v>
      </c>
      <c r="M764" s="9" t="s">
        <v>8331</v>
      </c>
    </row>
    <row r="765" ht="15.75" hidden="1" customHeight="1">
      <c r="A765" s="9" t="s">
        <v>40182</v>
      </c>
      <c r="B765" s="9" t="s">
        <v>14175</v>
      </c>
      <c r="D765" s="9" t="s">
        <v>12236</v>
      </c>
      <c r="F765" s="9" t="s">
        <v>40183</v>
      </c>
      <c r="G765" s="9" t="s">
        <v>38808</v>
      </c>
      <c r="H765" s="127">
        <v>44873.0</v>
      </c>
      <c r="I765" s="9" t="s">
        <v>131</v>
      </c>
      <c r="J765" s="9" t="s">
        <v>38801</v>
      </c>
      <c r="K765" s="60">
        <v>44883.0</v>
      </c>
      <c r="M765" s="9" t="s">
        <v>10384</v>
      </c>
    </row>
    <row r="766" ht="15.75" hidden="1" customHeight="1">
      <c r="A766" s="9" t="s">
        <v>40184</v>
      </c>
      <c r="B766" s="9" t="s">
        <v>16847</v>
      </c>
      <c r="D766" s="9" t="s">
        <v>12230</v>
      </c>
      <c r="F766" s="9" t="s">
        <v>40154</v>
      </c>
      <c r="G766" s="9" t="s">
        <v>38946</v>
      </c>
      <c r="H766" s="127">
        <v>44873.0</v>
      </c>
      <c r="I766" s="9" t="s">
        <v>131</v>
      </c>
      <c r="J766" s="9" t="s">
        <v>38801</v>
      </c>
      <c r="K766" s="60">
        <v>44879.0</v>
      </c>
      <c r="M766" s="9" t="s">
        <v>10531</v>
      </c>
    </row>
    <row r="767" ht="15.75" hidden="1" customHeight="1">
      <c r="A767" s="9" t="s">
        <v>40185</v>
      </c>
      <c r="B767" s="9" t="s">
        <v>18135</v>
      </c>
      <c r="D767" s="9" t="s">
        <v>12230</v>
      </c>
      <c r="F767" s="9" t="s">
        <v>40186</v>
      </c>
      <c r="G767" s="9" t="s">
        <v>38946</v>
      </c>
      <c r="H767" s="127">
        <v>44873.0</v>
      </c>
      <c r="I767" s="9" t="s">
        <v>52</v>
      </c>
      <c r="J767" s="9" t="s">
        <v>38801</v>
      </c>
      <c r="K767" s="60">
        <v>44875.0</v>
      </c>
      <c r="M767" s="9" t="s">
        <v>265</v>
      </c>
    </row>
    <row r="768" ht="15.75" hidden="1" customHeight="1">
      <c r="A768" s="9" t="s">
        <v>40187</v>
      </c>
      <c r="B768" s="9" t="s">
        <v>14175</v>
      </c>
      <c r="D768" s="9" t="s">
        <v>12239</v>
      </c>
      <c r="F768" s="9" t="s">
        <v>40188</v>
      </c>
      <c r="G768" s="9" t="s">
        <v>38946</v>
      </c>
      <c r="H768" s="127">
        <v>44873.0</v>
      </c>
      <c r="I768" s="9" t="s">
        <v>131</v>
      </c>
      <c r="J768" s="9" t="s">
        <v>38801</v>
      </c>
      <c r="K768" s="60">
        <v>44875.0</v>
      </c>
      <c r="M768" s="9" t="s">
        <v>10384</v>
      </c>
    </row>
    <row r="769" ht="15.75" hidden="1" customHeight="1">
      <c r="A769" s="9" t="s">
        <v>40189</v>
      </c>
      <c r="B769" s="9" t="s">
        <v>14175</v>
      </c>
      <c r="D769" s="9" t="s">
        <v>12250</v>
      </c>
      <c r="F769" s="9" t="s">
        <v>40190</v>
      </c>
      <c r="G769" s="9" t="s">
        <v>38946</v>
      </c>
      <c r="H769" s="127">
        <v>44873.0</v>
      </c>
      <c r="I769" s="9" t="s">
        <v>131</v>
      </c>
      <c r="J769" s="9" t="s">
        <v>38801</v>
      </c>
      <c r="K769" s="60">
        <v>44875.0</v>
      </c>
      <c r="M769" s="9" t="s">
        <v>10384</v>
      </c>
    </row>
    <row r="770" ht="15.75" hidden="1" customHeight="1">
      <c r="A770" s="9" t="s">
        <v>40191</v>
      </c>
      <c r="B770" s="9" t="s">
        <v>12997</v>
      </c>
      <c r="D770" s="9" t="s">
        <v>12233</v>
      </c>
      <c r="F770" s="9" t="s">
        <v>40192</v>
      </c>
      <c r="G770" s="9" t="s">
        <v>38946</v>
      </c>
      <c r="H770" s="127">
        <v>44874.0</v>
      </c>
      <c r="I770" s="9" t="s">
        <v>52</v>
      </c>
      <c r="J770" s="9" t="s">
        <v>38801</v>
      </c>
      <c r="K770" s="60">
        <v>44879.0</v>
      </c>
      <c r="M770" s="9" t="s">
        <v>4712</v>
      </c>
    </row>
    <row r="771" ht="15.75" hidden="1" customHeight="1">
      <c r="A771" s="9" t="s">
        <v>40193</v>
      </c>
      <c r="B771" s="52" t="s">
        <v>16883</v>
      </c>
      <c r="D771" s="9" t="s">
        <v>12236</v>
      </c>
      <c r="F771" s="9" t="s">
        <v>40194</v>
      </c>
      <c r="G771" s="9" t="s">
        <v>38946</v>
      </c>
      <c r="H771" s="127">
        <v>44875.0</v>
      </c>
      <c r="I771" s="9" t="s">
        <v>52</v>
      </c>
      <c r="J771" s="9" t="s">
        <v>38801</v>
      </c>
      <c r="K771" s="60">
        <v>44875.0</v>
      </c>
      <c r="M771" s="9" t="s">
        <v>10533</v>
      </c>
    </row>
    <row r="772" ht="15.75" customHeight="1">
      <c r="A772" s="9" t="s">
        <v>40195</v>
      </c>
      <c r="B772" s="9" t="s">
        <v>16038</v>
      </c>
      <c r="D772" s="9" t="s">
        <v>12227</v>
      </c>
      <c r="E772" s="9" t="s">
        <v>38803</v>
      </c>
      <c r="F772" s="9" t="s">
        <v>40196</v>
      </c>
      <c r="G772" s="9" t="s">
        <v>38808</v>
      </c>
      <c r="H772" s="127">
        <v>44879.0</v>
      </c>
      <c r="I772" s="9" t="s">
        <v>131</v>
      </c>
      <c r="J772" s="9" t="s">
        <v>38805</v>
      </c>
      <c r="M772" s="9" t="s">
        <v>10486</v>
      </c>
    </row>
    <row r="773" ht="15.75" hidden="1" customHeight="1">
      <c r="A773" s="9" t="s">
        <v>40197</v>
      </c>
      <c r="B773" s="9" t="s">
        <v>16608</v>
      </c>
      <c r="D773" s="9" t="s">
        <v>12230</v>
      </c>
      <c r="F773" s="9" t="s">
        <v>40154</v>
      </c>
      <c r="G773" s="9" t="s">
        <v>38808</v>
      </c>
      <c r="H773" s="127">
        <v>44880.0</v>
      </c>
      <c r="I773" s="9" t="s">
        <v>131</v>
      </c>
      <c r="J773" s="9" t="s">
        <v>38801</v>
      </c>
      <c r="K773" s="60">
        <v>45411.0</v>
      </c>
      <c r="M773" s="9" t="s">
        <v>10715</v>
      </c>
    </row>
    <row r="774" ht="15.75" hidden="1" customHeight="1">
      <c r="A774" s="9" t="s">
        <v>40198</v>
      </c>
      <c r="B774" s="9" t="s">
        <v>18376</v>
      </c>
      <c r="D774" s="9" t="s">
        <v>12230</v>
      </c>
      <c r="F774" s="9" t="s">
        <v>40199</v>
      </c>
      <c r="G774" s="9" t="s">
        <v>38808</v>
      </c>
      <c r="H774" s="127">
        <v>44880.0</v>
      </c>
      <c r="I774" s="9" t="s">
        <v>47</v>
      </c>
      <c r="J774" s="9" t="s">
        <v>38801</v>
      </c>
      <c r="K774" s="60">
        <v>44918.0</v>
      </c>
      <c r="M774" s="9" t="s">
        <v>11680</v>
      </c>
    </row>
    <row r="775" ht="15.75" hidden="1" customHeight="1">
      <c r="A775" s="9" t="s">
        <v>40200</v>
      </c>
      <c r="B775" s="9" t="s">
        <v>18725</v>
      </c>
      <c r="D775" s="9" t="s">
        <v>12230</v>
      </c>
      <c r="F775" s="9" t="s">
        <v>40154</v>
      </c>
      <c r="G775" s="9" t="s">
        <v>38808</v>
      </c>
      <c r="H775" s="127">
        <v>44880.0</v>
      </c>
      <c r="I775" s="9" t="s">
        <v>131</v>
      </c>
      <c r="J775" s="9" t="s">
        <v>38801</v>
      </c>
      <c r="K775" s="60">
        <v>44883.0</v>
      </c>
      <c r="M775" s="9" t="s">
        <v>12146</v>
      </c>
    </row>
    <row r="776" ht="15.75" hidden="1" customHeight="1">
      <c r="A776" s="9" t="s">
        <v>40201</v>
      </c>
      <c r="B776" s="9" t="s">
        <v>20087</v>
      </c>
      <c r="D776" s="9" t="s">
        <v>12248</v>
      </c>
      <c r="F776" s="9" t="s">
        <v>40202</v>
      </c>
      <c r="G776" s="9" t="s">
        <v>38808</v>
      </c>
      <c r="H776" s="127">
        <v>44881.0</v>
      </c>
      <c r="I776" s="9" t="s">
        <v>131</v>
      </c>
      <c r="J776" s="9" t="s">
        <v>38801</v>
      </c>
      <c r="K776" s="55">
        <v>44897.0</v>
      </c>
      <c r="M776" s="9" t="s">
        <v>6807</v>
      </c>
    </row>
    <row r="777" ht="15.75" hidden="1" customHeight="1">
      <c r="A777" s="52" t="s">
        <v>40203</v>
      </c>
      <c r="B777" s="9" t="s">
        <v>26158</v>
      </c>
      <c r="D777" s="9" t="s">
        <v>12240</v>
      </c>
      <c r="F777" s="9" t="s">
        <v>40204</v>
      </c>
      <c r="G777" s="9" t="s">
        <v>38808</v>
      </c>
      <c r="H777" s="127">
        <v>44881.0</v>
      </c>
      <c r="I777" s="9" t="s">
        <v>131</v>
      </c>
      <c r="J777" s="9" t="s">
        <v>38801</v>
      </c>
      <c r="K777" s="55">
        <v>44897.0</v>
      </c>
      <c r="M777" s="9" t="s">
        <v>11864</v>
      </c>
    </row>
    <row r="778" ht="15.75" hidden="1" customHeight="1">
      <c r="A778" s="9" t="s">
        <v>40205</v>
      </c>
      <c r="B778" s="9" t="s">
        <v>18189</v>
      </c>
      <c r="D778" s="9" t="s">
        <v>12236</v>
      </c>
      <c r="F778" s="9" t="s">
        <v>40206</v>
      </c>
      <c r="G778" s="9" t="s">
        <v>38808</v>
      </c>
      <c r="H778" s="127">
        <v>44881.0</v>
      </c>
      <c r="I778" s="9" t="s">
        <v>26</v>
      </c>
      <c r="J778" s="9" t="s">
        <v>38801</v>
      </c>
      <c r="K778" s="60">
        <v>44883.0</v>
      </c>
      <c r="M778" s="9" t="s">
        <v>11700</v>
      </c>
    </row>
    <row r="779" ht="15.75" hidden="1" customHeight="1">
      <c r="A779" s="52" t="s">
        <v>40207</v>
      </c>
      <c r="B779" s="9" t="s">
        <v>26158</v>
      </c>
      <c r="D779" s="9" t="s">
        <v>12236</v>
      </c>
      <c r="F779" s="9" t="s">
        <v>40208</v>
      </c>
      <c r="G779" s="9" t="s">
        <v>38808</v>
      </c>
      <c r="H779" s="127">
        <v>44881.0</v>
      </c>
      <c r="I779" s="9" t="s">
        <v>131</v>
      </c>
      <c r="J779" s="9" t="s">
        <v>38801</v>
      </c>
      <c r="K779" s="60">
        <v>44883.0</v>
      </c>
      <c r="M779" s="9" t="s">
        <v>11864</v>
      </c>
    </row>
    <row r="780" ht="15.75" hidden="1" customHeight="1">
      <c r="A780" s="9" t="s">
        <v>40209</v>
      </c>
      <c r="B780" s="9" t="s">
        <v>15327</v>
      </c>
      <c r="D780" s="9" t="s">
        <v>12230</v>
      </c>
      <c r="F780" s="9" t="s">
        <v>39389</v>
      </c>
      <c r="G780" s="9" t="s">
        <v>38808</v>
      </c>
      <c r="H780" s="127">
        <v>44881.0</v>
      </c>
      <c r="I780" s="9" t="s">
        <v>47</v>
      </c>
      <c r="J780" s="9" t="s">
        <v>38801</v>
      </c>
      <c r="K780" s="60">
        <v>44881.0</v>
      </c>
      <c r="M780" s="9" t="s">
        <v>11949</v>
      </c>
    </row>
    <row r="781" ht="15.75" hidden="1" customHeight="1">
      <c r="A781" s="9" t="s">
        <v>40210</v>
      </c>
      <c r="B781" s="9" t="s">
        <v>13299</v>
      </c>
      <c r="D781" s="9" t="s">
        <v>12230</v>
      </c>
      <c r="F781" s="9" t="s">
        <v>40168</v>
      </c>
      <c r="G781" s="9" t="s">
        <v>38808</v>
      </c>
      <c r="H781" s="127">
        <v>44881.0</v>
      </c>
      <c r="I781" s="9" t="s">
        <v>47</v>
      </c>
      <c r="J781" s="9" t="s">
        <v>38801</v>
      </c>
      <c r="K781" s="60">
        <v>44881.0</v>
      </c>
      <c r="M781" s="9" t="s">
        <v>10571</v>
      </c>
    </row>
    <row r="782" ht="15.75" hidden="1" customHeight="1">
      <c r="A782" s="9" t="s">
        <v>40211</v>
      </c>
      <c r="B782" s="9" t="s">
        <v>26158</v>
      </c>
      <c r="D782" s="9" t="s">
        <v>12239</v>
      </c>
      <c r="F782" s="9" t="s">
        <v>40212</v>
      </c>
      <c r="G782" s="9" t="s">
        <v>38808</v>
      </c>
      <c r="H782" s="127">
        <v>44881.0</v>
      </c>
      <c r="I782" s="9" t="s">
        <v>131</v>
      </c>
      <c r="J782" s="9" t="s">
        <v>38801</v>
      </c>
      <c r="K782" s="60">
        <v>44881.0</v>
      </c>
      <c r="M782" s="9" t="s">
        <v>11864</v>
      </c>
    </row>
    <row r="783" ht="15.75" customHeight="1">
      <c r="A783" s="9" t="s">
        <v>40213</v>
      </c>
      <c r="B783" s="9" t="s">
        <v>18725</v>
      </c>
      <c r="D783" s="9" t="s">
        <v>12227</v>
      </c>
      <c r="E783" s="9" t="s">
        <v>38803</v>
      </c>
      <c r="F783" s="9" t="s">
        <v>40214</v>
      </c>
      <c r="G783" s="9" t="s">
        <v>38946</v>
      </c>
      <c r="H783" s="127">
        <v>44881.0</v>
      </c>
      <c r="I783" s="9" t="s">
        <v>131</v>
      </c>
      <c r="J783" s="9" t="s">
        <v>38805</v>
      </c>
      <c r="M783" s="9" t="s">
        <v>12146</v>
      </c>
    </row>
    <row r="784" ht="15.75" hidden="1" customHeight="1">
      <c r="A784" s="9" t="s">
        <v>40215</v>
      </c>
      <c r="B784" s="9" t="s">
        <v>15029</v>
      </c>
      <c r="D784" s="9" t="s">
        <v>12250</v>
      </c>
      <c r="F784" s="9" t="s">
        <v>40216</v>
      </c>
      <c r="G784" s="9" t="s">
        <v>38946</v>
      </c>
      <c r="H784" s="127">
        <v>44882.0</v>
      </c>
      <c r="I784" s="9" t="s">
        <v>131</v>
      </c>
      <c r="J784" s="9" t="s">
        <v>38801</v>
      </c>
      <c r="K784" s="60">
        <v>44966.0</v>
      </c>
      <c r="M784" s="9" t="s">
        <v>4800</v>
      </c>
    </row>
    <row r="785" ht="15.75" hidden="1" customHeight="1">
      <c r="A785" s="9" t="s">
        <v>40217</v>
      </c>
      <c r="B785" s="9" t="s">
        <v>19736</v>
      </c>
      <c r="D785" s="9" t="s">
        <v>12250</v>
      </c>
      <c r="F785" s="9" t="s">
        <v>40218</v>
      </c>
      <c r="G785" s="9" t="s">
        <v>38946</v>
      </c>
      <c r="H785" s="127">
        <v>44882.0</v>
      </c>
      <c r="I785" s="9" t="s">
        <v>26</v>
      </c>
      <c r="J785" s="9" t="s">
        <v>38801</v>
      </c>
      <c r="K785" s="55">
        <v>44897.0</v>
      </c>
      <c r="M785" s="9" t="s">
        <v>8965</v>
      </c>
    </row>
    <row r="786" ht="15.75" hidden="1" customHeight="1">
      <c r="A786" s="9" t="s">
        <v>40219</v>
      </c>
      <c r="B786" s="9" t="s">
        <v>16511</v>
      </c>
      <c r="D786" s="9" t="s">
        <v>12250</v>
      </c>
      <c r="F786" s="9" t="s">
        <v>40220</v>
      </c>
      <c r="G786" s="9" t="s">
        <v>38946</v>
      </c>
      <c r="H786" s="127">
        <v>44882.0</v>
      </c>
      <c r="I786" s="9" t="s">
        <v>26</v>
      </c>
      <c r="J786" s="9" t="s">
        <v>38801</v>
      </c>
      <c r="K786" s="55">
        <v>44897.0</v>
      </c>
      <c r="M786" s="9" t="s">
        <v>261</v>
      </c>
    </row>
    <row r="787" ht="15.75" hidden="1" customHeight="1">
      <c r="A787" s="9" t="s">
        <v>40221</v>
      </c>
      <c r="B787" s="9" t="s">
        <v>15029</v>
      </c>
      <c r="D787" s="9" t="s">
        <v>12239</v>
      </c>
      <c r="F787" s="9" t="s">
        <v>40222</v>
      </c>
      <c r="G787" s="9" t="s">
        <v>38946</v>
      </c>
      <c r="H787" s="127">
        <v>44882.0</v>
      </c>
      <c r="I787" s="9" t="s">
        <v>131</v>
      </c>
      <c r="J787" s="9" t="s">
        <v>38801</v>
      </c>
      <c r="K787" s="60">
        <v>44886.0</v>
      </c>
      <c r="M787" s="9" t="s">
        <v>4800</v>
      </c>
    </row>
    <row r="788" ht="15.75" hidden="1" customHeight="1">
      <c r="A788" s="9" t="s">
        <v>40223</v>
      </c>
      <c r="B788" s="9" t="s">
        <v>15029</v>
      </c>
      <c r="D788" s="9" t="s">
        <v>12240</v>
      </c>
      <c r="F788" s="9" t="s">
        <v>40224</v>
      </c>
      <c r="G788" s="9" t="s">
        <v>38946</v>
      </c>
      <c r="H788" s="127">
        <v>44882.0</v>
      </c>
      <c r="I788" s="9" t="s">
        <v>131</v>
      </c>
      <c r="J788" s="9" t="s">
        <v>38801</v>
      </c>
      <c r="K788" s="60">
        <v>44886.0</v>
      </c>
      <c r="M788" s="9" t="s">
        <v>4800</v>
      </c>
    </row>
    <row r="789" ht="15.75" hidden="1" customHeight="1">
      <c r="A789" s="9" t="s">
        <v>40225</v>
      </c>
      <c r="B789" s="9" t="s">
        <v>15029</v>
      </c>
      <c r="D789" s="9" t="s">
        <v>12236</v>
      </c>
      <c r="F789" s="9" t="s">
        <v>40226</v>
      </c>
      <c r="G789" s="9" t="s">
        <v>38946</v>
      </c>
      <c r="H789" s="127">
        <v>44886.0</v>
      </c>
      <c r="I789" s="9" t="s">
        <v>26</v>
      </c>
      <c r="J789" s="9" t="s">
        <v>38801</v>
      </c>
      <c r="K789" s="55">
        <v>44993.0</v>
      </c>
      <c r="M789" s="9" t="s">
        <v>4800</v>
      </c>
    </row>
    <row r="790" ht="15.75" hidden="1" customHeight="1">
      <c r="A790" s="9" t="s">
        <v>40227</v>
      </c>
      <c r="B790" s="9" t="s">
        <v>17535</v>
      </c>
      <c r="D790" s="9" t="s">
        <v>12258</v>
      </c>
      <c r="F790" s="9" t="s">
        <v>40228</v>
      </c>
      <c r="G790" s="9" t="s">
        <v>38946</v>
      </c>
      <c r="H790" s="127">
        <v>44886.0</v>
      </c>
      <c r="I790" s="9" t="s">
        <v>26</v>
      </c>
      <c r="J790" s="9" t="s">
        <v>38801</v>
      </c>
      <c r="K790" s="55">
        <v>44897.0</v>
      </c>
      <c r="M790" s="9" t="s">
        <v>5586</v>
      </c>
    </row>
    <row r="791" ht="15.75" hidden="1" customHeight="1">
      <c r="A791" s="9" t="s">
        <v>40229</v>
      </c>
      <c r="B791" s="9" t="s">
        <v>20033</v>
      </c>
      <c r="D791" s="9" t="s">
        <v>12230</v>
      </c>
      <c r="F791" s="9" t="s">
        <v>40230</v>
      </c>
      <c r="G791" s="9" t="s">
        <v>38808</v>
      </c>
      <c r="H791" s="127">
        <v>44886.0</v>
      </c>
      <c r="I791" s="9" t="s">
        <v>47</v>
      </c>
      <c r="J791" s="9" t="s">
        <v>38801</v>
      </c>
      <c r="K791" s="60">
        <v>44886.0</v>
      </c>
      <c r="M791" s="9" t="s">
        <v>11919</v>
      </c>
    </row>
    <row r="792" ht="15.75" hidden="1" customHeight="1">
      <c r="A792" s="9" t="s">
        <v>40231</v>
      </c>
      <c r="B792" s="9" t="s">
        <v>20326</v>
      </c>
      <c r="D792" s="9" t="s">
        <v>12230</v>
      </c>
      <c r="F792" s="9" t="s">
        <v>40232</v>
      </c>
      <c r="G792" s="9" t="s">
        <v>38808</v>
      </c>
      <c r="H792" s="127">
        <v>44886.0</v>
      </c>
      <c r="I792" s="9" t="s">
        <v>47</v>
      </c>
      <c r="J792" s="9" t="s">
        <v>38801</v>
      </c>
      <c r="K792" s="60">
        <v>44886.0</v>
      </c>
      <c r="M792" s="9" t="s">
        <v>5519</v>
      </c>
    </row>
    <row r="793" ht="15.75" hidden="1" customHeight="1">
      <c r="A793" s="9" t="s">
        <v>40233</v>
      </c>
      <c r="B793" s="9" t="s">
        <v>15738</v>
      </c>
      <c r="D793" s="9" t="s">
        <v>12230</v>
      </c>
      <c r="F793" s="9" t="s">
        <v>40234</v>
      </c>
      <c r="G793" s="9" t="s">
        <v>38844</v>
      </c>
      <c r="H793" s="127">
        <v>44886.0</v>
      </c>
      <c r="I793" s="9" t="s">
        <v>26</v>
      </c>
      <c r="J793" s="9" t="s">
        <v>38801</v>
      </c>
      <c r="K793" s="60">
        <v>44886.0</v>
      </c>
      <c r="M793" s="9" t="s">
        <v>1747</v>
      </c>
    </row>
    <row r="794" ht="15.75" hidden="1" customHeight="1">
      <c r="A794" s="9" t="s">
        <v>40235</v>
      </c>
      <c r="B794" s="9" t="s">
        <v>20819</v>
      </c>
      <c r="D794" s="9" t="s">
        <v>12250</v>
      </c>
      <c r="F794" s="9" t="s">
        <v>40236</v>
      </c>
      <c r="G794" s="9" t="s">
        <v>38946</v>
      </c>
      <c r="H794" s="127">
        <v>44887.0</v>
      </c>
      <c r="I794" s="9" t="s">
        <v>52</v>
      </c>
      <c r="J794" s="9" t="s">
        <v>38801</v>
      </c>
      <c r="K794" s="60">
        <v>44890.0</v>
      </c>
      <c r="M794" s="9" t="s">
        <v>8795</v>
      </c>
    </row>
    <row r="795" ht="15.75" hidden="1" customHeight="1">
      <c r="A795" s="9" t="s">
        <v>40237</v>
      </c>
      <c r="B795" s="9" t="s">
        <v>15880</v>
      </c>
      <c r="D795" s="9" t="s">
        <v>12242</v>
      </c>
      <c r="F795" s="9" t="s">
        <v>40238</v>
      </c>
      <c r="G795" s="9" t="s">
        <v>38808</v>
      </c>
      <c r="H795" s="127">
        <v>44889.0</v>
      </c>
      <c r="I795" s="9" t="s">
        <v>131</v>
      </c>
      <c r="J795" s="9" t="s">
        <v>38801</v>
      </c>
      <c r="K795" s="60">
        <v>45411.0</v>
      </c>
      <c r="M795" s="9" t="s">
        <v>10477</v>
      </c>
    </row>
    <row r="796" ht="15.75" hidden="1" customHeight="1">
      <c r="A796" s="9" t="s">
        <v>40239</v>
      </c>
      <c r="B796" s="9" t="s">
        <v>15880</v>
      </c>
      <c r="D796" s="9" t="s">
        <v>12230</v>
      </c>
      <c r="F796" s="9" t="s">
        <v>40240</v>
      </c>
      <c r="G796" s="9" t="s">
        <v>38808</v>
      </c>
      <c r="H796" s="127">
        <v>44889.0</v>
      </c>
      <c r="I796" s="9" t="s">
        <v>131</v>
      </c>
      <c r="J796" s="9" t="s">
        <v>38801</v>
      </c>
      <c r="K796" s="60">
        <v>45411.0</v>
      </c>
      <c r="M796" s="9" t="s">
        <v>10477</v>
      </c>
    </row>
    <row r="797" ht="15.75" hidden="1" customHeight="1">
      <c r="A797" s="9" t="s">
        <v>40241</v>
      </c>
      <c r="B797" s="9" t="s">
        <v>18114</v>
      </c>
      <c r="D797" s="9" t="s">
        <v>12230</v>
      </c>
      <c r="F797" s="9" t="s">
        <v>40242</v>
      </c>
      <c r="G797" s="9" t="s">
        <v>38808</v>
      </c>
      <c r="H797" s="127">
        <v>44889.0</v>
      </c>
      <c r="I797" s="9" t="s">
        <v>131</v>
      </c>
      <c r="J797" s="9" t="s">
        <v>38801</v>
      </c>
      <c r="K797" s="60">
        <v>44890.0</v>
      </c>
      <c r="M797" s="9" t="s">
        <v>10594</v>
      </c>
    </row>
    <row r="798" ht="15.75" hidden="1" customHeight="1">
      <c r="A798" s="9" t="s">
        <v>40243</v>
      </c>
      <c r="B798" s="9" t="s">
        <v>18114</v>
      </c>
      <c r="D798" s="9" t="s">
        <v>12236</v>
      </c>
      <c r="F798" s="9" t="s">
        <v>40244</v>
      </c>
      <c r="G798" s="9" t="s">
        <v>38808</v>
      </c>
      <c r="H798" s="127">
        <v>44889.0</v>
      </c>
      <c r="I798" s="9" t="s">
        <v>131</v>
      </c>
      <c r="J798" s="9" t="s">
        <v>38801</v>
      </c>
      <c r="K798" s="60">
        <v>44890.0</v>
      </c>
      <c r="M798" s="9" t="s">
        <v>10594</v>
      </c>
    </row>
    <row r="799" ht="15.75" hidden="1" customHeight="1">
      <c r="A799" s="9" t="s">
        <v>40245</v>
      </c>
      <c r="B799" s="9" t="s">
        <v>18114</v>
      </c>
      <c r="D799" s="9" t="s">
        <v>12242</v>
      </c>
      <c r="F799" s="9" t="s">
        <v>40246</v>
      </c>
      <c r="G799" s="9" t="s">
        <v>38808</v>
      </c>
      <c r="H799" s="127">
        <v>44889.0</v>
      </c>
      <c r="I799" s="9" t="s">
        <v>131</v>
      </c>
      <c r="J799" s="9" t="s">
        <v>38801</v>
      </c>
      <c r="K799" s="60">
        <v>44889.0</v>
      </c>
      <c r="M799" s="9" t="s">
        <v>10594</v>
      </c>
    </row>
    <row r="800" ht="15.75" hidden="1" customHeight="1">
      <c r="A800" s="9" t="s">
        <v>40247</v>
      </c>
      <c r="B800" s="9" t="s">
        <v>12832</v>
      </c>
      <c r="D800" s="9" t="s">
        <v>12236</v>
      </c>
      <c r="F800" s="9" t="s">
        <v>40248</v>
      </c>
      <c r="G800" s="9" t="s">
        <v>38946</v>
      </c>
      <c r="H800" s="127">
        <v>44890.0</v>
      </c>
      <c r="I800" s="9" t="s">
        <v>52</v>
      </c>
      <c r="J800" s="9" t="s">
        <v>38801</v>
      </c>
      <c r="K800" s="60">
        <v>46100.0</v>
      </c>
      <c r="M800" s="9" t="s">
        <v>10664</v>
      </c>
    </row>
    <row r="801" ht="15.75" hidden="1" customHeight="1">
      <c r="A801" s="9" t="s">
        <v>40249</v>
      </c>
      <c r="B801" s="9" t="s">
        <v>20326</v>
      </c>
      <c r="D801" s="9" t="s">
        <v>12230</v>
      </c>
      <c r="F801" s="9" t="s">
        <v>40250</v>
      </c>
      <c r="G801" s="9" t="s">
        <v>38808</v>
      </c>
      <c r="H801" s="127">
        <v>44894.0</v>
      </c>
      <c r="I801" s="9" t="s">
        <v>47</v>
      </c>
      <c r="J801" s="9" t="s">
        <v>38801</v>
      </c>
      <c r="K801" s="60">
        <v>44894.0</v>
      </c>
      <c r="M801" s="9" t="s">
        <v>5519</v>
      </c>
    </row>
    <row r="802" ht="15.75" hidden="1" customHeight="1">
      <c r="A802" s="9" t="s">
        <v>40251</v>
      </c>
      <c r="B802" s="9" t="s">
        <v>26150</v>
      </c>
      <c r="D802" s="9" t="s">
        <v>12230</v>
      </c>
      <c r="F802" s="9" t="s">
        <v>40252</v>
      </c>
      <c r="G802" s="9" t="s">
        <v>38808</v>
      </c>
      <c r="H802" s="127">
        <v>44894.0</v>
      </c>
      <c r="I802" s="9" t="s">
        <v>47</v>
      </c>
      <c r="J802" s="9" t="s">
        <v>38801</v>
      </c>
      <c r="K802" s="60">
        <v>44894.0</v>
      </c>
      <c r="M802" s="9" t="s">
        <v>11864</v>
      </c>
    </row>
    <row r="803" ht="15.75" hidden="1" customHeight="1">
      <c r="A803" s="9" t="s">
        <v>40253</v>
      </c>
      <c r="B803" s="9" t="s">
        <v>19486</v>
      </c>
      <c r="D803" s="9" t="s">
        <v>12230</v>
      </c>
      <c r="F803" s="9" t="s">
        <v>40254</v>
      </c>
      <c r="G803" s="9" t="s">
        <v>38808</v>
      </c>
      <c r="H803" s="127">
        <v>44895.0</v>
      </c>
      <c r="I803" s="9" t="s">
        <v>47</v>
      </c>
      <c r="J803" s="9" t="s">
        <v>38801</v>
      </c>
      <c r="K803" s="60">
        <v>45411.0</v>
      </c>
      <c r="M803" s="9" t="s">
        <v>8736</v>
      </c>
    </row>
    <row r="804" ht="15.75" hidden="1" customHeight="1">
      <c r="A804" s="9" t="s">
        <v>40255</v>
      </c>
      <c r="B804" s="9" t="s">
        <v>19854</v>
      </c>
      <c r="D804" s="9" t="s">
        <v>12230</v>
      </c>
      <c r="F804" s="9" t="s">
        <v>40256</v>
      </c>
      <c r="G804" s="9" t="s">
        <v>38808</v>
      </c>
      <c r="H804" s="127">
        <v>44895.0</v>
      </c>
      <c r="I804" s="9" t="s">
        <v>47</v>
      </c>
      <c r="J804" s="9" t="s">
        <v>38801</v>
      </c>
      <c r="K804" s="60">
        <v>44895.0</v>
      </c>
      <c r="M804" s="9" t="s">
        <v>12148</v>
      </c>
    </row>
    <row r="805" ht="15.75" hidden="1" customHeight="1">
      <c r="A805" s="9" t="s">
        <v>40257</v>
      </c>
      <c r="B805" s="9" t="s">
        <v>18762</v>
      </c>
      <c r="D805" s="9" t="s">
        <v>12230</v>
      </c>
      <c r="F805" s="9" t="s">
        <v>40258</v>
      </c>
      <c r="G805" s="9" t="s">
        <v>38808</v>
      </c>
      <c r="H805" s="127">
        <v>44895.0</v>
      </c>
      <c r="I805" s="9" t="s">
        <v>47</v>
      </c>
      <c r="J805" s="9" t="s">
        <v>38801</v>
      </c>
      <c r="K805" s="60">
        <v>44895.0</v>
      </c>
      <c r="M805" s="9" t="s">
        <v>9847</v>
      </c>
    </row>
    <row r="806" ht="15.75" hidden="1" customHeight="1">
      <c r="A806" s="9" t="s">
        <v>40259</v>
      </c>
      <c r="B806" s="9" t="s">
        <v>18376</v>
      </c>
      <c r="D806" s="9" t="s">
        <v>12236</v>
      </c>
      <c r="F806" s="9" t="s">
        <v>40260</v>
      </c>
      <c r="G806" s="9" t="s">
        <v>38946</v>
      </c>
      <c r="H806" s="127">
        <v>44896.0</v>
      </c>
      <c r="I806" s="9" t="s">
        <v>26</v>
      </c>
      <c r="J806" s="9" t="s">
        <v>38801</v>
      </c>
      <c r="K806" s="55">
        <v>44897.0</v>
      </c>
      <c r="M806" s="9" t="s">
        <v>11680</v>
      </c>
    </row>
    <row r="807" ht="15.75" hidden="1" customHeight="1">
      <c r="A807" s="9" t="s">
        <v>40261</v>
      </c>
      <c r="B807" s="9" t="s">
        <v>18376</v>
      </c>
      <c r="D807" s="9" t="s">
        <v>12239</v>
      </c>
      <c r="F807" s="9" t="s">
        <v>40262</v>
      </c>
      <c r="G807" s="9" t="s">
        <v>38946</v>
      </c>
      <c r="H807" s="127">
        <v>44896.0</v>
      </c>
      <c r="I807" s="9" t="s">
        <v>26</v>
      </c>
      <c r="J807" s="9" t="s">
        <v>38801</v>
      </c>
      <c r="K807" s="55">
        <v>44897.0</v>
      </c>
      <c r="M807" s="9" t="s">
        <v>11680</v>
      </c>
    </row>
    <row r="808" ht="15.75" hidden="1" customHeight="1">
      <c r="A808" s="9" t="s">
        <v>40263</v>
      </c>
      <c r="B808" s="9" t="s">
        <v>18376</v>
      </c>
      <c r="D808" s="9" t="s">
        <v>12244</v>
      </c>
      <c r="F808" s="9" t="s">
        <v>40264</v>
      </c>
      <c r="G808" s="9" t="s">
        <v>38946</v>
      </c>
      <c r="H808" s="127">
        <v>44896.0</v>
      </c>
      <c r="I808" s="9" t="s">
        <v>26</v>
      </c>
      <c r="J808" s="9" t="s">
        <v>38801</v>
      </c>
      <c r="K808" s="55">
        <v>44896.0</v>
      </c>
      <c r="M808" s="9" t="s">
        <v>11680</v>
      </c>
    </row>
    <row r="809" ht="15.75" hidden="1" customHeight="1">
      <c r="A809" s="9" t="s">
        <v>40265</v>
      </c>
      <c r="B809" s="9" t="s">
        <v>14747</v>
      </c>
      <c r="D809" s="9" t="s">
        <v>12230</v>
      </c>
      <c r="F809" s="9" t="s">
        <v>40266</v>
      </c>
      <c r="G809" s="9" t="s">
        <v>38808</v>
      </c>
      <c r="H809" s="127">
        <v>44897.0</v>
      </c>
      <c r="I809" s="9" t="s">
        <v>47</v>
      </c>
      <c r="J809" s="9" t="s">
        <v>38801</v>
      </c>
      <c r="K809" s="60">
        <v>44921.0</v>
      </c>
      <c r="M809" s="9" t="s">
        <v>12170</v>
      </c>
    </row>
    <row r="810" ht="15.75" hidden="1" customHeight="1">
      <c r="A810" s="9" t="s">
        <v>40267</v>
      </c>
      <c r="B810" s="9" t="s">
        <v>14747</v>
      </c>
      <c r="D810" s="9" t="s">
        <v>12230</v>
      </c>
      <c r="F810" s="9" t="s">
        <v>40268</v>
      </c>
      <c r="G810" s="9" t="s">
        <v>38808</v>
      </c>
      <c r="H810" s="127">
        <v>44897.0</v>
      </c>
      <c r="I810" s="9" t="s">
        <v>47</v>
      </c>
      <c r="J810" s="9" t="s">
        <v>38801</v>
      </c>
      <c r="K810" s="55">
        <v>44897.0</v>
      </c>
      <c r="M810" s="9" t="s">
        <v>12020</v>
      </c>
    </row>
    <row r="811" ht="15.75" hidden="1" customHeight="1">
      <c r="A811" s="9" t="s">
        <v>40269</v>
      </c>
      <c r="B811" s="9" t="s">
        <v>16417</v>
      </c>
      <c r="D811" s="9" t="s">
        <v>12254</v>
      </c>
      <c r="F811" s="9" t="s">
        <v>40270</v>
      </c>
      <c r="G811" s="9" t="s">
        <v>38946</v>
      </c>
      <c r="H811" s="127">
        <v>44898.0</v>
      </c>
      <c r="I811" s="9" t="s">
        <v>89</v>
      </c>
      <c r="J811" s="9" t="s">
        <v>38801</v>
      </c>
      <c r="K811" s="55">
        <v>45030.0</v>
      </c>
      <c r="M811" s="9" t="s">
        <v>3233</v>
      </c>
    </row>
    <row r="812" ht="15.75" hidden="1" customHeight="1">
      <c r="A812" s="9" t="s">
        <v>40271</v>
      </c>
      <c r="B812" s="9" t="s">
        <v>18213</v>
      </c>
      <c r="D812" s="9" t="s">
        <v>12254</v>
      </c>
      <c r="F812" s="9" t="s">
        <v>40272</v>
      </c>
      <c r="G812" s="9" t="s">
        <v>38946</v>
      </c>
      <c r="H812" s="127">
        <v>44898.0</v>
      </c>
      <c r="I812" s="9" t="s">
        <v>89</v>
      </c>
      <c r="J812" s="9" t="s">
        <v>38801</v>
      </c>
      <c r="K812" s="55">
        <v>45030.0</v>
      </c>
      <c r="M812" s="9" t="s">
        <v>12048</v>
      </c>
    </row>
    <row r="813" ht="15.75" hidden="1" customHeight="1">
      <c r="A813" s="9" t="s">
        <v>40273</v>
      </c>
      <c r="B813" s="9" t="s">
        <v>16511</v>
      </c>
      <c r="D813" s="9" t="s">
        <v>12254</v>
      </c>
      <c r="F813" s="9" t="s">
        <v>40274</v>
      </c>
      <c r="G813" s="9" t="s">
        <v>38946</v>
      </c>
      <c r="H813" s="127">
        <v>44898.0</v>
      </c>
      <c r="I813" s="9" t="s">
        <v>89</v>
      </c>
      <c r="J813" s="9" t="s">
        <v>38801</v>
      </c>
      <c r="K813" s="55">
        <v>45030.0</v>
      </c>
      <c r="M813" s="9" t="s">
        <v>261</v>
      </c>
    </row>
    <row r="814" ht="15.75" hidden="1" customHeight="1">
      <c r="A814" s="9" t="s">
        <v>40275</v>
      </c>
      <c r="B814" s="9" t="s">
        <v>18361</v>
      </c>
      <c r="D814" s="9" t="s">
        <v>12236</v>
      </c>
      <c r="F814" s="9" t="s">
        <v>40276</v>
      </c>
      <c r="G814" s="9" t="s">
        <v>38808</v>
      </c>
      <c r="H814" s="127">
        <v>44901.0</v>
      </c>
      <c r="I814" s="9" t="s">
        <v>26</v>
      </c>
      <c r="J814" s="9" t="s">
        <v>38801</v>
      </c>
      <c r="K814" s="60">
        <v>44916.0</v>
      </c>
      <c r="M814" s="9" t="s">
        <v>8644</v>
      </c>
    </row>
    <row r="815" ht="15.75" hidden="1" customHeight="1">
      <c r="A815" s="9" t="s">
        <v>40277</v>
      </c>
      <c r="B815" s="9" t="s">
        <v>18879</v>
      </c>
      <c r="D815" s="9" t="s">
        <v>12242</v>
      </c>
      <c r="F815" s="9" t="s">
        <v>40278</v>
      </c>
      <c r="G815" s="9" t="s">
        <v>38800</v>
      </c>
      <c r="H815" s="127">
        <v>44901.0</v>
      </c>
      <c r="I815" s="9" t="s">
        <v>26</v>
      </c>
      <c r="J815" s="9" t="s">
        <v>38801</v>
      </c>
      <c r="K815" s="55">
        <v>44901.0</v>
      </c>
      <c r="M815" s="9" t="s">
        <v>11917</v>
      </c>
    </row>
    <row r="816" ht="15.75" hidden="1" customHeight="1">
      <c r="A816" s="9" t="s">
        <v>40279</v>
      </c>
      <c r="B816" s="9" t="s">
        <v>12413</v>
      </c>
      <c r="D816" s="9" t="s">
        <v>12236</v>
      </c>
      <c r="F816" s="9" t="s">
        <v>40280</v>
      </c>
      <c r="G816" s="9" t="s">
        <v>38946</v>
      </c>
      <c r="H816" s="127">
        <v>44902.0</v>
      </c>
      <c r="I816" s="9" t="s">
        <v>131</v>
      </c>
      <c r="J816" s="9" t="s">
        <v>38801</v>
      </c>
      <c r="K816" s="60">
        <v>44916.0</v>
      </c>
      <c r="M816" s="9" t="s">
        <v>10271</v>
      </c>
    </row>
    <row r="817" ht="15.75" hidden="1" customHeight="1">
      <c r="A817" s="9" t="s">
        <v>40281</v>
      </c>
      <c r="B817" s="9" t="s">
        <v>12413</v>
      </c>
      <c r="D817" s="9" t="s">
        <v>12230</v>
      </c>
      <c r="F817" s="9" t="s">
        <v>40282</v>
      </c>
      <c r="G817" s="9" t="s">
        <v>38946</v>
      </c>
      <c r="H817" s="127">
        <v>44902.0</v>
      </c>
      <c r="I817" s="9" t="s">
        <v>131</v>
      </c>
      <c r="J817" s="9" t="s">
        <v>38801</v>
      </c>
      <c r="K817" s="55">
        <v>44903.0</v>
      </c>
      <c r="M817" s="9" t="s">
        <v>10271</v>
      </c>
    </row>
    <row r="818" ht="15.75" hidden="1" customHeight="1">
      <c r="A818" s="9" t="s">
        <v>40283</v>
      </c>
      <c r="B818" s="9" t="s">
        <v>14004</v>
      </c>
      <c r="D818" s="9" t="s">
        <v>12240</v>
      </c>
      <c r="F818" s="9" t="s">
        <v>40284</v>
      </c>
      <c r="G818" s="9" t="s">
        <v>38946</v>
      </c>
      <c r="H818" s="127">
        <v>44903.0</v>
      </c>
      <c r="I818" s="9" t="s">
        <v>131</v>
      </c>
      <c r="J818" s="9" t="s">
        <v>38801</v>
      </c>
      <c r="K818" s="60">
        <v>45043.0</v>
      </c>
      <c r="M818" s="9" t="s">
        <v>10368</v>
      </c>
    </row>
    <row r="819" ht="15.75" hidden="1" customHeight="1">
      <c r="A819" s="9" t="s">
        <v>40285</v>
      </c>
      <c r="B819" s="9" t="s">
        <v>14004</v>
      </c>
      <c r="D819" s="9" t="s">
        <v>12239</v>
      </c>
      <c r="F819" s="9" t="s">
        <v>40286</v>
      </c>
      <c r="G819" s="9" t="s">
        <v>38946</v>
      </c>
      <c r="H819" s="127">
        <v>44903.0</v>
      </c>
      <c r="I819" s="9" t="s">
        <v>131</v>
      </c>
      <c r="J819" s="9" t="s">
        <v>38801</v>
      </c>
      <c r="K819" s="55">
        <v>44974.0</v>
      </c>
      <c r="M819" s="9" t="s">
        <v>10368</v>
      </c>
    </row>
    <row r="820" ht="15.75" hidden="1" customHeight="1">
      <c r="A820" s="9" t="s">
        <v>40287</v>
      </c>
      <c r="B820" s="9" t="s">
        <v>14004</v>
      </c>
      <c r="D820" s="9" t="s">
        <v>12236</v>
      </c>
      <c r="F820" s="9" t="s">
        <v>40288</v>
      </c>
      <c r="G820" s="9" t="s">
        <v>38946</v>
      </c>
      <c r="H820" s="127">
        <v>44903.0</v>
      </c>
      <c r="I820" s="9" t="s">
        <v>131</v>
      </c>
      <c r="J820" s="9" t="s">
        <v>38801</v>
      </c>
      <c r="K820" s="60">
        <v>44910.0</v>
      </c>
      <c r="M820" s="9" t="s">
        <v>10368</v>
      </c>
    </row>
    <row r="821" ht="15.75" hidden="1" customHeight="1">
      <c r="A821" s="9" t="s">
        <v>40289</v>
      </c>
      <c r="B821" s="9" t="s">
        <v>13465</v>
      </c>
      <c r="D821" s="9" t="s">
        <v>12230</v>
      </c>
      <c r="F821" s="9" t="s">
        <v>40290</v>
      </c>
      <c r="G821" s="9" t="s">
        <v>38946</v>
      </c>
      <c r="H821" s="127">
        <v>44903.0</v>
      </c>
      <c r="I821" s="9" t="s">
        <v>131</v>
      </c>
      <c r="J821" s="9" t="s">
        <v>38801</v>
      </c>
      <c r="K821" s="55">
        <v>44903.0</v>
      </c>
      <c r="M821" s="9" t="s">
        <v>9984</v>
      </c>
    </row>
    <row r="822" ht="15.75" hidden="1" customHeight="1">
      <c r="A822" s="9" t="s">
        <v>40291</v>
      </c>
      <c r="B822" s="9" t="s">
        <v>12413</v>
      </c>
      <c r="D822" s="9" t="s">
        <v>12230</v>
      </c>
      <c r="F822" s="9" t="s">
        <v>40292</v>
      </c>
      <c r="G822" s="9" t="s">
        <v>38946</v>
      </c>
      <c r="H822" s="127">
        <v>44903.0</v>
      </c>
      <c r="I822" s="9" t="s">
        <v>131</v>
      </c>
      <c r="J822" s="9" t="s">
        <v>38801</v>
      </c>
      <c r="K822" s="55">
        <v>44903.0</v>
      </c>
      <c r="M822" s="9" t="s">
        <v>10271</v>
      </c>
    </row>
    <row r="823" ht="15.75" hidden="1" customHeight="1">
      <c r="A823" s="9" t="s">
        <v>40293</v>
      </c>
      <c r="B823" s="9" t="s">
        <v>15148</v>
      </c>
      <c r="D823" s="9" t="s">
        <v>12254</v>
      </c>
      <c r="F823" s="9" t="s">
        <v>40294</v>
      </c>
      <c r="G823" s="9" t="s">
        <v>38946</v>
      </c>
      <c r="H823" s="127">
        <v>44907.0</v>
      </c>
      <c r="I823" s="9" t="s">
        <v>89</v>
      </c>
      <c r="J823" s="9" t="s">
        <v>38801</v>
      </c>
      <c r="K823" s="55">
        <v>45030.0</v>
      </c>
      <c r="M823" s="9" t="s">
        <v>11981</v>
      </c>
    </row>
    <row r="824" ht="15.75" hidden="1" customHeight="1">
      <c r="A824" s="9" t="s">
        <v>40295</v>
      </c>
      <c r="B824" s="9" t="s">
        <v>16832</v>
      </c>
      <c r="D824" s="9" t="s">
        <v>12230</v>
      </c>
      <c r="F824" s="9" t="s">
        <v>40292</v>
      </c>
      <c r="G824" s="9" t="s">
        <v>38946</v>
      </c>
      <c r="H824" s="127">
        <v>44908.0</v>
      </c>
      <c r="I824" s="9" t="s">
        <v>131</v>
      </c>
      <c r="J824" s="9" t="s">
        <v>38801</v>
      </c>
      <c r="K824" s="60">
        <v>44908.0</v>
      </c>
      <c r="M824" s="9" t="s">
        <v>11987</v>
      </c>
    </row>
    <row r="825" ht="15.75" hidden="1" customHeight="1">
      <c r="A825" s="9" t="s">
        <v>40296</v>
      </c>
      <c r="B825" s="9" t="s">
        <v>15029</v>
      </c>
      <c r="D825" s="9" t="s">
        <v>12250</v>
      </c>
      <c r="F825" s="9" t="s">
        <v>40297</v>
      </c>
      <c r="G825" s="9" t="s">
        <v>38808</v>
      </c>
      <c r="H825" s="127">
        <v>44908.0</v>
      </c>
      <c r="I825" s="9" t="s">
        <v>47</v>
      </c>
      <c r="J825" s="9" t="s">
        <v>38801</v>
      </c>
      <c r="K825" s="60">
        <v>44908.0</v>
      </c>
      <c r="M825" s="9" t="s">
        <v>4800</v>
      </c>
    </row>
    <row r="826" ht="15.75" hidden="1" customHeight="1">
      <c r="A826" s="9" t="s">
        <v>40298</v>
      </c>
      <c r="B826" s="9" t="s">
        <v>19772</v>
      </c>
      <c r="D826" s="9" t="s">
        <v>12230</v>
      </c>
      <c r="F826" s="9" t="s">
        <v>40299</v>
      </c>
      <c r="G826" s="9" t="s">
        <v>38808</v>
      </c>
      <c r="H826" s="127">
        <v>44909.0</v>
      </c>
      <c r="I826" s="9" t="s">
        <v>47</v>
      </c>
      <c r="J826" s="9" t="s">
        <v>38801</v>
      </c>
      <c r="K826" s="60">
        <v>44909.0</v>
      </c>
      <c r="M826" s="9" t="s">
        <v>11851</v>
      </c>
    </row>
    <row r="827" ht="15.75" hidden="1" customHeight="1">
      <c r="A827" s="9" t="s">
        <v>40300</v>
      </c>
      <c r="B827" s="9" t="s">
        <v>13956</v>
      </c>
      <c r="D827" s="9" t="s">
        <v>12230</v>
      </c>
      <c r="F827" s="9" t="s">
        <v>40301</v>
      </c>
      <c r="G827" s="9" t="s">
        <v>38808</v>
      </c>
      <c r="H827" s="127">
        <v>44909.0</v>
      </c>
      <c r="I827" s="9" t="s">
        <v>47</v>
      </c>
      <c r="J827" s="9" t="s">
        <v>38801</v>
      </c>
      <c r="K827" s="60">
        <v>44909.0</v>
      </c>
      <c r="M827" s="9" t="s">
        <v>9206</v>
      </c>
    </row>
    <row r="828" ht="15.75" hidden="1" customHeight="1">
      <c r="A828" s="9" t="s">
        <v>40302</v>
      </c>
      <c r="B828" s="9" t="s">
        <v>18454</v>
      </c>
      <c r="D828" s="9" t="s">
        <v>12230</v>
      </c>
      <c r="F828" s="9" t="s">
        <v>40303</v>
      </c>
      <c r="G828" s="9" t="s">
        <v>38808</v>
      </c>
      <c r="H828" s="127">
        <v>44909.0</v>
      </c>
      <c r="I828" s="9" t="s">
        <v>47</v>
      </c>
      <c r="J828" s="9" t="s">
        <v>38801</v>
      </c>
      <c r="K828" s="60">
        <v>44909.0</v>
      </c>
      <c r="M828" s="9" t="s">
        <v>4935</v>
      </c>
    </row>
    <row r="829" ht="15.75" hidden="1" customHeight="1">
      <c r="A829" s="9" t="s">
        <v>40304</v>
      </c>
      <c r="B829" s="9" t="s">
        <v>15666</v>
      </c>
      <c r="D829" s="9" t="s">
        <v>12252</v>
      </c>
      <c r="F829" s="9" t="s">
        <v>40305</v>
      </c>
      <c r="G829" s="9" t="s">
        <v>38946</v>
      </c>
      <c r="H829" s="127">
        <v>44909.0</v>
      </c>
      <c r="I829" s="9" t="s">
        <v>47</v>
      </c>
      <c r="J829" s="9" t="s">
        <v>38801</v>
      </c>
      <c r="K829" s="60">
        <v>44909.0</v>
      </c>
      <c r="M829" s="9" t="s">
        <v>4011</v>
      </c>
    </row>
    <row r="830" ht="15.75" hidden="1" customHeight="1">
      <c r="A830" s="9" t="s">
        <v>40306</v>
      </c>
      <c r="B830" s="9" t="s">
        <v>15404</v>
      </c>
      <c r="D830" s="9" t="s">
        <v>12230</v>
      </c>
      <c r="F830" s="9" t="s">
        <v>40307</v>
      </c>
      <c r="G830" s="9" t="s">
        <v>38808</v>
      </c>
      <c r="H830" s="127">
        <v>44909.0</v>
      </c>
      <c r="I830" s="9" t="s">
        <v>47</v>
      </c>
      <c r="J830" s="9" t="s">
        <v>38801</v>
      </c>
      <c r="K830" s="60">
        <v>44909.0</v>
      </c>
      <c r="M830" s="9" t="s">
        <v>3464</v>
      </c>
    </row>
    <row r="831" ht="15.75" hidden="1" customHeight="1">
      <c r="A831" s="9" t="s">
        <v>40308</v>
      </c>
      <c r="B831" s="9" t="s">
        <v>18390</v>
      </c>
      <c r="D831" s="9" t="s">
        <v>12230</v>
      </c>
      <c r="F831" s="9" t="s">
        <v>40309</v>
      </c>
      <c r="G831" s="9" t="s">
        <v>38808</v>
      </c>
      <c r="H831" s="127">
        <v>44909.0</v>
      </c>
      <c r="I831" s="9" t="s">
        <v>47</v>
      </c>
      <c r="J831" s="9" t="s">
        <v>38801</v>
      </c>
      <c r="K831" s="60">
        <v>44909.0</v>
      </c>
      <c r="M831" s="9" t="s">
        <v>11992</v>
      </c>
    </row>
    <row r="832" ht="15.75" hidden="1" customHeight="1">
      <c r="A832" s="9" t="s">
        <v>40310</v>
      </c>
      <c r="B832" s="9" t="s">
        <v>20950</v>
      </c>
      <c r="D832" s="9" t="s">
        <v>12230</v>
      </c>
      <c r="F832" s="9" t="s">
        <v>40311</v>
      </c>
      <c r="G832" s="9" t="s">
        <v>38808</v>
      </c>
      <c r="H832" s="127">
        <v>44909.0</v>
      </c>
      <c r="I832" s="9" t="s">
        <v>47</v>
      </c>
      <c r="J832" s="9" t="s">
        <v>38801</v>
      </c>
      <c r="K832" s="60">
        <v>44909.0</v>
      </c>
      <c r="M832" s="9" t="s">
        <v>9688</v>
      </c>
    </row>
    <row r="833" ht="15.75" hidden="1" customHeight="1">
      <c r="A833" s="9" t="s">
        <v>40312</v>
      </c>
      <c r="B833" s="9" t="s">
        <v>15991</v>
      </c>
      <c r="D833" s="9" t="s">
        <v>12258</v>
      </c>
      <c r="F833" s="9" t="s">
        <v>40313</v>
      </c>
      <c r="G833" s="9" t="s">
        <v>38946</v>
      </c>
      <c r="H833" s="127">
        <v>44910.0</v>
      </c>
      <c r="I833" s="9" t="s">
        <v>122</v>
      </c>
      <c r="J833" s="9" t="s">
        <v>38801</v>
      </c>
      <c r="K833" s="55">
        <v>44931.0</v>
      </c>
      <c r="M833" s="9" t="s">
        <v>10225</v>
      </c>
    </row>
    <row r="834" ht="15.75" hidden="1" customHeight="1">
      <c r="A834" s="9" t="s">
        <v>40314</v>
      </c>
      <c r="B834" s="9" t="s">
        <v>26150</v>
      </c>
      <c r="D834" s="9" t="s">
        <v>12230</v>
      </c>
      <c r="F834" s="9" t="s">
        <v>40315</v>
      </c>
      <c r="G834" s="9" t="s">
        <v>38808</v>
      </c>
      <c r="H834" s="127">
        <v>44910.0</v>
      </c>
      <c r="I834" s="9" t="s">
        <v>47</v>
      </c>
      <c r="J834" s="9" t="s">
        <v>38801</v>
      </c>
      <c r="K834" s="55">
        <v>44929.0</v>
      </c>
      <c r="M834" s="9" t="s">
        <v>11864</v>
      </c>
    </row>
    <row r="835" ht="15.75" hidden="1" customHeight="1">
      <c r="A835" s="9" t="s">
        <v>40316</v>
      </c>
      <c r="B835" s="9" t="s">
        <v>14317</v>
      </c>
      <c r="D835" s="9" t="s">
        <v>12230</v>
      </c>
      <c r="F835" s="9" t="s">
        <v>40317</v>
      </c>
      <c r="G835" s="9" t="s">
        <v>38808</v>
      </c>
      <c r="H835" s="127">
        <v>44910.0</v>
      </c>
      <c r="I835" s="9" t="s">
        <v>47</v>
      </c>
      <c r="J835" s="9" t="s">
        <v>38801</v>
      </c>
      <c r="K835" s="60">
        <v>44910.0</v>
      </c>
      <c r="M835" s="9" t="s">
        <v>7026</v>
      </c>
    </row>
    <row r="836" ht="15.75" hidden="1" customHeight="1">
      <c r="A836" s="9" t="s">
        <v>40318</v>
      </c>
      <c r="B836" s="9" t="s">
        <v>14317</v>
      </c>
      <c r="D836" s="9" t="s">
        <v>12230</v>
      </c>
      <c r="F836" s="9" t="s">
        <v>40319</v>
      </c>
      <c r="G836" s="9" t="s">
        <v>38808</v>
      </c>
      <c r="H836" s="127">
        <v>44910.0</v>
      </c>
      <c r="I836" s="9" t="s">
        <v>47</v>
      </c>
      <c r="J836" s="9" t="s">
        <v>38801</v>
      </c>
      <c r="K836" s="60">
        <v>44910.0</v>
      </c>
      <c r="M836" s="9" t="s">
        <v>7041</v>
      </c>
    </row>
    <row r="837" ht="15.75" hidden="1" customHeight="1">
      <c r="A837" s="9" t="s">
        <v>40320</v>
      </c>
      <c r="B837" s="9" t="s">
        <v>18689</v>
      </c>
      <c r="D837" s="9" t="s">
        <v>12230</v>
      </c>
      <c r="F837" s="9" t="s">
        <v>39334</v>
      </c>
      <c r="G837" s="9" t="s">
        <v>38808</v>
      </c>
      <c r="H837" s="127">
        <v>44910.0</v>
      </c>
      <c r="I837" s="9" t="s">
        <v>47</v>
      </c>
      <c r="J837" s="9" t="s">
        <v>38801</v>
      </c>
      <c r="K837" s="60">
        <v>44910.0</v>
      </c>
      <c r="M837" s="9" t="s">
        <v>11763</v>
      </c>
    </row>
    <row r="838" ht="15.75" hidden="1" customHeight="1">
      <c r="A838" s="9" t="s">
        <v>40321</v>
      </c>
      <c r="B838" s="9" t="s">
        <v>15848</v>
      </c>
      <c r="D838" s="9" t="s">
        <v>12254</v>
      </c>
      <c r="F838" s="9" t="s">
        <v>40322</v>
      </c>
      <c r="G838" s="9" t="s">
        <v>38946</v>
      </c>
      <c r="H838" s="127">
        <v>44911.0</v>
      </c>
      <c r="I838" s="9" t="s">
        <v>116</v>
      </c>
      <c r="J838" s="9" t="s">
        <v>38801</v>
      </c>
      <c r="K838" s="55">
        <v>45030.0</v>
      </c>
      <c r="M838" s="9" t="s">
        <v>263</v>
      </c>
    </row>
    <row r="839" ht="15.75" hidden="1" customHeight="1">
      <c r="A839" s="9" t="s">
        <v>40323</v>
      </c>
      <c r="B839" s="9" t="s">
        <v>14549</v>
      </c>
      <c r="D839" s="9" t="s">
        <v>12254</v>
      </c>
      <c r="F839" s="9" t="s">
        <v>40324</v>
      </c>
      <c r="G839" s="9" t="s">
        <v>38946</v>
      </c>
      <c r="H839" s="127">
        <v>44911.0</v>
      </c>
      <c r="I839" s="9" t="s">
        <v>116</v>
      </c>
      <c r="J839" s="9" t="s">
        <v>38801</v>
      </c>
      <c r="K839" s="55">
        <v>45030.0</v>
      </c>
      <c r="M839" s="9" t="s">
        <v>255</v>
      </c>
    </row>
    <row r="840" ht="15.75" hidden="1" customHeight="1">
      <c r="A840" s="9" t="s">
        <v>40325</v>
      </c>
      <c r="B840" s="9" t="s">
        <v>18706</v>
      </c>
      <c r="D840" s="9" t="s">
        <v>12254</v>
      </c>
      <c r="F840" s="9" t="s">
        <v>40326</v>
      </c>
      <c r="G840" s="9" t="s">
        <v>38946</v>
      </c>
      <c r="H840" s="127">
        <v>44911.0</v>
      </c>
      <c r="I840" s="9" t="s">
        <v>116</v>
      </c>
      <c r="J840" s="9" t="s">
        <v>38801</v>
      </c>
      <c r="K840" s="55">
        <v>45030.0</v>
      </c>
      <c r="M840" s="9" t="s">
        <v>11657</v>
      </c>
    </row>
    <row r="841" ht="15.75" hidden="1" customHeight="1">
      <c r="A841" s="9" t="s">
        <v>40327</v>
      </c>
      <c r="B841" s="9" t="s">
        <v>15404</v>
      </c>
      <c r="D841" s="9" t="s">
        <v>12254</v>
      </c>
      <c r="F841" s="9" t="s">
        <v>40328</v>
      </c>
      <c r="G841" s="9" t="s">
        <v>38946</v>
      </c>
      <c r="H841" s="127">
        <v>44911.0</v>
      </c>
      <c r="I841" s="9" t="s">
        <v>116</v>
      </c>
      <c r="J841" s="9" t="s">
        <v>38801</v>
      </c>
      <c r="K841" s="55">
        <v>45030.0</v>
      </c>
      <c r="M841" s="9" t="s">
        <v>3436</v>
      </c>
    </row>
    <row r="842" ht="15.75" hidden="1" customHeight="1">
      <c r="A842" s="9" t="s">
        <v>40329</v>
      </c>
      <c r="B842" s="9" t="s">
        <v>16847</v>
      </c>
      <c r="D842" s="9" t="s">
        <v>12254</v>
      </c>
      <c r="F842" s="9" t="s">
        <v>40330</v>
      </c>
      <c r="G842" s="9" t="s">
        <v>38946</v>
      </c>
      <c r="H842" s="127">
        <v>44911.0</v>
      </c>
      <c r="I842" s="9" t="s">
        <v>116</v>
      </c>
      <c r="J842" s="9" t="s">
        <v>38801</v>
      </c>
      <c r="K842" s="55">
        <v>45030.0</v>
      </c>
      <c r="M842" s="9" t="s">
        <v>10531</v>
      </c>
    </row>
    <row r="843" ht="15.75" hidden="1" customHeight="1">
      <c r="A843" s="9" t="s">
        <v>40331</v>
      </c>
      <c r="B843" s="9" t="s">
        <v>18509</v>
      </c>
      <c r="D843" s="9" t="s">
        <v>12254</v>
      </c>
      <c r="F843" s="9" t="s">
        <v>40332</v>
      </c>
      <c r="G843" s="9" t="s">
        <v>38946</v>
      </c>
      <c r="H843" s="127">
        <v>44911.0</v>
      </c>
      <c r="I843" s="9" t="s">
        <v>116</v>
      </c>
      <c r="J843" s="9" t="s">
        <v>38801</v>
      </c>
      <c r="K843" s="55">
        <v>45030.0</v>
      </c>
      <c r="M843" s="9" t="s">
        <v>11623</v>
      </c>
    </row>
    <row r="844" ht="15.75" hidden="1" customHeight="1">
      <c r="A844" s="9" t="s">
        <v>40333</v>
      </c>
      <c r="B844" s="9" t="s">
        <v>12440</v>
      </c>
      <c r="D844" s="9" t="s">
        <v>12254</v>
      </c>
      <c r="F844" s="9" t="s">
        <v>40334</v>
      </c>
      <c r="G844" s="9" t="s">
        <v>38808</v>
      </c>
      <c r="H844" s="127">
        <v>44911.0</v>
      </c>
      <c r="I844" s="9" t="s">
        <v>116</v>
      </c>
      <c r="J844" s="9" t="s">
        <v>38801</v>
      </c>
      <c r="K844" s="55">
        <v>46100.0</v>
      </c>
      <c r="M844" s="9" t="s">
        <v>9268</v>
      </c>
    </row>
    <row r="845" ht="15.75" hidden="1" customHeight="1">
      <c r="A845" s="9" t="s">
        <v>40335</v>
      </c>
      <c r="B845" s="9" t="s">
        <v>17535</v>
      </c>
      <c r="D845" s="9" t="s">
        <v>12252</v>
      </c>
      <c r="F845" s="9" t="s">
        <v>40336</v>
      </c>
      <c r="G845" s="9" t="s">
        <v>38808</v>
      </c>
      <c r="H845" s="127">
        <v>44911.0</v>
      </c>
      <c r="I845" s="9" t="s">
        <v>131</v>
      </c>
      <c r="J845" s="9" t="s">
        <v>38801</v>
      </c>
      <c r="K845" s="55">
        <v>44972.0</v>
      </c>
      <c r="M845" s="9" t="s">
        <v>5586</v>
      </c>
    </row>
    <row r="846" ht="15.75" hidden="1" customHeight="1">
      <c r="A846" s="9" t="s">
        <v>40337</v>
      </c>
      <c r="B846" s="52" t="s">
        <v>18430</v>
      </c>
      <c r="D846" s="9" t="s">
        <v>12230</v>
      </c>
      <c r="F846" s="9" t="s">
        <v>40292</v>
      </c>
      <c r="G846" s="9" t="s">
        <v>38946</v>
      </c>
      <c r="H846" s="127">
        <v>44914.0</v>
      </c>
      <c r="I846" s="9" t="s">
        <v>131</v>
      </c>
      <c r="J846" s="9" t="s">
        <v>38801</v>
      </c>
      <c r="K846" s="60">
        <v>44917.0</v>
      </c>
      <c r="M846" s="9" t="s">
        <v>12024</v>
      </c>
    </row>
    <row r="847" ht="15.75" hidden="1" customHeight="1">
      <c r="A847" s="9" t="s">
        <v>40338</v>
      </c>
      <c r="B847" s="52" t="s">
        <v>18430</v>
      </c>
      <c r="D847" s="9" t="s">
        <v>12250</v>
      </c>
      <c r="F847" s="9" t="s">
        <v>40339</v>
      </c>
      <c r="G847" s="9" t="s">
        <v>38946</v>
      </c>
      <c r="H847" s="127">
        <v>44914.0</v>
      </c>
      <c r="I847" s="9" t="s">
        <v>131</v>
      </c>
      <c r="J847" s="9" t="s">
        <v>38801</v>
      </c>
      <c r="K847" s="60">
        <v>44917.0</v>
      </c>
      <c r="M847" s="9" t="s">
        <v>12024</v>
      </c>
    </row>
    <row r="848" ht="15.75" hidden="1" customHeight="1">
      <c r="A848" s="9" t="s">
        <v>40340</v>
      </c>
      <c r="B848" s="52" t="s">
        <v>18430</v>
      </c>
      <c r="D848" s="9" t="s">
        <v>12236</v>
      </c>
      <c r="F848" s="9" t="s">
        <v>40341</v>
      </c>
      <c r="G848" s="9" t="s">
        <v>38946</v>
      </c>
      <c r="H848" s="127">
        <v>44914.0</v>
      </c>
      <c r="I848" s="9" t="s">
        <v>131</v>
      </c>
      <c r="J848" s="9" t="s">
        <v>38801</v>
      </c>
      <c r="K848" s="60">
        <v>44916.0</v>
      </c>
      <c r="M848" s="9" t="s">
        <v>12024</v>
      </c>
    </row>
    <row r="849" ht="15.75" hidden="1" customHeight="1">
      <c r="A849" s="9" t="s">
        <v>40342</v>
      </c>
      <c r="B849" s="9" t="s">
        <v>14274</v>
      </c>
      <c r="D849" s="9" t="s">
        <v>12255</v>
      </c>
      <c r="F849" s="9" t="s">
        <v>40343</v>
      </c>
      <c r="G849" s="9" t="s">
        <v>38993</v>
      </c>
      <c r="H849" s="127">
        <v>44916.0</v>
      </c>
      <c r="I849" s="9" t="s">
        <v>101</v>
      </c>
      <c r="J849" s="9" t="s">
        <v>38801</v>
      </c>
      <c r="K849" s="55">
        <v>45507.0</v>
      </c>
      <c r="M849" s="9" t="s">
        <v>10691</v>
      </c>
    </row>
    <row r="850" ht="15.75" hidden="1" customHeight="1">
      <c r="A850" s="9" t="s">
        <v>40344</v>
      </c>
      <c r="B850" s="9" t="s">
        <v>18341</v>
      </c>
      <c r="D850" s="9" t="s">
        <v>12230</v>
      </c>
      <c r="F850" s="9" t="s">
        <v>40345</v>
      </c>
      <c r="G850" s="9" t="s">
        <v>38808</v>
      </c>
      <c r="H850" s="127">
        <v>44917.0</v>
      </c>
      <c r="I850" s="9" t="s">
        <v>47</v>
      </c>
      <c r="J850" s="9" t="s">
        <v>38801</v>
      </c>
      <c r="K850" s="55">
        <v>44929.0</v>
      </c>
      <c r="M850" s="9" t="s">
        <v>11645</v>
      </c>
    </row>
    <row r="851" ht="15.75" hidden="1" customHeight="1">
      <c r="A851" s="9" t="s">
        <v>40346</v>
      </c>
      <c r="B851" s="9" t="s">
        <v>16463</v>
      </c>
      <c r="D851" s="9" t="s">
        <v>12230</v>
      </c>
      <c r="F851" s="9" t="s">
        <v>40347</v>
      </c>
      <c r="G851" s="9" t="s">
        <v>38808</v>
      </c>
      <c r="H851" s="127">
        <v>44917.0</v>
      </c>
      <c r="I851" s="9" t="s">
        <v>47</v>
      </c>
      <c r="J851" s="9" t="s">
        <v>38801</v>
      </c>
      <c r="K851" s="60">
        <v>44917.0</v>
      </c>
      <c r="M851" s="9" t="s">
        <v>9429</v>
      </c>
    </row>
    <row r="852" ht="15.75" customHeight="1">
      <c r="A852" s="9" t="s">
        <v>40348</v>
      </c>
      <c r="B852" s="52" t="s">
        <v>18430</v>
      </c>
      <c r="D852" s="9" t="s">
        <v>12227</v>
      </c>
      <c r="E852" s="9" t="s">
        <v>38803</v>
      </c>
      <c r="F852" s="9" t="s">
        <v>40349</v>
      </c>
      <c r="G852" s="9" t="s">
        <v>38946</v>
      </c>
      <c r="H852" s="127">
        <v>44917.0</v>
      </c>
      <c r="I852" s="9" t="s">
        <v>131</v>
      </c>
      <c r="J852" s="9" t="s">
        <v>38801</v>
      </c>
      <c r="K852" s="55">
        <v>45678.0</v>
      </c>
      <c r="M852" s="9" t="s">
        <v>12024</v>
      </c>
    </row>
    <row r="853" ht="15.75" hidden="1" customHeight="1">
      <c r="A853" s="9" t="s">
        <v>40350</v>
      </c>
      <c r="B853" s="9" t="s">
        <v>18390</v>
      </c>
      <c r="D853" s="9" t="s">
        <v>12239</v>
      </c>
      <c r="F853" s="9" t="s">
        <v>40351</v>
      </c>
      <c r="G853" s="9" t="s">
        <v>38946</v>
      </c>
      <c r="H853" s="127">
        <v>44918.0</v>
      </c>
      <c r="I853" s="9" t="s">
        <v>131</v>
      </c>
      <c r="J853" s="9" t="s">
        <v>38801</v>
      </c>
      <c r="K853" s="55">
        <v>45002.0</v>
      </c>
      <c r="M853" s="9" t="s">
        <v>11992</v>
      </c>
    </row>
    <row r="854" ht="15.75" hidden="1" customHeight="1">
      <c r="A854" s="9" t="s">
        <v>40352</v>
      </c>
      <c r="B854" s="9" t="s">
        <v>18230</v>
      </c>
      <c r="D854" s="9" t="s">
        <v>12248</v>
      </c>
      <c r="F854" s="9" t="s">
        <v>40353</v>
      </c>
      <c r="G854" s="9" t="s">
        <v>38946</v>
      </c>
      <c r="H854" s="127">
        <v>44928.0</v>
      </c>
      <c r="I854" s="9" t="s">
        <v>131</v>
      </c>
      <c r="J854" s="9" t="s">
        <v>38801</v>
      </c>
      <c r="K854" s="55">
        <v>45411.0</v>
      </c>
      <c r="M854" s="9" t="s">
        <v>10603</v>
      </c>
    </row>
    <row r="855" ht="15.75" hidden="1" customHeight="1">
      <c r="A855" s="9" t="s">
        <v>40354</v>
      </c>
      <c r="B855" s="9" t="s">
        <v>13990</v>
      </c>
      <c r="D855" s="9" t="s">
        <v>12255</v>
      </c>
      <c r="F855" s="9" t="s">
        <v>40355</v>
      </c>
      <c r="G855" s="9" t="s">
        <v>38808</v>
      </c>
      <c r="H855" s="127">
        <v>44929.0</v>
      </c>
      <c r="I855" s="9" t="s">
        <v>96</v>
      </c>
      <c r="J855" s="9" t="s">
        <v>38801</v>
      </c>
      <c r="K855" s="55">
        <v>45527.0</v>
      </c>
      <c r="M855" s="9" t="s">
        <v>9189</v>
      </c>
    </row>
    <row r="856" ht="15.75" hidden="1" customHeight="1">
      <c r="A856" s="9" t="s">
        <v>40356</v>
      </c>
      <c r="B856" s="9" t="s">
        <v>15794</v>
      </c>
      <c r="D856" s="9" t="s">
        <v>12230</v>
      </c>
      <c r="F856" s="9" t="s">
        <v>40357</v>
      </c>
      <c r="G856" s="9" t="s">
        <v>38946</v>
      </c>
      <c r="H856" s="127">
        <v>44929.0</v>
      </c>
      <c r="I856" s="9" t="s">
        <v>52</v>
      </c>
      <c r="J856" s="9" t="s">
        <v>38801</v>
      </c>
      <c r="K856" s="55">
        <v>44936.0</v>
      </c>
      <c r="M856" s="9" t="s">
        <v>10472</v>
      </c>
    </row>
    <row r="857" ht="15.75" hidden="1" customHeight="1">
      <c r="A857" s="9" t="s">
        <v>40358</v>
      </c>
      <c r="B857" s="9" t="s">
        <v>21692</v>
      </c>
      <c r="D857" s="9" t="s">
        <v>12230</v>
      </c>
      <c r="F857" s="9" t="s">
        <v>40359</v>
      </c>
      <c r="G857" s="9" t="s">
        <v>38946</v>
      </c>
      <c r="H857" s="127">
        <v>44929.0</v>
      </c>
      <c r="I857" s="9" t="s">
        <v>52</v>
      </c>
      <c r="J857" s="9" t="s">
        <v>38801</v>
      </c>
      <c r="K857" s="55">
        <v>44935.0</v>
      </c>
      <c r="M857" s="9" t="s">
        <v>9911</v>
      </c>
    </row>
    <row r="858" ht="15.75" hidden="1" customHeight="1">
      <c r="A858" s="9" t="s">
        <v>40360</v>
      </c>
      <c r="B858" s="9" t="s">
        <v>18303</v>
      </c>
      <c r="D858" s="9" t="s">
        <v>12224</v>
      </c>
      <c r="F858" s="9" t="s">
        <v>40361</v>
      </c>
      <c r="G858" s="9" t="s">
        <v>38946</v>
      </c>
      <c r="H858" s="127">
        <v>44931.0</v>
      </c>
      <c r="I858" s="9" t="s">
        <v>131</v>
      </c>
      <c r="J858" s="9" t="s">
        <v>38801</v>
      </c>
      <c r="K858" s="55">
        <v>45411.0</v>
      </c>
      <c r="M858" s="9" t="s">
        <v>4336</v>
      </c>
    </row>
    <row r="859" ht="15.75" hidden="1" customHeight="1">
      <c r="A859" s="9" t="s">
        <v>40362</v>
      </c>
      <c r="B859" s="9" t="s">
        <v>18303</v>
      </c>
      <c r="D859" s="9" t="s">
        <v>12248</v>
      </c>
      <c r="F859" s="9" t="s">
        <v>40363</v>
      </c>
      <c r="G859" s="9" t="s">
        <v>38946</v>
      </c>
      <c r="H859" s="127">
        <v>44931.0</v>
      </c>
      <c r="I859" s="9" t="s">
        <v>131</v>
      </c>
      <c r="J859" s="9" t="s">
        <v>38801</v>
      </c>
      <c r="K859" s="55">
        <v>45411.0</v>
      </c>
      <c r="M859" s="9" t="s">
        <v>4336</v>
      </c>
    </row>
    <row r="860" ht="15.75" hidden="1" customHeight="1">
      <c r="A860" s="9" t="s">
        <v>40364</v>
      </c>
      <c r="B860" s="9" t="s">
        <v>18189</v>
      </c>
      <c r="D860" s="9" t="s">
        <v>12236</v>
      </c>
      <c r="F860" s="9" t="s">
        <v>40365</v>
      </c>
      <c r="G860" s="9" t="s">
        <v>38946</v>
      </c>
      <c r="H860" s="127">
        <v>44931.0</v>
      </c>
      <c r="I860" s="9" t="s">
        <v>52</v>
      </c>
      <c r="J860" s="9" t="s">
        <v>38801</v>
      </c>
      <c r="K860" s="55">
        <v>44937.0</v>
      </c>
      <c r="M860" s="9" t="s">
        <v>11700</v>
      </c>
    </row>
    <row r="861" ht="15.75" hidden="1" customHeight="1">
      <c r="A861" s="9" t="s">
        <v>40366</v>
      </c>
      <c r="B861" s="9" t="s">
        <v>18444</v>
      </c>
      <c r="D861" s="9" t="s">
        <v>12254</v>
      </c>
      <c r="F861" s="9" t="s">
        <v>40367</v>
      </c>
      <c r="G861" s="9" t="s">
        <v>38946</v>
      </c>
      <c r="H861" s="127">
        <v>44935.0</v>
      </c>
      <c r="I861" s="9" t="s">
        <v>116</v>
      </c>
      <c r="J861" s="9" t="s">
        <v>38801</v>
      </c>
      <c r="K861" s="55">
        <v>45030.0</v>
      </c>
      <c r="M861" s="9" t="s">
        <v>11684</v>
      </c>
    </row>
    <row r="862" ht="15.75" hidden="1" customHeight="1">
      <c r="A862" s="9" t="s">
        <v>40368</v>
      </c>
      <c r="B862" s="9" t="s">
        <v>17900</v>
      </c>
      <c r="D862" s="9" t="s">
        <v>12239</v>
      </c>
      <c r="F862" s="9" t="s">
        <v>40369</v>
      </c>
      <c r="G862" s="9" t="s">
        <v>38946</v>
      </c>
      <c r="H862" s="127">
        <v>44935.0</v>
      </c>
      <c r="I862" s="9" t="s">
        <v>52</v>
      </c>
      <c r="J862" s="9" t="s">
        <v>38801</v>
      </c>
      <c r="K862" s="55">
        <v>44979.0</v>
      </c>
      <c r="M862" s="9" t="s">
        <v>11875</v>
      </c>
    </row>
    <row r="863" ht="15.75" hidden="1" customHeight="1">
      <c r="A863" s="9" t="s">
        <v>40370</v>
      </c>
      <c r="B863" s="9" t="s">
        <v>18270</v>
      </c>
      <c r="D863" s="9" t="s">
        <v>12230</v>
      </c>
      <c r="F863" s="9" t="s">
        <v>40371</v>
      </c>
      <c r="G863" s="9" t="s">
        <v>38808</v>
      </c>
      <c r="H863" s="127">
        <v>44935.0</v>
      </c>
      <c r="I863" s="9" t="s">
        <v>47</v>
      </c>
      <c r="J863" s="9" t="s">
        <v>38801</v>
      </c>
      <c r="K863" s="55">
        <v>44935.0</v>
      </c>
      <c r="M863" s="9" t="s">
        <v>388</v>
      </c>
    </row>
    <row r="864" ht="15.75" hidden="1" customHeight="1">
      <c r="A864" s="9" t="s">
        <v>40372</v>
      </c>
      <c r="B864" s="9" t="s">
        <v>16171</v>
      </c>
      <c r="D864" s="9" t="s">
        <v>12239</v>
      </c>
      <c r="F864" s="9" t="s">
        <v>40034</v>
      </c>
      <c r="G864" s="9" t="s">
        <v>38946</v>
      </c>
      <c r="H864" s="127">
        <v>44936.0</v>
      </c>
      <c r="I864" s="9" t="s">
        <v>52</v>
      </c>
      <c r="J864" s="9" t="s">
        <v>38801</v>
      </c>
      <c r="K864" s="55">
        <v>44943.0</v>
      </c>
      <c r="M864" s="9" t="s">
        <v>11805</v>
      </c>
    </row>
    <row r="865" ht="15.75" hidden="1" customHeight="1">
      <c r="A865" s="9" t="s">
        <v>40373</v>
      </c>
      <c r="B865" s="9" t="s">
        <v>18174</v>
      </c>
      <c r="D865" s="9" t="s">
        <v>12230</v>
      </c>
      <c r="F865" s="9" t="s">
        <v>40374</v>
      </c>
      <c r="G865" s="9" t="s">
        <v>38808</v>
      </c>
      <c r="H865" s="127">
        <v>44936.0</v>
      </c>
      <c r="I865" s="9" t="s">
        <v>47</v>
      </c>
      <c r="J865" s="9" t="s">
        <v>38801</v>
      </c>
      <c r="K865" s="55">
        <v>44937.0</v>
      </c>
      <c r="M865" s="9" t="s">
        <v>12115</v>
      </c>
    </row>
    <row r="866" ht="15.75" hidden="1" customHeight="1">
      <c r="A866" s="9" t="s">
        <v>40375</v>
      </c>
      <c r="B866" s="9" t="s">
        <v>14747</v>
      </c>
      <c r="D866" s="9" t="s">
        <v>12230</v>
      </c>
      <c r="F866" s="9" t="s">
        <v>40376</v>
      </c>
      <c r="G866" s="9" t="s">
        <v>38946</v>
      </c>
      <c r="H866" s="127">
        <v>44936.0</v>
      </c>
      <c r="I866" s="9" t="s">
        <v>52</v>
      </c>
      <c r="J866" s="9" t="s">
        <v>38801</v>
      </c>
      <c r="K866" s="55">
        <v>44937.0</v>
      </c>
      <c r="M866" s="9" t="s">
        <v>12170</v>
      </c>
    </row>
    <row r="867" ht="15.75" hidden="1" customHeight="1">
      <c r="A867" s="9" t="s">
        <v>40377</v>
      </c>
      <c r="B867" s="9" t="s">
        <v>14747</v>
      </c>
      <c r="D867" s="9" t="s">
        <v>12230</v>
      </c>
      <c r="F867" s="9" t="s">
        <v>40378</v>
      </c>
      <c r="G867" s="9" t="s">
        <v>38946</v>
      </c>
      <c r="H867" s="127">
        <v>44936.0</v>
      </c>
      <c r="I867" s="9" t="s">
        <v>52</v>
      </c>
      <c r="J867" s="9" t="s">
        <v>38801</v>
      </c>
      <c r="K867" s="55">
        <v>44937.0</v>
      </c>
      <c r="M867" s="9" t="s">
        <v>12020</v>
      </c>
    </row>
    <row r="868" ht="15.75" hidden="1" customHeight="1">
      <c r="A868" s="9" t="s">
        <v>40379</v>
      </c>
      <c r="B868" s="9" t="s">
        <v>20950</v>
      </c>
      <c r="D868" s="9" t="s">
        <v>12230</v>
      </c>
      <c r="F868" s="9" t="s">
        <v>40380</v>
      </c>
      <c r="G868" s="9" t="s">
        <v>38946</v>
      </c>
      <c r="H868" s="127">
        <v>44936.0</v>
      </c>
      <c r="I868" s="9" t="s">
        <v>52</v>
      </c>
      <c r="J868" s="9" t="s">
        <v>38801</v>
      </c>
      <c r="K868" s="55">
        <v>44937.0</v>
      </c>
      <c r="M868" s="9" t="s">
        <v>9688</v>
      </c>
    </row>
    <row r="869" ht="15.75" hidden="1" customHeight="1">
      <c r="A869" s="9" t="s">
        <v>40381</v>
      </c>
      <c r="B869" s="9" t="s">
        <v>18114</v>
      </c>
      <c r="D869" s="9" t="s">
        <v>12250</v>
      </c>
      <c r="F869" s="9" t="s">
        <v>40382</v>
      </c>
      <c r="G869" s="9" t="s">
        <v>38946</v>
      </c>
      <c r="H869" s="127">
        <v>44936.0</v>
      </c>
      <c r="I869" s="9" t="s">
        <v>47</v>
      </c>
      <c r="J869" s="9" t="s">
        <v>38801</v>
      </c>
      <c r="K869" s="55">
        <v>44936.0</v>
      </c>
      <c r="M869" s="9" t="s">
        <v>10594</v>
      </c>
    </row>
    <row r="870" ht="15.75" hidden="1" customHeight="1">
      <c r="A870" s="9" t="s">
        <v>40383</v>
      </c>
      <c r="B870" s="9" t="s">
        <v>16697</v>
      </c>
      <c r="D870" s="9" t="s">
        <v>12250</v>
      </c>
      <c r="F870" s="9" t="s">
        <v>40384</v>
      </c>
      <c r="G870" s="9" t="s">
        <v>38946</v>
      </c>
      <c r="H870" s="127">
        <v>44936.0</v>
      </c>
      <c r="I870" s="9" t="s">
        <v>52</v>
      </c>
      <c r="J870" s="9" t="s">
        <v>38801</v>
      </c>
      <c r="K870" s="55">
        <v>44936.0</v>
      </c>
      <c r="M870" s="9" t="s">
        <v>7298</v>
      </c>
    </row>
    <row r="871" ht="15.75" hidden="1" customHeight="1">
      <c r="A871" s="9" t="s">
        <v>40385</v>
      </c>
      <c r="B871" s="9" t="s">
        <v>18341</v>
      </c>
      <c r="D871" s="9" t="s">
        <v>12239</v>
      </c>
      <c r="F871" s="9" t="s">
        <v>40034</v>
      </c>
      <c r="G871" s="9" t="s">
        <v>38946</v>
      </c>
      <c r="H871" s="127">
        <v>44937.0</v>
      </c>
      <c r="I871" s="9" t="s">
        <v>52</v>
      </c>
      <c r="J871" s="9" t="s">
        <v>38801</v>
      </c>
      <c r="K871" s="55">
        <v>44945.0</v>
      </c>
      <c r="M871" s="9" t="s">
        <v>11660</v>
      </c>
    </row>
    <row r="872" ht="15.75" hidden="1" customHeight="1">
      <c r="A872" s="9" t="s">
        <v>40386</v>
      </c>
      <c r="B872" s="9" t="s">
        <v>18341</v>
      </c>
      <c r="D872" s="9" t="s">
        <v>12239</v>
      </c>
      <c r="F872" s="9" t="s">
        <v>40034</v>
      </c>
      <c r="G872" s="9" t="s">
        <v>38946</v>
      </c>
      <c r="H872" s="127">
        <v>44937.0</v>
      </c>
      <c r="I872" s="9" t="s">
        <v>52</v>
      </c>
      <c r="J872" s="9" t="s">
        <v>38801</v>
      </c>
      <c r="K872" s="55">
        <v>44945.0</v>
      </c>
      <c r="M872" s="9" t="s">
        <v>11645</v>
      </c>
    </row>
    <row r="873" ht="15.75" hidden="1" customHeight="1">
      <c r="A873" s="9" t="s">
        <v>40387</v>
      </c>
      <c r="B873" s="9" t="s">
        <v>18262</v>
      </c>
      <c r="D873" s="9" t="s">
        <v>12236</v>
      </c>
      <c r="F873" s="9" t="s">
        <v>40388</v>
      </c>
      <c r="G873" s="9" t="s">
        <v>38946</v>
      </c>
      <c r="H873" s="127">
        <v>44938.0</v>
      </c>
      <c r="I873" s="9" t="s">
        <v>52</v>
      </c>
      <c r="J873" s="9" t="s">
        <v>38801</v>
      </c>
      <c r="K873" s="55">
        <v>44956.0</v>
      </c>
      <c r="M873" s="9" t="s">
        <v>3793</v>
      </c>
    </row>
    <row r="874" ht="15.75" hidden="1" customHeight="1">
      <c r="A874" s="9" t="s">
        <v>40389</v>
      </c>
      <c r="B874" s="9" t="s">
        <v>18262</v>
      </c>
      <c r="D874" s="9" t="s">
        <v>12224</v>
      </c>
      <c r="F874" s="9" t="s">
        <v>40388</v>
      </c>
      <c r="G874" s="9" t="s">
        <v>38946</v>
      </c>
      <c r="H874" s="127">
        <v>44938.0</v>
      </c>
      <c r="I874" s="9" t="s">
        <v>52</v>
      </c>
      <c r="J874" s="9" t="s">
        <v>38801</v>
      </c>
      <c r="K874" s="55">
        <v>44938.0</v>
      </c>
      <c r="M874" s="9" t="s">
        <v>3793</v>
      </c>
    </row>
    <row r="875" ht="15.75" hidden="1" customHeight="1">
      <c r="A875" s="9" t="s">
        <v>40390</v>
      </c>
      <c r="B875" s="9" t="s">
        <v>18262</v>
      </c>
      <c r="D875" s="9" t="s">
        <v>12230</v>
      </c>
      <c r="F875" s="9" t="s">
        <v>40388</v>
      </c>
      <c r="G875" s="9" t="s">
        <v>38946</v>
      </c>
      <c r="H875" s="127">
        <v>44938.0</v>
      </c>
      <c r="I875" s="9" t="s">
        <v>52</v>
      </c>
      <c r="J875" s="9" t="s">
        <v>38801</v>
      </c>
      <c r="K875" s="55">
        <v>44938.0</v>
      </c>
      <c r="M875" s="9" t="s">
        <v>3793</v>
      </c>
    </row>
    <row r="876" ht="15.75" hidden="1" customHeight="1">
      <c r="A876" s="9" t="s">
        <v>40391</v>
      </c>
      <c r="B876" s="9" t="s">
        <v>15404</v>
      </c>
      <c r="D876" s="9" t="s">
        <v>12258</v>
      </c>
      <c r="F876" s="9" t="s">
        <v>40392</v>
      </c>
      <c r="G876" s="9" t="s">
        <v>38808</v>
      </c>
      <c r="H876" s="127">
        <v>44939.0</v>
      </c>
      <c r="I876" s="9" t="s">
        <v>47</v>
      </c>
      <c r="J876" s="9" t="s">
        <v>38801</v>
      </c>
      <c r="K876" s="55">
        <v>44972.0</v>
      </c>
      <c r="M876" s="9" t="s">
        <v>3436</v>
      </c>
    </row>
    <row r="877" ht="15.75" hidden="1" customHeight="1">
      <c r="A877" s="9" t="s">
        <v>40393</v>
      </c>
      <c r="B877" s="9" t="s">
        <v>14299</v>
      </c>
      <c r="D877" s="9" t="s">
        <v>12236</v>
      </c>
      <c r="F877" s="9" t="s">
        <v>40394</v>
      </c>
      <c r="G877" s="9" t="s">
        <v>38808</v>
      </c>
      <c r="H877" s="127">
        <v>44939.0</v>
      </c>
      <c r="I877" s="9" t="s">
        <v>47</v>
      </c>
      <c r="J877" s="9" t="s">
        <v>38801</v>
      </c>
      <c r="K877" s="55">
        <v>44939.0</v>
      </c>
      <c r="M877" s="9" t="s">
        <v>11629</v>
      </c>
    </row>
    <row r="878" ht="15.75" hidden="1" customHeight="1">
      <c r="A878" s="9" t="s">
        <v>40395</v>
      </c>
      <c r="B878" s="9" t="s">
        <v>17001</v>
      </c>
      <c r="D878" s="9" t="s">
        <v>12230</v>
      </c>
      <c r="F878" s="9" t="s">
        <v>40006</v>
      </c>
      <c r="G878" s="9" t="s">
        <v>38946</v>
      </c>
      <c r="H878" s="127">
        <v>44942.0</v>
      </c>
      <c r="I878" s="9" t="s">
        <v>52</v>
      </c>
      <c r="J878" s="9" t="s">
        <v>38801</v>
      </c>
      <c r="K878" s="55">
        <v>44951.0</v>
      </c>
      <c r="M878" s="9" t="s">
        <v>256</v>
      </c>
    </row>
    <row r="879" ht="15.75" customHeight="1">
      <c r="A879" s="9" t="s">
        <v>40396</v>
      </c>
      <c r="B879" s="9" t="s">
        <v>18570</v>
      </c>
      <c r="D879" s="9" t="s">
        <v>12227</v>
      </c>
      <c r="E879" s="9" t="s">
        <v>38803</v>
      </c>
      <c r="F879" s="9" t="s">
        <v>40397</v>
      </c>
      <c r="G879" s="9" t="s">
        <v>38808</v>
      </c>
      <c r="H879" s="127">
        <v>44942.0</v>
      </c>
      <c r="I879" s="9" t="s">
        <v>52</v>
      </c>
      <c r="J879" s="9" t="s">
        <v>38801</v>
      </c>
      <c r="K879" s="55">
        <v>45910.0</v>
      </c>
      <c r="M879" s="9" t="s">
        <v>10622</v>
      </c>
    </row>
    <row r="880" ht="15.75" hidden="1" customHeight="1">
      <c r="A880" s="9" t="s">
        <v>40398</v>
      </c>
      <c r="B880" s="9" t="s">
        <v>18241</v>
      </c>
      <c r="D880" s="9" t="s">
        <v>12236</v>
      </c>
      <c r="F880" s="9" t="s">
        <v>40399</v>
      </c>
      <c r="G880" s="9" t="s">
        <v>38946</v>
      </c>
      <c r="H880" s="127">
        <v>44943.0</v>
      </c>
      <c r="I880" s="9" t="s">
        <v>52</v>
      </c>
      <c r="J880" s="9" t="s">
        <v>38801</v>
      </c>
      <c r="K880" s="55">
        <v>44958.0</v>
      </c>
      <c r="M880" s="9" t="s">
        <v>741</v>
      </c>
    </row>
    <row r="881" ht="15.75" hidden="1" customHeight="1">
      <c r="A881" s="9" t="s">
        <v>40400</v>
      </c>
      <c r="B881" s="9" t="s">
        <v>18324</v>
      </c>
      <c r="D881" s="9" t="s">
        <v>12236</v>
      </c>
      <c r="F881" s="9" t="s">
        <v>40401</v>
      </c>
      <c r="G881" s="9" t="s">
        <v>38946</v>
      </c>
      <c r="H881" s="127">
        <v>44943.0</v>
      </c>
      <c r="I881" s="9" t="s">
        <v>52</v>
      </c>
      <c r="J881" s="9" t="s">
        <v>38801</v>
      </c>
      <c r="K881" s="55">
        <v>44949.0</v>
      </c>
      <c r="M881" s="9" t="s">
        <v>2736</v>
      </c>
    </row>
    <row r="882" ht="15.75" hidden="1" customHeight="1">
      <c r="A882" s="9" t="s">
        <v>40402</v>
      </c>
      <c r="B882" s="9" t="s">
        <v>18028</v>
      </c>
      <c r="D882" s="9" t="s">
        <v>12252</v>
      </c>
      <c r="F882" s="9" t="s">
        <v>40403</v>
      </c>
      <c r="G882" s="9" t="s">
        <v>38808</v>
      </c>
      <c r="H882" s="127">
        <v>44944.0</v>
      </c>
      <c r="I882" s="9" t="s">
        <v>47</v>
      </c>
      <c r="J882" s="9" t="s">
        <v>38801</v>
      </c>
      <c r="K882" s="55">
        <v>45029.0</v>
      </c>
      <c r="M882" s="9" t="s">
        <v>6444</v>
      </c>
    </row>
    <row r="883" ht="15.75" hidden="1" customHeight="1">
      <c r="A883" s="52" t="s">
        <v>40404</v>
      </c>
      <c r="B883" s="9" t="s">
        <v>14299</v>
      </c>
      <c r="D883" s="9" t="s">
        <v>12236</v>
      </c>
      <c r="F883" s="9" t="s">
        <v>40405</v>
      </c>
      <c r="G883" s="9" t="s">
        <v>38946</v>
      </c>
      <c r="H883" s="127">
        <v>44945.0</v>
      </c>
      <c r="I883" s="9" t="s">
        <v>52</v>
      </c>
      <c r="J883" s="9" t="s">
        <v>38801</v>
      </c>
      <c r="K883" s="55">
        <v>45472.0</v>
      </c>
      <c r="M883" s="9" t="s">
        <v>10391</v>
      </c>
    </row>
    <row r="884" ht="15.75" hidden="1" customHeight="1">
      <c r="A884" s="9" t="s">
        <v>40406</v>
      </c>
      <c r="B884" s="9" t="s">
        <v>18201</v>
      </c>
      <c r="D884" s="9" t="s">
        <v>12258</v>
      </c>
      <c r="F884" s="9" t="s">
        <v>40407</v>
      </c>
      <c r="G884" s="9" t="s">
        <v>38808</v>
      </c>
      <c r="H884" s="127">
        <v>44945.0</v>
      </c>
      <c r="I884" s="9" t="s">
        <v>47</v>
      </c>
      <c r="J884" s="9" t="s">
        <v>38801</v>
      </c>
      <c r="K884" s="55">
        <v>45030.0</v>
      </c>
      <c r="M884" s="9" t="s">
        <v>2814</v>
      </c>
    </row>
    <row r="885" ht="15.75" hidden="1" customHeight="1">
      <c r="A885" s="9" t="s">
        <v>40408</v>
      </c>
      <c r="B885" s="9" t="s">
        <v>18201</v>
      </c>
      <c r="D885" s="9" t="s">
        <v>12258</v>
      </c>
      <c r="F885" s="9" t="s">
        <v>40409</v>
      </c>
      <c r="G885" s="9" t="s">
        <v>38808</v>
      </c>
      <c r="H885" s="127">
        <v>44945.0</v>
      </c>
      <c r="I885" s="9" t="s">
        <v>47</v>
      </c>
      <c r="J885" s="9" t="s">
        <v>38801</v>
      </c>
      <c r="K885" s="55">
        <v>44974.0</v>
      </c>
      <c r="M885" s="9" t="s">
        <v>2814</v>
      </c>
    </row>
    <row r="886" ht="15.75" hidden="1" customHeight="1">
      <c r="A886" s="9" t="s">
        <v>40410</v>
      </c>
      <c r="B886" s="9" t="s">
        <v>18201</v>
      </c>
      <c r="D886" s="9" t="s">
        <v>12242</v>
      </c>
      <c r="F886" s="9" t="s">
        <v>40411</v>
      </c>
      <c r="G886" s="9" t="s">
        <v>38808</v>
      </c>
      <c r="H886" s="127">
        <v>44945.0</v>
      </c>
      <c r="I886" s="9" t="s">
        <v>47</v>
      </c>
      <c r="J886" s="9" t="s">
        <v>38801</v>
      </c>
      <c r="K886" s="55">
        <v>44972.0</v>
      </c>
      <c r="M886" s="9" t="s">
        <v>2814</v>
      </c>
    </row>
    <row r="887" ht="15.75" hidden="1" customHeight="1">
      <c r="A887" s="9" t="s">
        <v>40412</v>
      </c>
      <c r="B887" s="9" t="s">
        <v>18201</v>
      </c>
      <c r="D887" s="9" t="s">
        <v>12236</v>
      </c>
      <c r="F887" s="9" t="s">
        <v>40413</v>
      </c>
      <c r="G887" s="9" t="s">
        <v>38808</v>
      </c>
      <c r="H887" s="127">
        <v>44945.0</v>
      </c>
      <c r="I887" s="9" t="s">
        <v>47</v>
      </c>
      <c r="J887" s="9" t="s">
        <v>38801</v>
      </c>
      <c r="K887" s="55">
        <v>44949.0</v>
      </c>
      <c r="M887" s="9" t="s">
        <v>2814</v>
      </c>
    </row>
    <row r="888" ht="15.75" hidden="1" customHeight="1">
      <c r="A888" s="9" t="s">
        <v>40414</v>
      </c>
      <c r="B888" s="9" t="s">
        <v>16650</v>
      </c>
      <c r="D888" s="9" t="s">
        <v>12230</v>
      </c>
      <c r="F888" s="9" t="s">
        <v>40154</v>
      </c>
      <c r="G888" s="9" t="s">
        <v>38946</v>
      </c>
      <c r="H888" s="127">
        <v>44949.0</v>
      </c>
      <c r="I888" s="9" t="s">
        <v>131</v>
      </c>
      <c r="J888" s="9" t="s">
        <v>38801</v>
      </c>
      <c r="K888" s="55">
        <v>44951.0</v>
      </c>
      <c r="M888" s="52" t="s">
        <v>16638</v>
      </c>
    </row>
    <row r="889" ht="15.75" hidden="1" customHeight="1">
      <c r="A889" s="9" t="s">
        <v>40415</v>
      </c>
      <c r="B889" s="9" t="s">
        <v>18570</v>
      </c>
      <c r="D889" s="9" t="s">
        <v>12230</v>
      </c>
      <c r="F889" s="9" t="s">
        <v>40416</v>
      </c>
      <c r="G889" s="9" t="s">
        <v>38808</v>
      </c>
      <c r="H889" s="127">
        <v>44949.0</v>
      </c>
      <c r="I889" s="9" t="s">
        <v>52</v>
      </c>
      <c r="J889" s="9" t="s">
        <v>38801</v>
      </c>
      <c r="K889" s="55">
        <v>44951.0</v>
      </c>
      <c r="M889" s="9" t="s">
        <v>10622</v>
      </c>
    </row>
    <row r="890" ht="15.75" hidden="1" customHeight="1">
      <c r="A890" s="9" t="s">
        <v>40417</v>
      </c>
      <c r="B890" s="9" t="s">
        <v>12413</v>
      </c>
      <c r="D890" s="9" t="s">
        <v>12230</v>
      </c>
      <c r="F890" s="9" t="s">
        <v>40418</v>
      </c>
      <c r="G890" s="9" t="s">
        <v>38808</v>
      </c>
      <c r="H890" s="127">
        <v>44949.0</v>
      </c>
      <c r="I890" s="9" t="s">
        <v>47</v>
      </c>
      <c r="J890" s="9" t="s">
        <v>38801</v>
      </c>
      <c r="K890" s="55">
        <v>44949.0</v>
      </c>
      <c r="M890" s="9" t="s">
        <v>10271</v>
      </c>
    </row>
    <row r="891" ht="15.75" hidden="1" customHeight="1">
      <c r="A891" s="9" t="s">
        <v>40419</v>
      </c>
      <c r="B891" s="9" t="s">
        <v>18570</v>
      </c>
      <c r="D891" s="9" t="s">
        <v>12236</v>
      </c>
      <c r="F891" s="9" t="s">
        <v>39677</v>
      </c>
      <c r="G891" s="9" t="s">
        <v>38946</v>
      </c>
      <c r="H891" s="127">
        <v>44949.0</v>
      </c>
      <c r="I891" s="9" t="s">
        <v>52</v>
      </c>
      <c r="J891" s="9" t="s">
        <v>38801</v>
      </c>
      <c r="K891" s="55">
        <v>44949.0</v>
      </c>
      <c r="M891" s="9" t="s">
        <v>10622</v>
      </c>
    </row>
    <row r="892" ht="15.75" hidden="1" customHeight="1">
      <c r="A892" s="9" t="s">
        <v>40420</v>
      </c>
      <c r="B892" s="9" t="s">
        <v>18174</v>
      </c>
      <c r="D892" s="9" t="s">
        <v>12239</v>
      </c>
      <c r="F892" s="9" t="s">
        <v>40421</v>
      </c>
      <c r="G892" s="9" t="s">
        <v>38946</v>
      </c>
      <c r="H892" s="127">
        <v>44950.0</v>
      </c>
      <c r="I892" s="9" t="s">
        <v>131</v>
      </c>
      <c r="J892" s="9" t="s">
        <v>38801</v>
      </c>
      <c r="K892" s="55">
        <v>45132.0</v>
      </c>
      <c r="M892" s="9" t="s">
        <v>12115</v>
      </c>
    </row>
    <row r="893" ht="15.75" hidden="1" customHeight="1">
      <c r="A893" s="9" t="s">
        <v>40422</v>
      </c>
      <c r="B893" s="9" t="s">
        <v>12440</v>
      </c>
      <c r="D893" s="9" t="s">
        <v>12239</v>
      </c>
      <c r="F893" s="9" t="s">
        <v>40423</v>
      </c>
      <c r="G893" s="9" t="s">
        <v>38946</v>
      </c>
      <c r="H893" s="127">
        <v>44950.0</v>
      </c>
      <c r="I893" s="9" t="s">
        <v>131</v>
      </c>
      <c r="J893" s="9" t="s">
        <v>38801</v>
      </c>
      <c r="K893" s="55">
        <v>46100.0</v>
      </c>
      <c r="M893" s="9" t="s">
        <v>9268</v>
      </c>
    </row>
    <row r="894" ht="15.75" hidden="1" customHeight="1">
      <c r="A894" s="9" t="s">
        <v>40424</v>
      </c>
      <c r="B894" s="9" t="s">
        <v>12440</v>
      </c>
      <c r="D894" s="9" t="s">
        <v>12240</v>
      </c>
      <c r="F894" s="9" t="s">
        <v>40425</v>
      </c>
      <c r="G894" s="9" t="s">
        <v>38946</v>
      </c>
      <c r="H894" s="127">
        <v>44950.0</v>
      </c>
      <c r="I894" s="9" t="s">
        <v>131</v>
      </c>
      <c r="J894" s="9" t="s">
        <v>38801</v>
      </c>
      <c r="K894" s="55">
        <v>46100.0</v>
      </c>
      <c r="M894" s="9" t="s">
        <v>9268</v>
      </c>
    </row>
    <row r="895" ht="15.75" hidden="1" customHeight="1">
      <c r="A895" s="9" t="s">
        <v>40426</v>
      </c>
      <c r="B895" s="9" t="s">
        <v>13343</v>
      </c>
      <c r="D895" s="9" t="s">
        <v>12236</v>
      </c>
      <c r="F895" s="9" t="s">
        <v>40399</v>
      </c>
      <c r="G895" s="9" t="s">
        <v>38946</v>
      </c>
      <c r="H895" s="127">
        <v>44950.0</v>
      </c>
      <c r="I895" s="9" t="s">
        <v>52</v>
      </c>
      <c r="J895" s="9" t="s">
        <v>38801</v>
      </c>
      <c r="K895" s="55">
        <v>46095.0</v>
      </c>
      <c r="M895" s="9" t="s">
        <v>11813</v>
      </c>
    </row>
    <row r="896" ht="15.75" hidden="1" customHeight="1">
      <c r="A896" s="9" t="s">
        <v>40427</v>
      </c>
      <c r="B896" s="9" t="s">
        <v>18174</v>
      </c>
      <c r="D896" s="9" t="s">
        <v>12236</v>
      </c>
      <c r="F896" s="9" t="s">
        <v>40428</v>
      </c>
      <c r="G896" s="9" t="s">
        <v>38946</v>
      </c>
      <c r="H896" s="127">
        <v>44950.0</v>
      </c>
      <c r="I896" s="9" t="s">
        <v>131</v>
      </c>
      <c r="J896" s="9" t="s">
        <v>38801</v>
      </c>
      <c r="K896" s="55">
        <v>44957.0</v>
      </c>
      <c r="M896" s="9" t="s">
        <v>12115</v>
      </c>
    </row>
    <row r="897" ht="15.75" hidden="1" customHeight="1">
      <c r="A897" s="9" t="s">
        <v>40429</v>
      </c>
      <c r="B897" s="9" t="s">
        <v>12440</v>
      </c>
      <c r="D897" s="9" t="s">
        <v>12250</v>
      </c>
      <c r="F897" s="9" t="s">
        <v>40339</v>
      </c>
      <c r="G897" s="9" t="s">
        <v>38946</v>
      </c>
      <c r="H897" s="127">
        <v>44950.0</v>
      </c>
      <c r="I897" s="9" t="s">
        <v>131</v>
      </c>
      <c r="J897" s="9" t="s">
        <v>38801</v>
      </c>
      <c r="K897" s="55">
        <v>46100.0</v>
      </c>
      <c r="M897" s="9" t="s">
        <v>9268</v>
      </c>
    </row>
    <row r="898" ht="15.75" hidden="1" customHeight="1">
      <c r="A898" s="9" t="s">
        <v>40430</v>
      </c>
      <c r="B898" s="9" t="s">
        <v>18174</v>
      </c>
      <c r="D898" s="9" t="s">
        <v>12250</v>
      </c>
      <c r="F898" s="9" t="s">
        <v>40431</v>
      </c>
      <c r="G898" s="9" t="s">
        <v>38946</v>
      </c>
      <c r="H898" s="127">
        <v>44950.0</v>
      </c>
      <c r="I898" s="9" t="s">
        <v>131</v>
      </c>
      <c r="J898" s="9" t="s">
        <v>38801</v>
      </c>
      <c r="K898" s="55">
        <v>44951.0</v>
      </c>
      <c r="M898" s="9" t="s">
        <v>12115</v>
      </c>
    </row>
    <row r="899" ht="15.75" hidden="1" customHeight="1">
      <c r="A899" s="9" t="s">
        <v>40432</v>
      </c>
      <c r="B899" s="9" t="s">
        <v>16958</v>
      </c>
      <c r="D899" s="9" t="s">
        <v>12236</v>
      </c>
      <c r="F899" s="9" t="s">
        <v>40433</v>
      </c>
      <c r="G899" s="9" t="s">
        <v>38946</v>
      </c>
      <c r="H899" s="127">
        <v>44952.0</v>
      </c>
      <c r="I899" s="9" t="s">
        <v>131</v>
      </c>
      <c r="J899" s="9" t="s">
        <v>38801</v>
      </c>
      <c r="K899" s="55">
        <v>44966.0</v>
      </c>
      <c r="M899" s="9" t="s">
        <v>11971</v>
      </c>
    </row>
    <row r="900" ht="15.75" hidden="1" customHeight="1">
      <c r="A900" s="9" t="s">
        <v>40434</v>
      </c>
      <c r="B900" s="9" t="s">
        <v>17647</v>
      </c>
      <c r="D900" s="9" t="s">
        <v>12248</v>
      </c>
      <c r="F900" s="9" t="s">
        <v>40435</v>
      </c>
      <c r="G900" s="9" t="s">
        <v>38808</v>
      </c>
      <c r="H900" s="127">
        <v>44953.0</v>
      </c>
      <c r="I900" s="9" t="s">
        <v>47</v>
      </c>
      <c r="J900" s="9" t="s">
        <v>38801</v>
      </c>
      <c r="K900" s="55">
        <v>45411.0</v>
      </c>
      <c r="M900" s="9" t="s">
        <v>10730</v>
      </c>
    </row>
    <row r="901" ht="15.75" hidden="1" customHeight="1">
      <c r="A901" s="9" t="s">
        <v>40436</v>
      </c>
      <c r="B901" s="9" t="s">
        <v>16145</v>
      </c>
      <c r="D901" s="9" t="s">
        <v>12240</v>
      </c>
      <c r="F901" s="9" t="s">
        <v>40437</v>
      </c>
      <c r="G901" s="9" t="s">
        <v>38946</v>
      </c>
      <c r="H901" s="127">
        <v>44953.0</v>
      </c>
      <c r="I901" s="9" t="s">
        <v>131</v>
      </c>
      <c r="J901" s="9" t="s">
        <v>38801</v>
      </c>
      <c r="K901" s="55">
        <v>44972.0</v>
      </c>
      <c r="M901" s="9" t="s">
        <v>10498</v>
      </c>
    </row>
    <row r="902" ht="15.75" hidden="1" customHeight="1">
      <c r="A902" s="9" t="s">
        <v>40438</v>
      </c>
      <c r="B902" s="9" t="s">
        <v>17139</v>
      </c>
      <c r="D902" s="9" t="s">
        <v>12240</v>
      </c>
      <c r="F902" s="9" t="s">
        <v>40437</v>
      </c>
      <c r="G902" s="9" t="s">
        <v>38946</v>
      </c>
      <c r="H902" s="127">
        <v>44953.0</v>
      </c>
      <c r="I902" s="9" t="s">
        <v>131</v>
      </c>
      <c r="J902" s="9" t="s">
        <v>38801</v>
      </c>
      <c r="K902" s="55">
        <v>44972.0</v>
      </c>
      <c r="M902" s="9" t="s">
        <v>12118</v>
      </c>
    </row>
    <row r="903" ht="15.75" hidden="1" customHeight="1">
      <c r="A903" s="9" t="s">
        <v>40439</v>
      </c>
      <c r="B903" s="9" t="s">
        <v>18028</v>
      </c>
      <c r="D903" s="9" t="s">
        <v>12258</v>
      </c>
      <c r="F903" s="9" t="s">
        <v>40440</v>
      </c>
      <c r="G903" s="9" t="s">
        <v>38808</v>
      </c>
      <c r="H903" s="127">
        <v>44953.0</v>
      </c>
      <c r="I903" s="9" t="s">
        <v>47</v>
      </c>
      <c r="J903" s="9" t="s">
        <v>38801</v>
      </c>
      <c r="K903" s="55">
        <v>44972.0</v>
      </c>
      <c r="M903" s="9" t="s">
        <v>6444</v>
      </c>
    </row>
    <row r="904" ht="15.75" hidden="1" customHeight="1">
      <c r="A904" s="9" t="s">
        <v>40441</v>
      </c>
      <c r="B904" s="9" t="s">
        <v>17961</v>
      </c>
      <c r="D904" s="9" t="s">
        <v>12224</v>
      </c>
      <c r="F904" s="9" t="s">
        <v>40442</v>
      </c>
      <c r="G904" s="9" t="s">
        <v>38946</v>
      </c>
      <c r="H904" s="127">
        <v>44953.0</v>
      </c>
      <c r="I904" s="9" t="s">
        <v>116</v>
      </c>
      <c r="J904" s="9" t="s">
        <v>38801</v>
      </c>
      <c r="K904" s="55">
        <v>44972.0</v>
      </c>
      <c r="M904" s="9" t="s">
        <v>5651</v>
      </c>
    </row>
    <row r="905" ht="15.75" hidden="1" customHeight="1">
      <c r="A905" s="9" t="s">
        <v>40443</v>
      </c>
      <c r="B905" s="9" t="s">
        <v>18121</v>
      </c>
      <c r="D905" s="9" t="s">
        <v>12248</v>
      </c>
      <c r="F905" s="9" t="s">
        <v>40444</v>
      </c>
      <c r="G905" s="9" t="s">
        <v>38808</v>
      </c>
      <c r="H905" s="127">
        <v>44956.0</v>
      </c>
      <c r="I905" s="9" t="s">
        <v>116</v>
      </c>
      <c r="J905" s="9" t="s">
        <v>38801</v>
      </c>
      <c r="K905" s="55">
        <v>45411.0</v>
      </c>
      <c r="M905" s="9" t="s">
        <v>1640</v>
      </c>
    </row>
    <row r="906" ht="15.75" hidden="1" customHeight="1">
      <c r="A906" s="9" t="s">
        <v>40445</v>
      </c>
      <c r="B906" s="9" t="s">
        <v>15999</v>
      </c>
      <c r="D906" s="9" t="s">
        <v>12236</v>
      </c>
      <c r="F906" s="9" t="s">
        <v>40446</v>
      </c>
      <c r="G906" s="9" t="s">
        <v>38946</v>
      </c>
      <c r="H906" s="127">
        <v>44956.0</v>
      </c>
      <c r="I906" s="9" t="s">
        <v>52</v>
      </c>
      <c r="J906" s="9" t="s">
        <v>38801</v>
      </c>
      <c r="K906" s="55">
        <v>44992.0</v>
      </c>
      <c r="M906" s="9" t="s">
        <v>7988</v>
      </c>
    </row>
    <row r="907" ht="15.75" hidden="1" customHeight="1">
      <c r="A907" s="9" t="s">
        <v>40447</v>
      </c>
      <c r="B907" s="9" t="s">
        <v>14133</v>
      </c>
      <c r="D907" s="9" t="s">
        <v>12236</v>
      </c>
      <c r="F907" s="9" t="s">
        <v>40448</v>
      </c>
      <c r="G907" s="9" t="s">
        <v>38946</v>
      </c>
      <c r="H907" s="127">
        <v>44958.0</v>
      </c>
      <c r="I907" s="9" t="s">
        <v>52</v>
      </c>
      <c r="J907" s="9" t="s">
        <v>38801</v>
      </c>
      <c r="K907" s="60">
        <v>45250.0</v>
      </c>
      <c r="M907" s="9" t="s">
        <v>2522</v>
      </c>
    </row>
    <row r="908" ht="15.75" hidden="1" customHeight="1">
      <c r="A908" s="9" t="s">
        <v>40449</v>
      </c>
      <c r="B908" s="9" t="s">
        <v>17832</v>
      </c>
      <c r="D908" s="9" t="s">
        <v>12254</v>
      </c>
      <c r="F908" s="9" t="s">
        <v>40450</v>
      </c>
      <c r="G908" s="9" t="s">
        <v>38808</v>
      </c>
      <c r="H908" s="127">
        <v>44960.0</v>
      </c>
      <c r="I908" s="9" t="s">
        <v>158</v>
      </c>
      <c r="J908" s="9" t="s">
        <v>38801</v>
      </c>
      <c r="K908" s="55">
        <v>45411.0</v>
      </c>
      <c r="M908" s="9" t="s">
        <v>9329</v>
      </c>
    </row>
    <row r="909" ht="15.75" hidden="1" customHeight="1">
      <c r="A909" s="9" t="s">
        <v>40451</v>
      </c>
      <c r="B909" s="9" t="s">
        <v>17877</v>
      </c>
      <c r="D909" s="9" t="s">
        <v>12254</v>
      </c>
      <c r="F909" s="9" t="s">
        <v>40452</v>
      </c>
      <c r="G909" s="9" t="s">
        <v>38808</v>
      </c>
      <c r="H909" s="127">
        <v>44960.0</v>
      </c>
      <c r="I909" s="9" t="s">
        <v>158</v>
      </c>
      <c r="J909" s="9" t="s">
        <v>38801</v>
      </c>
      <c r="K909" s="55">
        <v>44978.0</v>
      </c>
      <c r="M909" s="9" t="s">
        <v>6928</v>
      </c>
    </row>
    <row r="910" ht="15.75" hidden="1" customHeight="1">
      <c r="A910" s="9" t="s">
        <v>40453</v>
      </c>
      <c r="B910" s="9" t="s">
        <v>17864</v>
      </c>
      <c r="D910" s="9" t="s">
        <v>12254</v>
      </c>
      <c r="F910" s="9" t="s">
        <v>40454</v>
      </c>
      <c r="G910" s="9" t="s">
        <v>38808</v>
      </c>
      <c r="H910" s="127">
        <v>44960.0</v>
      </c>
      <c r="I910" s="9" t="s">
        <v>158</v>
      </c>
      <c r="J910" s="9" t="s">
        <v>38801</v>
      </c>
      <c r="K910" s="55">
        <v>44978.0</v>
      </c>
      <c r="M910" s="9" t="s">
        <v>5633</v>
      </c>
    </row>
    <row r="911" ht="15.75" hidden="1" customHeight="1">
      <c r="A911" s="9" t="s">
        <v>40455</v>
      </c>
      <c r="B911" s="9" t="s">
        <v>17852</v>
      </c>
      <c r="D911" s="9" t="s">
        <v>12254</v>
      </c>
      <c r="F911" s="9" t="s">
        <v>40454</v>
      </c>
      <c r="G911" s="9" t="s">
        <v>38946</v>
      </c>
      <c r="H911" s="127">
        <v>44960.0</v>
      </c>
      <c r="I911" s="9" t="s">
        <v>158</v>
      </c>
      <c r="J911" s="9" t="s">
        <v>38801</v>
      </c>
      <c r="K911" s="55">
        <v>44978.0</v>
      </c>
      <c r="M911" s="9" t="s">
        <v>5361</v>
      </c>
    </row>
    <row r="912" ht="15.75" hidden="1" customHeight="1">
      <c r="A912" s="9" t="s">
        <v>40456</v>
      </c>
      <c r="B912" s="9" t="s">
        <v>15860</v>
      </c>
      <c r="D912" s="9" t="s">
        <v>12254</v>
      </c>
      <c r="F912" s="9" t="s">
        <v>40454</v>
      </c>
      <c r="G912" s="9" t="s">
        <v>38808</v>
      </c>
      <c r="H912" s="127">
        <v>44960.0</v>
      </c>
      <c r="I912" s="9" t="s">
        <v>158</v>
      </c>
      <c r="J912" s="9" t="s">
        <v>38801</v>
      </c>
      <c r="K912" s="55">
        <v>44978.0</v>
      </c>
      <c r="M912" s="9" t="s">
        <v>1530</v>
      </c>
    </row>
    <row r="913" ht="15.75" hidden="1" customHeight="1">
      <c r="A913" s="9" t="s">
        <v>40457</v>
      </c>
      <c r="B913" s="9" t="s">
        <v>17784</v>
      </c>
      <c r="D913" s="9" t="s">
        <v>12254</v>
      </c>
      <c r="F913" s="9" t="s">
        <v>40454</v>
      </c>
      <c r="G913" s="9" t="s">
        <v>38808</v>
      </c>
      <c r="H913" s="127">
        <v>44960.0</v>
      </c>
      <c r="I913" s="9" t="s">
        <v>158</v>
      </c>
      <c r="J913" s="9" t="s">
        <v>38801</v>
      </c>
      <c r="K913" s="55">
        <v>44978.0</v>
      </c>
      <c r="M913" s="9" t="s">
        <v>1919</v>
      </c>
    </row>
    <row r="914" ht="15.75" hidden="1" customHeight="1">
      <c r="A914" s="9" t="s">
        <v>40458</v>
      </c>
      <c r="B914" s="9" t="s">
        <v>17729</v>
      </c>
      <c r="D914" s="9" t="s">
        <v>12254</v>
      </c>
      <c r="F914" s="9" t="s">
        <v>40454</v>
      </c>
      <c r="G914" s="9" t="s">
        <v>38946</v>
      </c>
      <c r="H914" s="127">
        <v>44960.0</v>
      </c>
      <c r="I914" s="9" t="s">
        <v>158</v>
      </c>
      <c r="J914" s="9" t="s">
        <v>38801</v>
      </c>
      <c r="K914" s="55">
        <v>44978.0</v>
      </c>
      <c r="M914" s="9" t="s">
        <v>5728</v>
      </c>
    </row>
    <row r="915" ht="15.75" hidden="1" customHeight="1">
      <c r="A915" s="9" t="s">
        <v>40459</v>
      </c>
      <c r="B915" s="9" t="s">
        <v>15848</v>
      </c>
      <c r="D915" s="9" t="s">
        <v>12254</v>
      </c>
      <c r="F915" s="9" t="s">
        <v>40460</v>
      </c>
      <c r="G915" s="9" t="s">
        <v>38946</v>
      </c>
      <c r="H915" s="127">
        <v>44960.0</v>
      </c>
      <c r="I915" s="9" t="s">
        <v>158</v>
      </c>
      <c r="J915" s="9" t="s">
        <v>38801</v>
      </c>
      <c r="K915" s="55">
        <v>44978.0</v>
      </c>
      <c r="M915" s="9" t="s">
        <v>263</v>
      </c>
    </row>
    <row r="916" ht="15.75" hidden="1" customHeight="1">
      <c r="A916" s="9" t="s">
        <v>40461</v>
      </c>
      <c r="B916" s="9" t="s">
        <v>17679</v>
      </c>
      <c r="D916" s="9" t="s">
        <v>12254</v>
      </c>
      <c r="F916" s="9" t="s">
        <v>40450</v>
      </c>
      <c r="G916" s="9" t="s">
        <v>38808</v>
      </c>
      <c r="H916" s="127">
        <v>44960.0</v>
      </c>
      <c r="I916" s="9" t="s">
        <v>158</v>
      </c>
      <c r="J916" s="9" t="s">
        <v>38801</v>
      </c>
      <c r="K916" s="55">
        <v>44978.0</v>
      </c>
      <c r="M916" s="9" t="s">
        <v>3663</v>
      </c>
    </row>
    <row r="917" ht="15.75" hidden="1" customHeight="1">
      <c r="A917" s="9" t="s">
        <v>40462</v>
      </c>
      <c r="B917" s="9" t="s">
        <v>16426</v>
      </c>
      <c r="D917" s="9" t="s">
        <v>12254</v>
      </c>
      <c r="F917" s="9" t="s">
        <v>40450</v>
      </c>
      <c r="G917" s="9" t="s">
        <v>38808</v>
      </c>
      <c r="H917" s="127">
        <v>44960.0</v>
      </c>
      <c r="I917" s="9" t="s">
        <v>158</v>
      </c>
      <c r="J917" s="9" t="s">
        <v>38801</v>
      </c>
      <c r="K917" s="55">
        <v>44978.0</v>
      </c>
      <c r="M917" s="9" t="s">
        <v>6908</v>
      </c>
    </row>
    <row r="918" ht="15.75" hidden="1" customHeight="1">
      <c r="A918" s="9" t="s">
        <v>40463</v>
      </c>
      <c r="B918" s="9" t="s">
        <v>17739</v>
      </c>
      <c r="D918" s="9" t="s">
        <v>12254</v>
      </c>
      <c r="F918" s="9" t="s">
        <v>40450</v>
      </c>
      <c r="G918" s="9" t="s">
        <v>38946</v>
      </c>
      <c r="H918" s="127">
        <v>44960.0</v>
      </c>
      <c r="I918" s="9" t="s">
        <v>158</v>
      </c>
      <c r="J918" s="9" t="s">
        <v>38801</v>
      </c>
      <c r="K918" s="55">
        <v>44978.0</v>
      </c>
      <c r="M918" s="9" t="s">
        <v>2568</v>
      </c>
    </row>
    <row r="919" ht="15.75" hidden="1" customHeight="1">
      <c r="A919" s="9" t="s">
        <v>40464</v>
      </c>
      <c r="B919" s="9" t="s">
        <v>17214</v>
      </c>
      <c r="D919" s="9" t="s">
        <v>12254</v>
      </c>
      <c r="F919" s="9" t="s">
        <v>40450</v>
      </c>
      <c r="G919" s="9" t="s">
        <v>38808</v>
      </c>
      <c r="H919" s="127">
        <v>44960.0</v>
      </c>
      <c r="I919" s="9" t="s">
        <v>158</v>
      </c>
      <c r="J919" s="9" t="s">
        <v>38801</v>
      </c>
      <c r="K919" s="55">
        <v>44974.0</v>
      </c>
      <c r="M919" s="9" t="s">
        <v>11627</v>
      </c>
    </row>
    <row r="920" ht="15.75" hidden="1" customHeight="1">
      <c r="A920" s="9" t="s">
        <v>40465</v>
      </c>
      <c r="B920" s="9" t="s">
        <v>16426</v>
      </c>
      <c r="D920" s="9" t="s">
        <v>12254</v>
      </c>
      <c r="F920" s="9" t="s">
        <v>40450</v>
      </c>
      <c r="G920" s="9" t="s">
        <v>38808</v>
      </c>
      <c r="H920" s="127">
        <v>44960.0</v>
      </c>
      <c r="I920" s="9" t="s">
        <v>158</v>
      </c>
      <c r="J920" s="9" t="s">
        <v>38801</v>
      </c>
      <c r="K920" s="55">
        <v>44974.0</v>
      </c>
      <c r="M920" s="9" t="s">
        <v>6908</v>
      </c>
    </row>
    <row r="921" ht="15.75" hidden="1" customHeight="1">
      <c r="A921" s="9" t="s">
        <v>40466</v>
      </c>
      <c r="B921" s="9" t="s">
        <v>17797</v>
      </c>
      <c r="D921" s="9" t="s">
        <v>12254</v>
      </c>
      <c r="F921" s="9" t="s">
        <v>40450</v>
      </c>
      <c r="G921" s="9" t="s">
        <v>38808</v>
      </c>
      <c r="H921" s="127">
        <v>44960.0</v>
      </c>
      <c r="I921" s="9" t="s">
        <v>158</v>
      </c>
      <c r="J921" s="9" t="s">
        <v>38801</v>
      </c>
      <c r="K921" s="55">
        <v>44974.0</v>
      </c>
      <c r="M921" s="9" t="s">
        <v>11979</v>
      </c>
    </row>
    <row r="922" ht="15.75" hidden="1" customHeight="1">
      <c r="A922" s="9" t="s">
        <v>40467</v>
      </c>
      <c r="B922" s="9" t="s">
        <v>18028</v>
      </c>
      <c r="D922" s="9" t="s">
        <v>12254</v>
      </c>
      <c r="F922" s="9" t="s">
        <v>40450</v>
      </c>
      <c r="G922" s="9" t="s">
        <v>38808</v>
      </c>
      <c r="H922" s="127">
        <v>44960.0</v>
      </c>
      <c r="I922" s="9" t="s">
        <v>158</v>
      </c>
      <c r="J922" s="9" t="s">
        <v>38801</v>
      </c>
      <c r="K922" s="55">
        <v>44974.0</v>
      </c>
      <c r="M922" s="9" t="s">
        <v>6444</v>
      </c>
    </row>
    <row r="923" ht="15.75" hidden="1" customHeight="1">
      <c r="A923" s="9" t="s">
        <v>40468</v>
      </c>
      <c r="B923" s="9" t="s">
        <v>17823</v>
      </c>
      <c r="D923" s="9" t="s">
        <v>12254</v>
      </c>
      <c r="F923" s="9" t="s">
        <v>40450</v>
      </c>
      <c r="G923" s="9" t="s">
        <v>38808</v>
      </c>
      <c r="H923" s="127">
        <v>44960.0</v>
      </c>
      <c r="I923" s="9" t="s">
        <v>158</v>
      </c>
      <c r="J923" s="9" t="s">
        <v>38801</v>
      </c>
      <c r="K923" s="55">
        <v>44974.0</v>
      </c>
      <c r="M923" s="9" t="s">
        <v>2181</v>
      </c>
    </row>
    <row r="924" ht="15.75" hidden="1" customHeight="1">
      <c r="A924" s="9" t="s">
        <v>40469</v>
      </c>
      <c r="B924" s="9" t="s">
        <v>17668</v>
      </c>
      <c r="D924" s="9" t="s">
        <v>12254</v>
      </c>
      <c r="F924" s="9" t="s">
        <v>40450</v>
      </c>
      <c r="G924" s="9" t="s">
        <v>38808</v>
      </c>
      <c r="H924" s="127">
        <v>44960.0</v>
      </c>
      <c r="I924" s="9" t="s">
        <v>158</v>
      </c>
      <c r="J924" s="9" t="s">
        <v>38801</v>
      </c>
      <c r="K924" s="55">
        <v>44974.0</v>
      </c>
      <c r="M924" s="9" t="s">
        <v>6224</v>
      </c>
    </row>
    <row r="925" ht="15.75" hidden="1" customHeight="1">
      <c r="A925" s="9" t="s">
        <v>40470</v>
      </c>
      <c r="B925" s="9" t="s">
        <v>16676</v>
      </c>
      <c r="D925" s="9" t="s">
        <v>12254</v>
      </c>
      <c r="F925" s="9" t="s">
        <v>40450</v>
      </c>
      <c r="G925" s="9" t="s">
        <v>38808</v>
      </c>
      <c r="H925" s="127">
        <v>44960.0</v>
      </c>
      <c r="I925" s="9" t="s">
        <v>158</v>
      </c>
      <c r="J925" s="9" t="s">
        <v>38801</v>
      </c>
      <c r="K925" s="55">
        <v>44974.0</v>
      </c>
      <c r="M925" s="9" t="s">
        <v>997</v>
      </c>
    </row>
    <row r="926" ht="15.75" hidden="1" customHeight="1">
      <c r="A926" s="9" t="s">
        <v>40471</v>
      </c>
      <c r="B926" s="9" t="s">
        <v>17240</v>
      </c>
      <c r="D926" s="9" t="s">
        <v>12254</v>
      </c>
      <c r="F926" s="9" t="s">
        <v>40450</v>
      </c>
      <c r="G926" s="9" t="s">
        <v>38808</v>
      </c>
      <c r="H926" s="127">
        <v>44960.0</v>
      </c>
      <c r="I926" s="9" t="s">
        <v>158</v>
      </c>
      <c r="J926" s="9" t="s">
        <v>38801</v>
      </c>
      <c r="K926" s="55">
        <v>44974.0</v>
      </c>
      <c r="M926" s="9" t="s">
        <v>4034</v>
      </c>
    </row>
    <row r="927" ht="15.75" hidden="1" customHeight="1">
      <c r="A927" s="9" t="s">
        <v>40472</v>
      </c>
      <c r="B927" s="9" t="s">
        <v>17808</v>
      </c>
      <c r="D927" s="9" t="s">
        <v>12254</v>
      </c>
      <c r="F927" s="9" t="s">
        <v>40450</v>
      </c>
      <c r="G927" s="9" t="s">
        <v>38808</v>
      </c>
      <c r="H927" s="127">
        <v>44960.0</v>
      </c>
      <c r="I927" s="9" t="s">
        <v>158</v>
      </c>
      <c r="J927" s="9" t="s">
        <v>38801</v>
      </c>
      <c r="K927" s="55">
        <v>44974.0</v>
      </c>
      <c r="M927" s="9" t="s">
        <v>2483</v>
      </c>
    </row>
    <row r="928" ht="15.75" hidden="1" customHeight="1">
      <c r="A928" s="9" t="s">
        <v>40473</v>
      </c>
      <c r="B928" s="9" t="s">
        <v>17840</v>
      </c>
      <c r="D928" s="9" t="s">
        <v>12254</v>
      </c>
      <c r="F928" s="9" t="s">
        <v>40450</v>
      </c>
      <c r="G928" s="9" t="s">
        <v>38808</v>
      </c>
      <c r="H928" s="127">
        <v>44960.0</v>
      </c>
      <c r="I928" s="9" t="s">
        <v>158</v>
      </c>
      <c r="J928" s="9" t="s">
        <v>38801</v>
      </c>
      <c r="K928" s="55">
        <v>44974.0</v>
      </c>
      <c r="M928" s="9" t="s">
        <v>6989</v>
      </c>
    </row>
    <row r="929" ht="15.75" hidden="1" customHeight="1">
      <c r="A929" s="9" t="s">
        <v>40474</v>
      </c>
      <c r="B929" s="9" t="s">
        <v>17823</v>
      </c>
      <c r="D929" s="9" t="s">
        <v>12224</v>
      </c>
      <c r="F929" s="9" t="s">
        <v>40475</v>
      </c>
      <c r="G929" s="9" t="s">
        <v>38808</v>
      </c>
      <c r="H929" s="127">
        <v>44960.0</v>
      </c>
      <c r="I929" s="9" t="s">
        <v>158</v>
      </c>
      <c r="J929" s="9" t="s">
        <v>38801</v>
      </c>
      <c r="K929" s="55">
        <v>44972.0</v>
      </c>
      <c r="M929" s="9" t="s">
        <v>2181</v>
      </c>
    </row>
    <row r="930" ht="15.75" hidden="1" customHeight="1">
      <c r="A930" s="9" t="s">
        <v>40476</v>
      </c>
      <c r="B930" s="9" t="s">
        <v>17797</v>
      </c>
      <c r="D930" s="9" t="s">
        <v>12224</v>
      </c>
      <c r="F930" s="9" t="s">
        <v>40477</v>
      </c>
      <c r="G930" s="9" t="s">
        <v>38808</v>
      </c>
      <c r="H930" s="127">
        <v>44960.0</v>
      </c>
      <c r="I930" s="9" t="s">
        <v>158</v>
      </c>
      <c r="J930" s="9" t="s">
        <v>38801</v>
      </c>
      <c r="K930" s="55">
        <v>44972.0</v>
      </c>
      <c r="M930" s="9" t="s">
        <v>11979</v>
      </c>
    </row>
    <row r="931" ht="15.75" hidden="1" customHeight="1">
      <c r="A931" s="9" t="s">
        <v>40478</v>
      </c>
      <c r="B931" s="9" t="s">
        <v>17823</v>
      </c>
      <c r="D931" s="9" t="s">
        <v>12224</v>
      </c>
      <c r="F931" s="9" t="s">
        <v>40479</v>
      </c>
      <c r="G931" s="9" t="s">
        <v>38808</v>
      </c>
      <c r="H931" s="127">
        <v>44960.0</v>
      </c>
      <c r="I931" s="9" t="s">
        <v>158</v>
      </c>
      <c r="J931" s="9" t="s">
        <v>38801</v>
      </c>
      <c r="K931" s="55">
        <v>44972.0</v>
      </c>
      <c r="M931" s="9" t="s">
        <v>2181</v>
      </c>
    </row>
    <row r="932" ht="15.75" hidden="1" customHeight="1">
      <c r="A932" s="9" t="s">
        <v>40480</v>
      </c>
      <c r="B932" s="9" t="s">
        <v>17364</v>
      </c>
      <c r="D932" s="9" t="s">
        <v>12230</v>
      </c>
      <c r="F932" s="9" t="s">
        <v>40006</v>
      </c>
      <c r="G932" s="9" t="s">
        <v>38946</v>
      </c>
      <c r="H932" s="127">
        <v>44960.0</v>
      </c>
      <c r="I932" s="9" t="s">
        <v>52</v>
      </c>
      <c r="J932" s="9" t="s">
        <v>38801</v>
      </c>
      <c r="K932" s="55">
        <v>44965.0</v>
      </c>
      <c r="M932" s="9" t="s">
        <v>10556</v>
      </c>
    </row>
    <row r="933" ht="15.75" hidden="1" customHeight="1">
      <c r="A933" s="9" t="s">
        <v>40481</v>
      </c>
      <c r="B933" s="9" t="s">
        <v>18285</v>
      </c>
      <c r="D933" s="9" t="s">
        <v>12236</v>
      </c>
      <c r="F933" s="9" t="s">
        <v>40482</v>
      </c>
      <c r="G933" s="9" t="s">
        <v>38946</v>
      </c>
      <c r="H933" s="127">
        <v>44963.0</v>
      </c>
      <c r="I933" s="9" t="s">
        <v>52</v>
      </c>
      <c r="J933" s="9" t="s">
        <v>38801</v>
      </c>
      <c r="K933" s="55">
        <v>44965.0</v>
      </c>
      <c r="M933" s="9" t="s">
        <v>10745</v>
      </c>
    </row>
    <row r="934" ht="15.75" hidden="1" customHeight="1">
      <c r="A934" s="9" t="s">
        <v>40483</v>
      </c>
      <c r="B934" s="9" t="s">
        <v>14133</v>
      </c>
      <c r="D934" s="9" t="s">
        <v>12230</v>
      </c>
      <c r="F934" s="9" t="s">
        <v>40484</v>
      </c>
      <c r="G934" s="9" t="s">
        <v>38808</v>
      </c>
      <c r="H934" s="127">
        <v>44964.0</v>
      </c>
      <c r="I934" s="9" t="s">
        <v>47</v>
      </c>
      <c r="J934" s="9" t="s">
        <v>38801</v>
      </c>
      <c r="K934" s="55">
        <v>45433.0</v>
      </c>
      <c r="M934" s="9" t="s">
        <v>2522</v>
      </c>
    </row>
    <row r="935" ht="15.75" hidden="1" customHeight="1">
      <c r="A935" s="9" t="s">
        <v>40485</v>
      </c>
      <c r="B935" s="9" t="s">
        <v>18063</v>
      </c>
      <c r="D935" s="9" t="s">
        <v>12248</v>
      </c>
      <c r="F935" s="9" t="s">
        <v>40486</v>
      </c>
      <c r="G935" s="9" t="s">
        <v>38808</v>
      </c>
      <c r="H935" s="127">
        <v>44964.0</v>
      </c>
      <c r="I935" s="9" t="s">
        <v>47</v>
      </c>
      <c r="J935" s="9" t="s">
        <v>38801</v>
      </c>
      <c r="K935" s="55">
        <v>45411.0</v>
      </c>
      <c r="M935" s="9" t="s">
        <v>7336</v>
      </c>
    </row>
    <row r="936" ht="15.75" hidden="1" customHeight="1">
      <c r="A936" s="9" t="s">
        <v>40487</v>
      </c>
      <c r="B936" s="9" t="s">
        <v>17773</v>
      </c>
      <c r="D936" s="9" t="s">
        <v>12254</v>
      </c>
      <c r="F936" s="9" t="s">
        <v>40450</v>
      </c>
      <c r="G936" s="9" t="s">
        <v>38800</v>
      </c>
      <c r="H936" s="127">
        <v>44964.0</v>
      </c>
      <c r="I936" s="9" t="s">
        <v>158</v>
      </c>
      <c r="J936" s="9" t="s">
        <v>38801</v>
      </c>
      <c r="K936" s="55">
        <v>44978.0</v>
      </c>
      <c r="M936" s="9" t="s">
        <v>5676</v>
      </c>
    </row>
    <row r="937" ht="15.75" hidden="1" customHeight="1">
      <c r="A937" s="9" t="s">
        <v>40488</v>
      </c>
      <c r="B937" s="9" t="s">
        <v>17610</v>
      </c>
      <c r="D937" s="9" t="s">
        <v>12254</v>
      </c>
      <c r="F937" s="9" t="s">
        <v>40450</v>
      </c>
      <c r="G937" s="9" t="s">
        <v>38808</v>
      </c>
      <c r="H937" s="127">
        <v>44964.0</v>
      </c>
      <c r="I937" s="9" t="s">
        <v>158</v>
      </c>
      <c r="J937" s="9" t="s">
        <v>38801</v>
      </c>
      <c r="K937" s="55">
        <v>44978.0</v>
      </c>
      <c r="M937" s="9" t="s">
        <v>5249</v>
      </c>
    </row>
    <row r="938" ht="15.75" hidden="1" customHeight="1">
      <c r="A938" s="9" t="s">
        <v>40489</v>
      </c>
      <c r="B938" s="9" t="s">
        <v>17668</v>
      </c>
      <c r="D938" s="9" t="s">
        <v>12254</v>
      </c>
      <c r="F938" s="9" t="s">
        <v>40450</v>
      </c>
      <c r="G938" s="9" t="s">
        <v>38808</v>
      </c>
      <c r="H938" s="127">
        <v>44964.0</v>
      </c>
      <c r="I938" s="9" t="s">
        <v>158</v>
      </c>
      <c r="J938" s="9" t="s">
        <v>38801</v>
      </c>
      <c r="K938" s="55">
        <v>44978.0</v>
      </c>
      <c r="M938" s="9" t="s">
        <v>6224</v>
      </c>
    </row>
    <row r="939" ht="15.75" hidden="1" customHeight="1">
      <c r="A939" s="9" t="s">
        <v>40490</v>
      </c>
      <c r="B939" s="9" t="s">
        <v>17668</v>
      </c>
      <c r="D939" s="9" t="s">
        <v>12254</v>
      </c>
      <c r="F939" s="9" t="s">
        <v>40450</v>
      </c>
      <c r="G939" s="9" t="s">
        <v>38808</v>
      </c>
      <c r="H939" s="127">
        <v>44964.0</v>
      </c>
      <c r="I939" s="9" t="s">
        <v>158</v>
      </c>
      <c r="J939" s="9" t="s">
        <v>38801</v>
      </c>
      <c r="K939" s="55">
        <v>44978.0</v>
      </c>
      <c r="M939" s="9" t="s">
        <v>6224</v>
      </c>
    </row>
    <row r="940" ht="15.75" hidden="1" customHeight="1">
      <c r="A940" s="9" t="s">
        <v>40491</v>
      </c>
      <c r="B940" s="9" t="s">
        <v>18058</v>
      </c>
      <c r="D940" s="9" t="s">
        <v>12239</v>
      </c>
      <c r="F940" s="9" t="s">
        <v>40492</v>
      </c>
      <c r="G940" s="9" t="s">
        <v>38946</v>
      </c>
      <c r="H940" s="127">
        <v>44964.0</v>
      </c>
      <c r="I940" s="9" t="s">
        <v>26</v>
      </c>
      <c r="J940" s="9" t="s">
        <v>38801</v>
      </c>
      <c r="K940" s="55">
        <v>44974.0</v>
      </c>
      <c r="M940" s="9" t="s">
        <v>8993</v>
      </c>
    </row>
    <row r="941" ht="15.75" hidden="1" customHeight="1">
      <c r="A941" s="9" t="s">
        <v>40493</v>
      </c>
      <c r="B941" s="9" t="s">
        <v>17784</v>
      </c>
      <c r="D941" s="9" t="s">
        <v>12224</v>
      </c>
      <c r="F941" s="9" t="s">
        <v>40494</v>
      </c>
      <c r="G941" s="9" t="s">
        <v>38808</v>
      </c>
      <c r="H941" s="127">
        <v>44964.0</v>
      </c>
      <c r="I941" s="9" t="s">
        <v>158</v>
      </c>
      <c r="J941" s="9" t="s">
        <v>38801</v>
      </c>
      <c r="K941" s="55">
        <v>44972.0</v>
      </c>
      <c r="M941" s="9" t="s">
        <v>1919</v>
      </c>
    </row>
    <row r="942" ht="15.75" hidden="1" customHeight="1">
      <c r="A942" s="9" t="s">
        <v>40495</v>
      </c>
      <c r="B942" s="9" t="s">
        <v>18058</v>
      </c>
      <c r="D942" s="9" t="s">
        <v>12240</v>
      </c>
      <c r="F942" s="9" t="s">
        <v>40496</v>
      </c>
      <c r="G942" s="9" t="s">
        <v>38946</v>
      </c>
      <c r="H942" s="127">
        <v>44964.0</v>
      </c>
      <c r="I942" s="9" t="s">
        <v>26</v>
      </c>
      <c r="J942" s="9" t="s">
        <v>38801</v>
      </c>
      <c r="K942" s="55">
        <v>44972.0</v>
      </c>
      <c r="M942" s="9" t="s">
        <v>8993</v>
      </c>
    </row>
    <row r="943" ht="15.75" hidden="1" customHeight="1">
      <c r="A943" s="9" t="s">
        <v>40497</v>
      </c>
      <c r="B943" s="9" t="s">
        <v>17001</v>
      </c>
      <c r="D943" s="9" t="s">
        <v>12236</v>
      </c>
      <c r="F943" s="9" t="s">
        <v>40498</v>
      </c>
      <c r="G943" s="9" t="s">
        <v>38946</v>
      </c>
      <c r="H943" s="127">
        <v>44964.0</v>
      </c>
      <c r="I943" s="9" t="s">
        <v>52</v>
      </c>
      <c r="J943" s="9" t="s">
        <v>38801</v>
      </c>
      <c r="K943" s="55">
        <v>44967.0</v>
      </c>
      <c r="M943" s="9" t="s">
        <v>256</v>
      </c>
    </row>
    <row r="944" ht="15.75" hidden="1" customHeight="1">
      <c r="A944" s="9" t="s">
        <v>40499</v>
      </c>
      <c r="B944" s="9" t="s">
        <v>18058</v>
      </c>
      <c r="D944" s="9" t="s">
        <v>12236</v>
      </c>
      <c r="F944" s="9" t="s">
        <v>40500</v>
      </c>
      <c r="G944" s="9" t="s">
        <v>38946</v>
      </c>
      <c r="H944" s="127">
        <v>44964.0</v>
      </c>
      <c r="I944" s="9" t="s">
        <v>26</v>
      </c>
      <c r="J944" s="9" t="s">
        <v>38801</v>
      </c>
      <c r="K944" s="55">
        <v>44966.0</v>
      </c>
      <c r="M944" s="9" t="s">
        <v>8993</v>
      </c>
    </row>
    <row r="945" ht="15.75" hidden="1" customHeight="1">
      <c r="A945" s="9" t="s">
        <v>40501</v>
      </c>
      <c r="B945" s="9" t="s">
        <v>16974</v>
      </c>
      <c r="D945" s="9" t="s">
        <v>12240</v>
      </c>
      <c r="F945" s="9" t="s">
        <v>40502</v>
      </c>
      <c r="G945" s="9" t="s">
        <v>38946</v>
      </c>
      <c r="H945" s="127">
        <v>44966.0</v>
      </c>
      <c r="I945" s="9" t="s">
        <v>52</v>
      </c>
      <c r="J945" s="9" t="s">
        <v>38801</v>
      </c>
      <c r="K945" s="55">
        <v>44972.0</v>
      </c>
      <c r="M945" s="9" t="s">
        <v>10721</v>
      </c>
    </row>
    <row r="946" ht="15.75" hidden="1" customHeight="1">
      <c r="A946" s="9" t="s">
        <v>40503</v>
      </c>
      <c r="B946" s="9" t="s">
        <v>12832</v>
      </c>
      <c r="D946" s="9" t="s">
        <v>12230</v>
      </c>
      <c r="F946" s="9" t="s">
        <v>40504</v>
      </c>
      <c r="G946" s="9" t="s">
        <v>38808</v>
      </c>
      <c r="H946" s="127">
        <v>44966.0</v>
      </c>
      <c r="I946" s="9" t="s">
        <v>47</v>
      </c>
      <c r="J946" s="9" t="s">
        <v>38801</v>
      </c>
      <c r="K946" s="55">
        <v>46100.0</v>
      </c>
      <c r="M946" s="9" t="s">
        <v>10664</v>
      </c>
    </row>
    <row r="947" ht="15.75" hidden="1" customHeight="1">
      <c r="A947" s="9" t="s">
        <v>40505</v>
      </c>
      <c r="B947" s="9" t="s">
        <v>15277</v>
      </c>
      <c r="D947" s="9" t="s">
        <v>12230</v>
      </c>
      <c r="F947" s="9" t="s">
        <v>40154</v>
      </c>
      <c r="G947" s="9" t="s">
        <v>38946</v>
      </c>
      <c r="H947" s="127">
        <v>44967.0</v>
      </c>
      <c r="I947" s="9" t="s">
        <v>131</v>
      </c>
      <c r="J947" s="9" t="s">
        <v>38801</v>
      </c>
      <c r="K947" s="55">
        <v>44985.0</v>
      </c>
      <c r="M947" s="9" t="s">
        <v>10453</v>
      </c>
    </row>
    <row r="948" ht="15.75" hidden="1" customHeight="1">
      <c r="A948" s="9" t="s">
        <v>40506</v>
      </c>
      <c r="B948" s="9" t="s">
        <v>16145</v>
      </c>
      <c r="D948" s="9" t="s">
        <v>12236</v>
      </c>
      <c r="F948" s="9" t="s">
        <v>39677</v>
      </c>
      <c r="G948" s="9" t="s">
        <v>38946</v>
      </c>
      <c r="H948" s="127">
        <v>44970.0</v>
      </c>
      <c r="I948" s="9" t="s">
        <v>52</v>
      </c>
      <c r="J948" s="9" t="s">
        <v>38801</v>
      </c>
      <c r="K948" s="55">
        <v>44970.0</v>
      </c>
      <c r="M948" s="9" t="s">
        <v>10498</v>
      </c>
    </row>
    <row r="949" ht="15.75" hidden="1" customHeight="1">
      <c r="A949" s="9" t="s">
        <v>40507</v>
      </c>
      <c r="B949" s="9" t="s">
        <v>16974</v>
      </c>
      <c r="D949" s="9" t="s">
        <v>12236</v>
      </c>
      <c r="F949" s="9" t="s">
        <v>40508</v>
      </c>
      <c r="G949" s="9" t="s">
        <v>38946</v>
      </c>
      <c r="H949" s="127">
        <v>44970.0</v>
      </c>
      <c r="I949" s="9" t="s">
        <v>52</v>
      </c>
      <c r="J949" s="9" t="s">
        <v>38801</v>
      </c>
      <c r="K949" s="55">
        <v>44970.0</v>
      </c>
      <c r="M949" s="9" t="s">
        <v>10721</v>
      </c>
    </row>
    <row r="950" ht="15.75" hidden="1" customHeight="1">
      <c r="A950" s="9" t="s">
        <v>40509</v>
      </c>
      <c r="B950" s="9" t="s">
        <v>17403</v>
      </c>
      <c r="D950" s="9" t="s">
        <v>12230</v>
      </c>
      <c r="F950" s="9" t="s">
        <v>40510</v>
      </c>
      <c r="G950" s="9" t="s">
        <v>38946</v>
      </c>
      <c r="H950" s="127">
        <v>44971.0</v>
      </c>
      <c r="I950" s="9" t="s">
        <v>52</v>
      </c>
      <c r="J950" s="9" t="s">
        <v>38801</v>
      </c>
      <c r="K950" s="55">
        <v>44978.0</v>
      </c>
      <c r="M950" s="9" t="s">
        <v>9522</v>
      </c>
    </row>
    <row r="951" ht="15.75" hidden="1" customHeight="1">
      <c r="A951" s="9" t="s">
        <v>40511</v>
      </c>
      <c r="B951" s="9" t="s">
        <v>14747</v>
      </c>
      <c r="D951" s="9" t="s">
        <v>12230</v>
      </c>
      <c r="F951" s="9" t="s">
        <v>40512</v>
      </c>
      <c r="G951" s="9" t="s">
        <v>38946</v>
      </c>
      <c r="H951" s="127">
        <v>44971.0</v>
      </c>
      <c r="I951" s="9" t="s">
        <v>52</v>
      </c>
      <c r="J951" s="9" t="s">
        <v>38801</v>
      </c>
      <c r="K951" s="55">
        <v>44978.0</v>
      </c>
      <c r="M951" s="9" t="s">
        <v>12170</v>
      </c>
    </row>
    <row r="952" ht="15.75" hidden="1" customHeight="1">
      <c r="A952" s="9" t="s">
        <v>40513</v>
      </c>
      <c r="B952" s="9" t="s">
        <v>14747</v>
      </c>
      <c r="D952" s="9" t="s">
        <v>12230</v>
      </c>
      <c r="F952" s="9" t="s">
        <v>40512</v>
      </c>
      <c r="G952" s="9" t="s">
        <v>38946</v>
      </c>
      <c r="H952" s="127">
        <v>44971.0</v>
      </c>
      <c r="I952" s="9" t="s">
        <v>52</v>
      </c>
      <c r="J952" s="9" t="s">
        <v>38801</v>
      </c>
      <c r="K952" s="55">
        <v>44978.0</v>
      </c>
      <c r="M952" s="9" t="s">
        <v>12020</v>
      </c>
    </row>
    <row r="953" ht="15.75" hidden="1" customHeight="1">
      <c r="A953" s="9" t="s">
        <v>40514</v>
      </c>
      <c r="B953" s="9" t="s">
        <v>18028</v>
      </c>
      <c r="D953" s="9" t="s">
        <v>12258</v>
      </c>
      <c r="F953" s="9" t="s">
        <v>40515</v>
      </c>
      <c r="G953" s="9" t="s">
        <v>38800</v>
      </c>
      <c r="H953" s="127">
        <v>44972.0</v>
      </c>
      <c r="I953" s="9" t="s">
        <v>158</v>
      </c>
      <c r="J953" s="9" t="s">
        <v>38801</v>
      </c>
      <c r="K953" s="55">
        <v>44972.0</v>
      </c>
      <c r="M953" s="9" t="s">
        <v>6444</v>
      </c>
    </row>
    <row r="954" ht="15.75" hidden="1" customHeight="1">
      <c r="A954" s="9" t="s">
        <v>40516</v>
      </c>
      <c r="B954" s="9" t="s">
        <v>14366</v>
      </c>
      <c r="D954" s="9" t="s">
        <v>12230</v>
      </c>
      <c r="F954" s="9" t="s">
        <v>40517</v>
      </c>
      <c r="G954" s="9" t="s">
        <v>38946</v>
      </c>
      <c r="H954" s="127">
        <v>44974.0</v>
      </c>
      <c r="I954" s="9" t="s">
        <v>52</v>
      </c>
      <c r="J954" s="9" t="s">
        <v>38801</v>
      </c>
      <c r="K954" s="55">
        <v>44979.0</v>
      </c>
      <c r="M954" s="9" t="s">
        <v>9080</v>
      </c>
    </row>
    <row r="955" ht="15.75" hidden="1" customHeight="1">
      <c r="A955" s="9" t="s">
        <v>40518</v>
      </c>
      <c r="B955" s="9" t="s">
        <v>12609</v>
      </c>
      <c r="D955" s="9" t="s">
        <v>12230</v>
      </c>
      <c r="F955" s="9" t="s">
        <v>40519</v>
      </c>
      <c r="G955" s="9" t="s">
        <v>38946</v>
      </c>
      <c r="H955" s="127">
        <v>44974.0</v>
      </c>
      <c r="I955" s="9" t="s">
        <v>52</v>
      </c>
      <c r="J955" s="9" t="s">
        <v>38801</v>
      </c>
      <c r="K955" s="55">
        <v>44978.0</v>
      </c>
      <c r="M955" s="9" t="s">
        <v>266</v>
      </c>
    </row>
    <row r="956" ht="15.75" hidden="1" customHeight="1">
      <c r="A956" s="9" t="s">
        <v>40520</v>
      </c>
      <c r="B956" s="9" t="s">
        <v>12609</v>
      </c>
      <c r="D956" s="9" t="s">
        <v>12230</v>
      </c>
      <c r="F956" s="9" t="s">
        <v>40521</v>
      </c>
      <c r="G956" s="9" t="s">
        <v>38946</v>
      </c>
      <c r="H956" s="127">
        <v>44974.0</v>
      </c>
      <c r="I956" s="9" t="s">
        <v>52</v>
      </c>
      <c r="J956" s="9" t="s">
        <v>38801</v>
      </c>
      <c r="K956" s="55">
        <v>46100.0</v>
      </c>
      <c r="M956" s="9" t="s">
        <v>11817</v>
      </c>
    </row>
    <row r="957" ht="15.75" hidden="1" customHeight="1">
      <c r="A957" s="9" t="s">
        <v>40522</v>
      </c>
      <c r="B957" s="9" t="s">
        <v>13052</v>
      </c>
      <c r="D957" s="9" t="s">
        <v>12246</v>
      </c>
      <c r="F957" s="9" t="s">
        <v>40523</v>
      </c>
      <c r="G957" s="9" t="s">
        <v>38808</v>
      </c>
      <c r="H957" s="127">
        <v>44977.0</v>
      </c>
      <c r="I957" s="9" t="s">
        <v>47</v>
      </c>
      <c r="J957" s="9" t="s">
        <v>38801</v>
      </c>
      <c r="K957" s="55">
        <v>46099.0</v>
      </c>
      <c r="M957" s="9" t="s">
        <v>10079</v>
      </c>
    </row>
    <row r="958" ht="15.75" hidden="1" customHeight="1">
      <c r="A958" s="9" t="s">
        <v>40524</v>
      </c>
      <c r="B958" s="9" t="s">
        <v>16293</v>
      </c>
      <c r="D958" s="9" t="s">
        <v>12236</v>
      </c>
      <c r="F958" s="9" t="s">
        <v>40525</v>
      </c>
      <c r="G958" s="9" t="s">
        <v>38946</v>
      </c>
      <c r="H958" s="127">
        <v>44978.0</v>
      </c>
      <c r="I958" s="9" t="s">
        <v>52</v>
      </c>
      <c r="J958" s="9" t="s">
        <v>38801</v>
      </c>
      <c r="K958" s="55">
        <v>44985.0</v>
      </c>
      <c r="M958" s="9" t="s">
        <v>11914</v>
      </c>
    </row>
    <row r="959" ht="15.75" hidden="1" customHeight="1">
      <c r="A959" s="9" t="s">
        <v>40526</v>
      </c>
      <c r="B959" s="9" t="s">
        <v>17974</v>
      </c>
      <c r="D959" s="9" t="s">
        <v>12230</v>
      </c>
      <c r="F959" s="9" t="s">
        <v>40527</v>
      </c>
      <c r="G959" s="9" t="s">
        <v>38808</v>
      </c>
      <c r="H959" s="127">
        <v>44978.0</v>
      </c>
      <c r="I959" s="9" t="s">
        <v>47</v>
      </c>
      <c r="J959" s="9" t="s">
        <v>38801</v>
      </c>
      <c r="K959" s="55">
        <v>44978.0</v>
      </c>
      <c r="M959" s="9" t="s">
        <v>6473</v>
      </c>
    </row>
    <row r="960" ht="15.75" hidden="1" customHeight="1">
      <c r="A960" s="9" t="s">
        <v>40528</v>
      </c>
      <c r="B960" s="9" t="s">
        <v>17403</v>
      </c>
      <c r="D960" s="9" t="s">
        <v>12250</v>
      </c>
      <c r="F960" s="9" t="s">
        <v>40529</v>
      </c>
      <c r="G960" s="9" t="s">
        <v>38946</v>
      </c>
      <c r="H960" s="127">
        <v>44978.0</v>
      </c>
      <c r="I960" s="9" t="s">
        <v>47</v>
      </c>
      <c r="J960" s="9" t="s">
        <v>38801</v>
      </c>
      <c r="K960" s="55">
        <v>44978.0</v>
      </c>
      <c r="M960" s="9" t="s">
        <v>9522</v>
      </c>
    </row>
    <row r="961" ht="15.75" hidden="1" customHeight="1">
      <c r="A961" s="9" t="s">
        <v>40530</v>
      </c>
      <c r="B961" s="9" t="s">
        <v>17887</v>
      </c>
      <c r="D961" s="9" t="s">
        <v>12248</v>
      </c>
      <c r="F961" s="9" t="s">
        <v>40531</v>
      </c>
      <c r="G961" s="9" t="s">
        <v>38808</v>
      </c>
      <c r="H961" s="127">
        <v>44979.0</v>
      </c>
      <c r="I961" s="9" t="s">
        <v>47</v>
      </c>
      <c r="J961" s="9" t="s">
        <v>38801</v>
      </c>
      <c r="K961" s="55">
        <v>45411.0</v>
      </c>
      <c r="M961" s="9" t="s">
        <v>10733</v>
      </c>
    </row>
    <row r="962" ht="15.75" hidden="1" customHeight="1">
      <c r="A962" s="9" t="s">
        <v>40532</v>
      </c>
      <c r="B962" s="9" t="s">
        <v>15425</v>
      </c>
      <c r="D962" s="9" t="s">
        <v>12246</v>
      </c>
      <c r="F962" s="9" t="s">
        <v>40533</v>
      </c>
      <c r="G962" s="9" t="s">
        <v>38808</v>
      </c>
      <c r="H962" s="127">
        <v>44979.0</v>
      </c>
      <c r="I962" s="9" t="s">
        <v>47</v>
      </c>
      <c r="J962" s="9" t="s">
        <v>38801</v>
      </c>
      <c r="K962" s="55">
        <v>44979.0</v>
      </c>
      <c r="M962" s="9" t="s">
        <v>8166</v>
      </c>
    </row>
    <row r="963" ht="15.75" hidden="1" customHeight="1">
      <c r="A963" s="9" t="s">
        <v>40534</v>
      </c>
      <c r="B963" s="9" t="s">
        <v>15765</v>
      </c>
      <c r="D963" s="9" t="s">
        <v>12239</v>
      </c>
      <c r="F963" s="9" t="s">
        <v>40535</v>
      </c>
      <c r="G963" s="9" t="s">
        <v>38808</v>
      </c>
      <c r="H963" s="127">
        <v>44980.0</v>
      </c>
      <c r="I963" s="9" t="s">
        <v>47</v>
      </c>
      <c r="J963" s="9" t="s">
        <v>38801</v>
      </c>
      <c r="K963" s="55">
        <v>45215.0</v>
      </c>
      <c r="M963" s="9" t="s">
        <v>12041</v>
      </c>
    </row>
    <row r="964" ht="15.75" hidden="1" customHeight="1">
      <c r="A964" s="9" t="s">
        <v>40536</v>
      </c>
      <c r="B964" s="9" t="s">
        <v>17389</v>
      </c>
      <c r="D964" s="9" t="s">
        <v>12230</v>
      </c>
      <c r="F964" s="9" t="s">
        <v>40537</v>
      </c>
      <c r="G964" s="9" t="s">
        <v>38946</v>
      </c>
      <c r="H964" s="127">
        <v>44980.0</v>
      </c>
      <c r="I964" s="9" t="s">
        <v>52</v>
      </c>
      <c r="J964" s="9" t="s">
        <v>38801</v>
      </c>
      <c r="K964" s="55">
        <v>45005.0</v>
      </c>
      <c r="M964" s="9" t="s">
        <v>12144</v>
      </c>
    </row>
    <row r="965" ht="15.75" hidden="1" customHeight="1">
      <c r="A965" s="9" t="s">
        <v>40538</v>
      </c>
      <c r="B965" s="9" t="s">
        <v>13177</v>
      </c>
      <c r="D965" s="9" t="s">
        <v>12230</v>
      </c>
      <c r="F965" s="9" t="s">
        <v>40537</v>
      </c>
      <c r="G965" s="9" t="s">
        <v>38946</v>
      </c>
      <c r="H965" s="127">
        <v>44980.0</v>
      </c>
      <c r="I965" s="9" t="s">
        <v>52</v>
      </c>
      <c r="J965" s="9" t="s">
        <v>38801</v>
      </c>
      <c r="K965" s="55">
        <v>44988.0</v>
      </c>
      <c r="M965" s="9" t="s">
        <v>10318</v>
      </c>
    </row>
    <row r="966" ht="15.75" hidden="1" customHeight="1">
      <c r="A966" s="9" t="s">
        <v>40539</v>
      </c>
      <c r="B966" s="9" t="s">
        <v>13299</v>
      </c>
      <c r="D966" s="9" t="s">
        <v>12239</v>
      </c>
      <c r="F966" s="9" t="s">
        <v>40540</v>
      </c>
      <c r="G966" s="9" t="s">
        <v>38946</v>
      </c>
      <c r="H966" s="127">
        <v>44984.0</v>
      </c>
      <c r="I966" s="9" t="s">
        <v>131</v>
      </c>
      <c r="J966" s="9" t="s">
        <v>38801</v>
      </c>
      <c r="K966" s="60">
        <v>45251.0</v>
      </c>
      <c r="M966" s="9" t="s">
        <v>10571</v>
      </c>
    </row>
    <row r="967" ht="15.75" hidden="1" customHeight="1">
      <c r="A967" s="9" t="s">
        <v>40541</v>
      </c>
      <c r="B967" s="9" t="s">
        <v>17715</v>
      </c>
      <c r="D967" s="9" t="s">
        <v>12239</v>
      </c>
      <c r="F967" s="9" t="s">
        <v>40048</v>
      </c>
      <c r="G967" s="9" t="s">
        <v>38808</v>
      </c>
      <c r="H967" s="127">
        <v>44984.0</v>
      </c>
      <c r="I967" s="9" t="s">
        <v>47</v>
      </c>
      <c r="J967" s="9" t="s">
        <v>38801</v>
      </c>
      <c r="K967" s="55">
        <v>45002.0</v>
      </c>
      <c r="M967" s="9" t="s">
        <v>12207</v>
      </c>
    </row>
    <row r="968" ht="15.75" hidden="1" customHeight="1">
      <c r="A968" s="9" t="s">
        <v>40542</v>
      </c>
      <c r="B968" s="9" t="s">
        <v>17715</v>
      </c>
      <c r="D968" s="9" t="s">
        <v>12236</v>
      </c>
      <c r="F968" s="9" t="s">
        <v>40543</v>
      </c>
      <c r="G968" s="9" t="s">
        <v>38808</v>
      </c>
      <c r="H968" s="127">
        <v>44984.0</v>
      </c>
      <c r="I968" s="9" t="s">
        <v>47</v>
      </c>
      <c r="J968" s="9" t="s">
        <v>38801</v>
      </c>
      <c r="K968" s="55">
        <v>44992.0</v>
      </c>
      <c r="M968" s="9" t="s">
        <v>12207</v>
      </c>
    </row>
    <row r="969" ht="15.75" hidden="1" customHeight="1">
      <c r="A969" s="9" t="s">
        <v>40544</v>
      </c>
      <c r="B969" s="9" t="s">
        <v>17715</v>
      </c>
      <c r="D969" s="9" t="s">
        <v>12250</v>
      </c>
      <c r="F969" s="9" t="s">
        <v>40545</v>
      </c>
      <c r="G969" s="9" t="s">
        <v>38808</v>
      </c>
      <c r="H969" s="127">
        <v>44984.0</v>
      </c>
      <c r="I969" s="9" t="s">
        <v>47</v>
      </c>
      <c r="J969" s="9" t="s">
        <v>38801</v>
      </c>
      <c r="K969" s="55">
        <v>44985.0</v>
      </c>
      <c r="M969" s="9" t="s">
        <v>12207</v>
      </c>
    </row>
    <row r="970" ht="15.75" hidden="1" customHeight="1">
      <c r="A970" s="9" t="s">
        <v>40546</v>
      </c>
      <c r="B970" s="9" t="s">
        <v>17403</v>
      </c>
      <c r="D970" s="9" t="s">
        <v>12242</v>
      </c>
      <c r="F970" s="9" t="s">
        <v>40547</v>
      </c>
      <c r="G970" s="9" t="s">
        <v>38844</v>
      </c>
      <c r="H970" s="127">
        <v>44985.0</v>
      </c>
      <c r="I970" s="9" t="s">
        <v>26</v>
      </c>
      <c r="J970" s="9" t="s">
        <v>38801</v>
      </c>
      <c r="K970" s="55">
        <v>44985.0</v>
      </c>
      <c r="M970" s="9" t="s">
        <v>9522</v>
      </c>
    </row>
    <row r="971" ht="15.75" hidden="1" customHeight="1">
      <c r="A971" s="9" t="s">
        <v>40548</v>
      </c>
      <c r="B971" s="9" t="s">
        <v>15765</v>
      </c>
      <c r="D971" s="9" t="s">
        <v>12257</v>
      </c>
      <c r="F971" s="9" t="s">
        <v>40549</v>
      </c>
      <c r="G971" s="9" t="s">
        <v>38808</v>
      </c>
      <c r="H971" s="127">
        <v>44986.0</v>
      </c>
      <c r="I971" s="9" t="s">
        <v>47</v>
      </c>
      <c r="J971" s="9" t="s">
        <v>38801</v>
      </c>
      <c r="K971" s="55">
        <v>45126.0</v>
      </c>
      <c r="M971" s="9" t="s">
        <v>12041</v>
      </c>
    </row>
    <row r="972" ht="15.75" hidden="1" customHeight="1">
      <c r="A972" s="9" t="s">
        <v>40550</v>
      </c>
      <c r="B972" s="9" t="s">
        <v>16348</v>
      </c>
      <c r="D972" s="9" t="s">
        <v>12230</v>
      </c>
      <c r="F972" s="9" t="s">
        <v>40006</v>
      </c>
      <c r="G972" s="9" t="s">
        <v>38946</v>
      </c>
      <c r="H972" s="127">
        <v>44986.0</v>
      </c>
      <c r="I972" s="9" t="s">
        <v>52</v>
      </c>
      <c r="J972" s="9" t="s">
        <v>38801</v>
      </c>
      <c r="K972" s="55">
        <v>45005.0</v>
      </c>
      <c r="M972" s="9" t="s">
        <v>10506</v>
      </c>
    </row>
    <row r="973" ht="15.75" hidden="1" customHeight="1">
      <c r="A973" s="9" t="s">
        <v>40551</v>
      </c>
      <c r="B973" s="9" t="s">
        <v>12850</v>
      </c>
      <c r="D973" s="9" t="s">
        <v>12250</v>
      </c>
      <c r="F973" s="9" t="s">
        <v>40552</v>
      </c>
      <c r="G973" s="9" t="s">
        <v>38808</v>
      </c>
      <c r="H973" s="127">
        <v>44986.0</v>
      </c>
      <c r="I973" s="9" t="s">
        <v>47</v>
      </c>
      <c r="J973" s="9" t="s">
        <v>38801</v>
      </c>
      <c r="K973" s="55">
        <v>46100.0</v>
      </c>
      <c r="M973" s="9" t="s">
        <v>10297</v>
      </c>
    </row>
    <row r="974" ht="15.75" hidden="1" customHeight="1">
      <c r="A974" s="9" t="s">
        <v>40553</v>
      </c>
      <c r="B974" s="9" t="s">
        <v>16293</v>
      </c>
      <c r="D974" s="9" t="s">
        <v>12230</v>
      </c>
      <c r="F974" s="9" t="s">
        <v>40554</v>
      </c>
      <c r="G974" s="9" t="s">
        <v>38808</v>
      </c>
      <c r="H974" s="127">
        <v>44986.0</v>
      </c>
      <c r="I974" s="9" t="s">
        <v>47</v>
      </c>
      <c r="J974" s="9" t="s">
        <v>38801</v>
      </c>
      <c r="K974" s="55">
        <v>44986.0</v>
      </c>
      <c r="M974" s="9" t="s">
        <v>11914</v>
      </c>
    </row>
    <row r="975" ht="15.75" hidden="1" customHeight="1">
      <c r="A975" s="9" t="s">
        <v>40555</v>
      </c>
      <c r="B975" s="9" t="s">
        <v>14299</v>
      </c>
      <c r="D975" s="9" t="s">
        <v>12236</v>
      </c>
      <c r="F975" s="9" t="s">
        <v>40556</v>
      </c>
      <c r="G975" s="9" t="s">
        <v>38946</v>
      </c>
      <c r="H975" s="127">
        <v>44987.0</v>
      </c>
      <c r="I975" s="9" t="s">
        <v>26</v>
      </c>
      <c r="J975" s="9" t="s">
        <v>38801</v>
      </c>
      <c r="K975" s="55">
        <v>45472.0</v>
      </c>
      <c r="M975" s="9" t="s">
        <v>10391</v>
      </c>
    </row>
    <row r="976" ht="15.75" hidden="1" customHeight="1">
      <c r="A976" s="9" t="s">
        <v>40557</v>
      </c>
      <c r="B976" s="9" t="s">
        <v>20087</v>
      </c>
      <c r="D976" s="9" t="s">
        <v>12230</v>
      </c>
      <c r="F976" s="9" t="s">
        <v>40558</v>
      </c>
      <c r="G976" s="9" t="s">
        <v>38946</v>
      </c>
      <c r="H976" s="127">
        <v>44987.0</v>
      </c>
      <c r="I976" s="9" t="s">
        <v>52</v>
      </c>
      <c r="J976" s="9" t="s">
        <v>38801</v>
      </c>
      <c r="K976" s="55">
        <v>45433.0</v>
      </c>
      <c r="M976" s="9" t="s">
        <v>6807</v>
      </c>
    </row>
    <row r="977" ht="15.75" hidden="1" customHeight="1">
      <c r="A977" s="9" t="s">
        <v>40559</v>
      </c>
      <c r="B977" s="9" t="s">
        <v>16816</v>
      </c>
      <c r="D977" s="9" t="s">
        <v>12230</v>
      </c>
      <c r="F977" s="9" t="s">
        <v>40154</v>
      </c>
      <c r="G977" s="9" t="s">
        <v>38946</v>
      </c>
      <c r="H977" s="127">
        <v>44987.0</v>
      </c>
      <c r="I977" s="9" t="s">
        <v>131</v>
      </c>
      <c r="J977" s="9" t="s">
        <v>38801</v>
      </c>
      <c r="K977" s="55">
        <v>45005.0</v>
      </c>
      <c r="M977" s="9" t="s">
        <v>10529</v>
      </c>
    </row>
    <row r="978" ht="15.75" hidden="1" customHeight="1">
      <c r="A978" s="9" t="s">
        <v>40560</v>
      </c>
      <c r="B978" s="9" t="s">
        <v>16038</v>
      </c>
      <c r="D978" s="9" t="s">
        <v>12239</v>
      </c>
      <c r="F978" s="9" t="s">
        <v>40561</v>
      </c>
      <c r="G978" s="9" t="s">
        <v>38946</v>
      </c>
      <c r="H978" s="127">
        <v>44987.0</v>
      </c>
      <c r="I978" s="9" t="s">
        <v>131</v>
      </c>
      <c r="J978" s="9" t="s">
        <v>38801</v>
      </c>
      <c r="K978" s="55">
        <v>45002.0</v>
      </c>
      <c r="M978" s="9" t="s">
        <v>10486</v>
      </c>
    </row>
    <row r="979" ht="15.75" hidden="1" customHeight="1">
      <c r="A979" s="9" t="s">
        <v>40562</v>
      </c>
      <c r="B979" s="9" t="s">
        <v>16038</v>
      </c>
      <c r="D979" s="9" t="s">
        <v>12242</v>
      </c>
      <c r="F979" s="9" t="s">
        <v>40563</v>
      </c>
      <c r="G979" s="9" t="s">
        <v>38946</v>
      </c>
      <c r="H979" s="127">
        <v>44987.0</v>
      </c>
      <c r="I979" s="9" t="s">
        <v>131</v>
      </c>
      <c r="J979" s="9" t="s">
        <v>38801</v>
      </c>
      <c r="K979" s="55">
        <v>44998.0</v>
      </c>
      <c r="M979" s="9" t="s">
        <v>10486</v>
      </c>
    </row>
    <row r="980" ht="15.75" hidden="1" customHeight="1">
      <c r="A980" s="9" t="s">
        <v>40564</v>
      </c>
      <c r="B980" s="9" t="s">
        <v>16038</v>
      </c>
      <c r="D980" s="9" t="s">
        <v>12236</v>
      </c>
      <c r="F980" s="9" t="s">
        <v>40565</v>
      </c>
      <c r="G980" s="9" t="s">
        <v>38946</v>
      </c>
      <c r="H980" s="127">
        <v>44987.0</v>
      </c>
      <c r="I980" s="9" t="s">
        <v>131</v>
      </c>
      <c r="J980" s="9" t="s">
        <v>38801</v>
      </c>
      <c r="K980" s="55">
        <v>44993.0</v>
      </c>
      <c r="M980" s="9" t="s">
        <v>10486</v>
      </c>
    </row>
    <row r="981" ht="15.75" hidden="1" customHeight="1">
      <c r="A981" s="9" t="s">
        <v>40566</v>
      </c>
      <c r="B981" s="9" t="s">
        <v>18285</v>
      </c>
      <c r="D981" s="9" t="s">
        <v>12240</v>
      </c>
      <c r="F981" s="9" t="s">
        <v>40567</v>
      </c>
      <c r="G981" s="9" t="s">
        <v>38946</v>
      </c>
      <c r="H981" s="127">
        <v>44987.0</v>
      </c>
      <c r="I981" s="9" t="s">
        <v>52</v>
      </c>
      <c r="J981" s="9" t="s">
        <v>38801</v>
      </c>
      <c r="K981" s="55">
        <v>44987.0</v>
      </c>
      <c r="M981" s="9" t="s">
        <v>10745</v>
      </c>
    </row>
    <row r="982" ht="15.75" hidden="1" customHeight="1">
      <c r="A982" s="9" t="s">
        <v>40568</v>
      </c>
      <c r="B982" s="9" t="s">
        <v>26228</v>
      </c>
      <c r="D982" s="9" t="s">
        <v>12248</v>
      </c>
      <c r="F982" s="9" t="s">
        <v>40569</v>
      </c>
      <c r="G982" s="9" t="s">
        <v>38808</v>
      </c>
      <c r="H982" s="127">
        <v>44988.0</v>
      </c>
      <c r="I982" s="9" t="s">
        <v>47</v>
      </c>
      <c r="J982" s="9" t="s">
        <v>38801</v>
      </c>
      <c r="K982" s="55">
        <v>45411.0</v>
      </c>
      <c r="M982" s="9" t="s">
        <v>10725</v>
      </c>
    </row>
    <row r="983" ht="15.75" hidden="1" customHeight="1">
      <c r="A983" s="9" t="s">
        <v>40570</v>
      </c>
      <c r="B983" s="9" t="s">
        <v>13229</v>
      </c>
      <c r="D983" s="9" t="s">
        <v>12230</v>
      </c>
      <c r="F983" s="9" t="s">
        <v>40571</v>
      </c>
      <c r="G983" s="9" t="s">
        <v>38946</v>
      </c>
      <c r="H983" s="127">
        <v>44988.0</v>
      </c>
      <c r="I983" s="9" t="s">
        <v>52</v>
      </c>
      <c r="J983" s="9" t="s">
        <v>38801</v>
      </c>
      <c r="K983" s="55">
        <v>44991.0</v>
      </c>
      <c r="M983" s="9" t="s">
        <v>10322</v>
      </c>
    </row>
    <row r="984" ht="15.75" hidden="1" customHeight="1">
      <c r="A984" s="9" t="s">
        <v>40572</v>
      </c>
      <c r="B984" s="9" t="s">
        <v>17618</v>
      </c>
      <c r="D984" s="9" t="s">
        <v>12248</v>
      </c>
      <c r="F984" s="9" t="s">
        <v>40573</v>
      </c>
      <c r="G984" s="9" t="s">
        <v>38808</v>
      </c>
      <c r="H984" s="127">
        <v>44991.0</v>
      </c>
      <c r="I984" s="9" t="s">
        <v>47</v>
      </c>
      <c r="J984" s="9" t="s">
        <v>38801</v>
      </c>
      <c r="K984" s="55">
        <v>45411.0</v>
      </c>
      <c r="M984" s="9" t="s">
        <v>2193</v>
      </c>
    </row>
    <row r="985" ht="15.75" hidden="1" customHeight="1">
      <c r="A985" s="9" t="s">
        <v>40574</v>
      </c>
      <c r="B985" s="9" t="s">
        <v>17001</v>
      </c>
      <c r="D985" s="9" t="s">
        <v>12230</v>
      </c>
      <c r="F985" s="9" t="s">
        <v>40575</v>
      </c>
      <c r="G985" s="9" t="s">
        <v>38808</v>
      </c>
      <c r="H985" s="127">
        <v>44991.0</v>
      </c>
      <c r="I985" s="9" t="s">
        <v>47</v>
      </c>
      <c r="J985" s="9" t="s">
        <v>38801</v>
      </c>
      <c r="K985" s="55">
        <v>44991.0</v>
      </c>
      <c r="M985" s="9" t="s">
        <v>256</v>
      </c>
    </row>
    <row r="986" ht="15.75" hidden="1" customHeight="1">
      <c r="A986" s="9" t="s">
        <v>40576</v>
      </c>
      <c r="B986" s="9" t="s">
        <v>15529</v>
      </c>
      <c r="D986" s="9" t="s">
        <v>12248</v>
      </c>
      <c r="F986" s="9" t="s">
        <v>40577</v>
      </c>
      <c r="G986" s="9" t="s">
        <v>38808</v>
      </c>
      <c r="H986" s="127">
        <v>44992.0</v>
      </c>
      <c r="I986" s="9" t="s">
        <v>47</v>
      </c>
      <c r="J986" s="9" t="s">
        <v>38801</v>
      </c>
      <c r="K986" s="55">
        <v>45411.0</v>
      </c>
      <c r="M986" s="9" t="s">
        <v>6583</v>
      </c>
    </row>
    <row r="987" ht="15.75" hidden="1" customHeight="1">
      <c r="A987" s="9" t="s">
        <v>40578</v>
      </c>
      <c r="B987" s="9" t="s">
        <v>17632</v>
      </c>
      <c r="D987" s="9" t="s">
        <v>12236</v>
      </c>
      <c r="F987" s="9" t="s">
        <v>39758</v>
      </c>
      <c r="G987" s="9" t="s">
        <v>38946</v>
      </c>
      <c r="H987" s="127">
        <v>44992.0</v>
      </c>
      <c r="I987" s="9" t="s">
        <v>52</v>
      </c>
      <c r="J987" s="9" t="s">
        <v>38801</v>
      </c>
      <c r="K987" s="55">
        <v>44992.0</v>
      </c>
      <c r="M987" s="9" t="s">
        <v>10567</v>
      </c>
    </row>
    <row r="988" ht="15.75" hidden="1" customHeight="1">
      <c r="A988" s="9" t="s">
        <v>40579</v>
      </c>
      <c r="B988" s="9" t="s">
        <v>17583</v>
      </c>
      <c r="D988" s="9" t="s">
        <v>12248</v>
      </c>
      <c r="F988" s="9" t="s">
        <v>40580</v>
      </c>
      <c r="G988" s="9" t="s">
        <v>38808</v>
      </c>
      <c r="H988" s="127">
        <v>44993.0</v>
      </c>
      <c r="I988" s="9" t="s">
        <v>47</v>
      </c>
      <c r="J988" s="9" t="s">
        <v>38801</v>
      </c>
      <c r="K988" s="55">
        <v>45411.0</v>
      </c>
      <c r="M988" s="9" t="s">
        <v>780</v>
      </c>
    </row>
    <row r="989" ht="15.75" hidden="1" customHeight="1">
      <c r="A989" s="9" t="s">
        <v>40581</v>
      </c>
      <c r="B989" s="9" t="s">
        <v>13177</v>
      </c>
      <c r="D989" s="9" t="s">
        <v>12230</v>
      </c>
      <c r="F989" s="9" t="s">
        <v>40582</v>
      </c>
      <c r="G989" s="9" t="s">
        <v>38808</v>
      </c>
      <c r="H989" s="127">
        <v>44993.0</v>
      </c>
      <c r="I989" s="9" t="s">
        <v>47</v>
      </c>
      <c r="J989" s="9" t="s">
        <v>38801</v>
      </c>
      <c r="K989" s="55">
        <v>45005.0</v>
      </c>
      <c r="M989" s="9" t="s">
        <v>10318</v>
      </c>
    </row>
    <row r="990" ht="15.75" hidden="1" customHeight="1">
      <c r="A990" s="9" t="s">
        <v>40583</v>
      </c>
      <c r="B990" s="9" t="s">
        <v>13177</v>
      </c>
      <c r="D990" s="9" t="s">
        <v>12236</v>
      </c>
      <c r="F990" s="9" t="s">
        <v>39758</v>
      </c>
      <c r="G990" s="9" t="s">
        <v>38946</v>
      </c>
      <c r="H990" s="127">
        <v>44993.0</v>
      </c>
      <c r="I990" s="9" t="s">
        <v>52</v>
      </c>
      <c r="J990" s="9" t="s">
        <v>38801</v>
      </c>
      <c r="K990" s="55">
        <v>44993.0</v>
      </c>
      <c r="M990" s="9" t="s">
        <v>10318</v>
      </c>
    </row>
    <row r="991" ht="15.75" hidden="1" customHeight="1">
      <c r="A991" s="9" t="s">
        <v>40584</v>
      </c>
      <c r="B991" s="9" t="s">
        <v>17139</v>
      </c>
      <c r="D991" s="9" t="s">
        <v>12236</v>
      </c>
      <c r="F991" s="9" t="s">
        <v>39758</v>
      </c>
      <c r="G991" s="9" t="s">
        <v>38946</v>
      </c>
      <c r="H991" s="127">
        <v>44993.0</v>
      </c>
      <c r="I991" s="9" t="s">
        <v>52</v>
      </c>
      <c r="J991" s="9" t="s">
        <v>38801</v>
      </c>
      <c r="K991" s="55">
        <v>44993.0</v>
      </c>
      <c r="M991" s="9" t="s">
        <v>10552</v>
      </c>
    </row>
    <row r="992" ht="15.75" hidden="1" customHeight="1">
      <c r="A992" s="9" t="s">
        <v>40585</v>
      </c>
      <c r="B992" s="9" t="s">
        <v>16595</v>
      </c>
      <c r="D992" s="9" t="s">
        <v>12248</v>
      </c>
      <c r="F992" s="9" t="s">
        <v>40586</v>
      </c>
      <c r="G992" s="9" t="s">
        <v>38808</v>
      </c>
      <c r="H992" s="127">
        <v>44994.0</v>
      </c>
      <c r="I992" s="9" t="s">
        <v>47</v>
      </c>
      <c r="J992" s="9" t="s">
        <v>38801</v>
      </c>
      <c r="K992" s="55">
        <v>45411.0</v>
      </c>
      <c r="M992" s="9" t="s">
        <v>8568</v>
      </c>
    </row>
    <row r="993" ht="15.75" hidden="1" customHeight="1">
      <c r="A993" s="9" t="s">
        <v>40587</v>
      </c>
      <c r="B993" s="9" t="s">
        <v>14847</v>
      </c>
      <c r="D993" s="9" t="s">
        <v>12250</v>
      </c>
      <c r="F993" s="9" t="s">
        <v>40588</v>
      </c>
      <c r="G993" s="9" t="s">
        <v>38808</v>
      </c>
      <c r="H993" s="127">
        <v>44995.0</v>
      </c>
      <c r="I993" s="9" t="s">
        <v>47</v>
      </c>
      <c r="J993" s="9" t="s">
        <v>38801</v>
      </c>
      <c r="K993" s="55">
        <v>44995.0</v>
      </c>
      <c r="M993" s="9" t="s">
        <v>10425</v>
      </c>
    </row>
    <row r="994" ht="15.75" hidden="1" customHeight="1">
      <c r="A994" s="9" t="s">
        <v>40589</v>
      </c>
      <c r="B994" s="9" t="s">
        <v>14847</v>
      </c>
      <c r="D994" s="9" t="s">
        <v>12230</v>
      </c>
      <c r="F994" s="9" t="s">
        <v>39306</v>
      </c>
      <c r="G994" s="9" t="s">
        <v>38808</v>
      </c>
      <c r="H994" s="127">
        <v>44995.0</v>
      </c>
      <c r="I994" s="9" t="s">
        <v>47</v>
      </c>
      <c r="J994" s="9" t="s">
        <v>38801</v>
      </c>
      <c r="K994" s="55">
        <v>44995.0</v>
      </c>
      <c r="M994" s="9" t="s">
        <v>10425</v>
      </c>
    </row>
    <row r="995" ht="15.75" hidden="1" customHeight="1">
      <c r="A995" s="9" t="s">
        <v>40590</v>
      </c>
      <c r="B995" s="9" t="s">
        <v>13229</v>
      </c>
      <c r="D995" s="9" t="s">
        <v>12236</v>
      </c>
      <c r="F995" s="9" t="s">
        <v>39758</v>
      </c>
      <c r="G995" s="9" t="s">
        <v>38946</v>
      </c>
      <c r="H995" s="127">
        <v>44998.0</v>
      </c>
      <c r="I995" s="9" t="s">
        <v>52</v>
      </c>
      <c r="J995" s="9" t="s">
        <v>38801</v>
      </c>
      <c r="K995" s="55">
        <v>44998.0</v>
      </c>
      <c r="M995" s="9" t="s">
        <v>10322</v>
      </c>
    </row>
    <row r="996" ht="15.75" hidden="1" customHeight="1">
      <c r="A996" s="9" t="s">
        <v>40591</v>
      </c>
      <c r="B996" s="9" t="s">
        <v>15404</v>
      </c>
      <c r="D996" s="9" t="s">
        <v>12236</v>
      </c>
      <c r="F996" s="9" t="s">
        <v>39758</v>
      </c>
      <c r="G996" s="9" t="s">
        <v>38946</v>
      </c>
      <c r="H996" s="127">
        <v>44998.0</v>
      </c>
      <c r="I996" s="9" t="s">
        <v>52</v>
      </c>
      <c r="J996" s="9" t="s">
        <v>38801</v>
      </c>
      <c r="K996" s="55">
        <v>44998.0</v>
      </c>
      <c r="M996" s="9" t="s">
        <v>3464</v>
      </c>
    </row>
    <row r="997" ht="15.75" hidden="1" customHeight="1">
      <c r="A997" s="9" t="s">
        <v>40592</v>
      </c>
      <c r="B997" s="9" t="s">
        <v>16616</v>
      </c>
      <c r="D997" s="9" t="s">
        <v>12248</v>
      </c>
      <c r="F997" s="9" t="s">
        <v>40593</v>
      </c>
      <c r="G997" s="9" t="s">
        <v>38946</v>
      </c>
      <c r="H997" s="127">
        <v>45000.0</v>
      </c>
      <c r="I997" s="9" t="s">
        <v>131</v>
      </c>
      <c r="J997" s="9" t="s">
        <v>38801</v>
      </c>
      <c r="K997" s="55">
        <v>45411.0</v>
      </c>
      <c r="M997" s="9" t="s">
        <v>4364</v>
      </c>
    </row>
    <row r="998" ht="15.75" hidden="1" customHeight="1">
      <c r="A998" s="9" t="s">
        <v>40594</v>
      </c>
      <c r="B998" s="9" t="s">
        <v>17487</v>
      </c>
      <c r="D998" s="9" t="s">
        <v>12239</v>
      </c>
      <c r="F998" s="9" t="s">
        <v>40595</v>
      </c>
      <c r="G998" s="9" t="s">
        <v>38946</v>
      </c>
      <c r="H998" s="127">
        <v>45000.0</v>
      </c>
      <c r="I998" s="9" t="s">
        <v>131</v>
      </c>
      <c r="J998" s="9" t="s">
        <v>38801</v>
      </c>
      <c r="K998" s="55">
        <v>45008.0</v>
      </c>
      <c r="M998" s="9" t="s">
        <v>8871</v>
      </c>
    </row>
    <row r="999" ht="15.75" hidden="1" customHeight="1">
      <c r="A999" s="9" t="s">
        <v>40596</v>
      </c>
      <c r="B999" s="9" t="s">
        <v>17273</v>
      </c>
      <c r="D999" s="9" t="s">
        <v>12224</v>
      </c>
      <c r="F999" s="9" t="s">
        <v>40597</v>
      </c>
      <c r="G999" s="9" t="s">
        <v>38946</v>
      </c>
      <c r="H999" s="127">
        <v>45001.0</v>
      </c>
      <c r="I999" s="9" t="s">
        <v>96</v>
      </c>
      <c r="J999" s="9" t="s">
        <v>38801</v>
      </c>
      <c r="K999" s="55">
        <v>45029.0</v>
      </c>
      <c r="M999" s="9" t="s">
        <v>6692</v>
      </c>
    </row>
    <row r="1000" ht="15.75" hidden="1" customHeight="1">
      <c r="A1000" s="9" t="s">
        <v>40598</v>
      </c>
      <c r="B1000" s="9" t="s">
        <v>17524</v>
      </c>
      <c r="D1000" s="9" t="s">
        <v>12239</v>
      </c>
      <c r="F1000" s="9" t="s">
        <v>40599</v>
      </c>
      <c r="G1000" s="9" t="s">
        <v>38808</v>
      </c>
      <c r="H1000" s="127">
        <v>45002.0</v>
      </c>
      <c r="I1000" s="9" t="s">
        <v>47</v>
      </c>
      <c r="J1000" s="9" t="s">
        <v>38801</v>
      </c>
      <c r="K1000" s="55">
        <v>45044.0</v>
      </c>
      <c r="M1000" s="9" t="s">
        <v>11911</v>
      </c>
    </row>
    <row r="1001" ht="15.75" hidden="1" customHeight="1">
      <c r="A1001" s="9" t="s">
        <v>40600</v>
      </c>
      <c r="B1001" s="9" t="s">
        <v>17511</v>
      </c>
      <c r="D1001" s="9" t="s">
        <v>12239</v>
      </c>
      <c r="F1001" s="9" t="s">
        <v>40601</v>
      </c>
      <c r="G1001" s="9" t="s">
        <v>38808</v>
      </c>
      <c r="H1001" s="127">
        <v>45002.0</v>
      </c>
      <c r="I1001" s="9" t="s">
        <v>47</v>
      </c>
      <c r="J1001" s="9" t="s">
        <v>38801</v>
      </c>
      <c r="K1001" s="55">
        <v>45044.0</v>
      </c>
      <c r="M1001" s="9" t="s">
        <v>12108</v>
      </c>
    </row>
    <row r="1002" ht="15.75" hidden="1" customHeight="1">
      <c r="A1002" s="9" t="s">
        <v>40602</v>
      </c>
      <c r="B1002" s="9" t="s">
        <v>17524</v>
      </c>
      <c r="D1002" s="9" t="s">
        <v>12236</v>
      </c>
      <c r="F1002" s="9" t="s">
        <v>40603</v>
      </c>
      <c r="G1002" s="9" t="s">
        <v>38808</v>
      </c>
      <c r="H1002" s="127">
        <v>45002.0</v>
      </c>
      <c r="I1002" s="9" t="s">
        <v>47</v>
      </c>
      <c r="J1002" s="9" t="s">
        <v>38801</v>
      </c>
      <c r="K1002" s="55">
        <v>45002.0</v>
      </c>
      <c r="M1002" s="9" t="s">
        <v>11911</v>
      </c>
    </row>
    <row r="1003" ht="15.75" hidden="1" customHeight="1">
      <c r="A1003" s="9" t="s">
        <v>40604</v>
      </c>
      <c r="B1003" s="9" t="s">
        <v>17511</v>
      </c>
      <c r="D1003" s="9" t="s">
        <v>12236</v>
      </c>
      <c r="F1003" s="9" t="s">
        <v>40603</v>
      </c>
      <c r="G1003" s="9" t="s">
        <v>38808</v>
      </c>
      <c r="H1003" s="127">
        <v>45002.0</v>
      </c>
      <c r="I1003" s="9" t="s">
        <v>47</v>
      </c>
      <c r="J1003" s="9" t="s">
        <v>38801</v>
      </c>
      <c r="K1003" s="55">
        <v>45002.0</v>
      </c>
      <c r="M1003" s="9" t="s">
        <v>12108</v>
      </c>
    </row>
    <row r="1004" ht="15.75" hidden="1" customHeight="1">
      <c r="A1004" s="9" t="s">
        <v>40605</v>
      </c>
      <c r="B1004" s="9" t="s">
        <v>15217</v>
      </c>
      <c r="D1004" s="9" t="s">
        <v>12230</v>
      </c>
      <c r="F1004" s="9" t="s">
        <v>40154</v>
      </c>
      <c r="G1004" s="9" t="s">
        <v>38946</v>
      </c>
      <c r="H1004" s="127">
        <v>45005.0</v>
      </c>
      <c r="I1004" s="9" t="s">
        <v>131</v>
      </c>
      <c r="J1004" s="9" t="s">
        <v>38801</v>
      </c>
      <c r="K1004" s="55">
        <v>45036.0</v>
      </c>
      <c r="M1004" s="9" t="s">
        <v>11545</v>
      </c>
    </row>
    <row r="1005" ht="15.75" hidden="1" customHeight="1">
      <c r="A1005" s="9" t="s">
        <v>40606</v>
      </c>
      <c r="B1005" s="9" t="s">
        <v>15404</v>
      </c>
      <c r="D1005" s="9" t="s">
        <v>12240</v>
      </c>
      <c r="F1005" s="9" t="s">
        <v>40607</v>
      </c>
      <c r="G1005" s="9" t="s">
        <v>38946</v>
      </c>
      <c r="H1005" s="127">
        <v>45006.0</v>
      </c>
      <c r="I1005" s="9" t="s">
        <v>131</v>
      </c>
      <c r="J1005" s="9" t="s">
        <v>38801</v>
      </c>
      <c r="K1005" s="55">
        <v>45030.0</v>
      </c>
      <c r="M1005" s="9" t="s">
        <v>3464</v>
      </c>
    </row>
    <row r="1006" ht="15.75" hidden="1" customHeight="1">
      <c r="A1006" s="9" t="s">
        <v>40608</v>
      </c>
      <c r="B1006" s="9" t="s">
        <v>17364</v>
      </c>
      <c r="D1006" s="9" t="s">
        <v>12230</v>
      </c>
      <c r="F1006" s="9" t="s">
        <v>40609</v>
      </c>
      <c r="G1006" s="9" t="s">
        <v>38808</v>
      </c>
      <c r="H1006" s="127">
        <v>45006.0</v>
      </c>
      <c r="I1006" s="9" t="s">
        <v>47</v>
      </c>
      <c r="J1006" s="9" t="s">
        <v>38801</v>
      </c>
      <c r="K1006" s="55">
        <v>45006.0</v>
      </c>
      <c r="M1006" s="9" t="s">
        <v>10556</v>
      </c>
    </row>
    <row r="1007" ht="15.75" hidden="1" customHeight="1">
      <c r="A1007" s="9" t="s">
        <v>40610</v>
      </c>
      <c r="B1007" s="9" t="s">
        <v>14405</v>
      </c>
      <c r="D1007" s="9" t="s">
        <v>12230</v>
      </c>
      <c r="F1007" s="9" t="s">
        <v>40611</v>
      </c>
      <c r="G1007" s="9" t="s">
        <v>38808</v>
      </c>
      <c r="H1007" s="127">
        <v>45006.0</v>
      </c>
      <c r="I1007" s="9" t="s">
        <v>47</v>
      </c>
      <c r="J1007" s="9" t="s">
        <v>38801</v>
      </c>
      <c r="K1007" s="55">
        <v>45006.0</v>
      </c>
      <c r="M1007" s="9" t="s">
        <v>942</v>
      </c>
    </row>
    <row r="1008" ht="15.75" hidden="1" customHeight="1">
      <c r="A1008" s="9" t="s">
        <v>40612</v>
      </c>
      <c r="B1008" s="9" t="s">
        <v>16264</v>
      </c>
      <c r="D1008" s="9" t="s">
        <v>12236</v>
      </c>
      <c r="F1008" s="9" t="s">
        <v>40613</v>
      </c>
      <c r="G1008" s="9" t="s">
        <v>38946</v>
      </c>
      <c r="H1008" s="127">
        <v>45007.0</v>
      </c>
      <c r="I1008" s="9" t="s">
        <v>52</v>
      </c>
      <c r="J1008" s="9" t="s">
        <v>38801</v>
      </c>
      <c r="K1008" s="55">
        <v>45411.0</v>
      </c>
      <c r="M1008" s="9" t="s">
        <v>10711</v>
      </c>
    </row>
    <row r="1009" ht="15.75" hidden="1" customHeight="1">
      <c r="A1009" s="9" t="s">
        <v>40614</v>
      </c>
      <c r="B1009" s="9" t="s">
        <v>13229</v>
      </c>
      <c r="D1009" s="9" t="s">
        <v>12240</v>
      </c>
      <c r="F1009" s="9" t="s">
        <v>40615</v>
      </c>
      <c r="G1009" s="9" t="s">
        <v>38946</v>
      </c>
      <c r="H1009" s="127">
        <v>45007.0</v>
      </c>
      <c r="I1009" s="9" t="s">
        <v>131</v>
      </c>
      <c r="J1009" s="9" t="s">
        <v>38801</v>
      </c>
      <c r="K1009" s="55">
        <v>45113.0</v>
      </c>
      <c r="M1009" s="9" t="s">
        <v>10322</v>
      </c>
    </row>
    <row r="1010" ht="15.75" hidden="1" customHeight="1">
      <c r="A1010" s="9" t="s">
        <v>40616</v>
      </c>
      <c r="B1010" s="9" t="s">
        <v>13229</v>
      </c>
      <c r="D1010" s="9" t="s">
        <v>12239</v>
      </c>
      <c r="F1010" s="9" t="s">
        <v>40615</v>
      </c>
      <c r="G1010" s="9" t="s">
        <v>38946</v>
      </c>
      <c r="H1010" s="127">
        <v>45007.0</v>
      </c>
      <c r="I1010" s="9" t="s">
        <v>131</v>
      </c>
      <c r="J1010" s="9" t="s">
        <v>38801</v>
      </c>
      <c r="K1010" s="55">
        <v>45066.0</v>
      </c>
      <c r="M1010" s="9" t="s">
        <v>11945</v>
      </c>
    </row>
    <row r="1011" ht="15.75" hidden="1" customHeight="1">
      <c r="A1011" s="9" t="s">
        <v>40617</v>
      </c>
      <c r="B1011" s="9" t="s">
        <v>17252</v>
      </c>
      <c r="D1011" s="9" t="s">
        <v>12230</v>
      </c>
      <c r="F1011" s="9" t="s">
        <v>40618</v>
      </c>
      <c r="G1011" s="9" t="s">
        <v>38808</v>
      </c>
      <c r="H1011" s="127">
        <v>45007.0</v>
      </c>
      <c r="I1011" s="9" t="s">
        <v>47</v>
      </c>
      <c r="J1011" s="9" t="s">
        <v>38801</v>
      </c>
      <c r="K1011" s="55">
        <v>45007.0</v>
      </c>
      <c r="M1011" s="9" t="s">
        <v>9039</v>
      </c>
    </row>
    <row r="1012" ht="15.75" hidden="1" customHeight="1">
      <c r="A1012" s="9" t="s">
        <v>40619</v>
      </c>
      <c r="B1012" s="9" t="s">
        <v>16501</v>
      </c>
      <c r="D1012" s="9" t="s">
        <v>12230</v>
      </c>
      <c r="F1012" s="9" t="s">
        <v>40620</v>
      </c>
      <c r="G1012" s="9" t="s">
        <v>38808</v>
      </c>
      <c r="H1012" s="127">
        <v>45007.0</v>
      </c>
      <c r="I1012" s="9" t="s">
        <v>47</v>
      </c>
      <c r="J1012" s="9" t="s">
        <v>38801</v>
      </c>
      <c r="K1012" s="55">
        <v>45007.0</v>
      </c>
      <c r="M1012" s="9" t="s">
        <v>8439</v>
      </c>
    </row>
    <row r="1013" ht="15.75" hidden="1" customHeight="1">
      <c r="A1013" s="9" t="s">
        <v>40621</v>
      </c>
      <c r="B1013" s="9" t="s">
        <v>12963</v>
      </c>
      <c r="D1013" s="9" t="s">
        <v>12239</v>
      </c>
      <c r="F1013" s="9" t="s">
        <v>40622</v>
      </c>
      <c r="G1013" s="9" t="s">
        <v>38946</v>
      </c>
      <c r="H1013" s="127">
        <v>45008.0</v>
      </c>
      <c r="I1013" s="9" t="s">
        <v>131</v>
      </c>
      <c r="J1013" s="9" t="s">
        <v>38801</v>
      </c>
      <c r="K1013" s="55">
        <v>45057.0</v>
      </c>
      <c r="M1013" s="9" t="s">
        <v>10303</v>
      </c>
    </row>
    <row r="1014" ht="15.75" hidden="1" customHeight="1">
      <c r="A1014" s="9" t="s">
        <v>40623</v>
      </c>
      <c r="B1014" s="9" t="s">
        <v>12963</v>
      </c>
      <c r="D1014" s="9" t="s">
        <v>12254</v>
      </c>
      <c r="F1014" s="9" t="s">
        <v>40624</v>
      </c>
      <c r="G1014" s="9" t="s">
        <v>38946</v>
      </c>
      <c r="H1014" s="127">
        <v>45008.0</v>
      </c>
      <c r="I1014" s="9" t="s">
        <v>131</v>
      </c>
      <c r="J1014" s="9" t="s">
        <v>38801</v>
      </c>
      <c r="K1014" s="55">
        <v>45030.0</v>
      </c>
      <c r="M1014" s="9" t="s">
        <v>10303</v>
      </c>
    </row>
    <row r="1015" ht="15.75" hidden="1" customHeight="1">
      <c r="A1015" s="9" t="s">
        <v>40625</v>
      </c>
      <c r="B1015" s="9" t="s">
        <v>16076</v>
      </c>
      <c r="D1015" s="9" t="s">
        <v>12239</v>
      </c>
      <c r="F1015" s="9" t="s">
        <v>40626</v>
      </c>
      <c r="G1015" s="9" t="s">
        <v>38808</v>
      </c>
      <c r="H1015" s="127">
        <v>45009.0</v>
      </c>
      <c r="I1015" s="9" t="s">
        <v>47</v>
      </c>
      <c r="J1015" s="9" t="s">
        <v>38801</v>
      </c>
      <c r="K1015" s="55">
        <v>45148.0</v>
      </c>
      <c r="M1015" s="9" t="s">
        <v>10490</v>
      </c>
    </row>
    <row r="1016" ht="15.75" hidden="1" customHeight="1">
      <c r="A1016" s="9" t="s">
        <v>40627</v>
      </c>
      <c r="B1016" s="9" t="s">
        <v>15277</v>
      </c>
      <c r="D1016" s="9" t="s">
        <v>12239</v>
      </c>
      <c r="F1016" s="9" t="s">
        <v>40628</v>
      </c>
      <c r="G1016" s="9" t="s">
        <v>38946</v>
      </c>
      <c r="H1016" s="127">
        <v>45009.0</v>
      </c>
      <c r="I1016" s="9" t="s">
        <v>131</v>
      </c>
      <c r="J1016" s="9" t="s">
        <v>38801</v>
      </c>
      <c r="K1016" s="55">
        <v>45044.0</v>
      </c>
      <c r="M1016" s="9" t="s">
        <v>10453</v>
      </c>
    </row>
    <row r="1017" ht="15.75" hidden="1" customHeight="1">
      <c r="A1017" s="9" t="s">
        <v>40629</v>
      </c>
      <c r="B1017" s="9" t="s">
        <v>19789</v>
      </c>
      <c r="D1017" s="9" t="s">
        <v>12254</v>
      </c>
      <c r="F1017" s="9" t="s">
        <v>40630</v>
      </c>
      <c r="G1017" s="9" t="s">
        <v>38946</v>
      </c>
      <c r="H1017" s="127">
        <v>45010.0</v>
      </c>
      <c r="I1017" s="9" t="s">
        <v>89</v>
      </c>
      <c r="J1017" s="9" t="s">
        <v>38801</v>
      </c>
      <c r="K1017" s="55">
        <v>45012.0</v>
      </c>
      <c r="M1017" s="9" t="s">
        <v>5119</v>
      </c>
    </row>
    <row r="1018" ht="15.75" hidden="1" customHeight="1">
      <c r="A1018" s="9" t="s">
        <v>40631</v>
      </c>
      <c r="B1018" s="9" t="s">
        <v>16365</v>
      </c>
      <c r="D1018" s="9" t="s">
        <v>12230</v>
      </c>
      <c r="F1018" s="9" t="s">
        <v>40154</v>
      </c>
      <c r="G1018" s="9" t="s">
        <v>38946</v>
      </c>
      <c r="H1018" s="127">
        <v>45012.0</v>
      </c>
      <c r="I1018" s="9" t="s">
        <v>131</v>
      </c>
      <c r="J1018" s="9" t="s">
        <v>38801</v>
      </c>
      <c r="K1018" s="55">
        <v>45044.0</v>
      </c>
      <c r="M1018" s="52" t="s">
        <v>16353</v>
      </c>
    </row>
    <row r="1019" ht="15.75" hidden="1" customHeight="1">
      <c r="A1019" s="9" t="s">
        <v>40632</v>
      </c>
      <c r="B1019" s="9" t="s">
        <v>17187</v>
      </c>
      <c r="D1019" s="9" t="s">
        <v>12230</v>
      </c>
      <c r="F1019" s="9" t="s">
        <v>40633</v>
      </c>
      <c r="G1019" s="9" t="s">
        <v>38808</v>
      </c>
      <c r="H1019" s="127">
        <v>45012.0</v>
      </c>
      <c r="I1019" s="9" t="s">
        <v>47</v>
      </c>
      <c r="J1019" s="9" t="s">
        <v>38801</v>
      </c>
      <c r="K1019" s="55">
        <v>45012.0</v>
      </c>
      <c r="M1019" s="9" t="s">
        <v>4423</v>
      </c>
    </row>
    <row r="1020" ht="15.75" customHeight="1">
      <c r="A1020" s="9" t="s">
        <v>40634</v>
      </c>
      <c r="B1020" s="9" t="s">
        <v>15217</v>
      </c>
      <c r="D1020" s="9" t="s">
        <v>12227</v>
      </c>
      <c r="E1020" s="9" t="s">
        <v>38803</v>
      </c>
      <c r="F1020" s="9" t="s">
        <v>40635</v>
      </c>
      <c r="G1020" s="9" t="s">
        <v>38946</v>
      </c>
      <c r="H1020" s="127">
        <v>45012.0</v>
      </c>
      <c r="I1020" s="9" t="s">
        <v>131</v>
      </c>
      <c r="J1020" s="9" t="s">
        <v>38805</v>
      </c>
      <c r="M1020" s="9" t="s">
        <v>11545</v>
      </c>
    </row>
    <row r="1021" ht="15.75" hidden="1" customHeight="1">
      <c r="A1021" s="52" t="s">
        <v>40636</v>
      </c>
      <c r="B1021" s="9" t="s">
        <v>14405</v>
      </c>
      <c r="D1021" s="9" t="s">
        <v>12236</v>
      </c>
      <c r="F1021" s="9" t="s">
        <v>40637</v>
      </c>
      <c r="G1021" s="9" t="s">
        <v>38946</v>
      </c>
      <c r="H1021" s="127">
        <v>45013.0</v>
      </c>
      <c r="I1021" s="9" t="s">
        <v>131</v>
      </c>
      <c r="J1021" s="9" t="s">
        <v>38801</v>
      </c>
      <c r="K1021" s="55">
        <v>45154.0</v>
      </c>
      <c r="M1021" s="9" t="s">
        <v>942</v>
      </c>
    </row>
    <row r="1022" ht="15.75" hidden="1" customHeight="1">
      <c r="A1022" s="9" t="s">
        <v>40638</v>
      </c>
      <c r="B1022" s="9" t="s">
        <v>14405</v>
      </c>
      <c r="D1022" s="9" t="s">
        <v>12240</v>
      </c>
      <c r="F1022" s="9" t="s">
        <v>40224</v>
      </c>
      <c r="G1022" s="9" t="s">
        <v>38946</v>
      </c>
      <c r="H1022" s="127">
        <v>45013.0</v>
      </c>
      <c r="I1022" s="9" t="s">
        <v>131</v>
      </c>
      <c r="J1022" s="9" t="s">
        <v>38801</v>
      </c>
      <c r="K1022" s="55">
        <v>45113.0</v>
      </c>
      <c r="M1022" s="9" t="s">
        <v>942</v>
      </c>
    </row>
    <row r="1023" ht="15.75" hidden="1" customHeight="1">
      <c r="A1023" s="9" t="s">
        <v>40639</v>
      </c>
      <c r="B1023" s="9" t="s">
        <v>14405</v>
      </c>
      <c r="D1023" s="9" t="s">
        <v>12239</v>
      </c>
      <c r="F1023" s="9" t="s">
        <v>40048</v>
      </c>
      <c r="G1023" s="9" t="s">
        <v>38946</v>
      </c>
      <c r="H1023" s="127">
        <v>45013.0</v>
      </c>
      <c r="I1023" s="9" t="s">
        <v>131</v>
      </c>
      <c r="J1023" s="9" t="s">
        <v>38801</v>
      </c>
      <c r="K1023" s="55">
        <v>45093.0</v>
      </c>
      <c r="M1023" s="9" t="s">
        <v>942</v>
      </c>
    </row>
    <row r="1024" ht="15.75" hidden="1" customHeight="1">
      <c r="A1024" s="9" t="s">
        <v>40640</v>
      </c>
      <c r="B1024" s="9" t="s">
        <v>14405</v>
      </c>
      <c r="D1024" s="9" t="s">
        <v>12256</v>
      </c>
      <c r="F1024" s="9" t="s">
        <v>40641</v>
      </c>
      <c r="G1024" s="9" t="s">
        <v>38946</v>
      </c>
      <c r="H1024" s="127">
        <v>45013.0</v>
      </c>
      <c r="I1024" s="9" t="s">
        <v>131</v>
      </c>
      <c r="J1024" s="9" t="s">
        <v>38801</v>
      </c>
      <c r="K1024" s="55">
        <v>45029.0</v>
      </c>
      <c r="M1024" s="9" t="s">
        <v>942</v>
      </c>
    </row>
    <row r="1025" ht="15.75" customHeight="1">
      <c r="A1025" s="9" t="s">
        <v>40642</v>
      </c>
      <c r="B1025" s="9" t="s">
        <v>14405</v>
      </c>
      <c r="D1025" s="9" t="s">
        <v>12227</v>
      </c>
      <c r="E1025" s="9" t="s">
        <v>39265</v>
      </c>
      <c r="F1025" s="9" t="s">
        <v>40643</v>
      </c>
      <c r="G1025" s="9" t="s">
        <v>38808</v>
      </c>
      <c r="H1025" s="127">
        <v>45013.0</v>
      </c>
      <c r="I1025" s="9" t="s">
        <v>131</v>
      </c>
      <c r="J1025" s="9" t="s">
        <v>38805</v>
      </c>
      <c r="M1025" s="9" t="s">
        <v>942</v>
      </c>
    </row>
    <row r="1026" ht="15.75" hidden="1" customHeight="1">
      <c r="A1026" s="9" t="s">
        <v>40644</v>
      </c>
      <c r="B1026" s="9" t="s">
        <v>13984</v>
      </c>
      <c r="D1026" s="9" t="s">
        <v>12230</v>
      </c>
      <c r="F1026" s="9" t="s">
        <v>40645</v>
      </c>
      <c r="G1026" s="9" t="s">
        <v>38808</v>
      </c>
      <c r="H1026" s="127">
        <v>45014.0</v>
      </c>
      <c r="I1026" s="9" t="s">
        <v>47</v>
      </c>
      <c r="J1026" s="9" t="s">
        <v>38801</v>
      </c>
      <c r="K1026" s="55">
        <v>45537.0</v>
      </c>
      <c r="M1026" s="9" t="s">
        <v>9530</v>
      </c>
    </row>
    <row r="1027" ht="15.75" hidden="1" customHeight="1">
      <c r="A1027" s="9" t="s">
        <v>40646</v>
      </c>
      <c r="B1027" s="9" t="s">
        <v>16348</v>
      </c>
      <c r="D1027" s="9" t="s">
        <v>12230</v>
      </c>
      <c r="F1027" s="9" t="s">
        <v>40647</v>
      </c>
      <c r="G1027" s="9" t="s">
        <v>38808</v>
      </c>
      <c r="H1027" s="127">
        <v>45014.0</v>
      </c>
      <c r="I1027" s="9" t="s">
        <v>52</v>
      </c>
      <c r="J1027" s="9" t="s">
        <v>38801</v>
      </c>
      <c r="K1027" s="55">
        <v>45091.0</v>
      </c>
      <c r="M1027" s="9" t="s">
        <v>10506</v>
      </c>
    </row>
    <row r="1028" ht="15.75" hidden="1" customHeight="1">
      <c r="A1028" s="9" t="s">
        <v>40648</v>
      </c>
      <c r="B1028" s="9" t="s">
        <v>13229</v>
      </c>
      <c r="D1028" s="9" t="s">
        <v>12236</v>
      </c>
      <c r="F1028" s="9" t="s">
        <v>40649</v>
      </c>
      <c r="G1028" s="9" t="s">
        <v>38946</v>
      </c>
      <c r="H1028" s="127">
        <v>45014.0</v>
      </c>
      <c r="I1028" s="9" t="s">
        <v>52</v>
      </c>
      <c r="J1028" s="9" t="s">
        <v>38801</v>
      </c>
      <c r="K1028" s="55">
        <v>45014.0</v>
      </c>
      <c r="M1028" s="9" t="s">
        <v>10322</v>
      </c>
    </row>
    <row r="1029" ht="15.75" hidden="1" customHeight="1">
      <c r="A1029" s="9" t="s">
        <v>40650</v>
      </c>
      <c r="B1029" s="9" t="s">
        <v>17350</v>
      </c>
      <c r="D1029" s="9" t="s">
        <v>12224</v>
      </c>
      <c r="F1029" s="9" t="s">
        <v>40651</v>
      </c>
      <c r="G1029" s="9" t="s">
        <v>38808</v>
      </c>
      <c r="H1029" s="127">
        <v>45014.0</v>
      </c>
      <c r="I1029" s="9" t="s">
        <v>47</v>
      </c>
      <c r="J1029" s="9" t="s">
        <v>38801</v>
      </c>
      <c r="K1029" s="55">
        <v>45014.0</v>
      </c>
      <c r="M1029" s="9" t="s">
        <v>4545</v>
      </c>
    </row>
    <row r="1030" ht="15.75" hidden="1" customHeight="1">
      <c r="A1030" s="9" t="s">
        <v>40652</v>
      </c>
      <c r="B1030" s="9" t="s">
        <v>17023</v>
      </c>
      <c r="D1030" s="9" t="s">
        <v>12239</v>
      </c>
      <c r="F1030" s="9" t="s">
        <v>40653</v>
      </c>
      <c r="G1030" s="9" t="s">
        <v>38946</v>
      </c>
      <c r="H1030" s="127">
        <v>45015.0</v>
      </c>
      <c r="I1030" s="9" t="s">
        <v>131</v>
      </c>
      <c r="J1030" s="9" t="s">
        <v>38801</v>
      </c>
      <c r="K1030" s="55">
        <v>45132.0</v>
      </c>
      <c r="M1030" s="9" t="s">
        <v>246</v>
      </c>
    </row>
    <row r="1031" ht="15.75" hidden="1" customHeight="1">
      <c r="A1031" s="9" t="s">
        <v>40654</v>
      </c>
      <c r="B1031" s="9" t="s">
        <v>17023</v>
      </c>
      <c r="D1031" s="9" t="s">
        <v>12240</v>
      </c>
      <c r="F1031" s="9" t="s">
        <v>40224</v>
      </c>
      <c r="G1031" s="9" t="s">
        <v>38946</v>
      </c>
      <c r="H1031" s="127">
        <v>45015.0</v>
      </c>
      <c r="I1031" s="9" t="s">
        <v>131</v>
      </c>
      <c r="J1031" s="9" t="s">
        <v>38801</v>
      </c>
      <c r="K1031" s="55">
        <v>45113.0</v>
      </c>
      <c r="M1031" s="9" t="s">
        <v>246</v>
      </c>
    </row>
    <row r="1032" ht="15.75" hidden="1" customHeight="1">
      <c r="A1032" s="9" t="s">
        <v>40655</v>
      </c>
      <c r="B1032" s="9" t="s">
        <v>16463</v>
      </c>
      <c r="D1032" s="9" t="s">
        <v>12246</v>
      </c>
      <c r="F1032" s="9" t="s">
        <v>40656</v>
      </c>
      <c r="G1032" s="9" t="s">
        <v>38808</v>
      </c>
      <c r="H1032" s="127">
        <v>45015.0</v>
      </c>
      <c r="I1032" s="9" t="s">
        <v>47</v>
      </c>
      <c r="J1032" s="9" t="s">
        <v>38801</v>
      </c>
      <c r="K1032" s="55">
        <v>45015.0</v>
      </c>
      <c r="M1032" s="9" t="s">
        <v>9429</v>
      </c>
    </row>
    <row r="1033" ht="15.75" hidden="1" customHeight="1">
      <c r="A1033" s="9" t="s">
        <v>40657</v>
      </c>
      <c r="B1033" s="9" t="s">
        <v>16697</v>
      </c>
      <c r="D1033" s="9" t="s">
        <v>12239</v>
      </c>
      <c r="F1033" s="9" t="s">
        <v>40658</v>
      </c>
      <c r="G1033" s="9" t="s">
        <v>38808</v>
      </c>
      <c r="H1033" s="127">
        <v>45016.0</v>
      </c>
      <c r="I1033" s="9" t="s">
        <v>47</v>
      </c>
      <c r="J1033" s="9" t="s">
        <v>38801</v>
      </c>
      <c r="K1033" s="55">
        <v>45036.0</v>
      </c>
      <c r="M1033" s="9" t="s">
        <v>7298</v>
      </c>
    </row>
    <row r="1034" ht="15.75" hidden="1" customHeight="1">
      <c r="A1034" s="9" t="s">
        <v>40659</v>
      </c>
      <c r="B1034" s="9" t="s">
        <v>17065</v>
      </c>
      <c r="D1034" s="9" t="s">
        <v>12230</v>
      </c>
      <c r="F1034" s="9" t="s">
        <v>40292</v>
      </c>
      <c r="G1034" s="9" t="s">
        <v>38946</v>
      </c>
      <c r="H1034" s="127">
        <v>45016.0</v>
      </c>
      <c r="I1034" s="9" t="s">
        <v>131</v>
      </c>
      <c r="J1034" s="9" t="s">
        <v>38801</v>
      </c>
      <c r="K1034" s="55">
        <v>45016.0</v>
      </c>
      <c r="M1034" s="9" t="s">
        <v>11772</v>
      </c>
    </row>
    <row r="1035" ht="15.75" hidden="1" customHeight="1">
      <c r="A1035" s="9" t="s">
        <v>40660</v>
      </c>
      <c r="B1035" s="9" t="s">
        <v>17065</v>
      </c>
      <c r="D1035" s="9" t="s">
        <v>12230</v>
      </c>
      <c r="F1035" s="9" t="s">
        <v>40292</v>
      </c>
      <c r="G1035" s="9" t="s">
        <v>38946</v>
      </c>
      <c r="H1035" s="127">
        <v>45016.0</v>
      </c>
      <c r="I1035" s="9" t="s">
        <v>131</v>
      </c>
      <c r="J1035" s="9" t="s">
        <v>38801</v>
      </c>
      <c r="K1035" s="55">
        <v>45016.0</v>
      </c>
      <c r="M1035" s="9" t="s">
        <v>12067</v>
      </c>
    </row>
    <row r="1036" ht="15.75" hidden="1" customHeight="1">
      <c r="A1036" s="9" t="s">
        <v>40661</v>
      </c>
      <c r="B1036" s="9" t="s">
        <v>15529</v>
      </c>
      <c r="D1036" s="9" t="s">
        <v>12230</v>
      </c>
      <c r="F1036" s="9" t="s">
        <v>40662</v>
      </c>
      <c r="G1036" s="9" t="s">
        <v>38808</v>
      </c>
      <c r="H1036" s="127">
        <v>45023.0</v>
      </c>
      <c r="I1036" s="9" t="s">
        <v>47</v>
      </c>
      <c r="J1036" s="9" t="s">
        <v>38801</v>
      </c>
      <c r="K1036" s="55">
        <v>45411.0</v>
      </c>
      <c r="M1036" s="9" t="s">
        <v>6583</v>
      </c>
    </row>
    <row r="1037" ht="15.75" hidden="1" customHeight="1">
      <c r="A1037" s="9" t="s">
        <v>40663</v>
      </c>
      <c r="B1037" s="9" t="s">
        <v>13229</v>
      </c>
      <c r="D1037" s="9" t="s">
        <v>12250</v>
      </c>
      <c r="F1037" s="9" t="s">
        <v>40664</v>
      </c>
      <c r="G1037" s="9" t="s">
        <v>38946</v>
      </c>
      <c r="H1037" s="127">
        <v>45023.0</v>
      </c>
      <c r="I1037" s="9" t="s">
        <v>47</v>
      </c>
      <c r="J1037" s="9" t="s">
        <v>38801</v>
      </c>
      <c r="K1037" s="55">
        <v>45023.0</v>
      </c>
      <c r="M1037" s="9" t="s">
        <v>11945</v>
      </c>
    </row>
    <row r="1038" ht="15.75" hidden="1" customHeight="1">
      <c r="A1038" s="9" t="s">
        <v>40665</v>
      </c>
      <c r="B1038" s="9" t="s">
        <v>13229</v>
      </c>
      <c r="D1038" s="9" t="s">
        <v>12230</v>
      </c>
      <c r="F1038" s="9" t="s">
        <v>40666</v>
      </c>
      <c r="G1038" s="9" t="s">
        <v>38946</v>
      </c>
      <c r="H1038" s="127">
        <v>45023.0</v>
      </c>
      <c r="I1038" s="9" t="s">
        <v>47</v>
      </c>
      <c r="J1038" s="9" t="s">
        <v>38801</v>
      </c>
      <c r="K1038" s="55">
        <v>45023.0</v>
      </c>
      <c r="M1038" s="9" t="s">
        <v>11945</v>
      </c>
    </row>
    <row r="1039" ht="15.75" hidden="1" customHeight="1">
      <c r="A1039" s="9" t="s">
        <v>40667</v>
      </c>
      <c r="B1039" s="9" t="s">
        <v>20950</v>
      </c>
      <c r="D1039" s="9" t="s">
        <v>12230</v>
      </c>
      <c r="F1039" s="9" t="s">
        <v>40668</v>
      </c>
      <c r="G1039" s="9" t="s">
        <v>38808</v>
      </c>
      <c r="H1039" s="127">
        <v>45023.0</v>
      </c>
      <c r="I1039" s="9" t="s">
        <v>47</v>
      </c>
      <c r="J1039" s="9" t="s">
        <v>38801</v>
      </c>
      <c r="K1039" s="55">
        <v>45023.0</v>
      </c>
      <c r="M1039" s="9" t="s">
        <v>9688</v>
      </c>
    </row>
    <row r="1040" ht="15.75" hidden="1" customHeight="1">
      <c r="A1040" s="9" t="s">
        <v>40669</v>
      </c>
      <c r="B1040" s="9" t="s">
        <v>13984</v>
      </c>
      <c r="D1040" s="9" t="s">
        <v>12230</v>
      </c>
      <c r="F1040" s="9" t="s">
        <v>40670</v>
      </c>
      <c r="G1040" s="9" t="s">
        <v>38808</v>
      </c>
      <c r="H1040" s="127">
        <v>45028.0</v>
      </c>
      <c r="I1040" s="9" t="s">
        <v>47</v>
      </c>
      <c r="J1040" s="9" t="s">
        <v>38801</v>
      </c>
      <c r="K1040" s="55">
        <v>45537.0</v>
      </c>
      <c r="M1040" s="9" t="s">
        <v>9530</v>
      </c>
    </row>
    <row r="1041" ht="15.75" hidden="1" customHeight="1">
      <c r="A1041" s="9" t="s">
        <v>40671</v>
      </c>
      <c r="B1041" s="9" t="s">
        <v>16223</v>
      </c>
      <c r="D1041" s="9" t="s">
        <v>12230</v>
      </c>
      <c r="F1041" s="9" t="s">
        <v>40672</v>
      </c>
      <c r="G1041" s="9" t="s">
        <v>38808</v>
      </c>
      <c r="H1041" s="127">
        <v>45028.0</v>
      </c>
      <c r="I1041" s="9" t="s">
        <v>47</v>
      </c>
      <c r="J1041" s="9" t="s">
        <v>38801</v>
      </c>
      <c r="K1041" s="55">
        <v>45044.0</v>
      </c>
      <c r="M1041" s="9" t="s">
        <v>11724</v>
      </c>
    </row>
    <row r="1042" ht="15.75" hidden="1" customHeight="1">
      <c r="A1042" s="9" t="s">
        <v>40673</v>
      </c>
      <c r="B1042" s="9" t="s">
        <v>14299</v>
      </c>
      <c r="D1042" s="9" t="s">
        <v>12250</v>
      </c>
      <c r="F1042" s="9" t="s">
        <v>40674</v>
      </c>
      <c r="G1042" s="9" t="s">
        <v>38946</v>
      </c>
      <c r="H1042" s="127">
        <v>45029.0</v>
      </c>
      <c r="I1042" s="9" t="s">
        <v>47</v>
      </c>
      <c r="J1042" s="9" t="s">
        <v>38801</v>
      </c>
      <c r="K1042" s="55">
        <v>45029.0</v>
      </c>
      <c r="M1042" s="9" t="s">
        <v>11629</v>
      </c>
    </row>
    <row r="1043" ht="15.75" hidden="1" customHeight="1">
      <c r="A1043" s="9" t="s">
        <v>40675</v>
      </c>
      <c r="B1043" s="9" t="s">
        <v>17535</v>
      </c>
      <c r="D1043" s="9" t="s">
        <v>12258</v>
      </c>
      <c r="F1043" s="9" t="s">
        <v>40676</v>
      </c>
      <c r="G1043" s="9" t="s">
        <v>38946</v>
      </c>
      <c r="H1043" s="127">
        <v>45029.0</v>
      </c>
      <c r="I1043" s="9" t="s">
        <v>47</v>
      </c>
      <c r="J1043" s="9" t="s">
        <v>38801</v>
      </c>
      <c r="K1043" s="55">
        <v>45029.0</v>
      </c>
      <c r="M1043" s="9" t="s">
        <v>5586</v>
      </c>
    </row>
    <row r="1044" ht="15.75" hidden="1" customHeight="1">
      <c r="A1044" s="9" t="s">
        <v>40677</v>
      </c>
      <c r="B1044" s="9" t="s">
        <v>17252</v>
      </c>
      <c r="D1044" s="9" t="s">
        <v>12239</v>
      </c>
      <c r="F1044" s="9" t="s">
        <v>40678</v>
      </c>
      <c r="G1044" s="9" t="s">
        <v>38946</v>
      </c>
      <c r="H1044" s="127">
        <v>45033.0</v>
      </c>
      <c r="I1044" s="9" t="s">
        <v>131</v>
      </c>
      <c r="J1044" s="9" t="s">
        <v>38801</v>
      </c>
      <c r="K1044" s="55">
        <v>45107.0</v>
      </c>
      <c r="M1044" s="9" t="s">
        <v>9039</v>
      </c>
    </row>
    <row r="1045" ht="15.75" hidden="1" customHeight="1">
      <c r="A1045" s="9" t="s">
        <v>40679</v>
      </c>
      <c r="B1045" s="9" t="s">
        <v>17001</v>
      </c>
      <c r="D1045" s="9" t="s">
        <v>12239</v>
      </c>
      <c r="F1045" s="9" t="s">
        <v>40502</v>
      </c>
      <c r="G1045" s="9" t="s">
        <v>38946</v>
      </c>
      <c r="H1045" s="127">
        <v>45033.0</v>
      </c>
      <c r="I1045" s="9" t="s">
        <v>52</v>
      </c>
      <c r="J1045" s="9" t="s">
        <v>38801</v>
      </c>
      <c r="K1045" s="55">
        <v>45106.0</v>
      </c>
      <c r="M1045" s="9" t="s">
        <v>256</v>
      </c>
    </row>
    <row r="1046" ht="15.75" hidden="1" customHeight="1">
      <c r="A1046" s="52" t="s">
        <v>40680</v>
      </c>
      <c r="B1046" s="9" t="s">
        <v>17252</v>
      </c>
      <c r="D1046" s="9" t="s">
        <v>12240</v>
      </c>
      <c r="F1046" s="9" t="s">
        <v>40678</v>
      </c>
      <c r="G1046" s="9" t="s">
        <v>38946</v>
      </c>
      <c r="H1046" s="127">
        <v>45033.0</v>
      </c>
      <c r="I1046" s="9" t="s">
        <v>131</v>
      </c>
      <c r="J1046" s="9" t="s">
        <v>38801</v>
      </c>
      <c r="K1046" s="55">
        <v>45043.0</v>
      </c>
      <c r="M1046" s="9" t="s">
        <v>9039</v>
      </c>
    </row>
    <row r="1047" ht="15.75" hidden="1" customHeight="1">
      <c r="A1047" s="9" t="s">
        <v>40681</v>
      </c>
      <c r="B1047" s="9" t="s">
        <v>17252</v>
      </c>
      <c r="D1047" s="9" t="s">
        <v>12258</v>
      </c>
      <c r="F1047" s="9" t="s">
        <v>40682</v>
      </c>
      <c r="G1047" s="9" t="s">
        <v>38800</v>
      </c>
      <c r="H1047" s="127">
        <v>45033.0</v>
      </c>
      <c r="I1047" s="9" t="s">
        <v>131</v>
      </c>
      <c r="J1047" s="9" t="s">
        <v>38801</v>
      </c>
      <c r="K1047" s="55">
        <v>45043.0</v>
      </c>
      <c r="M1047" s="9" t="s">
        <v>9039</v>
      </c>
    </row>
    <row r="1048" ht="15.75" customHeight="1">
      <c r="A1048" s="9" t="s">
        <v>40683</v>
      </c>
      <c r="B1048" s="9" t="s">
        <v>17252</v>
      </c>
      <c r="D1048" s="9" t="s">
        <v>12227</v>
      </c>
      <c r="E1048" s="9" t="s">
        <v>38803</v>
      </c>
      <c r="F1048" s="9" t="s">
        <v>40684</v>
      </c>
      <c r="G1048" s="9" t="s">
        <v>38808</v>
      </c>
      <c r="H1048" s="127">
        <v>45033.0</v>
      </c>
      <c r="I1048" s="9" t="s">
        <v>131</v>
      </c>
      <c r="J1048" s="9" t="s">
        <v>38805</v>
      </c>
      <c r="M1048" s="9" t="s">
        <v>9039</v>
      </c>
    </row>
    <row r="1049" ht="15.75" hidden="1" customHeight="1">
      <c r="A1049" s="9" t="s">
        <v>40685</v>
      </c>
      <c r="B1049" s="9" t="s">
        <v>16697</v>
      </c>
      <c r="D1049" s="9" t="s">
        <v>12239</v>
      </c>
      <c r="F1049" s="9" t="s">
        <v>40686</v>
      </c>
      <c r="G1049" s="9" t="s">
        <v>38946</v>
      </c>
      <c r="H1049" s="127">
        <v>45036.0</v>
      </c>
      <c r="I1049" s="9" t="s">
        <v>26</v>
      </c>
      <c r="J1049" s="9" t="s">
        <v>38801</v>
      </c>
      <c r="K1049" s="55">
        <v>45133.0</v>
      </c>
      <c r="M1049" s="9" t="s">
        <v>7298</v>
      </c>
    </row>
    <row r="1050" ht="15.75" hidden="1" customHeight="1">
      <c r="A1050" s="9" t="s">
        <v>40687</v>
      </c>
      <c r="B1050" s="9" t="s">
        <v>15217</v>
      </c>
      <c r="D1050" s="9" t="s">
        <v>12239</v>
      </c>
      <c r="F1050" s="9" t="s">
        <v>40688</v>
      </c>
      <c r="G1050" s="9" t="s">
        <v>38946</v>
      </c>
      <c r="H1050" s="127">
        <v>45036.0</v>
      </c>
      <c r="I1050" s="9" t="s">
        <v>131</v>
      </c>
      <c r="J1050" s="9" t="s">
        <v>38801</v>
      </c>
      <c r="K1050" s="55">
        <v>45066.0</v>
      </c>
      <c r="M1050" s="9" t="s">
        <v>11545</v>
      </c>
    </row>
    <row r="1051" ht="15.75" hidden="1" customHeight="1">
      <c r="A1051" s="9" t="s">
        <v>40689</v>
      </c>
      <c r="B1051" s="9" t="s">
        <v>15217</v>
      </c>
      <c r="D1051" s="9" t="s">
        <v>12240</v>
      </c>
      <c r="F1051" s="9" t="s">
        <v>40690</v>
      </c>
      <c r="G1051" s="9" t="s">
        <v>38946</v>
      </c>
      <c r="H1051" s="127">
        <v>45036.0</v>
      </c>
      <c r="I1051" s="9" t="s">
        <v>131</v>
      </c>
      <c r="J1051" s="9" t="s">
        <v>38801</v>
      </c>
      <c r="K1051" s="55">
        <v>45043.0</v>
      </c>
      <c r="M1051" s="9" t="s">
        <v>11545</v>
      </c>
    </row>
    <row r="1052" ht="15.75" hidden="1" customHeight="1">
      <c r="A1052" s="9" t="s">
        <v>40691</v>
      </c>
      <c r="B1052" s="9" t="s">
        <v>17179</v>
      </c>
      <c r="D1052" s="9" t="s">
        <v>12230</v>
      </c>
      <c r="F1052" s="9" t="s">
        <v>40692</v>
      </c>
      <c r="G1052" s="9" t="s">
        <v>38946</v>
      </c>
      <c r="H1052" s="127">
        <v>45036.0</v>
      </c>
      <c r="I1052" s="9" t="s">
        <v>52</v>
      </c>
      <c r="J1052" s="9" t="s">
        <v>38801</v>
      </c>
      <c r="K1052" s="55">
        <v>45042.0</v>
      </c>
      <c r="M1052" s="9" t="s">
        <v>12185</v>
      </c>
    </row>
    <row r="1053" ht="15.75" hidden="1" customHeight="1">
      <c r="A1053" s="9" t="s">
        <v>40693</v>
      </c>
      <c r="B1053" s="9" t="s">
        <v>15217</v>
      </c>
      <c r="D1053" s="9" t="s">
        <v>12236</v>
      </c>
      <c r="F1053" s="9" t="s">
        <v>40694</v>
      </c>
      <c r="G1053" s="9" t="s">
        <v>38946</v>
      </c>
      <c r="H1053" s="127">
        <v>45036.0</v>
      </c>
      <c r="I1053" s="9" t="s">
        <v>131</v>
      </c>
      <c r="J1053" s="9" t="s">
        <v>38801</v>
      </c>
      <c r="K1053" s="55">
        <v>45037.0</v>
      </c>
      <c r="M1053" s="9" t="s">
        <v>11545</v>
      </c>
    </row>
    <row r="1054" ht="15.75" hidden="1" customHeight="1">
      <c r="A1054" s="9" t="s">
        <v>40695</v>
      </c>
      <c r="B1054" s="9" t="s">
        <v>17179</v>
      </c>
      <c r="D1054" s="9" t="s">
        <v>12236</v>
      </c>
      <c r="F1054" s="9" t="s">
        <v>40692</v>
      </c>
      <c r="G1054" s="9" t="s">
        <v>38946</v>
      </c>
      <c r="H1054" s="127">
        <v>45036.0</v>
      </c>
      <c r="I1054" s="9" t="s">
        <v>52</v>
      </c>
      <c r="J1054" s="9" t="s">
        <v>38801</v>
      </c>
      <c r="K1054" s="55">
        <v>45037.0</v>
      </c>
      <c r="M1054" s="9" t="s">
        <v>12185</v>
      </c>
    </row>
    <row r="1055" ht="15.75" hidden="1" customHeight="1">
      <c r="A1055" s="9" t="s">
        <v>40696</v>
      </c>
      <c r="B1055" s="9" t="s">
        <v>17001</v>
      </c>
      <c r="D1055" s="9" t="s">
        <v>12240</v>
      </c>
      <c r="F1055" s="9" t="s">
        <v>40697</v>
      </c>
      <c r="G1055" s="9" t="s">
        <v>38946</v>
      </c>
      <c r="H1055" s="127">
        <v>45037.0</v>
      </c>
      <c r="I1055" s="9" t="s">
        <v>26</v>
      </c>
      <c r="J1055" s="9" t="s">
        <v>38801</v>
      </c>
      <c r="K1055" s="55">
        <v>45037.0</v>
      </c>
      <c r="M1055" s="9" t="s">
        <v>256</v>
      </c>
    </row>
    <row r="1056" ht="15.75" hidden="1" customHeight="1">
      <c r="A1056" s="9" t="s">
        <v>40698</v>
      </c>
      <c r="B1056" s="9" t="s">
        <v>16501</v>
      </c>
      <c r="D1056" s="9" t="s">
        <v>12230</v>
      </c>
      <c r="F1056" s="9" t="s">
        <v>40699</v>
      </c>
      <c r="G1056" s="9" t="s">
        <v>38808</v>
      </c>
      <c r="H1056" s="127">
        <v>45040.0</v>
      </c>
      <c r="I1056" s="9" t="s">
        <v>47</v>
      </c>
      <c r="J1056" s="9" t="s">
        <v>38801</v>
      </c>
      <c r="K1056" s="55">
        <v>45042.0</v>
      </c>
      <c r="M1056" s="9" t="s">
        <v>8439</v>
      </c>
    </row>
    <row r="1057" ht="15.75" hidden="1" customHeight="1">
      <c r="A1057" s="9" t="s">
        <v>40700</v>
      </c>
      <c r="B1057" s="9" t="s">
        <v>17123</v>
      </c>
      <c r="D1057" s="9" t="s">
        <v>12230</v>
      </c>
      <c r="F1057" s="9" t="s">
        <v>40701</v>
      </c>
      <c r="G1057" s="9" t="s">
        <v>38808</v>
      </c>
      <c r="H1057" s="127">
        <v>45040.0</v>
      </c>
      <c r="I1057" s="9" t="s">
        <v>47</v>
      </c>
      <c r="J1057" s="9" t="s">
        <v>38801</v>
      </c>
      <c r="K1057" s="55">
        <v>45041.0</v>
      </c>
      <c r="M1057" s="9" t="s">
        <v>11621</v>
      </c>
    </row>
    <row r="1058" ht="15.75" hidden="1" customHeight="1">
      <c r="A1058" s="9" t="s">
        <v>40702</v>
      </c>
      <c r="B1058" s="9" t="s">
        <v>13984</v>
      </c>
      <c r="D1058" s="9" t="s">
        <v>12230</v>
      </c>
      <c r="F1058" s="9" t="s">
        <v>40703</v>
      </c>
      <c r="G1058" s="9" t="s">
        <v>38808</v>
      </c>
      <c r="H1058" s="127">
        <v>45041.0</v>
      </c>
      <c r="I1058" s="9" t="s">
        <v>47</v>
      </c>
      <c r="J1058" s="9" t="s">
        <v>38801</v>
      </c>
      <c r="K1058" s="55">
        <v>45537.0</v>
      </c>
      <c r="M1058" s="9" t="s">
        <v>9530</v>
      </c>
    </row>
    <row r="1059" ht="15.75" hidden="1" customHeight="1">
      <c r="A1059" s="9" t="s">
        <v>40704</v>
      </c>
      <c r="B1059" s="9" t="s">
        <v>14575</v>
      </c>
      <c r="D1059" s="9" t="s">
        <v>12230</v>
      </c>
      <c r="F1059" s="9" t="s">
        <v>40154</v>
      </c>
      <c r="G1059" s="9" t="s">
        <v>38946</v>
      </c>
      <c r="H1059" s="127">
        <v>45041.0</v>
      </c>
      <c r="I1059" s="9" t="s">
        <v>131</v>
      </c>
      <c r="J1059" s="9" t="s">
        <v>38801</v>
      </c>
      <c r="K1059" s="55">
        <v>45452.0</v>
      </c>
      <c r="M1059" s="9" t="s">
        <v>10695</v>
      </c>
    </row>
    <row r="1060" ht="15.75" hidden="1" customHeight="1">
      <c r="A1060" s="9" t="s">
        <v>40705</v>
      </c>
      <c r="B1060" s="9" t="s">
        <v>16936</v>
      </c>
      <c r="D1060" s="9" t="s">
        <v>12248</v>
      </c>
      <c r="F1060" s="9" t="s">
        <v>40706</v>
      </c>
      <c r="G1060" s="9" t="s">
        <v>38808</v>
      </c>
      <c r="H1060" s="127">
        <v>45041.0</v>
      </c>
      <c r="I1060" s="9" t="s">
        <v>47</v>
      </c>
      <c r="J1060" s="9" t="s">
        <v>38801</v>
      </c>
      <c r="K1060" s="55">
        <v>45411.0</v>
      </c>
      <c r="M1060" s="9" t="s">
        <v>10058</v>
      </c>
    </row>
    <row r="1061" ht="15.75" hidden="1" customHeight="1">
      <c r="A1061" s="9" t="s">
        <v>40707</v>
      </c>
      <c r="B1061" s="9" t="s">
        <v>26705</v>
      </c>
      <c r="D1061" s="9" t="s">
        <v>12230</v>
      </c>
      <c r="F1061" s="9" t="s">
        <v>40708</v>
      </c>
      <c r="G1061" s="9" t="s">
        <v>38946</v>
      </c>
      <c r="H1061" s="127">
        <v>45041.0</v>
      </c>
      <c r="I1061" s="9" t="s">
        <v>131</v>
      </c>
      <c r="J1061" s="9" t="s">
        <v>38801</v>
      </c>
      <c r="K1061" s="55">
        <v>45076.0</v>
      </c>
      <c r="M1061" s="9" t="s">
        <v>10679</v>
      </c>
    </row>
    <row r="1062" ht="15.75" hidden="1" customHeight="1">
      <c r="A1062" s="9" t="s">
        <v>40709</v>
      </c>
      <c r="B1062" s="9" t="s">
        <v>16007</v>
      </c>
      <c r="D1062" s="9" t="s">
        <v>12250</v>
      </c>
      <c r="F1062" s="9" t="s">
        <v>40710</v>
      </c>
      <c r="G1062" s="9" t="s">
        <v>38946</v>
      </c>
      <c r="H1062" s="127">
        <v>45041.0</v>
      </c>
      <c r="I1062" s="9" t="s">
        <v>47</v>
      </c>
      <c r="J1062" s="9" t="s">
        <v>38801</v>
      </c>
      <c r="K1062" s="55">
        <v>45049.0</v>
      </c>
      <c r="M1062" s="9" t="s">
        <v>5037</v>
      </c>
    </row>
    <row r="1063" ht="15.75" hidden="1" customHeight="1">
      <c r="A1063" s="9" t="s">
        <v>40711</v>
      </c>
      <c r="B1063" s="9" t="s">
        <v>12575</v>
      </c>
      <c r="D1063" s="9" t="s">
        <v>12230</v>
      </c>
      <c r="F1063" s="9" t="s">
        <v>40154</v>
      </c>
      <c r="G1063" s="9" t="s">
        <v>38946</v>
      </c>
      <c r="H1063" s="127">
        <v>45041.0</v>
      </c>
      <c r="I1063" s="9" t="s">
        <v>131</v>
      </c>
      <c r="J1063" s="9" t="s">
        <v>38801</v>
      </c>
      <c r="K1063" s="55">
        <v>45044.0</v>
      </c>
      <c r="M1063" s="9" t="s">
        <v>11929</v>
      </c>
    </row>
    <row r="1064" ht="15.75" hidden="1" customHeight="1">
      <c r="A1064" s="9" t="s">
        <v>40712</v>
      </c>
      <c r="B1064" s="9" t="s">
        <v>16584</v>
      </c>
      <c r="D1064" s="9" t="s">
        <v>12230</v>
      </c>
      <c r="F1064" s="9" t="s">
        <v>40154</v>
      </c>
      <c r="G1064" s="9" t="s">
        <v>38946</v>
      </c>
      <c r="H1064" s="127">
        <v>45041.0</v>
      </c>
      <c r="I1064" s="9" t="s">
        <v>131</v>
      </c>
      <c r="J1064" s="9" t="s">
        <v>38801</v>
      </c>
      <c r="K1064" s="55">
        <v>45044.0</v>
      </c>
      <c r="M1064" s="9" t="s">
        <v>10522</v>
      </c>
    </row>
    <row r="1065" ht="15.75" hidden="1" customHeight="1">
      <c r="A1065" s="9" t="s">
        <v>40713</v>
      </c>
      <c r="B1065" s="9" t="s">
        <v>21673</v>
      </c>
      <c r="D1065" s="9" t="s">
        <v>12230</v>
      </c>
      <c r="F1065" s="9" t="s">
        <v>40714</v>
      </c>
      <c r="G1065" s="9" t="s">
        <v>38808</v>
      </c>
      <c r="H1065" s="127">
        <v>45041.0</v>
      </c>
      <c r="I1065" s="9" t="s">
        <v>47</v>
      </c>
      <c r="J1065" s="9" t="s">
        <v>38801</v>
      </c>
      <c r="K1065" s="55">
        <v>45041.0</v>
      </c>
      <c r="M1065" s="9" t="s">
        <v>9827</v>
      </c>
    </row>
    <row r="1066" ht="15.75" hidden="1" customHeight="1">
      <c r="A1066" s="9" t="s">
        <v>40715</v>
      </c>
      <c r="B1066" s="9" t="s">
        <v>20785</v>
      </c>
      <c r="D1066" s="9" t="s">
        <v>12230</v>
      </c>
      <c r="F1066" s="9" t="s">
        <v>40716</v>
      </c>
      <c r="G1066" s="9" t="s">
        <v>38808</v>
      </c>
      <c r="H1066" s="127">
        <v>45041.0</v>
      </c>
      <c r="I1066" s="9" t="s">
        <v>47</v>
      </c>
      <c r="J1066" s="9" t="s">
        <v>38801</v>
      </c>
      <c r="K1066" s="55">
        <v>45041.0</v>
      </c>
      <c r="M1066" s="9" t="s">
        <v>9590</v>
      </c>
    </row>
    <row r="1067" ht="15.75" hidden="1" customHeight="1">
      <c r="A1067" s="9" t="s">
        <v>40717</v>
      </c>
      <c r="B1067" s="9" t="s">
        <v>16987</v>
      </c>
      <c r="D1067" s="9" t="s">
        <v>12236</v>
      </c>
      <c r="F1067" s="9" t="s">
        <v>40718</v>
      </c>
      <c r="G1067" s="9" t="s">
        <v>38946</v>
      </c>
      <c r="H1067" s="127">
        <v>45042.0</v>
      </c>
      <c r="I1067" s="9" t="s">
        <v>52</v>
      </c>
      <c r="J1067" s="9" t="s">
        <v>38801</v>
      </c>
      <c r="K1067" s="55">
        <v>45043.0</v>
      </c>
      <c r="M1067" s="9" t="s">
        <v>3346</v>
      </c>
    </row>
    <row r="1068" ht="15.75" hidden="1" customHeight="1">
      <c r="A1068" s="9" t="s">
        <v>40719</v>
      </c>
      <c r="B1068" s="9" t="s">
        <v>17139</v>
      </c>
      <c r="D1068" s="9" t="s">
        <v>12250</v>
      </c>
      <c r="F1068" s="9" t="s">
        <v>40720</v>
      </c>
      <c r="G1068" s="9" t="s">
        <v>38808</v>
      </c>
      <c r="H1068" s="127">
        <v>45042.0</v>
      </c>
      <c r="I1068" s="9" t="s">
        <v>47</v>
      </c>
      <c r="J1068" s="9" t="s">
        <v>38801</v>
      </c>
      <c r="K1068" s="55">
        <v>45042.0</v>
      </c>
      <c r="M1068" s="9" t="s">
        <v>10552</v>
      </c>
    </row>
    <row r="1069" ht="15.75" hidden="1" customHeight="1">
      <c r="A1069" s="9" t="s">
        <v>40721</v>
      </c>
      <c r="B1069" s="9" t="s">
        <v>17139</v>
      </c>
      <c r="D1069" s="9" t="s">
        <v>12252</v>
      </c>
      <c r="F1069" s="9" t="s">
        <v>40722</v>
      </c>
      <c r="G1069" s="9" t="s">
        <v>38808</v>
      </c>
      <c r="H1069" s="127">
        <v>45042.0</v>
      </c>
      <c r="I1069" s="9" t="s">
        <v>47</v>
      </c>
      <c r="J1069" s="9" t="s">
        <v>38801</v>
      </c>
      <c r="K1069" s="55">
        <v>45042.0</v>
      </c>
      <c r="M1069" s="9" t="s">
        <v>10552</v>
      </c>
    </row>
    <row r="1070" ht="15.75" hidden="1" customHeight="1">
      <c r="A1070" s="9" t="s">
        <v>40723</v>
      </c>
      <c r="B1070" s="9" t="s">
        <v>17123</v>
      </c>
      <c r="D1070" s="9" t="s">
        <v>12257</v>
      </c>
      <c r="F1070" s="9" t="s">
        <v>40724</v>
      </c>
      <c r="G1070" s="9" t="s">
        <v>38808</v>
      </c>
      <c r="H1070" s="127">
        <v>45042.0</v>
      </c>
      <c r="I1070" s="9" t="s">
        <v>47</v>
      </c>
      <c r="J1070" s="9" t="s">
        <v>38801</v>
      </c>
      <c r="K1070" s="55">
        <v>45042.0</v>
      </c>
      <c r="M1070" s="9" t="s">
        <v>11621</v>
      </c>
    </row>
    <row r="1071" ht="15.75" hidden="1" customHeight="1">
      <c r="A1071" s="9" t="s">
        <v>40725</v>
      </c>
      <c r="B1071" s="9" t="s">
        <v>16796</v>
      </c>
      <c r="D1071" s="9" t="s">
        <v>12236</v>
      </c>
      <c r="F1071" s="9" t="s">
        <v>39758</v>
      </c>
      <c r="G1071" s="9" t="s">
        <v>38946</v>
      </c>
      <c r="H1071" s="127">
        <v>45043.0</v>
      </c>
      <c r="I1071" s="9" t="s">
        <v>52</v>
      </c>
      <c r="J1071" s="9" t="s">
        <v>38801</v>
      </c>
      <c r="K1071" s="55">
        <v>45043.0</v>
      </c>
      <c r="M1071" s="9" t="s">
        <v>11840</v>
      </c>
    </row>
    <row r="1072" ht="15.75" hidden="1" customHeight="1">
      <c r="A1072" s="9" t="s">
        <v>40726</v>
      </c>
      <c r="B1072" s="9" t="s">
        <v>15689</v>
      </c>
      <c r="D1072" s="9" t="s">
        <v>12236</v>
      </c>
      <c r="F1072" s="9" t="s">
        <v>39758</v>
      </c>
      <c r="G1072" s="9" t="s">
        <v>38946</v>
      </c>
      <c r="H1072" s="127">
        <v>45043.0</v>
      </c>
      <c r="I1072" s="9" t="s">
        <v>52</v>
      </c>
      <c r="J1072" s="9" t="s">
        <v>38801</v>
      </c>
      <c r="K1072" s="55">
        <v>45043.0</v>
      </c>
      <c r="M1072" s="9" t="s">
        <v>11802</v>
      </c>
    </row>
    <row r="1073" ht="15.75" hidden="1" customHeight="1">
      <c r="A1073" s="9" t="s">
        <v>40727</v>
      </c>
      <c r="B1073" s="9" t="s">
        <v>16987</v>
      </c>
      <c r="D1073" s="9" t="s">
        <v>12239</v>
      </c>
      <c r="F1073" s="9" t="s">
        <v>40678</v>
      </c>
      <c r="G1073" s="9" t="s">
        <v>38946</v>
      </c>
      <c r="H1073" s="127">
        <v>45044.0</v>
      </c>
      <c r="I1073" s="9" t="s">
        <v>131</v>
      </c>
      <c r="J1073" s="9" t="s">
        <v>38801</v>
      </c>
      <c r="K1073" s="55">
        <v>45106.0</v>
      </c>
      <c r="M1073" s="9" t="s">
        <v>3346</v>
      </c>
    </row>
    <row r="1074" ht="15.75" hidden="1" customHeight="1">
      <c r="A1074" s="9" t="s">
        <v>40728</v>
      </c>
      <c r="B1074" s="9" t="s">
        <v>20173</v>
      </c>
      <c r="D1074" s="9" t="s">
        <v>12230</v>
      </c>
      <c r="F1074" s="9" t="s">
        <v>40729</v>
      </c>
      <c r="G1074" s="9" t="s">
        <v>38808</v>
      </c>
      <c r="H1074" s="127">
        <v>45044.0</v>
      </c>
      <c r="I1074" s="9" t="s">
        <v>47</v>
      </c>
      <c r="J1074" s="9" t="s">
        <v>38801</v>
      </c>
      <c r="K1074" s="55">
        <v>45044.0</v>
      </c>
      <c r="M1074" s="9" t="s">
        <v>5981</v>
      </c>
    </row>
    <row r="1075" ht="15.75" hidden="1" customHeight="1">
      <c r="A1075" s="9" t="s">
        <v>40730</v>
      </c>
      <c r="B1075" s="9" t="s">
        <v>17012</v>
      </c>
      <c r="D1075" s="9" t="s">
        <v>12230</v>
      </c>
      <c r="F1075" s="9" t="s">
        <v>40731</v>
      </c>
      <c r="G1075" s="9" t="s">
        <v>38808</v>
      </c>
      <c r="H1075" s="127">
        <v>45044.0</v>
      </c>
      <c r="I1075" s="9" t="s">
        <v>47</v>
      </c>
      <c r="J1075" s="9" t="s">
        <v>38801</v>
      </c>
      <c r="K1075" s="55">
        <v>45044.0</v>
      </c>
      <c r="M1075" s="9" t="s">
        <v>9285</v>
      </c>
    </row>
    <row r="1076" ht="15.75" hidden="1" customHeight="1">
      <c r="A1076" s="9" t="s">
        <v>40732</v>
      </c>
      <c r="B1076" s="9" t="s">
        <v>17012</v>
      </c>
      <c r="D1076" s="9" t="s">
        <v>12236</v>
      </c>
      <c r="F1076" s="9" t="s">
        <v>39849</v>
      </c>
      <c r="G1076" s="9" t="s">
        <v>38808</v>
      </c>
      <c r="H1076" s="127">
        <v>45044.0</v>
      </c>
      <c r="I1076" s="9" t="s">
        <v>47</v>
      </c>
      <c r="J1076" s="9" t="s">
        <v>38801</v>
      </c>
      <c r="K1076" s="55">
        <v>45044.0</v>
      </c>
      <c r="M1076" s="9" t="s">
        <v>9285</v>
      </c>
    </row>
    <row r="1077" ht="15.75" hidden="1" customHeight="1">
      <c r="A1077" s="9" t="s">
        <v>40733</v>
      </c>
      <c r="B1077" s="9" t="s">
        <v>17012</v>
      </c>
      <c r="D1077" s="9" t="s">
        <v>12250</v>
      </c>
      <c r="F1077" s="9" t="s">
        <v>40734</v>
      </c>
      <c r="G1077" s="9" t="s">
        <v>38808</v>
      </c>
      <c r="H1077" s="127">
        <v>45044.0</v>
      </c>
      <c r="I1077" s="9" t="s">
        <v>47</v>
      </c>
      <c r="J1077" s="9" t="s">
        <v>38801</v>
      </c>
      <c r="K1077" s="55">
        <v>45044.0</v>
      </c>
      <c r="M1077" s="9" t="s">
        <v>9285</v>
      </c>
    </row>
    <row r="1078" ht="15.75" hidden="1" customHeight="1">
      <c r="A1078" s="9" t="s">
        <v>40735</v>
      </c>
      <c r="B1078" s="9" t="s">
        <v>15751</v>
      </c>
      <c r="D1078" s="9" t="s">
        <v>12230</v>
      </c>
      <c r="F1078" s="9" t="s">
        <v>40006</v>
      </c>
      <c r="G1078" s="9" t="s">
        <v>38946</v>
      </c>
      <c r="H1078" s="127">
        <v>45048.0</v>
      </c>
      <c r="I1078" s="9" t="s">
        <v>52</v>
      </c>
      <c r="J1078" s="9" t="s">
        <v>38801</v>
      </c>
      <c r="K1078" s="55">
        <v>45077.0</v>
      </c>
      <c r="M1078" s="9" t="s">
        <v>10707</v>
      </c>
    </row>
    <row r="1079" ht="15.75" hidden="1" customHeight="1">
      <c r="A1079" s="9" t="s">
        <v>40736</v>
      </c>
      <c r="B1079" s="9" t="s">
        <v>16584</v>
      </c>
      <c r="D1079" s="9" t="s">
        <v>12236</v>
      </c>
      <c r="F1079" s="9" t="s">
        <v>39849</v>
      </c>
      <c r="G1079" s="9" t="s">
        <v>38946</v>
      </c>
      <c r="H1079" s="127">
        <v>45048.0</v>
      </c>
      <c r="I1079" s="9" t="s">
        <v>47</v>
      </c>
      <c r="J1079" s="9" t="s">
        <v>38801</v>
      </c>
      <c r="K1079" s="55">
        <v>45061.0</v>
      </c>
      <c r="M1079" s="9" t="s">
        <v>10522</v>
      </c>
    </row>
    <row r="1080" ht="15.75" hidden="1" customHeight="1">
      <c r="A1080" s="9" t="s">
        <v>40737</v>
      </c>
      <c r="B1080" s="9" t="s">
        <v>13371</v>
      </c>
      <c r="D1080" s="9" t="s">
        <v>12230</v>
      </c>
      <c r="F1080" s="9" t="s">
        <v>40738</v>
      </c>
      <c r="G1080" s="9" t="s">
        <v>38808</v>
      </c>
      <c r="H1080" s="127">
        <v>45048.0</v>
      </c>
      <c r="I1080" s="9" t="s">
        <v>52</v>
      </c>
      <c r="J1080" s="9" t="s">
        <v>38801</v>
      </c>
      <c r="K1080" s="55">
        <v>45048.0</v>
      </c>
      <c r="M1080" s="9" t="s">
        <v>2234</v>
      </c>
    </row>
    <row r="1081" ht="15.75" hidden="1" customHeight="1">
      <c r="A1081" s="9" t="s">
        <v>40739</v>
      </c>
      <c r="B1081" s="9" t="s">
        <v>16584</v>
      </c>
      <c r="D1081" s="9" t="s">
        <v>12230</v>
      </c>
      <c r="F1081" s="9" t="s">
        <v>39944</v>
      </c>
      <c r="G1081" s="9" t="s">
        <v>38946</v>
      </c>
      <c r="H1081" s="127">
        <v>45048.0</v>
      </c>
      <c r="I1081" s="9" t="s">
        <v>47</v>
      </c>
      <c r="J1081" s="9" t="s">
        <v>38801</v>
      </c>
      <c r="K1081" s="55">
        <v>45048.0</v>
      </c>
      <c r="M1081" s="9" t="s">
        <v>10522</v>
      </c>
    </row>
    <row r="1082" ht="15.75" hidden="1" customHeight="1">
      <c r="A1082" s="9" t="s">
        <v>40740</v>
      </c>
      <c r="B1082" s="9" t="s">
        <v>16223</v>
      </c>
      <c r="D1082" s="9" t="s">
        <v>12250</v>
      </c>
      <c r="F1082" s="9" t="s">
        <v>40741</v>
      </c>
      <c r="G1082" s="9" t="s">
        <v>38946</v>
      </c>
      <c r="H1082" s="127">
        <v>45048.0</v>
      </c>
      <c r="I1082" s="9" t="s">
        <v>47</v>
      </c>
      <c r="J1082" s="9" t="s">
        <v>38801</v>
      </c>
      <c r="K1082" s="55">
        <v>45048.0</v>
      </c>
      <c r="M1082" s="9" t="s">
        <v>11724</v>
      </c>
    </row>
    <row r="1083" ht="15.75" hidden="1" customHeight="1">
      <c r="A1083" s="9" t="s">
        <v>40742</v>
      </c>
      <c r="B1083" s="9" t="s">
        <v>16697</v>
      </c>
      <c r="D1083" s="9" t="s">
        <v>12230</v>
      </c>
      <c r="F1083" s="9" t="s">
        <v>40743</v>
      </c>
      <c r="G1083" s="9" t="s">
        <v>38808</v>
      </c>
      <c r="H1083" s="127">
        <v>45048.0</v>
      </c>
      <c r="I1083" s="9" t="s">
        <v>52</v>
      </c>
      <c r="J1083" s="9" t="s">
        <v>38801</v>
      </c>
      <c r="K1083" s="55">
        <v>45048.0</v>
      </c>
      <c r="M1083" s="9" t="s">
        <v>7298</v>
      </c>
    </row>
    <row r="1084" ht="15.75" hidden="1" customHeight="1">
      <c r="A1084" s="52" t="s">
        <v>40744</v>
      </c>
      <c r="B1084" s="9" t="s">
        <v>20466</v>
      </c>
      <c r="D1084" s="9" t="s">
        <v>12230</v>
      </c>
      <c r="F1084" s="9" t="s">
        <v>40745</v>
      </c>
      <c r="G1084" s="9" t="s">
        <v>38808</v>
      </c>
      <c r="H1084" s="127">
        <v>45048.0</v>
      </c>
      <c r="I1084" s="9" t="s">
        <v>47</v>
      </c>
      <c r="J1084" s="9" t="s">
        <v>38801</v>
      </c>
      <c r="K1084" s="55">
        <v>45048.0</v>
      </c>
      <c r="M1084" s="9" t="s">
        <v>2354</v>
      </c>
    </row>
    <row r="1085" ht="15.75" hidden="1" customHeight="1">
      <c r="A1085" s="9" t="s">
        <v>40746</v>
      </c>
      <c r="B1085" s="9" t="s">
        <v>14283</v>
      </c>
      <c r="D1085" s="9" t="s">
        <v>12248</v>
      </c>
      <c r="F1085" s="9" t="s">
        <v>40747</v>
      </c>
      <c r="G1085" s="9" t="s">
        <v>38808</v>
      </c>
      <c r="H1085" s="127">
        <v>45049.0</v>
      </c>
      <c r="I1085" s="9" t="s">
        <v>47</v>
      </c>
      <c r="J1085" s="9" t="s">
        <v>38801</v>
      </c>
      <c r="K1085" s="60">
        <v>45501.0</v>
      </c>
      <c r="M1085" s="9" t="s">
        <v>7925</v>
      </c>
    </row>
    <row r="1086" ht="15.75" hidden="1" customHeight="1">
      <c r="A1086" s="9" t="s">
        <v>40748</v>
      </c>
      <c r="B1086" s="9" t="s">
        <v>16007</v>
      </c>
      <c r="D1086" s="9" t="s">
        <v>12236</v>
      </c>
      <c r="F1086" s="9" t="s">
        <v>40749</v>
      </c>
      <c r="G1086" s="9" t="s">
        <v>38946</v>
      </c>
      <c r="H1086" s="127">
        <v>45049.0</v>
      </c>
      <c r="I1086" s="9" t="s">
        <v>47</v>
      </c>
      <c r="J1086" s="9" t="s">
        <v>38801</v>
      </c>
      <c r="K1086" s="55">
        <v>45057.0</v>
      </c>
      <c r="M1086" s="9" t="s">
        <v>5037</v>
      </c>
    </row>
    <row r="1087" ht="15.75" hidden="1" customHeight="1">
      <c r="A1087" s="9" t="s">
        <v>40750</v>
      </c>
      <c r="B1087" s="9" t="s">
        <v>16501</v>
      </c>
      <c r="D1087" s="9" t="s">
        <v>12230</v>
      </c>
      <c r="F1087" s="9" t="s">
        <v>40751</v>
      </c>
      <c r="G1087" s="9" t="s">
        <v>38808</v>
      </c>
      <c r="H1087" s="127">
        <v>45049.0</v>
      </c>
      <c r="I1087" s="9" t="s">
        <v>47</v>
      </c>
      <c r="J1087" s="9" t="s">
        <v>38801</v>
      </c>
      <c r="K1087" s="55">
        <v>45049.0</v>
      </c>
      <c r="M1087" s="9" t="s">
        <v>8439</v>
      </c>
    </row>
    <row r="1088" ht="15.75" hidden="1" customHeight="1">
      <c r="A1088" s="9" t="s">
        <v>40752</v>
      </c>
      <c r="B1088" s="9" t="s">
        <v>15940</v>
      </c>
      <c r="D1088" s="9" t="s">
        <v>12230</v>
      </c>
      <c r="F1088" s="9" t="s">
        <v>40753</v>
      </c>
      <c r="G1088" s="9" t="s">
        <v>38808</v>
      </c>
      <c r="H1088" s="127">
        <v>45049.0</v>
      </c>
      <c r="I1088" s="9" t="s">
        <v>47</v>
      </c>
      <c r="J1088" s="9" t="s">
        <v>38801</v>
      </c>
      <c r="K1088" s="55">
        <v>45049.0</v>
      </c>
      <c r="M1088" s="9" t="s">
        <v>268</v>
      </c>
    </row>
    <row r="1089" ht="15.75" hidden="1" customHeight="1">
      <c r="A1089" s="9" t="s">
        <v>40754</v>
      </c>
      <c r="B1089" s="9" t="s">
        <v>16007</v>
      </c>
      <c r="D1089" s="9" t="s">
        <v>12230</v>
      </c>
      <c r="F1089" s="9" t="s">
        <v>40755</v>
      </c>
      <c r="G1089" s="9" t="s">
        <v>38808</v>
      </c>
      <c r="H1089" s="127">
        <v>45049.0</v>
      </c>
      <c r="I1089" s="9" t="s">
        <v>47</v>
      </c>
      <c r="J1089" s="9" t="s">
        <v>38801</v>
      </c>
      <c r="K1089" s="55">
        <v>45049.0</v>
      </c>
      <c r="M1089" s="9" t="s">
        <v>5037</v>
      </c>
    </row>
    <row r="1090" ht="15.75" hidden="1" customHeight="1">
      <c r="A1090" s="9" t="s">
        <v>40756</v>
      </c>
      <c r="B1090" s="9" t="s">
        <v>16348</v>
      </c>
      <c r="D1090" s="9" t="s">
        <v>12233</v>
      </c>
      <c r="F1090" s="9" t="s">
        <v>40058</v>
      </c>
      <c r="G1090" s="9" t="s">
        <v>38946</v>
      </c>
      <c r="H1090" s="127">
        <v>45051.0</v>
      </c>
      <c r="I1090" s="9" t="s">
        <v>52</v>
      </c>
      <c r="J1090" s="9" t="s">
        <v>38801</v>
      </c>
      <c r="K1090" s="55">
        <v>45055.0</v>
      </c>
      <c r="M1090" s="9" t="s">
        <v>10506</v>
      </c>
    </row>
    <row r="1091" ht="15.75" hidden="1" customHeight="1">
      <c r="A1091" s="9" t="s">
        <v>40757</v>
      </c>
      <c r="B1091" s="9" t="s">
        <v>15751</v>
      </c>
      <c r="D1091" s="9" t="s">
        <v>12236</v>
      </c>
      <c r="F1091" s="9" t="s">
        <v>39758</v>
      </c>
      <c r="G1091" s="9" t="s">
        <v>38946</v>
      </c>
      <c r="H1091" s="127">
        <v>45051.0</v>
      </c>
      <c r="I1091" s="9" t="s">
        <v>52</v>
      </c>
      <c r="J1091" s="9" t="s">
        <v>38801</v>
      </c>
      <c r="K1091" s="55">
        <v>45051.0</v>
      </c>
      <c r="M1091" s="9" t="s">
        <v>10707</v>
      </c>
    </row>
    <row r="1092" ht="15.75" hidden="1" customHeight="1">
      <c r="A1092" s="9" t="s">
        <v>40758</v>
      </c>
      <c r="B1092" s="9" t="s">
        <v>16584</v>
      </c>
      <c r="D1092" s="9" t="s">
        <v>12239</v>
      </c>
      <c r="F1092" s="9" t="s">
        <v>40759</v>
      </c>
      <c r="G1092" s="9" t="s">
        <v>38946</v>
      </c>
      <c r="H1092" s="127">
        <v>45058.0</v>
      </c>
      <c r="I1092" s="9" t="s">
        <v>101</v>
      </c>
      <c r="J1092" s="9" t="s">
        <v>38801</v>
      </c>
      <c r="K1092" s="55">
        <v>45197.0</v>
      </c>
      <c r="M1092" s="9" t="s">
        <v>10522</v>
      </c>
    </row>
    <row r="1093" ht="15.75" hidden="1" customHeight="1">
      <c r="A1093" s="9" t="s">
        <v>40760</v>
      </c>
      <c r="B1093" s="9" t="s">
        <v>16584</v>
      </c>
      <c r="D1093" s="9" t="s">
        <v>12230</v>
      </c>
      <c r="F1093" s="9" t="s">
        <v>40761</v>
      </c>
      <c r="G1093" s="9" t="s">
        <v>38946</v>
      </c>
      <c r="H1093" s="127">
        <v>45058.0</v>
      </c>
      <c r="I1093" s="9" t="s">
        <v>52</v>
      </c>
      <c r="J1093" s="9" t="s">
        <v>38801</v>
      </c>
      <c r="K1093" s="55">
        <v>45058.0</v>
      </c>
      <c r="M1093" s="9" t="s">
        <v>10522</v>
      </c>
    </row>
    <row r="1094" ht="15.75" hidden="1" customHeight="1">
      <c r="A1094" s="9" t="s">
        <v>40762</v>
      </c>
      <c r="B1094" s="9" t="s">
        <v>16958</v>
      </c>
      <c r="D1094" s="9" t="s">
        <v>12236</v>
      </c>
      <c r="F1094" s="9" t="s">
        <v>40763</v>
      </c>
      <c r="G1094" s="9" t="s">
        <v>38946</v>
      </c>
      <c r="H1094" s="127">
        <v>45058.0</v>
      </c>
      <c r="I1094" s="9" t="s">
        <v>52</v>
      </c>
      <c r="J1094" s="9" t="s">
        <v>38801</v>
      </c>
      <c r="K1094" s="55">
        <v>45058.0</v>
      </c>
      <c r="M1094" s="9" t="s">
        <v>11971</v>
      </c>
    </row>
    <row r="1095" ht="15.75" hidden="1" customHeight="1">
      <c r="A1095" s="9" t="s">
        <v>40764</v>
      </c>
      <c r="B1095" s="9" t="s">
        <v>16293</v>
      </c>
      <c r="D1095" s="9" t="s">
        <v>12240</v>
      </c>
      <c r="F1095" s="9" t="s">
        <v>40765</v>
      </c>
      <c r="G1095" s="9" t="s">
        <v>38946</v>
      </c>
      <c r="H1095" s="127">
        <v>45060.0</v>
      </c>
      <c r="I1095" s="9" t="s">
        <v>26</v>
      </c>
      <c r="J1095" s="9" t="s">
        <v>38801</v>
      </c>
      <c r="K1095" s="55">
        <v>45060.0</v>
      </c>
      <c r="M1095" s="9" t="s">
        <v>11914</v>
      </c>
    </row>
    <row r="1096" ht="15.75" hidden="1" customHeight="1">
      <c r="A1096" s="9" t="s">
        <v>40766</v>
      </c>
      <c r="B1096" s="9" t="s">
        <v>15344</v>
      </c>
      <c r="D1096" s="9" t="s">
        <v>12240</v>
      </c>
      <c r="F1096" s="9" t="s">
        <v>40765</v>
      </c>
      <c r="G1096" s="9" t="s">
        <v>38946</v>
      </c>
      <c r="H1096" s="127">
        <v>45060.0</v>
      </c>
      <c r="I1096" s="9" t="s">
        <v>26</v>
      </c>
      <c r="J1096" s="9" t="s">
        <v>38801</v>
      </c>
      <c r="K1096" s="55">
        <v>45060.0</v>
      </c>
      <c r="M1096" s="9" t="s">
        <v>11731</v>
      </c>
    </row>
    <row r="1097" ht="15.75" hidden="1" customHeight="1">
      <c r="A1097" s="9" t="s">
        <v>40767</v>
      </c>
      <c r="B1097" s="9" t="s">
        <v>16715</v>
      </c>
      <c r="D1097" s="9" t="s">
        <v>12240</v>
      </c>
      <c r="F1097" s="9" t="s">
        <v>40765</v>
      </c>
      <c r="G1097" s="9" t="s">
        <v>38946</v>
      </c>
      <c r="H1097" s="127">
        <v>45060.0</v>
      </c>
      <c r="I1097" s="9" t="s">
        <v>26</v>
      </c>
      <c r="J1097" s="9" t="s">
        <v>38801</v>
      </c>
      <c r="K1097" s="55">
        <v>45060.0</v>
      </c>
      <c r="M1097" s="9" t="s">
        <v>9218</v>
      </c>
    </row>
    <row r="1098" ht="15.75" hidden="1" customHeight="1">
      <c r="A1098" s="9" t="s">
        <v>40768</v>
      </c>
      <c r="B1098" s="9" t="s">
        <v>16734</v>
      </c>
      <c r="D1098" s="9" t="s">
        <v>12258</v>
      </c>
      <c r="F1098" s="9" t="s">
        <v>40769</v>
      </c>
      <c r="G1098" s="9" t="s">
        <v>38808</v>
      </c>
      <c r="H1098" s="127">
        <v>45062.0</v>
      </c>
      <c r="I1098" s="9" t="s">
        <v>26</v>
      </c>
      <c r="J1098" s="9" t="s">
        <v>38801</v>
      </c>
      <c r="K1098" s="60">
        <v>45245.0</v>
      </c>
      <c r="M1098" s="9" t="s">
        <v>1034</v>
      </c>
    </row>
    <row r="1099" ht="15.75" hidden="1" customHeight="1">
      <c r="A1099" s="9" t="s">
        <v>40770</v>
      </c>
      <c r="B1099" s="9" t="s">
        <v>16145</v>
      </c>
      <c r="D1099" s="9" t="s">
        <v>12239</v>
      </c>
      <c r="F1099" s="9" t="s">
        <v>40502</v>
      </c>
      <c r="G1099" s="9" t="s">
        <v>38946</v>
      </c>
      <c r="H1099" s="127">
        <v>45065.0</v>
      </c>
      <c r="I1099" s="9" t="s">
        <v>52</v>
      </c>
      <c r="J1099" s="9" t="s">
        <v>38801</v>
      </c>
      <c r="K1099" s="55">
        <v>45065.0</v>
      </c>
      <c r="M1099" s="9" t="s">
        <v>10498</v>
      </c>
    </row>
    <row r="1100" ht="15.75" hidden="1" customHeight="1">
      <c r="A1100" s="9" t="s">
        <v>40771</v>
      </c>
      <c r="B1100" s="9" t="s">
        <v>16477</v>
      </c>
      <c r="D1100" s="9" t="s">
        <v>12230</v>
      </c>
      <c r="F1100" s="9" t="s">
        <v>39973</v>
      </c>
      <c r="G1100" s="9" t="s">
        <v>38946</v>
      </c>
      <c r="H1100" s="127">
        <v>45065.0</v>
      </c>
      <c r="I1100" s="9" t="s">
        <v>47</v>
      </c>
      <c r="J1100" s="9" t="s">
        <v>38801</v>
      </c>
      <c r="K1100" s="55">
        <v>45065.0</v>
      </c>
      <c r="M1100" s="9" t="s">
        <v>10518</v>
      </c>
    </row>
    <row r="1101" ht="15.75" hidden="1" customHeight="1">
      <c r="A1101" s="9" t="s">
        <v>40772</v>
      </c>
      <c r="B1101" s="9" t="s">
        <v>15689</v>
      </c>
      <c r="D1101" s="9" t="s">
        <v>12236</v>
      </c>
      <c r="F1101" s="9" t="s">
        <v>40773</v>
      </c>
      <c r="G1101" s="9" t="s">
        <v>38946</v>
      </c>
      <c r="H1101" s="127">
        <v>45065.0</v>
      </c>
      <c r="I1101" s="9" t="s">
        <v>52</v>
      </c>
      <c r="J1101" s="9" t="s">
        <v>38801</v>
      </c>
      <c r="K1101" s="55">
        <v>45065.0</v>
      </c>
      <c r="M1101" s="9" t="s">
        <v>11802</v>
      </c>
    </row>
    <row r="1102" ht="15.75" hidden="1" customHeight="1">
      <c r="A1102" s="9" t="s">
        <v>40774</v>
      </c>
      <c r="B1102" s="9" t="s">
        <v>13291</v>
      </c>
      <c r="D1102" s="9" t="s">
        <v>12254</v>
      </c>
      <c r="F1102" s="9" t="s">
        <v>40775</v>
      </c>
      <c r="G1102" s="9" t="s">
        <v>38946</v>
      </c>
      <c r="H1102" s="127">
        <v>45066.0</v>
      </c>
      <c r="I1102" s="9" t="s">
        <v>101</v>
      </c>
      <c r="J1102" s="9" t="s">
        <v>38801</v>
      </c>
      <c r="K1102" s="55">
        <v>45125.0</v>
      </c>
      <c r="M1102" s="9" t="s">
        <v>252</v>
      </c>
    </row>
    <row r="1103" ht="15.75" hidden="1" customHeight="1">
      <c r="A1103" s="9" t="s">
        <v>40776</v>
      </c>
      <c r="B1103" s="9" t="s">
        <v>16636</v>
      </c>
      <c r="D1103" s="9" t="s">
        <v>12230</v>
      </c>
      <c r="F1103" s="9" t="s">
        <v>40777</v>
      </c>
      <c r="G1103" s="9" t="s">
        <v>38946</v>
      </c>
      <c r="H1103" s="127">
        <v>45069.0</v>
      </c>
      <c r="I1103" s="9" t="s">
        <v>52</v>
      </c>
      <c r="J1103" s="9" t="s">
        <v>38801</v>
      </c>
      <c r="K1103" s="55">
        <v>45411.0</v>
      </c>
      <c r="M1103" s="9" t="s">
        <v>10090</v>
      </c>
    </row>
    <row r="1104" ht="15.75" hidden="1" customHeight="1">
      <c r="A1104" s="9" t="s">
        <v>40778</v>
      </c>
      <c r="B1104" s="9" t="s">
        <v>16636</v>
      </c>
      <c r="D1104" s="9" t="s">
        <v>12236</v>
      </c>
      <c r="F1104" s="9" t="s">
        <v>40777</v>
      </c>
      <c r="G1104" s="9" t="s">
        <v>38946</v>
      </c>
      <c r="H1104" s="127">
        <v>45069.0</v>
      </c>
      <c r="I1104" s="9" t="s">
        <v>52</v>
      </c>
      <c r="J1104" s="9" t="s">
        <v>38801</v>
      </c>
      <c r="K1104" s="55">
        <v>45411.0</v>
      </c>
      <c r="M1104" s="9" t="s">
        <v>10090</v>
      </c>
    </row>
    <row r="1105" ht="15.75" hidden="1" customHeight="1">
      <c r="A1105" s="9" t="s">
        <v>40779</v>
      </c>
      <c r="B1105" s="9" t="s">
        <v>14393</v>
      </c>
      <c r="D1105" s="9" t="s">
        <v>12230</v>
      </c>
      <c r="F1105" s="9" t="s">
        <v>40006</v>
      </c>
      <c r="G1105" s="9" t="s">
        <v>38946</v>
      </c>
      <c r="H1105" s="127">
        <v>45069.0</v>
      </c>
      <c r="I1105" s="9" t="s">
        <v>52</v>
      </c>
      <c r="J1105" s="9" t="s">
        <v>38801</v>
      </c>
      <c r="K1105" s="55">
        <v>45070.0</v>
      </c>
      <c r="M1105" s="9" t="s">
        <v>12093</v>
      </c>
    </row>
    <row r="1106" ht="15.75" hidden="1" customHeight="1">
      <c r="A1106" s="9" t="s">
        <v>40780</v>
      </c>
      <c r="B1106" s="9" t="s">
        <v>14393</v>
      </c>
      <c r="D1106" s="9" t="s">
        <v>12230</v>
      </c>
      <c r="F1106" s="9" t="s">
        <v>40006</v>
      </c>
      <c r="G1106" s="9" t="s">
        <v>38946</v>
      </c>
      <c r="H1106" s="127">
        <v>45069.0</v>
      </c>
      <c r="I1106" s="9" t="s">
        <v>52</v>
      </c>
      <c r="J1106" s="9" t="s">
        <v>38801</v>
      </c>
      <c r="K1106" s="55">
        <v>45070.0</v>
      </c>
      <c r="M1106" s="9" t="s">
        <v>10400</v>
      </c>
    </row>
    <row r="1107" ht="15.75" hidden="1" customHeight="1">
      <c r="A1107" s="9" t="s">
        <v>40781</v>
      </c>
      <c r="B1107" s="9" t="s">
        <v>16145</v>
      </c>
      <c r="D1107" s="9" t="s">
        <v>12254</v>
      </c>
      <c r="F1107" s="9" t="s">
        <v>40782</v>
      </c>
      <c r="G1107" s="9" t="s">
        <v>38946</v>
      </c>
      <c r="H1107" s="127">
        <v>45070.0</v>
      </c>
      <c r="I1107" s="9" t="s">
        <v>101</v>
      </c>
      <c r="J1107" s="9" t="s">
        <v>38801</v>
      </c>
      <c r="K1107" s="55">
        <v>45126.0</v>
      </c>
      <c r="M1107" s="9" t="s">
        <v>10498</v>
      </c>
    </row>
    <row r="1108" ht="15.75" hidden="1" customHeight="1">
      <c r="A1108" s="9" t="s">
        <v>40783</v>
      </c>
      <c r="B1108" s="9" t="s">
        <v>18444</v>
      </c>
      <c r="D1108" s="9" t="s">
        <v>12254</v>
      </c>
      <c r="F1108" s="9" t="s">
        <v>40784</v>
      </c>
      <c r="G1108" s="9" t="s">
        <v>38946</v>
      </c>
      <c r="H1108" s="127">
        <v>45070.0</v>
      </c>
      <c r="I1108" s="9" t="s">
        <v>101</v>
      </c>
      <c r="J1108" s="9" t="s">
        <v>38801</v>
      </c>
      <c r="K1108" s="55">
        <v>45126.0</v>
      </c>
      <c r="M1108" s="9" t="s">
        <v>11684</v>
      </c>
    </row>
    <row r="1109" ht="15.75" hidden="1" customHeight="1">
      <c r="A1109" s="9" t="s">
        <v>40785</v>
      </c>
      <c r="B1109" s="9" t="s">
        <v>16958</v>
      </c>
      <c r="D1109" s="9" t="s">
        <v>12254</v>
      </c>
      <c r="F1109" s="9" t="s">
        <v>40786</v>
      </c>
      <c r="G1109" s="9" t="s">
        <v>38946</v>
      </c>
      <c r="H1109" s="127">
        <v>45070.0</v>
      </c>
      <c r="I1109" s="9" t="s">
        <v>101</v>
      </c>
      <c r="J1109" s="9" t="s">
        <v>38801</v>
      </c>
      <c r="K1109" s="55">
        <v>45126.0</v>
      </c>
      <c r="M1109" s="9" t="s">
        <v>11971</v>
      </c>
    </row>
    <row r="1110" ht="15.75" hidden="1" customHeight="1">
      <c r="A1110" s="9" t="s">
        <v>40787</v>
      </c>
      <c r="B1110" s="9" t="s">
        <v>15677</v>
      </c>
      <c r="D1110" s="9" t="s">
        <v>12254</v>
      </c>
      <c r="F1110" s="9" t="s">
        <v>40788</v>
      </c>
      <c r="G1110" s="9" t="s">
        <v>38946</v>
      </c>
      <c r="H1110" s="127">
        <v>45070.0</v>
      </c>
      <c r="I1110" s="9" t="s">
        <v>89</v>
      </c>
      <c r="J1110" s="9" t="s">
        <v>38801</v>
      </c>
      <c r="K1110" s="55">
        <v>45085.0</v>
      </c>
      <c r="M1110" s="9" t="s">
        <v>8291</v>
      </c>
    </row>
    <row r="1111" ht="15.75" hidden="1" customHeight="1">
      <c r="A1111" s="9" t="s">
        <v>40789</v>
      </c>
      <c r="B1111" s="9" t="s">
        <v>16697</v>
      </c>
      <c r="D1111" s="9" t="s">
        <v>12230</v>
      </c>
      <c r="F1111" s="9" t="s">
        <v>40790</v>
      </c>
      <c r="G1111" s="9" t="s">
        <v>38808</v>
      </c>
      <c r="H1111" s="127">
        <v>45070.0</v>
      </c>
      <c r="I1111" s="9" t="s">
        <v>47</v>
      </c>
      <c r="J1111" s="9" t="s">
        <v>38801</v>
      </c>
      <c r="K1111" s="55">
        <v>45070.0</v>
      </c>
      <c r="M1111" s="9" t="s">
        <v>7298</v>
      </c>
    </row>
    <row r="1112" ht="15.75" hidden="1" customHeight="1">
      <c r="A1112" s="9" t="s">
        <v>40791</v>
      </c>
      <c r="B1112" s="9" t="s">
        <v>15244</v>
      </c>
      <c r="D1112" s="9" t="s">
        <v>12254</v>
      </c>
      <c r="F1112" s="9" t="s">
        <v>40792</v>
      </c>
      <c r="G1112" s="9" t="s">
        <v>38946</v>
      </c>
      <c r="H1112" s="127">
        <v>45071.0</v>
      </c>
      <c r="I1112" s="9" t="s">
        <v>101</v>
      </c>
      <c r="J1112" s="9" t="s">
        <v>38801</v>
      </c>
      <c r="K1112" s="55">
        <v>45126.0</v>
      </c>
      <c r="M1112" s="9" t="s">
        <v>1904</v>
      </c>
    </row>
    <row r="1113" ht="15.75" hidden="1" customHeight="1">
      <c r="A1113" s="9" t="s">
        <v>40793</v>
      </c>
      <c r="B1113" s="9" t="s">
        <v>18495</v>
      </c>
      <c r="D1113" s="9" t="s">
        <v>12254</v>
      </c>
      <c r="F1113" s="9" t="s">
        <v>40794</v>
      </c>
      <c r="G1113" s="9" t="s">
        <v>38946</v>
      </c>
      <c r="H1113" s="127">
        <v>45071.0</v>
      </c>
      <c r="I1113" s="9" t="s">
        <v>101</v>
      </c>
      <c r="J1113" s="9" t="s">
        <v>38801</v>
      </c>
      <c r="K1113" s="55">
        <v>45126.0</v>
      </c>
      <c r="M1113" s="9" t="s">
        <v>4785</v>
      </c>
    </row>
    <row r="1114" ht="15.75" hidden="1" customHeight="1">
      <c r="A1114" s="9" t="s">
        <v>40795</v>
      </c>
      <c r="B1114" s="9" t="s">
        <v>15029</v>
      </c>
      <c r="D1114" s="9" t="s">
        <v>12254</v>
      </c>
      <c r="F1114" s="9" t="s">
        <v>40796</v>
      </c>
      <c r="G1114" s="9" t="s">
        <v>38946</v>
      </c>
      <c r="H1114" s="127">
        <v>45071.0</v>
      </c>
      <c r="I1114" s="9" t="s">
        <v>101</v>
      </c>
      <c r="J1114" s="9" t="s">
        <v>38801</v>
      </c>
      <c r="K1114" s="55">
        <v>45126.0</v>
      </c>
      <c r="M1114" s="9" t="s">
        <v>4800</v>
      </c>
    </row>
    <row r="1115" ht="15.75" hidden="1" customHeight="1">
      <c r="A1115" s="9" t="s">
        <v>40797</v>
      </c>
      <c r="B1115" s="9" t="s">
        <v>16463</v>
      </c>
      <c r="D1115" s="9" t="s">
        <v>12254</v>
      </c>
      <c r="F1115" s="9" t="s">
        <v>40798</v>
      </c>
      <c r="G1115" s="9" t="s">
        <v>38946</v>
      </c>
      <c r="H1115" s="127">
        <v>45071.0</v>
      </c>
      <c r="I1115" s="9" t="s">
        <v>101</v>
      </c>
      <c r="J1115" s="9" t="s">
        <v>38801</v>
      </c>
      <c r="K1115" s="55">
        <v>45126.0</v>
      </c>
      <c r="M1115" s="9" t="s">
        <v>9429</v>
      </c>
    </row>
    <row r="1116" ht="15.75" hidden="1" customHeight="1">
      <c r="A1116" s="9" t="s">
        <v>40799</v>
      </c>
      <c r="B1116" s="9" t="s">
        <v>16463</v>
      </c>
      <c r="D1116" s="9" t="s">
        <v>12254</v>
      </c>
      <c r="F1116" s="9" t="s">
        <v>40800</v>
      </c>
      <c r="G1116" s="9" t="s">
        <v>38808</v>
      </c>
      <c r="H1116" s="127">
        <v>45071.0</v>
      </c>
      <c r="I1116" s="9" t="s">
        <v>101</v>
      </c>
      <c r="J1116" s="9" t="s">
        <v>38801</v>
      </c>
      <c r="K1116" s="55">
        <v>45126.0</v>
      </c>
      <c r="M1116" s="9" t="s">
        <v>9429</v>
      </c>
    </row>
    <row r="1117" ht="15.75" hidden="1" customHeight="1">
      <c r="A1117" s="9" t="s">
        <v>40801</v>
      </c>
      <c r="B1117" s="9" t="s">
        <v>14393</v>
      </c>
      <c r="D1117" s="9" t="s">
        <v>12230</v>
      </c>
      <c r="F1117" s="9" t="s">
        <v>40802</v>
      </c>
      <c r="G1117" s="9" t="s">
        <v>38808</v>
      </c>
      <c r="H1117" s="127">
        <v>45075.0</v>
      </c>
      <c r="I1117" s="9" t="s">
        <v>47</v>
      </c>
      <c r="J1117" s="9" t="s">
        <v>38801</v>
      </c>
      <c r="K1117" s="55">
        <v>45184.0</v>
      </c>
      <c r="M1117" s="9" t="s">
        <v>10400</v>
      </c>
    </row>
    <row r="1118" ht="15.75" hidden="1" customHeight="1">
      <c r="A1118" s="9" t="s">
        <v>40803</v>
      </c>
      <c r="B1118" s="9" t="s">
        <v>16223</v>
      </c>
      <c r="D1118" s="9" t="s">
        <v>12230</v>
      </c>
      <c r="F1118" s="9" t="s">
        <v>40804</v>
      </c>
      <c r="G1118" s="9" t="s">
        <v>38808</v>
      </c>
      <c r="H1118" s="127">
        <v>45076.0</v>
      </c>
      <c r="I1118" s="9" t="s">
        <v>47</v>
      </c>
      <c r="J1118" s="9" t="s">
        <v>38801</v>
      </c>
      <c r="K1118" s="55">
        <v>45076.0</v>
      </c>
      <c r="M1118" s="9" t="s">
        <v>11724</v>
      </c>
    </row>
    <row r="1119" ht="15.75" hidden="1" customHeight="1">
      <c r="A1119" s="9" t="s">
        <v>40805</v>
      </c>
      <c r="B1119" s="9" t="s">
        <v>13984</v>
      </c>
      <c r="D1119" s="9" t="s">
        <v>12230</v>
      </c>
      <c r="F1119" s="9" t="s">
        <v>40806</v>
      </c>
      <c r="G1119" s="9" t="s">
        <v>38808</v>
      </c>
      <c r="H1119" s="127">
        <v>45077.0</v>
      </c>
      <c r="I1119" s="9" t="s">
        <v>47</v>
      </c>
      <c r="J1119" s="9" t="s">
        <v>38801</v>
      </c>
      <c r="K1119" s="55">
        <v>45537.0</v>
      </c>
      <c r="M1119" s="9" t="s">
        <v>9530</v>
      </c>
    </row>
    <row r="1120" ht="15.75" hidden="1" customHeight="1">
      <c r="A1120" s="9" t="s">
        <v>40807</v>
      </c>
      <c r="B1120" s="9" t="s">
        <v>15880</v>
      </c>
      <c r="D1120" s="9" t="s">
        <v>12230</v>
      </c>
      <c r="F1120" s="9" t="s">
        <v>40808</v>
      </c>
      <c r="G1120" s="9" t="s">
        <v>38808</v>
      </c>
      <c r="H1120" s="127">
        <v>45077.0</v>
      </c>
      <c r="I1120" s="9" t="s">
        <v>47</v>
      </c>
      <c r="J1120" s="9" t="s">
        <v>38801</v>
      </c>
      <c r="K1120" s="55">
        <v>45411.0</v>
      </c>
      <c r="M1120" s="9" t="s">
        <v>10477</v>
      </c>
    </row>
    <row r="1121" ht="15.75" hidden="1" customHeight="1">
      <c r="A1121" s="9" t="s">
        <v>40809</v>
      </c>
      <c r="B1121" s="9" t="s">
        <v>15880</v>
      </c>
      <c r="D1121" s="9" t="s">
        <v>12248</v>
      </c>
      <c r="F1121" s="9" t="s">
        <v>40810</v>
      </c>
      <c r="G1121" s="9" t="s">
        <v>38808</v>
      </c>
      <c r="H1121" s="127">
        <v>45077.0</v>
      </c>
      <c r="I1121" s="9" t="s">
        <v>47</v>
      </c>
      <c r="J1121" s="9" t="s">
        <v>38801</v>
      </c>
      <c r="K1121" s="55">
        <v>45411.0</v>
      </c>
      <c r="M1121" s="9" t="s">
        <v>10477</v>
      </c>
    </row>
    <row r="1122" ht="15.75" hidden="1" customHeight="1">
      <c r="A1122" s="9" t="s">
        <v>40811</v>
      </c>
      <c r="B1122" s="9" t="s">
        <v>17240</v>
      </c>
      <c r="D1122" s="9" t="s">
        <v>12230</v>
      </c>
      <c r="F1122" s="9" t="s">
        <v>40812</v>
      </c>
      <c r="G1122" s="9" t="s">
        <v>38808</v>
      </c>
      <c r="H1122" s="127">
        <v>45077.0</v>
      </c>
      <c r="I1122" s="9" t="s">
        <v>47</v>
      </c>
      <c r="J1122" s="9" t="s">
        <v>38801</v>
      </c>
      <c r="K1122" s="55">
        <v>45077.0</v>
      </c>
      <c r="M1122" s="9" t="s">
        <v>4045</v>
      </c>
    </row>
    <row r="1123" ht="15.75" hidden="1" customHeight="1">
      <c r="A1123" s="9" t="s">
        <v>40813</v>
      </c>
      <c r="B1123" s="9" t="s">
        <v>13299</v>
      </c>
      <c r="D1123" s="9" t="s">
        <v>12230</v>
      </c>
      <c r="F1123" s="9" t="s">
        <v>40814</v>
      </c>
      <c r="G1123" s="9" t="s">
        <v>38808</v>
      </c>
      <c r="H1123" s="127">
        <v>45077.0</v>
      </c>
      <c r="I1123" s="9" t="s">
        <v>47</v>
      </c>
      <c r="J1123" s="9" t="s">
        <v>38801</v>
      </c>
      <c r="K1123" s="55">
        <v>45077.0</v>
      </c>
      <c r="M1123" s="9" t="s">
        <v>3203</v>
      </c>
    </row>
    <row r="1124" ht="15.75" hidden="1" customHeight="1">
      <c r="A1124" s="9" t="s">
        <v>40815</v>
      </c>
      <c r="B1124" s="9" t="s">
        <v>18213</v>
      </c>
      <c r="D1124" s="9" t="s">
        <v>12254</v>
      </c>
      <c r="F1124" s="9" t="s">
        <v>40816</v>
      </c>
      <c r="G1124" s="9" t="s">
        <v>38946</v>
      </c>
      <c r="H1124" s="127">
        <v>45078.0</v>
      </c>
      <c r="I1124" s="9" t="s">
        <v>101</v>
      </c>
      <c r="J1124" s="9" t="s">
        <v>38801</v>
      </c>
      <c r="K1124" s="55">
        <v>45126.0</v>
      </c>
      <c r="M1124" s="9" t="s">
        <v>12048</v>
      </c>
    </row>
    <row r="1125" ht="15.75" hidden="1" customHeight="1">
      <c r="A1125" s="9" t="s">
        <v>40817</v>
      </c>
      <c r="B1125" s="9" t="s">
        <v>16417</v>
      </c>
      <c r="D1125" s="9" t="s">
        <v>12254</v>
      </c>
      <c r="F1125" s="9" t="s">
        <v>40818</v>
      </c>
      <c r="G1125" s="9" t="s">
        <v>38946</v>
      </c>
      <c r="H1125" s="127">
        <v>45078.0</v>
      </c>
      <c r="I1125" s="9" t="s">
        <v>101</v>
      </c>
      <c r="J1125" s="9" t="s">
        <v>38801</v>
      </c>
      <c r="K1125" s="55">
        <v>45126.0</v>
      </c>
      <c r="M1125" s="9" t="s">
        <v>3233</v>
      </c>
    </row>
    <row r="1126" ht="15.75" hidden="1" customHeight="1">
      <c r="A1126" s="9" t="s">
        <v>40819</v>
      </c>
      <c r="B1126" s="9" t="s">
        <v>20733</v>
      </c>
      <c r="D1126" s="9" t="s">
        <v>12254</v>
      </c>
      <c r="F1126" s="9" t="s">
        <v>40820</v>
      </c>
      <c r="G1126" s="9" t="s">
        <v>38946</v>
      </c>
      <c r="H1126" s="127">
        <v>45078.0</v>
      </c>
      <c r="I1126" s="9" t="s">
        <v>89</v>
      </c>
      <c r="J1126" s="9" t="s">
        <v>38801</v>
      </c>
      <c r="K1126" s="55">
        <v>45085.0</v>
      </c>
      <c r="M1126" s="9" t="s">
        <v>8275</v>
      </c>
    </row>
    <row r="1127" ht="15.75" hidden="1" customHeight="1">
      <c r="A1127" s="9" t="s">
        <v>40821</v>
      </c>
      <c r="B1127" s="9" t="s">
        <v>15148</v>
      </c>
      <c r="D1127" s="9" t="s">
        <v>12254</v>
      </c>
      <c r="F1127" s="9" t="s">
        <v>40822</v>
      </c>
      <c r="G1127" s="9" t="s">
        <v>38946</v>
      </c>
      <c r="H1127" s="127">
        <v>45078.0</v>
      </c>
      <c r="I1127" s="9" t="s">
        <v>89</v>
      </c>
      <c r="J1127" s="9" t="s">
        <v>38801</v>
      </c>
      <c r="K1127" s="55">
        <v>45085.0</v>
      </c>
      <c r="M1127" s="9" t="s">
        <v>11981</v>
      </c>
    </row>
    <row r="1128" ht="15.75" hidden="1" customHeight="1">
      <c r="A1128" s="9" t="s">
        <v>40823</v>
      </c>
      <c r="B1128" s="9" t="s">
        <v>18390</v>
      </c>
      <c r="D1128" s="9" t="s">
        <v>12254</v>
      </c>
      <c r="F1128" s="9" t="s">
        <v>40824</v>
      </c>
      <c r="G1128" s="9" t="s">
        <v>38946</v>
      </c>
      <c r="H1128" s="127">
        <v>45078.0</v>
      </c>
      <c r="I1128" s="9" t="s">
        <v>89</v>
      </c>
      <c r="J1128" s="9" t="s">
        <v>38801</v>
      </c>
      <c r="K1128" s="55">
        <v>45085.0</v>
      </c>
      <c r="M1128" s="9" t="s">
        <v>11884</v>
      </c>
    </row>
    <row r="1129" ht="15.75" hidden="1" customHeight="1">
      <c r="A1129" s="9" t="s">
        <v>40825</v>
      </c>
      <c r="B1129" s="9" t="s">
        <v>16511</v>
      </c>
      <c r="D1129" s="9" t="s">
        <v>12254</v>
      </c>
      <c r="F1129" s="9" t="s">
        <v>40826</v>
      </c>
      <c r="G1129" s="9" t="s">
        <v>38946</v>
      </c>
      <c r="H1129" s="127">
        <v>45078.0</v>
      </c>
      <c r="I1129" s="9" t="s">
        <v>89</v>
      </c>
      <c r="J1129" s="9" t="s">
        <v>38801</v>
      </c>
      <c r="K1129" s="55">
        <v>45085.0</v>
      </c>
      <c r="M1129" s="9" t="s">
        <v>261</v>
      </c>
    </row>
    <row r="1130" ht="15.75" hidden="1" customHeight="1">
      <c r="A1130" s="9" t="s">
        <v>40827</v>
      </c>
      <c r="B1130" s="9" t="s">
        <v>14393</v>
      </c>
      <c r="D1130" s="9" t="s">
        <v>12236</v>
      </c>
      <c r="F1130" s="9" t="s">
        <v>39758</v>
      </c>
      <c r="G1130" s="9" t="s">
        <v>38946</v>
      </c>
      <c r="H1130" s="127">
        <v>45078.0</v>
      </c>
      <c r="I1130" s="9" t="s">
        <v>52</v>
      </c>
      <c r="J1130" s="9" t="s">
        <v>38801</v>
      </c>
      <c r="K1130" s="55">
        <v>45078.0</v>
      </c>
      <c r="M1130" s="9" t="s">
        <v>10400</v>
      </c>
    </row>
    <row r="1131" ht="15.75" hidden="1" customHeight="1">
      <c r="A1131" s="9" t="s">
        <v>40828</v>
      </c>
      <c r="B1131" s="9" t="s">
        <v>16129</v>
      </c>
      <c r="D1131" s="9" t="s">
        <v>12254</v>
      </c>
      <c r="F1131" s="9" t="s">
        <v>40829</v>
      </c>
      <c r="G1131" s="9" t="s">
        <v>38946</v>
      </c>
      <c r="H1131" s="127">
        <v>45078.0</v>
      </c>
      <c r="I1131" s="9" t="s">
        <v>89</v>
      </c>
      <c r="J1131" s="9" t="s">
        <v>38801</v>
      </c>
      <c r="K1131" s="55">
        <v>45078.0</v>
      </c>
      <c r="M1131" s="9" t="s">
        <v>10496</v>
      </c>
    </row>
    <row r="1132" ht="15.75" hidden="1" customHeight="1">
      <c r="A1132" s="9" t="s">
        <v>40830</v>
      </c>
      <c r="B1132" s="9" t="s">
        <v>19549</v>
      </c>
      <c r="D1132" s="9" t="s">
        <v>12254</v>
      </c>
      <c r="F1132" s="9" t="s">
        <v>40831</v>
      </c>
      <c r="G1132" s="9" t="s">
        <v>38946</v>
      </c>
      <c r="H1132" s="127">
        <v>45078.0</v>
      </c>
      <c r="I1132" s="9" t="s">
        <v>89</v>
      </c>
      <c r="J1132" s="9" t="s">
        <v>38801</v>
      </c>
      <c r="K1132" s="55">
        <v>45078.0</v>
      </c>
      <c r="M1132" s="9" t="s">
        <v>12172</v>
      </c>
    </row>
    <row r="1133" ht="15.75" hidden="1" customHeight="1">
      <c r="A1133" s="9" t="s">
        <v>40832</v>
      </c>
      <c r="B1133" s="9" t="s">
        <v>18444</v>
      </c>
      <c r="D1133" s="9" t="s">
        <v>12254</v>
      </c>
      <c r="F1133" s="9" t="s">
        <v>40833</v>
      </c>
      <c r="G1133" s="9" t="s">
        <v>38946</v>
      </c>
      <c r="H1133" s="127">
        <v>45078.0</v>
      </c>
      <c r="I1133" s="9" t="s">
        <v>89</v>
      </c>
      <c r="J1133" s="9" t="s">
        <v>38801</v>
      </c>
      <c r="K1133" s="55">
        <v>45078.0</v>
      </c>
      <c r="M1133" s="9" t="s">
        <v>11684</v>
      </c>
    </row>
    <row r="1134" ht="15.75" hidden="1" customHeight="1">
      <c r="A1134" s="9" t="s">
        <v>40834</v>
      </c>
      <c r="B1134" s="9" t="s">
        <v>17487</v>
      </c>
      <c r="D1134" s="9" t="s">
        <v>12254</v>
      </c>
      <c r="F1134" s="9" t="s">
        <v>40835</v>
      </c>
      <c r="G1134" s="9" t="s">
        <v>38946</v>
      </c>
      <c r="H1134" s="127">
        <v>45078.0</v>
      </c>
      <c r="I1134" s="9" t="s">
        <v>89</v>
      </c>
      <c r="J1134" s="9" t="s">
        <v>38801</v>
      </c>
      <c r="K1134" s="55">
        <v>45078.0</v>
      </c>
      <c r="M1134" s="9" t="s">
        <v>8871</v>
      </c>
    </row>
    <row r="1135" ht="15.75" hidden="1" customHeight="1">
      <c r="A1135" s="9" t="s">
        <v>40836</v>
      </c>
      <c r="B1135" s="9" t="s">
        <v>14449</v>
      </c>
      <c r="D1135" s="9" t="s">
        <v>12254</v>
      </c>
      <c r="F1135" s="9" t="s">
        <v>40837</v>
      </c>
      <c r="G1135" s="9" t="s">
        <v>38946</v>
      </c>
      <c r="H1135" s="127">
        <v>45078.0</v>
      </c>
      <c r="I1135" s="9" t="s">
        <v>89</v>
      </c>
      <c r="J1135" s="9" t="s">
        <v>38801</v>
      </c>
      <c r="K1135" s="55">
        <v>45078.0</v>
      </c>
      <c r="M1135" s="9" t="s">
        <v>10509</v>
      </c>
    </row>
    <row r="1136" ht="15.75" hidden="1" customHeight="1">
      <c r="A1136" s="9" t="s">
        <v>40838</v>
      </c>
      <c r="B1136" s="9" t="s">
        <v>20531</v>
      </c>
      <c r="D1136" s="9" t="s">
        <v>12254</v>
      </c>
      <c r="F1136" s="9" t="s">
        <v>40839</v>
      </c>
      <c r="G1136" s="9" t="s">
        <v>38946</v>
      </c>
      <c r="H1136" s="127">
        <v>45078.0</v>
      </c>
      <c r="I1136" s="9" t="s">
        <v>89</v>
      </c>
      <c r="J1136" s="9" t="s">
        <v>38801</v>
      </c>
      <c r="K1136" s="55">
        <v>45078.0</v>
      </c>
      <c r="M1136" s="9" t="s">
        <v>5219</v>
      </c>
    </row>
    <row r="1137" ht="15.75" hidden="1" customHeight="1">
      <c r="A1137" s="9" t="s">
        <v>40840</v>
      </c>
      <c r="B1137" s="9" t="s">
        <v>16511</v>
      </c>
      <c r="D1137" s="9" t="s">
        <v>12254</v>
      </c>
      <c r="F1137" s="9" t="s">
        <v>40841</v>
      </c>
      <c r="G1137" s="9" t="s">
        <v>38946</v>
      </c>
      <c r="H1137" s="127">
        <v>45078.0</v>
      </c>
      <c r="I1137" s="9" t="s">
        <v>89</v>
      </c>
      <c r="J1137" s="9" t="s">
        <v>38801</v>
      </c>
      <c r="K1137" s="55">
        <v>45078.0</v>
      </c>
      <c r="M1137" s="9" t="s">
        <v>261</v>
      </c>
    </row>
    <row r="1138" ht="15.75" hidden="1" customHeight="1">
      <c r="A1138" s="9" t="s">
        <v>40842</v>
      </c>
      <c r="B1138" s="9" t="s">
        <v>16708</v>
      </c>
      <c r="D1138" s="9" t="s">
        <v>12254</v>
      </c>
      <c r="F1138" s="9" t="s">
        <v>40843</v>
      </c>
      <c r="G1138" s="9" t="s">
        <v>38946</v>
      </c>
      <c r="H1138" s="127">
        <v>45078.0</v>
      </c>
      <c r="I1138" s="9" t="s">
        <v>89</v>
      </c>
      <c r="J1138" s="9" t="s">
        <v>38801</v>
      </c>
      <c r="K1138" s="55">
        <v>45078.0</v>
      </c>
      <c r="M1138" s="9" t="s">
        <v>11951</v>
      </c>
    </row>
    <row r="1139" ht="15.75" hidden="1" customHeight="1">
      <c r="A1139" s="9" t="s">
        <v>40844</v>
      </c>
      <c r="B1139" s="9" t="s">
        <v>16378</v>
      </c>
      <c r="D1139" s="9" t="s">
        <v>12236</v>
      </c>
      <c r="F1139" s="9" t="s">
        <v>40845</v>
      </c>
      <c r="G1139" s="9" t="s">
        <v>38808</v>
      </c>
      <c r="H1139" s="127">
        <v>45079.0</v>
      </c>
      <c r="I1139" s="9" t="s">
        <v>26</v>
      </c>
      <c r="J1139" s="9" t="s">
        <v>38801</v>
      </c>
      <c r="K1139" s="55">
        <v>45100.0</v>
      </c>
      <c r="M1139" s="9" t="s">
        <v>244</v>
      </c>
    </row>
    <row r="1140" ht="15.75" hidden="1" customHeight="1">
      <c r="A1140" s="9" t="s">
        <v>40846</v>
      </c>
      <c r="B1140" s="9" t="s">
        <v>16365</v>
      </c>
      <c r="D1140" s="9" t="s">
        <v>12236</v>
      </c>
      <c r="F1140" s="9" t="s">
        <v>40847</v>
      </c>
      <c r="G1140" s="9" t="s">
        <v>38808</v>
      </c>
      <c r="H1140" s="127">
        <v>45079.0</v>
      </c>
      <c r="I1140" s="9" t="s">
        <v>26</v>
      </c>
      <c r="J1140" s="9" t="s">
        <v>38801</v>
      </c>
      <c r="K1140" s="55">
        <v>45086.0</v>
      </c>
      <c r="M1140" s="52" t="s">
        <v>16353</v>
      </c>
    </row>
    <row r="1141" ht="15.75" customHeight="1">
      <c r="A1141" s="9" t="s">
        <v>40848</v>
      </c>
      <c r="B1141" s="9" t="s">
        <v>16584</v>
      </c>
      <c r="D1141" s="9" t="s">
        <v>12227</v>
      </c>
      <c r="E1141" s="9" t="s">
        <v>38803</v>
      </c>
      <c r="F1141" s="9" t="s">
        <v>40849</v>
      </c>
      <c r="G1141" s="9" t="s">
        <v>38946</v>
      </c>
      <c r="H1141" s="127">
        <v>45079.0</v>
      </c>
      <c r="I1141" s="9" t="s">
        <v>52</v>
      </c>
      <c r="J1141" s="9" t="s">
        <v>38805</v>
      </c>
      <c r="M1141" s="9" t="s">
        <v>10522</v>
      </c>
    </row>
    <row r="1142" ht="15.75" hidden="1" customHeight="1">
      <c r="A1142" s="9" t="s">
        <v>40850</v>
      </c>
      <c r="B1142" s="9" t="s">
        <v>16584</v>
      </c>
      <c r="D1142" s="9" t="s">
        <v>12240</v>
      </c>
      <c r="F1142" s="9" t="s">
        <v>40851</v>
      </c>
      <c r="G1142" s="9" t="s">
        <v>38946</v>
      </c>
      <c r="H1142" s="127">
        <v>45082.0</v>
      </c>
      <c r="I1142" s="9" t="s">
        <v>131</v>
      </c>
      <c r="J1142" s="9" t="s">
        <v>38801</v>
      </c>
      <c r="K1142" s="55">
        <v>45120.0</v>
      </c>
      <c r="M1142" s="9" t="s">
        <v>10522</v>
      </c>
    </row>
    <row r="1143" ht="15.75" hidden="1" customHeight="1">
      <c r="A1143" s="9" t="s">
        <v>40852</v>
      </c>
      <c r="B1143" s="9" t="s">
        <v>15751</v>
      </c>
      <c r="D1143" s="9" t="s">
        <v>12240</v>
      </c>
      <c r="F1143" s="9" t="s">
        <v>40853</v>
      </c>
      <c r="G1143" s="9" t="s">
        <v>38946</v>
      </c>
      <c r="H1143" s="127">
        <v>45082.0</v>
      </c>
      <c r="I1143" s="9" t="s">
        <v>26</v>
      </c>
      <c r="J1143" s="9" t="s">
        <v>38801</v>
      </c>
      <c r="K1143" s="55">
        <v>45082.0</v>
      </c>
      <c r="M1143" s="9" t="s">
        <v>10707</v>
      </c>
    </row>
    <row r="1144" ht="15.75" hidden="1" customHeight="1">
      <c r="A1144" s="9" t="s">
        <v>40854</v>
      </c>
      <c r="B1144" s="9" t="s">
        <v>14317</v>
      </c>
      <c r="D1144" s="9" t="s">
        <v>12240</v>
      </c>
      <c r="F1144" s="9" t="s">
        <v>40855</v>
      </c>
      <c r="G1144" s="9" t="s">
        <v>38946</v>
      </c>
      <c r="H1144" s="127">
        <v>45082.0</v>
      </c>
      <c r="I1144" s="9" t="s">
        <v>26</v>
      </c>
      <c r="J1144" s="9" t="s">
        <v>38801</v>
      </c>
      <c r="K1144" s="55">
        <v>45082.0</v>
      </c>
      <c r="M1144" s="9" t="s">
        <v>7041</v>
      </c>
    </row>
    <row r="1145" ht="15.75" hidden="1" customHeight="1">
      <c r="A1145" s="52" t="s">
        <v>40856</v>
      </c>
      <c r="B1145" s="9" t="s">
        <v>17230</v>
      </c>
      <c r="D1145" s="9" t="s">
        <v>12239</v>
      </c>
      <c r="F1145" s="9" t="s">
        <v>40857</v>
      </c>
      <c r="G1145" s="9" t="s">
        <v>38946</v>
      </c>
      <c r="H1145" s="127">
        <v>45082.0</v>
      </c>
      <c r="I1145" s="9" t="s">
        <v>26</v>
      </c>
      <c r="J1145" s="9" t="s">
        <v>38801</v>
      </c>
      <c r="K1145" s="55">
        <v>45082.0</v>
      </c>
      <c r="M1145" s="9" t="s">
        <v>7773</v>
      </c>
    </row>
    <row r="1146" ht="15.75" hidden="1" customHeight="1">
      <c r="A1146" s="9" t="s">
        <v>40858</v>
      </c>
      <c r="B1146" s="9" t="s">
        <v>16608</v>
      </c>
      <c r="D1146" s="9" t="s">
        <v>12248</v>
      </c>
      <c r="F1146" s="9" t="s">
        <v>39853</v>
      </c>
      <c r="G1146" s="9" t="s">
        <v>38808</v>
      </c>
      <c r="H1146" s="127">
        <v>45084.0</v>
      </c>
      <c r="I1146" s="9" t="s">
        <v>47</v>
      </c>
      <c r="J1146" s="9" t="s">
        <v>38801</v>
      </c>
      <c r="K1146" s="55">
        <v>45411.0</v>
      </c>
      <c r="M1146" s="9" t="s">
        <v>10715</v>
      </c>
    </row>
    <row r="1147" ht="15.75" hidden="1" customHeight="1">
      <c r="A1147" s="9" t="s">
        <v>40859</v>
      </c>
      <c r="B1147" s="9" t="s">
        <v>16608</v>
      </c>
      <c r="D1147" s="9" t="s">
        <v>12230</v>
      </c>
      <c r="F1147" s="9" t="s">
        <v>40860</v>
      </c>
      <c r="G1147" s="9" t="s">
        <v>38808</v>
      </c>
      <c r="H1147" s="127">
        <v>45084.0</v>
      </c>
      <c r="I1147" s="9" t="s">
        <v>47</v>
      </c>
      <c r="J1147" s="9" t="s">
        <v>38801</v>
      </c>
      <c r="K1147" s="55">
        <v>45411.0</v>
      </c>
      <c r="M1147" s="9" t="s">
        <v>10715</v>
      </c>
    </row>
    <row r="1148" ht="15.75" hidden="1" customHeight="1">
      <c r="A1148" s="9" t="s">
        <v>40861</v>
      </c>
      <c r="B1148" s="9" t="s">
        <v>15751</v>
      </c>
      <c r="D1148" s="9" t="s">
        <v>12254</v>
      </c>
      <c r="F1148" s="9" t="s">
        <v>40862</v>
      </c>
      <c r="G1148" s="9" t="s">
        <v>38808</v>
      </c>
      <c r="H1148" s="127">
        <v>45084.0</v>
      </c>
      <c r="I1148" s="9" t="s">
        <v>101</v>
      </c>
      <c r="J1148" s="9" t="s">
        <v>38801</v>
      </c>
      <c r="K1148" s="55">
        <v>45126.0</v>
      </c>
      <c r="M1148" s="9" t="s">
        <v>10707</v>
      </c>
    </row>
    <row r="1149" ht="15.75" hidden="1" customHeight="1">
      <c r="A1149" s="9" t="s">
        <v>40863</v>
      </c>
      <c r="B1149" s="9" t="s">
        <v>14575</v>
      </c>
      <c r="D1149" s="9" t="s">
        <v>12230</v>
      </c>
      <c r="F1149" s="9" t="s">
        <v>40864</v>
      </c>
      <c r="G1149" s="9" t="s">
        <v>38808</v>
      </c>
      <c r="H1149" s="127">
        <v>45085.0</v>
      </c>
      <c r="I1149" s="9" t="s">
        <v>47</v>
      </c>
      <c r="J1149" s="9" t="s">
        <v>38801</v>
      </c>
      <c r="K1149" s="55">
        <v>45452.0</v>
      </c>
      <c r="M1149" s="9" t="s">
        <v>10695</v>
      </c>
    </row>
    <row r="1150" ht="15.75" hidden="1" customHeight="1">
      <c r="A1150" s="9" t="s">
        <v>40865</v>
      </c>
      <c r="B1150" s="9" t="s">
        <v>16570</v>
      </c>
      <c r="D1150" s="9" t="s">
        <v>12224</v>
      </c>
      <c r="F1150" s="9" t="s">
        <v>40866</v>
      </c>
      <c r="G1150" s="9" t="s">
        <v>38808</v>
      </c>
      <c r="H1150" s="127">
        <v>45085.0</v>
      </c>
      <c r="I1150" s="9" t="s">
        <v>47</v>
      </c>
      <c r="J1150" s="9" t="s">
        <v>38801</v>
      </c>
      <c r="K1150" s="55">
        <v>45113.0</v>
      </c>
      <c r="M1150" s="9" t="s">
        <v>3185</v>
      </c>
    </row>
    <row r="1151" ht="15.75" hidden="1" customHeight="1">
      <c r="A1151" s="9" t="s">
        <v>40867</v>
      </c>
      <c r="B1151" s="9" t="s">
        <v>16584</v>
      </c>
      <c r="D1151" s="9" t="s">
        <v>12250</v>
      </c>
      <c r="F1151" s="9" t="s">
        <v>40868</v>
      </c>
      <c r="G1151" s="9" t="s">
        <v>38808</v>
      </c>
      <c r="H1151" s="127">
        <v>45085.0</v>
      </c>
      <c r="I1151" s="9" t="s">
        <v>47</v>
      </c>
      <c r="J1151" s="9" t="s">
        <v>38801</v>
      </c>
      <c r="K1151" s="55">
        <v>45085.0</v>
      </c>
      <c r="M1151" s="9" t="s">
        <v>10522</v>
      </c>
    </row>
    <row r="1152" ht="15.75" hidden="1" customHeight="1">
      <c r="A1152" s="9" t="s">
        <v>40869</v>
      </c>
      <c r="B1152" s="9" t="s">
        <v>16477</v>
      </c>
      <c r="D1152" s="9" t="s">
        <v>12230</v>
      </c>
      <c r="F1152" s="9" t="s">
        <v>40870</v>
      </c>
      <c r="G1152" s="9" t="s">
        <v>38946</v>
      </c>
      <c r="H1152" s="127">
        <v>45085.0</v>
      </c>
      <c r="I1152" s="9" t="s">
        <v>47</v>
      </c>
      <c r="J1152" s="9" t="s">
        <v>38801</v>
      </c>
      <c r="K1152" s="55">
        <v>45085.0</v>
      </c>
      <c r="M1152" s="9" t="s">
        <v>10518</v>
      </c>
    </row>
    <row r="1153" ht="15.75" hidden="1" customHeight="1">
      <c r="A1153" s="9" t="s">
        <v>40871</v>
      </c>
      <c r="B1153" s="9" t="s">
        <v>16708</v>
      </c>
      <c r="D1153" s="9" t="s">
        <v>12254</v>
      </c>
      <c r="F1153" s="9" t="s">
        <v>40872</v>
      </c>
      <c r="G1153" s="9" t="s">
        <v>38946</v>
      </c>
      <c r="H1153" s="127">
        <v>45086.0</v>
      </c>
      <c r="I1153" s="9" t="s">
        <v>101</v>
      </c>
      <c r="J1153" s="9" t="s">
        <v>38801</v>
      </c>
      <c r="K1153" s="55">
        <v>45126.0</v>
      </c>
      <c r="M1153" s="9" t="s">
        <v>11951</v>
      </c>
    </row>
    <row r="1154" ht="15.75" hidden="1" customHeight="1">
      <c r="A1154" s="9" t="s">
        <v>40873</v>
      </c>
      <c r="B1154" s="9" t="s">
        <v>15718</v>
      </c>
      <c r="D1154" s="9" t="s">
        <v>12258</v>
      </c>
      <c r="F1154" s="9" t="s">
        <v>40874</v>
      </c>
      <c r="G1154" s="9" t="s">
        <v>38808</v>
      </c>
      <c r="H1154" s="127">
        <v>45086.0</v>
      </c>
      <c r="I1154" s="9" t="s">
        <v>47</v>
      </c>
      <c r="J1154" s="9" t="s">
        <v>38801</v>
      </c>
      <c r="K1154" s="55">
        <v>45114.0</v>
      </c>
      <c r="M1154" s="9" t="s">
        <v>270</v>
      </c>
    </row>
    <row r="1155" ht="15.75" hidden="1" customHeight="1">
      <c r="A1155" s="9" t="s">
        <v>40875</v>
      </c>
      <c r="B1155" s="9" t="s">
        <v>18615</v>
      </c>
      <c r="D1155" s="9" t="s">
        <v>12258</v>
      </c>
      <c r="F1155" s="9" t="s">
        <v>40876</v>
      </c>
      <c r="G1155" s="9" t="s">
        <v>38946</v>
      </c>
      <c r="H1155" s="127">
        <v>45086.0</v>
      </c>
      <c r="I1155" s="9" t="s">
        <v>101</v>
      </c>
      <c r="J1155" s="9" t="s">
        <v>38801</v>
      </c>
      <c r="K1155" s="55">
        <v>45113.0</v>
      </c>
      <c r="M1155" s="9" t="s">
        <v>4000</v>
      </c>
    </row>
    <row r="1156" ht="15.75" hidden="1" customHeight="1">
      <c r="A1156" s="9" t="s">
        <v>40877</v>
      </c>
      <c r="B1156" s="9" t="s">
        <v>15217</v>
      </c>
      <c r="D1156" s="9" t="s">
        <v>12236</v>
      </c>
      <c r="F1156" s="9" t="s">
        <v>39758</v>
      </c>
      <c r="G1156" s="9" t="s">
        <v>38946</v>
      </c>
      <c r="H1156" s="127">
        <v>45086.0</v>
      </c>
      <c r="I1156" s="9" t="s">
        <v>52</v>
      </c>
      <c r="J1156" s="9" t="s">
        <v>38801</v>
      </c>
      <c r="K1156" s="55">
        <v>45086.0</v>
      </c>
      <c r="M1156" s="9" t="s">
        <v>12138</v>
      </c>
    </row>
    <row r="1157" ht="15.75" hidden="1" customHeight="1">
      <c r="A1157" s="9" t="s">
        <v>40878</v>
      </c>
      <c r="B1157" s="9" t="s">
        <v>16584</v>
      </c>
      <c r="D1157" s="9" t="s">
        <v>12250</v>
      </c>
      <c r="F1157" s="9" t="s">
        <v>40879</v>
      </c>
      <c r="G1157" s="9" t="s">
        <v>38946</v>
      </c>
      <c r="H1157" s="127">
        <v>45086.0</v>
      </c>
      <c r="I1157" s="9" t="s">
        <v>47</v>
      </c>
      <c r="J1157" s="9" t="s">
        <v>38801</v>
      </c>
      <c r="K1157" s="55">
        <v>45086.0</v>
      </c>
      <c r="M1157" s="9" t="s">
        <v>10522</v>
      </c>
    </row>
    <row r="1158" ht="15.75" hidden="1" customHeight="1">
      <c r="A1158" s="9" t="s">
        <v>40880</v>
      </c>
      <c r="B1158" s="9" t="s">
        <v>16264</v>
      </c>
      <c r="D1158" s="9" t="s">
        <v>12230</v>
      </c>
      <c r="F1158" s="9" t="s">
        <v>40881</v>
      </c>
      <c r="G1158" s="9" t="s">
        <v>38946</v>
      </c>
      <c r="H1158" s="127">
        <v>45089.0</v>
      </c>
      <c r="I1158" s="9" t="s">
        <v>52</v>
      </c>
      <c r="J1158" s="9" t="s">
        <v>38801</v>
      </c>
      <c r="K1158" s="55">
        <v>45411.0</v>
      </c>
      <c r="M1158" s="9" t="s">
        <v>10711</v>
      </c>
    </row>
    <row r="1159" ht="15.75" hidden="1" customHeight="1">
      <c r="A1159" s="9" t="s">
        <v>40882</v>
      </c>
      <c r="B1159" s="9" t="s">
        <v>16264</v>
      </c>
      <c r="D1159" s="9" t="s">
        <v>12236</v>
      </c>
      <c r="F1159" s="9" t="s">
        <v>40883</v>
      </c>
      <c r="G1159" s="9" t="s">
        <v>38946</v>
      </c>
      <c r="H1159" s="127">
        <v>45089.0</v>
      </c>
      <c r="I1159" s="9" t="s">
        <v>52</v>
      </c>
      <c r="J1159" s="9" t="s">
        <v>38801</v>
      </c>
      <c r="K1159" s="55">
        <v>45411.0</v>
      </c>
      <c r="M1159" s="9" t="s">
        <v>10711</v>
      </c>
    </row>
    <row r="1160" ht="15.75" hidden="1" customHeight="1">
      <c r="A1160" s="9" t="s">
        <v>40884</v>
      </c>
      <c r="B1160" s="9" t="s">
        <v>16129</v>
      </c>
      <c r="D1160" s="9" t="s">
        <v>12254</v>
      </c>
      <c r="F1160" s="9" t="s">
        <v>40885</v>
      </c>
      <c r="G1160" s="9" t="s">
        <v>38946</v>
      </c>
      <c r="H1160" s="127">
        <v>45089.0</v>
      </c>
      <c r="I1160" s="9" t="s">
        <v>101</v>
      </c>
      <c r="J1160" s="9" t="s">
        <v>38801</v>
      </c>
      <c r="K1160" s="55">
        <v>45126.0</v>
      </c>
      <c r="M1160" s="9" t="s">
        <v>10496</v>
      </c>
    </row>
    <row r="1161" ht="15.75" hidden="1" customHeight="1">
      <c r="A1161" s="9" t="s">
        <v>40886</v>
      </c>
      <c r="B1161" s="9" t="s">
        <v>18390</v>
      </c>
      <c r="D1161" s="9" t="s">
        <v>12254</v>
      </c>
      <c r="F1161" s="9" t="s">
        <v>40885</v>
      </c>
      <c r="G1161" s="9" t="s">
        <v>38946</v>
      </c>
      <c r="H1161" s="127">
        <v>45089.0</v>
      </c>
      <c r="I1161" s="9" t="s">
        <v>101</v>
      </c>
      <c r="J1161" s="9" t="s">
        <v>38801</v>
      </c>
      <c r="K1161" s="55">
        <v>45126.0</v>
      </c>
      <c r="M1161" s="9" t="s">
        <v>11884</v>
      </c>
    </row>
    <row r="1162" ht="15.75" hidden="1" customHeight="1">
      <c r="A1162" s="9" t="s">
        <v>40887</v>
      </c>
      <c r="B1162" s="9" t="s">
        <v>15677</v>
      </c>
      <c r="D1162" s="9" t="s">
        <v>12254</v>
      </c>
      <c r="F1162" s="9" t="s">
        <v>40885</v>
      </c>
      <c r="G1162" s="9" t="s">
        <v>38946</v>
      </c>
      <c r="H1162" s="127">
        <v>45089.0</v>
      </c>
      <c r="I1162" s="9" t="s">
        <v>101</v>
      </c>
      <c r="J1162" s="9" t="s">
        <v>38801</v>
      </c>
      <c r="K1162" s="55">
        <v>45126.0</v>
      </c>
      <c r="M1162" s="9" t="s">
        <v>8291</v>
      </c>
    </row>
    <row r="1163" ht="15.75" hidden="1" customHeight="1">
      <c r="A1163" s="9" t="s">
        <v>40888</v>
      </c>
      <c r="B1163" s="9" t="s">
        <v>18509</v>
      </c>
      <c r="D1163" s="9" t="s">
        <v>12254</v>
      </c>
      <c r="F1163" s="9" t="s">
        <v>40885</v>
      </c>
      <c r="G1163" s="9" t="s">
        <v>38946</v>
      </c>
      <c r="H1163" s="127">
        <v>45089.0</v>
      </c>
      <c r="I1163" s="9" t="s">
        <v>101</v>
      </c>
      <c r="J1163" s="9" t="s">
        <v>38801</v>
      </c>
      <c r="K1163" s="55">
        <v>45126.0</v>
      </c>
      <c r="M1163" s="9" t="s">
        <v>11623</v>
      </c>
    </row>
    <row r="1164" ht="15.75" hidden="1" customHeight="1">
      <c r="A1164" s="9" t="s">
        <v>40889</v>
      </c>
      <c r="B1164" s="9" t="s">
        <v>15148</v>
      </c>
      <c r="D1164" s="9" t="s">
        <v>12254</v>
      </c>
      <c r="F1164" s="9" t="s">
        <v>40890</v>
      </c>
      <c r="G1164" s="9" t="s">
        <v>38808</v>
      </c>
      <c r="H1164" s="127">
        <v>45089.0</v>
      </c>
      <c r="I1164" s="9" t="s">
        <v>101</v>
      </c>
      <c r="J1164" s="9" t="s">
        <v>38801</v>
      </c>
      <c r="K1164" s="55">
        <v>45126.0</v>
      </c>
      <c r="M1164" s="9" t="s">
        <v>11981</v>
      </c>
    </row>
    <row r="1165" ht="15.75" hidden="1" customHeight="1">
      <c r="A1165" s="9" t="s">
        <v>40891</v>
      </c>
      <c r="B1165" s="9" t="s">
        <v>17139</v>
      </c>
      <c r="D1165" s="9" t="s">
        <v>12254</v>
      </c>
      <c r="F1165" s="9" t="s">
        <v>40892</v>
      </c>
      <c r="G1165" s="9" t="s">
        <v>38946</v>
      </c>
      <c r="H1165" s="127">
        <v>45089.0</v>
      </c>
      <c r="I1165" s="9" t="s">
        <v>101</v>
      </c>
      <c r="J1165" s="9" t="s">
        <v>38801</v>
      </c>
      <c r="K1165" s="55">
        <v>45126.0</v>
      </c>
      <c r="M1165" s="9" t="s">
        <v>10552</v>
      </c>
    </row>
    <row r="1166" ht="15.75" hidden="1" customHeight="1">
      <c r="A1166" s="9" t="s">
        <v>40893</v>
      </c>
      <c r="B1166" s="9" t="s">
        <v>15751</v>
      </c>
      <c r="D1166" s="9" t="s">
        <v>12236</v>
      </c>
      <c r="F1166" s="9" t="s">
        <v>40894</v>
      </c>
      <c r="G1166" s="9" t="s">
        <v>38946</v>
      </c>
      <c r="H1166" s="127">
        <v>45089.0</v>
      </c>
      <c r="I1166" s="9" t="s">
        <v>52</v>
      </c>
      <c r="J1166" s="9" t="s">
        <v>38801</v>
      </c>
      <c r="K1166" s="55">
        <v>45120.0</v>
      </c>
      <c r="M1166" s="9" t="s">
        <v>10707</v>
      </c>
    </row>
    <row r="1167" ht="15.75" hidden="1" customHeight="1">
      <c r="A1167" s="9" t="s">
        <v>40895</v>
      </c>
      <c r="B1167" s="9" t="s">
        <v>16365</v>
      </c>
      <c r="D1167" s="9" t="s">
        <v>12230</v>
      </c>
      <c r="F1167" s="9" t="s">
        <v>40896</v>
      </c>
      <c r="G1167" s="9" t="s">
        <v>38946</v>
      </c>
      <c r="H1167" s="127">
        <v>45089.0</v>
      </c>
      <c r="I1167" s="9" t="s">
        <v>52</v>
      </c>
      <c r="J1167" s="9" t="s">
        <v>38801</v>
      </c>
      <c r="K1167" s="55">
        <v>45089.0</v>
      </c>
      <c r="M1167" s="52" t="s">
        <v>16353</v>
      </c>
    </row>
    <row r="1168" ht="15.75" hidden="1" customHeight="1">
      <c r="A1168" s="9" t="s">
        <v>40897</v>
      </c>
      <c r="B1168" s="9" t="s">
        <v>16264</v>
      </c>
      <c r="D1168" s="9" t="s">
        <v>12236</v>
      </c>
      <c r="F1168" s="9" t="s">
        <v>40881</v>
      </c>
      <c r="G1168" s="9" t="s">
        <v>38946</v>
      </c>
      <c r="H1168" s="127">
        <v>45090.0</v>
      </c>
      <c r="I1168" s="9" t="s">
        <v>52</v>
      </c>
      <c r="J1168" s="9" t="s">
        <v>38801</v>
      </c>
      <c r="K1168" s="55">
        <v>45411.0</v>
      </c>
      <c r="M1168" s="9" t="s">
        <v>10711</v>
      </c>
    </row>
    <row r="1169" ht="15.75" hidden="1" customHeight="1">
      <c r="A1169" s="9" t="s">
        <v>40898</v>
      </c>
      <c r="B1169" s="9" t="s">
        <v>15718</v>
      </c>
      <c r="D1169" s="9" t="s">
        <v>12254</v>
      </c>
      <c r="F1169" s="9" t="s">
        <v>40899</v>
      </c>
      <c r="G1169" s="9" t="s">
        <v>38946</v>
      </c>
      <c r="H1169" s="127">
        <v>45091.0</v>
      </c>
      <c r="I1169" s="9" t="s">
        <v>101</v>
      </c>
      <c r="J1169" s="9" t="s">
        <v>38801</v>
      </c>
      <c r="K1169" s="55">
        <v>45126.0</v>
      </c>
      <c r="M1169" s="9" t="s">
        <v>270</v>
      </c>
    </row>
    <row r="1170" ht="15.75" hidden="1" customHeight="1">
      <c r="A1170" s="9" t="s">
        <v>40900</v>
      </c>
      <c r="B1170" s="9" t="s">
        <v>19789</v>
      </c>
      <c r="D1170" s="9" t="s">
        <v>12254</v>
      </c>
      <c r="F1170" s="9" t="s">
        <v>40901</v>
      </c>
      <c r="G1170" s="9" t="s">
        <v>38946</v>
      </c>
      <c r="H1170" s="127">
        <v>45091.0</v>
      </c>
      <c r="I1170" s="9" t="s">
        <v>101</v>
      </c>
      <c r="J1170" s="9" t="s">
        <v>38801</v>
      </c>
      <c r="K1170" s="55">
        <v>45126.0</v>
      </c>
      <c r="M1170" s="9" t="s">
        <v>5119</v>
      </c>
    </row>
    <row r="1171" ht="15.75" hidden="1" customHeight="1">
      <c r="A1171" s="9" t="s">
        <v>40902</v>
      </c>
      <c r="B1171" s="9" t="s">
        <v>16209</v>
      </c>
      <c r="D1171" s="9" t="s">
        <v>12230</v>
      </c>
      <c r="F1171" s="9" t="s">
        <v>40006</v>
      </c>
      <c r="G1171" s="9" t="s">
        <v>38808</v>
      </c>
      <c r="H1171" s="127">
        <v>45091.0</v>
      </c>
      <c r="I1171" s="9" t="s">
        <v>52</v>
      </c>
      <c r="J1171" s="9" t="s">
        <v>38801</v>
      </c>
      <c r="K1171" s="55">
        <v>45098.0</v>
      </c>
      <c r="M1171" s="9" t="s">
        <v>10502</v>
      </c>
    </row>
    <row r="1172" ht="15.75" hidden="1" customHeight="1">
      <c r="A1172" s="9" t="s">
        <v>40903</v>
      </c>
      <c r="B1172" s="9" t="s">
        <v>26750</v>
      </c>
      <c r="D1172" s="9" t="s">
        <v>12230</v>
      </c>
      <c r="F1172" s="9" t="s">
        <v>40904</v>
      </c>
      <c r="G1172" s="9" t="s">
        <v>38808</v>
      </c>
      <c r="H1172" s="127">
        <v>45091.0</v>
      </c>
      <c r="I1172" s="9" t="s">
        <v>47</v>
      </c>
      <c r="J1172" s="9" t="s">
        <v>38801</v>
      </c>
      <c r="K1172" s="55">
        <v>45091.0</v>
      </c>
      <c r="M1172" s="9" t="s">
        <v>11719</v>
      </c>
    </row>
    <row r="1173" ht="15.75" hidden="1" customHeight="1">
      <c r="A1173" s="9" t="s">
        <v>40905</v>
      </c>
      <c r="B1173" s="9" t="s">
        <v>20950</v>
      </c>
      <c r="D1173" s="9" t="s">
        <v>12230</v>
      </c>
      <c r="F1173" s="9" t="s">
        <v>40906</v>
      </c>
      <c r="G1173" s="9" t="s">
        <v>38946</v>
      </c>
      <c r="H1173" s="127">
        <v>45091.0</v>
      </c>
      <c r="I1173" s="9" t="s">
        <v>47</v>
      </c>
      <c r="J1173" s="9" t="s">
        <v>38801</v>
      </c>
      <c r="K1173" s="55">
        <v>45091.0</v>
      </c>
      <c r="M1173" s="9" t="s">
        <v>9688</v>
      </c>
    </row>
    <row r="1174" ht="15.75" hidden="1" customHeight="1">
      <c r="A1174" s="9" t="s">
        <v>40907</v>
      </c>
      <c r="B1174" s="9" t="s">
        <v>20819</v>
      </c>
      <c r="D1174" s="9" t="s">
        <v>12230</v>
      </c>
      <c r="F1174" s="9" t="s">
        <v>40908</v>
      </c>
      <c r="G1174" s="9" t="s">
        <v>38946</v>
      </c>
      <c r="H1174" s="127">
        <v>45091.0</v>
      </c>
      <c r="I1174" s="9" t="s">
        <v>47</v>
      </c>
      <c r="J1174" s="9" t="s">
        <v>38801</v>
      </c>
      <c r="K1174" s="55">
        <v>45091.0</v>
      </c>
      <c r="M1174" s="9" t="s">
        <v>8795</v>
      </c>
    </row>
    <row r="1175" ht="15.75" hidden="1" customHeight="1">
      <c r="A1175" s="9" t="s">
        <v>40909</v>
      </c>
      <c r="B1175" s="9" t="s">
        <v>16550</v>
      </c>
      <c r="D1175" s="9" t="s">
        <v>12230</v>
      </c>
      <c r="F1175" s="9" t="s">
        <v>40006</v>
      </c>
      <c r="G1175" s="9" t="s">
        <v>38808</v>
      </c>
      <c r="H1175" s="127">
        <v>45091.0</v>
      </c>
      <c r="I1175" s="9" t="s">
        <v>52</v>
      </c>
      <c r="J1175" s="9" t="s">
        <v>38801</v>
      </c>
      <c r="K1175" s="55">
        <v>45091.0</v>
      </c>
      <c r="M1175" s="9" t="s">
        <v>11834</v>
      </c>
    </row>
    <row r="1176" ht="15.75" hidden="1" customHeight="1">
      <c r="A1176" s="9" t="s">
        <v>40910</v>
      </c>
      <c r="B1176" s="9" t="s">
        <v>16522</v>
      </c>
      <c r="D1176" s="9" t="s">
        <v>12254</v>
      </c>
      <c r="F1176" s="9" t="s">
        <v>40911</v>
      </c>
      <c r="G1176" s="9" t="s">
        <v>38946</v>
      </c>
      <c r="H1176" s="127">
        <v>45093.0</v>
      </c>
      <c r="I1176" s="9" t="s">
        <v>101</v>
      </c>
      <c r="J1176" s="9" t="s">
        <v>38801</v>
      </c>
      <c r="K1176" s="55">
        <v>45125.0</v>
      </c>
      <c r="M1176" s="9" t="s">
        <v>12016</v>
      </c>
    </row>
    <row r="1177" ht="15.75" hidden="1" customHeight="1">
      <c r="A1177" s="9" t="s">
        <v>40912</v>
      </c>
      <c r="B1177" s="9" t="s">
        <v>17784</v>
      </c>
      <c r="D1177" s="9" t="s">
        <v>12254</v>
      </c>
      <c r="F1177" s="9" t="s">
        <v>40913</v>
      </c>
      <c r="G1177" s="9" t="s">
        <v>38808</v>
      </c>
      <c r="H1177" s="127">
        <v>45093.0</v>
      </c>
      <c r="I1177" s="9" t="s">
        <v>158</v>
      </c>
      <c r="J1177" s="9" t="s">
        <v>38801</v>
      </c>
      <c r="K1177" s="55">
        <v>45124.0</v>
      </c>
      <c r="M1177" s="9" t="s">
        <v>1919</v>
      </c>
    </row>
    <row r="1178" ht="15.75" hidden="1" customHeight="1">
      <c r="A1178" s="9" t="s">
        <v>40914</v>
      </c>
      <c r="B1178" s="9" t="s">
        <v>15848</v>
      </c>
      <c r="D1178" s="9" t="s">
        <v>12254</v>
      </c>
      <c r="F1178" s="9" t="s">
        <v>40913</v>
      </c>
      <c r="G1178" s="9" t="s">
        <v>38808</v>
      </c>
      <c r="H1178" s="127">
        <v>45093.0</v>
      </c>
      <c r="I1178" s="9" t="s">
        <v>163</v>
      </c>
      <c r="J1178" s="9" t="s">
        <v>38801</v>
      </c>
      <c r="K1178" s="55">
        <v>45124.0</v>
      </c>
      <c r="M1178" s="9" t="s">
        <v>263</v>
      </c>
    </row>
    <row r="1179" ht="15.75" hidden="1" customHeight="1">
      <c r="A1179" s="9" t="s">
        <v>40915</v>
      </c>
      <c r="B1179" s="9" t="s">
        <v>17739</v>
      </c>
      <c r="D1179" s="9" t="s">
        <v>12254</v>
      </c>
      <c r="F1179" s="9" t="s">
        <v>40913</v>
      </c>
      <c r="G1179" s="9" t="s">
        <v>38808</v>
      </c>
      <c r="H1179" s="127">
        <v>45093.0</v>
      </c>
      <c r="I1179" s="9" t="s">
        <v>158</v>
      </c>
      <c r="J1179" s="9" t="s">
        <v>38801</v>
      </c>
      <c r="K1179" s="55">
        <v>45124.0</v>
      </c>
      <c r="M1179" s="9" t="s">
        <v>2568</v>
      </c>
    </row>
    <row r="1180" ht="15.75" hidden="1" customHeight="1">
      <c r="A1180" s="9" t="s">
        <v>40916</v>
      </c>
      <c r="B1180" s="9" t="s">
        <v>17823</v>
      </c>
      <c r="D1180" s="9" t="s">
        <v>12254</v>
      </c>
      <c r="F1180" s="9" t="s">
        <v>40917</v>
      </c>
      <c r="G1180" s="9" t="s">
        <v>38808</v>
      </c>
      <c r="H1180" s="127">
        <v>45093.0</v>
      </c>
      <c r="I1180" s="9" t="s">
        <v>158</v>
      </c>
      <c r="J1180" s="9" t="s">
        <v>38801</v>
      </c>
      <c r="K1180" s="55">
        <v>45124.0</v>
      </c>
      <c r="M1180" s="9" t="s">
        <v>2181</v>
      </c>
    </row>
    <row r="1181" ht="15.75" hidden="1" customHeight="1">
      <c r="A1181" s="9" t="s">
        <v>40918</v>
      </c>
      <c r="B1181" s="9" t="s">
        <v>17852</v>
      </c>
      <c r="D1181" s="9" t="s">
        <v>12254</v>
      </c>
      <c r="F1181" s="9" t="s">
        <v>40917</v>
      </c>
      <c r="G1181" s="9" t="s">
        <v>38946</v>
      </c>
      <c r="H1181" s="127">
        <v>45093.0</v>
      </c>
      <c r="I1181" s="9" t="s">
        <v>158</v>
      </c>
      <c r="J1181" s="9" t="s">
        <v>38801</v>
      </c>
      <c r="K1181" s="55">
        <v>45124.0</v>
      </c>
      <c r="M1181" s="9" t="s">
        <v>5361</v>
      </c>
    </row>
    <row r="1182" ht="15.75" hidden="1" customHeight="1">
      <c r="A1182" s="9" t="s">
        <v>40919</v>
      </c>
      <c r="B1182" s="9" t="s">
        <v>17679</v>
      </c>
      <c r="D1182" s="9" t="s">
        <v>12254</v>
      </c>
      <c r="F1182" s="9" t="s">
        <v>40913</v>
      </c>
      <c r="G1182" s="9" t="s">
        <v>38808</v>
      </c>
      <c r="H1182" s="127">
        <v>45093.0</v>
      </c>
      <c r="I1182" s="9" t="s">
        <v>158</v>
      </c>
      <c r="J1182" s="9" t="s">
        <v>38801</v>
      </c>
      <c r="K1182" s="55">
        <v>45124.0</v>
      </c>
      <c r="M1182" s="9" t="s">
        <v>3663</v>
      </c>
    </row>
    <row r="1183" ht="15.75" hidden="1" customHeight="1">
      <c r="A1183" s="9" t="s">
        <v>40920</v>
      </c>
      <c r="B1183" s="9" t="s">
        <v>16426</v>
      </c>
      <c r="D1183" s="9" t="s">
        <v>12254</v>
      </c>
      <c r="F1183" s="9" t="s">
        <v>40921</v>
      </c>
      <c r="G1183" s="9" t="s">
        <v>38808</v>
      </c>
      <c r="H1183" s="127">
        <v>45093.0</v>
      </c>
      <c r="I1183" s="9" t="s">
        <v>163</v>
      </c>
      <c r="J1183" s="9" t="s">
        <v>38801</v>
      </c>
      <c r="K1183" s="55">
        <v>45124.0</v>
      </c>
      <c r="M1183" s="9" t="s">
        <v>6908</v>
      </c>
    </row>
    <row r="1184" ht="15.75" hidden="1" customHeight="1">
      <c r="A1184" s="9" t="s">
        <v>40922</v>
      </c>
      <c r="B1184" s="9" t="s">
        <v>17797</v>
      </c>
      <c r="D1184" s="9" t="s">
        <v>12254</v>
      </c>
      <c r="F1184" s="9" t="s">
        <v>40917</v>
      </c>
      <c r="G1184" s="9" t="s">
        <v>38808</v>
      </c>
      <c r="H1184" s="127">
        <v>45093.0</v>
      </c>
      <c r="I1184" s="9" t="s">
        <v>163</v>
      </c>
      <c r="J1184" s="9" t="s">
        <v>38801</v>
      </c>
      <c r="K1184" s="55">
        <v>45124.0</v>
      </c>
      <c r="M1184" s="9" t="s">
        <v>11979</v>
      </c>
    </row>
    <row r="1185" ht="15.75" hidden="1" customHeight="1">
      <c r="A1185" s="9" t="s">
        <v>40923</v>
      </c>
      <c r="B1185" s="9" t="s">
        <v>26773</v>
      </c>
      <c r="D1185" s="9" t="s">
        <v>12230</v>
      </c>
      <c r="F1185" s="9" t="s">
        <v>40006</v>
      </c>
      <c r="G1185" s="9" t="s">
        <v>38808</v>
      </c>
      <c r="H1185" s="127">
        <v>45096.0</v>
      </c>
      <c r="I1185" s="9" t="s">
        <v>52</v>
      </c>
      <c r="J1185" s="9" t="s">
        <v>38801</v>
      </c>
      <c r="K1185" s="55">
        <v>45111.0</v>
      </c>
      <c r="M1185" s="9" t="s">
        <v>12165</v>
      </c>
    </row>
    <row r="1186" ht="15.75" hidden="1" customHeight="1">
      <c r="A1186" s="9" t="s">
        <v>40924</v>
      </c>
      <c r="B1186" s="9" t="s">
        <v>16501</v>
      </c>
      <c r="D1186" s="9" t="s">
        <v>12230</v>
      </c>
      <c r="F1186" s="9" t="s">
        <v>40925</v>
      </c>
      <c r="G1186" s="9" t="s">
        <v>38946</v>
      </c>
      <c r="H1186" s="127">
        <v>45097.0</v>
      </c>
      <c r="I1186" s="9" t="s">
        <v>52</v>
      </c>
      <c r="J1186" s="9" t="s">
        <v>38801</v>
      </c>
      <c r="K1186" s="55">
        <v>45100.0</v>
      </c>
      <c r="M1186" s="9" t="s">
        <v>759</v>
      </c>
    </row>
    <row r="1187" ht="15.75" hidden="1" customHeight="1">
      <c r="A1187" s="9" t="s">
        <v>40926</v>
      </c>
      <c r="B1187" s="9" t="s">
        <v>16501</v>
      </c>
      <c r="D1187" s="9" t="s">
        <v>12230</v>
      </c>
      <c r="F1187" s="9" t="s">
        <v>40925</v>
      </c>
      <c r="G1187" s="9" t="s">
        <v>38946</v>
      </c>
      <c r="H1187" s="127">
        <v>45097.0</v>
      </c>
      <c r="I1187" s="9" t="s">
        <v>52</v>
      </c>
      <c r="J1187" s="9" t="s">
        <v>38801</v>
      </c>
      <c r="K1187" s="55">
        <v>45100.0</v>
      </c>
      <c r="M1187" s="9" t="s">
        <v>8439</v>
      </c>
    </row>
    <row r="1188" ht="15.75" hidden="1" customHeight="1">
      <c r="A1188" s="9" t="s">
        <v>40927</v>
      </c>
      <c r="B1188" s="9" t="s">
        <v>16463</v>
      </c>
      <c r="D1188" s="9" t="s">
        <v>12246</v>
      </c>
      <c r="F1188" s="9" t="s">
        <v>40928</v>
      </c>
      <c r="G1188" s="9" t="s">
        <v>38808</v>
      </c>
      <c r="H1188" s="127">
        <v>45098.0</v>
      </c>
      <c r="I1188" s="9" t="s">
        <v>47</v>
      </c>
      <c r="J1188" s="9" t="s">
        <v>38801</v>
      </c>
      <c r="K1188" s="55">
        <v>45098.0</v>
      </c>
      <c r="M1188" s="9" t="s">
        <v>9429</v>
      </c>
    </row>
    <row r="1189" ht="15.75" hidden="1" customHeight="1">
      <c r="A1189" s="9" t="s">
        <v>40929</v>
      </c>
      <c r="B1189" s="9" t="s">
        <v>15162</v>
      </c>
      <c r="D1189" s="9" t="s">
        <v>12230</v>
      </c>
      <c r="F1189" s="9" t="s">
        <v>40930</v>
      </c>
      <c r="G1189" s="9" t="s">
        <v>38808</v>
      </c>
      <c r="H1189" s="127">
        <v>45098.0</v>
      </c>
      <c r="I1189" s="9" t="s">
        <v>47</v>
      </c>
      <c r="J1189" s="9" t="s">
        <v>38801</v>
      </c>
      <c r="K1189" s="55">
        <v>45098.0</v>
      </c>
      <c r="M1189" s="9" t="s">
        <v>10447</v>
      </c>
    </row>
    <row r="1190" ht="15.75" hidden="1" customHeight="1">
      <c r="A1190" s="9" t="s">
        <v>40931</v>
      </c>
      <c r="B1190" s="9" t="s">
        <v>15162</v>
      </c>
      <c r="D1190" s="9" t="s">
        <v>12250</v>
      </c>
      <c r="F1190" s="9" t="s">
        <v>40932</v>
      </c>
      <c r="G1190" s="9" t="s">
        <v>38808</v>
      </c>
      <c r="H1190" s="127">
        <v>45098.0</v>
      </c>
      <c r="I1190" s="9" t="s">
        <v>47</v>
      </c>
      <c r="J1190" s="9" t="s">
        <v>38801</v>
      </c>
      <c r="K1190" s="55">
        <v>45098.0</v>
      </c>
      <c r="M1190" s="9" t="s">
        <v>10447</v>
      </c>
    </row>
    <row r="1191" ht="15.75" hidden="1" customHeight="1">
      <c r="A1191" s="9" t="s">
        <v>40933</v>
      </c>
      <c r="B1191" s="9" t="s">
        <v>16501</v>
      </c>
      <c r="D1191" s="9" t="s">
        <v>12230</v>
      </c>
      <c r="F1191" s="9" t="s">
        <v>40934</v>
      </c>
      <c r="G1191" s="9" t="s">
        <v>38946</v>
      </c>
      <c r="H1191" s="127">
        <v>45100.0</v>
      </c>
      <c r="I1191" s="9" t="s">
        <v>47</v>
      </c>
      <c r="J1191" s="9" t="s">
        <v>38801</v>
      </c>
      <c r="K1191" s="55">
        <v>45107.0</v>
      </c>
      <c r="M1191" s="9" t="s">
        <v>759</v>
      </c>
    </row>
    <row r="1192" ht="15.75" hidden="1" customHeight="1">
      <c r="A1192" s="9" t="s">
        <v>40935</v>
      </c>
      <c r="B1192" s="9" t="s">
        <v>16501</v>
      </c>
      <c r="D1192" s="9" t="s">
        <v>12230</v>
      </c>
      <c r="F1192" s="9" t="s">
        <v>40934</v>
      </c>
      <c r="G1192" s="9" t="s">
        <v>38946</v>
      </c>
      <c r="H1192" s="127">
        <v>45100.0</v>
      </c>
      <c r="I1192" s="9" t="s">
        <v>47</v>
      </c>
      <c r="J1192" s="9" t="s">
        <v>38801</v>
      </c>
      <c r="K1192" s="55">
        <v>45107.0</v>
      </c>
      <c r="M1192" s="9" t="s">
        <v>8439</v>
      </c>
    </row>
    <row r="1193" ht="15.75" hidden="1" customHeight="1">
      <c r="A1193" s="9" t="s">
        <v>40936</v>
      </c>
      <c r="B1193" s="9" t="s">
        <v>15957</v>
      </c>
      <c r="D1193" s="9" t="s">
        <v>12230</v>
      </c>
      <c r="F1193" s="9" t="s">
        <v>39790</v>
      </c>
      <c r="G1193" s="9" t="s">
        <v>38808</v>
      </c>
      <c r="H1193" s="127">
        <v>45103.0</v>
      </c>
      <c r="I1193" s="9" t="s">
        <v>47</v>
      </c>
      <c r="J1193" s="9" t="s">
        <v>38801</v>
      </c>
      <c r="K1193" s="55">
        <v>45118.0</v>
      </c>
      <c r="M1193" s="9" t="s">
        <v>10482</v>
      </c>
    </row>
    <row r="1194" ht="15.75" hidden="1" customHeight="1">
      <c r="A1194" s="9" t="s">
        <v>40937</v>
      </c>
      <c r="B1194" s="9" t="s">
        <v>16278</v>
      </c>
      <c r="D1194" s="9" t="s">
        <v>12250</v>
      </c>
      <c r="F1194" s="9" t="s">
        <v>40938</v>
      </c>
      <c r="G1194" s="9" t="s">
        <v>38946</v>
      </c>
      <c r="H1194" s="127">
        <v>45103.0</v>
      </c>
      <c r="I1194" s="9" t="s">
        <v>47</v>
      </c>
      <c r="J1194" s="9" t="s">
        <v>38801</v>
      </c>
      <c r="K1194" s="55">
        <v>45103.0</v>
      </c>
      <c r="M1194" s="9" t="s">
        <v>9639</v>
      </c>
    </row>
    <row r="1195" ht="15.75" hidden="1" customHeight="1">
      <c r="A1195" s="9" t="s">
        <v>40939</v>
      </c>
      <c r="B1195" s="9" t="s">
        <v>17350</v>
      </c>
      <c r="D1195" s="9" t="s">
        <v>12230</v>
      </c>
      <c r="F1195" s="9" t="s">
        <v>40940</v>
      </c>
      <c r="G1195" s="9" t="s">
        <v>38808</v>
      </c>
      <c r="H1195" s="127">
        <v>45103.0</v>
      </c>
      <c r="I1195" s="9" t="s">
        <v>47</v>
      </c>
      <c r="J1195" s="9" t="s">
        <v>38801</v>
      </c>
      <c r="K1195" s="55">
        <v>45103.0</v>
      </c>
      <c r="M1195" s="9" t="s">
        <v>4545</v>
      </c>
    </row>
    <row r="1196" ht="15.75" hidden="1" customHeight="1">
      <c r="A1196" s="9" t="s">
        <v>40941</v>
      </c>
      <c r="B1196" s="9" t="s">
        <v>15162</v>
      </c>
      <c r="D1196" s="9" t="s">
        <v>12230</v>
      </c>
      <c r="F1196" s="9" t="s">
        <v>40942</v>
      </c>
      <c r="G1196" s="9" t="s">
        <v>38808</v>
      </c>
      <c r="H1196" s="127">
        <v>45103.0</v>
      </c>
      <c r="I1196" s="9" t="s">
        <v>47</v>
      </c>
      <c r="J1196" s="9" t="s">
        <v>38801</v>
      </c>
      <c r="K1196" s="55">
        <v>45103.0</v>
      </c>
      <c r="M1196" s="9" t="s">
        <v>10447</v>
      </c>
    </row>
    <row r="1197" ht="15.75" hidden="1" customHeight="1">
      <c r="A1197" s="9" t="s">
        <v>40943</v>
      </c>
      <c r="B1197" s="9" t="s">
        <v>14190</v>
      </c>
      <c r="D1197" s="9" t="s">
        <v>12224</v>
      </c>
      <c r="F1197" s="9" t="s">
        <v>40944</v>
      </c>
      <c r="G1197" s="9" t="s">
        <v>38946</v>
      </c>
      <c r="H1197" s="127">
        <v>45106.0</v>
      </c>
      <c r="I1197" s="9" t="s">
        <v>39</v>
      </c>
      <c r="J1197" s="9" t="s">
        <v>38801</v>
      </c>
      <c r="K1197" s="55">
        <v>45106.0</v>
      </c>
      <c r="M1197" s="9" t="s">
        <v>8867</v>
      </c>
    </row>
    <row r="1198" ht="15.75" hidden="1" customHeight="1">
      <c r="A1198" s="9" t="s">
        <v>40945</v>
      </c>
      <c r="B1198" s="9" t="s">
        <v>15593</v>
      </c>
      <c r="D1198" s="9" t="s">
        <v>12230</v>
      </c>
      <c r="F1198" s="9" t="s">
        <v>40946</v>
      </c>
      <c r="G1198" s="9" t="s">
        <v>38946</v>
      </c>
      <c r="H1198" s="127">
        <v>45107.0</v>
      </c>
      <c r="I1198" s="9" t="s">
        <v>131</v>
      </c>
      <c r="J1198" s="9" t="s">
        <v>38801</v>
      </c>
      <c r="K1198" s="55">
        <v>45152.0</v>
      </c>
      <c r="M1198" s="9" t="s">
        <v>11744</v>
      </c>
    </row>
    <row r="1199" ht="15.75" hidden="1" customHeight="1">
      <c r="A1199" s="9" t="s">
        <v>40947</v>
      </c>
      <c r="B1199" s="9" t="s">
        <v>16477</v>
      </c>
      <c r="D1199" s="9" t="s">
        <v>12230</v>
      </c>
      <c r="F1199" s="9" t="s">
        <v>40948</v>
      </c>
      <c r="G1199" s="9" t="s">
        <v>38808</v>
      </c>
      <c r="H1199" s="127">
        <v>45110.0</v>
      </c>
      <c r="I1199" s="9" t="s">
        <v>52</v>
      </c>
      <c r="J1199" s="9" t="s">
        <v>38801</v>
      </c>
      <c r="K1199" s="55">
        <v>45110.0</v>
      </c>
      <c r="M1199" s="9" t="s">
        <v>10518</v>
      </c>
    </row>
    <row r="1200" ht="15.75" hidden="1" customHeight="1">
      <c r="A1200" s="9" t="s">
        <v>40949</v>
      </c>
      <c r="B1200" s="9" t="s">
        <v>14393</v>
      </c>
      <c r="D1200" s="9" t="s">
        <v>12239</v>
      </c>
      <c r="F1200" s="9" t="s">
        <v>40502</v>
      </c>
      <c r="G1200" s="9" t="s">
        <v>38946</v>
      </c>
      <c r="H1200" s="127">
        <v>45111.0</v>
      </c>
      <c r="I1200" s="9" t="s">
        <v>52</v>
      </c>
      <c r="J1200" s="9" t="s">
        <v>38801</v>
      </c>
      <c r="K1200" s="55">
        <v>45133.0</v>
      </c>
      <c r="M1200" s="9" t="s">
        <v>10400</v>
      </c>
    </row>
    <row r="1201" ht="15.75" hidden="1" customHeight="1">
      <c r="A1201" s="9" t="s">
        <v>40950</v>
      </c>
      <c r="B1201" s="9" t="s">
        <v>16348</v>
      </c>
      <c r="D1201" s="9" t="s">
        <v>12250</v>
      </c>
      <c r="F1201" s="9" t="s">
        <v>40951</v>
      </c>
      <c r="G1201" s="9" t="s">
        <v>38946</v>
      </c>
      <c r="H1201" s="127">
        <v>45111.0</v>
      </c>
      <c r="I1201" s="9" t="s">
        <v>47</v>
      </c>
      <c r="J1201" s="9" t="s">
        <v>38801</v>
      </c>
      <c r="K1201" s="55">
        <v>45111.0</v>
      </c>
      <c r="M1201" s="9" t="s">
        <v>10506</v>
      </c>
    </row>
    <row r="1202" ht="15.75" hidden="1" customHeight="1">
      <c r="A1202" s="9" t="s">
        <v>40952</v>
      </c>
      <c r="B1202" s="9" t="s">
        <v>16348</v>
      </c>
      <c r="D1202" s="9" t="s">
        <v>12258</v>
      </c>
      <c r="F1202" s="9" t="s">
        <v>40953</v>
      </c>
      <c r="G1202" s="9" t="s">
        <v>38946</v>
      </c>
      <c r="H1202" s="127">
        <v>45111.0</v>
      </c>
      <c r="I1202" s="9" t="s">
        <v>47</v>
      </c>
      <c r="J1202" s="9" t="s">
        <v>38801</v>
      </c>
      <c r="K1202" s="55">
        <v>45111.0</v>
      </c>
      <c r="M1202" s="9" t="s">
        <v>10506</v>
      </c>
    </row>
    <row r="1203" ht="15.75" hidden="1" customHeight="1">
      <c r="A1203" s="9" t="s">
        <v>40954</v>
      </c>
      <c r="B1203" s="9" t="s">
        <v>13177</v>
      </c>
      <c r="D1203" s="9" t="s">
        <v>12239</v>
      </c>
      <c r="F1203" s="9" t="s">
        <v>40567</v>
      </c>
      <c r="G1203" s="9" t="s">
        <v>38946</v>
      </c>
      <c r="H1203" s="127">
        <v>45112.0</v>
      </c>
      <c r="I1203" s="9" t="s">
        <v>52</v>
      </c>
      <c r="J1203" s="9" t="s">
        <v>38801</v>
      </c>
      <c r="K1203" s="55">
        <v>45135.0</v>
      </c>
      <c r="M1203" s="9" t="s">
        <v>10318</v>
      </c>
    </row>
    <row r="1204" ht="15.75" hidden="1" customHeight="1">
      <c r="A1204" s="9" t="s">
        <v>40955</v>
      </c>
      <c r="B1204" s="9" t="s">
        <v>16195</v>
      </c>
      <c r="D1204" s="9" t="s">
        <v>12258</v>
      </c>
      <c r="F1204" s="9" t="s">
        <v>40956</v>
      </c>
      <c r="G1204" s="9" t="s">
        <v>38946</v>
      </c>
      <c r="H1204" s="127">
        <v>45113.0</v>
      </c>
      <c r="I1204" s="9" t="s">
        <v>131</v>
      </c>
      <c r="J1204" s="9" t="s">
        <v>38801</v>
      </c>
      <c r="K1204" s="60">
        <v>45245.0</v>
      </c>
      <c r="M1204" s="9" t="s">
        <v>10500</v>
      </c>
    </row>
    <row r="1205" ht="15.75" hidden="1" customHeight="1">
      <c r="A1205" s="9" t="s">
        <v>40957</v>
      </c>
      <c r="B1205" s="9" t="s">
        <v>16195</v>
      </c>
      <c r="D1205" s="9" t="s">
        <v>12239</v>
      </c>
      <c r="F1205" s="9" t="s">
        <v>40958</v>
      </c>
      <c r="G1205" s="9" t="s">
        <v>38946</v>
      </c>
      <c r="H1205" s="127">
        <v>45113.0</v>
      </c>
      <c r="I1205" s="9" t="s">
        <v>131</v>
      </c>
      <c r="J1205" s="9" t="s">
        <v>38801</v>
      </c>
      <c r="K1205" s="55">
        <v>45184.0</v>
      </c>
      <c r="M1205" s="9" t="s">
        <v>10500</v>
      </c>
    </row>
    <row r="1206" ht="15.75" hidden="1" customHeight="1">
      <c r="A1206" s="9" t="s">
        <v>40959</v>
      </c>
      <c r="B1206" s="9" t="s">
        <v>20950</v>
      </c>
      <c r="D1206" s="9" t="s">
        <v>12230</v>
      </c>
      <c r="F1206" s="9" t="s">
        <v>40960</v>
      </c>
      <c r="G1206" s="9" t="s">
        <v>38946</v>
      </c>
      <c r="H1206" s="127">
        <v>45113.0</v>
      </c>
      <c r="I1206" s="9" t="s">
        <v>52</v>
      </c>
      <c r="J1206" s="9" t="s">
        <v>38801</v>
      </c>
      <c r="K1206" s="55">
        <v>45114.0</v>
      </c>
      <c r="M1206" s="9" t="s">
        <v>9688</v>
      </c>
    </row>
    <row r="1207" ht="15.75" hidden="1" customHeight="1">
      <c r="A1207" s="9" t="s">
        <v>40961</v>
      </c>
      <c r="B1207" s="9" t="s">
        <v>14299</v>
      </c>
      <c r="D1207" s="9" t="s">
        <v>12248</v>
      </c>
      <c r="F1207" s="9" t="s">
        <v>40962</v>
      </c>
      <c r="G1207" s="9" t="s">
        <v>38808</v>
      </c>
      <c r="H1207" s="127">
        <v>45114.0</v>
      </c>
      <c r="I1207" s="9" t="s">
        <v>47</v>
      </c>
      <c r="J1207" s="9" t="s">
        <v>38801</v>
      </c>
      <c r="K1207" s="60">
        <v>45250.0</v>
      </c>
      <c r="M1207" s="9" t="s">
        <v>11629</v>
      </c>
    </row>
    <row r="1208" ht="15.75" hidden="1" customHeight="1">
      <c r="A1208" s="9" t="s">
        <v>40963</v>
      </c>
      <c r="B1208" s="9" t="s">
        <v>15782</v>
      </c>
      <c r="D1208" s="9" t="s">
        <v>12230</v>
      </c>
      <c r="F1208" s="9" t="s">
        <v>39790</v>
      </c>
      <c r="G1208" s="9" t="s">
        <v>38808</v>
      </c>
      <c r="H1208" s="127">
        <v>45114.0</v>
      </c>
      <c r="I1208" s="9" t="s">
        <v>47</v>
      </c>
      <c r="J1208" s="9" t="s">
        <v>38801</v>
      </c>
      <c r="K1208" s="55">
        <v>45114.0</v>
      </c>
      <c r="M1208" s="9" t="s">
        <v>11413</v>
      </c>
    </row>
    <row r="1209" ht="15.75" hidden="1" customHeight="1">
      <c r="A1209" s="9" t="s">
        <v>40964</v>
      </c>
      <c r="B1209" s="9" t="s">
        <v>15957</v>
      </c>
      <c r="D1209" s="9" t="s">
        <v>12239</v>
      </c>
      <c r="F1209" s="9" t="s">
        <v>40678</v>
      </c>
      <c r="G1209" s="9" t="s">
        <v>38946</v>
      </c>
      <c r="H1209" s="127">
        <v>45117.0</v>
      </c>
      <c r="I1209" s="9" t="s">
        <v>131</v>
      </c>
      <c r="J1209" s="9" t="s">
        <v>38801</v>
      </c>
      <c r="K1209" s="55">
        <v>45197.0</v>
      </c>
      <c r="M1209" s="9" t="s">
        <v>12176</v>
      </c>
    </row>
    <row r="1210" ht="15.75" hidden="1" customHeight="1">
      <c r="A1210" s="9" t="s">
        <v>40965</v>
      </c>
      <c r="B1210" s="9" t="s">
        <v>16038</v>
      </c>
      <c r="D1210" s="9" t="s">
        <v>12230</v>
      </c>
      <c r="F1210" s="9" t="s">
        <v>40966</v>
      </c>
      <c r="G1210" s="9" t="s">
        <v>38808</v>
      </c>
      <c r="H1210" s="127">
        <v>45117.0</v>
      </c>
      <c r="I1210" s="9" t="s">
        <v>52</v>
      </c>
      <c r="J1210" s="9" t="s">
        <v>38801</v>
      </c>
      <c r="K1210" s="55">
        <v>45118.0</v>
      </c>
      <c r="M1210" s="9" t="s">
        <v>10486</v>
      </c>
    </row>
    <row r="1211" ht="15.75" hidden="1" customHeight="1">
      <c r="A1211" s="9" t="s">
        <v>40967</v>
      </c>
      <c r="B1211" s="9" t="s">
        <v>15957</v>
      </c>
      <c r="D1211" s="9" t="s">
        <v>12250</v>
      </c>
      <c r="F1211" s="9" t="s">
        <v>40968</v>
      </c>
      <c r="G1211" s="9" t="s">
        <v>38946</v>
      </c>
      <c r="H1211" s="127">
        <v>45117.0</v>
      </c>
      <c r="I1211" s="9" t="s">
        <v>131</v>
      </c>
      <c r="J1211" s="9" t="s">
        <v>38801</v>
      </c>
      <c r="K1211" s="55">
        <v>45118.0</v>
      </c>
      <c r="M1211" s="9" t="s">
        <v>10480</v>
      </c>
    </row>
    <row r="1212" ht="15.75" customHeight="1">
      <c r="A1212" s="52" t="s">
        <v>40969</v>
      </c>
      <c r="B1212" s="9" t="s">
        <v>15957</v>
      </c>
      <c r="D1212" s="9" t="s">
        <v>12227</v>
      </c>
      <c r="E1212" s="9" t="s">
        <v>38803</v>
      </c>
      <c r="F1212" s="9" t="s">
        <v>40970</v>
      </c>
      <c r="G1212" s="9" t="s">
        <v>38946</v>
      </c>
      <c r="H1212" s="127">
        <v>45117.0</v>
      </c>
      <c r="I1212" s="9" t="s">
        <v>131</v>
      </c>
      <c r="J1212" s="9" t="s">
        <v>38805</v>
      </c>
      <c r="M1212" s="9" t="s">
        <v>10482</v>
      </c>
    </row>
    <row r="1213" ht="15.75" hidden="1" customHeight="1">
      <c r="A1213" s="9" t="s">
        <v>40971</v>
      </c>
      <c r="B1213" s="9" t="s">
        <v>12850</v>
      </c>
      <c r="D1213" s="9" t="s">
        <v>12230</v>
      </c>
      <c r="F1213" s="9" t="s">
        <v>40972</v>
      </c>
      <c r="G1213" s="9" t="s">
        <v>38946</v>
      </c>
      <c r="H1213" s="127">
        <v>45118.0</v>
      </c>
      <c r="I1213" s="9" t="s">
        <v>52</v>
      </c>
      <c r="J1213" s="9" t="s">
        <v>38801</v>
      </c>
      <c r="K1213" s="55">
        <v>46100.0</v>
      </c>
      <c r="M1213" s="9" t="s">
        <v>10297</v>
      </c>
    </row>
    <row r="1214" ht="15.75" hidden="1" customHeight="1">
      <c r="A1214" s="9" t="s">
        <v>40973</v>
      </c>
      <c r="B1214" s="9" t="s">
        <v>14299</v>
      </c>
      <c r="D1214" s="9" t="s">
        <v>12236</v>
      </c>
      <c r="F1214" s="9" t="s">
        <v>40974</v>
      </c>
      <c r="G1214" s="9" t="s">
        <v>38808</v>
      </c>
      <c r="H1214" s="127">
        <v>45119.0</v>
      </c>
      <c r="I1214" s="9" t="s">
        <v>47</v>
      </c>
      <c r="J1214" s="9" t="s">
        <v>38801</v>
      </c>
      <c r="K1214" s="55">
        <v>45128.0</v>
      </c>
      <c r="M1214" s="9" t="s">
        <v>11629</v>
      </c>
    </row>
    <row r="1215" ht="15.75" hidden="1" customHeight="1">
      <c r="A1215" s="9" t="s">
        <v>40975</v>
      </c>
      <c r="B1215" s="9" t="s">
        <v>14299</v>
      </c>
      <c r="D1215" s="9" t="s">
        <v>12230</v>
      </c>
      <c r="F1215" s="9" t="s">
        <v>40976</v>
      </c>
      <c r="G1215" s="9" t="s">
        <v>38808</v>
      </c>
      <c r="H1215" s="127">
        <v>45119.0</v>
      </c>
      <c r="I1215" s="9" t="s">
        <v>47</v>
      </c>
      <c r="J1215" s="9" t="s">
        <v>38801</v>
      </c>
      <c r="K1215" s="55">
        <v>45126.0</v>
      </c>
      <c r="M1215" s="9" t="s">
        <v>11629</v>
      </c>
    </row>
    <row r="1216" ht="15.75" hidden="1" customHeight="1">
      <c r="A1216" s="9" t="s">
        <v>40977</v>
      </c>
      <c r="B1216" s="9" t="s">
        <v>15751</v>
      </c>
      <c r="D1216" s="9" t="s">
        <v>12230</v>
      </c>
      <c r="F1216" s="9" t="s">
        <v>40978</v>
      </c>
      <c r="G1216" s="9" t="s">
        <v>38946</v>
      </c>
      <c r="H1216" s="127">
        <v>45119.0</v>
      </c>
      <c r="I1216" s="9" t="s">
        <v>52</v>
      </c>
      <c r="J1216" s="9" t="s">
        <v>38801</v>
      </c>
      <c r="K1216" s="55">
        <v>45126.0</v>
      </c>
      <c r="M1216" s="9" t="s">
        <v>10707</v>
      </c>
    </row>
    <row r="1217" ht="15.75" hidden="1" customHeight="1">
      <c r="A1217" s="9" t="s">
        <v>40979</v>
      </c>
      <c r="B1217" s="9" t="s">
        <v>12850</v>
      </c>
      <c r="D1217" s="9" t="s">
        <v>12250</v>
      </c>
      <c r="F1217" s="9" t="s">
        <v>40980</v>
      </c>
      <c r="G1217" s="9" t="s">
        <v>38946</v>
      </c>
      <c r="H1217" s="127">
        <v>45119.0</v>
      </c>
      <c r="I1217" s="9" t="s">
        <v>47</v>
      </c>
      <c r="J1217" s="9" t="s">
        <v>38801</v>
      </c>
      <c r="K1217" s="55">
        <v>46100.0</v>
      </c>
      <c r="M1217" s="9" t="s">
        <v>10297</v>
      </c>
    </row>
    <row r="1218" ht="15.75" hidden="1" customHeight="1">
      <c r="A1218" s="9" t="s">
        <v>40981</v>
      </c>
      <c r="B1218" s="9" t="s">
        <v>15162</v>
      </c>
      <c r="D1218" s="9" t="s">
        <v>12239</v>
      </c>
      <c r="F1218" s="9" t="s">
        <v>40678</v>
      </c>
      <c r="G1218" s="9" t="s">
        <v>38946</v>
      </c>
      <c r="H1218" s="127">
        <v>45120.0</v>
      </c>
      <c r="I1218" s="9" t="s">
        <v>131</v>
      </c>
      <c r="J1218" s="9" t="s">
        <v>38801</v>
      </c>
      <c r="K1218" s="55">
        <v>45133.0</v>
      </c>
      <c r="M1218" s="9" t="s">
        <v>10447</v>
      </c>
    </row>
    <row r="1219" ht="15.75" hidden="1" customHeight="1">
      <c r="A1219" s="9" t="s">
        <v>40982</v>
      </c>
      <c r="B1219" s="9" t="s">
        <v>15927</v>
      </c>
      <c r="D1219" s="9" t="s">
        <v>12239</v>
      </c>
      <c r="F1219" s="9" t="s">
        <v>40983</v>
      </c>
      <c r="G1219" s="9" t="s">
        <v>38946</v>
      </c>
      <c r="H1219" s="127">
        <v>45120.0</v>
      </c>
      <c r="I1219" s="9" t="s">
        <v>131</v>
      </c>
      <c r="J1219" s="9" t="s">
        <v>38801</v>
      </c>
      <c r="K1219" s="55">
        <v>45132.0</v>
      </c>
      <c r="M1219" s="9" t="s">
        <v>10709</v>
      </c>
    </row>
    <row r="1220" ht="15.75" hidden="1" customHeight="1">
      <c r="A1220" s="9" t="s">
        <v>40984</v>
      </c>
      <c r="B1220" s="9" t="s">
        <v>17252</v>
      </c>
      <c r="D1220" s="9" t="s">
        <v>12236</v>
      </c>
      <c r="F1220" s="9" t="s">
        <v>40985</v>
      </c>
      <c r="G1220" s="9" t="s">
        <v>38946</v>
      </c>
      <c r="H1220" s="127">
        <v>45124.0</v>
      </c>
      <c r="I1220" s="9" t="s">
        <v>131</v>
      </c>
      <c r="J1220" s="9" t="s">
        <v>38801</v>
      </c>
      <c r="K1220" s="60">
        <v>45250.0</v>
      </c>
      <c r="M1220" s="9" t="s">
        <v>9039</v>
      </c>
    </row>
    <row r="1221" ht="15.75" hidden="1" customHeight="1">
      <c r="A1221" s="9" t="s">
        <v>40986</v>
      </c>
      <c r="B1221" s="9" t="s">
        <v>16697</v>
      </c>
      <c r="D1221" s="9" t="s">
        <v>12230</v>
      </c>
      <c r="F1221" s="9" t="s">
        <v>40987</v>
      </c>
      <c r="G1221" s="9" t="s">
        <v>38808</v>
      </c>
      <c r="H1221" s="127">
        <v>45124.0</v>
      </c>
      <c r="I1221" s="9" t="s">
        <v>47</v>
      </c>
      <c r="J1221" s="9" t="s">
        <v>38801</v>
      </c>
      <c r="K1221" s="55">
        <v>45124.0</v>
      </c>
      <c r="M1221" s="9" t="s">
        <v>7298</v>
      </c>
    </row>
    <row r="1222" ht="15.75" hidden="1" customHeight="1">
      <c r="A1222" s="9" t="s">
        <v>40988</v>
      </c>
      <c r="B1222" s="9" t="s">
        <v>15390</v>
      </c>
      <c r="D1222" s="9" t="s">
        <v>12230</v>
      </c>
      <c r="F1222" s="9" t="s">
        <v>40989</v>
      </c>
      <c r="G1222" s="9" t="s">
        <v>38808</v>
      </c>
      <c r="H1222" s="127">
        <v>45126.0</v>
      </c>
      <c r="I1222" s="9" t="s">
        <v>52</v>
      </c>
      <c r="J1222" s="9" t="s">
        <v>38801</v>
      </c>
      <c r="K1222" s="55">
        <v>45168.0</v>
      </c>
      <c r="M1222" s="9" t="s">
        <v>11921</v>
      </c>
    </row>
    <row r="1223" ht="15.75" hidden="1" customHeight="1">
      <c r="A1223" s="9" t="s">
        <v>40990</v>
      </c>
      <c r="B1223" s="9" t="s">
        <v>15886</v>
      </c>
      <c r="D1223" s="9" t="s">
        <v>12248</v>
      </c>
      <c r="F1223" s="9" t="s">
        <v>40991</v>
      </c>
      <c r="G1223" s="9" t="s">
        <v>38946</v>
      </c>
      <c r="H1223" s="127">
        <v>45127.0</v>
      </c>
      <c r="I1223" s="9" t="s">
        <v>131</v>
      </c>
      <c r="J1223" s="9" t="s">
        <v>38801</v>
      </c>
      <c r="K1223" s="55">
        <v>45411.0</v>
      </c>
      <c r="M1223" s="9" t="s">
        <v>9420</v>
      </c>
    </row>
    <row r="1224" ht="15.75" hidden="1" customHeight="1">
      <c r="A1224" s="9" t="s">
        <v>40992</v>
      </c>
      <c r="B1224" s="9" t="s">
        <v>14317</v>
      </c>
      <c r="D1224" s="9" t="s">
        <v>12236</v>
      </c>
      <c r="F1224" s="9" t="s">
        <v>40993</v>
      </c>
      <c r="G1224" s="9" t="s">
        <v>38946</v>
      </c>
      <c r="H1224" s="127">
        <v>45128.0</v>
      </c>
      <c r="I1224" s="9" t="s">
        <v>26</v>
      </c>
      <c r="J1224" s="9" t="s">
        <v>38801</v>
      </c>
      <c r="K1224" s="60">
        <v>45226.0</v>
      </c>
      <c r="M1224" s="9" t="s">
        <v>7026</v>
      </c>
    </row>
    <row r="1225" ht="15.75" hidden="1" customHeight="1">
      <c r="A1225" s="9" t="s">
        <v>40994</v>
      </c>
      <c r="B1225" s="9" t="s">
        <v>14317</v>
      </c>
      <c r="D1225" s="9" t="s">
        <v>12257</v>
      </c>
      <c r="F1225" s="9" t="s">
        <v>40995</v>
      </c>
      <c r="G1225" s="9" t="s">
        <v>38946</v>
      </c>
      <c r="H1225" s="127">
        <v>45128.0</v>
      </c>
      <c r="I1225" s="9" t="s">
        <v>26</v>
      </c>
      <c r="J1225" s="9" t="s">
        <v>38801</v>
      </c>
      <c r="K1225" s="55">
        <v>45174.0</v>
      </c>
      <c r="M1225" s="9" t="s">
        <v>7026</v>
      </c>
    </row>
    <row r="1226" ht="15.75" hidden="1" customHeight="1">
      <c r="A1226" s="9" t="s">
        <v>40996</v>
      </c>
      <c r="B1226" s="9" t="s">
        <v>15364</v>
      </c>
      <c r="D1226" s="9" t="s">
        <v>12230</v>
      </c>
      <c r="F1226" s="9" t="s">
        <v>40006</v>
      </c>
      <c r="G1226" s="9" t="s">
        <v>38946</v>
      </c>
      <c r="H1226" s="127">
        <v>45128.0</v>
      </c>
      <c r="I1226" s="9" t="s">
        <v>52</v>
      </c>
      <c r="J1226" s="9" t="s">
        <v>38801</v>
      </c>
      <c r="K1226" s="55">
        <v>45168.0</v>
      </c>
      <c r="M1226" s="9" t="s">
        <v>12004</v>
      </c>
    </row>
    <row r="1227" ht="15.75" hidden="1" customHeight="1">
      <c r="A1227" s="9" t="s">
        <v>40997</v>
      </c>
      <c r="B1227" s="9" t="s">
        <v>15089</v>
      </c>
      <c r="D1227" s="9" t="s">
        <v>12230</v>
      </c>
      <c r="F1227" s="9" t="s">
        <v>39560</v>
      </c>
      <c r="G1227" s="9" t="s">
        <v>38808</v>
      </c>
      <c r="H1227" s="127">
        <v>45128.0</v>
      </c>
      <c r="I1227" s="9" t="s">
        <v>47</v>
      </c>
      <c r="J1227" s="9" t="s">
        <v>38801</v>
      </c>
      <c r="K1227" s="55">
        <v>45128.0</v>
      </c>
      <c r="M1227" s="9" t="s">
        <v>11358</v>
      </c>
    </row>
    <row r="1228" ht="15.75" hidden="1" customHeight="1">
      <c r="A1228" s="9" t="s">
        <v>40998</v>
      </c>
      <c r="B1228" s="9" t="s">
        <v>15765</v>
      </c>
      <c r="D1228" s="9" t="s">
        <v>12258</v>
      </c>
      <c r="F1228" s="9" t="s">
        <v>40999</v>
      </c>
      <c r="G1228" s="9" t="s">
        <v>38808</v>
      </c>
      <c r="H1228" s="127">
        <v>45132.0</v>
      </c>
      <c r="I1228" s="9" t="s">
        <v>131</v>
      </c>
      <c r="J1228" s="9" t="s">
        <v>38801</v>
      </c>
      <c r="K1228" s="60">
        <v>45226.0</v>
      </c>
      <c r="M1228" s="9" t="s">
        <v>12041</v>
      </c>
    </row>
    <row r="1229" ht="15.75" hidden="1" customHeight="1">
      <c r="A1229" s="9" t="s">
        <v>41000</v>
      </c>
      <c r="B1229" s="9" t="s">
        <v>19396</v>
      </c>
      <c r="D1229" s="9" t="s">
        <v>12250</v>
      </c>
      <c r="F1229" s="9" t="s">
        <v>41001</v>
      </c>
      <c r="G1229" s="9" t="s">
        <v>38808</v>
      </c>
      <c r="H1229" s="127">
        <v>45132.0</v>
      </c>
      <c r="I1229" s="9" t="s">
        <v>47</v>
      </c>
      <c r="J1229" s="9" t="s">
        <v>38801</v>
      </c>
      <c r="K1229" s="55">
        <v>45132.0</v>
      </c>
      <c r="M1229" s="9" t="s">
        <v>11774</v>
      </c>
    </row>
    <row r="1230" ht="15.75" hidden="1" customHeight="1">
      <c r="A1230" s="9" t="s">
        <v>41002</v>
      </c>
      <c r="B1230" s="9" t="s">
        <v>15364</v>
      </c>
      <c r="D1230" s="9" t="s">
        <v>12236</v>
      </c>
      <c r="F1230" s="9" t="s">
        <v>39758</v>
      </c>
      <c r="G1230" s="9" t="s">
        <v>38946</v>
      </c>
      <c r="H1230" s="127">
        <v>45133.0</v>
      </c>
      <c r="I1230" s="9" t="s">
        <v>52</v>
      </c>
      <c r="J1230" s="9" t="s">
        <v>38801</v>
      </c>
      <c r="K1230" s="55">
        <v>45139.0</v>
      </c>
      <c r="M1230" s="9" t="s">
        <v>12004</v>
      </c>
    </row>
    <row r="1231" ht="15.75" hidden="1" customHeight="1">
      <c r="A1231" s="9" t="s">
        <v>41003</v>
      </c>
      <c r="B1231" s="9" t="s">
        <v>12462</v>
      </c>
      <c r="D1231" s="9" t="s">
        <v>12236</v>
      </c>
      <c r="F1231" s="9" t="s">
        <v>41004</v>
      </c>
      <c r="G1231" s="9" t="s">
        <v>38946</v>
      </c>
      <c r="H1231" s="127">
        <v>45135.0</v>
      </c>
      <c r="I1231" s="9" t="s">
        <v>52</v>
      </c>
      <c r="J1231" s="9" t="s">
        <v>38801</v>
      </c>
      <c r="K1231" s="55">
        <v>45135.0</v>
      </c>
      <c r="M1231" s="9" t="s">
        <v>245</v>
      </c>
    </row>
    <row r="1232" ht="15.75" hidden="1" customHeight="1">
      <c r="A1232" s="9" t="s">
        <v>41005</v>
      </c>
      <c r="B1232" s="9" t="s">
        <v>14317</v>
      </c>
      <c r="D1232" s="9" t="s">
        <v>12236</v>
      </c>
      <c r="F1232" s="9" t="s">
        <v>41006</v>
      </c>
      <c r="G1232" s="9" t="s">
        <v>38946</v>
      </c>
      <c r="H1232" s="127">
        <v>45135.0</v>
      </c>
      <c r="I1232" s="9" t="s">
        <v>52</v>
      </c>
      <c r="J1232" s="9" t="s">
        <v>38801</v>
      </c>
      <c r="K1232" s="55">
        <v>45135.0</v>
      </c>
      <c r="M1232" s="9" t="s">
        <v>7041</v>
      </c>
    </row>
    <row r="1233" ht="15.75" hidden="1" customHeight="1">
      <c r="A1233" s="9" t="s">
        <v>41007</v>
      </c>
      <c r="B1233" s="9" t="s">
        <v>16129</v>
      </c>
      <c r="D1233" s="9" t="s">
        <v>12250</v>
      </c>
      <c r="F1233" s="9" t="s">
        <v>41008</v>
      </c>
      <c r="G1233" s="9" t="s">
        <v>38808</v>
      </c>
      <c r="H1233" s="127">
        <v>45142.0</v>
      </c>
      <c r="I1233" s="9" t="s">
        <v>47</v>
      </c>
      <c r="J1233" s="9" t="s">
        <v>38801</v>
      </c>
      <c r="K1233" s="55">
        <v>45142.0</v>
      </c>
      <c r="M1233" s="9" t="s">
        <v>10496</v>
      </c>
    </row>
    <row r="1234" ht="15.75" customHeight="1">
      <c r="A1234" s="9" t="s">
        <v>41009</v>
      </c>
      <c r="B1234" s="9" t="s">
        <v>16816</v>
      </c>
      <c r="D1234" s="9" t="s">
        <v>12227</v>
      </c>
      <c r="E1234" s="9" t="s">
        <v>38803</v>
      </c>
      <c r="F1234" s="9" t="s">
        <v>41010</v>
      </c>
      <c r="G1234" s="9" t="s">
        <v>38946</v>
      </c>
      <c r="H1234" s="127">
        <v>45142.0</v>
      </c>
      <c r="I1234" s="9" t="s">
        <v>131</v>
      </c>
      <c r="J1234" s="9" t="s">
        <v>38805</v>
      </c>
      <c r="M1234" s="9" t="s">
        <v>10529</v>
      </c>
    </row>
    <row r="1235" ht="15.75" hidden="1" customHeight="1">
      <c r="A1235" s="9" t="s">
        <v>41011</v>
      </c>
      <c r="B1235" s="9" t="s">
        <v>15666</v>
      </c>
      <c r="D1235" s="9" t="s">
        <v>12239</v>
      </c>
      <c r="F1235" s="9" t="s">
        <v>41012</v>
      </c>
      <c r="G1235" s="9" t="s">
        <v>38946</v>
      </c>
      <c r="H1235" s="127">
        <v>45148.0</v>
      </c>
      <c r="I1235" s="9" t="s">
        <v>131</v>
      </c>
      <c r="J1235" s="9" t="s">
        <v>38801</v>
      </c>
      <c r="K1235" s="55">
        <v>45148.0</v>
      </c>
      <c r="M1235" s="9" t="s">
        <v>4011</v>
      </c>
    </row>
    <row r="1236" ht="15.75" hidden="1" customHeight="1">
      <c r="A1236" s="9" t="s">
        <v>41013</v>
      </c>
      <c r="B1236" s="9" t="s">
        <v>13846</v>
      </c>
      <c r="D1236" s="9" t="s">
        <v>12248</v>
      </c>
      <c r="F1236" s="9" t="s">
        <v>41014</v>
      </c>
      <c r="G1236" s="9" t="s">
        <v>38808</v>
      </c>
      <c r="H1236" s="127">
        <v>45149.0</v>
      </c>
      <c r="I1236" s="9" t="s">
        <v>47</v>
      </c>
      <c r="J1236" s="9" t="s">
        <v>38801</v>
      </c>
      <c r="K1236" s="55">
        <v>45537.0</v>
      </c>
      <c r="M1236" s="9" t="s">
        <v>8545</v>
      </c>
    </row>
    <row r="1237" ht="15.75" hidden="1" customHeight="1">
      <c r="A1237" s="9" t="s">
        <v>41015</v>
      </c>
      <c r="B1237" s="9" t="s">
        <v>16477</v>
      </c>
      <c r="D1237" s="9" t="s">
        <v>12256</v>
      </c>
      <c r="F1237" s="9" t="s">
        <v>41016</v>
      </c>
      <c r="G1237" s="9" t="s">
        <v>38946</v>
      </c>
      <c r="H1237" s="127">
        <v>45152.0</v>
      </c>
      <c r="I1237" s="9" t="s">
        <v>131</v>
      </c>
      <c r="J1237" s="9" t="s">
        <v>38801</v>
      </c>
      <c r="K1237" s="55">
        <v>45154.0</v>
      </c>
      <c r="M1237" s="9" t="s">
        <v>10518</v>
      </c>
    </row>
    <row r="1238" ht="15.75" hidden="1" customHeight="1">
      <c r="A1238" s="9" t="s">
        <v>41017</v>
      </c>
      <c r="B1238" s="9" t="s">
        <v>15608</v>
      </c>
      <c r="D1238" s="9" t="s">
        <v>12230</v>
      </c>
      <c r="F1238" s="9" t="s">
        <v>41018</v>
      </c>
      <c r="G1238" s="9" t="s">
        <v>38946</v>
      </c>
      <c r="H1238" s="127">
        <v>45152.0</v>
      </c>
      <c r="I1238" s="9" t="s">
        <v>131</v>
      </c>
      <c r="J1238" s="9" t="s">
        <v>38801</v>
      </c>
      <c r="K1238" s="55">
        <v>45152.0</v>
      </c>
      <c r="M1238" s="9" t="s">
        <v>12065</v>
      </c>
    </row>
    <row r="1239" ht="15.75" hidden="1" customHeight="1">
      <c r="A1239" s="9" t="s">
        <v>41019</v>
      </c>
      <c r="B1239" s="9" t="s">
        <v>15089</v>
      </c>
      <c r="D1239" s="9" t="s">
        <v>12239</v>
      </c>
      <c r="F1239" s="9" t="s">
        <v>41020</v>
      </c>
      <c r="G1239" s="9" t="s">
        <v>38946</v>
      </c>
      <c r="H1239" s="127">
        <v>45155.0</v>
      </c>
      <c r="I1239" s="9" t="s">
        <v>76</v>
      </c>
      <c r="J1239" s="9" t="s">
        <v>38801</v>
      </c>
      <c r="K1239" s="60">
        <v>45210.0</v>
      </c>
      <c r="M1239" s="9" t="s">
        <v>11358</v>
      </c>
    </row>
    <row r="1240" ht="15.75" hidden="1" customHeight="1">
      <c r="A1240" s="9" t="s">
        <v>41021</v>
      </c>
      <c r="B1240" s="9" t="s">
        <v>15089</v>
      </c>
      <c r="D1240" s="9" t="s">
        <v>12254</v>
      </c>
      <c r="F1240" s="9" t="s">
        <v>41022</v>
      </c>
      <c r="G1240" s="9" t="s">
        <v>38946</v>
      </c>
      <c r="H1240" s="127">
        <v>45155.0</v>
      </c>
      <c r="I1240" s="9" t="s">
        <v>76</v>
      </c>
      <c r="J1240" s="9" t="s">
        <v>38801</v>
      </c>
      <c r="K1240" s="55">
        <v>45174.0</v>
      </c>
      <c r="M1240" s="9" t="s">
        <v>11358</v>
      </c>
    </row>
    <row r="1241" ht="15.75" hidden="1" customHeight="1">
      <c r="A1241" s="9" t="s">
        <v>41023</v>
      </c>
      <c r="B1241" s="9" t="s">
        <v>15089</v>
      </c>
      <c r="D1241" s="9" t="s">
        <v>12257</v>
      </c>
      <c r="F1241" s="9" t="s">
        <v>41024</v>
      </c>
      <c r="G1241" s="9" t="s">
        <v>38946</v>
      </c>
      <c r="H1241" s="127">
        <v>45155.0</v>
      </c>
      <c r="I1241" s="9" t="s">
        <v>76</v>
      </c>
      <c r="J1241" s="9" t="s">
        <v>38801</v>
      </c>
      <c r="K1241" s="55">
        <v>45174.0</v>
      </c>
      <c r="M1241" s="9" t="s">
        <v>11358</v>
      </c>
    </row>
    <row r="1242" ht="15.75" hidden="1" customHeight="1">
      <c r="A1242" s="9" t="s">
        <v>41025</v>
      </c>
      <c r="B1242" s="9" t="s">
        <v>15529</v>
      </c>
      <c r="D1242" s="9" t="s">
        <v>12230</v>
      </c>
      <c r="F1242" s="9" t="s">
        <v>39853</v>
      </c>
      <c r="G1242" s="9" t="s">
        <v>38808</v>
      </c>
      <c r="H1242" s="127">
        <v>45156.0</v>
      </c>
      <c r="I1242" s="9" t="s">
        <v>47</v>
      </c>
      <c r="J1242" s="9" t="s">
        <v>38801</v>
      </c>
      <c r="K1242" s="55">
        <v>45411.0</v>
      </c>
      <c r="M1242" s="9" t="s">
        <v>6583</v>
      </c>
    </row>
    <row r="1243" ht="15.75" hidden="1" customHeight="1">
      <c r="A1243" s="9" t="s">
        <v>41026</v>
      </c>
      <c r="B1243" s="9" t="s">
        <v>15529</v>
      </c>
      <c r="D1243" s="9" t="s">
        <v>12236</v>
      </c>
      <c r="F1243" s="9" t="s">
        <v>41027</v>
      </c>
      <c r="G1243" s="9" t="s">
        <v>38808</v>
      </c>
      <c r="H1243" s="127">
        <v>45156.0</v>
      </c>
      <c r="I1243" s="9" t="s">
        <v>47</v>
      </c>
      <c r="J1243" s="9" t="s">
        <v>38801</v>
      </c>
      <c r="K1243" s="55">
        <v>45411.0</v>
      </c>
      <c r="M1243" s="9" t="s">
        <v>6583</v>
      </c>
    </row>
    <row r="1244" ht="15.75" hidden="1" customHeight="1">
      <c r="A1244" s="9" t="s">
        <v>41028</v>
      </c>
      <c r="B1244" s="9" t="s">
        <v>15520</v>
      </c>
      <c r="D1244" s="9" t="s">
        <v>12230</v>
      </c>
      <c r="F1244" s="9" t="s">
        <v>41029</v>
      </c>
      <c r="G1244" s="9" t="s">
        <v>38808</v>
      </c>
      <c r="H1244" s="127">
        <v>45156.0</v>
      </c>
      <c r="I1244" s="9" t="s">
        <v>52</v>
      </c>
      <c r="J1244" s="9" t="s">
        <v>38801</v>
      </c>
      <c r="K1244" s="55">
        <v>45411.0</v>
      </c>
      <c r="M1244" s="9" t="s">
        <v>7020</v>
      </c>
    </row>
    <row r="1245" ht="15.75" hidden="1" customHeight="1">
      <c r="A1245" s="9" t="s">
        <v>41030</v>
      </c>
      <c r="B1245" s="9" t="s">
        <v>15520</v>
      </c>
      <c r="D1245" s="9" t="s">
        <v>12236</v>
      </c>
      <c r="F1245" s="9" t="s">
        <v>40881</v>
      </c>
      <c r="G1245" s="9" t="s">
        <v>38808</v>
      </c>
      <c r="H1245" s="127">
        <v>45156.0</v>
      </c>
      <c r="I1245" s="9" t="s">
        <v>52</v>
      </c>
      <c r="J1245" s="9" t="s">
        <v>38801</v>
      </c>
      <c r="K1245" s="55">
        <v>45411.0</v>
      </c>
      <c r="M1245" s="9" t="s">
        <v>7020</v>
      </c>
    </row>
    <row r="1246" ht="15.75" hidden="1" customHeight="1">
      <c r="A1246" s="9" t="s">
        <v>41031</v>
      </c>
      <c r="B1246" s="9" t="s">
        <v>14004</v>
      </c>
      <c r="D1246" s="9" t="s">
        <v>12236</v>
      </c>
      <c r="F1246" s="9" t="s">
        <v>41032</v>
      </c>
      <c r="G1246" s="9" t="s">
        <v>38946</v>
      </c>
      <c r="H1246" s="127">
        <v>45156.0</v>
      </c>
      <c r="I1246" s="9" t="s">
        <v>131</v>
      </c>
      <c r="J1246" s="9" t="s">
        <v>38801</v>
      </c>
      <c r="K1246" s="55">
        <v>45156.0</v>
      </c>
      <c r="M1246" s="9" t="s">
        <v>10368</v>
      </c>
    </row>
    <row r="1247" ht="15.75" hidden="1" customHeight="1">
      <c r="A1247" s="9" t="s">
        <v>41033</v>
      </c>
      <c r="B1247" s="9" t="s">
        <v>14815</v>
      </c>
      <c r="D1247" s="9" t="s">
        <v>12230</v>
      </c>
      <c r="F1247" s="9" t="s">
        <v>40006</v>
      </c>
      <c r="G1247" s="9" t="s">
        <v>38808</v>
      </c>
      <c r="H1247" s="127">
        <v>45159.0</v>
      </c>
      <c r="I1247" s="9" t="s">
        <v>52</v>
      </c>
      <c r="J1247" s="9" t="s">
        <v>38801</v>
      </c>
      <c r="K1247" s="55">
        <v>45173.0</v>
      </c>
      <c r="M1247" s="9" t="s">
        <v>11899</v>
      </c>
    </row>
    <row r="1248" ht="15.75" hidden="1" customHeight="1">
      <c r="A1248" s="52" t="s">
        <v>41034</v>
      </c>
      <c r="B1248" s="9" t="s">
        <v>14815</v>
      </c>
      <c r="D1248" s="9" t="s">
        <v>12230</v>
      </c>
      <c r="F1248" s="9" t="s">
        <v>40006</v>
      </c>
      <c r="G1248" s="9" t="s">
        <v>38808</v>
      </c>
      <c r="H1248" s="127">
        <v>45159.0</v>
      </c>
      <c r="I1248" s="9" t="s">
        <v>52</v>
      </c>
      <c r="J1248" s="9" t="s">
        <v>38801</v>
      </c>
      <c r="K1248" s="55">
        <v>45173.0</v>
      </c>
      <c r="M1248" s="9" t="s">
        <v>10423</v>
      </c>
    </row>
    <row r="1249" ht="15.75" hidden="1" customHeight="1">
      <c r="A1249" s="9" t="s">
        <v>41035</v>
      </c>
      <c r="B1249" s="9" t="s">
        <v>12986</v>
      </c>
      <c r="D1249" s="9" t="s">
        <v>12230</v>
      </c>
      <c r="F1249" s="9" t="s">
        <v>41036</v>
      </c>
      <c r="G1249" s="9" t="s">
        <v>38808</v>
      </c>
      <c r="H1249" s="127">
        <v>45163.0</v>
      </c>
      <c r="I1249" s="9" t="s">
        <v>47</v>
      </c>
      <c r="J1249" s="9" t="s">
        <v>38801</v>
      </c>
      <c r="K1249" s="55">
        <v>45168.0</v>
      </c>
      <c r="M1249" s="9" t="s">
        <v>10308</v>
      </c>
    </row>
    <row r="1250" ht="15.75" hidden="1" customHeight="1">
      <c r="A1250" s="9" t="s">
        <v>41037</v>
      </c>
      <c r="B1250" s="9" t="s">
        <v>15454</v>
      </c>
      <c r="D1250" s="9" t="s">
        <v>12250</v>
      </c>
      <c r="F1250" s="9" t="s">
        <v>41038</v>
      </c>
      <c r="G1250" s="9" t="s">
        <v>38946</v>
      </c>
      <c r="H1250" s="127">
        <v>45163.0</v>
      </c>
      <c r="I1250" s="9" t="s">
        <v>47</v>
      </c>
      <c r="J1250" s="9" t="s">
        <v>38801</v>
      </c>
      <c r="K1250" s="55">
        <v>45163.0</v>
      </c>
      <c r="M1250" s="9" t="s">
        <v>8578</v>
      </c>
    </row>
    <row r="1251" ht="15.75" hidden="1" customHeight="1">
      <c r="A1251" s="9" t="s">
        <v>41039</v>
      </c>
      <c r="B1251" s="9" t="s">
        <v>15454</v>
      </c>
      <c r="D1251" s="9" t="s">
        <v>12230</v>
      </c>
      <c r="F1251" s="9" t="s">
        <v>41040</v>
      </c>
      <c r="G1251" s="9" t="s">
        <v>38946</v>
      </c>
      <c r="H1251" s="127">
        <v>45163.0</v>
      </c>
      <c r="I1251" s="9" t="s">
        <v>47</v>
      </c>
      <c r="J1251" s="9" t="s">
        <v>38801</v>
      </c>
      <c r="K1251" s="55">
        <v>45163.0</v>
      </c>
      <c r="M1251" s="9" t="s">
        <v>8578</v>
      </c>
    </row>
    <row r="1252" ht="15.75" hidden="1" customHeight="1">
      <c r="A1252" s="52" t="s">
        <v>41041</v>
      </c>
      <c r="B1252" s="9" t="s">
        <v>14037</v>
      </c>
      <c r="D1252" s="9" t="s">
        <v>12246</v>
      </c>
      <c r="F1252" s="9" t="s">
        <v>41042</v>
      </c>
      <c r="G1252" s="9" t="s">
        <v>38946</v>
      </c>
      <c r="H1252" s="127">
        <v>45167.0</v>
      </c>
      <c r="I1252" s="9" t="s">
        <v>131</v>
      </c>
      <c r="J1252" s="9" t="s">
        <v>38801</v>
      </c>
      <c r="K1252" s="55">
        <v>45174.0</v>
      </c>
      <c r="M1252" s="9" t="s">
        <v>5472</v>
      </c>
    </row>
    <row r="1253" ht="15.75" hidden="1" customHeight="1">
      <c r="A1253" s="9" t="s">
        <v>41043</v>
      </c>
      <c r="B1253" s="9" t="s">
        <v>15425</v>
      </c>
      <c r="D1253" s="9" t="s">
        <v>12224</v>
      </c>
      <c r="F1253" s="9" t="s">
        <v>41044</v>
      </c>
      <c r="G1253" s="9" t="s">
        <v>38808</v>
      </c>
      <c r="H1253" s="127">
        <v>45167.0</v>
      </c>
      <c r="I1253" s="9" t="s">
        <v>47</v>
      </c>
      <c r="J1253" s="9" t="s">
        <v>38801</v>
      </c>
      <c r="K1253" s="55">
        <v>45174.0</v>
      </c>
      <c r="M1253" s="9" t="s">
        <v>8166</v>
      </c>
    </row>
    <row r="1254" ht="15.75" hidden="1" customHeight="1">
      <c r="A1254" s="9" t="s">
        <v>41045</v>
      </c>
      <c r="B1254" s="9" t="s">
        <v>14590</v>
      </c>
      <c r="D1254" s="9" t="s">
        <v>12230</v>
      </c>
      <c r="F1254" s="9" t="s">
        <v>40154</v>
      </c>
      <c r="G1254" s="9" t="s">
        <v>38946</v>
      </c>
      <c r="H1254" s="127">
        <v>45168.0</v>
      </c>
      <c r="I1254" s="9" t="s">
        <v>131</v>
      </c>
      <c r="J1254" s="9" t="s">
        <v>38801</v>
      </c>
      <c r="K1254" s="60">
        <v>45222.0</v>
      </c>
      <c r="M1254" s="9" t="s">
        <v>12136</v>
      </c>
    </row>
    <row r="1255" ht="15.75" hidden="1" customHeight="1">
      <c r="A1255" s="9" t="s">
        <v>41046</v>
      </c>
      <c r="B1255" s="9" t="s">
        <v>13361</v>
      </c>
      <c r="D1255" s="9" t="s">
        <v>12239</v>
      </c>
      <c r="F1255" s="9" t="s">
        <v>40678</v>
      </c>
      <c r="G1255" s="9" t="s">
        <v>38946</v>
      </c>
      <c r="H1255" s="127">
        <v>45169.0</v>
      </c>
      <c r="I1255" s="9" t="s">
        <v>131</v>
      </c>
      <c r="J1255" s="9" t="s">
        <v>38801</v>
      </c>
      <c r="K1255" s="60">
        <v>45210.0</v>
      </c>
      <c r="M1255" s="9" t="s">
        <v>12132</v>
      </c>
    </row>
    <row r="1256" ht="15.75" hidden="1" customHeight="1">
      <c r="A1256" s="9" t="s">
        <v>41047</v>
      </c>
      <c r="B1256" s="9" t="s">
        <v>13361</v>
      </c>
      <c r="D1256" s="9" t="s">
        <v>12230</v>
      </c>
      <c r="F1256" s="9" t="s">
        <v>41048</v>
      </c>
      <c r="G1256" s="9" t="s">
        <v>38946</v>
      </c>
      <c r="H1256" s="127">
        <v>45170.0</v>
      </c>
      <c r="I1256" s="9" t="s">
        <v>131</v>
      </c>
      <c r="J1256" s="9" t="s">
        <v>38801</v>
      </c>
      <c r="K1256" s="55">
        <v>45175.0</v>
      </c>
      <c r="M1256" s="9" t="s">
        <v>11640</v>
      </c>
    </row>
    <row r="1257" ht="15.75" hidden="1" customHeight="1">
      <c r="A1257" s="9" t="s">
        <v>41049</v>
      </c>
      <c r="B1257" s="9" t="s">
        <v>15351</v>
      </c>
      <c r="D1257" s="9" t="s">
        <v>12246</v>
      </c>
      <c r="F1257" s="9" t="s">
        <v>41050</v>
      </c>
      <c r="G1257" s="9" t="s">
        <v>38808</v>
      </c>
      <c r="H1257" s="127">
        <v>45173.0</v>
      </c>
      <c r="I1257" s="9" t="s">
        <v>47</v>
      </c>
      <c r="J1257" s="9" t="s">
        <v>38801</v>
      </c>
      <c r="K1257" s="55">
        <v>45433.0</v>
      </c>
      <c r="M1257" s="9" t="s">
        <v>1579</v>
      </c>
    </row>
    <row r="1258" ht="15.75" hidden="1" customHeight="1">
      <c r="A1258" s="9" t="s">
        <v>41051</v>
      </c>
      <c r="B1258" s="9" t="s">
        <v>14432</v>
      </c>
      <c r="D1258" s="9" t="s">
        <v>12230</v>
      </c>
      <c r="F1258" s="9" t="s">
        <v>40154</v>
      </c>
      <c r="G1258" s="9" t="s">
        <v>38946</v>
      </c>
      <c r="H1258" s="127">
        <v>45174.0</v>
      </c>
      <c r="I1258" s="9" t="s">
        <v>131</v>
      </c>
      <c r="J1258" s="9" t="s">
        <v>38801</v>
      </c>
      <c r="K1258" s="55">
        <v>45175.0</v>
      </c>
      <c r="M1258" s="9" t="s">
        <v>11800</v>
      </c>
    </row>
    <row r="1259" ht="15.75" hidden="1" customHeight="1">
      <c r="A1259" s="9" t="s">
        <v>41052</v>
      </c>
      <c r="B1259" s="9" t="s">
        <v>14549</v>
      </c>
      <c r="D1259" s="9" t="s">
        <v>12254</v>
      </c>
      <c r="F1259" s="9" t="s">
        <v>41053</v>
      </c>
      <c r="G1259" s="9" t="s">
        <v>38946</v>
      </c>
      <c r="H1259" s="127">
        <v>45176.0</v>
      </c>
      <c r="I1259" s="9" t="s">
        <v>253</v>
      </c>
      <c r="J1259" s="9" t="s">
        <v>38801</v>
      </c>
      <c r="K1259" s="60">
        <v>45251.0</v>
      </c>
      <c r="M1259" s="9" t="s">
        <v>255</v>
      </c>
    </row>
    <row r="1260" ht="15.75" hidden="1" customHeight="1">
      <c r="A1260" s="9" t="s">
        <v>41054</v>
      </c>
      <c r="B1260" s="9" t="s">
        <v>12963</v>
      </c>
      <c r="D1260" s="9" t="s">
        <v>12254</v>
      </c>
      <c r="F1260" s="9" t="s">
        <v>41055</v>
      </c>
      <c r="G1260" s="9" t="s">
        <v>38946</v>
      </c>
      <c r="H1260" s="127">
        <v>45176.0</v>
      </c>
      <c r="I1260" s="9" t="s">
        <v>253</v>
      </c>
      <c r="J1260" s="9" t="s">
        <v>38801</v>
      </c>
      <c r="K1260" s="60">
        <v>45251.0</v>
      </c>
      <c r="M1260" s="9" t="s">
        <v>10303</v>
      </c>
    </row>
    <row r="1261" ht="15.75" hidden="1" customHeight="1">
      <c r="A1261" s="9" t="s">
        <v>41056</v>
      </c>
      <c r="B1261" s="9" t="s">
        <v>18509</v>
      </c>
      <c r="D1261" s="9" t="s">
        <v>12254</v>
      </c>
      <c r="F1261" s="9" t="s">
        <v>41057</v>
      </c>
      <c r="G1261" s="9" t="s">
        <v>38946</v>
      </c>
      <c r="H1261" s="127">
        <v>45176.0</v>
      </c>
      <c r="I1261" s="9" t="s">
        <v>253</v>
      </c>
      <c r="J1261" s="9" t="s">
        <v>38801</v>
      </c>
      <c r="K1261" s="60">
        <v>45251.0</v>
      </c>
      <c r="M1261" s="9" t="s">
        <v>11623</v>
      </c>
    </row>
    <row r="1262" ht="15.75" hidden="1" customHeight="1">
      <c r="A1262" s="9" t="s">
        <v>41058</v>
      </c>
      <c r="B1262" s="9" t="s">
        <v>12379</v>
      </c>
      <c r="D1262" s="9" t="s">
        <v>12254</v>
      </c>
      <c r="F1262" s="9" t="s">
        <v>41059</v>
      </c>
      <c r="G1262" s="9" t="s">
        <v>38946</v>
      </c>
      <c r="H1262" s="127">
        <v>45176.0</v>
      </c>
      <c r="I1262" s="9" t="s">
        <v>253</v>
      </c>
      <c r="J1262" s="9" t="s">
        <v>38801</v>
      </c>
      <c r="K1262" s="60">
        <v>45251.0</v>
      </c>
      <c r="M1262" s="9" t="s">
        <v>3864</v>
      </c>
    </row>
    <row r="1263" ht="15.75" hidden="1" customHeight="1">
      <c r="A1263" s="9" t="s">
        <v>41060</v>
      </c>
      <c r="B1263" s="9" t="s">
        <v>19532</v>
      </c>
      <c r="D1263" s="9" t="s">
        <v>12254</v>
      </c>
      <c r="F1263" s="9" t="s">
        <v>41061</v>
      </c>
      <c r="G1263" s="9" t="s">
        <v>38946</v>
      </c>
      <c r="H1263" s="127">
        <v>45176.0</v>
      </c>
      <c r="I1263" s="9" t="s">
        <v>253</v>
      </c>
      <c r="J1263" s="9" t="s">
        <v>38801</v>
      </c>
      <c r="K1263" s="60">
        <v>45251.0</v>
      </c>
      <c r="M1263" s="9" t="s">
        <v>254</v>
      </c>
    </row>
    <row r="1264" ht="15.75" hidden="1" customHeight="1">
      <c r="A1264" s="9" t="s">
        <v>41062</v>
      </c>
      <c r="B1264" s="9" t="s">
        <v>17139</v>
      </c>
      <c r="D1264" s="9" t="s">
        <v>12254</v>
      </c>
      <c r="F1264" s="9" t="s">
        <v>41063</v>
      </c>
      <c r="G1264" s="9" t="s">
        <v>38946</v>
      </c>
      <c r="H1264" s="127">
        <v>45176.0</v>
      </c>
      <c r="I1264" s="9" t="s">
        <v>253</v>
      </c>
      <c r="J1264" s="9" t="s">
        <v>38801</v>
      </c>
      <c r="K1264" s="60">
        <v>45251.0</v>
      </c>
      <c r="M1264" s="9" t="s">
        <v>10552</v>
      </c>
    </row>
    <row r="1265" ht="15.75" hidden="1" customHeight="1">
      <c r="A1265" s="9" t="s">
        <v>41064</v>
      </c>
      <c r="B1265" s="9" t="s">
        <v>14449</v>
      </c>
      <c r="D1265" s="9" t="s">
        <v>12254</v>
      </c>
      <c r="F1265" s="9" t="s">
        <v>41065</v>
      </c>
      <c r="G1265" s="9" t="s">
        <v>38946</v>
      </c>
      <c r="H1265" s="127">
        <v>45176.0</v>
      </c>
      <c r="I1265" s="9" t="s">
        <v>253</v>
      </c>
      <c r="J1265" s="9" t="s">
        <v>38801</v>
      </c>
      <c r="K1265" s="60">
        <v>45251.0</v>
      </c>
      <c r="M1265" s="9" t="s">
        <v>10509</v>
      </c>
    </row>
    <row r="1266" ht="15.75" hidden="1" customHeight="1">
      <c r="A1266" s="52" t="s">
        <v>41066</v>
      </c>
      <c r="B1266" s="9" t="s">
        <v>16129</v>
      </c>
      <c r="D1266" s="9" t="s">
        <v>12254</v>
      </c>
      <c r="F1266" s="9" t="s">
        <v>41067</v>
      </c>
      <c r="G1266" s="9" t="s">
        <v>38946</v>
      </c>
      <c r="H1266" s="127">
        <v>45176.0</v>
      </c>
      <c r="I1266" s="9" t="s">
        <v>253</v>
      </c>
      <c r="J1266" s="9" t="s">
        <v>38801</v>
      </c>
      <c r="K1266" s="60">
        <v>45251.0</v>
      </c>
      <c r="M1266" s="9" t="s">
        <v>10496</v>
      </c>
    </row>
    <row r="1267" ht="15.75" hidden="1" customHeight="1">
      <c r="A1267" s="9" t="s">
        <v>41068</v>
      </c>
      <c r="B1267" s="9" t="s">
        <v>16628</v>
      </c>
      <c r="D1267" s="9" t="s">
        <v>12254</v>
      </c>
      <c r="F1267" s="9" t="s">
        <v>41069</v>
      </c>
      <c r="G1267" s="9" t="s">
        <v>38946</v>
      </c>
      <c r="H1267" s="127">
        <v>45176.0</v>
      </c>
      <c r="I1267" s="9" t="s">
        <v>253</v>
      </c>
      <c r="J1267" s="9" t="s">
        <v>38801</v>
      </c>
      <c r="K1267" s="60">
        <v>45251.0</v>
      </c>
      <c r="M1267" s="52" t="s">
        <v>16619</v>
      </c>
    </row>
    <row r="1268" ht="15.75" hidden="1" customHeight="1">
      <c r="A1268" s="9" t="s">
        <v>41070</v>
      </c>
      <c r="B1268" s="9" t="s">
        <v>12963</v>
      </c>
      <c r="D1268" s="9" t="s">
        <v>12254</v>
      </c>
      <c r="F1268" s="9" t="s">
        <v>41071</v>
      </c>
      <c r="G1268" s="9" t="s">
        <v>38946</v>
      </c>
      <c r="H1268" s="127">
        <v>45176.0</v>
      </c>
      <c r="I1268" s="9" t="s">
        <v>253</v>
      </c>
      <c r="J1268" s="9" t="s">
        <v>38801</v>
      </c>
      <c r="K1268" s="60">
        <v>45251.0</v>
      </c>
      <c r="M1268" s="9" t="s">
        <v>10303</v>
      </c>
    </row>
    <row r="1269" ht="15.75" hidden="1" customHeight="1">
      <c r="A1269" s="9" t="s">
        <v>41072</v>
      </c>
      <c r="B1269" s="9" t="s">
        <v>19532</v>
      </c>
      <c r="D1269" s="9" t="s">
        <v>12254</v>
      </c>
      <c r="F1269" s="9" t="s">
        <v>41073</v>
      </c>
      <c r="G1269" s="9" t="s">
        <v>38946</v>
      </c>
      <c r="H1269" s="127">
        <v>45176.0</v>
      </c>
      <c r="I1269" s="9" t="s">
        <v>253</v>
      </c>
      <c r="J1269" s="9" t="s">
        <v>38801</v>
      </c>
      <c r="K1269" s="60">
        <v>45251.0</v>
      </c>
      <c r="M1269" s="9" t="s">
        <v>254</v>
      </c>
    </row>
    <row r="1270" ht="15.75" hidden="1" customHeight="1">
      <c r="A1270" s="9" t="s">
        <v>41074</v>
      </c>
      <c r="B1270" s="9" t="s">
        <v>16522</v>
      </c>
      <c r="D1270" s="9" t="s">
        <v>12254</v>
      </c>
      <c r="F1270" s="9" t="s">
        <v>41075</v>
      </c>
      <c r="G1270" s="9" t="s">
        <v>38946</v>
      </c>
      <c r="H1270" s="127">
        <v>45176.0</v>
      </c>
      <c r="I1270" s="9" t="s">
        <v>253</v>
      </c>
      <c r="J1270" s="9" t="s">
        <v>38801</v>
      </c>
      <c r="K1270" s="60">
        <v>45251.0</v>
      </c>
      <c r="M1270" s="9" t="s">
        <v>12016</v>
      </c>
    </row>
    <row r="1271" ht="15.75" hidden="1" customHeight="1">
      <c r="A1271" s="9" t="s">
        <v>41076</v>
      </c>
      <c r="B1271" s="9" t="s">
        <v>15718</v>
      </c>
      <c r="D1271" s="9" t="s">
        <v>12254</v>
      </c>
      <c r="F1271" s="9" t="s">
        <v>41077</v>
      </c>
      <c r="G1271" s="9" t="s">
        <v>38946</v>
      </c>
      <c r="H1271" s="127">
        <v>45176.0</v>
      </c>
      <c r="I1271" s="9" t="s">
        <v>253</v>
      </c>
      <c r="J1271" s="9" t="s">
        <v>38801</v>
      </c>
      <c r="K1271" s="60">
        <v>45251.0</v>
      </c>
      <c r="M1271" s="9" t="s">
        <v>270</v>
      </c>
    </row>
    <row r="1272" ht="15.75" hidden="1" customHeight="1">
      <c r="A1272" s="9" t="s">
        <v>41078</v>
      </c>
      <c r="B1272" s="9" t="s">
        <v>16417</v>
      </c>
      <c r="D1272" s="9" t="s">
        <v>12254</v>
      </c>
      <c r="F1272" s="9" t="s">
        <v>41079</v>
      </c>
      <c r="G1272" s="9" t="s">
        <v>38946</v>
      </c>
      <c r="H1272" s="127">
        <v>45176.0</v>
      </c>
      <c r="I1272" s="9" t="s">
        <v>253</v>
      </c>
      <c r="J1272" s="9" t="s">
        <v>38801</v>
      </c>
      <c r="K1272" s="60">
        <v>45251.0</v>
      </c>
      <c r="M1272" s="9" t="s">
        <v>3233</v>
      </c>
    </row>
    <row r="1273" ht="15.75" hidden="1" customHeight="1">
      <c r="A1273" s="9" t="s">
        <v>41080</v>
      </c>
      <c r="B1273" s="9" t="s">
        <v>14432</v>
      </c>
      <c r="D1273" s="9" t="s">
        <v>12239</v>
      </c>
      <c r="F1273" s="9" t="s">
        <v>40678</v>
      </c>
      <c r="G1273" s="9" t="s">
        <v>38946</v>
      </c>
      <c r="H1273" s="127">
        <v>45176.0</v>
      </c>
      <c r="I1273" s="9" t="s">
        <v>131</v>
      </c>
      <c r="J1273" s="9" t="s">
        <v>38801</v>
      </c>
      <c r="K1273" s="60">
        <v>45218.0</v>
      </c>
      <c r="M1273" s="9" t="s">
        <v>11800</v>
      </c>
    </row>
    <row r="1274" ht="15.75" hidden="1" customHeight="1">
      <c r="A1274" s="9" t="s">
        <v>41081</v>
      </c>
      <c r="B1274" s="9" t="s">
        <v>14432</v>
      </c>
      <c r="D1274" s="9" t="s">
        <v>12256</v>
      </c>
      <c r="F1274" s="9" t="s">
        <v>41082</v>
      </c>
      <c r="G1274" s="9" t="s">
        <v>38946</v>
      </c>
      <c r="H1274" s="127">
        <v>45176.0</v>
      </c>
      <c r="I1274" s="9" t="s">
        <v>131</v>
      </c>
      <c r="J1274" s="9" t="s">
        <v>38801</v>
      </c>
      <c r="K1274" s="55">
        <v>45180.0</v>
      </c>
      <c r="M1274" s="9" t="s">
        <v>11800</v>
      </c>
    </row>
    <row r="1275" ht="15.75" hidden="1" customHeight="1">
      <c r="A1275" s="9" t="s">
        <v>41083</v>
      </c>
      <c r="B1275" s="9" t="s">
        <v>12986</v>
      </c>
      <c r="D1275" s="9" t="s">
        <v>12250</v>
      </c>
      <c r="F1275" s="9" t="s">
        <v>40339</v>
      </c>
      <c r="G1275" s="9" t="s">
        <v>38946</v>
      </c>
      <c r="H1275" s="127">
        <v>45176.0</v>
      </c>
      <c r="I1275" s="9" t="s">
        <v>131</v>
      </c>
      <c r="J1275" s="9" t="s">
        <v>38801</v>
      </c>
      <c r="K1275" s="55">
        <v>45180.0</v>
      </c>
      <c r="M1275" s="9" t="s">
        <v>10308</v>
      </c>
    </row>
    <row r="1276" ht="15.75" customHeight="1">
      <c r="A1276" s="9" t="s">
        <v>41084</v>
      </c>
      <c r="B1276" s="9" t="s">
        <v>12986</v>
      </c>
      <c r="D1276" s="9" t="s">
        <v>12227</v>
      </c>
      <c r="E1276" s="9" t="s">
        <v>38803</v>
      </c>
      <c r="F1276" s="9" t="s">
        <v>40635</v>
      </c>
      <c r="G1276" s="9" t="s">
        <v>38946</v>
      </c>
      <c r="H1276" s="127">
        <v>45176.0</v>
      </c>
      <c r="I1276" s="9" t="s">
        <v>131</v>
      </c>
      <c r="J1276" s="9" t="s">
        <v>38805</v>
      </c>
      <c r="M1276" s="9" t="s">
        <v>10308</v>
      </c>
    </row>
    <row r="1277" ht="15.75" hidden="1" customHeight="1">
      <c r="A1277" s="9" t="s">
        <v>41085</v>
      </c>
      <c r="B1277" s="9" t="s">
        <v>15296</v>
      </c>
      <c r="D1277" s="9" t="s">
        <v>12236</v>
      </c>
      <c r="F1277" s="9" t="s">
        <v>41086</v>
      </c>
      <c r="G1277" s="9" t="s">
        <v>38808</v>
      </c>
      <c r="H1277" s="127">
        <v>45177.0</v>
      </c>
      <c r="I1277" s="9" t="s">
        <v>131</v>
      </c>
      <c r="J1277" s="9" t="s">
        <v>38801</v>
      </c>
      <c r="K1277" s="55">
        <v>45433.0</v>
      </c>
      <c r="M1277" s="9" t="s">
        <v>3692</v>
      </c>
    </row>
    <row r="1278" ht="15.75" hidden="1" customHeight="1">
      <c r="A1278" s="9" t="s">
        <v>41087</v>
      </c>
      <c r="B1278" s="9" t="s">
        <v>17139</v>
      </c>
      <c r="D1278" s="9" t="s">
        <v>12254</v>
      </c>
      <c r="F1278" s="9" t="s">
        <v>41088</v>
      </c>
      <c r="G1278" s="9" t="s">
        <v>38946</v>
      </c>
      <c r="H1278" s="127">
        <v>45180.0</v>
      </c>
      <c r="I1278" s="9" t="s">
        <v>142</v>
      </c>
      <c r="J1278" s="9" t="s">
        <v>38801</v>
      </c>
      <c r="K1278" s="60">
        <v>45251.0</v>
      </c>
      <c r="M1278" s="9" t="s">
        <v>10552</v>
      </c>
    </row>
    <row r="1279" ht="15.75" hidden="1" customHeight="1">
      <c r="A1279" s="9" t="s">
        <v>41089</v>
      </c>
      <c r="B1279" s="9" t="s">
        <v>15277</v>
      </c>
      <c r="D1279" s="9" t="s">
        <v>12250</v>
      </c>
      <c r="F1279" s="9" t="s">
        <v>41090</v>
      </c>
      <c r="G1279" s="9" t="s">
        <v>38946</v>
      </c>
      <c r="H1279" s="127">
        <v>45180.0</v>
      </c>
      <c r="I1279" s="9" t="s">
        <v>131</v>
      </c>
      <c r="J1279" s="9" t="s">
        <v>38801</v>
      </c>
      <c r="K1279" s="55">
        <v>45180.0</v>
      </c>
      <c r="M1279" s="9" t="s">
        <v>10453</v>
      </c>
    </row>
    <row r="1280" ht="15.75" hidden="1" customHeight="1">
      <c r="A1280" s="9" t="s">
        <v>41091</v>
      </c>
      <c r="B1280" s="9" t="s">
        <v>26750</v>
      </c>
      <c r="D1280" s="9" t="s">
        <v>12250</v>
      </c>
      <c r="F1280" s="9" t="s">
        <v>41092</v>
      </c>
      <c r="G1280" s="9" t="s">
        <v>38808</v>
      </c>
      <c r="H1280" s="127">
        <v>45180.0</v>
      </c>
      <c r="I1280" s="9" t="s">
        <v>47</v>
      </c>
      <c r="J1280" s="9" t="s">
        <v>38801</v>
      </c>
      <c r="K1280" s="55">
        <v>45180.0</v>
      </c>
      <c r="M1280" s="9" t="s">
        <v>11719</v>
      </c>
    </row>
    <row r="1281" ht="15.75" hidden="1" customHeight="1">
      <c r="A1281" s="9" t="s">
        <v>41093</v>
      </c>
      <c r="B1281" s="9" t="s">
        <v>14815</v>
      </c>
      <c r="D1281" s="9" t="s">
        <v>12236</v>
      </c>
      <c r="F1281" s="9" t="s">
        <v>41094</v>
      </c>
      <c r="G1281" s="9" t="s">
        <v>38946</v>
      </c>
      <c r="H1281" s="127">
        <v>45181.0</v>
      </c>
      <c r="I1281" s="9" t="s">
        <v>26</v>
      </c>
      <c r="J1281" s="9" t="s">
        <v>38801</v>
      </c>
      <c r="K1281" s="60">
        <v>45226.0</v>
      </c>
      <c r="M1281" s="9" t="s">
        <v>10423</v>
      </c>
    </row>
    <row r="1282" ht="15.75" hidden="1" customHeight="1">
      <c r="A1282" s="9" t="s">
        <v>41095</v>
      </c>
      <c r="B1282" s="9" t="s">
        <v>15120</v>
      </c>
      <c r="D1282" s="9" t="s">
        <v>12230</v>
      </c>
      <c r="F1282" s="9" t="s">
        <v>40154</v>
      </c>
      <c r="G1282" s="9" t="s">
        <v>38946</v>
      </c>
      <c r="H1282" s="127">
        <v>45181.0</v>
      </c>
      <c r="I1282" s="9" t="s">
        <v>131</v>
      </c>
      <c r="J1282" s="9" t="s">
        <v>38801</v>
      </c>
      <c r="K1282" s="55">
        <v>45194.0</v>
      </c>
      <c r="M1282" s="9" t="s">
        <v>10440</v>
      </c>
    </row>
    <row r="1283" ht="15.75" hidden="1" customHeight="1">
      <c r="A1283" s="9" t="s">
        <v>41096</v>
      </c>
      <c r="B1283" s="9" t="s">
        <v>15203</v>
      </c>
      <c r="D1283" s="9" t="s">
        <v>12230</v>
      </c>
      <c r="F1283" s="9" t="s">
        <v>40154</v>
      </c>
      <c r="G1283" s="9" t="s">
        <v>38946</v>
      </c>
      <c r="H1283" s="127">
        <v>45181.0</v>
      </c>
      <c r="I1283" s="9" t="s">
        <v>131</v>
      </c>
      <c r="J1283" s="9" t="s">
        <v>38801</v>
      </c>
      <c r="K1283" s="55">
        <v>45184.0</v>
      </c>
      <c r="M1283" s="9" t="s">
        <v>10449</v>
      </c>
    </row>
    <row r="1284" ht="15.75" hidden="1" customHeight="1">
      <c r="A1284" s="9" t="s">
        <v>41097</v>
      </c>
      <c r="B1284" s="9" t="s">
        <v>14815</v>
      </c>
      <c r="D1284" s="9" t="s">
        <v>12240</v>
      </c>
      <c r="F1284" s="9" t="s">
        <v>41098</v>
      </c>
      <c r="G1284" s="9" t="s">
        <v>38946</v>
      </c>
      <c r="H1284" s="127">
        <v>45181.0</v>
      </c>
      <c r="I1284" s="9" t="s">
        <v>26</v>
      </c>
      <c r="J1284" s="9" t="s">
        <v>38801</v>
      </c>
      <c r="K1284" s="55">
        <v>45181.0</v>
      </c>
      <c r="M1284" s="9" t="s">
        <v>10423</v>
      </c>
    </row>
    <row r="1285" ht="15.75" hidden="1" customHeight="1">
      <c r="A1285" s="9" t="s">
        <v>41099</v>
      </c>
      <c r="B1285" s="9" t="s">
        <v>14815</v>
      </c>
      <c r="D1285" s="9" t="s">
        <v>12257</v>
      </c>
      <c r="F1285" s="9" t="s">
        <v>41100</v>
      </c>
      <c r="G1285" s="9" t="s">
        <v>38946</v>
      </c>
      <c r="H1285" s="127">
        <v>45181.0</v>
      </c>
      <c r="I1285" s="9" t="s">
        <v>26</v>
      </c>
      <c r="J1285" s="9" t="s">
        <v>38801</v>
      </c>
      <c r="K1285" s="55">
        <v>45181.0</v>
      </c>
      <c r="M1285" s="9" t="s">
        <v>10423</v>
      </c>
    </row>
    <row r="1286" ht="15.75" hidden="1" customHeight="1">
      <c r="A1286" s="9" t="s">
        <v>41101</v>
      </c>
      <c r="B1286" s="9" t="s">
        <v>18509</v>
      </c>
      <c r="D1286" s="9" t="s">
        <v>12258</v>
      </c>
      <c r="F1286" s="9" t="s">
        <v>41102</v>
      </c>
      <c r="G1286" s="9" t="s">
        <v>38808</v>
      </c>
      <c r="H1286" s="127">
        <v>45181.0</v>
      </c>
      <c r="I1286" s="9" t="s">
        <v>47</v>
      </c>
      <c r="J1286" s="9" t="s">
        <v>38801</v>
      </c>
      <c r="K1286" s="55">
        <v>45181.0</v>
      </c>
      <c r="M1286" s="9" t="s">
        <v>11623</v>
      </c>
    </row>
    <row r="1287" ht="15.75" hidden="1" customHeight="1">
      <c r="A1287" s="9" t="s">
        <v>41103</v>
      </c>
      <c r="B1287" s="9" t="s">
        <v>14432</v>
      </c>
      <c r="D1287" s="9" t="s">
        <v>12236</v>
      </c>
      <c r="F1287" s="9" t="s">
        <v>41104</v>
      </c>
      <c r="G1287" s="9" t="s">
        <v>38808</v>
      </c>
      <c r="H1287" s="127">
        <v>45182.0</v>
      </c>
      <c r="I1287" s="9" t="s">
        <v>47</v>
      </c>
      <c r="J1287" s="9" t="s">
        <v>38801</v>
      </c>
      <c r="K1287" s="55">
        <v>45198.0</v>
      </c>
      <c r="M1287" s="9" t="s">
        <v>11800</v>
      </c>
    </row>
    <row r="1288" ht="15.75" hidden="1" customHeight="1">
      <c r="A1288" s="9" t="s">
        <v>41105</v>
      </c>
      <c r="B1288" s="9" t="s">
        <v>15173</v>
      </c>
      <c r="D1288" s="9" t="s">
        <v>12230</v>
      </c>
      <c r="F1288" s="9" t="s">
        <v>40154</v>
      </c>
      <c r="G1288" s="9" t="s">
        <v>38946</v>
      </c>
      <c r="H1288" s="127">
        <v>45182.0</v>
      </c>
      <c r="I1288" s="9" t="s">
        <v>131</v>
      </c>
      <c r="J1288" s="9" t="s">
        <v>38801</v>
      </c>
      <c r="K1288" s="55">
        <v>45184.0</v>
      </c>
      <c r="M1288" s="9" t="s">
        <v>11931</v>
      </c>
    </row>
    <row r="1289" ht="15.75" hidden="1" customHeight="1">
      <c r="A1289" s="9" t="s">
        <v>41106</v>
      </c>
      <c r="B1289" s="9" t="s">
        <v>13499</v>
      </c>
      <c r="D1289" s="9" t="s">
        <v>12230</v>
      </c>
      <c r="F1289" s="9" t="s">
        <v>41107</v>
      </c>
      <c r="G1289" s="9" t="s">
        <v>38808</v>
      </c>
      <c r="H1289" s="127">
        <v>45182.0</v>
      </c>
      <c r="I1289" s="9" t="s">
        <v>47</v>
      </c>
      <c r="J1289" s="9" t="s">
        <v>38801</v>
      </c>
      <c r="K1289" s="55">
        <v>45182.0</v>
      </c>
      <c r="M1289" s="9" t="s">
        <v>4224</v>
      </c>
    </row>
    <row r="1290" ht="15.75" hidden="1" customHeight="1">
      <c r="A1290" s="9" t="s">
        <v>41108</v>
      </c>
      <c r="B1290" s="9" t="s">
        <v>13499</v>
      </c>
      <c r="D1290" s="9" t="s">
        <v>12250</v>
      </c>
      <c r="F1290" s="9" t="s">
        <v>41109</v>
      </c>
      <c r="G1290" s="9" t="s">
        <v>38946</v>
      </c>
      <c r="H1290" s="127">
        <v>45182.0</v>
      </c>
      <c r="I1290" s="9" t="s">
        <v>47</v>
      </c>
      <c r="J1290" s="9" t="s">
        <v>38801</v>
      </c>
      <c r="K1290" s="55">
        <v>45182.0</v>
      </c>
      <c r="M1290" s="9" t="s">
        <v>4224</v>
      </c>
    </row>
    <row r="1291" ht="15.75" hidden="1" customHeight="1">
      <c r="A1291" s="9" t="s">
        <v>41110</v>
      </c>
      <c r="B1291" s="9" t="s">
        <v>16038</v>
      </c>
      <c r="D1291" s="9" t="s">
        <v>12230</v>
      </c>
      <c r="F1291" s="9" t="s">
        <v>41111</v>
      </c>
      <c r="G1291" s="9" t="s">
        <v>38808</v>
      </c>
      <c r="H1291" s="127">
        <v>45182.0</v>
      </c>
      <c r="I1291" s="9" t="s">
        <v>47</v>
      </c>
      <c r="J1291" s="9" t="s">
        <v>38801</v>
      </c>
      <c r="K1291" s="55">
        <v>45182.0</v>
      </c>
      <c r="M1291" s="9" t="s">
        <v>10486</v>
      </c>
    </row>
    <row r="1292" ht="15.75" hidden="1" customHeight="1">
      <c r="A1292" s="9" t="s">
        <v>41112</v>
      </c>
      <c r="B1292" s="9" t="s">
        <v>14432</v>
      </c>
      <c r="D1292" s="9" t="s">
        <v>12258</v>
      </c>
      <c r="F1292" s="9" t="s">
        <v>41113</v>
      </c>
      <c r="G1292" s="9" t="s">
        <v>38946</v>
      </c>
      <c r="H1292" s="127">
        <v>45182.0</v>
      </c>
      <c r="I1292" s="9" t="s">
        <v>47</v>
      </c>
      <c r="J1292" s="9" t="s">
        <v>38801</v>
      </c>
      <c r="K1292" s="55">
        <v>45182.0</v>
      </c>
      <c r="M1292" s="9" t="s">
        <v>11800</v>
      </c>
    </row>
    <row r="1293" ht="15.75" hidden="1" customHeight="1">
      <c r="A1293" s="9" t="s">
        <v>41114</v>
      </c>
      <c r="B1293" s="9" t="s">
        <v>15173</v>
      </c>
      <c r="D1293" s="9" t="s">
        <v>12236</v>
      </c>
      <c r="F1293" s="9" t="s">
        <v>40565</v>
      </c>
      <c r="G1293" s="9" t="s">
        <v>38946</v>
      </c>
      <c r="H1293" s="127">
        <v>45182.0</v>
      </c>
      <c r="I1293" s="9" t="s">
        <v>131</v>
      </c>
      <c r="J1293" s="9" t="s">
        <v>38801</v>
      </c>
      <c r="K1293" s="55">
        <v>45182.0</v>
      </c>
      <c r="M1293" s="9" t="s">
        <v>11931</v>
      </c>
    </row>
    <row r="1294" ht="15.75" hidden="1" customHeight="1">
      <c r="A1294" s="9" t="s">
        <v>41115</v>
      </c>
      <c r="B1294" s="9" t="s">
        <v>13038</v>
      </c>
      <c r="D1294" s="9" t="s">
        <v>12258</v>
      </c>
      <c r="F1294" s="9" t="s">
        <v>41116</v>
      </c>
      <c r="G1294" s="9" t="s">
        <v>38800</v>
      </c>
      <c r="H1294" s="127">
        <v>45183.0</v>
      </c>
      <c r="I1294" s="9" t="s">
        <v>47</v>
      </c>
      <c r="J1294" s="9" t="s">
        <v>38801</v>
      </c>
      <c r="K1294" s="60">
        <v>46099.0</v>
      </c>
      <c r="M1294" s="9" t="s">
        <v>10310</v>
      </c>
    </row>
    <row r="1295" ht="15.75" hidden="1" customHeight="1">
      <c r="A1295" s="9" t="s">
        <v>41117</v>
      </c>
      <c r="B1295" s="9" t="s">
        <v>15186</v>
      </c>
      <c r="D1295" s="9" t="s">
        <v>12230</v>
      </c>
      <c r="F1295" s="9" t="s">
        <v>39790</v>
      </c>
      <c r="G1295" s="9" t="s">
        <v>38808</v>
      </c>
      <c r="H1295" s="127">
        <v>45183.0</v>
      </c>
      <c r="I1295" s="9" t="s">
        <v>47</v>
      </c>
      <c r="J1295" s="9" t="s">
        <v>38801</v>
      </c>
      <c r="K1295" s="55">
        <v>45183.0</v>
      </c>
      <c r="M1295" s="9" t="s">
        <v>11610</v>
      </c>
    </row>
    <row r="1296" ht="15.75" hidden="1" customHeight="1">
      <c r="A1296" s="9" t="s">
        <v>41118</v>
      </c>
      <c r="B1296" s="9" t="s">
        <v>12986</v>
      </c>
      <c r="D1296" s="9" t="s">
        <v>12239</v>
      </c>
      <c r="F1296" s="9" t="s">
        <v>41119</v>
      </c>
      <c r="G1296" s="9" t="s">
        <v>38946</v>
      </c>
      <c r="H1296" s="127">
        <v>45184.0</v>
      </c>
      <c r="I1296" s="9" t="s">
        <v>47</v>
      </c>
      <c r="J1296" s="9" t="s">
        <v>38801</v>
      </c>
      <c r="K1296" s="60">
        <v>45251.0</v>
      </c>
      <c r="M1296" s="9" t="s">
        <v>10308</v>
      </c>
    </row>
    <row r="1297" ht="15.75" hidden="1" customHeight="1">
      <c r="A1297" s="9" t="s">
        <v>41120</v>
      </c>
      <c r="B1297" s="9" t="s">
        <v>15104</v>
      </c>
      <c r="D1297" s="9" t="s">
        <v>12257</v>
      </c>
      <c r="F1297" s="9" t="s">
        <v>41121</v>
      </c>
      <c r="G1297" s="9" t="s">
        <v>38946</v>
      </c>
      <c r="H1297" s="127">
        <v>45187.0</v>
      </c>
      <c r="I1297" s="9" t="s">
        <v>47</v>
      </c>
      <c r="J1297" s="9" t="s">
        <v>38801</v>
      </c>
      <c r="K1297" s="55">
        <v>45187.0</v>
      </c>
      <c r="M1297" s="9" t="s">
        <v>11938</v>
      </c>
    </row>
    <row r="1298" ht="15.75" hidden="1" customHeight="1">
      <c r="A1298" s="9" t="s">
        <v>41122</v>
      </c>
      <c r="B1298" s="9" t="s">
        <v>15135</v>
      </c>
      <c r="D1298" s="9" t="s">
        <v>12248</v>
      </c>
      <c r="F1298" s="9" t="s">
        <v>41123</v>
      </c>
      <c r="G1298" s="9" t="s">
        <v>38808</v>
      </c>
      <c r="H1298" s="127">
        <v>45189.0</v>
      </c>
      <c r="I1298" s="9" t="s">
        <v>47</v>
      </c>
      <c r="J1298" s="9" t="s">
        <v>38801</v>
      </c>
      <c r="K1298" s="55">
        <v>45433.0</v>
      </c>
      <c r="M1298" s="9" t="s">
        <v>10701</v>
      </c>
    </row>
    <row r="1299" ht="15.75" hidden="1" customHeight="1">
      <c r="A1299" s="9" t="s">
        <v>41124</v>
      </c>
      <c r="B1299" s="9" t="s">
        <v>15162</v>
      </c>
      <c r="D1299" s="9" t="s">
        <v>12240</v>
      </c>
      <c r="F1299" s="9" t="s">
        <v>40678</v>
      </c>
      <c r="G1299" s="9" t="s">
        <v>38946</v>
      </c>
      <c r="H1299" s="127">
        <v>45191.0</v>
      </c>
      <c r="I1299" s="9" t="s">
        <v>131</v>
      </c>
      <c r="J1299" s="9" t="s">
        <v>38801</v>
      </c>
      <c r="K1299" s="55">
        <v>45232.0</v>
      </c>
      <c r="M1299" s="9" t="s">
        <v>10447</v>
      </c>
    </row>
    <row r="1300" ht="15.75" hidden="1" customHeight="1">
      <c r="A1300" s="9" t="s">
        <v>41125</v>
      </c>
      <c r="B1300" s="9" t="s">
        <v>15089</v>
      </c>
      <c r="D1300" s="9" t="s">
        <v>12240</v>
      </c>
      <c r="F1300" s="9" t="s">
        <v>41126</v>
      </c>
      <c r="G1300" s="9" t="s">
        <v>38946</v>
      </c>
      <c r="H1300" s="127">
        <v>45195.0</v>
      </c>
      <c r="I1300" s="9" t="s">
        <v>131</v>
      </c>
      <c r="J1300" s="9" t="s">
        <v>38801</v>
      </c>
      <c r="K1300" s="55">
        <v>45232.0</v>
      </c>
      <c r="M1300" s="9" t="s">
        <v>11358</v>
      </c>
    </row>
    <row r="1301" ht="15.75" hidden="1" customHeight="1">
      <c r="A1301" s="9" t="s">
        <v>41127</v>
      </c>
      <c r="B1301" s="9" t="s">
        <v>15089</v>
      </c>
      <c r="D1301" s="9" t="s">
        <v>12236</v>
      </c>
      <c r="F1301" s="9" t="s">
        <v>41128</v>
      </c>
      <c r="G1301" s="9" t="s">
        <v>38946</v>
      </c>
      <c r="H1301" s="127">
        <v>45195.0</v>
      </c>
      <c r="I1301" s="9" t="s">
        <v>131</v>
      </c>
      <c r="J1301" s="9" t="s">
        <v>38801</v>
      </c>
      <c r="K1301" s="55">
        <v>45198.0</v>
      </c>
      <c r="M1301" s="9" t="s">
        <v>11358</v>
      </c>
    </row>
    <row r="1302" ht="15.75" hidden="1" customHeight="1">
      <c r="A1302" s="9" t="s">
        <v>41129</v>
      </c>
      <c r="B1302" s="9" t="s">
        <v>14863</v>
      </c>
      <c r="D1302" s="9" t="s">
        <v>12230</v>
      </c>
      <c r="F1302" s="9" t="s">
        <v>40154</v>
      </c>
      <c r="G1302" s="9" t="s">
        <v>38946</v>
      </c>
      <c r="H1302" s="127">
        <v>45198.0</v>
      </c>
      <c r="I1302" s="9" t="s">
        <v>131</v>
      </c>
      <c r="J1302" s="9" t="s">
        <v>38801</v>
      </c>
      <c r="K1302" s="55">
        <v>45198.0</v>
      </c>
      <c r="M1302" s="9" t="s">
        <v>10699</v>
      </c>
    </row>
    <row r="1303" ht="15.75" hidden="1" customHeight="1">
      <c r="A1303" s="9" t="s">
        <v>41130</v>
      </c>
      <c r="B1303" s="9" t="s">
        <v>14815</v>
      </c>
      <c r="D1303" s="9" t="s">
        <v>12250</v>
      </c>
      <c r="F1303" s="9" t="s">
        <v>41131</v>
      </c>
      <c r="G1303" s="9" t="s">
        <v>38808</v>
      </c>
      <c r="H1303" s="127">
        <v>45202.0</v>
      </c>
      <c r="I1303" s="9" t="s">
        <v>47</v>
      </c>
      <c r="J1303" s="9" t="s">
        <v>38801</v>
      </c>
      <c r="K1303" s="60">
        <v>45245.0</v>
      </c>
      <c r="M1303" s="9" t="s">
        <v>10423</v>
      </c>
    </row>
    <row r="1304" ht="15.75" hidden="1" customHeight="1">
      <c r="A1304" s="9" t="s">
        <v>41132</v>
      </c>
      <c r="B1304" s="9" t="s">
        <v>14801</v>
      </c>
      <c r="D1304" s="9" t="s">
        <v>12230</v>
      </c>
      <c r="F1304" s="9" t="s">
        <v>39790</v>
      </c>
      <c r="G1304" s="9" t="s">
        <v>38946</v>
      </c>
      <c r="H1304" s="127">
        <v>45202.0</v>
      </c>
      <c r="I1304" s="9" t="s">
        <v>47</v>
      </c>
      <c r="J1304" s="9" t="s">
        <v>38801</v>
      </c>
      <c r="K1304" s="55">
        <v>45202.0</v>
      </c>
      <c r="M1304" s="9" t="s">
        <v>12059</v>
      </c>
    </row>
    <row r="1305" ht="15.75" hidden="1" customHeight="1">
      <c r="A1305" s="9" t="s">
        <v>41133</v>
      </c>
      <c r="B1305" s="9" t="s">
        <v>14575</v>
      </c>
      <c r="D1305" s="9" t="s">
        <v>12248</v>
      </c>
      <c r="F1305" s="9" t="s">
        <v>41134</v>
      </c>
      <c r="G1305" s="9" t="s">
        <v>38946</v>
      </c>
      <c r="H1305" s="127">
        <v>45203.0</v>
      </c>
      <c r="I1305" s="9" t="s">
        <v>131</v>
      </c>
      <c r="J1305" s="9" t="s">
        <v>38801</v>
      </c>
      <c r="K1305" s="55">
        <v>45452.0</v>
      </c>
      <c r="M1305" s="9" t="s">
        <v>10695</v>
      </c>
    </row>
    <row r="1306" ht="15.75" customHeight="1">
      <c r="A1306" s="9" t="s">
        <v>41135</v>
      </c>
      <c r="B1306" s="9" t="s">
        <v>16847</v>
      </c>
      <c r="D1306" s="9" t="s">
        <v>12227</v>
      </c>
      <c r="E1306" s="9" t="s">
        <v>38803</v>
      </c>
      <c r="F1306" s="9" t="s">
        <v>41136</v>
      </c>
      <c r="G1306" s="9" t="s">
        <v>38946</v>
      </c>
      <c r="H1306" s="127">
        <v>45203.0</v>
      </c>
      <c r="I1306" s="9" t="s">
        <v>131</v>
      </c>
      <c r="J1306" s="9" t="s">
        <v>38805</v>
      </c>
      <c r="M1306" s="9" t="s">
        <v>10531</v>
      </c>
    </row>
    <row r="1307" ht="15.75" hidden="1" customHeight="1">
      <c r="A1307" s="9" t="s">
        <v>41137</v>
      </c>
      <c r="B1307" s="9" t="s">
        <v>14801</v>
      </c>
      <c r="D1307" s="9" t="s">
        <v>12239</v>
      </c>
      <c r="F1307" s="9" t="s">
        <v>40678</v>
      </c>
      <c r="G1307" s="9" t="s">
        <v>38946</v>
      </c>
      <c r="H1307" s="127">
        <v>45204.0</v>
      </c>
      <c r="I1307" s="9" t="s">
        <v>131</v>
      </c>
      <c r="J1307" s="9" t="s">
        <v>38801</v>
      </c>
      <c r="K1307" s="60">
        <v>45225.0</v>
      </c>
      <c r="M1307" s="9" t="s">
        <v>12059</v>
      </c>
    </row>
    <row r="1308" ht="15.75" hidden="1" customHeight="1">
      <c r="A1308" s="9" t="s">
        <v>41138</v>
      </c>
      <c r="B1308" s="9" t="s">
        <v>15782</v>
      </c>
      <c r="D1308" s="9" t="s">
        <v>12236</v>
      </c>
      <c r="F1308" s="9" t="s">
        <v>41139</v>
      </c>
      <c r="G1308" s="9" t="s">
        <v>38808</v>
      </c>
      <c r="H1308" s="127">
        <v>45205.0</v>
      </c>
      <c r="I1308" s="9" t="s">
        <v>47</v>
      </c>
      <c r="J1308" s="9" t="s">
        <v>38801</v>
      </c>
      <c r="K1308" s="60">
        <v>45247.0</v>
      </c>
      <c r="M1308" s="9" t="s">
        <v>11413</v>
      </c>
    </row>
    <row r="1309" ht="15.75" hidden="1" customHeight="1">
      <c r="A1309" s="9" t="s">
        <v>41140</v>
      </c>
      <c r="B1309" s="9" t="s">
        <v>14777</v>
      </c>
      <c r="D1309" s="9" t="s">
        <v>12250</v>
      </c>
      <c r="F1309" s="9" t="s">
        <v>41141</v>
      </c>
      <c r="G1309" s="9" t="s">
        <v>38946</v>
      </c>
      <c r="H1309" s="127">
        <v>45205.0</v>
      </c>
      <c r="I1309" s="9" t="s">
        <v>131</v>
      </c>
      <c r="J1309" s="9" t="s">
        <v>38801</v>
      </c>
      <c r="K1309" s="55">
        <v>45205.0</v>
      </c>
      <c r="M1309" s="9" t="s">
        <v>8100</v>
      </c>
    </row>
    <row r="1310" ht="15.75" hidden="1" customHeight="1">
      <c r="A1310" s="9" t="s">
        <v>41142</v>
      </c>
      <c r="B1310" s="9" t="s">
        <v>14317</v>
      </c>
      <c r="D1310" s="9" t="s">
        <v>12239</v>
      </c>
      <c r="F1310" s="9" t="s">
        <v>40678</v>
      </c>
      <c r="G1310" s="9" t="s">
        <v>38946</v>
      </c>
      <c r="H1310" s="127">
        <v>45208.0</v>
      </c>
      <c r="I1310" s="9" t="s">
        <v>131</v>
      </c>
      <c r="J1310" s="9" t="s">
        <v>38801</v>
      </c>
      <c r="K1310" s="60">
        <v>45226.0</v>
      </c>
      <c r="M1310" s="52" t="s">
        <v>14304</v>
      </c>
    </row>
    <row r="1311" ht="15.75" hidden="1" customHeight="1">
      <c r="A1311" s="9" t="s">
        <v>41143</v>
      </c>
      <c r="B1311" s="9" t="s">
        <v>14449</v>
      </c>
      <c r="D1311" s="9" t="s">
        <v>12230</v>
      </c>
      <c r="F1311" s="9" t="s">
        <v>40154</v>
      </c>
      <c r="G1311" s="9" t="s">
        <v>38946</v>
      </c>
      <c r="H1311" s="127">
        <v>45209.0</v>
      </c>
      <c r="I1311" s="9" t="s">
        <v>131</v>
      </c>
      <c r="J1311" s="9" t="s">
        <v>38801</v>
      </c>
      <c r="K1311" s="55">
        <v>45426.0</v>
      </c>
      <c r="M1311" s="9" t="s">
        <v>10394</v>
      </c>
    </row>
    <row r="1312" ht="15.75" hidden="1" customHeight="1">
      <c r="A1312" s="9" t="s">
        <v>41144</v>
      </c>
      <c r="B1312" s="9" t="s">
        <v>14317</v>
      </c>
      <c r="D1312" s="9" t="s">
        <v>12230</v>
      </c>
      <c r="F1312" s="9" t="s">
        <v>40154</v>
      </c>
      <c r="G1312" s="9" t="s">
        <v>38946</v>
      </c>
      <c r="H1312" s="127">
        <v>45209.0</v>
      </c>
      <c r="I1312" s="9" t="s">
        <v>131</v>
      </c>
      <c r="J1312" s="9" t="s">
        <v>38801</v>
      </c>
      <c r="K1312" s="60">
        <v>45250.0</v>
      </c>
      <c r="M1312" s="52" t="s">
        <v>14304</v>
      </c>
    </row>
    <row r="1313" ht="15.75" hidden="1" customHeight="1">
      <c r="A1313" s="9" t="s">
        <v>41145</v>
      </c>
      <c r="B1313" s="9" t="s">
        <v>14677</v>
      </c>
      <c r="D1313" s="9" t="s">
        <v>12248</v>
      </c>
      <c r="F1313" s="9" t="s">
        <v>41146</v>
      </c>
      <c r="G1313" s="9" t="s">
        <v>38946</v>
      </c>
      <c r="H1313" s="127">
        <v>45212.0</v>
      </c>
      <c r="I1313" s="9" t="s">
        <v>131</v>
      </c>
      <c r="J1313" s="9" t="s">
        <v>38801</v>
      </c>
      <c r="K1313" s="60">
        <v>45452.0</v>
      </c>
      <c r="M1313" s="9" t="s">
        <v>9450</v>
      </c>
    </row>
    <row r="1314" ht="15.75" hidden="1" customHeight="1">
      <c r="A1314" s="9" t="s">
        <v>41147</v>
      </c>
      <c r="B1314" s="9" t="s">
        <v>13361</v>
      </c>
      <c r="D1314" s="9" t="s">
        <v>12233</v>
      </c>
      <c r="F1314" s="9" t="s">
        <v>41148</v>
      </c>
      <c r="G1314" s="9" t="s">
        <v>38808</v>
      </c>
      <c r="H1314" s="127">
        <v>45216.0</v>
      </c>
      <c r="I1314" s="9" t="s">
        <v>47</v>
      </c>
      <c r="J1314" s="9" t="s">
        <v>38801</v>
      </c>
      <c r="K1314" s="60">
        <v>45217.0</v>
      </c>
      <c r="M1314" s="9" t="s">
        <v>12132</v>
      </c>
    </row>
    <row r="1315" ht="15.75" hidden="1" customHeight="1">
      <c r="A1315" s="9" t="s">
        <v>41149</v>
      </c>
      <c r="B1315" s="9" t="s">
        <v>13361</v>
      </c>
      <c r="D1315" s="9" t="s">
        <v>12250</v>
      </c>
      <c r="F1315" s="9" t="s">
        <v>41092</v>
      </c>
      <c r="G1315" s="9" t="s">
        <v>38808</v>
      </c>
      <c r="H1315" s="127">
        <v>45218.0</v>
      </c>
      <c r="I1315" s="9" t="s">
        <v>47</v>
      </c>
      <c r="J1315" s="9" t="s">
        <v>38801</v>
      </c>
      <c r="K1315" s="60">
        <v>45218.0</v>
      </c>
      <c r="M1315" s="9" t="s">
        <v>11640</v>
      </c>
    </row>
    <row r="1316" ht="15.75" hidden="1" customHeight="1">
      <c r="A1316" s="9" t="s">
        <v>41150</v>
      </c>
      <c r="B1316" s="9" t="s">
        <v>16501</v>
      </c>
      <c r="D1316" s="9" t="s">
        <v>12230</v>
      </c>
      <c r="F1316" s="9" t="s">
        <v>41151</v>
      </c>
      <c r="G1316" s="9" t="s">
        <v>38946</v>
      </c>
      <c r="H1316" s="127">
        <v>45218.0</v>
      </c>
      <c r="I1316" s="9" t="s">
        <v>47</v>
      </c>
      <c r="J1316" s="9" t="s">
        <v>38801</v>
      </c>
      <c r="K1316" s="60">
        <v>45218.0</v>
      </c>
      <c r="M1316" s="9" t="s">
        <v>759</v>
      </c>
    </row>
    <row r="1317" ht="15.75" hidden="1" customHeight="1">
      <c r="A1317" s="9" t="s">
        <v>41152</v>
      </c>
      <c r="B1317" s="9" t="s">
        <v>16501</v>
      </c>
      <c r="D1317" s="9" t="s">
        <v>12230</v>
      </c>
      <c r="F1317" s="9" t="s">
        <v>41151</v>
      </c>
      <c r="G1317" s="9" t="s">
        <v>38946</v>
      </c>
      <c r="H1317" s="127">
        <v>45218.0</v>
      </c>
      <c r="I1317" s="9" t="s">
        <v>47</v>
      </c>
      <c r="J1317" s="9" t="s">
        <v>38801</v>
      </c>
      <c r="K1317" s="60">
        <v>45218.0</v>
      </c>
      <c r="M1317" s="9" t="s">
        <v>8439</v>
      </c>
    </row>
    <row r="1318" ht="15.75" hidden="1" customHeight="1">
      <c r="A1318" s="9" t="s">
        <v>41153</v>
      </c>
      <c r="B1318" s="9" t="s">
        <v>16293</v>
      </c>
      <c r="D1318" s="9" t="s">
        <v>12230</v>
      </c>
      <c r="F1318" s="9" t="s">
        <v>41154</v>
      </c>
      <c r="G1318" s="9" t="s">
        <v>38808</v>
      </c>
      <c r="H1318" s="127">
        <v>45218.0</v>
      </c>
      <c r="I1318" s="9" t="s">
        <v>47</v>
      </c>
      <c r="J1318" s="9" t="s">
        <v>38801</v>
      </c>
      <c r="K1318" s="60">
        <v>45218.0</v>
      </c>
      <c r="M1318" s="9" t="s">
        <v>11914</v>
      </c>
    </row>
    <row r="1319" ht="15.75" hidden="1" customHeight="1">
      <c r="A1319" s="9" t="s">
        <v>41155</v>
      </c>
      <c r="B1319" s="9" t="s">
        <v>14590</v>
      </c>
      <c r="D1319" s="9" t="s">
        <v>12239</v>
      </c>
      <c r="F1319" s="9" t="s">
        <v>41156</v>
      </c>
      <c r="G1319" s="9" t="s">
        <v>38946</v>
      </c>
      <c r="H1319" s="127">
        <v>45222.0</v>
      </c>
      <c r="I1319" s="9" t="s">
        <v>131</v>
      </c>
      <c r="J1319" s="9" t="s">
        <v>38801</v>
      </c>
      <c r="K1319" s="60">
        <v>45251.0</v>
      </c>
      <c r="M1319" s="9" t="s">
        <v>12136</v>
      </c>
    </row>
    <row r="1320" ht="15.75" hidden="1" customHeight="1">
      <c r="A1320" s="9" t="s">
        <v>41157</v>
      </c>
      <c r="B1320" s="9" t="s">
        <v>14590</v>
      </c>
      <c r="D1320" s="9" t="s">
        <v>12240</v>
      </c>
      <c r="F1320" s="9" t="s">
        <v>41158</v>
      </c>
      <c r="G1320" s="9" t="s">
        <v>38946</v>
      </c>
      <c r="H1320" s="127">
        <v>45222.0</v>
      </c>
      <c r="I1320" s="9" t="s">
        <v>131</v>
      </c>
      <c r="J1320" s="9" t="s">
        <v>38801</v>
      </c>
      <c r="K1320" s="55">
        <v>45239.0</v>
      </c>
      <c r="M1320" s="9" t="s">
        <v>12136</v>
      </c>
    </row>
    <row r="1321" ht="15.75" hidden="1" customHeight="1">
      <c r="A1321" s="9" t="s">
        <v>41159</v>
      </c>
      <c r="B1321" s="9" t="s">
        <v>14590</v>
      </c>
      <c r="D1321" s="9" t="s">
        <v>12236</v>
      </c>
      <c r="F1321" s="9" t="s">
        <v>40565</v>
      </c>
      <c r="G1321" s="9" t="s">
        <v>38946</v>
      </c>
      <c r="H1321" s="127">
        <v>45222.0</v>
      </c>
      <c r="I1321" s="9" t="s">
        <v>131</v>
      </c>
      <c r="J1321" s="9" t="s">
        <v>38801</v>
      </c>
      <c r="K1321" s="60">
        <v>45222.0</v>
      </c>
      <c r="M1321" s="9" t="s">
        <v>12136</v>
      </c>
    </row>
    <row r="1322" ht="15.75" hidden="1" customHeight="1">
      <c r="A1322" s="9" t="s">
        <v>41160</v>
      </c>
      <c r="B1322" s="9" t="s">
        <v>12730</v>
      </c>
      <c r="D1322" s="9" t="s">
        <v>12230</v>
      </c>
      <c r="F1322" s="9" t="s">
        <v>41161</v>
      </c>
      <c r="G1322" s="9" t="s">
        <v>38808</v>
      </c>
      <c r="H1322" s="127">
        <v>45223.0</v>
      </c>
      <c r="I1322" s="9" t="s">
        <v>47</v>
      </c>
      <c r="J1322" s="9" t="s">
        <v>38801</v>
      </c>
      <c r="K1322" s="60">
        <v>45223.0</v>
      </c>
      <c r="M1322" s="9" t="s">
        <v>10287</v>
      </c>
    </row>
    <row r="1323" ht="15.75" hidden="1" customHeight="1">
      <c r="A1323" s="9" t="s">
        <v>41162</v>
      </c>
      <c r="B1323" s="9" t="s">
        <v>12670</v>
      </c>
      <c r="D1323" s="9" t="s">
        <v>12248</v>
      </c>
      <c r="F1323" s="9" t="s">
        <v>41163</v>
      </c>
      <c r="G1323" s="9" t="s">
        <v>38946</v>
      </c>
      <c r="H1323" s="127">
        <v>45225.0</v>
      </c>
      <c r="I1323" s="9" t="s">
        <v>131</v>
      </c>
      <c r="J1323" s="9" t="s">
        <v>38801</v>
      </c>
      <c r="K1323" s="60">
        <v>46100.0</v>
      </c>
      <c r="M1323" s="9" t="s">
        <v>10289</v>
      </c>
    </row>
    <row r="1324" ht="15.75" hidden="1" customHeight="1">
      <c r="A1324" s="9" t="s">
        <v>41164</v>
      </c>
      <c r="B1324" s="9" t="s">
        <v>16477</v>
      </c>
      <c r="D1324" s="9" t="s">
        <v>12239</v>
      </c>
      <c r="F1324" s="9" t="s">
        <v>41165</v>
      </c>
      <c r="G1324" s="9" t="s">
        <v>38946</v>
      </c>
      <c r="H1324" s="127">
        <v>45225.0</v>
      </c>
      <c r="I1324" s="9" t="s">
        <v>76</v>
      </c>
      <c r="J1324" s="9" t="s">
        <v>38801</v>
      </c>
      <c r="K1324" s="55">
        <v>45237.0</v>
      </c>
      <c r="M1324" s="9" t="s">
        <v>10518</v>
      </c>
    </row>
    <row r="1325" ht="15.75" hidden="1" customHeight="1">
      <c r="A1325" s="9" t="s">
        <v>41166</v>
      </c>
      <c r="B1325" s="9" t="s">
        <v>14747</v>
      </c>
      <c r="D1325" s="9" t="s">
        <v>12230</v>
      </c>
      <c r="F1325" s="9" t="s">
        <v>41167</v>
      </c>
      <c r="G1325" s="9" t="s">
        <v>38946</v>
      </c>
      <c r="H1325" s="127">
        <v>45225.0</v>
      </c>
      <c r="I1325" s="9" t="s">
        <v>131</v>
      </c>
      <c r="J1325" s="9" t="s">
        <v>38801</v>
      </c>
      <c r="K1325" s="60">
        <v>45225.0</v>
      </c>
      <c r="M1325" s="9" t="s">
        <v>10420</v>
      </c>
    </row>
    <row r="1326" ht="15.75" hidden="1" customHeight="1">
      <c r="A1326" s="9" t="s">
        <v>41168</v>
      </c>
      <c r="B1326" s="9" t="s">
        <v>21664</v>
      </c>
      <c r="D1326" s="9" t="s">
        <v>12230</v>
      </c>
      <c r="F1326" s="9" t="s">
        <v>41169</v>
      </c>
      <c r="G1326" s="9" t="s">
        <v>38808</v>
      </c>
      <c r="H1326" s="127">
        <v>45225.0</v>
      </c>
      <c r="I1326" s="9" t="s">
        <v>47</v>
      </c>
      <c r="J1326" s="9" t="s">
        <v>38801</v>
      </c>
      <c r="K1326" s="60">
        <v>45225.0</v>
      </c>
      <c r="M1326" s="9" t="s">
        <v>9619</v>
      </c>
    </row>
    <row r="1327" ht="15.75" hidden="1" customHeight="1">
      <c r="A1327" s="9" t="s">
        <v>41170</v>
      </c>
      <c r="B1327" s="9" t="s">
        <v>14801</v>
      </c>
      <c r="D1327" s="9" t="s">
        <v>12230</v>
      </c>
      <c r="F1327" s="9" t="s">
        <v>41171</v>
      </c>
      <c r="G1327" s="9" t="s">
        <v>38808</v>
      </c>
      <c r="H1327" s="127">
        <v>45225.0</v>
      </c>
      <c r="I1327" s="9" t="s">
        <v>47</v>
      </c>
      <c r="J1327" s="9" t="s">
        <v>38801</v>
      </c>
      <c r="K1327" s="60">
        <v>45225.0</v>
      </c>
      <c r="M1327" s="9" t="s">
        <v>12059</v>
      </c>
    </row>
    <row r="1328" ht="15.75" hidden="1" customHeight="1">
      <c r="A1328" s="9" t="s">
        <v>41172</v>
      </c>
      <c r="B1328" s="9" t="s">
        <v>13889</v>
      </c>
      <c r="D1328" s="9" t="s">
        <v>12230</v>
      </c>
      <c r="F1328" s="9" t="s">
        <v>41173</v>
      </c>
      <c r="G1328" s="9" t="s">
        <v>38946</v>
      </c>
      <c r="H1328" s="127">
        <v>45226.0</v>
      </c>
      <c r="I1328" s="9" t="s">
        <v>131</v>
      </c>
      <c r="J1328" s="9" t="s">
        <v>38801</v>
      </c>
      <c r="K1328" s="55">
        <v>45268.0</v>
      </c>
      <c r="M1328" s="9" t="s">
        <v>11600</v>
      </c>
    </row>
    <row r="1329" ht="15.75" hidden="1" customHeight="1">
      <c r="A1329" s="9" t="s">
        <v>41174</v>
      </c>
      <c r="B1329" s="9" t="s">
        <v>14475</v>
      </c>
      <c r="D1329" s="9" t="s">
        <v>12230</v>
      </c>
      <c r="F1329" s="9" t="s">
        <v>41175</v>
      </c>
      <c r="G1329" s="9" t="s">
        <v>38946</v>
      </c>
      <c r="H1329" s="127">
        <v>45226.0</v>
      </c>
      <c r="I1329" s="9" t="s">
        <v>131</v>
      </c>
      <c r="J1329" s="9" t="s">
        <v>38801</v>
      </c>
      <c r="K1329" s="60">
        <v>45230.0</v>
      </c>
      <c r="M1329" s="9" t="s">
        <v>12180</v>
      </c>
    </row>
    <row r="1330" ht="15.75" hidden="1" customHeight="1">
      <c r="A1330" s="9" t="s">
        <v>41176</v>
      </c>
      <c r="B1330" s="9" t="s">
        <v>19520</v>
      </c>
      <c r="D1330" s="9" t="s">
        <v>12254</v>
      </c>
      <c r="F1330" s="9" t="s">
        <v>41177</v>
      </c>
      <c r="G1330" s="9" t="s">
        <v>38946</v>
      </c>
      <c r="H1330" s="127">
        <v>45229.0</v>
      </c>
      <c r="I1330" s="9" t="s">
        <v>80</v>
      </c>
      <c r="J1330" s="9" t="s">
        <v>38801</v>
      </c>
      <c r="K1330" s="60">
        <v>45229.0</v>
      </c>
      <c r="M1330" s="9" t="s">
        <v>8306</v>
      </c>
    </row>
    <row r="1331" ht="15.75" hidden="1" customHeight="1">
      <c r="A1331" s="9" t="s">
        <v>41178</v>
      </c>
      <c r="B1331" s="9" t="s">
        <v>12915</v>
      </c>
      <c r="D1331" s="9" t="s">
        <v>12230</v>
      </c>
      <c r="F1331" s="9" t="s">
        <v>41179</v>
      </c>
      <c r="G1331" s="9" t="s">
        <v>38808</v>
      </c>
      <c r="H1331" s="127">
        <v>45232.0</v>
      </c>
      <c r="I1331" s="9" t="s">
        <v>47</v>
      </c>
      <c r="J1331" s="9" t="s">
        <v>38801</v>
      </c>
      <c r="K1331" s="55">
        <v>46100.0</v>
      </c>
      <c r="M1331" s="9" t="s">
        <v>4176</v>
      </c>
    </row>
    <row r="1332" ht="15.75" hidden="1" customHeight="1">
      <c r="A1332" s="9" t="s">
        <v>41180</v>
      </c>
      <c r="B1332" s="9" t="s">
        <v>13068</v>
      </c>
      <c r="D1332" s="9" t="s">
        <v>12230</v>
      </c>
      <c r="F1332" s="9" t="s">
        <v>40154</v>
      </c>
      <c r="G1332" s="9" t="s">
        <v>38946</v>
      </c>
      <c r="H1332" s="127">
        <v>45233.0</v>
      </c>
      <c r="I1332" s="9" t="s">
        <v>131</v>
      </c>
      <c r="J1332" s="9" t="s">
        <v>38801</v>
      </c>
      <c r="K1332" s="55">
        <v>46099.0</v>
      </c>
      <c r="M1332" s="9" t="s">
        <v>10312</v>
      </c>
    </row>
    <row r="1333" ht="15.75" hidden="1" customHeight="1">
      <c r="A1333" s="9" t="s">
        <v>41181</v>
      </c>
      <c r="B1333" s="9" t="s">
        <v>13068</v>
      </c>
      <c r="D1333" s="9" t="s">
        <v>12239</v>
      </c>
      <c r="F1333" s="9" t="s">
        <v>40678</v>
      </c>
      <c r="G1333" s="9" t="s">
        <v>38946</v>
      </c>
      <c r="H1333" s="127">
        <v>45233.0</v>
      </c>
      <c r="I1333" s="9" t="s">
        <v>131</v>
      </c>
      <c r="J1333" s="9" t="s">
        <v>38801</v>
      </c>
      <c r="K1333" s="60">
        <v>46099.0</v>
      </c>
      <c r="M1333" s="9" t="s">
        <v>10312</v>
      </c>
    </row>
    <row r="1334" ht="15.75" hidden="1" customHeight="1">
      <c r="A1334" s="9" t="s">
        <v>41182</v>
      </c>
      <c r="B1334" s="9" t="s">
        <v>13068</v>
      </c>
      <c r="D1334" s="9" t="s">
        <v>12240</v>
      </c>
      <c r="F1334" s="9" t="s">
        <v>41183</v>
      </c>
      <c r="G1334" s="9" t="s">
        <v>38946</v>
      </c>
      <c r="H1334" s="127">
        <v>45233.0</v>
      </c>
      <c r="I1334" s="9" t="s">
        <v>131</v>
      </c>
      <c r="J1334" s="9" t="s">
        <v>38801</v>
      </c>
      <c r="K1334" s="55">
        <v>46099.0</v>
      </c>
      <c r="M1334" s="9" t="s">
        <v>10312</v>
      </c>
    </row>
    <row r="1335" ht="15.75" hidden="1" customHeight="1">
      <c r="A1335" s="9" t="s">
        <v>41184</v>
      </c>
      <c r="B1335" s="9" t="s">
        <v>14110</v>
      </c>
      <c r="D1335" s="9" t="s">
        <v>12239</v>
      </c>
      <c r="F1335" s="9" t="s">
        <v>40678</v>
      </c>
      <c r="G1335" s="9" t="s">
        <v>38946</v>
      </c>
      <c r="H1335" s="127">
        <v>45236.0</v>
      </c>
      <c r="I1335" s="9" t="s">
        <v>131</v>
      </c>
      <c r="J1335" s="9" t="s">
        <v>38801</v>
      </c>
      <c r="K1335" s="60">
        <v>45259.0</v>
      </c>
      <c r="M1335" s="9" t="s">
        <v>269</v>
      </c>
    </row>
    <row r="1336" ht="15.75" hidden="1" customHeight="1">
      <c r="A1336" s="9" t="s">
        <v>41185</v>
      </c>
      <c r="B1336" s="9" t="s">
        <v>14110</v>
      </c>
      <c r="D1336" s="9" t="s">
        <v>12236</v>
      </c>
      <c r="F1336" s="9" t="s">
        <v>41186</v>
      </c>
      <c r="G1336" s="9" t="s">
        <v>38946</v>
      </c>
      <c r="H1336" s="127">
        <v>45236.0</v>
      </c>
      <c r="I1336" s="9" t="s">
        <v>131</v>
      </c>
      <c r="J1336" s="9" t="s">
        <v>38801</v>
      </c>
      <c r="K1336" s="60">
        <v>45240.0</v>
      </c>
      <c r="M1336" s="9" t="s">
        <v>269</v>
      </c>
    </row>
    <row r="1337" ht="15.75" hidden="1" customHeight="1">
      <c r="A1337" s="9" t="s">
        <v>41187</v>
      </c>
      <c r="B1337" s="9" t="s">
        <v>14475</v>
      </c>
      <c r="D1337" s="9" t="s">
        <v>12239</v>
      </c>
      <c r="F1337" s="9" t="s">
        <v>40678</v>
      </c>
      <c r="G1337" s="9" t="s">
        <v>38946</v>
      </c>
      <c r="H1337" s="127">
        <v>45236.0</v>
      </c>
      <c r="I1337" s="9" t="s">
        <v>131</v>
      </c>
      <c r="J1337" s="9" t="s">
        <v>38801</v>
      </c>
      <c r="K1337" s="55">
        <v>45237.0</v>
      </c>
      <c r="M1337" s="9" t="s">
        <v>12180</v>
      </c>
    </row>
    <row r="1338" ht="15.75" hidden="1" customHeight="1">
      <c r="A1338" s="9" t="s">
        <v>41188</v>
      </c>
      <c r="B1338" s="9" t="s">
        <v>14475</v>
      </c>
      <c r="D1338" s="9" t="s">
        <v>12239</v>
      </c>
      <c r="F1338" s="9" t="s">
        <v>40678</v>
      </c>
      <c r="G1338" s="9" t="s">
        <v>38946</v>
      </c>
      <c r="H1338" s="127">
        <v>45236.0</v>
      </c>
      <c r="I1338" s="9" t="s">
        <v>131</v>
      </c>
      <c r="J1338" s="9" t="s">
        <v>38801</v>
      </c>
      <c r="K1338" s="55">
        <v>45237.0</v>
      </c>
      <c r="M1338" s="9" t="s">
        <v>12180</v>
      </c>
    </row>
    <row r="1339" ht="15.75" hidden="1" customHeight="1">
      <c r="A1339" s="9" t="s">
        <v>41189</v>
      </c>
      <c r="B1339" s="9" t="s">
        <v>14475</v>
      </c>
      <c r="D1339" s="9" t="s">
        <v>12236</v>
      </c>
      <c r="F1339" s="9" t="s">
        <v>40428</v>
      </c>
      <c r="G1339" s="9" t="s">
        <v>38946</v>
      </c>
      <c r="H1339" s="127">
        <v>45236.0</v>
      </c>
      <c r="I1339" s="9" t="s">
        <v>131</v>
      </c>
      <c r="J1339" s="9" t="s">
        <v>38801</v>
      </c>
      <c r="K1339" s="55">
        <v>45236.0</v>
      </c>
      <c r="M1339" s="9" t="s">
        <v>12180</v>
      </c>
    </row>
    <row r="1340" ht="15.75" hidden="1" customHeight="1">
      <c r="A1340" s="9" t="s">
        <v>41190</v>
      </c>
      <c r="B1340" s="9" t="s">
        <v>13846</v>
      </c>
      <c r="D1340" s="9" t="s">
        <v>12230</v>
      </c>
      <c r="F1340" s="9" t="s">
        <v>41191</v>
      </c>
      <c r="G1340" s="9" t="s">
        <v>38808</v>
      </c>
      <c r="H1340" s="127">
        <v>45237.0</v>
      </c>
      <c r="I1340" s="9" t="s">
        <v>47</v>
      </c>
      <c r="J1340" s="9" t="s">
        <v>38801</v>
      </c>
      <c r="K1340" s="55">
        <v>45537.0</v>
      </c>
      <c r="M1340" s="9" t="s">
        <v>8545</v>
      </c>
    </row>
    <row r="1341" ht="15.75" hidden="1" customHeight="1">
      <c r="A1341" s="9" t="s">
        <v>41192</v>
      </c>
      <c r="B1341" s="9" t="s">
        <v>13068</v>
      </c>
      <c r="D1341" s="9" t="s">
        <v>12236</v>
      </c>
      <c r="F1341" s="9" t="s">
        <v>41193</v>
      </c>
      <c r="G1341" s="9" t="s">
        <v>38946</v>
      </c>
      <c r="H1341" s="127">
        <v>45237.0</v>
      </c>
      <c r="I1341" s="9" t="s">
        <v>131</v>
      </c>
      <c r="J1341" s="9" t="s">
        <v>38801</v>
      </c>
      <c r="K1341" s="55">
        <v>46099.0</v>
      </c>
      <c r="M1341" s="9" t="s">
        <v>10312</v>
      </c>
    </row>
    <row r="1342" ht="15.75" hidden="1" customHeight="1">
      <c r="A1342" s="9" t="s">
        <v>41194</v>
      </c>
      <c r="B1342" s="9" t="s">
        <v>14475</v>
      </c>
      <c r="D1342" s="9" t="s">
        <v>12240</v>
      </c>
      <c r="F1342" s="9" t="s">
        <v>40678</v>
      </c>
      <c r="G1342" s="9" t="s">
        <v>38946</v>
      </c>
      <c r="H1342" s="127">
        <v>45237.0</v>
      </c>
      <c r="I1342" s="9" t="s">
        <v>131</v>
      </c>
      <c r="J1342" s="9" t="s">
        <v>38801</v>
      </c>
      <c r="K1342" s="55">
        <v>45239.0</v>
      </c>
      <c r="M1342" s="9" t="s">
        <v>12180</v>
      </c>
    </row>
    <row r="1343" ht="15.75" hidden="1" customHeight="1">
      <c r="A1343" s="9" t="s">
        <v>41195</v>
      </c>
      <c r="B1343" s="9" t="s">
        <v>13052</v>
      </c>
      <c r="D1343" s="9" t="s">
        <v>12246</v>
      </c>
      <c r="F1343" s="9" t="s">
        <v>41196</v>
      </c>
      <c r="G1343" s="9" t="s">
        <v>38946</v>
      </c>
      <c r="H1343" s="127">
        <v>45240.0</v>
      </c>
      <c r="I1343" s="9" t="s">
        <v>131</v>
      </c>
      <c r="J1343" s="9" t="s">
        <v>38801</v>
      </c>
      <c r="K1343" s="60">
        <v>46099.0</v>
      </c>
      <c r="M1343" s="9" t="s">
        <v>10079</v>
      </c>
    </row>
    <row r="1344" ht="15.75" hidden="1" customHeight="1">
      <c r="A1344" s="9" t="s">
        <v>41197</v>
      </c>
      <c r="B1344" s="9" t="s">
        <v>14815</v>
      </c>
      <c r="D1344" s="9" t="s">
        <v>12230</v>
      </c>
      <c r="F1344" s="9" t="s">
        <v>41198</v>
      </c>
      <c r="G1344" s="9" t="s">
        <v>38808</v>
      </c>
      <c r="H1344" s="127">
        <v>45240.0</v>
      </c>
      <c r="I1344" s="9" t="s">
        <v>47</v>
      </c>
      <c r="J1344" s="9" t="s">
        <v>38801</v>
      </c>
      <c r="K1344" s="60">
        <v>45240.0</v>
      </c>
      <c r="M1344" s="9" t="s">
        <v>10423</v>
      </c>
    </row>
    <row r="1345" ht="15.75" hidden="1" customHeight="1">
      <c r="A1345" s="9" t="s">
        <v>41199</v>
      </c>
      <c r="B1345" s="9" t="s">
        <v>16697</v>
      </c>
      <c r="D1345" s="9" t="s">
        <v>12230</v>
      </c>
      <c r="F1345" s="9" t="s">
        <v>41200</v>
      </c>
      <c r="G1345" s="9" t="s">
        <v>38808</v>
      </c>
      <c r="H1345" s="127">
        <v>45240.0</v>
      </c>
      <c r="I1345" s="9" t="s">
        <v>47</v>
      </c>
      <c r="J1345" s="9" t="s">
        <v>38801</v>
      </c>
      <c r="K1345" s="60">
        <v>45240.0</v>
      </c>
      <c r="M1345" s="9" t="s">
        <v>7298</v>
      </c>
    </row>
    <row r="1346" ht="15.75" hidden="1" customHeight="1">
      <c r="A1346" s="9" t="s">
        <v>41201</v>
      </c>
      <c r="B1346" s="9" t="s">
        <v>14333</v>
      </c>
      <c r="D1346" s="9" t="s">
        <v>12230</v>
      </c>
      <c r="F1346" s="9" t="s">
        <v>40242</v>
      </c>
      <c r="G1346" s="9" t="s">
        <v>38946</v>
      </c>
      <c r="H1346" s="127">
        <v>45243.0</v>
      </c>
      <c r="I1346" s="9" t="s">
        <v>131</v>
      </c>
      <c r="J1346" s="9" t="s">
        <v>38801</v>
      </c>
      <c r="K1346" s="60">
        <v>45252.0</v>
      </c>
      <c r="M1346" s="9" t="s">
        <v>11708</v>
      </c>
    </row>
    <row r="1347" ht="15.75" customHeight="1">
      <c r="A1347" s="9" t="s">
        <v>41202</v>
      </c>
      <c r="B1347" s="9" t="s">
        <v>13343</v>
      </c>
      <c r="D1347" s="9" t="s">
        <v>12227</v>
      </c>
      <c r="E1347" s="9" t="s">
        <v>38803</v>
      </c>
      <c r="F1347" s="9" t="s">
        <v>41203</v>
      </c>
      <c r="G1347" s="9" t="s">
        <v>38946</v>
      </c>
      <c r="H1347" s="127">
        <v>45243.0</v>
      </c>
      <c r="I1347" s="9" t="s">
        <v>52</v>
      </c>
      <c r="J1347" s="9" t="s">
        <v>38801</v>
      </c>
      <c r="K1347" s="55">
        <v>46095.0</v>
      </c>
      <c r="M1347" s="9" t="s">
        <v>11813</v>
      </c>
    </row>
    <row r="1348" ht="15.75" hidden="1" customHeight="1">
      <c r="A1348" s="52" t="s">
        <v>41204</v>
      </c>
      <c r="B1348" s="9" t="s">
        <v>13012</v>
      </c>
      <c r="D1348" s="9" t="s">
        <v>12239</v>
      </c>
      <c r="F1348" s="9" t="s">
        <v>41205</v>
      </c>
      <c r="G1348" s="9" t="s">
        <v>38946</v>
      </c>
      <c r="H1348" s="127">
        <v>45244.0</v>
      </c>
      <c r="I1348" s="9" t="s">
        <v>131</v>
      </c>
      <c r="J1348" s="9" t="s">
        <v>38801</v>
      </c>
      <c r="K1348" s="60">
        <v>46099.0</v>
      </c>
      <c r="M1348" s="9" t="s">
        <v>10674</v>
      </c>
    </row>
    <row r="1349" ht="15.75" hidden="1" customHeight="1">
      <c r="A1349" s="9" t="s">
        <v>41206</v>
      </c>
      <c r="B1349" s="9" t="s">
        <v>13012</v>
      </c>
      <c r="D1349" s="9" t="s">
        <v>12236</v>
      </c>
      <c r="F1349" s="9" t="s">
        <v>41207</v>
      </c>
      <c r="G1349" s="9" t="s">
        <v>38946</v>
      </c>
      <c r="H1349" s="127">
        <v>45244.0</v>
      </c>
      <c r="I1349" s="9" t="s">
        <v>131</v>
      </c>
      <c r="J1349" s="9" t="s">
        <v>38801</v>
      </c>
      <c r="K1349" s="60">
        <v>46099.0</v>
      </c>
      <c r="M1349" s="9" t="s">
        <v>10674</v>
      </c>
    </row>
    <row r="1350" ht="15.75" hidden="1" customHeight="1">
      <c r="A1350" s="9" t="s">
        <v>41208</v>
      </c>
      <c r="B1350" s="9" t="s">
        <v>13012</v>
      </c>
      <c r="D1350" s="9" t="s">
        <v>12240</v>
      </c>
      <c r="F1350" s="9" t="s">
        <v>41209</v>
      </c>
      <c r="G1350" s="9" t="s">
        <v>38946</v>
      </c>
      <c r="H1350" s="127">
        <v>45244.0</v>
      </c>
      <c r="I1350" s="9" t="s">
        <v>131</v>
      </c>
      <c r="J1350" s="9" t="s">
        <v>38801</v>
      </c>
      <c r="K1350" s="60">
        <v>46099.0</v>
      </c>
      <c r="M1350" s="9" t="s">
        <v>10674</v>
      </c>
    </row>
    <row r="1351" ht="15.75" hidden="1" customHeight="1">
      <c r="A1351" s="9" t="s">
        <v>41210</v>
      </c>
      <c r="B1351" s="9" t="s">
        <v>14377</v>
      </c>
      <c r="D1351" s="9" t="s">
        <v>12248</v>
      </c>
      <c r="F1351" s="9" t="s">
        <v>41211</v>
      </c>
      <c r="G1351" s="9" t="s">
        <v>38946</v>
      </c>
      <c r="H1351" s="127">
        <v>45245.0</v>
      </c>
      <c r="I1351" s="9" t="s">
        <v>131</v>
      </c>
      <c r="J1351" s="9" t="s">
        <v>38801</v>
      </c>
      <c r="K1351" s="60">
        <v>45472.0</v>
      </c>
      <c r="M1351" s="9" t="s">
        <v>7537</v>
      </c>
    </row>
    <row r="1352" ht="15.75" hidden="1" customHeight="1">
      <c r="A1352" s="9" t="s">
        <v>41212</v>
      </c>
      <c r="B1352" s="9" t="s">
        <v>14348</v>
      </c>
      <c r="D1352" s="9" t="s">
        <v>12239</v>
      </c>
      <c r="F1352" s="9" t="s">
        <v>40678</v>
      </c>
      <c r="G1352" s="9" t="s">
        <v>38946</v>
      </c>
      <c r="H1352" s="127">
        <v>45245.0</v>
      </c>
      <c r="I1352" s="9" t="s">
        <v>131</v>
      </c>
      <c r="J1352" s="9" t="s">
        <v>38801</v>
      </c>
      <c r="K1352" s="60">
        <v>45259.0</v>
      </c>
      <c r="M1352" s="9" t="s">
        <v>10233</v>
      </c>
    </row>
    <row r="1353" ht="15.75" hidden="1" customHeight="1">
      <c r="A1353" s="9" t="s">
        <v>41213</v>
      </c>
      <c r="B1353" s="9" t="s">
        <v>14393</v>
      </c>
      <c r="D1353" s="9" t="s">
        <v>12230</v>
      </c>
      <c r="F1353" s="9" t="s">
        <v>41214</v>
      </c>
      <c r="G1353" s="9" t="s">
        <v>38946</v>
      </c>
      <c r="H1353" s="127">
        <v>45245.0</v>
      </c>
      <c r="I1353" s="9" t="s">
        <v>52</v>
      </c>
      <c r="J1353" s="9" t="s">
        <v>38801</v>
      </c>
      <c r="K1353" s="60">
        <v>45245.0</v>
      </c>
      <c r="M1353" s="9" t="s">
        <v>10400</v>
      </c>
    </row>
    <row r="1354" ht="15.75" hidden="1" customHeight="1">
      <c r="A1354" s="9" t="s">
        <v>41215</v>
      </c>
      <c r="B1354" s="9" t="s">
        <v>14393</v>
      </c>
      <c r="D1354" s="9" t="s">
        <v>12236</v>
      </c>
      <c r="F1354" s="9" t="s">
        <v>41214</v>
      </c>
      <c r="G1354" s="9" t="s">
        <v>38946</v>
      </c>
      <c r="H1354" s="127">
        <v>45245.0</v>
      </c>
      <c r="I1354" s="9" t="s">
        <v>52</v>
      </c>
      <c r="J1354" s="9" t="s">
        <v>38801</v>
      </c>
      <c r="K1354" s="60">
        <v>45245.0</v>
      </c>
      <c r="M1354" s="9" t="s">
        <v>10400</v>
      </c>
    </row>
    <row r="1355" ht="15.75" hidden="1" customHeight="1">
      <c r="A1355" s="9" t="s">
        <v>41216</v>
      </c>
      <c r="B1355" s="9" t="s">
        <v>14366</v>
      </c>
      <c r="D1355" s="9" t="s">
        <v>12258</v>
      </c>
      <c r="F1355" s="9" t="s">
        <v>41217</v>
      </c>
      <c r="G1355" s="9" t="s">
        <v>38946</v>
      </c>
      <c r="H1355" s="127">
        <v>45246.0</v>
      </c>
      <c r="I1355" s="9" t="s">
        <v>52</v>
      </c>
      <c r="J1355" s="9" t="s">
        <v>38801</v>
      </c>
      <c r="K1355" s="60">
        <v>45250.0</v>
      </c>
      <c r="M1355" s="9" t="s">
        <v>9080</v>
      </c>
    </row>
    <row r="1356" ht="15.75" hidden="1" customHeight="1">
      <c r="A1356" s="9" t="s">
        <v>41218</v>
      </c>
      <c r="B1356" s="9" t="s">
        <v>14333</v>
      </c>
      <c r="D1356" s="9" t="s">
        <v>12239</v>
      </c>
      <c r="F1356" s="9" t="s">
        <v>40678</v>
      </c>
      <c r="G1356" s="9" t="s">
        <v>38946</v>
      </c>
      <c r="H1356" s="127">
        <v>45247.0</v>
      </c>
      <c r="I1356" s="9" t="s">
        <v>131</v>
      </c>
      <c r="J1356" s="9" t="s">
        <v>38801</v>
      </c>
      <c r="K1356" s="60">
        <v>45254.0</v>
      </c>
      <c r="M1356" s="9" t="s">
        <v>11708</v>
      </c>
    </row>
    <row r="1357" ht="15.75" hidden="1" customHeight="1">
      <c r="A1357" s="9" t="s">
        <v>41219</v>
      </c>
      <c r="B1357" s="9" t="s">
        <v>12936</v>
      </c>
      <c r="D1357" s="9" t="s">
        <v>12230</v>
      </c>
      <c r="F1357" s="9" t="s">
        <v>40154</v>
      </c>
      <c r="G1357" s="9" t="s">
        <v>38946</v>
      </c>
      <c r="H1357" s="127">
        <v>45247.0</v>
      </c>
      <c r="I1357" s="9" t="s">
        <v>131</v>
      </c>
      <c r="J1357" s="9" t="s">
        <v>38801</v>
      </c>
      <c r="K1357" s="60">
        <v>46099.0</v>
      </c>
      <c r="M1357" s="9" t="s">
        <v>10781</v>
      </c>
    </row>
    <row r="1358" ht="15.75" customHeight="1">
      <c r="A1358" s="9" t="s">
        <v>41220</v>
      </c>
      <c r="B1358" s="9" t="s">
        <v>18135</v>
      </c>
      <c r="D1358" s="9" t="s">
        <v>12227</v>
      </c>
      <c r="E1358" s="9" t="s">
        <v>38803</v>
      </c>
      <c r="F1358" s="9" t="s">
        <v>41221</v>
      </c>
      <c r="G1358" s="9" t="s">
        <v>38946</v>
      </c>
      <c r="H1358" s="127">
        <v>45250.0</v>
      </c>
      <c r="I1358" s="9" t="s">
        <v>52</v>
      </c>
      <c r="J1358" s="9" t="s">
        <v>38805</v>
      </c>
      <c r="M1358" s="9" t="s">
        <v>10600</v>
      </c>
    </row>
    <row r="1359" ht="15.75" customHeight="1">
      <c r="A1359" s="9" t="s">
        <v>41222</v>
      </c>
      <c r="B1359" s="9" t="s">
        <v>232</v>
      </c>
      <c r="D1359" s="9" t="s">
        <v>12227</v>
      </c>
      <c r="E1359" s="9" t="s">
        <v>38803</v>
      </c>
      <c r="F1359" s="9" t="s">
        <v>41221</v>
      </c>
      <c r="G1359" s="9" t="s">
        <v>38946</v>
      </c>
      <c r="H1359" s="127">
        <v>45250.0</v>
      </c>
      <c r="I1359" s="9" t="s">
        <v>52</v>
      </c>
      <c r="J1359" s="9" t="s">
        <v>38801</v>
      </c>
      <c r="K1359" s="55">
        <v>46095.0</v>
      </c>
      <c r="M1359" s="9" t="s">
        <v>231</v>
      </c>
    </row>
    <row r="1360" ht="15.75" customHeight="1">
      <c r="A1360" s="9" t="s">
        <v>41223</v>
      </c>
      <c r="B1360" s="9" t="s">
        <v>12936</v>
      </c>
      <c r="D1360" s="9" t="s">
        <v>12227</v>
      </c>
      <c r="E1360" s="9" t="s">
        <v>38803</v>
      </c>
      <c r="F1360" s="9" t="s">
        <v>40635</v>
      </c>
      <c r="G1360" s="9" t="s">
        <v>38946</v>
      </c>
      <c r="H1360" s="127">
        <v>45250.0</v>
      </c>
      <c r="I1360" s="9" t="s">
        <v>131</v>
      </c>
      <c r="J1360" s="9" t="s">
        <v>38801</v>
      </c>
      <c r="K1360" s="55">
        <v>46099.0</v>
      </c>
      <c r="M1360" s="9" t="s">
        <v>10781</v>
      </c>
    </row>
    <row r="1361" ht="15.75" hidden="1" customHeight="1">
      <c r="A1361" s="9" t="s">
        <v>41224</v>
      </c>
      <c r="B1361" s="9" t="s">
        <v>12368</v>
      </c>
      <c r="D1361" s="9" t="s">
        <v>12250</v>
      </c>
      <c r="F1361" s="9" t="s">
        <v>41225</v>
      </c>
      <c r="G1361" s="9" t="s">
        <v>38946</v>
      </c>
      <c r="H1361" s="127">
        <v>45251.0</v>
      </c>
      <c r="I1361" s="9" t="s">
        <v>131</v>
      </c>
      <c r="J1361" s="9" t="s">
        <v>38801</v>
      </c>
      <c r="K1361" s="60">
        <v>45251.0</v>
      </c>
      <c r="M1361" s="9" t="s">
        <v>3256</v>
      </c>
    </row>
    <row r="1362" ht="15.75" hidden="1" customHeight="1">
      <c r="A1362" s="9" t="s">
        <v>41226</v>
      </c>
      <c r="B1362" s="9" t="s">
        <v>13829</v>
      </c>
      <c r="D1362" s="9" t="s">
        <v>12258</v>
      </c>
      <c r="F1362" s="9" t="s">
        <v>41227</v>
      </c>
      <c r="G1362" s="9" t="s">
        <v>38946</v>
      </c>
      <c r="H1362" s="127">
        <v>45253.0</v>
      </c>
      <c r="I1362" s="9" t="s">
        <v>131</v>
      </c>
      <c r="J1362" s="9" t="s">
        <v>38801</v>
      </c>
      <c r="K1362" s="60">
        <v>45537.0</v>
      </c>
      <c r="M1362" s="9" t="s">
        <v>8817</v>
      </c>
    </row>
    <row r="1363" ht="15.75" hidden="1" customHeight="1">
      <c r="A1363" s="9" t="s">
        <v>41228</v>
      </c>
      <c r="B1363" s="9" t="s">
        <v>12356</v>
      </c>
      <c r="D1363" s="9" t="s">
        <v>12233</v>
      </c>
      <c r="F1363" s="9" t="s">
        <v>41229</v>
      </c>
      <c r="G1363" s="9" t="s">
        <v>38946</v>
      </c>
      <c r="H1363" s="127">
        <v>45258.0</v>
      </c>
      <c r="I1363" s="9" t="s">
        <v>52</v>
      </c>
      <c r="J1363" s="9" t="s">
        <v>38801</v>
      </c>
      <c r="K1363" s="55">
        <v>46100.0</v>
      </c>
      <c r="M1363" s="9" t="s">
        <v>10662</v>
      </c>
    </row>
    <row r="1364" ht="15.75" hidden="1" customHeight="1">
      <c r="A1364" s="9" t="s">
        <v>41230</v>
      </c>
      <c r="B1364" s="9" t="s">
        <v>15496</v>
      </c>
      <c r="D1364" s="9" t="s">
        <v>12239</v>
      </c>
      <c r="F1364" s="9" t="s">
        <v>41231</v>
      </c>
      <c r="G1364" s="9" t="s">
        <v>38946</v>
      </c>
      <c r="H1364" s="127">
        <v>45258.0</v>
      </c>
      <c r="I1364" s="9" t="s">
        <v>26</v>
      </c>
      <c r="J1364" s="9" t="s">
        <v>38801</v>
      </c>
      <c r="K1364" s="55">
        <v>45328.0</v>
      </c>
      <c r="M1364" s="9" t="s">
        <v>10459</v>
      </c>
    </row>
    <row r="1365" ht="15.75" hidden="1" customHeight="1">
      <c r="A1365" s="9" t="s">
        <v>41232</v>
      </c>
      <c r="B1365" s="9" t="s">
        <v>15496</v>
      </c>
      <c r="D1365" s="9" t="s">
        <v>12240</v>
      </c>
      <c r="F1365" s="9" t="s">
        <v>41231</v>
      </c>
      <c r="G1365" s="9" t="s">
        <v>38946</v>
      </c>
      <c r="H1365" s="127">
        <v>45258.0</v>
      </c>
      <c r="I1365" s="9" t="s">
        <v>26</v>
      </c>
      <c r="J1365" s="9" t="s">
        <v>38801</v>
      </c>
      <c r="K1365" s="55">
        <v>45266.0</v>
      </c>
      <c r="M1365" s="9" t="s">
        <v>10459</v>
      </c>
    </row>
    <row r="1366" ht="15.75" customHeight="1">
      <c r="A1366" s="9" t="s">
        <v>41233</v>
      </c>
      <c r="B1366" s="9" t="s">
        <v>15496</v>
      </c>
      <c r="D1366" s="9" t="s">
        <v>12227</v>
      </c>
      <c r="E1366" s="9" t="s">
        <v>38803</v>
      </c>
      <c r="F1366" s="9" t="s">
        <v>41234</v>
      </c>
      <c r="G1366" s="9" t="s">
        <v>38808</v>
      </c>
      <c r="H1366" s="127">
        <v>45258.0</v>
      </c>
      <c r="I1366" s="9" t="s">
        <v>52</v>
      </c>
      <c r="J1366" s="9" t="s">
        <v>38805</v>
      </c>
      <c r="M1366" s="9" t="s">
        <v>10459</v>
      </c>
    </row>
    <row r="1367" ht="15.75" hidden="1" customHeight="1">
      <c r="A1367" s="9" t="s">
        <v>41235</v>
      </c>
      <c r="B1367" s="9" t="s">
        <v>13871</v>
      </c>
      <c r="D1367" s="9" t="s">
        <v>12230</v>
      </c>
      <c r="F1367" s="9" t="s">
        <v>40154</v>
      </c>
      <c r="G1367" s="9" t="s">
        <v>38946</v>
      </c>
      <c r="H1367" s="127">
        <v>45259.0</v>
      </c>
      <c r="I1367" s="9" t="s">
        <v>131</v>
      </c>
      <c r="J1367" s="9" t="s">
        <v>38801</v>
      </c>
      <c r="K1367" s="55">
        <v>45266.0</v>
      </c>
      <c r="M1367" s="9" t="s">
        <v>10359</v>
      </c>
    </row>
    <row r="1368" ht="15.75" hidden="1" customHeight="1">
      <c r="A1368" s="9" t="s">
        <v>41236</v>
      </c>
      <c r="B1368" s="9" t="s">
        <v>14028</v>
      </c>
      <c r="D1368" s="9" t="s">
        <v>12248</v>
      </c>
      <c r="F1368" s="9" t="s">
        <v>41237</v>
      </c>
      <c r="G1368" s="9" t="s">
        <v>38808</v>
      </c>
      <c r="H1368" s="127">
        <v>45261.0</v>
      </c>
      <c r="I1368" s="9" t="s">
        <v>52</v>
      </c>
      <c r="J1368" s="9" t="s">
        <v>38801</v>
      </c>
      <c r="K1368" s="55">
        <v>45507.0</v>
      </c>
      <c r="M1368" s="9" t="s">
        <v>8677</v>
      </c>
    </row>
    <row r="1369" ht="15.75" hidden="1" customHeight="1">
      <c r="A1369" s="9" t="s">
        <v>41238</v>
      </c>
      <c r="B1369" s="9" t="s">
        <v>14449</v>
      </c>
      <c r="D1369" s="9" t="s">
        <v>12250</v>
      </c>
      <c r="F1369" s="9" t="s">
        <v>41239</v>
      </c>
      <c r="G1369" s="9" t="s">
        <v>38946</v>
      </c>
      <c r="H1369" s="127">
        <v>45264.0</v>
      </c>
      <c r="I1369" s="9" t="s">
        <v>131</v>
      </c>
      <c r="J1369" s="9" t="s">
        <v>38801</v>
      </c>
      <c r="K1369" s="55">
        <v>45343.0</v>
      </c>
      <c r="M1369" s="9" t="s">
        <v>10394</v>
      </c>
    </row>
    <row r="1370" ht="15.75" hidden="1" customHeight="1">
      <c r="A1370" s="9" t="s">
        <v>41240</v>
      </c>
      <c r="B1370" s="9" t="s">
        <v>13371</v>
      </c>
      <c r="D1370" s="9" t="s">
        <v>12255</v>
      </c>
      <c r="F1370" s="9" t="s">
        <v>41241</v>
      </c>
      <c r="G1370" s="9" t="s">
        <v>38808</v>
      </c>
      <c r="H1370" s="127">
        <v>45264.0</v>
      </c>
      <c r="I1370" s="9" t="s">
        <v>131</v>
      </c>
      <c r="J1370" s="9" t="s">
        <v>38801</v>
      </c>
      <c r="K1370" s="55">
        <v>45266.0</v>
      </c>
      <c r="M1370" s="9" t="s">
        <v>2234</v>
      </c>
    </row>
    <row r="1371" ht="15.75" hidden="1" customHeight="1">
      <c r="A1371" s="9" t="s">
        <v>41242</v>
      </c>
      <c r="B1371" s="9" t="s">
        <v>13900</v>
      </c>
      <c r="D1371" s="9" t="s">
        <v>12250</v>
      </c>
      <c r="F1371" s="9" t="s">
        <v>41243</v>
      </c>
      <c r="G1371" s="9" t="s">
        <v>38946</v>
      </c>
      <c r="H1371" s="127">
        <v>45266.0</v>
      </c>
      <c r="I1371" s="9" t="s">
        <v>52</v>
      </c>
      <c r="J1371" s="9" t="s">
        <v>38801</v>
      </c>
      <c r="K1371" s="60">
        <v>45272.0</v>
      </c>
      <c r="M1371" s="9" t="s">
        <v>10199</v>
      </c>
    </row>
    <row r="1372" ht="15.75" customHeight="1">
      <c r="A1372" s="9" t="s">
        <v>41244</v>
      </c>
      <c r="B1372" s="9" t="s">
        <v>12850</v>
      </c>
      <c r="D1372" s="9" t="s">
        <v>12227</v>
      </c>
      <c r="E1372" s="9" t="s">
        <v>38803</v>
      </c>
      <c r="F1372" s="9" t="s">
        <v>41245</v>
      </c>
      <c r="G1372" s="9" t="s">
        <v>38808</v>
      </c>
      <c r="H1372" s="127">
        <v>45266.0</v>
      </c>
      <c r="I1372" s="9" t="s">
        <v>47</v>
      </c>
      <c r="J1372" s="9" t="s">
        <v>38801</v>
      </c>
      <c r="K1372" s="55">
        <v>46100.0</v>
      </c>
      <c r="M1372" s="9" t="s">
        <v>10297</v>
      </c>
    </row>
    <row r="1373" ht="15.75" hidden="1" customHeight="1">
      <c r="A1373" s="9" t="s">
        <v>41246</v>
      </c>
      <c r="B1373" s="9" t="s">
        <v>13871</v>
      </c>
      <c r="D1373" s="9" t="s">
        <v>12240</v>
      </c>
      <c r="F1373" s="9" t="s">
        <v>40678</v>
      </c>
      <c r="G1373" s="9" t="s">
        <v>38946</v>
      </c>
      <c r="H1373" s="127">
        <v>45268.0</v>
      </c>
      <c r="I1373" s="9" t="s">
        <v>131</v>
      </c>
      <c r="J1373" s="9" t="s">
        <v>38801</v>
      </c>
      <c r="K1373" s="55">
        <v>45322.0</v>
      </c>
      <c r="M1373" s="9" t="s">
        <v>10359</v>
      </c>
    </row>
    <row r="1374" ht="15.75" hidden="1" customHeight="1">
      <c r="A1374" s="9" t="s">
        <v>41247</v>
      </c>
      <c r="B1374" s="9" t="s">
        <v>13871</v>
      </c>
      <c r="D1374" s="9" t="s">
        <v>12239</v>
      </c>
      <c r="F1374" s="9" t="s">
        <v>40678</v>
      </c>
      <c r="G1374" s="9" t="s">
        <v>38946</v>
      </c>
      <c r="H1374" s="127">
        <v>45268.0</v>
      </c>
      <c r="I1374" s="9" t="s">
        <v>131</v>
      </c>
      <c r="J1374" s="9" t="s">
        <v>38801</v>
      </c>
      <c r="K1374" s="60">
        <v>45281.0</v>
      </c>
      <c r="M1374" s="9" t="s">
        <v>10359</v>
      </c>
    </row>
    <row r="1375" ht="15.75" hidden="1" customHeight="1">
      <c r="A1375" s="9" t="s">
        <v>41248</v>
      </c>
      <c r="B1375" s="9" t="s">
        <v>13855</v>
      </c>
      <c r="D1375" s="9" t="s">
        <v>12246</v>
      </c>
      <c r="F1375" s="9" t="s">
        <v>41249</v>
      </c>
      <c r="G1375" s="9" t="s">
        <v>38946</v>
      </c>
      <c r="H1375" s="127">
        <v>45268.0</v>
      </c>
      <c r="I1375" s="9" t="s">
        <v>131</v>
      </c>
      <c r="J1375" s="9" t="s">
        <v>38801</v>
      </c>
      <c r="K1375" s="55">
        <v>45268.0</v>
      </c>
      <c r="M1375" s="9" t="s">
        <v>6255</v>
      </c>
    </row>
    <row r="1376" ht="15.75" hidden="1" customHeight="1">
      <c r="A1376" s="9" t="s">
        <v>41250</v>
      </c>
      <c r="B1376" s="9" t="s">
        <v>13804</v>
      </c>
      <c r="D1376" s="9" t="s">
        <v>12248</v>
      </c>
      <c r="F1376" s="9" t="s">
        <v>41251</v>
      </c>
      <c r="G1376" s="9" t="s">
        <v>38808</v>
      </c>
      <c r="H1376" s="127">
        <v>45271.0</v>
      </c>
      <c r="I1376" s="9" t="s">
        <v>47</v>
      </c>
      <c r="J1376" s="9" t="s">
        <v>38801</v>
      </c>
      <c r="K1376" s="60">
        <v>45537.0</v>
      </c>
      <c r="M1376" s="9" t="s">
        <v>8727</v>
      </c>
    </row>
    <row r="1377" ht="15.75" hidden="1" customHeight="1">
      <c r="A1377" s="9" t="s">
        <v>41252</v>
      </c>
      <c r="B1377" s="9" t="s">
        <v>13829</v>
      </c>
      <c r="D1377" s="9" t="s">
        <v>12230</v>
      </c>
      <c r="F1377" s="9" t="s">
        <v>39931</v>
      </c>
      <c r="G1377" s="9" t="s">
        <v>38808</v>
      </c>
      <c r="H1377" s="127">
        <v>45271.0</v>
      </c>
      <c r="I1377" s="9" t="s">
        <v>47</v>
      </c>
      <c r="J1377" s="9" t="s">
        <v>38801</v>
      </c>
      <c r="K1377" s="60">
        <v>45537.0</v>
      </c>
      <c r="M1377" s="9" t="s">
        <v>8817</v>
      </c>
    </row>
    <row r="1378" ht="15.75" hidden="1" customHeight="1">
      <c r="A1378" s="9" t="s">
        <v>41253</v>
      </c>
      <c r="B1378" s="9" t="s">
        <v>13889</v>
      </c>
      <c r="D1378" s="9" t="s">
        <v>12240</v>
      </c>
      <c r="F1378" s="9" t="s">
        <v>41254</v>
      </c>
      <c r="G1378" s="9" t="s">
        <v>38946</v>
      </c>
      <c r="H1378" s="127">
        <v>45271.0</v>
      </c>
      <c r="I1378" s="9" t="s">
        <v>131</v>
      </c>
      <c r="J1378" s="9" t="s">
        <v>38801</v>
      </c>
      <c r="K1378" s="55">
        <v>45322.0</v>
      </c>
      <c r="M1378" s="9" t="s">
        <v>10363</v>
      </c>
    </row>
    <row r="1379" ht="15.75" hidden="1" customHeight="1">
      <c r="A1379" s="9" t="s">
        <v>41255</v>
      </c>
      <c r="B1379" s="9" t="s">
        <v>13795</v>
      </c>
      <c r="D1379" s="9" t="s">
        <v>12230</v>
      </c>
      <c r="F1379" s="9" t="s">
        <v>41256</v>
      </c>
      <c r="G1379" s="9" t="s">
        <v>38946</v>
      </c>
      <c r="H1379" s="127">
        <v>45271.0</v>
      </c>
      <c r="I1379" s="9" t="s">
        <v>52</v>
      </c>
      <c r="J1379" s="9" t="s">
        <v>38801</v>
      </c>
      <c r="K1379" s="60">
        <v>45272.0</v>
      </c>
      <c r="M1379" s="9" t="s">
        <v>9122</v>
      </c>
    </row>
    <row r="1380" ht="15.75" hidden="1" customHeight="1">
      <c r="A1380" s="9" t="s">
        <v>41257</v>
      </c>
      <c r="B1380" s="9" t="s">
        <v>13822</v>
      </c>
      <c r="D1380" s="9" t="s">
        <v>12246</v>
      </c>
      <c r="F1380" s="9" t="s">
        <v>41258</v>
      </c>
      <c r="G1380" s="9" t="s">
        <v>38946</v>
      </c>
      <c r="H1380" s="127">
        <v>45271.0</v>
      </c>
      <c r="I1380" s="9" t="s">
        <v>131</v>
      </c>
      <c r="J1380" s="9" t="s">
        <v>38801</v>
      </c>
      <c r="K1380" s="60">
        <v>45271.0</v>
      </c>
      <c r="M1380" s="9" t="s">
        <v>8598</v>
      </c>
    </row>
    <row r="1381" ht="15.75" hidden="1" customHeight="1">
      <c r="A1381" s="9" t="s">
        <v>41259</v>
      </c>
      <c r="B1381" s="9" t="s">
        <v>13889</v>
      </c>
      <c r="D1381" s="9" t="s">
        <v>12239</v>
      </c>
      <c r="F1381" s="9" t="s">
        <v>41260</v>
      </c>
      <c r="G1381" s="9" t="s">
        <v>38946</v>
      </c>
      <c r="H1381" s="127">
        <v>45271.0</v>
      </c>
      <c r="I1381" s="9" t="s">
        <v>131</v>
      </c>
      <c r="J1381" s="9" t="s">
        <v>38801</v>
      </c>
      <c r="K1381" s="60">
        <v>45271.0</v>
      </c>
      <c r="M1381" s="9" t="s">
        <v>11600</v>
      </c>
    </row>
    <row r="1382" ht="15.75" hidden="1" customHeight="1">
      <c r="A1382" s="9" t="s">
        <v>41261</v>
      </c>
      <c r="B1382" s="9" t="s">
        <v>14590</v>
      </c>
      <c r="D1382" s="9" t="s">
        <v>12230</v>
      </c>
      <c r="F1382" s="9" t="s">
        <v>39944</v>
      </c>
      <c r="G1382" s="9" t="s">
        <v>38808</v>
      </c>
      <c r="H1382" s="127">
        <v>45271.0</v>
      </c>
      <c r="I1382" s="9" t="s">
        <v>47</v>
      </c>
      <c r="J1382" s="9" t="s">
        <v>38801</v>
      </c>
      <c r="K1382" s="60">
        <v>45271.0</v>
      </c>
      <c r="M1382" s="9" t="s">
        <v>12136</v>
      </c>
    </row>
    <row r="1383" ht="15.75" hidden="1" customHeight="1">
      <c r="A1383" s="9" t="s">
        <v>41262</v>
      </c>
      <c r="B1383" s="9" t="s">
        <v>13772</v>
      </c>
      <c r="D1383" s="9" t="s">
        <v>12248</v>
      </c>
      <c r="F1383" s="9" t="s">
        <v>41263</v>
      </c>
      <c r="G1383" s="9" t="s">
        <v>38946</v>
      </c>
      <c r="H1383" s="127">
        <v>45272.0</v>
      </c>
      <c r="I1383" s="9" t="s">
        <v>52</v>
      </c>
      <c r="J1383" s="9" t="s">
        <v>38801</v>
      </c>
      <c r="K1383" s="55">
        <v>45871.0</v>
      </c>
      <c r="M1383" s="9" t="s">
        <v>9131</v>
      </c>
    </row>
    <row r="1384" ht="15.75" hidden="1" customHeight="1">
      <c r="A1384" s="9" t="s">
        <v>41264</v>
      </c>
      <c r="B1384" s="9" t="s">
        <v>13889</v>
      </c>
      <c r="D1384" s="9" t="s">
        <v>12239</v>
      </c>
      <c r="F1384" s="9" t="s">
        <v>41265</v>
      </c>
      <c r="G1384" s="9" t="s">
        <v>38946</v>
      </c>
      <c r="H1384" s="127">
        <v>45272.0</v>
      </c>
      <c r="I1384" s="9" t="s">
        <v>131</v>
      </c>
      <c r="J1384" s="9" t="s">
        <v>38801</v>
      </c>
      <c r="K1384" s="55">
        <v>45328.0</v>
      </c>
      <c r="M1384" s="9" t="s">
        <v>248</v>
      </c>
    </row>
    <row r="1385" ht="15.75" hidden="1" customHeight="1">
      <c r="A1385" s="9" t="s">
        <v>41266</v>
      </c>
      <c r="B1385" s="9" t="s">
        <v>12599</v>
      </c>
      <c r="D1385" s="9" t="s">
        <v>12230</v>
      </c>
      <c r="F1385" s="9" t="s">
        <v>39973</v>
      </c>
      <c r="G1385" s="9" t="s">
        <v>38808</v>
      </c>
      <c r="H1385" s="127">
        <v>45273.0</v>
      </c>
      <c r="I1385" s="9" t="s">
        <v>47</v>
      </c>
      <c r="J1385" s="9" t="s">
        <v>38801</v>
      </c>
      <c r="K1385" s="60">
        <v>46094.0</v>
      </c>
      <c r="M1385" s="9" t="s">
        <v>10682</v>
      </c>
    </row>
    <row r="1386" ht="15.75" hidden="1" customHeight="1">
      <c r="A1386" s="9" t="s">
        <v>41267</v>
      </c>
      <c r="B1386" s="9" t="s">
        <v>12599</v>
      </c>
      <c r="D1386" s="9" t="s">
        <v>12230</v>
      </c>
      <c r="F1386" s="9" t="s">
        <v>39973</v>
      </c>
      <c r="G1386" s="9" t="s">
        <v>38808</v>
      </c>
      <c r="H1386" s="127">
        <v>45273.0</v>
      </c>
      <c r="I1386" s="9" t="s">
        <v>47</v>
      </c>
      <c r="J1386" s="9" t="s">
        <v>38801</v>
      </c>
      <c r="K1386" s="60">
        <v>46100.0</v>
      </c>
      <c r="M1386" s="9" t="s">
        <v>11526</v>
      </c>
    </row>
    <row r="1387" ht="15.75" hidden="1" customHeight="1">
      <c r="A1387" s="9" t="s">
        <v>41268</v>
      </c>
      <c r="B1387" s="9" t="s">
        <v>13685</v>
      </c>
      <c r="D1387" s="9" t="s">
        <v>12240</v>
      </c>
      <c r="F1387" s="9" t="s">
        <v>40678</v>
      </c>
      <c r="G1387" s="9" t="s">
        <v>38946</v>
      </c>
      <c r="H1387" s="127">
        <v>45275.0</v>
      </c>
      <c r="I1387" s="9" t="s">
        <v>131</v>
      </c>
      <c r="J1387" s="9" t="s">
        <v>38801</v>
      </c>
      <c r="K1387" s="55">
        <v>45872.0</v>
      </c>
      <c r="M1387" s="9" t="s">
        <v>264</v>
      </c>
    </row>
    <row r="1388" ht="15.75" hidden="1" customHeight="1">
      <c r="A1388" s="9" t="s">
        <v>41269</v>
      </c>
      <c r="B1388" s="9" t="s">
        <v>13685</v>
      </c>
      <c r="D1388" s="9" t="s">
        <v>12239</v>
      </c>
      <c r="F1388" s="9" t="s">
        <v>40678</v>
      </c>
      <c r="G1388" s="9" t="s">
        <v>38946</v>
      </c>
      <c r="H1388" s="127">
        <v>45275.0</v>
      </c>
      <c r="I1388" s="9" t="s">
        <v>131</v>
      </c>
      <c r="J1388" s="9" t="s">
        <v>38801</v>
      </c>
      <c r="K1388" s="60">
        <v>45872.0</v>
      </c>
      <c r="M1388" s="9" t="s">
        <v>264</v>
      </c>
    </row>
    <row r="1389" ht="15.75" hidden="1" customHeight="1">
      <c r="A1389" s="9" t="s">
        <v>41270</v>
      </c>
      <c r="B1389" s="9" t="s">
        <v>13685</v>
      </c>
      <c r="D1389" s="9" t="s">
        <v>12230</v>
      </c>
      <c r="F1389" s="9" t="s">
        <v>41161</v>
      </c>
      <c r="G1389" s="9" t="s">
        <v>38946</v>
      </c>
      <c r="H1389" s="127">
        <v>45275.0</v>
      </c>
      <c r="I1389" s="9" t="s">
        <v>131</v>
      </c>
      <c r="J1389" s="9" t="s">
        <v>38801</v>
      </c>
      <c r="K1389" s="60">
        <v>45872.0</v>
      </c>
      <c r="M1389" s="9" t="s">
        <v>264</v>
      </c>
    </row>
    <row r="1390" ht="15.75" hidden="1" customHeight="1">
      <c r="A1390" s="9" t="s">
        <v>41271</v>
      </c>
      <c r="B1390" s="9" t="s">
        <v>13371</v>
      </c>
      <c r="D1390" s="9" t="s">
        <v>12255</v>
      </c>
      <c r="F1390" s="9" t="s">
        <v>41272</v>
      </c>
      <c r="G1390" s="9" t="s">
        <v>38808</v>
      </c>
      <c r="H1390" s="127">
        <v>45278.0</v>
      </c>
      <c r="I1390" s="9" t="s">
        <v>26</v>
      </c>
      <c r="J1390" s="9" t="s">
        <v>38801</v>
      </c>
      <c r="K1390" s="55">
        <v>45322.0</v>
      </c>
      <c r="M1390" s="9" t="s">
        <v>2219</v>
      </c>
    </row>
    <row r="1391" ht="15.75" hidden="1" customHeight="1">
      <c r="A1391" s="9" t="s">
        <v>41273</v>
      </c>
      <c r="B1391" s="9" t="s">
        <v>13606</v>
      </c>
      <c r="D1391" s="9" t="s">
        <v>12250</v>
      </c>
      <c r="F1391" s="9" t="s">
        <v>41274</v>
      </c>
      <c r="G1391" s="9" t="s">
        <v>38946</v>
      </c>
      <c r="H1391" s="127">
        <v>45278.0</v>
      </c>
      <c r="I1391" s="9" t="s">
        <v>47</v>
      </c>
      <c r="J1391" s="9" t="s">
        <v>38801</v>
      </c>
      <c r="K1391" s="60">
        <v>45278.0</v>
      </c>
      <c r="M1391" s="9" t="s">
        <v>10344</v>
      </c>
    </row>
    <row r="1392" ht="15.75" hidden="1" customHeight="1">
      <c r="A1392" s="9" t="s">
        <v>41275</v>
      </c>
      <c r="B1392" s="9" t="s">
        <v>13606</v>
      </c>
      <c r="D1392" s="9" t="s">
        <v>12230</v>
      </c>
      <c r="F1392" s="9" t="s">
        <v>41276</v>
      </c>
      <c r="G1392" s="9" t="s">
        <v>38808</v>
      </c>
      <c r="H1392" s="127">
        <v>45278.0</v>
      </c>
      <c r="I1392" s="9" t="s">
        <v>47</v>
      </c>
      <c r="J1392" s="9" t="s">
        <v>38801</v>
      </c>
      <c r="K1392" s="60">
        <v>45278.0</v>
      </c>
      <c r="M1392" s="9" t="s">
        <v>10344</v>
      </c>
    </row>
    <row r="1393" ht="15.75" hidden="1" customHeight="1">
      <c r="A1393" s="9" t="s">
        <v>41277</v>
      </c>
      <c r="B1393" s="9" t="s">
        <v>13579</v>
      </c>
      <c r="D1393" s="9" t="s">
        <v>12230</v>
      </c>
      <c r="F1393" s="9" t="s">
        <v>40154</v>
      </c>
      <c r="G1393" s="9" t="s">
        <v>38946</v>
      </c>
      <c r="H1393" s="127">
        <v>45282.0</v>
      </c>
      <c r="I1393" s="9" t="s">
        <v>131</v>
      </c>
      <c r="J1393" s="9" t="s">
        <v>38801</v>
      </c>
      <c r="K1393" s="55">
        <v>46094.0</v>
      </c>
      <c r="M1393" s="9" t="s">
        <v>10347</v>
      </c>
    </row>
    <row r="1394" ht="15.75" hidden="1" customHeight="1">
      <c r="A1394" s="9" t="s">
        <v>41278</v>
      </c>
      <c r="B1394" s="9" t="s">
        <v>13590</v>
      </c>
      <c r="D1394" s="9" t="s">
        <v>12224</v>
      </c>
      <c r="F1394" s="9" t="s">
        <v>41279</v>
      </c>
      <c r="G1394" s="9" t="s">
        <v>38808</v>
      </c>
      <c r="H1394" s="127">
        <v>45282.0</v>
      </c>
      <c r="I1394" s="9" t="s">
        <v>47</v>
      </c>
      <c r="J1394" s="9" t="s">
        <v>38801</v>
      </c>
      <c r="K1394" s="60">
        <v>45282.0</v>
      </c>
      <c r="M1394" s="9" t="s">
        <v>9612</v>
      </c>
    </row>
    <row r="1395" ht="15.75" hidden="1" customHeight="1">
      <c r="A1395" s="9" t="s">
        <v>41280</v>
      </c>
      <c r="B1395" s="9" t="s">
        <v>15807</v>
      </c>
      <c r="D1395" s="9" t="s">
        <v>12230</v>
      </c>
      <c r="F1395" s="9" t="s">
        <v>41281</v>
      </c>
      <c r="G1395" s="9" t="s">
        <v>38808</v>
      </c>
      <c r="H1395" s="127">
        <v>45287.0</v>
      </c>
      <c r="I1395" s="9" t="s">
        <v>52</v>
      </c>
      <c r="J1395" s="9" t="s">
        <v>38801</v>
      </c>
      <c r="K1395" s="60">
        <v>45288.0</v>
      </c>
      <c r="M1395" s="9" t="s">
        <v>540</v>
      </c>
    </row>
    <row r="1396" ht="15.75" hidden="1" customHeight="1">
      <c r="A1396" s="9" t="s">
        <v>41282</v>
      </c>
      <c r="B1396" s="9" t="s">
        <v>16477</v>
      </c>
      <c r="D1396" s="9" t="s">
        <v>12230</v>
      </c>
      <c r="F1396" s="9" t="s">
        <v>41283</v>
      </c>
      <c r="G1396" s="9" t="s">
        <v>38808</v>
      </c>
      <c r="H1396" s="127">
        <v>45293.0</v>
      </c>
      <c r="I1396" s="9" t="s">
        <v>52</v>
      </c>
      <c r="J1396" s="9" t="s">
        <v>38801</v>
      </c>
      <c r="K1396" s="55">
        <v>45294.0</v>
      </c>
      <c r="M1396" s="9" t="s">
        <v>10518</v>
      </c>
    </row>
    <row r="1397" ht="15.75" hidden="1" customHeight="1">
      <c r="A1397" s="9" t="s">
        <v>41284</v>
      </c>
      <c r="B1397" s="9" t="s">
        <v>16477</v>
      </c>
      <c r="D1397" s="9" t="s">
        <v>12230</v>
      </c>
      <c r="F1397" s="9" t="s">
        <v>39389</v>
      </c>
      <c r="G1397" s="9" t="s">
        <v>38808</v>
      </c>
      <c r="H1397" s="127">
        <v>45294.0</v>
      </c>
      <c r="I1397" s="9" t="s">
        <v>47</v>
      </c>
      <c r="J1397" s="9" t="s">
        <v>38801</v>
      </c>
      <c r="K1397" s="55">
        <v>45294.0</v>
      </c>
      <c r="M1397" s="9" t="s">
        <v>10518</v>
      </c>
    </row>
    <row r="1398" ht="15.75" hidden="1" customHeight="1">
      <c r="A1398" s="9" t="s">
        <v>41285</v>
      </c>
      <c r="B1398" s="9" t="s">
        <v>17012</v>
      </c>
      <c r="D1398" s="9" t="s">
        <v>12250</v>
      </c>
      <c r="F1398" s="9" t="s">
        <v>41286</v>
      </c>
      <c r="G1398" s="9" t="s">
        <v>38808</v>
      </c>
      <c r="H1398" s="127">
        <v>45294.0</v>
      </c>
      <c r="I1398" s="9" t="s">
        <v>47</v>
      </c>
      <c r="J1398" s="9" t="s">
        <v>38801</v>
      </c>
      <c r="K1398" s="55">
        <v>45294.0</v>
      </c>
      <c r="M1398" s="9" t="s">
        <v>9285</v>
      </c>
    </row>
    <row r="1399" ht="15.75" hidden="1" customHeight="1">
      <c r="A1399" s="9" t="s">
        <v>41287</v>
      </c>
      <c r="B1399" s="9" t="s">
        <v>17012</v>
      </c>
      <c r="D1399" s="9" t="s">
        <v>12236</v>
      </c>
      <c r="F1399" s="9" t="s">
        <v>41288</v>
      </c>
      <c r="G1399" s="9" t="s">
        <v>38808</v>
      </c>
      <c r="H1399" s="127">
        <v>45294.0</v>
      </c>
      <c r="I1399" s="9" t="s">
        <v>47</v>
      </c>
      <c r="J1399" s="9" t="s">
        <v>38801</v>
      </c>
      <c r="K1399" s="55">
        <v>45294.0</v>
      </c>
      <c r="M1399" s="9" t="s">
        <v>9285</v>
      </c>
    </row>
    <row r="1400" ht="15.75" hidden="1" customHeight="1">
      <c r="A1400" s="9" t="s">
        <v>41289</v>
      </c>
      <c r="B1400" s="9" t="s">
        <v>20803</v>
      </c>
      <c r="D1400" s="9" t="s">
        <v>12230</v>
      </c>
      <c r="F1400" s="9" t="s">
        <v>41290</v>
      </c>
      <c r="G1400" s="9" t="s">
        <v>38808</v>
      </c>
      <c r="H1400" s="127">
        <v>45296.0</v>
      </c>
      <c r="I1400" s="9" t="s">
        <v>47</v>
      </c>
      <c r="J1400" s="9" t="s">
        <v>38801</v>
      </c>
      <c r="K1400" s="55">
        <v>45296.0</v>
      </c>
      <c r="M1400" s="9" t="s">
        <v>8755</v>
      </c>
    </row>
    <row r="1401" ht="15.75" hidden="1" customHeight="1">
      <c r="A1401" s="9" t="s">
        <v>41291</v>
      </c>
      <c r="B1401" s="9" t="s">
        <v>16054</v>
      </c>
      <c r="D1401" s="9" t="s">
        <v>12230</v>
      </c>
      <c r="F1401" s="9" t="s">
        <v>41292</v>
      </c>
      <c r="G1401" s="9" t="s">
        <v>38946</v>
      </c>
      <c r="H1401" s="127">
        <v>45299.0</v>
      </c>
      <c r="I1401" s="9" t="s">
        <v>52</v>
      </c>
      <c r="J1401" s="9" t="s">
        <v>38801</v>
      </c>
      <c r="K1401" s="55">
        <v>45300.0</v>
      </c>
      <c r="M1401" s="9" t="s">
        <v>10488</v>
      </c>
    </row>
    <row r="1402" ht="15.75" hidden="1" customHeight="1">
      <c r="A1402" s="9" t="s">
        <v>41293</v>
      </c>
      <c r="B1402" s="9" t="s">
        <v>26104</v>
      </c>
      <c r="D1402" s="9" t="s">
        <v>12257</v>
      </c>
      <c r="F1402" s="9" t="s">
        <v>41294</v>
      </c>
      <c r="G1402" s="9" t="s">
        <v>38808</v>
      </c>
      <c r="H1402" s="127">
        <v>45299.0</v>
      </c>
      <c r="I1402" s="9" t="s">
        <v>47</v>
      </c>
      <c r="J1402" s="9" t="s">
        <v>38801</v>
      </c>
      <c r="K1402" s="55">
        <v>45299.0</v>
      </c>
      <c r="M1402" s="9" t="s">
        <v>234</v>
      </c>
    </row>
    <row r="1403" ht="15.75" hidden="1" customHeight="1">
      <c r="A1403" s="9" t="s">
        <v>41295</v>
      </c>
      <c r="B1403" s="9" t="s">
        <v>13425</v>
      </c>
      <c r="D1403" s="9" t="s">
        <v>12230</v>
      </c>
      <c r="F1403" s="9" t="s">
        <v>41296</v>
      </c>
      <c r="G1403" s="9" t="s">
        <v>38946</v>
      </c>
      <c r="H1403" s="127">
        <v>45300.0</v>
      </c>
      <c r="I1403" s="9" t="s">
        <v>47</v>
      </c>
      <c r="J1403" s="9" t="s">
        <v>38801</v>
      </c>
      <c r="K1403" s="55">
        <v>45433.0</v>
      </c>
      <c r="M1403" s="9" t="s">
        <v>10334</v>
      </c>
    </row>
    <row r="1404" ht="15.75" hidden="1" customHeight="1">
      <c r="A1404" s="9" t="s">
        <v>41297</v>
      </c>
      <c r="B1404" s="9" t="s">
        <v>13038</v>
      </c>
      <c r="D1404" s="9" t="s">
        <v>12250</v>
      </c>
      <c r="F1404" s="9" t="s">
        <v>41298</v>
      </c>
      <c r="G1404" s="9" t="s">
        <v>38946</v>
      </c>
      <c r="H1404" s="127">
        <v>45300.0</v>
      </c>
      <c r="I1404" s="9" t="s">
        <v>131</v>
      </c>
      <c r="J1404" s="9" t="s">
        <v>38801</v>
      </c>
      <c r="K1404" s="55">
        <v>46099.0</v>
      </c>
      <c r="M1404" s="9" t="s">
        <v>10310</v>
      </c>
    </row>
    <row r="1405" ht="15.75" hidden="1" customHeight="1">
      <c r="A1405" s="9" t="s">
        <v>41299</v>
      </c>
      <c r="B1405" s="9" t="s">
        <v>13038</v>
      </c>
      <c r="D1405" s="9" t="s">
        <v>12257</v>
      </c>
      <c r="F1405" s="9" t="s">
        <v>41300</v>
      </c>
      <c r="G1405" s="9" t="s">
        <v>38946</v>
      </c>
      <c r="H1405" s="127">
        <v>45300.0</v>
      </c>
      <c r="I1405" s="9" t="s">
        <v>131</v>
      </c>
      <c r="J1405" s="9" t="s">
        <v>38801</v>
      </c>
      <c r="K1405" s="55">
        <v>46099.0</v>
      </c>
      <c r="M1405" s="9" t="s">
        <v>10310</v>
      </c>
    </row>
    <row r="1406" ht="15.75" hidden="1" customHeight="1">
      <c r="A1406" s="9" t="s">
        <v>41301</v>
      </c>
      <c r="B1406" s="9" t="s">
        <v>14133</v>
      </c>
      <c r="D1406" s="9" t="s">
        <v>12230</v>
      </c>
      <c r="F1406" s="9" t="s">
        <v>41302</v>
      </c>
      <c r="G1406" s="9" t="s">
        <v>38808</v>
      </c>
      <c r="H1406" s="127">
        <v>45300.0</v>
      </c>
      <c r="I1406" s="9" t="s">
        <v>52</v>
      </c>
      <c r="J1406" s="9" t="s">
        <v>38801</v>
      </c>
      <c r="K1406" s="55">
        <v>45300.0</v>
      </c>
      <c r="M1406" s="9" t="s">
        <v>2522</v>
      </c>
    </row>
    <row r="1407" ht="15.75" hidden="1" customHeight="1">
      <c r="A1407" s="9" t="s">
        <v>41303</v>
      </c>
      <c r="B1407" s="9" t="s">
        <v>13425</v>
      </c>
      <c r="D1407" s="9" t="s">
        <v>12230</v>
      </c>
      <c r="F1407" s="9" t="s">
        <v>41304</v>
      </c>
      <c r="G1407" s="9" t="s">
        <v>38808</v>
      </c>
      <c r="H1407" s="127">
        <v>45300.0</v>
      </c>
      <c r="I1407" s="9" t="s">
        <v>47</v>
      </c>
      <c r="J1407" s="9" t="s">
        <v>38801</v>
      </c>
      <c r="K1407" s="55">
        <v>45300.0</v>
      </c>
      <c r="M1407" s="9" t="s">
        <v>10332</v>
      </c>
    </row>
    <row r="1408" ht="15.75" hidden="1" customHeight="1">
      <c r="A1408" s="9" t="s">
        <v>41305</v>
      </c>
      <c r="B1408" s="9" t="s">
        <v>16697</v>
      </c>
      <c r="D1408" s="9" t="s">
        <v>12230</v>
      </c>
      <c r="F1408" s="9" t="s">
        <v>41306</v>
      </c>
      <c r="G1408" s="9" t="s">
        <v>38808</v>
      </c>
      <c r="H1408" s="127">
        <v>45301.0</v>
      </c>
      <c r="I1408" s="9" t="s">
        <v>47</v>
      </c>
      <c r="J1408" s="9" t="s">
        <v>38801</v>
      </c>
      <c r="K1408" s="55">
        <v>45301.0</v>
      </c>
      <c r="M1408" s="9" t="s">
        <v>7298</v>
      </c>
    </row>
    <row r="1409" ht="15.75" hidden="1" customHeight="1">
      <c r="A1409" s="9" t="s">
        <v>41307</v>
      </c>
      <c r="B1409" s="9" t="s">
        <v>13979</v>
      </c>
      <c r="D1409" s="9" t="s">
        <v>12248</v>
      </c>
      <c r="F1409" s="9" t="s">
        <v>41308</v>
      </c>
      <c r="G1409" s="9" t="s">
        <v>38946</v>
      </c>
      <c r="H1409" s="127">
        <v>45302.0</v>
      </c>
      <c r="I1409" s="9" t="s">
        <v>131</v>
      </c>
      <c r="J1409" s="9" t="s">
        <v>38801</v>
      </c>
      <c r="K1409" s="55">
        <v>46095.0</v>
      </c>
      <c r="M1409" s="9" t="s">
        <v>8448</v>
      </c>
    </row>
    <row r="1410" ht="15.75" hidden="1" customHeight="1">
      <c r="A1410" s="9" t="s">
        <v>41309</v>
      </c>
      <c r="B1410" s="9" t="s">
        <v>13212</v>
      </c>
      <c r="D1410" s="9" t="s">
        <v>12230</v>
      </c>
      <c r="F1410" s="9" t="s">
        <v>40154</v>
      </c>
      <c r="G1410" s="9" t="s">
        <v>38946</v>
      </c>
      <c r="H1410" s="127">
        <v>45302.0</v>
      </c>
      <c r="I1410" s="9" t="s">
        <v>131</v>
      </c>
      <c r="J1410" s="9" t="s">
        <v>38801</v>
      </c>
      <c r="K1410" s="55">
        <v>45309.0</v>
      </c>
      <c r="M1410" s="9" t="s">
        <v>10320</v>
      </c>
    </row>
    <row r="1411" ht="15.75" hidden="1" customHeight="1">
      <c r="A1411" s="9" t="s">
        <v>41310</v>
      </c>
      <c r="B1411" s="9" t="s">
        <v>13361</v>
      </c>
      <c r="D1411" s="9" t="s">
        <v>12258</v>
      </c>
      <c r="F1411" s="9" t="s">
        <v>41311</v>
      </c>
      <c r="G1411" s="9" t="s">
        <v>38946</v>
      </c>
      <c r="H1411" s="127">
        <v>45302.0</v>
      </c>
      <c r="I1411" s="9" t="s">
        <v>47</v>
      </c>
      <c r="J1411" s="9" t="s">
        <v>38801</v>
      </c>
      <c r="K1411" s="55">
        <v>45302.0</v>
      </c>
      <c r="M1411" s="9" t="s">
        <v>12132</v>
      </c>
    </row>
    <row r="1412" ht="15.75" hidden="1" customHeight="1">
      <c r="A1412" s="9" t="s">
        <v>41312</v>
      </c>
      <c r="B1412" s="9" t="s">
        <v>12986</v>
      </c>
      <c r="D1412" s="9" t="s">
        <v>12239</v>
      </c>
      <c r="F1412" s="9" t="s">
        <v>41313</v>
      </c>
      <c r="G1412" s="9" t="s">
        <v>38946</v>
      </c>
      <c r="H1412" s="127">
        <v>45303.0</v>
      </c>
      <c r="I1412" s="9" t="s">
        <v>76</v>
      </c>
      <c r="J1412" s="9" t="s">
        <v>38801</v>
      </c>
      <c r="K1412" s="55">
        <v>45303.0</v>
      </c>
      <c r="M1412" s="9" t="s">
        <v>10308</v>
      </c>
    </row>
    <row r="1413" ht="15.75" customHeight="1">
      <c r="A1413" s="9" t="s">
        <v>41314</v>
      </c>
      <c r="B1413" s="9" t="s">
        <v>16054</v>
      </c>
      <c r="D1413" s="9" t="s">
        <v>12227</v>
      </c>
      <c r="E1413" s="9" t="s">
        <v>38803</v>
      </c>
      <c r="F1413" s="9" t="s">
        <v>41315</v>
      </c>
      <c r="G1413" s="9" t="s">
        <v>38808</v>
      </c>
      <c r="H1413" s="127">
        <v>45303.0</v>
      </c>
      <c r="I1413" s="9" t="s">
        <v>47</v>
      </c>
      <c r="J1413" s="9" t="s">
        <v>38805</v>
      </c>
      <c r="M1413" s="9" t="s">
        <v>10488</v>
      </c>
    </row>
    <row r="1414" ht="15.75" hidden="1" customHeight="1">
      <c r="A1414" s="9" t="s">
        <v>41316</v>
      </c>
      <c r="B1414" s="9" t="s">
        <v>13212</v>
      </c>
      <c r="D1414" s="9" t="s">
        <v>12239</v>
      </c>
      <c r="F1414" s="9" t="s">
        <v>40678</v>
      </c>
      <c r="G1414" s="9" t="s">
        <v>38946</v>
      </c>
      <c r="H1414" s="127">
        <v>45309.0</v>
      </c>
      <c r="I1414" s="9" t="s">
        <v>131</v>
      </c>
      <c r="J1414" s="9" t="s">
        <v>38801</v>
      </c>
      <c r="K1414" s="55">
        <v>45342.0</v>
      </c>
      <c r="M1414" s="9" t="s">
        <v>10320</v>
      </c>
    </row>
    <row r="1415" ht="15.75" hidden="1" customHeight="1">
      <c r="A1415" s="9" t="s">
        <v>41317</v>
      </c>
      <c r="B1415" s="9" t="s">
        <v>13212</v>
      </c>
      <c r="D1415" s="9" t="s">
        <v>12240</v>
      </c>
      <c r="F1415" s="9" t="s">
        <v>41318</v>
      </c>
      <c r="G1415" s="9" t="s">
        <v>38946</v>
      </c>
      <c r="H1415" s="127">
        <v>45309.0</v>
      </c>
      <c r="I1415" s="9" t="s">
        <v>131</v>
      </c>
      <c r="J1415" s="9" t="s">
        <v>38801</v>
      </c>
      <c r="K1415" s="55">
        <v>45322.0</v>
      </c>
      <c r="M1415" s="9" t="s">
        <v>10320</v>
      </c>
    </row>
    <row r="1416" ht="15.75" hidden="1" customHeight="1">
      <c r="A1416" s="9" t="s">
        <v>41319</v>
      </c>
      <c r="B1416" s="9" t="s">
        <v>26098</v>
      </c>
      <c r="D1416" s="9" t="s">
        <v>12239</v>
      </c>
      <c r="F1416" s="9" t="s">
        <v>40678</v>
      </c>
      <c r="G1416" s="9" t="s">
        <v>38946</v>
      </c>
      <c r="H1416" s="127">
        <v>45314.0</v>
      </c>
      <c r="I1416" s="9" t="s">
        <v>131</v>
      </c>
      <c r="J1416" s="9" t="s">
        <v>38801</v>
      </c>
      <c r="K1416" s="55">
        <v>45316.0</v>
      </c>
      <c r="M1416" s="9" t="s">
        <v>234</v>
      </c>
    </row>
    <row r="1417" ht="15.75" customHeight="1">
      <c r="A1417" s="9" t="s">
        <v>41320</v>
      </c>
      <c r="B1417" s="9" t="s">
        <v>26098</v>
      </c>
      <c r="D1417" s="9" t="s">
        <v>12227</v>
      </c>
      <c r="E1417" s="9" t="s">
        <v>38803</v>
      </c>
      <c r="F1417" s="9" t="s">
        <v>40970</v>
      </c>
      <c r="G1417" s="9" t="s">
        <v>38946</v>
      </c>
      <c r="H1417" s="127">
        <v>45314.0</v>
      </c>
      <c r="I1417" s="9" t="s">
        <v>131</v>
      </c>
      <c r="J1417" s="9" t="s">
        <v>38805</v>
      </c>
      <c r="M1417" s="9" t="s">
        <v>234</v>
      </c>
    </row>
    <row r="1418" ht="15.75" hidden="1" customHeight="1">
      <c r="A1418" s="9" t="s">
        <v>41321</v>
      </c>
      <c r="B1418" s="9" t="s">
        <v>24412</v>
      </c>
      <c r="D1418" s="9" t="s">
        <v>12248</v>
      </c>
      <c r="F1418" s="9" t="s">
        <v>41263</v>
      </c>
      <c r="G1418" s="9" t="s">
        <v>38946</v>
      </c>
      <c r="H1418" s="127">
        <v>45315.0</v>
      </c>
      <c r="I1418" s="9" t="s">
        <v>52</v>
      </c>
      <c r="J1418" s="9" t="s">
        <v>38801</v>
      </c>
      <c r="K1418" s="55">
        <v>45322.0</v>
      </c>
      <c r="M1418" s="9" t="s">
        <v>8809</v>
      </c>
    </row>
    <row r="1419" ht="15.75" hidden="1" customHeight="1">
      <c r="A1419" s="9" t="s">
        <v>41322</v>
      </c>
      <c r="B1419" s="9" t="s">
        <v>19498</v>
      </c>
      <c r="D1419" s="9" t="s">
        <v>12230</v>
      </c>
      <c r="F1419" s="9" t="s">
        <v>41323</v>
      </c>
      <c r="G1419" s="9" t="s">
        <v>38808</v>
      </c>
      <c r="H1419" s="127">
        <v>45316.0</v>
      </c>
      <c r="I1419" s="9" t="s">
        <v>52</v>
      </c>
      <c r="J1419" s="9" t="s">
        <v>38801</v>
      </c>
      <c r="K1419" s="55">
        <v>45322.0</v>
      </c>
      <c r="M1419" s="9" t="s">
        <v>10211</v>
      </c>
    </row>
    <row r="1420" ht="15.75" hidden="1" customHeight="1">
      <c r="A1420" s="9" t="s">
        <v>41324</v>
      </c>
      <c r="B1420" s="9" t="s">
        <v>26104</v>
      </c>
      <c r="D1420" s="9" t="s">
        <v>12250</v>
      </c>
      <c r="F1420" s="9" t="s">
        <v>41325</v>
      </c>
      <c r="G1420" s="9" t="s">
        <v>38808</v>
      </c>
      <c r="H1420" s="127">
        <v>45316.0</v>
      </c>
      <c r="I1420" s="9" t="s">
        <v>47</v>
      </c>
      <c r="J1420" s="9" t="s">
        <v>38801</v>
      </c>
      <c r="K1420" s="55">
        <v>45316.0</v>
      </c>
      <c r="M1420" s="9" t="s">
        <v>234</v>
      </c>
    </row>
    <row r="1421" ht="15.75" hidden="1" customHeight="1">
      <c r="A1421" s="9" t="s">
        <v>41326</v>
      </c>
      <c r="B1421" s="9" t="s">
        <v>13855</v>
      </c>
      <c r="D1421" s="9" t="s">
        <v>12258</v>
      </c>
      <c r="F1421" s="9" t="s">
        <v>41327</v>
      </c>
      <c r="G1421" s="9" t="s">
        <v>38946</v>
      </c>
      <c r="H1421" s="127">
        <v>45321.0</v>
      </c>
      <c r="I1421" s="9" t="s">
        <v>52</v>
      </c>
      <c r="J1421" s="9" t="s">
        <v>38801</v>
      </c>
      <c r="K1421" s="55">
        <v>45329.0</v>
      </c>
      <c r="M1421" s="9" t="s">
        <v>6255</v>
      </c>
    </row>
    <row r="1422" ht="15.75" hidden="1" customHeight="1">
      <c r="A1422" s="9" t="s">
        <v>41328</v>
      </c>
      <c r="B1422" s="9" t="s">
        <v>13068</v>
      </c>
      <c r="D1422" s="9" t="s">
        <v>12248</v>
      </c>
      <c r="F1422" s="9" t="s">
        <v>41329</v>
      </c>
      <c r="G1422" s="9" t="s">
        <v>38946</v>
      </c>
      <c r="H1422" s="127">
        <v>45323.0</v>
      </c>
      <c r="I1422" s="9" t="s">
        <v>131</v>
      </c>
      <c r="J1422" s="9" t="s">
        <v>38801</v>
      </c>
      <c r="K1422" s="55">
        <v>46099.0</v>
      </c>
      <c r="M1422" s="9" t="s">
        <v>10312</v>
      </c>
    </row>
    <row r="1423" ht="15.75" hidden="1" customHeight="1">
      <c r="A1423" s="9" t="s">
        <v>41330</v>
      </c>
      <c r="B1423" s="9" t="s">
        <v>13022</v>
      </c>
      <c r="D1423" s="9" t="s">
        <v>12248</v>
      </c>
      <c r="F1423" s="9" t="s">
        <v>41331</v>
      </c>
      <c r="G1423" s="9" t="s">
        <v>38946</v>
      </c>
      <c r="H1423" s="127">
        <v>45323.0</v>
      </c>
      <c r="I1423" s="9" t="s">
        <v>131</v>
      </c>
      <c r="J1423" s="9" t="s">
        <v>38801</v>
      </c>
      <c r="K1423" s="55">
        <v>46099.0</v>
      </c>
      <c r="M1423" s="9" t="s">
        <v>1561</v>
      </c>
    </row>
    <row r="1424" ht="15.75" hidden="1" customHeight="1">
      <c r="A1424" s="9" t="s">
        <v>41332</v>
      </c>
      <c r="B1424" s="9" t="s">
        <v>12859</v>
      </c>
      <c r="D1424" s="9" t="s">
        <v>12248</v>
      </c>
      <c r="F1424" s="9" t="s">
        <v>41333</v>
      </c>
      <c r="G1424" s="9" t="s">
        <v>38946</v>
      </c>
      <c r="H1424" s="127">
        <v>45330.0</v>
      </c>
      <c r="I1424" s="9" t="s">
        <v>131</v>
      </c>
      <c r="J1424" s="9" t="s">
        <v>38801</v>
      </c>
      <c r="K1424" s="55">
        <v>46100.0</v>
      </c>
      <c r="M1424" s="9" t="s">
        <v>6716</v>
      </c>
    </row>
    <row r="1425" ht="15.75" hidden="1" customHeight="1">
      <c r="A1425" s="9" t="s">
        <v>41334</v>
      </c>
      <c r="B1425" s="9" t="s">
        <v>15738</v>
      </c>
      <c r="D1425" s="9" t="s">
        <v>12230</v>
      </c>
      <c r="F1425" s="9" t="s">
        <v>41335</v>
      </c>
      <c r="G1425" s="9" t="s">
        <v>38808</v>
      </c>
      <c r="H1425" s="127">
        <v>45331.0</v>
      </c>
      <c r="I1425" s="9" t="s">
        <v>47</v>
      </c>
      <c r="J1425" s="9" t="s">
        <v>38801</v>
      </c>
      <c r="K1425" s="55">
        <v>45331.0</v>
      </c>
      <c r="M1425" s="9" t="s">
        <v>1747</v>
      </c>
    </row>
    <row r="1426" ht="15.75" hidden="1" customHeight="1">
      <c r="A1426" s="9" t="s">
        <v>41336</v>
      </c>
      <c r="B1426" s="9" t="s">
        <v>12997</v>
      </c>
      <c r="D1426" s="9" t="s">
        <v>12240</v>
      </c>
      <c r="F1426" s="9" t="s">
        <v>41337</v>
      </c>
      <c r="G1426" s="9" t="s">
        <v>38946</v>
      </c>
      <c r="H1426" s="127">
        <v>45336.0</v>
      </c>
      <c r="I1426" s="9" t="s">
        <v>131</v>
      </c>
      <c r="J1426" s="9" t="s">
        <v>38801</v>
      </c>
      <c r="K1426" s="55">
        <v>45343.0</v>
      </c>
      <c r="M1426" s="9" t="s">
        <v>4712</v>
      </c>
    </row>
    <row r="1427" ht="15.75" hidden="1" customHeight="1">
      <c r="A1427" s="9" t="s">
        <v>41338</v>
      </c>
      <c r="B1427" s="9" t="s">
        <v>12997</v>
      </c>
      <c r="D1427" s="9" t="s">
        <v>12239</v>
      </c>
      <c r="F1427" s="9" t="s">
        <v>40678</v>
      </c>
      <c r="G1427" s="9" t="s">
        <v>38946</v>
      </c>
      <c r="H1427" s="127">
        <v>45336.0</v>
      </c>
      <c r="I1427" s="9" t="s">
        <v>131</v>
      </c>
      <c r="J1427" s="9" t="s">
        <v>38801</v>
      </c>
      <c r="K1427" s="55">
        <v>45342.0</v>
      </c>
      <c r="M1427" s="9" t="s">
        <v>4712</v>
      </c>
    </row>
    <row r="1428" ht="15.75" hidden="1" customHeight="1">
      <c r="A1428" s="9" t="s">
        <v>41339</v>
      </c>
      <c r="B1428" s="9" t="s">
        <v>21724</v>
      </c>
      <c r="D1428" s="9" t="s">
        <v>12230</v>
      </c>
      <c r="F1428" s="9" t="s">
        <v>40154</v>
      </c>
      <c r="G1428" s="9" t="s">
        <v>38946</v>
      </c>
      <c r="H1428" s="127">
        <v>45336.0</v>
      </c>
      <c r="I1428" s="9" t="s">
        <v>131</v>
      </c>
      <c r="J1428" s="9" t="s">
        <v>38801</v>
      </c>
      <c r="K1428" s="55">
        <v>45338.0</v>
      </c>
      <c r="M1428" s="9" t="s">
        <v>11362</v>
      </c>
    </row>
    <row r="1429" ht="15.75" hidden="1" customHeight="1">
      <c r="A1429" s="9" t="s">
        <v>41340</v>
      </c>
      <c r="B1429" s="9" t="s">
        <v>12963</v>
      </c>
      <c r="D1429" s="9" t="s">
        <v>12224</v>
      </c>
      <c r="F1429" s="9" t="s">
        <v>41341</v>
      </c>
      <c r="G1429" s="9" t="s">
        <v>38946</v>
      </c>
      <c r="H1429" s="127">
        <v>45337.0</v>
      </c>
      <c r="I1429" s="9" t="s">
        <v>101</v>
      </c>
      <c r="J1429" s="9" t="s">
        <v>38801</v>
      </c>
      <c r="K1429" s="55">
        <v>45342.0</v>
      </c>
      <c r="M1429" s="9" t="s">
        <v>10303</v>
      </c>
    </row>
    <row r="1430" ht="15.75" hidden="1" customHeight="1">
      <c r="A1430" s="9" t="s">
        <v>41342</v>
      </c>
      <c r="B1430" s="9" t="s">
        <v>21724</v>
      </c>
      <c r="D1430" s="9" t="s">
        <v>12239</v>
      </c>
      <c r="F1430" s="9" t="s">
        <v>40678</v>
      </c>
      <c r="G1430" s="9" t="s">
        <v>38946</v>
      </c>
      <c r="H1430" s="127">
        <v>45338.0</v>
      </c>
      <c r="I1430" s="9" t="s">
        <v>131</v>
      </c>
      <c r="J1430" s="9" t="s">
        <v>38801</v>
      </c>
      <c r="K1430" s="55">
        <v>45342.0</v>
      </c>
      <c r="M1430" s="9" t="s">
        <v>11362</v>
      </c>
    </row>
    <row r="1431" ht="15.75" hidden="1" customHeight="1">
      <c r="A1431" s="9" t="s">
        <v>41343</v>
      </c>
      <c r="B1431" s="9" t="s">
        <v>12948</v>
      </c>
      <c r="D1431" s="9" t="s">
        <v>12239</v>
      </c>
      <c r="F1431" s="9" t="s">
        <v>41344</v>
      </c>
      <c r="G1431" s="9" t="s">
        <v>38946</v>
      </c>
      <c r="H1431" s="127">
        <v>45341.0</v>
      </c>
      <c r="I1431" s="9" t="s">
        <v>26</v>
      </c>
      <c r="J1431" s="9" t="s">
        <v>38801</v>
      </c>
      <c r="K1431" s="55">
        <v>45345.0</v>
      </c>
      <c r="M1431" s="9" t="s">
        <v>5545</v>
      </c>
    </row>
    <row r="1432" ht="15.75" hidden="1" customHeight="1">
      <c r="A1432" s="9" t="s">
        <v>41345</v>
      </c>
      <c r="B1432" s="9" t="s">
        <v>12948</v>
      </c>
      <c r="D1432" s="9" t="s">
        <v>12257</v>
      </c>
      <c r="F1432" s="9" t="s">
        <v>41346</v>
      </c>
      <c r="G1432" s="9" t="s">
        <v>38946</v>
      </c>
      <c r="H1432" s="127">
        <v>45341.0</v>
      </c>
      <c r="I1432" s="9" t="s">
        <v>26</v>
      </c>
      <c r="J1432" s="9" t="s">
        <v>38801</v>
      </c>
      <c r="K1432" s="55">
        <v>45343.0</v>
      </c>
      <c r="M1432" s="9" t="s">
        <v>5545</v>
      </c>
    </row>
    <row r="1433" ht="15.75" hidden="1" customHeight="1">
      <c r="A1433" s="9" t="s">
        <v>41347</v>
      </c>
      <c r="B1433" s="9" t="s">
        <v>12948</v>
      </c>
      <c r="D1433" s="9" t="s">
        <v>12240</v>
      </c>
      <c r="F1433" s="9" t="s">
        <v>41348</v>
      </c>
      <c r="G1433" s="9" t="s">
        <v>38946</v>
      </c>
      <c r="H1433" s="127">
        <v>45341.0</v>
      </c>
      <c r="I1433" s="9" t="s">
        <v>26</v>
      </c>
      <c r="J1433" s="9" t="s">
        <v>38801</v>
      </c>
      <c r="K1433" s="55">
        <v>45343.0</v>
      </c>
      <c r="M1433" s="9" t="s">
        <v>5545</v>
      </c>
    </row>
    <row r="1434" ht="15.75" hidden="1" customHeight="1">
      <c r="A1434" s="9" t="s">
        <v>41349</v>
      </c>
      <c r="B1434" s="9" t="s">
        <v>12972</v>
      </c>
      <c r="D1434" s="9" t="s">
        <v>12250</v>
      </c>
      <c r="F1434" s="9" t="s">
        <v>41350</v>
      </c>
      <c r="G1434" s="9" t="s">
        <v>38808</v>
      </c>
      <c r="H1434" s="127">
        <v>45341.0</v>
      </c>
      <c r="I1434" s="9" t="s">
        <v>131</v>
      </c>
      <c r="J1434" s="9" t="s">
        <v>38801</v>
      </c>
      <c r="K1434" s="55">
        <v>46099.0</v>
      </c>
      <c r="M1434" s="9" t="s">
        <v>1707</v>
      </c>
    </row>
    <row r="1435" ht="15.75" hidden="1" customHeight="1">
      <c r="A1435" s="9" t="s">
        <v>41351</v>
      </c>
      <c r="B1435" s="9" t="s">
        <v>12948</v>
      </c>
      <c r="D1435" s="9" t="s">
        <v>12236</v>
      </c>
      <c r="F1435" s="9" t="s">
        <v>41352</v>
      </c>
      <c r="G1435" s="9" t="s">
        <v>38946</v>
      </c>
      <c r="H1435" s="127">
        <v>45344.0</v>
      </c>
      <c r="I1435" s="9" t="s">
        <v>26</v>
      </c>
      <c r="J1435" s="9" t="s">
        <v>38801</v>
      </c>
      <c r="K1435" s="55">
        <v>45400.0</v>
      </c>
      <c r="M1435" s="9" t="s">
        <v>5545</v>
      </c>
    </row>
    <row r="1436" ht="15.75" hidden="1" customHeight="1">
      <c r="A1436" s="9" t="s">
        <v>41353</v>
      </c>
      <c r="B1436" s="9" t="s">
        <v>12922</v>
      </c>
      <c r="D1436" s="9" t="s">
        <v>12248</v>
      </c>
      <c r="F1436" s="9" t="s">
        <v>41354</v>
      </c>
      <c r="G1436" s="9" t="s">
        <v>38808</v>
      </c>
      <c r="H1436" s="127">
        <v>45348.0</v>
      </c>
      <c r="I1436" s="9" t="s">
        <v>47</v>
      </c>
      <c r="J1436" s="9" t="s">
        <v>38801</v>
      </c>
      <c r="K1436" s="55">
        <v>46100.0</v>
      </c>
      <c r="M1436" s="9" t="s">
        <v>1233</v>
      </c>
    </row>
    <row r="1437" ht="15.75" hidden="1" customHeight="1">
      <c r="A1437" s="9" t="s">
        <v>41355</v>
      </c>
      <c r="B1437" s="9" t="s">
        <v>26955</v>
      </c>
      <c r="D1437" s="9" t="s">
        <v>12230</v>
      </c>
      <c r="F1437" s="9" t="s">
        <v>40154</v>
      </c>
      <c r="G1437" s="9" t="s">
        <v>38946</v>
      </c>
      <c r="H1437" s="127">
        <v>45348.0</v>
      </c>
      <c r="I1437" s="9" t="s">
        <v>131</v>
      </c>
      <c r="J1437" s="9" t="s">
        <v>38801</v>
      </c>
      <c r="K1437" s="55">
        <v>45378.0</v>
      </c>
      <c r="M1437" s="9" t="s">
        <v>11366</v>
      </c>
    </row>
    <row r="1438" ht="15.75" hidden="1" customHeight="1">
      <c r="A1438" s="9" t="s">
        <v>41356</v>
      </c>
      <c r="B1438" s="9" t="s">
        <v>12480</v>
      </c>
      <c r="D1438" s="9" t="s">
        <v>12230</v>
      </c>
      <c r="F1438" s="9" t="s">
        <v>40154</v>
      </c>
      <c r="G1438" s="9" t="s">
        <v>38946</v>
      </c>
      <c r="H1438" s="127">
        <v>45348.0</v>
      </c>
      <c r="I1438" s="9" t="s">
        <v>131</v>
      </c>
      <c r="J1438" s="9" t="s">
        <v>38801</v>
      </c>
      <c r="K1438" s="55">
        <v>45348.0</v>
      </c>
      <c r="M1438" s="9" t="s">
        <v>10276</v>
      </c>
    </row>
    <row r="1439" ht="15.75" hidden="1" customHeight="1">
      <c r="A1439" s="9" t="s">
        <v>41357</v>
      </c>
      <c r="B1439" s="9" t="s">
        <v>12625</v>
      </c>
      <c r="D1439" s="9" t="s">
        <v>12230</v>
      </c>
      <c r="F1439" s="9" t="s">
        <v>39790</v>
      </c>
      <c r="G1439" s="9" t="s">
        <v>38946</v>
      </c>
      <c r="H1439" s="127">
        <v>45348.0</v>
      </c>
      <c r="I1439" s="9" t="s">
        <v>47</v>
      </c>
      <c r="J1439" s="9" t="s">
        <v>38801</v>
      </c>
      <c r="K1439" s="55">
        <v>45348.0</v>
      </c>
      <c r="M1439" s="9" t="s">
        <v>10283</v>
      </c>
    </row>
    <row r="1440" ht="15.75" hidden="1" customHeight="1">
      <c r="A1440" s="9" t="s">
        <v>41358</v>
      </c>
      <c r="B1440" s="9" t="s">
        <v>12625</v>
      </c>
      <c r="D1440" s="9" t="s">
        <v>12230</v>
      </c>
      <c r="F1440" s="9" t="s">
        <v>39790</v>
      </c>
      <c r="G1440" s="9" t="s">
        <v>38808</v>
      </c>
      <c r="H1440" s="127">
        <v>45348.0</v>
      </c>
      <c r="I1440" s="9" t="s">
        <v>47</v>
      </c>
      <c r="J1440" s="9" t="s">
        <v>38801</v>
      </c>
      <c r="K1440" s="55">
        <v>45348.0</v>
      </c>
      <c r="M1440" s="9" t="s">
        <v>11830</v>
      </c>
    </row>
    <row r="1441" ht="15.75" hidden="1" customHeight="1">
      <c r="A1441" s="9" t="s">
        <v>41359</v>
      </c>
      <c r="B1441" s="9" t="s">
        <v>12915</v>
      </c>
      <c r="D1441" s="9" t="s">
        <v>12248</v>
      </c>
      <c r="F1441" s="9" t="s">
        <v>41360</v>
      </c>
      <c r="G1441" s="9" t="s">
        <v>38808</v>
      </c>
      <c r="H1441" s="127">
        <v>45349.0</v>
      </c>
      <c r="I1441" s="9" t="s">
        <v>47</v>
      </c>
      <c r="J1441" s="9" t="s">
        <v>38801</v>
      </c>
      <c r="K1441" s="55">
        <v>46100.0</v>
      </c>
      <c r="M1441" s="9" t="s">
        <v>4176</v>
      </c>
    </row>
    <row r="1442" ht="15.75" hidden="1" customHeight="1">
      <c r="A1442" s="9" t="s">
        <v>41361</v>
      </c>
      <c r="B1442" s="9" t="s">
        <v>12903</v>
      </c>
      <c r="D1442" s="9" t="s">
        <v>12248</v>
      </c>
      <c r="F1442" s="9" t="s">
        <v>41362</v>
      </c>
      <c r="G1442" s="9" t="s">
        <v>38808</v>
      </c>
      <c r="H1442" s="127">
        <v>45349.0</v>
      </c>
      <c r="I1442" s="9" t="s">
        <v>47</v>
      </c>
      <c r="J1442" s="9" t="s">
        <v>38801</v>
      </c>
      <c r="K1442" s="55">
        <v>46100.0</v>
      </c>
      <c r="M1442" s="9" t="s">
        <v>9858</v>
      </c>
    </row>
    <row r="1443" ht="15.75" hidden="1" customHeight="1">
      <c r="A1443" s="9" t="s">
        <v>41363</v>
      </c>
      <c r="B1443" s="9" t="s">
        <v>17900</v>
      </c>
      <c r="D1443" s="9" t="s">
        <v>12258</v>
      </c>
      <c r="F1443" s="9" t="s">
        <v>41364</v>
      </c>
      <c r="G1443" s="9" t="s">
        <v>38808</v>
      </c>
      <c r="H1443" s="127">
        <v>45349.0</v>
      </c>
      <c r="I1443" s="9" t="s">
        <v>26</v>
      </c>
      <c r="J1443" s="9" t="s">
        <v>38801</v>
      </c>
      <c r="K1443" s="55">
        <v>45372.0</v>
      </c>
      <c r="M1443" s="9" t="s">
        <v>11875</v>
      </c>
    </row>
    <row r="1444" ht="15.75" hidden="1" customHeight="1">
      <c r="A1444" s="9" t="s">
        <v>41365</v>
      </c>
      <c r="B1444" s="9" t="s">
        <v>12936</v>
      </c>
      <c r="D1444" s="9" t="s">
        <v>12250</v>
      </c>
      <c r="F1444" s="9" t="s">
        <v>41366</v>
      </c>
      <c r="G1444" s="9" t="s">
        <v>38946</v>
      </c>
      <c r="H1444" s="127">
        <v>45349.0</v>
      </c>
      <c r="I1444" s="9" t="s">
        <v>131</v>
      </c>
      <c r="J1444" s="9" t="s">
        <v>38801</v>
      </c>
      <c r="K1444" s="55">
        <v>46099.0</v>
      </c>
      <c r="M1444" s="9" t="s">
        <v>10781</v>
      </c>
    </row>
    <row r="1445" ht="15.75" hidden="1" customHeight="1">
      <c r="A1445" s="9" t="s">
        <v>41367</v>
      </c>
      <c r="B1445" s="9" t="s">
        <v>21774</v>
      </c>
      <c r="D1445" s="9" t="s">
        <v>12230</v>
      </c>
      <c r="F1445" s="9" t="s">
        <v>41368</v>
      </c>
      <c r="G1445" s="9" t="s">
        <v>38946</v>
      </c>
      <c r="H1445" s="127">
        <v>45350.0</v>
      </c>
      <c r="I1445" s="9" t="s">
        <v>47</v>
      </c>
      <c r="J1445" s="9" t="s">
        <v>38801</v>
      </c>
      <c r="K1445" s="55">
        <v>45350.0</v>
      </c>
      <c r="M1445" s="9" t="s">
        <v>11955</v>
      </c>
    </row>
    <row r="1446" ht="15.75" hidden="1" customHeight="1">
      <c r="A1446" s="9" t="s">
        <v>41369</v>
      </c>
      <c r="B1446" s="9" t="s">
        <v>12426</v>
      </c>
      <c r="D1446" s="9" t="s">
        <v>12230</v>
      </c>
      <c r="F1446" s="9" t="s">
        <v>40154</v>
      </c>
      <c r="G1446" s="9" t="s">
        <v>38946</v>
      </c>
      <c r="H1446" s="127">
        <v>45351.0</v>
      </c>
      <c r="I1446" s="9" t="s">
        <v>131</v>
      </c>
      <c r="J1446" s="9" t="s">
        <v>38801</v>
      </c>
      <c r="K1446" s="55">
        <v>45411.0</v>
      </c>
      <c r="M1446" s="9" t="s">
        <v>11364</v>
      </c>
    </row>
    <row r="1447" ht="15.75" hidden="1" customHeight="1">
      <c r="A1447" s="9" t="s">
        <v>41370</v>
      </c>
      <c r="B1447" s="9" t="s">
        <v>14393</v>
      </c>
      <c r="D1447" s="9" t="s">
        <v>12248</v>
      </c>
      <c r="F1447" s="9" t="s">
        <v>41371</v>
      </c>
      <c r="G1447" s="9" t="s">
        <v>38946</v>
      </c>
      <c r="H1447" s="127">
        <v>45351.0</v>
      </c>
      <c r="I1447" s="9" t="s">
        <v>131</v>
      </c>
      <c r="J1447" s="9" t="s">
        <v>38801</v>
      </c>
      <c r="K1447" s="55">
        <v>45351.0</v>
      </c>
      <c r="M1447" s="9" t="s">
        <v>12093</v>
      </c>
    </row>
    <row r="1448" ht="15.75" hidden="1" customHeight="1">
      <c r="A1448" s="9" t="s">
        <v>41372</v>
      </c>
      <c r="B1448" s="9" t="s">
        <v>18454</v>
      </c>
      <c r="D1448" s="9" t="s">
        <v>12248</v>
      </c>
      <c r="F1448" s="9" t="s">
        <v>41373</v>
      </c>
      <c r="G1448" s="9" t="s">
        <v>38946</v>
      </c>
      <c r="H1448" s="127">
        <v>45352.0</v>
      </c>
      <c r="I1448" s="9" t="s">
        <v>47</v>
      </c>
      <c r="J1448" s="9" t="s">
        <v>38801</v>
      </c>
      <c r="K1448" s="55">
        <v>45366.0</v>
      </c>
      <c r="M1448" s="9" t="s">
        <v>4952</v>
      </c>
    </row>
    <row r="1449" ht="15.75" hidden="1" customHeight="1">
      <c r="A1449" s="9" t="s">
        <v>41374</v>
      </c>
      <c r="B1449" s="9" t="s">
        <v>12368</v>
      </c>
      <c r="D1449" s="9" t="s">
        <v>12224</v>
      </c>
      <c r="F1449" s="9" t="s">
        <v>41375</v>
      </c>
      <c r="G1449" s="9" t="s">
        <v>38946</v>
      </c>
      <c r="H1449" s="127">
        <v>45352.0</v>
      </c>
      <c r="I1449" s="9" t="s">
        <v>101</v>
      </c>
      <c r="J1449" s="9" t="s">
        <v>38801</v>
      </c>
      <c r="K1449" s="55">
        <v>45357.0</v>
      </c>
      <c r="M1449" s="9" t="s">
        <v>3256</v>
      </c>
    </row>
    <row r="1450" ht="15.75" hidden="1" customHeight="1">
      <c r="A1450" s="9" t="s">
        <v>41376</v>
      </c>
      <c r="B1450" s="9" t="s">
        <v>14475</v>
      </c>
      <c r="D1450" s="9" t="s">
        <v>12236</v>
      </c>
      <c r="F1450" s="9" t="s">
        <v>41377</v>
      </c>
      <c r="G1450" s="9" t="s">
        <v>38946</v>
      </c>
      <c r="H1450" s="127">
        <v>45357.0</v>
      </c>
      <c r="I1450" s="9" t="s">
        <v>131</v>
      </c>
      <c r="J1450" s="9" t="s">
        <v>38801</v>
      </c>
      <c r="K1450" s="55">
        <v>45426.0</v>
      </c>
      <c r="M1450" s="9" t="s">
        <v>12180</v>
      </c>
    </row>
    <row r="1451" ht="15.75" hidden="1" customHeight="1">
      <c r="A1451" s="9" t="s">
        <v>41378</v>
      </c>
      <c r="B1451" s="9" t="s">
        <v>12692</v>
      </c>
      <c r="D1451" s="9" t="s">
        <v>12239</v>
      </c>
      <c r="F1451" s="9" t="s">
        <v>40678</v>
      </c>
      <c r="G1451" s="9" t="s">
        <v>38946</v>
      </c>
      <c r="H1451" s="127">
        <v>45358.0</v>
      </c>
      <c r="I1451" s="9" t="s">
        <v>131</v>
      </c>
      <c r="J1451" s="9" t="s">
        <v>38801</v>
      </c>
      <c r="K1451" s="55">
        <v>45398.0</v>
      </c>
      <c r="M1451" s="9" t="s">
        <v>1966</v>
      </c>
    </row>
    <row r="1452" ht="15.75" hidden="1" customHeight="1">
      <c r="A1452" s="9" t="s">
        <v>41379</v>
      </c>
      <c r="B1452" s="9" t="s">
        <v>12692</v>
      </c>
      <c r="D1452" s="9" t="s">
        <v>12240</v>
      </c>
      <c r="F1452" s="9" t="s">
        <v>40678</v>
      </c>
      <c r="G1452" s="9" t="s">
        <v>38946</v>
      </c>
      <c r="H1452" s="127">
        <v>45358.0</v>
      </c>
      <c r="I1452" s="9" t="s">
        <v>131</v>
      </c>
      <c r="J1452" s="9" t="s">
        <v>38801</v>
      </c>
      <c r="K1452" s="55">
        <v>45392.0</v>
      </c>
      <c r="M1452" s="9" t="s">
        <v>1966</v>
      </c>
    </row>
    <row r="1453" ht="15.75" hidden="1" customHeight="1">
      <c r="A1453" s="9" t="s">
        <v>41380</v>
      </c>
      <c r="B1453" s="9" t="s">
        <v>21815</v>
      </c>
      <c r="D1453" s="9" t="s">
        <v>12230</v>
      </c>
      <c r="F1453" s="9" t="s">
        <v>40154</v>
      </c>
      <c r="G1453" s="9" t="s">
        <v>38946</v>
      </c>
      <c r="H1453" s="127">
        <v>45358.0</v>
      </c>
      <c r="I1453" s="9" t="s">
        <v>131</v>
      </c>
      <c r="J1453" s="9" t="s">
        <v>38801</v>
      </c>
      <c r="K1453" s="55">
        <v>45364.0</v>
      </c>
      <c r="M1453" s="9" t="s">
        <v>11371</v>
      </c>
    </row>
    <row r="1454" ht="15.75" hidden="1" customHeight="1">
      <c r="A1454" s="9" t="s">
        <v>41381</v>
      </c>
      <c r="B1454" s="9" t="s">
        <v>12426</v>
      </c>
      <c r="D1454" s="9" t="s">
        <v>12239</v>
      </c>
      <c r="F1454" s="9" t="s">
        <v>41382</v>
      </c>
      <c r="G1454" s="9" t="s">
        <v>38946</v>
      </c>
      <c r="H1454" s="127">
        <v>45359.0</v>
      </c>
      <c r="I1454" s="9" t="s">
        <v>131</v>
      </c>
      <c r="J1454" s="9" t="s">
        <v>38801</v>
      </c>
      <c r="K1454" s="55">
        <v>45398.0</v>
      </c>
      <c r="M1454" s="9" t="s">
        <v>3638</v>
      </c>
    </row>
    <row r="1455" ht="15.75" hidden="1" customHeight="1">
      <c r="A1455" s="9" t="s">
        <v>41383</v>
      </c>
      <c r="B1455" s="9" t="s">
        <v>12599</v>
      </c>
      <c r="D1455" s="9" t="s">
        <v>12257</v>
      </c>
      <c r="F1455" s="9" t="s">
        <v>41384</v>
      </c>
      <c r="G1455" s="9" t="s">
        <v>38946</v>
      </c>
      <c r="H1455" s="127">
        <v>45362.0</v>
      </c>
      <c r="I1455" s="9" t="s">
        <v>47</v>
      </c>
      <c r="J1455" s="9" t="s">
        <v>38801</v>
      </c>
      <c r="K1455" s="55">
        <v>46100.0</v>
      </c>
      <c r="M1455" s="9" t="s">
        <v>11526</v>
      </c>
    </row>
    <row r="1456" ht="15.75" hidden="1" customHeight="1">
      <c r="A1456" s="9" t="s">
        <v>41385</v>
      </c>
      <c r="B1456" s="9" t="s">
        <v>12609</v>
      </c>
      <c r="D1456" s="9" t="s">
        <v>12230</v>
      </c>
      <c r="F1456" s="9" t="s">
        <v>41386</v>
      </c>
      <c r="G1456" s="9" t="s">
        <v>38808</v>
      </c>
      <c r="H1456" s="127">
        <v>45363.0</v>
      </c>
      <c r="I1456" s="9" t="s">
        <v>47</v>
      </c>
      <c r="J1456" s="9" t="s">
        <v>38801</v>
      </c>
      <c r="K1456" s="55">
        <v>45363.0</v>
      </c>
      <c r="M1456" s="9" t="s">
        <v>266</v>
      </c>
    </row>
    <row r="1457" ht="15.75" hidden="1" customHeight="1">
      <c r="A1457" s="9" t="s">
        <v>41387</v>
      </c>
      <c r="B1457" s="9" t="s">
        <v>12609</v>
      </c>
      <c r="D1457" s="9" t="s">
        <v>12246</v>
      </c>
      <c r="F1457" s="9" t="s">
        <v>41388</v>
      </c>
      <c r="G1457" s="9" t="s">
        <v>38808</v>
      </c>
      <c r="H1457" s="127">
        <v>45363.0</v>
      </c>
      <c r="I1457" s="9" t="s">
        <v>47</v>
      </c>
      <c r="J1457" s="9" t="s">
        <v>38801</v>
      </c>
      <c r="K1457" s="55">
        <v>46100.0</v>
      </c>
      <c r="M1457" s="9" t="s">
        <v>11817</v>
      </c>
    </row>
    <row r="1458" ht="15.75" hidden="1" customHeight="1">
      <c r="A1458" s="9" t="s">
        <v>41389</v>
      </c>
      <c r="B1458" s="9" t="s">
        <v>12609</v>
      </c>
      <c r="D1458" s="9" t="s">
        <v>12230</v>
      </c>
      <c r="F1458" s="9" t="s">
        <v>41390</v>
      </c>
      <c r="G1458" s="9" t="s">
        <v>38946</v>
      </c>
      <c r="H1458" s="127">
        <v>45363.0</v>
      </c>
      <c r="I1458" s="9" t="s">
        <v>47</v>
      </c>
      <c r="J1458" s="9" t="s">
        <v>38801</v>
      </c>
      <c r="K1458" s="55">
        <v>46100.0</v>
      </c>
      <c r="M1458" s="9" t="s">
        <v>11817</v>
      </c>
    </row>
    <row r="1459" ht="15.75" hidden="1" customHeight="1">
      <c r="A1459" s="9" t="s">
        <v>41391</v>
      </c>
      <c r="B1459" s="9" t="s">
        <v>12599</v>
      </c>
      <c r="D1459" s="9" t="s">
        <v>12240</v>
      </c>
      <c r="F1459" s="9" t="s">
        <v>40678</v>
      </c>
      <c r="G1459" s="9" t="s">
        <v>38946</v>
      </c>
      <c r="H1459" s="127">
        <v>45364.0</v>
      </c>
      <c r="I1459" s="9" t="s">
        <v>131</v>
      </c>
      <c r="J1459" s="9" t="s">
        <v>38801</v>
      </c>
      <c r="K1459" s="55">
        <v>46100.0</v>
      </c>
      <c r="M1459" s="9" t="s">
        <v>11526</v>
      </c>
    </row>
    <row r="1460" ht="15.75" hidden="1" customHeight="1">
      <c r="A1460" s="9" t="s">
        <v>41392</v>
      </c>
      <c r="B1460" s="9" t="s">
        <v>26955</v>
      </c>
      <c r="D1460" s="9" t="s">
        <v>12239</v>
      </c>
      <c r="F1460" s="9" t="s">
        <v>40678</v>
      </c>
      <c r="G1460" s="9" t="s">
        <v>38946</v>
      </c>
      <c r="H1460" s="127">
        <v>45364.0</v>
      </c>
      <c r="I1460" s="9" t="s">
        <v>131</v>
      </c>
      <c r="J1460" s="9" t="s">
        <v>38801</v>
      </c>
      <c r="K1460" s="55">
        <v>45398.0</v>
      </c>
      <c r="M1460" s="9" t="s">
        <v>11366</v>
      </c>
    </row>
    <row r="1461" ht="15.75" hidden="1" customHeight="1">
      <c r="A1461" s="9" t="s">
        <v>41393</v>
      </c>
      <c r="B1461" s="9" t="s">
        <v>12599</v>
      </c>
      <c r="D1461" s="9" t="s">
        <v>12236</v>
      </c>
      <c r="F1461" s="9" t="s">
        <v>41207</v>
      </c>
      <c r="G1461" s="9" t="s">
        <v>38946</v>
      </c>
      <c r="H1461" s="127">
        <v>45364.0</v>
      </c>
      <c r="I1461" s="9" t="s">
        <v>131</v>
      </c>
      <c r="J1461" s="9" t="s">
        <v>38801</v>
      </c>
      <c r="K1461" s="55">
        <v>46100.0</v>
      </c>
      <c r="M1461" s="9" t="s">
        <v>11526</v>
      </c>
    </row>
    <row r="1462" ht="15.75" hidden="1" customHeight="1">
      <c r="A1462" s="9" t="s">
        <v>41394</v>
      </c>
      <c r="B1462" s="9" t="s">
        <v>12599</v>
      </c>
      <c r="D1462" s="9" t="s">
        <v>12250</v>
      </c>
      <c r="F1462" s="9" t="s">
        <v>40431</v>
      </c>
      <c r="G1462" s="9" t="s">
        <v>38946</v>
      </c>
      <c r="H1462" s="127">
        <v>45364.0</v>
      </c>
      <c r="I1462" s="9" t="s">
        <v>131</v>
      </c>
      <c r="J1462" s="9" t="s">
        <v>38801</v>
      </c>
      <c r="K1462" s="55">
        <v>46100.0</v>
      </c>
      <c r="M1462" s="9" t="s">
        <v>11526</v>
      </c>
    </row>
    <row r="1463" ht="15.75" hidden="1" customHeight="1">
      <c r="A1463" s="9" t="s">
        <v>41395</v>
      </c>
      <c r="B1463" s="9" t="s">
        <v>21846</v>
      </c>
      <c r="D1463" s="9" t="s">
        <v>12230</v>
      </c>
      <c r="F1463" s="9" t="s">
        <v>40242</v>
      </c>
      <c r="G1463" s="9" t="s">
        <v>38946</v>
      </c>
      <c r="H1463" s="127">
        <v>45365.0</v>
      </c>
      <c r="I1463" s="9" t="s">
        <v>131</v>
      </c>
      <c r="J1463" s="9" t="s">
        <v>38801</v>
      </c>
      <c r="K1463" s="55">
        <v>45371.0</v>
      </c>
      <c r="M1463" s="9" t="s">
        <v>12104</v>
      </c>
    </row>
    <row r="1464" ht="15.75" hidden="1" customHeight="1">
      <c r="A1464" s="9" t="s">
        <v>41396</v>
      </c>
      <c r="B1464" s="9" t="s">
        <v>12356</v>
      </c>
      <c r="D1464" s="9" t="s">
        <v>12230</v>
      </c>
      <c r="F1464" s="9" t="s">
        <v>41397</v>
      </c>
      <c r="G1464" s="9" t="s">
        <v>38808</v>
      </c>
      <c r="H1464" s="127">
        <v>45370.0</v>
      </c>
      <c r="I1464" s="9" t="s">
        <v>47</v>
      </c>
      <c r="J1464" s="9" t="s">
        <v>38801</v>
      </c>
      <c r="K1464" s="55">
        <v>46100.0</v>
      </c>
      <c r="M1464" s="9" t="s">
        <v>10662</v>
      </c>
    </row>
    <row r="1465" ht="15.75" hidden="1" customHeight="1">
      <c r="A1465" s="9" t="s">
        <v>41398</v>
      </c>
      <c r="B1465" s="9" t="s">
        <v>12356</v>
      </c>
      <c r="D1465" s="9" t="s">
        <v>12248</v>
      </c>
      <c r="F1465" s="9" t="s">
        <v>41399</v>
      </c>
      <c r="G1465" s="9" t="s">
        <v>38808</v>
      </c>
      <c r="H1465" s="127">
        <v>45370.0</v>
      </c>
      <c r="I1465" s="9" t="s">
        <v>47</v>
      </c>
      <c r="J1465" s="9" t="s">
        <v>38801</v>
      </c>
      <c r="K1465" s="55">
        <v>46100.0</v>
      </c>
      <c r="M1465" s="9" t="s">
        <v>10662</v>
      </c>
    </row>
    <row r="1466" ht="15.75" hidden="1" customHeight="1">
      <c r="A1466" s="9" t="s">
        <v>41400</v>
      </c>
      <c r="B1466" s="9" t="s">
        <v>21859</v>
      </c>
      <c r="D1466" s="9" t="s">
        <v>12230</v>
      </c>
      <c r="F1466" s="9" t="s">
        <v>40154</v>
      </c>
      <c r="G1466" s="9" t="s">
        <v>38946</v>
      </c>
      <c r="H1466" s="127">
        <v>45370.0</v>
      </c>
      <c r="I1466" s="9" t="s">
        <v>131</v>
      </c>
      <c r="J1466" s="9" t="s">
        <v>38801</v>
      </c>
      <c r="K1466" s="55">
        <v>45379.0</v>
      </c>
      <c r="M1466" s="9" t="s">
        <v>11373</v>
      </c>
    </row>
    <row r="1467" ht="15.75" hidden="1" customHeight="1">
      <c r="A1467" s="9" t="s">
        <v>41401</v>
      </c>
      <c r="B1467" s="9" t="s">
        <v>12379</v>
      </c>
      <c r="D1467" s="9" t="s">
        <v>12236</v>
      </c>
      <c r="F1467" s="9" t="s">
        <v>40565</v>
      </c>
      <c r="G1467" s="9" t="s">
        <v>38946</v>
      </c>
      <c r="H1467" s="127">
        <v>45370.0</v>
      </c>
      <c r="I1467" s="9" t="s">
        <v>131</v>
      </c>
      <c r="J1467" s="9" t="s">
        <v>38801</v>
      </c>
      <c r="K1467" s="55">
        <v>45370.0</v>
      </c>
      <c r="M1467" s="9" t="s">
        <v>9048</v>
      </c>
    </row>
    <row r="1468" ht="15.75" hidden="1" customHeight="1">
      <c r="A1468" s="9" t="s">
        <v>41402</v>
      </c>
      <c r="B1468" s="9" t="s">
        <v>14449</v>
      </c>
      <c r="D1468" s="9" t="s">
        <v>12240</v>
      </c>
      <c r="F1468" s="9" t="s">
        <v>41403</v>
      </c>
      <c r="G1468" s="9" t="s">
        <v>38946</v>
      </c>
      <c r="H1468" s="127">
        <v>45372.0</v>
      </c>
      <c r="I1468" s="9" t="s">
        <v>26</v>
      </c>
      <c r="J1468" s="9" t="s">
        <v>38801</v>
      </c>
      <c r="K1468" s="55">
        <v>45400.0</v>
      </c>
      <c r="M1468" s="9" t="s">
        <v>10394</v>
      </c>
    </row>
    <row r="1469" ht="15.75" hidden="1" customHeight="1">
      <c r="A1469" s="9" t="s">
        <v>41404</v>
      </c>
      <c r="B1469" s="9" t="s">
        <v>14449</v>
      </c>
      <c r="D1469" s="9" t="s">
        <v>12239</v>
      </c>
      <c r="F1469" s="9" t="s">
        <v>41405</v>
      </c>
      <c r="G1469" s="9" t="s">
        <v>38946</v>
      </c>
      <c r="H1469" s="127">
        <v>45372.0</v>
      </c>
      <c r="I1469" s="9" t="s">
        <v>26</v>
      </c>
      <c r="J1469" s="9" t="s">
        <v>38801</v>
      </c>
      <c r="K1469" s="55">
        <v>45398.0</v>
      </c>
      <c r="M1469" s="9" t="s">
        <v>10394</v>
      </c>
    </row>
    <row r="1470" ht="15.75" hidden="1" customHeight="1">
      <c r="A1470" s="9" t="s">
        <v>41406</v>
      </c>
      <c r="B1470" s="9" t="s">
        <v>17389</v>
      </c>
      <c r="D1470" s="9" t="s">
        <v>12239</v>
      </c>
      <c r="F1470" s="9" t="s">
        <v>40678</v>
      </c>
      <c r="G1470" s="9" t="s">
        <v>38946</v>
      </c>
      <c r="H1470" s="127">
        <v>45372.0</v>
      </c>
      <c r="I1470" s="9" t="s">
        <v>131</v>
      </c>
      <c r="J1470" s="9" t="s">
        <v>38801</v>
      </c>
      <c r="K1470" s="55">
        <v>45398.0</v>
      </c>
      <c r="M1470" s="9" t="s">
        <v>12144</v>
      </c>
    </row>
    <row r="1471" ht="15.75" hidden="1" customHeight="1">
      <c r="A1471" s="9" t="s">
        <v>41407</v>
      </c>
      <c r="B1471" s="52" t="s">
        <v>18430</v>
      </c>
      <c r="D1471" s="9" t="s">
        <v>12248</v>
      </c>
      <c r="F1471" s="9" t="s">
        <v>41408</v>
      </c>
      <c r="G1471" s="9" t="s">
        <v>38946</v>
      </c>
      <c r="H1471" s="127">
        <v>45372.0</v>
      </c>
      <c r="I1471" s="9" t="s">
        <v>131</v>
      </c>
      <c r="J1471" s="9" t="s">
        <v>38801</v>
      </c>
      <c r="K1471" s="55">
        <v>45372.0</v>
      </c>
      <c r="M1471" s="9" t="s">
        <v>12024</v>
      </c>
    </row>
    <row r="1472" ht="15.75" hidden="1" customHeight="1">
      <c r="A1472" s="9" t="s">
        <v>41409</v>
      </c>
      <c r="B1472" s="9" t="s">
        <v>20850</v>
      </c>
      <c r="D1472" s="9" t="s">
        <v>12248</v>
      </c>
      <c r="F1472" s="9" t="s">
        <v>41410</v>
      </c>
      <c r="G1472" s="9" t="s">
        <v>38808</v>
      </c>
      <c r="H1472" s="127">
        <v>45373.0</v>
      </c>
      <c r="I1472" s="9" t="s">
        <v>131</v>
      </c>
      <c r="J1472" s="9" t="s">
        <v>38801</v>
      </c>
      <c r="K1472" s="55">
        <v>45411.0</v>
      </c>
      <c r="M1472" s="9" t="s">
        <v>9063</v>
      </c>
    </row>
    <row r="1473" ht="15.75" hidden="1" customHeight="1">
      <c r="A1473" s="9" t="s">
        <v>41411</v>
      </c>
      <c r="B1473" s="9" t="s">
        <v>21831</v>
      </c>
      <c r="D1473" s="9" t="s">
        <v>12230</v>
      </c>
      <c r="F1473" s="9" t="s">
        <v>41412</v>
      </c>
      <c r="G1473" s="9" t="s">
        <v>38946</v>
      </c>
      <c r="H1473" s="127">
        <v>45373.0</v>
      </c>
      <c r="I1473" s="9" t="s">
        <v>131</v>
      </c>
      <c r="J1473" s="9" t="s">
        <v>38801</v>
      </c>
      <c r="K1473" s="55">
        <v>45373.0</v>
      </c>
      <c r="M1473" s="9" t="s">
        <v>11740</v>
      </c>
    </row>
    <row r="1474" ht="15.75" hidden="1" customHeight="1">
      <c r="A1474" s="9" t="s">
        <v>41413</v>
      </c>
      <c r="B1474" s="9" t="s">
        <v>17023</v>
      </c>
      <c r="D1474" s="9" t="s">
        <v>12258</v>
      </c>
      <c r="F1474" s="9" t="s">
        <v>41414</v>
      </c>
      <c r="G1474" s="9" t="s">
        <v>38946</v>
      </c>
      <c r="H1474" s="127">
        <v>45377.0</v>
      </c>
      <c r="I1474" s="9" t="s">
        <v>26</v>
      </c>
      <c r="J1474" s="9" t="s">
        <v>38801</v>
      </c>
      <c r="K1474" s="55">
        <v>45400.0</v>
      </c>
      <c r="M1474" s="9" t="s">
        <v>3963</v>
      </c>
    </row>
    <row r="1475" ht="15.75" hidden="1" customHeight="1">
      <c r="A1475" s="9" t="s">
        <v>41415</v>
      </c>
      <c r="B1475" s="9" t="s">
        <v>21912</v>
      </c>
      <c r="D1475" s="9" t="s">
        <v>12230</v>
      </c>
      <c r="F1475" s="9" t="s">
        <v>40154</v>
      </c>
      <c r="G1475" s="9" t="s">
        <v>38946</v>
      </c>
      <c r="H1475" s="127">
        <v>45377.0</v>
      </c>
      <c r="I1475" s="9" t="s">
        <v>131</v>
      </c>
      <c r="J1475" s="9" t="s">
        <v>38801</v>
      </c>
      <c r="K1475" s="55">
        <v>45390.0</v>
      </c>
      <c r="M1475" s="9" t="s">
        <v>11682</v>
      </c>
    </row>
    <row r="1476" ht="15.75" hidden="1" customHeight="1">
      <c r="A1476" s="9" t="s">
        <v>41416</v>
      </c>
      <c r="B1476" s="9" t="s">
        <v>19371</v>
      </c>
      <c r="D1476" s="9" t="s">
        <v>12224</v>
      </c>
      <c r="F1476" s="9" t="s">
        <v>41417</v>
      </c>
      <c r="G1476" s="9" t="s">
        <v>38946</v>
      </c>
      <c r="H1476" s="127">
        <v>45377.0</v>
      </c>
      <c r="I1476" s="9" t="s">
        <v>131</v>
      </c>
      <c r="J1476" s="9" t="s">
        <v>38801</v>
      </c>
      <c r="K1476" s="55">
        <v>45377.0</v>
      </c>
      <c r="M1476" s="9" t="s">
        <v>9298</v>
      </c>
    </row>
    <row r="1477" ht="15.75" hidden="1" customHeight="1">
      <c r="A1477" s="9" t="s">
        <v>41418</v>
      </c>
      <c r="B1477" s="9" t="s">
        <v>13711</v>
      </c>
      <c r="D1477" s="9" t="s">
        <v>12248</v>
      </c>
      <c r="F1477" s="9" t="s">
        <v>41419</v>
      </c>
      <c r="G1477" s="9" t="s">
        <v>38946</v>
      </c>
      <c r="H1477" s="127">
        <v>45385.0</v>
      </c>
      <c r="I1477" s="9" t="s">
        <v>131</v>
      </c>
      <c r="J1477" s="9" t="s">
        <v>38801</v>
      </c>
      <c r="K1477" s="55">
        <v>46060.0</v>
      </c>
      <c r="M1477" s="9" t="s">
        <v>9020</v>
      </c>
    </row>
    <row r="1478" ht="15.75" hidden="1" customHeight="1">
      <c r="A1478" s="9" t="s">
        <v>41420</v>
      </c>
      <c r="B1478" s="9" t="s">
        <v>21926</v>
      </c>
      <c r="D1478" s="9" t="s">
        <v>12239</v>
      </c>
      <c r="F1478" s="9" t="s">
        <v>40678</v>
      </c>
      <c r="G1478" s="9" t="s">
        <v>38946</v>
      </c>
      <c r="H1478" s="127">
        <v>45385.0</v>
      </c>
      <c r="I1478" s="9" t="s">
        <v>131</v>
      </c>
      <c r="J1478" s="9" t="s">
        <v>38801</v>
      </c>
      <c r="K1478" s="55">
        <v>45427.0</v>
      </c>
      <c r="M1478" s="9" t="s">
        <v>11375</v>
      </c>
    </row>
    <row r="1479" ht="15.75" hidden="1" customHeight="1">
      <c r="A1479" s="9" t="s">
        <v>41421</v>
      </c>
      <c r="B1479" s="9" t="s">
        <v>21926</v>
      </c>
      <c r="D1479" s="9" t="s">
        <v>12236</v>
      </c>
      <c r="F1479" s="9" t="s">
        <v>41422</v>
      </c>
      <c r="G1479" s="9" t="s">
        <v>38946</v>
      </c>
      <c r="H1479" s="127">
        <v>45385.0</v>
      </c>
      <c r="I1479" s="9" t="s">
        <v>131</v>
      </c>
      <c r="J1479" s="9" t="s">
        <v>38801</v>
      </c>
      <c r="K1479" s="55">
        <v>45385.0</v>
      </c>
      <c r="M1479" s="9" t="s">
        <v>11375</v>
      </c>
    </row>
    <row r="1480" ht="15.75" hidden="1" customHeight="1">
      <c r="A1480" s="9" t="s">
        <v>41423</v>
      </c>
      <c r="B1480" s="9" t="s">
        <v>27004</v>
      </c>
      <c r="D1480" s="9" t="s">
        <v>12230</v>
      </c>
      <c r="F1480" s="9" t="s">
        <v>40242</v>
      </c>
      <c r="G1480" s="9" t="s">
        <v>38946</v>
      </c>
      <c r="H1480" s="127">
        <v>45386.0</v>
      </c>
      <c r="I1480" s="9" t="s">
        <v>131</v>
      </c>
      <c r="J1480" s="9" t="s">
        <v>38801</v>
      </c>
      <c r="K1480" s="55">
        <v>45397.0</v>
      </c>
      <c r="M1480" s="9" t="s">
        <v>11377</v>
      </c>
    </row>
    <row r="1481" ht="15.75" hidden="1" customHeight="1">
      <c r="A1481" s="9" t="s">
        <v>41424</v>
      </c>
      <c r="B1481" s="9" t="s">
        <v>21955</v>
      </c>
      <c r="D1481" s="9" t="s">
        <v>12230</v>
      </c>
      <c r="F1481" s="9" t="s">
        <v>40154</v>
      </c>
      <c r="G1481" s="9" t="s">
        <v>38946</v>
      </c>
      <c r="H1481" s="127">
        <v>45386.0</v>
      </c>
      <c r="I1481" s="9" t="s">
        <v>131</v>
      </c>
      <c r="J1481" s="9" t="s">
        <v>38801</v>
      </c>
      <c r="K1481" s="55">
        <v>45393.0</v>
      </c>
      <c r="M1481" s="9" t="s">
        <v>11379</v>
      </c>
    </row>
    <row r="1482" ht="15.75" hidden="1" customHeight="1">
      <c r="A1482" s="9" t="s">
        <v>41425</v>
      </c>
      <c r="B1482" s="9" t="s">
        <v>15351</v>
      </c>
      <c r="D1482" s="9" t="s">
        <v>12248</v>
      </c>
      <c r="F1482" s="9" t="s">
        <v>41426</v>
      </c>
      <c r="G1482" s="9" t="s">
        <v>38946</v>
      </c>
      <c r="H1482" s="127">
        <v>45387.0</v>
      </c>
      <c r="I1482" s="9" t="s">
        <v>131</v>
      </c>
      <c r="J1482" s="9" t="s">
        <v>38801</v>
      </c>
      <c r="K1482" s="55">
        <v>45433.0</v>
      </c>
      <c r="M1482" s="9" t="s">
        <v>1579</v>
      </c>
    </row>
    <row r="1483" ht="15.75" hidden="1" customHeight="1">
      <c r="A1483" s="9" t="s">
        <v>41427</v>
      </c>
      <c r="B1483" s="9" t="s">
        <v>21898</v>
      </c>
      <c r="D1483" s="9" t="s">
        <v>12230</v>
      </c>
      <c r="F1483" s="9" t="s">
        <v>40154</v>
      </c>
      <c r="G1483" s="9" t="s">
        <v>38946</v>
      </c>
      <c r="H1483" s="127">
        <v>45387.0</v>
      </c>
      <c r="I1483" s="9" t="s">
        <v>131</v>
      </c>
      <c r="J1483" s="9" t="s">
        <v>38801</v>
      </c>
      <c r="K1483" s="55">
        <v>45390.0</v>
      </c>
      <c r="M1483" s="9" t="s">
        <v>11664</v>
      </c>
    </row>
    <row r="1484" ht="15.75" hidden="1" customHeight="1">
      <c r="A1484" s="9" t="s">
        <v>41428</v>
      </c>
      <c r="B1484" s="9" t="s">
        <v>12692</v>
      </c>
      <c r="D1484" s="9" t="s">
        <v>12239</v>
      </c>
      <c r="F1484" s="9" t="s">
        <v>41429</v>
      </c>
      <c r="G1484" s="9" t="s">
        <v>38946</v>
      </c>
      <c r="H1484" s="127">
        <v>45392.0</v>
      </c>
      <c r="I1484" s="9" t="s">
        <v>26</v>
      </c>
      <c r="J1484" s="9" t="s">
        <v>38801</v>
      </c>
      <c r="K1484" s="55">
        <v>45398.0</v>
      </c>
      <c r="M1484" s="9" t="s">
        <v>1966</v>
      </c>
    </row>
    <row r="1485" ht="15.75" hidden="1" customHeight="1">
      <c r="A1485" s="9" t="s">
        <v>41430</v>
      </c>
      <c r="B1485" s="9" t="s">
        <v>21955</v>
      </c>
      <c r="D1485" s="9" t="s">
        <v>12239</v>
      </c>
      <c r="F1485" s="9" t="s">
        <v>40678</v>
      </c>
      <c r="G1485" s="9" t="s">
        <v>38946</v>
      </c>
      <c r="H1485" s="127">
        <v>45393.0</v>
      </c>
      <c r="I1485" s="9" t="s">
        <v>131</v>
      </c>
      <c r="J1485" s="9" t="s">
        <v>38801</v>
      </c>
      <c r="K1485" s="55">
        <v>45427.0</v>
      </c>
      <c r="M1485" s="9" t="s">
        <v>11379</v>
      </c>
    </row>
    <row r="1486" ht="15.75" hidden="1" customHeight="1">
      <c r="A1486" s="9" t="s">
        <v>41431</v>
      </c>
      <c r="B1486" s="9" t="s">
        <v>13956</v>
      </c>
      <c r="D1486" s="9" t="s">
        <v>12246</v>
      </c>
      <c r="F1486" s="9" t="s">
        <v>41432</v>
      </c>
      <c r="G1486" s="9" t="s">
        <v>38946</v>
      </c>
      <c r="H1486" s="127">
        <v>45394.0</v>
      </c>
      <c r="I1486" s="9" t="s">
        <v>131</v>
      </c>
      <c r="J1486" s="9" t="s">
        <v>38801</v>
      </c>
      <c r="K1486" s="55">
        <v>45426.0</v>
      </c>
      <c r="M1486" s="9" t="s">
        <v>9206</v>
      </c>
    </row>
    <row r="1487" ht="15.75" hidden="1" customHeight="1">
      <c r="A1487" s="9" t="s">
        <v>41433</v>
      </c>
      <c r="B1487" s="9" t="s">
        <v>12575</v>
      </c>
      <c r="D1487" s="9" t="s">
        <v>12257</v>
      </c>
      <c r="F1487" s="9" t="s">
        <v>41434</v>
      </c>
      <c r="G1487" s="9" t="s">
        <v>38946</v>
      </c>
      <c r="H1487" s="127">
        <v>45394.0</v>
      </c>
      <c r="I1487" s="9" t="s">
        <v>26</v>
      </c>
      <c r="J1487" s="9" t="s">
        <v>38801</v>
      </c>
      <c r="K1487" s="55">
        <v>45394.0</v>
      </c>
      <c r="M1487" s="9" t="s">
        <v>11929</v>
      </c>
    </row>
    <row r="1488" ht="15.75" hidden="1" customHeight="1">
      <c r="A1488" s="9" t="s">
        <v>41435</v>
      </c>
      <c r="B1488" s="9" t="s">
        <v>18043</v>
      </c>
      <c r="D1488" s="9" t="s">
        <v>12233</v>
      </c>
      <c r="F1488" s="9" t="s">
        <v>41436</v>
      </c>
      <c r="G1488" s="9" t="s">
        <v>38946</v>
      </c>
      <c r="H1488" s="127">
        <v>45397.0</v>
      </c>
      <c r="I1488" s="9" t="s">
        <v>131</v>
      </c>
      <c r="J1488" s="9" t="s">
        <v>38801</v>
      </c>
      <c r="K1488" s="55">
        <v>45397.0</v>
      </c>
      <c r="M1488" s="9" t="s">
        <v>12018</v>
      </c>
    </row>
    <row r="1489" ht="15.75" hidden="1" customHeight="1">
      <c r="A1489" s="9" t="s">
        <v>41437</v>
      </c>
      <c r="B1489" s="9" t="s">
        <v>16440</v>
      </c>
      <c r="D1489" s="9" t="s">
        <v>12239</v>
      </c>
      <c r="F1489" s="9" t="s">
        <v>41438</v>
      </c>
      <c r="G1489" s="9" t="s">
        <v>38946</v>
      </c>
      <c r="H1489" s="127">
        <v>45398.0</v>
      </c>
      <c r="I1489" s="9" t="s">
        <v>131</v>
      </c>
      <c r="J1489" s="9" t="s">
        <v>38801</v>
      </c>
      <c r="K1489" s="55">
        <v>45406.0</v>
      </c>
      <c r="M1489" s="9" t="s">
        <v>10262</v>
      </c>
    </row>
    <row r="1490" ht="15.75" hidden="1" customHeight="1">
      <c r="A1490" s="9" t="s">
        <v>41439</v>
      </c>
      <c r="B1490" s="9" t="s">
        <v>21955</v>
      </c>
      <c r="D1490" s="9" t="s">
        <v>12257</v>
      </c>
      <c r="F1490" s="9" t="s">
        <v>41440</v>
      </c>
      <c r="G1490" s="9" t="s">
        <v>38946</v>
      </c>
      <c r="H1490" s="127">
        <v>45400.0</v>
      </c>
      <c r="I1490" s="9" t="s">
        <v>26</v>
      </c>
      <c r="J1490" s="9" t="s">
        <v>38801</v>
      </c>
      <c r="K1490" s="55">
        <v>45448.0</v>
      </c>
      <c r="M1490" s="9" t="s">
        <v>11379</v>
      </c>
    </row>
    <row r="1491" ht="15.75" hidden="1" customHeight="1">
      <c r="A1491" s="9" t="s">
        <v>41441</v>
      </c>
      <c r="B1491" s="9" t="s">
        <v>27004</v>
      </c>
      <c r="D1491" s="9" t="s">
        <v>12230</v>
      </c>
      <c r="F1491" s="9" t="s">
        <v>41442</v>
      </c>
      <c r="G1491" s="9" t="s">
        <v>38946</v>
      </c>
      <c r="H1491" s="127">
        <v>45400.0</v>
      </c>
      <c r="I1491" s="9" t="s">
        <v>26</v>
      </c>
      <c r="J1491" s="9" t="s">
        <v>38801</v>
      </c>
      <c r="K1491" s="55">
        <v>45426.0</v>
      </c>
      <c r="M1491" s="9" t="s">
        <v>11377</v>
      </c>
    </row>
    <row r="1492" ht="15.75" hidden="1" customHeight="1">
      <c r="A1492" s="9" t="s">
        <v>41443</v>
      </c>
      <c r="B1492" s="9" t="s">
        <v>12575</v>
      </c>
      <c r="D1492" s="9" t="s">
        <v>12240</v>
      </c>
      <c r="F1492" s="9" t="s">
        <v>40678</v>
      </c>
      <c r="G1492" s="9" t="s">
        <v>38946</v>
      </c>
      <c r="H1492" s="127">
        <v>45400.0</v>
      </c>
      <c r="I1492" s="9" t="s">
        <v>131</v>
      </c>
      <c r="J1492" s="9" t="s">
        <v>38801</v>
      </c>
      <c r="K1492" s="55">
        <v>45425.0</v>
      </c>
      <c r="M1492" s="9" t="s">
        <v>11929</v>
      </c>
    </row>
    <row r="1493" ht="15.75" hidden="1" customHeight="1">
      <c r="A1493" s="9" t="s">
        <v>41444</v>
      </c>
      <c r="B1493" s="9" t="s">
        <v>12922</v>
      </c>
      <c r="D1493" s="9" t="s">
        <v>12230</v>
      </c>
      <c r="F1493" s="9" t="s">
        <v>41445</v>
      </c>
      <c r="G1493" s="9" t="s">
        <v>38808</v>
      </c>
      <c r="H1493" s="127">
        <v>45401.0</v>
      </c>
      <c r="I1493" s="9" t="s">
        <v>47</v>
      </c>
      <c r="J1493" s="9" t="s">
        <v>38801</v>
      </c>
      <c r="K1493" s="55">
        <v>46100.0</v>
      </c>
      <c r="M1493" s="9" t="s">
        <v>1233</v>
      </c>
    </row>
    <row r="1494" ht="15.75" hidden="1" customHeight="1">
      <c r="A1494" s="9" t="s">
        <v>41446</v>
      </c>
      <c r="B1494" s="9" t="s">
        <v>18028</v>
      </c>
      <c r="D1494" s="9" t="s">
        <v>12254</v>
      </c>
      <c r="F1494" s="9" t="s">
        <v>41447</v>
      </c>
      <c r="G1494" s="9" t="s">
        <v>38946</v>
      </c>
      <c r="H1494" s="127">
        <v>45401.0</v>
      </c>
      <c r="I1494" s="9" t="s">
        <v>163</v>
      </c>
      <c r="J1494" s="9" t="s">
        <v>38801</v>
      </c>
      <c r="K1494" s="55">
        <v>45401.0</v>
      </c>
      <c r="M1494" s="9" t="s">
        <v>6444</v>
      </c>
    </row>
    <row r="1495" ht="15.75" hidden="1" customHeight="1">
      <c r="A1495" s="9" t="s">
        <v>41448</v>
      </c>
      <c r="B1495" s="9" t="s">
        <v>14175</v>
      </c>
      <c r="D1495" s="9" t="s">
        <v>12224</v>
      </c>
      <c r="F1495" s="9" t="s">
        <v>41449</v>
      </c>
      <c r="G1495" s="9" t="s">
        <v>38808</v>
      </c>
      <c r="H1495" s="127">
        <v>45401.0</v>
      </c>
      <c r="I1495" s="9" t="s">
        <v>47</v>
      </c>
      <c r="J1495" s="9" t="s">
        <v>38801</v>
      </c>
      <c r="K1495" s="55">
        <v>45401.0</v>
      </c>
      <c r="M1495" s="9" t="s">
        <v>10384</v>
      </c>
    </row>
    <row r="1496" ht="15.75" hidden="1" customHeight="1">
      <c r="A1496" s="9" t="s">
        <v>41450</v>
      </c>
      <c r="B1496" s="9" t="s">
        <v>14175</v>
      </c>
      <c r="D1496" s="9" t="s">
        <v>12230</v>
      </c>
      <c r="F1496" s="9" t="s">
        <v>41451</v>
      </c>
      <c r="G1496" s="9" t="s">
        <v>38808</v>
      </c>
      <c r="H1496" s="127">
        <v>45401.0</v>
      </c>
      <c r="I1496" s="9" t="s">
        <v>47</v>
      </c>
      <c r="J1496" s="9" t="s">
        <v>38801</v>
      </c>
      <c r="K1496" s="55">
        <v>45401.0</v>
      </c>
      <c r="M1496" s="9" t="s">
        <v>10384</v>
      </c>
    </row>
    <row r="1497" ht="15.75" hidden="1" customHeight="1">
      <c r="A1497" s="9" t="s">
        <v>41452</v>
      </c>
      <c r="B1497" s="9" t="s">
        <v>16501</v>
      </c>
      <c r="D1497" s="9" t="s">
        <v>12230</v>
      </c>
      <c r="F1497" s="9" t="s">
        <v>41453</v>
      </c>
      <c r="G1497" s="9" t="s">
        <v>38808</v>
      </c>
      <c r="H1497" s="127">
        <v>45401.0</v>
      </c>
      <c r="I1497" s="9" t="s">
        <v>47</v>
      </c>
      <c r="J1497" s="9" t="s">
        <v>38801</v>
      </c>
      <c r="K1497" s="55">
        <v>45401.0</v>
      </c>
      <c r="M1497" s="9" t="s">
        <v>759</v>
      </c>
    </row>
    <row r="1498" ht="15.75" hidden="1" customHeight="1">
      <c r="A1498" s="9" t="s">
        <v>41454</v>
      </c>
      <c r="B1498" s="9" t="s">
        <v>16501</v>
      </c>
      <c r="D1498" s="9" t="s">
        <v>12230</v>
      </c>
      <c r="F1498" s="9" t="s">
        <v>41453</v>
      </c>
      <c r="G1498" s="9" t="s">
        <v>38808</v>
      </c>
      <c r="H1498" s="127">
        <v>45401.0</v>
      </c>
      <c r="I1498" s="9" t="s">
        <v>47</v>
      </c>
      <c r="J1498" s="9" t="s">
        <v>38801</v>
      </c>
      <c r="K1498" s="55">
        <v>45401.0</v>
      </c>
      <c r="M1498" s="9" t="s">
        <v>8439</v>
      </c>
    </row>
    <row r="1499" ht="15.75" hidden="1" customHeight="1">
      <c r="A1499" s="9" t="s">
        <v>41455</v>
      </c>
      <c r="B1499" s="9" t="s">
        <v>14815</v>
      </c>
      <c r="D1499" s="9" t="s">
        <v>12230</v>
      </c>
      <c r="F1499" s="9" t="s">
        <v>41456</v>
      </c>
      <c r="G1499" s="9" t="s">
        <v>38808</v>
      </c>
      <c r="H1499" s="127">
        <v>45401.0</v>
      </c>
      <c r="I1499" s="9" t="s">
        <v>47</v>
      </c>
      <c r="J1499" s="9" t="s">
        <v>38801</v>
      </c>
      <c r="K1499" s="55">
        <v>45401.0</v>
      </c>
      <c r="M1499" s="9" t="s">
        <v>10423</v>
      </c>
    </row>
    <row r="1500" ht="15.75" hidden="1" customHeight="1">
      <c r="A1500" s="9" t="s">
        <v>41457</v>
      </c>
      <c r="B1500" s="9" t="s">
        <v>17350</v>
      </c>
      <c r="D1500" s="9" t="s">
        <v>12230</v>
      </c>
      <c r="F1500" s="9" t="s">
        <v>41458</v>
      </c>
      <c r="G1500" s="9" t="s">
        <v>38808</v>
      </c>
      <c r="H1500" s="127">
        <v>45405.0</v>
      </c>
      <c r="I1500" s="9" t="s">
        <v>47</v>
      </c>
      <c r="J1500" s="9" t="s">
        <v>38801</v>
      </c>
      <c r="K1500" s="55">
        <v>45405.0</v>
      </c>
      <c r="M1500" s="9" t="s">
        <v>4545</v>
      </c>
    </row>
    <row r="1501" ht="15.75" hidden="1" customHeight="1">
      <c r="A1501" s="9" t="s">
        <v>41459</v>
      </c>
      <c r="B1501" s="9" t="s">
        <v>21789</v>
      </c>
      <c r="D1501" s="9" t="s">
        <v>12230</v>
      </c>
      <c r="F1501" s="9" t="s">
        <v>40154</v>
      </c>
      <c r="G1501" s="9" t="s">
        <v>38808</v>
      </c>
      <c r="H1501" s="127">
        <v>45406.0</v>
      </c>
      <c r="I1501" s="9" t="s">
        <v>131</v>
      </c>
      <c r="J1501" s="9" t="s">
        <v>38801</v>
      </c>
      <c r="K1501" s="55">
        <v>45406.0</v>
      </c>
      <c r="M1501" s="9" t="s">
        <v>12219</v>
      </c>
    </row>
    <row r="1502" ht="15.75" hidden="1" customHeight="1">
      <c r="A1502" s="9" t="s">
        <v>41460</v>
      </c>
      <c r="B1502" s="9" t="s">
        <v>22032</v>
      </c>
      <c r="D1502" s="9" t="s">
        <v>12230</v>
      </c>
      <c r="F1502" s="9" t="s">
        <v>40154</v>
      </c>
      <c r="G1502" s="9" t="s">
        <v>38946</v>
      </c>
      <c r="H1502" s="127">
        <v>45407.0</v>
      </c>
      <c r="I1502" s="9" t="s">
        <v>131</v>
      </c>
      <c r="J1502" s="9" t="s">
        <v>38801</v>
      </c>
      <c r="K1502" s="55">
        <v>45415.0</v>
      </c>
      <c r="M1502" s="9" t="s">
        <v>11389</v>
      </c>
    </row>
    <row r="1503" ht="15.75" hidden="1" customHeight="1">
      <c r="A1503" s="9" t="s">
        <v>41461</v>
      </c>
      <c r="B1503" s="9" t="s">
        <v>14691</v>
      </c>
      <c r="D1503" s="9" t="s">
        <v>12252</v>
      </c>
      <c r="F1503" s="9" t="s">
        <v>41462</v>
      </c>
      <c r="G1503" s="9" t="s">
        <v>38808</v>
      </c>
      <c r="H1503" s="127">
        <v>45407.0</v>
      </c>
      <c r="I1503" s="9" t="s">
        <v>47</v>
      </c>
      <c r="J1503" s="9" t="s">
        <v>38801</v>
      </c>
      <c r="K1503" s="55">
        <v>45407.0</v>
      </c>
      <c r="M1503" s="9" t="s">
        <v>249</v>
      </c>
    </row>
    <row r="1504" ht="15.75" hidden="1" customHeight="1">
      <c r="A1504" s="9" t="s">
        <v>41463</v>
      </c>
      <c r="B1504" s="9" t="s">
        <v>27013</v>
      </c>
      <c r="D1504" s="9" t="s">
        <v>12248</v>
      </c>
      <c r="F1504" s="9" t="s">
        <v>41464</v>
      </c>
      <c r="G1504" s="9" t="s">
        <v>38808</v>
      </c>
      <c r="H1504" s="127">
        <v>45407.0</v>
      </c>
      <c r="I1504" s="9" t="s">
        <v>47</v>
      </c>
      <c r="J1504" s="9" t="s">
        <v>38801</v>
      </c>
      <c r="K1504" s="60">
        <v>45638.0</v>
      </c>
      <c r="M1504" s="9" t="s">
        <v>11383</v>
      </c>
    </row>
    <row r="1505" ht="15.75" hidden="1" customHeight="1">
      <c r="A1505" s="9" t="s">
        <v>41465</v>
      </c>
      <c r="B1505" s="9" t="s">
        <v>22017</v>
      </c>
      <c r="D1505" s="9" t="s">
        <v>12230</v>
      </c>
      <c r="F1505" s="9" t="s">
        <v>40154</v>
      </c>
      <c r="G1505" s="9" t="s">
        <v>38946</v>
      </c>
      <c r="H1505" s="127">
        <v>45411.0</v>
      </c>
      <c r="I1505" s="9" t="s">
        <v>131</v>
      </c>
      <c r="J1505" s="9" t="s">
        <v>38801</v>
      </c>
      <c r="K1505" s="55">
        <v>45425.0</v>
      </c>
      <c r="M1505" s="9" t="s">
        <v>11387</v>
      </c>
    </row>
    <row r="1506" ht="15.75" hidden="1" customHeight="1">
      <c r="A1506" s="9" t="s">
        <v>41466</v>
      </c>
      <c r="B1506" s="9" t="s">
        <v>16857</v>
      </c>
      <c r="D1506" s="9" t="s">
        <v>12230</v>
      </c>
      <c r="F1506" s="9" t="s">
        <v>41467</v>
      </c>
      <c r="G1506" s="9" t="s">
        <v>38808</v>
      </c>
      <c r="H1506" s="127">
        <v>45412.0</v>
      </c>
      <c r="I1506" s="9" t="s">
        <v>47</v>
      </c>
      <c r="J1506" s="9" t="s">
        <v>38801</v>
      </c>
      <c r="K1506" s="55">
        <v>45418.0</v>
      </c>
      <c r="M1506" s="9" t="s">
        <v>5823</v>
      </c>
    </row>
    <row r="1507" ht="15.75" hidden="1" customHeight="1">
      <c r="A1507" s="9" t="s">
        <v>41468</v>
      </c>
      <c r="B1507" s="9" t="s">
        <v>22032</v>
      </c>
      <c r="D1507" s="9" t="s">
        <v>12236</v>
      </c>
      <c r="F1507" s="9" t="s">
        <v>41469</v>
      </c>
      <c r="G1507" s="9" t="s">
        <v>38808</v>
      </c>
      <c r="H1507" s="127">
        <v>45414.0</v>
      </c>
      <c r="I1507" s="9" t="s">
        <v>47</v>
      </c>
      <c r="J1507" s="9" t="s">
        <v>38801</v>
      </c>
      <c r="K1507" s="55">
        <v>45415.0</v>
      </c>
      <c r="M1507" s="9" t="s">
        <v>11389</v>
      </c>
    </row>
    <row r="1508" ht="15.75" customHeight="1">
      <c r="A1508" s="9" t="s">
        <v>41470</v>
      </c>
      <c r="B1508" s="9" t="s">
        <v>14066</v>
      </c>
      <c r="D1508" s="9" t="s">
        <v>12227</v>
      </c>
      <c r="E1508" s="9" t="s">
        <v>38803</v>
      </c>
      <c r="F1508" s="9" t="s">
        <v>41471</v>
      </c>
      <c r="G1508" s="9" t="s">
        <v>38808</v>
      </c>
      <c r="H1508" s="127">
        <v>45415.0</v>
      </c>
      <c r="I1508" s="9" t="s">
        <v>47</v>
      </c>
      <c r="J1508" s="9" t="s">
        <v>38805</v>
      </c>
      <c r="M1508" s="9" t="s">
        <v>10378</v>
      </c>
    </row>
    <row r="1509" ht="15.75" hidden="1" customHeight="1">
      <c r="A1509" s="9" t="s">
        <v>41472</v>
      </c>
      <c r="B1509" s="9" t="s">
        <v>19998</v>
      </c>
      <c r="D1509" s="9" t="s">
        <v>12230</v>
      </c>
      <c r="F1509" s="9" t="s">
        <v>41473</v>
      </c>
      <c r="G1509" s="9" t="s">
        <v>38808</v>
      </c>
      <c r="H1509" s="127">
        <v>45418.0</v>
      </c>
      <c r="I1509" s="9" t="s">
        <v>47</v>
      </c>
      <c r="J1509" s="9" t="s">
        <v>38801</v>
      </c>
      <c r="K1509" s="55">
        <v>45418.0</v>
      </c>
      <c r="M1509" s="9" t="s">
        <v>12162</v>
      </c>
    </row>
    <row r="1510" ht="15.75" hidden="1" customHeight="1">
      <c r="A1510" s="9" t="s">
        <v>41474</v>
      </c>
      <c r="B1510" s="9" t="s">
        <v>14815</v>
      </c>
      <c r="D1510" s="9" t="s">
        <v>12230</v>
      </c>
      <c r="F1510" s="9" t="s">
        <v>41475</v>
      </c>
      <c r="G1510" s="9" t="s">
        <v>38808</v>
      </c>
      <c r="H1510" s="127">
        <v>45418.0</v>
      </c>
      <c r="I1510" s="9" t="s">
        <v>47</v>
      </c>
      <c r="J1510" s="9" t="s">
        <v>38801</v>
      </c>
      <c r="K1510" s="55">
        <v>45418.0</v>
      </c>
      <c r="M1510" s="9" t="s">
        <v>10423</v>
      </c>
    </row>
    <row r="1511" ht="15.75" hidden="1" customHeight="1">
      <c r="A1511" s="9" t="s">
        <v>41476</v>
      </c>
      <c r="B1511" s="9" t="s">
        <v>18285</v>
      </c>
      <c r="D1511" s="9" t="s">
        <v>12248</v>
      </c>
      <c r="F1511" s="9" t="s">
        <v>41477</v>
      </c>
      <c r="G1511" s="9" t="s">
        <v>38808</v>
      </c>
      <c r="H1511" s="127">
        <v>45418.0</v>
      </c>
      <c r="I1511" s="9" t="s">
        <v>47</v>
      </c>
      <c r="J1511" s="9" t="s">
        <v>38801</v>
      </c>
      <c r="K1511" s="55">
        <v>46045.0</v>
      </c>
      <c r="M1511" s="9" t="s">
        <v>10745</v>
      </c>
    </row>
    <row r="1512" ht="15.75" hidden="1" customHeight="1">
      <c r="A1512" s="9" t="s">
        <v>41478</v>
      </c>
      <c r="B1512" s="9" t="s">
        <v>12850</v>
      </c>
      <c r="D1512" s="9" t="s">
        <v>12257</v>
      </c>
      <c r="F1512" s="9" t="s">
        <v>41479</v>
      </c>
      <c r="G1512" s="9" t="s">
        <v>38946</v>
      </c>
      <c r="H1512" s="127">
        <v>45419.0</v>
      </c>
      <c r="I1512" s="9" t="s">
        <v>47</v>
      </c>
      <c r="J1512" s="9" t="s">
        <v>38801</v>
      </c>
      <c r="K1512" s="55">
        <v>46100.0</v>
      </c>
      <c r="M1512" s="9" t="s">
        <v>10297</v>
      </c>
    </row>
    <row r="1513" ht="15.75" hidden="1" customHeight="1">
      <c r="A1513" s="9" t="s">
        <v>41480</v>
      </c>
      <c r="B1513" s="9" t="s">
        <v>22017</v>
      </c>
      <c r="D1513" s="9" t="s">
        <v>12236</v>
      </c>
      <c r="F1513" s="9" t="s">
        <v>40678</v>
      </c>
      <c r="G1513" s="9" t="s">
        <v>38946</v>
      </c>
      <c r="H1513" s="127">
        <v>45425.0</v>
      </c>
      <c r="I1513" s="9" t="s">
        <v>131</v>
      </c>
      <c r="J1513" s="9" t="s">
        <v>38801</v>
      </c>
      <c r="K1513" s="55">
        <v>45435.0</v>
      </c>
      <c r="M1513" s="9" t="s">
        <v>11387</v>
      </c>
    </row>
    <row r="1514" ht="15.75" customHeight="1">
      <c r="A1514" s="9" t="s">
        <v>41481</v>
      </c>
      <c r="B1514" s="9" t="s">
        <v>22017</v>
      </c>
      <c r="D1514" s="9" t="s">
        <v>12227</v>
      </c>
      <c r="E1514" s="9" t="s">
        <v>38803</v>
      </c>
      <c r="F1514" s="9" t="s">
        <v>40635</v>
      </c>
      <c r="G1514" s="9" t="s">
        <v>38946</v>
      </c>
      <c r="H1514" s="127">
        <v>45425.0</v>
      </c>
      <c r="I1514" s="9" t="s">
        <v>131</v>
      </c>
      <c r="J1514" s="9" t="s">
        <v>38805</v>
      </c>
      <c r="M1514" s="9" t="s">
        <v>11387</v>
      </c>
    </row>
    <row r="1515" ht="15.75" hidden="1" customHeight="1">
      <c r="A1515" s="9" t="s">
        <v>41482</v>
      </c>
      <c r="B1515" s="9" t="s">
        <v>22087</v>
      </c>
      <c r="D1515" s="9" t="s">
        <v>12230</v>
      </c>
      <c r="F1515" s="9" t="s">
        <v>41483</v>
      </c>
      <c r="G1515" s="9" t="s">
        <v>38808</v>
      </c>
      <c r="H1515" s="127">
        <v>45426.0</v>
      </c>
      <c r="I1515" s="9" t="s">
        <v>47</v>
      </c>
      <c r="J1515" s="9" t="s">
        <v>38801</v>
      </c>
      <c r="K1515" s="55">
        <v>45432.0</v>
      </c>
      <c r="M1515" s="9" t="s">
        <v>11398</v>
      </c>
    </row>
    <row r="1516" ht="15.75" hidden="1" customHeight="1">
      <c r="A1516" s="9" t="s">
        <v>41484</v>
      </c>
      <c r="B1516" s="9" t="s">
        <v>19520</v>
      </c>
      <c r="D1516" s="9" t="s">
        <v>12239</v>
      </c>
      <c r="F1516" s="9" t="s">
        <v>40678</v>
      </c>
      <c r="G1516" s="9" t="s">
        <v>38946</v>
      </c>
      <c r="H1516" s="127">
        <v>45427.0</v>
      </c>
      <c r="I1516" s="9" t="s">
        <v>131</v>
      </c>
      <c r="J1516" s="9" t="s">
        <v>38801</v>
      </c>
      <c r="K1516" s="55">
        <v>45427.0</v>
      </c>
      <c r="M1516" s="9" t="s">
        <v>8306</v>
      </c>
    </row>
    <row r="1517" ht="15.75" hidden="1" customHeight="1">
      <c r="A1517" s="9" t="s">
        <v>41485</v>
      </c>
      <c r="B1517" s="9" t="s">
        <v>18293</v>
      </c>
      <c r="D1517" s="9" t="s">
        <v>12239</v>
      </c>
      <c r="F1517" s="9" t="s">
        <v>41486</v>
      </c>
      <c r="G1517" s="9" t="s">
        <v>38946</v>
      </c>
      <c r="H1517" s="127">
        <v>45427.0</v>
      </c>
      <c r="I1517" s="9" t="s">
        <v>131</v>
      </c>
      <c r="J1517" s="9" t="s">
        <v>38801</v>
      </c>
      <c r="K1517" s="55">
        <v>45427.0</v>
      </c>
      <c r="M1517" s="9" t="s">
        <v>8430</v>
      </c>
    </row>
    <row r="1518" ht="15.75" hidden="1" customHeight="1">
      <c r="A1518" s="9" t="s">
        <v>41487</v>
      </c>
      <c r="B1518" s="9" t="s">
        <v>18509</v>
      </c>
      <c r="D1518" s="9" t="s">
        <v>12256</v>
      </c>
      <c r="F1518" s="9" t="s">
        <v>41488</v>
      </c>
      <c r="G1518" s="9" t="s">
        <v>38946</v>
      </c>
      <c r="H1518" s="127">
        <v>45428.0</v>
      </c>
      <c r="I1518" s="9" t="s">
        <v>253</v>
      </c>
      <c r="J1518" s="9" t="s">
        <v>38801</v>
      </c>
      <c r="K1518" s="55">
        <v>45433.0</v>
      </c>
      <c r="M1518" s="9" t="s">
        <v>11623</v>
      </c>
    </row>
    <row r="1519" ht="15.75" hidden="1" customHeight="1">
      <c r="A1519" s="9" t="s">
        <v>41489</v>
      </c>
      <c r="B1519" s="9" t="s">
        <v>18912</v>
      </c>
      <c r="D1519" s="9" t="s">
        <v>12258</v>
      </c>
      <c r="F1519" s="9" t="s">
        <v>41490</v>
      </c>
      <c r="G1519" s="9" t="s">
        <v>38946</v>
      </c>
      <c r="H1519" s="127">
        <v>45428.0</v>
      </c>
      <c r="I1519" s="9" t="s">
        <v>163</v>
      </c>
      <c r="J1519" s="9" t="s">
        <v>38801</v>
      </c>
      <c r="K1519" s="55">
        <v>45428.0</v>
      </c>
      <c r="M1519" s="9" t="s">
        <v>11491</v>
      </c>
    </row>
    <row r="1520" ht="15.75" hidden="1" customHeight="1">
      <c r="A1520" s="9" t="s">
        <v>41491</v>
      </c>
      <c r="B1520" s="9" t="s">
        <v>17632</v>
      </c>
      <c r="D1520" s="9" t="s">
        <v>12256</v>
      </c>
      <c r="F1520" s="9" t="s">
        <v>41492</v>
      </c>
      <c r="G1520" s="9" t="s">
        <v>38946</v>
      </c>
      <c r="H1520" s="127">
        <v>45431.0</v>
      </c>
      <c r="I1520" s="9" t="s">
        <v>253</v>
      </c>
      <c r="J1520" s="9" t="s">
        <v>38801</v>
      </c>
      <c r="K1520" s="55">
        <v>45433.0</v>
      </c>
      <c r="M1520" s="9" t="s">
        <v>10567</v>
      </c>
    </row>
    <row r="1521" ht="15.75" hidden="1" customHeight="1">
      <c r="A1521" s="9" t="s">
        <v>41493</v>
      </c>
      <c r="B1521" s="9" t="s">
        <v>14449</v>
      </c>
      <c r="D1521" s="9" t="s">
        <v>12254</v>
      </c>
      <c r="F1521" s="9" t="s">
        <v>41494</v>
      </c>
      <c r="G1521" s="9" t="s">
        <v>38946</v>
      </c>
      <c r="H1521" s="127">
        <v>45431.0</v>
      </c>
      <c r="I1521" s="9" t="s">
        <v>253</v>
      </c>
      <c r="J1521" s="9" t="s">
        <v>38801</v>
      </c>
      <c r="K1521" s="55">
        <v>45433.0</v>
      </c>
      <c r="M1521" s="9" t="s">
        <v>10509</v>
      </c>
    </row>
    <row r="1522" ht="15.75" hidden="1" customHeight="1">
      <c r="A1522" s="9" t="s">
        <v>41495</v>
      </c>
      <c r="B1522" s="9" t="s">
        <v>20531</v>
      </c>
      <c r="D1522" s="9" t="s">
        <v>12254</v>
      </c>
      <c r="F1522" s="9" t="s">
        <v>41494</v>
      </c>
      <c r="G1522" s="9" t="s">
        <v>38946</v>
      </c>
      <c r="H1522" s="127">
        <v>45431.0</v>
      </c>
      <c r="I1522" s="9" t="s">
        <v>253</v>
      </c>
      <c r="J1522" s="9" t="s">
        <v>38801</v>
      </c>
      <c r="K1522" s="55">
        <v>45433.0</v>
      </c>
      <c r="M1522" s="9" t="s">
        <v>5219</v>
      </c>
    </row>
    <row r="1523" ht="15.75" hidden="1" customHeight="1">
      <c r="A1523" s="9" t="s">
        <v>41496</v>
      </c>
      <c r="B1523" s="9" t="s">
        <v>18706</v>
      </c>
      <c r="D1523" s="9" t="s">
        <v>12254</v>
      </c>
      <c r="F1523" s="9" t="s">
        <v>41494</v>
      </c>
      <c r="G1523" s="9" t="s">
        <v>38946</v>
      </c>
      <c r="H1523" s="127">
        <v>45431.0</v>
      </c>
      <c r="I1523" s="9" t="s">
        <v>253</v>
      </c>
      <c r="J1523" s="9" t="s">
        <v>38801</v>
      </c>
      <c r="K1523" s="55">
        <v>45433.0</v>
      </c>
      <c r="M1523" s="9" t="s">
        <v>11657</v>
      </c>
    </row>
    <row r="1524" ht="15.75" hidden="1" customHeight="1">
      <c r="A1524" s="9" t="s">
        <v>41497</v>
      </c>
      <c r="B1524" s="9" t="s">
        <v>16183</v>
      </c>
      <c r="D1524" s="9" t="s">
        <v>12254</v>
      </c>
      <c r="F1524" s="9" t="s">
        <v>41494</v>
      </c>
      <c r="G1524" s="9" t="s">
        <v>38946</v>
      </c>
      <c r="H1524" s="127">
        <v>45431.0</v>
      </c>
      <c r="I1524" s="9" t="s">
        <v>253</v>
      </c>
      <c r="J1524" s="9" t="s">
        <v>38801</v>
      </c>
      <c r="K1524" s="55">
        <v>45433.0</v>
      </c>
      <c r="M1524" s="9" t="s">
        <v>11618</v>
      </c>
    </row>
    <row r="1525" ht="15.75" hidden="1" customHeight="1">
      <c r="A1525" s="9" t="s">
        <v>41498</v>
      </c>
      <c r="B1525" s="9" t="s">
        <v>12963</v>
      </c>
      <c r="D1525" s="9" t="s">
        <v>12254</v>
      </c>
      <c r="F1525" s="9" t="s">
        <v>41494</v>
      </c>
      <c r="G1525" s="9" t="s">
        <v>38946</v>
      </c>
      <c r="H1525" s="127">
        <v>45431.0</v>
      </c>
      <c r="I1525" s="9" t="s">
        <v>253</v>
      </c>
      <c r="J1525" s="9" t="s">
        <v>38801</v>
      </c>
      <c r="K1525" s="55">
        <v>45433.0</v>
      </c>
      <c r="M1525" s="9" t="s">
        <v>10303</v>
      </c>
    </row>
    <row r="1526" ht="15.75" hidden="1" customHeight="1">
      <c r="A1526" s="9" t="s">
        <v>41499</v>
      </c>
      <c r="B1526" s="9" t="s">
        <v>18444</v>
      </c>
      <c r="D1526" s="9" t="s">
        <v>12254</v>
      </c>
      <c r="F1526" s="9" t="s">
        <v>41494</v>
      </c>
      <c r="G1526" s="9" t="s">
        <v>38946</v>
      </c>
      <c r="H1526" s="127">
        <v>45431.0</v>
      </c>
      <c r="I1526" s="9" t="s">
        <v>253</v>
      </c>
      <c r="J1526" s="9" t="s">
        <v>38801</v>
      </c>
      <c r="K1526" s="55">
        <v>45433.0</v>
      </c>
      <c r="M1526" s="9" t="s">
        <v>11684</v>
      </c>
    </row>
    <row r="1527" ht="15.75" hidden="1" customHeight="1">
      <c r="A1527" s="9" t="s">
        <v>41500</v>
      </c>
      <c r="B1527" s="9" t="s">
        <v>14262</v>
      </c>
      <c r="D1527" s="9" t="s">
        <v>12254</v>
      </c>
      <c r="F1527" s="9" t="s">
        <v>41494</v>
      </c>
      <c r="G1527" s="9" t="s">
        <v>38946</v>
      </c>
      <c r="H1527" s="127">
        <v>45431.0</v>
      </c>
      <c r="I1527" s="9" t="s">
        <v>253</v>
      </c>
      <c r="J1527" s="9" t="s">
        <v>38801</v>
      </c>
      <c r="K1527" s="55">
        <v>45433.0</v>
      </c>
      <c r="M1527" s="9" t="s">
        <v>11674</v>
      </c>
    </row>
    <row r="1528" ht="15.75" hidden="1" customHeight="1">
      <c r="A1528" s="9" t="s">
        <v>41501</v>
      </c>
      <c r="B1528" s="9" t="s">
        <v>15148</v>
      </c>
      <c r="D1528" s="9" t="s">
        <v>12254</v>
      </c>
      <c r="F1528" s="9" t="s">
        <v>41494</v>
      </c>
      <c r="G1528" s="9" t="s">
        <v>38946</v>
      </c>
      <c r="H1528" s="127">
        <v>45431.0</v>
      </c>
      <c r="I1528" s="9" t="s">
        <v>253</v>
      </c>
      <c r="J1528" s="9" t="s">
        <v>38801</v>
      </c>
      <c r="K1528" s="55">
        <v>45433.0</v>
      </c>
      <c r="M1528" s="9" t="s">
        <v>11981</v>
      </c>
    </row>
    <row r="1529" ht="15.75" hidden="1" customHeight="1">
      <c r="A1529" s="9" t="s">
        <v>41502</v>
      </c>
      <c r="B1529" s="9" t="s">
        <v>20733</v>
      </c>
      <c r="D1529" s="9" t="s">
        <v>12254</v>
      </c>
      <c r="F1529" s="9" t="s">
        <v>41494</v>
      </c>
      <c r="G1529" s="9" t="s">
        <v>38946</v>
      </c>
      <c r="H1529" s="127">
        <v>45431.0</v>
      </c>
      <c r="I1529" s="9" t="s">
        <v>253</v>
      </c>
      <c r="J1529" s="9" t="s">
        <v>38801</v>
      </c>
      <c r="K1529" s="55">
        <v>45433.0</v>
      </c>
      <c r="M1529" s="9" t="s">
        <v>8275</v>
      </c>
    </row>
    <row r="1530" ht="15.75" hidden="1" customHeight="1">
      <c r="A1530" s="9" t="s">
        <v>41503</v>
      </c>
      <c r="B1530" s="9" t="s">
        <v>15677</v>
      </c>
      <c r="D1530" s="9" t="s">
        <v>12254</v>
      </c>
      <c r="F1530" s="9" t="s">
        <v>41494</v>
      </c>
      <c r="G1530" s="9" t="s">
        <v>38946</v>
      </c>
      <c r="H1530" s="127">
        <v>45431.0</v>
      </c>
      <c r="I1530" s="9" t="s">
        <v>253</v>
      </c>
      <c r="J1530" s="9" t="s">
        <v>38801</v>
      </c>
      <c r="K1530" s="55">
        <v>45433.0</v>
      </c>
      <c r="M1530" s="9" t="s">
        <v>8291</v>
      </c>
    </row>
    <row r="1531" ht="15.75" hidden="1" customHeight="1">
      <c r="A1531" s="9" t="s">
        <v>41504</v>
      </c>
      <c r="B1531" s="9" t="s">
        <v>20743</v>
      </c>
      <c r="D1531" s="9" t="s">
        <v>12254</v>
      </c>
      <c r="F1531" s="9" t="s">
        <v>41494</v>
      </c>
      <c r="G1531" s="9" t="s">
        <v>38946</v>
      </c>
      <c r="H1531" s="127">
        <v>45431.0</v>
      </c>
      <c r="I1531" s="9" t="s">
        <v>253</v>
      </c>
      <c r="J1531" s="9" t="s">
        <v>38801</v>
      </c>
      <c r="K1531" s="55">
        <v>45433.0</v>
      </c>
      <c r="M1531" s="9" t="s">
        <v>243</v>
      </c>
    </row>
    <row r="1532" ht="15.75" hidden="1" customHeight="1">
      <c r="A1532" s="9" t="s">
        <v>41505</v>
      </c>
      <c r="B1532" s="9" t="s">
        <v>19906</v>
      </c>
      <c r="D1532" s="9" t="s">
        <v>12254</v>
      </c>
      <c r="F1532" s="9" t="s">
        <v>41494</v>
      </c>
      <c r="G1532" s="9" t="s">
        <v>38946</v>
      </c>
      <c r="H1532" s="127">
        <v>45431.0</v>
      </c>
      <c r="I1532" s="9" t="s">
        <v>253</v>
      </c>
      <c r="J1532" s="9" t="s">
        <v>38801</v>
      </c>
      <c r="K1532" s="55">
        <v>45433.0</v>
      </c>
      <c r="M1532" s="52" t="s">
        <v>19895</v>
      </c>
    </row>
    <row r="1533" ht="15.75" hidden="1" customHeight="1">
      <c r="A1533" s="9" t="s">
        <v>41506</v>
      </c>
      <c r="B1533" s="9" t="s">
        <v>15236</v>
      </c>
      <c r="D1533" s="9" t="s">
        <v>12254</v>
      </c>
      <c r="F1533" s="9" t="s">
        <v>41507</v>
      </c>
      <c r="G1533" s="9" t="s">
        <v>38946</v>
      </c>
      <c r="H1533" s="127">
        <v>45431.0</v>
      </c>
      <c r="I1533" s="9" t="s">
        <v>253</v>
      </c>
      <c r="J1533" s="9" t="s">
        <v>38801</v>
      </c>
      <c r="K1533" s="55">
        <v>45433.0</v>
      </c>
      <c r="M1533" s="9" t="s">
        <v>9502</v>
      </c>
    </row>
    <row r="1534" ht="15.75" hidden="1" customHeight="1">
      <c r="A1534" s="9" t="s">
        <v>41508</v>
      </c>
      <c r="B1534" s="9" t="s">
        <v>14549</v>
      </c>
      <c r="D1534" s="9" t="s">
        <v>12254</v>
      </c>
      <c r="F1534" s="9" t="s">
        <v>41494</v>
      </c>
      <c r="G1534" s="9" t="s">
        <v>38946</v>
      </c>
      <c r="H1534" s="127">
        <v>45431.0</v>
      </c>
      <c r="I1534" s="9" t="s">
        <v>253</v>
      </c>
      <c r="J1534" s="9" t="s">
        <v>38801</v>
      </c>
      <c r="K1534" s="55">
        <v>45433.0</v>
      </c>
      <c r="M1534" s="9" t="s">
        <v>255</v>
      </c>
    </row>
    <row r="1535" ht="15.75" hidden="1" customHeight="1">
      <c r="A1535" s="9" t="s">
        <v>41509</v>
      </c>
      <c r="B1535" s="9" t="s">
        <v>18615</v>
      </c>
      <c r="D1535" s="9" t="s">
        <v>12254</v>
      </c>
      <c r="F1535" s="9" t="s">
        <v>41494</v>
      </c>
      <c r="G1535" s="9" t="s">
        <v>38946</v>
      </c>
      <c r="H1535" s="127">
        <v>45431.0</v>
      </c>
      <c r="I1535" s="9" t="s">
        <v>253</v>
      </c>
      <c r="J1535" s="9" t="s">
        <v>38801</v>
      </c>
      <c r="K1535" s="55">
        <v>45433.0</v>
      </c>
      <c r="M1535" s="9" t="s">
        <v>4000</v>
      </c>
    </row>
    <row r="1536" ht="15.75" hidden="1" customHeight="1">
      <c r="A1536" s="9" t="s">
        <v>41510</v>
      </c>
      <c r="B1536" s="9" t="s">
        <v>17487</v>
      </c>
      <c r="D1536" s="9" t="s">
        <v>12254</v>
      </c>
      <c r="F1536" s="9" t="s">
        <v>41494</v>
      </c>
      <c r="G1536" s="9" t="s">
        <v>38946</v>
      </c>
      <c r="H1536" s="127">
        <v>45431.0</v>
      </c>
      <c r="I1536" s="9" t="s">
        <v>253</v>
      </c>
      <c r="J1536" s="9" t="s">
        <v>38801</v>
      </c>
      <c r="K1536" s="55">
        <v>45433.0</v>
      </c>
      <c r="M1536" s="9" t="s">
        <v>8871</v>
      </c>
    </row>
    <row r="1537" ht="15.75" hidden="1" customHeight="1">
      <c r="A1537" s="9" t="s">
        <v>41511</v>
      </c>
      <c r="B1537" s="9" t="s">
        <v>19736</v>
      </c>
      <c r="D1537" s="9" t="s">
        <v>12254</v>
      </c>
      <c r="F1537" s="9" t="s">
        <v>41494</v>
      </c>
      <c r="G1537" s="9" t="s">
        <v>38946</v>
      </c>
      <c r="H1537" s="127">
        <v>45431.0</v>
      </c>
      <c r="I1537" s="9" t="s">
        <v>253</v>
      </c>
      <c r="J1537" s="9" t="s">
        <v>38801</v>
      </c>
      <c r="K1537" s="55">
        <v>45433.0</v>
      </c>
      <c r="M1537" s="9" t="s">
        <v>8965</v>
      </c>
    </row>
    <row r="1538" ht="15.75" hidden="1" customHeight="1">
      <c r="A1538" s="9" t="s">
        <v>41512</v>
      </c>
      <c r="B1538" s="9" t="s">
        <v>20778</v>
      </c>
      <c r="D1538" s="9" t="s">
        <v>12254</v>
      </c>
      <c r="F1538" s="9" t="s">
        <v>41494</v>
      </c>
      <c r="G1538" s="9" t="s">
        <v>38946</v>
      </c>
      <c r="H1538" s="127">
        <v>45431.0</v>
      </c>
      <c r="I1538" s="9" t="s">
        <v>253</v>
      </c>
      <c r="J1538" s="9" t="s">
        <v>38801</v>
      </c>
      <c r="K1538" s="55">
        <v>45433.0</v>
      </c>
      <c r="M1538" s="9" t="s">
        <v>8488</v>
      </c>
    </row>
    <row r="1539" ht="15.75" hidden="1" customHeight="1">
      <c r="A1539" s="9" t="s">
        <v>41513</v>
      </c>
      <c r="B1539" s="9" t="s">
        <v>14512</v>
      </c>
      <c r="D1539" s="9" t="s">
        <v>12254</v>
      </c>
      <c r="F1539" s="9" t="s">
        <v>41494</v>
      </c>
      <c r="G1539" s="9" t="s">
        <v>38946</v>
      </c>
      <c r="H1539" s="127">
        <v>45431.0</v>
      </c>
      <c r="I1539" s="9" t="s">
        <v>253</v>
      </c>
      <c r="J1539" s="9" t="s">
        <v>38801</v>
      </c>
      <c r="K1539" s="55">
        <v>45433.0</v>
      </c>
      <c r="M1539" s="9" t="s">
        <v>10398</v>
      </c>
    </row>
    <row r="1540" ht="15.75" hidden="1" customHeight="1">
      <c r="A1540" s="9" t="s">
        <v>41514</v>
      </c>
      <c r="B1540" s="9" t="s">
        <v>18058</v>
      </c>
      <c r="D1540" s="9" t="s">
        <v>12254</v>
      </c>
      <c r="F1540" s="9" t="s">
        <v>41494</v>
      </c>
      <c r="G1540" s="9" t="s">
        <v>38946</v>
      </c>
      <c r="H1540" s="127">
        <v>45431.0</v>
      </c>
      <c r="I1540" s="9" t="s">
        <v>253</v>
      </c>
      <c r="J1540" s="9" t="s">
        <v>38801</v>
      </c>
      <c r="K1540" s="55">
        <v>45433.0</v>
      </c>
      <c r="M1540" s="9" t="s">
        <v>8993</v>
      </c>
    </row>
    <row r="1541" ht="15.75" hidden="1" customHeight="1">
      <c r="A1541" s="9" t="s">
        <v>41515</v>
      </c>
      <c r="B1541" s="9" t="s">
        <v>19875</v>
      </c>
      <c r="D1541" s="9" t="s">
        <v>12254</v>
      </c>
      <c r="F1541" s="9" t="s">
        <v>41494</v>
      </c>
      <c r="G1541" s="9" t="s">
        <v>38946</v>
      </c>
      <c r="H1541" s="127">
        <v>45431.0</v>
      </c>
      <c r="I1541" s="9" t="s">
        <v>253</v>
      </c>
      <c r="J1541" s="9" t="s">
        <v>38801</v>
      </c>
      <c r="K1541" s="55">
        <v>45433.0</v>
      </c>
      <c r="M1541" s="9" t="s">
        <v>12174</v>
      </c>
    </row>
    <row r="1542" ht="15.75" hidden="1" customHeight="1">
      <c r="A1542" s="9" t="s">
        <v>41516</v>
      </c>
      <c r="B1542" s="9" t="s">
        <v>14449</v>
      </c>
      <c r="D1542" s="9" t="s">
        <v>12254</v>
      </c>
      <c r="F1542" s="9" t="s">
        <v>41494</v>
      </c>
      <c r="G1542" s="9" t="s">
        <v>38946</v>
      </c>
      <c r="H1542" s="127">
        <v>45431.0</v>
      </c>
      <c r="I1542" s="9" t="s">
        <v>253</v>
      </c>
      <c r="J1542" s="9" t="s">
        <v>38801</v>
      </c>
      <c r="K1542" s="55">
        <v>45433.0</v>
      </c>
      <c r="M1542" s="9" t="s">
        <v>10509</v>
      </c>
    </row>
    <row r="1543" ht="15.75" hidden="1" customHeight="1">
      <c r="A1543" s="9" t="s">
        <v>41517</v>
      </c>
      <c r="B1543" s="9" t="s">
        <v>13855</v>
      </c>
      <c r="D1543" s="9" t="s">
        <v>12246</v>
      </c>
      <c r="F1543" s="9" t="s">
        <v>41518</v>
      </c>
      <c r="G1543" s="9" t="s">
        <v>38808</v>
      </c>
      <c r="H1543" s="127">
        <v>45433.0</v>
      </c>
      <c r="I1543" s="9" t="s">
        <v>47</v>
      </c>
      <c r="J1543" s="9" t="s">
        <v>38801</v>
      </c>
      <c r="K1543" s="55">
        <v>45433.0</v>
      </c>
      <c r="M1543" s="9" t="s">
        <v>6255</v>
      </c>
    </row>
    <row r="1544" ht="15.75" hidden="1" customHeight="1">
      <c r="A1544" s="9" t="s">
        <v>41519</v>
      </c>
      <c r="B1544" s="9" t="s">
        <v>13855</v>
      </c>
      <c r="D1544" s="9" t="s">
        <v>12230</v>
      </c>
      <c r="F1544" s="9" t="s">
        <v>41520</v>
      </c>
      <c r="G1544" s="9" t="s">
        <v>38946</v>
      </c>
      <c r="H1544" s="127">
        <v>45433.0</v>
      </c>
      <c r="I1544" s="9" t="s">
        <v>47</v>
      </c>
      <c r="J1544" s="9" t="s">
        <v>38801</v>
      </c>
      <c r="K1544" s="55">
        <v>45433.0</v>
      </c>
      <c r="M1544" s="9" t="s">
        <v>6255</v>
      </c>
    </row>
    <row r="1545" ht="15.75" hidden="1" customHeight="1">
      <c r="A1545" s="9" t="s">
        <v>41521</v>
      </c>
      <c r="B1545" s="9" t="s">
        <v>12670</v>
      </c>
      <c r="D1545" s="9" t="s">
        <v>12230</v>
      </c>
      <c r="F1545" s="9" t="s">
        <v>41522</v>
      </c>
      <c r="G1545" s="9" t="s">
        <v>38808</v>
      </c>
      <c r="H1545" s="127">
        <v>45434.0</v>
      </c>
      <c r="I1545" s="9" t="s">
        <v>47</v>
      </c>
      <c r="J1545" s="9" t="s">
        <v>38801</v>
      </c>
      <c r="K1545" s="55">
        <v>46100.0</v>
      </c>
      <c r="M1545" s="9" t="s">
        <v>10289</v>
      </c>
    </row>
    <row r="1546" ht="15.75" hidden="1" customHeight="1">
      <c r="A1546" s="9" t="s">
        <v>41523</v>
      </c>
      <c r="B1546" s="9" t="s">
        <v>12903</v>
      </c>
      <c r="D1546" s="9" t="s">
        <v>12230</v>
      </c>
      <c r="F1546" s="9" t="s">
        <v>41524</v>
      </c>
      <c r="G1546" s="9" t="s">
        <v>38808</v>
      </c>
      <c r="H1546" s="127">
        <v>45434.0</v>
      </c>
      <c r="I1546" s="9" t="s">
        <v>47</v>
      </c>
      <c r="J1546" s="9" t="s">
        <v>38801</v>
      </c>
      <c r="K1546" s="55">
        <v>46100.0</v>
      </c>
      <c r="M1546" s="9" t="s">
        <v>9858</v>
      </c>
    </row>
    <row r="1547" ht="15.75" hidden="1" customHeight="1">
      <c r="A1547" s="9" t="s">
        <v>41525</v>
      </c>
      <c r="B1547" s="9" t="s">
        <v>13772</v>
      </c>
      <c r="D1547" s="9" t="s">
        <v>12230</v>
      </c>
      <c r="F1547" s="9" t="s">
        <v>41526</v>
      </c>
      <c r="G1547" s="9" t="s">
        <v>38808</v>
      </c>
      <c r="H1547" s="127">
        <v>45434.0</v>
      </c>
      <c r="I1547" s="9" t="s">
        <v>47</v>
      </c>
      <c r="J1547" s="9" t="s">
        <v>38801</v>
      </c>
      <c r="K1547" s="55">
        <v>45871.0</v>
      </c>
      <c r="M1547" s="9" t="s">
        <v>9131</v>
      </c>
    </row>
    <row r="1548" ht="15.75" hidden="1" customHeight="1">
      <c r="A1548" s="9" t="s">
        <v>41527</v>
      </c>
      <c r="B1548" s="9" t="s">
        <v>13979</v>
      </c>
      <c r="D1548" s="9" t="s">
        <v>12230</v>
      </c>
      <c r="F1548" s="9" t="s">
        <v>41528</v>
      </c>
      <c r="G1548" s="9" t="s">
        <v>38808</v>
      </c>
      <c r="H1548" s="127">
        <v>45434.0</v>
      </c>
      <c r="I1548" s="9" t="s">
        <v>47</v>
      </c>
      <c r="J1548" s="9" t="s">
        <v>38801</v>
      </c>
      <c r="K1548" s="55">
        <v>46095.0</v>
      </c>
      <c r="M1548" s="9" t="s">
        <v>8448</v>
      </c>
    </row>
    <row r="1549" ht="15.75" hidden="1" customHeight="1">
      <c r="A1549" s="9" t="s">
        <v>41529</v>
      </c>
      <c r="B1549" s="9" t="s">
        <v>20980</v>
      </c>
      <c r="D1549" s="9" t="s">
        <v>12248</v>
      </c>
      <c r="F1549" s="9" t="s">
        <v>41530</v>
      </c>
      <c r="G1549" s="9" t="s">
        <v>38808</v>
      </c>
      <c r="H1549" s="127">
        <v>45434.0</v>
      </c>
      <c r="I1549" s="9" t="s">
        <v>47</v>
      </c>
      <c r="J1549" s="9" t="s">
        <v>38801</v>
      </c>
      <c r="K1549" s="55">
        <v>45434.0</v>
      </c>
      <c r="M1549" s="9" t="s">
        <v>9901</v>
      </c>
    </row>
    <row r="1550" ht="15.75" hidden="1" customHeight="1">
      <c r="A1550" s="9" t="s">
        <v>41531</v>
      </c>
      <c r="B1550" s="9" t="s">
        <v>15351</v>
      </c>
      <c r="D1550" s="9" t="s">
        <v>12230</v>
      </c>
      <c r="F1550" s="9" t="s">
        <v>41532</v>
      </c>
      <c r="G1550" s="9" t="s">
        <v>38808</v>
      </c>
      <c r="H1550" s="127">
        <v>45434.0</v>
      </c>
      <c r="I1550" s="9" t="s">
        <v>47</v>
      </c>
      <c r="J1550" s="9" t="s">
        <v>38801</v>
      </c>
      <c r="K1550" s="55">
        <v>45434.0</v>
      </c>
      <c r="M1550" s="9" t="s">
        <v>1579</v>
      </c>
    </row>
    <row r="1551" ht="15.75" hidden="1" customHeight="1">
      <c r="A1551" s="52" t="s">
        <v>41533</v>
      </c>
      <c r="B1551" s="9" t="s">
        <v>20980</v>
      </c>
      <c r="D1551" s="9" t="s">
        <v>12230</v>
      </c>
      <c r="F1551" s="9" t="s">
        <v>41534</v>
      </c>
      <c r="G1551" s="9" t="s">
        <v>38808</v>
      </c>
      <c r="H1551" s="127">
        <v>45434.0</v>
      </c>
      <c r="I1551" s="9" t="s">
        <v>47</v>
      </c>
      <c r="J1551" s="9" t="s">
        <v>38805</v>
      </c>
      <c r="M1551" s="9" t="s">
        <v>9901</v>
      </c>
    </row>
    <row r="1552" ht="15.75" hidden="1" customHeight="1">
      <c r="A1552" s="9" t="s">
        <v>41535</v>
      </c>
      <c r="B1552" s="9" t="s">
        <v>14274</v>
      </c>
      <c r="D1552" s="9" t="s">
        <v>12230</v>
      </c>
      <c r="F1552" s="9" t="s">
        <v>41536</v>
      </c>
      <c r="G1552" s="9" t="s">
        <v>38808</v>
      </c>
      <c r="H1552" s="127">
        <v>45434.0</v>
      </c>
      <c r="I1552" s="9" t="s">
        <v>47</v>
      </c>
      <c r="J1552" s="9" t="s">
        <v>38801</v>
      </c>
      <c r="K1552" s="55">
        <v>45507.0</v>
      </c>
      <c r="M1552" s="9" t="s">
        <v>10691</v>
      </c>
    </row>
    <row r="1553" ht="15.75" hidden="1" customHeight="1">
      <c r="A1553" s="9" t="s">
        <v>41537</v>
      </c>
      <c r="B1553" s="9" t="s">
        <v>22104</v>
      </c>
      <c r="D1553" s="9" t="s">
        <v>12230</v>
      </c>
      <c r="F1553" s="9" t="s">
        <v>39790</v>
      </c>
      <c r="G1553" s="9" t="s">
        <v>38808</v>
      </c>
      <c r="H1553" s="127">
        <v>45434.0</v>
      </c>
      <c r="I1553" s="9" t="s">
        <v>47</v>
      </c>
      <c r="J1553" s="9" t="s">
        <v>38801</v>
      </c>
      <c r="K1553" s="55">
        <v>45439.0</v>
      </c>
      <c r="M1553" s="9" t="s">
        <v>11400</v>
      </c>
    </row>
    <row r="1554" ht="15.75" hidden="1" customHeight="1">
      <c r="A1554" s="9" t="s">
        <v>41538</v>
      </c>
      <c r="B1554" s="9" t="s">
        <v>13889</v>
      </c>
      <c r="D1554" s="9" t="s">
        <v>12233</v>
      </c>
      <c r="F1554" s="9" t="s">
        <v>41539</v>
      </c>
      <c r="G1554" s="9" t="s">
        <v>38946</v>
      </c>
      <c r="H1554" s="127">
        <v>45435.0</v>
      </c>
      <c r="I1554" s="9" t="s">
        <v>131</v>
      </c>
      <c r="J1554" s="9" t="s">
        <v>38801</v>
      </c>
      <c r="K1554" s="55">
        <v>45435.0</v>
      </c>
      <c r="M1554" s="9" t="s">
        <v>11368</v>
      </c>
    </row>
    <row r="1555" ht="15.75" hidden="1" customHeight="1">
      <c r="A1555" s="9" t="s">
        <v>41540</v>
      </c>
      <c r="B1555" s="9" t="s">
        <v>21653</v>
      </c>
      <c r="D1555" s="9" t="s">
        <v>12224</v>
      </c>
      <c r="F1555" s="9" t="s">
        <v>41541</v>
      </c>
      <c r="G1555" s="9" t="s">
        <v>38946</v>
      </c>
      <c r="H1555" s="127">
        <v>45435.0</v>
      </c>
      <c r="I1555" s="9" t="s">
        <v>26</v>
      </c>
      <c r="J1555" s="9" t="s">
        <v>38801</v>
      </c>
      <c r="K1555" s="55">
        <v>45435.0</v>
      </c>
      <c r="M1555" s="9" t="s">
        <v>8621</v>
      </c>
    </row>
    <row r="1556" ht="15.75" hidden="1" customHeight="1">
      <c r="A1556" s="9" t="s">
        <v>41542</v>
      </c>
      <c r="B1556" s="9" t="s">
        <v>14992</v>
      </c>
      <c r="D1556" s="9" t="s">
        <v>12239</v>
      </c>
      <c r="F1556" s="9" t="s">
        <v>40678</v>
      </c>
      <c r="G1556" s="9" t="s">
        <v>38946</v>
      </c>
      <c r="H1556" s="127">
        <v>45435.0</v>
      </c>
      <c r="I1556" s="9" t="s">
        <v>131</v>
      </c>
      <c r="J1556" s="9" t="s">
        <v>38801</v>
      </c>
      <c r="K1556" s="55">
        <v>45490.0</v>
      </c>
      <c r="M1556" s="9" t="s">
        <v>11990</v>
      </c>
    </row>
    <row r="1557" ht="15.75" hidden="1" customHeight="1">
      <c r="A1557" s="9" t="s">
        <v>41543</v>
      </c>
      <c r="B1557" s="9" t="s">
        <v>16628</v>
      </c>
      <c r="D1557" s="9" t="s">
        <v>12240</v>
      </c>
      <c r="F1557" s="9" t="s">
        <v>41544</v>
      </c>
      <c r="G1557" s="9" t="s">
        <v>38946</v>
      </c>
      <c r="H1557" s="127">
        <v>45436.0</v>
      </c>
      <c r="I1557" s="9" t="s">
        <v>131</v>
      </c>
      <c r="J1557" s="9" t="s">
        <v>38801</v>
      </c>
      <c r="K1557" s="55">
        <v>45436.0</v>
      </c>
      <c r="M1557" s="52" t="s">
        <v>16619</v>
      </c>
    </row>
    <row r="1558" ht="15.75" hidden="1" customHeight="1">
      <c r="A1558" s="9" t="s">
        <v>41545</v>
      </c>
      <c r="B1558" s="9" t="s">
        <v>21653</v>
      </c>
      <c r="D1558" s="9" t="s">
        <v>12242</v>
      </c>
      <c r="F1558" s="9" t="s">
        <v>41546</v>
      </c>
      <c r="G1558" s="9" t="s">
        <v>38946</v>
      </c>
      <c r="H1558" s="127">
        <v>45436.0</v>
      </c>
      <c r="I1558" s="9" t="s">
        <v>26</v>
      </c>
      <c r="J1558" s="9" t="s">
        <v>38801</v>
      </c>
      <c r="K1558" s="55">
        <v>45436.0</v>
      </c>
      <c r="M1558" s="9" t="s">
        <v>8621</v>
      </c>
    </row>
    <row r="1559" ht="15.75" hidden="1" customHeight="1">
      <c r="A1559" s="9" t="s">
        <v>41547</v>
      </c>
      <c r="B1559" s="9" t="s">
        <v>15390</v>
      </c>
      <c r="D1559" s="9" t="s">
        <v>12230</v>
      </c>
      <c r="F1559" s="9" t="s">
        <v>41548</v>
      </c>
      <c r="G1559" s="9" t="s">
        <v>38946</v>
      </c>
      <c r="H1559" s="127">
        <v>45436.0</v>
      </c>
      <c r="I1559" s="9" t="s">
        <v>26</v>
      </c>
      <c r="J1559" s="9" t="s">
        <v>38801</v>
      </c>
      <c r="K1559" s="55">
        <v>45436.0</v>
      </c>
      <c r="M1559" s="9" t="s">
        <v>11921</v>
      </c>
    </row>
    <row r="1560" ht="15.75" hidden="1" customHeight="1">
      <c r="A1560" s="9" t="s">
        <v>41549</v>
      </c>
      <c r="B1560" s="9" t="s">
        <v>15576</v>
      </c>
      <c r="D1560" s="9" t="s">
        <v>12250</v>
      </c>
      <c r="F1560" s="9" t="s">
        <v>41550</v>
      </c>
      <c r="G1560" s="9" t="s">
        <v>38946</v>
      </c>
      <c r="H1560" s="127">
        <v>45436.0</v>
      </c>
      <c r="I1560" s="9" t="s">
        <v>26</v>
      </c>
      <c r="J1560" s="9" t="s">
        <v>38801</v>
      </c>
      <c r="K1560" s="55">
        <v>45436.0</v>
      </c>
      <c r="M1560" s="9" t="s">
        <v>8608</v>
      </c>
    </row>
    <row r="1561" ht="15.75" hidden="1" customHeight="1">
      <c r="A1561" s="9" t="s">
        <v>41551</v>
      </c>
      <c r="B1561" s="9" t="s">
        <v>17551</v>
      </c>
      <c r="D1561" s="9" t="s">
        <v>12256</v>
      </c>
      <c r="F1561" s="9" t="s">
        <v>41552</v>
      </c>
      <c r="G1561" s="9" t="s">
        <v>38946</v>
      </c>
      <c r="H1561" s="127">
        <v>45436.0</v>
      </c>
      <c r="I1561" s="9" t="s">
        <v>26</v>
      </c>
      <c r="J1561" s="9" t="s">
        <v>38801</v>
      </c>
      <c r="K1561" s="55">
        <v>45436.0</v>
      </c>
      <c r="M1561" s="9" t="s">
        <v>8211</v>
      </c>
    </row>
    <row r="1562" ht="15.75" hidden="1" customHeight="1">
      <c r="A1562" s="9" t="s">
        <v>41553</v>
      </c>
      <c r="B1562" s="9" t="s">
        <v>14691</v>
      </c>
      <c r="D1562" s="9" t="s">
        <v>12256</v>
      </c>
      <c r="F1562" s="9" t="s">
        <v>41552</v>
      </c>
      <c r="G1562" s="9" t="s">
        <v>38946</v>
      </c>
      <c r="H1562" s="127">
        <v>45436.0</v>
      </c>
      <c r="I1562" s="9" t="s">
        <v>26</v>
      </c>
      <c r="J1562" s="9" t="s">
        <v>38801</v>
      </c>
      <c r="K1562" s="55">
        <v>45436.0</v>
      </c>
      <c r="M1562" s="9" t="s">
        <v>249</v>
      </c>
    </row>
    <row r="1563" ht="15.75" hidden="1" customHeight="1">
      <c r="A1563" s="9" t="s">
        <v>41554</v>
      </c>
      <c r="B1563" s="52" t="s">
        <v>17445</v>
      </c>
      <c r="D1563" s="9" t="s">
        <v>12256</v>
      </c>
      <c r="F1563" s="9" t="s">
        <v>41552</v>
      </c>
      <c r="G1563" s="9" t="s">
        <v>38946</v>
      </c>
      <c r="H1563" s="127">
        <v>45436.0</v>
      </c>
      <c r="I1563" s="9" t="s">
        <v>26</v>
      </c>
      <c r="J1563" s="9" t="s">
        <v>38801</v>
      </c>
      <c r="K1563" s="55">
        <v>45436.0</v>
      </c>
      <c r="M1563" s="9" t="s">
        <v>11975</v>
      </c>
    </row>
    <row r="1564" ht="15.75" hidden="1" customHeight="1">
      <c r="A1564" s="9" t="s">
        <v>41555</v>
      </c>
      <c r="B1564" s="9" t="s">
        <v>21898</v>
      </c>
      <c r="D1564" s="9" t="s">
        <v>12256</v>
      </c>
      <c r="F1564" s="9" t="s">
        <v>41552</v>
      </c>
      <c r="G1564" s="9" t="s">
        <v>38946</v>
      </c>
      <c r="H1564" s="127">
        <v>45436.0</v>
      </c>
      <c r="I1564" s="9" t="s">
        <v>26</v>
      </c>
      <c r="J1564" s="9" t="s">
        <v>38801</v>
      </c>
      <c r="K1564" s="55">
        <v>45436.0</v>
      </c>
      <c r="M1564" s="9" t="s">
        <v>11664</v>
      </c>
    </row>
    <row r="1565" ht="15.75" hidden="1" customHeight="1">
      <c r="A1565" s="9" t="s">
        <v>41556</v>
      </c>
      <c r="B1565" s="9" t="s">
        <v>16628</v>
      </c>
      <c r="D1565" s="9" t="s">
        <v>12256</v>
      </c>
      <c r="F1565" s="9" t="s">
        <v>41552</v>
      </c>
      <c r="G1565" s="9" t="s">
        <v>38946</v>
      </c>
      <c r="H1565" s="127">
        <v>45436.0</v>
      </c>
      <c r="I1565" s="9" t="s">
        <v>26</v>
      </c>
      <c r="J1565" s="9" t="s">
        <v>38801</v>
      </c>
      <c r="K1565" s="55">
        <v>45436.0</v>
      </c>
      <c r="M1565" s="52" t="s">
        <v>16619</v>
      </c>
    </row>
    <row r="1566" ht="15.75" hidden="1" customHeight="1">
      <c r="A1566" s="9" t="s">
        <v>41557</v>
      </c>
      <c r="B1566" s="9" t="s">
        <v>18390</v>
      </c>
      <c r="D1566" s="9" t="s">
        <v>12256</v>
      </c>
      <c r="F1566" s="9" t="s">
        <v>41552</v>
      </c>
      <c r="G1566" s="9" t="s">
        <v>38946</v>
      </c>
      <c r="H1566" s="127">
        <v>45436.0</v>
      </c>
      <c r="I1566" s="9" t="s">
        <v>26</v>
      </c>
      <c r="J1566" s="9" t="s">
        <v>38801</v>
      </c>
      <c r="K1566" s="55">
        <v>45436.0</v>
      </c>
      <c r="M1566" s="9" t="s">
        <v>9237</v>
      </c>
    </row>
    <row r="1567" ht="15.75" hidden="1" customHeight="1">
      <c r="A1567" s="9" t="s">
        <v>41558</v>
      </c>
      <c r="B1567" s="9" t="s">
        <v>14992</v>
      </c>
      <c r="D1567" s="9" t="s">
        <v>12256</v>
      </c>
      <c r="F1567" s="9" t="s">
        <v>41552</v>
      </c>
      <c r="G1567" s="9" t="s">
        <v>38946</v>
      </c>
      <c r="H1567" s="127">
        <v>45436.0</v>
      </c>
      <c r="I1567" s="9" t="s">
        <v>26</v>
      </c>
      <c r="J1567" s="9" t="s">
        <v>38801</v>
      </c>
      <c r="K1567" s="55">
        <v>45436.0</v>
      </c>
      <c r="M1567" s="9" t="s">
        <v>11990</v>
      </c>
    </row>
    <row r="1568" ht="15.75" hidden="1" customHeight="1">
      <c r="A1568" s="9" t="s">
        <v>41559</v>
      </c>
      <c r="B1568" s="9" t="s">
        <v>14110</v>
      </c>
      <c r="D1568" s="9" t="s">
        <v>12256</v>
      </c>
      <c r="F1568" s="9" t="s">
        <v>41552</v>
      </c>
      <c r="G1568" s="9" t="s">
        <v>38946</v>
      </c>
      <c r="H1568" s="127">
        <v>45436.0</v>
      </c>
      <c r="I1568" s="9" t="s">
        <v>26</v>
      </c>
      <c r="J1568" s="9" t="s">
        <v>38801</v>
      </c>
      <c r="K1568" s="55">
        <v>45436.0</v>
      </c>
      <c r="M1568" s="9" t="s">
        <v>269</v>
      </c>
    </row>
    <row r="1569" ht="15.75" hidden="1" customHeight="1">
      <c r="A1569" s="9" t="s">
        <v>41560</v>
      </c>
      <c r="B1569" s="9" t="s">
        <v>17715</v>
      </c>
      <c r="D1569" s="9" t="s">
        <v>12256</v>
      </c>
      <c r="F1569" s="9" t="s">
        <v>41552</v>
      </c>
      <c r="G1569" s="9" t="s">
        <v>38946</v>
      </c>
      <c r="H1569" s="127">
        <v>45436.0</v>
      </c>
      <c r="I1569" s="9" t="s">
        <v>26</v>
      </c>
      <c r="J1569" s="9" t="s">
        <v>38801</v>
      </c>
      <c r="K1569" s="55">
        <v>45436.0</v>
      </c>
      <c r="M1569" s="9" t="s">
        <v>12207</v>
      </c>
    </row>
    <row r="1570" ht="15.75" hidden="1" customHeight="1">
      <c r="A1570" s="9" t="s">
        <v>41561</v>
      </c>
      <c r="B1570" s="9" t="s">
        <v>13177</v>
      </c>
      <c r="D1570" s="9" t="s">
        <v>12256</v>
      </c>
      <c r="F1570" s="9" t="s">
        <v>41552</v>
      </c>
      <c r="G1570" s="9" t="s">
        <v>38946</v>
      </c>
      <c r="H1570" s="127">
        <v>45436.0</v>
      </c>
      <c r="I1570" s="9" t="s">
        <v>26</v>
      </c>
      <c r="J1570" s="9" t="s">
        <v>38801</v>
      </c>
      <c r="K1570" s="55">
        <v>45436.0</v>
      </c>
      <c r="M1570" s="9" t="s">
        <v>10318</v>
      </c>
    </row>
    <row r="1571" ht="15.75" hidden="1" customHeight="1">
      <c r="A1571" s="9" t="s">
        <v>41562</v>
      </c>
      <c r="B1571" s="9" t="s">
        <v>15162</v>
      </c>
      <c r="D1571" s="9" t="s">
        <v>12256</v>
      </c>
      <c r="F1571" s="9" t="s">
        <v>41552</v>
      </c>
      <c r="G1571" s="9" t="s">
        <v>38946</v>
      </c>
      <c r="H1571" s="127">
        <v>45436.0</v>
      </c>
      <c r="I1571" s="9" t="s">
        <v>26</v>
      </c>
      <c r="J1571" s="9" t="s">
        <v>38801</v>
      </c>
      <c r="K1571" s="55">
        <v>45436.0</v>
      </c>
      <c r="M1571" s="9" t="s">
        <v>10447</v>
      </c>
    </row>
    <row r="1572" ht="15.75" hidden="1" customHeight="1">
      <c r="A1572" s="9" t="s">
        <v>41563</v>
      </c>
      <c r="B1572" s="9" t="s">
        <v>23271</v>
      </c>
      <c r="D1572" s="9" t="s">
        <v>12256</v>
      </c>
      <c r="F1572" s="9" t="s">
        <v>41552</v>
      </c>
      <c r="G1572" s="9" t="s">
        <v>38946</v>
      </c>
      <c r="H1572" s="127">
        <v>45436.0</v>
      </c>
      <c r="I1572" s="9" t="s">
        <v>26</v>
      </c>
      <c r="J1572" s="9" t="s">
        <v>38801</v>
      </c>
      <c r="K1572" s="55">
        <v>45436.0</v>
      </c>
      <c r="M1572" s="9" t="s">
        <v>23262</v>
      </c>
    </row>
    <row r="1573" ht="15.75" hidden="1" customHeight="1">
      <c r="A1573" s="9" t="s">
        <v>41564</v>
      </c>
      <c r="B1573" s="9" t="s">
        <v>15244</v>
      </c>
      <c r="D1573" s="9" t="s">
        <v>12256</v>
      </c>
      <c r="F1573" s="9" t="s">
        <v>41565</v>
      </c>
      <c r="G1573" s="9" t="s">
        <v>38946</v>
      </c>
      <c r="H1573" s="127">
        <v>45436.0</v>
      </c>
      <c r="I1573" s="9" t="s">
        <v>26</v>
      </c>
      <c r="J1573" s="9" t="s">
        <v>38801</v>
      </c>
      <c r="K1573" s="55">
        <v>45436.0</v>
      </c>
      <c r="M1573" s="9" t="s">
        <v>1904</v>
      </c>
    </row>
    <row r="1574" ht="15.75" hidden="1" customHeight="1">
      <c r="A1574" s="9" t="s">
        <v>41566</v>
      </c>
      <c r="B1574" s="9" t="s">
        <v>18189</v>
      </c>
      <c r="D1574" s="9" t="s">
        <v>12256</v>
      </c>
      <c r="F1574" s="9" t="s">
        <v>41567</v>
      </c>
      <c r="G1574" s="9" t="s">
        <v>38808</v>
      </c>
      <c r="H1574" s="127">
        <v>45436.0</v>
      </c>
      <c r="I1574" s="9" t="s">
        <v>26</v>
      </c>
      <c r="J1574" s="9" t="s">
        <v>38801</v>
      </c>
      <c r="K1574" s="55">
        <v>45436.0</v>
      </c>
      <c r="M1574" s="9" t="s">
        <v>11700</v>
      </c>
    </row>
    <row r="1575" ht="15.75" hidden="1" customHeight="1">
      <c r="A1575" s="9" t="s">
        <v>41568</v>
      </c>
      <c r="B1575" s="9" t="s">
        <v>22073</v>
      </c>
      <c r="D1575" s="9" t="s">
        <v>12256</v>
      </c>
      <c r="F1575" s="9" t="s">
        <v>41569</v>
      </c>
      <c r="G1575" s="9" t="s">
        <v>38808</v>
      </c>
      <c r="H1575" s="127">
        <v>45436.0</v>
      </c>
      <c r="I1575" s="9" t="s">
        <v>26</v>
      </c>
      <c r="J1575" s="9" t="s">
        <v>38801</v>
      </c>
      <c r="K1575" s="55">
        <v>45436.0</v>
      </c>
      <c r="M1575" s="9" t="s">
        <v>11396</v>
      </c>
    </row>
    <row r="1576" ht="15.75" hidden="1" customHeight="1">
      <c r="A1576" s="9" t="s">
        <v>41570</v>
      </c>
      <c r="B1576" s="9" t="s">
        <v>20310</v>
      </c>
      <c r="D1576" s="9" t="s">
        <v>12230</v>
      </c>
      <c r="F1576" s="9" t="s">
        <v>41571</v>
      </c>
      <c r="G1576" s="9" t="s">
        <v>38808</v>
      </c>
      <c r="H1576" s="127">
        <v>45439.0</v>
      </c>
      <c r="I1576" s="9" t="s">
        <v>26</v>
      </c>
      <c r="J1576" s="9" t="s">
        <v>38801</v>
      </c>
      <c r="K1576" s="55">
        <v>45511.0</v>
      </c>
      <c r="M1576" s="9" t="s">
        <v>5604</v>
      </c>
    </row>
    <row r="1577" ht="15.75" hidden="1" customHeight="1">
      <c r="A1577" s="9" t="s">
        <v>41572</v>
      </c>
      <c r="B1577" s="9" t="s">
        <v>15390</v>
      </c>
      <c r="D1577" s="9" t="s">
        <v>12230</v>
      </c>
      <c r="F1577" s="9" t="s">
        <v>41573</v>
      </c>
      <c r="G1577" s="9" t="s">
        <v>38808</v>
      </c>
      <c r="H1577" s="127">
        <v>45439.0</v>
      </c>
      <c r="I1577" s="9" t="s">
        <v>26</v>
      </c>
      <c r="J1577" s="9" t="s">
        <v>38801</v>
      </c>
      <c r="K1577" s="55">
        <v>45439.0</v>
      </c>
      <c r="M1577" s="9" t="s">
        <v>11921</v>
      </c>
    </row>
    <row r="1578" ht="15.75" customHeight="1">
      <c r="A1578" s="9" t="s">
        <v>41574</v>
      </c>
      <c r="B1578" s="9" t="s">
        <v>16832</v>
      </c>
      <c r="D1578" s="9" t="s">
        <v>12227</v>
      </c>
      <c r="E1578" s="9" t="s">
        <v>38803</v>
      </c>
      <c r="F1578" s="9" t="s">
        <v>41575</v>
      </c>
      <c r="G1578" s="9" t="s">
        <v>38946</v>
      </c>
      <c r="H1578" s="127">
        <v>45439.0</v>
      </c>
      <c r="I1578" s="9" t="s">
        <v>26</v>
      </c>
      <c r="J1578" s="9" t="s">
        <v>38805</v>
      </c>
      <c r="M1578" s="9" t="s">
        <v>11987</v>
      </c>
    </row>
    <row r="1579" ht="15.75" hidden="1" customHeight="1">
      <c r="A1579" s="9" t="s">
        <v>41576</v>
      </c>
      <c r="B1579" s="9" t="s">
        <v>16734</v>
      </c>
      <c r="D1579" s="9" t="s">
        <v>12236</v>
      </c>
      <c r="F1579" s="9" t="s">
        <v>41577</v>
      </c>
      <c r="G1579" s="9" t="s">
        <v>38946</v>
      </c>
      <c r="H1579" s="127">
        <v>45439.0</v>
      </c>
      <c r="I1579" s="9" t="s">
        <v>131</v>
      </c>
      <c r="J1579" s="9" t="s">
        <v>38801</v>
      </c>
      <c r="K1579" s="55">
        <v>45439.0</v>
      </c>
      <c r="M1579" s="9" t="s">
        <v>1034</v>
      </c>
    </row>
    <row r="1580" ht="15.75" hidden="1" customHeight="1">
      <c r="A1580" s="9" t="s">
        <v>41578</v>
      </c>
      <c r="B1580" s="9" t="s">
        <v>14549</v>
      </c>
      <c r="D1580" s="9" t="s">
        <v>12240</v>
      </c>
      <c r="F1580" s="9" t="s">
        <v>41579</v>
      </c>
      <c r="G1580" s="9" t="s">
        <v>38946</v>
      </c>
      <c r="H1580" s="127">
        <v>45439.0</v>
      </c>
      <c r="I1580" s="9" t="s">
        <v>131</v>
      </c>
      <c r="J1580" s="9" t="s">
        <v>38801</v>
      </c>
      <c r="K1580" s="55">
        <v>45439.0</v>
      </c>
      <c r="M1580" s="9" t="s">
        <v>255</v>
      </c>
    </row>
    <row r="1581" ht="15.75" hidden="1" customHeight="1">
      <c r="A1581" s="9" t="s">
        <v>41580</v>
      </c>
      <c r="B1581" s="9" t="s">
        <v>16054</v>
      </c>
      <c r="D1581" s="9" t="s">
        <v>12240</v>
      </c>
      <c r="F1581" s="9" t="s">
        <v>41581</v>
      </c>
      <c r="G1581" s="9" t="s">
        <v>38946</v>
      </c>
      <c r="H1581" s="127">
        <v>45439.0</v>
      </c>
      <c r="I1581" s="9" t="s">
        <v>131</v>
      </c>
      <c r="J1581" s="9" t="s">
        <v>38801</v>
      </c>
      <c r="K1581" s="55">
        <v>45439.0</v>
      </c>
      <c r="M1581" s="9" t="s">
        <v>10488</v>
      </c>
    </row>
    <row r="1582" ht="15.75" hidden="1" customHeight="1">
      <c r="A1582" s="9" t="s">
        <v>41582</v>
      </c>
      <c r="B1582" s="9" t="s">
        <v>15547</v>
      </c>
      <c r="D1582" s="9" t="s">
        <v>12240</v>
      </c>
      <c r="F1582" s="9" t="s">
        <v>41581</v>
      </c>
      <c r="G1582" s="9" t="s">
        <v>38946</v>
      </c>
      <c r="H1582" s="127">
        <v>45439.0</v>
      </c>
      <c r="I1582" s="9" t="s">
        <v>131</v>
      </c>
      <c r="J1582" s="9" t="s">
        <v>38801</v>
      </c>
      <c r="K1582" s="55">
        <v>45439.0</v>
      </c>
      <c r="M1582" s="9" t="s">
        <v>11694</v>
      </c>
    </row>
    <row r="1583" ht="15.75" hidden="1" customHeight="1">
      <c r="A1583" s="9" t="s">
        <v>41583</v>
      </c>
      <c r="B1583" s="9" t="s">
        <v>16958</v>
      </c>
      <c r="D1583" s="9" t="s">
        <v>12240</v>
      </c>
      <c r="F1583" s="9" t="s">
        <v>41581</v>
      </c>
      <c r="G1583" s="9" t="s">
        <v>38946</v>
      </c>
      <c r="H1583" s="127">
        <v>45439.0</v>
      </c>
      <c r="I1583" s="9" t="s">
        <v>131</v>
      </c>
      <c r="J1583" s="9" t="s">
        <v>38801</v>
      </c>
      <c r="K1583" s="55">
        <v>45439.0</v>
      </c>
      <c r="M1583" s="9" t="s">
        <v>11971</v>
      </c>
    </row>
    <row r="1584" ht="15.75" hidden="1" customHeight="1">
      <c r="A1584" s="9" t="s">
        <v>41584</v>
      </c>
      <c r="B1584" s="9" t="s">
        <v>18444</v>
      </c>
      <c r="D1584" s="9" t="s">
        <v>12240</v>
      </c>
      <c r="F1584" s="9" t="s">
        <v>41581</v>
      </c>
      <c r="G1584" s="9" t="s">
        <v>38946</v>
      </c>
      <c r="H1584" s="127">
        <v>45439.0</v>
      </c>
      <c r="I1584" s="9" t="s">
        <v>131</v>
      </c>
      <c r="J1584" s="9" t="s">
        <v>38801</v>
      </c>
      <c r="K1584" s="55">
        <v>45439.0</v>
      </c>
      <c r="M1584" s="9" t="s">
        <v>11684</v>
      </c>
    </row>
    <row r="1585" ht="15.75" hidden="1" customHeight="1">
      <c r="A1585" s="9" t="s">
        <v>41585</v>
      </c>
      <c r="B1585" s="9" t="s">
        <v>20610</v>
      </c>
      <c r="D1585" s="9" t="s">
        <v>12240</v>
      </c>
      <c r="F1585" s="9" t="s">
        <v>41586</v>
      </c>
      <c r="G1585" s="9" t="s">
        <v>38946</v>
      </c>
      <c r="H1585" s="127">
        <v>45439.0</v>
      </c>
      <c r="I1585" s="9" t="s">
        <v>131</v>
      </c>
      <c r="J1585" s="9" t="s">
        <v>38801</v>
      </c>
      <c r="K1585" s="55">
        <v>45439.0</v>
      </c>
      <c r="M1585" s="9" t="s">
        <v>7823</v>
      </c>
    </row>
    <row r="1586" ht="15.75" hidden="1" customHeight="1">
      <c r="A1586" s="9" t="s">
        <v>41587</v>
      </c>
      <c r="B1586" s="9" t="s">
        <v>14449</v>
      </c>
      <c r="D1586" s="9" t="s">
        <v>12240</v>
      </c>
      <c r="F1586" s="9" t="s">
        <v>41588</v>
      </c>
      <c r="G1586" s="9" t="s">
        <v>38946</v>
      </c>
      <c r="H1586" s="127">
        <v>45439.0</v>
      </c>
      <c r="I1586" s="9" t="s">
        <v>131</v>
      </c>
      <c r="J1586" s="9" t="s">
        <v>38801</v>
      </c>
      <c r="K1586" s="55">
        <v>45555.0</v>
      </c>
      <c r="M1586" s="9" t="s">
        <v>10509</v>
      </c>
    </row>
    <row r="1587" ht="15.75" hidden="1" customHeight="1">
      <c r="A1587" s="9" t="s">
        <v>41589</v>
      </c>
      <c r="B1587" s="9" t="s">
        <v>18788</v>
      </c>
      <c r="D1587" s="9" t="s">
        <v>12240</v>
      </c>
      <c r="F1587" s="9" t="s">
        <v>41586</v>
      </c>
      <c r="G1587" s="9" t="s">
        <v>38946</v>
      </c>
      <c r="H1587" s="127">
        <v>45439.0</v>
      </c>
      <c r="I1587" s="9" t="s">
        <v>131</v>
      </c>
      <c r="J1587" s="9" t="s">
        <v>38801</v>
      </c>
      <c r="K1587" s="55">
        <v>45439.0</v>
      </c>
      <c r="M1587" s="9" t="s">
        <v>10427</v>
      </c>
    </row>
    <row r="1588" ht="15.75" hidden="1" customHeight="1">
      <c r="A1588" s="9" t="s">
        <v>41590</v>
      </c>
      <c r="B1588" s="9" t="s">
        <v>12553</v>
      </c>
      <c r="D1588" s="9" t="s">
        <v>12240</v>
      </c>
      <c r="F1588" s="9" t="s">
        <v>41586</v>
      </c>
      <c r="G1588" s="9" t="s">
        <v>38946</v>
      </c>
      <c r="H1588" s="127">
        <v>45439.0</v>
      </c>
      <c r="I1588" s="9" t="s">
        <v>131</v>
      </c>
      <c r="J1588" s="9" t="s">
        <v>38801</v>
      </c>
      <c r="K1588" s="55">
        <v>45439.0</v>
      </c>
      <c r="M1588" s="9" t="s">
        <v>3765</v>
      </c>
    </row>
    <row r="1589" ht="15.75" hidden="1" customHeight="1">
      <c r="A1589" s="9" t="s">
        <v>41591</v>
      </c>
      <c r="B1589" s="9" t="s">
        <v>17252</v>
      </c>
      <c r="D1589" s="9" t="s">
        <v>12240</v>
      </c>
      <c r="F1589" s="9" t="s">
        <v>41586</v>
      </c>
      <c r="G1589" s="9" t="s">
        <v>38946</v>
      </c>
      <c r="H1589" s="127">
        <v>45439.0</v>
      </c>
      <c r="I1589" s="9" t="s">
        <v>131</v>
      </c>
      <c r="J1589" s="9" t="s">
        <v>38801</v>
      </c>
      <c r="K1589" s="55">
        <v>45439.0</v>
      </c>
      <c r="M1589" s="9" t="s">
        <v>9039</v>
      </c>
    </row>
    <row r="1590" ht="15.75" hidden="1" customHeight="1">
      <c r="A1590" s="9" t="s">
        <v>41592</v>
      </c>
      <c r="B1590" s="9" t="s">
        <v>16748</v>
      </c>
      <c r="D1590" s="9" t="s">
        <v>12240</v>
      </c>
      <c r="F1590" s="9" t="s">
        <v>41586</v>
      </c>
      <c r="G1590" s="9" t="s">
        <v>38946</v>
      </c>
      <c r="H1590" s="127">
        <v>45439.0</v>
      </c>
      <c r="I1590" s="9" t="s">
        <v>131</v>
      </c>
      <c r="J1590" s="9" t="s">
        <v>38801</v>
      </c>
      <c r="K1590" s="55">
        <v>45439.0</v>
      </c>
      <c r="M1590" s="9" t="s">
        <v>12013</v>
      </c>
    </row>
    <row r="1591" ht="15.75" hidden="1" customHeight="1">
      <c r="A1591" s="9" t="s">
        <v>41593</v>
      </c>
      <c r="B1591" s="9" t="s">
        <v>17139</v>
      </c>
      <c r="D1591" s="9" t="s">
        <v>12240</v>
      </c>
      <c r="F1591" s="9" t="s">
        <v>41586</v>
      </c>
      <c r="G1591" s="9" t="s">
        <v>38946</v>
      </c>
      <c r="H1591" s="127">
        <v>45439.0</v>
      </c>
      <c r="I1591" s="9" t="s">
        <v>131</v>
      </c>
      <c r="J1591" s="9" t="s">
        <v>38801</v>
      </c>
      <c r="K1591" s="55">
        <v>45439.0</v>
      </c>
      <c r="M1591" s="9" t="s">
        <v>10552</v>
      </c>
    </row>
    <row r="1592" ht="15.75" hidden="1" customHeight="1">
      <c r="A1592" s="9" t="s">
        <v>41594</v>
      </c>
      <c r="B1592" s="9" t="s">
        <v>14691</v>
      </c>
      <c r="D1592" s="9" t="s">
        <v>12240</v>
      </c>
      <c r="F1592" s="9" t="s">
        <v>41595</v>
      </c>
      <c r="G1592" s="9" t="s">
        <v>38946</v>
      </c>
      <c r="H1592" s="127">
        <v>45439.0</v>
      </c>
      <c r="I1592" s="9" t="s">
        <v>131</v>
      </c>
      <c r="J1592" s="9" t="s">
        <v>38801</v>
      </c>
      <c r="K1592" s="55">
        <v>45439.0</v>
      </c>
      <c r="M1592" s="9" t="s">
        <v>249</v>
      </c>
    </row>
    <row r="1593" ht="15.75" hidden="1" customHeight="1">
      <c r="A1593" s="9" t="s">
        <v>41596</v>
      </c>
      <c r="B1593" s="9" t="s">
        <v>14535</v>
      </c>
      <c r="D1593" s="9" t="s">
        <v>12240</v>
      </c>
      <c r="F1593" s="9" t="s">
        <v>41595</v>
      </c>
      <c r="G1593" s="9" t="s">
        <v>38946</v>
      </c>
      <c r="H1593" s="127">
        <v>45439.0</v>
      </c>
      <c r="I1593" s="9" t="s">
        <v>131</v>
      </c>
      <c r="J1593" s="9" t="s">
        <v>38801</v>
      </c>
      <c r="K1593" s="55">
        <v>45439.0</v>
      </c>
      <c r="M1593" s="9" t="s">
        <v>9323</v>
      </c>
    </row>
    <row r="1594" ht="15.75" hidden="1" customHeight="1">
      <c r="A1594" s="9" t="s">
        <v>41597</v>
      </c>
      <c r="B1594" s="9" t="s">
        <v>19164</v>
      </c>
      <c r="D1594" s="9" t="s">
        <v>12240</v>
      </c>
      <c r="F1594" s="9" t="s">
        <v>41595</v>
      </c>
      <c r="G1594" s="9" t="s">
        <v>38946</v>
      </c>
      <c r="H1594" s="127">
        <v>45439.0</v>
      </c>
      <c r="I1594" s="9" t="s">
        <v>131</v>
      </c>
      <c r="J1594" s="9" t="s">
        <v>38801</v>
      </c>
      <c r="K1594" s="55">
        <v>45439.0</v>
      </c>
      <c r="M1594" s="9" t="s">
        <v>722</v>
      </c>
    </row>
    <row r="1595" ht="15.75" hidden="1" customHeight="1">
      <c r="A1595" s="9" t="s">
        <v>41598</v>
      </c>
      <c r="B1595" s="9" t="s">
        <v>22087</v>
      </c>
      <c r="D1595" s="9" t="s">
        <v>12236</v>
      </c>
      <c r="F1595" s="9" t="s">
        <v>41599</v>
      </c>
      <c r="G1595" s="9" t="s">
        <v>38946</v>
      </c>
      <c r="H1595" s="127">
        <v>45441.0</v>
      </c>
      <c r="I1595" s="9" t="s">
        <v>131</v>
      </c>
      <c r="J1595" s="9" t="s">
        <v>38801</v>
      </c>
      <c r="K1595" s="55">
        <v>45441.0</v>
      </c>
      <c r="M1595" s="9" t="s">
        <v>11398</v>
      </c>
    </row>
    <row r="1596" ht="15.75" hidden="1" customHeight="1">
      <c r="A1596" s="9" t="s">
        <v>41600</v>
      </c>
      <c r="B1596" s="9" t="s">
        <v>27053</v>
      </c>
      <c r="D1596" s="9" t="s">
        <v>12230</v>
      </c>
      <c r="F1596" s="9" t="s">
        <v>41601</v>
      </c>
      <c r="G1596" s="9" t="s">
        <v>38808</v>
      </c>
      <c r="H1596" s="127">
        <v>45442.0</v>
      </c>
      <c r="I1596" s="9" t="s">
        <v>47</v>
      </c>
      <c r="J1596" s="9" t="s">
        <v>38801</v>
      </c>
      <c r="K1596" s="55">
        <v>45490.0</v>
      </c>
      <c r="M1596" s="9" t="s">
        <v>11402</v>
      </c>
    </row>
    <row r="1597" ht="15.75" hidden="1" customHeight="1">
      <c r="A1597" s="9" t="s">
        <v>41602</v>
      </c>
      <c r="B1597" s="9" t="s">
        <v>12730</v>
      </c>
      <c r="D1597" s="9" t="s">
        <v>12230</v>
      </c>
      <c r="F1597" s="9" t="s">
        <v>41603</v>
      </c>
      <c r="G1597" s="9" t="s">
        <v>38946</v>
      </c>
      <c r="H1597" s="127">
        <v>45442.0</v>
      </c>
      <c r="I1597" s="9" t="s">
        <v>131</v>
      </c>
      <c r="J1597" s="9" t="s">
        <v>38801</v>
      </c>
      <c r="K1597" s="55">
        <v>45442.0</v>
      </c>
      <c r="M1597" s="9" t="s">
        <v>10287</v>
      </c>
    </row>
    <row r="1598" ht="15.75" hidden="1" customHeight="1">
      <c r="A1598" s="9" t="s">
        <v>41604</v>
      </c>
      <c r="B1598" s="9" t="s">
        <v>21955</v>
      </c>
      <c r="D1598" s="9" t="s">
        <v>12230</v>
      </c>
      <c r="F1598" s="9" t="s">
        <v>41605</v>
      </c>
      <c r="G1598" s="9" t="s">
        <v>38808</v>
      </c>
      <c r="H1598" s="127">
        <v>45443.0</v>
      </c>
      <c r="I1598" s="9" t="s">
        <v>47</v>
      </c>
      <c r="J1598" s="9" t="s">
        <v>38801</v>
      </c>
      <c r="K1598" s="55">
        <v>45460.0</v>
      </c>
      <c r="M1598" s="9" t="s">
        <v>11379</v>
      </c>
    </row>
    <row r="1599" ht="15.75" hidden="1" customHeight="1">
      <c r="A1599" s="9" t="s">
        <v>41606</v>
      </c>
      <c r="B1599" s="9" t="s">
        <v>17668</v>
      </c>
      <c r="D1599" s="9" t="s">
        <v>12258</v>
      </c>
      <c r="F1599" s="9" t="s">
        <v>41607</v>
      </c>
      <c r="G1599" s="9" t="s">
        <v>38808</v>
      </c>
      <c r="H1599" s="127">
        <v>45446.0</v>
      </c>
      <c r="I1599" s="9" t="s">
        <v>47</v>
      </c>
      <c r="J1599" s="9" t="s">
        <v>38801</v>
      </c>
      <c r="K1599" s="55">
        <v>45463.0</v>
      </c>
      <c r="M1599" s="9" t="s">
        <v>41608</v>
      </c>
    </row>
    <row r="1600" ht="15.75" hidden="1" customHeight="1">
      <c r="A1600" s="9" t="s">
        <v>41609</v>
      </c>
      <c r="B1600" s="9" t="s">
        <v>21673</v>
      </c>
      <c r="D1600" s="9" t="s">
        <v>12230</v>
      </c>
      <c r="F1600" s="9" t="s">
        <v>41610</v>
      </c>
      <c r="G1600" s="9" t="s">
        <v>38808</v>
      </c>
      <c r="H1600" s="127">
        <v>45448.0</v>
      </c>
      <c r="I1600" s="9" t="s">
        <v>47</v>
      </c>
      <c r="J1600" s="9" t="s">
        <v>38801</v>
      </c>
      <c r="K1600" s="55">
        <v>45448.0</v>
      </c>
      <c r="M1600" s="9" t="s">
        <v>9827</v>
      </c>
    </row>
    <row r="1601" ht="15.75" hidden="1" customHeight="1">
      <c r="A1601" s="9" t="s">
        <v>41611</v>
      </c>
      <c r="B1601" s="9" t="s">
        <v>13052</v>
      </c>
      <c r="D1601" s="9" t="s">
        <v>12246</v>
      </c>
      <c r="F1601" s="9" t="s">
        <v>41612</v>
      </c>
      <c r="G1601" s="9" t="s">
        <v>38946</v>
      </c>
      <c r="H1601" s="127">
        <v>45448.0</v>
      </c>
      <c r="I1601" s="9" t="s">
        <v>131</v>
      </c>
      <c r="J1601" s="9" t="s">
        <v>38801</v>
      </c>
      <c r="K1601" s="55">
        <v>46099.0</v>
      </c>
      <c r="M1601" s="9" t="s">
        <v>10079</v>
      </c>
    </row>
    <row r="1602" ht="15.75" hidden="1" customHeight="1">
      <c r="A1602" s="9" t="s">
        <v>41613</v>
      </c>
      <c r="B1602" s="9" t="s">
        <v>15404</v>
      </c>
      <c r="D1602" s="9" t="s">
        <v>12254</v>
      </c>
      <c r="F1602" s="9" t="s">
        <v>41614</v>
      </c>
      <c r="G1602" s="9" t="s">
        <v>38946</v>
      </c>
      <c r="H1602" s="127">
        <v>45448.0</v>
      </c>
      <c r="I1602" s="9" t="s">
        <v>101</v>
      </c>
      <c r="J1602" s="9" t="s">
        <v>38801</v>
      </c>
      <c r="K1602" s="55">
        <v>45463.0</v>
      </c>
      <c r="M1602" s="9" t="s">
        <v>3436</v>
      </c>
    </row>
    <row r="1603" ht="15.75" hidden="1" customHeight="1">
      <c r="A1603" s="9" t="s">
        <v>41615</v>
      </c>
      <c r="B1603" s="9" t="s">
        <v>16522</v>
      </c>
      <c r="D1603" s="9" t="s">
        <v>12254</v>
      </c>
      <c r="F1603" s="9" t="s">
        <v>41616</v>
      </c>
      <c r="G1603" s="9" t="s">
        <v>38946</v>
      </c>
      <c r="H1603" s="127">
        <v>45448.0</v>
      </c>
      <c r="I1603" s="9" t="s">
        <v>131</v>
      </c>
      <c r="J1603" s="9" t="s">
        <v>38801</v>
      </c>
      <c r="K1603" s="55">
        <v>45448.0</v>
      </c>
      <c r="M1603" s="9" t="s">
        <v>12016</v>
      </c>
    </row>
    <row r="1604" ht="15.75" hidden="1" customHeight="1">
      <c r="A1604" s="9" t="s">
        <v>41617</v>
      </c>
      <c r="B1604" s="9" t="s">
        <v>16417</v>
      </c>
      <c r="D1604" s="9" t="s">
        <v>12254</v>
      </c>
      <c r="F1604" s="9" t="s">
        <v>41616</v>
      </c>
      <c r="G1604" s="9" t="s">
        <v>38946</v>
      </c>
      <c r="H1604" s="127">
        <v>45448.0</v>
      </c>
      <c r="I1604" s="9" t="s">
        <v>131</v>
      </c>
      <c r="J1604" s="9" t="s">
        <v>38801</v>
      </c>
      <c r="K1604" s="55">
        <v>45448.0</v>
      </c>
      <c r="M1604" s="9" t="s">
        <v>3233</v>
      </c>
    </row>
    <row r="1605" ht="15.75" hidden="1" customHeight="1">
      <c r="A1605" s="9" t="s">
        <v>41618</v>
      </c>
      <c r="B1605" s="9" t="s">
        <v>19230</v>
      </c>
      <c r="D1605" s="9" t="s">
        <v>12254</v>
      </c>
      <c r="F1605" s="9" t="s">
        <v>41616</v>
      </c>
      <c r="G1605" s="9" t="s">
        <v>38946</v>
      </c>
      <c r="H1605" s="127">
        <v>45448.0</v>
      </c>
      <c r="I1605" s="9" t="s">
        <v>131</v>
      </c>
      <c r="J1605" s="9" t="s">
        <v>38801</v>
      </c>
      <c r="K1605" s="55">
        <v>45448.0</v>
      </c>
      <c r="M1605" s="9" t="s">
        <v>11788</v>
      </c>
    </row>
    <row r="1606" ht="15.75" hidden="1" customHeight="1">
      <c r="A1606" s="9" t="s">
        <v>41619</v>
      </c>
      <c r="B1606" s="9" t="s">
        <v>14110</v>
      </c>
      <c r="D1606" s="9" t="s">
        <v>12254</v>
      </c>
      <c r="F1606" s="9" t="s">
        <v>41616</v>
      </c>
      <c r="G1606" s="9" t="s">
        <v>38946</v>
      </c>
      <c r="H1606" s="127">
        <v>45448.0</v>
      </c>
      <c r="I1606" s="9" t="s">
        <v>131</v>
      </c>
      <c r="J1606" s="9" t="s">
        <v>38801</v>
      </c>
      <c r="K1606" s="55">
        <v>45448.0</v>
      </c>
      <c r="M1606" s="9" t="s">
        <v>269</v>
      </c>
    </row>
    <row r="1607" ht="15.75" hidden="1" customHeight="1">
      <c r="A1607" s="9" t="s">
        <v>41620</v>
      </c>
      <c r="B1607" s="9" t="s">
        <v>17632</v>
      </c>
      <c r="D1607" s="9" t="s">
        <v>12254</v>
      </c>
      <c r="F1607" s="9" t="s">
        <v>41616</v>
      </c>
      <c r="G1607" s="9" t="s">
        <v>38946</v>
      </c>
      <c r="H1607" s="127">
        <v>45448.0</v>
      </c>
      <c r="I1607" s="9" t="s">
        <v>131</v>
      </c>
      <c r="J1607" s="9" t="s">
        <v>38801</v>
      </c>
      <c r="K1607" s="55">
        <v>45448.0</v>
      </c>
      <c r="M1607" s="9" t="s">
        <v>10567</v>
      </c>
    </row>
    <row r="1608" ht="15.75" hidden="1" customHeight="1">
      <c r="A1608" s="9" t="s">
        <v>41621</v>
      </c>
      <c r="B1608" s="9" t="s">
        <v>17632</v>
      </c>
      <c r="D1608" s="9" t="s">
        <v>12254</v>
      </c>
      <c r="F1608" s="9" t="s">
        <v>41616</v>
      </c>
      <c r="G1608" s="9" t="s">
        <v>38946</v>
      </c>
      <c r="H1608" s="127">
        <v>45448.0</v>
      </c>
      <c r="I1608" s="9" t="s">
        <v>131</v>
      </c>
      <c r="J1608" s="9" t="s">
        <v>38801</v>
      </c>
      <c r="K1608" s="55">
        <v>45463.0</v>
      </c>
      <c r="M1608" s="9" t="s">
        <v>10567</v>
      </c>
    </row>
    <row r="1609" ht="15.75" hidden="1" customHeight="1">
      <c r="A1609" s="9" t="s">
        <v>41622</v>
      </c>
      <c r="B1609" s="9" t="s">
        <v>15718</v>
      </c>
      <c r="D1609" s="9" t="s">
        <v>12254</v>
      </c>
      <c r="F1609" s="9" t="s">
        <v>41616</v>
      </c>
      <c r="G1609" s="9" t="s">
        <v>38946</v>
      </c>
      <c r="H1609" s="127">
        <v>45448.0</v>
      </c>
      <c r="I1609" s="9" t="s">
        <v>131</v>
      </c>
      <c r="J1609" s="9" t="s">
        <v>38801</v>
      </c>
      <c r="K1609" s="55">
        <v>45448.0</v>
      </c>
      <c r="M1609" s="9" t="s">
        <v>270</v>
      </c>
    </row>
    <row r="1610" ht="15.75" hidden="1" customHeight="1">
      <c r="A1610" s="9" t="s">
        <v>41623</v>
      </c>
      <c r="B1610" s="9" t="s">
        <v>19789</v>
      </c>
      <c r="D1610" s="9" t="s">
        <v>12254</v>
      </c>
      <c r="F1610" s="9" t="s">
        <v>41616</v>
      </c>
      <c r="G1610" s="9" t="s">
        <v>38946</v>
      </c>
      <c r="H1610" s="127">
        <v>45448.0</v>
      </c>
      <c r="I1610" s="9" t="s">
        <v>131</v>
      </c>
      <c r="J1610" s="9" t="s">
        <v>38801</v>
      </c>
      <c r="K1610" s="55">
        <v>45448.0</v>
      </c>
      <c r="M1610" s="9" t="s">
        <v>5119</v>
      </c>
    </row>
    <row r="1611" ht="15.75" hidden="1" customHeight="1">
      <c r="A1611" s="9" t="s">
        <v>41624</v>
      </c>
      <c r="B1611" s="9" t="s">
        <v>14549</v>
      </c>
      <c r="D1611" s="9" t="s">
        <v>12254</v>
      </c>
      <c r="F1611" s="9" t="s">
        <v>41616</v>
      </c>
      <c r="G1611" s="9" t="s">
        <v>38946</v>
      </c>
      <c r="H1611" s="127">
        <v>45448.0</v>
      </c>
      <c r="I1611" s="9" t="s">
        <v>131</v>
      </c>
      <c r="J1611" s="9" t="s">
        <v>38801</v>
      </c>
      <c r="K1611" s="55">
        <v>45448.0</v>
      </c>
      <c r="M1611" s="9" t="s">
        <v>255</v>
      </c>
    </row>
    <row r="1612" ht="15.75" hidden="1" customHeight="1">
      <c r="A1612" s="9" t="s">
        <v>41625</v>
      </c>
      <c r="B1612" s="9" t="s">
        <v>23271</v>
      </c>
      <c r="D1612" s="9" t="s">
        <v>12254</v>
      </c>
      <c r="F1612" s="9" t="s">
        <v>41616</v>
      </c>
      <c r="G1612" s="9" t="s">
        <v>38946</v>
      </c>
      <c r="H1612" s="127">
        <v>45448.0</v>
      </c>
      <c r="I1612" s="9" t="s">
        <v>131</v>
      </c>
      <c r="J1612" s="9" t="s">
        <v>38801</v>
      </c>
      <c r="K1612" s="55">
        <v>45448.0</v>
      </c>
      <c r="M1612" s="9" t="s">
        <v>23262</v>
      </c>
    </row>
    <row r="1613" ht="15.75" hidden="1" customHeight="1">
      <c r="A1613" s="9" t="s">
        <v>41626</v>
      </c>
      <c r="B1613" s="9" t="s">
        <v>15404</v>
      </c>
      <c r="D1613" s="9" t="s">
        <v>12254</v>
      </c>
      <c r="F1613" s="9" t="s">
        <v>41627</v>
      </c>
      <c r="G1613" s="9" t="s">
        <v>38946</v>
      </c>
      <c r="H1613" s="127">
        <v>45448.0</v>
      </c>
      <c r="I1613" s="9" t="s">
        <v>131</v>
      </c>
      <c r="J1613" s="9" t="s">
        <v>38801</v>
      </c>
      <c r="K1613" s="55">
        <v>45448.0</v>
      </c>
      <c r="M1613" s="9" t="s">
        <v>3436</v>
      </c>
    </row>
    <row r="1614" ht="15.75" hidden="1" customHeight="1">
      <c r="A1614" s="9" t="s">
        <v>41628</v>
      </c>
      <c r="B1614" s="9" t="s">
        <v>13291</v>
      </c>
      <c r="D1614" s="9" t="s">
        <v>12254</v>
      </c>
      <c r="F1614" s="9" t="s">
        <v>41627</v>
      </c>
      <c r="G1614" s="9" t="s">
        <v>38946</v>
      </c>
      <c r="H1614" s="127">
        <v>45448.0</v>
      </c>
      <c r="I1614" s="9" t="s">
        <v>131</v>
      </c>
      <c r="J1614" s="9" t="s">
        <v>38801</v>
      </c>
      <c r="K1614" s="55">
        <v>45448.0</v>
      </c>
      <c r="M1614" s="9" t="s">
        <v>252</v>
      </c>
    </row>
    <row r="1615" ht="15.75" hidden="1" customHeight="1">
      <c r="A1615" s="9" t="s">
        <v>41629</v>
      </c>
      <c r="B1615" s="9" t="s">
        <v>15940</v>
      </c>
      <c r="D1615" s="9" t="s">
        <v>12254</v>
      </c>
      <c r="F1615" s="9" t="s">
        <v>41627</v>
      </c>
      <c r="G1615" s="9" t="s">
        <v>38946</v>
      </c>
      <c r="H1615" s="127">
        <v>45448.0</v>
      </c>
      <c r="I1615" s="9" t="s">
        <v>131</v>
      </c>
      <c r="J1615" s="9" t="s">
        <v>38801</v>
      </c>
      <c r="K1615" s="55">
        <v>45448.0</v>
      </c>
      <c r="M1615" s="9" t="s">
        <v>268</v>
      </c>
    </row>
    <row r="1616" ht="15.75" hidden="1" customHeight="1">
      <c r="A1616" s="9" t="s">
        <v>41630</v>
      </c>
      <c r="B1616" s="9" t="s">
        <v>19230</v>
      </c>
      <c r="D1616" s="9" t="s">
        <v>12254</v>
      </c>
      <c r="F1616" s="9" t="s">
        <v>41631</v>
      </c>
      <c r="G1616" s="9" t="s">
        <v>38946</v>
      </c>
      <c r="H1616" s="127">
        <v>45448.0</v>
      </c>
      <c r="I1616" s="9" t="s">
        <v>131</v>
      </c>
      <c r="J1616" s="9" t="s">
        <v>38801</v>
      </c>
      <c r="K1616" s="55">
        <v>45448.0</v>
      </c>
      <c r="M1616" s="9" t="s">
        <v>11788</v>
      </c>
    </row>
    <row r="1617" ht="15.75" hidden="1" customHeight="1">
      <c r="A1617" s="9" t="s">
        <v>41632</v>
      </c>
      <c r="B1617" s="9" t="s">
        <v>19817</v>
      </c>
      <c r="D1617" s="9" t="s">
        <v>12254</v>
      </c>
      <c r="F1617" s="9" t="s">
        <v>41631</v>
      </c>
      <c r="G1617" s="9" t="s">
        <v>38946</v>
      </c>
      <c r="H1617" s="127">
        <v>45448.0</v>
      </c>
      <c r="I1617" s="9" t="s">
        <v>131</v>
      </c>
      <c r="J1617" s="9" t="s">
        <v>38801</v>
      </c>
      <c r="K1617" s="55">
        <v>45448.0</v>
      </c>
      <c r="M1617" s="9" t="s">
        <v>9030</v>
      </c>
    </row>
    <row r="1618" ht="15.75" hidden="1" customHeight="1">
      <c r="A1618" s="9" t="s">
        <v>41633</v>
      </c>
      <c r="B1618" s="9" t="s">
        <v>15718</v>
      </c>
      <c r="D1618" s="9" t="s">
        <v>12254</v>
      </c>
      <c r="F1618" s="9" t="s">
        <v>41634</v>
      </c>
      <c r="G1618" s="9" t="s">
        <v>38808</v>
      </c>
      <c r="H1618" s="127">
        <v>45449.0</v>
      </c>
      <c r="I1618" s="9" t="s">
        <v>101</v>
      </c>
      <c r="J1618" s="9" t="s">
        <v>38801</v>
      </c>
      <c r="K1618" s="55">
        <v>45463.0</v>
      </c>
      <c r="M1618" s="9" t="s">
        <v>270</v>
      </c>
    </row>
    <row r="1619" ht="15.75" hidden="1" customHeight="1">
      <c r="A1619" s="9" t="s">
        <v>41635</v>
      </c>
      <c r="B1619" s="9" t="s">
        <v>22104</v>
      </c>
      <c r="D1619" s="9" t="s">
        <v>12236</v>
      </c>
      <c r="F1619" s="9" t="s">
        <v>41636</v>
      </c>
      <c r="G1619" s="9" t="s">
        <v>38946</v>
      </c>
      <c r="H1619" s="127">
        <v>45450.0</v>
      </c>
      <c r="I1619" s="9" t="s">
        <v>47</v>
      </c>
      <c r="J1619" s="9" t="s">
        <v>38801</v>
      </c>
      <c r="K1619" s="55">
        <v>45453.0</v>
      </c>
      <c r="M1619" s="9" t="s">
        <v>11400</v>
      </c>
    </row>
    <row r="1620" ht="15.75" hidden="1" customHeight="1">
      <c r="A1620" s="9" t="s">
        <v>41637</v>
      </c>
      <c r="B1620" s="9" t="s">
        <v>22104</v>
      </c>
      <c r="D1620" s="9" t="s">
        <v>12239</v>
      </c>
      <c r="F1620" s="9" t="s">
        <v>41638</v>
      </c>
      <c r="G1620" s="9" t="s">
        <v>38946</v>
      </c>
      <c r="H1620" s="127">
        <v>45450.0</v>
      </c>
      <c r="I1620" s="9" t="s">
        <v>47</v>
      </c>
      <c r="J1620" s="9" t="s">
        <v>38801</v>
      </c>
      <c r="K1620" s="55">
        <v>45470.0</v>
      </c>
      <c r="M1620" s="9" t="s">
        <v>11400</v>
      </c>
    </row>
    <row r="1621" ht="15.75" hidden="1" customHeight="1">
      <c r="A1621" s="9" t="s">
        <v>41639</v>
      </c>
      <c r="B1621" s="9" t="s">
        <v>13425</v>
      </c>
      <c r="D1621" s="9" t="s">
        <v>12224</v>
      </c>
      <c r="F1621" s="9" t="s">
        <v>41640</v>
      </c>
      <c r="G1621" s="9" t="s">
        <v>38808</v>
      </c>
      <c r="H1621" s="127">
        <v>45453.0</v>
      </c>
      <c r="I1621" s="9" t="s">
        <v>47</v>
      </c>
      <c r="J1621" s="9" t="s">
        <v>38801</v>
      </c>
      <c r="K1621" s="55">
        <v>45453.0</v>
      </c>
      <c r="M1621" s="9" t="s">
        <v>10332</v>
      </c>
    </row>
    <row r="1622" ht="15.75" hidden="1" customHeight="1">
      <c r="A1622" s="9" t="s">
        <v>41641</v>
      </c>
      <c r="B1622" s="9" t="s">
        <v>12972</v>
      </c>
      <c r="D1622" s="9" t="s">
        <v>12248</v>
      </c>
      <c r="F1622" s="9" t="s">
        <v>41642</v>
      </c>
      <c r="G1622" s="9" t="s">
        <v>38946</v>
      </c>
      <c r="H1622" s="127">
        <v>45453.0</v>
      </c>
      <c r="I1622" s="9" t="s">
        <v>131</v>
      </c>
      <c r="J1622" s="9" t="s">
        <v>38801</v>
      </c>
      <c r="K1622" s="55">
        <v>46099.0</v>
      </c>
      <c r="M1622" s="9" t="s">
        <v>1707</v>
      </c>
    </row>
    <row r="1623" ht="15.75" hidden="1" customHeight="1">
      <c r="A1623" s="9" t="s">
        <v>41643</v>
      </c>
      <c r="B1623" s="9" t="s">
        <v>12480</v>
      </c>
      <c r="D1623" s="9" t="s">
        <v>12230</v>
      </c>
      <c r="F1623" s="9" t="s">
        <v>41644</v>
      </c>
      <c r="G1623" s="9" t="s">
        <v>38808</v>
      </c>
      <c r="H1623" s="127">
        <v>45453.0</v>
      </c>
      <c r="I1623" s="9" t="s">
        <v>131</v>
      </c>
      <c r="J1623" s="9" t="s">
        <v>38801</v>
      </c>
      <c r="K1623" s="55">
        <v>45453.0</v>
      </c>
      <c r="M1623" s="9" t="s">
        <v>10276</v>
      </c>
    </row>
    <row r="1624" ht="15.75" hidden="1" customHeight="1">
      <c r="A1624" s="9" t="s">
        <v>41645</v>
      </c>
      <c r="B1624" s="9" t="s">
        <v>19230</v>
      </c>
      <c r="D1624" s="9" t="s">
        <v>12240</v>
      </c>
      <c r="F1624" s="9" t="s">
        <v>41595</v>
      </c>
      <c r="G1624" s="9" t="s">
        <v>38946</v>
      </c>
      <c r="H1624" s="127">
        <v>45453.0</v>
      </c>
      <c r="I1624" s="9" t="s">
        <v>131</v>
      </c>
      <c r="J1624" s="9" t="s">
        <v>38801</v>
      </c>
      <c r="K1624" s="55">
        <v>45453.0</v>
      </c>
      <c r="M1624" s="9" t="s">
        <v>11788</v>
      </c>
    </row>
    <row r="1625" ht="15.75" hidden="1" customHeight="1">
      <c r="A1625" s="9" t="s">
        <v>41646</v>
      </c>
      <c r="B1625" s="9" t="s">
        <v>15833</v>
      </c>
      <c r="D1625" s="9" t="s">
        <v>12240</v>
      </c>
      <c r="F1625" s="9" t="s">
        <v>41647</v>
      </c>
      <c r="G1625" s="9" t="s">
        <v>38946</v>
      </c>
      <c r="H1625" s="127">
        <v>45453.0</v>
      </c>
      <c r="I1625" s="9" t="s">
        <v>131</v>
      </c>
      <c r="J1625" s="9" t="s">
        <v>38801</v>
      </c>
      <c r="K1625" s="55">
        <v>45555.0</v>
      </c>
      <c r="M1625" s="9" t="s">
        <v>8502</v>
      </c>
    </row>
    <row r="1626" ht="15.75" hidden="1" customHeight="1">
      <c r="A1626" s="9" t="s">
        <v>41648</v>
      </c>
      <c r="B1626" s="9" t="s">
        <v>20134</v>
      </c>
      <c r="D1626" s="9" t="s">
        <v>12240</v>
      </c>
      <c r="F1626" s="9" t="s">
        <v>41649</v>
      </c>
      <c r="G1626" s="9" t="s">
        <v>38946</v>
      </c>
      <c r="H1626" s="127">
        <v>45453.0</v>
      </c>
      <c r="I1626" s="9" t="s">
        <v>131</v>
      </c>
      <c r="J1626" s="9" t="s">
        <v>38801</v>
      </c>
      <c r="K1626" s="55">
        <v>45555.0</v>
      </c>
      <c r="M1626" s="9" t="s">
        <v>5808</v>
      </c>
    </row>
    <row r="1627" ht="15.75" hidden="1" customHeight="1">
      <c r="A1627" s="9" t="s">
        <v>41650</v>
      </c>
      <c r="B1627" s="9" t="s">
        <v>26104</v>
      </c>
      <c r="D1627" s="9" t="s">
        <v>12240</v>
      </c>
      <c r="F1627" s="9" t="s">
        <v>41651</v>
      </c>
      <c r="G1627" s="9" t="s">
        <v>38946</v>
      </c>
      <c r="H1627" s="127">
        <v>45453.0</v>
      </c>
      <c r="I1627" s="9" t="s">
        <v>131</v>
      </c>
      <c r="J1627" s="9" t="s">
        <v>38801</v>
      </c>
      <c r="K1627" s="55">
        <v>45453.0</v>
      </c>
      <c r="M1627" s="9" t="s">
        <v>234</v>
      </c>
    </row>
    <row r="1628" ht="15.75" hidden="1" customHeight="1">
      <c r="A1628" s="9" t="s">
        <v>41652</v>
      </c>
      <c r="B1628" s="9" t="s">
        <v>13212</v>
      </c>
      <c r="D1628" s="9" t="s">
        <v>12240</v>
      </c>
      <c r="F1628" s="9" t="s">
        <v>41651</v>
      </c>
      <c r="G1628" s="9" t="s">
        <v>38946</v>
      </c>
      <c r="H1628" s="127">
        <v>45453.0</v>
      </c>
      <c r="I1628" s="9" t="s">
        <v>131</v>
      </c>
      <c r="J1628" s="9" t="s">
        <v>38801</v>
      </c>
      <c r="K1628" s="55">
        <v>45453.0</v>
      </c>
      <c r="M1628" s="9" t="s">
        <v>10320</v>
      </c>
    </row>
    <row r="1629" ht="15.75" hidden="1" customHeight="1">
      <c r="A1629" s="9" t="s">
        <v>41653</v>
      </c>
      <c r="B1629" s="9" t="s">
        <v>19509</v>
      </c>
      <c r="D1629" s="9" t="s">
        <v>12240</v>
      </c>
      <c r="F1629" s="9" t="s">
        <v>41654</v>
      </c>
      <c r="G1629" s="9" t="s">
        <v>38946</v>
      </c>
      <c r="H1629" s="127">
        <v>45453.0</v>
      </c>
      <c r="I1629" s="9" t="s">
        <v>131</v>
      </c>
      <c r="J1629" s="9" t="s">
        <v>38801</v>
      </c>
      <c r="K1629" s="55">
        <v>45453.0</v>
      </c>
      <c r="M1629" s="9" t="s">
        <v>3606</v>
      </c>
    </row>
    <row r="1630" ht="15.75" hidden="1" customHeight="1">
      <c r="A1630" s="9" t="s">
        <v>41655</v>
      </c>
      <c r="B1630" s="9" t="s">
        <v>15848</v>
      </c>
      <c r="D1630" s="9" t="s">
        <v>12240</v>
      </c>
      <c r="F1630" s="9" t="s">
        <v>41651</v>
      </c>
      <c r="G1630" s="9" t="s">
        <v>38946</v>
      </c>
      <c r="H1630" s="127">
        <v>45453.0</v>
      </c>
      <c r="I1630" s="9" t="s">
        <v>131</v>
      </c>
      <c r="J1630" s="9" t="s">
        <v>38801</v>
      </c>
      <c r="K1630" s="55">
        <v>45555.0</v>
      </c>
      <c r="M1630" s="9" t="s">
        <v>263</v>
      </c>
    </row>
    <row r="1631" ht="15.75" hidden="1" customHeight="1">
      <c r="A1631" s="9" t="s">
        <v>41656</v>
      </c>
      <c r="B1631" s="9" t="s">
        <v>18390</v>
      </c>
      <c r="D1631" s="9" t="s">
        <v>12240</v>
      </c>
      <c r="F1631" s="9" t="s">
        <v>41651</v>
      </c>
      <c r="G1631" s="9" t="s">
        <v>38946</v>
      </c>
      <c r="H1631" s="127">
        <v>45453.0</v>
      </c>
      <c r="I1631" s="9" t="s">
        <v>131</v>
      </c>
      <c r="J1631" s="9" t="s">
        <v>38801</v>
      </c>
      <c r="K1631" s="55">
        <v>45453.0</v>
      </c>
      <c r="M1631" s="9" t="s">
        <v>11884</v>
      </c>
    </row>
    <row r="1632" ht="15.75" hidden="1" customHeight="1">
      <c r="A1632" s="9" t="s">
        <v>41657</v>
      </c>
      <c r="B1632" s="9" t="s">
        <v>12545</v>
      </c>
      <c r="D1632" s="9" t="s">
        <v>12240</v>
      </c>
      <c r="F1632" s="9" t="s">
        <v>41651</v>
      </c>
      <c r="G1632" s="9" t="s">
        <v>38946</v>
      </c>
      <c r="H1632" s="127">
        <v>45453.0</v>
      </c>
      <c r="I1632" s="9" t="s">
        <v>131</v>
      </c>
      <c r="J1632" s="9" t="s">
        <v>38801</v>
      </c>
      <c r="K1632" s="55">
        <v>45453.0</v>
      </c>
      <c r="M1632" s="9" t="s">
        <v>2496</v>
      </c>
    </row>
    <row r="1633" ht="15.75" hidden="1" customHeight="1">
      <c r="A1633" s="9" t="s">
        <v>41658</v>
      </c>
      <c r="B1633" s="9" t="s">
        <v>17311</v>
      </c>
      <c r="D1633" s="9" t="s">
        <v>12240</v>
      </c>
      <c r="F1633" s="9" t="s">
        <v>41659</v>
      </c>
      <c r="G1633" s="9" t="s">
        <v>38946</v>
      </c>
      <c r="H1633" s="127">
        <v>45453.0</v>
      </c>
      <c r="I1633" s="9" t="s">
        <v>131</v>
      </c>
      <c r="J1633" s="9" t="s">
        <v>38801</v>
      </c>
      <c r="K1633" s="55">
        <v>45453.0</v>
      </c>
      <c r="M1633" s="9" t="s">
        <v>267</v>
      </c>
    </row>
    <row r="1634" ht="15.75" hidden="1" customHeight="1">
      <c r="A1634" s="9" t="s">
        <v>41660</v>
      </c>
      <c r="B1634" s="9" t="s">
        <v>19760</v>
      </c>
      <c r="D1634" s="9" t="s">
        <v>12240</v>
      </c>
      <c r="F1634" s="9" t="s">
        <v>41661</v>
      </c>
      <c r="G1634" s="9" t="s">
        <v>38946</v>
      </c>
      <c r="H1634" s="127">
        <v>45453.0</v>
      </c>
      <c r="I1634" s="9" t="s">
        <v>131</v>
      </c>
      <c r="J1634" s="9" t="s">
        <v>38801</v>
      </c>
      <c r="K1634" s="55">
        <v>45453.0</v>
      </c>
      <c r="M1634" s="9" t="s">
        <v>5718</v>
      </c>
    </row>
    <row r="1635" ht="15.75" hidden="1" customHeight="1">
      <c r="A1635" s="9" t="s">
        <v>41662</v>
      </c>
      <c r="B1635" s="9" t="s">
        <v>16659</v>
      </c>
      <c r="D1635" s="9" t="s">
        <v>12240</v>
      </c>
      <c r="F1635" s="9" t="s">
        <v>41659</v>
      </c>
      <c r="G1635" s="9" t="s">
        <v>38946</v>
      </c>
      <c r="H1635" s="127">
        <v>45453.0</v>
      </c>
      <c r="I1635" s="9" t="s">
        <v>131</v>
      </c>
      <c r="J1635" s="9" t="s">
        <v>38801</v>
      </c>
      <c r="K1635" s="55">
        <v>45453.0</v>
      </c>
      <c r="M1635" s="9" t="s">
        <v>688</v>
      </c>
    </row>
    <row r="1636" ht="15.75" hidden="1" customHeight="1">
      <c r="A1636" s="9" t="s">
        <v>41663</v>
      </c>
      <c r="B1636" s="9" t="s">
        <v>15039</v>
      </c>
      <c r="D1636" s="9" t="s">
        <v>12240</v>
      </c>
      <c r="F1636" s="9" t="s">
        <v>41664</v>
      </c>
      <c r="G1636" s="9" t="s">
        <v>38946</v>
      </c>
      <c r="H1636" s="127">
        <v>45453.0</v>
      </c>
      <c r="I1636" s="9" t="s">
        <v>131</v>
      </c>
      <c r="J1636" s="9" t="s">
        <v>38801</v>
      </c>
      <c r="K1636" s="55">
        <v>45453.0</v>
      </c>
      <c r="M1636" s="9" t="s">
        <v>2944</v>
      </c>
    </row>
    <row r="1637" ht="15.75" hidden="1" customHeight="1">
      <c r="A1637" s="9" t="s">
        <v>41665</v>
      </c>
      <c r="B1637" s="9" t="s">
        <v>14964</v>
      </c>
      <c r="D1637" s="9" t="s">
        <v>12240</v>
      </c>
      <c r="F1637" s="9" t="s">
        <v>41659</v>
      </c>
      <c r="G1637" s="9" t="s">
        <v>38946</v>
      </c>
      <c r="H1637" s="127">
        <v>45453.0</v>
      </c>
      <c r="I1637" s="9" t="s">
        <v>131</v>
      </c>
      <c r="J1637" s="9" t="s">
        <v>38801</v>
      </c>
      <c r="K1637" s="55">
        <v>45453.0</v>
      </c>
      <c r="M1637" s="9" t="s">
        <v>9724</v>
      </c>
    </row>
    <row r="1638" ht="15.75" hidden="1" customHeight="1">
      <c r="A1638" s="9" t="s">
        <v>41666</v>
      </c>
      <c r="B1638" s="9" t="s">
        <v>18989</v>
      </c>
      <c r="D1638" s="9" t="s">
        <v>12240</v>
      </c>
      <c r="F1638" s="9" t="s">
        <v>41667</v>
      </c>
      <c r="G1638" s="9" t="s">
        <v>38946</v>
      </c>
      <c r="H1638" s="127">
        <v>45453.0</v>
      </c>
      <c r="I1638" s="9" t="s">
        <v>131</v>
      </c>
      <c r="J1638" s="9" t="s">
        <v>38801</v>
      </c>
      <c r="K1638" s="55">
        <v>45555.0</v>
      </c>
      <c r="M1638" s="9" t="s">
        <v>5067</v>
      </c>
    </row>
    <row r="1639" ht="15.75" hidden="1" customHeight="1">
      <c r="A1639" s="9" t="s">
        <v>41668</v>
      </c>
      <c r="B1639" s="9" t="s">
        <v>12379</v>
      </c>
      <c r="D1639" s="9" t="s">
        <v>12240</v>
      </c>
      <c r="F1639" s="9" t="s">
        <v>41669</v>
      </c>
      <c r="G1639" s="9" t="s">
        <v>38946</v>
      </c>
      <c r="H1639" s="127">
        <v>45453.0</v>
      </c>
      <c r="I1639" s="9" t="s">
        <v>131</v>
      </c>
      <c r="J1639" s="9" t="s">
        <v>38801</v>
      </c>
      <c r="K1639" s="55">
        <v>45453.0</v>
      </c>
      <c r="M1639" s="9" t="s">
        <v>9048</v>
      </c>
    </row>
    <row r="1640" ht="15.75" hidden="1" customHeight="1">
      <c r="A1640" s="9" t="s">
        <v>41670</v>
      </c>
      <c r="B1640" s="9" t="s">
        <v>19673</v>
      </c>
      <c r="D1640" s="9" t="s">
        <v>12240</v>
      </c>
      <c r="F1640" s="9" t="s">
        <v>41671</v>
      </c>
      <c r="G1640" s="9" t="s">
        <v>38946</v>
      </c>
      <c r="H1640" s="127">
        <v>45453.0</v>
      </c>
      <c r="I1640" s="9" t="s">
        <v>131</v>
      </c>
      <c r="J1640" s="9" t="s">
        <v>38801</v>
      </c>
      <c r="K1640" s="55">
        <v>45453.0</v>
      </c>
      <c r="M1640" s="9" t="s">
        <v>11849</v>
      </c>
    </row>
    <row r="1641" ht="15.75" hidden="1" customHeight="1">
      <c r="A1641" s="9" t="s">
        <v>41672</v>
      </c>
      <c r="B1641" s="52" t="s">
        <v>22172</v>
      </c>
      <c r="D1641" s="9" t="s">
        <v>12239</v>
      </c>
      <c r="F1641" s="9" t="s">
        <v>41382</v>
      </c>
      <c r="G1641" s="9" t="s">
        <v>38946</v>
      </c>
      <c r="H1641" s="127">
        <v>45454.0</v>
      </c>
      <c r="I1641" s="9" t="s">
        <v>131</v>
      </c>
      <c r="J1641" s="9" t="s">
        <v>38801</v>
      </c>
      <c r="K1641" s="55">
        <v>45470.0</v>
      </c>
      <c r="M1641" s="9" t="s">
        <v>11409</v>
      </c>
    </row>
    <row r="1642" ht="15.75" hidden="1" customHeight="1">
      <c r="A1642" s="9" t="s">
        <v>41673</v>
      </c>
      <c r="B1642" s="52" t="s">
        <v>22172</v>
      </c>
      <c r="D1642" s="9" t="s">
        <v>12236</v>
      </c>
      <c r="F1642" s="9" t="s">
        <v>41674</v>
      </c>
      <c r="G1642" s="9" t="s">
        <v>38946</v>
      </c>
      <c r="H1642" s="127">
        <v>45454.0</v>
      </c>
      <c r="I1642" s="9" t="s">
        <v>131</v>
      </c>
      <c r="J1642" s="9" t="s">
        <v>38801</v>
      </c>
      <c r="K1642" s="55">
        <v>45454.0</v>
      </c>
      <c r="M1642" s="9" t="s">
        <v>11409</v>
      </c>
    </row>
    <row r="1643" ht="15.75" hidden="1" customHeight="1">
      <c r="A1643" s="9" t="s">
        <v>41675</v>
      </c>
      <c r="B1643" s="9" t="s">
        <v>27059</v>
      </c>
      <c r="D1643" s="9" t="s">
        <v>12230</v>
      </c>
      <c r="F1643" s="9" t="s">
        <v>39790</v>
      </c>
      <c r="G1643" s="9" t="s">
        <v>38946</v>
      </c>
      <c r="H1643" s="127">
        <v>45454.0</v>
      </c>
      <c r="I1643" s="9" t="s">
        <v>47</v>
      </c>
      <c r="J1643" s="9" t="s">
        <v>38801</v>
      </c>
      <c r="K1643" s="55">
        <v>45454.0</v>
      </c>
      <c r="M1643" s="9" t="s">
        <v>11402</v>
      </c>
    </row>
    <row r="1644" ht="15.75" hidden="1" customHeight="1">
      <c r="A1644" s="9" t="s">
        <v>41676</v>
      </c>
      <c r="B1644" s="9" t="s">
        <v>27059</v>
      </c>
      <c r="D1644" s="9" t="s">
        <v>12224</v>
      </c>
      <c r="F1644" s="9" t="s">
        <v>41677</v>
      </c>
      <c r="G1644" s="9" t="s">
        <v>38946</v>
      </c>
      <c r="H1644" s="127">
        <v>45454.0</v>
      </c>
      <c r="I1644" s="9" t="s">
        <v>47</v>
      </c>
      <c r="J1644" s="9" t="s">
        <v>38801</v>
      </c>
      <c r="K1644" s="55">
        <v>45454.0</v>
      </c>
      <c r="M1644" s="9" t="s">
        <v>11402</v>
      </c>
    </row>
    <row r="1645" ht="15.75" hidden="1" customHeight="1">
      <c r="A1645" s="9" t="s">
        <v>41678</v>
      </c>
      <c r="B1645" s="9" t="s">
        <v>27074</v>
      </c>
      <c r="D1645" s="9" t="s">
        <v>12230</v>
      </c>
      <c r="F1645" s="9" t="s">
        <v>41679</v>
      </c>
      <c r="G1645" s="9" t="s">
        <v>38808</v>
      </c>
      <c r="H1645" s="127">
        <v>45454.0</v>
      </c>
      <c r="I1645" s="9" t="s">
        <v>47</v>
      </c>
      <c r="J1645" s="9" t="s">
        <v>38801</v>
      </c>
      <c r="K1645" s="55">
        <v>45454.0</v>
      </c>
      <c r="M1645" s="9" t="s">
        <v>11411</v>
      </c>
    </row>
    <row r="1646" ht="15.75" hidden="1" customHeight="1">
      <c r="A1646" s="9" t="s">
        <v>41680</v>
      </c>
      <c r="B1646" s="9" t="s">
        <v>22045</v>
      </c>
      <c r="D1646" s="9" t="s">
        <v>12230</v>
      </c>
      <c r="F1646" s="9" t="s">
        <v>40154</v>
      </c>
      <c r="G1646" s="9" t="s">
        <v>38946</v>
      </c>
      <c r="H1646" s="127">
        <v>45457.0</v>
      </c>
      <c r="I1646" s="9" t="s">
        <v>131</v>
      </c>
      <c r="J1646" s="9" t="s">
        <v>38801</v>
      </c>
      <c r="K1646" s="55">
        <v>45457.0</v>
      </c>
      <c r="M1646" s="9" t="s">
        <v>11392</v>
      </c>
    </row>
    <row r="1647" ht="15.75" hidden="1" customHeight="1">
      <c r="A1647" s="9" t="s">
        <v>41681</v>
      </c>
      <c r="B1647" s="9" t="s">
        <v>13022</v>
      </c>
      <c r="D1647" s="9" t="s">
        <v>12230</v>
      </c>
      <c r="F1647" s="9" t="s">
        <v>41682</v>
      </c>
      <c r="G1647" s="9" t="s">
        <v>38946</v>
      </c>
      <c r="H1647" s="127">
        <v>45460.0</v>
      </c>
      <c r="I1647" s="9" t="s">
        <v>131</v>
      </c>
      <c r="J1647" s="9" t="s">
        <v>38801</v>
      </c>
      <c r="K1647" s="55">
        <v>45460.0</v>
      </c>
      <c r="M1647" s="9" t="s">
        <v>11417</v>
      </c>
    </row>
    <row r="1648" ht="15.75" hidden="1" customHeight="1">
      <c r="A1648" s="9" t="s">
        <v>41683</v>
      </c>
      <c r="B1648" s="9" t="s">
        <v>18174</v>
      </c>
      <c r="D1648" s="9" t="s">
        <v>12230</v>
      </c>
      <c r="F1648" s="9" t="s">
        <v>41684</v>
      </c>
      <c r="G1648" s="9" t="s">
        <v>38946</v>
      </c>
      <c r="H1648" s="127">
        <v>45460.0</v>
      </c>
      <c r="I1648" s="9" t="s">
        <v>47</v>
      </c>
      <c r="J1648" s="9" t="s">
        <v>38801</v>
      </c>
      <c r="K1648" s="55">
        <v>45468.0</v>
      </c>
      <c r="M1648" s="9" t="s">
        <v>11419</v>
      </c>
    </row>
    <row r="1649" ht="15.75" hidden="1" customHeight="1">
      <c r="A1649" s="52" t="s">
        <v>41685</v>
      </c>
      <c r="B1649" s="9" t="s">
        <v>13361</v>
      </c>
      <c r="D1649" s="9" t="s">
        <v>12250</v>
      </c>
      <c r="F1649" s="9" t="s">
        <v>41686</v>
      </c>
      <c r="G1649" s="9" t="s">
        <v>38946</v>
      </c>
      <c r="H1649" s="127">
        <v>45460.0</v>
      </c>
      <c r="I1649" s="9" t="s">
        <v>47</v>
      </c>
      <c r="J1649" s="9" t="s">
        <v>38801</v>
      </c>
      <c r="K1649" s="55">
        <v>45460.0</v>
      </c>
      <c r="M1649" s="9" t="s">
        <v>12132</v>
      </c>
    </row>
    <row r="1650" ht="15.75" hidden="1" customHeight="1">
      <c r="A1650" s="9" t="s">
        <v>41687</v>
      </c>
      <c r="B1650" s="9" t="s">
        <v>19069</v>
      </c>
      <c r="D1650" s="9" t="s">
        <v>12230</v>
      </c>
      <c r="F1650" s="9" t="s">
        <v>41688</v>
      </c>
      <c r="G1650" s="9" t="s">
        <v>38808</v>
      </c>
      <c r="H1650" s="127">
        <v>45460.0</v>
      </c>
      <c r="I1650" s="9" t="s">
        <v>47</v>
      </c>
      <c r="J1650" s="9" t="s">
        <v>38801</v>
      </c>
      <c r="K1650" s="55">
        <v>45460.0</v>
      </c>
      <c r="M1650" s="9" t="s">
        <v>12027</v>
      </c>
    </row>
    <row r="1651" ht="15.75" hidden="1" customHeight="1">
      <c r="A1651" s="52" t="s">
        <v>41689</v>
      </c>
      <c r="B1651" s="9" t="s">
        <v>16334</v>
      </c>
      <c r="D1651" s="9" t="s">
        <v>12230</v>
      </c>
      <c r="F1651" s="9" t="s">
        <v>41690</v>
      </c>
      <c r="G1651" s="9" t="s">
        <v>38808</v>
      </c>
      <c r="H1651" s="127">
        <v>45460.0</v>
      </c>
      <c r="I1651" s="9" t="s">
        <v>47</v>
      </c>
      <c r="J1651" s="9" t="s">
        <v>38801</v>
      </c>
      <c r="K1651" s="55">
        <v>45461.0</v>
      </c>
      <c r="M1651" s="9" t="s">
        <v>9375</v>
      </c>
    </row>
    <row r="1652" ht="15.75" hidden="1" customHeight="1">
      <c r="A1652" s="9" t="s">
        <v>41691</v>
      </c>
      <c r="B1652" s="9" t="s">
        <v>18706</v>
      </c>
      <c r="D1652" s="9" t="s">
        <v>12236</v>
      </c>
      <c r="F1652" s="9" t="s">
        <v>41692</v>
      </c>
      <c r="G1652" s="9" t="s">
        <v>38946</v>
      </c>
      <c r="H1652" s="127">
        <v>45464.0</v>
      </c>
      <c r="I1652" s="9" t="s">
        <v>131</v>
      </c>
      <c r="J1652" s="9" t="s">
        <v>38801</v>
      </c>
      <c r="K1652" s="55">
        <v>45464.0</v>
      </c>
      <c r="M1652" s="9" t="s">
        <v>11657</v>
      </c>
    </row>
    <row r="1653" ht="15.75" hidden="1" customHeight="1">
      <c r="A1653" s="9" t="s">
        <v>41693</v>
      </c>
      <c r="B1653" s="9" t="s">
        <v>16104</v>
      </c>
      <c r="D1653" s="9" t="s">
        <v>12242</v>
      </c>
      <c r="F1653" s="9" t="s">
        <v>41694</v>
      </c>
      <c r="G1653" s="9" t="s">
        <v>38808</v>
      </c>
      <c r="H1653" s="127">
        <v>45464.0</v>
      </c>
      <c r="I1653" s="9" t="s">
        <v>47</v>
      </c>
      <c r="J1653" s="9" t="s">
        <v>38801</v>
      </c>
      <c r="K1653" s="55">
        <v>45470.0</v>
      </c>
      <c r="M1653" s="9" t="s">
        <v>5446</v>
      </c>
    </row>
    <row r="1654" ht="15.75" hidden="1" customHeight="1">
      <c r="A1654" s="9" t="s">
        <v>41695</v>
      </c>
      <c r="B1654" s="9" t="s">
        <v>16104</v>
      </c>
      <c r="D1654" s="9" t="s">
        <v>12250</v>
      </c>
      <c r="F1654" s="9" t="s">
        <v>41696</v>
      </c>
      <c r="G1654" s="9" t="s">
        <v>38808</v>
      </c>
      <c r="H1654" s="127">
        <v>45464.0</v>
      </c>
      <c r="I1654" s="9" t="s">
        <v>47</v>
      </c>
      <c r="J1654" s="9" t="s">
        <v>38801</v>
      </c>
      <c r="K1654" s="55">
        <v>45470.0</v>
      </c>
      <c r="M1654" s="9" t="s">
        <v>4193</v>
      </c>
    </row>
    <row r="1655" ht="15.75" hidden="1" customHeight="1">
      <c r="A1655" s="9" t="s">
        <v>41697</v>
      </c>
      <c r="B1655" s="9" t="s">
        <v>22274</v>
      </c>
      <c r="D1655" s="9" t="s">
        <v>12230</v>
      </c>
      <c r="F1655" s="9" t="s">
        <v>41698</v>
      </c>
      <c r="G1655" s="9" t="s">
        <v>38808</v>
      </c>
      <c r="H1655" s="127">
        <v>45464.0</v>
      </c>
      <c r="I1655" s="9" t="s">
        <v>47</v>
      </c>
      <c r="J1655" s="9" t="s">
        <v>38801</v>
      </c>
      <c r="K1655" s="55">
        <v>45464.0</v>
      </c>
      <c r="M1655" s="9" t="s">
        <v>3158</v>
      </c>
    </row>
    <row r="1656" ht="15.75" hidden="1" customHeight="1">
      <c r="A1656" s="9" t="s">
        <v>41699</v>
      </c>
      <c r="B1656" s="9" t="s">
        <v>22274</v>
      </c>
      <c r="D1656" s="9" t="s">
        <v>12224</v>
      </c>
      <c r="F1656" s="9" t="s">
        <v>41700</v>
      </c>
      <c r="G1656" s="9" t="s">
        <v>38808</v>
      </c>
      <c r="H1656" s="127">
        <v>45464.0</v>
      </c>
      <c r="I1656" s="9" t="s">
        <v>47</v>
      </c>
      <c r="J1656" s="9" t="s">
        <v>38801</v>
      </c>
      <c r="K1656" s="55">
        <v>45464.0</v>
      </c>
      <c r="M1656" s="9" t="s">
        <v>3158</v>
      </c>
    </row>
    <row r="1657" ht="15.75" hidden="1" customHeight="1">
      <c r="A1657" s="9" t="s">
        <v>41701</v>
      </c>
      <c r="B1657" s="9" t="s">
        <v>22274</v>
      </c>
      <c r="D1657" s="9" t="s">
        <v>12254</v>
      </c>
      <c r="F1657" s="9" t="s">
        <v>41702</v>
      </c>
      <c r="G1657" s="9" t="s">
        <v>38946</v>
      </c>
      <c r="H1657" s="127">
        <v>45467.0</v>
      </c>
      <c r="I1657" s="9" t="s">
        <v>101</v>
      </c>
      <c r="J1657" s="9" t="s">
        <v>38801</v>
      </c>
      <c r="K1657" s="55">
        <v>45467.0</v>
      </c>
      <c r="M1657" s="9" t="s">
        <v>3158</v>
      </c>
    </row>
    <row r="1658" ht="15.75" hidden="1" customHeight="1">
      <c r="A1658" s="9" t="s">
        <v>41703</v>
      </c>
      <c r="B1658" s="9" t="s">
        <v>17389</v>
      </c>
      <c r="D1658" s="9" t="s">
        <v>12254</v>
      </c>
      <c r="F1658" s="9" t="s">
        <v>41704</v>
      </c>
      <c r="G1658" s="9" t="s">
        <v>38946</v>
      </c>
      <c r="H1658" s="127">
        <v>45467.0</v>
      </c>
      <c r="I1658" s="9" t="s">
        <v>101</v>
      </c>
      <c r="J1658" s="9" t="s">
        <v>38801</v>
      </c>
      <c r="K1658" s="55">
        <v>45467.0</v>
      </c>
      <c r="M1658" s="9" t="s">
        <v>12144</v>
      </c>
    </row>
    <row r="1659" ht="15.75" hidden="1" customHeight="1">
      <c r="A1659" s="9" t="s">
        <v>41705</v>
      </c>
      <c r="B1659" s="9" t="s">
        <v>17389</v>
      </c>
      <c r="D1659" s="9" t="s">
        <v>12258</v>
      </c>
      <c r="F1659" s="9" t="s">
        <v>41706</v>
      </c>
      <c r="G1659" s="9" t="s">
        <v>38946</v>
      </c>
      <c r="H1659" s="127">
        <v>45467.0</v>
      </c>
      <c r="I1659" s="9" t="s">
        <v>101</v>
      </c>
      <c r="J1659" s="9" t="s">
        <v>38801</v>
      </c>
      <c r="K1659" s="55">
        <v>45467.0</v>
      </c>
      <c r="M1659" s="9" t="s">
        <v>12144</v>
      </c>
    </row>
    <row r="1660" ht="15.75" hidden="1" customHeight="1">
      <c r="A1660" s="9" t="s">
        <v>41707</v>
      </c>
      <c r="B1660" s="9" t="s">
        <v>15794</v>
      </c>
      <c r="D1660" s="9" t="s">
        <v>12230</v>
      </c>
      <c r="F1660" s="9" t="s">
        <v>41708</v>
      </c>
      <c r="G1660" s="9" t="s">
        <v>38808</v>
      </c>
      <c r="H1660" s="127">
        <v>45468.0</v>
      </c>
      <c r="I1660" s="9" t="s">
        <v>47</v>
      </c>
      <c r="J1660" s="9" t="s">
        <v>38801</v>
      </c>
      <c r="K1660" s="55">
        <v>45468.0</v>
      </c>
      <c r="M1660" s="9" t="s">
        <v>10472</v>
      </c>
    </row>
    <row r="1661" ht="15.75" hidden="1" customHeight="1">
      <c r="A1661" s="9" t="s">
        <v>41709</v>
      </c>
      <c r="B1661" s="9" t="s">
        <v>17877</v>
      </c>
      <c r="D1661" s="9" t="s">
        <v>12230</v>
      </c>
      <c r="F1661" s="9" t="s">
        <v>41710</v>
      </c>
      <c r="G1661" s="9" t="s">
        <v>38808</v>
      </c>
      <c r="H1661" s="127">
        <v>45468.0</v>
      </c>
      <c r="I1661" s="9" t="s">
        <v>47</v>
      </c>
      <c r="J1661" s="9" t="s">
        <v>38801</v>
      </c>
      <c r="K1661" s="55">
        <v>45481.0</v>
      </c>
      <c r="M1661" s="9" t="s">
        <v>4674</v>
      </c>
    </row>
    <row r="1662" ht="15.75" hidden="1" customHeight="1">
      <c r="A1662" s="9" t="s">
        <v>41711</v>
      </c>
      <c r="B1662" s="9" t="s">
        <v>20819</v>
      </c>
      <c r="D1662" s="9" t="s">
        <v>12230</v>
      </c>
      <c r="F1662" s="9" t="s">
        <v>41712</v>
      </c>
      <c r="G1662" s="9" t="s">
        <v>38808</v>
      </c>
      <c r="H1662" s="127">
        <v>45468.0</v>
      </c>
      <c r="I1662" s="9" t="s">
        <v>47</v>
      </c>
      <c r="J1662" s="9" t="s">
        <v>38801</v>
      </c>
      <c r="K1662" s="55">
        <v>45468.0</v>
      </c>
      <c r="M1662" s="9" t="s">
        <v>8795</v>
      </c>
    </row>
    <row r="1663" ht="15.75" hidden="1" customHeight="1">
      <c r="A1663" s="9" t="s">
        <v>41713</v>
      </c>
      <c r="B1663" s="9" t="s">
        <v>17761</v>
      </c>
      <c r="D1663" s="9" t="s">
        <v>12236</v>
      </c>
      <c r="F1663" s="9" t="s">
        <v>41714</v>
      </c>
      <c r="G1663" s="9" t="s">
        <v>38946</v>
      </c>
      <c r="H1663" s="127">
        <v>45469.0</v>
      </c>
      <c r="I1663" s="9" t="s">
        <v>131</v>
      </c>
      <c r="J1663" s="9" t="s">
        <v>38801</v>
      </c>
      <c r="K1663" s="55">
        <v>45469.0</v>
      </c>
      <c r="M1663" s="9" t="s">
        <v>6209</v>
      </c>
    </row>
    <row r="1664" ht="15.75" hidden="1" customHeight="1">
      <c r="A1664" s="9" t="s">
        <v>41715</v>
      </c>
      <c r="B1664" s="9" t="s">
        <v>16463</v>
      </c>
      <c r="D1664" s="9" t="s">
        <v>12239</v>
      </c>
      <c r="F1664" s="9" t="s">
        <v>39669</v>
      </c>
      <c r="G1664" s="9" t="s">
        <v>38946</v>
      </c>
      <c r="H1664" s="127">
        <v>45470.0</v>
      </c>
      <c r="I1664" s="9" t="s">
        <v>26</v>
      </c>
      <c r="J1664" s="9" t="s">
        <v>38801</v>
      </c>
      <c r="K1664" s="55">
        <v>45470.0</v>
      </c>
      <c r="M1664" s="9" t="s">
        <v>9429</v>
      </c>
    </row>
    <row r="1665" ht="15.75" hidden="1" customHeight="1">
      <c r="A1665" s="9" t="s">
        <v>41716</v>
      </c>
      <c r="B1665" s="9" t="s">
        <v>16463</v>
      </c>
      <c r="D1665" s="9" t="s">
        <v>12240</v>
      </c>
      <c r="F1665" s="9" t="s">
        <v>41717</v>
      </c>
      <c r="G1665" s="9" t="s">
        <v>38946</v>
      </c>
      <c r="H1665" s="127">
        <v>45470.0</v>
      </c>
      <c r="I1665" s="9" t="s">
        <v>26</v>
      </c>
      <c r="J1665" s="9" t="s">
        <v>38801</v>
      </c>
      <c r="K1665" s="55">
        <v>45470.0</v>
      </c>
      <c r="M1665" s="9" t="s">
        <v>9429</v>
      </c>
    </row>
    <row r="1666" ht="15.75" hidden="1" customHeight="1">
      <c r="A1666" s="9" t="s">
        <v>41718</v>
      </c>
      <c r="B1666" s="9" t="s">
        <v>22274</v>
      </c>
      <c r="D1666" s="9" t="s">
        <v>12239</v>
      </c>
      <c r="F1666" s="9" t="s">
        <v>40678</v>
      </c>
      <c r="G1666" s="9" t="s">
        <v>38946</v>
      </c>
      <c r="H1666" s="127">
        <v>45471.0</v>
      </c>
      <c r="I1666" s="9" t="s">
        <v>131</v>
      </c>
      <c r="J1666" s="9" t="s">
        <v>38801</v>
      </c>
      <c r="K1666" s="55">
        <v>45541.0</v>
      </c>
      <c r="M1666" s="9" t="s">
        <v>3158</v>
      </c>
    </row>
    <row r="1667" ht="15.75" hidden="1" customHeight="1">
      <c r="A1667" s="9" t="s">
        <v>41719</v>
      </c>
      <c r="B1667" s="9" t="s">
        <v>16932</v>
      </c>
      <c r="D1667" s="9" t="s">
        <v>12258</v>
      </c>
      <c r="F1667" s="9" t="s">
        <v>41720</v>
      </c>
      <c r="G1667" s="9" t="s">
        <v>38946</v>
      </c>
      <c r="H1667" s="127">
        <v>45474.0</v>
      </c>
      <c r="I1667" s="9" t="s">
        <v>26</v>
      </c>
      <c r="J1667" s="9" t="s">
        <v>38801</v>
      </c>
      <c r="K1667" s="55">
        <v>45474.0</v>
      </c>
      <c r="M1667" s="9" t="s">
        <v>5461</v>
      </c>
    </row>
    <row r="1668" ht="15.75" hidden="1" customHeight="1">
      <c r="A1668" s="52" t="s">
        <v>41721</v>
      </c>
      <c r="B1668" s="9" t="s">
        <v>18390</v>
      </c>
      <c r="D1668" s="9" t="s">
        <v>12258</v>
      </c>
      <c r="F1668" s="9" t="s">
        <v>41722</v>
      </c>
      <c r="G1668" s="9" t="s">
        <v>38946</v>
      </c>
      <c r="H1668" s="127">
        <v>45474.0</v>
      </c>
      <c r="I1668" s="9" t="s">
        <v>26</v>
      </c>
      <c r="J1668" s="9" t="s">
        <v>38801</v>
      </c>
      <c r="K1668" s="55">
        <v>45474.0</v>
      </c>
      <c r="M1668" s="9" t="s">
        <v>11884</v>
      </c>
    </row>
    <row r="1669" ht="15.75" hidden="1" customHeight="1">
      <c r="A1669" s="9" t="s">
        <v>41723</v>
      </c>
      <c r="B1669" s="9" t="s">
        <v>15436</v>
      </c>
      <c r="D1669" s="9" t="s">
        <v>12258</v>
      </c>
      <c r="F1669" s="9" t="s">
        <v>41724</v>
      </c>
      <c r="G1669" s="9" t="s">
        <v>38946</v>
      </c>
      <c r="H1669" s="127">
        <v>45474.0</v>
      </c>
      <c r="I1669" s="9" t="s">
        <v>26</v>
      </c>
      <c r="J1669" s="9" t="s">
        <v>38801</v>
      </c>
      <c r="K1669" s="55">
        <v>45474.0</v>
      </c>
      <c r="M1669" s="9" t="s">
        <v>11845</v>
      </c>
    </row>
    <row r="1670" ht="15.75" hidden="1" customHeight="1">
      <c r="A1670" s="9" t="s">
        <v>41725</v>
      </c>
      <c r="B1670" s="9" t="s">
        <v>17877</v>
      </c>
      <c r="D1670" s="9" t="s">
        <v>12230</v>
      </c>
      <c r="F1670" s="9" t="s">
        <v>41726</v>
      </c>
      <c r="G1670" s="9" t="s">
        <v>38808</v>
      </c>
      <c r="H1670" s="127">
        <v>45474.0</v>
      </c>
      <c r="I1670" s="9" t="s">
        <v>47</v>
      </c>
      <c r="J1670" s="9" t="s">
        <v>38801</v>
      </c>
      <c r="K1670" s="55">
        <v>45474.0</v>
      </c>
      <c r="M1670" s="9" t="s">
        <v>4674</v>
      </c>
    </row>
    <row r="1671" ht="15.75" hidden="1" customHeight="1">
      <c r="A1671" s="9" t="s">
        <v>41727</v>
      </c>
      <c r="B1671" s="9" t="s">
        <v>20413</v>
      </c>
      <c r="D1671" s="9" t="s">
        <v>12230</v>
      </c>
      <c r="F1671" s="9" t="s">
        <v>41728</v>
      </c>
      <c r="G1671" s="9" t="s">
        <v>38808</v>
      </c>
      <c r="H1671" s="127">
        <v>45474.0</v>
      </c>
      <c r="I1671" s="9" t="s">
        <v>47</v>
      </c>
      <c r="J1671" s="9" t="s">
        <v>38801</v>
      </c>
      <c r="K1671" s="55">
        <v>45818.0</v>
      </c>
      <c r="M1671" s="9" t="s">
        <v>3314</v>
      </c>
    </row>
    <row r="1672" ht="15.75" hidden="1" customHeight="1">
      <c r="A1672" s="9" t="s">
        <v>41729</v>
      </c>
      <c r="B1672" s="9" t="s">
        <v>12850</v>
      </c>
      <c r="D1672" s="9" t="s">
        <v>12236</v>
      </c>
      <c r="F1672" s="9" t="s">
        <v>41730</v>
      </c>
      <c r="G1672" s="9" t="s">
        <v>38946</v>
      </c>
      <c r="H1672" s="127">
        <v>45476.0</v>
      </c>
      <c r="I1672" s="9" t="s">
        <v>131</v>
      </c>
      <c r="J1672" s="9" t="s">
        <v>38801</v>
      </c>
      <c r="K1672" s="55">
        <v>46100.0</v>
      </c>
      <c r="M1672" s="9" t="s">
        <v>10297</v>
      </c>
    </row>
    <row r="1673" ht="15.75" hidden="1" customHeight="1">
      <c r="A1673" s="9" t="s">
        <v>41731</v>
      </c>
      <c r="B1673" s="9" t="s">
        <v>12850</v>
      </c>
      <c r="D1673" s="9" t="s">
        <v>12239</v>
      </c>
      <c r="F1673" s="9" t="s">
        <v>40678</v>
      </c>
      <c r="G1673" s="9" t="s">
        <v>38946</v>
      </c>
      <c r="H1673" s="127">
        <v>45476.0</v>
      </c>
      <c r="I1673" s="9" t="s">
        <v>131</v>
      </c>
      <c r="J1673" s="9" t="s">
        <v>38801</v>
      </c>
      <c r="K1673" s="55">
        <v>46100.0</v>
      </c>
      <c r="M1673" s="9" t="s">
        <v>10297</v>
      </c>
    </row>
    <row r="1674" ht="15.75" hidden="1" customHeight="1">
      <c r="A1674" s="9" t="s">
        <v>41732</v>
      </c>
      <c r="B1674" s="9" t="s">
        <v>12850</v>
      </c>
      <c r="D1674" s="9" t="s">
        <v>12239</v>
      </c>
      <c r="F1674" s="9" t="s">
        <v>40678</v>
      </c>
      <c r="G1674" s="9" t="s">
        <v>38946</v>
      </c>
      <c r="H1674" s="127">
        <v>45476.0</v>
      </c>
      <c r="I1674" s="9" t="s">
        <v>131</v>
      </c>
      <c r="J1674" s="9" t="s">
        <v>38801</v>
      </c>
      <c r="K1674" s="55">
        <v>45541.0</v>
      </c>
      <c r="M1674" s="9" t="s">
        <v>1291</v>
      </c>
    </row>
    <row r="1675" ht="15.75" hidden="1" customHeight="1">
      <c r="A1675" s="9" t="s">
        <v>41733</v>
      </c>
      <c r="B1675" s="9" t="s">
        <v>12850</v>
      </c>
      <c r="D1675" s="9" t="s">
        <v>12240</v>
      </c>
      <c r="F1675" s="9" t="s">
        <v>41734</v>
      </c>
      <c r="G1675" s="9" t="s">
        <v>38946</v>
      </c>
      <c r="H1675" s="127">
        <v>45476.0</v>
      </c>
      <c r="I1675" s="9" t="s">
        <v>131</v>
      </c>
      <c r="J1675" s="9" t="s">
        <v>38801</v>
      </c>
      <c r="K1675" s="55">
        <v>46100.0</v>
      </c>
      <c r="M1675" s="9" t="s">
        <v>10297</v>
      </c>
    </row>
    <row r="1676" ht="15.75" hidden="1" customHeight="1">
      <c r="A1676" s="9" t="s">
        <v>41735</v>
      </c>
      <c r="B1676" s="9" t="s">
        <v>15940</v>
      </c>
      <c r="D1676" s="9" t="s">
        <v>12254</v>
      </c>
      <c r="F1676" s="9" t="s">
        <v>41736</v>
      </c>
      <c r="G1676" s="9" t="s">
        <v>38946</v>
      </c>
      <c r="H1676" s="127">
        <v>45477.0</v>
      </c>
      <c r="I1676" s="9" t="s">
        <v>101</v>
      </c>
      <c r="J1676" s="9" t="s">
        <v>38801</v>
      </c>
      <c r="K1676" s="55">
        <v>45488.0</v>
      </c>
      <c r="M1676" s="9" t="s">
        <v>268</v>
      </c>
    </row>
    <row r="1677" ht="15.75" hidden="1" customHeight="1">
      <c r="A1677" s="9" t="s">
        <v>41737</v>
      </c>
      <c r="B1677" s="9" t="s">
        <v>22274</v>
      </c>
      <c r="D1677" s="9" t="s">
        <v>12258</v>
      </c>
      <c r="F1677" s="9" t="s">
        <v>41738</v>
      </c>
      <c r="G1677" s="9" t="s">
        <v>38946</v>
      </c>
      <c r="H1677" s="127">
        <v>45481.0</v>
      </c>
      <c r="I1677" s="9" t="s">
        <v>47</v>
      </c>
      <c r="J1677" s="9" t="s">
        <v>38801</v>
      </c>
      <c r="K1677" s="55">
        <v>45481.0</v>
      </c>
      <c r="M1677" s="9" t="s">
        <v>3158</v>
      </c>
    </row>
    <row r="1678" ht="15.75" hidden="1" customHeight="1">
      <c r="A1678" s="9" t="s">
        <v>41739</v>
      </c>
      <c r="B1678" s="9" t="s">
        <v>22274</v>
      </c>
      <c r="D1678" s="9" t="s">
        <v>12250</v>
      </c>
      <c r="F1678" s="9" t="s">
        <v>41740</v>
      </c>
      <c r="G1678" s="9" t="s">
        <v>38946</v>
      </c>
      <c r="H1678" s="127">
        <v>45481.0</v>
      </c>
      <c r="I1678" s="9" t="s">
        <v>47</v>
      </c>
      <c r="J1678" s="9" t="s">
        <v>38801</v>
      </c>
      <c r="K1678" s="55">
        <v>45488.0</v>
      </c>
      <c r="M1678" s="9" t="s">
        <v>3158</v>
      </c>
    </row>
    <row r="1679" ht="15.75" hidden="1" customHeight="1">
      <c r="A1679" s="9" t="s">
        <v>41741</v>
      </c>
      <c r="B1679" s="9" t="s">
        <v>16183</v>
      </c>
      <c r="D1679" s="9" t="s">
        <v>12254</v>
      </c>
      <c r="F1679" s="9" t="s">
        <v>41742</v>
      </c>
      <c r="G1679" s="9" t="s">
        <v>38946</v>
      </c>
      <c r="H1679" s="127">
        <v>45481.0</v>
      </c>
      <c r="I1679" s="9" t="s">
        <v>89</v>
      </c>
      <c r="J1679" s="9" t="s">
        <v>38801</v>
      </c>
      <c r="K1679" s="55">
        <v>45481.0</v>
      </c>
      <c r="M1679" s="9" t="s">
        <v>11618</v>
      </c>
    </row>
    <row r="1680" ht="15.75" hidden="1" customHeight="1">
      <c r="A1680" s="9" t="s">
        <v>41743</v>
      </c>
      <c r="B1680" s="9" t="s">
        <v>18706</v>
      </c>
      <c r="D1680" s="9" t="s">
        <v>12254</v>
      </c>
      <c r="F1680" s="9" t="s">
        <v>41744</v>
      </c>
      <c r="G1680" s="9" t="s">
        <v>38946</v>
      </c>
      <c r="H1680" s="127">
        <v>45481.0</v>
      </c>
      <c r="I1680" s="9" t="s">
        <v>89</v>
      </c>
      <c r="J1680" s="9" t="s">
        <v>38801</v>
      </c>
      <c r="K1680" s="55">
        <v>45481.0</v>
      </c>
      <c r="M1680" s="9" t="s">
        <v>11657</v>
      </c>
    </row>
    <row r="1681" ht="15.75" hidden="1" customHeight="1">
      <c r="A1681" s="9" t="s">
        <v>41745</v>
      </c>
      <c r="B1681" s="9" t="s">
        <v>20310</v>
      </c>
      <c r="D1681" s="9" t="s">
        <v>12240</v>
      </c>
      <c r="F1681" s="9" t="s">
        <v>41746</v>
      </c>
      <c r="G1681" s="9" t="s">
        <v>38946</v>
      </c>
      <c r="H1681" s="127">
        <v>45482.0</v>
      </c>
      <c r="I1681" s="9" t="s">
        <v>131</v>
      </c>
      <c r="J1681" s="9" t="s">
        <v>38801</v>
      </c>
      <c r="K1681" s="55">
        <v>45482.0</v>
      </c>
      <c r="M1681" s="9" t="s">
        <v>5604</v>
      </c>
    </row>
    <row r="1682" ht="15.75" hidden="1" customHeight="1">
      <c r="A1682" s="9" t="s">
        <v>41747</v>
      </c>
      <c r="B1682" s="9" t="s">
        <v>13606</v>
      </c>
      <c r="D1682" s="9" t="s">
        <v>12240</v>
      </c>
      <c r="F1682" s="9" t="s">
        <v>41746</v>
      </c>
      <c r="G1682" s="9" t="s">
        <v>38946</v>
      </c>
      <c r="H1682" s="127">
        <v>45482.0</v>
      </c>
      <c r="I1682" s="9" t="s">
        <v>131</v>
      </c>
      <c r="J1682" s="9" t="s">
        <v>38801</v>
      </c>
      <c r="K1682" s="55">
        <v>45488.0</v>
      </c>
      <c r="M1682" s="9" t="s">
        <v>10344</v>
      </c>
    </row>
    <row r="1683" ht="15.75" hidden="1" customHeight="1">
      <c r="A1683" s="9" t="s">
        <v>41748</v>
      </c>
      <c r="B1683" s="9" t="s">
        <v>20181</v>
      </c>
      <c r="D1683" s="9" t="s">
        <v>12240</v>
      </c>
      <c r="F1683" s="9" t="s">
        <v>41749</v>
      </c>
      <c r="G1683" s="9" t="s">
        <v>38946</v>
      </c>
      <c r="H1683" s="127">
        <v>45482.0</v>
      </c>
      <c r="I1683" s="9" t="s">
        <v>131</v>
      </c>
      <c r="J1683" s="9" t="s">
        <v>38801</v>
      </c>
      <c r="K1683" s="55">
        <v>45482.0</v>
      </c>
      <c r="M1683" s="9" t="s">
        <v>5434</v>
      </c>
    </row>
    <row r="1684" ht="15.75" hidden="1" customHeight="1">
      <c r="A1684" s="9" t="s">
        <v>41750</v>
      </c>
      <c r="B1684" s="9" t="s">
        <v>17187</v>
      </c>
      <c r="D1684" s="9" t="s">
        <v>12240</v>
      </c>
      <c r="F1684" s="9" t="s">
        <v>41751</v>
      </c>
      <c r="G1684" s="9" t="s">
        <v>38946</v>
      </c>
      <c r="H1684" s="127">
        <v>45482.0</v>
      </c>
      <c r="I1684" s="9" t="s">
        <v>131</v>
      </c>
      <c r="J1684" s="9" t="s">
        <v>38801</v>
      </c>
      <c r="K1684" s="55">
        <v>45488.0</v>
      </c>
      <c r="M1684" s="9" t="s">
        <v>4423</v>
      </c>
    </row>
    <row r="1685" ht="15.75" hidden="1" customHeight="1">
      <c r="A1685" s="9" t="s">
        <v>41752</v>
      </c>
      <c r="B1685" s="9" t="s">
        <v>14159</v>
      </c>
      <c r="D1685" s="9" t="s">
        <v>12240</v>
      </c>
      <c r="F1685" s="9" t="s">
        <v>41749</v>
      </c>
      <c r="G1685" s="9" t="s">
        <v>38946</v>
      </c>
      <c r="H1685" s="127">
        <v>45482.0</v>
      </c>
      <c r="I1685" s="9" t="s">
        <v>131</v>
      </c>
      <c r="J1685" s="9" t="s">
        <v>38801</v>
      </c>
      <c r="K1685" s="55">
        <v>45482.0</v>
      </c>
      <c r="M1685" s="9" t="s">
        <v>9762</v>
      </c>
    </row>
    <row r="1686" ht="15.75" hidden="1" customHeight="1">
      <c r="A1686" s="9" t="s">
        <v>41753</v>
      </c>
      <c r="B1686" s="9" t="s">
        <v>15029</v>
      </c>
      <c r="D1686" s="9" t="s">
        <v>12240</v>
      </c>
      <c r="F1686" s="9" t="s">
        <v>41754</v>
      </c>
      <c r="G1686" s="9" t="s">
        <v>38946</v>
      </c>
      <c r="H1686" s="127">
        <v>45482.0</v>
      </c>
      <c r="I1686" s="9" t="s">
        <v>131</v>
      </c>
      <c r="J1686" s="9" t="s">
        <v>38801</v>
      </c>
      <c r="K1686" s="55">
        <v>45482.0</v>
      </c>
      <c r="M1686" s="9" t="s">
        <v>4800</v>
      </c>
    </row>
    <row r="1687" ht="15.75" hidden="1" customHeight="1">
      <c r="A1687" s="9" t="s">
        <v>41755</v>
      </c>
      <c r="B1687" s="9" t="s">
        <v>20639</v>
      </c>
      <c r="D1687" s="9" t="s">
        <v>12240</v>
      </c>
      <c r="F1687" s="9" t="s">
        <v>41756</v>
      </c>
      <c r="G1687" s="9" t="s">
        <v>38946</v>
      </c>
      <c r="H1687" s="127">
        <v>45482.0</v>
      </c>
      <c r="I1687" s="9" t="s">
        <v>131</v>
      </c>
      <c r="J1687" s="9" t="s">
        <v>38801</v>
      </c>
      <c r="K1687" s="55">
        <v>45482.0</v>
      </c>
      <c r="M1687" s="9" t="s">
        <v>1787</v>
      </c>
    </row>
    <row r="1688" ht="15.75" hidden="1" customHeight="1">
      <c r="A1688" s="9" t="s">
        <v>41757</v>
      </c>
      <c r="B1688" s="9" t="s">
        <v>19520</v>
      </c>
      <c r="D1688" s="9" t="s">
        <v>12240</v>
      </c>
      <c r="F1688" s="9" t="s">
        <v>41754</v>
      </c>
      <c r="G1688" s="9" t="s">
        <v>38946</v>
      </c>
      <c r="H1688" s="127">
        <v>45482.0</v>
      </c>
      <c r="I1688" s="9" t="s">
        <v>131</v>
      </c>
      <c r="J1688" s="9" t="s">
        <v>38801</v>
      </c>
      <c r="K1688" s="55">
        <v>45488.0</v>
      </c>
      <c r="M1688" s="9" t="s">
        <v>8306</v>
      </c>
    </row>
    <row r="1689" ht="15.75" hidden="1" customHeight="1">
      <c r="A1689" s="9" t="s">
        <v>41758</v>
      </c>
      <c r="B1689" s="9" t="s">
        <v>18937</v>
      </c>
      <c r="D1689" s="9" t="s">
        <v>12240</v>
      </c>
      <c r="F1689" s="9" t="s">
        <v>41759</v>
      </c>
      <c r="G1689" s="9" t="s">
        <v>38946</v>
      </c>
      <c r="H1689" s="127">
        <v>45482.0</v>
      </c>
      <c r="I1689" s="9" t="s">
        <v>131</v>
      </c>
      <c r="J1689" s="9" t="s">
        <v>38801</v>
      </c>
      <c r="K1689" s="55">
        <v>45482.0</v>
      </c>
      <c r="M1689" s="9" t="s">
        <v>3810</v>
      </c>
    </row>
    <row r="1690" ht="15.75" hidden="1" customHeight="1">
      <c r="A1690" s="9" t="s">
        <v>41760</v>
      </c>
      <c r="B1690" s="9" t="s">
        <v>19188</v>
      </c>
      <c r="D1690" s="9" t="s">
        <v>12240</v>
      </c>
      <c r="F1690" s="9" t="s">
        <v>41761</v>
      </c>
      <c r="G1690" s="9" t="s">
        <v>38946</v>
      </c>
      <c r="H1690" s="127">
        <v>45482.0</v>
      </c>
      <c r="I1690" s="9" t="s">
        <v>131</v>
      </c>
      <c r="J1690" s="9" t="s">
        <v>38801</v>
      </c>
      <c r="K1690" s="55">
        <v>45482.0</v>
      </c>
      <c r="M1690" s="9" t="s">
        <v>8549</v>
      </c>
    </row>
    <row r="1691" ht="15.75" hidden="1" customHeight="1">
      <c r="A1691" s="9" t="s">
        <v>41762</v>
      </c>
      <c r="B1691" s="9" t="s">
        <v>13425</v>
      </c>
      <c r="D1691" s="9" t="s">
        <v>12240</v>
      </c>
      <c r="F1691" s="9" t="s">
        <v>41763</v>
      </c>
      <c r="G1691" s="9" t="s">
        <v>38946</v>
      </c>
      <c r="H1691" s="127">
        <v>45482.0</v>
      </c>
      <c r="I1691" s="9" t="s">
        <v>131</v>
      </c>
      <c r="J1691" s="9" t="s">
        <v>38801</v>
      </c>
      <c r="K1691" s="55">
        <v>45482.0</v>
      </c>
      <c r="M1691" s="9" t="s">
        <v>10334</v>
      </c>
    </row>
    <row r="1692" ht="15.75" hidden="1" customHeight="1">
      <c r="A1692" s="9" t="s">
        <v>41764</v>
      </c>
      <c r="B1692" s="9" t="s">
        <v>14066</v>
      </c>
      <c r="D1692" s="9" t="s">
        <v>12240</v>
      </c>
      <c r="F1692" s="9" t="s">
        <v>41763</v>
      </c>
      <c r="G1692" s="9" t="s">
        <v>38946</v>
      </c>
      <c r="H1692" s="127">
        <v>45482.0</v>
      </c>
      <c r="I1692" s="9" t="s">
        <v>131</v>
      </c>
      <c r="J1692" s="9" t="s">
        <v>38801</v>
      </c>
      <c r="K1692" s="55">
        <v>45482.0</v>
      </c>
      <c r="M1692" s="9" t="s">
        <v>10378</v>
      </c>
    </row>
    <row r="1693" ht="15.75" hidden="1" customHeight="1">
      <c r="A1693" s="9" t="s">
        <v>41765</v>
      </c>
      <c r="B1693" s="9" t="s">
        <v>12850</v>
      </c>
      <c r="D1693" s="9" t="s">
        <v>12240</v>
      </c>
      <c r="F1693" s="9" t="s">
        <v>41763</v>
      </c>
      <c r="G1693" s="9" t="s">
        <v>38946</v>
      </c>
      <c r="H1693" s="127">
        <v>45482.0</v>
      </c>
      <c r="I1693" s="9" t="s">
        <v>131</v>
      </c>
      <c r="J1693" s="9" t="s">
        <v>38801</v>
      </c>
      <c r="K1693" s="55">
        <v>45482.0</v>
      </c>
      <c r="M1693" s="9" t="s">
        <v>1291</v>
      </c>
    </row>
    <row r="1694" ht="15.75" hidden="1" customHeight="1">
      <c r="A1694" s="9" t="s">
        <v>41766</v>
      </c>
      <c r="B1694" s="9" t="s">
        <v>13343</v>
      </c>
      <c r="D1694" s="9" t="s">
        <v>12240</v>
      </c>
      <c r="F1694" s="9" t="s">
        <v>41763</v>
      </c>
      <c r="G1694" s="9" t="s">
        <v>38946</v>
      </c>
      <c r="H1694" s="127">
        <v>45482.0</v>
      </c>
      <c r="I1694" s="9" t="s">
        <v>131</v>
      </c>
      <c r="J1694" s="9" t="s">
        <v>38801</v>
      </c>
      <c r="K1694" s="55">
        <v>46095.0</v>
      </c>
      <c r="M1694" s="9" t="s">
        <v>11813</v>
      </c>
    </row>
    <row r="1695" ht="15.75" hidden="1" customHeight="1">
      <c r="A1695" s="9" t="s">
        <v>41767</v>
      </c>
      <c r="B1695" s="9" t="s">
        <v>18706</v>
      </c>
      <c r="D1695" s="9" t="s">
        <v>12240</v>
      </c>
      <c r="F1695" s="9" t="s">
        <v>41763</v>
      </c>
      <c r="G1695" s="9" t="s">
        <v>38946</v>
      </c>
      <c r="H1695" s="127">
        <v>45482.0</v>
      </c>
      <c r="I1695" s="9" t="s">
        <v>131</v>
      </c>
      <c r="J1695" s="9" t="s">
        <v>38801</v>
      </c>
      <c r="K1695" s="55">
        <v>45482.0</v>
      </c>
      <c r="M1695" s="9" t="s">
        <v>11657</v>
      </c>
    </row>
    <row r="1696" ht="15.75" hidden="1" customHeight="1">
      <c r="A1696" s="9" t="s">
        <v>41768</v>
      </c>
      <c r="B1696" s="9" t="s">
        <v>14721</v>
      </c>
      <c r="D1696" s="9" t="s">
        <v>12240</v>
      </c>
      <c r="F1696" s="9" t="s">
        <v>41769</v>
      </c>
      <c r="G1696" s="9" t="s">
        <v>38946</v>
      </c>
      <c r="H1696" s="127">
        <v>45482.0</v>
      </c>
      <c r="I1696" s="9" t="s">
        <v>131</v>
      </c>
      <c r="J1696" s="9" t="s">
        <v>38801</v>
      </c>
      <c r="K1696" s="55">
        <v>45482.0</v>
      </c>
      <c r="M1696" s="9" t="s">
        <v>6330</v>
      </c>
    </row>
    <row r="1697" ht="15.75" hidden="1" customHeight="1">
      <c r="A1697" s="9" t="s">
        <v>41770</v>
      </c>
      <c r="B1697" s="9" t="s">
        <v>14449</v>
      </c>
      <c r="D1697" s="9" t="s">
        <v>12230</v>
      </c>
      <c r="F1697" s="9" t="s">
        <v>41771</v>
      </c>
      <c r="G1697" s="9" t="s">
        <v>38946</v>
      </c>
      <c r="H1697" s="127">
        <v>45483.0</v>
      </c>
      <c r="I1697" s="9" t="s">
        <v>131</v>
      </c>
      <c r="J1697" s="9" t="s">
        <v>38801</v>
      </c>
      <c r="K1697" s="55">
        <v>45483.0</v>
      </c>
      <c r="M1697" s="9" t="s">
        <v>10394</v>
      </c>
    </row>
    <row r="1698" ht="15.75" hidden="1" customHeight="1">
      <c r="A1698" s="9" t="s">
        <v>41772</v>
      </c>
      <c r="B1698" s="9" t="s">
        <v>22233</v>
      </c>
      <c r="D1698" s="9" t="s">
        <v>12230</v>
      </c>
      <c r="F1698" s="9" t="s">
        <v>40154</v>
      </c>
      <c r="G1698" s="9" t="s">
        <v>38946</v>
      </c>
      <c r="H1698" s="127">
        <v>45483.0</v>
      </c>
      <c r="I1698" s="9" t="s">
        <v>131</v>
      </c>
      <c r="J1698" s="9" t="s">
        <v>38801</v>
      </c>
      <c r="K1698" s="55">
        <v>45483.0</v>
      </c>
      <c r="M1698" s="9" t="s">
        <v>11421</v>
      </c>
    </row>
    <row r="1699" ht="15.75" hidden="1" customHeight="1">
      <c r="A1699" s="9" t="s">
        <v>41773</v>
      </c>
      <c r="B1699" s="9" t="s">
        <v>22144</v>
      </c>
      <c r="D1699" s="9" t="s">
        <v>12230</v>
      </c>
      <c r="F1699" s="9" t="s">
        <v>41774</v>
      </c>
      <c r="G1699" s="9" t="s">
        <v>38946</v>
      </c>
      <c r="H1699" s="127">
        <v>45483.0</v>
      </c>
      <c r="I1699" s="9" t="s">
        <v>131</v>
      </c>
      <c r="J1699" s="9" t="s">
        <v>38801</v>
      </c>
      <c r="K1699" s="55">
        <v>45483.0</v>
      </c>
      <c r="M1699" s="9" t="s">
        <v>11415</v>
      </c>
    </row>
    <row r="1700" ht="15.75" hidden="1" customHeight="1">
      <c r="A1700" s="9" t="s">
        <v>41775</v>
      </c>
      <c r="B1700" s="9" t="s">
        <v>15608</v>
      </c>
      <c r="D1700" s="9" t="s">
        <v>12230</v>
      </c>
      <c r="F1700" s="9" t="s">
        <v>41776</v>
      </c>
      <c r="G1700" s="9" t="s">
        <v>38946</v>
      </c>
      <c r="H1700" s="127">
        <v>45483.0</v>
      </c>
      <c r="I1700" s="9" t="s">
        <v>131</v>
      </c>
      <c r="J1700" s="9" t="s">
        <v>38801</v>
      </c>
      <c r="K1700" s="55">
        <v>45483.0</v>
      </c>
      <c r="M1700" s="9" t="s">
        <v>12065</v>
      </c>
    </row>
    <row r="1701" ht="15.75" hidden="1" customHeight="1">
      <c r="A1701" s="9" t="s">
        <v>41777</v>
      </c>
      <c r="B1701" s="9" t="s">
        <v>18376</v>
      </c>
      <c r="D1701" s="9" t="s">
        <v>12257</v>
      </c>
      <c r="F1701" s="9" t="s">
        <v>41778</v>
      </c>
      <c r="G1701" s="9" t="s">
        <v>38946</v>
      </c>
      <c r="H1701" s="127">
        <v>45483.0</v>
      </c>
      <c r="I1701" s="9" t="s">
        <v>47</v>
      </c>
      <c r="J1701" s="9" t="s">
        <v>38801</v>
      </c>
      <c r="K1701" s="55">
        <v>45483.0</v>
      </c>
      <c r="M1701" s="9" t="s">
        <v>11680</v>
      </c>
    </row>
    <row r="1702" ht="15.75" hidden="1" customHeight="1">
      <c r="A1702" s="9" t="s">
        <v>41779</v>
      </c>
      <c r="B1702" s="9" t="s">
        <v>16104</v>
      </c>
      <c r="D1702" s="9" t="s">
        <v>12257</v>
      </c>
      <c r="F1702" s="9" t="s">
        <v>41780</v>
      </c>
      <c r="G1702" s="9" t="s">
        <v>38808</v>
      </c>
      <c r="H1702" s="127">
        <v>45484.0</v>
      </c>
      <c r="I1702" s="9" t="s">
        <v>47</v>
      </c>
      <c r="J1702" s="9" t="s">
        <v>38801</v>
      </c>
      <c r="K1702" s="55">
        <v>45484.0</v>
      </c>
      <c r="M1702" s="9" t="s">
        <v>5446</v>
      </c>
    </row>
    <row r="1703" ht="15.75" hidden="1" customHeight="1">
      <c r="A1703" s="9" t="s">
        <v>41781</v>
      </c>
      <c r="B1703" s="9" t="s">
        <v>16104</v>
      </c>
      <c r="D1703" s="9" t="s">
        <v>12242</v>
      </c>
      <c r="F1703" s="9" t="s">
        <v>41782</v>
      </c>
      <c r="G1703" s="9" t="s">
        <v>38808</v>
      </c>
      <c r="H1703" s="127">
        <v>45484.0</v>
      </c>
      <c r="I1703" s="9" t="s">
        <v>47</v>
      </c>
      <c r="J1703" s="9" t="s">
        <v>38801</v>
      </c>
      <c r="K1703" s="55">
        <v>45484.0</v>
      </c>
      <c r="M1703" s="9" t="s">
        <v>5446</v>
      </c>
    </row>
    <row r="1704" ht="15.75" hidden="1" customHeight="1">
      <c r="A1704" s="9" t="s">
        <v>41783</v>
      </c>
      <c r="B1704" s="9" t="s">
        <v>15404</v>
      </c>
      <c r="D1704" s="9" t="s">
        <v>12230</v>
      </c>
      <c r="F1704" s="9" t="s">
        <v>41784</v>
      </c>
      <c r="G1704" s="9" t="s">
        <v>38808</v>
      </c>
      <c r="H1704" s="127">
        <v>45486.0</v>
      </c>
      <c r="I1704" s="9" t="s">
        <v>153</v>
      </c>
      <c r="J1704" s="9" t="s">
        <v>38801</v>
      </c>
      <c r="K1704" s="55">
        <v>45492.0</v>
      </c>
      <c r="M1704" s="9" t="s">
        <v>3436</v>
      </c>
    </row>
    <row r="1705" ht="15.75" hidden="1" customHeight="1">
      <c r="A1705" s="9" t="s">
        <v>41785</v>
      </c>
      <c r="B1705" s="9" t="s">
        <v>14175</v>
      </c>
      <c r="D1705" s="9" t="s">
        <v>12230</v>
      </c>
      <c r="F1705" s="9" t="s">
        <v>41786</v>
      </c>
      <c r="G1705" s="9" t="s">
        <v>38946</v>
      </c>
      <c r="H1705" s="127">
        <v>45488.0</v>
      </c>
      <c r="I1705" s="9" t="s">
        <v>131</v>
      </c>
      <c r="J1705" s="9" t="s">
        <v>38801</v>
      </c>
      <c r="K1705" s="55">
        <v>45488.0</v>
      </c>
      <c r="M1705" s="9" t="s">
        <v>10384</v>
      </c>
    </row>
    <row r="1706" ht="15.75" hidden="1" customHeight="1">
      <c r="A1706" s="9" t="s">
        <v>41787</v>
      </c>
      <c r="B1706" s="9" t="s">
        <v>12815</v>
      </c>
      <c r="D1706" s="9" t="s">
        <v>12230</v>
      </c>
      <c r="F1706" s="9" t="s">
        <v>41788</v>
      </c>
      <c r="G1706" s="9" t="s">
        <v>38946</v>
      </c>
      <c r="H1706" s="127">
        <v>45488.0</v>
      </c>
      <c r="I1706" s="9" t="s">
        <v>131</v>
      </c>
      <c r="J1706" s="9" t="s">
        <v>38801</v>
      </c>
      <c r="K1706" s="55">
        <v>45510.0</v>
      </c>
      <c r="M1706" s="9" t="s">
        <v>12100</v>
      </c>
    </row>
    <row r="1707" ht="15.75" customHeight="1">
      <c r="A1707" s="9" t="s">
        <v>41789</v>
      </c>
      <c r="B1707" s="9" t="s">
        <v>18376</v>
      </c>
      <c r="D1707" s="9" t="s">
        <v>12227</v>
      </c>
      <c r="E1707" s="9" t="s">
        <v>38803</v>
      </c>
      <c r="F1707" s="9" t="s">
        <v>40635</v>
      </c>
      <c r="G1707" s="9" t="s">
        <v>38946</v>
      </c>
      <c r="H1707" s="127">
        <v>45489.0</v>
      </c>
      <c r="I1707" s="9" t="s">
        <v>131</v>
      </c>
      <c r="J1707" s="9" t="s">
        <v>38805</v>
      </c>
      <c r="M1707" s="9" t="s">
        <v>11680</v>
      </c>
    </row>
    <row r="1708" ht="15.75" hidden="1" customHeight="1">
      <c r="A1708" s="9" t="s">
        <v>41790</v>
      </c>
      <c r="B1708" s="9" t="s">
        <v>18376</v>
      </c>
      <c r="D1708" s="9" t="s">
        <v>12239</v>
      </c>
      <c r="F1708" s="9" t="s">
        <v>40678</v>
      </c>
      <c r="G1708" s="9" t="s">
        <v>38946</v>
      </c>
      <c r="H1708" s="127">
        <v>45489.0</v>
      </c>
      <c r="I1708" s="9" t="s">
        <v>131</v>
      </c>
      <c r="J1708" s="9" t="s">
        <v>38805</v>
      </c>
      <c r="M1708" s="9" t="s">
        <v>11680</v>
      </c>
    </row>
    <row r="1709" ht="15.75" hidden="1" customHeight="1">
      <c r="A1709" s="9" t="s">
        <v>41791</v>
      </c>
      <c r="B1709" s="9" t="s">
        <v>21286</v>
      </c>
      <c r="D1709" s="9" t="s">
        <v>12246</v>
      </c>
      <c r="F1709" s="9" t="s">
        <v>41792</v>
      </c>
      <c r="G1709" s="9" t="s">
        <v>38946</v>
      </c>
      <c r="H1709" s="127">
        <v>45490.0</v>
      </c>
      <c r="I1709" s="9" t="s">
        <v>131</v>
      </c>
      <c r="J1709" s="9" t="s">
        <v>38801</v>
      </c>
      <c r="K1709" s="55">
        <v>45490.0</v>
      </c>
      <c r="M1709" s="9" t="s">
        <v>12033</v>
      </c>
    </row>
    <row r="1710" ht="15.75" hidden="1" customHeight="1">
      <c r="A1710" s="9" t="s">
        <v>41793</v>
      </c>
      <c r="B1710" s="9" t="s">
        <v>21286</v>
      </c>
      <c r="D1710" s="9" t="s">
        <v>12248</v>
      </c>
      <c r="F1710" s="9" t="s">
        <v>16599</v>
      </c>
      <c r="G1710" s="9" t="s">
        <v>38946</v>
      </c>
      <c r="H1710" s="127">
        <v>45490.0</v>
      </c>
      <c r="I1710" s="9" t="s">
        <v>131</v>
      </c>
      <c r="J1710" s="9" t="s">
        <v>38801</v>
      </c>
      <c r="K1710" s="55">
        <v>45699.0</v>
      </c>
      <c r="M1710" s="9" t="s">
        <v>12033</v>
      </c>
    </row>
    <row r="1711" ht="15.75" hidden="1" customHeight="1">
      <c r="A1711" s="9" t="s">
        <v>41794</v>
      </c>
      <c r="B1711" s="9" t="s">
        <v>22297</v>
      </c>
      <c r="D1711" s="9" t="s">
        <v>12230</v>
      </c>
      <c r="F1711" s="9" t="s">
        <v>40154</v>
      </c>
      <c r="G1711" s="9" t="s">
        <v>38946</v>
      </c>
      <c r="H1711" s="127">
        <v>45490.0</v>
      </c>
      <c r="I1711" s="9" t="s">
        <v>131</v>
      </c>
      <c r="J1711" s="9" t="s">
        <v>38801</v>
      </c>
      <c r="K1711" s="55">
        <v>45492.0</v>
      </c>
      <c r="M1711" s="9" t="s">
        <v>11431</v>
      </c>
    </row>
    <row r="1712" ht="15.75" customHeight="1">
      <c r="A1712" s="9" t="s">
        <v>41795</v>
      </c>
      <c r="B1712" s="9" t="s">
        <v>14262</v>
      </c>
      <c r="D1712" s="9" t="s">
        <v>12227</v>
      </c>
      <c r="E1712" s="9" t="s">
        <v>38803</v>
      </c>
      <c r="F1712" s="9" t="s">
        <v>41796</v>
      </c>
      <c r="G1712" s="9" t="s">
        <v>38946</v>
      </c>
      <c r="H1712" s="127">
        <v>45491.0</v>
      </c>
      <c r="I1712" s="9" t="s">
        <v>131</v>
      </c>
      <c r="J1712" s="9" t="s">
        <v>38805</v>
      </c>
      <c r="M1712" s="9" t="s">
        <v>11674</v>
      </c>
    </row>
    <row r="1713" ht="15.75" hidden="1" customHeight="1">
      <c r="A1713" s="9" t="s">
        <v>41797</v>
      </c>
      <c r="B1713" s="9" t="s">
        <v>15677</v>
      </c>
      <c r="D1713" s="9" t="s">
        <v>12254</v>
      </c>
      <c r="F1713" s="9" t="s">
        <v>41798</v>
      </c>
      <c r="G1713" s="9" t="s">
        <v>38946</v>
      </c>
      <c r="H1713" s="127">
        <v>45491.0</v>
      </c>
      <c r="I1713" s="9" t="s">
        <v>89</v>
      </c>
      <c r="J1713" s="9" t="s">
        <v>38801</v>
      </c>
      <c r="K1713" s="55">
        <v>45492.0</v>
      </c>
      <c r="M1713" s="9" t="s">
        <v>8291</v>
      </c>
    </row>
    <row r="1714" ht="15.75" hidden="1" customHeight="1">
      <c r="A1714" s="9" t="s">
        <v>41799</v>
      </c>
      <c r="B1714" s="9" t="s">
        <v>14647</v>
      </c>
      <c r="D1714" s="9" t="s">
        <v>12248</v>
      </c>
      <c r="F1714" s="9" t="s">
        <v>41800</v>
      </c>
      <c r="G1714" s="9" t="s">
        <v>38946</v>
      </c>
      <c r="H1714" s="127">
        <v>45502.0</v>
      </c>
      <c r="I1714" s="9" t="s">
        <v>131</v>
      </c>
      <c r="J1714" s="9" t="s">
        <v>38801</v>
      </c>
      <c r="K1714" s="55">
        <v>45502.0</v>
      </c>
      <c r="M1714" s="9" t="s">
        <v>8468</v>
      </c>
    </row>
    <row r="1715" ht="15.75" hidden="1" customHeight="1">
      <c r="A1715" s="9" t="s">
        <v>41801</v>
      </c>
      <c r="B1715" s="9" t="s">
        <v>13291</v>
      </c>
      <c r="D1715" s="9" t="s">
        <v>12258</v>
      </c>
      <c r="F1715" s="9" t="s">
        <v>41802</v>
      </c>
      <c r="G1715" s="9" t="s">
        <v>38946</v>
      </c>
      <c r="H1715" s="127">
        <v>45502.0</v>
      </c>
      <c r="I1715" s="9" t="s">
        <v>26</v>
      </c>
      <c r="J1715" s="9" t="s">
        <v>38801</v>
      </c>
      <c r="K1715" s="55">
        <v>45502.0</v>
      </c>
      <c r="M1715" s="9" t="s">
        <v>252</v>
      </c>
    </row>
    <row r="1716" ht="15.75" hidden="1" customHeight="1">
      <c r="A1716" s="9" t="s">
        <v>41803</v>
      </c>
      <c r="B1716" s="9" t="s">
        <v>19498</v>
      </c>
      <c r="D1716" s="9" t="s">
        <v>12224</v>
      </c>
      <c r="F1716" s="9" t="s">
        <v>41804</v>
      </c>
      <c r="G1716" s="9" t="s">
        <v>38808</v>
      </c>
      <c r="H1716" s="127">
        <v>45504.0</v>
      </c>
      <c r="I1716" s="9" t="s">
        <v>47</v>
      </c>
      <c r="J1716" s="9" t="s">
        <v>38801</v>
      </c>
      <c r="K1716" s="55">
        <v>45504.0</v>
      </c>
      <c r="M1716" s="9" t="s">
        <v>10211</v>
      </c>
    </row>
    <row r="1717" ht="15.75" hidden="1" customHeight="1">
      <c r="A1717" s="9" t="s">
        <v>41805</v>
      </c>
      <c r="B1717" s="9" t="s">
        <v>19371</v>
      </c>
      <c r="D1717" s="9" t="s">
        <v>12250</v>
      </c>
      <c r="F1717" s="9" t="s">
        <v>41806</v>
      </c>
      <c r="G1717" s="9" t="s">
        <v>38946</v>
      </c>
      <c r="H1717" s="127">
        <v>45505.0</v>
      </c>
      <c r="I1717" s="9" t="s">
        <v>26</v>
      </c>
      <c r="J1717" s="9" t="s">
        <v>38801</v>
      </c>
      <c r="K1717" s="55">
        <v>45523.0</v>
      </c>
      <c r="M1717" s="9" t="s">
        <v>9298</v>
      </c>
    </row>
    <row r="1718" ht="15.75" hidden="1" customHeight="1">
      <c r="A1718" s="9" t="s">
        <v>41807</v>
      </c>
      <c r="B1718" s="9" t="s">
        <v>22032</v>
      </c>
      <c r="D1718" s="9" t="s">
        <v>12250</v>
      </c>
      <c r="F1718" s="9" t="s">
        <v>41808</v>
      </c>
      <c r="G1718" s="9" t="s">
        <v>38946</v>
      </c>
      <c r="H1718" s="127">
        <v>45505.0</v>
      </c>
      <c r="I1718" s="9" t="s">
        <v>131</v>
      </c>
      <c r="J1718" s="9" t="s">
        <v>38801</v>
      </c>
      <c r="K1718" s="55">
        <v>45505.0</v>
      </c>
      <c r="M1718" s="9" t="s">
        <v>11389</v>
      </c>
    </row>
    <row r="1719" ht="15.75" hidden="1" customHeight="1">
      <c r="A1719" s="9" t="s">
        <v>41809</v>
      </c>
      <c r="B1719" s="9" t="s">
        <v>15327</v>
      </c>
      <c r="D1719" s="9" t="s">
        <v>12224</v>
      </c>
      <c r="F1719" s="9" t="s">
        <v>41810</v>
      </c>
      <c r="G1719" s="9" t="s">
        <v>38946</v>
      </c>
      <c r="H1719" s="127">
        <v>45505.0</v>
      </c>
      <c r="I1719" s="9" t="s">
        <v>47</v>
      </c>
      <c r="J1719" s="9" t="s">
        <v>38801</v>
      </c>
      <c r="K1719" s="55">
        <v>45505.0</v>
      </c>
      <c r="M1719" s="9" t="s">
        <v>10535</v>
      </c>
    </row>
    <row r="1720" ht="15.75" hidden="1" customHeight="1">
      <c r="A1720" s="52" t="s">
        <v>41811</v>
      </c>
      <c r="B1720" s="9" t="s">
        <v>14489</v>
      </c>
      <c r="D1720" s="9" t="s">
        <v>12230</v>
      </c>
      <c r="F1720" s="9" t="s">
        <v>41812</v>
      </c>
      <c r="G1720" s="9" t="s">
        <v>38808</v>
      </c>
      <c r="H1720" s="127">
        <v>45509.0</v>
      </c>
      <c r="I1720" s="9" t="s">
        <v>47</v>
      </c>
      <c r="J1720" s="9" t="s">
        <v>38801</v>
      </c>
      <c r="K1720" s="55">
        <v>45509.0</v>
      </c>
      <c r="M1720" s="9" t="s">
        <v>3552</v>
      </c>
    </row>
    <row r="1721" ht="15.75" hidden="1" customHeight="1">
      <c r="A1721" s="9" t="s">
        <v>41813</v>
      </c>
      <c r="B1721" s="9" t="s">
        <v>26910</v>
      </c>
      <c r="D1721" s="9" t="s">
        <v>12230</v>
      </c>
      <c r="F1721" s="9" t="s">
        <v>41814</v>
      </c>
      <c r="G1721" s="9" t="s">
        <v>38808</v>
      </c>
      <c r="H1721" s="127">
        <v>45509.0</v>
      </c>
      <c r="I1721" s="9" t="s">
        <v>47</v>
      </c>
      <c r="J1721" s="9" t="s">
        <v>38801</v>
      </c>
      <c r="K1721" s="55">
        <v>45512.0</v>
      </c>
      <c r="M1721" s="9" t="s">
        <v>26916</v>
      </c>
    </row>
    <row r="1722" ht="15.75" hidden="1" customHeight="1">
      <c r="A1722" s="9" t="s">
        <v>41815</v>
      </c>
      <c r="B1722" s="9" t="s">
        <v>18390</v>
      </c>
      <c r="D1722" s="9" t="s">
        <v>12230</v>
      </c>
      <c r="F1722" s="9" t="s">
        <v>41816</v>
      </c>
      <c r="G1722" s="9" t="s">
        <v>38946</v>
      </c>
      <c r="H1722" s="127">
        <v>45509.0</v>
      </c>
      <c r="I1722" s="9" t="s">
        <v>47</v>
      </c>
      <c r="J1722" s="9" t="s">
        <v>38801</v>
      </c>
      <c r="K1722" s="55">
        <v>45509.0</v>
      </c>
      <c r="M1722" s="9" t="s">
        <v>9237</v>
      </c>
    </row>
    <row r="1723" ht="15.75" hidden="1" customHeight="1">
      <c r="A1723" s="9" t="s">
        <v>41817</v>
      </c>
      <c r="B1723" s="9" t="s">
        <v>12936</v>
      </c>
      <c r="D1723" s="9" t="s">
        <v>12230</v>
      </c>
      <c r="F1723" s="9" t="s">
        <v>41818</v>
      </c>
      <c r="G1723" s="9" t="s">
        <v>38808</v>
      </c>
      <c r="H1723" s="127">
        <v>45509.0</v>
      </c>
      <c r="I1723" s="9" t="s">
        <v>47</v>
      </c>
      <c r="J1723" s="9" t="s">
        <v>38801</v>
      </c>
      <c r="K1723" s="55">
        <v>46099.0</v>
      </c>
      <c r="M1723" s="9" t="s">
        <v>10781</v>
      </c>
    </row>
    <row r="1724" ht="15.75" hidden="1" customHeight="1">
      <c r="A1724" s="9" t="s">
        <v>41819</v>
      </c>
      <c r="B1724" s="9" t="s">
        <v>12936</v>
      </c>
      <c r="D1724" s="9" t="s">
        <v>12248</v>
      </c>
      <c r="F1724" s="9" t="s">
        <v>41820</v>
      </c>
      <c r="G1724" s="9" t="s">
        <v>38808</v>
      </c>
      <c r="H1724" s="127">
        <v>45509.0</v>
      </c>
      <c r="I1724" s="9" t="s">
        <v>47</v>
      </c>
      <c r="J1724" s="9" t="s">
        <v>38801</v>
      </c>
      <c r="K1724" s="55">
        <v>46099.0</v>
      </c>
      <c r="M1724" s="9" t="s">
        <v>10781</v>
      </c>
    </row>
    <row r="1725" ht="15.75" hidden="1" customHeight="1">
      <c r="A1725" s="9" t="s">
        <v>41821</v>
      </c>
      <c r="B1725" s="9" t="s">
        <v>13579</v>
      </c>
      <c r="D1725" s="9" t="s">
        <v>12230</v>
      </c>
      <c r="F1725" s="9" t="s">
        <v>41822</v>
      </c>
      <c r="G1725" s="9" t="s">
        <v>38808</v>
      </c>
      <c r="H1725" s="127">
        <v>45509.0</v>
      </c>
      <c r="I1725" s="9" t="s">
        <v>47</v>
      </c>
      <c r="J1725" s="9" t="s">
        <v>38801</v>
      </c>
      <c r="K1725" s="55">
        <v>46094.0</v>
      </c>
      <c r="M1725" s="9" t="s">
        <v>10347</v>
      </c>
    </row>
    <row r="1726" ht="15.75" hidden="1" customHeight="1">
      <c r="A1726" s="9" t="s">
        <v>41823</v>
      </c>
      <c r="B1726" s="9" t="s">
        <v>13579</v>
      </c>
      <c r="D1726" s="9" t="s">
        <v>12248</v>
      </c>
      <c r="F1726" s="9" t="s">
        <v>39901</v>
      </c>
      <c r="G1726" s="9" t="s">
        <v>38808</v>
      </c>
      <c r="H1726" s="127">
        <v>45509.0</v>
      </c>
      <c r="I1726" s="9" t="s">
        <v>47</v>
      </c>
      <c r="J1726" s="9" t="s">
        <v>38801</v>
      </c>
      <c r="K1726" s="55">
        <v>46094.0</v>
      </c>
      <c r="M1726" s="9" t="s">
        <v>10347</v>
      </c>
    </row>
    <row r="1727" ht="15.75" hidden="1" customHeight="1">
      <c r="A1727" s="9" t="s">
        <v>41824</v>
      </c>
      <c r="B1727" s="9" t="s">
        <v>22322</v>
      </c>
      <c r="D1727" s="9" t="s">
        <v>12230</v>
      </c>
      <c r="F1727" s="9" t="s">
        <v>40242</v>
      </c>
      <c r="G1727" s="9" t="s">
        <v>38946</v>
      </c>
      <c r="H1727" s="127">
        <v>45509.0</v>
      </c>
      <c r="I1727" s="9" t="s">
        <v>131</v>
      </c>
      <c r="J1727" s="9" t="s">
        <v>38801</v>
      </c>
      <c r="K1727" s="55">
        <v>45509.0</v>
      </c>
      <c r="M1727" s="9" t="s">
        <v>11435</v>
      </c>
    </row>
    <row r="1728" ht="15.75" hidden="1" customHeight="1">
      <c r="A1728" s="9" t="s">
        <v>41825</v>
      </c>
      <c r="B1728" s="9" t="s">
        <v>22104</v>
      </c>
      <c r="D1728" s="9" t="s">
        <v>12230</v>
      </c>
      <c r="F1728" s="9" t="s">
        <v>41826</v>
      </c>
      <c r="G1728" s="9" t="s">
        <v>38808</v>
      </c>
      <c r="H1728" s="127">
        <v>45510.0</v>
      </c>
      <c r="I1728" s="9" t="s">
        <v>47</v>
      </c>
      <c r="J1728" s="9" t="s">
        <v>38801</v>
      </c>
      <c r="K1728" s="55">
        <v>45510.0</v>
      </c>
      <c r="M1728" s="9" t="s">
        <v>11400</v>
      </c>
    </row>
    <row r="1729" ht="15.75" hidden="1" customHeight="1">
      <c r="A1729" s="9" t="s">
        <v>41827</v>
      </c>
      <c r="B1729" s="9" t="s">
        <v>18390</v>
      </c>
      <c r="D1729" s="9" t="s">
        <v>12250</v>
      </c>
      <c r="F1729" s="9" t="s">
        <v>41828</v>
      </c>
      <c r="G1729" s="9" t="s">
        <v>38946</v>
      </c>
      <c r="H1729" s="127">
        <v>45510.0</v>
      </c>
      <c r="I1729" s="9" t="s">
        <v>47</v>
      </c>
      <c r="J1729" s="9" t="s">
        <v>38801</v>
      </c>
      <c r="K1729" s="55">
        <v>45510.0</v>
      </c>
      <c r="M1729" s="9" t="s">
        <v>9237</v>
      </c>
    </row>
    <row r="1730" ht="15.75" hidden="1" customHeight="1">
      <c r="A1730" s="9" t="s">
        <v>41829</v>
      </c>
      <c r="B1730" s="9" t="s">
        <v>18390</v>
      </c>
      <c r="D1730" s="9" t="s">
        <v>12250</v>
      </c>
      <c r="F1730" s="9" t="s">
        <v>41830</v>
      </c>
      <c r="G1730" s="9" t="s">
        <v>38946</v>
      </c>
      <c r="H1730" s="127">
        <v>45510.0</v>
      </c>
      <c r="I1730" s="9" t="s">
        <v>47</v>
      </c>
      <c r="J1730" s="9" t="s">
        <v>38801</v>
      </c>
      <c r="K1730" s="55">
        <v>45510.0</v>
      </c>
      <c r="M1730" s="9" t="s">
        <v>9054</v>
      </c>
    </row>
    <row r="1731" ht="15.75" hidden="1" customHeight="1">
      <c r="A1731" s="9" t="s">
        <v>41831</v>
      </c>
      <c r="B1731" s="9" t="s">
        <v>13748</v>
      </c>
      <c r="D1731" s="9" t="s">
        <v>12230</v>
      </c>
      <c r="F1731" s="9" t="s">
        <v>41832</v>
      </c>
      <c r="G1731" s="9" t="s">
        <v>38946</v>
      </c>
      <c r="H1731" s="127">
        <v>45512.0</v>
      </c>
      <c r="I1731" s="9" t="s">
        <v>47</v>
      </c>
      <c r="J1731" s="9" t="s">
        <v>38805</v>
      </c>
      <c r="M1731" s="9" t="s">
        <v>7640</v>
      </c>
    </row>
    <row r="1732" ht="15.75" hidden="1" customHeight="1">
      <c r="A1732" s="9" t="s">
        <v>41833</v>
      </c>
      <c r="B1732" s="9" t="s">
        <v>17198</v>
      </c>
      <c r="D1732" s="9" t="s">
        <v>12240</v>
      </c>
      <c r="F1732" s="9" t="s">
        <v>41769</v>
      </c>
      <c r="G1732" s="9" t="s">
        <v>38946</v>
      </c>
      <c r="H1732" s="127">
        <v>45513.0</v>
      </c>
      <c r="I1732" s="9" t="s">
        <v>131</v>
      </c>
      <c r="J1732" s="9" t="s">
        <v>38801</v>
      </c>
      <c r="K1732" s="55">
        <v>45513.0</v>
      </c>
      <c r="M1732" s="9" t="s">
        <v>8900</v>
      </c>
    </row>
    <row r="1733" ht="15.75" hidden="1" customHeight="1">
      <c r="A1733" s="9" t="s">
        <v>41834</v>
      </c>
      <c r="B1733" s="9" t="s">
        <v>20536</v>
      </c>
      <c r="D1733" s="9" t="s">
        <v>12240</v>
      </c>
      <c r="F1733" s="9" t="s">
        <v>41835</v>
      </c>
      <c r="G1733" s="9" t="s">
        <v>38946</v>
      </c>
      <c r="H1733" s="127">
        <v>45513.0</v>
      </c>
      <c r="I1733" s="9" t="s">
        <v>131</v>
      </c>
      <c r="J1733" s="9" t="s">
        <v>38801</v>
      </c>
      <c r="K1733" s="55">
        <v>45513.0</v>
      </c>
      <c r="M1733" s="9" t="s">
        <v>1491</v>
      </c>
    </row>
    <row r="1734" ht="15.75" hidden="1" customHeight="1">
      <c r="A1734" s="9" t="s">
        <v>41836</v>
      </c>
      <c r="B1734" s="9" t="s">
        <v>16488</v>
      </c>
      <c r="D1734" s="9" t="s">
        <v>12240</v>
      </c>
      <c r="F1734" s="9" t="s">
        <v>41835</v>
      </c>
      <c r="G1734" s="9" t="s">
        <v>38946</v>
      </c>
      <c r="H1734" s="127">
        <v>45513.0</v>
      </c>
      <c r="I1734" s="9" t="s">
        <v>131</v>
      </c>
      <c r="J1734" s="9" t="s">
        <v>38801</v>
      </c>
      <c r="K1734" s="55">
        <v>45513.0</v>
      </c>
      <c r="M1734" s="9" t="s">
        <v>6620</v>
      </c>
    </row>
    <row r="1735" ht="15.75" hidden="1" customHeight="1">
      <c r="A1735" s="52" t="s">
        <v>41837</v>
      </c>
      <c r="B1735" s="9" t="s">
        <v>20356</v>
      </c>
      <c r="D1735" s="9" t="s">
        <v>12240</v>
      </c>
      <c r="F1735" s="9" t="s">
        <v>41835</v>
      </c>
      <c r="G1735" s="9" t="s">
        <v>38946</v>
      </c>
      <c r="H1735" s="127">
        <v>45513.0</v>
      </c>
      <c r="I1735" s="9" t="s">
        <v>131</v>
      </c>
      <c r="J1735" s="9" t="s">
        <v>38801</v>
      </c>
      <c r="K1735" s="55">
        <v>45513.0</v>
      </c>
      <c r="M1735" s="9" t="s">
        <v>2679</v>
      </c>
    </row>
    <row r="1736" ht="15.75" hidden="1" customHeight="1">
      <c r="A1736" s="9" t="s">
        <v>41838</v>
      </c>
      <c r="B1736" s="9" t="s">
        <v>20512</v>
      </c>
      <c r="D1736" s="9" t="s">
        <v>12240</v>
      </c>
      <c r="F1736" s="9" t="s">
        <v>41835</v>
      </c>
      <c r="G1736" s="9" t="s">
        <v>38946</v>
      </c>
      <c r="H1736" s="127">
        <v>45513.0</v>
      </c>
      <c r="I1736" s="9" t="s">
        <v>131</v>
      </c>
      <c r="J1736" s="9" t="s">
        <v>38801</v>
      </c>
      <c r="K1736" s="55">
        <v>45513.0</v>
      </c>
      <c r="M1736" s="9" t="s">
        <v>6185</v>
      </c>
    </row>
    <row r="1737" ht="15.75" hidden="1" customHeight="1">
      <c r="A1737" s="9" t="s">
        <v>41839</v>
      </c>
      <c r="B1737" s="9" t="s">
        <v>12882</v>
      </c>
      <c r="D1737" s="9" t="s">
        <v>12240</v>
      </c>
      <c r="F1737" s="9" t="s">
        <v>41835</v>
      </c>
      <c r="G1737" s="9" t="s">
        <v>38946</v>
      </c>
      <c r="H1737" s="127">
        <v>45513.0</v>
      </c>
      <c r="I1737" s="9" t="s">
        <v>131</v>
      </c>
      <c r="J1737" s="9" t="s">
        <v>38801</v>
      </c>
      <c r="K1737" s="55">
        <v>45513.0</v>
      </c>
      <c r="M1737" s="9" t="s">
        <v>2902</v>
      </c>
    </row>
    <row r="1738" ht="15.75" hidden="1" customHeight="1">
      <c r="A1738" s="9" t="s">
        <v>41840</v>
      </c>
      <c r="B1738" s="9" t="s">
        <v>12657</v>
      </c>
      <c r="D1738" s="9" t="s">
        <v>12240</v>
      </c>
      <c r="F1738" s="9" t="s">
        <v>41841</v>
      </c>
      <c r="G1738" s="9" t="s">
        <v>38946</v>
      </c>
      <c r="H1738" s="127">
        <v>45513.0</v>
      </c>
      <c r="I1738" s="9" t="s">
        <v>131</v>
      </c>
      <c r="J1738" s="9" t="s">
        <v>38801</v>
      </c>
      <c r="K1738" s="55">
        <v>45513.0</v>
      </c>
      <c r="M1738" s="9" t="s">
        <v>7380</v>
      </c>
    </row>
    <row r="1739" ht="15.75" hidden="1" customHeight="1">
      <c r="A1739" s="9" t="s">
        <v>41842</v>
      </c>
      <c r="B1739" s="9" t="s">
        <v>15999</v>
      </c>
      <c r="D1739" s="9" t="s">
        <v>12240</v>
      </c>
      <c r="F1739" s="9" t="s">
        <v>41843</v>
      </c>
      <c r="G1739" s="9" t="s">
        <v>38946</v>
      </c>
      <c r="H1739" s="127">
        <v>45513.0</v>
      </c>
      <c r="I1739" s="9" t="s">
        <v>131</v>
      </c>
      <c r="J1739" s="9" t="s">
        <v>38801</v>
      </c>
      <c r="K1739" s="55">
        <v>45513.0</v>
      </c>
      <c r="M1739" s="9" t="s">
        <v>7988</v>
      </c>
    </row>
    <row r="1740" ht="15.75" hidden="1" customHeight="1">
      <c r="A1740" s="9" t="s">
        <v>41844</v>
      </c>
      <c r="B1740" s="9" t="s">
        <v>18082</v>
      </c>
      <c r="D1740" s="9" t="s">
        <v>12240</v>
      </c>
      <c r="F1740" s="9" t="s">
        <v>41843</v>
      </c>
      <c r="G1740" s="9" t="s">
        <v>38946</v>
      </c>
      <c r="H1740" s="127">
        <v>45513.0</v>
      </c>
      <c r="I1740" s="9" t="s">
        <v>131</v>
      </c>
      <c r="J1740" s="9" t="s">
        <v>38801</v>
      </c>
      <c r="K1740" s="55">
        <v>45513.0</v>
      </c>
      <c r="M1740" s="9" t="s">
        <v>2508</v>
      </c>
    </row>
    <row r="1741" ht="15.75" hidden="1" customHeight="1">
      <c r="A1741" s="9" t="s">
        <v>41845</v>
      </c>
      <c r="B1741" s="9" t="s">
        <v>14037</v>
      </c>
      <c r="D1741" s="9" t="s">
        <v>12240</v>
      </c>
      <c r="F1741" s="9" t="s">
        <v>41846</v>
      </c>
      <c r="G1741" s="9" t="s">
        <v>38946</v>
      </c>
      <c r="H1741" s="127">
        <v>45513.0</v>
      </c>
      <c r="I1741" s="9" t="s">
        <v>131</v>
      </c>
      <c r="J1741" s="9" t="s">
        <v>38801</v>
      </c>
      <c r="K1741" s="55">
        <v>45513.0</v>
      </c>
      <c r="M1741" s="9" t="s">
        <v>5472</v>
      </c>
    </row>
    <row r="1742" ht="15.75" hidden="1" customHeight="1">
      <c r="A1742" s="9" t="s">
        <v>41847</v>
      </c>
      <c r="B1742" s="9" t="s">
        <v>15039</v>
      </c>
      <c r="D1742" s="9" t="s">
        <v>12240</v>
      </c>
      <c r="F1742" s="9" t="s">
        <v>41846</v>
      </c>
      <c r="G1742" s="9" t="s">
        <v>38946</v>
      </c>
      <c r="H1742" s="127">
        <v>45513.0</v>
      </c>
      <c r="I1742" s="9" t="s">
        <v>131</v>
      </c>
      <c r="J1742" s="9" t="s">
        <v>38801</v>
      </c>
      <c r="K1742" s="55">
        <v>45513.0</v>
      </c>
      <c r="M1742" s="9" t="s">
        <v>7102</v>
      </c>
    </row>
    <row r="1743" ht="15.75" hidden="1" customHeight="1">
      <c r="A1743" s="9" t="s">
        <v>41848</v>
      </c>
      <c r="B1743" s="9" t="s">
        <v>12646</v>
      </c>
      <c r="D1743" s="9" t="s">
        <v>12240</v>
      </c>
      <c r="F1743" s="9" t="s">
        <v>41846</v>
      </c>
      <c r="G1743" s="9" t="s">
        <v>38946</v>
      </c>
      <c r="H1743" s="127">
        <v>45513.0</v>
      </c>
      <c r="I1743" s="9" t="s">
        <v>131</v>
      </c>
      <c r="J1743" s="9" t="s">
        <v>38801</v>
      </c>
      <c r="K1743" s="55">
        <v>45513.0</v>
      </c>
      <c r="M1743" s="9" t="s">
        <v>4351</v>
      </c>
    </row>
    <row r="1744" ht="15.75" hidden="1" customHeight="1">
      <c r="A1744" s="9" t="s">
        <v>41849</v>
      </c>
      <c r="B1744" s="9" t="s">
        <v>19753</v>
      </c>
      <c r="D1744" s="9" t="s">
        <v>12240</v>
      </c>
      <c r="F1744" s="9" t="s">
        <v>41850</v>
      </c>
      <c r="G1744" s="9" t="s">
        <v>38946</v>
      </c>
      <c r="H1744" s="127">
        <v>45513.0</v>
      </c>
      <c r="I1744" s="9" t="s">
        <v>131</v>
      </c>
      <c r="J1744" s="9" t="s">
        <v>38801</v>
      </c>
      <c r="K1744" s="55">
        <v>45513.0</v>
      </c>
      <c r="M1744" s="9" t="s">
        <v>9583</v>
      </c>
    </row>
    <row r="1745" ht="15.75" hidden="1" customHeight="1">
      <c r="A1745" s="9" t="s">
        <v>41851</v>
      </c>
      <c r="B1745" s="9" t="s">
        <v>17808</v>
      </c>
      <c r="D1745" s="9" t="s">
        <v>12240</v>
      </c>
      <c r="F1745" s="9" t="s">
        <v>41850</v>
      </c>
      <c r="G1745" s="9" t="s">
        <v>38946</v>
      </c>
      <c r="H1745" s="127">
        <v>45513.0</v>
      </c>
      <c r="I1745" s="9" t="s">
        <v>131</v>
      </c>
      <c r="J1745" s="9" t="s">
        <v>38801</v>
      </c>
      <c r="K1745" s="55">
        <v>45513.0</v>
      </c>
      <c r="M1745" s="9" t="s">
        <v>2483</v>
      </c>
    </row>
    <row r="1746" ht="15.75" hidden="1" customHeight="1">
      <c r="A1746" s="9" t="s">
        <v>41852</v>
      </c>
      <c r="B1746" s="9" t="s">
        <v>17994</v>
      </c>
      <c r="D1746" s="9" t="s">
        <v>12240</v>
      </c>
      <c r="F1746" s="9" t="s">
        <v>41850</v>
      </c>
      <c r="G1746" s="9" t="s">
        <v>38946</v>
      </c>
      <c r="H1746" s="127">
        <v>45513.0</v>
      </c>
      <c r="I1746" s="9" t="s">
        <v>131</v>
      </c>
      <c r="J1746" s="9" t="s">
        <v>38801</v>
      </c>
      <c r="K1746" s="55">
        <v>45513.0</v>
      </c>
      <c r="M1746" s="9" t="s">
        <v>4821</v>
      </c>
    </row>
    <row r="1747" ht="15.75" hidden="1" customHeight="1">
      <c r="A1747" s="9" t="s">
        <v>41853</v>
      </c>
      <c r="B1747" s="9" t="s">
        <v>18454</v>
      </c>
      <c r="D1747" s="9" t="s">
        <v>12230</v>
      </c>
      <c r="F1747" s="9" t="s">
        <v>41854</v>
      </c>
      <c r="G1747" s="9" t="s">
        <v>38946</v>
      </c>
      <c r="H1747" s="127">
        <v>45516.0</v>
      </c>
      <c r="I1747" s="9" t="s">
        <v>47</v>
      </c>
      <c r="J1747" s="9" t="s">
        <v>38801</v>
      </c>
      <c r="K1747" s="55">
        <v>45516.0</v>
      </c>
      <c r="M1747" s="9" t="s">
        <v>4935</v>
      </c>
    </row>
    <row r="1748" ht="15.75" hidden="1" customHeight="1">
      <c r="A1748" s="9" t="s">
        <v>41855</v>
      </c>
      <c r="B1748" s="9" t="s">
        <v>22336</v>
      </c>
      <c r="D1748" s="9" t="s">
        <v>12239</v>
      </c>
      <c r="F1748" s="9" t="s">
        <v>40678</v>
      </c>
      <c r="G1748" s="9" t="s">
        <v>38946</v>
      </c>
      <c r="H1748" s="127">
        <v>45516.0</v>
      </c>
      <c r="I1748" s="9" t="s">
        <v>131</v>
      </c>
      <c r="J1748" s="9" t="s">
        <v>38801</v>
      </c>
      <c r="K1748" s="55">
        <v>45547.0</v>
      </c>
      <c r="M1748" s="9" t="s">
        <v>11437</v>
      </c>
    </row>
    <row r="1749" ht="15.75" hidden="1" customHeight="1">
      <c r="A1749" s="9" t="s">
        <v>41856</v>
      </c>
      <c r="B1749" s="9" t="s">
        <v>14175</v>
      </c>
      <c r="D1749" s="9" t="s">
        <v>12230</v>
      </c>
      <c r="F1749" s="9" t="s">
        <v>41857</v>
      </c>
      <c r="G1749" s="9" t="s">
        <v>38808</v>
      </c>
      <c r="H1749" s="127">
        <v>45518.0</v>
      </c>
      <c r="I1749" s="9" t="s">
        <v>47</v>
      </c>
      <c r="J1749" s="9" t="s">
        <v>38801</v>
      </c>
      <c r="K1749" s="55">
        <v>45518.0</v>
      </c>
      <c r="M1749" s="9" t="s">
        <v>10384</v>
      </c>
    </row>
    <row r="1750" ht="15.75" hidden="1" customHeight="1">
      <c r="A1750" s="9" t="s">
        <v>41858</v>
      </c>
      <c r="B1750" s="9" t="s">
        <v>21999</v>
      </c>
      <c r="D1750" s="9" t="s">
        <v>12230</v>
      </c>
      <c r="F1750" s="9" t="s">
        <v>40154</v>
      </c>
      <c r="G1750" s="9" t="s">
        <v>38946</v>
      </c>
      <c r="H1750" s="127">
        <v>45523.0</v>
      </c>
      <c r="I1750" s="9" t="s">
        <v>131</v>
      </c>
      <c r="J1750" s="9" t="s">
        <v>38801</v>
      </c>
      <c r="K1750" s="55">
        <v>45525.0</v>
      </c>
      <c r="M1750" s="9" t="s">
        <v>11385</v>
      </c>
    </row>
    <row r="1751" ht="15.75" hidden="1" customHeight="1">
      <c r="A1751" s="9" t="s">
        <v>41859</v>
      </c>
      <c r="B1751" s="9" t="s">
        <v>18376</v>
      </c>
      <c r="D1751" s="9" t="s">
        <v>12240</v>
      </c>
      <c r="F1751" s="9" t="s">
        <v>41860</v>
      </c>
      <c r="G1751" s="9" t="s">
        <v>38946</v>
      </c>
      <c r="H1751" s="127">
        <v>45523.0</v>
      </c>
      <c r="I1751" s="9" t="s">
        <v>26</v>
      </c>
      <c r="J1751" s="9" t="s">
        <v>38801</v>
      </c>
      <c r="K1751" s="55">
        <v>45523.0</v>
      </c>
      <c r="M1751" s="9" t="s">
        <v>11680</v>
      </c>
    </row>
    <row r="1752" ht="15.75" hidden="1" customHeight="1">
      <c r="A1752" s="9" t="s">
        <v>41861</v>
      </c>
      <c r="B1752" s="9" t="s">
        <v>12963</v>
      </c>
      <c r="D1752" s="9" t="s">
        <v>12240</v>
      </c>
      <c r="F1752" s="9" t="s">
        <v>41860</v>
      </c>
      <c r="G1752" s="9" t="s">
        <v>38946</v>
      </c>
      <c r="H1752" s="127">
        <v>45523.0</v>
      </c>
      <c r="I1752" s="9" t="s">
        <v>26</v>
      </c>
      <c r="J1752" s="9" t="s">
        <v>38801</v>
      </c>
      <c r="K1752" s="55">
        <v>45523.0</v>
      </c>
      <c r="M1752" s="9" t="s">
        <v>10303</v>
      </c>
    </row>
    <row r="1753" ht="15.75" hidden="1" customHeight="1">
      <c r="A1753" s="9" t="s">
        <v>41862</v>
      </c>
      <c r="B1753" s="9" t="s">
        <v>18028</v>
      </c>
      <c r="D1753" s="9" t="s">
        <v>12240</v>
      </c>
      <c r="F1753" s="9" t="s">
        <v>41860</v>
      </c>
      <c r="G1753" s="9" t="s">
        <v>38946</v>
      </c>
      <c r="H1753" s="127">
        <v>45523.0</v>
      </c>
      <c r="I1753" s="9" t="s">
        <v>26</v>
      </c>
      <c r="J1753" s="9" t="s">
        <v>38801</v>
      </c>
      <c r="K1753" s="55">
        <v>45523.0</v>
      </c>
      <c r="M1753" s="9" t="s">
        <v>6444</v>
      </c>
    </row>
    <row r="1754" ht="15.75" hidden="1" customHeight="1">
      <c r="A1754" s="9" t="s">
        <v>41863</v>
      </c>
      <c r="B1754" s="9" t="s">
        <v>22336</v>
      </c>
      <c r="D1754" s="9" t="s">
        <v>12240</v>
      </c>
      <c r="F1754" s="9" t="s">
        <v>41860</v>
      </c>
      <c r="G1754" s="9" t="s">
        <v>38946</v>
      </c>
      <c r="H1754" s="127">
        <v>45523.0</v>
      </c>
      <c r="I1754" s="9" t="s">
        <v>26</v>
      </c>
      <c r="J1754" s="9" t="s">
        <v>38801</v>
      </c>
      <c r="K1754" s="55">
        <v>45523.0</v>
      </c>
      <c r="M1754" s="9" t="s">
        <v>11437</v>
      </c>
    </row>
    <row r="1755" ht="15.75" customHeight="1">
      <c r="A1755" s="9" t="s">
        <v>41864</v>
      </c>
      <c r="B1755" s="9" t="s">
        <v>17945</v>
      </c>
      <c r="D1755" s="9" t="s">
        <v>12227</v>
      </c>
      <c r="E1755" s="9" t="s">
        <v>38803</v>
      </c>
      <c r="F1755" s="9" t="s">
        <v>41865</v>
      </c>
      <c r="G1755" s="9" t="s">
        <v>38800</v>
      </c>
      <c r="H1755" s="127">
        <v>45524.0</v>
      </c>
      <c r="I1755" s="9" t="s">
        <v>26</v>
      </c>
      <c r="J1755" s="9" t="s">
        <v>38805</v>
      </c>
      <c r="M1755" s="9" t="s">
        <v>2385</v>
      </c>
    </row>
    <row r="1756" ht="15.75" hidden="1" customHeight="1">
      <c r="A1756" s="9" t="s">
        <v>41866</v>
      </c>
      <c r="B1756" s="9" t="s">
        <v>15751</v>
      </c>
      <c r="D1756" s="9" t="s">
        <v>12248</v>
      </c>
      <c r="F1756" s="9" t="s">
        <v>41867</v>
      </c>
      <c r="G1756" s="9" t="s">
        <v>38946</v>
      </c>
      <c r="H1756" s="127">
        <v>45524.0</v>
      </c>
      <c r="I1756" s="9" t="s">
        <v>131</v>
      </c>
      <c r="J1756" s="9" t="s">
        <v>38801</v>
      </c>
      <c r="K1756" s="55">
        <v>45524.0</v>
      </c>
      <c r="M1756" s="9" t="s">
        <v>10707</v>
      </c>
    </row>
    <row r="1757" ht="15.75" hidden="1" customHeight="1">
      <c r="A1757" s="9" t="s">
        <v>41868</v>
      </c>
      <c r="B1757" s="9" t="s">
        <v>22346</v>
      </c>
      <c r="D1757" s="9" t="s">
        <v>12230</v>
      </c>
      <c r="F1757" s="9" t="s">
        <v>39790</v>
      </c>
      <c r="G1757" s="9" t="s">
        <v>38808</v>
      </c>
      <c r="H1757" s="127">
        <v>45527.0</v>
      </c>
      <c r="I1757" s="9" t="s">
        <v>47</v>
      </c>
      <c r="J1757" s="9" t="s">
        <v>38801</v>
      </c>
      <c r="K1757" s="55">
        <v>45527.0</v>
      </c>
      <c r="M1757" s="9" t="s">
        <v>11439</v>
      </c>
    </row>
    <row r="1758" ht="15.75" hidden="1" customHeight="1">
      <c r="A1758" s="9" t="s">
        <v>41869</v>
      </c>
      <c r="B1758" s="9" t="s">
        <v>22346</v>
      </c>
      <c r="D1758" s="9" t="s">
        <v>12224</v>
      </c>
      <c r="F1758" s="9" t="s">
        <v>41870</v>
      </c>
      <c r="G1758" s="9" t="s">
        <v>38808</v>
      </c>
      <c r="H1758" s="127">
        <v>45527.0</v>
      </c>
      <c r="I1758" s="9" t="s">
        <v>47</v>
      </c>
      <c r="J1758" s="9" t="s">
        <v>38801</v>
      </c>
      <c r="K1758" s="55">
        <v>45527.0</v>
      </c>
      <c r="M1758" s="9" t="s">
        <v>11439</v>
      </c>
    </row>
    <row r="1759" ht="15.75" hidden="1" customHeight="1">
      <c r="A1759" s="9" t="s">
        <v>41871</v>
      </c>
      <c r="B1759" s="9" t="s">
        <v>22372</v>
      </c>
      <c r="D1759" s="9" t="s">
        <v>12230</v>
      </c>
      <c r="F1759" s="9" t="s">
        <v>40154</v>
      </c>
      <c r="G1759" s="9" t="s">
        <v>38946</v>
      </c>
      <c r="H1759" s="127">
        <v>45530.0</v>
      </c>
      <c r="I1759" s="9" t="s">
        <v>131</v>
      </c>
      <c r="J1759" s="9" t="s">
        <v>38801</v>
      </c>
      <c r="K1759" s="55">
        <v>45530.0</v>
      </c>
      <c r="M1759" s="9" t="s">
        <v>11443</v>
      </c>
    </row>
    <row r="1760" ht="15.75" hidden="1" customHeight="1">
      <c r="A1760" s="9" t="s">
        <v>41872</v>
      </c>
      <c r="B1760" s="9" t="s">
        <v>15039</v>
      </c>
      <c r="D1760" s="9" t="s">
        <v>12236</v>
      </c>
      <c r="F1760" s="9" t="s">
        <v>41873</v>
      </c>
      <c r="G1760" s="9" t="s">
        <v>38946</v>
      </c>
      <c r="H1760" s="127">
        <v>45530.0</v>
      </c>
      <c r="I1760" s="9" t="s">
        <v>131</v>
      </c>
      <c r="J1760" s="9" t="s">
        <v>38801</v>
      </c>
      <c r="K1760" s="55">
        <v>45530.0</v>
      </c>
      <c r="M1760" s="9" t="s">
        <v>2944</v>
      </c>
    </row>
    <row r="1761" ht="15.75" hidden="1" customHeight="1">
      <c r="A1761" s="9" t="s">
        <v>41874</v>
      </c>
      <c r="B1761" s="9" t="s">
        <v>22372</v>
      </c>
      <c r="D1761" s="9" t="s">
        <v>12250</v>
      </c>
      <c r="F1761" s="9" t="s">
        <v>41875</v>
      </c>
      <c r="G1761" s="9" t="s">
        <v>38808</v>
      </c>
      <c r="H1761" s="127">
        <v>45530.0</v>
      </c>
      <c r="I1761" s="9" t="s">
        <v>131</v>
      </c>
      <c r="J1761" s="9" t="s">
        <v>38801</v>
      </c>
      <c r="K1761" s="55">
        <v>45530.0</v>
      </c>
      <c r="M1761" s="9" t="s">
        <v>11443</v>
      </c>
    </row>
    <row r="1762" ht="15.75" hidden="1" customHeight="1">
      <c r="A1762" s="9" t="s">
        <v>41876</v>
      </c>
      <c r="B1762" s="9" t="s">
        <v>22372</v>
      </c>
      <c r="D1762" s="9" t="s">
        <v>12239</v>
      </c>
      <c r="F1762" s="9" t="s">
        <v>40678</v>
      </c>
      <c r="G1762" s="9" t="s">
        <v>38946</v>
      </c>
      <c r="H1762" s="127">
        <v>45530.0</v>
      </c>
      <c r="I1762" s="9" t="s">
        <v>131</v>
      </c>
      <c r="J1762" s="9" t="s">
        <v>38801</v>
      </c>
      <c r="K1762" s="55">
        <v>45547.0</v>
      </c>
      <c r="M1762" s="9" t="s">
        <v>11443</v>
      </c>
    </row>
    <row r="1763" ht="15.75" hidden="1" customHeight="1">
      <c r="A1763" s="9" t="s">
        <v>41877</v>
      </c>
      <c r="B1763" s="9" t="s">
        <v>22274</v>
      </c>
      <c r="D1763" s="9" t="s">
        <v>12240</v>
      </c>
      <c r="F1763" s="9" t="s">
        <v>41878</v>
      </c>
      <c r="G1763" s="9" t="s">
        <v>38946</v>
      </c>
      <c r="H1763" s="127">
        <v>45532.0</v>
      </c>
      <c r="I1763" s="9" t="s">
        <v>26</v>
      </c>
      <c r="J1763" s="9" t="s">
        <v>38801</v>
      </c>
      <c r="K1763" s="55">
        <v>45532.0</v>
      </c>
      <c r="M1763" s="9" t="s">
        <v>3158</v>
      </c>
    </row>
    <row r="1764" ht="15.75" hidden="1" customHeight="1">
      <c r="A1764" s="9" t="s">
        <v>41879</v>
      </c>
      <c r="B1764" s="9" t="s">
        <v>16550</v>
      </c>
      <c r="D1764" s="9" t="s">
        <v>12230</v>
      </c>
      <c r="F1764" s="9" t="s">
        <v>41880</v>
      </c>
      <c r="G1764" s="9" t="s">
        <v>38808</v>
      </c>
      <c r="H1764" s="127">
        <v>45532.0</v>
      </c>
      <c r="I1764" s="9" t="s">
        <v>47</v>
      </c>
      <c r="J1764" s="9" t="s">
        <v>38801</v>
      </c>
      <c r="K1764" s="55">
        <v>45532.0</v>
      </c>
      <c r="M1764" s="9" t="s">
        <v>11834</v>
      </c>
    </row>
    <row r="1765" ht="15.75" hidden="1" customHeight="1">
      <c r="A1765" s="9" t="s">
        <v>41881</v>
      </c>
      <c r="B1765" s="9" t="s">
        <v>16550</v>
      </c>
      <c r="D1765" s="9" t="s">
        <v>12248</v>
      </c>
      <c r="F1765" s="9" t="s">
        <v>41882</v>
      </c>
      <c r="G1765" s="9" t="s">
        <v>38808</v>
      </c>
      <c r="H1765" s="127">
        <v>45532.0</v>
      </c>
      <c r="I1765" s="9" t="s">
        <v>47</v>
      </c>
      <c r="J1765" s="9" t="s">
        <v>38801</v>
      </c>
      <c r="K1765" s="55">
        <v>45532.0</v>
      </c>
      <c r="M1765" s="9" t="s">
        <v>11834</v>
      </c>
    </row>
    <row r="1766" ht="15.75" hidden="1" customHeight="1">
      <c r="A1766" s="9" t="s">
        <v>41883</v>
      </c>
      <c r="B1766" s="9" t="s">
        <v>13052</v>
      </c>
      <c r="D1766" s="9" t="s">
        <v>12248</v>
      </c>
      <c r="F1766" s="9" t="s">
        <v>41884</v>
      </c>
      <c r="G1766" s="9" t="s">
        <v>38946</v>
      </c>
      <c r="H1766" s="127">
        <v>45533.0</v>
      </c>
      <c r="I1766" s="9" t="s">
        <v>131</v>
      </c>
      <c r="J1766" s="9" t="s">
        <v>38801</v>
      </c>
      <c r="K1766" s="55">
        <v>46099.0</v>
      </c>
      <c r="M1766" s="9" t="s">
        <v>10079</v>
      </c>
    </row>
    <row r="1767" ht="15.75" hidden="1" customHeight="1">
      <c r="A1767" s="9" t="s">
        <v>41885</v>
      </c>
      <c r="B1767" s="9" t="s">
        <v>22336</v>
      </c>
      <c r="D1767" s="9" t="s">
        <v>12259</v>
      </c>
      <c r="F1767" s="9" t="s">
        <v>41886</v>
      </c>
      <c r="G1767" s="9" t="s">
        <v>38808</v>
      </c>
      <c r="H1767" s="127">
        <v>45533.0</v>
      </c>
      <c r="I1767" s="9" t="s">
        <v>47</v>
      </c>
      <c r="J1767" s="9" t="s">
        <v>38801</v>
      </c>
      <c r="K1767" s="55">
        <v>45533.0</v>
      </c>
      <c r="M1767" s="9" t="s">
        <v>11437</v>
      </c>
    </row>
    <row r="1768" ht="15.75" hidden="1" customHeight="1">
      <c r="A1768" s="9" t="s">
        <v>41887</v>
      </c>
      <c r="B1768" s="9" t="s">
        <v>22159</v>
      </c>
      <c r="D1768" s="9" t="s">
        <v>12239</v>
      </c>
      <c r="F1768" s="9" t="s">
        <v>40678</v>
      </c>
      <c r="G1768" s="9" t="s">
        <v>38946</v>
      </c>
      <c r="H1768" s="127">
        <v>45534.0</v>
      </c>
      <c r="I1768" s="9" t="s">
        <v>131</v>
      </c>
      <c r="J1768" s="9" t="s">
        <v>38801</v>
      </c>
      <c r="K1768" s="55">
        <v>45534.0</v>
      </c>
      <c r="M1768" s="9" t="s">
        <v>260</v>
      </c>
    </row>
    <row r="1769" ht="15.75" hidden="1" customHeight="1">
      <c r="A1769" s="9" t="s">
        <v>41888</v>
      </c>
      <c r="B1769" s="9" t="s">
        <v>16847</v>
      </c>
      <c r="D1769" s="9" t="s">
        <v>12236</v>
      </c>
      <c r="F1769" s="9" t="s">
        <v>40565</v>
      </c>
      <c r="G1769" s="9" t="s">
        <v>38946</v>
      </c>
      <c r="H1769" s="127">
        <v>45534.0</v>
      </c>
      <c r="I1769" s="9" t="s">
        <v>131</v>
      </c>
      <c r="J1769" s="9" t="s">
        <v>38801</v>
      </c>
      <c r="K1769" s="55">
        <v>45534.0</v>
      </c>
      <c r="M1769" s="9" t="s">
        <v>10531</v>
      </c>
    </row>
    <row r="1770" ht="15.75" hidden="1" customHeight="1">
      <c r="A1770" s="9" t="s">
        <v>41889</v>
      </c>
      <c r="B1770" s="9" t="s">
        <v>14777</v>
      </c>
      <c r="D1770" s="9" t="s">
        <v>12230</v>
      </c>
      <c r="F1770" s="9" t="s">
        <v>41890</v>
      </c>
      <c r="G1770" s="9" t="s">
        <v>38808</v>
      </c>
      <c r="H1770" s="127">
        <v>45537.0</v>
      </c>
      <c r="I1770" s="9" t="s">
        <v>47</v>
      </c>
      <c r="J1770" s="9" t="s">
        <v>38801</v>
      </c>
      <c r="K1770" s="55">
        <v>45537.0</v>
      </c>
      <c r="M1770" s="9" t="s">
        <v>8100</v>
      </c>
    </row>
    <row r="1771" ht="15.75" hidden="1" customHeight="1">
      <c r="A1771" s="9" t="s">
        <v>41891</v>
      </c>
      <c r="B1771" s="9" t="s">
        <v>22336</v>
      </c>
      <c r="D1771" s="9" t="s">
        <v>12258</v>
      </c>
      <c r="F1771" s="9" t="s">
        <v>41892</v>
      </c>
      <c r="G1771" s="9" t="s">
        <v>38946</v>
      </c>
      <c r="H1771" s="127">
        <v>45537.0</v>
      </c>
      <c r="I1771" s="9" t="s">
        <v>47</v>
      </c>
      <c r="J1771" s="9" t="s">
        <v>38801</v>
      </c>
      <c r="K1771" s="55">
        <v>45537.0</v>
      </c>
      <c r="M1771" s="9" t="s">
        <v>11437</v>
      </c>
    </row>
    <row r="1772" ht="15.75" hidden="1" customHeight="1">
      <c r="A1772" s="9" t="s">
        <v>41893</v>
      </c>
      <c r="B1772" s="9" t="s">
        <v>14460</v>
      </c>
      <c r="D1772" s="9" t="s">
        <v>12250</v>
      </c>
      <c r="F1772" s="9" t="s">
        <v>41894</v>
      </c>
      <c r="G1772" s="9" t="s">
        <v>38946</v>
      </c>
      <c r="H1772" s="127">
        <v>45539.0</v>
      </c>
      <c r="I1772" s="9" t="s">
        <v>47</v>
      </c>
      <c r="J1772" s="9" t="s">
        <v>38801</v>
      </c>
      <c r="K1772" s="55">
        <v>45545.0</v>
      </c>
      <c r="M1772" s="9" t="s">
        <v>3079</v>
      </c>
    </row>
    <row r="1773" ht="15.75" hidden="1" customHeight="1">
      <c r="A1773" s="9" t="s">
        <v>41895</v>
      </c>
      <c r="B1773" s="9" t="s">
        <v>12599</v>
      </c>
      <c r="D1773" s="9" t="s">
        <v>12248</v>
      </c>
      <c r="F1773" s="9" t="s">
        <v>41896</v>
      </c>
      <c r="G1773" s="9" t="s">
        <v>38808</v>
      </c>
      <c r="H1773" s="127">
        <v>45539.0</v>
      </c>
      <c r="I1773" s="9" t="s">
        <v>47</v>
      </c>
      <c r="J1773" s="9" t="s">
        <v>38801</v>
      </c>
      <c r="K1773" s="55">
        <v>46100.0</v>
      </c>
      <c r="M1773" s="9" t="s">
        <v>11526</v>
      </c>
    </row>
    <row r="1774" ht="15.75" hidden="1" customHeight="1">
      <c r="A1774" s="9" t="s">
        <v>41897</v>
      </c>
      <c r="B1774" s="9" t="s">
        <v>12440</v>
      </c>
      <c r="D1774" s="9" t="s">
        <v>12246</v>
      </c>
      <c r="F1774" s="9" t="s">
        <v>41898</v>
      </c>
      <c r="G1774" s="9" t="s">
        <v>38808</v>
      </c>
      <c r="H1774" s="127">
        <v>45539.0</v>
      </c>
      <c r="I1774" s="9" t="s">
        <v>47</v>
      </c>
      <c r="J1774" s="9" t="s">
        <v>38801</v>
      </c>
      <c r="K1774" s="55">
        <v>46100.0</v>
      </c>
      <c r="M1774" s="9" t="s">
        <v>9268</v>
      </c>
    </row>
    <row r="1775" ht="15.75" hidden="1" customHeight="1">
      <c r="A1775" s="9" t="s">
        <v>41899</v>
      </c>
      <c r="B1775" s="9" t="s">
        <v>12440</v>
      </c>
      <c r="D1775" s="9" t="s">
        <v>12230</v>
      </c>
      <c r="F1775" s="9" t="s">
        <v>41898</v>
      </c>
      <c r="G1775" s="9" t="s">
        <v>38808</v>
      </c>
      <c r="H1775" s="127">
        <v>45539.0</v>
      </c>
      <c r="I1775" s="9" t="s">
        <v>47</v>
      </c>
      <c r="J1775" s="9" t="s">
        <v>38801</v>
      </c>
      <c r="K1775" s="55">
        <v>46100.0</v>
      </c>
      <c r="M1775" s="9" t="s">
        <v>9268</v>
      </c>
    </row>
    <row r="1776" ht="15.75" customHeight="1">
      <c r="A1776" s="9" t="s">
        <v>41900</v>
      </c>
      <c r="B1776" s="9" t="s">
        <v>17524</v>
      </c>
      <c r="D1776" s="9" t="s">
        <v>12227</v>
      </c>
      <c r="E1776" s="9" t="s">
        <v>38803</v>
      </c>
      <c r="F1776" s="9" t="s">
        <v>41901</v>
      </c>
      <c r="G1776" s="9" t="s">
        <v>38808</v>
      </c>
      <c r="H1776" s="127">
        <v>45539.0</v>
      </c>
      <c r="I1776" s="9" t="s">
        <v>47</v>
      </c>
      <c r="J1776" s="9" t="s">
        <v>38805</v>
      </c>
      <c r="K1776" s="55"/>
      <c r="M1776" s="9" t="s">
        <v>11911</v>
      </c>
    </row>
    <row r="1777" ht="15.75" hidden="1" customHeight="1">
      <c r="A1777" s="9" t="s">
        <v>41902</v>
      </c>
      <c r="B1777" s="9" t="s">
        <v>22410</v>
      </c>
      <c r="D1777" s="9" t="s">
        <v>12239</v>
      </c>
      <c r="F1777" s="9" t="s">
        <v>40678</v>
      </c>
      <c r="G1777" s="9" t="s">
        <v>38946</v>
      </c>
      <c r="H1777" s="127">
        <v>45544.0</v>
      </c>
      <c r="I1777" s="9" t="s">
        <v>131</v>
      </c>
      <c r="J1777" s="9" t="s">
        <v>38801</v>
      </c>
      <c r="K1777" s="55">
        <v>45555.0</v>
      </c>
      <c r="M1777" s="9" t="s">
        <v>11450</v>
      </c>
    </row>
    <row r="1778" ht="15.75" hidden="1" customHeight="1">
      <c r="A1778" s="9" t="s">
        <v>41903</v>
      </c>
      <c r="B1778" s="9" t="s">
        <v>12832</v>
      </c>
      <c r="D1778" s="9" t="s">
        <v>12248</v>
      </c>
      <c r="F1778" s="9" t="s">
        <v>41904</v>
      </c>
      <c r="G1778" s="9" t="s">
        <v>38946</v>
      </c>
      <c r="H1778" s="127">
        <v>45544.0</v>
      </c>
      <c r="I1778" s="9" t="s">
        <v>131</v>
      </c>
      <c r="J1778" s="9" t="s">
        <v>38801</v>
      </c>
      <c r="K1778" s="55">
        <v>46100.0</v>
      </c>
      <c r="M1778" s="9" t="s">
        <v>10664</v>
      </c>
    </row>
    <row r="1779" ht="15.75" hidden="1" customHeight="1">
      <c r="A1779" s="9" t="s">
        <v>41905</v>
      </c>
      <c r="B1779" s="9" t="s">
        <v>22424</v>
      </c>
      <c r="D1779" s="9" t="s">
        <v>12230</v>
      </c>
      <c r="F1779" s="9" t="s">
        <v>41368</v>
      </c>
      <c r="G1779" s="9" t="s">
        <v>38946</v>
      </c>
      <c r="H1779" s="127">
        <v>45544.0</v>
      </c>
      <c r="I1779" s="9" t="s">
        <v>131</v>
      </c>
      <c r="J1779" s="9" t="s">
        <v>38801</v>
      </c>
      <c r="K1779" s="55">
        <v>45544.0</v>
      </c>
      <c r="M1779" s="9" t="s">
        <v>11452</v>
      </c>
    </row>
    <row r="1780" ht="15.75" hidden="1" customHeight="1">
      <c r="A1780" s="9" t="s">
        <v>41906</v>
      </c>
      <c r="B1780" s="9" t="s">
        <v>12897</v>
      </c>
      <c r="D1780" s="9" t="s">
        <v>12254</v>
      </c>
      <c r="F1780" s="9" t="s">
        <v>41907</v>
      </c>
      <c r="G1780" s="9" t="s">
        <v>38946</v>
      </c>
      <c r="H1780" s="127">
        <v>45542.0</v>
      </c>
      <c r="I1780" s="9" t="s">
        <v>89</v>
      </c>
      <c r="J1780" s="9" t="s">
        <v>38801</v>
      </c>
      <c r="K1780" s="55">
        <v>45545.0</v>
      </c>
      <c r="M1780" s="52" t="s">
        <v>12886</v>
      </c>
    </row>
    <row r="1781" ht="15.75" hidden="1" customHeight="1">
      <c r="A1781" s="9" t="s">
        <v>41908</v>
      </c>
      <c r="B1781" s="9" t="s">
        <v>22359</v>
      </c>
      <c r="D1781" s="9" t="s">
        <v>12254</v>
      </c>
      <c r="F1781" s="9" t="s">
        <v>41909</v>
      </c>
      <c r="G1781" s="9" t="s">
        <v>38946</v>
      </c>
      <c r="H1781" s="127">
        <v>45542.0</v>
      </c>
      <c r="I1781" s="9" t="s">
        <v>89</v>
      </c>
      <c r="J1781" s="9" t="s">
        <v>38801</v>
      </c>
      <c r="K1781" s="55">
        <v>45545.0</v>
      </c>
      <c r="M1781" s="9" t="s">
        <v>11441</v>
      </c>
    </row>
    <row r="1782" ht="15.75" hidden="1" customHeight="1">
      <c r="A1782" s="9" t="s">
        <v>41910</v>
      </c>
      <c r="B1782" s="9" t="s">
        <v>12340</v>
      </c>
      <c r="D1782" s="9" t="s">
        <v>12254</v>
      </c>
      <c r="F1782" s="9" t="s">
        <v>41911</v>
      </c>
      <c r="G1782" s="9" t="s">
        <v>38946</v>
      </c>
      <c r="H1782" s="127">
        <v>45542.0</v>
      </c>
      <c r="I1782" s="9" t="s">
        <v>89</v>
      </c>
      <c r="J1782" s="9" t="s">
        <v>38801</v>
      </c>
      <c r="K1782" s="55">
        <v>45545.0</v>
      </c>
      <c r="M1782" s="9" t="s">
        <v>11748</v>
      </c>
    </row>
    <row r="1783" ht="15.75" hidden="1" customHeight="1">
      <c r="A1783" s="9" t="s">
        <v>41912</v>
      </c>
      <c r="B1783" s="9" t="s">
        <v>15029</v>
      </c>
      <c r="D1783" s="9" t="s">
        <v>12254</v>
      </c>
      <c r="F1783" s="9" t="s">
        <v>41913</v>
      </c>
      <c r="G1783" s="9" t="s">
        <v>38946</v>
      </c>
      <c r="H1783" s="127">
        <v>45542.0</v>
      </c>
      <c r="I1783" s="9" t="s">
        <v>89</v>
      </c>
      <c r="J1783" s="9" t="s">
        <v>38801</v>
      </c>
      <c r="K1783" s="55">
        <v>45545.0</v>
      </c>
      <c r="M1783" s="9" t="s">
        <v>4800</v>
      </c>
    </row>
    <row r="1784" ht="15.75" hidden="1" customHeight="1">
      <c r="A1784" s="9" t="s">
        <v>41914</v>
      </c>
      <c r="B1784" s="9" t="s">
        <v>14562</v>
      </c>
      <c r="D1784" s="9" t="s">
        <v>12254</v>
      </c>
      <c r="F1784" s="9" t="s">
        <v>41915</v>
      </c>
      <c r="G1784" s="9" t="s">
        <v>38946</v>
      </c>
      <c r="H1784" s="127">
        <v>45542.0</v>
      </c>
      <c r="I1784" s="9" t="s">
        <v>89</v>
      </c>
      <c r="J1784" s="9" t="s">
        <v>38801</v>
      </c>
      <c r="K1784" s="55">
        <v>45551.0</v>
      </c>
      <c r="M1784" s="9" t="s">
        <v>11893</v>
      </c>
    </row>
    <row r="1785" ht="15.75" hidden="1" customHeight="1">
      <c r="A1785" s="9" t="s">
        <v>41916</v>
      </c>
      <c r="B1785" s="9" t="s">
        <v>13012</v>
      </c>
      <c r="D1785" s="9" t="s">
        <v>12248</v>
      </c>
      <c r="F1785" s="9" t="s">
        <v>41917</v>
      </c>
      <c r="G1785" s="9" t="s">
        <v>38808</v>
      </c>
      <c r="H1785" s="127">
        <v>45545.0</v>
      </c>
      <c r="I1785" s="9" t="s">
        <v>47</v>
      </c>
      <c r="J1785" s="9" t="s">
        <v>38801</v>
      </c>
      <c r="K1785" s="55">
        <v>46099.0</v>
      </c>
      <c r="M1785" s="9" t="s">
        <v>10674</v>
      </c>
    </row>
    <row r="1786" ht="15.75" hidden="1" customHeight="1">
      <c r="A1786" s="9" t="s">
        <v>41918</v>
      </c>
      <c r="B1786" s="9" t="s">
        <v>22387</v>
      </c>
      <c r="D1786" s="9" t="s">
        <v>12239</v>
      </c>
      <c r="F1786" s="9" t="s">
        <v>40678</v>
      </c>
      <c r="G1786" s="9" t="s">
        <v>38946</v>
      </c>
      <c r="H1786" s="127">
        <v>45548.0</v>
      </c>
      <c r="I1786" s="9" t="s">
        <v>131</v>
      </c>
      <c r="J1786" s="9" t="s">
        <v>38801</v>
      </c>
      <c r="K1786" s="55">
        <v>45667.0</v>
      </c>
      <c r="M1786" s="9" t="s">
        <v>11445</v>
      </c>
    </row>
    <row r="1787" ht="15.75" hidden="1" customHeight="1">
      <c r="A1787" s="9" t="s">
        <v>41919</v>
      </c>
      <c r="B1787" s="9" t="s">
        <v>13425</v>
      </c>
      <c r="D1787" s="9" t="s">
        <v>12258</v>
      </c>
      <c r="F1787" s="9" t="s">
        <v>41920</v>
      </c>
      <c r="G1787" s="9" t="s">
        <v>38808</v>
      </c>
      <c r="H1787" s="127">
        <v>45551.0</v>
      </c>
      <c r="I1787" s="9" t="s">
        <v>47</v>
      </c>
      <c r="J1787" s="9" t="s">
        <v>38801</v>
      </c>
      <c r="K1787" s="55">
        <v>45551.0</v>
      </c>
      <c r="M1787" s="9" t="s">
        <v>10332</v>
      </c>
    </row>
    <row r="1788" ht="15.75" hidden="1" customHeight="1">
      <c r="A1788" s="9" t="s">
        <v>41921</v>
      </c>
      <c r="B1788" s="9" t="s">
        <v>16932</v>
      </c>
      <c r="D1788" s="9" t="s">
        <v>12240</v>
      </c>
      <c r="F1788" s="9" t="s">
        <v>41922</v>
      </c>
      <c r="G1788" s="9" t="s">
        <v>38946</v>
      </c>
      <c r="H1788" s="127">
        <v>45555.0</v>
      </c>
      <c r="I1788" s="9" t="s">
        <v>131</v>
      </c>
      <c r="J1788" s="9" t="s">
        <v>38801</v>
      </c>
      <c r="K1788" s="55">
        <v>45555.0</v>
      </c>
      <c r="M1788" s="9" t="s">
        <v>5461</v>
      </c>
    </row>
    <row r="1789" ht="15.75" hidden="1" customHeight="1">
      <c r="A1789" s="9" t="s">
        <v>41923</v>
      </c>
      <c r="B1789" s="9" t="s">
        <v>18135</v>
      </c>
      <c r="D1789" s="9" t="s">
        <v>12240</v>
      </c>
      <c r="F1789" s="9" t="s">
        <v>41922</v>
      </c>
      <c r="G1789" s="9" t="s">
        <v>38946</v>
      </c>
      <c r="H1789" s="127">
        <v>45555.0</v>
      </c>
      <c r="I1789" s="9" t="s">
        <v>131</v>
      </c>
      <c r="J1789" s="9" t="s">
        <v>38801</v>
      </c>
      <c r="K1789" s="55">
        <v>45555.0</v>
      </c>
      <c r="M1789" s="9" t="s">
        <v>10600</v>
      </c>
    </row>
    <row r="1790" ht="15.75" hidden="1" customHeight="1">
      <c r="A1790" s="52" t="s">
        <v>41924</v>
      </c>
      <c r="B1790" s="9" t="s">
        <v>17877</v>
      </c>
      <c r="D1790" s="9" t="s">
        <v>12240</v>
      </c>
      <c r="F1790" s="9" t="s">
        <v>41922</v>
      </c>
      <c r="G1790" s="9" t="s">
        <v>38946</v>
      </c>
      <c r="H1790" s="127">
        <v>45555.0</v>
      </c>
      <c r="I1790" s="9" t="s">
        <v>131</v>
      </c>
      <c r="J1790" s="9" t="s">
        <v>38801</v>
      </c>
      <c r="K1790" s="55">
        <v>45555.0</v>
      </c>
      <c r="M1790" s="9" t="s">
        <v>4674</v>
      </c>
    </row>
    <row r="1791" ht="15.75" hidden="1" customHeight="1">
      <c r="A1791" s="9" t="s">
        <v>41925</v>
      </c>
      <c r="B1791" s="9" t="s">
        <v>16987</v>
      </c>
      <c r="D1791" s="9" t="s">
        <v>12240</v>
      </c>
      <c r="F1791" s="9" t="s">
        <v>41922</v>
      </c>
      <c r="G1791" s="9" t="s">
        <v>38946</v>
      </c>
      <c r="H1791" s="127">
        <v>45555.0</v>
      </c>
      <c r="I1791" s="9" t="s">
        <v>131</v>
      </c>
      <c r="J1791" s="9" t="s">
        <v>38801</v>
      </c>
      <c r="K1791" s="55">
        <v>45555.0</v>
      </c>
      <c r="M1791" s="9" t="s">
        <v>3346</v>
      </c>
    </row>
    <row r="1792" ht="15.75" hidden="1" customHeight="1">
      <c r="A1792" s="9" t="s">
        <v>41926</v>
      </c>
      <c r="B1792" s="9" t="s">
        <v>19539</v>
      </c>
      <c r="D1792" s="9" t="s">
        <v>12240</v>
      </c>
      <c r="F1792" s="9" t="s">
        <v>41922</v>
      </c>
      <c r="G1792" s="9" t="s">
        <v>38946</v>
      </c>
      <c r="H1792" s="127">
        <v>45555.0</v>
      </c>
      <c r="I1792" s="9" t="s">
        <v>131</v>
      </c>
      <c r="J1792" s="9" t="s">
        <v>38801</v>
      </c>
      <c r="K1792" s="55">
        <v>45555.0</v>
      </c>
      <c r="M1792" s="9" t="s">
        <v>5899</v>
      </c>
    </row>
    <row r="1793" ht="15.75" hidden="1" customHeight="1">
      <c r="A1793" s="9" t="s">
        <v>41927</v>
      </c>
      <c r="B1793" s="9" t="s">
        <v>20400</v>
      </c>
      <c r="D1793" s="9" t="s">
        <v>12240</v>
      </c>
      <c r="F1793" s="9" t="s">
        <v>41922</v>
      </c>
      <c r="G1793" s="9" t="s">
        <v>38946</v>
      </c>
      <c r="H1793" s="127">
        <v>45555.0</v>
      </c>
      <c r="I1793" s="9" t="s">
        <v>131</v>
      </c>
      <c r="J1793" s="9" t="s">
        <v>38801</v>
      </c>
      <c r="K1793" s="55">
        <v>45555.0</v>
      </c>
      <c r="M1793" s="9" t="s">
        <v>808</v>
      </c>
    </row>
    <row r="1794" ht="15.75" hidden="1" customHeight="1">
      <c r="A1794" s="9" t="s">
        <v>41928</v>
      </c>
      <c r="B1794" s="9" t="s">
        <v>14980</v>
      </c>
      <c r="D1794" s="9" t="s">
        <v>12240</v>
      </c>
      <c r="F1794" s="9" t="s">
        <v>41922</v>
      </c>
      <c r="G1794" s="9" t="s">
        <v>38946</v>
      </c>
      <c r="H1794" s="127">
        <v>45555.0</v>
      </c>
      <c r="I1794" s="9" t="s">
        <v>131</v>
      </c>
      <c r="J1794" s="9" t="s">
        <v>38801</v>
      </c>
      <c r="K1794" s="55">
        <v>45555.0</v>
      </c>
      <c r="M1794" s="9" t="s">
        <v>10432</v>
      </c>
    </row>
    <row r="1795" ht="15.75" hidden="1" customHeight="1">
      <c r="A1795" s="9" t="s">
        <v>41929</v>
      </c>
      <c r="B1795" s="9" t="s">
        <v>14562</v>
      </c>
      <c r="D1795" s="9" t="s">
        <v>12240</v>
      </c>
      <c r="F1795" s="9" t="s">
        <v>41922</v>
      </c>
      <c r="G1795" s="9" t="s">
        <v>38946</v>
      </c>
      <c r="H1795" s="127">
        <v>45555.0</v>
      </c>
      <c r="I1795" s="9" t="s">
        <v>131</v>
      </c>
      <c r="J1795" s="9" t="s">
        <v>38801</v>
      </c>
      <c r="K1795" s="55">
        <v>45555.0</v>
      </c>
      <c r="M1795" s="9" t="s">
        <v>11893</v>
      </c>
    </row>
    <row r="1796" ht="15.75" hidden="1" customHeight="1">
      <c r="A1796" s="9" t="s">
        <v>41930</v>
      </c>
      <c r="B1796" s="9" t="s">
        <v>16451</v>
      </c>
      <c r="D1796" s="9" t="s">
        <v>12258</v>
      </c>
      <c r="F1796" s="9" t="s">
        <v>41931</v>
      </c>
      <c r="G1796" s="9" t="s">
        <v>38946</v>
      </c>
      <c r="H1796" s="127">
        <v>45555.0</v>
      </c>
      <c r="I1796" s="9" t="s">
        <v>131</v>
      </c>
      <c r="J1796" s="9" t="s">
        <v>38801</v>
      </c>
      <c r="K1796" s="55">
        <v>45555.0</v>
      </c>
      <c r="M1796" s="9" t="s">
        <v>7483</v>
      </c>
    </row>
    <row r="1797" ht="15.75" hidden="1" customHeight="1">
      <c r="A1797" s="9" t="s">
        <v>41932</v>
      </c>
      <c r="B1797" s="9" t="s">
        <v>22297</v>
      </c>
      <c r="D1797" s="9" t="s">
        <v>12236</v>
      </c>
      <c r="F1797" s="9" t="s">
        <v>41933</v>
      </c>
      <c r="G1797" s="9" t="s">
        <v>38946</v>
      </c>
      <c r="H1797" s="127">
        <v>45560.0</v>
      </c>
      <c r="I1797" s="9" t="s">
        <v>131</v>
      </c>
      <c r="J1797" s="9" t="s">
        <v>38805</v>
      </c>
      <c r="K1797" s="55"/>
      <c r="M1797" s="9" t="s">
        <v>11431</v>
      </c>
    </row>
    <row r="1798" ht="15.75" hidden="1" customHeight="1">
      <c r="A1798" s="9" t="s">
        <v>41934</v>
      </c>
      <c r="B1798" s="9" t="s">
        <v>22439</v>
      </c>
      <c r="D1798" s="9" t="s">
        <v>12230</v>
      </c>
      <c r="F1798" s="9" t="s">
        <v>40154</v>
      </c>
      <c r="G1798" s="9" t="s">
        <v>38946</v>
      </c>
      <c r="H1798" s="127">
        <v>45562.0</v>
      </c>
      <c r="I1798" s="9" t="s">
        <v>131</v>
      </c>
      <c r="J1798" s="9" t="s">
        <v>38801</v>
      </c>
      <c r="K1798" s="55">
        <v>45562.0</v>
      </c>
      <c r="M1798" s="9" t="s">
        <v>11454</v>
      </c>
    </row>
    <row r="1799" ht="15.75" hidden="1" customHeight="1">
      <c r="A1799" s="9" t="s">
        <v>41935</v>
      </c>
      <c r="B1799" s="9" t="s">
        <v>12897</v>
      </c>
      <c r="D1799" s="9" t="s">
        <v>12239</v>
      </c>
      <c r="F1799" s="9" t="s">
        <v>41936</v>
      </c>
      <c r="G1799" s="9" t="s">
        <v>38946</v>
      </c>
      <c r="H1799" s="127">
        <v>45562.0</v>
      </c>
      <c r="I1799" s="9" t="s">
        <v>131</v>
      </c>
      <c r="J1799" s="9" t="s">
        <v>38801</v>
      </c>
      <c r="K1799" s="55">
        <v>45580.0</v>
      </c>
      <c r="M1799" s="52" t="s">
        <v>12886</v>
      </c>
    </row>
    <row r="1800" ht="15.75" hidden="1" customHeight="1">
      <c r="A1800" s="9" t="s">
        <v>41937</v>
      </c>
      <c r="B1800" s="9" t="s">
        <v>13956</v>
      </c>
      <c r="D1800" s="9" t="s">
        <v>12246</v>
      </c>
      <c r="F1800" s="9" t="s">
        <v>41938</v>
      </c>
      <c r="G1800" s="9" t="s">
        <v>38946</v>
      </c>
      <c r="H1800" s="127">
        <v>45565.0</v>
      </c>
      <c r="I1800" s="9" t="s">
        <v>131</v>
      </c>
      <c r="J1800" s="9" t="s">
        <v>38801</v>
      </c>
      <c r="K1800" s="55">
        <v>45565.0</v>
      </c>
      <c r="M1800" s="9" t="s">
        <v>9206</v>
      </c>
    </row>
    <row r="1801" ht="15.75" hidden="1" customHeight="1">
      <c r="A1801" s="9" t="s">
        <v>41939</v>
      </c>
      <c r="B1801" s="9" t="s">
        <v>15818</v>
      </c>
      <c r="D1801" s="9" t="s">
        <v>12236</v>
      </c>
      <c r="F1801" s="9" t="s">
        <v>41940</v>
      </c>
      <c r="G1801" s="9" t="s">
        <v>38946</v>
      </c>
      <c r="H1801" s="127">
        <v>45565.0</v>
      </c>
      <c r="I1801" s="9" t="s">
        <v>47</v>
      </c>
      <c r="J1801" s="9" t="s">
        <v>38805</v>
      </c>
      <c r="K1801" s="55"/>
      <c r="M1801" s="9" t="s">
        <v>12128</v>
      </c>
    </row>
    <row r="1802" ht="15.75" hidden="1" customHeight="1">
      <c r="A1802" s="9" t="s">
        <v>41941</v>
      </c>
      <c r="B1802" s="9" t="s">
        <v>13022</v>
      </c>
      <c r="D1802" s="9" t="s">
        <v>12250</v>
      </c>
      <c r="F1802" s="9" t="s">
        <v>41942</v>
      </c>
      <c r="G1802" s="9" t="s">
        <v>38946</v>
      </c>
      <c r="H1802" s="127">
        <v>45573.0</v>
      </c>
      <c r="I1802" s="9" t="s">
        <v>131</v>
      </c>
      <c r="J1802" s="9" t="s">
        <v>38801</v>
      </c>
      <c r="K1802" s="55">
        <v>45573.0</v>
      </c>
      <c r="M1802" s="9" t="s">
        <v>11417</v>
      </c>
    </row>
    <row r="1803" ht="15.75" hidden="1" customHeight="1">
      <c r="A1803" s="9" t="s">
        <v>41943</v>
      </c>
      <c r="B1803" s="9" t="s">
        <v>21286</v>
      </c>
      <c r="D1803" s="9" t="s">
        <v>12230</v>
      </c>
      <c r="F1803" s="9" t="s">
        <v>41944</v>
      </c>
      <c r="G1803" s="9" t="s">
        <v>38808</v>
      </c>
      <c r="H1803" s="127">
        <v>45576.0</v>
      </c>
      <c r="I1803" s="9" t="s">
        <v>47</v>
      </c>
      <c r="J1803" s="9" t="s">
        <v>38801</v>
      </c>
      <c r="K1803" s="55">
        <v>45576.0</v>
      </c>
      <c r="M1803" s="9" t="s">
        <v>12033</v>
      </c>
    </row>
    <row r="1804" ht="15.75" hidden="1" customHeight="1">
      <c r="A1804" s="9" t="s">
        <v>41945</v>
      </c>
      <c r="B1804" s="9" t="s">
        <v>12609</v>
      </c>
      <c r="D1804" s="9" t="s">
        <v>12248</v>
      </c>
      <c r="F1804" s="9" t="s">
        <v>41946</v>
      </c>
      <c r="G1804" s="9" t="s">
        <v>38946</v>
      </c>
      <c r="H1804" s="127">
        <v>45579.0</v>
      </c>
      <c r="I1804" s="9" t="s">
        <v>131</v>
      </c>
      <c r="J1804" s="9" t="s">
        <v>38801</v>
      </c>
      <c r="K1804" s="55">
        <v>45579.0</v>
      </c>
      <c r="M1804" s="9" t="s">
        <v>266</v>
      </c>
    </row>
    <row r="1805" ht="15.75" hidden="1" customHeight="1">
      <c r="A1805" s="9" t="s">
        <v>41947</v>
      </c>
      <c r="B1805" s="9" t="s">
        <v>20965</v>
      </c>
      <c r="D1805" s="9" t="s">
        <v>12224</v>
      </c>
      <c r="F1805" s="9" t="s">
        <v>41948</v>
      </c>
      <c r="G1805" s="9" t="s">
        <v>38946</v>
      </c>
      <c r="H1805" s="127">
        <v>45579.0</v>
      </c>
      <c r="I1805" s="9" t="s">
        <v>131</v>
      </c>
      <c r="J1805" s="9" t="s">
        <v>38801</v>
      </c>
      <c r="K1805" s="55">
        <v>45579.0</v>
      </c>
      <c r="M1805" s="9" t="s">
        <v>9736</v>
      </c>
    </row>
    <row r="1806" ht="15.75" hidden="1" customHeight="1">
      <c r="A1806" s="9" t="s">
        <v>41949</v>
      </c>
      <c r="B1806" s="9" t="s">
        <v>22359</v>
      </c>
      <c r="D1806" s="9" t="s">
        <v>12254</v>
      </c>
      <c r="F1806" s="9" t="s">
        <v>41950</v>
      </c>
      <c r="G1806" s="9" t="s">
        <v>38946</v>
      </c>
      <c r="H1806" s="127">
        <v>45579.0</v>
      </c>
      <c r="I1806" s="9" t="s">
        <v>89</v>
      </c>
      <c r="J1806" s="9" t="s">
        <v>38801</v>
      </c>
      <c r="K1806" s="55">
        <v>45580.0</v>
      </c>
      <c r="M1806" s="9" t="s">
        <v>11441</v>
      </c>
    </row>
    <row r="1807" ht="15.75" hidden="1" customHeight="1">
      <c r="A1807" s="9" t="s">
        <v>41951</v>
      </c>
      <c r="B1807" s="9" t="s">
        <v>22410</v>
      </c>
      <c r="D1807" s="9" t="s">
        <v>12254</v>
      </c>
      <c r="F1807" s="9" t="s">
        <v>41950</v>
      </c>
      <c r="G1807" s="9" t="s">
        <v>38946</v>
      </c>
      <c r="H1807" s="127">
        <v>45579.0</v>
      </c>
      <c r="I1807" s="9" t="s">
        <v>89</v>
      </c>
      <c r="J1807" s="9" t="s">
        <v>38801</v>
      </c>
      <c r="K1807" s="55">
        <v>45580.0</v>
      </c>
      <c r="M1807" s="9" t="s">
        <v>11450</v>
      </c>
    </row>
    <row r="1808" ht="15.75" hidden="1" customHeight="1">
      <c r="A1808" s="9" t="s">
        <v>41952</v>
      </c>
      <c r="B1808" s="9" t="s">
        <v>18615</v>
      </c>
      <c r="D1808" s="9" t="s">
        <v>12254</v>
      </c>
      <c r="F1808" s="9" t="s">
        <v>41953</v>
      </c>
      <c r="G1808" s="9" t="s">
        <v>38946</v>
      </c>
      <c r="H1808" s="127">
        <v>45579.0</v>
      </c>
      <c r="I1808" s="9" t="s">
        <v>89</v>
      </c>
      <c r="J1808" s="9" t="s">
        <v>38801</v>
      </c>
      <c r="K1808" s="55">
        <v>45580.0</v>
      </c>
      <c r="M1808" s="9" t="s">
        <v>4000</v>
      </c>
    </row>
    <row r="1809" ht="15.75" hidden="1" customHeight="1">
      <c r="A1809" s="9" t="s">
        <v>41954</v>
      </c>
      <c r="B1809" s="9" t="s">
        <v>21926</v>
      </c>
      <c r="D1809" s="9" t="s">
        <v>12240</v>
      </c>
      <c r="F1809" s="9" t="s">
        <v>40678</v>
      </c>
      <c r="G1809" s="9" t="s">
        <v>38946</v>
      </c>
      <c r="H1809" s="127">
        <v>45580.0</v>
      </c>
      <c r="I1809" s="9" t="s">
        <v>131</v>
      </c>
      <c r="J1809" s="9" t="s">
        <v>38801</v>
      </c>
      <c r="K1809" s="55">
        <v>45595.0</v>
      </c>
      <c r="M1809" s="9" t="s">
        <v>11375</v>
      </c>
    </row>
    <row r="1810" ht="15.75" hidden="1" customHeight="1">
      <c r="A1810" s="9" t="s">
        <v>41955</v>
      </c>
      <c r="B1810" s="9" t="s">
        <v>22497</v>
      </c>
      <c r="D1810" s="9" t="s">
        <v>12230</v>
      </c>
      <c r="F1810" s="9" t="s">
        <v>41956</v>
      </c>
      <c r="G1810" s="9" t="s">
        <v>38808</v>
      </c>
      <c r="H1810" s="127">
        <v>45588.0</v>
      </c>
      <c r="I1810" s="9" t="s">
        <v>47</v>
      </c>
      <c r="J1810" s="9" t="s">
        <v>38801</v>
      </c>
      <c r="K1810" s="55">
        <v>45588.0</v>
      </c>
      <c r="M1810" s="9" t="s">
        <v>11462</v>
      </c>
    </row>
    <row r="1811" ht="15.75" hidden="1" customHeight="1">
      <c r="A1811" s="9" t="s">
        <v>41957</v>
      </c>
      <c r="B1811" s="9" t="s">
        <v>15593</v>
      </c>
      <c r="D1811" s="9" t="s">
        <v>12250</v>
      </c>
      <c r="F1811" s="9" t="s">
        <v>41958</v>
      </c>
      <c r="G1811" s="9" t="s">
        <v>38808</v>
      </c>
      <c r="H1811" s="127">
        <v>45589.0</v>
      </c>
      <c r="I1811" s="9" t="s">
        <v>47</v>
      </c>
      <c r="J1811" s="9" t="s">
        <v>38801</v>
      </c>
      <c r="K1811" s="55">
        <v>45589.0</v>
      </c>
      <c r="M1811" s="9" t="s">
        <v>11870</v>
      </c>
    </row>
    <row r="1812" ht="15.75" hidden="1" customHeight="1">
      <c r="A1812" s="9" t="s">
        <v>41959</v>
      </c>
      <c r="B1812" s="9" t="s">
        <v>15593</v>
      </c>
      <c r="D1812" s="9" t="s">
        <v>12230</v>
      </c>
      <c r="F1812" s="9" t="s">
        <v>41958</v>
      </c>
      <c r="G1812" s="9" t="s">
        <v>38808</v>
      </c>
      <c r="H1812" s="127">
        <v>45589.0</v>
      </c>
      <c r="I1812" s="9" t="s">
        <v>47</v>
      </c>
      <c r="J1812" s="9" t="s">
        <v>38801</v>
      </c>
      <c r="K1812" s="55">
        <v>45589.0</v>
      </c>
      <c r="M1812" s="9" t="s">
        <v>11744</v>
      </c>
    </row>
    <row r="1813" ht="15.75" hidden="1" customHeight="1">
      <c r="A1813" s="52" t="s">
        <v>41960</v>
      </c>
      <c r="B1813" s="9" t="s">
        <v>12609</v>
      </c>
      <c r="D1813" s="9" t="s">
        <v>12258</v>
      </c>
      <c r="F1813" s="9" t="s">
        <v>41961</v>
      </c>
      <c r="G1813" s="9" t="s">
        <v>38946</v>
      </c>
      <c r="H1813" s="127">
        <v>45593.0</v>
      </c>
      <c r="I1813" s="9" t="s">
        <v>101</v>
      </c>
      <c r="J1813" s="9" t="s">
        <v>38801</v>
      </c>
      <c r="K1813" s="55">
        <v>45595.0</v>
      </c>
      <c r="M1813" s="9" t="s">
        <v>266</v>
      </c>
    </row>
    <row r="1814" ht="15.75" hidden="1" customHeight="1">
      <c r="A1814" s="9" t="s">
        <v>41962</v>
      </c>
      <c r="B1814" s="9" t="s">
        <v>15162</v>
      </c>
      <c r="D1814" s="9" t="s">
        <v>12250</v>
      </c>
      <c r="F1814" s="9" t="s">
        <v>41963</v>
      </c>
      <c r="G1814" s="9" t="s">
        <v>38946</v>
      </c>
      <c r="H1814" s="127">
        <v>45594.0</v>
      </c>
      <c r="I1814" s="9" t="s">
        <v>131</v>
      </c>
      <c r="J1814" s="9" t="s">
        <v>38801</v>
      </c>
      <c r="K1814" s="55">
        <v>45594.0</v>
      </c>
      <c r="M1814" s="9" t="s">
        <v>11458</v>
      </c>
    </row>
    <row r="1815" ht="15.75" hidden="1" customHeight="1">
      <c r="A1815" s="9" t="s">
        <v>41964</v>
      </c>
      <c r="B1815" s="9" t="s">
        <v>18538</v>
      </c>
      <c r="D1815" s="9" t="s">
        <v>12250</v>
      </c>
      <c r="F1815" s="9" t="s">
        <v>41965</v>
      </c>
      <c r="G1815" s="9" t="s">
        <v>38946</v>
      </c>
      <c r="H1815" s="127">
        <v>45594.0</v>
      </c>
      <c r="I1815" s="9" t="s">
        <v>131</v>
      </c>
      <c r="J1815" s="9" t="s">
        <v>38801</v>
      </c>
      <c r="K1815" s="55">
        <v>45594.0</v>
      </c>
      <c r="M1815" s="9" t="s">
        <v>7511</v>
      </c>
    </row>
    <row r="1816" ht="15.75" hidden="1" customHeight="1">
      <c r="A1816" s="9" t="s">
        <v>41966</v>
      </c>
      <c r="B1816" s="9" t="s">
        <v>16847</v>
      </c>
      <c r="D1816" s="9" t="s">
        <v>12257</v>
      </c>
      <c r="F1816" s="9" t="s">
        <v>41967</v>
      </c>
      <c r="G1816" s="9" t="s">
        <v>38946</v>
      </c>
      <c r="H1816" s="127">
        <v>45596.0</v>
      </c>
      <c r="I1816" s="9" t="s">
        <v>131</v>
      </c>
      <c r="J1816" s="9" t="s">
        <v>38801</v>
      </c>
      <c r="K1816" s="55">
        <v>45596.0</v>
      </c>
      <c r="M1816" s="9" t="s">
        <v>10531</v>
      </c>
    </row>
    <row r="1817" ht="15.75" hidden="1" customHeight="1">
      <c r="A1817" s="9" t="s">
        <v>41968</v>
      </c>
      <c r="B1817" s="9" t="s">
        <v>16847</v>
      </c>
      <c r="D1817" s="9" t="s">
        <v>12239</v>
      </c>
      <c r="F1817" s="9" t="s">
        <v>40678</v>
      </c>
      <c r="G1817" s="9" t="s">
        <v>38946</v>
      </c>
      <c r="H1817" s="127">
        <v>45596.0</v>
      </c>
      <c r="I1817" s="9" t="s">
        <v>131</v>
      </c>
      <c r="J1817" s="9" t="s">
        <v>38805</v>
      </c>
      <c r="K1817" s="55"/>
      <c r="M1817" s="9" t="s">
        <v>10531</v>
      </c>
    </row>
    <row r="1818" ht="15.75" hidden="1" customHeight="1">
      <c r="A1818" s="9" t="s">
        <v>41969</v>
      </c>
      <c r="B1818" s="9" t="s">
        <v>13822</v>
      </c>
      <c r="D1818" s="9" t="s">
        <v>12248</v>
      </c>
      <c r="F1818" s="9" t="s">
        <v>41970</v>
      </c>
      <c r="G1818" s="9" t="s">
        <v>38946</v>
      </c>
      <c r="H1818" s="127">
        <v>45600.0</v>
      </c>
      <c r="I1818" s="9" t="s">
        <v>131</v>
      </c>
      <c r="J1818" s="9" t="s">
        <v>38801</v>
      </c>
      <c r="K1818" s="55">
        <v>45600.0</v>
      </c>
      <c r="M1818" s="9" t="s">
        <v>8598</v>
      </c>
    </row>
    <row r="1819" ht="15.75" hidden="1" customHeight="1">
      <c r="A1819" s="9" t="s">
        <v>41971</v>
      </c>
      <c r="B1819" s="9" t="s">
        <v>22549</v>
      </c>
      <c r="D1819" s="9" t="s">
        <v>12230</v>
      </c>
      <c r="F1819" s="9" t="s">
        <v>41972</v>
      </c>
      <c r="G1819" s="9" t="s">
        <v>38808</v>
      </c>
      <c r="H1819" s="127">
        <v>45600.0</v>
      </c>
      <c r="I1819" s="9" t="s">
        <v>47</v>
      </c>
      <c r="J1819" s="9" t="s">
        <v>38801</v>
      </c>
      <c r="K1819" s="55">
        <v>45631.0</v>
      </c>
      <c r="M1819" s="9" t="s">
        <v>11470</v>
      </c>
    </row>
    <row r="1820" ht="15.75" hidden="1" customHeight="1">
      <c r="A1820" s="9" t="s">
        <v>41973</v>
      </c>
      <c r="B1820" s="9" t="s">
        <v>12426</v>
      </c>
      <c r="D1820" s="9" t="s">
        <v>12246</v>
      </c>
      <c r="F1820" s="9" t="s">
        <v>41974</v>
      </c>
      <c r="G1820" s="9" t="s">
        <v>38946</v>
      </c>
      <c r="H1820" s="127">
        <v>45602.0</v>
      </c>
      <c r="I1820" s="9" t="s">
        <v>131</v>
      </c>
      <c r="J1820" s="9" t="s">
        <v>38801</v>
      </c>
      <c r="K1820" s="55">
        <v>45602.0</v>
      </c>
      <c r="M1820" s="9" t="s">
        <v>3638</v>
      </c>
    </row>
    <row r="1821" ht="15.75" hidden="1" customHeight="1">
      <c r="A1821" s="9" t="s">
        <v>41975</v>
      </c>
      <c r="B1821" s="9" t="s">
        <v>13822</v>
      </c>
      <c r="D1821" s="9" t="s">
        <v>12230</v>
      </c>
      <c r="F1821" s="9" t="s">
        <v>39853</v>
      </c>
      <c r="G1821" s="9" t="s">
        <v>38808</v>
      </c>
      <c r="H1821" s="127">
        <v>45609.0</v>
      </c>
      <c r="I1821" s="9" t="s">
        <v>47</v>
      </c>
      <c r="J1821" s="9" t="s">
        <v>38801</v>
      </c>
      <c r="K1821" s="55">
        <v>45609.0</v>
      </c>
      <c r="M1821" s="9" t="s">
        <v>8598</v>
      </c>
    </row>
    <row r="1822" ht="15.75" hidden="1" customHeight="1">
      <c r="A1822" s="9" t="s">
        <v>41976</v>
      </c>
      <c r="B1822" s="9" t="s">
        <v>20363</v>
      </c>
      <c r="D1822" s="9" t="s">
        <v>12236</v>
      </c>
      <c r="F1822" s="9" t="s">
        <v>41977</v>
      </c>
      <c r="G1822" s="9" t="s">
        <v>38946</v>
      </c>
      <c r="H1822" s="127">
        <v>45610.0</v>
      </c>
      <c r="I1822" s="9" t="s">
        <v>131</v>
      </c>
      <c r="J1822" s="9" t="s">
        <v>38801</v>
      </c>
      <c r="K1822" s="55">
        <v>45610.0</v>
      </c>
      <c r="M1822" s="9" t="s">
        <v>4269</v>
      </c>
    </row>
    <row r="1823" ht="15.75" hidden="1" customHeight="1">
      <c r="A1823" s="9" t="s">
        <v>41978</v>
      </c>
      <c r="B1823" s="9" t="s">
        <v>22576</v>
      </c>
      <c r="D1823" s="9" t="s">
        <v>12230</v>
      </c>
      <c r="F1823" s="9" t="s">
        <v>39790</v>
      </c>
      <c r="G1823" s="9" t="s">
        <v>38808</v>
      </c>
      <c r="H1823" s="127">
        <v>45614.0</v>
      </c>
      <c r="I1823" s="9" t="s">
        <v>47</v>
      </c>
      <c r="J1823" s="9" t="s">
        <v>38801</v>
      </c>
      <c r="K1823" s="55">
        <v>45614.0</v>
      </c>
      <c r="M1823" s="9" t="s">
        <v>11474</v>
      </c>
    </row>
    <row r="1824" ht="15.75" hidden="1" customHeight="1">
      <c r="A1824" s="9" t="s">
        <v>41979</v>
      </c>
      <c r="B1824" s="9" t="s">
        <v>18570</v>
      </c>
      <c r="D1824" s="9" t="s">
        <v>12236</v>
      </c>
      <c r="F1824" s="9" t="s">
        <v>41980</v>
      </c>
      <c r="G1824" s="9" t="s">
        <v>38808</v>
      </c>
      <c r="H1824" s="127">
        <v>45614.0</v>
      </c>
      <c r="I1824" s="9" t="s">
        <v>47</v>
      </c>
      <c r="J1824" s="9" t="s">
        <v>38805</v>
      </c>
      <c r="K1824" s="55"/>
      <c r="M1824" s="9" t="s">
        <v>10616</v>
      </c>
    </row>
    <row r="1825" ht="15.75" hidden="1" customHeight="1">
      <c r="A1825" s="9" t="s">
        <v>41981</v>
      </c>
      <c r="B1825" s="9" t="s">
        <v>18570</v>
      </c>
      <c r="D1825" s="9" t="s">
        <v>12239</v>
      </c>
      <c r="F1825" s="9" t="s">
        <v>41982</v>
      </c>
      <c r="G1825" s="9" t="s">
        <v>38946</v>
      </c>
      <c r="H1825" s="127">
        <v>45614.0</v>
      </c>
      <c r="I1825" s="9" t="s">
        <v>47</v>
      </c>
      <c r="J1825" s="9" t="s">
        <v>38801</v>
      </c>
      <c r="K1825" s="55">
        <v>45667.0</v>
      </c>
      <c r="M1825" s="9" t="s">
        <v>10616</v>
      </c>
    </row>
    <row r="1826" ht="15.75" hidden="1" customHeight="1">
      <c r="A1826" s="9" t="s">
        <v>41983</v>
      </c>
      <c r="B1826" s="9" t="s">
        <v>18570</v>
      </c>
      <c r="D1826" s="9" t="s">
        <v>12239</v>
      </c>
      <c r="F1826" s="9" t="s">
        <v>41984</v>
      </c>
      <c r="G1826" s="9" t="s">
        <v>38946</v>
      </c>
      <c r="H1826" s="127">
        <v>45614.0</v>
      </c>
      <c r="I1826" s="9" t="s">
        <v>47</v>
      </c>
      <c r="J1826" s="9" t="s">
        <v>38801</v>
      </c>
      <c r="K1826" s="55">
        <v>45667.0</v>
      </c>
      <c r="M1826" s="9" t="s">
        <v>10622</v>
      </c>
    </row>
    <row r="1827" ht="15.75" hidden="1" customHeight="1">
      <c r="A1827" s="9" t="s">
        <v>41985</v>
      </c>
      <c r="B1827" s="9" t="s">
        <v>18570</v>
      </c>
      <c r="D1827" s="9" t="s">
        <v>12240</v>
      </c>
      <c r="F1827" s="9" t="s">
        <v>41986</v>
      </c>
      <c r="G1827" s="9" t="s">
        <v>38946</v>
      </c>
      <c r="H1827" s="127">
        <v>45614.0</v>
      </c>
      <c r="I1827" s="9" t="s">
        <v>47</v>
      </c>
      <c r="J1827" s="9" t="s">
        <v>38801</v>
      </c>
      <c r="K1827" s="55">
        <v>45615.0</v>
      </c>
      <c r="M1827" s="9" t="s">
        <v>10616</v>
      </c>
    </row>
    <row r="1828" ht="15.75" hidden="1" customHeight="1">
      <c r="A1828" s="9" t="s">
        <v>41987</v>
      </c>
      <c r="B1828" s="9" t="s">
        <v>16076</v>
      </c>
      <c r="D1828" s="9" t="s">
        <v>12230</v>
      </c>
      <c r="F1828" s="9" t="s">
        <v>41988</v>
      </c>
      <c r="G1828" s="9" t="s">
        <v>38946</v>
      </c>
      <c r="H1828" s="127">
        <v>45614.0</v>
      </c>
      <c r="I1828" s="9" t="s">
        <v>131</v>
      </c>
      <c r="J1828" s="9" t="s">
        <v>38801</v>
      </c>
      <c r="K1828" s="55">
        <v>45614.0</v>
      </c>
      <c r="M1828" s="9" t="s">
        <v>11478</v>
      </c>
    </row>
    <row r="1829" ht="15.75" hidden="1" customHeight="1">
      <c r="A1829" s="9" t="s">
        <v>41989</v>
      </c>
      <c r="B1829" s="9" t="s">
        <v>22626</v>
      </c>
      <c r="D1829" s="9" t="s">
        <v>12230</v>
      </c>
      <c r="F1829" s="9" t="s">
        <v>40242</v>
      </c>
      <c r="G1829" s="9" t="s">
        <v>38946</v>
      </c>
      <c r="H1829" s="127">
        <v>45614.0</v>
      </c>
      <c r="I1829" s="9" t="s">
        <v>131</v>
      </c>
      <c r="J1829" s="9" t="s">
        <v>38801</v>
      </c>
      <c r="K1829" s="55">
        <v>45615.0</v>
      </c>
      <c r="M1829" s="9" t="s">
        <v>11482</v>
      </c>
    </row>
    <row r="1830" ht="15.75" hidden="1" customHeight="1">
      <c r="A1830" s="9" t="s">
        <v>41990</v>
      </c>
      <c r="B1830" s="9" t="s">
        <v>19371</v>
      </c>
      <c r="D1830" s="9" t="s">
        <v>12230</v>
      </c>
      <c r="F1830" s="9" t="s">
        <v>41991</v>
      </c>
      <c r="G1830" s="9" t="s">
        <v>38808</v>
      </c>
      <c r="H1830" s="127">
        <v>45614.0</v>
      </c>
      <c r="I1830" s="9" t="s">
        <v>47</v>
      </c>
      <c r="J1830" s="9" t="s">
        <v>38801</v>
      </c>
      <c r="K1830" s="55">
        <v>45614.0</v>
      </c>
      <c r="M1830" s="9" t="s">
        <v>11480</v>
      </c>
    </row>
    <row r="1831" ht="15.75" hidden="1" customHeight="1">
      <c r="A1831" s="9" t="s">
        <v>41992</v>
      </c>
      <c r="B1831" s="9" t="s">
        <v>19371</v>
      </c>
      <c r="D1831" s="9" t="s">
        <v>12230</v>
      </c>
      <c r="F1831" s="9" t="s">
        <v>41993</v>
      </c>
      <c r="G1831" s="9" t="s">
        <v>38808</v>
      </c>
      <c r="H1831" s="127">
        <v>45614.0</v>
      </c>
      <c r="I1831" s="9" t="s">
        <v>47</v>
      </c>
      <c r="J1831" s="9" t="s">
        <v>38801</v>
      </c>
      <c r="K1831" s="55">
        <v>45614.0</v>
      </c>
      <c r="M1831" s="9" t="s">
        <v>9298</v>
      </c>
    </row>
    <row r="1832" ht="15.75" hidden="1" customHeight="1">
      <c r="A1832" s="9" t="s">
        <v>41994</v>
      </c>
      <c r="B1832" s="9" t="s">
        <v>22512</v>
      </c>
      <c r="D1832" s="9" t="s">
        <v>12224</v>
      </c>
      <c r="F1832" s="9" t="s">
        <v>41995</v>
      </c>
      <c r="G1832" s="9" t="s">
        <v>38808</v>
      </c>
      <c r="H1832" s="127">
        <v>45614.0</v>
      </c>
      <c r="I1832" s="9" t="s">
        <v>47</v>
      </c>
      <c r="J1832" s="9" t="s">
        <v>38801</v>
      </c>
      <c r="K1832" s="55">
        <v>45614.0</v>
      </c>
      <c r="M1832" s="9" t="s">
        <v>11464</v>
      </c>
    </row>
    <row r="1833" ht="15.75" hidden="1" customHeight="1">
      <c r="A1833" s="9" t="s">
        <v>41996</v>
      </c>
      <c r="B1833" s="9" t="s">
        <v>22590</v>
      </c>
      <c r="D1833" s="9" t="s">
        <v>12230</v>
      </c>
      <c r="F1833" s="9" t="s">
        <v>40154</v>
      </c>
      <c r="G1833" s="9" t="s">
        <v>38946</v>
      </c>
      <c r="H1833" s="127">
        <v>45615.0</v>
      </c>
      <c r="I1833" s="9" t="s">
        <v>131</v>
      </c>
      <c r="J1833" s="9" t="s">
        <v>38801</v>
      </c>
      <c r="K1833" s="55">
        <v>45615.0</v>
      </c>
      <c r="M1833" s="9" t="s">
        <v>11476</v>
      </c>
    </row>
    <row r="1834" ht="15.75" hidden="1" customHeight="1">
      <c r="A1834" s="9" t="s">
        <v>41997</v>
      </c>
      <c r="B1834" s="9" t="s">
        <v>18879</v>
      </c>
      <c r="D1834" s="9" t="s">
        <v>12250</v>
      </c>
      <c r="F1834" s="9" t="s">
        <v>41998</v>
      </c>
      <c r="G1834" s="9" t="s">
        <v>38946</v>
      </c>
      <c r="H1834" s="127">
        <v>45616.0</v>
      </c>
      <c r="I1834" s="9" t="s">
        <v>131</v>
      </c>
      <c r="J1834" s="9" t="s">
        <v>38801</v>
      </c>
      <c r="K1834" s="55">
        <v>45616.0</v>
      </c>
      <c r="M1834" s="9" t="s">
        <v>8779</v>
      </c>
    </row>
    <row r="1835" ht="15.75" hidden="1" customHeight="1">
      <c r="A1835" s="9" t="s">
        <v>41999</v>
      </c>
      <c r="B1835" s="9" t="s">
        <v>18879</v>
      </c>
      <c r="D1835" s="9" t="s">
        <v>12250</v>
      </c>
      <c r="F1835" s="9" t="s">
        <v>41998</v>
      </c>
      <c r="G1835" s="9" t="s">
        <v>38946</v>
      </c>
      <c r="H1835" s="127">
        <v>45616.0</v>
      </c>
      <c r="I1835" s="9" t="s">
        <v>131</v>
      </c>
      <c r="J1835" s="9" t="s">
        <v>38801</v>
      </c>
      <c r="K1835" s="55">
        <v>45616.0</v>
      </c>
      <c r="M1835" s="9" t="s">
        <v>11917</v>
      </c>
    </row>
    <row r="1836" ht="15.75" hidden="1" customHeight="1">
      <c r="A1836" s="9" t="s">
        <v>42000</v>
      </c>
      <c r="B1836" s="9" t="s">
        <v>14333</v>
      </c>
      <c r="D1836" s="9" t="s">
        <v>12250</v>
      </c>
      <c r="F1836" s="9" t="s">
        <v>41998</v>
      </c>
      <c r="G1836" s="9" t="s">
        <v>38946</v>
      </c>
      <c r="H1836" s="127">
        <v>45616.0</v>
      </c>
      <c r="I1836" s="9" t="s">
        <v>131</v>
      </c>
      <c r="J1836" s="9" t="s">
        <v>38801</v>
      </c>
      <c r="K1836" s="55">
        <v>45616.0</v>
      </c>
      <c r="M1836" s="9" t="s">
        <v>11708</v>
      </c>
    </row>
    <row r="1837" ht="15.75" hidden="1" customHeight="1">
      <c r="A1837" s="9" t="s">
        <v>42001</v>
      </c>
      <c r="B1837" s="9" t="s">
        <v>22497</v>
      </c>
      <c r="D1837" s="9" t="s">
        <v>12230</v>
      </c>
      <c r="F1837" s="9" t="s">
        <v>42002</v>
      </c>
      <c r="G1837" s="9" t="s">
        <v>38946</v>
      </c>
      <c r="H1837" s="127">
        <v>45616.0</v>
      </c>
      <c r="I1837" s="9" t="s">
        <v>131</v>
      </c>
      <c r="J1837" s="9" t="s">
        <v>38801</v>
      </c>
      <c r="K1837" s="55">
        <v>45616.0</v>
      </c>
      <c r="M1837" s="9" t="s">
        <v>11462</v>
      </c>
    </row>
    <row r="1838" ht="15.75" hidden="1" customHeight="1">
      <c r="A1838" s="9" t="s">
        <v>42003</v>
      </c>
      <c r="B1838" s="9" t="s">
        <v>14393</v>
      </c>
      <c r="D1838" s="9" t="s">
        <v>12248</v>
      </c>
      <c r="F1838" s="9" t="s">
        <v>42004</v>
      </c>
      <c r="G1838" s="9" t="s">
        <v>38946</v>
      </c>
      <c r="H1838" s="127">
        <v>45628.0</v>
      </c>
      <c r="I1838" s="9" t="s">
        <v>131</v>
      </c>
      <c r="J1838" s="9" t="s">
        <v>38801</v>
      </c>
      <c r="K1838" s="55">
        <v>45628.0</v>
      </c>
      <c r="M1838" s="9" t="s">
        <v>10400</v>
      </c>
    </row>
    <row r="1839" ht="15.75" hidden="1" customHeight="1">
      <c r="A1839" s="9" t="s">
        <v>42005</v>
      </c>
      <c r="B1839" s="9" t="s">
        <v>18814</v>
      </c>
      <c r="D1839" s="9" t="s">
        <v>12248</v>
      </c>
      <c r="F1839" s="9" t="s">
        <v>42006</v>
      </c>
      <c r="G1839" s="9" t="s">
        <v>38946</v>
      </c>
      <c r="H1839" s="127">
        <v>45628.0</v>
      </c>
      <c r="I1839" s="9" t="s">
        <v>131</v>
      </c>
      <c r="J1839" s="9" t="s">
        <v>38801</v>
      </c>
      <c r="K1839" s="55">
        <v>45628.0</v>
      </c>
      <c r="M1839" s="9" t="s">
        <v>11947</v>
      </c>
    </row>
    <row r="1840" ht="15.75" hidden="1" customHeight="1">
      <c r="A1840" s="9" t="s">
        <v>42007</v>
      </c>
      <c r="B1840" s="52" t="s">
        <v>27173</v>
      </c>
      <c r="D1840" s="9" t="s">
        <v>12230</v>
      </c>
      <c r="F1840" s="9" t="s">
        <v>40154</v>
      </c>
      <c r="G1840" s="9" t="s">
        <v>38946</v>
      </c>
      <c r="H1840" s="127">
        <v>45628.0</v>
      </c>
      <c r="I1840" s="9" t="s">
        <v>131</v>
      </c>
      <c r="J1840" s="9" t="s">
        <v>38801</v>
      </c>
      <c r="K1840" s="55">
        <v>45631.0</v>
      </c>
      <c r="M1840" s="9" t="s">
        <v>11498</v>
      </c>
    </row>
    <row r="1841" ht="15.75" hidden="1" customHeight="1">
      <c r="A1841" s="9" t="s">
        <v>42008</v>
      </c>
      <c r="B1841" s="9" t="s">
        <v>16697</v>
      </c>
      <c r="D1841" s="9" t="s">
        <v>12230</v>
      </c>
      <c r="F1841" s="9" t="s">
        <v>42009</v>
      </c>
      <c r="G1841" s="9" t="s">
        <v>38808</v>
      </c>
      <c r="H1841" s="127">
        <v>45631.0</v>
      </c>
      <c r="I1841" s="9" t="s">
        <v>47</v>
      </c>
      <c r="J1841" s="9" t="s">
        <v>38801</v>
      </c>
      <c r="K1841" s="55">
        <v>45631.0</v>
      </c>
      <c r="M1841" s="9" t="s">
        <v>7298</v>
      </c>
    </row>
    <row r="1842" ht="15.75" hidden="1" customHeight="1">
      <c r="A1842" s="9" t="s">
        <v>42010</v>
      </c>
      <c r="B1842" s="9" t="s">
        <v>16104</v>
      </c>
      <c r="D1842" s="9" t="s">
        <v>12224</v>
      </c>
      <c r="F1842" s="9" t="s">
        <v>42011</v>
      </c>
      <c r="G1842" s="9" t="s">
        <v>38808</v>
      </c>
      <c r="H1842" s="127">
        <v>45631.0</v>
      </c>
      <c r="I1842" s="9" t="s">
        <v>47</v>
      </c>
      <c r="J1842" s="9" t="s">
        <v>38801</v>
      </c>
      <c r="K1842" s="55">
        <v>45631.0</v>
      </c>
      <c r="M1842" s="9" t="s">
        <v>5446</v>
      </c>
    </row>
    <row r="1843" ht="15.75" hidden="1" customHeight="1">
      <c r="A1843" s="9" t="s">
        <v>42012</v>
      </c>
      <c r="B1843" s="9" t="s">
        <v>16104</v>
      </c>
      <c r="D1843" s="9" t="s">
        <v>12230</v>
      </c>
      <c r="F1843" s="9" t="s">
        <v>42013</v>
      </c>
      <c r="G1843" s="9" t="s">
        <v>38808</v>
      </c>
      <c r="H1843" s="127">
        <v>45631.0</v>
      </c>
      <c r="I1843" s="9" t="s">
        <v>47</v>
      </c>
      <c r="J1843" s="9" t="s">
        <v>38801</v>
      </c>
      <c r="K1843" s="55">
        <v>45631.0</v>
      </c>
      <c r="M1843" s="9" t="s">
        <v>5446</v>
      </c>
    </row>
    <row r="1844" ht="15.75" hidden="1" customHeight="1">
      <c r="A1844" s="9" t="s">
        <v>42014</v>
      </c>
      <c r="B1844" s="9" t="s">
        <v>22639</v>
      </c>
      <c r="D1844" s="9" t="s">
        <v>12230</v>
      </c>
      <c r="F1844" s="9" t="s">
        <v>42015</v>
      </c>
      <c r="G1844" s="9" t="s">
        <v>38946</v>
      </c>
      <c r="H1844" s="127">
        <v>45631.0</v>
      </c>
      <c r="I1844" s="9" t="s">
        <v>131</v>
      </c>
      <c r="J1844" s="9" t="s">
        <v>38801</v>
      </c>
      <c r="K1844" s="55">
        <v>45637.0</v>
      </c>
      <c r="M1844" s="9" t="s">
        <v>11484</v>
      </c>
    </row>
    <row r="1845" ht="15.75" hidden="1" customHeight="1">
      <c r="A1845" s="9" t="s">
        <v>42016</v>
      </c>
      <c r="B1845" s="9" t="s">
        <v>16595</v>
      </c>
      <c r="D1845" s="9" t="s">
        <v>12230</v>
      </c>
      <c r="F1845" s="9" t="s">
        <v>42017</v>
      </c>
      <c r="G1845" s="9" t="s">
        <v>38946</v>
      </c>
      <c r="H1845" s="127">
        <v>45631.0</v>
      </c>
      <c r="I1845" s="9" t="s">
        <v>131</v>
      </c>
      <c r="J1845" s="9" t="s">
        <v>38801</v>
      </c>
      <c r="K1845" s="55">
        <v>45631.0</v>
      </c>
      <c r="M1845" s="9" t="s">
        <v>11489</v>
      </c>
    </row>
    <row r="1846" ht="15.75" hidden="1" customHeight="1">
      <c r="A1846" s="9" t="s">
        <v>42018</v>
      </c>
      <c r="B1846" s="9" t="s">
        <v>20075</v>
      </c>
      <c r="D1846" s="9" t="s">
        <v>12248</v>
      </c>
      <c r="F1846" s="9" t="s">
        <v>42019</v>
      </c>
      <c r="G1846" s="9" t="s">
        <v>38946</v>
      </c>
      <c r="H1846" s="127">
        <v>45632.0</v>
      </c>
      <c r="I1846" s="9" t="s">
        <v>131</v>
      </c>
      <c r="J1846" s="9" t="s">
        <v>38801</v>
      </c>
      <c r="K1846" s="55">
        <v>45644.0</v>
      </c>
      <c r="M1846" s="9" t="s">
        <v>433</v>
      </c>
    </row>
    <row r="1847" ht="15.75" hidden="1" customHeight="1">
      <c r="A1847" s="9" t="s">
        <v>42020</v>
      </c>
      <c r="B1847" s="9" t="s">
        <v>21831</v>
      </c>
      <c r="D1847" s="9" t="s">
        <v>12250</v>
      </c>
      <c r="F1847" s="9" t="s">
        <v>42021</v>
      </c>
      <c r="G1847" s="9" t="s">
        <v>38946</v>
      </c>
      <c r="H1847" s="127">
        <v>45632.0</v>
      </c>
      <c r="I1847" s="9" t="s">
        <v>47</v>
      </c>
      <c r="J1847" s="9" t="s">
        <v>38801</v>
      </c>
      <c r="K1847" s="55">
        <v>45632.0</v>
      </c>
      <c r="M1847" s="9" t="s">
        <v>11740</v>
      </c>
    </row>
    <row r="1848" ht="15.75" hidden="1" customHeight="1">
      <c r="A1848" s="9" t="s">
        <v>42022</v>
      </c>
      <c r="B1848" s="9" t="s">
        <v>21831</v>
      </c>
      <c r="D1848" s="9" t="s">
        <v>12257</v>
      </c>
      <c r="F1848" s="9" t="s">
        <v>42023</v>
      </c>
      <c r="G1848" s="9" t="s">
        <v>38946</v>
      </c>
      <c r="H1848" s="127">
        <v>45632.0</v>
      </c>
      <c r="I1848" s="9" t="s">
        <v>47</v>
      </c>
      <c r="J1848" s="9" t="s">
        <v>38801</v>
      </c>
      <c r="K1848" s="55">
        <v>45678.0</v>
      </c>
      <c r="M1848" s="9" t="s">
        <v>11740</v>
      </c>
    </row>
    <row r="1849" ht="15.75" hidden="1" customHeight="1">
      <c r="A1849" s="9" t="s">
        <v>42024</v>
      </c>
      <c r="B1849" s="9" t="s">
        <v>13263</v>
      </c>
      <c r="D1849" s="9" t="s">
        <v>12240</v>
      </c>
      <c r="F1849" s="9" t="s">
        <v>42025</v>
      </c>
      <c r="G1849" s="9" t="s">
        <v>38808</v>
      </c>
      <c r="H1849" s="127">
        <v>45635.0</v>
      </c>
      <c r="I1849" s="9" t="s">
        <v>47</v>
      </c>
      <c r="J1849" s="9" t="s">
        <v>38801</v>
      </c>
      <c r="K1849" s="55">
        <v>45663.0</v>
      </c>
      <c r="M1849" s="9" t="s">
        <v>3889</v>
      </c>
    </row>
    <row r="1850" ht="15.75" hidden="1" customHeight="1">
      <c r="A1850" s="9" t="s">
        <v>42026</v>
      </c>
      <c r="B1850" s="9" t="s">
        <v>13263</v>
      </c>
      <c r="D1850" s="9" t="s">
        <v>12239</v>
      </c>
      <c r="F1850" s="9" t="s">
        <v>42027</v>
      </c>
      <c r="G1850" s="9" t="s">
        <v>38808</v>
      </c>
      <c r="H1850" s="127">
        <v>45635.0</v>
      </c>
      <c r="I1850" s="9" t="s">
        <v>47</v>
      </c>
      <c r="J1850" s="9" t="s">
        <v>38801</v>
      </c>
      <c r="K1850" s="55">
        <v>45699.0</v>
      </c>
      <c r="M1850" s="9" t="s">
        <v>3889</v>
      </c>
    </row>
    <row r="1851" ht="15.75" hidden="1" customHeight="1">
      <c r="A1851" s="9" t="s">
        <v>42028</v>
      </c>
      <c r="B1851" s="9" t="s">
        <v>12609</v>
      </c>
      <c r="D1851" s="9" t="s">
        <v>12246</v>
      </c>
      <c r="F1851" s="9" t="s">
        <v>42029</v>
      </c>
      <c r="G1851" s="9" t="s">
        <v>38946</v>
      </c>
      <c r="H1851" s="127">
        <v>45635.0</v>
      </c>
      <c r="I1851" s="9" t="s">
        <v>131</v>
      </c>
      <c r="J1851" s="9" t="s">
        <v>38801</v>
      </c>
      <c r="K1851" s="55">
        <v>46100.0</v>
      </c>
      <c r="M1851" s="9" t="s">
        <v>11817</v>
      </c>
    </row>
    <row r="1852" ht="15.75" hidden="1" customHeight="1">
      <c r="A1852" s="52" t="s">
        <v>42030</v>
      </c>
      <c r="B1852" s="9" t="s">
        <v>22651</v>
      </c>
      <c r="D1852" s="9" t="s">
        <v>12230</v>
      </c>
      <c r="F1852" s="9" t="s">
        <v>41771</v>
      </c>
      <c r="G1852" s="9" t="s">
        <v>38946</v>
      </c>
      <c r="H1852" s="127">
        <v>45637.0</v>
      </c>
      <c r="I1852" s="9" t="s">
        <v>131</v>
      </c>
      <c r="J1852" s="9" t="s">
        <v>38801</v>
      </c>
      <c r="K1852" s="55">
        <v>45637.0</v>
      </c>
      <c r="M1852" s="9" t="s">
        <v>11486</v>
      </c>
    </row>
    <row r="1853" ht="15.75" hidden="1" customHeight="1">
      <c r="A1853" s="9" t="s">
        <v>42031</v>
      </c>
      <c r="B1853" s="9" t="s">
        <v>22663</v>
      </c>
      <c r="D1853" s="9" t="s">
        <v>12230</v>
      </c>
      <c r="F1853" s="9" t="s">
        <v>41771</v>
      </c>
      <c r="G1853" s="9" t="s">
        <v>38946</v>
      </c>
      <c r="H1853" s="127">
        <v>45637.0</v>
      </c>
      <c r="I1853" s="9" t="s">
        <v>131</v>
      </c>
      <c r="J1853" s="9" t="s">
        <v>38801</v>
      </c>
      <c r="K1853" s="55">
        <v>45637.0</v>
      </c>
      <c r="M1853" s="9" t="s">
        <v>11494</v>
      </c>
    </row>
    <row r="1854" ht="15.75" hidden="1" customHeight="1">
      <c r="A1854" s="9" t="s">
        <v>42032</v>
      </c>
      <c r="B1854" s="9" t="s">
        <v>27013</v>
      </c>
      <c r="D1854" s="9" t="s">
        <v>12248</v>
      </c>
      <c r="F1854" s="9" t="s">
        <v>42033</v>
      </c>
      <c r="G1854" s="9" t="s">
        <v>38946</v>
      </c>
      <c r="H1854" s="127">
        <v>45638.0</v>
      </c>
      <c r="I1854" s="9" t="s">
        <v>131</v>
      </c>
      <c r="J1854" s="9" t="s">
        <v>38801</v>
      </c>
      <c r="K1854" s="55">
        <v>45638.0</v>
      </c>
      <c r="M1854" s="9" t="s">
        <v>11381</v>
      </c>
    </row>
    <row r="1855" ht="15.75" hidden="1" customHeight="1">
      <c r="A1855" s="9" t="s">
        <v>42034</v>
      </c>
      <c r="B1855" s="9" t="s">
        <v>19357</v>
      </c>
      <c r="D1855" s="9" t="s">
        <v>12250</v>
      </c>
      <c r="F1855" s="9" t="s">
        <v>41965</v>
      </c>
      <c r="G1855" s="9" t="s">
        <v>38946</v>
      </c>
      <c r="H1855" s="127">
        <v>45638.0</v>
      </c>
      <c r="I1855" s="9" t="s">
        <v>131</v>
      </c>
      <c r="J1855" s="9" t="s">
        <v>38801</v>
      </c>
      <c r="K1855" s="55">
        <v>45638.0</v>
      </c>
      <c r="M1855" s="9" t="s">
        <v>4121</v>
      </c>
    </row>
    <row r="1856" ht="15.75" hidden="1" customHeight="1">
      <c r="A1856" s="9" t="s">
        <v>42035</v>
      </c>
      <c r="B1856" s="9" t="s">
        <v>14449</v>
      </c>
      <c r="D1856" s="9" t="s">
        <v>12248</v>
      </c>
      <c r="F1856" s="9" t="s">
        <v>42036</v>
      </c>
      <c r="G1856" s="9" t="s">
        <v>38946</v>
      </c>
      <c r="H1856" s="127">
        <v>45639.0</v>
      </c>
      <c r="I1856" s="9" t="s">
        <v>131</v>
      </c>
      <c r="J1856" s="9" t="s">
        <v>38801</v>
      </c>
      <c r="K1856" s="55">
        <v>45639.0</v>
      </c>
      <c r="M1856" s="9" t="s">
        <v>10394</v>
      </c>
    </row>
    <row r="1857" ht="15.75" hidden="1" customHeight="1">
      <c r="A1857" s="9" t="s">
        <v>42037</v>
      </c>
      <c r="B1857" s="9" t="s">
        <v>21912</v>
      </c>
      <c r="D1857" s="9" t="s">
        <v>12250</v>
      </c>
      <c r="F1857" s="9" t="s">
        <v>42038</v>
      </c>
      <c r="G1857" s="9" t="s">
        <v>38808</v>
      </c>
      <c r="H1857" s="127">
        <v>45644.0</v>
      </c>
      <c r="I1857" s="9" t="s">
        <v>47</v>
      </c>
      <c r="J1857" s="9" t="s">
        <v>38801</v>
      </c>
      <c r="K1857" s="55">
        <v>45644.0</v>
      </c>
      <c r="M1857" s="9" t="s">
        <v>11682</v>
      </c>
    </row>
    <row r="1858" ht="15.75" hidden="1" customHeight="1">
      <c r="A1858" s="9" t="s">
        <v>42039</v>
      </c>
      <c r="B1858" s="9" t="s">
        <v>21912</v>
      </c>
      <c r="D1858" s="9" t="s">
        <v>12230</v>
      </c>
      <c r="F1858" s="9" t="s">
        <v>42040</v>
      </c>
      <c r="G1858" s="9" t="s">
        <v>38946</v>
      </c>
      <c r="H1858" s="127">
        <v>45644.0</v>
      </c>
      <c r="I1858" s="9" t="s">
        <v>47</v>
      </c>
      <c r="J1858" s="9" t="s">
        <v>38801</v>
      </c>
      <c r="K1858" s="55">
        <v>45644.0</v>
      </c>
      <c r="M1858" s="9" t="s">
        <v>11682</v>
      </c>
    </row>
    <row r="1859" ht="15.75" hidden="1" customHeight="1">
      <c r="A1859" s="9" t="s">
        <v>42041</v>
      </c>
      <c r="B1859" s="9" t="s">
        <v>13229</v>
      </c>
      <c r="D1859" s="9" t="s">
        <v>12239</v>
      </c>
      <c r="F1859" s="9" t="s">
        <v>42042</v>
      </c>
      <c r="G1859" s="9" t="s">
        <v>38946</v>
      </c>
      <c r="H1859" s="127">
        <v>45649.0</v>
      </c>
      <c r="I1859" s="9" t="s">
        <v>47</v>
      </c>
      <c r="J1859" s="9" t="s">
        <v>38801</v>
      </c>
      <c r="K1859" s="55">
        <v>45720.0</v>
      </c>
      <c r="M1859" s="9" t="s">
        <v>10322</v>
      </c>
    </row>
    <row r="1860" ht="15.75" hidden="1" customHeight="1">
      <c r="A1860" s="9" t="s">
        <v>42043</v>
      </c>
      <c r="B1860" s="9" t="s">
        <v>13229</v>
      </c>
      <c r="D1860" s="9" t="s">
        <v>12240</v>
      </c>
      <c r="F1860" s="9" t="s">
        <v>42042</v>
      </c>
      <c r="G1860" s="9" t="s">
        <v>38946</v>
      </c>
      <c r="H1860" s="127">
        <v>45649.0</v>
      </c>
      <c r="I1860" s="9" t="s">
        <v>47</v>
      </c>
      <c r="J1860" s="9" t="s">
        <v>38801</v>
      </c>
      <c r="K1860" s="55">
        <v>45663.0</v>
      </c>
      <c r="M1860" s="9" t="s">
        <v>11945</v>
      </c>
    </row>
    <row r="1861" ht="15.75" hidden="1" customHeight="1">
      <c r="A1861" s="9" t="s">
        <v>42044</v>
      </c>
      <c r="B1861" s="9" t="s">
        <v>13229</v>
      </c>
      <c r="D1861" s="9" t="s">
        <v>12250</v>
      </c>
      <c r="F1861" s="9" t="s">
        <v>42045</v>
      </c>
      <c r="G1861" s="9" t="s">
        <v>38946</v>
      </c>
      <c r="H1861" s="127">
        <v>45649.0</v>
      </c>
      <c r="I1861" s="9" t="s">
        <v>47</v>
      </c>
      <c r="J1861" s="9" t="s">
        <v>38801</v>
      </c>
      <c r="K1861" s="55">
        <v>45649.0</v>
      </c>
      <c r="M1861" s="9" t="s">
        <v>10322</v>
      </c>
    </row>
    <row r="1862" ht="15.75" hidden="1" customHeight="1">
      <c r="A1862" s="9" t="s">
        <v>42046</v>
      </c>
      <c r="B1862" s="9" t="s">
        <v>13229</v>
      </c>
      <c r="D1862" s="9" t="s">
        <v>12257</v>
      </c>
      <c r="F1862" s="9" t="s">
        <v>42047</v>
      </c>
      <c r="G1862" s="9" t="s">
        <v>38946</v>
      </c>
      <c r="H1862" s="127">
        <v>45649.0</v>
      </c>
      <c r="I1862" s="9" t="s">
        <v>47</v>
      </c>
      <c r="J1862" s="9" t="s">
        <v>38801</v>
      </c>
      <c r="K1862" s="55">
        <v>45649.0</v>
      </c>
      <c r="M1862" s="9" t="s">
        <v>11945</v>
      </c>
    </row>
    <row r="1863" ht="15.75" hidden="1" customHeight="1">
      <c r="A1863" s="9" t="s">
        <v>42048</v>
      </c>
      <c r="B1863" s="9" t="s">
        <v>16595</v>
      </c>
      <c r="D1863" s="9" t="s">
        <v>12230</v>
      </c>
      <c r="F1863" s="9" t="s">
        <v>42049</v>
      </c>
      <c r="G1863" s="9" t="s">
        <v>38808</v>
      </c>
      <c r="H1863" s="127">
        <v>45649.0</v>
      </c>
      <c r="I1863" s="9" t="s">
        <v>47</v>
      </c>
      <c r="J1863" s="9" t="s">
        <v>38801</v>
      </c>
      <c r="K1863" s="55">
        <v>45649.0</v>
      </c>
      <c r="M1863" s="9" t="s">
        <v>11489</v>
      </c>
    </row>
    <row r="1864" ht="15.75" hidden="1" customHeight="1">
      <c r="A1864" s="9" t="s">
        <v>42050</v>
      </c>
      <c r="B1864" s="9" t="s">
        <v>16278</v>
      </c>
      <c r="D1864" s="9" t="s">
        <v>12230</v>
      </c>
      <c r="F1864" s="9" t="s">
        <v>42051</v>
      </c>
      <c r="G1864" s="9" t="s">
        <v>38808</v>
      </c>
      <c r="H1864" s="127">
        <v>45649.0</v>
      </c>
      <c r="I1864" s="9" t="s">
        <v>47</v>
      </c>
      <c r="J1864" s="9" t="s">
        <v>38805</v>
      </c>
      <c r="K1864" s="55"/>
      <c r="M1864" s="9" t="s">
        <v>9639</v>
      </c>
    </row>
    <row r="1865" ht="15.75" hidden="1" customHeight="1">
      <c r="A1865" s="9" t="s">
        <v>42052</v>
      </c>
      <c r="B1865" s="9" t="s">
        <v>13685</v>
      </c>
      <c r="D1865" s="9" t="s">
        <v>12248</v>
      </c>
      <c r="F1865" s="9" t="s">
        <v>42053</v>
      </c>
      <c r="G1865" s="9" t="s">
        <v>38808</v>
      </c>
      <c r="H1865" s="127">
        <v>45650.0</v>
      </c>
      <c r="I1865" s="9" t="s">
        <v>47</v>
      </c>
      <c r="J1865" s="9" t="s">
        <v>38801</v>
      </c>
      <c r="K1865" s="55">
        <v>45872.0</v>
      </c>
      <c r="M1865" s="9" t="s">
        <v>264</v>
      </c>
    </row>
    <row r="1866" ht="15.75" hidden="1" customHeight="1">
      <c r="A1866" s="9" t="s">
        <v>42054</v>
      </c>
      <c r="B1866" s="9" t="s">
        <v>13685</v>
      </c>
      <c r="D1866" s="9" t="s">
        <v>12230</v>
      </c>
      <c r="F1866" s="9" t="s">
        <v>42055</v>
      </c>
      <c r="G1866" s="9" t="s">
        <v>38808</v>
      </c>
      <c r="H1866" s="127">
        <v>45650.0</v>
      </c>
      <c r="I1866" s="9" t="s">
        <v>47</v>
      </c>
      <c r="J1866" s="9" t="s">
        <v>38801</v>
      </c>
      <c r="K1866" s="55">
        <v>45872.0</v>
      </c>
      <c r="M1866" s="9" t="s">
        <v>264</v>
      </c>
    </row>
    <row r="1867" ht="15.75" hidden="1" customHeight="1">
      <c r="A1867" s="9" t="s">
        <v>42056</v>
      </c>
      <c r="B1867" s="9" t="s">
        <v>18912</v>
      </c>
      <c r="D1867" s="9" t="s">
        <v>12230</v>
      </c>
      <c r="F1867" s="9" t="s">
        <v>42057</v>
      </c>
      <c r="G1867" s="9" t="s">
        <v>38808</v>
      </c>
      <c r="H1867" s="127">
        <v>45650.0</v>
      </c>
      <c r="I1867" s="9" t="s">
        <v>47</v>
      </c>
      <c r="J1867" s="9" t="s">
        <v>38805</v>
      </c>
      <c r="K1867" s="55"/>
      <c r="M1867" s="9" t="s">
        <v>11491</v>
      </c>
    </row>
    <row r="1868" ht="15.75" hidden="1" customHeight="1">
      <c r="A1868" s="9" t="s">
        <v>42058</v>
      </c>
      <c r="B1868" s="9" t="s">
        <v>21724</v>
      </c>
      <c r="D1868" s="9" t="s">
        <v>12236</v>
      </c>
      <c r="F1868" s="9" t="s">
        <v>42059</v>
      </c>
      <c r="G1868" s="9" t="s">
        <v>38946</v>
      </c>
      <c r="H1868" s="127">
        <v>45653.0</v>
      </c>
      <c r="I1868" s="9" t="s">
        <v>131</v>
      </c>
      <c r="J1868" s="9" t="s">
        <v>38801</v>
      </c>
      <c r="K1868" s="55">
        <v>45653.0</v>
      </c>
      <c r="M1868" s="9" t="s">
        <v>11362</v>
      </c>
    </row>
    <row r="1869" ht="15.75" hidden="1" customHeight="1">
      <c r="A1869" s="9" t="s">
        <v>42060</v>
      </c>
      <c r="B1869" s="9" t="s">
        <v>22744</v>
      </c>
      <c r="D1869" s="9" t="s">
        <v>12230</v>
      </c>
      <c r="F1869" s="9" t="s">
        <v>40154</v>
      </c>
      <c r="G1869" s="9" t="s">
        <v>38946</v>
      </c>
      <c r="H1869" s="127">
        <v>45653.0</v>
      </c>
      <c r="I1869" s="9" t="s">
        <v>131</v>
      </c>
      <c r="J1869" s="9" t="s">
        <v>38801</v>
      </c>
      <c r="K1869" s="55">
        <v>45653.0</v>
      </c>
      <c r="M1869" s="9" t="s">
        <v>11505</v>
      </c>
    </row>
    <row r="1870" ht="15.75" hidden="1" customHeight="1">
      <c r="A1870" s="9" t="s">
        <v>42061</v>
      </c>
      <c r="B1870" s="9" t="s">
        <v>15608</v>
      </c>
      <c r="D1870" s="9" t="s">
        <v>12250</v>
      </c>
      <c r="F1870" s="9" t="s">
        <v>42062</v>
      </c>
      <c r="G1870" s="9" t="s">
        <v>38946</v>
      </c>
      <c r="H1870" s="127">
        <v>45659.0</v>
      </c>
      <c r="I1870" s="9" t="s">
        <v>131</v>
      </c>
      <c r="J1870" s="9" t="s">
        <v>38801</v>
      </c>
      <c r="K1870" s="55">
        <v>45659.0</v>
      </c>
      <c r="M1870" s="52" t="s">
        <v>15642</v>
      </c>
    </row>
    <row r="1871" ht="15.75" hidden="1" customHeight="1">
      <c r="A1871" s="9" t="s">
        <v>42063</v>
      </c>
      <c r="B1871" s="9" t="s">
        <v>22771</v>
      </c>
      <c r="D1871" s="9" t="s">
        <v>12230</v>
      </c>
      <c r="F1871" s="9" t="s">
        <v>41771</v>
      </c>
      <c r="G1871" s="9" t="s">
        <v>38946</v>
      </c>
      <c r="H1871" s="127">
        <v>45660.0</v>
      </c>
      <c r="I1871" s="9" t="s">
        <v>131</v>
      </c>
      <c r="J1871" s="9" t="s">
        <v>38801</v>
      </c>
      <c r="K1871" s="55">
        <v>45679.0</v>
      </c>
      <c r="M1871" s="9" t="s">
        <v>11509</v>
      </c>
    </row>
    <row r="1872" ht="15.75" hidden="1" customHeight="1">
      <c r="A1872" s="9" t="s">
        <v>42064</v>
      </c>
      <c r="B1872" s="9" t="s">
        <v>22731</v>
      </c>
      <c r="D1872" s="9" t="s">
        <v>12239</v>
      </c>
      <c r="F1872" s="9" t="s">
        <v>42065</v>
      </c>
      <c r="G1872" s="9" t="s">
        <v>38946</v>
      </c>
      <c r="H1872" s="127">
        <v>45660.0</v>
      </c>
      <c r="I1872" s="9" t="s">
        <v>131</v>
      </c>
      <c r="J1872" s="9" t="s">
        <v>38801</v>
      </c>
      <c r="K1872" s="55">
        <v>45735.0</v>
      </c>
      <c r="M1872" s="9" t="s">
        <v>11503</v>
      </c>
    </row>
    <row r="1873" ht="15.75" hidden="1" customHeight="1">
      <c r="A1873" s="9" t="s">
        <v>42066</v>
      </c>
      <c r="B1873" s="9" t="s">
        <v>21702</v>
      </c>
      <c r="D1873" s="9" t="s">
        <v>12248</v>
      </c>
      <c r="F1873" s="9" t="s">
        <v>42067</v>
      </c>
      <c r="G1873" s="9" t="s">
        <v>38946</v>
      </c>
      <c r="H1873" s="127">
        <v>45660.0</v>
      </c>
      <c r="I1873" s="9" t="s">
        <v>131</v>
      </c>
      <c r="J1873" s="9" t="s">
        <v>38801</v>
      </c>
      <c r="K1873" s="55">
        <v>45679.0</v>
      </c>
      <c r="M1873" s="9" t="s">
        <v>9464</v>
      </c>
    </row>
    <row r="1874" ht="15.75" customHeight="1">
      <c r="A1874" s="9" t="s">
        <v>42068</v>
      </c>
      <c r="B1874" s="9" t="s">
        <v>22663</v>
      </c>
      <c r="D1874" s="9" t="s">
        <v>12227</v>
      </c>
      <c r="E1874" s="9" t="s">
        <v>38803</v>
      </c>
      <c r="F1874" s="9" t="s">
        <v>42069</v>
      </c>
      <c r="G1874" s="9" t="s">
        <v>38808</v>
      </c>
      <c r="H1874" s="127">
        <v>45665.0</v>
      </c>
      <c r="I1874" s="9" t="s">
        <v>47</v>
      </c>
      <c r="J1874" s="9" t="s">
        <v>38805</v>
      </c>
      <c r="K1874" s="55"/>
      <c r="M1874" s="9" t="s">
        <v>11494</v>
      </c>
    </row>
    <row r="1875" ht="15.75" hidden="1" customHeight="1">
      <c r="A1875" s="9" t="s">
        <v>42070</v>
      </c>
      <c r="B1875" s="9" t="s">
        <v>22663</v>
      </c>
      <c r="D1875" s="9" t="s">
        <v>12239</v>
      </c>
      <c r="F1875" s="9" t="s">
        <v>42071</v>
      </c>
      <c r="G1875" s="9" t="s">
        <v>38808</v>
      </c>
      <c r="H1875" s="127">
        <v>45665.0</v>
      </c>
      <c r="I1875" s="9" t="s">
        <v>47</v>
      </c>
      <c r="J1875" s="9" t="s">
        <v>38801</v>
      </c>
      <c r="K1875" s="55">
        <v>45699.0</v>
      </c>
      <c r="M1875" s="9" t="s">
        <v>11494</v>
      </c>
    </row>
    <row r="1876" ht="15.75" hidden="1" customHeight="1">
      <c r="A1876" s="9" t="s">
        <v>42072</v>
      </c>
      <c r="B1876" s="9" t="s">
        <v>22663</v>
      </c>
      <c r="D1876" s="9" t="s">
        <v>12257</v>
      </c>
      <c r="F1876" s="9" t="s">
        <v>42073</v>
      </c>
      <c r="G1876" s="9" t="s">
        <v>38946</v>
      </c>
      <c r="H1876" s="127">
        <v>45665.0</v>
      </c>
      <c r="I1876" s="9" t="s">
        <v>47</v>
      </c>
      <c r="J1876" s="9" t="s">
        <v>38801</v>
      </c>
      <c r="K1876" s="55">
        <v>45665.0</v>
      </c>
      <c r="M1876" s="9" t="s">
        <v>11494</v>
      </c>
    </row>
    <row r="1877" ht="15.75" hidden="1" customHeight="1">
      <c r="A1877" s="9" t="s">
        <v>42074</v>
      </c>
      <c r="B1877" s="9" t="s">
        <v>22663</v>
      </c>
      <c r="D1877" s="9" t="s">
        <v>12258</v>
      </c>
      <c r="F1877" s="9" t="s">
        <v>42075</v>
      </c>
      <c r="G1877" s="9" t="s">
        <v>38808</v>
      </c>
      <c r="H1877" s="127">
        <v>45665.0</v>
      </c>
      <c r="I1877" s="9" t="s">
        <v>47</v>
      </c>
      <c r="J1877" s="9" t="s">
        <v>38801</v>
      </c>
      <c r="K1877" s="55">
        <v>45665.0</v>
      </c>
      <c r="M1877" s="9" t="s">
        <v>11494</v>
      </c>
    </row>
    <row r="1878" ht="15.75" hidden="1" customHeight="1">
      <c r="A1878" s="9" t="s">
        <v>42076</v>
      </c>
      <c r="B1878" s="9" t="s">
        <v>20819</v>
      </c>
      <c r="D1878" s="9" t="s">
        <v>12230</v>
      </c>
      <c r="F1878" s="9" t="s">
        <v>42077</v>
      </c>
      <c r="G1878" s="9" t="s">
        <v>38946</v>
      </c>
      <c r="H1878" s="127">
        <v>45665.0</v>
      </c>
      <c r="I1878" s="9" t="s">
        <v>47</v>
      </c>
      <c r="J1878" s="9" t="s">
        <v>38801</v>
      </c>
      <c r="K1878" s="55">
        <v>45665.0</v>
      </c>
      <c r="M1878" s="9" t="s">
        <v>8795</v>
      </c>
    </row>
    <row r="1879" ht="15.75" hidden="1" customHeight="1">
      <c r="A1879" s="9" t="s">
        <v>42078</v>
      </c>
      <c r="B1879" s="9" t="s">
        <v>20819</v>
      </c>
      <c r="D1879" s="9" t="s">
        <v>12230</v>
      </c>
      <c r="F1879" s="9" t="s">
        <v>42079</v>
      </c>
      <c r="G1879" s="9" t="s">
        <v>38808</v>
      </c>
      <c r="H1879" s="127">
        <v>45665.0</v>
      </c>
      <c r="I1879" s="9" t="s">
        <v>47</v>
      </c>
      <c r="J1879" s="9" t="s">
        <v>38801</v>
      </c>
      <c r="K1879" s="55">
        <v>45665.0</v>
      </c>
      <c r="M1879" s="9" t="s">
        <v>8795</v>
      </c>
    </row>
    <row r="1880" ht="15.75" hidden="1" customHeight="1">
      <c r="A1880" s="9" t="s">
        <v>42080</v>
      </c>
      <c r="B1880" s="9" t="s">
        <v>22731</v>
      </c>
      <c r="D1880" s="9" t="s">
        <v>12259</v>
      </c>
      <c r="F1880" s="9" t="s">
        <v>42081</v>
      </c>
      <c r="G1880" s="9" t="s">
        <v>38946</v>
      </c>
      <c r="H1880" s="127">
        <v>45667.0</v>
      </c>
      <c r="I1880" s="9" t="s">
        <v>131</v>
      </c>
      <c r="J1880" s="9" t="s">
        <v>38805</v>
      </c>
      <c r="K1880" s="55"/>
      <c r="M1880" s="9" t="s">
        <v>11503</v>
      </c>
    </row>
    <row r="1881" ht="15.75" hidden="1" customHeight="1">
      <c r="A1881" s="9" t="s">
        <v>42082</v>
      </c>
      <c r="B1881" s="9" t="s">
        <v>26705</v>
      </c>
      <c r="D1881" s="9" t="s">
        <v>12224</v>
      </c>
      <c r="F1881" s="9" t="s">
        <v>42083</v>
      </c>
      <c r="G1881" s="9" t="s">
        <v>38946</v>
      </c>
      <c r="H1881" s="127">
        <v>45667.0</v>
      </c>
      <c r="I1881" s="9" t="s">
        <v>47</v>
      </c>
      <c r="J1881" s="9" t="s">
        <v>38801</v>
      </c>
      <c r="K1881" s="55">
        <v>45667.0</v>
      </c>
      <c r="M1881" s="9" t="s">
        <v>10679</v>
      </c>
    </row>
    <row r="1882" ht="15.75" hidden="1" customHeight="1">
      <c r="A1882" s="9" t="s">
        <v>42084</v>
      </c>
      <c r="B1882" s="9" t="s">
        <v>21789</v>
      </c>
      <c r="D1882" s="9" t="s">
        <v>12248</v>
      </c>
      <c r="F1882" s="9" t="s">
        <v>42085</v>
      </c>
      <c r="G1882" s="9" t="s">
        <v>38808</v>
      </c>
      <c r="H1882" s="127">
        <v>45667.0</v>
      </c>
      <c r="I1882" s="9" t="s">
        <v>47</v>
      </c>
      <c r="J1882" s="9" t="s">
        <v>38801</v>
      </c>
      <c r="K1882" s="55">
        <v>45692.0</v>
      </c>
      <c r="M1882" s="9" t="s">
        <v>12219</v>
      </c>
    </row>
    <row r="1883" ht="15.75" hidden="1" customHeight="1">
      <c r="A1883" s="9" t="s">
        <v>42086</v>
      </c>
      <c r="B1883" s="9" t="s">
        <v>26098</v>
      </c>
      <c r="D1883" s="9" t="s">
        <v>12260</v>
      </c>
      <c r="F1883" s="9" t="s">
        <v>42087</v>
      </c>
      <c r="G1883" s="9" t="s">
        <v>38800</v>
      </c>
      <c r="H1883" s="127">
        <v>45670.0</v>
      </c>
      <c r="I1883" s="9" t="s">
        <v>47</v>
      </c>
      <c r="J1883" s="9" t="s">
        <v>38801</v>
      </c>
      <c r="K1883" s="55">
        <v>45671.0</v>
      </c>
      <c r="M1883" s="9" t="s">
        <v>234</v>
      </c>
    </row>
    <row r="1884" ht="15.75" hidden="1" customHeight="1">
      <c r="A1884" s="9" t="s">
        <v>42088</v>
      </c>
      <c r="B1884" s="9" t="s">
        <v>22798</v>
      </c>
      <c r="D1884" s="9" t="s">
        <v>12230</v>
      </c>
      <c r="F1884" s="9" t="s">
        <v>40242</v>
      </c>
      <c r="G1884" s="9" t="s">
        <v>38946</v>
      </c>
      <c r="H1884" s="127">
        <v>45670.0</v>
      </c>
      <c r="I1884" s="9" t="s">
        <v>131</v>
      </c>
      <c r="J1884" s="9" t="s">
        <v>38801</v>
      </c>
      <c r="K1884" s="55">
        <v>45671.0</v>
      </c>
      <c r="M1884" s="9" t="s">
        <v>11516</v>
      </c>
    </row>
    <row r="1885" ht="15.75" hidden="1" customHeight="1">
      <c r="A1885" s="9" t="s">
        <v>42089</v>
      </c>
      <c r="B1885" s="9" t="s">
        <v>17900</v>
      </c>
      <c r="D1885" s="9" t="s">
        <v>12260</v>
      </c>
      <c r="F1885" s="9" t="s">
        <v>42090</v>
      </c>
      <c r="G1885" s="9" t="s">
        <v>38946</v>
      </c>
      <c r="H1885" s="127">
        <v>45670.0</v>
      </c>
      <c r="I1885" s="9" t="s">
        <v>131</v>
      </c>
      <c r="J1885" s="9" t="s">
        <v>38801</v>
      </c>
      <c r="K1885" s="55">
        <v>45670.0</v>
      </c>
      <c r="M1885" s="9" t="s">
        <v>11875</v>
      </c>
    </row>
    <row r="1886" ht="15.75" hidden="1" customHeight="1">
      <c r="A1886" s="9" t="s">
        <v>42091</v>
      </c>
      <c r="B1886" s="9" t="s">
        <v>16378</v>
      </c>
      <c r="D1886" s="9" t="s">
        <v>12260</v>
      </c>
      <c r="F1886" s="9" t="s">
        <v>42090</v>
      </c>
      <c r="G1886" s="9" t="s">
        <v>38946</v>
      </c>
      <c r="H1886" s="127">
        <v>45670.0</v>
      </c>
      <c r="I1886" s="9" t="s">
        <v>131</v>
      </c>
      <c r="J1886" s="9" t="s">
        <v>38801</v>
      </c>
      <c r="K1886" s="55">
        <v>45670.0</v>
      </c>
      <c r="M1886" s="9" t="s">
        <v>244</v>
      </c>
    </row>
    <row r="1887" ht="15.75" hidden="1" customHeight="1">
      <c r="A1887" s="9" t="s">
        <v>42092</v>
      </c>
      <c r="B1887" s="9" t="s">
        <v>16584</v>
      </c>
      <c r="D1887" s="9" t="s">
        <v>12260</v>
      </c>
      <c r="F1887" s="9" t="s">
        <v>42090</v>
      </c>
      <c r="G1887" s="9" t="s">
        <v>38946</v>
      </c>
      <c r="H1887" s="127">
        <v>45670.0</v>
      </c>
      <c r="I1887" s="9" t="s">
        <v>131</v>
      </c>
      <c r="J1887" s="9" t="s">
        <v>38801</v>
      </c>
      <c r="K1887" s="55">
        <v>45670.0</v>
      </c>
      <c r="M1887" s="9" t="s">
        <v>10522</v>
      </c>
    </row>
    <row r="1888" ht="15.75" hidden="1" customHeight="1">
      <c r="A1888" s="9" t="s">
        <v>42093</v>
      </c>
      <c r="B1888" s="9" t="s">
        <v>12553</v>
      </c>
      <c r="D1888" s="9" t="s">
        <v>12260</v>
      </c>
      <c r="F1888" s="9" t="s">
        <v>42090</v>
      </c>
      <c r="G1888" s="9" t="s">
        <v>38946</v>
      </c>
      <c r="H1888" s="127">
        <v>45670.0</v>
      </c>
      <c r="I1888" s="9" t="s">
        <v>131</v>
      </c>
      <c r="J1888" s="9" t="s">
        <v>38801</v>
      </c>
      <c r="K1888" s="55">
        <v>45670.0</v>
      </c>
      <c r="M1888" s="9" t="s">
        <v>8370</v>
      </c>
    </row>
    <row r="1889" ht="15.75" hidden="1" customHeight="1">
      <c r="A1889" s="9" t="s">
        <v>42094</v>
      </c>
      <c r="B1889" s="9" t="s">
        <v>12379</v>
      </c>
      <c r="D1889" s="9" t="s">
        <v>12260</v>
      </c>
      <c r="F1889" s="9" t="s">
        <v>42090</v>
      </c>
      <c r="G1889" s="9" t="s">
        <v>38946</v>
      </c>
      <c r="H1889" s="127">
        <v>45670.0</v>
      </c>
      <c r="I1889" s="9" t="s">
        <v>131</v>
      </c>
      <c r="J1889" s="9" t="s">
        <v>38801</v>
      </c>
      <c r="K1889" s="55">
        <v>45670.0</v>
      </c>
      <c r="M1889" s="9" t="s">
        <v>9048</v>
      </c>
    </row>
    <row r="1890" ht="15.75" hidden="1" customHeight="1">
      <c r="A1890" s="9" t="s">
        <v>42095</v>
      </c>
      <c r="B1890" s="9" t="s">
        <v>15677</v>
      </c>
      <c r="D1890" s="9" t="s">
        <v>12260</v>
      </c>
      <c r="F1890" s="9" t="s">
        <v>42090</v>
      </c>
      <c r="G1890" s="9" t="s">
        <v>38946</v>
      </c>
      <c r="H1890" s="127">
        <v>45670.0</v>
      </c>
      <c r="I1890" s="9" t="s">
        <v>131</v>
      </c>
      <c r="J1890" s="9" t="s">
        <v>38801</v>
      </c>
      <c r="K1890" s="55">
        <v>45670.0</v>
      </c>
      <c r="M1890" s="9" t="s">
        <v>8291</v>
      </c>
    </row>
    <row r="1891" ht="15.75" hidden="1" customHeight="1">
      <c r="A1891" s="9" t="s">
        <v>42096</v>
      </c>
      <c r="B1891" s="9" t="s">
        <v>17418</v>
      </c>
      <c r="D1891" s="9" t="s">
        <v>12246</v>
      </c>
      <c r="F1891" s="9" t="s">
        <v>42097</v>
      </c>
      <c r="G1891" s="9" t="s">
        <v>38808</v>
      </c>
      <c r="H1891" s="127">
        <v>45671.0</v>
      </c>
      <c r="I1891" s="9" t="s">
        <v>47</v>
      </c>
      <c r="J1891" s="9" t="s">
        <v>38801</v>
      </c>
      <c r="K1891" s="55">
        <v>45671.0</v>
      </c>
      <c r="M1891" s="9" t="s">
        <v>10738</v>
      </c>
    </row>
    <row r="1892" ht="15.75" hidden="1" customHeight="1">
      <c r="A1892" s="9" t="s">
        <v>42098</v>
      </c>
      <c r="B1892" s="9" t="s">
        <v>17418</v>
      </c>
      <c r="D1892" s="9" t="s">
        <v>12230</v>
      </c>
      <c r="F1892" s="9" t="s">
        <v>42099</v>
      </c>
      <c r="G1892" s="9" t="s">
        <v>38808</v>
      </c>
      <c r="H1892" s="127">
        <v>45671.0</v>
      </c>
      <c r="I1892" s="9" t="s">
        <v>47</v>
      </c>
      <c r="J1892" s="9" t="s">
        <v>38801</v>
      </c>
      <c r="K1892" s="55">
        <v>45671.0</v>
      </c>
      <c r="M1892" s="9" t="s">
        <v>10738</v>
      </c>
    </row>
    <row r="1893" ht="15.75" hidden="1" customHeight="1">
      <c r="A1893" s="9" t="s">
        <v>42100</v>
      </c>
      <c r="B1893" s="9" t="s">
        <v>15244</v>
      </c>
      <c r="D1893" s="9" t="s">
        <v>12240</v>
      </c>
      <c r="F1893" s="9" t="s">
        <v>42101</v>
      </c>
      <c r="G1893" s="9" t="s">
        <v>38946</v>
      </c>
      <c r="H1893" s="127">
        <v>45671.0</v>
      </c>
      <c r="I1893" s="9" t="s">
        <v>208</v>
      </c>
      <c r="J1893" s="9" t="s">
        <v>38801</v>
      </c>
      <c r="K1893" s="55">
        <v>45701.0</v>
      </c>
      <c r="M1893" s="9" t="s">
        <v>1904</v>
      </c>
    </row>
    <row r="1894" ht="15.75" hidden="1" customHeight="1">
      <c r="A1894" s="9" t="s">
        <v>42102</v>
      </c>
      <c r="B1894" s="9" t="s">
        <v>22274</v>
      </c>
      <c r="D1894" s="9" t="s">
        <v>12240</v>
      </c>
      <c r="F1894" s="9" t="s">
        <v>42103</v>
      </c>
      <c r="G1894" s="9" t="s">
        <v>38946</v>
      </c>
      <c r="H1894" s="127">
        <v>45671.0</v>
      </c>
      <c r="I1894" s="9" t="s">
        <v>208</v>
      </c>
      <c r="J1894" s="9" t="s">
        <v>38801</v>
      </c>
      <c r="K1894" s="55">
        <v>45671.0</v>
      </c>
      <c r="M1894" s="9" t="s">
        <v>3158</v>
      </c>
    </row>
    <row r="1895" ht="15.75" hidden="1" customHeight="1">
      <c r="A1895" s="9" t="s">
        <v>42104</v>
      </c>
      <c r="B1895" s="9" t="s">
        <v>15029</v>
      </c>
      <c r="D1895" s="9" t="s">
        <v>12240</v>
      </c>
      <c r="F1895" s="9" t="s">
        <v>42103</v>
      </c>
      <c r="G1895" s="9" t="s">
        <v>38946</v>
      </c>
      <c r="H1895" s="127">
        <v>45671.0</v>
      </c>
      <c r="I1895" s="9" t="s">
        <v>208</v>
      </c>
      <c r="J1895" s="9" t="s">
        <v>38801</v>
      </c>
      <c r="K1895" s="55">
        <v>45671.0</v>
      </c>
      <c r="M1895" s="9" t="s">
        <v>4800</v>
      </c>
    </row>
    <row r="1896" ht="15.75" hidden="1" customHeight="1">
      <c r="A1896" s="9" t="s">
        <v>42105</v>
      </c>
      <c r="B1896" s="9" t="s">
        <v>18570</v>
      </c>
      <c r="D1896" s="9" t="s">
        <v>12240</v>
      </c>
      <c r="F1896" s="9" t="s">
        <v>42103</v>
      </c>
      <c r="G1896" s="9" t="s">
        <v>38946</v>
      </c>
      <c r="H1896" s="127">
        <v>45671.0</v>
      </c>
      <c r="I1896" s="9" t="s">
        <v>208</v>
      </c>
      <c r="J1896" s="9" t="s">
        <v>38801</v>
      </c>
      <c r="K1896" s="55">
        <v>45671.0</v>
      </c>
      <c r="M1896" s="9" t="s">
        <v>10622</v>
      </c>
    </row>
    <row r="1897" ht="15.75" hidden="1" customHeight="1">
      <c r="A1897" s="9" t="s">
        <v>42106</v>
      </c>
      <c r="B1897" s="9" t="s">
        <v>22590</v>
      </c>
      <c r="D1897" s="9" t="s">
        <v>12239</v>
      </c>
      <c r="F1897" s="9" t="s">
        <v>42107</v>
      </c>
      <c r="G1897" s="9" t="s">
        <v>38946</v>
      </c>
      <c r="H1897" s="127">
        <v>45672.0</v>
      </c>
      <c r="I1897" s="9" t="s">
        <v>131</v>
      </c>
      <c r="J1897" s="9" t="s">
        <v>38801</v>
      </c>
      <c r="K1897" s="55">
        <v>45720.0</v>
      </c>
      <c r="M1897" s="9" t="s">
        <v>11476</v>
      </c>
    </row>
    <row r="1898" ht="15.75" customHeight="1">
      <c r="A1898" s="9" t="s">
        <v>42108</v>
      </c>
      <c r="B1898" s="9" t="s">
        <v>22590</v>
      </c>
      <c r="D1898" s="9" t="s">
        <v>12227</v>
      </c>
      <c r="E1898" s="9" t="s">
        <v>39265</v>
      </c>
      <c r="F1898" s="9" t="s">
        <v>42109</v>
      </c>
      <c r="G1898" s="9" t="s">
        <v>38808</v>
      </c>
      <c r="H1898" s="127">
        <v>45672.0</v>
      </c>
      <c r="I1898" s="9" t="s">
        <v>131</v>
      </c>
      <c r="J1898" s="9" t="s">
        <v>38805</v>
      </c>
      <c r="K1898" s="55"/>
      <c r="M1898" s="9" t="s">
        <v>11476</v>
      </c>
    </row>
    <row r="1899" ht="15.75" hidden="1" customHeight="1">
      <c r="A1899" s="9" t="s">
        <v>42110</v>
      </c>
      <c r="B1899" s="9" t="s">
        <v>22590</v>
      </c>
      <c r="D1899" s="9" t="s">
        <v>12250</v>
      </c>
      <c r="F1899" s="9" t="s">
        <v>42111</v>
      </c>
      <c r="G1899" s="9" t="s">
        <v>38808</v>
      </c>
      <c r="H1899" s="127">
        <v>45672.0</v>
      </c>
      <c r="I1899" s="9" t="s">
        <v>131</v>
      </c>
      <c r="J1899" s="9" t="s">
        <v>38805</v>
      </c>
      <c r="K1899" s="55"/>
      <c r="M1899" s="9" t="s">
        <v>11476</v>
      </c>
    </row>
    <row r="1900" ht="15.75" hidden="1" customHeight="1">
      <c r="A1900" s="9" t="s">
        <v>42112</v>
      </c>
      <c r="B1900" s="9" t="s">
        <v>22576</v>
      </c>
      <c r="D1900" s="9" t="s">
        <v>12250</v>
      </c>
      <c r="F1900" s="9" t="s">
        <v>42113</v>
      </c>
      <c r="G1900" s="9" t="s">
        <v>38808</v>
      </c>
      <c r="H1900" s="127">
        <v>45673.0</v>
      </c>
      <c r="I1900" s="9" t="s">
        <v>47</v>
      </c>
      <c r="J1900" s="9" t="s">
        <v>38801</v>
      </c>
      <c r="K1900" s="55">
        <v>45673.0</v>
      </c>
      <c r="M1900" s="9" t="s">
        <v>11474</v>
      </c>
    </row>
    <row r="1901" ht="15.75" hidden="1" customHeight="1">
      <c r="A1901" s="9" t="s">
        <v>42114</v>
      </c>
      <c r="B1901" s="9" t="s">
        <v>22576</v>
      </c>
      <c r="D1901" s="9" t="s">
        <v>12242</v>
      </c>
      <c r="F1901" s="9" t="s">
        <v>42115</v>
      </c>
      <c r="G1901" s="9" t="s">
        <v>38808</v>
      </c>
      <c r="H1901" s="127">
        <v>45673.0</v>
      </c>
      <c r="I1901" s="9" t="s">
        <v>47</v>
      </c>
      <c r="J1901" s="9" t="s">
        <v>38801</v>
      </c>
      <c r="K1901" s="55">
        <v>45673.0</v>
      </c>
      <c r="M1901" s="9" t="s">
        <v>11474</v>
      </c>
    </row>
    <row r="1902" ht="15.75" hidden="1" customHeight="1">
      <c r="A1902" s="9" t="s">
        <v>42116</v>
      </c>
      <c r="B1902" s="9" t="s">
        <v>22663</v>
      </c>
      <c r="D1902" s="9" t="s">
        <v>12260</v>
      </c>
      <c r="F1902" s="9" t="s">
        <v>42117</v>
      </c>
      <c r="G1902" s="9" t="s">
        <v>38946</v>
      </c>
      <c r="H1902" s="127">
        <v>45673.0</v>
      </c>
      <c r="I1902" s="9" t="s">
        <v>47</v>
      </c>
      <c r="J1902" s="9" t="s">
        <v>38805</v>
      </c>
      <c r="K1902" s="55"/>
      <c r="M1902" s="9" t="s">
        <v>11494</v>
      </c>
    </row>
    <row r="1903" ht="15.75" hidden="1" customHeight="1">
      <c r="A1903" s="9" t="s">
        <v>42118</v>
      </c>
      <c r="B1903" s="9" t="s">
        <v>14677</v>
      </c>
      <c r="D1903" s="9" t="s">
        <v>12224</v>
      </c>
      <c r="F1903" s="9" t="s">
        <v>42119</v>
      </c>
      <c r="G1903" s="9" t="s">
        <v>38946</v>
      </c>
      <c r="H1903" s="127">
        <v>45673.0</v>
      </c>
      <c r="I1903" s="9" t="s">
        <v>47</v>
      </c>
      <c r="J1903" s="9" t="s">
        <v>38805</v>
      </c>
      <c r="K1903" s="55"/>
      <c r="M1903" s="9" t="s">
        <v>9450</v>
      </c>
    </row>
    <row r="1904" ht="15.75" hidden="1" customHeight="1">
      <c r="A1904" s="9" t="s">
        <v>42120</v>
      </c>
      <c r="B1904" s="9" t="s">
        <v>16550</v>
      </c>
      <c r="D1904" s="9" t="s">
        <v>12246</v>
      </c>
      <c r="F1904" s="9" t="s">
        <v>42121</v>
      </c>
      <c r="G1904" s="9" t="s">
        <v>38946</v>
      </c>
      <c r="H1904" s="127">
        <v>45673.0</v>
      </c>
      <c r="I1904" s="9" t="s">
        <v>131</v>
      </c>
      <c r="J1904" s="9" t="s">
        <v>38801</v>
      </c>
      <c r="K1904" s="55">
        <v>45673.0</v>
      </c>
      <c r="M1904" s="9" t="s">
        <v>11834</v>
      </c>
    </row>
    <row r="1905" ht="15.75" hidden="1" customHeight="1">
      <c r="A1905" s="9" t="s">
        <v>42122</v>
      </c>
      <c r="B1905" s="9" t="s">
        <v>20129</v>
      </c>
      <c r="D1905" s="9" t="s">
        <v>12236</v>
      </c>
      <c r="F1905" s="9" t="s">
        <v>42123</v>
      </c>
      <c r="G1905" s="9" t="s">
        <v>38946</v>
      </c>
      <c r="H1905" s="127">
        <v>45677.0</v>
      </c>
      <c r="I1905" s="9" t="s">
        <v>131</v>
      </c>
      <c r="J1905" s="9" t="s">
        <v>38801</v>
      </c>
      <c r="K1905" s="55">
        <v>45677.0</v>
      </c>
      <c r="M1905" s="9" t="s">
        <v>5739</v>
      </c>
    </row>
    <row r="1906" ht="15.75" hidden="1" customHeight="1">
      <c r="A1906" s="9" t="s">
        <v>42124</v>
      </c>
      <c r="B1906" s="9" t="s">
        <v>22562</v>
      </c>
      <c r="D1906" s="9" t="s">
        <v>12230</v>
      </c>
      <c r="F1906" s="9" t="s">
        <v>40154</v>
      </c>
      <c r="G1906" s="9" t="s">
        <v>38946</v>
      </c>
      <c r="H1906" s="127">
        <v>45677.0</v>
      </c>
      <c r="I1906" s="9" t="s">
        <v>131</v>
      </c>
      <c r="J1906" s="9" t="s">
        <v>38805</v>
      </c>
      <c r="K1906" s="55"/>
      <c r="M1906" s="9" t="s">
        <v>11472</v>
      </c>
    </row>
    <row r="1907" ht="15.75" hidden="1" customHeight="1">
      <c r="A1907" s="9" t="s">
        <v>42125</v>
      </c>
      <c r="B1907" s="9" t="s">
        <v>22744</v>
      </c>
      <c r="D1907" s="9" t="s">
        <v>12239</v>
      </c>
      <c r="F1907" s="9" t="s">
        <v>42126</v>
      </c>
      <c r="G1907" s="9" t="s">
        <v>38946</v>
      </c>
      <c r="H1907" s="127">
        <v>45677.0</v>
      </c>
      <c r="I1907" s="9" t="s">
        <v>208</v>
      </c>
      <c r="J1907" s="9" t="s">
        <v>38801</v>
      </c>
      <c r="K1907" s="55">
        <v>45720.0</v>
      </c>
      <c r="M1907" s="9" t="s">
        <v>11505</v>
      </c>
    </row>
    <row r="1908" ht="15.75" hidden="1" customHeight="1">
      <c r="A1908" s="9" t="s">
        <v>42127</v>
      </c>
      <c r="B1908" s="9" t="s">
        <v>21702</v>
      </c>
      <c r="D1908" s="9" t="s">
        <v>12230</v>
      </c>
      <c r="F1908" s="9" t="s">
        <v>42128</v>
      </c>
      <c r="G1908" s="9" t="s">
        <v>38946</v>
      </c>
      <c r="H1908" s="127">
        <v>45679.0</v>
      </c>
      <c r="I1908" s="9" t="s">
        <v>47</v>
      </c>
      <c r="J1908" s="9" t="s">
        <v>38801</v>
      </c>
      <c r="K1908" s="55">
        <v>45679.0</v>
      </c>
      <c r="M1908" s="9" t="s">
        <v>9464</v>
      </c>
    </row>
    <row r="1909" ht="15.75" hidden="1" customHeight="1">
      <c r="A1909" s="9" t="s">
        <v>42129</v>
      </c>
      <c r="B1909" s="9" t="s">
        <v>22838</v>
      </c>
      <c r="D1909" s="9" t="s">
        <v>12230</v>
      </c>
      <c r="F1909" s="9" t="s">
        <v>40242</v>
      </c>
      <c r="G1909" s="9" t="s">
        <v>38946</v>
      </c>
      <c r="H1909" s="127">
        <v>45679.0</v>
      </c>
      <c r="I1909" s="9" t="s">
        <v>208</v>
      </c>
      <c r="J1909" s="9" t="s">
        <v>38801</v>
      </c>
      <c r="K1909" s="55">
        <v>45679.0</v>
      </c>
      <c r="M1909" s="9" t="s">
        <v>11522</v>
      </c>
    </row>
    <row r="1910" ht="15.75" hidden="1" customHeight="1">
      <c r="A1910" s="9" t="s">
        <v>42130</v>
      </c>
      <c r="B1910" s="9" t="s">
        <v>18629</v>
      </c>
      <c r="D1910" s="9" t="s">
        <v>12240</v>
      </c>
      <c r="F1910" s="9" t="s">
        <v>42131</v>
      </c>
      <c r="G1910" s="9" t="s">
        <v>38946</v>
      </c>
      <c r="H1910" s="127">
        <v>45679.0</v>
      </c>
      <c r="I1910" s="9" t="s">
        <v>208</v>
      </c>
      <c r="J1910" s="9" t="s">
        <v>38801</v>
      </c>
      <c r="K1910" s="55">
        <v>45701.0</v>
      </c>
      <c r="M1910" s="9" t="s">
        <v>12197</v>
      </c>
    </row>
    <row r="1911" ht="15.75" hidden="1" customHeight="1">
      <c r="A1911" s="9" t="s">
        <v>42132</v>
      </c>
      <c r="B1911" s="9" t="s">
        <v>22274</v>
      </c>
      <c r="D1911" s="9" t="s">
        <v>12240</v>
      </c>
      <c r="F1911" s="9" t="s">
        <v>42131</v>
      </c>
      <c r="G1911" s="9" t="s">
        <v>38946</v>
      </c>
      <c r="H1911" s="127">
        <v>45679.0</v>
      </c>
      <c r="I1911" s="9" t="s">
        <v>208</v>
      </c>
      <c r="J1911" s="9" t="s">
        <v>38801</v>
      </c>
      <c r="K1911" s="55">
        <v>45701.0</v>
      </c>
      <c r="M1911" s="9" t="s">
        <v>3158</v>
      </c>
    </row>
    <row r="1912" ht="15.75" hidden="1" customHeight="1">
      <c r="A1912" s="9" t="s">
        <v>42133</v>
      </c>
      <c r="B1912" s="9" t="s">
        <v>20531</v>
      </c>
      <c r="D1912" s="9" t="s">
        <v>12240</v>
      </c>
      <c r="F1912" s="9" t="s">
        <v>42134</v>
      </c>
      <c r="G1912" s="9" t="s">
        <v>38946</v>
      </c>
      <c r="H1912" s="127">
        <v>45679.0</v>
      </c>
      <c r="I1912" s="9" t="s">
        <v>208</v>
      </c>
      <c r="J1912" s="9" t="s">
        <v>38801</v>
      </c>
      <c r="K1912" s="55">
        <v>45701.0</v>
      </c>
      <c r="M1912" s="9" t="s">
        <v>5219</v>
      </c>
    </row>
    <row r="1913" ht="15.75" hidden="1" customHeight="1">
      <c r="A1913" s="9" t="s">
        <v>42135</v>
      </c>
      <c r="B1913" s="9" t="s">
        <v>14942</v>
      </c>
      <c r="D1913" s="9" t="s">
        <v>12240</v>
      </c>
      <c r="F1913" s="9" t="s">
        <v>42134</v>
      </c>
      <c r="G1913" s="9" t="s">
        <v>38946</v>
      </c>
      <c r="H1913" s="127">
        <v>45679.0</v>
      </c>
      <c r="I1913" s="9" t="s">
        <v>208</v>
      </c>
      <c r="J1913" s="9" t="s">
        <v>38801</v>
      </c>
      <c r="K1913" s="55">
        <v>45701.0</v>
      </c>
      <c r="M1913" s="9" t="s">
        <v>3852</v>
      </c>
    </row>
    <row r="1914" ht="15.75" hidden="1" customHeight="1">
      <c r="A1914" s="9" t="s">
        <v>42136</v>
      </c>
      <c r="B1914" s="9" t="s">
        <v>15039</v>
      </c>
      <c r="D1914" s="9" t="s">
        <v>12240</v>
      </c>
      <c r="F1914" s="9" t="s">
        <v>42134</v>
      </c>
      <c r="G1914" s="9" t="s">
        <v>38946</v>
      </c>
      <c r="H1914" s="127">
        <v>45679.0</v>
      </c>
      <c r="I1914" s="9" t="s">
        <v>208</v>
      </c>
      <c r="J1914" s="9" t="s">
        <v>38801</v>
      </c>
      <c r="K1914" s="55">
        <v>45701.0</v>
      </c>
      <c r="M1914" s="9" t="s">
        <v>7102</v>
      </c>
    </row>
    <row r="1915" ht="15.75" hidden="1" customHeight="1">
      <c r="A1915" s="9" t="s">
        <v>42137</v>
      </c>
      <c r="B1915" s="9" t="s">
        <v>22771</v>
      </c>
      <c r="D1915" s="9" t="s">
        <v>12236</v>
      </c>
      <c r="F1915" s="9" t="s">
        <v>42138</v>
      </c>
      <c r="G1915" s="9" t="s">
        <v>38946</v>
      </c>
      <c r="H1915" s="127">
        <v>45680.0</v>
      </c>
      <c r="I1915" s="9" t="s">
        <v>47</v>
      </c>
      <c r="J1915" s="9" t="s">
        <v>38801</v>
      </c>
      <c r="K1915" s="55">
        <v>45723.0</v>
      </c>
      <c r="M1915" s="9" t="s">
        <v>11509</v>
      </c>
    </row>
    <row r="1916" ht="15.75" hidden="1" customHeight="1">
      <c r="A1916" s="9" t="s">
        <v>42139</v>
      </c>
      <c r="B1916" s="9" t="s">
        <v>22771</v>
      </c>
      <c r="D1916" s="9" t="s">
        <v>12257</v>
      </c>
      <c r="F1916" s="9" t="s">
        <v>42140</v>
      </c>
      <c r="G1916" s="9" t="s">
        <v>38946</v>
      </c>
      <c r="H1916" s="127">
        <v>45680.0</v>
      </c>
      <c r="I1916" s="9" t="s">
        <v>47</v>
      </c>
      <c r="J1916" s="9" t="s">
        <v>38801</v>
      </c>
      <c r="K1916" s="55">
        <v>45680.0</v>
      </c>
      <c r="M1916" s="9" t="s">
        <v>11509</v>
      </c>
    </row>
    <row r="1917" ht="15.75" hidden="1" customHeight="1">
      <c r="A1917" s="9" t="s">
        <v>42141</v>
      </c>
      <c r="B1917" s="9" t="s">
        <v>16501</v>
      </c>
      <c r="D1917" s="9" t="s">
        <v>12248</v>
      </c>
      <c r="F1917" s="9" t="s">
        <v>42142</v>
      </c>
      <c r="G1917" s="9" t="s">
        <v>38946</v>
      </c>
      <c r="H1917" s="127">
        <v>45681.0</v>
      </c>
      <c r="I1917" s="9" t="s">
        <v>47</v>
      </c>
      <c r="J1917" s="9" t="s">
        <v>38801</v>
      </c>
      <c r="K1917" s="55">
        <v>45681.0</v>
      </c>
      <c r="M1917" s="9" t="s">
        <v>759</v>
      </c>
    </row>
    <row r="1918" ht="15.75" hidden="1" customHeight="1">
      <c r="A1918" s="9" t="s">
        <v>42143</v>
      </c>
      <c r="B1918" s="9" t="s">
        <v>16501</v>
      </c>
      <c r="D1918" s="9" t="s">
        <v>12230</v>
      </c>
      <c r="F1918" s="9" t="s">
        <v>42144</v>
      </c>
      <c r="G1918" s="9" t="s">
        <v>38946</v>
      </c>
      <c r="H1918" s="127">
        <v>45681.0</v>
      </c>
      <c r="I1918" s="9" t="s">
        <v>47</v>
      </c>
      <c r="J1918" s="9" t="s">
        <v>38801</v>
      </c>
      <c r="K1918" s="55">
        <v>45681.0</v>
      </c>
      <c r="M1918" s="9" t="s">
        <v>759</v>
      </c>
    </row>
    <row r="1919" ht="15.75" hidden="1" customHeight="1">
      <c r="A1919" s="9" t="s">
        <v>42145</v>
      </c>
      <c r="B1919" s="9" t="s">
        <v>14366</v>
      </c>
      <c r="D1919" s="9" t="s">
        <v>12248</v>
      </c>
      <c r="F1919" s="9" t="s">
        <v>42146</v>
      </c>
      <c r="G1919" s="9" t="s">
        <v>38946</v>
      </c>
      <c r="H1919" s="127">
        <v>45684.0</v>
      </c>
      <c r="I1919" s="9" t="s">
        <v>131</v>
      </c>
      <c r="J1919" s="9" t="s">
        <v>38801</v>
      </c>
      <c r="K1919" s="55">
        <v>45694.0</v>
      </c>
      <c r="M1919" s="9" t="s">
        <v>9080</v>
      </c>
    </row>
    <row r="1920" ht="15.75" hidden="1" customHeight="1">
      <c r="A1920" s="9" t="s">
        <v>42147</v>
      </c>
      <c r="B1920" s="9" t="s">
        <v>19126</v>
      </c>
      <c r="D1920" s="9" t="s">
        <v>12257</v>
      </c>
      <c r="F1920" s="9" t="s">
        <v>42148</v>
      </c>
      <c r="G1920" s="9" t="s">
        <v>38946</v>
      </c>
      <c r="H1920" s="127">
        <v>45684.0</v>
      </c>
      <c r="I1920" s="9" t="s">
        <v>47</v>
      </c>
      <c r="J1920" s="9" t="s">
        <v>38801</v>
      </c>
      <c r="K1920" s="55">
        <v>45684.0</v>
      </c>
      <c r="M1920" s="9" t="s">
        <v>605</v>
      </c>
    </row>
    <row r="1921" ht="15.75" hidden="1" customHeight="1">
      <c r="A1921" s="9" t="s">
        <v>42149</v>
      </c>
      <c r="B1921" s="9" t="s">
        <v>19126</v>
      </c>
      <c r="D1921" s="9" t="s">
        <v>12224</v>
      </c>
      <c r="F1921" s="9" t="s">
        <v>42150</v>
      </c>
      <c r="G1921" s="9" t="s">
        <v>38946</v>
      </c>
      <c r="H1921" s="127">
        <v>45685.0</v>
      </c>
      <c r="I1921" s="9" t="s">
        <v>47</v>
      </c>
      <c r="J1921" s="9" t="s">
        <v>38801</v>
      </c>
      <c r="K1921" s="55">
        <v>45685.0</v>
      </c>
      <c r="M1921" s="9" t="s">
        <v>605</v>
      </c>
    </row>
    <row r="1922" ht="15.75" hidden="1" customHeight="1">
      <c r="A1922" s="9" t="s">
        <v>42151</v>
      </c>
      <c r="B1922" s="9" t="s">
        <v>22878</v>
      </c>
      <c r="D1922" s="9" t="s">
        <v>12230</v>
      </c>
      <c r="F1922" s="9" t="s">
        <v>40079</v>
      </c>
      <c r="G1922" s="9" t="s">
        <v>38946</v>
      </c>
      <c r="H1922" s="127">
        <v>45685.0</v>
      </c>
      <c r="I1922" s="9" t="s">
        <v>47</v>
      </c>
      <c r="J1922" s="9" t="s">
        <v>38801</v>
      </c>
      <c r="K1922" s="55">
        <v>45685.0</v>
      </c>
      <c r="M1922" s="9" t="s">
        <v>11530</v>
      </c>
    </row>
    <row r="1923" ht="15.75" hidden="1" customHeight="1">
      <c r="A1923" s="9" t="s">
        <v>42152</v>
      </c>
      <c r="B1923" s="9" t="s">
        <v>21831</v>
      </c>
      <c r="D1923" s="9" t="s">
        <v>12239</v>
      </c>
      <c r="F1923" s="9" t="s">
        <v>42153</v>
      </c>
      <c r="G1923" s="9" t="s">
        <v>38946</v>
      </c>
      <c r="H1923" s="127">
        <v>45686.0</v>
      </c>
      <c r="I1923" s="9" t="s">
        <v>131</v>
      </c>
      <c r="J1923" s="9" t="s">
        <v>38801</v>
      </c>
      <c r="K1923" s="55">
        <v>45720.0</v>
      </c>
      <c r="M1923" s="9" t="s">
        <v>11740</v>
      </c>
    </row>
    <row r="1924" ht="15.75" hidden="1" customHeight="1">
      <c r="A1924" s="9" t="s">
        <v>42154</v>
      </c>
      <c r="B1924" s="9" t="s">
        <v>21831</v>
      </c>
      <c r="D1924" s="9" t="s">
        <v>12236</v>
      </c>
      <c r="F1924" s="9" t="s">
        <v>42155</v>
      </c>
      <c r="G1924" s="9" t="s">
        <v>38946</v>
      </c>
      <c r="H1924" s="127">
        <v>45686.0</v>
      </c>
      <c r="I1924" s="9" t="s">
        <v>131</v>
      </c>
      <c r="J1924" s="9" t="s">
        <v>38801</v>
      </c>
      <c r="K1924" s="55">
        <v>45769.0</v>
      </c>
      <c r="M1924" s="9" t="s">
        <v>11740</v>
      </c>
    </row>
    <row r="1925" ht="15.75" customHeight="1">
      <c r="A1925" s="9" t="s">
        <v>42156</v>
      </c>
      <c r="B1925" s="9" t="s">
        <v>21831</v>
      </c>
      <c r="D1925" s="9" t="s">
        <v>12227</v>
      </c>
      <c r="E1925" s="9" t="s">
        <v>38803</v>
      </c>
      <c r="F1925" s="9" t="s">
        <v>40635</v>
      </c>
      <c r="G1925" s="9" t="s">
        <v>38946</v>
      </c>
      <c r="H1925" s="127">
        <v>45686.0</v>
      </c>
      <c r="I1925" s="9" t="s">
        <v>131</v>
      </c>
      <c r="J1925" s="9" t="s">
        <v>38805</v>
      </c>
      <c r="K1925" s="55"/>
      <c r="M1925" s="9" t="s">
        <v>11740</v>
      </c>
    </row>
    <row r="1926" ht="15.75" hidden="1" customHeight="1">
      <c r="A1926" s="9" t="s">
        <v>42157</v>
      </c>
      <c r="B1926" s="9" t="s">
        <v>26955</v>
      </c>
      <c r="D1926" s="9" t="s">
        <v>12248</v>
      </c>
      <c r="F1926" s="9" t="s">
        <v>42158</v>
      </c>
      <c r="G1926" s="9" t="s">
        <v>38946</v>
      </c>
      <c r="H1926" s="127">
        <v>45687.0</v>
      </c>
      <c r="I1926" s="9" t="s">
        <v>131</v>
      </c>
      <c r="J1926" s="9" t="s">
        <v>38801</v>
      </c>
      <c r="K1926" s="55">
        <v>45687.0</v>
      </c>
      <c r="M1926" s="9" t="s">
        <v>11366</v>
      </c>
    </row>
    <row r="1927" ht="15.75" hidden="1" customHeight="1">
      <c r="A1927" s="9" t="s">
        <v>42159</v>
      </c>
      <c r="B1927" s="52" t="s">
        <v>27173</v>
      </c>
      <c r="D1927" s="9" t="s">
        <v>12239</v>
      </c>
      <c r="F1927" s="9" t="s">
        <v>40678</v>
      </c>
      <c r="G1927" s="9" t="s">
        <v>38946</v>
      </c>
      <c r="H1927" s="127">
        <v>45687.0</v>
      </c>
      <c r="I1927" s="9" t="s">
        <v>131</v>
      </c>
      <c r="J1927" s="9" t="s">
        <v>38801</v>
      </c>
      <c r="K1927" s="55">
        <v>45720.0</v>
      </c>
      <c r="M1927" s="9" t="s">
        <v>11498</v>
      </c>
    </row>
    <row r="1928" ht="15.75" hidden="1" customHeight="1">
      <c r="A1928" s="9" t="s">
        <v>42160</v>
      </c>
      <c r="B1928" s="52" t="s">
        <v>27173</v>
      </c>
      <c r="D1928" s="9" t="s">
        <v>12240</v>
      </c>
      <c r="F1928" s="9" t="s">
        <v>40678</v>
      </c>
      <c r="G1928" s="9" t="s">
        <v>38946</v>
      </c>
      <c r="H1928" s="127">
        <v>45687.0</v>
      </c>
      <c r="I1928" s="9" t="s">
        <v>131</v>
      </c>
      <c r="J1928" s="9" t="s">
        <v>38801</v>
      </c>
      <c r="K1928" s="55">
        <v>45701.0</v>
      </c>
      <c r="M1928" s="9" t="s">
        <v>11498</v>
      </c>
    </row>
    <row r="1929" ht="15.75" hidden="1" customHeight="1">
      <c r="A1929" s="9" t="s">
        <v>42161</v>
      </c>
      <c r="B1929" s="9" t="s">
        <v>21831</v>
      </c>
      <c r="D1929" s="9" t="s">
        <v>12260</v>
      </c>
      <c r="F1929" s="9" t="s">
        <v>42162</v>
      </c>
      <c r="G1929" s="9" t="s">
        <v>38946</v>
      </c>
      <c r="H1929" s="127">
        <v>45688.0</v>
      </c>
      <c r="I1929" s="9" t="s">
        <v>131</v>
      </c>
      <c r="J1929" s="9" t="s">
        <v>38801</v>
      </c>
      <c r="K1929" s="55">
        <v>45688.0</v>
      </c>
      <c r="M1929" s="9" t="s">
        <v>11740</v>
      </c>
    </row>
    <row r="1930" ht="15.75" hidden="1" customHeight="1">
      <c r="A1930" s="9" t="s">
        <v>42163</v>
      </c>
      <c r="B1930" s="52" t="s">
        <v>27173</v>
      </c>
      <c r="D1930" s="9" t="s">
        <v>12260</v>
      </c>
      <c r="F1930" s="9" t="s">
        <v>42164</v>
      </c>
      <c r="G1930" s="9" t="s">
        <v>38946</v>
      </c>
      <c r="H1930" s="127">
        <v>45688.0</v>
      </c>
      <c r="I1930" s="9" t="s">
        <v>131</v>
      </c>
      <c r="J1930" s="9" t="s">
        <v>38801</v>
      </c>
      <c r="K1930" s="55">
        <v>45688.0</v>
      </c>
      <c r="M1930" s="9" t="s">
        <v>11498</v>
      </c>
    </row>
    <row r="1931" ht="15.75" hidden="1" customHeight="1">
      <c r="A1931" s="9" t="s">
        <v>42165</v>
      </c>
      <c r="B1931" s="9" t="s">
        <v>14110</v>
      </c>
      <c r="D1931" s="9" t="s">
        <v>12260</v>
      </c>
      <c r="F1931" s="9" t="s">
        <v>42166</v>
      </c>
      <c r="G1931" s="9" t="s">
        <v>38946</v>
      </c>
      <c r="H1931" s="127">
        <v>45688.0</v>
      </c>
      <c r="I1931" s="9" t="s">
        <v>131</v>
      </c>
      <c r="J1931" s="9" t="s">
        <v>38805</v>
      </c>
      <c r="K1931" s="55"/>
      <c r="M1931" s="9" t="s">
        <v>269</v>
      </c>
    </row>
    <row r="1932" ht="15.75" hidden="1" customHeight="1">
      <c r="A1932" s="9" t="s">
        <v>42167</v>
      </c>
      <c r="B1932" s="9" t="s">
        <v>20134</v>
      </c>
      <c r="D1932" s="9" t="s">
        <v>12260</v>
      </c>
      <c r="F1932" s="9" t="s">
        <v>42166</v>
      </c>
      <c r="G1932" s="9" t="s">
        <v>38946</v>
      </c>
      <c r="H1932" s="127">
        <v>45688.0</v>
      </c>
      <c r="I1932" s="9" t="s">
        <v>131</v>
      </c>
      <c r="J1932" s="9" t="s">
        <v>38801</v>
      </c>
      <c r="K1932" s="55">
        <v>45688.0</v>
      </c>
      <c r="M1932" s="9" t="s">
        <v>5808</v>
      </c>
    </row>
    <row r="1933" ht="15.75" hidden="1" customHeight="1">
      <c r="A1933" s="9" t="s">
        <v>42168</v>
      </c>
      <c r="B1933" s="9" t="s">
        <v>21724</v>
      </c>
      <c r="D1933" s="9" t="s">
        <v>12260</v>
      </c>
      <c r="F1933" s="9" t="s">
        <v>42166</v>
      </c>
      <c r="G1933" s="9" t="s">
        <v>38946</v>
      </c>
      <c r="H1933" s="127">
        <v>45688.0</v>
      </c>
      <c r="I1933" s="9" t="s">
        <v>131</v>
      </c>
      <c r="J1933" s="9" t="s">
        <v>38801</v>
      </c>
      <c r="K1933" s="55">
        <v>45688.0</v>
      </c>
      <c r="M1933" s="9" t="s">
        <v>11362</v>
      </c>
    </row>
    <row r="1934" ht="15.75" hidden="1" customHeight="1">
      <c r="A1934" s="9" t="s">
        <v>42169</v>
      </c>
      <c r="B1934" s="9" t="s">
        <v>15999</v>
      </c>
      <c r="D1934" s="9" t="s">
        <v>12260</v>
      </c>
      <c r="F1934" s="9" t="s">
        <v>42166</v>
      </c>
      <c r="G1934" s="9" t="s">
        <v>38946</v>
      </c>
      <c r="H1934" s="127">
        <v>45688.0</v>
      </c>
      <c r="I1934" s="9" t="s">
        <v>131</v>
      </c>
      <c r="J1934" s="9" t="s">
        <v>38801</v>
      </c>
      <c r="K1934" s="55">
        <v>45688.0</v>
      </c>
      <c r="M1934" s="9" t="s">
        <v>7988</v>
      </c>
    </row>
    <row r="1935" ht="15.75" hidden="1" customHeight="1">
      <c r="A1935" s="9" t="s">
        <v>42170</v>
      </c>
      <c r="B1935" s="9" t="s">
        <v>22454</v>
      </c>
      <c r="D1935" s="9" t="s">
        <v>12260</v>
      </c>
      <c r="F1935" s="9" t="s">
        <v>42166</v>
      </c>
      <c r="G1935" s="9" t="s">
        <v>38946</v>
      </c>
      <c r="H1935" s="127">
        <v>45688.0</v>
      </c>
      <c r="I1935" s="9" t="s">
        <v>131</v>
      </c>
      <c r="J1935" s="9" t="s">
        <v>38801</v>
      </c>
      <c r="K1935" s="55">
        <v>45688.0</v>
      </c>
      <c r="M1935" s="9" t="s">
        <v>11456</v>
      </c>
    </row>
    <row r="1936" ht="15.75" hidden="1" customHeight="1">
      <c r="A1936" s="9" t="s">
        <v>42171</v>
      </c>
      <c r="B1936" s="9" t="s">
        <v>238</v>
      </c>
      <c r="D1936" s="9" t="s">
        <v>12260</v>
      </c>
      <c r="F1936" s="9" t="s">
        <v>42172</v>
      </c>
      <c r="G1936" s="9" t="s">
        <v>38946</v>
      </c>
      <c r="H1936" s="127">
        <v>45688.0</v>
      </c>
      <c r="I1936" s="9" t="s">
        <v>131</v>
      </c>
      <c r="J1936" s="9" t="s">
        <v>38801</v>
      </c>
      <c r="K1936" s="55">
        <v>45688.0</v>
      </c>
      <c r="M1936" s="9" t="s">
        <v>237</v>
      </c>
    </row>
    <row r="1937" ht="15.75" hidden="1" customHeight="1">
      <c r="A1937" s="9" t="s">
        <v>42173</v>
      </c>
      <c r="B1937" s="9" t="s">
        <v>17551</v>
      </c>
      <c r="D1937" s="9" t="s">
        <v>12260</v>
      </c>
      <c r="F1937" s="9" t="s">
        <v>42166</v>
      </c>
      <c r="G1937" s="9" t="s">
        <v>38946</v>
      </c>
      <c r="H1937" s="127">
        <v>45688.0</v>
      </c>
      <c r="I1937" s="9" t="s">
        <v>131</v>
      </c>
      <c r="J1937" s="9" t="s">
        <v>38801</v>
      </c>
      <c r="K1937" s="55">
        <v>45688.0</v>
      </c>
      <c r="M1937" s="9" t="s">
        <v>8211</v>
      </c>
    </row>
    <row r="1938" ht="15.75" hidden="1" customHeight="1">
      <c r="A1938" s="9" t="s">
        <v>42174</v>
      </c>
      <c r="B1938" s="9" t="s">
        <v>12300</v>
      </c>
      <c r="D1938" s="9" t="s">
        <v>12260</v>
      </c>
      <c r="F1938" s="9" t="s">
        <v>42166</v>
      </c>
      <c r="G1938" s="9" t="s">
        <v>38946</v>
      </c>
      <c r="H1938" s="127">
        <v>45688.0</v>
      </c>
      <c r="I1938" s="9" t="s">
        <v>131</v>
      </c>
      <c r="J1938" s="9" t="s">
        <v>38801</v>
      </c>
      <c r="K1938" s="55">
        <v>45688.0</v>
      </c>
      <c r="M1938" s="9" t="s">
        <v>3844</v>
      </c>
    </row>
    <row r="1939" ht="15.75" hidden="1" customHeight="1">
      <c r="A1939" s="9" t="s">
        <v>42175</v>
      </c>
      <c r="B1939" s="9" t="s">
        <v>12575</v>
      </c>
      <c r="D1939" s="9" t="s">
        <v>12260</v>
      </c>
      <c r="F1939" s="9" t="s">
        <v>42166</v>
      </c>
      <c r="G1939" s="9" t="s">
        <v>38946</v>
      </c>
      <c r="H1939" s="127">
        <v>45688.0</v>
      </c>
      <c r="I1939" s="9" t="s">
        <v>131</v>
      </c>
      <c r="J1939" s="9" t="s">
        <v>38801</v>
      </c>
      <c r="K1939" s="55">
        <v>45688.0</v>
      </c>
      <c r="M1939" s="9" t="s">
        <v>11929</v>
      </c>
    </row>
    <row r="1940" ht="15.75" hidden="1" customHeight="1">
      <c r="A1940" s="9" t="s">
        <v>42176</v>
      </c>
      <c r="B1940" s="9" t="s">
        <v>22893</v>
      </c>
      <c r="D1940" s="9" t="s">
        <v>12230</v>
      </c>
      <c r="F1940" s="9" t="s">
        <v>40154</v>
      </c>
      <c r="G1940" s="9" t="s">
        <v>38946</v>
      </c>
      <c r="H1940" s="127">
        <v>45691.0</v>
      </c>
      <c r="I1940" s="9" t="s">
        <v>131</v>
      </c>
      <c r="J1940" s="9" t="s">
        <v>38801</v>
      </c>
      <c r="K1940" s="55">
        <v>45692.0</v>
      </c>
      <c r="M1940" s="9" t="s">
        <v>11532</v>
      </c>
    </row>
    <row r="1941" ht="15.75" hidden="1" customHeight="1">
      <c r="A1941" s="9" t="s">
        <v>42177</v>
      </c>
      <c r="B1941" s="9" t="s">
        <v>22853</v>
      </c>
      <c r="D1941" s="9" t="s">
        <v>12230</v>
      </c>
      <c r="F1941" s="9" t="s">
        <v>42178</v>
      </c>
      <c r="G1941" s="9" t="s">
        <v>38946</v>
      </c>
      <c r="H1941" s="127">
        <v>45691.0</v>
      </c>
      <c r="I1941" s="9" t="s">
        <v>131</v>
      </c>
      <c r="J1941" s="9" t="s">
        <v>38801</v>
      </c>
      <c r="K1941" s="55">
        <v>45722.0</v>
      </c>
      <c r="M1941" s="52" t="s">
        <v>22842</v>
      </c>
    </row>
    <row r="1942" ht="15.75" hidden="1" customHeight="1">
      <c r="A1942" s="9" t="s">
        <v>42179</v>
      </c>
      <c r="B1942" s="9" t="s">
        <v>27004</v>
      </c>
      <c r="D1942" s="9" t="s">
        <v>12248</v>
      </c>
      <c r="F1942" s="9" t="s">
        <v>42180</v>
      </c>
      <c r="G1942" s="9" t="s">
        <v>38808</v>
      </c>
      <c r="H1942" s="127">
        <v>45692.0</v>
      </c>
      <c r="I1942" s="9" t="s">
        <v>47</v>
      </c>
      <c r="J1942" s="9" t="s">
        <v>38801</v>
      </c>
      <c r="K1942" s="55">
        <v>45749.0</v>
      </c>
      <c r="M1942" s="9" t="s">
        <v>11377</v>
      </c>
    </row>
    <row r="1943" ht="15.75" hidden="1" customHeight="1">
      <c r="A1943" s="9" t="s">
        <v>42181</v>
      </c>
      <c r="B1943" s="9" t="s">
        <v>22719</v>
      </c>
      <c r="D1943" s="9" t="s">
        <v>12239</v>
      </c>
      <c r="F1943" s="9" t="s">
        <v>42182</v>
      </c>
      <c r="G1943" s="9" t="s">
        <v>38946</v>
      </c>
      <c r="H1943" s="127">
        <v>45693.0</v>
      </c>
      <c r="I1943" s="9" t="s">
        <v>131</v>
      </c>
      <c r="J1943" s="9" t="s">
        <v>38801</v>
      </c>
      <c r="K1943" s="55">
        <v>45720.0</v>
      </c>
      <c r="M1943" s="9" t="s">
        <v>11501</v>
      </c>
    </row>
    <row r="1944" ht="15.75" hidden="1" customHeight="1">
      <c r="A1944" s="9" t="s">
        <v>42183</v>
      </c>
      <c r="B1944" s="9" t="s">
        <v>22719</v>
      </c>
      <c r="D1944" s="9" t="s">
        <v>12240</v>
      </c>
      <c r="F1944" s="9" t="s">
        <v>42184</v>
      </c>
      <c r="G1944" s="9" t="s">
        <v>38946</v>
      </c>
      <c r="H1944" s="127">
        <v>45693.0</v>
      </c>
      <c r="I1944" s="9" t="s">
        <v>131</v>
      </c>
      <c r="J1944" s="9" t="s">
        <v>38801</v>
      </c>
      <c r="K1944" s="55">
        <v>45701.0</v>
      </c>
      <c r="M1944" s="9" t="s">
        <v>11501</v>
      </c>
    </row>
    <row r="1945" ht="15.75" hidden="1" customHeight="1">
      <c r="A1945" s="9" t="s">
        <v>42185</v>
      </c>
      <c r="B1945" s="9" t="s">
        <v>22921</v>
      </c>
      <c r="D1945" s="9" t="s">
        <v>12230</v>
      </c>
      <c r="F1945" s="9" t="s">
        <v>40282</v>
      </c>
      <c r="G1945" s="9" t="s">
        <v>38946</v>
      </c>
      <c r="H1945" s="127">
        <v>45694.0</v>
      </c>
      <c r="I1945" s="9" t="s">
        <v>208</v>
      </c>
      <c r="J1945" s="9" t="s">
        <v>38801</v>
      </c>
      <c r="K1945" s="55">
        <v>45698.0</v>
      </c>
      <c r="M1945" s="9" t="s">
        <v>11524</v>
      </c>
    </row>
    <row r="1946" ht="15.75" hidden="1" customHeight="1">
      <c r="A1946" s="9" t="s">
        <v>42186</v>
      </c>
      <c r="B1946" s="9" t="s">
        <v>22826</v>
      </c>
      <c r="D1946" s="9" t="s">
        <v>12239</v>
      </c>
      <c r="F1946" s="9" t="s">
        <v>40678</v>
      </c>
      <c r="G1946" s="9" t="s">
        <v>38946</v>
      </c>
      <c r="H1946" s="127">
        <v>45695.0</v>
      </c>
      <c r="I1946" s="9" t="s">
        <v>131</v>
      </c>
      <c r="J1946" s="9" t="s">
        <v>38801</v>
      </c>
      <c r="K1946" s="55">
        <v>45735.0</v>
      </c>
      <c r="M1946" s="9" t="s">
        <v>11520</v>
      </c>
    </row>
    <row r="1947" ht="15.75" hidden="1" customHeight="1">
      <c r="A1947" s="9" t="s">
        <v>42187</v>
      </c>
      <c r="B1947" s="9" t="s">
        <v>22826</v>
      </c>
      <c r="D1947" s="9" t="s">
        <v>12240</v>
      </c>
      <c r="F1947" s="9" t="s">
        <v>42188</v>
      </c>
      <c r="G1947" s="9" t="s">
        <v>38946</v>
      </c>
      <c r="H1947" s="127">
        <v>45695.0</v>
      </c>
      <c r="I1947" s="9" t="s">
        <v>131</v>
      </c>
      <c r="J1947" s="9" t="s">
        <v>38801</v>
      </c>
      <c r="K1947" s="55">
        <v>45701.0</v>
      </c>
      <c r="M1947" s="9" t="s">
        <v>11520</v>
      </c>
    </row>
    <row r="1948" ht="15.75" hidden="1" customHeight="1">
      <c r="A1948" s="9" t="s">
        <v>42189</v>
      </c>
      <c r="B1948" s="9" t="s">
        <v>16974</v>
      </c>
      <c r="D1948" s="9" t="s">
        <v>12248</v>
      </c>
      <c r="F1948" s="9" t="s">
        <v>42190</v>
      </c>
      <c r="G1948" s="9" t="s">
        <v>38946</v>
      </c>
      <c r="H1948" s="127">
        <v>45698.0</v>
      </c>
      <c r="I1948" s="9" t="s">
        <v>47</v>
      </c>
      <c r="J1948" s="9" t="s">
        <v>38801</v>
      </c>
      <c r="K1948" s="55">
        <v>45712.0</v>
      </c>
      <c r="M1948" s="9" t="s">
        <v>10721</v>
      </c>
    </row>
    <row r="1949" ht="15.75" hidden="1" customHeight="1">
      <c r="A1949" s="9" t="s">
        <v>42191</v>
      </c>
      <c r="B1949" s="9" t="s">
        <v>16395</v>
      </c>
      <c r="D1949" s="9" t="s">
        <v>12230</v>
      </c>
      <c r="F1949" s="9" t="s">
        <v>42192</v>
      </c>
      <c r="G1949" s="9" t="s">
        <v>38946</v>
      </c>
      <c r="H1949" s="127">
        <v>45698.0</v>
      </c>
      <c r="I1949" s="9" t="s">
        <v>47</v>
      </c>
      <c r="J1949" s="9" t="s">
        <v>38801</v>
      </c>
      <c r="K1949" s="55">
        <v>45698.0</v>
      </c>
      <c r="M1949" s="9" t="s">
        <v>9544</v>
      </c>
    </row>
    <row r="1950" ht="15.75" hidden="1" customHeight="1">
      <c r="A1950" s="9" t="s">
        <v>42193</v>
      </c>
      <c r="B1950" s="9" t="s">
        <v>16395</v>
      </c>
      <c r="D1950" s="9" t="s">
        <v>12250</v>
      </c>
      <c r="F1950" s="9" t="s">
        <v>42194</v>
      </c>
      <c r="G1950" s="9" t="s">
        <v>38946</v>
      </c>
      <c r="H1950" s="127">
        <v>45698.0</v>
      </c>
      <c r="I1950" s="9" t="s">
        <v>47</v>
      </c>
      <c r="J1950" s="9" t="s">
        <v>38801</v>
      </c>
      <c r="K1950" s="55">
        <v>45698.0</v>
      </c>
      <c r="M1950" s="9" t="s">
        <v>9544</v>
      </c>
    </row>
    <row r="1951" ht="15.75" hidden="1" customHeight="1">
      <c r="A1951" s="9" t="s">
        <v>42195</v>
      </c>
      <c r="B1951" s="9" t="s">
        <v>22937</v>
      </c>
      <c r="D1951" s="9" t="s">
        <v>12239</v>
      </c>
      <c r="F1951" s="9" t="s">
        <v>40678</v>
      </c>
      <c r="G1951" s="9" t="s">
        <v>38946</v>
      </c>
      <c r="H1951" s="127">
        <v>45698.0</v>
      </c>
      <c r="I1951" s="9" t="s">
        <v>131</v>
      </c>
      <c r="J1951" s="9" t="s">
        <v>38801</v>
      </c>
      <c r="K1951" s="55">
        <v>45731.0</v>
      </c>
      <c r="M1951" s="9" t="s">
        <v>11537</v>
      </c>
    </row>
    <row r="1952" ht="15.75" hidden="1" customHeight="1">
      <c r="A1952" s="9" t="s">
        <v>42196</v>
      </c>
      <c r="B1952" s="9" t="s">
        <v>22937</v>
      </c>
      <c r="D1952" s="9" t="s">
        <v>12240</v>
      </c>
      <c r="F1952" s="9" t="s">
        <v>42197</v>
      </c>
      <c r="G1952" s="9" t="s">
        <v>38946</v>
      </c>
      <c r="H1952" s="127">
        <v>45698.0</v>
      </c>
      <c r="I1952" s="9" t="s">
        <v>131</v>
      </c>
      <c r="J1952" s="9" t="s">
        <v>38801</v>
      </c>
      <c r="K1952" s="55">
        <v>45701.0</v>
      </c>
      <c r="M1952" s="9" t="s">
        <v>11537</v>
      </c>
    </row>
    <row r="1953" ht="15.75" hidden="1" customHeight="1">
      <c r="A1953" s="9" t="s">
        <v>42198</v>
      </c>
      <c r="B1953" s="9" t="s">
        <v>22771</v>
      </c>
      <c r="D1953" s="9" t="s">
        <v>12239</v>
      </c>
      <c r="F1953" s="9" t="s">
        <v>40678</v>
      </c>
      <c r="G1953" s="9" t="s">
        <v>38946</v>
      </c>
      <c r="H1953" s="127">
        <v>45700.0</v>
      </c>
      <c r="I1953" s="9" t="s">
        <v>131</v>
      </c>
      <c r="J1953" s="9" t="s">
        <v>38801</v>
      </c>
      <c r="K1953" s="55">
        <v>45735.0</v>
      </c>
      <c r="M1953" s="9" t="s">
        <v>11509</v>
      </c>
    </row>
    <row r="1954" ht="15.75" hidden="1" customHeight="1">
      <c r="A1954" s="9" t="s">
        <v>42199</v>
      </c>
      <c r="B1954" s="9" t="s">
        <v>22771</v>
      </c>
      <c r="D1954" s="9" t="s">
        <v>12240</v>
      </c>
      <c r="F1954" s="9" t="s">
        <v>42200</v>
      </c>
      <c r="G1954" s="9" t="s">
        <v>38946</v>
      </c>
      <c r="H1954" s="127">
        <v>45700.0</v>
      </c>
      <c r="I1954" s="9" t="s">
        <v>131</v>
      </c>
      <c r="J1954" s="9" t="s">
        <v>38801</v>
      </c>
      <c r="K1954" s="55">
        <v>45701.0</v>
      </c>
      <c r="M1954" s="9" t="s">
        <v>11509</v>
      </c>
    </row>
    <row r="1955" ht="15.75" hidden="1" customHeight="1">
      <c r="A1955" s="9" t="s">
        <v>42201</v>
      </c>
      <c r="B1955" s="9" t="s">
        <v>14863</v>
      </c>
      <c r="D1955" s="9" t="s">
        <v>12248</v>
      </c>
      <c r="F1955" s="9" t="s">
        <v>42202</v>
      </c>
      <c r="G1955" s="9" t="s">
        <v>38808</v>
      </c>
      <c r="H1955" s="127">
        <v>45702.0</v>
      </c>
      <c r="I1955" s="9" t="s">
        <v>47</v>
      </c>
      <c r="J1955" s="9" t="s">
        <v>38801</v>
      </c>
      <c r="K1955" s="55">
        <v>45705.0</v>
      </c>
      <c r="M1955" s="9" t="s">
        <v>10699</v>
      </c>
    </row>
    <row r="1956" ht="15.75" hidden="1" customHeight="1">
      <c r="A1956" s="9" t="s">
        <v>42203</v>
      </c>
      <c r="B1956" s="9" t="s">
        <v>14863</v>
      </c>
      <c r="D1956" s="9" t="s">
        <v>12230</v>
      </c>
      <c r="F1956" s="9" t="s">
        <v>42204</v>
      </c>
      <c r="G1956" s="9" t="s">
        <v>38946</v>
      </c>
      <c r="H1956" s="127">
        <v>45705.0</v>
      </c>
      <c r="I1956" s="9" t="s">
        <v>47</v>
      </c>
      <c r="J1956" s="9" t="s">
        <v>38801</v>
      </c>
      <c r="K1956" s="55">
        <v>45705.0</v>
      </c>
      <c r="M1956" s="9" t="s">
        <v>10699</v>
      </c>
    </row>
    <row r="1957" ht="15.75" hidden="1" customHeight="1">
      <c r="A1957" s="9" t="s">
        <v>42205</v>
      </c>
      <c r="B1957" s="9" t="s">
        <v>20694</v>
      </c>
      <c r="D1957" s="9" t="s">
        <v>12248</v>
      </c>
      <c r="F1957" s="9" t="s">
        <v>40962</v>
      </c>
      <c r="G1957" s="9" t="s">
        <v>38946</v>
      </c>
      <c r="H1957" s="127">
        <v>45705.0</v>
      </c>
      <c r="I1957" s="9" t="s">
        <v>131</v>
      </c>
      <c r="J1957" s="9" t="s">
        <v>38801</v>
      </c>
      <c r="K1957" s="55">
        <v>45705.0</v>
      </c>
      <c r="M1957" s="9" t="s">
        <v>8011</v>
      </c>
    </row>
    <row r="1958" ht="15.75" hidden="1" customHeight="1">
      <c r="A1958" s="9" t="s">
        <v>42206</v>
      </c>
      <c r="B1958" s="9" t="s">
        <v>16076</v>
      </c>
      <c r="D1958" s="9" t="s">
        <v>12240</v>
      </c>
      <c r="F1958" s="9" t="s">
        <v>42207</v>
      </c>
      <c r="G1958" s="9" t="s">
        <v>38946</v>
      </c>
      <c r="H1958" s="127">
        <v>45702.0</v>
      </c>
      <c r="I1958" s="9" t="s">
        <v>26</v>
      </c>
      <c r="J1958" s="9" t="s">
        <v>38801</v>
      </c>
      <c r="K1958" s="55">
        <v>45706.0</v>
      </c>
      <c r="M1958" s="9" t="s">
        <v>10490</v>
      </c>
    </row>
    <row r="1959" ht="15.75" hidden="1" customHeight="1">
      <c r="A1959" s="9" t="s">
        <v>42208</v>
      </c>
      <c r="B1959" s="9" t="s">
        <v>26910</v>
      </c>
      <c r="D1959" s="9" t="s">
        <v>12230</v>
      </c>
      <c r="F1959" s="9" t="s">
        <v>42209</v>
      </c>
      <c r="G1959" s="9" t="s">
        <v>38808</v>
      </c>
      <c r="H1959" s="127">
        <v>45706.0</v>
      </c>
      <c r="I1959" s="9" t="s">
        <v>47</v>
      </c>
      <c r="J1959" s="9" t="s">
        <v>38801</v>
      </c>
      <c r="K1959" s="55">
        <v>45811.0</v>
      </c>
      <c r="M1959" s="9" t="s">
        <v>26916</v>
      </c>
    </row>
    <row r="1960" ht="15.75" hidden="1" customHeight="1">
      <c r="A1960" s="9" t="s">
        <v>42210</v>
      </c>
      <c r="B1960" s="9" t="s">
        <v>22399</v>
      </c>
      <c r="D1960" s="9" t="s">
        <v>12239</v>
      </c>
      <c r="F1960" s="9" t="s">
        <v>40678</v>
      </c>
      <c r="G1960" s="9" t="s">
        <v>38946</v>
      </c>
      <c r="H1960" s="127">
        <v>45708.0</v>
      </c>
      <c r="I1960" s="9" t="s">
        <v>131</v>
      </c>
      <c r="J1960" s="9" t="s">
        <v>38801</v>
      </c>
      <c r="K1960" s="55">
        <v>45735.0</v>
      </c>
      <c r="M1960" s="9" t="s">
        <v>11448</v>
      </c>
    </row>
    <row r="1961" ht="15.75" hidden="1" customHeight="1">
      <c r="A1961" s="9" t="s">
        <v>42211</v>
      </c>
      <c r="B1961" s="9" t="s">
        <v>22399</v>
      </c>
      <c r="D1961" s="9" t="s">
        <v>12240</v>
      </c>
      <c r="F1961" s="9" t="s">
        <v>40678</v>
      </c>
      <c r="G1961" s="9" t="s">
        <v>38946</v>
      </c>
      <c r="H1961" s="127">
        <v>45708.0</v>
      </c>
      <c r="I1961" s="9" t="s">
        <v>131</v>
      </c>
      <c r="J1961" s="9" t="s">
        <v>38801</v>
      </c>
      <c r="K1961" s="55">
        <v>45733.0</v>
      </c>
      <c r="M1961" s="9" t="s">
        <v>11448</v>
      </c>
    </row>
    <row r="1962" ht="15.75" hidden="1" customHeight="1">
      <c r="A1962" s="9" t="s">
        <v>42212</v>
      </c>
      <c r="B1962" s="9" t="s">
        <v>22399</v>
      </c>
      <c r="D1962" s="9" t="s">
        <v>12236</v>
      </c>
      <c r="F1962" s="9" t="s">
        <v>42213</v>
      </c>
      <c r="G1962" s="9" t="s">
        <v>38946</v>
      </c>
      <c r="H1962" s="127">
        <v>45708.0</v>
      </c>
      <c r="I1962" s="9" t="s">
        <v>131</v>
      </c>
      <c r="J1962" s="9" t="s">
        <v>38801</v>
      </c>
      <c r="K1962" s="55">
        <v>45769.0</v>
      </c>
      <c r="M1962" s="9" t="s">
        <v>11448</v>
      </c>
    </row>
    <row r="1963" ht="15.75" hidden="1" customHeight="1">
      <c r="A1963" s="9" t="s">
        <v>42214</v>
      </c>
      <c r="B1963" s="9" t="s">
        <v>16974</v>
      </c>
      <c r="D1963" s="9" t="s">
        <v>12230</v>
      </c>
      <c r="F1963" s="9" t="s">
        <v>42215</v>
      </c>
      <c r="G1963" s="9" t="s">
        <v>38808</v>
      </c>
      <c r="H1963" s="127">
        <v>45712.0</v>
      </c>
      <c r="I1963" s="9" t="s">
        <v>47</v>
      </c>
      <c r="J1963" s="9" t="s">
        <v>38805</v>
      </c>
      <c r="K1963" s="55"/>
      <c r="M1963" s="9" t="s">
        <v>10721</v>
      </c>
    </row>
    <row r="1964" ht="15.75" hidden="1" customHeight="1">
      <c r="A1964" s="9" t="s">
        <v>42216</v>
      </c>
      <c r="B1964" s="9" t="s">
        <v>19349</v>
      </c>
      <c r="D1964" s="9" t="s">
        <v>12236</v>
      </c>
      <c r="F1964" s="9" t="s">
        <v>42217</v>
      </c>
      <c r="G1964" s="9" t="s">
        <v>38946</v>
      </c>
      <c r="H1964" s="127">
        <v>45719.0</v>
      </c>
      <c r="I1964" s="9" t="s">
        <v>131</v>
      </c>
      <c r="J1964" s="9" t="s">
        <v>38801</v>
      </c>
      <c r="K1964" s="55">
        <v>45719.0</v>
      </c>
      <c r="M1964" s="9" t="s">
        <v>10658</v>
      </c>
    </row>
    <row r="1965" ht="15.75" customHeight="1">
      <c r="A1965" s="9" t="s">
        <v>42218</v>
      </c>
      <c r="B1965" s="9" t="s">
        <v>21724</v>
      </c>
      <c r="D1965" s="9" t="s">
        <v>12227</v>
      </c>
      <c r="E1965" s="9" t="s">
        <v>38803</v>
      </c>
      <c r="F1965" s="9" t="s">
        <v>40970</v>
      </c>
      <c r="G1965" s="9" t="s">
        <v>38946</v>
      </c>
      <c r="H1965" s="127">
        <v>45721.0</v>
      </c>
      <c r="I1965" s="9" t="s">
        <v>131</v>
      </c>
      <c r="J1965" s="9" t="s">
        <v>38805</v>
      </c>
      <c r="K1965" s="55"/>
      <c r="M1965" s="9" t="s">
        <v>11362</v>
      </c>
    </row>
    <row r="1966" ht="15.75" hidden="1" customHeight="1">
      <c r="A1966" s="9" t="s">
        <v>42219</v>
      </c>
      <c r="B1966" s="9" t="s">
        <v>14133</v>
      </c>
      <c r="D1966" s="9" t="s">
        <v>12248</v>
      </c>
      <c r="F1966" s="9" t="s">
        <v>41532</v>
      </c>
      <c r="G1966" s="9" t="s">
        <v>38808</v>
      </c>
      <c r="H1966" s="127">
        <v>45721.0</v>
      </c>
      <c r="I1966" s="9" t="s">
        <v>47</v>
      </c>
      <c r="J1966" s="9" t="s">
        <v>38801</v>
      </c>
      <c r="K1966" s="55">
        <v>45722.0</v>
      </c>
      <c r="M1966" s="9" t="s">
        <v>2522</v>
      </c>
    </row>
    <row r="1967" ht="15.75" hidden="1" customHeight="1">
      <c r="A1967" s="9" t="s">
        <v>42220</v>
      </c>
      <c r="B1967" s="9" t="s">
        <v>14133</v>
      </c>
      <c r="D1967" s="9" t="s">
        <v>12230</v>
      </c>
      <c r="F1967" s="9" t="s">
        <v>42221</v>
      </c>
      <c r="G1967" s="9" t="s">
        <v>38946</v>
      </c>
      <c r="H1967" s="127">
        <v>45722.0</v>
      </c>
      <c r="I1967" s="9" t="s">
        <v>47</v>
      </c>
      <c r="J1967" s="9" t="s">
        <v>38801</v>
      </c>
      <c r="K1967" s="55">
        <v>45722.0</v>
      </c>
      <c r="M1967" s="9" t="s">
        <v>2522</v>
      </c>
    </row>
    <row r="1968" ht="15.75" hidden="1" customHeight="1">
      <c r="A1968" s="9" t="s">
        <v>42222</v>
      </c>
      <c r="B1968" s="9" t="s">
        <v>26964</v>
      </c>
      <c r="D1968" s="9" t="s">
        <v>12230</v>
      </c>
      <c r="F1968" s="9" t="s">
        <v>42223</v>
      </c>
      <c r="G1968" s="9" t="s">
        <v>38808</v>
      </c>
      <c r="H1968" s="127">
        <v>45722.0</v>
      </c>
      <c r="I1968" s="9" t="s">
        <v>47</v>
      </c>
      <c r="J1968" s="9" t="s">
        <v>38805</v>
      </c>
      <c r="K1968" s="55"/>
      <c r="M1968" s="9" t="s">
        <v>12125</v>
      </c>
    </row>
    <row r="1969" ht="15.75" hidden="1" customHeight="1">
      <c r="A1969" s="9" t="s">
        <v>42224</v>
      </c>
      <c r="B1969" s="9" t="s">
        <v>22921</v>
      </c>
      <c r="D1969" s="9" t="s">
        <v>12239</v>
      </c>
      <c r="F1969" s="9" t="s">
        <v>42065</v>
      </c>
      <c r="G1969" s="9" t="s">
        <v>38946</v>
      </c>
      <c r="H1969" s="127">
        <v>45722.0</v>
      </c>
      <c r="I1969" s="9" t="s">
        <v>131</v>
      </c>
      <c r="J1969" s="9" t="s">
        <v>38801</v>
      </c>
      <c r="K1969" s="55">
        <v>45792.0</v>
      </c>
      <c r="M1969" s="9" t="s">
        <v>11524</v>
      </c>
    </row>
    <row r="1970" ht="15.75" hidden="1" customHeight="1">
      <c r="A1970" s="9" t="s">
        <v>42225</v>
      </c>
      <c r="B1970" s="9" t="s">
        <v>22921</v>
      </c>
      <c r="D1970" s="9" t="s">
        <v>12240</v>
      </c>
      <c r="F1970" s="9" t="s">
        <v>40678</v>
      </c>
      <c r="G1970" s="9" t="s">
        <v>38946</v>
      </c>
      <c r="H1970" s="127">
        <v>45722.0</v>
      </c>
      <c r="I1970" s="9" t="s">
        <v>131</v>
      </c>
      <c r="J1970" s="9" t="s">
        <v>38801</v>
      </c>
      <c r="K1970" s="55">
        <v>45733.0</v>
      </c>
      <c r="M1970" s="9" t="s">
        <v>11524</v>
      </c>
    </row>
    <row r="1971" ht="15.75" hidden="1" customHeight="1">
      <c r="A1971" s="9" t="s">
        <v>42226</v>
      </c>
      <c r="B1971" s="9" t="s">
        <v>20087</v>
      </c>
      <c r="D1971" s="9" t="s">
        <v>12250</v>
      </c>
      <c r="F1971" s="9" t="s">
        <v>41728</v>
      </c>
      <c r="G1971" s="9" t="s">
        <v>38946</v>
      </c>
      <c r="H1971" s="127">
        <v>45723.0</v>
      </c>
      <c r="I1971" s="9" t="s">
        <v>131</v>
      </c>
      <c r="J1971" s="9" t="s">
        <v>38805</v>
      </c>
      <c r="K1971" s="55"/>
      <c r="M1971" s="9" t="s">
        <v>6807</v>
      </c>
    </row>
    <row r="1972" ht="15.75" hidden="1" customHeight="1">
      <c r="A1972" s="9" t="s">
        <v>42227</v>
      </c>
      <c r="B1972" s="9" t="s">
        <v>15729</v>
      </c>
      <c r="D1972" s="9" t="s">
        <v>12250</v>
      </c>
      <c r="F1972" s="9" t="s">
        <v>42228</v>
      </c>
      <c r="G1972" s="9" t="s">
        <v>38946</v>
      </c>
      <c r="H1972" s="127">
        <v>45723.0</v>
      </c>
      <c r="I1972" s="9" t="s">
        <v>131</v>
      </c>
      <c r="J1972" s="9" t="s">
        <v>38805</v>
      </c>
      <c r="K1972" s="55"/>
      <c r="M1972" s="9" t="s">
        <v>9801</v>
      </c>
    </row>
    <row r="1973" ht="15.75" hidden="1" customHeight="1">
      <c r="A1973" s="9" t="s">
        <v>42229</v>
      </c>
      <c r="B1973" s="9" t="s">
        <v>16697</v>
      </c>
      <c r="D1973" s="9" t="s">
        <v>12250</v>
      </c>
      <c r="F1973" s="9" t="s">
        <v>42230</v>
      </c>
      <c r="G1973" s="9" t="s">
        <v>38946</v>
      </c>
      <c r="H1973" s="127">
        <v>45723.0</v>
      </c>
      <c r="I1973" s="9" t="s">
        <v>131</v>
      </c>
      <c r="J1973" s="9" t="s">
        <v>38805</v>
      </c>
      <c r="K1973" s="55"/>
      <c r="M1973" s="9" t="s">
        <v>7298</v>
      </c>
    </row>
    <row r="1974" ht="15.75" hidden="1" customHeight="1">
      <c r="A1974" s="9" t="s">
        <v>42231</v>
      </c>
      <c r="B1974" s="9" t="s">
        <v>13568</v>
      </c>
      <c r="D1974" s="9" t="s">
        <v>12250</v>
      </c>
      <c r="F1974" s="9" t="s">
        <v>41728</v>
      </c>
      <c r="G1974" s="9" t="s">
        <v>38946</v>
      </c>
      <c r="H1974" s="127">
        <v>45723.0</v>
      </c>
      <c r="I1974" s="9" t="s">
        <v>131</v>
      </c>
      <c r="J1974" s="9" t="s">
        <v>38805</v>
      </c>
      <c r="K1974" s="55"/>
      <c r="M1974" s="9" t="s">
        <v>7328</v>
      </c>
    </row>
    <row r="1975" ht="15.75" hidden="1" customHeight="1">
      <c r="A1975" s="9" t="s">
        <v>42232</v>
      </c>
      <c r="B1975" s="9" t="s">
        <v>18641</v>
      </c>
      <c r="D1975" s="9" t="s">
        <v>12250</v>
      </c>
      <c r="F1975" s="9" t="s">
        <v>41728</v>
      </c>
      <c r="G1975" s="9" t="s">
        <v>38946</v>
      </c>
      <c r="H1975" s="127">
        <v>45723.0</v>
      </c>
      <c r="I1975" s="9" t="s">
        <v>131</v>
      </c>
      <c r="J1975" s="9" t="s">
        <v>38805</v>
      </c>
      <c r="K1975" s="55"/>
      <c r="M1975" s="9" t="s">
        <v>7600</v>
      </c>
    </row>
    <row r="1976" ht="15.75" hidden="1" customHeight="1">
      <c r="A1976" s="9" t="s">
        <v>42233</v>
      </c>
      <c r="B1976" s="9" t="s">
        <v>21024</v>
      </c>
      <c r="D1976" s="9" t="s">
        <v>12250</v>
      </c>
      <c r="F1976" s="9" t="s">
        <v>42234</v>
      </c>
      <c r="G1976" s="9" t="s">
        <v>38946</v>
      </c>
      <c r="H1976" s="127">
        <v>45723.0</v>
      </c>
      <c r="I1976" s="9" t="s">
        <v>131</v>
      </c>
      <c r="J1976" s="9" t="s">
        <v>38801</v>
      </c>
      <c r="K1976" s="55">
        <v>45736.0</v>
      </c>
      <c r="M1976" s="9" t="s">
        <v>8114</v>
      </c>
    </row>
    <row r="1977" ht="15.75" hidden="1" customHeight="1">
      <c r="A1977" s="9" t="s">
        <v>42235</v>
      </c>
      <c r="B1977" s="9" t="s">
        <v>18454</v>
      </c>
      <c r="D1977" s="9" t="s">
        <v>12230</v>
      </c>
      <c r="F1977" s="9" t="s">
        <v>42236</v>
      </c>
      <c r="G1977" s="9" t="s">
        <v>38808</v>
      </c>
      <c r="H1977" s="127">
        <v>45727.0</v>
      </c>
      <c r="I1977" s="9" t="s">
        <v>47</v>
      </c>
      <c r="J1977" s="9" t="s">
        <v>38801</v>
      </c>
      <c r="K1977" s="55">
        <v>45727.0</v>
      </c>
      <c r="M1977" s="9" t="s">
        <v>4935</v>
      </c>
    </row>
    <row r="1978" ht="15.75" hidden="1" customHeight="1">
      <c r="A1978" s="9" t="s">
        <v>42237</v>
      </c>
      <c r="B1978" s="9" t="s">
        <v>18454</v>
      </c>
      <c r="D1978" s="9" t="s">
        <v>12258</v>
      </c>
      <c r="F1978" s="9" t="s">
        <v>42238</v>
      </c>
      <c r="G1978" s="9" t="s">
        <v>38993</v>
      </c>
      <c r="H1978" s="127">
        <v>45727.0</v>
      </c>
      <c r="I1978" s="9" t="s">
        <v>47</v>
      </c>
      <c r="J1978" s="9" t="s">
        <v>38801</v>
      </c>
      <c r="K1978" s="55">
        <v>45740.0</v>
      </c>
      <c r="M1978" s="9" t="s">
        <v>4935</v>
      </c>
    </row>
    <row r="1979" ht="15.75" hidden="1" customHeight="1">
      <c r="A1979" s="9" t="s">
        <v>42239</v>
      </c>
      <c r="B1979" s="9" t="s">
        <v>14283</v>
      </c>
      <c r="D1979" s="9" t="s">
        <v>12230</v>
      </c>
      <c r="F1979" s="9" t="s">
        <v>42240</v>
      </c>
      <c r="G1979" s="9" t="s">
        <v>38844</v>
      </c>
      <c r="H1979" s="127">
        <v>45728.0</v>
      </c>
      <c r="I1979" s="9" t="s">
        <v>47</v>
      </c>
      <c r="J1979" s="9" t="s">
        <v>38801</v>
      </c>
      <c r="K1979" s="55">
        <v>45733.0</v>
      </c>
      <c r="M1979" s="9" t="s">
        <v>7925</v>
      </c>
    </row>
    <row r="1980" ht="15.75" hidden="1" customHeight="1">
      <c r="A1980" s="9" t="s">
        <v>42241</v>
      </c>
      <c r="B1980" s="9" t="s">
        <v>22676</v>
      </c>
      <c r="D1980" s="9" t="s">
        <v>12240</v>
      </c>
      <c r="F1980" s="9" t="s">
        <v>42242</v>
      </c>
      <c r="G1980" s="9" t="s">
        <v>38946</v>
      </c>
      <c r="H1980" s="127">
        <v>45733.0</v>
      </c>
      <c r="I1980" s="9" t="s">
        <v>131</v>
      </c>
      <c r="J1980" s="9" t="s">
        <v>38801</v>
      </c>
      <c r="K1980" s="55">
        <v>45733.0</v>
      </c>
      <c r="M1980" s="9" t="s">
        <v>11496</v>
      </c>
    </row>
    <row r="1981" ht="15.75" hidden="1" customHeight="1">
      <c r="A1981" s="9" t="s">
        <v>42243</v>
      </c>
      <c r="B1981" s="9" t="s">
        <v>21859</v>
      </c>
      <c r="D1981" s="9" t="s">
        <v>12240</v>
      </c>
      <c r="F1981" s="9" t="s">
        <v>42244</v>
      </c>
      <c r="G1981" s="9" t="s">
        <v>38946</v>
      </c>
      <c r="H1981" s="127">
        <v>45733.0</v>
      </c>
      <c r="I1981" s="9" t="s">
        <v>131</v>
      </c>
      <c r="J1981" s="9" t="s">
        <v>38801</v>
      </c>
      <c r="K1981" s="55">
        <v>45733.0</v>
      </c>
      <c r="M1981" s="9" t="s">
        <v>11373</v>
      </c>
    </row>
    <row r="1982" ht="15.75" hidden="1" customHeight="1">
      <c r="A1982" s="9" t="s">
        <v>42245</v>
      </c>
      <c r="B1982" s="9" t="s">
        <v>18114</v>
      </c>
      <c r="D1982" s="9" t="s">
        <v>12240</v>
      </c>
      <c r="F1982" s="9" t="s">
        <v>42246</v>
      </c>
      <c r="G1982" s="9" t="s">
        <v>38946</v>
      </c>
      <c r="H1982" s="127">
        <v>45733.0</v>
      </c>
      <c r="I1982" s="9" t="s">
        <v>131</v>
      </c>
      <c r="J1982" s="9" t="s">
        <v>38801</v>
      </c>
      <c r="K1982" s="55">
        <v>45733.0</v>
      </c>
      <c r="M1982" s="9" t="s">
        <v>10594</v>
      </c>
    </row>
    <row r="1983" ht="15.75" hidden="1" customHeight="1">
      <c r="A1983" s="9" t="s">
        <v>42247</v>
      </c>
      <c r="B1983" s="9" t="s">
        <v>27059</v>
      </c>
      <c r="D1983" s="9" t="s">
        <v>12248</v>
      </c>
      <c r="F1983" s="9" t="s">
        <v>42248</v>
      </c>
      <c r="G1983" s="9" t="s">
        <v>38808</v>
      </c>
      <c r="H1983" s="127">
        <v>45733.0</v>
      </c>
      <c r="I1983" s="9" t="s">
        <v>47</v>
      </c>
      <c r="J1983" s="9" t="s">
        <v>38801</v>
      </c>
      <c r="K1983" s="55">
        <v>45733.0</v>
      </c>
      <c r="M1983" s="9" t="s">
        <v>11402</v>
      </c>
    </row>
    <row r="1984" ht="15.75" hidden="1" customHeight="1">
      <c r="A1984" s="9" t="s">
        <v>42249</v>
      </c>
      <c r="B1984" s="9" t="s">
        <v>16932</v>
      </c>
      <c r="D1984" s="9" t="s">
        <v>12254</v>
      </c>
      <c r="F1984" s="9" t="s">
        <v>42250</v>
      </c>
      <c r="G1984" s="9" t="s">
        <v>38844</v>
      </c>
      <c r="H1984" s="127">
        <v>45733.0</v>
      </c>
      <c r="I1984" s="9" t="s">
        <v>201</v>
      </c>
      <c r="J1984" s="9" t="s">
        <v>38801</v>
      </c>
      <c r="K1984" s="55">
        <v>45733.0</v>
      </c>
      <c r="M1984" s="9" t="s">
        <v>5461</v>
      </c>
    </row>
    <row r="1985" ht="15.75" hidden="1" customHeight="1">
      <c r="A1985" s="9" t="s">
        <v>42251</v>
      </c>
      <c r="B1985" s="9" t="s">
        <v>13855</v>
      </c>
      <c r="D1985" s="9" t="s">
        <v>12246</v>
      </c>
      <c r="F1985" s="9" t="s">
        <v>42252</v>
      </c>
      <c r="G1985" s="9" t="s">
        <v>38946</v>
      </c>
      <c r="H1985" s="127">
        <v>45734.0</v>
      </c>
      <c r="I1985" s="9" t="s">
        <v>131</v>
      </c>
      <c r="J1985" s="9" t="s">
        <v>38801</v>
      </c>
      <c r="K1985" s="55">
        <v>45734.0</v>
      </c>
      <c r="M1985" s="9" t="s">
        <v>6255</v>
      </c>
    </row>
    <row r="1986" ht="15.75" hidden="1" customHeight="1">
      <c r="A1986" s="9" t="s">
        <v>42253</v>
      </c>
      <c r="B1986" s="9" t="s">
        <v>22951</v>
      </c>
      <c r="D1986" s="9" t="s">
        <v>12230</v>
      </c>
      <c r="F1986" s="9" t="s">
        <v>40154</v>
      </c>
      <c r="G1986" s="9" t="s">
        <v>38946</v>
      </c>
      <c r="H1986" s="127">
        <v>45735.0</v>
      </c>
      <c r="I1986" s="9" t="s">
        <v>131</v>
      </c>
      <c r="J1986" s="9" t="s">
        <v>38801</v>
      </c>
      <c r="K1986" s="55">
        <v>45755.0</v>
      </c>
      <c r="M1986" s="9" t="s">
        <v>11539</v>
      </c>
    </row>
    <row r="1987" ht="15.75" hidden="1" customHeight="1">
      <c r="A1987" s="9" t="s">
        <v>42254</v>
      </c>
      <c r="B1987" s="9" t="s">
        <v>22979</v>
      </c>
      <c r="D1987" s="9" t="s">
        <v>12230</v>
      </c>
      <c r="F1987" s="9" t="s">
        <v>40154</v>
      </c>
      <c r="G1987" s="9" t="s">
        <v>38946</v>
      </c>
      <c r="H1987" s="127">
        <v>45736.0</v>
      </c>
      <c r="I1987" s="9" t="s">
        <v>131</v>
      </c>
      <c r="J1987" s="9" t="s">
        <v>38801</v>
      </c>
      <c r="K1987" s="55">
        <v>45736.0</v>
      </c>
      <c r="M1987" s="9" t="s">
        <v>11543</v>
      </c>
    </row>
    <row r="1988" ht="15.75" hidden="1" customHeight="1">
      <c r="A1988" s="9" t="s">
        <v>42255</v>
      </c>
      <c r="B1988" s="9" t="s">
        <v>22993</v>
      </c>
      <c r="D1988" s="9" t="s">
        <v>12230</v>
      </c>
      <c r="F1988" s="9" t="s">
        <v>40154</v>
      </c>
      <c r="G1988" s="9" t="s">
        <v>38946</v>
      </c>
      <c r="H1988" s="127">
        <v>45740.0</v>
      </c>
      <c r="I1988" s="9" t="s">
        <v>131</v>
      </c>
      <c r="J1988" s="9" t="s">
        <v>38801</v>
      </c>
      <c r="K1988" s="55">
        <v>45740.0</v>
      </c>
      <c r="M1988" s="9" t="s">
        <v>11547</v>
      </c>
    </row>
    <row r="1989" ht="15.75" hidden="1" customHeight="1">
      <c r="A1989" s="9" t="s">
        <v>42256</v>
      </c>
      <c r="B1989" s="9" t="s">
        <v>22993</v>
      </c>
      <c r="D1989" s="9" t="s">
        <v>12236</v>
      </c>
      <c r="F1989" s="9" t="s">
        <v>40565</v>
      </c>
      <c r="G1989" s="9" t="s">
        <v>38946</v>
      </c>
      <c r="H1989" s="127">
        <v>45740.0</v>
      </c>
      <c r="I1989" s="9" t="s">
        <v>131</v>
      </c>
      <c r="J1989" s="9" t="s">
        <v>38801</v>
      </c>
      <c r="K1989" s="55">
        <v>45740.0</v>
      </c>
      <c r="M1989" s="9" t="s">
        <v>11549</v>
      </c>
    </row>
    <row r="1990" ht="15.75" hidden="1" customHeight="1">
      <c r="A1990" s="9" t="s">
        <v>42257</v>
      </c>
      <c r="B1990" s="9" t="s">
        <v>21658</v>
      </c>
      <c r="D1990" s="9" t="s">
        <v>12248</v>
      </c>
      <c r="F1990" s="9" t="s">
        <v>42258</v>
      </c>
      <c r="G1990" s="9" t="s">
        <v>38946</v>
      </c>
      <c r="H1990" s="127">
        <v>45741.0</v>
      </c>
      <c r="I1990" s="9" t="s">
        <v>131</v>
      </c>
      <c r="J1990" s="9" t="s">
        <v>38801</v>
      </c>
      <c r="K1990" s="55">
        <v>45741.0</v>
      </c>
      <c r="M1990" s="9" t="s">
        <v>9478</v>
      </c>
    </row>
    <row r="1991" ht="15.75" customHeight="1">
      <c r="A1991" s="9" t="s">
        <v>42259</v>
      </c>
      <c r="B1991" s="9" t="s">
        <v>14133</v>
      </c>
      <c r="D1991" s="9" t="s">
        <v>12227</v>
      </c>
      <c r="E1991" s="9" t="s">
        <v>38846</v>
      </c>
      <c r="F1991" s="9" t="s">
        <v>42260</v>
      </c>
      <c r="G1991" s="9" t="s">
        <v>38800</v>
      </c>
      <c r="H1991" s="127">
        <v>45748.0</v>
      </c>
      <c r="I1991" s="9" t="s">
        <v>47</v>
      </c>
      <c r="J1991" s="9" t="s">
        <v>38805</v>
      </c>
      <c r="K1991" s="55"/>
      <c r="M1991" s="9" t="s">
        <v>2522</v>
      </c>
    </row>
    <row r="1992" ht="15.75" hidden="1" customHeight="1">
      <c r="A1992" s="9" t="s">
        <v>42261</v>
      </c>
      <c r="B1992" s="9" t="s">
        <v>17389</v>
      </c>
      <c r="D1992" s="9" t="s">
        <v>12248</v>
      </c>
      <c r="F1992" s="9" t="s">
        <v>42262</v>
      </c>
      <c r="G1992" s="9" t="s">
        <v>38808</v>
      </c>
      <c r="H1992" s="127">
        <v>45748.0</v>
      </c>
      <c r="I1992" s="9" t="s">
        <v>47</v>
      </c>
      <c r="J1992" s="9" t="s">
        <v>38805</v>
      </c>
      <c r="K1992" s="55"/>
      <c r="M1992" s="9" t="s">
        <v>12144</v>
      </c>
    </row>
    <row r="1993" ht="15.75" hidden="1" customHeight="1">
      <c r="A1993" s="9" t="s">
        <v>42263</v>
      </c>
      <c r="B1993" s="9" t="s">
        <v>16909</v>
      </c>
      <c r="D1993" s="9" t="s">
        <v>12248</v>
      </c>
      <c r="F1993" s="9" t="s">
        <v>42264</v>
      </c>
      <c r="G1993" s="9" t="s">
        <v>38808</v>
      </c>
      <c r="H1993" s="127">
        <v>45750.0</v>
      </c>
      <c r="I1993" s="9" t="s">
        <v>47</v>
      </c>
      <c r="J1993" s="9" t="s">
        <v>38801</v>
      </c>
      <c r="K1993" s="55">
        <v>45750.0</v>
      </c>
      <c r="M1993" s="9" t="s">
        <v>10719</v>
      </c>
    </row>
    <row r="1994" ht="15.75" hidden="1" customHeight="1">
      <c r="A1994" s="9" t="s">
        <v>42265</v>
      </c>
      <c r="B1994" s="9" t="s">
        <v>16909</v>
      </c>
      <c r="D1994" s="9" t="s">
        <v>12230</v>
      </c>
      <c r="F1994" s="9" t="s">
        <v>42266</v>
      </c>
      <c r="G1994" s="9" t="s">
        <v>38808</v>
      </c>
      <c r="H1994" s="127">
        <v>45750.0</v>
      </c>
      <c r="I1994" s="9" t="s">
        <v>47</v>
      </c>
      <c r="J1994" s="9" t="s">
        <v>38801</v>
      </c>
      <c r="K1994" s="55">
        <v>45750.0</v>
      </c>
      <c r="M1994" s="9" t="s">
        <v>10719</v>
      </c>
    </row>
    <row r="1995" ht="15.75" hidden="1" customHeight="1">
      <c r="A1995" s="9" t="s">
        <v>42267</v>
      </c>
      <c r="B1995" s="9" t="s">
        <v>23018</v>
      </c>
      <c r="D1995" s="9" t="s">
        <v>12230</v>
      </c>
      <c r="F1995" s="9" t="s">
        <v>41161</v>
      </c>
      <c r="G1995" s="9" t="s">
        <v>38808</v>
      </c>
      <c r="H1995" s="127">
        <v>45750.0</v>
      </c>
      <c r="I1995" s="9" t="s">
        <v>47</v>
      </c>
      <c r="J1995" s="9" t="s">
        <v>38801</v>
      </c>
      <c r="K1995" s="55">
        <v>45755.0</v>
      </c>
      <c r="M1995" s="9" t="s">
        <v>11551</v>
      </c>
    </row>
    <row r="1996" ht="15.75" hidden="1" customHeight="1">
      <c r="A1996" s="9" t="s">
        <v>42268</v>
      </c>
      <c r="B1996" s="9" t="s">
        <v>23018</v>
      </c>
      <c r="D1996" s="9" t="s">
        <v>12250</v>
      </c>
      <c r="F1996" s="9" t="s">
        <v>42269</v>
      </c>
      <c r="G1996" s="9" t="s">
        <v>38946</v>
      </c>
      <c r="H1996" s="127">
        <v>45750.0</v>
      </c>
      <c r="I1996" s="9" t="s">
        <v>47</v>
      </c>
      <c r="J1996" s="9" t="s">
        <v>38801</v>
      </c>
      <c r="K1996" s="55">
        <v>45750.0</v>
      </c>
      <c r="M1996" s="9" t="s">
        <v>11551</v>
      </c>
    </row>
    <row r="1997" ht="15.75" hidden="1" customHeight="1">
      <c r="A1997" s="9" t="s">
        <v>42270</v>
      </c>
      <c r="B1997" s="9" t="s">
        <v>22893</v>
      </c>
      <c r="D1997" s="9" t="s">
        <v>12236</v>
      </c>
      <c r="F1997" s="9" t="s">
        <v>40565</v>
      </c>
      <c r="G1997" s="9" t="s">
        <v>38946</v>
      </c>
      <c r="H1997" s="127">
        <v>45754.0</v>
      </c>
      <c r="I1997" s="9" t="s">
        <v>131</v>
      </c>
      <c r="J1997" s="9" t="s">
        <v>38801</v>
      </c>
      <c r="K1997" s="55">
        <v>45754.0</v>
      </c>
      <c r="M1997" s="9" t="s">
        <v>11532</v>
      </c>
    </row>
    <row r="1998" ht="15.75" hidden="1" customHeight="1">
      <c r="A1998" s="9" t="s">
        <v>42271</v>
      </c>
      <c r="B1998" s="9" t="s">
        <v>22979</v>
      </c>
      <c r="D1998" s="9" t="s">
        <v>12239</v>
      </c>
      <c r="F1998" s="9" t="s">
        <v>42182</v>
      </c>
      <c r="G1998" s="9" t="s">
        <v>38946</v>
      </c>
      <c r="H1998" s="127">
        <v>45756.0</v>
      </c>
      <c r="I1998" s="9" t="s">
        <v>131</v>
      </c>
      <c r="J1998" s="9" t="s">
        <v>38801</v>
      </c>
      <c r="K1998" s="55">
        <v>45792.0</v>
      </c>
      <c r="M1998" s="9" t="s">
        <v>11543</v>
      </c>
    </row>
    <row r="1999" ht="15.75" hidden="1" customHeight="1">
      <c r="A1999" s="9" t="s">
        <v>42272</v>
      </c>
      <c r="B1999" s="9" t="s">
        <v>13786</v>
      </c>
      <c r="D1999" s="9" t="s">
        <v>12248</v>
      </c>
      <c r="F1999" s="9" t="s">
        <v>42273</v>
      </c>
      <c r="G1999" s="9" t="s">
        <v>38808</v>
      </c>
      <c r="H1999" s="127">
        <v>45757.0</v>
      </c>
      <c r="I1999" s="9" t="s">
        <v>47</v>
      </c>
      <c r="J1999" s="9" t="s">
        <v>38805</v>
      </c>
      <c r="K1999" s="55"/>
      <c r="M1999" s="9" t="s">
        <v>10354</v>
      </c>
    </row>
    <row r="2000" ht="15.75" hidden="1" customHeight="1">
      <c r="A2000" s="9" t="s">
        <v>42274</v>
      </c>
      <c r="B2000" s="9" t="s">
        <v>21774</v>
      </c>
      <c r="D2000" s="9" t="s">
        <v>12248</v>
      </c>
      <c r="F2000" s="9" t="s">
        <v>42275</v>
      </c>
      <c r="G2000" s="9" t="s">
        <v>38946</v>
      </c>
      <c r="H2000" s="127">
        <v>45757.0</v>
      </c>
      <c r="I2000" s="9" t="s">
        <v>131</v>
      </c>
      <c r="J2000" s="9" t="s">
        <v>38801</v>
      </c>
      <c r="K2000" s="55">
        <v>45757.0</v>
      </c>
      <c r="M2000" s="9" t="s">
        <v>11955</v>
      </c>
    </row>
    <row r="2001" ht="15.75" hidden="1" customHeight="1">
      <c r="A2001" s="9" t="s">
        <v>42276</v>
      </c>
      <c r="B2001" s="9" t="s">
        <v>23086</v>
      </c>
      <c r="D2001" s="9" t="s">
        <v>12239</v>
      </c>
      <c r="F2001" s="9" t="s">
        <v>42065</v>
      </c>
      <c r="G2001" s="9" t="s">
        <v>38946</v>
      </c>
      <c r="H2001" s="127">
        <v>45764.0</v>
      </c>
      <c r="I2001" s="9" t="s">
        <v>131</v>
      </c>
      <c r="J2001" s="9" t="s">
        <v>38805</v>
      </c>
      <c r="K2001" s="55"/>
      <c r="M2001" s="9" t="s">
        <v>11562</v>
      </c>
    </row>
    <row r="2002" ht="15.75" hidden="1" customHeight="1">
      <c r="A2002" s="9" t="s">
        <v>42277</v>
      </c>
      <c r="B2002" s="9" t="s">
        <v>23058</v>
      </c>
      <c r="D2002" s="9" t="s">
        <v>12239</v>
      </c>
      <c r="F2002" s="9" t="s">
        <v>42278</v>
      </c>
      <c r="G2002" s="9" t="s">
        <v>38946</v>
      </c>
      <c r="H2002" s="127">
        <v>45764.0</v>
      </c>
      <c r="I2002" s="9" t="s">
        <v>131</v>
      </c>
      <c r="J2002" s="9" t="s">
        <v>38805</v>
      </c>
      <c r="K2002" s="55"/>
      <c r="M2002" s="9" t="s">
        <v>11558</v>
      </c>
    </row>
    <row r="2003" ht="15.75" hidden="1" customHeight="1">
      <c r="A2003" s="9" t="s">
        <v>42279</v>
      </c>
      <c r="B2003" s="9" t="s">
        <v>23073</v>
      </c>
      <c r="D2003" s="9" t="s">
        <v>12239</v>
      </c>
      <c r="F2003" s="9" t="s">
        <v>42280</v>
      </c>
      <c r="G2003" s="9" t="s">
        <v>38946</v>
      </c>
      <c r="H2003" s="127">
        <v>45765.0</v>
      </c>
      <c r="I2003" s="9" t="s">
        <v>131</v>
      </c>
      <c r="J2003" s="9" t="s">
        <v>38805</v>
      </c>
      <c r="K2003" s="55"/>
      <c r="M2003" s="9" t="s">
        <v>11560</v>
      </c>
    </row>
    <row r="2004" ht="15.75" hidden="1" customHeight="1">
      <c r="A2004" s="9" t="s">
        <v>42281</v>
      </c>
      <c r="B2004" s="9" t="s">
        <v>23119</v>
      </c>
      <c r="D2004" s="9" t="s">
        <v>12230</v>
      </c>
      <c r="F2004" s="9" t="s">
        <v>40154</v>
      </c>
      <c r="G2004" s="9" t="s">
        <v>38946</v>
      </c>
      <c r="H2004" s="127">
        <v>45772.0</v>
      </c>
      <c r="I2004" s="9" t="s">
        <v>131</v>
      </c>
      <c r="J2004" s="9" t="s">
        <v>38805</v>
      </c>
      <c r="K2004" s="55"/>
      <c r="M2004" s="9" t="s">
        <v>11569</v>
      </c>
    </row>
    <row r="2005" ht="15.75" hidden="1" customHeight="1">
      <c r="A2005" s="9" t="s">
        <v>42282</v>
      </c>
      <c r="B2005" s="9" t="s">
        <v>23110</v>
      </c>
      <c r="D2005" s="9" t="s">
        <v>12230</v>
      </c>
      <c r="F2005" s="9" t="s">
        <v>42283</v>
      </c>
      <c r="G2005" s="9" t="s">
        <v>38946</v>
      </c>
      <c r="H2005" s="127">
        <v>45772.0</v>
      </c>
      <c r="I2005" s="9" t="s">
        <v>131</v>
      </c>
      <c r="J2005" s="9" t="s">
        <v>38801</v>
      </c>
      <c r="K2005" s="55">
        <v>45790.0</v>
      </c>
      <c r="M2005" s="9" t="s">
        <v>11567</v>
      </c>
    </row>
    <row r="2006" ht="15.75" hidden="1" customHeight="1">
      <c r="A2006" s="9" t="s">
        <v>42284</v>
      </c>
      <c r="B2006" s="9" t="s">
        <v>23144</v>
      </c>
      <c r="D2006" s="9" t="s">
        <v>12230</v>
      </c>
      <c r="F2006" s="9" t="s">
        <v>40154</v>
      </c>
      <c r="G2006" s="9" t="s">
        <v>38946</v>
      </c>
      <c r="H2006" s="127">
        <v>45779.0</v>
      </c>
      <c r="I2006" s="9" t="s">
        <v>131</v>
      </c>
      <c r="J2006" s="9" t="s">
        <v>38801</v>
      </c>
      <c r="K2006" s="55">
        <v>45791.0</v>
      </c>
      <c r="M2006" s="9" t="s">
        <v>259</v>
      </c>
    </row>
    <row r="2007" ht="15.75" hidden="1" customHeight="1">
      <c r="A2007" s="9" t="s">
        <v>42285</v>
      </c>
      <c r="B2007" s="9" t="s">
        <v>23179</v>
      </c>
      <c r="D2007" s="9" t="s">
        <v>12230</v>
      </c>
      <c r="F2007" s="9" t="s">
        <v>40154</v>
      </c>
      <c r="G2007" s="9" t="s">
        <v>38946</v>
      </c>
      <c r="H2007" s="127">
        <v>45783.0</v>
      </c>
      <c r="I2007" s="9" t="s">
        <v>131</v>
      </c>
      <c r="J2007" s="9" t="s">
        <v>38801</v>
      </c>
      <c r="K2007" s="55">
        <v>45783.0</v>
      </c>
      <c r="M2007" s="9" t="s">
        <v>11578</v>
      </c>
    </row>
    <row r="2008" ht="15.75" hidden="1" customHeight="1">
      <c r="A2008" s="9" t="s">
        <v>42286</v>
      </c>
      <c r="B2008" s="9" t="s">
        <v>23194</v>
      </c>
      <c r="D2008" s="9" t="s">
        <v>12230</v>
      </c>
      <c r="F2008" s="9" t="s">
        <v>40154</v>
      </c>
      <c r="G2008" s="9" t="s">
        <v>38946</v>
      </c>
      <c r="H2008" s="127">
        <v>45786.0</v>
      </c>
      <c r="I2008" s="9" t="s">
        <v>131</v>
      </c>
      <c r="J2008" s="9" t="s">
        <v>38801</v>
      </c>
      <c r="K2008" s="55">
        <v>45791.0</v>
      </c>
      <c r="M2008" s="9" t="s">
        <v>11583</v>
      </c>
    </row>
    <row r="2009" ht="15.75" customHeight="1">
      <c r="A2009" s="9" t="s">
        <v>42287</v>
      </c>
      <c r="B2009" s="9" t="s">
        <v>23194</v>
      </c>
      <c r="D2009" s="9" t="s">
        <v>12227</v>
      </c>
      <c r="E2009" s="9" t="s">
        <v>38803</v>
      </c>
      <c r="F2009" s="9" t="s">
        <v>42288</v>
      </c>
      <c r="G2009" s="9" t="s">
        <v>38946</v>
      </c>
      <c r="H2009" s="127">
        <v>45786.0</v>
      </c>
      <c r="I2009" s="9" t="s">
        <v>131</v>
      </c>
      <c r="J2009" s="9" t="s">
        <v>38805</v>
      </c>
      <c r="K2009" s="55"/>
      <c r="M2009" s="9" t="s">
        <v>11583</v>
      </c>
    </row>
    <row r="2010" ht="15.75" hidden="1" customHeight="1">
      <c r="A2010" s="9" t="s">
        <v>42289</v>
      </c>
      <c r="B2010" s="9" t="s">
        <v>20257</v>
      </c>
      <c r="D2010" s="9" t="s">
        <v>12248</v>
      </c>
      <c r="F2010" s="9" t="s">
        <v>42290</v>
      </c>
      <c r="G2010" s="9" t="s">
        <v>38800</v>
      </c>
      <c r="H2010" s="127">
        <v>45790.0</v>
      </c>
      <c r="I2010" s="9" t="s">
        <v>47</v>
      </c>
      <c r="J2010" s="9" t="s">
        <v>38805</v>
      </c>
      <c r="K2010" s="55"/>
      <c r="M2010" s="9" t="s">
        <v>6779</v>
      </c>
    </row>
    <row r="2011" ht="15.75" hidden="1" customHeight="1">
      <c r="A2011" s="9" t="s">
        <v>42291</v>
      </c>
      <c r="B2011" s="9" t="s">
        <v>17403</v>
      </c>
      <c r="D2011" s="9" t="s">
        <v>12248</v>
      </c>
      <c r="F2011" s="9" t="s">
        <v>42292</v>
      </c>
      <c r="G2011" s="9" t="s">
        <v>38946</v>
      </c>
      <c r="H2011" s="127">
        <v>45791.0</v>
      </c>
      <c r="I2011" s="9" t="s">
        <v>47</v>
      </c>
      <c r="J2011" s="9" t="s">
        <v>38801</v>
      </c>
      <c r="K2011" s="55">
        <v>45796.0</v>
      </c>
      <c r="M2011" s="9" t="s">
        <v>9522</v>
      </c>
    </row>
    <row r="2012" ht="15.75" hidden="1" customHeight="1">
      <c r="A2012" s="9" t="s">
        <v>42293</v>
      </c>
      <c r="B2012" s="9" t="s">
        <v>23155</v>
      </c>
      <c r="D2012" s="9" t="s">
        <v>12236</v>
      </c>
      <c r="F2012" s="9" t="s">
        <v>40565</v>
      </c>
      <c r="G2012" s="9" t="s">
        <v>38946</v>
      </c>
      <c r="H2012" s="127">
        <v>45791.0</v>
      </c>
      <c r="I2012" s="9" t="s">
        <v>131</v>
      </c>
      <c r="J2012" s="9" t="s">
        <v>38801</v>
      </c>
      <c r="K2012" s="55">
        <v>45791.0</v>
      </c>
      <c r="M2012" s="9" t="s">
        <v>11574</v>
      </c>
    </row>
    <row r="2013" ht="15.75" hidden="1" customHeight="1">
      <c r="A2013" s="9" t="s">
        <v>42294</v>
      </c>
      <c r="B2013" s="9" t="s">
        <v>15120</v>
      </c>
      <c r="D2013" s="9" t="s">
        <v>12239</v>
      </c>
      <c r="F2013" s="9" t="s">
        <v>42295</v>
      </c>
      <c r="G2013" s="9" t="s">
        <v>38946</v>
      </c>
      <c r="H2013" s="127">
        <v>45792.0</v>
      </c>
      <c r="I2013" s="9" t="s">
        <v>131</v>
      </c>
      <c r="J2013" s="9" t="s">
        <v>38805</v>
      </c>
      <c r="K2013" s="55"/>
      <c r="M2013" s="9" t="s">
        <v>10440</v>
      </c>
    </row>
    <row r="2014" ht="15.75" hidden="1" customHeight="1">
      <c r="A2014" s="9" t="s">
        <v>42296</v>
      </c>
      <c r="B2014" s="9" t="s">
        <v>17403</v>
      </c>
      <c r="D2014" s="9" t="s">
        <v>12230</v>
      </c>
      <c r="F2014" s="9" t="s">
        <v>42297</v>
      </c>
      <c r="G2014" s="9" t="s">
        <v>38808</v>
      </c>
      <c r="H2014" s="127">
        <v>45796.0</v>
      </c>
      <c r="I2014" s="9" t="s">
        <v>47</v>
      </c>
      <c r="J2014" s="9" t="s">
        <v>38801</v>
      </c>
      <c r="K2014" s="55">
        <v>45796.0</v>
      </c>
      <c r="M2014" s="9" t="s">
        <v>9522</v>
      </c>
    </row>
    <row r="2015" ht="15.75" hidden="1" customHeight="1">
      <c r="A2015" s="9" t="s">
        <v>42298</v>
      </c>
      <c r="B2015" s="9" t="s">
        <v>20466</v>
      </c>
      <c r="D2015" s="9" t="s">
        <v>12248</v>
      </c>
      <c r="F2015" s="9" t="s">
        <v>42299</v>
      </c>
      <c r="G2015" s="9" t="s">
        <v>38808</v>
      </c>
      <c r="H2015" s="127">
        <v>45796.0</v>
      </c>
      <c r="I2015" s="9" t="s">
        <v>47</v>
      </c>
      <c r="J2015" s="9" t="s">
        <v>38801</v>
      </c>
      <c r="K2015" s="55">
        <v>45889.0</v>
      </c>
      <c r="M2015" s="9" t="s">
        <v>2354</v>
      </c>
    </row>
    <row r="2016" ht="15.75" hidden="1" customHeight="1">
      <c r="A2016" s="9" t="s">
        <v>42300</v>
      </c>
      <c r="B2016" s="9" t="s">
        <v>19520</v>
      </c>
      <c r="D2016" s="9" t="s">
        <v>12248</v>
      </c>
      <c r="F2016" s="9" t="s">
        <v>42301</v>
      </c>
      <c r="G2016" s="9" t="s">
        <v>38946</v>
      </c>
      <c r="H2016" s="127">
        <v>45810.0</v>
      </c>
      <c r="I2016" s="9" t="s">
        <v>131</v>
      </c>
      <c r="J2016" s="9" t="s">
        <v>38801</v>
      </c>
      <c r="K2016" s="55">
        <v>45810.0</v>
      </c>
      <c r="M2016" s="9" t="s">
        <v>8306</v>
      </c>
    </row>
    <row r="2017" ht="15.75" hidden="1" customHeight="1">
      <c r="A2017" s="9" t="s">
        <v>42302</v>
      </c>
      <c r="B2017" s="9" t="s">
        <v>27314</v>
      </c>
      <c r="D2017" s="9" t="s">
        <v>12230</v>
      </c>
      <c r="F2017" s="9" t="s">
        <v>42303</v>
      </c>
      <c r="G2017" s="9" t="s">
        <v>38808</v>
      </c>
      <c r="H2017" s="127">
        <v>45810.0</v>
      </c>
      <c r="I2017" s="9" t="s">
        <v>47</v>
      </c>
      <c r="J2017" s="9" t="s">
        <v>38801</v>
      </c>
      <c r="K2017" s="55">
        <v>45810.0</v>
      </c>
      <c r="M2017" s="9" t="s">
        <v>11587</v>
      </c>
    </row>
    <row r="2018" ht="15.75" hidden="1" customHeight="1">
      <c r="A2018" s="9" t="s">
        <v>42304</v>
      </c>
      <c r="B2018" s="9" t="s">
        <v>23246</v>
      </c>
      <c r="D2018" s="9" t="s">
        <v>12230</v>
      </c>
      <c r="F2018" s="9" t="s">
        <v>40154</v>
      </c>
      <c r="G2018" s="9" t="s">
        <v>38946</v>
      </c>
      <c r="H2018" s="127">
        <v>45812.0</v>
      </c>
      <c r="I2018" s="9" t="s">
        <v>131</v>
      </c>
      <c r="J2018" s="9" t="s">
        <v>38801</v>
      </c>
      <c r="K2018" s="55">
        <v>45818.0</v>
      </c>
      <c r="M2018" s="9" t="s">
        <v>11580</v>
      </c>
    </row>
    <row r="2019" ht="15.75" hidden="1" customHeight="1">
      <c r="A2019" s="9" t="s">
        <v>42305</v>
      </c>
      <c r="B2019" s="9" t="s">
        <v>23236</v>
      </c>
      <c r="D2019" s="9" t="s">
        <v>12230</v>
      </c>
      <c r="F2019" s="9" t="s">
        <v>40154</v>
      </c>
      <c r="G2019" s="9" t="s">
        <v>38946</v>
      </c>
      <c r="H2019" s="127">
        <v>45812.0</v>
      </c>
      <c r="I2019" s="9" t="s">
        <v>131</v>
      </c>
      <c r="J2019" s="9" t="s">
        <v>38801</v>
      </c>
      <c r="K2019" s="55">
        <v>45818.0</v>
      </c>
      <c r="M2019" s="9" t="s">
        <v>11589</v>
      </c>
    </row>
    <row r="2020" ht="15.75" hidden="1" customHeight="1">
      <c r="A2020" s="9" t="s">
        <v>42306</v>
      </c>
      <c r="B2020" s="9" t="s">
        <v>22663</v>
      </c>
      <c r="D2020" s="9" t="s">
        <v>12250</v>
      </c>
      <c r="F2020" s="9" t="s">
        <v>42307</v>
      </c>
      <c r="G2020" s="9" t="s">
        <v>38946</v>
      </c>
      <c r="H2020" s="127">
        <v>45814.0</v>
      </c>
      <c r="I2020" s="9" t="s">
        <v>47</v>
      </c>
      <c r="J2020" s="9" t="s">
        <v>38801</v>
      </c>
      <c r="K2020" s="55">
        <v>45901.0</v>
      </c>
      <c r="M2020" s="9" t="s">
        <v>11494</v>
      </c>
    </row>
    <row r="2021" ht="15.75" hidden="1" customHeight="1">
      <c r="A2021" s="9" t="s">
        <v>42308</v>
      </c>
      <c r="B2021" s="9" t="s">
        <v>17761</v>
      </c>
      <c r="D2021" s="9" t="s">
        <v>12246</v>
      </c>
      <c r="F2021" s="9" t="s">
        <v>42309</v>
      </c>
      <c r="G2021" s="9" t="s">
        <v>38808</v>
      </c>
      <c r="H2021" s="127">
        <v>45814.0</v>
      </c>
      <c r="I2021" s="9" t="s">
        <v>47</v>
      </c>
      <c r="J2021" s="9" t="s">
        <v>38801</v>
      </c>
      <c r="K2021" s="55">
        <v>45814.0</v>
      </c>
      <c r="M2021" s="9" t="s">
        <v>6209</v>
      </c>
    </row>
    <row r="2022" ht="15.75" hidden="1" customHeight="1">
      <c r="A2022" s="9" t="s">
        <v>42310</v>
      </c>
      <c r="B2022" s="9" t="s">
        <v>17974</v>
      </c>
      <c r="D2022" s="9" t="s">
        <v>12257</v>
      </c>
      <c r="F2022" s="9" t="s">
        <v>41479</v>
      </c>
      <c r="G2022" s="9" t="s">
        <v>38808</v>
      </c>
      <c r="H2022" s="127">
        <v>45818.0</v>
      </c>
      <c r="I2022" s="9" t="s">
        <v>47</v>
      </c>
      <c r="J2022" s="9" t="s">
        <v>38805</v>
      </c>
      <c r="K2022" s="55"/>
      <c r="M2022" s="9" t="s">
        <v>6473</v>
      </c>
    </row>
    <row r="2023" ht="15.75" hidden="1" customHeight="1">
      <c r="A2023" s="9" t="s">
        <v>42311</v>
      </c>
      <c r="B2023" s="9" t="s">
        <v>12897</v>
      </c>
      <c r="D2023" s="9" t="s">
        <v>12240</v>
      </c>
      <c r="F2023" s="9" t="s">
        <v>42312</v>
      </c>
      <c r="G2023" s="9" t="s">
        <v>38946</v>
      </c>
      <c r="H2023" s="127">
        <v>45819.0</v>
      </c>
      <c r="I2023" s="9" t="s">
        <v>208</v>
      </c>
      <c r="J2023" s="9" t="s">
        <v>38801</v>
      </c>
      <c r="K2023" s="55">
        <v>45819.0</v>
      </c>
      <c r="M2023" s="52" t="s">
        <v>12886</v>
      </c>
    </row>
    <row r="2024" ht="15.75" hidden="1" customHeight="1">
      <c r="A2024" s="9" t="s">
        <v>42313</v>
      </c>
      <c r="B2024" s="9" t="s">
        <v>22993</v>
      </c>
      <c r="D2024" s="9" t="s">
        <v>12250</v>
      </c>
      <c r="F2024" s="9" t="s">
        <v>42314</v>
      </c>
      <c r="G2024" s="9" t="s">
        <v>38808</v>
      </c>
      <c r="H2024" s="127">
        <v>45820.0</v>
      </c>
      <c r="I2024" s="9" t="s">
        <v>47</v>
      </c>
      <c r="J2024" s="9" t="s">
        <v>38801</v>
      </c>
      <c r="K2024" s="55">
        <v>45820.0</v>
      </c>
      <c r="M2024" s="9" t="s">
        <v>11547</v>
      </c>
    </row>
    <row r="2025" ht="15.75" hidden="1" customHeight="1">
      <c r="A2025" s="9" t="s">
        <v>42315</v>
      </c>
      <c r="B2025" s="9" t="s">
        <v>23246</v>
      </c>
      <c r="D2025" s="9" t="s">
        <v>12250</v>
      </c>
      <c r="F2025" s="9" t="s">
        <v>42316</v>
      </c>
      <c r="G2025" s="9" t="s">
        <v>38946</v>
      </c>
      <c r="H2025" s="127">
        <v>45824.0</v>
      </c>
      <c r="I2025" s="9" t="s">
        <v>47</v>
      </c>
      <c r="J2025" s="9" t="s">
        <v>38801</v>
      </c>
      <c r="K2025" s="55">
        <v>45824.0</v>
      </c>
      <c r="M2025" s="9" t="s">
        <v>11580</v>
      </c>
    </row>
    <row r="2026" ht="15.75" hidden="1" customHeight="1">
      <c r="A2026" s="9" t="s">
        <v>42317</v>
      </c>
      <c r="B2026" s="9" t="s">
        <v>23246</v>
      </c>
      <c r="D2026" s="9" t="s">
        <v>12230</v>
      </c>
      <c r="F2026" s="9" t="s">
        <v>42318</v>
      </c>
      <c r="G2026" s="9" t="s">
        <v>38808</v>
      </c>
      <c r="H2026" s="127">
        <v>45824.0</v>
      </c>
      <c r="I2026" s="9" t="s">
        <v>47</v>
      </c>
      <c r="J2026" s="9" t="s">
        <v>38801</v>
      </c>
      <c r="K2026" s="55">
        <v>45875.0</v>
      </c>
      <c r="M2026" s="9" t="s">
        <v>11580</v>
      </c>
    </row>
    <row r="2027" ht="15.75" hidden="1" customHeight="1">
      <c r="A2027" s="9" t="s">
        <v>42319</v>
      </c>
      <c r="B2027" s="9" t="s">
        <v>23284</v>
      </c>
      <c r="D2027" s="9" t="s">
        <v>12230</v>
      </c>
      <c r="F2027" s="9" t="s">
        <v>40154</v>
      </c>
      <c r="G2027" s="9" t="s">
        <v>38946</v>
      </c>
      <c r="H2027" s="127">
        <v>45826.0</v>
      </c>
      <c r="I2027" s="9" t="s">
        <v>131</v>
      </c>
      <c r="J2027" s="9" t="s">
        <v>38801</v>
      </c>
      <c r="K2027" s="55">
        <v>45875.0</v>
      </c>
      <c r="M2027" s="9" t="s">
        <v>23273</v>
      </c>
    </row>
    <row r="2028" ht="15.75" hidden="1" customHeight="1">
      <c r="A2028" s="9" t="s">
        <v>42320</v>
      </c>
      <c r="B2028" s="9" t="s">
        <v>232</v>
      </c>
      <c r="D2028" s="9" t="s">
        <v>12248</v>
      </c>
      <c r="F2028" s="9" t="s">
        <v>42321</v>
      </c>
      <c r="G2028" s="9" t="s">
        <v>38808</v>
      </c>
      <c r="H2028" s="127">
        <v>45845.0</v>
      </c>
      <c r="I2028" s="9" t="s">
        <v>47</v>
      </c>
      <c r="J2028" s="9" t="s">
        <v>38801</v>
      </c>
      <c r="K2028" s="55">
        <v>46095.0</v>
      </c>
      <c r="M2028" s="9" t="s">
        <v>231</v>
      </c>
    </row>
    <row r="2029" ht="15.75" hidden="1" customHeight="1">
      <c r="A2029" s="9" t="s">
        <v>42322</v>
      </c>
      <c r="B2029" s="9" t="s">
        <v>21005</v>
      </c>
      <c r="D2029" s="9" t="s">
        <v>12248</v>
      </c>
      <c r="F2029" s="9" t="s">
        <v>42323</v>
      </c>
      <c r="G2029" s="9" t="s">
        <v>38808</v>
      </c>
      <c r="H2029" s="127">
        <v>45845.0</v>
      </c>
      <c r="I2029" s="9" t="s">
        <v>47</v>
      </c>
      <c r="J2029" s="9" t="s">
        <v>38805</v>
      </c>
      <c r="K2029" s="55"/>
      <c r="M2029" s="9" t="s">
        <v>10014</v>
      </c>
    </row>
    <row r="2030" ht="15.75" hidden="1" customHeight="1">
      <c r="A2030" s="9" t="s">
        <v>42324</v>
      </c>
      <c r="B2030" s="9" t="s">
        <v>21005</v>
      </c>
      <c r="D2030" s="9" t="s">
        <v>12230</v>
      </c>
      <c r="F2030" s="9" t="s">
        <v>42325</v>
      </c>
      <c r="G2030" s="9" t="s">
        <v>38808</v>
      </c>
      <c r="H2030" s="127">
        <v>45845.0</v>
      </c>
      <c r="I2030" s="9" t="s">
        <v>47</v>
      </c>
      <c r="J2030" s="9" t="s">
        <v>38805</v>
      </c>
      <c r="K2030" s="55"/>
      <c r="M2030" s="9" t="s">
        <v>10014</v>
      </c>
    </row>
    <row r="2031" ht="15.75" hidden="1" customHeight="1">
      <c r="A2031" s="9" t="s">
        <v>42326</v>
      </c>
      <c r="B2031" s="9" t="s">
        <v>23298</v>
      </c>
      <c r="D2031" s="9" t="s">
        <v>12230</v>
      </c>
      <c r="F2031" s="9" t="s">
        <v>42327</v>
      </c>
      <c r="G2031" s="9" t="s">
        <v>38808</v>
      </c>
      <c r="H2031" s="127">
        <v>45846.0</v>
      </c>
      <c r="I2031" s="9" t="s">
        <v>47</v>
      </c>
      <c r="J2031" s="9" t="s">
        <v>38801</v>
      </c>
      <c r="K2031" s="55">
        <v>45847.0</v>
      </c>
      <c r="M2031" s="9" t="s">
        <v>23288</v>
      </c>
    </row>
    <row r="2032" ht="15.75" hidden="1" customHeight="1">
      <c r="A2032" s="9" t="s">
        <v>42328</v>
      </c>
      <c r="B2032" s="9" t="s">
        <v>23298</v>
      </c>
      <c r="D2032" s="9" t="s">
        <v>12242</v>
      </c>
      <c r="F2032" s="9" t="s">
        <v>42329</v>
      </c>
      <c r="G2032" s="9" t="s">
        <v>38808</v>
      </c>
      <c r="H2032" s="127">
        <v>45846.0</v>
      </c>
      <c r="I2032" s="9" t="s">
        <v>47</v>
      </c>
      <c r="J2032" s="9" t="s">
        <v>38801</v>
      </c>
      <c r="K2032" s="55">
        <v>45847.0</v>
      </c>
      <c r="M2032" s="9" t="s">
        <v>23288</v>
      </c>
    </row>
    <row r="2033" ht="15.75" customHeight="1">
      <c r="A2033" s="9" t="s">
        <v>42330</v>
      </c>
      <c r="B2033" s="9" t="s">
        <v>23298</v>
      </c>
      <c r="D2033" s="9" t="s">
        <v>12227</v>
      </c>
      <c r="E2033" s="9" t="s">
        <v>38803</v>
      </c>
      <c r="F2033" s="9" t="s">
        <v>42331</v>
      </c>
      <c r="G2033" s="9" t="s">
        <v>38808</v>
      </c>
      <c r="H2033" s="127">
        <v>45846.0</v>
      </c>
      <c r="I2033" s="9" t="s">
        <v>47</v>
      </c>
      <c r="J2033" s="9" t="s">
        <v>38805</v>
      </c>
      <c r="K2033" s="55"/>
      <c r="M2033" s="9" t="s">
        <v>23288</v>
      </c>
    </row>
    <row r="2034" ht="15.75" hidden="1" customHeight="1">
      <c r="A2034" s="9" t="s">
        <v>42332</v>
      </c>
      <c r="B2034" s="9" t="s">
        <v>20413</v>
      </c>
      <c r="D2034" s="9" t="s">
        <v>12250</v>
      </c>
      <c r="F2034" s="9" t="s">
        <v>42333</v>
      </c>
      <c r="G2034" s="9" t="s">
        <v>38808</v>
      </c>
      <c r="H2034" s="127">
        <v>45847.0</v>
      </c>
      <c r="I2034" s="9" t="s">
        <v>47</v>
      </c>
      <c r="J2034" s="9" t="s">
        <v>38801</v>
      </c>
      <c r="K2034" s="55">
        <v>45847.0</v>
      </c>
      <c r="M2034" s="9" t="s">
        <v>3314</v>
      </c>
    </row>
    <row r="2035" ht="15.75" hidden="1" customHeight="1">
      <c r="A2035" s="9" t="s">
        <v>42334</v>
      </c>
      <c r="B2035" s="9" t="s">
        <v>23298</v>
      </c>
      <c r="D2035" s="9" t="s">
        <v>12239</v>
      </c>
      <c r="F2035" s="9" t="s">
        <v>42335</v>
      </c>
      <c r="G2035" s="9" t="s">
        <v>38946</v>
      </c>
      <c r="H2035" s="127">
        <v>45847.0</v>
      </c>
      <c r="I2035" s="9" t="s">
        <v>47</v>
      </c>
      <c r="J2035" s="9" t="s">
        <v>38805</v>
      </c>
      <c r="K2035" s="55"/>
      <c r="M2035" s="9" t="s">
        <v>23288</v>
      </c>
    </row>
    <row r="2036" ht="15.75" hidden="1" customHeight="1">
      <c r="A2036" s="9" t="s">
        <v>42336</v>
      </c>
      <c r="B2036" s="9" t="s">
        <v>23298</v>
      </c>
      <c r="D2036" s="9" t="s">
        <v>12250</v>
      </c>
      <c r="F2036" s="9" t="s">
        <v>42337</v>
      </c>
      <c r="G2036" s="9" t="s">
        <v>38946</v>
      </c>
      <c r="H2036" s="127">
        <v>45847.0</v>
      </c>
      <c r="I2036" s="9" t="s">
        <v>47</v>
      </c>
      <c r="J2036" s="9" t="s">
        <v>38801</v>
      </c>
      <c r="K2036" s="55">
        <v>45847.0</v>
      </c>
      <c r="M2036" s="9" t="s">
        <v>23288</v>
      </c>
    </row>
    <row r="2037" ht="15.75" hidden="1" customHeight="1">
      <c r="A2037" s="9" t="s">
        <v>42338</v>
      </c>
      <c r="B2037" s="9" t="s">
        <v>27325</v>
      </c>
      <c r="D2037" s="9" t="s">
        <v>12230</v>
      </c>
      <c r="F2037" s="9" t="s">
        <v>40154</v>
      </c>
      <c r="G2037" s="9" t="s">
        <v>38946</v>
      </c>
      <c r="H2037" s="127">
        <v>45848.0</v>
      </c>
      <c r="I2037" s="9" t="s">
        <v>131</v>
      </c>
      <c r="J2037" s="9" t="s">
        <v>38801</v>
      </c>
      <c r="K2037" s="55">
        <v>45877.0</v>
      </c>
      <c r="M2037" s="9" t="s">
        <v>23302</v>
      </c>
    </row>
    <row r="2038" ht="15.75" hidden="1" customHeight="1">
      <c r="A2038" s="9" t="s">
        <v>42339</v>
      </c>
      <c r="B2038" s="9" t="s">
        <v>14502</v>
      </c>
      <c r="D2038" s="9" t="s">
        <v>12248</v>
      </c>
      <c r="F2038" s="9" t="s">
        <v>42340</v>
      </c>
      <c r="G2038" s="9" t="s">
        <v>38844</v>
      </c>
      <c r="H2038" s="127">
        <v>45855.0</v>
      </c>
      <c r="I2038" s="9" t="s">
        <v>131</v>
      </c>
      <c r="J2038" s="9" t="s">
        <v>38801</v>
      </c>
      <c r="K2038" s="55">
        <v>45855.0</v>
      </c>
      <c r="M2038" s="9" t="s">
        <v>10396</v>
      </c>
    </row>
    <row r="2039" ht="15.75" hidden="1" customHeight="1">
      <c r="A2039" s="9" t="s">
        <v>42341</v>
      </c>
      <c r="B2039" s="9" t="s">
        <v>15257</v>
      </c>
      <c r="D2039" s="9" t="s">
        <v>12248</v>
      </c>
      <c r="F2039" s="9" t="s">
        <v>42342</v>
      </c>
      <c r="G2039" s="9" t="s">
        <v>38946</v>
      </c>
      <c r="H2039" s="127">
        <v>45855.0</v>
      </c>
      <c r="I2039" s="9" t="s">
        <v>131</v>
      </c>
      <c r="J2039" s="9" t="s">
        <v>38801</v>
      </c>
      <c r="K2039" s="55">
        <v>45855.0</v>
      </c>
      <c r="M2039" s="9" t="s">
        <v>8312</v>
      </c>
    </row>
    <row r="2040" ht="15.75" hidden="1" customHeight="1">
      <c r="A2040" s="9" t="s">
        <v>42343</v>
      </c>
      <c r="B2040" s="9" t="s">
        <v>18689</v>
      </c>
      <c r="D2040" s="9" t="s">
        <v>12248</v>
      </c>
      <c r="F2040" s="9" t="s">
        <v>42344</v>
      </c>
      <c r="G2040" s="9" t="s">
        <v>38808</v>
      </c>
      <c r="H2040" s="127">
        <v>45863.0</v>
      </c>
      <c r="I2040" s="9" t="s">
        <v>47</v>
      </c>
      <c r="J2040" s="9" t="s">
        <v>38801</v>
      </c>
      <c r="K2040" s="55">
        <v>45950.0</v>
      </c>
      <c r="M2040" s="9" t="s">
        <v>11763</v>
      </c>
    </row>
    <row r="2041" ht="15.75" hidden="1" customHeight="1">
      <c r="A2041" s="9" t="s">
        <v>42345</v>
      </c>
      <c r="B2041" s="9" t="s">
        <v>17044</v>
      </c>
      <c r="D2041" s="9" t="s">
        <v>12248</v>
      </c>
      <c r="F2041" s="9" t="s">
        <v>42346</v>
      </c>
      <c r="G2041" s="9" t="s">
        <v>38946</v>
      </c>
      <c r="H2041" s="127">
        <v>45868.0</v>
      </c>
      <c r="I2041" s="9" t="s">
        <v>131</v>
      </c>
      <c r="J2041" s="9" t="s">
        <v>38801</v>
      </c>
      <c r="K2041" s="55">
        <v>45868.0</v>
      </c>
      <c r="M2041" s="9" t="s">
        <v>11733</v>
      </c>
    </row>
    <row r="2042" ht="15.75" hidden="1" customHeight="1">
      <c r="A2042" s="9" t="s">
        <v>42347</v>
      </c>
      <c r="B2042" s="9" t="s">
        <v>17123</v>
      </c>
      <c r="D2042" s="9" t="s">
        <v>12255</v>
      </c>
      <c r="F2042" s="9" t="s">
        <v>42348</v>
      </c>
      <c r="G2042" s="9" t="s">
        <v>38993</v>
      </c>
      <c r="H2042" s="127">
        <v>45870.0</v>
      </c>
      <c r="I2042" s="9" t="s">
        <v>131</v>
      </c>
      <c r="J2042" s="9" t="s">
        <v>38805</v>
      </c>
      <c r="K2042" s="55"/>
      <c r="M2042" s="9" t="s">
        <v>11621</v>
      </c>
    </row>
    <row r="2043" ht="15.75" hidden="1" customHeight="1">
      <c r="A2043" s="9" t="s">
        <v>42349</v>
      </c>
      <c r="B2043" s="9" t="s">
        <v>13038</v>
      </c>
      <c r="D2043" s="9" t="s">
        <v>12248</v>
      </c>
      <c r="F2043" s="9" t="s">
        <v>42350</v>
      </c>
      <c r="G2043" s="9" t="s">
        <v>38946</v>
      </c>
      <c r="H2043" s="127">
        <v>45876.0</v>
      </c>
      <c r="I2043" s="9" t="s">
        <v>131</v>
      </c>
      <c r="J2043" s="9" t="s">
        <v>38801</v>
      </c>
      <c r="K2043" s="55">
        <v>46099.0</v>
      </c>
      <c r="M2043" s="9" t="s">
        <v>10310</v>
      </c>
    </row>
    <row r="2044" ht="15.75" hidden="1" customHeight="1">
      <c r="A2044" s="9" t="s">
        <v>42351</v>
      </c>
      <c r="B2044" s="9" t="s">
        <v>13038</v>
      </c>
      <c r="D2044" s="9" t="s">
        <v>12230</v>
      </c>
      <c r="F2044" s="9" t="s">
        <v>42352</v>
      </c>
      <c r="G2044" s="9" t="s">
        <v>38946</v>
      </c>
      <c r="H2044" s="127">
        <v>45876.0</v>
      </c>
      <c r="I2044" s="9" t="s">
        <v>131</v>
      </c>
      <c r="J2044" s="9" t="s">
        <v>38801</v>
      </c>
      <c r="K2044" s="55">
        <v>45880.0</v>
      </c>
      <c r="M2044" s="9" t="s">
        <v>23373</v>
      </c>
    </row>
    <row r="2045" ht="15.75" hidden="1" customHeight="1">
      <c r="A2045" s="9" t="s">
        <v>42353</v>
      </c>
      <c r="B2045" s="9" t="s">
        <v>13038</v>
      </c>
      <c r="D2045" s="9" t="s">
        <v>12258</v>
      </c>
      <c r="F2045" s="9" t="s">
        <v>42354</v>
      </c>
      <c r="G2045" s="9" t="s">
        <v>38946</v>
      </c>
      <c r="H2045" s="127">
        <v>45876.0</v>
      </c>
      <c r="I2045" s="9" t="s">
        <v>131</v>
      </c>
      <c r="J2045" s="9" t="s">
        <v>38805</v>
      </c>
      <c r="K2045" s="55"/>
      <c r="M2045" s="9" t="s">
        <v>23373</v>
      </c>
    </row>
    <row r="2046" ht="15.75" hidden="1" customHeight="1">
      <c r="A2046" s="9" t="s">
        <v>42355</v>
      </c>
      <c r="B2046" s="9" t="s">
        <v>26158</v>
      </c>
      <c r="D2046" s="9" t="s">
        <v>12248</v>
      </c>
      <c r="F2046" s="9" t="s">
        <v>42356</v>
      </c>
      <c r="G2046" s="9" t="s">
        <v>38946</v>
      </c>
      <c r="H2046" s="127">
        <v>45881.0</v>
      </c>
      <c r="I2046" s="9" t="s">
        <v>131</v>
      </c>
      <c r="J2046" s="9" t="s">
        <v>38801</v>
      </c>
      <c r="K2046" s="55">
        <v>45882.0</v>
      </c>
      <c r="M2046" s="9" t="s">
        <v>11864</v>
      </c>
    </row>
    <row r="2047" ht="15.75" hidden="1" customHeight="1">
      <c r="A2047" s="9" t="s">
        <v>42357</v>
      </c>
      <c r="B2047" s="9" t="s">
        <v>23155</v>
      </c>
      <c r="D2047" s="9" t="s">
        <v>12250</v>
      </c>
      <c r="F2047" s="9" t="s">
        <v>42358</v>
      </c>
      <c r="G2047" s="9" t="s">
        <v>38946</v>
      </c>
      <c r="H2047" s="127">
        <v>45883.0</v>
      </c>
      <c r="I2047" s="9" t="s">
        <v>131</v>
      </c>
      <c r="J2047" s="9" t="s">
        <v>38801</v>
      </c>
      <c r="K2047" s="55">
        <v>45883.0</v>
      </c>
      <c r="M2047" s="9" t="s">
        <v>11574</v>
      </c>
    </row>
    <row r="2048" ht="15.75" hidden="1" customHeight="1">
      <c r="A2048" s="9" t="s">
        <v>42359</v>
      </c>
      <c r="B2048" s="9" t="s">
        <v>17123</v>
      </c>
      <c r="D2048" s="9" t="s">
        <v>12240</v>
      </c>
      <c r="F2048" s="9" t="s">
        <v>42360</v>
      </c>
      <c r="G2048" s="9" t="s">
        <v>38946</v>
      </c>
      <c r="H2048" s="127">
        <v>45883.0</v>
      </c>
      <c r="I2048" s="9" t="s">
        <v>211</v>
      </c>
      <c r="J2048" s="9" t="s">
        <v>38805</v>
      </c>
      <c r="K2048" s="55"/>
      <c r="M2048" s="9" t="s">
        <v>11621</v>
      </c>
    </row>
    <row r="2049" ht="15.75" hidden="1" customHeight="1">
      <c r="A2049" s="9" t="s">
        <v>42361</v>
      </c>
      <c r="B2049" s="9" t="s">
        <v>15765</v>
      </c>
      <c r="D2049" s="9" t="s">
        <v>12246</v>
      </c>
      <c r="F2049" s="9" t="s">
        <v>42362</v>
      </c>
      <c r="G2049" s="9" t="s">
        <v>38946</v>
      </c>
      <c r="H2049" s="127">
        <v>45887.0</v>
      </c>
      <c r="I2049" s="9" t="s">
        <v>131</v>
      </c>
      <c r="J2049" s="9" t="s">
        <v>38801</v>
      </c>
      <c r="K2049" s="55">
        <v>45887.0</v>
      </c>
      <c r="M2049" s="9" t="s">
        <v>12041</v>
      </c>
    </row>
    <row r="2050" ht="15.75" hidden="1" customHeight="1">
      <c r="A2050" s="9" t="s">
        <v>42363</v>
      </c>
      <c r="B2050" s="9" t="s">
        <v>15120</v>
      </c>
      <c r="D2050" s="9" t="s">
        <v>12240</v>
      </c>
      <c r="F2050" s="9" t="s">
        <v>42364</v>
      </c>
      <c r="G2050" s="9" t="s">
        <v>38946</v>
      </c>
      <c r="H2050" s="127">
        <v>45888.0</v>
      </c>
      <c r="I2050" s="9" t="s">
        <v>211</v>
      </c>
      <c r="J2050" s="9" t="s">
        <v>38805</v>
      </c>
      <c r="K2050" s="55"/>
      <c r="M2050" s="9" t="s">
        <v>10440</v>
      </c>
    </row>
    <row r="2051" ht="15.75" hidden="1" customHeight="1">
      <c r="A2051" s="9" t="s">
        <v>42365</v>
      </c>
      <c r="B2051" s="9" t="s">
        <v>22562</v>
      </c>
      <c r="D2051" s="9" t="s">
        <v>12240</v>
      </c>
      <c r="F2051" s="9" t="s">
        <v>42364</v>
      </c>
      <c r="G2051" s="9" t="s">
        <v>38946</v>
      </c>
      <c r="H2051" s="127">
        <v>45888.0</v>
      </c>
      <c r="I2051" s="9" t="s">
        <v>211</v>
      </c>
      <c r="J2051" s="9" t="s">
        <v>38805</v>
      </c>
      <c r="K2051" s="55"/>
      <c r="M2051" s="9" t="s">
        <v>11472</v>
      </c>
    </row>
    <row r="2052" ht="15.75" hidden="1" customHeight="1">
      <c r="A2052" s="9" t="s">
        <v>42366</v>
      </c>
      <c r="B2052" s="9" t="s">
        <v>14262</v>
      </c>
      <c r="D2052" s="9" t="s">
        <v>12240</v>
      </c>
      <c r="F2052" s="9" t="s">
        <v>42364</v>
      </c>
      <c r="G2052" s="9" t="s">
        <v>38946</v>
      </c>
      <c r="H2052" s="127">
        <v>45888.0</v>
      </c>
      <c r="I2052" s="9" t="s">
        <v>211</v>
      </c>
      <c r="J2052" s="9" t="s">
        <v>38805</v>
      </c>
      <c r="K2052" s="55"/>
      <c r="M2052" s="9" t="s">
        <v>11674</v>
      </c>
    </row>
    <row r="2053" ht="15.75" hidden="1" customHeight="1">
      <c r="A2053" s="9" t="s">
        <v>42367</v>
      </c>
      <c r="B2053" s="9" t="s">
        <v>21926</v>
      </c>
      <c r="D2053" s="9" t="s">
        <v>12240</v>
      </c>
      <c r="F2053" s="9" t="s">
        <v>42364</v>
      </c>
      <c r="G2053" s="9" t="s">
        <v>38946</v>
      </c>
      <c r="H2053" s="127">
        <v>45888.0</v>
      </c>
      <c r="I2053" s="9" t="s">
        <v>211</v>
      </c>
      <c r="J2053" s="9" t="s">
        <v>38805</v>
      </c>
      <c r="K2053" s="55"/>
      <c r="M2053" s="9" t="s">
        <v>11375</v>
      </c>
    </row>
    <row r="2054" ht="15.75" hidden="1" customHeight="1">
      <c r="A2054" s="9" t="s">
        <v>42368</v>
      </c>
      <c r="B2054" s="9" t="s">
        <v>22937</v>
      </c>
      <c r="D2054" s="9" t="s">
        <v>12240</v>
      </c>
      <c r="F2054" s="9" t="s">
        <v>42364</v>
      </c>
      <c r="G2054" s="9" t="s">
        <v>38946</v>
      </c>
      <c r="H2054" s="127">
        <v>45888.0</v>
      </c>
      <c r="I2054" s="9" t="s">
        <v>211</v>
      </c>
      <c r="J2054" s="9" t="s">
        <v>38805</v>
      </c>
      <c r="K2054" s="55"/>
      <c r="M2054" s="9" t="s">
        <v>11537</v>
      </c>
    </row>
    <row r="2055" ht="15.75" hidden="1" customHeight="1">
      <c r="A2055" s="9" t="s">
        <v>42369</v>
      </c>
      <c r="B2055" s="9" t="s">
        <v>16093</v>
      </c>
      <c r="D2055" s="9" t="s">
        <v>12240</v>
      </c>
      <c r="F2055" s="9" t="s">
        <v>42364</v>
      </c>
      <c r="G2055" s="9" t="s">
        <v>38946</v>
      </c>
      <c r="H2055" s="127">
        <v>45888.0</v>
      </c>
      <c r="I2055" s="9" t="s">
        <v>211</v>
      </c>
      <c r="J2055" s="9" t="s">
        <v>38805</v>
      </c>
      <c r="K2055" s="55"/>
      <c r="M2055" s="9" t="s">
        <v>10493</v>
      </c>
    </row>
    <row r="2056" ht="15.75" hidden="1" customHeight="1">
      <c r="A2056" s="9" t="s">
        <v>42370</v>
      </c>
      <c r="B2056" s="9" t="s">
        <v>22826</v>
      </c>
      <c r="D2056" s="9" t="s">
        <v>12240</v>
      </c>
      <c r="F2056" s="9" t="s">
        <v>42364</v>
      </c>
      <c r="G2056" s="9" t="s">
        <v>38946</v>
      </c>
      <c r="H2056" s="127">
        <v>45888.0</v>
      </c>
      <c r="I2056" s="9" t="s">
        <v>211</v>
      </c>
      <c r="J2056" s="9" t="s">
        <v>38805</v>
      </c>
      <c r="K2056" s="55"/>
      <c r="M2056" s="9" t="s">
        <v>11520</v>
      </c>
    </row>
    <row r="2057" ht="15.75" hidden="1" customHeight="1">
      <c r="A2057" s="9" t="s">
        <v>42371</v>
      </c>
      <c r="B2057" s="9" t="s">
        <v>23208</v>
      </c>
      <c r="D2057" s="9" t="s">
        <v>12240</v>
      </c>
      <c r="F2057" s="9" t="s">
        <v>42364</v>
      </c>
      <c r="G2057" s="9" t="s">
        <v>38946</v>
      </c>
      <c r="H2057" s="127">
        <v>45888.0</v>
      </c>
      <c r="I2057" s="9" t="s">
        <v>211</v>
      </c>
      <c r="J2057" s="9" t="s">
        <v>38805</v>
      </c>
      <c r="K2057" s="55"/>
      <c r="M2057" s="9" t="s">
        <v>11585</v>
      </c>
    </row>
    <row r="2058" ht="15.75" hidden="1" customHeight="1">
      <c r="A2058" s="52" t="s">
        <v>42372</v>
      </c>
      <c r="B2058" s="9" t="s">
        <v>13967</v>
      </c>
      <c r="D2058" s="9" t="s">
        <v>12250</v>
      </c>
      <c r="F2058" s="9" t="s">
        <v>42373</v>
      </c>
      <c r="G2058" s="9" t="s">
        <v>38946</v>
      </c>
      <c r="H2058" s="127">
        <v>45890.0</v>
      </c>
      <c r="I2058" s="9" t="s">
        <v>131</v>
      </c>
      <c r="J2058" s="9" t="s">
        <v>38801</v>
      </c>
      <c r="K2058" s="55">
        <v>45890.0</v>
      </c>
      <c r="M2058" s="9" t="s">
        <v>8858</v>
      </c>
    </row>
    <row r="2059" ht="15.75" hidden="1" customHeight="1">
      <c r="A2059" s="9" t="s">
        <v>42374</v>
      </c>
      <c r="B2059" s="9" t="s">
        <v>13022</v>
      </c>
      <c r="D2059" s="9" t="s">
        <v>12248</v>
      </c>
      <c r="F2059" s="9" t="s">
        <v>42375</v>
      </c>
      <c r="G2059" s="9" t="s">
        <v>38946</v>
      </c>
      <c r="H2059" s="127">
        <v>45894.0</v>
      </c>
      <c r="I2059" s="9" t="s">
        <v>131</v>
      </c>
      <c r="J2059" s="9" t="s">
        <v>38801</v>
      </c>
      <c r="K2059" s="55">
        <v>45894.0</v>
      </c>
      <c r="M2059" s="9" t="s">
        <v>11417</v>
      </c>
    </row>
    <row r="2060" ht="15.75" hidden="1" customHeight="1">
      <c r="A2060" s="9" t="s">
        <v>42376</v>
      </c>
      <c r="B2060" s="9" t="s">
        <v>12609</v>
      </c>
      <c r="D2060" s="9" t="s">
        <v>12248</v>
      </c>
      <c r="F2060" s="9" t="s">
        <v>42377</v>
      </c>
      <c r="G2060" s="9" t="s">
        <v>38946</v>
      </c>
      <c r="H2060" s="127">
        <v>45894.0</v>
      </c>
      <c r="I2060" s="9" t="s">
        <v>131</v>
      </c>
      <c r="J2060" s="9" t="s">
        <v>38801</v>
      </c>
      <c r="K2060" s="55">
        <v>46100.0</v>
      </c>
      <c r="M2060" s="9" t="s">
        <v>11817</v>
      </c>
    </row>
    <row r="2061" ht="15.75" hidden="1" customHeight="1">
      <c r="A2061" s="9" t="s">
        <v>42378</v>
      </c>
      <c r="B2061" s="9" t="s">
        <v>23475</v>
      </c>
      <c r="D2061" s="9" t="s">
        <v>12230</v>
      </c>
      <c r="F2061" s="9" t="s">
        <v>42379</v>
      </c>
      <c r="G2061" s="9" t="s">
        <v>38946</v>
      </c>
      <c r="H2061" s="127">
        <v>45896.0</v>
      </c>
      <c r="I2061" s="9" t="s">
        <v>211</v>
      </c>
      <c r="J2061" s="9" t="s">
        <v>38801</v>
      </c>
      <c r="K2061" s="55">
        <v>46071.0</v>
      </c>
      <c r="M2061" s="9" t="s">
        <v>23463</v>
      </c>
    </row>
    <row r="2062" ht="15.75" hidden="1" customHeight="1">
      <c r="A2062" s="9" t="s">
        <v>42380</v>
      </c>
      <c r="B2062" s="9" t="s">
        <v>13371</v>
      </c>
      <c r="D2062" s="9" t="s">
        <v>12258</v>
      </c>
      <c r="F2062" s="9" t="s">
        <v>42381</v>
      </c>
      <c r="G2062" s="9" t="s">
        <v>38993</v>
      </c>
      <c r="H2062" s="127">
        <v>45903.0</v>
      </c>
      <c r="I2062" s="9" t="s">
        <v>131</v>
      </c>
      <c r="J2062" s="9" t="s">
        <v>38805</v>
      </c>
      <c r="K2062" s="55"/>
      <c r="M2062" s="9" t="s">
        <v>2234</v>
      </c>
    </row>
    <row r="2063" ht="15.75" hidden="1" customHeight="1">
      <c r="A2063" s="9" t="s">
        <v>42382</v>
      </c>
      <c r="B2063" s="9" t="s">
        <v>19772</v>
      </c>
      <c r="D2063" s="9" t="s">
        <v>12250</v>
      </c>
      <c r="F2063" s="9" t="s">
        <v>42383</v>
      </c>
      <c r="G2063" s="9" t="s">
        <v>38808</v>
      </c>
      <c r="H2063" s="127">
        <v>45904.0</v>
      </c>
      <c r="I2063" s="9" t="s">
        <v>47</v>
      </c>
      <c r="J2063" s="9" t="s">
        <v>38801</v>
      </c>
      <c r="K2063" s="55">
        <v>45904.0</v>
      </c>
      <c r="M2063" s="9" t="s">
        <v>11851</v>
      </c>
    </row>
    <row r="2064" ht="15.75" hidden="1" customHeight="1">
      <c r="A2064" s="9" t="s">
        <v>42384</v>
      </c>
      <c r="B2064" s="9" t="s">
        <v>12379</v>
      </c>
      <c r="D2064" s="9" t="s">
        <v>12224</v>
      </c>
      <c r="F2064" s="9" t="s">
        <v>42385</v>
      </c>
      <c r="G2064" s="9" t="s">
        <v>38808</v>
      </c>
      <c r="H2064" s="127">
        <v>45908.0</v>
      </c>
      <c r="I2064" s="9" t="s">
        <v>47</v>
      </c>
      <c r="J2064" s="9" t="s">
        <v>38801</v>
      </c>
      <c r="K2064" s="55">
        <v>45908.0</v>
      </c>
      <c r="M2064" s="9" t="s">
        <v>9048</v>
      </c>
    </row>
    <row r="2065" ht="15.75" customHeight="1">
      <c r="A2065" s="9" t="s">
        <v>42386</v>
      </c>
      <c r="B2065" s="9" t="s">
        <v>23527</v>
      </c>
      <c r="D2065" s="9" t="s">
        <v>12227</v>
      </c>
      <c r="E2065" s="9" t="s">
        <v>38803</v>
      </c>
      <c r="F2065" s="9" t="s">
        <v>42387</v>
      </c>
      <c r="G2065" s="9" t="s">
        <v>38808</v>
      </c>
      <c r="H2065" s="127">
        <v>45910.0</v>
      </c>
      <c r="I2065" s="9" t="s">
        <v>47</v>
      </c>
      <c r="J2065" s="9" t="s">
        <v>38805</v>
      </c>
      <c r="K2065" s="55"/>
      <c r="M2065" s="9" t="s">
        <v>23515</v>
      </c>
    </row>
    <row r="2066" ht="15.75" hidden="1" customHeight="1">
      <c r="A2066" s="9" t="s">
        <v>42388</v>
      </c>
      <c r="B2066" s="9" t="s">
        <v>23527</v>
      </c>
      <c r="D2066" s="9" t="s">
        <v>12230</v>
      </c>
      <c r="F2066" s="9" t="s">
        <v>40079</v>
      </c>
      <c r="G2066" s="9" t="s">
        <v>38808</v>
      </c>
      <c r="H2066" s="127">
        <v>45910.0</v>
      </c>
      <c r="I2066" s="9" t="s">
        <v>47</v>
      </c>
      <c r="J2066" s="9" t="s">
        <v>38801</v>
      </c>
      <c r="K2066" s="55">
        <v>45910.0</v>
      </c>
      <c r="M2066" s="9" t="s">
        <v>23515</v>
      </c>
    </row>
    <row r="2067" ht="15.75" customHeight="1">
      <c r="A2067" s="9" t="s">
        <v>42389</v>
      </c>
      <c r="B2067" s="9" t="s">
        <v>13371</v>
      </c>
      <c r="D2067" s="9" t="s">
        <v>12227</v>
      </c>
      <c r="E2067" s="9" t="s">
        <v>39265</v>
      </c>
      <c r="F2067" s="9" t="s">
        <v>42390</v>
      </c>
      <c r="G2067" s="9" t="s">
        <v>38946</v>
      </c>
      <c r="H2067" s="127">
        <v>45911.0</v>
      </c>
      <c r="I2067" s="9" t="s">
        <v>131</v>
      </c>
      <c r="J2067" s="9" t="s">
        <v>38805</v>
      </c>
      <c r="K2067" s="55"/>
      <c r="M2067" s="9" t="s">
        <v>2234</v>
      </c>
    </row>
    <row r="2068" ht="15.75" hidden="1" customHeight="1">
      <c r="A2068" s="9" t="s">
        <v>42391</v>
      </c>
      <c r="B2068" s="9" t="s">
        <v>23568</v>
      </c>
      <c r="D2068" s="9" t="s">
        <v>12230</v>
      </c>
      <c r="F2068" s="9" t="s">
        <v>40154</v>
      </c>
      <c r="G2068" s="9" t="s">
        <v>38946</v>
      </c>
      <c r="H2068" s="127">
        <v>45911.0</v>
      </c>
      <c r="I2068" s="9" t="s">
        <v>131</v>
      </c>
      <c r="J2068" s="9" t="s">
        <v>38801</v>
      </c>
      <c r="K2068" s="55">
        <v>45915.0</v>
      </c>
      <c r="M2068" s="9" t="s">
        <v>23555</v>
      </c>
    </row>
    <row r="2069" ht="15.75" customHeight="1">
      <c r="A2069" s="9" t="s">
        <v>42392</v>
      </c>
      <c r="B2069" s="9" t="s">
        <v>23568</v>
      </c>
      <c r="D2069" s="9" t="s">
        <v>12227</v>
      </c>
      <c r="E2069" s="9" t="s">
        <v>38803</v>
      </c>
      <c r="F2069" s="9" t="s">
        <v>42393</v>
      </c>
      <c r="G2069" s="9" t="s">
        <v>38800</v>
      </c>
      <c r="H2069" s="127">
        <v>45912.0</v>
      </c>
      <c r="I2069" s="9" t="s">
        <v>131</v>
      </c>
      <c r="J2069" s="9" t="s">
        <v>38805</v>
      </c>
      <c r="K2069" s="55"/>
      <c r="M2069" s="9" t="s">
        <v>23555</v>
      </c>
    </row>
    <row r="2070" ht="15.75" hidden="1" customHeight="1">
      <c r="A2070" s="9" t="s">
        <v>42394</v>
      </c>
      <c r="B2070" s="9" t="s">
        <v>23426</v>
      </c>
      <c r="D2070" s="9" t="s">
        <v>12230</v>
      </c>
      <c r="F2070" s="9" t="s">
        <v>42395</v>
      </c>
      <c r="G2070" s="9" t="s">
        <v>38808</v>
      </c>
      <c r="H2070" s="127">
        <v>45915.0</v>
      </c>
      <c r="I2070" s="9" t="s">
        <v>47</v>
      </c>
      <c r="J2070" s="9" t="s">
        <v>38801</v>
      </c>
      <c r="K2070" s="55">
        <v>45915.0</v>
      </c>
      <c r="M2070" s="9" t="s">
        <v>23416</v>
      </c>
    </row>
    <row r="2071" ht="15.75" hidden="1" customHeight="1">
      <c r="A2071" s="9" t="s">
        <v>42396</v>
      </c>
      <c r="B2071" s="9" t="s">
        <v>23412</v>
      </c>
      <c r="D2071" s="9" t="s">
        <v>12230</v>
      </c>
      <c r="F2071" s="9" t="s">
        <v>40079</v>
      </c>
      <c r="G2071" s="9" t="s">
        <v>38808</v>
      </c>
      <c r="H2071" s="127">
        <v>45915.0</v>
      </c>
      <c r="I2071" s="9" t="s">
        <v>47</v>
      </c>
      <c r="J2071" s="9" t="s">
        <v>38801</v>
      </c>
      <c r="K2071" s="55">
        <v>45915.0</v>
      </c>
      <c r="M2071" s="9" t="s">
        <v>23403</v>
      </c>
    </row>
    <row r="2072" ht="15.75" hidden="1" customHeight="1">
      <c r="A2072" s="9" t="s">
        <v>42397</v>
      </c>
      <c r="B2072" s="9" t="s">
        <v>23598</v>
      </c>
      <c r="D2072" s="9" t="s">
        <v>12230</v>
      </c>
      <c r="F2072" s="9" t="s">
        <v>40154</v>
      </c>
      <c r="G2072" s="9" t="s">
        <v>38946</v>
      </c>
      <c r="H2072" s="127">
        <v>45916.0</v>
      </c>
      <c r="I2072" s="9" t="s">
        <v>131</v>
      </c>
      <c r="J2072" s="9" t="s">
        <v>38801</v>
      </c>
      <c r="K2072" s="55">
        <v>45932.0</v>
      </c>
      <c r="M2072" s="9" t="s">
        <v>23587</v>
      </c>
    </row>
    <row r="2073" ht="15.75" hidden="1" customHeight="1">
      <c r="A2073" s="9" t="s">
        <v>42398</v>
      </c>
      <c r="B2073" s="9" t="s">
        <v>23611</v>
      </c>
      <c r="D2073" s="9" t="s">
        <v>12230</v>
      </c>
      <c r="F2073" s="9" t="s">
        <v>42399</v>
      </c>
      <c r="G2073" s="9" t="s">
        <v>38808</v>
      </c>
      <c r="H2073" s="127">
        <v>45918.0</v>
      </c>
      <c r="I2073" s="9" t="s">
        <v>47</v>
      </c>
      <c r="J2073" s="9" t="s">
        <v>38801</v>
      </c>
      <c r="K2073" s="55">
        <v>45918.0</v>
      </c>
      <c r="M2073" s="9" t="s">
        <v>272</v>
      </c>
    </row>
    <row r="2074" ht="15.75" hidden="1" customHeight="1">
      <c r="A2074" s="9" t="s">
        <v>42400</v>
      </c>
      <c r="B2074" s="9" t="s">
        <v>23611</v>
      </c>
      <c r="D2074" s="9" t="s">
        <v>12236</v>
      </c>
      <c r="F2074" s="9" t="s">
        <v>42401</v>
      </c>
      <c r="G2074" s="9" t="s">
        <v>38808</v>
      </c>
      <c r="H2074" s="127">
        <v>45919.0</v>
      </c>
      <c r="I2074" s="9" t="s">
        <v>47</v>
      </c>
      <c r="J2074" s="9" t="s">
        <v>38805</v>
      </c>
      <c r="K2074" s="55"/>
      <c r="M2074" s="9" t="s">
        <v>272</v>
      </c>
    </row>
    <row r="2075" ht="15.75" customHeight="1">
      <c r="A2075" s="9" t="s">
        <v>42402</v>
      </c>
      <c r="B2075" s="9" t="s">
        <v>22921</v>
      </c>
      <c r="D2075" s="9" t="s">
        <v>12227</v>
      </c>
      <c r="E2075" s="9" t="s">
        <v>38803</v>
      </c>
      <c r="F2075" s="9" t="s">
        <v>42403</v>
      </c>
      <c r="G2075" s="9" t="s">
        <v>38808</v>
      </c>
      <c r="H2075" s="127">
        <v>45930.0</v>
      </c>
      <c r="I2075" s="9" t="s">
        <v>47</v>
      </c>
      <c r="J2075" s="9" t="s">
        <v>38805</v>
      </c>
      <c r="K2075" s="55"/>
      <c r="M2075" s="9" t="s">
        <v>11524</v>
      </c>
    </row>
    <row r="2076" ht="15.75" hidden="1" customHeight="1">
      <c r="A2076" s="9" t="s">
        <v>42404</v>
      </c>
      <c r="B2076" s="9" t="s">
        <v>23628</v>
      </c>
      <c r="D2076" s="9" t="s">
        <v>12230</v>
      </c>
      <c r="F2076" s="9" t="s">
        <v>40242</v>
      </c>
      <c r="G2076" s="9" t="s">
        <v>38946</v>
      </c>
      <c r="H2076" s="127">
        <v>45931.0</v>
      </c>
      <c r="I2076" s="9" t="s">
        <v>211</v>
      </c>
      <c r="J2076" s="9" t="s">
        <v>38801</v>
      </c>
      <c r="K2076" s="55">
        <v>45933.0</v>
      </c>
      <c r="M2076" s="9" t="s">
        <v>23615</v>
      </c>
    </row>
    <row r="2077" ht="15.75" customHeight="1">
      <c r="A2077" s="9" t="s">
        <v>42405</v>
      </c>
      <c r="B2077" s="9" t="s">
        <v>23643</v>
      </c>
      <c r="D2077" s="9" t="s">
        <v>12227</v>
      </c>
      <c r="E2077" s="9" t="s">
        <v>38803</v>
      </c>
      <c r="F2077" s="9" t="s">
        <v>42406</v>
      </c>
      <c r="G2077" s="9" t="s">
        <v>38946</v>
      </c>
      <c r="H2077" s="127">
        <v>45932.0</v>
      </c>
      <c r="I2077" s="9" t="s">
        <v>218</v>
      </c>
      <c r="J2077" s="9" t="s">
        <v>38805</v>
      </c>
      <c r="K2077" s="55"/>
      <c r="M2077" s="9" t="s">
        <v>23632</v>
      </c>
    </row>
    <row r="2078" ht="15.75" hidden="1" customHeight="1">
      <c r="A2078" s="9" t="s">
        <v>42407</v>
      </c>
      <c r="B2078" s="9" t="s">
        <v>23643</v>
      </c>
      <c r="D2078" s="9" t="s">
        <v>12230</v>
      </c>
      <c r="F2078" s="9" t="s">
        <v>40154</v>
      </c>
      <c r="G2078" s="9" t="s">
        <v>38946</v>
      </c>
      <c r="H2078" s="127">
        <v>45932.0</v>
      </c>
      <c r="I2078" s="9" t="s">
        <v>218</v>
      </c>
      <c r="J2078" s="9" t="s">
        <v>38801</v>
      </c>
      <c r="K2078" s="55">
        <v>45933.0</v>
      </c>
      <c r="M2078" s="9" t="s">
        <v>23632</v>
      </c>
    </row>
    <row r="2079" ht="15.75" hidden="1" customHeight="1">
      <c r="A2079" s="9" t="s">
        <v>42408</v>
      </c>
      <c r="B2079" s="9" t="s">
        <v>23688</v>
      </c>
      <c r="D2079" s="9" t="s">
        <v>12230</v>
      </c>
      <c r="F2079" s="9" t="s">
        <v>40154</v>
      </c>
      <c r="G2079" s="9" t="s">
        <v>38946</v>
      </c>
      <c r="H2079" s="127">
        <v>45944.0</v>
      </c>
      <c r="I2079" s="9" t="s">
        <v>218</v>
      </c>
      <c r="J2079" s="9" t="s">
        <v>38801</v>
      </c>
      <c r="K2079" s="55">
        <v>45973.0</v>
      </c>
      <c r="M2079" s="9" t="s">
        <v>23677</v>
      </c>
    </row>
    <row r="2080" ht="15.75" hidden="1" customHeight="1">
      <c r="A2080" s="9" t="s">
        <v>42409</v>
      </c>
      <c r="B2080" s="9" t="s">
        <v>27402</v>
      </c>
      <c r="D2080" s="9" t="s">
        <v>12230</v>
      </c>
      <c r="F2080" s="9" t="s">
        <v>39790</v>
      </c>
      <c r="G2080" s="9" t="s">
        <v>38808</v>
      </c>
      <c r="H2080" s="127">
        <v>45947.0</v>
      </c>
      <c r="I2080" s="9" t="s">
        <v>47</v>
      </c>
      <c r="J2080" s="9" t="s">
        <v>38801</v>
      </c>
      <c r="K2080" s="55">
        <v>45947.0</v>
      </c>
      <c r="M2080" s="9" t="s">
        <v>23706</v>
      </c>
    </row>
    <row r="2081" ht="15.75" hidden="1" customHeight="1">
      <c r="A2081" s="9" t="s">
        <v>42410</v>
      </c>
      <c r="B2081" s="9" t="s">
        <v>18689</v>
      </c>
      <c r="D2081" s="9" t="s">
        <v>12230</v>
      </c>
      <c r="F2081" s="9" t="s">
        <v>42411</v>
      </c>
      <c r="G2081" s="9" t="s">
        <v>38946</v>
      </c>
      <c r="H2081" s="127">
        <v>45950.0</v>
      </c>
      <c r="I2081" s="9" t="s">
        <v>218</v>
      </c>
      <c r="J2081" s="9" t="s">
        <v>38805</v>
      </c>
      <c r="K2081" s="55"/>
      <c r="M2081" s="9" t="s">
        <v>11763</v>
      </c>
    </row>
    <row r="2082" ht="15.75" hidden="1" customHeight="1">
      <c r="A2082" s="9" t="s">
        <v>42412</v>
      </c>
      <c r="B2082" s="9" t="s">
        <v>23731</v>
      </c>
      <c r="D2082" s="9" t="s">
        <v>12230</v>
      </c>
      <c r="F2082" s="9" t="s">
        <v>40154</v>
      </c>
      <c r="G2082" s="9" t="s">
        <v>38946</v>
      </c>
      <c r="H2082" s="127">
        <v>45957.0</v>
      </c>
      <c r="I2082" s="9" t="s">
        <v>218</v>
      </c>
      <c r="J2082" s="9" t="s">
        <v>38801</v>
      </c>
      <c r="K2082" s="55">
        <v>45973.0</v>
      </c>
      <c r="M2082" s="9" t="s">
        <v>23720</v>
      </c>
    </row>
    <row r="2083" ht="15.75" customHeight="1">
      <c r="A2083" s="9" t="s">
        <v>42413</v>
      </c>
      <c r="B2083" s="9" t="s">
        <v>21024</v>
      </c>
      <c r="D2083" s="9" t="s">
        <v>12227</v>
      </c>
      <c r="E2083" s="9" t="s">
        <v>39265</v>
      </c>
      <c r="F2083" s="9" t="s">
        <v>42414</v>
      </c>
      <c r="G2083" s="9" t="s">
        <v>38993</v>
      </c>
      <c r="H2083" s="127">
        <v>45957.0</v>
      </c>
      <c r="I2083" s="9" t="s">
        <v>47</v>
      </c>
      <c r="J2083" s="9" t="s">
        <v>38805</v>
      </c>
      <c r="K2083" s="55"/>
      <c r="M2083" s="9" t="s">
        <v>8114</v>
      </c>
    </row>
    <row r="2084" ht="15.75" hidden="1" customHeight="1">
      <c r="A2084" s="9" t="s">
        <v>42415</v>
      </c>
      <c r="B2084" s="9" t="s">
        <v>18405</v>
      </c>
      <c r="D2084" s="9" t="s">
        <v>12248</v>
      </c>
      <c r="F2084" s="9" t="s">
        <v>42416</v>
      </c>
      <c r="G2084" s="9" t="s">
        <v>38946</v>
      </c>
      <c r="H2084" s="127">
        <v>45964.0</v>
      </c>
      <c r="I2084" s="9" t="s">
        <v>131</v>
      </c>
      <c r="J2084" s="9" t="s">
        <v>38801</v>
      </c>
      <c r="K2084" s="55">
        <v>45964.0</v>
      </c>
      <c r="M2084" s="9" t="s">
        <v>10608</v>
      </c>
    </row>
    <row r="2085" ht="15.75" hidden="1" customHeight="1">
      <c r="A2085" s="9" t="s">
        <v>42417</v>
      </c>
      <c r="B2085" s="9" t="s">
        <v>23744</v>
      </c>
      <c r="D2085" s="9" t="s">
        <v>12230</v>
      </c>
      <c r="F2085" s="9" t="s">
        <v>40154</v>
      </c>
      <c r="G2085" s="9" t="s">
        <v>38946</v>
      </c>
      <c r="H2085" s="127">
        <v>45966.0</v>
      </c>
      <c r="I2085" s="9" t="s">
        <v>218</v>
      </c>
      <c r="J2085" s="9" t="s">
        <v>38801</v>
      </c>
      <c r="K2085" s="55">
        <v>45979.0</v>
      </c>
      <c r="M2085" s="9" t="s">
        <v>23734</v>
      </c>
    </row>
    <row r="2086" ht="15.75" hidden="1" customHeight="1">
      <c r="A2086" s="9" t="s">
        <v>42418</v>
      </c>
      <c r="B2086" s="9" t="s">
        <v>13685</v>
      </c>
      <c r="D2086" s="9" t="s">
        <v>12230</v>
      </c>
      <c r="F2086" s="9" t="s">
        <v>40154</v>
      </c>
      <c r="G2086" s="9" t="s">
        <v>38946</v>
      </c>
      <c r="H2086" s="127">
        <v>45966.0</v>
      </c>
      <c r="I2086" s="9" t="s">
        <v>218</v>
      </c>
      <c r="J2086" s="9" t="s">
        <v>38801</v>
      </c>
      <c r="K2086" s="55">
        <v>45973.0</v>
      </c>
      <c r="M2086" s="9" t="s">
        <v>264</v>
      </c>
    </row>
    <row r="2087" ht="15.75" hidden="1" customHeight="1">
      <c r="A2087" s="9" t="s">
        <v>42419</v>
      </c>
      <c r="B2087" s="9" t="s">
        <v>23761</v>
      </c>
      <c r="D2087" s="9" t="s">
        <v>12230</v>
      </c>
      <c r="F2087" s="9" t="s">
        <v>40154</v>
      </c>
      <c r="G2087" s="9" t="s">
        <v>38946</v>
      </c>
      <c r="H2087" s="127">
        <v>45966.0</v>
      </c>
      <c r="I2087" s="9" t="s">
        <v>218</v>
      </c>
      <c r="J2087" s="9" t="s">
        <v>38801</v>
      </c>
      <c r="K2087" s="55">
        <v>46044.0</v>
      </c>
      <c r="M2087" s="9" t="s">
        <v>23748</v>
      </c>
    </row>
    <row r="2088" ht="15.75" hidden="1" customHeight="1">
      <c r="A2088" s="9" t="s">
        <v>42420</v>
      </c>
      <c r="B2088" s="9" t="s">
        <v>13795</v>
      </c>
      <c r="D2088" s="9" t="s">
        <v>12248</v>
      </c>
      <c r="F2088" s="9" t="s">
        <v>42421</v>
      </c>
      <c r="G2088" s="9" t="s">
        <v>38946</v>
      </c>
      <c r="H2088" s="127">
        <v>45971.0</v>
      </c>
      <c r="I2088" s="9" t="s">
        <v>218</v>
      </c>
      <c r="J2088" s="9" t="s">
        <v>38805</v>
      </c>
      <c r="K2088" s="55"/>
      <c r="M2088" s="9" t="s">
        <v>9122</v>
      </c>
    </row>
    <row r="2089" ht="15.75" hidden="1" customHeight="1">
      <c r="A2089" s="9" t="s">
        <v>42422</v>
      </c>
      <c r="B2089" s="9" t="s">
        <v>23790</v>
      </c>
      <c r="D2089" s="9" t="s">
        <v>12230</v>
      </c>
      <c r="F2089" s="9" t="s">
        <v>40154</v>
      </c>
      <c r="G2089" s="9" t="s">
        <v>38946</v>
      </c>
      <c r="H2089" s="127">
        <v>45975.0</v>
      </c>
      <c r="I2089" s="9" t="s">
        <v>218</v>
      </c>
      <c r="J2089" s="9" t="s">
        <v>38801</v>
      </c>
      <c r="K2089" s="55">
        <v>45981.0</v>
      </c>
      <c r="M2089" s="9" t="s">
        <v>23779</v>
      </c>
    </row>
    <row r="2090" ht="15.75" hidden="1" customHeight="1">
      <c r="A2090" s="9" t="s">
        <v>42423</v>
      </c>
      <c r="B2090" s="9" t="s">
        <v>23775</v>
      </c>
      <c r="D2090" s="9" t="s">
        <v>12230</v>
      </c>
      <c r="F2090" s="9" t="s">
        <v>40154</v>
      </c>
      <c r="G2090" s="9" t="s">
        <v>38946</v>
      </c>
      <c r="H2090" s="127">
        <v>45975.0</v>
      </c>
      <c r="I2090" s="9" t="s">
        <v>218</v>
      </c>
      <c r="J2090" s="9" t="s">
        <v>38801</v>
      </c>
      <c r="K2090" s="55">
        <v>45981.0</v>
      </c>
      <c r="M2090" s="9" t="s">
        <v>23765</v>
      </c>
    </row>
    <row r="2091" ht="15.75" hidden="1" customHeight="1">
      <c r="A2091" s="9" t="s">
        <v>42424</v>
      </c>
      <c r="B2091" s="9" t="s">
        <v>23731</v>
      </c>
      <c r="D2091" s="9" t="s">
        <v>12227</v>
      </c>
      <c r="E2091" s="9" t="s">
        <v>38803</v>
      </c>
      <c r="F2091" s="9" t="s">
        <v>40635</v>
      </c>
      <c r="G2091" s="9" t="s">
        <v>38946</v>
      </c>
      <c r="H2091" s="127">
        <v>45975.0</v>
      </c>
      <c r="I2091" s="9" t="s">
        <v>131</v>
      </c>
      <c r="J2091" s="9" t="s">
        <v>38805</v>
      </c>
      <c r="K2091" s="55"/>
      <c r="M2091" s="9" t="s">
        <v>23720</v>
      </c>
    </row>
    <row r="2092" ht="15.75" hidden="1" customHeight="1">
      <c r="A2092" s="9" t="s">
        <v>42425</v>
      </c>
      <c r="B2092" s="9" t="s">
        <v>23801</v>
      </c>
      <c r="D2092" s="9" t="s">
        <v>12227</v>
      </c>
      <c r="E2092" s="9" t="s">
        <v>38803</v>
      </c>
      <c r="F2092" s="9" t="s">
        <v>42426</v>
      </c>
      <c r="G2092" s="9" t="s">
        <v>38946</v>
      </c>
      <c r="H2092" s="127">
        <v>45978.0</v>
      </c>
      <c r="I2092" s="9" t="s">
        <v>218</v>
      </c>
      <c r="J2092" s="9" t="s">
        <v>38805</v>
      </c>
      <c r="K2092" s="55"/>
      <c r="M2092" s="9" t="s">
        <v>23794</v>
      </c>
    </row>
    <row r="2093" ht="15.75" hidden="1" customHeight="1">
      <c r="A2093" s="9" t="s">
        <v>42427</v>
      </c>
      <c r="B2093" s="9" t="s">
        <v>22798</v>
      </c>
      <c r="D2093" s="9" t="s">
        <v>12240</v>
      </c>
      <c r="F2093" s="9" t="s">
        <v>42428</v>
      </c>
      <c r="G2093" s="9" t="s">
        <v>38946</v>
      </c>
      <c r="H2093" s="127">
        <v>45978.0</v>
      </c>
      <c r="I2093" s="9" t="s">
        <v>131</v>
      </c>
      <c r="J2093" s="9" t="s">
        <v>38805</v>
      </c>
      <c r="K2093" s="55"/>
      <c r="M2093" s="9" t="s">
        <v>11516</v>
      </c>
    </row>
    <row r="2094" ht="15.75" hidden="1" customHeight="1">
      <c r="A2094" s="9" t="s">
        <v>42429</v>
      </c>
      <c r="B2094" s="9" t="s">
        <v>22032</v>
      </c>
      <c r="D2094" s="9" t="s">
        <v>12227</v>
      </c>
      <c r="E2094" s="9" t="s">
        <v>38803</v>
      </c>
      <c r="F2094" s="9" t="s">
        <v>42430</v>
      </c>
      <c r="G2094" s="9" t="s">
        <v>38946</v>
      </c>
      <c r="H2094" s="127">
        <v>45980.0</v>
      </c>
      <c r="I2094" s="9" t="s">
        <v>131</v>
      </c>
      <c r="J2094" s="9" t="s">
        <v>38805</v>
      </c>
      <c r="K2094" s="55"/>
      <c r="M2094" s="9" t="s">
        <v>11389</v>
      </c>
    </row>
    <row r="2095" ht="15.75" hidden="1" customHeight="1">
      <c r="A2095" s="9" t="s">
        <v>42431</v>
      </c>
      <c r="B2095" s="9" t="s">
        <v>23843</v>
      </c>
      <c r="D2095" s="9" t="s">
        <v>12230</v>
      </c>
      <c r="F2095" s="9" t="s">
        <v>40154</v>
      </c>
      <c r="G2095" s="9" t="s">
        <v>38946</v>
      </c>
      <c r="H2095" s="127">
        <v>45981.0</v>
      </c>
      <c r="I2095" s="9" t="s">
        <v>218</v>
      </c>
      <c r="J2095" s="9" t="s">
        <v>38801</v>
      </c>
      <c r="K2095" s="55">
        <v>45981.0</v>
      </c>
      <c r="M2095" s="9" t="s">
        <v>23830</v>
      </c>
    </row>
    <row r="2096" ht="15.75" hidden="1" customHeight="1">
      <c r="A2096" s="9" t="s">
        <v>42432</v>
      </c>
      <c r="B2096" s="9" t="s">
        <v>15467</v>
      </c>
      <c r="D2096" s="9" t="s">
        <v>12248</v>
      </c>
      <c r="F2096" s="9" t="s">
        <v>42433</v>
      </c>
      <c r="G2096" s="9" t="s">
        <v>38946</v>
      </c>
      <c r="H2096" s="127">
        <v>45981.0</v>
      </c>
      <c r="I2096" s="9" t="s">
        <v>218</v>
      </c>
      <c r="J2096" s="9" t="s">
        <v>38801</v>
      </c>
      <c r="K2096" s="55">
        <v>45992.0</v>
      </c>
      <c r="M2096" s="9" t="s">
        <v>10141</v>
      </c>
    </row>
    <row r="2097" ht="15.75" hidden="1" customHeight="1">
      <c r="A2097" s="52" t="s">
        <v>42434</v>
      </c>
      <c r="B2097" s="9" t="s">
        <v>13384</v>
      </c>
      <c r="D2097" s="9" t="s">
        <v>12230</v>
      </c>
      <c r="F2097" s="9" t="s">
        <v>40154</v>
      </c>
      <c r="G2097" s="9" t="s">
        <v>38946</v>
      </c>
      <c r="H2097" s="127">
        <v>45982.0</v>
      </c>
      <c r="I2097" s="9" t="s">
        <v>218</v>
      </c>
      <c r="J2097" s="9" t="s">
        <v>38801</v>
      </c>
      <c r="K2097" s="55">
        <v>46015.0</v>
      </c>
      <c r="M2097" s="9" t="s">
        <v>23847</v>
      </c>
    </row>
    <row r="2098" ht="15.75" hidden="1" customHeight="1">
      <c r="A2098" s="9" t="s">
        <v>42435</v>
      </c>
      <c r="B2098" s="9" t="s">
        <v>21898</v>
      </c>
      <c r="D2098" s="9" t="s">
        <v>12227</v>
      </c>
      <c r="E2098" s="9" t="s">
        <v>38803</v>
      </c>
      <c r="F2098" s="9" t="s">
        <v>42436</v>
      </c>
      <c r="G2098" s="9" t="s">
        <v>38946</v>
      </c>
      <c r="H2098" s="127">
        <v>45989.0</v>
      </c>
      <c r="I2098" s="9" t="s">
        <v>131</v>
      </c>
      <c r="J2098" s="9" t="s">
        <v>38805</v>
      </c>
      <c r="K2098" s="55"/>
      <c r="M2098" s="9" t="s">
        <v>11664</v>
      </c>
    </row>
    <row r="2099" ht="15.75" hidden="1" customHeight="1">
      <c r="A2099" s="9" t="s">
        <v>42437</v>
      </c>
      <c r="B2099" s="9" t="s">
        <v>12308</v>
      </c>
      <c r="D2099" s="9" t="s">
        <v>12230</v>
      </c>
      <c r="F2099" s="9" t="s">
        <v>40154</v>
      </c>
      <c r="G2099" s="9" t="s">
        <v>38946</v>
      </c>
      <c r="H2099" s="127">
        <v>45993.0</v>
      </c>
      <c r="I2099" s="9" t="s">
        <v>218</v>
      </c>
      <c r="J2099" s="9" t="s">
        <v>38801</v>
      </c>
      <c r="K2099" s="55">
        <v>46058.0</v>
      </c>
      <c r="M2099" s="9" t="s">
        <v>257</v>
      </c>
    </row>
    <row r="2100" ht="15.75" hidden="1" customHeight="1">
      <c r="A2100" s="9" t="s">
        <v>42438</v>
      </c>
      <c r="B2100" s="9" t="s">
        <v>22454</v>
      </c>
      <c r="D2100" s="9" t="s">
        <v>12248</v>
      </c>
      <c r="F2100" s="9" t="s">
        <v>42439</v>
      </c>
      <c r="G2100" s="9" t="s">
        <v>38946</v>
      </c>
      <c r="H2100" s="127">
        <v>46001.0</v>
      </c>
      <c r="I2100" s="9" t="s">
        <v>131</v>
      </c>
      <c r="J2100" s="9" t="s">
        <v>38801</v>
      </c>
      <c r="K2100" s="55">
        <v>46003.0</v>
      </c>
      <c r="M2100" s="9" t="s">
        <v>11456</v>
      </c>
    </row>
    <row r="2101" ht="15.75" hidden="1" customHeight="1">
      <c r="A2101" s="9" t="s">
        <v>42440</v>
      </c>
      <c r="B2101" s="9" t="s">
        <v>23909</v>
      </c>
      <c r="D2101" s="9" t="s">
        <v>12230</v>
      </c>
      <c r="F2101" s="9" t="s">
        <v>41368</v>
      </c>
      <c r="G2101" s="9" t="s">
        <v>38946</v>
      </c>
      <c r="H2101" s="127">
        <v>46003.0</v>
      </c>
      <c r="I2101" s="9" t="s">
        <v>131</v>
      </c>
      <c r="J2101" s="9" t="s">
        <v>38801</v>
      </c>
      <c r="K2101" s="55">
        <v>46003.0</v>
      </c>
      <c r="M2101" s="9" t="s">
        <v>23901</v>
      </c>
    </row>
    <row r="2102" ht="15.75" hidden="1" customHeight="1">
      <c r="A2102" s="9" t="s">
        <v>42441</v>
      </c>
      <c r="B2102" s="9" t="s">
        <v>22512</v>
      </c>
      <c r="D2102" s="9" t="s">
        <v>12246</v>
      </c>
      <c r="F2102" s="9" t="s">
        <v>42442</v>
      </c>
      <c r="G2102" s="9" t="s">
        <v>38946</v>
      </c>
      <c r="H2102" s="127">
        <v>46006.0</v>
      </c>
      <c r="I2102" s="9" t="s">
        <v>218</v>
      </c>
      <c r="J2102" s="9" t="s">
        <v>38801</v>
      </c>
      <c r="K2102" s="55">
        <v>46041.0</v>
      </c>
      <c r="M2102" s="9" t="s">
        <v>11464</v>
      </c>
    </row>
    <row r="2103" ht="15.75" hidden="1" customHeight="1">
      <c r="A2103" s="9" t="s">
        <v>42443</v>
      </c>
      <c r="B2103" s="9" t="s">
        <v>19574</v>
      </c>
      <c r="D2103" s="9" t="s">
        <v>12248</v>
      </c>
      <c r="F2103" s="9" t="s">
        <v>42444</v>
      </c>
      <c r="G2103" s="9" t="s">
        <v>38946</v>
      </c>
      <c r="H2103" s="127">
        <v>46009.0</v>
      </c>
      <c r="I2103" s="9" t="s">
        <v>218</v>
      </c>
      <c r="J2103" s="9" t="s">
        <v>38801</v>
      </c>
      <c r="K2103" s="55">
        <v>46055.0</v>
      </c>
      <c r="M2103" s="9" t="s">
        <v>11758</v>
      </c>
    </row>
    <row r="2104" ht="15.75" hidden="1" customHeight="1">
      <c r="A2104" s="9" t="s">
        <v>42445</v>
      </c>
      <c r="B2104" s="9" t="s">
        <v>14702</v>
      </c>
      <c r="D2104" s="9" t="s">
        <v>12248</v>
      </c>
      <c r="F2104" s="9" t="s">
        <v>42446</v>
      </c>
      <c r="G2104" s="9" t="s">
        <v>38946</v>
      </c>
      <c r="H2104" s="127">
        <v>46009.0</v>
      </c>
      <c r="I2104" s="9" t="s">
        <v>218</v>
      </c>
      <c r="J2104" s="9" t="s">
        <v>38801</v>
      </c>
      <c r="K2104" s="55">
        <v>46009.0</v>
      </c>
      <c r="M2104" s="9" t="s">
        <v>9012</v>
      </c>
    </row>
    <row r="2105" ht="15.75" hidden="1" customHeight="1">
      <c r="A2105" s="9" t="s">
        <v>42447</v>
      </c>
      <c r="B2105" s="9" t="s">
        <v>22893</v>
      </c>
      <c r="D2105" s="9" t="s">
        <v>12227</v>
      </c>
      <c r="E2105" s="9" t="s">
        <v>38803</v>
      </c>
      <c r="F2105" s="9" t="s">
        <v>40970</v>
      </c>
      <c r="G2105" s="9" t="s">
        <v>38946</v>
      </c>
      <c r="H2105" s="127">
        <v>46013.0</v>
      </c>
      <c r="I2105" s="9" t="s">
        <v>131</v>
      </c>
      <c r="J2105" s="9" t="s">
        <v>38805</v>
      </c>
      <c r="K2105" s="55"/>
      <c r="M2105" s="9" t="s">
        <v>11532</v>
      </c>
    </row>
    <row r="2106" ht="15.75" hidden="1" customHeight="1">
      <c r="A2106" s="9" t="s">
        <v>42448</v>
      </c>
      <c r="B2106" s="9" t="s">
        <v>23704</v>
      </c>
      <c r="D2106" s="9" t="s">
        <v>12248</v>
      </c>
      <c r="F2106" s="9" t="s">
        <v>42449</v>
      </c>
      <c r="G2106" s="9" t="s">
        <v>38946</v>
      </c>
      <c r="H2106" s="127">
        <v>46017.0</v>
      </c>
      <c r="I2106" s="9" t="s">
        <v>218</v>
      </c>
      <c r="J2106" s="9" t="s">
        <v>38805</v>
      </c>
      <c r="K2106" s="55"/>
      <c r="M2106" s="9" t="s">
        <v>23692</v>
      </c>
    </row>
    <row r="2107" ht="15.75" hidden="1" customHeight="1">
      <c r="A2107" s="9" t="s">
        <v>42450</v>
      </c>
      <c r="B2107" s="9" t="s">
        <v>26964</v>
      </c>
      <c r="D2107" s="9" t="s">
        <v>12248</v>
      </c>
      <c r="F2107" s="9" t="s">
        <v>42451</v>
      </c>
      <c r="G2107" s="9" t="s">
        <v>38808</v>
      </c>
      <c r="H2107" s="127">
        <v>46017.0</v>
      </c>
      <c r="I2107" s="9" t="s">
        <v>47</v>
      </c>
      <c r="J2107" s="9" t="s">
        <v>38805</v>
      </c>
      <c r="K2107" s="55"/>
      <c r="M2107" s="9" t="s">
        <v>12125</v>
      </c>
    </row>
    <row r="2108" ht="15.75" hidden="1" customHeight="1">
      <c r="A2108" s="9" t="s">
        <v>42452</v>
      </c>
      <c r="B2108" s="9" t="s">
        <v>13956</v>
      </c>
      <c r="D2108" s="9" t="s">
        <v>12248</v>
      </c>
      <c r="F2108" s="9" t="s">
        <v>42264</v>
      </c>
      <c r="G2108" s="9" t="s">
        <v>38808</v>
      </c>
      <c r="H2108" s="127">
        <v>46017.0</v>
      </c>
      <c r="I2108" s="9" t="s">
        <v>47</v>
      </c>
      <c r="J2108" s="9" t="s">
        <v>38805</v>
      </c>
      <c r="K2108" s="55"/>
      <c r="M2108" s="9" t="s">
        <v>9206</v>
      </c>
    </row>
    <row r="2109" ht="15.75" hidden="1" customHeight="1">
      <c r="A2109" s="9" t="s">
        <v>42453</v>
      </c>
      <c r="B2109" s="9" t="s">
        <v>23939</v>
      </c>
      <c r="D2109" s="9" t="s">
        <v>12230</v>
      </c>
      <c r="F2109" s="9" t="s">
        <v>40154</v>
      </c>
      <c r="G2109" s="9" t="s">
        <v>38946</v>
      </c>
      <c r="H2109" s="127">
        <v>46029.0</v>
      </c>
      <c r="I2109" s="9" t="s">
        <v>218</v>
      </c>
      <c r="J2109" s="9" t="s">
        <v>38801</v>
      </c>
      <c r="K2109" s="55">
        <v>46031.0</v>
      </c>
      <c r="M2109" s="9" t="s">
        <v>23928</v>
      </c>
    </row>
    <row r="2110" ht="15.75" hidden="1" customHeight="1">
      <c r="A2110" s="9" t="s">
        <v>42454</v>
      </c>
      <c r="B2110" s="9" t="s">
        <v>23952</v>
      </c>
      <c r="D2110" s="9" t="s">
        <v>12230</v>
      </c>
      <c r="F2110" s="9" t="s">
        <v>40154</v>
      </c>
      <c r="G2110" s="9" t="s">
        <v>38946</v>
      </c>
      <c r="H2110" s="127">
        <v>46030.0</v>
      </c>
      <c r="I2110" s="9" t="s">
        <v>218</v>
      </c>
      <c r="J2110" s="9" t="s">
        <v>38801</v>
      </c>
      <c r="K2110" s="55">
        <v>46058.0</v>
      </c>
      <c r="M2110" s="9" t="s">
        <v>23942</v>
      </c>
    </row>
    <row r="2111" ht="15.75" hidden="1" customHeight="1">
      <c r="A2111" s="9" t="s">
        <v>42455</v>
      </c>
      <c r="B2111" s="9" t="s">
        <v>23966</v>
      </c>
      <c r="D2111" s="9" t="s">
        <v>12230</v>
      </c>
      <c r="F2111" s="9" t="s">
        <v>40154</v>
      </c>
      <c r="G2111" s="9" t="s">
        <v>38946</v>
      </c>
      <c r="H2111" s="127">
        <v>46035.0</v>
      </c>
      <c r="I2111" s="9" t="s">
        <v>218</v>
      </c>
      <c r="J2111" s="9" t="s">
        <v>38801</v>
      </c>
      <c r="K2111" s="55">
        <v>46055.0</v>
      </c>
      <c r="M2111" s="9" t="s">
        <v>23956</v>
      </c>
    </row>
    <row r="2112" ht="15.75" hidden="1" customHeight="1">
      <c r="A2112" s="9" t="s">
        <v>42456</v>
      </c>
      <c r="B2112" s="9" t="s">
        <v>23989</v>
      </c>
      <c r="D2112" s="9" t="s">
        <v>12230</v>
      </c>
      <c r="F2112" s="9" t="s">
        <v>40242</v>
      </c>
      <c r="G2112" s="9" t="s">
        <v>38946</v>
      </c>
      <c r="H2112" s="127">
        <v>46035.0</v>
      </c>
      <c r="I2112" s="9" t="s">
        <v>218</v>
      </c>
      <c r="J2112" s="9" t="s">
        <v>38801</v>
      </c>
      <c r="K2112" s="55">
        <v>46056.0</v>
      </c>
      <c r="M2112" s="9" t="s">
        <v>23982</v>
      </c>
    </row>
    <row r="2113" ht="15.75" hidden="1" customHeight="1">
      <c r="A2113" s="9" t="s">
        <v>42457</v>
      </c>
      <c r="B2113" s="9" t="s">
        <v>23989</v>
      </c>
      <c r="D2113" s="9" t="s">
        <v>12227</v>
      </c>
      <c r="E2113" s="9" t="s">
        <v>38803</v>
      </c>
      <c r="F2113" s="9" t="s">
        <v>40970</v>
      </c>
      <c r="G2113" s="9" t="s">
        <v>38946</v>
      </c>
      <c r="H2113" s="127">
        <v>46035.0</v>
      </c>
      <c r="I2113" s="9" t="s">
        <v>218</v>
      </c>
      <c r="J2113" s="9" t="s">
        <v>38805</v>
      </c>
      <c r="K2113" s="55"/>
      <c r="M2113" s="9" t="s">
        <v>23982</v>
      </c>
    </row>
    <row r="2114" ht="15.75" hidden="1" customHeight="1">
      <c r="A2114" s="9" t="s">
        <v>42458</v>
      </c>
      <c r="B2114" s="9" t="s">
        <v>12850</v>
      </c>
      <c r="D2114" s="9" t="s">
        <v>12248</v>
      </c>
      <c r="F2114" s="9" t="s">
        <v>42459</v>
      </c>
      <c r="G2114" s="9" t="s">
        <v>38808</v>
      </c>
      <c r="H2114" s="127">
        <v>46041.0</v>
      </c>
      <c r="I2114" s="9" t="s">
        <v>47</v>
      </c>
      <c r="J2114" s="9" t="s">
        <v>38801</v>
      </c>
      <c r="K2114" s="55">
        <v>46100.0</v>
      </c>
      <c r="M2114" s="9" t="s">
        <v>10297</v>
      </c>
    </row>
    <row r="2115" ht="15.75" hidden="1" customHeight="1">
      <c r="A2115" s="9" t="s">
        <v>42460</v>
      </c>
      <c r="B2115" s="9" t="s">
        <v>12440</v>
      </c>
      <c r="D2115" s="9" t="s">
        <v>12248</v>
      </c>
      <c r="F2115" s="9" t="s">
        <v>42461</v>
      </c>
      <c r="G2115" s="9" t="s">
        <v>38946</v>
      </c>
      <c r="H2115" s="127">
        <v>46041.0</v>
      </c>
      <c r="I2115" s="9" t="s">
        <v>218</v>
      </c>
      <c r="J2115" s="9" t="s">
        <v>38801</v>
      </c>
      <c r="K2115" s="55">
        <v>46100.0</v>
      </c>
      <c r="M2115" s="9" t="s">
        <v>9268</v>
      </c>
    </row>
    <row r="2116" ht="15.75" hidden="1" customHeight="1">
      <c r="A2116" s="9" t="s">
        <v>42462</v>
      </c>
      <c r="B2116" s="9" t="s">
        <v>13829</v>
      </c>
      <c r="D2116" s="9" t="s">
        <v>12248</v>
      </c>
      <c r="F2116" s="9" t="s">
        <v>42463</v>
      </c>
      <c r="G2116" s="9" t="s">
        <v>38946</v>
      </c>
      <c r="H2116" s="127">
        <v>46041.0</v>
      </c>
      <c r="I2116" s="9" t="s">
        <v>218</v>
      </c>
      <c r="J2116" s="9" t="s">
        <v>38801</v>
      </c>
      <c r="K2116" s="55">
        <v>46041.0</v>
      </c>
      <c r="M2116" s="9" t="s">
        <v>8817</v>
      </c>
    </row>
    <row r="2117" ht="15.75" hidden="1" customHeight="1">
      <c r="A2117" s="52" t="s">
        <v>42464</v>
      </c>
      <c r="B2117" s="9" t="s">
        <v>18770</v>
      </c>
      <c r="D2117" s="9" t="s">
        <v>12248</v>
      </c>
      <c r="F2117" s="9" t="s">
        <v>42465</v>
      </c>
      <c r="G2117" s="9" t="s">
        <v>38808</v>
      </c>
      <c r="H2117" s="127">
        <v>46043.0</v>
      </c>
      <c r="I2117" s="9" t="s">
        <v>47</v>
      </c>
      <c r="J2117" s="9" t="s">
        <v>38805</v>
      </c>
      <c r="K2117" s="55"/>
      <c r="M2117" s="9" t="s">
        <v>3945</v>
      </c>
    </row>
    <row r="2118" ht="15.75" hidden="1" customHeight="1">
      <c r="A2118" s="9" t="s">
        <v>42466</v>
      </c>
      <c r="B2118" s="9" t="s">
        <v>24017</v>
      </c>
      <c r="D2118" s="9" t="s">
        <v>12230</v>
      </c>
      <c r="F2118" s="9" t="s">
        <v>40154</v>
      </c>
      <c r="G2118" s="9" t="s">
        <v>38946</v>
      </c>
      <c r="H2118" s="127">
        <v>46048.0</v>
      </c>
      <c r="I2118" s="9" t="s">
        <v>218</v>
      </c>
      <c r="J2118" s="9" t="s">
        <v>38801</v>
      </c>
      <c r="K2118" s="55">
        <v>46056.0</v>
      </c>
      <c r="M2118" s="9" t="s">
        <v>24006</v>
      </c>
    </row>
    <row r="2119" ht="15.75" hidden="1" customHeight="1">
      <c r="A2119" s="9" t="s">
        <v>42467</v>
      </c>
      <c r="B2119" s="9" t="s">
        <v>24065</v>
      </c>
      <c r="D2119" s="9" t="s">
        <v>12230</v>
      </c>
      <c r="F2119" s="9" t="s">
        <v>40154</v>
      </c>
      <c r="G2119" s="9" t="s">
        <v>38946</v>
      </c>
      <c r="H2119" s="127">
        <v>46049.0</v>
      </c>
      <c r="I2119" s="9" t="s">
        <v>218</v>
      </c>
      <c r="J2119" s="9" t="s">
        <v>38801</v>
      </c>
      <c r="K2119" s="55">
        <v>46058.0</v>
      </c>
      <c r="M2119" s="9" t="s">
        <v>24053</v>
      </c>
    </row>
    <row r="2120" ht="15.75" hidden="1" customHeight="1">
      <c r="A2120" s="9" t="s">
        <v>42468</v>
      </c>
      <c r="B2120" s="9" t="s">
        <v>24080</v>
      </c>
      <c r="D2120" s="9" t="s">
        <v>12230</v>
      </c>
      <c r="F2120" s="9" t="s">
        <v>40154</v>
      </c>
      <c r="G2120" s="9" t="s">
        <v>38946</v>
      </c>
      <c r="H2120" s="127">
        <v>46051.0</v>
      </c>
      <c r="I2120" s="9" t="s">
        <v>218</v>
      </c>
      <c r="J2120" s="9" t="s">
        <v>38801</v>
      </c>
      <c r="K2120" s="55">
        <v>46072.0</v>
      </c>
      <c r="M2120" s="9" t="s">
        <v>24069</v>
      </c>
    </row>
    <row r="2121" ht="15.75" hidden="1" customHeight="1">
      <c r="A2121" s="9" t="s">
        <v>42469</v>
      </c>
      <c r="B2121" s="9" t="s">
        <v>27325</v>
      </c>
      <c r="D2121" s="9" t="s">
        <v>12227</v>
      </c>
      <c r="E2121" s="9" t="s">
        <v>38803</v>
      </c>
      <c r="F2121" s="9" t="s">
        <v>40970</v>
      </c>
      <c r="G2121" s="9" t="s">
        <v>38946</v>
      </c>
      <c r="H2121" s="127">
        <v>46052.0</v>
      </c>
      <c r="I2121" s="9" t="s">
        <v>131</v>
      </c>
      <c r="J2121" s="9" t="s">
        <v>38805</v>
      </c>
      <c r="K2121" s="55"/>
      <c r="M2121" s="9" t="s">
        <v>23302</v>
      </c>
    </row>
    <row r="2122" ht="15.75" hidden="1" customHeight="1">
      <c r="A2122" s="9" t="s">
        <v>42470</v>
      </c>
      <c r="B2122" s="9" t="s">
        <v>24093</v>
      </c>
      <c r="D2122" s="9" t="s">
        <v>12230</v>
      </c>
      <c r="F2122" s="9" t="s">
        <v>42471</v>
      </c>
      <c r="G2122" s="9" t="s">
        <v>38946</v>
      </c>
      <c r="H2122" s="127">
        <v>46056.0</v>
      </c>
      <c r="I2122" s="9" t="s">
        <v>218</v>
      </c>
      <c r="J2122" s="9" t="s">
        <v>38801</v>
      </c>
      <c r="K2122" s="55">
        <v>46058.0</v>
      </c>
      <c r="M2122" s="9" t="s">
        <v>24038</v>
      </c>
    </row>
    <row r="2123" ht="15.75" hidden="1" customHeight="1">
      <c r="A2123" s="9" t="s">
        <v>42472</v>
      </c>
      <c r="B2123" s="9" t="s">
        <v>23952</v>
      </c>
      <c r="D2123" s="9" t="s">
        <v>12227</v>
      </c>
      <c r="E2123" s="9" t="s">
        <v>38803</v>
      </c>
      <c r="F2123" s="9" t="s">
        <v>42473</v>
      </c>
      <c r="G2123" s="9" t="s">
        <v>38946</v>
      </c>
      <c r="H2123" s="127">
        <v>46058.0</v>
      </c>
      <c r="I2123" s="9" t="s">
        <v>218</v>
      </c>
      <c r="J2123" s="9" t="s">
        <v>38805</v>
      </c>
      <c r="K2123" s="55"/>
      <c r="M2123" s="9" t="s">
        <v>23942</v>
      </c>
    </row>
    <row r="2124" ht="15.75" hidden="1" customHeight="1">
      <c r="A2124" s="9" t="s">
        <v>42474</v>
      </c>
      <c r="B2124" s="9" t="s">
        <v>24093</v>
      </c>
      <c r="D2124" s="9" t="s">
        <v>12230</v>
      </c>
      <c r="F2124" s="9" t="s">
        <v>40154</v>
      </c>
      <c r="G2124" s="9" t="s">
        <v>38946</v>
      </c>
      <c r="H2124" s="127">
        <v>46058.0</v>
      </c>
      <c r="I2124" s="9" t="s">
        <v>218</v>
      </c>
      <c r="J2124" s="9" t="s">
        <v>38801</v>
      </c>
      <c r="K2124" s="55">
        <v>46062.0</v>
      </c>
      <c r="M2124" s="9" t="s">
        <v>24084</v>
      </c>
    </row>
    <row r="2125" ht="15.75" hidden="1" customHeight="1">
      <c r="A2125" s="9" t="s">
        <v>42475</v>
      </c>
      <c r="B2125" s="9" t="s">
        <v>23966</v>
      </c>
      <c r="D2125" s="9" t="s">
        <v>12236</v>
      </c>
      <c r="F2125" s="9" t="s">
        <v>42476</v>
      </c>
      <c r="G2125" s="9" t="s">
        <v>38808</v>
      </c>
      <c r="H2125" s="127">
        <v>46058.0</v>
      </c>
      <c r="I2125" s="9" t="s">
        <v>47</v>
      </c>
      <c r="J2125" s="9" t="s">
        <v>38805</v>
      </c>
      <c r="K2125" s="55"/>
      <c r="M2125" s="9" t="s">
        <v>23956</v>
      </c>
    </row>
    <row r="2126" ht="15.75" hidden="1" customHeight="1">
      <c r="A2126" s="9" t="s">
        <v>42477</v>
      </c>
      <c r="B2126" s="9" t="s">
        <v>24108</v>
      </c>
      <c r="D2126" s="9" t="s">
        <v>12230</v>
      </c>
      <c r="F2126" s="9" t="s">
        <v>40154</v>
      </c>
      <c r="G2126" s="9" t="s">
        <v>38946</v>
      </c>
      <c r="H2126" s="127">
        <v>46062.0</v>
      </c>
      <c r="I2126" s="9" t="s">
        <v>218</v>
      </c>
      <c r="J2126" s="9" t="s">
        <v>38805</v>
      </c>
      <c r="K2126" s="55"/>
      <c r="M2126" s="9" t="s">
        <v>24097</v>
      </c>
    </row>
    <row r="2127" ht="15.75" hidden="1" customHeight="1">
      <c r="A2127" s="9" t="s">
        <v>42478</v>
      </c>
      <c r="B2127" s="9" t="s">
        <v>24124</v>
      </c>
      <c r="D2127" s="9" t="s">
        <v>12230</v>
      </c>
      <c r="F2127" s="9" t="s">
        <v>40154</v>
      </c>
      <c r="G2127" s="9" t="s">
        <v>38946</v>
      </c>
      <c r="H2127" s="127">
        <v>46063.0</v>
      </c>
      <c r="I2127" s="9" t="s">
        <v>218</v>
      </c>
      <c r="J2127" s="9" t="s">
        <v>38801</v>
      </c>
      <c r="K2127" s="55">
        <v>46072.0</v>
      </c>
      <c r="M2127" s="9" t="s">
        <v>24111</v>
      </c>
    </row>
    <row r="2128" ht="15.75" hidden="1" customHeight="1">
      <c r="A2128" s="9" t="s">
        <v>42479</v>
      </c>
      <c r="B2128" s="9" t="s">
        <v>241</v>
      </c>
      <c r="D2128" s="9" t="s">
        <v>12230</v>
      </c>
      <c r="F2128" s="9" t="s">
        <v>40154</v>
      </c>
      <c r="G2128" s="9" t="s">
        <v>38946</v>
      </c>
      <c r="H2128" s="127">
        <v>46063.0</v>
      </c>
      <c r="I2128" s="9" t="s">
        <v>218</v>
      </c>
      <c r="J2128" s="9" t="s">
        <v>38801</v>
      </c>
      <c r="K2128" s="55">
        <v>46092.0</v>
      </c>
      <c r="M2128" s="9" t="s">
        <v>240</v>
      </c>
    </row>
    <row r="2129" ht="15.75" hidden="1" customHeight="1">
      <c r="A2129" s="52" t="s">
        <v>42480</v>
      </c>
      <c r="B2129" s="9" t="s">
        <v>25715</v>
      </c>
      <c r="D2129" s="9" t="s">
        <v>12230</v>
      </c>
      <c r="F2129" s="9" t="s">
        <v>42481</v>
      </c>
      <c r="G2129" s="9" t="s">
        <v>38808</v>
      </c>
      <c r="H2129" s="127">
        <v>46064.0</v>
      </c>
      <c r="I2129" s="9" t="s">
        <v>47</v>
      </c>
      <c r="J2129" s="9" t="s">
        <v>38801</v>
      </c>
      <c r="K2129" s="55">
        <v>46064.0</v>
      </c>
      <c r="M2129" s="9" t="s">
        <v>9564</v>
      </c>
    </row>
    <row r="2130" ht="15.75" hidden="1" customHeight="1">
      <c r="A2130" s="9" t="s">
        <v>42482</v>
      </c>
      <c r="B2130" s="9" t="s">
        <v>24158</v>
      </c>
      <c r="D2130" s="9" t="s">
        <v>12230</v>
      </c>
      <c r="F2130" s="9" t="s">
        <v>40154</v>
      </c>
      <c r="G2130" s="9" t="s">
        <v>38946</v>
      </c>
      <c r="H2130" s="127">
        <v>46069.0</v>
      </c>
      <c r="I2130" s="9" t="s">
        <v>218</v>
      </c>
      <c r="J2130" s="9" t="s">
        <v>38801</v>
      </c>
      <c r="K2130" s="55">
        <v>46092.0</v>
      </c>
      <c r="M2130" s="9" t="s">
        <v>24149</v>
      </c>
    </row>
    <row r="2131" ht="15.75" hidden="1" customHeight="1">
      <c r="A2131" s="9" t="s">
        <v>42483</v>
      </c>
      <c r="B2131" s="9" t="s">
        <v>23643</v>
      </c>
      <c r="D2131" s="9" t="s">
        <v>12236</v>
      </c>
      <c r="F2131" s="9" t="s">
        <v>42484</v>
      </c>
      <c r="G2131" s="9" t="s">
        <v>38808</v>
      </c>
      <c r="H2131" s="127">
        <v>46069.0</v>
      </c>
      <c r="I2131" s="9" t="s">
        <v>47</v>
      </c>
      <c r="J2131" s="9" t="s">
        <v>38805</v>
      </c>
      <c r="K2131" s="55"/>
      <c r="M2131" s="9" t="s">
        <v>23632</v>
      </c>
    </row>
    <row r="2132" ht="15.75" hidden="1" customHeight="1">
      <c r="A2132" s="9" t="s">
        <v>42485</v>
      </c>
      <c r="B2132" s="9" t="s">
        <v>12308</v>
      </c>
      <c r="D2132" s="9" t="s">
        <v>12227</v>
      </c>
      <c r="E2132" s="9" t="s">
        <v>38803</v>
      </c>
      <c r="F2132" s="9" t="s">
        <v>42473</v>
      </c>
      <c r="G2132" s="9" t="s">
        <v>38946</v>
      </c>
      <c r="H2132" s="127">
        <v>46071.0</v>
      </c>
      <c r="I2132" s="9" t="s">
        <v>218</v>
      </c>
      <c r="J2132" s="9" t="s">
        <v>38805</v>
      </c>
      <c r="K2132" s="55"/>
      <c r="M2132" s="9" t="s">
        <v>257</v>
      </c>
    </row>
    <row r="2133" ht="15.75" hidden="1" customHeight="1">
      <c r="A2133" s="9" t="s">
        <v>42486</v>
      </c>
      <c r="B2133" s="9" t="s">
        <v>24065</v>
      </c>
      <c r="D2133" s="9" t="s">
        <v>12248</v>
      </c>
      <c r="F2133" s="9" t="s">
        <v>42487</v>
      </c>
      <c r="G2133" s="9" t="s">
        <v>38808</v>
      </c>
      <c r="H2133" s="127">
        <v>46072.0</v>
      </c>
      <c r="I2133" s="9" t="s">
        <v>47</v>
      </c>
      <c r="J2133" s="9" t="s">
        <v>38805</v>
      </c>
      <c r="K2133" s="55"/>
      <c r="M2133" s="9" t="s">
        <v>24053</v>
      </c>
    </row>
    <row r="2134" ht="15.75" hidden="1" customHeight="1">
      <c r="A2134" s="9" t="s">
        <v>42488</v>
      </c>
      <c r="B2134" s="9" t="s">
        <v>19396</v>
      </c>
      <c r="D2134" s="9" t="s">
        <v>12248</v>
      </c>
      <c r="F2134" s="9" t="s">
        <v>42489</v>
      </c>
      <c r="G2134" s="9" t="s">
        <v>38946</v>
      </c>
      <c r="H2134" s="127">
        <v>46072.0</v>
      </c>
      <c r="I2134" s="9" t="s">
        <v>218</v>
      </c>
      <c r="J2134" s="9" t="s">
        <v>38801</v>
      </c>
      <c r="K2134" s="55">
        <v>46101.0</v>
      </c>
      <c r="M2134" s="9" t="s">
        <v>11774</v>
      </c>
    </row>
    <row r="2135" ht="15.75" hidden="1" customHeight="1">
      <c r="A2135" s="9" t="s">
        <v>42490</v>
      </c>
      <c r="B2135" s="9" t="s">
        <v>24174</v>
      </c>
      <c r="D2135" s="9" t="s">
        <v>12230</v>
      </c>
      <c r="F2135" s="9" t="s">
        <v>40154</v>
      </c>
      <c r="G2135" s="9" t="s">
        <v>38946</v>
      </c>
      <c r="H2135" s="127">
        <v>46073.0</v>
      </c>
      <c r="I2135" s="9" t="s">
        <v>218</v>
      </c>
      <c r="J2135" s="9" t="s">
        <v>38801</v>
      </c>
      <c r="K2135" s="55">
        <v>46092.0</v>
      </c>
      <c r="M2135" s="9" t="s">
        <v>24162</v>
      </c>
    </row>
    <row r="2136" ht="15.75" hidden="1" customHeight="1">
      <c r="A2136" s="9" t="s">
        <v>42491</v>
      </c>
      <c r="B2136" s="52" t="s">
        <v>24213</v>
      </c>
      <c r="D2136" s="9" t="s">
        <v>12230</v>
      </c>
      <c r="F2136" s="9" t="s">
        <v>40154</v>
      </c>
      <c r="G2136" s="9" t="s">
        <v>38946</v>
      </c>
      <c r="H2136" s="127">
        <v>46079.0</v>
      </c>
      <c r="I2136" s="9" t="s">
        <v>218</v>
      </c>
      <c r="J2136" s="9" t="s">
        <v>38805</v>
      </c>
      <c r="K2136" s="55"/>
      <c r="M2136" s="9" t="s">
        <v>274</v>
      </c>
    </row>
    <row r="2137" ht="15.75" hidden="1" customHeight="1">
      <c r="A2137" s="9" t="s">
        <v>42492</v>
      </c>
      <c r="B2137" s="9" t="s">
        <v>24228</v>
      </c>
      <c r="D2137" s="9" t="s">
        <v>12230</v>
      </c>
      <c r="F2137" s="9" t="s">
        <v>40154</v>
      </c>
      <c r="G2137" s="9" t="s">
        <v>38946</v>
      </c>
      <c r="H2137" s="127">
        <v>46080.0</v>
      </c>
      <c r="I2137" s="9" t="s">
        <v>218</v>
      </c>
      <c r="J2137" s="9" t="s">
        <v>38805</v>
      </c>
      <c r="K2137" s="55"/>
      <c r="M2137" s="9" t="s">
        <v>24216</v>
      </c>
    </row>
    <row r="2138" ht="15.75" hidden="1" customHeight="1">
      <c r="A2138" s="9" t="s">
        <v>42493</v>
      </c>
      <c r="B2138" s="9" t="s">
        <v>24241</v>
      </c>
      <c r="D2138" s="9" t="s">
        <v>12230</v>
      </c>
      <c r="F2138" s="9" t="s">
        <v>40154</v>
      </c>
      <c r="G2138" s="9" t="s">
        <v>38946</v>
      </c>
      <c r="H2138" s="127">
        <v>46085.0</v>
      </c>
      <c r="I2138" s="9" t="s">
        <v>218</v>
      </c>
      <c r="J2138" s="9" t="s">
        <v>38805</v>
      </c>
      <c r="K2138" s="55"/>
      <c r="M2138" s="9" t="s">
        <v>24244</v>
      </c>
    </row>
    <row r="2139" ht="15.75" hidden="1" customHeight="1">
      <c r="A2139" s="9" t="s">
        <v>42494</v>
      </c>
      <c r="B2139" s="9" t="s">
        <v>24241</v>
      </c>
      <c r="D2139" s="9" t="s">
        <v>12230</v>
      </c>
      <c r="F2139" s="9" t="s">
        <v>40154</v>
      </c>
      <c r="G2139" s="9" t="s">
        <v>38946</v>
      </c>
      <c r="H2139" s="127">
        <v>46085.0</v>
      </c>
      <c r="I2139" s="9" t="s">
        <v>218</v>
      </c>
      <c r="J2139" s="9" t="s">
        <v>38805</v>
      </c>
      <c r="K2139" s="55"/>
      <c r="M2139" s="9" t="s">
        <v>24231</v>
      </c>
    </row>
    <row r="2140" ht="15.75" hidden="1" customHeight="1">
      <c r="A2140" s="9" t="s">
        <v>42495</v>
      </c>
      <c r="B2140" s="9" t="s">
        <v>24286</v>
      </c>
      <c r="D2140" s="9" t="s">
        <v>12230</v>
      </c>
      <c r="F2140" s="9" t="s">
        <v>40154</v>
      </c>
      <c r="G2140" s="9" t="s">
        <v>38946</v>
      </c>
      <c r="H2140" s="127">
        <v>46098.0</v>
      </c>
      <c r="I2140" s="9" t="s">
        <v>218</v>
      </c>
      <c r="J2140" s="9" t="s">
        <v>38801</v>
      </c>
      <c r="K2140" s="55">
        <v>46098.0</v>
      </c>
      <c r="M2140" s="9" t="s">
        <v>24274</v>
      </c>
    </row>
    <row r="2141" ht="15.75" hidden="1" customHeight="1">
      <c r="A2141" s="9" t="s">
        <v>42496</v>
      </c>
      <c r="B2141" s="9" t="s">
        <v>16378</v>
      </c>
      <c r="D2141" s="9" t="s">
        <v>12248</v>
      </c>
      <c r="F2141" s="9" t="s">
        <v>42497</v>
      </c>
      <c r="G2141" s="9" t="s">
        <v>38808</v>
      </c>
      <c r="H2141" s="127">
        <v>46101.0</v>
      </c>
      <c r="I2141" s="9" t="s">
        <v>47</v>
      </c>
      <c r="J2141" s="9" t="s">
        <v>38805</v>
      </c>
      <c r="K2141" s="55"/>
      <c r="M2141" s="9" t="s">
        <v>244</v>
      </c>
    </row>
    <row r="2142" ht="15.75" hidden="1" customHeight="1">
      <c r="A2142" s="9"/>
      <c r="B2142" s="9"/>
      <c r="D2142" s="9"/>
      <c r="F2142" s="9"/>
      <c r="G2142" s="9"/>
      <c r="H2142" s="127"/>
      <c r="I2142" s="9"/>
      <c r="J2142" s="9"/>
      <c r="K2142" s="55"/>
      <c r="M2142" s="9"/>
    </row>
    <row r="2143" ht="15.75" hidden="1" customHeight="1">
      <c r="A2143" s="9"/>
      <c r="B2143" s="9"/>
      <c r="D2143" s="9"/>
      <c r="F2143" s="9"/>
      <c r="G2143" s="9"/>
      <c r="H2143" s="127"/>
      <c r="I2143" s="9"/>
      <c r="J2143" s="9"/>
      <c r="K2143" s="55"/>
      <c r="M2143" s="9"/>
    </row>
    <row r="2144" ht="15.75" hidden="1" customHeight="1">
      <c r="A2144" s="9"/>
      <c r="B2144" s="9"/>
      <c r="D2144" s="9"/>
      <c r="F2144" s="9"/>
      <c r="G2144" s="9"/>
      <c r="H2144" s="127"/>
      <c r="I2144" s="9"/>
      <c r="J2144" s="9"/>
      <c r="K2144" s="55"/>
      <c r="M2144" s="9"/>
    </row>
    <row r="2145" ht="15.75" hidden="1" customHeight="1">
      <c r="A2145" s="9"/>
      <c r="B2145" s="9"/>
      <c r="D2145" s="9"/>
      <c r="F2145" s="9"/>
      <c r="G2145" s="9"/>
      <c r="H2145" s="127"/>
      <c r="I2145" s="9"/>
      <c r="J2145" s="9"/>
      <c r="K2145" s="55"/>
      <c r="M2145" s="9"/>
    </row>
    <row r="2146" ht="15.75" hidden="1" customHeight="1">
      <c r="A2146" s="9"/>
      <c r="B2146" s="9"/>
      <c r="D2146" s="9"/>
      <c r="F2146" s="9"/>
      <c r="G2146" s="9"/>
      <c r="H2146" s="127"/>
      <c r="I2146" s="9"/>
      <c r="J2146" s="9"/>
      <c r="K2146" s="55"/>
      <c r="M2146" s="9"/>
    </row>
    <row r="2147" ht="15.75" hidden="1" customHeight="1">
      <c r="A2147" s="9"/>
      <c r="B2147" s="9"/>
      <c r="D2147" s="9"/>
      <c r="F2147" s="9"/>
      <c r="G2147" s="9"/>
      <c r="H2147" s="127"/>
      <c r="I2147" s="9"/>
      <c r="J2147" s="9"/>
      <c r="K2147" s="55"/>
      <c r="M2147" s="9"/>
    </row>
    <row r="2148" ht="15.75" hidden="1" customHeight="1">
      <c r="A2148" s="9"/>
      <c r="B2148" s="9"/>
      <c r="D2148" s="9"/>
      <c r="F2148" s="9"/>
      <c r="G2148" s="9"/>
      <c r="H2148" s="127"/>
      <c r="I2148" s="9"/>
      <c r="J2148" s="9"/>
      <c r="K2148" s="55"/>
      <c r="M2148" s="9"/>
    </row>
    <row r="2149" ht="15.75" hidden="1" customHeight="1">
      <c r="A2149" s="9"/>
      <c r="B2149" s="9"/>
      <c r="D2149" s="9"/>
      <c r="F2149" s="9"/>
      <c r="G2149" s="9"/>
      <c r="H2149" s="127"/>
      <c r="I2149" s="9"/>
      <c r="J2149" s="9"/>
      <c r="K2149" s="55"/>
      <c r="M2149" s="9"/>
    </row>
    <row r="2150" ht="15.75" hidden="1" customHeight="1">
      <c r="A2150" s="9"/>
      <c r="B2150" s="9"/>
      <c r="D2150" s="9"/>
      <c r="F2150" s="9"/>
      <c r="G2150" s="9"/>
      <c r="H2150" s="127"/>
      <c r="I2150" s="9"/>
      <c r="J2150" s="9"/>
      <c r="K2150" s="55"/>
      <c r="M2150" s="9"/>
    </row>
    <row r="2151" ht="15.75" hidden="1" customHeight="1">
      <c r="A2151" s="9"/>
      <c r="B2151" s="9"/>
      <c r="D2151" s="9"/>
      <c r="F2151" s="9"/>
      <c r="G2151" s="9"/>
      <c r="H2151" s="127"/>
      <c r="I2151" s="9"/>
      <c r="J2151" s="9"/>
      <c r="K2151" s="55"/>
      <c r="M2151" s="9"/>
    </row>
    <row r="2152" ht="15.75" hidden="1" customHeight="1">
      <c r="A2152" s="9"/>
      <c r="B2152" s="9"/>
      <c r="D2152" s="9"/>
      <c r="F2152" s="9"/>
      <c r="G2152" s="9"/>
      <c r="H2152" s="127"/>
      <c r="I2152" s="9"/>
      <c r="J2152" s="9"/>
      <c r="K2152" s="55"/>
      <c r="M2152" s="9"/>
    </row>
    <row r="2153" ht="15.75" hidden="1" customHeight="1">
      <c r="A2153" s="9"/>
      <c r="B2153" s="9"/>
      <c r="D2153" s="9"/>
      <c r="F2153" s="9"/>
      <c r="G2153" s="9"/>
      <c r="H2153" s="127"/>
      <c r="I2153" s="9"/>
      <c r="J2153" s="9"/>
      <c r="K2153" s="55"/>
      <c r="M2153" s="9"/>
    </row>
    <row r="2154" ht="15.75" hidden="1" customHeight="1">
      <c r="A2154" s="9"/>
      <c r="B2154" s="9"/>
      <c r="D2154" s="9"/>
      <c r="F2154" s="9"/>
      <c r="G2154" s="9"/>
      <c r="H2154" s="127"/>
      <c r="I2154" s="9"/>
      <c r="J2154" s="9"/>
      <c r="K2154" s="55"/>
      <c r="M2154" s="9"/>
    </row>
    <row r="2155" ht="15.75" hidden="1" customHeight="1">
      <c r="A2155" s="9"/>
      <c r="B2155" s="9"/>
      <c r="D2155" s="9"/>
      <c r="F2155" s="9"/>
      <c r="G2155" s="9"/>
      <c r="H2155" s="127"/>
      <c r="I2155" s="9"/>
      <c r="J2155" s="9"/>
      <c r="K2155" s="55"/>
      <c r="M2155" s="9"/>
    </row>
    <row r="2156" ht="15.75" hidden="1" customHeight="1">
      <c r="A2156" s="9"/>
      <c r="B2156" s="9"/>
      <c r="D2156" s="9"/>
      <c r="F2156" s="9"/>
      <c r="G2156" s="9"/>
      <c r="H2156" s="127"/>
      <c r="I2156" s="9"/>
      <c r="J2156" s="9"/>
      <c r="K2156" s="55"/>
      <c r="M2156" s="9"/>
    </row>
    <row r="2157" ht="15.75" hidden="1" customHeight="1">
      <c r="A2157" s="9"/>
      <c r="B2157" s="9"/>
      <c r="D2157" s="9"/>
      <c r="F2157" s="9"/>
      <c r="G2157" s="9"/>
      <c r="H2157" s="127"/>
      <c r="I2157" s="9"/>
      <c r="J2157" s="9"/>
      <c r="K2157" s="55"/>
      <c r="M2157" s="9"/>
    </row>
    <row r="2158" ht="15.75" hidden="1" customHeight="1">
      <c r="A2158" s="9"/>
      <c r="B2158" s="9"/>
      <c r="D2158" s="9"/>
      <c r="F2158" s="9"/>
      <c r="G2158" s="9"/>
      <c r="H2158" s="127"/>
      <c r="I2158" s="9"/>
      <c r="J2158" s="9"/>
      <c r="K2158" s="55"/>
      <c r="M2158" s="9"/>
    </row>
    <row r="2159" ht="15.75" hidden="1" customHeight="1">
      <c r="A2159" s="9"/>
      <c r="B2159" s="9"/>
      <c r="D2159" s="9"/>
      <c r="F2159" s="9"/>
      <c r="G2159" s="9"/>
      <c r="H2159" s="127"/>
      <c r="I2159" s="9"/>
      <c r="J2159" s="9"/>
      <c r="K2159" s="55"/>
      <c r="M2159" s="9"/>
    </row>
    <row r="2160" ht="15.75" hidden="1" customHeight="1">
      <c r="A2160" s="9"/>
      <c r="B2160" s="9"/>
      <c r="D2160" s="9"/>
      <c r="F2160" s="9"/>
      <c r="G2160" s="9"/>
      <c r="H2160" s="127"/>
      <c r="I2160" s="9"/>
      <c r="J2160" s="9"/>
      <c r="K2160" s="55"/>
      <c r="M2160" s="9"/>
    </row>
    <row r="2161" ht="15.75" hidden="1" customHeight="1">
      <c r="A2161" s="9"/>
      <c r="B2161" s="9"/>
      <c r="D2161" s="9"/>
      <c r="F2161" s="9"/>
      <c r="G2161" s="9"/>
      <c r="H2161" s="127"/>
      <c r="I2161" s="9"/>
      <c r="J2161" s="9"/>
      <c r="K2161" s="55"/>
      <c r="M2161" s="9"/>
    </row>
    <row r="2162" ht="15.75" hidden="1" customHeight="1">
      <c r="A2162" s="9"/>
      <c r="B2162" s="9"/>
      <c r="D2162" s="9"/>
      <c r="F2162" s="9"/>
      <c r="G2162" s="9"/>
      <c r="H2162" s="127"/>
      <c r="I2162" s="9"/>
      <c r="J2162" s="9"/>
      <c r="K2162" s="55"/>
      <c r="M2162" s="9"/>
    </row>
    <row r="2163" ht="15.75" hidden="1" customHeight="1">
      <c r="A2163" s="9"/>
      <c r="B2163" s="9"/>
      <c r="D2163" s="9"/>
      <c r="F2163" s="9"/>
      <c r="G2163" s="9"/>
      <c r="H2163" s="127"/>
      <c r="I2163" s="9"/>
      <c r="J2163" s="9"/>
      <c r="K2163" s="55"/>
      <c r="M2163" s="9"/>
    </row>
    <row r="2164" ht="15.75" hidden="1" customHeight="1">
      <c r="A2164" s="9"/>
      <c r="B2164" s="9"/>
      <c r="D2164" s="9"/>
      <c r="F2164" s="9"/>
      <c r="G2164" s="9"/>
      <c r="H2164" s="127"/>
      <c r="I2164" s="9"/>
      <c r="J2164" s="9"/>
      <c r="K2164" s="55"/>
      <c r="M2164" s="9"/>
    </row>
    <row r="2165" ht="15.75" hidden="1" customHeight="1">
      <c r="A2165" s="9"/>
      <c r="B2165" s="9"/>
      <c r="D2165" s="9"/>
      <c r="F2165" s="9"/>
      <c r="G2165" s="9"/>
      <c r="H2165" s="127"/>
      <c r="I2165" s="9"/>
      <c r="J2165" s="9"/>
      <c r="K2165" s="55"/>
      <c r="M2165" s="9"/>
    </row>
    <row r="2166" ht="15.75" hidden="1" customHeight="1">
      <c r="A2166" s="9"/>
      <c r="B2166" s="9"/>
      <c r="D2166" s="9"/>
      <c r="F2166" s="9"/>
      <c r="G2166" s="9"/>
      <c r="H2166" s="127"/>
      <c r="I2166" s="9"/>
      <c r="J2166" s="9"/>
      <c r="K2166" s="55"/>
      <c r="M2166" s="9"/>
    </row>
    <row r="2167" ht="15.75" hidden="1" customHeight="1">
      <c r="A2167" s="9"/>
      <c r="B2167" s="9"/>
      <c r="D2167" s="9"/>
      <c r="F2167" s="9"/>
      <c r="G2167" s="9"/>
      <c r="H2167" s="127"/>
      <c r="I2167" s="9"/>
      <c r="J2167" s="9"/>
      <c r="K2167" s="55"/>
      <c r="M2167" s="9"/>
    </row>
    <row r="2168" ht="15.75" hidden="1" customHeight="1">
      <c r="A2168" s="9"/>
      <c r="B2168" s="9"/>
      <c r="D2168" s="9"/>
      <c r="F2168" s="9"/>
      <c r="G2168" s="9"/>
      <c r="H2168" s="127"/>
      <c r="I2168" s="9"/>
      <c r="J2168" s="9"/>
      <c r="K2168" s="55"/>
      <c r="M2168" s="9"/>
    </row>
    <row r="2169" ht="15.75" hidden="1" customHeight="1">
      <c r="A2169" s="9"/>
      <c r="B2169" s="9"/>
      <c r="D2169" s="9"/>
      <c r="F2169" s="9"/>
      <c r="G2169" s="9"/>
      <c r="H2169" s="127"/>
      <c r="I2169" s="9"/>
      <c r="J2169" s="9"/>
      <c r="K2169" s="55"/>
      <c r="M2169" s="9"/>
    </row>
    <row r="2170" ht="15.75" hidden="1" customHeight="1">
      <c r="A2170" s="9"/>
      <c r="B2170" s="9"/>
      <c r="D2170" s="9"/>
      <c r="F2170" s="9"/>
      <c r="G2170" s="9"/>
      <c r="H2170" s="127"/>
      <c r="I2170" s="9"/>
      <c r="J2170" s="9"/>
      <c r="K2170" s="55"/>
      <c r="M2170" s="9"/>
    </row>
    <row r="2171" ht="15.75" hidden="1" customHeight="1">
      <c r="A2171" s="9"/>
      <c r="B2171" s="9"/>
      <c r="D2171" s="9"/>
      <c r="F2171" s="9"/>
      <c r="G2171" s="9"/>
      <c r="H2171" s="127"/>
      <c r="I2171" s="9"/>
      <c r="J2171" s="9"/>
      <c r="K2171" s="55"/>
      <c r="M2171" s="9"/>
    </row>
    <row r="2172" ht="15.75" hidden="1" customHeight="1">
      <c r="A2172" s="9"/>
      <c r="B2172" s="9"/>
      <c r="D2172" s="9"/>
      <c r="F2172" s="9"/>
      <c r="G2172" s="9"/>
      <c r="H2172" s="127"/>
      <c r="I2172" s="9"/>
      <c r="J2172" s="9"/>
      <c r="K2172" s="55"/>
      <c r="M2172" s="9"/>
    </row>
    <row r="2173" ht="15.75" hidden="1" customHeight="1">
      <c r="A2173" s="9"/>
      <c r="B2173" s="9"/>
      <c r="D2173" s="9"/>
      <c r="F2173" s="9"/>
      <c r="G2173" s="9"/>
      <c r="H2173" s="127"/>
      <c r="I2173" s="9"/>
      <c r="J2173" s="9"/>
      <c r="K2173" s="55"/>
      <c r="M2173" s="9"/>
    </row>
    <row r="2174" ht="15.75" hidden="1" customHeight="1">
      <c r="A2174" s="9"/>
      <c r="B2174" s="9"/>
      <c r="D2174" s="9"/>
      <c r="F2174" s="9"/>
      <c r="G2174" s="9"/>
      <c r="H2174" s="127"/>
      <c r="I2174" s="9"/>
      <c r="J2174" s="9"/>
      <c r="K2174" s="55"/>
      <c r="M2174" s="9"/>
    </row>
    <row r="2175" ht="15.75" hidden="1" customHeight="1">
      <c r="A2175" s="9"/>
      <c r="B2175" s="9"/>
      <c r="D2175" s="9"/>
      <c r="F2175" s="9"/>
      <c r="G2175" s="9"/>
      <c r="H2175" s="127"/>
      <c r="I2175" s="9"/>
      <c r="J2175" s="9"/>
      <c r="K2175" s="55"/>
      <c r="M2175" s="9"/>
    </row>
    <row r="2176" ht="15.75" hidden="1" customHeight="1">
      <c r="A2176" s="9"/>
      <c r="B2176" s="9"/>
      <c r="D2176" s="9"/>
      <c r="F2176" s="9"/>
      <c r="G2176" s="9"/>
      <c r="H2176" s="127"/>
      <c r="I2176" s="9"/>
      <c r="J2176" s="9"/>
      <c r="K2176" s="55"/>
      <c r="M2176" s="9"/>
    </row>
    <row r="2177" ht="15.75" hidden="1" customHeight="1">
      <c r="A2177" s="9"/>
      <c r="B2177" s="9"/>
      <c r="D2177" s="9"/>
      <c r="F2177" s="9"/>
      <c r="G2177" s="9"/>
      <c r="H2177" s="127"/>
      <c r="I2177" s="9"/>
      <c r="J2177" s="9"/>
      <c r="K2177" s="55"/>
      <c r="M2177" s="9"/>
    </row>
    <row r="2178" ht="15.75" hidden="1" customHeight="1">
      <c r="A2178" s="9"/>
      <c r="B2178" s="9"/>
      <c r="D2178" s="9"/>
      <c r="F2178" s="9"/>
      <c r="G2178" s="9"/>
      <c r="H2178" s="127"/>
      <c r="I2178" s="9"/>
      <c r="J2178" s="9"/>
      <c r="K2178" s="55"/>
      <c r="M2178" s="9"/>
    </row>
    <row r="2179" ht="15.75" hidden="1" customHeight="1">
      <c r="A2179" s="9"/>
      <c r="B2179" s="9"/>
      <c r="D2179" s="9"/>
      <c r="F2179" s="9"/>
      <c r="G2179" s="9"/>
      <c r="H2179" s="127"/>
      <c r="I2179" s="9"/>
      <c r="J2179" s="9"/>
      <c r="K2179" s="55"/>
      <c r="M2179" s="9"/>
    </row>
    <row r="2180" ht="15.75" hidden="1" customHeight="1">
      <c r="A2180" s="9"/>
      <c r="B2180" s="9"/>
      <c r="D2180" s="9"/>
      <c r="F2180" s="9"/>
      <c r="G2180" s="9"/>
      <c r="H2180" s="127"/>
      <c r="I2180" s="9"/>
      <c r="J2180" s="9"/>
      <c r="K2180" s="55"/>
      <c r="M2180" s="9"/>
    </row>
    <row r="2181" ht="15.75" hidden="1" customHeight="1">
      <c r="A2181" s="9"/>
      <c r="B2181" s="9"/>
      <c r="D2181" s="9"/>
      <c r="F2181" s="9"/>
      <c r="G2181" s="9"/>
      <c r="H2181" s="127"/>
      <c r="I2181" s="9"/>
      <c r="J2181" s="9"/>
      <c r="K2181" s="55"/>
      <c r="M2181" s="9"/>
    </row>
    <row r="2182" ht="15.75" hidden="1" customHeight="1">
      <c r="A2182" s="9"/>
      <c r="B2182" s="9"/>
      <c r="D2182" s="9"/>
      <c r="F2182" s="9"/>
      <c r="G2182" s="9"/>
      <c r="H2182" s="127"/>
      <c r="I2182" s="9"/>
      <c r="J2182" s="9"/>
      <c r="K2182" s="55"/>
      <c r="M2182" s="9"/>
    </row>
    <row r="2183" ht="15.75" hidden="1" customHeight="1">
      <c r="A2183" s="9"/>
      <c r="B2183" s="9"/>
      <c r="D2183" s="9"/>
      <c r="F2183" s="9"/>
      <c r="G2183" s="9"/>
      <c r="H2183" s="127"/>
      <c r="I2183" s="9"/>
      <c r="J2183" s="9"/>
      <c r="K2183" s="55"/>
      <c r="M2183" s="9"/>
    </row>
    <row r="2184" ht="15.75" hidden="1" customHeight="1">
      <c r="A2184" s="9"/>
      <c r="B2184" s="9"/>
      <c r="D2184" s="9"/>
      <c r="F2184" s="9"/>
      <c r="G2184" s="9"/>
      <c r="H2184" s="127"/>
      <c r="I2184" s="9"/>
      <c r="J2184" s="9"/>
      <c r="K2184" s="55"/>
      <c r="M2184" s="9"/>
    </row>
    <row r="2185" ht="15.75" hidden="1" customHeight="1">
      <c r="A2185" s="9"/>
      <c r="B2185" s="9"/>
      <c r="D2185" s="9"/>
      <c r="F2185" s="9"/>
      <c r="G2185" s="9"/>
      <c r="H2185" s="127"/>
      <c r="I2185" s="9"/>
      <c r="J2185" s="9"/>
      <c r="K2185" s="55"/>
      <c r="M2185" s="9"/>
    </row>
    <row r="2186" ht="15.75" hidden="1" customHeight="1">
      <c r="A2186" s="9"/>
      <c r="B2186" s="9"/>
      <c r="D2186" s="9"/>
      <c r="F2186" s="9"/>
      <c r="G2186" s="9"/>
      <c r="H2186" s="127"/>
      <c r="I2186" s="9"/>
      <c r="J2186" s="9"/>
      <c r="K2186" s="55"/>
      <c r="M2186" s="9"/>
    </row>
    <row r="2187" ht="15.75" hidden="1" customHeight="1">
      <c r="A2187" s="9"/>
      <c r="B2187" s="9"/>
      <c r="D2187" s="9"/>
      <c r="F2187" s="9"/>
      <c r="G2187" s="9"/>
      <c r="H2187" s="127"/>
      <c r="I2187" s="9"/>
      <c r="J2187" s="9"/>
      <c r="K2187" s="55"/>
      <c r="M2187" s="9"/>
    </row>
    <row r="2188" ht="15.75" hidden="1" customHeight="1">
      <c r="A2188" s="9"/>
      <c r="B2188" s="9"/>
      <c r="D2188" s="9"/>
      <c r="F2188" s="9"/>
      <c r="G2188" s="9"/>
      <c r="H2188" s="127"/>
      <c r="I2188" s="9"/>
      <c r="J2188" s="9"/>
      <c r="K2188" s="55"/>
      <c r="M2188" s="9"/>
    </row>
    <row r="2189" ht="15.75" hidden="1" customHeight="1">
      <c r="A2189" s="9"/>
      <c r="B2189" s="9"/>
      <c r="D2189" s="9"/>
      <c r="F2189" s="9"/>
      <c r="G2189" s="9"/>
      <c r="H2189" s="127"/>
      <c r="I2189" s="9"/>
      <c r="J2189" s="9"/>
      <c r="K2189" s="55"/>
      <c r="M2189" s="9"/>
    </row>
    <row r="2190" ht="15.75" hidden="1" customHeight="1">
      <c r="A2190" s="9"/>
      <c r="B2190" s="9"/>
      <c r="D2190" s="9"/>
      <c r="F2190" s="9"/>
      <c r="G2190" s="9"/>
      <c r="H2190" s="127"/>
      <c r="I2190" s="9"/>
      <c r="J2190" s="9"/>
      <c r="K2190" s="55"/>
      <c r="M2190" s="9"/>
    </row>
    <row r="2191" ht="15.75" hidden="1" customHeight="1">
      <c r="A2191" s="9"/>
      <c r="B2191" s="9"/>
      <c r="D2191" s="9"/>
      <c r="F2191" s="9"/>
      <c r="G2191" s="9"/>
      <c r="H2191" s="127"/>
      <c r="I2191" s="9"/>
      <c r="J2191" s="9"/>
      <c r="K2191" s="55"/>
      <c r="M2191" s="9"/>
    </row>
    <row r="2192" ht="15.75" hidden="1" customHeight="1">
      <c r="A2192" s="9"/>
      <c r="B2192" s="9"/>
      <c r="D2192" s="9"/>
      <c r="F2192" s="9"/>
      <c r="G2192" s="9"/>
      <c r="H2192" s="127"/>
      <c r="I2192" s="9"/>
      <c r="J2192" s="9"/>
      <c r="K2192" s="55"/>
      <c r="M2192" s="9"/>
    </row>
    <row r="2193" ht="15.75" hidden="1" customHeight="1">
      <c r="A2193" s="9"/>
      <c r="B2193" s="9"/>
      <c r="D2193" s="9"/>
      <c r="F2193" s="9"/>
      <c r="G2193" s="9"/>
      <c r="H2193" s="127"/>
      <c r="I2193" s="9"/>
      <c r="J2193" s="9"/>
      <c r="K2193" s="55"/>
      <c r="M2193" s="9"/>
    </row>
    <row r="2194" ht="15.75" hidden="1" customHeight="1">
      <c r="A2194" s="9"/>
      <c r="B2194" s="9"/>
      <c r="D2194" s="9"/>
      <c r="F2194" s="9"/>
      <c r="G2194" s="9"/>
      <c r="H2194" s="127"/>
      <c r="I2194" s="9"/>
      <c r="J2194" s="9"/>
      <c r="K2194" s="55"/>
      <c r="M2194" s="9"/>
    </row>
    <row r="2195" ht="15.75" hidden="1" customHeight="1">
      <c r="A2195" s="9"/>
      <c r="B2195" s="9"/>
      <c r="D2195" s="9"/>
      <c r="F2195" s="9"/>
      <c r="G2195" s="9"/>
      <c r="H2195" s="127"/>
      <c r="I2195" s="9"/>
      <c r="J2195" s="9"/>
      <c r="K2195" s="55"/>
      <c r="M2195" s="9"/>
    </row>
    <row r="2196" ht="15.75" hidden="1" customHeight="1">
      <c r="A2196" s="9"/>
      <c r="B2196" s="9"/>
      <c r="D2196" s="9"/>
      <c r="F2196" s="9"/>
      <c r="G2196" s="9"/>
      <c r="H2196" s="127"/>
      <c r="I2196" s="9"/>
      <c r="J2196" s="9"/>
      <c r="K2196" s="55"/>
      <c r="M2196" s="9"/>
    </row>
    <row r="2197" ht="15.75" hidden="1" customHeight="1">
      <c r="A2197" s="9"/>
      <c r="B2197" s="9"/>
      <c r="D2197" s="9"/>
      <c r="F2197" s="9"/>
      <c r="G2197" s="9"/>
      <c r="H2197" s="127"/>
      <c r="I2197" s="9"/>
      <c r="J2197" s="9"/>
      <c r="K2197" s="55"/>
      <c r="M2197" s="9"/>
    </row>
    <row r="2198" ht="15.75" hidden="1" customHeight="1">
      <c r="A2198" s="9"/>
      <c r="B2198" s="9"/>
      <c r="D2198" s="9"/>
      <c r="F2198" s="9"/>
      <c r="G2198" s="9"/>
      <c r="H2198" s="127"/>
      <c r="I2198" s="9"/>
      <c r="J2198" s="9"/>
      <c r="K2198" s="55"/>
      <c r="M2198" s="9"/>
    </row>
    <row r="2199" ht="15.75" hidden="1" customHeight="1">
      <c r="A2199" s="9"/>
      <c r="B2199" s="9"/>
      <c r="D2199" s="9"/>
      <c r="F2199" s="9"/>
      <c r="G2199" s="9"/>
      <c r="H2199" s="127"/>
      <c r="I2199" s="9"/>
      <c r="J2199" s="9"/>
      <c r="K2199" s="55"/>
      <c r="M2199" s="9"/>
    </row>
    <row r="2200" ht="15.75" hidden="1" customHeight="1">
      <c r="A2200" s="9"/>
      <c r="B2200" s="9"/>
      <c r="D2200" s="9"/>
      <c r="F2200" s="9"/>
      <c r="G2200" s="9"/>
      <c r="H2200" s="127"/>
      <c r="I2200" s="9"/>
      <c r="J2200" s="9"/>
      <c r="K2200" s="55"/>
      <c r="M2200" s="9"/>
    </row>
    <row r="2201" ht="15.75" hidden="1" customHeight="1">
      <c r="A2201" s="9"/>
      <c r="B2201" s="9"/>
      <c r="D2201" s="9"/>
      <c r="F2201" s="9"/>
      <c r="G2201" s="9"/>
      <c r="H2201" s="127"/>
      <c r="I2201" s="9"/>
      <c r="J2201" s="9"/>
      <c r="K2201" s="55"/>
      <c r="M2201" s="9"/>
    </row>
    <row r="2202" ht="15.75" hidden="1" customHeight="1">
      <c r="A2202" s="9"/>
      <c r="B2202" s="9"/>
      <c r="D2202" s="9"/>
      <c r="F2202" s="9"/>
      <c r="G2202" s="9"/>
      <c r="H2202" s="127"/>
      <c r="I2202" s="9"/>
      <c r="J2202" s="9"/>
      <c r="K2202" s="55"/>
      <c r="M2202" s="9"/>
    </row>
    <row r="2203" ht="15.75" hidden="1" customHeight="1">
      <c r="A2203" s="9"/>
      <c r="B2203" s="9"/>
      <c r="D2203" s="9"/>
      <c r="F2203" s="9"/>
      <c r="G2203" s="9"/>
      <c r="H2203" s="127"/>
      <c r="I2203" s="9"/>
      <c r="J2203" s="9"/>
      <c r="K2203" s="55"/>
      <c r="M2203" s="9"/>
    </row>
    <row r="2204" ht="15.75" hidden="1" customHeight="1">
      <c r="A2204" s="9"/>
      <c r="B2204" s="9"/>
      <c r="D2204" s="9"/>
      <c r="F2204" s="9"/>
      <c r="G2204" s="9"/>
      <c r="H2204" s="127"/>
      <c r="I2204" s="9"/>
      <c r="J2204" s="9"/>
      <c r="K2204" s="55"/>
      <c r="M2204" s="9"/>
    </row>
    <row r="2205" ht="15.75" hidden="1" customHeight="1">
      <c r="A2205" s="9"/>
      <c r="B2205" s="9"/>
      <c r="D2205" s="9"/>
      <c r="F2205" s="9"/>
      <c r="G2205" s="9"/>
      <c r="H2205" s="127"/>
      <c r="I2205" s="9"/>
      <c r="J2205" s="9"/>
      <c r="K2205" s="55"/>
      <c r="M2205" s="9"/>
    </row>
    <row r="2206" ht="15.75" hidden="1" customHeight="1">
      <c r="A2206" s="9"/>
      <c r="B2206" s="9"/>
      <c r="D2206" s="9"/>
      <c r="F2206" s="9"/>
      <c r="G2206" s="9"/>
      <c r="H2206" s="127"/>
      <c r="I2206" s="9"/>
      <c r="J2206" s="9"/>
      <c r="K2206" s="55"/>
      <c r="M2206" s="9"/>
    </row>
    <row r="2207" ht="15.75" hidden="1" customHeight="1">
      <c r="A2207" s="9"/>
      <c r="B2207" s="9"/>
      <c r="D2207" s="9"/>
      <c r="F2207" s="9"/>
      <c r="G2207" s="9"/>
      <c r="H2207" s="127"/>
      <c r="I2207" s="9"/>
      <c r="J2207" s="9"/>
      <c r="K2207" s="55"/>
      <c r="M2207" s="9"/>
    </row>
    <row r="2208" ht="15.75" hidden="1" customHeight="1">
      <c r="A2208" s="9"/>
      <c r="B2208" s="9"/>
      <c r="D2208" s="9"/>
      <c r="F2208" s="9"/>
      <c r="G2208" s="9"/>
      <c r="H2208" s="127"/>
      <c r="I2208" s="9"/>
      <c r="J2208" s="9"/>
      <c r="K2208" s="55"/>
      <c r="M2208" s="9"/>
    </row>
    <row r="2209" ht="15.75" hidden="1" customHeight="1">
      <c r="A2209" s="9"/>
      <c r="B2209" s="9"/>
      <c r="D2209" s="9"/>
      <c r="F2209" s="9"/>
      <c r="G2209" s="9"/>
      <c r="H2209" s="127"/>
      <c r="I2209" s="9"/>
      <c r="J2209" s="9"/>
      <c r="K2209" s="55"/>
      <c r="M2209" s="9"/>
    </row>
    <row r="2210" ht="15.75" hidden="1" customHeight="1">
      <c r="A2210" s="9"/>
      <c r="B2210" s="9"/>
      <c r="D2210" s="9"/>
      <c r="F2210" s="9"/>
      <c r="G2210" s="9"/>
      <c r="H2210" s="127"/>
      <c r="I2210" s="9"/>
      <c r="J2210" s="9"/>
      <c r="K2210" s="55"/>
      <c r="M2210" s="9"/>
    </row>
    <row r="2211" ht="15.75" hidden="1" customHeight="1">
      <c r="A2211" s="9"/>
      <c r="B2211" s="9"/>
      <c r="D2211" s="9"/>
      <c r="F2211" s="9"/>
      <c r="G2211" s="9"/>
      <c r="H2211" s="127"/>
      <c r="I2211" s="9"/>
      <c r="J2211" s="9"/>
      <c r="K2211" s="55"/>
      <c r="M2211" s="9"/>
    </row>
    <row r="2212" ht="15.75" hidden="1" customHeight="1">
      <c r="A2212" s="9"/>
      <c r="B2212" s="9"/>
      <c r="D2212" s="9"/>
      <c r="F2212" s="9"/>
      <c r="G2212" s="9"/>
      <c r="H2212" s="127"/>
      <c r="I2212" s="9"/>
      <c r="J2212" s="9"/>
      <c r="K2212" s="55"/>
      <c r="M2212" s="9"/>
    </row>
    <row r="2213" ht="15.75" hidden="1" customHeight="1">
      <c r="A2213" s="9"/>
      <c r="B2213" s="9"/>
      <c r="D2213" s="9"/>
      <c r="F2213" s="9"/>
      <c r="G2213" s="9"/>
      <c r="H2213" s="127"/>
      <c r="I2213" s="9"/>
      <c r="J2213" s="9"/>
      <c r="K2213" s="55"/>
      <c r="M2213" s="9"/>
    </row>
    <row r="2214" ht="15.75" hidden="1" customHeight="1">
      <c r="A2214" s="9"/>
      <c r="B2214" s="9"/>
      <c r="D2214" s="9"/>
      <c r="F2214" s="9"/>
      <c r="G2214" s="9"/>
      <c r="H2214" s="127"/>
      <c r="I2214" s="9"/>
      <c r="J2214" s="9"/>
      <c r="K2214" s="55"/>
      <c r="M2214" s="9"/>
    </row>
    <row r="2215" ht="15.75" hidden="1" customHeight="1">
      <c r="A2215" s="9"/>
      <c r="B2215" s="9"/>
      <c r="D2215" s="9"/>
      <c r="F2215" s="9"/>
      <c r="G2215" s="9"/>
      <c r="H2215" s="127"/>
      <c r="I2215" s="9"/>
      <c r="J2215" s="9"/>
      <c r="K2215" s="55"/>
      <c r="M2215" s="9"/>
    </row>
    <row r="2216" ht="15.75" hidden="1" customHeight="1">
      <c r="A2216" s="9"/>
      <c r="B2216" s="9"/>
      <c r="D2216" s="9"/>
      <c r="F2216" s="9"/>
      <c r="G2216" s="9"/>
      <c r="H2216" s="127"/>
      <c r="I2216" s="9"/>
      <c r="J2216" s="9"/>
      <c r="K2216" s="55"/>
      <c r="M2216" s="9"/>
    </row>
    <row r="2217" ht="15.75" hidden="1" customHeight="1">
      <c r="A2217" s="9"/>
      <c r="B2217" s="9"/>
      <c r="D2217" s="9"/>
      <c r="F2217" s="9"/>
      <c r="G2217" s="9"/>
      <c r="H2217" s="127"/>
      <c r="I2217" s="9"/>
      <c r="J2217" s="9"/>
      <c r="K2217" s="55"/>
      <c r="M2217" s="9"/>
    </row>
    <row r="2218" ht="15.75" hidden="1" customHeight="1">
      <c r="A2218" s="9"/>
      <c r="B2218" s="9"/>
      <c r="D2218" s="9"/>
      <c r="F2218" s="9"/>
      <c r="G2218" s="9"/>
      <c r="H2218" s="127"/>
      <c r="I2218" s="9"/>
      <c r="J2218" s="9"/>
      <c r="K2218" s="55"/>
      <c r="M2218" s="9"/>
    </row>
    <row r="2219" ht="15.75" hidden="1" customHeight="1">
      <c r="A2219" s="9"/>
      <c r="B2219" s="9"/>
      <c r="D2219" s="9"/>
      <c r="F2219" s="9"/>
      <c r="G2219" s="9"/>
      <c r="H2219" s="127"/>
      <c r="I2219" s="9"/>
      <c r="J2219" s="9"/>
      <c r="K2219" s="55"/>
      <c r="M2219" s="9"/>
    </row>
    <row r="2220" ht="15.75" hidden="1" customHeight="1">
      <c r="A2220" s="9"/>
      <c r="B2220" s="9"/>
      <c r="D2220" s="9"/>
      <c r="F2220" s="9"/>
      <c r="G2220" s="9"/>
      <c r="H2220" s="127"/>
      <c r="I2220" s="9"/>
      <c r="J2220" s="9"/>
      <c r="K2220" s="55"/>
      <c r="M2220" s="9"/>
    </row>
    <row r="2221" ht="15.75" hidden="1" customHeight="1">
      <c r="A2221" s="9"/>
      <c r="B2221" s="9"/>
      <c r="D2221" s="9"/>
      <c r="F2221" s="9"/>
      <c r="G2221" s="9"/>
      <c r="H2221" s="127"/>
      <c r="I2221" s="9"/>
      <c r="J2221" s="9"/>
      <c r="K2221" s="55"/>
      <c r="M2221" s="9"/>
    </row>
    <row r="2222" ht="15.75" hidden="1" customHeight="1">
      <c r="A2222" s="9"/>
      <c r="B2222" s="9"/>
      <c r="D2222" s="9"/>
      <c r="F2222" s="9"/>
      <c r="G2222" s="9"/>
      <c r="H2222" s="127"/>
      <c r="I2222" s="9"/>
      <c r="J2222" s="9"/>
      <c r="K2222" s="55"/>
      <c r="M2222" s="9"/>
    </row>
    <row r="2223" ht="15.75" hidden="1" customHeight="1">
      <c r="A2223" s="9"/>
      <c r="B2223" s="9"/>
      <c r="D2223" s="9"/>
      <c r="F2223" s="9"/>
      <c r="G2223" s="9"/>
      <c r="H2223" s="127"/>
      <c r="I2223" s="9"/>
      <c r="J2223" s="9"/>
      <c r="K2223" s="55"/>
      <c r="M2223" s="9"/>
    </row>
    <row r="2224" ht="15.75" hidden="1" customHeight="1">
      <c r="A2224" s="9"/>
      <c r="B2224" s="9"/>
      <c r="D2224" s="9"/>
      <c r="F2224" s="9"/>
      <c r="G2224" s="9"/>
      <c r="H2224" s="127"/>
      <c r="I2224" s="9"/>
      <c r="J2224" s="9"/>
      <c r="K2224" s="55"/>
      <c r="M2224" s="9"/>
    </row>
    <row r="2225" ht="15.75" hidden="1" customHeight="1">
      <c r="A2225" s="9"/>
      <c r="B2225" s="9"/>
      <c r="D2225" s="9"/>
      <c r="F2225" s="9"/>
      <c r="G2225" s="9"/>
      <c r="H2225" s="127"/>
      <c r="I2225" s="9"/>
      <c r="J2225" s="9"/>
      <c r="K2225" s="55"/>
      <c r="M2225" s="9"/>
    </row>
    <row r="2226" ht="15.75" hidden="1" customHeight="1">
      <c r="A2226" s="9"/>
      <c r="B2226" s="9"/>
      <c r="D2226" s="9"/>
      <c r="F2226" s="9"/>
      <c r="G2226" s="9"/>
      <c r="H2226" s="127"/>
      <c r="I2226" s="9"/>
      <c r="J2226" s="9"/>
      <c r="K2226" s="55"/>
      <c r="M2226" s="9"/>
    </row>
    <row r="2227" ht="15.75" hidden="1" customHeight="1">
      <c r="A2227" s="9"/>
      <c r="B2227" s="9"/>
      <c r="D2227" s="9"/>
      <c r="F2227" s="9"/>
      <c r="G2227" s="9"/>
      <c r="H2227" s="127"/>
      <c r="I2227" s="9"/>
      <c r="J2227" s="9"/>
      <c r="K2227" s="55"/>
      <c r="M2227" s="9"/>
    </row>
    <row r="2228" ht="15.75" hidden="1" customHeight="1">
      <c r="A2228" s="9"/>
      <c r="B2228" s="9"/>
      <c r="D2228" s="9"/>
      <c r="F2228" s="9"/>
      <c r="G2228" s="9"/>
      <c r="H2228" s="127"/>
      <c r="I2228" s="9"/>
      <c r="J2228" s="9"/>
      <c r="K2228" s="55"/>
      <c r="M2228" s="9"/>
    </row>
    <row r="2229" ht="15.75" hidden="1" customHeight="1">
      <c r="A2229" s="9"/>
      <c r="B2229" s="9"/>
      <c r="D2229" s="9"/>
      <c r="F2229" s="9"/>
      <c r="G2229" s="9"/>
      <c r="H2229" s="127"/>
      <c r="I2229" s="9"/>
      <c r="J2229" s="9"/>
      <c r="K2229" s="55"/>
      <c r="M2229" s="9"/>
    </row>
    <row r="2230" ht="15.75" hidden="1" customHeight="1">
      <c r="A2230" s="9"/>
      <c r="B2230" s="9"/>
      <c r="D2230" s="9"/>
      <c r="F2230" s="9"/>
      <c r="G2230" s="9"/>
      <c r="H2230" s="127"/>
      <c r="I2230" s="9"/>
      <c r="J2230" s="9"/>
      <c r="K2230" s="55"/>
      <c r="M2230" s="9"/>
    </row>
    <row r="2231" ht="15.75" hidden="1" customHeight="1">
      <c r="A2231" s="9"/>
      <c r="B2231" s="9"/>
      <c r="D2231" s="9"/>
      <c r="F2231" s="9"/>
      <c r="G2231" s="9"/>
      <c r="H2231" s="127"/>
      <c r="I2231" s="9"/>
      <c r="J2231" s="9"/>
      <c r="K2231" s="55"/>
      <c r="M2231" s="9"/>
    </row>
    <row r="2232" ht="15.75" hidden="1" customHeight="1">
      <c r="A2232" s="9"/>
      <c r="B2232" s="9"/>
      <c r="D2232" s="9"/>
      <c r="F2232" s="9"/>
      <c r="G2232" s="9"/>
      <c r="H2232" s="127"/>
      <c r="I2232" s="9"/>
      <c r="J2232" s="9"/>
      <c r="K2232" s="55"/>
      <c r="M2232" s="9"/>
    </row>
    <row r="2233" ht="15.75" hidden="1" customHeight="1">
      <c r="A2233" s="9"/>
      <c r="B2233" s="9"/>
      <c r="D2233" s="9"/>
      <c r="F2233" s="9"/>
      <c r="G2233" s="9"/>
      <c r="H2233" s="127"/>
      <c r="I2233" s="9"/>
      <c r="J2233" s="9"/>
      <c r="K2233" s="55"/>
      <c r="M2233" s="9"/>
    </row>
    <row r="2234" ht="15.75" hidden="1" customHeight="1">
      <c r="A2234" s="9"/>
      <c r="B2234" s="9"/>
      <c r="D2234" s="9"/>
      <c r="F2234" s="9"/>
      <c r="G2234" s="9"/>
      <c r="H2234" s="127"/>
      <c r="I2234" s="9"/>
      <c r="J2234" s="9"/>
      <c r="K2234" s="55"/>
      <c r="M2234" s="9"/>
    </row>
    <row r="2235" ht="15.75" hidden="1" customHeight="1">
      <c r="A2235" s="9"/>
      <c r="B2235" s="9"/>
      <c r="D2235" s="9"/>
      <c r="F2235" s="9"/>
      <c r="G2235" s="9"/>
      <c r="H2235" s="127"/>
      <c r="I2235" s="9"/>
      <c r="J2235" s="9"/>
      <c r="K2235" s="55"/>
      <c r="M2235" s="9"/>
    </row>
    <row r="2236" ht="15.75" hidden="1" customHeight="1">
      <c r="A2236" s="9"/>
      <c r="B2236" s="9"/>
      <c r="D2236" s="9"/>
      <c r="F2236" s="9"/>
      <c r="G2236" s="9"/>
      <c r="H2236" s="127"/>
      <c r="I2236" s="9"/>
      <c r="J2236" s="9"/>
      <c r="K2236" s="55"/>
      <c r="M2236" s="9"/>
    </row>
    <row r="2237" ht="15.75" hidden="1" customHeight="1">
      <c r="A2237" s="9"/>
      <c r="B2237" s="9"/>
      <c r="D2237" s="9"/>
      <c r="F2237" s="9"/>
      <c r="G2237" s="9"/>
      <c r="H2237" s="127"/>
      <c r="I2237" s="9"/>
      <c r="J2237" s="9"/>
      <c r="K2237" s="55"/>
      <c r="M2237" s="9"/>
    </row>
    <row r="2238" ht="15.75" hidden="1" customHeight="1">
      <c r="A2238" s="9"/>
      <c r="B2238" s="9"/>
      <c r="D2238" s="9"/>
      <c r="F2238" s="9"/>
      <c r="G2238" s="9"/>
      <c r="H2238" s="127"/>
      <c r="I2238" s="9"/>
      <c r="J2238" s="9"/>
      <c r="K2238" s="55"/>
      <c r="M2238" s="9"/>
    </row>
    <row r="2239" ht="15.75" hidden="1" customHeight="1">
      <c r="A2239" s="9"/>
      <c r="B2239" s="9"/>
      <c r="D2239" s="9"/>
      <c r="F2239" s="9"/>
      <c r="G2239" s="9"/>
      <c r="H2239" s="127"/>
      <c r="I2239" s="9"/>
      <c r="J2239" s="9"/>
      <c r="K2239" s="55"/>
      <c r="M2239" s="9"/>
    </row>
    <row r="2240" ht="15.75" hidden="1" customHeight="1">
      <c r="A2240" s="9"/>
      <c r="B2240" s="9"/>
      <c r="D2240" s="9"/>
      <c r="F2240" s="9"/>
      <c r="G2240" s="9"/>
      <c r="H2240" s="127"/>
      <c r="I2240" s="9"/>
      <c r="J2240" s="9"/>
      <c r="K2240" s="55"/>
      <c r="M2240" s="9"/>
    </row>
    <row r="2241" ht="15.75" hidden="1" customHeight="1">
      <c r="A2241" s="9"/>
      <c r="B2241" s="9"/>
      <c r="D2241" s="9"/>
      <c r="F2241" s="9"/>
      <c r="G2241" s="9"/>
      <c r="H2241" s="127"/>
      <c r="I2241" s="9"/>
      <c r="J2241" s="9"/>
      <c r="K2241" s="55"/>
      <c r="M2241" s="9"/>
    </row>
    <row r="2242" ht="15.75" hidden="1" customHeight="1">
      <c r="A2242" s="9"/>
      <c r="B2242" s="9"/>
      <c r="D2242" s="9"/>
      <c r="F2242" s="9"/>
      <c r="G2242" s="9"/>
      <c r="H2242" s="127"/>
      <c r="I2242" s="9"/>
      <c r="J2242" s="9"/>
      <c r="K2242" s="55"/>
      <c r="M2242" s="9"/>
    </row>
    <row r="2243" ht="15.75" hidden="1" customHeight="1">
      <c r="A2243" s="9"/>
      <c r="B2243" s="9"/>
      <c r="D2243" s="9"/>
      <c r="F2243" s="9"/>
      <c r="G2243" s="9"/>
      <c r="H2243" s="127"/>
      <c r="I2243" s="9"/>
      <c r="J2243" s="9"/>
      <c r="K2243" s="55"/>
      <c r="M2243" s="9"/>
    </row>
    <row r="2244" ht="15.75" hidden="1" customHeight="1">
      <c r="A2244" s="9"/>
      <c r="B2244" s="9"/>
      <c r="D2244" s="9"/>
      <c r="F2244" s="9"/>
      <c r="G2244" s="9"/>
      <c r="H2244" s="127"/>
      <c r="I2244" s="9"/>
      <c r="J2244" s="9"/>
      <c r="K2244" s="55"/>
      <c r="M2244" s="9"/>
    </row>
    <row r="2245" ht="15.75" hidden="1" customHeight="1">
      <c r="A2245" s="9"/>
      <c r="B2245" s="9"/>
      <c r="D2245" s="9"/>
      <c r="F2245" s="9"/>
      <c r="G2245" s="9"/>
      <c r="H2245" s="127"/>
      <c r="I2245" s="9"/>
      <c r="J2245" s="9"/>
      <c r="K2245" s="55"/>
      <c r="M2245" s="9"/>
    </row>
    <row r="2246" ht="15.75" hidden="1" customHeight="1">
      <c r="A2246" s="9"/>
      <c r="B2246" s="9"/>
      <c r="D2246" s="9"/>
      <c r="F2246" s="9"/>
      <c r="G2246" s="9"/>
      <c r="H2246" s="127"/>
      <c r="I2246" s="9"/>
      <c r="J2246" s="9"/>
      <c r="K2246" s="55"/>
      <c r="M2246" s="9"/>
    </row>
    <row r="2247" ht="15.75" hidden="1" customHeight="1">
      <c r="A2247" s="9"/>
      <c r="B2247" s="9"/>
      <c r="D2247" s="9"/>
      <c r="F2247" s="9"/>
      <c r="G2247" s="9"/>
      <c r="H2247" s="127"/>
      <c r="I2247" s="9"/>
      <c r="J2247" s="9"/>
      <c r="K2247" s="55"/>
      <c r="M2247" s="9"/>
    </row>
    <row r="2248" ht="15.75" hidden="1" customHeight="1">
      <c r="A2248" s="9"/>
      <c r="B2248" s="9"/>
      <c r="D2248" s="9"/>
      <c r="F2248" s="9"/>
      <c r="G2248" s="9"/>
      <c r="H2248" s="127"/>
      <c r="I2248" s="9"/>
      <c r="J2248" s="9"/>
      <c r="K2248" s="55"/>
      <c r="M2248" s="9"/>
    </row>
    <row r="2249" ht="15.75" hidden="1" customHeight="1">
      <c r="A2249" s="9"/>
      <c r="B2249" s="9"/>
      <c r="D2249" s="9"/>
      <c r="F2249" s="9"/>
      <c r="G2249" s="9"/>
      <c r="H2249" s="127"/>
      <c r="I2249" s="9"/>
      <c r="J2249" s="9"/>
      <c r="K2249" s="55"/>
      <c r="M2249" s="9"/>
    </row>
    <row r="2250" ht="15.75" hidden="1" customHeight="1">
      <c r="A2250" s="9"/>
      <c r="B2250" s="9"/>
      <c r="D2250" s="9"/>
      <c r="F2250" s="9"/>
      <c r="G2250" s="9"/>
      <c r="H2250" s="127"/>
      <c r="I2250" s="9"/>
      <c r="J2250" s="9"/>
      <c r="K2250" s="55"/>
      <c r="M2250" s="9"/>
    </row>
    <row r="2251" ht="15.75" hidden="1" customHeight="1">
      <c r="A2251" s="9"/>
      <c r="B2251" s="9"/>
      <c r="D2251" s="9"/>
      <c r="F2251" s="9"/>
      <c r="G2251" s="9"/>
      <c r="H2251" s="127"/>
      <c r="I2251" s="9"/>
      <c r="J2251" s="9"/>
      <c r="K2251" s="55"/>
      <c r="M2251" s="9"/>
    </row>
    <row r="2252" ht="15.75" hidden="1" customHeight="1">
      <c r="A2252" s="9"/>
      <c r="B2252" s="9"/>
      <c r="D2252" s="9"/>
      <c r="F2252" s="9"/>
      <c r="G2252" s="9"/>
      <c r="H2252" s="127"/>
      <c r="I2252" s="9"/>
      <c r="J2252" s="9"/>
      <c r="K2252" s="55"/>
      <c r="M2252" s="9"/>
    </row>
    <row r="2253" ht="15.75" hidden="1" customHeight="1">
      <c r="A2253" s="9"/>
      <c r="B2253" s="9"/>
      <c r="D2253" s="9"/>
      <c r="F2253" s="9"/>
      <c r="G2253" s="9"/>
      <c r="H2253" s="127"/>
      <c r="I2253" s="9"/>
      <c r="J2253" s="9"/>
      <c r="K2253" s="55"/>
      <c r="M2253" s="9"/>
    </row>
    <row r="2254" ht="15.75" hidden="1" customHeight="1">
      <c r="A2254" s="9"/>
      <c r="B2254" s="9"/>
      <c r="D2254" s="9"/>
      <c r="F2254" s="9"/>
      <c r="G2254" s="9"/>
      <c r="H2254" s="127"/>
      <c r="I2254" s="9"/>
      <c r="J2254" s="9"/>
      <c r="K2254" s="55"/>
      <c r="M2254" s="9"/>
    </row>
    <row r="2255" ht="15.75" hidden="1" customHeight="1">
      <c r="A2255" s="9"/>
      <c r="B2255" s="9"/>
      <c r="D2255" s="9"/>
      <c r="F2255" s="9"/>
      <c r="G2255" s="9"/>
      <c r="H2255" s="127"/>
      <c r="I2255" s="9"/>
      <c r="J2255" s="9"/>
      <c r="K2255" s="55"/>
      <c r="M2255" s="9"/>
    </row>
    <row r="2256" ht="15.75" hidden="1" customHeight="1">
      <c r="A2256" s="9"/>
      <c r="B2256" s="9"/>
      <c r="D2256" s="9"/>
      <c r="F2256" s="9"/>
      <c r="G2256" s="9"/>
      <c r="H2256" s="127"/>
      <c r="I2256" s="9"/>
      <c r="J2256" s="9"/>
      <c r="K2256" s="55"/>
      <c r="M2256" s="9"/>
    </row>
    <row r="2257" ht="15.75" hidden="1" customHeight="1">
      <c r="A2257" s="9"/>
      <c r="B2257" s="9"/>
      <c r="D2257" s="9"/>
      <c r="F2257" s="9"/>
      <c r="G2257" s="9"/>
      <c r="H2257" s="127"/>
      <c r="I2257" s="9"/>
      <c r="J2257" s="9"/>
      <c r="K2257" s="55"/>
      <c r="M2257" s="9"/>
    </row>
    <row r="2258" ht="15.75" hidden="1" customHeight="1">
      <c r="A2258" s="9"/>
      <c r="B2258" s="9"/>
      <c r="D2258" s="9"/>
      <c r="F2258" s="9"/>
      <c r="G2258" s="9"/>
      <c r="H2258" s="127"/>
      <c r="I2258" s="9"/>
      <c r="J2258" s="9"/>
      <c r="K2258" s="55"/>
      <c r="M2258" s="9"/>
    </row>
    <row r="2259" ht="15.75" hidden="1" customHeight="1">
      <c r="A2259" s="9"/>
      <c r="B2259" s="9"/>
      <c r="D2259" s="9"/>
      <c r="F2259" s="9"/>
      <c r="G2259" s="9"/>
      <c r="H2259" s="127"/>
      <c r="I2259" s="9"/>
      <c r="J2259" s="9"/>
      <c r="K2259" s="55"/>
      <c r="M2259" s="9"/>
    </row>
    <row r="2260" ht="15.75" hidden="1" customHeight="1">
      <c r="A2260" s="9"/>
      <c r="B2260" s="9"/>
      <c r="D2260" s="9"/>
      <c r="F2260" s="9"/>
      <c r="G2260" s="9"/>
      <c r="H2260" s="127"/>
      <c r="I2260" s="9"/>
      <c r="J2260" s="9"/>
      <c r="K2260" s="55"/>
      <c r="M2260" s="9"/>
    </row>
    <row r="2261" ht="15.75" hidden="1" customHeight="1">
      <c r="A2261" s="9"/>
      <c r="B2261" s="9"/>
      <c r="D2261" s="9"/>
      <c r="F2261" s="9"/>
      <c r="G2261" s="9"/>
      <c r="H2261" s="127"/>
      <c r="I2261" s="9"/>
      <c r="J2261" s="9"/>
      <c r="K2261" s="55"/>
      <c r="M2261" s="9"/>
    </row>
    <row r="2262" ht="15.75" hidden="1" customHeight="1">
      <c r="A2262" s="9"/>
      <c r="B2262" s="9"/>
      <c r="D2262" s="9"/>
      <c r="F2262" s="9"/>
      <c r="G2262" s="9"/>
      <c r="H2262" s="127"/>
      <c r="I2262" s="9"/>
      <c r="J2262" s="9"/>
      <c r="K2262" s="55"/>
      <c r="M2262" s="9"/>
    </row>
    <row r="2263" ht="15.75" hidden="1" customHeight="1">
      <c r="A2263" s="9"/>
      <c r="B2263" s="9"/>
      <c r="D2263" s="9"/>
      <c r="F2263" s="9"/>
      <c r="G2263" s="9"/>
      <c r="H2263" s="127"/>
      <c r="I2263" s="9"/>
      <c r="J2263" s="9"/>
      <c r="K2263" s="55"/>
      <c r="M2263" s="9"/>
    </row>
    <row r="2264" ht="15.75" hidden="1" customHeight="1">
      <c r="A2264" s="9"/>
      <c r="B2264" s="9"/>
      <c r="D2264" s="9"/>
      <c r="F2264" s="9"/>
      <c r="G2264" s="9"/>
      <c r="H2264" s="127"/>
      <c r="I2264" s="9"/>
      <c r="J2264" s="9"/>
      <c r="K2264" s="55"/>
      <c r="M2264" s="9"/>
    </row>
    <row r="2265" ht="15.75" hidden="1" customHeight="1">
      <c r="A2265" s="9"/>
      <c r="B2265" s="9"/>
      <c r="D2265" s="9"/>
      <c r="F2265" s="9"/>
      <c r="G2265" s="9"/>
      <c r="H2265" s="127"/>
      <c r="I2265" s="9"/>
      <c r="J2265" s="9"/>
      <c r="K2265" s="55"/>
      <c r="M2265" s="9"/>
    </row>
    <row r="2266" ht="15.75" hidden="1" customHeight="1">
      <c r="A2266" s="9"/>
      <c r="B2266" s="9"/>
      <c r="D2266" s="9"/>
      <c r="F2266" s="9"/>
      <c r="G2266" s="9"/>
      <c r="H2266" s="127"/>
      <c r="I2266" s="9"/>
      <c r="J2266" s="9"/>
      <c r="K2266" s="55"/>
      <c r="M2266" s="9"/>
    </row>
    <row r="2267" ht="15.75" hidden="1" customHeight="1">
      <c r="A2267" s="9"/>
      <c r="B2267" s="9"/>
      <c r="D2267" s="9"/>
      <c r="F2267" s="9"/>
      <c r="G2267" s="9"/>
      <c r="H2267" s="127"/>
      <c r="I2267" s="9"/>
      <c r="J2267" s="9"/>
      <c r="K2267" s="55"/>
      <c r="M2267" s="9"/>
    </row>
    <row r="2268" ht="15.75" hidden="1" customHeight="1">
      <c r="A2268" s="9"/>
      <c r="B2268" s="9"/>
      <c r="D2268" s="9"/>
      <c r="F2268" s="9"/>
      <c r="G2268" s="9"/>
      <c r="H2268" s="127"/>
      <c r="I2268" s="9"/>
      <c r="J2268" s="9"/>
      <c r="K2268" s="55"/>
      <c r="M2268" s="9"/>
    </row>
    <row r="2269" ht="15.75" hidden="1" customHeight="1">
      <c r="A2269" s="9"/>
      <c r="B2269" s="9"/>
      <c r="D2269" s="9"/>
      <c r="F2269" s="9"/>
      <c r="G2269" s="9"/>
      <c r="H2269" s="127"/>
      <c r="I2269" s="9"/>
      <c r="J2269" s="9"/>
      <c r="K2269" s="55"/>
      <c r="M2269" s="9"/>
    </row>
    <row r="2270" ht="15.75" hidden="1" customHeight="1">
      <c r="A2270" s="9"/>
      <c r="B2270" s="9"/>
      <c r="D2270" s="9"/>
      <c r="F2270" s="9"/>
      <c r="G2270" s="9"/>
      <c r="H2270" s="127"/>
      <c r="I2270" s="9"/>
      <c r="J2270" s="9"/>
      <c r="K2270" s="55"/>
      <c r="M2270" s="9"/>
    </row>
    <row r="2271" ht="15.75" hidden="1" customHeight="1">
      <c r="A2271" s="9"/>
      <c r="B2271" s="9"/>
      <c r="D2271" s="9"/>
      <c r="F2271" s="9"/>
      <c r="G2271" s="9"/>
      <c r="H2271" s="127"/>
      <c r="I2271" s="9"/>
      <c r="J2271" s="9"/>
      <c r="K2271" s="55"/>
      <c r="M2271" s="9"/>
    </row>
    <row r="2272" ht="15.75" hidden="1" customHeight="1">
      <c r="A2272" s="9"/>
      <c r="B2272" s="9"/>
      <c r="D2272" s="9"/>
      <c r="F2272" s="9"/>
      <c r="G2272" s="9"/>
      <c r="H2272" s="127"/>
      <c r="I2272" s="9"/>
      <c r="J2272" s="9"/>
      <c r="K2272" s="55"/>
      <c r="M2272" s="9"/>
    </row>
    <row r="2273" ht="15.75" hidden="1" customHeight="1">
      <c r="A2273" s="9"/>
      <c r="B2273" s="9"/>
      <c r="D2273" s="9"/>
      <c r="F2273" s="9"/>
      <c r="G2273" s="9"/>
      <c r="H2273" s="127"/>
      <c r="I2273" s="9"/>
      <c r="J2273" s="9"/>
      <c r="K2273" s="55"/>
      <c r="M2273" s="9"/>
    </row>
    <row r="2274" ht="15.75" hidden="1" customHeight="1">
      <c r="A2274" s="9"/>
      <c r="B2274" s="9"/>
      <c r="D2274" s="9"/>
      <c r="F2274" s="9"/>
      <c r="G2274" s="9"/>
      <c r="H2274" s="127"/>
      <c r="I2274" s="9"/>
      <c r="J2274" s="9"/>
      <c r="K2274" s="55"/>
      <c r="M2274" s="9"/>
    </row>
    <row r="2275" ht="15.75" hidden="1" customHeight="1">
      <c r="A2275" s="9"/>
      <c r="B2275" s="9"/>
      <c r="D2275" s="9"/>
      <c r="F2275" s="9"/>
      <c r="G2275" s="9"/>
      <c r="H2275" s="127"/>
      <c r="I2275" s="9"/>
      <c r="J2275" s="9"/>
      <c r="K2275" s="55"/>
      <c r="M2275" s="9"/>
    </row>
    <row r="2276" ht="15.75" hidden="1" customHeight="1">
      <c r="A2276" s="9"/>
      <c r="B2276" s="9"/>
      <c r="D2276" s="9"/>
      <c r="F2276" s="9"/>
      <c r="G2276" s="9"/>
      <c r="H2276" s="127"/>
      <c r="I2276" s="9"/>
      <c r="J2276" s="9"/>
      <c r="K2276" s="55"/>
      <c r="M2276" s="9"/>
    </row>
    <row r="2277" ht="15.75" hidden="1" customHeight="1">
      <c r="A2277" s="9"/>
      <c r="B2277" s="9"/>
      <c r="D2277" s="9"/>
      <c r="F2277" s="9"/>
      <c r="G2277" s="9"/>
      <c r="H2277" s="127"/>
      <c r="I2277" s="9"/>
      <c r="J2277" s="9"/>
      <c r="K2277" s="55"/>
      <c r="M2277" s="9"/>
    </row>
    <row r="2278" ht="15.75" hidden="1" customHeight="1">
      <c r="A2278" s="9"/>
      <c r="B2278" s="9"/>
      <c r="D2278" s="9"/>
      <c r="F2278" s="9"/>
      <c r="G2278" s="9"/>
      <c r="H2278" s="127"/>
      <c r="I2278" s="9"/>
      <c r="J2278" s="9"/>
      <c r="K2278" s="55"/>
      <c r="M2278" s="9"/>
    </row>
    <row r="2279" ht="15.75" hidden="1" customHeight="1">
      <c r="A2279" s="9"/>
      <c r="B2279" s="9"/>
      <c r="D2279" s="9"/>
      <c r="F2279" s="9"/>
      <c r="G2279" s="9"/>
      <c r="H2279" s="127"/>
      <c r="I2279" s="9"/>
      <c r="J2279" s="9"/>
      <c r="K2279" s="55"/>
      <c r="M2279" s="9"/>
    </row>
    <row r="2280" ht="15.75" hidden="1" customHeight="1">
      <c r="A2280" s="9"/>
      <c r="B2280" s="9"/>
      <c r="D2280" s="9"/>
      <c r="F2280" s="9"/>
      <c r="G2280" s="9"/>
      <c r="H2280" s="127"/>
      <c r="I2280" s="9"/>
      <c r="J2280" s="9"/>
      <c r="K2280" s="55"/>
      <c r="M2280" s="9"/>
    </row>
    <row r="2281" ht="15.75" hidden="1" customHeight="1">
      <c r="A2281" s="9"/>
      <c r="B2281" s="9"/>
      <c r="D2281" s="9"/>
      <c r="F2281" s="9"/>
      <c r="G2281" s="9"/>
      <c r="H2281" s="127"/>
      <c r="I2281" s="9"/>
      <c r="J2281" s="9"/>
      <c r="K2281" s="55"/>
      <c r="M2281" s="9"/>
    </row>
    <row r="2282" ht="15.75" hidden="1" customHeight="1">
      <c r="A2282" s="9"/>
      <c r="B2282" s="9"/>
      <c r="D2282" s="9"/>
      <c r="F2282" s="9"/>
      <c r="G2282" s="9"/>
      <c r="H2282" s="127"/>
      <c r="I2282" s="9"/>
      <c r="J2282" s="9"/>
      <c r="K2282" s="55"/>
      <c r="M2282" s="9"/>
    </row>
    <row r="2283" ht="15.75" hidden="1" customHeight="1">
      <c r="A2283" s="9"/>
      <c r="B2283" s="9"/>
      <c r="D2283" s="9"/>
      <c r="F2283" s="9"/>
      <c r="G2283" s="9"/>
      <c r="H2283" s="127"/>
      <c r="I2283" s="9"/>
      <c r="J2283" s="9"/>
      <c r="K2283" s="55"/>
      <c r="M2283" s="9"/>
    </row>
    <row r="2284" ht="15.75" hidden="1" customHeight="1">
      <c r="A2284" s="9"/>
      <c r="B2284" s="9"/>
      <c r="D2284" s="9"/>
      <c r="F2284" s="9"/>
      <c r="G2284" s="9"/>
      <c r="H2284" s="127"/>
      <c r="I2284" s="9"/>
      <c r="J2284" s="9"/>
      <c r="K2284" s="55"/>
      <c r="M2284" s="9"/>
    </row>
    <row r="2285" ht="15.75" hidden="1" customHeight="1">
      <c r="A2285" s="9"/>
      <c r="B2285" s="9"/>
      <c r="D2285" s="9"/>
      <c r="F2285" s="9"/>
      <c r="G2285" s="9"/>
      <c r="H2285" s="127"/>
      <c r="I2285" s="9"/>
      <c r="J2285" s="9"/>
      <c r="K2285" s="55"/>
      <c r="M2285" s="9"/>
    </row>
    <row r="2286" ht="15.75" hidden="1" customHeight="1">
      <c r="A2286" s="9"/>
      <c r="B2286" s="9"/>
      <c r="D2286" s="9"/>
      <c r="F2286" s="9"/>
      <c r="G2286" s="9"/>
      <c r="H2286" s="127"/>
      <c r="I2286" s="9"/>
      <c r="J2286" s="9"/>
      <c r="K2286" s="55"/>
      <c r="M2286" s="9"/>
    </row>
    <row r="2287" ht="15.75" hidden="1" customHeight="1">
      <c r="A2287" s="9"/>
      <c r="B2287" s="9"/>
      <c r="D2287" s="9"/>
      <c r="F2287" s="9"/>
      <c r="G2287" s="9"/>
      <c r="H2287" s="127"/>
      <c r="I2287" s="9"/>
      <c r="J2287" s="9"/>
      <c r="K2287" s="55"/>
      <c r="M2287" s="9"/>
    </row>
    <row r="2288" ht="15.75" hidden="1" customHeight="1">
      <c r="A2288" s="9"/>
      <c r="B2288" s="9"/>
      <c r="D2288" s="9"/>
      <c r="F2288" s="9"/>
      <c r="G2288" s="9"/>
      <c r="H2288" s="127"/>
      <c r="I2288" s="9"/>
      <c r="J2288" s="9"/>
      <c r="K2288" s="55"/>
      <c r="M2288" s="9"/>
    </row>
    <row r="2289" ht="15.75" hidden="1" customHeight="1">
      <c r="A2289" s="9"/>
      <c r="B2289" s="9"/>
      <c r="D2289" s="9"/>
      <c r="F2289" s="9"/>
      <c r="G2289" s="9"/>
      <c r="H2289" s="127"/>
      <c r="I2289" s="9"/>
      <c r="J2289" s="9"/>
      <c r="K2289" s="55"/>
      <c r="M2289" s="9"/>
    </row>
    <row r="2290" ht="15.75" hidden="1" customHeight="1">
      <c r="A2290" s="9"/>
      <c r="B2290" s="9"/>
      <c r="D2290" s="9"/>
      <c r="F2290" s="9"/>
      <c r="G2290" s="9"/>
      <c r="H2290" s="127"/>
      <c r="I2290" s="9"/>
      <c r="J2290" s="9"/>
      <c r="K2290" s="55"/>
      <c r="M2290" s="9"/>
    </row>
    <row r="2291" ht="15.75" hidden="1" customHeight="1">
      <c r="A2291" s="9"/>
      <c r="B2291" s="9"/>
      <c r="D2291" s="9"/>
      <c r="F2291" s="9"/>
      <c r="G2291" s="9"/>
      <c r="H2291" s="127"/>
      <c r="I2291" s="9"/>
      <c r="J2291" s="9"/>
      <c r="K2291" s="55"/>
      <c r="M2291" s="9"/>
    </row>
    <row r="2292" ht="15.75" hidden="1" customHeight="1">
      <c r="A2292" s="9"/>
      <c r="B2292" s="9"/>
      <c r="D2292" s="9"/>
      <c r="F2292" s="9"/>
      <c r="G2292" s="9"/>
      <c r="H2292" s="127"/>
      <c r="I2292" s="9"/>
      <c r="J2292" s="9"/>
      <c r="K2292" s="55"/>
      <c r="M2292" s="9"/>
    </row>
    <row r="2293" ht="15.75" hidden="1" customHeight="1">
      <c r="A2293" s="9"/>
      <c r="B2293" s="9"/>
      <c r="D2293" s="9"/>
      <c r="F2293" s="9"/>
      <c r="G2293" s="9"/>
      <c r="H2293" s="127"/>
      <c r="I2293" s="9"/>
      <c r="J2293" s="9"/>
      <c r="K2293" s="55"/>
      <c r="M2293" s="9"/>
    </row>
    <row r="2294" ht="15.75" hidden="1" customHeight="1">
      <c r="A2294" s="9"/>
      <c r="B2294" s="9"/>
      <c r="D2294" s="9"/>
      <c r="F2294" s="9"/>
      <c r="G2294" s="9"/>
      <c r="H2294" s="127"/>
      <c r="I2294" s="9"/>
      <c r="J2294" s="9"/>
      <c r="K2294" s="55"/>
      <c r="M2294" s="9"/>
    </row>
    <row r="2295" ht="15.75" hidden="1" customHeight="1">
      <c r="A2295" s="9"/>
      <c r="B2295" s="9"/>
      <c r="D2295" s="9"/>
      <c r="F2295" s="9"/>
      <c r="G2295" s="9"/>
      <c r="H2295" s="127"/>
      <c r="I2295" s="9"/>
      <c r="J2295" s="9"/>
      <c r="K2295" s="55"/>
      <c r="M2295" s="9"/>
    </row>
    <row r="2296" ht="15.75" hidden="1" customHeight="1">
      <c r="A2296" s="9"/>
      <c r="B2296" s="9"/>
      <c r="D2296" s="9"/>
      <c r="F2296" s="9"/>
      <c r="G2296" s="9"/>
      <c r="H2296" s="127"/>
      <c r="I2296" s="9"/>
      <c r="J2296" s="9"/>
      <c r="K2296" s="55"/>
      <c r="M2296" s="9"/>
    </row>
    <row r="2297" ht="15.75" hidden="1" customHeight="1">
      <c r="A2297" s="9"/>
      <c r="B2297" s="9"/>
      <c r="D2297" s="9"/>
      <c r="F2297" s="9"/>
      <c r="G2297" s="9"/>
      <c r="H2297" s="127"/>
      <c r="I2297" s="9"/>
      <c r="J2297" s="9"/>
      <c r="K2297" s="55"/>
      <c r="M2297" s="9"/>
    </row>
    <row r="2298" ht="15.75" hidden="1" customHeight="1">
      <c r="A2298" s="9"/>
      <c r="B2298" s="9"/>
      <c r="D2298" s="9"/>
      <c r="F2298" s="9"/>
      <c r="G2298" s="9"/>
      <c r="H2298" s="127"/>
      <c r="I2298" s="9"/>
      <c r="J2298" s="9"/>
      <c r="K2298" s="55"/>
      <c r="M2298" s="9"/>
    </row>
    <row r="2299" ht="15.75" hidden="1" customHeight="1">
      <c r="A2299" s="9"/>
      <c r="B2299" s="9"/>
      <c r="D2299" s="9"/>
      <c r="F2299" s="9"/>
      <c r="G2299" s="9"/>
      <c r="H2299" s="127"/>
      <c r="I2299" s="9"/>
      <c r="J2299" s="9"/>
      <c r="K2299" s="55"/>
      <c r="M2299" s="9"/>
    </row>
    <row r="2300" ht="15.75" hidden="1" customHeight="1">
      <c r="A2300" s="9"/>
      <c r="B2300" s="9"/>
      <c r="D2300" s="9"/>
      <c r="F2300" s="9"/>
      <c r="G2300" s="9"/>
      <c r="H2300" s="127"/>
      <c r="I2300" s="9"/>
      <c r="J2300" s="9"/>
      <c r="K2300" s="55"/>
      <c r="M2300" s="9"/>
    </row>
    <row r="2301" ht="15.75" hidden="1" customHeight="1">
      <c r="A2301" s="9"/>
      <c r="B2301" s="9"/>
      <c r="D2301" s="9"/>
      <c r="F2301" s="9"/>
      <c r="G2301" s="9"/>
      <c r="H2301" s="127"/>
      <c r="I2301" s="9"/>
      <c r="J2301" s="9"/>
      <c r="K2301" s="55"/>
      <c r="M2301" s="9"/>
    </row>
    <row r="2302" ht="15.75" hidden="1" customHeight="1">
      <c r="A2302" s="9"/>
      <c r="B2302" s="9"/>
      <c r="D2302" s="9"/>
      <c r="F2302" s="9"/>
      <c r="G2302" s="9"/>
      <c r="H2302" s="127"/>
      <c r="I2302" s="9"/>
      <c r="J2302" s="9"/>
      <c r="K2302" s="55"/>
      <c r="M2302" s="9"/>
    </row>
    <row r="2303" ht="15.75" hidden="1" customHeight="1">
      <c r="A2303" s="9"/>
      <c r="B2303" s="9"/>
      <c r="D2303" s="9"/>
      <c r="F2303" s="9"/>
      <c r="G2303" s="9"/>
      <c r="H2303" s="127"/>
      <c r="I2303" s="9"/>
      <c r="J2303" s="9"/>
      <c r="K2303" s="55"/>
      <c r="M2303" s="9"/>
    </row>
    <row r="2304" ht="15.75" hidden="1" customHeight="1">
      <c r="A2304" s="9"/>
      <c r="B2304" s="9"/>
      <c r="D2304" s="9"/>
      <c r="F2304" s="9"/>
      <c r="G2304" s="9"/>
      <c r="H2304" s="127"/>
      <c r="I2304" s="9"/>
      <c r="J2304" s="9"/>
      <c r="K2304" s="55"/>
      <c r="M2304" s="9"/>
    </row>
    <row r="2305" ht="15.75" hidden="1" customHeight="1">
      <c r="A2305" s="9"/>
      <c r="B2305" s="9"/>
      <c r="D2305" s="9"/>
      <c r="F2305" s="9"/>
      <c r="G2305" s="9"/>
      <c r="H2305" s="127"/>
      <c r="I2305" s="9"/>
      <c r="J2305" s="9"/>
      <c r="K2305" s="55"/>
      <c r="M2305" s="9"/>
    </row>
    <row r="2306" ht="15.75" hidden="1" customHeight="1">
      <c r="A2306" s="9"/>
      <c r="B2306" s="9"/>
      <c r="D2306" s="9"/>
      <c r="F2306" s="9"/>
      <c r="G2306" s="9"/>
      <c r="H2306" s="127"/>
      <c r="I2306" s="9"/>
      <c r="J2306" s="9"/>
      <c r="K2306" s="55"/>
      <c r="M2306" s="9"/>
    </row>
    <row r="2307" ht="15.75" hidden="1" customHeight="1">
      <c r="A2307" s="9"/>
      <c r="B2307" s="9"/>
      <c r="D2307" s="9"/>
      <c r="F2307" s="9"/>
      <c r="G2307" s="9"/>
      <c r="H2307" s="127"/>
      <c r="I2307" s="9"/>
      <c r="J2307" s="9"/>
      <c r="K2307" s="55"/>
      <c r="M2307" s="9"/>
    </row>
    <row r="2308" ht="15.75" hidden="1" customHeight="1">
      <c r="A2308" s="9"/>
      <c r="B2308" s="9"/>
      <c r="D2308" s="9"/>
      <c r="F2308" s="9"/>
      <c r="G2308" s="9"/>
      <c r="H2308" s="127"/>
      <c r="I2308" s="9"/>
      <c r="J2308" s="9"/>
      <c r="K2308" s="55"/>
      <c r="M2308" s="9"/>
    </row>
    <row r="2309" ht="15.75" hidden="1" customHeight="1">
      <c r="A2309" s="9"/>
      <c r="B2309" s="9"/>
      <c r="D2309" s="9"/>
      <c r="F2309" s="9"/>
      <c r="G2309" s="9"/>
      <c r="H2309" s="127"/>
      <c r="I2309" s="9"/>
      <c r="J2309" s="9"/>
      <c r="K2309" s="55"/>
      <c r="M2309" s="9"/>
    </row>
    <row r="2310" ht="15.75" hidden="1" customHeight="1">
      <c r="A2310" s="9"/>
      <c r="B2310" s="9"/>
      <c r="D2310" s="9"/>
      <c r="F2310" s="9"/>
      <c r="G2310" s="9"/>
      <c r="H2310" s="127"/>
      <c r="I2310" s="9"/>
      <c r="J2310" s="9"/>
      <c r="K2310" s="55"/>
      <c r="M2310" s="9"/>
    </row>
    <row r="2311" ht="15.75" hidden="1" customHeight="1">
      <c r="A2311" s="9"/>
      <c r="B2311" s="9"/>
      <c r="D2311" s="9"/>
      <c r="F2311" s="9"/>
      <c r="G2311" s="9"/>
      <c r="H2311" s="127"/>
      <c r="I2311" s="9"/>
      <c r="J2311" s="9"/>
      <c r="K2311" s="55"/>
      <c r="M2311" s="9"/>
    </row>
    <row r="2312" ht="15.75" hidden="1" customHeight="1">
      <c r="A2312" s="9"/>
      <c r="B2312" s="9"/>
      <c r="D2312" s="9"/>
      <c r="F2312" s="9"/>
      <c r="G2312" s="9"/>
      <c r="H2312" s="127"/>
      <c r="I2312" s="9"/>
      <c r="J2312" s="9"/>
      <c r="K2312" s="55"/>
      <c r="M2312" s="9"/>
    </row>
    <row r="2313" ht="15.75" hidden="1" customHeight="1">
      <c r="A2313" s="9"/>
      <c r="B2313" s="9"/>
      <c r="D2313" s="9"/>
      <c r="F2313" s="9"/>
      <c r="G2313" s="9"/>
      <c r="H2313" s="127"/>
      <c r="I2313" s="9"/>
      <c r="J2313" s="9"/>
      <c r="K2313" s="55"/>
      <c r="M2313" s="9"/>
    </row>
    <row r="2314" ht="15.75" hidden="1" customHeight="1">
      <c r="A2314" s="9"/>
      <c r="B2314" s="9"/>
      <c r="D2314" s="9"/>
      <c r="F2314" s="9"/>
      <c r="G2314" s="9"/>
      <c r="H2314" s="127"/>
      <c r="I2314" s="9"/>
      <c r="J2314" s="9"/>
      <c r="K2314" s="55"/>
      <c r="M2314" s="9"/>
    </row>
    <row r="2315" ht="15.75" hidden="1" customHeight="1">
      <c r="A2315" s="9"/>
      <c r="B2315" s="9"/>
      <c r="D2315" s="9"/>
      <c r="F2315" s="9"/>
      <c r="G2315" s="9"/>
      <c r="H2315" s="127"/>
      <c r="I2315" s="9"/>
      <c r="J2315" s="9"/>
      <c r="K2315" s="55"/>
      <c r="M2315" s="9"/>
    </row>
    <row r="2316" ht="15.75" hidden="1" customHeight="1">
      <c r="A2316" s="9"/>
      <c r="B2316" s="9"/>
      <c r="D2316" s="9"/>
      <c r="F2316" s="9"/>
      <c r="G2316" s="9"/>
      <c r="H2316" s="127"/>
      <c r="I2316" s="9"/>
      <c r="J2316" s="9"/>
      <c r="K2316" s="55"/>
      <c r="M2316" s="9"/>
    </row>
    <row r="2317" ht="15.75" hidden="1" customHeight="1">
      <c r="A2317" s="9"/>
      <c r="B2317" s="9"/>
      <c r="D2317" s="9"/>
      <c r="F2317" s="9"/>
      <c r="G2317" s="9"/>
      <c r="H2317" s="127"/>
      <c r="I2317" s="9"/>
      <c r="J2317" s="9"/>
      <c r="K2317" s="55"/>
      <c r="M2317" s="9"/>
    </row>
    <row r="2318" ht="15.75" hidden="1" customHeight="1">
      <c r="A2318" s="9"/>
      <c r="B2318" s="9"/>
      <c r="D2318" s="9"/>
      <c r="F2318" s="9"/>
      <c r="G2318" s="9"/>
      <c r="H2318" s="127"/>
      <c r="I2318" s="9"/>
      <c r="J2318" s="9"/>
      <c r="K2318" s="55"/>
      <c r="M2318" s="9"/>
    </row>
    <row r="2319" ht="15.75" hidden="1" customHeight="1">
      <c r="A2319" s="9"/>
      <c r="B2319" s="9"/>
      <c r="D2319" s="9"/>
      <c r="F2319" s="9"/>
      <c r="G2319" s="9"/>
      <c r="H2319" s="127"/>
      <c r="I2319" s="9"/>
      <c r="J2319" s="9"/>
      <c r="K2319" s="55"/>
      <c r="M2319" s="9"/>
    </row>
    <row r="2320" ht="15.75" hidden="1" customHeight="1">
      <c r="A2320" s="9"/>
      <c r="B2320" s="9"/>
      <c r="D2320" s="9"/>
      <c r="F2320" s="9"/>
      <c r="G2320" s="9"/>
      <c r="H2320" s="127"/>
      <c r="I2320" s="9"/>
      <c r="J2320" s="9"/>
      <c r="K2320" s="55"/>
      <c r="M2320" s="9"/>
    </row>
    <row r="2321" ht="15.75" hidden="1" customHeight="1">
      <c r="A2321" s="9"/>
      <c r="B2321" s="9"/>
      <c r="D2321" s="9"/>
      <c r="F2321" s="9"/>
      <c r="G2321" s="9"/>
      <c r="H2321" s="127"/>
      <c r="I2321" s="9"/>
      <c r="J2321" s="9"/>
      <c r="K2321" s="55"/>
      <c r="M2321" s="9"/>
    </row>
    <row r="2322" ht="15.75" hidden="1" customHeight="1">
      <c r="A2322" s="9"/>
      <c r="B2322" s="9"/>
      <c r="D2322" s="9"/>
      <c r="F2322" s="9"/>
      <c r="G2322" s="9"/>
      <c r="H2322" s="127"/>
      <c r="I2322" s="9"/>
      <c r="J2322" s="9"/>
      <c r="K2322" s="55"/>
      <c r="M2322" s="9"/>
    </row>
    <row r="2323" ht="15.75" hidden="1" customHeight="1">
      <c r="A2323" s="9"/>
      <c r="B2323" s="9"/>
      <c r="D2323" s="9"/>
      <c r="F2323" s="9"/>
      <c r="G2323" s="9"/>
      <c r="H2323" s="127"/>
      <c r="I2323" s="9"/>
      <c r="J2323" s="9"/>
      <c r="K2323" s="55"/>
      <c r="M2323" s="9"/>
    </row>
    <row r="2324" ht="15.75" hidden="1" customHeight="1">
      <c r="A2324" s="9"/>
      <c r="B2324" s="9"/>
      <c r="D2324" s="9"/>
      <c r="F2324" s="9"/>
      <c r="G2324" s="9"/>
      <c r="H2324" s="127"/>
      <c r="I2324" s="9"/>
      <c r="J2324" s="9"/>
      <c r="K2324" s="55"/>
      <c r="M2324" s="9"/>
    </row>
    <row r="2325" ht="15.75" hidden="1" customHeight="1">
      <c r="A2325" s="9"/>
      <c r="B2325" s="9"/>
      <c r="D2325" s="9"/>
      <c r="F2325" s="9"/>
      <c r="G2325" s="9"/>
      <c r="H2325" s="127"/>
      <c r="I2325" s="9"/>
      <c r="J2325" s="9"/>
      <c r="K2325" s="55"/>
      <c r="M2325" s="9"/>
    </row>
    <row r="2326" ht="15.75" hidden="1" customHeight="1">
      <c r="A2326" s="9"/>
      <c r="B2326" s="9"/>
      <c r="D2326" s="9"/>
      <c r="F2326" s="9"/>
      <c r="G2326" s="9"/>
      <c r="H2326" s="127"/>
      <c r="I2326" s="9"/>
      <c r="J2326" s="9"/>
      <c r="K2326" s="55"/>
      <c r="M2326" s="9"/>
    </row>
    <row r="2327" ht="15.75" hidden="1" customHeight="1">
      <c r="A2327" s="9"/>
      <c r="B2327" s="9"/>
      <c r="D2327" s="9"/>
      <c r="F2327" s="9"/>
      <c r="G2327" s="9"/>
      <c r="H2327" s="127"/>
      <c r="I2327" s="9"/>
      <c r="J2327" s="9"/>
      <c r="K2327" s="55"/>
      <c r="M2327" s="9"/>
    </row>
    <row r="2328" ht="15.75" hidden="1" customHeight="1">
      <c r="A2328" s="9"/>
      <c r="B2328" s="9"/>
      <c r="D2328" s="9"/>
      <c r="F2328" s="9"/>
      <c r="G2328" s="9"/>
      <c r="H2328" s="127"/>
      <c r="I2328" s="9"/>
      <c r="J2328" s="9"/>
      <c r="K2328" s="55"/>
      <c r="M2328" s="9"/>
    </row>
    <row r="2329" ht="15.75" hidden="1" customHeight="1">
      <c r="A2329" s="9"/>
      <c r="B2329" s="9"/>
      <c r="D2329" s="9"/>
      <c r="F2329" s="9"/>
      <c r="G2329" s="9"/>
      <c r="H2329" s="127"/>
      <c r="I2329" s="9"/>
      <c r="J2329" s="9"/>
      <c r="K2329" s="55"/>
      <c r="M2329" s="9"/>
    </row>
    <row r="2330" ht="15.75" hidden="1" customHeight="1">
      <c r="A2330" s="9"/>
      <c r="B2330" s="9"/>
      <c r="D2330" s="9"/>
      <c r="F2330" s="9"/>
      <c r="G2330" s="9"/>
      <c r="H2330" s="127"/>
      <c r="I2330" s="9"/>
      <c r="J2330" s="9"/>
      <c r="K2330" s="55"/>
      <c r="M2330" s="9"/>
    </row>
    <row r="2331" ht="15.75" hidden="1" customHeight="1">
      <c r="A2331" s="9"/>
      <c r="B2331" s="9"/>
      <c r="D2331" s="9"/>
      <c r="F2331" s="9"/>
      <c r="G2331" s="9"/>
      <c r="H2331" s="127"/>
      <c r="I2331" s="9"/>
      <c r="J2331" s="9"/>
      <c r="K2331" s="55"/>
      <c r="M2331" s="9"/>
    </row>
    <row r="2332" ht="15.75" hidden="1" customHeight="1">
      <c r="A2332" s="9"/>
      <c r="B2332" s="9"/>
      <c r="D2332" s="9"/>
      <c r="F2332" s="9"/>
      <c r="G2332" s="9"/>
      <c r="H2332" s="127"/>
      <c r="I2332" s="9"/>
      <c r="J2332" s="9"/>
      <c r="K2332" s="55"/>
      <c r="M2332" s="9"/>
    </row>
    <row r="2333" ht="15.75" hidden="1" customHeight="1">
      <c r="A2333" s="9"/>
      <c r="B2333" s="9"/>
      <c r="D2333" s="9"/>
      <c r="F2333" s="9"/>
      <c r="G2333" s="9"/>
      <c r="H2333" s="127"/>
      <c r="I2333" s="9"/>
      <c r="J2333" s="9"/>
      <c r="K2333" s="55"/>
      <c r="M2333" s="9"/>
    </row>
    <row r="2334" ht="15.75" hidden="1" customHeight="1">
      <c r="A2334" s="9"/>
      <c r="B2334" s="9"/>
      <c r="D2334" s="9"/>
      <c r="F2334" s="9"/>
      <c r="G2334" s="9"/>
      <c r="H2334" s="127"/>
      <c r="I2334" s="9"/>
      <c r="J2334" s="9"/>
      <c r="K2334" s="55"/>
      <c r="M2334" s="9"/>
    </row>
    <row r="2335" ht="15.75" hidden="1" customHeight="1">
      <c r="A2335" s="9"/>
      <c r="B2335" s="9"/>
      <c r="D2335" s="9"/>
      <c r="F2335" s="9"/>
      <c r="G2335" s="9"/>
      <c r="H2335" s="127"/>
      <c r="I2335" s="9"/>
      <c r="J2335" s="9"/>
      <c r="K2335" s="55"/>
      <c r="M2335" s="9"/>
    </row>
    <row r="2336" ht="15.75" hidden="1" customHeight="1">
      <c r="A2336" s="9"/>
      <c r="B2336" s="9"/>
      <c r="D2336" s="9"/>
      <c r="F2336" s="9"/>
      <c r="G2336" s="9"/>
      <c r="H2336" s="127"/>
      <c r="I2336" s="9"/>
      <c r="J2336" s="9"/>
      <c r="K2336" s="55"/>
      <c r="M2336" s="9"/>
    </row>
    <row r="2337" ht="15.75" hidden="1" customHeight="1">
      <c r="A2337" s="9"/>
      <c r="B2337" s="9"/>
      <c r="D2337" s="9"/>
      <c r="F2337" s="9"/>
      <c r="G2337" s="9"/>
      <c r="H2337" s="127"/>
      <c r="I2337" s="9"/>
      <c r="J2337" s="9"/>
      <c r="K2337" s="55"/>
      <c r="M2337" s="9"/>
    </row>
    <row r="2338" ht="15.75" hidden="1" customHeight="1">
      <c r="A2338" s="9"/>
      <c r="B2338" s="9"/>
      <c r="D2338" s="9"/>
      <c r="F2338" s="9"/>
      <c r="G2338" s="9"/>
      <c r="H2338" s="127"/>
      <c r="I2338" s="9"/>
      <c r="J2338" s="9"/>
      <c r="K2338" s="55"/>
      <c r="M2338" s="9"/>
    </row>
    <row r="2339" ht="15.75" hidden="1" customHeight="1">
      <c r="A2339" s="9"/>
      <c r="B2339" s="9"/>
      <c r="D2339" s="9"/>
      <c r="F2339" s="9"/>
      <c r="G2339" s="9"/>
      <c r="H2339" s="127"/>
      <c r="I2339" s="9"/>
      <c r="J2339" s="9"/>
      <c r="K2339" s="55"/>
      <c r="M2339" s="9"/>
    </row>
    <row r="2340" ht="15.75" hidden="1" customHeight="1">
      <c r="A2340" s="9"/>
      <c r="B2340" s="9"/>
      <c r="D2340" s="9"/>
      <c r="F2340" s="9"/>
      <c r="G2340" s="9"/>
      <c r="H2340" s="127"/>
      <c r="I2340" s="9"/>
      <c r="J2340" s="9"/>
      <c r="K2340" s="55"/>
      <c r="M2340" s="9"/>
    </row>
    <row r="2341" ht="15.75" hidden="1" customHeight="1">
      <c r="A2341" s="9"/>
      <c r="B2341" s="9"/>
      <c r="D2341" s="9"/>
      <c r="F2341" s="9"/>
      <c r="G2341" s="9"/>
      <c r="H2341" s="127"/>
      <c r="I2341" s="9"/>
      <c r="J2341" s="9"/>
      <c r="K2341" s="55"/>
      <c r="M2341" s="9"/>
    </row>
    <row r="2342" ht="15.75" hidden="1" customHeight="1">
      <c r="A2342" s="9"/>
      <c r="B2342" s="9"/>
      <c r="D2342" s="9"/>
      <c r="F2342" s="9"/>
      <c r="G2342" s="9"/>
      <c r="H2342" s="127"/>
      <c r="I2342" s="9"/>
      <c r="J2342" s="9"/>
      <c r="K2342" s="55"/>
      <c r="M2342" s="9"/>
    </row>
    <row r="2343" ht="15.75" hidden="1" customHeight="1">
      <c r="A2343" s="9"/>
      <c r="B2343" s="9"/>
      <c r="D2343" s="9"/>
      <c r="F2343" s="9"/>
      <c r="G2343" s="9"/>
      <c r="H2343" s="127"/>
      <c r="I2343" s="9"/>
      <c r="J2343" s="9"/>
      <c r="K2343" s="55"/>
      <c r="M2343" s="9"/>
    </row>
    <row r="2344" ht="15.75" hidden="1" customHeight="1">
      <c r="A2344" s="9"/>
      <c r="B2344" s="9"/>
      <c r="D2344" s="9"/>
      <c r="F2344" s="9"/>
      <c r="G2344" s="9"/>
      <c r="H2344" s="127"/>
      <c r="I2344" s="9"/>
      <c r="J2344" s="9"/>
      <c r="K2344" s="55"/>
      <c r="M2344" s="9"/>
    </row>
    <row r="2345" ht="15.75" hidden="1" customHeight="1">
      <c r="A2345" s="9"/>
      <c r="B2345" s="9"/>
      <c r="D2345" s="9"/>
      <c r="F2345" s="9"/>
      <c r="G2345" s="9"/>
      <c r="H2345" s="127"/>
      <c r="I2345" s="9"/>
      <c r="J2345" s="9"/>
      <c r="K2345" s="55"/>
      <c r="M2345" s="9"/>
    </row>
    <row r="2346" ht="15.75" hidden="1" customHeight="1">
      <c r="A2346" s="9"/>
      <c r="B2346" s="9"/>
      <c r="D2346" s="9"/>
      <c r="F2346" s="9"/>
      <c r="G2346" s="9"/>
      <c r="H2346" s="127"/>
      <c r="I2346" s="9"/>
      <c r="J2346" s="9"/>
      <c r="K2346" s="55"/>
      <c r="M2346" s="9"/>
    </row>
    <row r="2347" ht="15.75" hidden="1" customHeight="1">
      <c r="A2347" s="9"/>
      <c r="B2347" s="9"/>
      <c r="D2347" s="9"/>
      <c r="F2347" s="9"/>
      <c r="G2347" s="9"/>
      <c r="H2347" s="127"/>
      <c r="I2347" s="9"/>
      <c r="J2347" s="9"/>
      <c r="K2347" s="55"/>
      <c r="M2347" s="9"/>
    </row>
    <row r="2348" ht="15.75" hidden="1" customHeight="1">
      <c r="A2348" s="9"/>
      <c r="B2348" s="9"/>
      <c r="D2348" s="9"/>
      <c r="F2348" s="9"/>
      <c r="G2348" s="9"/>
      <c r="H2348" s="127"/>
      <c r="I2348" s="9"/>
      <c r="J2348" s="9"/>
      <c r="K2348" s="55"/>
      <c r="M2348" s="9"/>
    </row>
    <row r="2349" ht="15.75" hidden="1" customHeight="1">
      <c r="A2349" s="9"/>
      <c r="B2349" s="9"/>
      <c r="D2349" s="9"/>
      <c r="F2349" s="9"/>
      <c r="G2349" s="9"/>
      <c r="H2349" s="127"/>
      <c r="I2349" s="9"/>
      <c r="J2349" s="9"/>
      <c r="K2349" s="55"/>
      <c r="M2349" s="9"/>
    </row>
    <row r="2350" ht="15.75" hidden="1" customHeight="1">
      <c r="A2350" s="9"/>
      <c r="B2350" s="9"/>
      <c r="D2350" s="9"/>
      <c r="F2350" s="9"/>
      <c r="G2350" s="9"/>
      <c r="H2350" s="127"/>
      <c r="I2350" s="9"/>
      <c r="J2350" s="9"/>
      <c r="K2350" s="55"/>
      <c r="M2350" s="9"/>
    </row>
    <row r="2351" ht="15.75" hidden="1" customHeight="1">
      <c r="A2351" s="9"/>
      <c r="B2351" s="9"/>
      <c r="D2351" s="9"/>
      <c r="F2351" s="9"/>
      <c r="G2351" s="9"/>
      <c r="H2351" s="127"/>
      <c r="I2351" s="9"/>
      <c r="J2351" s="9"/>
      <c r="K2351" s="55"/>
      <c r="M2351" s="9"/>
    </row>
    <row r="2352" ht="15.75" hidden="1" customHeight="1">
      <c r="A2352" s="9"/>
      <c r="B2352" s="9"/>
      <c r="D2352" s="9"/>
      <c r="F2352" s="9"/>
      <c r="G2352" s="9"/>
      <c r="H2352" s="127"/>
      <c r="I2352" s="9"/>
      <c r="J2352" s="9"/>
      <c r="K2352" s="55"/>
      <c r="M2352" s="9"/>
    </row>
    <row r="2353" ht="15.75" hidden="1" customHeight="1">
      <c r="A2353" s="9"/>
      <c r="B2353" s="9"/>
      <c r="D2353" s="9"/>
      <c r="F2353" s="9"/>
      <c r="G2353" s="9"/>
      <c r="H2353" s="127"/>
      <c r="I2353" s="9"/>
      <c r="J2353" s="9"/>
      <c r="K2353" s="55"/>
      <c r="M2353" s="9"/>
    </row>
    <row r="2354" ht="15.75" hidden="1" customHeight="1">
      <c r="A2354" s="9"/>
      <c r="B2354" s="9"/>
      <c r="D2354" s="9"/>
      <c r="F2354" s="9"/>
      <c r="G2354" s="9"/>
      <c r="H2354" s="127"/>
      <c r="I2354" s="9"/>
      <c r="J2354" s="9"/>
      <c r="K2354" s="55"/>
      <c r="M2354" s="9"/>
    </row>
    <row r="2355" ht="15.75" hidden="1" customHeight="1">
      <c r="A2355" s="9"/>
      <c r="B2355" s="9"/>
      <c r="D2355" s="9"/>
      <c r="F2355" s="9"/>
      <c r="G2355" s="9"/>
      <c r="H2355" s="127"/>
      <c r="I2355" s="9"/>
      <c r="J2355" s="9"/>
      <c r="K2355" s="55"/>
      <c r="M2355" s="9"/>
    </row>
    <row r="2356" ht="15.75" hidden="1" customHeight="1">
      <c r="A2356" s="9"/>
      <c r="B2356" s="9"/>
      <c r="D2356" s="9"/>
      <c r="F2356" s="9"/>
      <c r="G2356" s="9"/>
      <c r="H2356" s="127"/>
      <c r="I2356" s="9"/>
      <c r="J2356" s="9"/>
      <c r="K2356" s="55"/>
      <c r="M2356" s="9"/>
    </row>
    <row r="2357" ht="15.75" hidden="1" customHeight="1">
      <c r="A2357" s="9"/>
      <c r="B2357" s="9"/>
      <c r="D2357" s="9"/>
      <c r="F2357" s="9"/>
      <c r="G2357" s="9"/>
      <c r="H2357" s="127"/>
      <c r="I2357" s="9"/>
      <c r="J2357" s="9"/>
      <c r="K2357" s="55"/>
      <c r="M2357" s="9"/>
    </row>
    <row r="2358" ht="15.75" hidden="1" customHeight="1">
      <c r="A2358" s="9"/>
      <c r="B2358" s="9"/>
      <c r="D2358" s="9"/>
      <c r="F2358" s="9"/>
      <c r="G2358" s="9"/>
      <c r="H2358" s="127"/>
      <c r="I2358" s="9"/>
      <c r="J2358" s="9"/>
      <c r="K2358" s="55"/>
      <c r="M2358" s="9"/>
    </row>
    <row r="2359" ht="15.75" hidden="1" customHeight="1">
      <c r="A2359" s="9"/>
      <c r="B2359" s="9"/>
      <c r="D2359" s="9"/>
      <c r="F2359" s="9"/>
      <c r="G2359" s="9"/>
      <c r="H2359" s="127"/>
      <c r="I2359" s="9"/>
      <c r="J2359" s="9"/>
      <c r="K2359" s="55"/>
      <c r="M2359" s="9"/>
    </row>
    <row r="2360" ht="15.75" hidden="1" customHeight="1">
      <c r="A2360" s="9"/>
      <c r="B2360" s="9"/>
      <c r="D2360" s="9"/>
      <c r="F2360" s="9"/>
      <c r="G2360" s="9"/>
      <c r="H2360" s="127"/>
      <c r="I2360" s="9"/>
      <c r="J2360" s="9"/>
      <c r="K2360" s="55"/>
      <c r="M2360" s="9"/>
    </row>
    <row r="2361" ht="15.75" hidden="1" customHeight="1">
      <c r="A2361" s="9"/>
      <c r="B2361" s="9"/>
      <c r="D2361" s="9"/>
      <c r="F2361" s="9"/>
      <c r="G2361" s="9"/>
      <c r="H2361" s="127"/>
      <c r="I2361" s="9"/>
      <c r="J2361" s="9"/>
      <c r="K2361" s="55"/>
      <c r="M2361" s="9"/>
    </row>
    <row r="2362" ht="15.75" hidden="1" customHeight="1">
      <c r="A2362" s="9"/>
      <c r="B2362" s="9"/>
      <c r="D2362" s="9"/>
      <c r="F2362" s="9"/>
      <c r="G2362" s="9"/>
      <c r="H2362" s="127"/>
      <c r="I2362" s="9"/>
      <c r="J2362" s="9"/>
      <c r="K2362" s="55"/>
      <c r="M2362" s="9"/>
    </row>
    <row r="2363" ht="15.75" hidden="1" customHeight="1">
      <c r="A2363" s="9"/>
      <c r="B2363" s="9"/>
      <c r="D2363" s="9"/>
      <c r="F2363" s="9"/>
      <c r="G2363" s="9"/>
      <c r="H2363" s="127"/>
      <c r="I2363" s="9"/>
      <c r="J2363" s="9"/>
      <c r="K2363" s="55"/>
      <c r="M2363" s="9"/>
    </row>
    <row r="2364" ht="15.75" hidden="1" customHeight="1">
      <c r="A2364" s="9"/>
      <c r="B2364" s="9"/>
      <c r="D2364" s="9"/>
      <c r="F2364" s="9"/>
      <c r="G2364" s="9"/>
      <c r="H2364" s="127"/>
      <c r="I2364" s="9"/>
      <c r="J2364" s="9"/>
      <c r="K2364" s="55"/>
      <c r="M2364" s="9"/>
    </row>
    <row r="2365" ht="15.75" hidden="1" customHeight="1">
      <c r="A2365" s="9"/>
      <c r="B2365" s="9"/>
      <c r="D2365" s="9"/>
      <c r="F2365" s="9"/>
      <c r="G2365" s="9"/>
      <c r="H2365" s="127"/>
      <c r="I2365" s="9"/>
      <c r="J2365" s="9"/>
      <c r="K2365" s="55"/>
      <c r="M2365" s="9"/>
    </row>
    <row r="2366" ht="15.75" hidden="1" customHeight="1">
      <c r="A2366" s="9"/>
      <c r="B2366" s="9"/>
      <c r="D2366" s="9"/>
      <c r="F2366" s="9"/>
      <c r="G2366" s="9"/>
      <c r="H2366" s="127"/>
      <c r="I2366" s="9"/>
      <c r="J2366" s="9"/>
      <c r="K2366" s="55"/>
      <c r="M2366" s="9"/>
    </row>
    <row r="2367" ht="15.75" hidden="1" customHeight="1">
      <c r="A2367" s="9"/>
      <c r="B2367" s="9"/>
      <c r="D2367" s="9"/>
      <c r="F2367" s="9"/>
      <c r="G2367" s="9"/>
      <c r="H2367" s="127"/>
      <c r="I2367" s="9"/>
      <c r="J2367" s="9"/>
      <c r="K2367" s="55"/>
      <c r="M2367" s="9"/>
    </row>
    <row r="2368" ht="15.75" hidden="1" customHeight="1">
      <c r="A2368" s="9"/>
      <c r="B2368" s="9"/>
      <c r="D2368" s="9"/>
      <c r="F2368" s="9"/>
      <c r="G2368" s="9"/>
      <c r="H2368" s="127"/>
      <c r="I2368" s="9"/>
      <c r="J2368" s="9"/>
      <c r="K2368" s="55"/>
      <c r="M2368" s="9"/>
    </row>
    <row r="2369" ht="15.75" hidden="1" customHeight="1">
      <c r="A2369" s="9"/>
      <c r="B2369" s="9"/>
      <c r="D2369" s="9"/>
      <c r="F2369" s="9"/>
      <c r="G2369" s="9"/>
      <c r="H2369" s="127"/>
      <c r="I2369" s="9"/>
      <c r="J2369" s="9"/>
      <c r="K2369" s="55"/>
      <c r="M2369" s="9"/>
    </row>
    <row r="2370" ht="15.75" hidden="1" customHeight="1">
      <c r="A2370" s="9"/>
      <c r="B2370" s="9"/>
      <c r="D2370" s="9"/>
      <c r="F2370" s="9"/>
      <c r="G2370" s="9"/>
      <c r="H2370" s="127"/>
      <c r="I2370" s="9"/>
      <c r="J2370" s="9"/>
      <c r="K2370" s="55"/>
      <c r="M2370" s="9"/>
    </row>
    <row r="2371" ht="15.75" hidden="1" customHeight="1">
      <c r="A2371" s="9"/>
      <c r="B2371" s="9"/>
      <c r="D2371" s="9"/>
      <c r="F2371" s="9"/>
      <c r="G2371" s="9"/>
      <c r="H2371" s="127"/>
      <c r="I2371" s="9"/>
      <c r="J2371" s="9"/>
      <c r="K2371" s="55"/>
      <c r="M2371" s="9"/>
    </row>
    <row r="2372" ht="15.75" hidden="1" customHeight="1">
      <c r="A2372" s="9"/>
      <c r="B2372" s="9"/>
      <c r="D2372" s="9"/>
      <c r="F2372" s="9"/>
      <c r="G2372" s="9"/>
      <c r="H2372" s="127"/>
      <c r="I2372" s="9"/>
      <c r="J2372" s="9"/>
      <c r="K2372" s="55"/>
      <c r="M2372" s="9"/>
    </row>
    <row r="2373" ht="15.75" hidden="1" customHeight="1">
      <c r="A2373" s="9"/>
      <c r="B2373" s="9"/>
      <c r="D2373" s="9"/>
      <c r="F2373" s="9"/>
      <c r="G2373" s="9"/>
      <c r="H2373" s="127"/>
      <c r="I2373" s="9"/>
      <c r="J2373" s="9"/>
      <c r="K2373" s="55"/>
      <c r="M2373" s="9"/>
    </row>
    <row r="2374" ht="15.75" hidden="1" customHeight="1">
      <c r="A2374" s="9"/>
      <c r="B2374" s="9"/>
      <c r="D2374" s="9"/>
      <c r="F2374" s="9"/>
      <c r="G2374" s="9"/>
      <c r="H2374" s="127"/>
      <c r="I2374" s="9"/>
      <c r="J2374" s="9"/>
      <c r="K2374" s="55"/>
      <c r="M2374" s="9"/>
    </row>
    <row r="2375" ht="15.75" hidden="1" customHeight="1">
      <c r="A2375" s="9"/>
      <c r="B2375" s="9"/>
      <c r="D2375" s="9"/>
      <c r="F2375" s="9"/>
      <c r="G2375" s="9"/>
      <c r="H2375" s="127"/>
      <c r="I2375" s="9"/>
      <c r="J2375" s="9"/>
      <c r="K2375" s="55"/>
      <c r="M2375" s="9"/>
    </row>
    <row r="2376" ht="15.75" hidden="1" customHeight="1">
      <c r="A2376" s="9"/>
      <c r="B2376" s="9"/>
      <c r="D2376" s="9"/>
      <c r="F2376" s="9"/>
      <c r="G2376" s="9"/>
      <c r="H2376" s="127"/>
      <c r="I2376" s="9"/>
      <c r="J2376" s="9"/>
      <c r="K2376" s="55"/>
      <c r="M2376" s="9"/>
    </row>
    <row r="2377" ht="15.75" hidden="1" customHeight="1">
      <c r="A2377" s="9"/>
      <c r="B2377" s="9"/>
      <c r="D2377" s="9"/>
      <c r="F2377" s="9"/>
      <c r="G2377" s="9"/>
      <c r="H2377" s="127"/>
      <c r="I2377" s="9"/>
      <c r="J2377" s="9"/>
      <c r="K2377" s="55"/>
      <c r="M2377" s="9"/>
    </row>
    <row r="2378" ht="15.75" hidden="1" customHeight="1">
      <c r="A2378" s="9"/>
      <c r="B2378" s="9"/>
      <c r="D2378" s="9"/>
      <c r="F2378" s="9"/>
      <c r="G2378" s="9"/>
      <c r="H2378" s="127"/>
      <c r="I2378" s="9"/>
      <c r="J2378" s="9"/>
      <c r="K2378" s="55"/>
      <c r="M2378" s="9"/>
    </row>
    <row r="2379" ht="15.75" hidden="1" customHeight="1">
      <c r="A2379" s="9"/>
      <c r="B2379" s="9"/>
      <c r="D2379" s="9"/>
      <c r="F2379" s="9"/>
      <c r="G2379" s="9"/>
      <c r="H2379" s="127"/>
      <c r="I2379" s="9"/>
      <c r="J2379" s="9"/>
      <c r="K2379" s="55"/>
      <c r="M2379" s="9"/>
    </row>
    <row r="2380" ht="15.75" hidden="1" customHeight="1">
      <c r="A2380" s="9"/>
      <c r="B2380" s="9"/>
      <c r="D2380" s="9"/>
      <c r="F2380" s="9"/>
      <c r="G2380" s="9"/>
      <c r="H2380" s="127"/>
      <c r="I2380" s="9"/>
      <c r="J2380" s="9"/>
      <c r="K2380" s="55"/>
      <c r="M2380" s="9"/>
    </row>
    <row r="2381" ht="15.75" hidden="1" customHeight="1">
      <c r="A2381" s="9"/>
      <c r="B2381" s="9"/>
      <c r="D2381" s="9"/>
      <c r="F2381" s="9"/>
      <c r="G2381" s="9"/>
      <c r="H2381" s="127"/>
      <c r="I2381" s="9"/>
      <c r="J2381" s="9"/>
      <c r="K2381" s="55"/>
      <c r="M2381" s="9"/>
    </row>
    <row r="2382" ht="15.75" hidden="1" customHeight="1">
      <c r="A2382" s="9"/>
      <c r="B2382" s="9"/>
      <c r="D2382" s="9"/>
      <c r="F2382" s="9"/>
      <c r="G2382" s="9"/>
      <c r="H2382" s="127"/>
      <c r="I2382" s="9"/>
      <c r="J2382" s="9"/>
      <c r="K2382" s="55"/>
      <c r="M2382" s="9"/>
    </row>
    <row r="2383" ht="15.75" hidden="1" customHeight="1">
      <c r="A2383" s="9"/>
      <c r="B2383" s="9"/>
      <c r="D2383" s="9"/>
      <c r="F2383" s="9"/>
      <c r="G2383" s="9"/>
      <c r="H2383" s="127"/>
      <c r="I2383" s="9"/>
      <c r="J2383" s="9"/>
      <c r="K2383" s="55"/>
      <c r="M2383" s="9"/>
    </row>
    <row r="2384" ht="15.75" hidden="1" customHeight="1">
      <c r="A2384" s="9"/>
      <c r="B2384" s="9"/>
      <c r="D2384" s="9"/>
      <c r="F2384" s="9"/>
      <c r="G2384" s="9"/>
      <c r="H2384" s="127"/>
      <c r="I2384" s="9"/>
      <c r="J2384" s="9"/>
      <c r="K2384" s="55"/>
      <c r="M2384" s="9"/>
    </row>
    <row r="2385" ht="15.75" hidden="1" customHeight="1">
      <c r="A2385" s="9"/>
      <c r="B2385" s="9"/>
      <c r="D2385" s="9"/>
      <c r="F2385" s="9"/>
      <c r="G2385" s="9"/>
      <c r="H2385" s="127"/>
      <c r="I2385" s="9"/>
      <c r="J2385" s="9"/>
      <c r="K2385" s="55"/>
      <c r="M2385" s="9"/>
    </row>
    <row r="2386" ht="15.75" hidden="1" customHeight="1">
      <c r="A2386" s="9"/>
      <c r="B2386" s="9"/>
      <c r="D2386" s="9"/>
      <c r="F2386" s="9"/>
      <c r="G2386" s="9"/>
      <c r="H2386" s="127"/>
      <c r="I2386" s="9"/>
      <c r="J2386" s="9"/>
      <c r="K2386" s="55"/>
      <c r="M2386" s="9"/>
    </row>
    <row r="2387" ht="15.75" hidden="1" customHeight="1">
      <c r="A2387" s="9"/>
      <c r="B2387" s="9"/>
      <c r="D2387" s="9"/>
      <c r="F2387" s="9"/>
      <c r="G2387" s="9"/>
      <c r="H2387" s="127"/>
      <c r="I2387" s="9"/>
      <c r="J2387" s="9"/>
      <c r="K2387" s="55"/>
      <c r="M2387" s="9"/>
    </row>
    <row r="2388" ht="15.75" hidden="1" customHeight="1">
      <c r="A2388" s="9"/>
      <c r="B2388" s="9"/>
      <c r="D2388" s="9"/>
      <c r="F2388" s="9"/>
      <c r="G2388" s="9"/>
      <c r="H2388" s="127"/>
      <c r="I2388" s="9"/>
      <c r="J2388" s="9"/>
      <c r="K2388" s="55"/>
      <c r="M2388" s="9"/>
    </row>
    <row r="2389" ht="15.75" hidden="1" customHeight="1">
      <c r="A2389" s="9"/>
      <c r="B2389" s="9"/>
      <c r="D2389" s="9"/>
      <c r="F2389" s="9"/>
      <c r="G2389" s="9"/>
      <c r="H2389" s="127"/>
      <c r="I2389" s="9"/>
      <c r="J2389" s="9"/>
      <c r="K2389" s="55"/>
      <c r="M2389" s="9"/>
    </row>
    <row r="2390" ht="15.75" hidden="1" customHeight="1">
      <c r="A2390" s="9"/>
      <c r="B2390" s="9"/>
      <c r="D2390" s="9"/>
      <c r="F2390" s="9"/>
      <c r="G2390" s="9"/>
      <c r="H2390" s="127"/>
      <c r="I2390" s="9"/>
      <c r="J2390" s="9"/>
      <c r="K2390" s="55"/>
      <c r="M2390" s="9"/>
    </row>
    <row r="2391" ht="15.75" hidden="1" customHeight="1">
      <c r="A2391" s="9"/>
      <c r="B2391" s="9"/>
      <c r="D2391" s="9"/>
      <c r="F2391" s="9"/>
      <c r="G2391" s="9"/>
      <c r="H2391" s="127"/>
      <c r="I2391" s="9"/>
      <c r="J2391" s="9"/>
      <c r="K2391" s="55"/>
      <c r="M2391" s="9"/>
    </row>
    <row r="2392" ht="15.75" hidden="1" customHeight="1">
      <c r="A2392" s="9"/>
      <c r="B2392" s="9"/>
      <c r="D2392" s="9"/>
      <c r="F2392" s="9"/>
      <c r="G2392" s="9"/>
      <c r="H2392" s="127"/>
      <c r="I2392" s="9"/>
      <c r="J2392" s="9"/>
      <c r="K2392" s="55"/>
      <c r="M2392" s="9"/>
    </row>
    <row r="2393" ht="15.75" hidden="1" customHeight="1">
      <c r="A2393" s="9"/>
      <c r="B2393" s="9"/>
      <c r="D2393" s="9"/>
      <c r="F2393" s="9"/>
      <c r="G2393" s="9"/>
      <c r="H2393" s="127"/>
      <c r="I2393" s="9"/>
      <c r="J2393" s="9"/>
      <c r="K2393" s="55"/>
      <c r="M2393" s="9"/>
    </row>
    <row r="2394" ht="15.75" hidden="1" customHeight="1">
      <c r="A2394" s="9"/>
      <c r="B2394" s="9"/>
      <c r="D2394" s="9"/>
      <c r="F2394" s="9"/>
      <c r="G2394" s="9"/>
      <c r="H2394" s="127"/>
      <c r="I2394" s="9"/>
      <c r="J2394" s="9"/>
      <c r="K2394" s="55"/>
      <c r="M2394" s="9"/>
    </row>
    <row r="2395" ht="15.75" hidden="1" customHeight="1">
      <c r="A2395" s="9"/>
      <c r="B2395" s="9"/>
      <c r="D2395" s="9"/>
      <c r="F2395" s="9"/>
      <c r="G2395" s="9"/>
      <c r="H2395" s="127"/>
      <c r="I2395" s="9"/>
      <c r="J2395" s="9"/>
      <c r="K2395" s="55"/>
      <c r="M2395" s="9"/>
    </row>
    <row r="2396" ht="15.75" hidden="1" customHeight="1">
      <c r="A2396" s="9"/>
      <c r="B2396" s="9"/>
      <c r="D2396" s="9"/>
      <c r="F2396" s="9"/>
      <c r="G2396" s="9"/>
      <c r="H2396" s="127"/>
      <c r="I2396" s="9"/>
      <c r="J2396" s="9"/>
      <c r="K2396" s="55"/>
      <c r="M2396" s="9"/>
    </row>
    <row r="2397" ht="15.75" hidden="1" customHeight="1">
      <c r="A2397" s="9"/>
      <c r="B2397" s="9"/>
      <c r="D2397" s="9"/>
      <c r="F2397" s="9"/>
      <c r="G2397" s="9"/>
      <c r="H2397" s="127"/>
      <c r="I2397" s="9"/>
      <c r="J2397" s="9"/>
      <c r="K2397" s="55"/>
      <c r="M2397" s="9"/>
    </row>
    <row r="2398" ht="15.75" hidden="1" customHeight="1">
      <c r="A2398" s="9"/>
      <c r="B2398" s="9"/>
      <c r="D2398" s="9"/>
      <c r="F2398" s="9"/>
      <c r="G2398" s="9"/>
      <c r="H2398" s="127"/>
      <c r="I2398" s="9"/>
      <c r="J2398" s="9"/>
      <c r="K2398" s="55"/>
      <c r="M2398" s="9"/>
    </row>
    <row r="2399" ht="15.75" hidden="1" customHeight="1">
      <c r="A2399" s="9"/>
      <c r="B2399" s="9"/>
      <c r="D2399" s="9"/>
      <c r="F2399" s="9"/>
      <c r="G2399" s="9"/>
      <c r="H2399" s="127"/>
      <c r="I2399" s="9"/>
      <c r="J2399" s="9"/>
      <c r="K2399" s="55"/>
      <c r="M2399" s="9"/>
    </row>
    <row r="2400" ht="15.75" hidden="1" customHeight="1">
      <c r="A2400" s="9"/>
      <c r="B2400" s="9"/>
      <c r="D2400" s="9"/>
      <c r="F2400" s="9"/>
      <c r="G2400" s="9"/>
      <c r="H2400" s="127"/>
      <c r="I2400" s="9"/>
      <c r="J2400" s="9"/>
      <c r="K2400" s="55"/>
      <c r="M2400" s="9"/>
    </row>
    <row r="2401" ht="15.75" hidden="1" customHeight="1">
      <c r="A2401" s="9"/>
      <c r="B2401" s="9"/>
      <c r="D2401" s="9"/>
      <c r="F2401" s="9"/>
      <c r="G2401" s="9"/>
      <c r="H2401" s="127"/>
      <c r="I2401" s="9"/>
      <c r="J2401" s="9"/>
      <c r="K2401" s="55"/>
      <c r="M2401" s="9"/>
    </row>
    <row r="2402" ht="15.75" hidden="1" customHeight="1">
      <c r="A2402" s="9"/>
      <c r="B2402" s="9"/>
      <c r="D2402" s="9"/>
      <c r="F2402" s="9"/>
      <c r="G2402" s="9"/>
      <c r="H2402" s="127"/>
      <c r="I2402" s="9"/>
      <c r="J2402" s="9"/>
      <c r="K2402" s="55"/>
      <c r="M2402" s="9"/>
    </row>
    <row r="2403" ht="15.75" hidden="1" customHeight="1">
      <c r="A2403" s="9"/>
      <c r="B2403" s="9"/>
      <c r="D2403" s="9"/>
      <c r="F2403" s="9"/>
      <c r="G2403" s="9"/>
      <c r="H2403" s="127"/>
      <c r="I2403" s="9"/>
      <c r="J2403" s="9"/>
      <c r="K2403" s="55"/>
      <c r="M2403" s="9"/>
    </row>
    <row r="2404" ht="15.75" hidden="1" customHeight="1">
      <c r="A2404" s="9"/>
      <c r="B2404" s="9"/>
      <c r="D2404" s="9"/>
      <c r="F2404" s="9"/>
      <c r="G2404" s="9"/>
      <c r="H2404" s="127"/>
      <c r="I2404" s="9"/>
      <c r="J2404" s="9"/>
      <c r="K2404" s="55"/>
      <c r="M2404" s="9"/>
    </row>
    <row r="2405" ht="15.75" hidden="1" customHeight="1">
      <c r="A2405" s="9"/>
      <c r="B2405" s="9"/>
      <c r="D2405" s="9"/>
      <c r="F2405" s="9"/>
      <c r="G2405" s="9"/>
      <c r="H2405" s="127"/>
      <c r="I2405" s="9"/>
      <c r="J2405" s="9"/>
      <c r="K2405" s="55"/>
      <c r="M2405" s="9"/>
    </row>
    <row r="2406" ht="15.75" hidden="1" customHeight="1">
      <c r="A2406" s="9"/>
      <c r="B2406" s="9"/>
      <c r="D2406" s="9"/>
      <c r="F2406" s="9"/>
      <c r="G2406" s="9"/>
      <c r="H2406" s="127"/>
      <c r="I2406" s="9"/>
      <c r="J2406" s="9"/>
      <c r="K2406" s="55"/>
      <c r="M2406" s="9"/>
    </row>
    <row r="2407" ht="15.75" hidden="1" customHeight="1">
      <c r="A2407" s="9"/>
      <c r="B2407" s="9"/>
      <c r="D2407" s="9"/>
      <c r="F2407" s="9"/>
      <c r="G2407" s="9"/>
      <c r="H2407" s="127"/>
      <c r="I2407" s="9"/>
      <c r="J2407" s="9"/>
      <c r="K2407" s="55"/>
      <c r="M2407" s="9"/>
    </row>
    <row r="2408" ht="15.75" hidden="1" customHeight="1">
      <c r="A2408" s="9"/>
      <c r="B2408" s="9"/>
      <c r="D2408" s="9"/>
      <c r="F2408" s="9"/>
      <c r="G2408" s="9"/>
      <c r="H2408" s="127"/>
      <c r="I2408" s="9"/>
      <c r="J2408" s="9"/>
      <c r="K2408" s="55"/>
      <c r="M2408" s="9"/>
    </row>
    <row r="2409" ht="15.75" hidden="1" customHeight="1">
      <c r="A2409" s="9"/>
      <c r="B2409" s="9"/>
      <c r="D2409" s="9"/>
      <c r="F2409" s="9"/>
      <c r="G2409" s="9"/>
      <c r="H2409" s="127"/>
      <c r="I2409" s="9"/>
      <c r="J2409" s="9"/>
      <c r="K2409" s="55"/>
      <c r="M2409" s="9"/>
    </row>
    <row r="2410" ht="15.75" hidden="1" customHeight="1">
      <c r="A2410" s="9"/>
      <c r="B2410" s="9"/>
      <c r="D2410" s="9"/>
      <c r="F2410" s="9"/>
      <c r="G2410" s="9"/>
      <c r="H2410" s="127"/>
      <c r="I2410" s="9"/>
      <c r="J2410" s="9"/>
      <c r="K2410" s="55"/>
      <c r="M2410" s="9"/>
    </row>
    <row r="2411" ht="15.75" hidden="1" customHeight="1">
      <c r="A2411" s="9"/>
      <c r="B2411" s="9"/>
      <c r="D2411" s="9"/>
      <c r="F2411" s="9"/>
      <c r="G2411" s="9"/>
      <c r="H2411" s="127"/>
      <c r="I2411" s="9"/>
      <c r="J2411" s="9"/>
      <c r="K2411" s="55"/>
      <c r="M2411" s="9"/>
    </row>
    <row r="2412" ht="15.75" hidden="1" customHeight="1">
      <c r="A2412" s="9"/>
      <c r="B2412" s="9"/>
      <c r="D2412" s="9"/>
      <c r="F2412" s="9"/>
      <c r="G2412" s="9"/>
      <c r="H2412" s="127"/>
      <c r="I2412" s="9"/>
      <c r="J2412" s="9"/>
      <c r="K2412" s="55"/>
      <c r="M2412" s="9"/>
    </row>
    <row r="2413" ht="15.75" hidden="1" customHeight="1">
      <c r="A2413" s="9"/>
      <c r="B2413" s="9"/>
      <c r="D2413" s="9"/>
      <c r="F2413" s="9"/>
      <c r="G2413" s="9"/>
      <c r="H2413" s="127"/>
      <c r="I2413" s="9"/>
      <c r="J2413" s="9"/>
      <c r="K2413" s="55"/>
      <c r="M2413" s="9"/>
    </row>
    <row r="2414" ht="15.75" hidden="1" customHeight="1">
      <c r="A2414" s="9"/>
      <c r="B2414" s="9"/>
      <c r="D2414" s="9"/>
      <c r="F2414" s="9"/>
      <c r="G2414" s="9"/>
      <c r="H2414" s="127"/>
      <c r="I2414" s="9"/>
      <c r="J2414" s="9"/>
      <c r="K2414" s="55"/>
      <c r="M2414" s="9"/>
    </row>
    <row r="2415" ht="15.75" hidden="1" customHeight="1">
      <c r="A2415" s="9"/>
      <c r="B2415" s="9"/>
      <c r="D2415" s="9"/>
      <c r="F2415" s="9"/>
      <c r="G2415" s="9"/>
      <c r="H2415" s="127"/>
      <c r="I2415" s="9"/>
      <c r="J2415" s="9"/>
      <c r="K2415" s="55"/>
      <c r="M2415" s="9"/>
    </row>
    <row r="2416" ht="15.75" hidden="1" customHeight="1">
      <c r="A2416" s="9"/>
      <c r="B2416" s="9"/>
      <c r="D2416" s="9"/>
      <c r="F2416" s="9"/>
      <c r="G2416" s="9"/>
      <c r="H2416" s="127"/>
      <c r="I2416" s="9"/>
      <c r="J2416" s="9"/>
      <c r="K2416" s="55"/>
      <c r="M2416" s="9"/>
    </row>
    <row r="2417" ht="15.75" hidden="1" customHeight="1">
      <c r="A2417" s="9"/>
      <c r="B2417" s="9"/>
      <c r="D2417" s="9"/>
      <c r="F2417" s="9"/>
      <c r="G2417" s="9"/>
      <c r="H2417" s="127"/>
      <c r="I2417" s="9"/>
      <c r="J2417" s="9"/>
      <c r="K2417" s="55"/>
      <c r="M2417" s="9"/>
    </row>
    <row r="2418" ht="15.75" hidden="1" customHeight="1">
      <c r="A2418" s="9"/>
      <c r="B2418" s="9"/>
      <c r="D2418" s="9"/>
      <c r="F2418" s="9"/>
      <c r="G2418" s="9"/>
      <c r="H2418" s="127"/>
      <c r="I2418" s="9"/>
      <c r="J2418" s="9"/>
      <c r="K2418" s="55"/>
      <c r="M2418" s="9"/>
    </row>
    <row r="2419" ht="15.75" hidden="1" customHeight="1">
      <c r="A2419" s="9"/>
      <c r="B2419" s="9"/>
      <c r="D2419" s="9"/>
      <c r="F2419" s="9"/>
      <c r="G2419" s="9"/>
      <c r="H2419" s="127"/>
      <c r="I2419" s="9"/>
      <c r="J2419" s="9"/>
      <c r="K2419" s="55"/>
      <c r="M2419" s="9"/>
    </row>
    <row r="2420" ht="15.75" hidden="1" customHeight="1">
      <c r="A2420" s="9"/>
      <c r="B2420" s="9"/>
      <c r="D2420" s="9"/>
      <c r="F2420" s="9"/>
      <c r="G2420" s="9"/>
      <c r="H2420" s="127"/>
      <c r="I2420" s="9"/>
      <c r="J2420" s="9"/>
      <c r="K2420" s="55"/>
      <c r="M2420" s="9"/>
    </row>
    <row r="2421" ht="15.75" hidden="1" customHeight="1">
      <c r="A2421" s="9"/>
      <c r="B2421" s="9"/>
      <c r="D2421" s="9"/>
      <c r="F2421" s="9"/>
      <c r="G2421" s="9"/>
      <c r="H2421" s="127"/>
      <c r="I2421" s="9"/>
      <c r="J2421" s="9"/>
      <c r="K2421" s="55"/>
      <c r="M2421" s="9"/>
    </row>
    <row r="2422" ht="15.75" hidden="1" customHeight="1">
      <c r="A2422" s="9"/>
      <c r="B2422" s="9"/>
      <c r="D2422" s="9"/>
      <c r="F2422" s="9"/>
      <c r="G2422" s="9"/>
      <c r="H2422" s="127"/>
      <c r="I2422" s="9"/>
      <c r="J2422" s="9"/>
      <c r="K2422" s="55"/>
      <c r="M2422" s="9"/>
    </row>
    <row r="2423" ht="15.75" hidden="1" customHeight="1">
      <c r="A2423" s="9"/>
      <c r="B2423" s="9"/>
      <c r="D2423" s="9"/>
      <c r="F2423" s="9"/>
      <c r="G2423" s="9"/>
      <c r="H2423" s="127"/>
      <c r="I2423" s="9"/>
      <c r="J2423" s="9"/>
      <c r="K2423" s="55"/>
      <c r="M2423" s="9"/>
    </row>
    <row r="2424" ht="15.75" hidden="1" customHeight="1">
      <c r="A2424" s="9"/>
      <c r="B2424" s="9"/>
      <c r="D2424" s="9"/>
      <c r="F2424" s="9"/>
      <c r="G2424" s="9"/>
      <c r="H2424" s="127"/>
      <c r="I2424" s="9"/>
      <c r="J2424" s="9"/>
      <c r="K2424" s="55"/>
      <c r="M2424" s="9"/>
    </row>
    <row r="2425" ht="15.75" hidden="1" customHeight="1">
      <c r="A2425" s="9"/>
      <c r="B2425" s="9"/>
      <c r="D2425" s="9"/>
      <c r="F2425" s="9"/>
      <c r="G2425" s="9"/>
      <c r="H2425" s="127"/>
      <c r="I2425" s="9"/>
      <c r="J2425" s="9"/>
      <c r="K2425" s="55"/>
      <c r="M2425" s="9"/>
    </row>
    <row r="2426" ht="15.75" hidden="1" customHeight="1">
      <c r="A2426" s="9"/>
      <c r="B2426" s="9"/>
      <c r="D2426" s="9"/>
      <c r="F2426" s="9"/>
      <c r="G2426" s="9"/>
      <c r="H2426" s="127"/>
      <c r="I2426" s="9"/>
      <c r="J2426" s="9"/>
      <c r="K2426" s="55"/>
      <c r="M2426" s="9"/>
    </row>
    <row r="2427" ht="15.75" hidden="1" customHeight="1">
      <c r="A2427" s="9"/>
      <c r="B2427" s="9"/>
      <c r="D2427" s="9"/>
      <c r="F2427" s="9"/>
      <c r="G2427" s="9"/>
      <c r="H2427" s="127"/>
      <c r="I2427" s="9"/>
      <c r="J2427" s="9"/>
      <c r="K2427" s="55"/>
      <c r="M2427" s="9"/>
    </row>
    <row r="2428" ht="15.75" hidden="1" customHeight="1">
      <c r="A2428" s="9"/>
      <c r="B2428" s="9"/>
      <c r="D2428" s="9"/>
      <c r="F2428" s="9"/>
      <c r="G2428" s="9"/>
      <c r="H2428" s="127"/>
      <c r="I2428" s="9"/>
      <c r="J2428" s="9"/>
      <c r="K2428" s="55"/>
      <c r="M2428" s="9"/>
    </row>
    <row r="2429" ht="15.75" hidden="1" customHeight="1">
      <c r="A2429" s="9"/>
      <c r="B2429" s="9"/>
      <c r="D2429" s="9"/>
      <c r="F2429" s="9"/>
      <c r="G2429" s="9"/>
      <c r="H2429" s="127"/>
      <c r="I2429" s="9"/>
      <c r="J2429" s="9"/>
      <c r="K2429" s="55"/>
      <c r="M2429" s="9"/>
    </row>
    <row r="2430" ht="15.75" hidden="1" customHeight="1">
      <c r="A2430" s="9"/>
      <c r="B2430" s="9"/>
      <c r="D2430" s="9"/>
      <c r="F2430" s="9"/>
      <c r="G2430" s="9"/>
      <c r="H2430" s="127"/>
      <c r="I2430" s="9"/>
      <c r="J2430" s="9"/>
      <c r="K2430" s="55"/>
      <c r="M2430" s="9"/>
    </row>
    <row r="2431" ht="15.75" hidden="1" customHeight="1">
      <c r="A2431" s="9"/>
      <c r="B2431" s="9"/>
      <c r="D2431" s="9"/>
      <c r="F2431" s="9"/>
      <c r="G2431" s="9"/>
      <c r="H2431" s="127"/>
      <c r="I2431" s="9"/>
      <c r="J2431" s="9"/>
      <c r="K2431" s="55"/>
      <c r="M2431" s="9"/>
    </row>
    <row r="2432" ht="15.75" hidden="1" customHeight="1">
      <c r="A2432" s="9"/>
      <c r="B2432" s="9"/>
      <c r="D2432" s="9"/>
      <c r="F2432" s="9"/>
      <c r="G2432" s="9"/>
      <c r="H2432" s="127"/>
      <c r="I2432" s="9"/>
      <c r="J2432" s="9"/>
      <c r="K2432" s="55"/>
      <c r="M2432" s="9"/>
    </row>
    <row r="2433" ht="15.75" hidden="1" customHeight="1">
      <c r="A2433" s="9"/>
      <c r="B2433" s="9"/>
      <c r="D2433" s="9"/>
      <c r="F2433" s="9"/>
      <c r="G2433" s="9"/>
      <c r="H2433" s="127"/>
      <c r="I2433" s="9"/>
      <c r="J2433" s="9"/>
      <c r="K2433" s="55"/>
      <c r="M2433" s="9"/>
    </row>
    <row r="2434" ht="15.75" hidden="1" customHeight="1">
      <c r="A2434" s="9"/>
      <c r="B2434" s="9"/>
      <c r="D2434" s="9"/>
      <c r="F2434" s="9"/>
      <c r="G2434" s="9"/>
      <c r="H2434" s="127"/>
      <c r="I2434" s="9"/>
      <c r="J2434" s="9"/>
      <c r="K2434" s="55"/>
      <c r="M2434" s="9"/>
    </row>
    <row r="2435" ht="15.75" hidden="1" customHeight="1">
      <c r="A2435" s="9"/>
      <c r="B2435" s="9"/>
      <c r="D2435" s="9"/>
      <c r="F2435" s="9"/>
      <c r="G2435" s="9"/>
      <c r="H2435" s="127"/>
      <c r="I2435" s="9"/>
      <c r="J2435" s="9"/>
      <c r="K2435" s="55"/>
      <c r="M2435" s="9"/>
    </row>
    <row r="2436" ht="15.75" hidden="1" customHeight="1">
      <c r="A2436" s="9"/>
      <c r="B2436" s="9"/>
      <c r="D2436" s="9"/>
      <c r="F2436" s="9"/>
      <c r="G2436" s="9"/>
      <c r="H2436" s="127"/>
      <c r="I2436" s="9"/>
      <c r="J2436" s="9"/>
      <c r="K2436" s="55"/>
      <c r="M2436" s="9"/>
    </row>
    <row r="2437" ht="15.75" hidden="1" customHeight="1">
      <c r="A2437" s="9"/>
      <c r="B2437" s="9"/>
      <c r="D2437" s="9"/>
      <c r="F2437" s="9"/>
      <c r="G2437" s="9"/>
      <c r="H2437" s="127"/>
      <c r="I2437" s="9"/>
      <c r="J2437" s="9"/>
      <c r="K2437" s="55"/>
      <c r="M2437" s="9"/>
    </row>
    <row r="2438" ht="15.75" hidden="1" customHeight="1">
      <c r="A2438" s="9"/>
      <c r="B2438" s="9"/>
      <c r="D2438" s="9"/>
      <c r="F2438" s="9"/>
      <c r="G2438" s="9"/>
      <c r="H2438" s="127"/>
      <c r="I2438" s="9"/>
      <c r="J2438" s="9"/>
      <c r="K2438" s="55"/>
      <c r="M2438" s="9"/>
    </row>
    <row r="2439" ht="15.75" hidden="1" customHeight="1">
      <c r="A2439" s="9"/>
      <c r="B2439" s="9"/>
      <c r="D2439" s="9"/>
      <c r="F2439" s="9"/>
      <c r="G2439" s="9"/>
      <c r="H2439" s="127"/>
      <c r="I2439" s="9"/>
      <c r="J2439" s="9"/>
      <c r="K2439" s="55"/>
      <c r="M2439" s="9"/>
    </row>
    <row r="2440" ht="15.75" hidden="1" customHeight="1">
      <c r="A2440" s="9"/>
      <c r="B2440" s="9"/>
      <c r="D2440" s="9"/>
      <c r="F2440" s="9"/>
      <c r="G2440" s="9"/>
      <c r="H2440" s="127"/>
      <c r="I2440" s="9"/>
      <c r="J2440" s="9"/>
      <c r="K2440" s="55"/>
      <c r="M2440" s="9"/>
    </row>
    <row r="2441" ht="15.75" hidden="1" customHeight="1">
      <c r="A2441" s="9"/>
      <c r="B2441" s="9"/>
      <c r="D2441" s="9"/>
      <c r="F2441" s="9"/>
      <c r="G2441" s="9"/>
      <c r="H2441" s="127"/>
      <c r="I2441" s="9"/>
      <c r="J2441" s="9"/>
      <c r="K2441" s="55"/>
      <c r="M2441" s="9"/>
    </row>
    <row r="2442" ht="15.75" hidden="1" customHeight="1">
      <c r="A2442" s="9"/>
      <c r="B2442" s="9"/>
      <c r="D2442" s="9"/>
      <c r="F2442" s="9"/>
      <c r="G2442" s="9"/>
      <c r="H2442" s="127"/>
      <c r="I2442" s="9"/>
      <c r="J2442" s="9"/>
      <c r="K2442" s="55"/>
      <c r="M2442" s="9"/>
    </row>
    <row r="2443" ht="15.75" hidden="1" customHeight="1">
      <c r="A2443" s="9"/>
      <c r="B2443" s="9"/>
      <c r="D2443" s="9"/>
      <c r="F2443" s="9"/>
      <c r="G2443" s="9"/>
      <c r="H2443" s="127"/>
      <c r="I2443" s="9"/>
      <c r="J2443" s="9"/>
      <c r="K2443" s="55"/>
      <c r="M2443" s="9"/>
    </row>
    <row r="2444" ht="15.75" hidden="1" customHeight="1">
      <c r="A2444" s="9"/>
      <c r="B2444" s="9"/>
      <c r="D2444" s="9"/>
      <c r="F2444" s="9"/>
      <c r="G2444" s="9"/>
      <c r="H2444" s="127"/>
      <c r="I2444" s="9"/>
      <c r="J2444" s="9"/>
      <c r="K2444" s="55"/>
      <c r="M2444" s="9"/>
    </row>
    <row r="2445" ht="15.75" hidden="1" customHeight="1">
      <c r="A2445" s="9"/>
      <c r="B2445" s="9"/>
      <c r="D2445" s="9"/>
      <c r="F2445" s="9"/>
      <c r="G2445" s="9"/>
      <c r="H2445" s="127"/>
      <c r="I2445" s="9"/>
      <c r="J2445" s="9"/>
      <c r="K2445" s="55"/>
      <c r="M2445" s="9"/>
    </row>
    <row r="2446" ht="15.75" hidden="1" customHeight="1">
      <c r="A2446" s="9"/>
      <c r="B2446" s="9"/>
      <c r="D2446" s="9"/>
      <c r="F2446" s="9"/>
      <c r="G2446" s="9"/>
      <c r="H2446" s="127"/>
      <c r="I2446" s="9"/>
      <c r="J2446" s="9"/>
      <c r="K2446" s="55"/>
      <c r="M2446" s="9"/>
    </row>
    <row r="2447" ht="15.75" hidden="1" customHeight="1">
      <c r="A2447" s="9"/>
      <c r="B2447" s="9"/>
      <c r="D2447" s="9"/>
      <c r="F2447" s="9"/>
      <c r="G2447" s="9"/>
      <c r="H2447" s="127"/>
      <c r="I2447" s="9"/>
      <c r="J2447" s="9"/>
      <c r="K2447" s="55"/>
      <c r="M2447" s="9"/>
    </row>
    <row r="2448" ht="15.75" hidden="1" customHeight="1">
      <c r="A2448" s="9"/>
      <c r="B2448" s="9"/>
      <c r="D2448" s="9"/>
      <c r="F2448" s="9"/>
      <c r="G2448" s="9"/>
      <c r="H2448" s="127"/>
      <c r="I2448" s="9"/>
      <c r="J2448" s="9"/>
      <c r="K2448" s="55"/>
      <c r="M2448" s="9"/>
    </row>
    <row r="2449" ht="15.75" hidden="1" customHeight="1">
      <c r="A2449" s="9"/>
      <c r="B2449" s="9"/>
      <c r="D2449" s="9"/>
      <c r="F2449" s="9"/>
      <c r="G2449" s="9"/>
      <c r="H2449" s="127"/>
      <c r="I2449" s="9"/>
      <c r="J2449" s="9"/>
      <c r="K2449" s="55"/>
      <c r="M2449" s="9"/>
    </row>
    <row r="2450" ht="15.75" hidden="1" customHeight="1">
      <c r="A2450" s="9"/>
      <c r="B2450" s="9"/>
      <c r="D2450" s="9"/>
      <c r="F2450" s="9"/>
      <c r="G2450" s="9"/>
      <c r="H2450" s="127"/>
      <c r="I2450" s="9"/>
      <c r="J2450" s="9"/>
      <c r="K2450" s="55"/>
      <c r="M2450" s="9"/>
    </row>
    <row r="2451" ht="15.75" hidden="1" customHeight="1">
      <c r="A2451" s="9"/>
      <c r="B2451" s="9"/>
      <c r="D2451" s="9"/>
      <c r="F2451" s="9"/>
      <c r="G2451" s="9"/>
      <c r="H2451" s="127"/>
      <c r="I2451" s="9"/>
      <c r="J2451" s="9"/>
      <c r="K2451" s="55"/>
      <c r="M2451" s="9"/>
    </row>
    <row r="2452" ht="15.75" hidden="1" customHeight="1">
      <c r="A2452" s="9"/>
      <c r="B2452" s="9"/>
      <c r="D2452" s="9"/>
      <c r="F2452" s="9"/>
      <c r="G2452" s="9"/>
      <c r="H2452" s="127"/>
      <c r="I2452" s="9"/>
      <c r="J2452" s="9"/>
      <c r="K2452" s="55"/>
      <c r="M2452" s="9"/>
    </row>
    <row r="2453" ht="15.75" hidden="1" customHeight="1">
      <c r="A2453" s="9"/>
      <c r="B2453" s="9"/>
      <c r="D2453" s="9"/>
      <c r="F2453" s="9"/>
      <c r="G2453" s="9"/>
      <c r="H2453" s="127"/>
      <c r="I2453" s="9"/>
      <c r="J2453" s="9"/>
      <c r="K2453" s="55"/>
      <c r="M2453" s="9"/>
    </row>
    <row r="2454" ht="15.75" hidden="1" customHeight="1">
      <c r="A2454" s="9"/>
      <c r="B2454" s="9"/>
      <c r="D2454" s="9"/>
      <c r="F2454" s="9"/>
      <c r="G2454" s="9"/>
      <c r="H2454" s="127"/>
      <c r="I2454" s="9"/>
      <c r="J2454" s="9"/>
      <c r="K2454" s="55"/>
      <c r="M2454" s="9"/>
    </row>
    <row r="2455" ht="15.75" hidden="1" customHeight="1">
      <c r="A2455" s="9"/>
      <c r="B2455" s="9"/>
      <c r="D2455" s="9"/>
      <c r="F2455" s="9"/>
      <c r="G2455" s="9"/>
      <c r="H2455" s="127"/>
      <c r="I2455" s="9"/>
      <c r="J2455" s="9"/>
      <c r="K2455" s="55"/>
      <c r="M2455" s="9"/>
    </row>
    <row r="2456" ht="15.75" hidden="1" customHeight="1">
      <c r="A2456" s="9"/>
      <c r="B2456" s="9"/>
      <c r="D2456" s="9"/>
      <c r="F2456" s="9"/>
      <c r="G2456" s="9"/>
      <c r="H2456" s="127"/>
      <c r="I2456" s="9"/>
      <c r="J2456" s="9"/>
      <c r="K2456" s="55"/>
      <c r="M2456" s="9"/>
    </row>
    <row r="2457" ht="15.75" hidden="1" customHeight="1">
      <c r="A2457" s="9"/>
      <c r="B2457" s="9"/>
      <c r="D2457" s="9"/>
      <c r="F2457" s="9"/>
      <c r="G2457" s="9"/>
      <c r="H2457" s="127"/>
      <c r="I2457" s="9"/>
      <c r="J2457" s="9"/>
      <c r="K2457" s="55"/>
      <c r="M2457" s="9"/>
    </row>
    <row r="2458" ht="15.75" hidden="1" customHeight="1">
      <c r="A2458" s="9"/>
      <c r="B2458" s="9"/>
      <c r="D2458" s="9"/>
      <c r="F2458" s="9"/>
      <c r="G2458" s="9"/>
      <c r="H2458" s="127"/>
      <c r="I2458" s="9"/>
      <c r="J2458" s="9"/>
      <c r="K2458" s="55"/>
      <c r="M2458" s="9"/>
    </row>
    <row r="2459" ht="15.75" hidden="1" customHeight="1">
      <c r="A2459" s="9"/>
      <c r="B2459" s="9"/>
      <c r="D2459" s="9"/>
      <c r="F2459" s="9"/>
      <c r="G2459" s="9"/>
      <c r="H2459" s="127"/>
      <c r="I2459" s="9"/>
      <c r="J2459" s="9"/>
      <c r="K2459" s="55"/>
      <c r="M2459" s="9"/>
    </row>
    <row r="2460" ht="15.75" hidden="1" customHeight="1">
      <c r="A2460" s="9"/>
      <c r="B2460" s="9"/>
      <c r="D2460" s="9"/>
      <c r="F2460" s="9"/>
      <c r="G2460" s="9"/>
      <c r="H2460" s="127"/>
      <c r="I2460" s="9"/>
      <c r="J2460" s="9"/>
      <c r="K2460" s="55"/>
      <c r="M2460" s="9"/>
    </row>
    <row r="2461" ht="15.75" hidden="1" customHeight="1">
      <c r="A2461" s="9"/>
      <c r="B2461" s="9"/>
      <c r="D2461" s="9"/>
      <c r="F2461" s="9"/>
      <c r="G2461" s="9"/>
      <c r="H2461" s="127"/>
      <c r="I2461" s="9"/>
      <c r="J2461" s="9"/>
      <c r="K2461" s="55"/>
      <c r="M2461" s="9"/>
    </row>
    <row r="2462" ht="15.75" hidden="1" customHeight="1">
      <c r="A2462" s="9"/>
      <c r="B2462" s="9"/>
      <c r="D2462" s="9"/>
      <c r="F2462" s="9"/>
      <c r="G2462" s="9"/>
      <c r="H2462" s="127"/>
      <c r="I2462" s="9"/>
      <c r="J2462" s="9"/>
      <c r="K2462" s="55"/>
      <c r="M2462" s="9"/>
    </row>
    <row r="2463" ht="15.75" hidden="1" customHeight="1">
      <c r="A2463" s="9"/>
      <c r="B2463" s="9"/>
      <c r="D2463" s="9"/>
      <c r="F2463" s="9"/>
      <c r="G2463" s="9"/>
      <c r="H2463" s="127"/>
      <c r="I2463" s="9"/>
      <c r="J2463" s="9"/>
      <c r="K2463" s="55"/>
      <c r="M2463" s="9"/>
    </row>
    <row r="2464" ht="15.75" hidden="1" customHeight="1">
      <c r="A2464" s="9"/>
      <c r="B2464" s="9"/>
      <c r="D2464" s="9"/>
      <c r="F2464" s="9"/>
      <c r="G2464" s="9"/>
      <c r="H2464" s="127"/>
      <c r="I2464" s="9"/>
      <c r="J2464" s="9"/>
      <c r="K2464" s="55"/>
      <c r="M2464" s="9"/>
    </row>
    <row r="2465" ht="15.75" hidden="1" customHeight="1">
      <c r="A2465" s="9"/>
      <c r="B2465" s="9"/>
      <c r="D2465" s="9"/>
      <c r="F2465" s="9"/>
      <c r="G2465" s="9"/>
      <c r="H2465" s="127"/>
      <c r="I2465" s="9"/>
      <c r="J2465" s="9"/>
      <c r="K2465" s="55"/>
      <c r="M2465" s="9"/>
    </row>
    <row r="2466" ht="15.75" hidden="1" customHeight="1">
      <c r="A2466" s="9"/>
      <c r="B2466" s="9"/>
      <c r="D2466" s="9"/>
      <c r="F2466" s="9"/>
      <c r="G2466" s="9"/>
      <c r="H2466" s="127"/>
      <c r="I2466" s="9"/>
      <c r="J2466" s="9"/>
      <c r="K2466" s="55"/>
      <c r="M2466" s="9"/>
    </row>
    <row r="2467" ht="15.75" hidden="1" customHeight="1">
      <c r="A2467" s="9"/>
      <c r="B2467" s="9"/>
      <c r="D2467" s="9"/>
      <c r="F2467" s="9"/>
      <c r="G2467" s="9"/>
      <c r="H2467" s="127"/>
      <c r="I2467" s="9"/>
      <c r="J2467" s="9"/>
      <c r="K2467" s="55"/>
      <c r="M2467" s="9"/>
    </row>
    <row r="2468" ht="15.75" hidden="1" customHeight="1">
      <c r="A2468" s="9"/>
      <c r="B2468" s="9"/>
      <c r="D2468" s="9"/>
      <c r="F2468" s="9"/>
      <c r="G2468" s="9"/>
      <c r="H2468" s="127"/>
      <c r="I2468" s="9"/>
      <c r="J2468" s="9"/>
      <c r="K2468" s="55"/>
      <c r="M2468" s="9"/>
    </row>
    <row r="2469" ht="15.75" hidden="1" customHeight="1">
      <c r="A2469" s="9"/>
      <c r="B2469" s="9"/>
      <c r="D2469" s="9"/>
      <c r="F2469" s="9"/>
      <c r="G2469" s="9"/>
      <c r="H2469" s="127"/>
      <c r="I2469" s="9"/>
      <c r="J2469" s="9"/>
      <c r="K2469" s="55"/>
      <c r="M2469" s="9"/>
    </row>
    <row r="2470" ht="15.75" hidden="1" customHeight="1">
      <c r="A2470" s="9"/>
      <c r="B2470" s="9"/>
      <c r="D2470" s="9"/>
      <c r="F2470" s="9"/>
      <c r="G2470" s="9"/>
      <c r="H2470" s="127"/>
      <c r="I2470" s="9"/>
      <c r="J2470" s="9"/>
      <c r="K2470" s="55"/>
      <c r="M2470" s="9"/>
    </row>
    <row r="2471" ht="15.75" hidden="1" customHeight="1">
      <c r="A2471" s="9"/>
      <c r="B2471" s="9"/>
      <c r="D2471" s="9"/>
      <c r="F2471" s="9"/>
      <c r="G2471" s="9"/>
      <c r="H2471" s="127"/>
      <c r="I2471" s="9"/>
      <c r="J2471" s="9"/>
      <c r="K2471" s="55"/>
      <c r="M2471" s="9"/>
    </row>
    <row r="2472" ht="15.75" hidden="1" customHeight="1">
      <c r="A2472" s="9"/>
      <c r="B2472" s="9"/>
      <c r="D2472" s="9"/>
      <c r="F2472" s="9"/>
      <c r="G2472" s="9"/>
      <c r="H2472" s="127"/>
      <c r="I2472" s="9"/>
      <c r="J2472" s="9"/>
      <c r="K2472" s="55"/>
      <c r="M2472" s="9"/>
    </row>
    <row r="2473" ht="15.75" hidden="1" customHeight="1">
      <c r="A2473" s="9"/>
      <c r="B2473" s="9"/>
      <c r="D2473" s="9"/>
      <c r="F2473" s="9"/>
      <c r="G2473" s="9"/>
      <c r="H2473" s="127"/>
      <c r="I2473" s="9"/>
      <c r="J2473" s="9"/>
      <c r="K2473" s="55"/>
      <c r="M2473" s="9"/>
    </row>
    <row r="2474" ht="15.75" hidden="1" customHeight="1">
      <c r="A2474" s="9"/>
      <c r="B2474" s="9"/>
      <c r="D2474" s="9"/>
      <c r="F2474" s="9"/>
      <c r="G2474" s="9"/>
      <c r="H2474" s="127"/>
      <c r="I2474" s="9"/>
      <c r="J2474" s="9"/>
      <c r="K2474" s="55"/>
      <c r="M2474" s="9"/>
    </row>
    <row r="2475" ht="15.75" hidden="1" customHeight="1">
      <c r="A2475" s="9"/>
      <c r="B2475" s="9"/>
      <c r="D2475" s="9"/>
      <c r="F2475" s="9"/>
      <c r="G2475" s="9"/>
      <c r="H2475" s="127"/>
      <c r="I2475" s="9"/>
      <c r="J2475" s="9"/>
      <c r="K2475" s="55"/>
      <c r="M2475" s="9"/>
    </row>
    <row r="2476" ht="15.75" hidden="1" customHeight="1">
      <c r="A2476" s="9"/>
      <c r="B2476" s="9"/>
      <c r="D2476" s="9"/>
      <c r="F2476" s="9"/>
      <c r="G2476" s="9"/>
      <c r="H2476" s="127"/>
      <c r="I2476" s="9"/>
      <c r="J2476" s="9"/>
      <c r="K2476" s="55"/>
      <c r="M2476" s="9"/>
    </row>
    <row r="2477" ht="15.75" hidden="1" customHeight="1">
      <c r="A2477" s="9"/>
      <c r="B2477" s="9"/>
      <c r="D2477" s="9"/>
      <c r="F2477" s="9"/>
      <c r="G2477" s="9"/>
      <c r="H2477" s="127"/>
      <c r="I2477" s="9"/>
      <c r="J2477" s="9"/>
      <c r="K2477" s="55"/>
      <c r="M2477" s="9"/>
    </row>
    <row r="2478" ht="15.75" hidden="1" customHeight="1">
      <c r="A2478" s="9"/>
      <c r="B2478" s="9"/>
      <c r="D2478" s="9"/>
      <c r="F2478" s="9"/>
      <c r="G2478" s="9"/>
      <c r="H2478" s="127"/>
      <c r="I2478" s="9"/>
      <c r="J2478" s="9"/>
      <c r="K2478" s="55"/>
      <c r="M2478" s="9"/>
    </row>
    <row r="2479" ht="15.75" hidden="1" customHeight="1">
      <c r="A2479" s="9"/>
      <c r="B2479" s="9"/>
      <c r="D2479" s="9"/>
      <c r="F2479" s="9"/>
      <c r="G2479" s="9"/>
      <c r="H2479" s="127"/>
      <c r="I2479" s="9"/>
      <c r="J2479" s="9"/>
      <c r="K2479" s="55"/>
      <c r="M2479" s="9"/>
    </row>
    <row r="2480" ht="15.75" hidden="1" customHeight="1">
      <c r="A2480" s="9"/>
      <c r="B2480" s="9"/>
      <c r="D2480" s="9"/>
      <c r="F2480" s="9"/>
      <c r="G2480" s="9"/>
      <c r="H2480" s="127"/>
      <c r="I2480" s="9"/>
      <c r="J2480" s="9"/>
      <c r="K2480" s="55"/>
      <c r="M2480" s="9"/>
    </row>
    <row r="2481" ht="15.75" hidden="1" customHeight="1">
      <c r="A2481" s="9"/>
      <c r="B2481" s="9"/>
      <c r="D2481" s="9"/>
      <c r="F2481" s="9"/>
      <c r="G2481" s="9"/>
      <c r="H2481" s="127"/>
      <c r="I2481" s="9"/>
      <c r="J2481" s="9"/>
      <c r="K2481" s="55"/>
      <c r="M2481" s="9"/>
    </row>
    <row r="2482" ht="15.75" hidden="1" customHeight="1">
      <c r="A2482" s="9"/>
      <c r="B2482" s="9"/>
      <c r="D2482" s="9"/>
      <c r="F2482" s="9"/>
      <c r="G2482" s="9"/>
      <c r="H2482" s="127"/>
      <c r="I2482" s="9"/>
      <c r="J2482" s="9"/>
      <c r="K2482" s="55"/>
      <c r="M2482" s="9"/>
    </row>
    <row r="2483" ht="15.75" hidden="1" customHeight="1">
      <c r="A2483" s="9"/>
      <c r="B2483" s="9"/>
      <c r="D2483" s="9"/>
      <c r="F2483" s="9"/>
      <c r="G2483" s="9"/>
      <c r="H2483" s="127"/>
      <c r="I2483" s="9"/>
      <c r="J2483" s="9"/>
      <c r="K2483" s="55"/>
      <c r="M2483" s="9"/>
    </row>
    <row r="2484" ht="15.75" hidden="1" customHeight="1">
      <c r="A2484" s="9"/>
      <c r="B2484" s="9"/>
      <c r="D2484" s="9"/>
      <c r="F2484" s="9"/>
      <c r="G2484" s="9"/>
      <c r="H2484" s="127"/>
      <c r="I2484" s="9"/>
      <c r="J2484" s="9"/>
      <c r="K2484" s="55"/>
      <c r="M2484" s="9"/>
    </row>
    <row r="2485" ht="15.75" hidden="1" customHeight="1">
      <c r="A2485" s="9"/>
      <c r="B2485" s="9"/>
      <c r="D2485" s="9"/>
      <c r="F2485" s="9"/>
      <c r="G2485" s="9"/>
      <c r="H2485" s="127"/>
      <c r="I2485" s="9"/>
      <c r="J2485" s="9"/>
      <c r="K2485" s="55"/>
      <c r="M2485" s="9"/>
    </row>
    <row r="2486" ht="15.75" hidden="1" customHeight="1">
      <c r="A2486" s="9"/>
      <c r="B2486" s="9"/>
      <c r="D2486" s="9"/>
      <c r="F2486" s="9"/>
      <c r="G2486" s="9"/>
      <c r="H2486" s="127"/>
      <c r="I2486" s="9"/>
      <c r="J2486" s="9"/>
      <c r="K2486" s="55"/>
      <c r="M2486" s="9"/>
    </row>
    <row r="2487" ht="15.75" hidden="1" customHeight="1">
      <c r="A2487" s="9"/>
      <c r="B2487" s="9"/>
      <c r="D2487" s="9"/>
      <c r="F2487" s="9"/>
      <c r="G2487" s="9"/>
      <c r="H2487" s="127"/>
      <c r="I2487" s="9"/>
      <c r="J2487" s="9"/>
      <c r="K2487" s="55"/>
      <c r="M2487" s="9"/>
    </row>
    <row r="2488" ht="15.75" hidden="1" customHeight="1">
      <c r="A2488" s="9"/>
      <c r="B2488" s="9"/>
      <c r="D2488" s="9"/>
      <c r="F2488" s="9"/>
      <c r="G2488" s="9"/>
      <c r="H2488" s="127"/>
      <c r="I2488" s="9"/>
      <c r="J2488" s="9"/>
      <c r="K2488" s="55"/>
      <c r="M2488" s="9"/>
    </row>
    <row r="2489" ht="15.75" hidden="1" customHeight="1">
      <c r="A2489" s="9"/>
      <c r="B2489" s="9"/>
      <c r="D2489" s="9"/>
      <c r="F2489" s="9"/>
      <c r="G2489" s="9"/>
      <c r="H2489" s="127"/>
      <c r="I2489" s="9"/>
      <c r="J2489" s="9"/>
      <c r="K2489" s="55"/>
      <c r="M2489" s="9"/>
    </row>
    <row r="2490" ht="15.75" hidden="1" customHeight="1">
      <c r="A2490" s="9"/>
      <c r="B2490" s="9"/>
      <c r="D2490" s="9"/>
      <c r="F2490" s="9"/>
      <c r="G2490" s="9"/>
      <c r="H2490" s="127"/>
      <c r="I2490" s="9"/>
      <c r="J2490" s="9"/>
      <c r="K2490" s="55"/>
      <c r="M2490" s="9"/>
    </row>
    <row r="2491" ht="15.75" hidden="1" customHeight="1">
      <c r="A2491" s="9"/>
      <c r="B2491" s="9"/>
      <c r="D2491" s="9"/>
      <c r="F2491" s="9"/>
      <c r="G2491" s="9"/>
      <c r="H2491" s="127"/>
      <c r="I2491" s="9"/>
      <c r="J2491" s="9"/>
      <c r="K2491" s="55"/>
      <c r="M2491" s="9"/>
    </row>
    <row r="2492" ht="15.75" hidden="1" customHeight="1">
      <c r="A2492" s="9"/>
      <c r="B2492" s="9"/>
      <c r="D2492" s="9"/>
      <c r="F2492" s="9"/>
      <c r="G2492" s="9"/>
      <c r="H2492" s="127"/>
      <c r="I2492" s="9"/>
      <c r="J2492" s="9"/>
      <c r="K2492" s="55"/>
      <c r="M2492" s="9"/>
    </row>
    <row r="2493" ht="15.75" hidden="1" customHeight="1">
      <c r="A2493" s="9"/>
      <c r="B2493" s="9"/>
      <c r="D2493" s="9"/>
      <c r="F2493" s="9"/>
      <c r="G2493" s="9"/>
      <c r="H2493" s="127"/>
      <c r="I2493" s="9"/>
      <c r="J2493" s="9"/>
      <c r="K2493" s="55"/>
      <c r="M2493" s="9"/>
    </row>
    <row r="2494" ht="15.75" hidden="1" customHeight="1">
      <c r="A2494" s="9"/>
      <c r="B2494" s="9"/>
      <c r="D2494" s="9"/>
      <c r="F2494" s="9"/>
      <c r="G2494" s="9"/>
      <c r="H2494" s="127"/>
      <c r="I2494" s="9"/>
      <c r="J2494" s="9"/>
      <c r="K2494" s="55"/>
      <c r="M2494" s="9"/>
    </row>
    <row r="2495" ht="15.75" hidden="1" customHeight="1">
      <c r="A2495" s="9"/>
      <c r="B2495" s="9"/>
      <c r="D2495" s="9"/>
      <c r="F2495" s="9"/>
      <c r="G2495" s="9"/>
      <c r="H2495" s="127"/>
      <c r="I2495" s="9"/>
      <c r="J2495" s="9"/>
      <c r="K2495" s="55"/>
      <c r="M2495" s="9"/>
    </row>
    <row r="2496" ht="15.75" hidden="1" customHeight="1">
      <c r="A2496" s="9"/>
      <c r="B2496" s="9"/>
      <c r="D2496" s="9"/>
      <c r="F2496" s="9"/>
      <c r="G2496" s="9"/>
      <c r="H2496" s="127"/>
      <c r="I2496" s="9"/>
      <c r="J2496" s="9"/>
      <c r="K2496" s="55"/>
      <c r="M2496" s="9"/>
    </row>
    <row r="2497" ht="15.75" hidden="1" customHeight="1">
      <c r="A2497" s="9"/>
      <c r="B2497" s="9"/>
      <c r="D2497" s="9"/>
      <c r="F2497" s="9"/>
      <c r="G2497" s="9"/>
      <c r="H2497" s="127"/>
      <c r="I2497" s="9"/>
      <c r="J2497" s="9"/>
      <c r="K2497" s="55"/>
      <c r="M2497" s="9"/>
    </row>
    <row r="2498" ht="15.75" hidden="1" customHeight="1">
      <c r="A2498" s="9"/>
      <c r="B2498" s="9"/>
      <c r="D2498" s="9"/>
      <c r="F2498" s="9"/>
      <c r="G2498" s="9"/>
      <c r="H2498" s="127"/>
      <c r="I2498" s="9"/>
      <c r="J2498" s="9"/>
      <c r="K2498" s="55"/>
      <c r="M2498" s="9"/>
    </row>
    <row r="2499" ht="15.75" hidden="1" customHeight="1">
      <c r="A2499" s="9"/>
      <c r="B2499" s="9"/>
      <c r="D2499" s="9"/>
      <c r="F2499" s="9"/>
      <c r="G2499" s="9"/>
      <c r="H2499" s="127"/>
      <c r="I2499" s="9"/>
      <c r="J2499" s="9"/>
      <c r="K2499" s="55"/>
      <c r="M2499" s="9"/>
    </row>
    <row r="2500" ht="15.75" hidden="1" customHeight="1">
      <c r="A2500" s="9"/>
      <c r="B2500" s="9"/>
      <c r="D2500" s="9"/>
      <c r="F2500" s="9"/>
      <c r="G2500" s="9"/>
      <c r="H2500" s="127"/>
      <c r="I2500" s="9"/>
      <c r="J2500" s="9"/>
      <c r="K2500" s="55"/>
      <c r="M2500" s="9"/>
    </row>
    <row r="2501" ht="15.75" hidden="1" customHeight="1">
      <c r="A2501" s="9"/>
      <c r="B2501" s="9"/>
      <c r="D2501" s="9"/>
      <c r="F2501" s="9"/>
      <c r="G2501" s="9"/>
      <c r="H2501" s="127"/>
      <c r="I2501" s="9"/>
      <c r="J2501" s="9"/>
      <c r="K2501" s="55"/>
      <c r="M2501" s="9"/>
    </row>
    <row r="2502" ht="15.75" hidden="1" customHeight="1">
      <c r="A2502" s="9"/>
      <c r="B2502" s="9"/>
      <c r="D2502" s="9"/>
      <c r="F2502" s="9"/>
      <c r="G2502" s="9"/>
      <c r="H2502" s="127"/>
      <c r="I2502" s="9"/>
      <c r="J2502" s="9"/>
      <c r="K2502" s="55"/>
      <c r="M2502" s="9"/>
    </row>
    <row r="2503" ht="15.75" hidden="1" customHeight="1">
      <c r="A2503" s="9"/>
      <c r="B2503" s="9"/>
      <c r="D2503" s="9"/>
      <c r="F2503" s="9"/>
      <c r="G2503" s="9"/>
      <c r="H2503" s="127"/>
      <c r="I2503" s="9"/>
      <c r="J2503" s="9"/>
      <c r="K2503" s="55"/>
      <c r="M2503" s="9"/>
    </row>
    <row r="2504" ht="15.75" hidden="1" customHeight="1">
      <c r="A2504" s="9"/>
      <c r="B2504" s="9"/>
      <c r="D2504" s="9"/>
      <c r="F2504" s="9"/>
      <c r="G2504" s="9"/>
      <c r="H2504" s="127"/>
      <c r="I2504" s="9"/>
      <c r="J2504" s="9"/>
      <c r="K2504" s="55"/>
      <c r="M2504" s="9"/>
    </row>
    <row r="2505" ht="15.75" hidden="1" customHeight="1">
      <c r="A2505" s="9"/>
      <c r="B2505" s="9"/>
      <c r="D2505" s="9"/>
      <c r="F2505" s="9"/>
      <c r="G2505" s="9"/>
      <c r="H2505" s="127"/>
      <c r="I2505" s="9"/>
      <c r="J2505" s="9"/>
      <c r="K2505" s="55"/>
      <c r="M2505" s="9"/>
    </row>
    <row r="2506" ht="15.75" hidden="1" customHeight="1">
      <c r="A2506" s="9"/>
      <c r="B2506" s="9"/>
      <c r="D2506" s="9"/>
      <c r="F2506" s="9"/>
      <c r="G2506" s="9"/>
      <c r="H2506" s="127"/>
      <c r="I2506" s="9"/>
      <c r="J2506" s="9"/>
      <c r="K2506" s="55"/>
      <c r="M2506" s="9"/>
    </row>
    <row r="2507" ht="15.75" hidden="1" customHeight="1">
      <c r="A2507" s="9"/>
      <c r="B2507" s="9"/>
      <c r="D2507" s="9"/>
      <c r="F2507" s="9"/>
      <c r="G2507" s="9"/>
      <c r="H2507" s="127"/>
      <c r="I2507" s="9"/>
      <c r="J2507" s="9"/>
      <c r="K2507" s="55"/>
      <c r="M2507" s="9"/>
    </row>
    <row r="2508" ht="15.75" hidden="1" customHeight="1">
      <c r="A2508" s="9"/>
      <c r="B2508" s="9"/>
      <c r="D2508" s="9"/>
      <c r="F2508" s="9"/>
      <c r="G2508" s="9"/>
      <c r="H2508" s="127"/>
      <c r="I2508" s="9"/>
      <c r="J2508" s="9"/>
      <c r="K2508" s="55"/>
      <c r="M2508" s="9"/>
    </row>
    <row r="2509" ht="15.75" hidden="1" customHeight="1">
      <c r="A2509" s="9"/>
      <c r="B2509" s="9"/>
      <c r="D2509" s="9"/>
      <c r="F2509" s="9"/>
      <c r="G2509" s="9"/>
      <c r="H2509" s="127"/>
      <c r="I2509" s="9"/>
      <c r="J2509" s="9"/>
      <c r="K2509" s="55"/>
      <c r="M2509" s="9"/>
    </row>
    <row r="2510" ht="15.75" hidden="1" customHeight="1">
      <c r="A2510" s="9"/>
      <c r="B2510" s="9"/>
      <c r="D2510" s="9"/>
      <c r="F2510" s="9"/>
      <c r="G2510" s="9"/>
      <c r="H2510" s="127"/>
      <c r="I2510" s="9"/>
      <c r="J2510" s="9"/>
      <c r="K2510" s="55"/>
      <c r="M2510" s="9"/>
    </row>
    <row r="2511" ht="15.75" hidden="1" customHeight="1">
      <c r="A2511" s="9"/>
      <c r="B2511" s="9"/>
      <c r="D2511" s="9"/>
      <c r="F2511" s="9"/>
      <c r="G2511" s="9"/>
      <c r="H2511" s="127"/>
      <c r="I2511" s="9"/>
      <c r="J2511" s="9"/>
      <c r="K2511" s="55"/>
      <c r="M2511" s="9"/>
    </row>
    <row r="2512" ht="15.75" hidden="1" customHeight="1">
      <c r="A2512" s="9"/>
      <c r="B2512" s="9"/>
      <c r="D2512" s="9"/>
      <c r="F2512" s="9"/>
      <c r="G2512" s="9"/>
      <c r="H2512" s="127"/>
      <c r="I2512" s="9"/>
      <c r="J2512" s="9"/>
      <c r="K2512" s="55"/>
      <c r="M2512" s="9"/>
    </row>
    <row r="2513" ht="15.75" hidden="1" customHeight="1">
      <c r="A2513" s="9"/>
      <c r="B2513" s="9"/>
      <c r="D2513" s="9"/>
      <c r="F2513" s="9"/>
      <c r="G2513" s="9"/>
      <c r="H2513" s="127"/>
      <c r="I2513" s="9"/>
      <c r="J2513" s="9"/>
      <c r="K2513" s="55"/>
      <c r="M2513" s="9"/>
    </row>
    <row r="2514" ht="15.75" hidden="1" customHeight="1">
      <c r="A2514" s="9"/>
      <c r="B2514" s="9"/>
      <c r="D2514" s="9"/>
      <c r="F2514" s="9"/>
      <c r="G2514" s="9"/>
      <c r="H2514" s="127"/>
      <c r="I2514" s="9"/>
      <c r="J2514" s="9"/>
      <c r="K2514" s="55"/>
      <c r="M2514" s="9"/>
    </row>
    <row r="2515" ht="15.75" hidden="1" customHeight="1">
      <c r="A2515" s="9"/>
      <c r="B2515" s="9"/>
      <c r="D2515" s="9"/>
      <c r="F2515" s="9"/>
      <c r="G2515" s="9"/>
      <c r="H2515" s="127"/>
      <c r="I2515" s="9"/>
      <c r="J2515" s="9"/>
      <c r="K2515" s="55"/>
      <c r="M2515" s="9"/>
    </row>
    <row r="2516" ht="15.75" hidden="1" customHeight="1">
      <c r="A2516" s="9"/>
      <c r="B2516" s="9"/>
      <c r="D2516" s="9"/>
      <c r="F2516" s="9"/>
      <c r="G2516" s="9"/>
      <c r="H2516" s="127"/>
      <c r="I2516" s="9"/>
      <c r="J2516" s="9"/>
      <c r="K2516" s="55"/>
      <c r="M2516" s="9"/>
    </row>
    <row r="2517" ht="15.75" hidden="1" customHeight="1">
      <c r="A2517" s="9"/>
      <c r="B2517" s="9"/>
      <c r="D2517" s="9"/>
      <c r="F2517" s="9"/>
      <c r="G2517" s="9"/>
      <c r="H2517" s="127"/>
      <c r="I2517" s="9"/>
      <c r="J2517" s="9"/>
      <c r="K2517" s="55"/>
      <c r="M2517" s="9"/>
    </row>
    <row r="2518" ht="15.75" hidden="1" customHeight="1">
      <c r="A2518" s="9"/>
      <c r="B2518" s="9"/>
      <c r="D2518" s="9"/>
      <c r="F2518" s="9"/>
      <c r="G2518" s="9"/>
      <c r="H2518" s="127"/>
      <c r="I2518" s="9"/>
      <c r="J2518" s="9"/>
      <c r="K2518" s="55"/>
      <c r="M2518" s="9"/>
    </row>
    <row r="2519" ht="15.75" hidden="1" customHeight="1">
      <c r="A2519" s="9"/>
      <c r="B2519" s="9"/>
      <c r="D2519" s="9"/>
      <c r="F2519" s="9"/>
      <c r="G2519" s="9"/>
      <c r="H2519" s="127"/>
      <c r="I2519" s="9"/>
      <c r="J2519" s="9"/>
      <c r="K2519" s="55"/>
      <c r="M2519" s="9"/>
    </row>
    <row r="2520" ht="15.75" hidden="1" customHeight="1">
      <c r="A2520" s="9"/>
      <c r="B2520" s="9"/>
      <c r="D2520" s="9"/>
      <c r="F2520" s="9"/>
      <c r="G2520" s="9"/>
      <c r="H2520" s="127"/>
      <c r="I2520" s="9"/>
      <c r="J2520" s="9"/>
      <c r="K2520" s="55"/>
      <c r="M2520" s="9"/>
    </row>
    <row r="2521" ht="15.75" hidden="1" customHeight="1">
      <c r="A2521" s="9"/>
      <c r="B2521" s="9"/>
      <c r="D2521" s="9"/>
      <c r="F2521" s="9"/>
      <c r="G2521" s="9"/>
      <c r="H2521" s="127"/>
      <c r="I2521" s="9"/>
      <c r="J2521" s="9"/>
      <c r="K2521" s="55"/>
      <c r="M2521" s="9"/>
    </row>
    <row r="2522" ht="15.75" hidden="1" customHeight="1">
      <c r="A2522" s="9"/>
      <c r="B2522" s="9"/>
      <c r="D2522" s="9"/>
      <c r="F2522" s="9"/>
      <c r="G2522" s="9"/>
      <c r="H2522" s="127"/>
      <c r="I2522" s="9"/>
      <c r="J2522" s="9"/>
      <c r="K2522" s="55"/>
      <c r="M2522" s="9"/>
    </row>
    <row r="2523" ht="15.75" hidden="1" customHeight="1">
      <c r="A2523" s="9"/>
      <c r="B2523" s="9"/>
      <c r="D2523" s="9"/>
      <c r="F2523" s="9"/>
      <c r="G2523" s="9"/>
      <c r="H2523" s="127"/>
      <c r="I2523" s="9"/>
      <c r="J2523" s="9"/>
      <c r="K2523" s="55"/>
      <c r="M2523" s="9"/>
    </row>
    <row r="2524" ht="15.75" hidden="1" customHeight="1">
      <c r="A2524" s="9"/>
      <c r="B2524" s="9"/>
      <c r="D2524" s="9"/>
      <c r="F2524" s="9"/>
      <c r="G2524" s="9"/>
      <c r="H2524" s="127"/>
      <c r="I2524" s="9"/>
      <c r="J2524" s="9"/>
      <c r="K2524" s="55"/>
      <c r="M2524" s="9"/>
    </row>
    <row r="2525" ht="15.75" hidden="1" customHeight="1">
      <c r="A2525" s="9"/>
      <c r="B2525" s="9"/>
      <c r="D2525" s="9"/>
      <c r="F2525" s="9"/>
      <c r="G2525" s="9"/>
      <c r="H2525" s="127"/>
      <c r="I2525" s="9"/>
      <c r="J2525" s="9"/>
      <c r="K2525" s="55"/>
      <c r="M2525" s="9"/>
    </row>
    <row r="2526" ht="15.75" hidden="1" customHeight="1">
      <c r="A2526" s="9"/>
      <c r="B2526" s="9"/>
      <c r="D2526" s="9"/>
      <c r="F2526" s="9"/>
      <c r="G2526" s="9"/>
      <c r="H2526" s="127"/>
      <c r="I2526" s="9"/>
      <c r="J2526" s="9"/>
      <c r="K2526" s="55"/>
      <c r="M2526" s="9"/>
    </row>
    <row r="2527" ht="15.75" hidden="1" customHeight="1">
      <c r="A2527" s="9"/>
      <c r="B2527" s="9"/>
      <c r="D2527" s="9"/>
      <c r="F2527" s="9"/>
      <c r="G2527" s="9"/>
      <c r="H2527" s="127"/>
      <c r="I2527" s="9"/>
      <c r="J2527" s="9"/>
      <c r="K2527" s="55"/>
      <c r="M2527" s="9"/>
    </row>
    <row r="2528" ht="15.75" hidden="1" customHeight="1">
      <c r="A2528" s="9"/>
      <c r="B2528" s="9"/>
      <c r="D2528" s="9"/>
      <c r="F2528" s="9"/>
      <c r="G2528" s="9"/>
      <c r="H2528" s="127"/>
      <c r="I2528" s="9"/>
      <c r="J2528" s="9"/>
      <c r="K2528" s="55"/>
      <c r="M2528" s="9"/>
    </row>
    <row r="2529" ht="15.75" hidden="1" customHeight="1">
      <c r="A2529" s="9"/>
      <c r="B2529" s="9"/>
      <c r="D2529" s="9"/>
      <c r="F2529" s="9"/>
      <c r="G2529" s="9"/>
      <c r="H2529" s="127"/>
      <c r="I2529" s="9"/>
      <c r="J2529" s="9"/>
      <c r="K2529" s="55"/>
      <c r="M2529" s="9"/>
    </row>
    <row r="2530" ht="15.75" hidden="1" customHeight="1">
      <c r="A2530" s="9"/>
      <c r="B2530" s="9"/>
      <c r="D2530" s="9"/>
      <c r="F2530" s="9"/>
      <c r="G2530" s="9"/>
      <c r="H2530" s="127"/>
      <c r="I2530" s="9"/>
      <c r="J2530" s="9"/>
      <c r="K2530" s="55"/>
      <c r="M2530" s="9"/>
    </row>
    <row r="2531" ht="15.75" hidden="1" customHeight="1">
      <c r="A2531" s="9"/>
      <c r="B2531" s="9"/>
      <c r="D2531" s="9"/>
      <c r="F2531" s="9"/>
      <c r="G2531" s="9"/>
      <c r="H2531" s="127"/>
      <c r="I2531" s="9"/>
      <c r="J2531" s="9"/>
      <c r="K2531" s="55"/>
      <c r="M2531" s="9"/>
    </row>
    <row r="2532" ht="15.75" hidden="1" customHeight="1">
      <c r="A2532" s="9"/>
      <c r="B2532" s="9"/>
      <c r="D2532" s="9"/>
      <c r="F2532" s="9"/>
      <c r="G2532" s="9"/>
      <c r="H2532" s="127"/>
      <c r="I2532" s="9"/>
      <c r="J2532" s="9"/>
      <c r="K2532" s="55"/>
      <c r="M2532" s="9"/>
    </row>
    <row r="2533" ht="15.75" hidden="1" customHeight="1">
      <c r="A2533" s="9"/>
      <c r="B2533" s="9"/>
      <c r="D2533" s="9"/>
      <c r="F2533" s="9"/>
      <c r="G2533" s="9"/>
      <c r="H2533" s="127"/>
      <c r="I2533" s="9"/>
      <c r="J2533" s="9"/>
      <c r="K2533" s="55"/>
      <c r="M2533" s="9"/>
    </row>
    <row r="2534" ht="15.75" hidden="1" customHeight="1">
      <c r="A2534" s="9"/>
      <c r="B2534" s="9"/>
      <c r="D2534" s="9"/>
      <c r="F2534" s="9"/>
      <c r="G2534" s="9"/>
      <c r="H2534" s="127"/>
      <c r="I2534" s="9"/>
      <c r="J2534" s="9"/>
      <c r="K2534" s="55"/>
      <c r="M2534" s="9"/>
    </row>
    <row r="2535" ht="15.75" hidden="1" customHeight="1">
      <c r="A2535" s="9"/>
      <c r="B2535" s="9"/>
      <c r="D2535" s="9"/>
      <c r="F2535" s="9"/>
      <c r="G2535" s="9"/>
      <c r="H2535" s="127"/>
      <c r="I2535" s="9"/>
      <c r="J2535" s="9"/>
      <c r="K2535" s="55"/>
      <c r="M2535" s="9"/>
    </row>
    <row r="2536" ht="15.75" hidden="1" customHeight="1">
      <c r="A2536" s="9"/>
      <c r="B2536" s="9"/>
      <c r="D2536" s="9"/>
      <c r="F2536" s="9"/>
      <c r="G2536" s="9"/>
      <c r="H2536" s="127"/>
      <c r="I2536" s="9"/>
      <c r="J2536" s="9"/>
      <c r="K2536" s="55"/>
      <c r="M2536" s="9"/>
    </row>
    <row r="2537" ht="15.75" hidden="1" customHeight="1">
      <c r="A2537" s="9"/>
      <c r="B2537" s="9"/>
      <c r="D2537" s="9"/>
      <c r="F2537" s="9"/>
      <c r="G2537" s="9"/>
      <c r="H2537" s="127"/>
      <c r="I2537" s="9"/>
      <c r="J2537" s="9"/>
      <c r="K2537" s="55"/>
      <c r="M2537" s="9"/>
    </row>
    <row r="2538" ht="15.75" hidden="1" customHeight="1">
      <c r="A2538" s="9"/>
      <c r="B2538" s="9"/>
      <c r="D2538" s="9"/>
      <c r="F2538" s="9"/>
      <c r="G2538" s="9"/>
      <c r="H2538" s="127"/>
      <c r="I2538" s="9"/>
      <c r="J2538" s="9"/>
      <c r="K2538" s="55"/>
      <c r="M2538" s="9"/>
    </row>
    <row r="2539" ht="15.75" hidden="1" customHeight="1">
      <c r="A2539" s="9"/>
      <c r="B2539" s="9"/>
      <c r="D2539" s="9"/>
      <c r="F2539" s="9"/>
      <c r="G2539" s="9"/>
      <c r="H2539" s="127"/>
      <c r="I2539" s="9"/>
      <c r="J2539" s="9"/>
      <c r="K2539" s="55"/>
      <c r="M2539" s="9"/>
    </row>
    <row r="2540" ht="15.75" hidden="1" customHeight="1">
      <c r="A2540" s="9"/>
      <c r="B2540" s="9"/>
      <c r="D2540" s="9"/>
      <c r="F2540" s="9"/>
      <c r="G2540" s="9"/>
      <c r="H2540" s="127"/>
      <c r="I2540" s="9"/>
      <c r="J2540" s="9"/>
      <c r="K2540" s="55"/>
      <c r="M2540" s="9"/>
    </row>
    <row r="2541" ht="15.75" hidden="1" customHeight="1">
      <c r="A2541" s="9"/>
      <c r="B2541" s="9"/>
      <c r="D2541" s="9"/>
      <c r="F2541" s="9"/>
      <c r="G2541" s="9"/>
      <c r="H2541" s="127"/>
      <c r="I2541" s="9"/>
      <c r="J2541" s="9"/>
      <c r="K2541" s="55"/>
      <c r="M2541" s="9"/>
    </row>
    <row r="2542" ht="15.75" hidden="1" customHeight="1">
      <c r="A2542" s="9"/>
      <c r="B2542" s="9"/>
      <c r="D2542" s="9"/>
      <c r="F2542" s="9"/>
      <c r="G2542" s="9"/>
      <c r="H2542" s="127"/>
      <c r="I2542" s="9"/>
      <c r="J2542" s="9"/>
      <c r="K2542" s="55"/>
      <c r="M2542" s="9"/>
    </row>
    <row r="2543" ht="15.75" hidden="1" customHeight="1">
      <c r="A2543" s="9"/>
      <c r="B2543" s="9"/>
      <c r="D2543" s="9"/>
      <c r="F2543" s="9"/>
      <c r="G2543" s="9"/>
      <c r="H2543" s="127"/>
      <c r="I2543" s="9"/>
      <c r="J2543" s="9"/>
      <c r="K2543" s="55"/>
      <c r="M2543" s="9"/>
    </row>
    <row r="2544" ht="15.75" hidden="1" customHeight="1">
      <c r="A2544" s="9"/>
      <c r="B2544" s="9"/>
      <c r="D2544" s="9"/>
      <c r="F2544" s="9"/>
      <c r="G2544" s="9"/>
      <c r="H2544" s="127"/>
      <c r="I2544" s="9"/>
      <c r="J2544" s="9"/>
      <c r="K2544" s="55"/>
      <c r="M2544" s="9"/>
    </row>
    <row r="2545" ht="15.75" hidden="1" customHeight="1">
      <c r="A2545" s="9"/>
      <c r="B2545" s="9"/>
      <c r="D2545" s="9"/>
      <c r="F2545" s="9"/>
      <c r="G2545" s="9"/>
      <c r="H2545" s="127"/>
      <c r="I2545" s="9"/>
      <c r="J2545" s="9"/>
      <c r="K2545" s="55"/>
      <c r="M2545" s="9"/>
    </row>
    <row r="2546" ht="15.75" hidden="1" customHeight="1">
      <c r="A2546" s="9"/>
      <c r="B2546" s="9"/>
      <c r="D2546" s="9"/>
      <c r="F2546" s="9"/>
      <c r="G2546" s="9"/>
      <c r="H2546" s="127"/>
      <c r="I2546" s="9"/>
      <c r="J2546" s="9"/>
      <c r="K2546" s="55"/>
      <c r="M2546" s="9"/>
    </row>
    <row r="2547" ht="15.75" hidden="1" customHeight="1">
      <c r="A2547" s="9"/>
      <c r="B2547" s="9"/>
      <c r="D2547" s="9"/>
      <c r="F2547" s="9"/>
      <c r="G2547" s="9"/>
      <c r="H2547" s="127"/>
      <c r="I2547" s="9"/>
      <c r="J2547" s="9"/>
      <c r="K2547" s="55"/>
      <c r="M2547" s="9"/>
    </row>
    <row r="2548" ht="15.75" hidden="1" customHeight="1">
      <c r="A2548" s="9"/>
      <c r="B2548" s="9"/>
      <c r="D2548" s="9"/>
      <c r="F2548" s="9"/>
      <c r="G2548" s="9"/>
      <c r="H2548" s="127"/>
      <c r="I2548" s="9"/>
      <c r="J2548" s="9"/>
      <c r="K2548" s="55"/>
      <c r="M2548" s="9"/>
    </row>
    <row r="2549" ht="15.75" hidden="1" customHeight="1">
      <c r="A2549" s="9"/>
      <c r="B2549" s="9"/>
      <c r="D2549" s="9"/>
      <c r="F2549" s="9"/>
      <c r="G2549" s="9"/>
      <c r="H2549" s="127"/>
      <c r="I2549" s="9"/>
      <c r="J2549" s="9"/>
      <c r="K2549" s="55"/>
      <c r="M2549" s="9"/>
    </row>
    <row r="2550" ht="15.75" hidden="1" customHeight="1">
      <c r="A2550" s="9"/>
      <c r="B2550" s="9"/>
      <c r="D2550" s="9"/>
      <c r="F2550" s="9"/>
      <c r="G2550" s="9"/>
      <c r="H2550" s="127"/>
      <c r="I2550" s="9"/>
      <c r="J2550" s="9"/>
      <c r="K2550" s="55"/>
      <c r="M2550" s="9"/>
    </row>
    <row r="2551" ht="15.75" hidden="1" customHeight="1">
      <c r="A2551" s="9"/>
      <c r="B2551" s="9"/>
      <c r="D2551" s="9"/>
      <c r="F2551" s="9"/>
      <c r="G2551" s="9"/>
      <c r="H2551" s="127"/>
      <c r="I2551" s="9"/>
      <c r="J2551" s="9"/>
      <c r="K2551" s="55"/>
      <c r="M2551" s="9"/>
    </row>
    <row r="2552" ht="15.75" hidden="1" customHeight="1">
      <c r="A2552" s="9"/>
      <c r="B2552" s="9"/>
      <c r="D2552" s="9"/>
      <c r="F2552" s="9"/>
      <c r="G2552" s="9"/>
      <c r="H2552" s="127"/>
      <c r="I2552" s="9"/>
      <c r="J2552" s="9"/>
      <c r="K2552" s="55"/>
      <c r="M2552" s="9"/>
    </row>
    <row r="2553" ht="15.75" hidden="1" customHeight="1">
      <c r="A2553" s="9"/>
      <c r="B2553" s="9"/>
      <c r="D2553" s="9"/>
      <c r="F2553" s="9"/>
      <c r="G2553" s="9"/>
      <c r="H2553" s="127"/>
      <c r="I2553" s="9"/>
      <c r="J2553" s="9"/>
      <c r="K2553" s="55"/>
      <c r="M2553" s="9"/>
    </row>
    <row r="2554" ht="15.75" hidden="1" customHeight="1">
      <c r="A2554" s="9"/>
      <c r="B2554" s="9"/>
      <c r="D2554" s="9"/>
      <c r="F2554" s="9"/>
      <c r="G2554" s="9"/>
      <c r="H2554" s="127"/>
      <c r="I2554" s="9"/>
      <c r="J2554" s="9"/>
      <c r="K2554" s="55"/>
      <c r="M2554" s="9"/>
    </row>
    <row r="2555" ht="15.75" hidden="1" customHeight="1">
      <c r="A2555" s="9"/>
      <c r="B2555" s="9"/>
      <c r="D2555" s="9"/>
      <c r="F2555" s="9"/>
      <c r="G2555" s="9"/>
      <c r="H2555" s="127"/>
      <c r="I2555" s="9"/>
      <c r="J2555" s="9"/>
      <c r="K2555" s="55"/>
      <c r="M2555" s="9"/>
    </row>
    <row r="2556" ht="15.75" hidden="1" customHeight="1">
      <c r="A2556" s="9"/>
      <c r="B2556" s="9"/>
      <c r="D2556" s="9"/>
      <c r="F2556" s="9"/>
      <c r="G2556" s="9"/>
      <c r="H2556" s="127"/>
      <c r="I2556" s="9"/>
      <c r="J2556" s="9"/>
      <c r="K2556" s="55"/>
      <c r="M2556" s="9"/>
    </row>
    <row r="2557" ht="15.75" hidden="1" customHeight="1">
      <c r="A2557" s="9"/>
      <c r="B2557" s="9"/>
      <c r="D2557" s="9"/>
      <c r="F2557" s="9"/>
      <c r="G2557" s="9"/>
      <c r="H2557" s="127"/>
      <c r="I2557" s="9"/>
      <c r="J2557" s="9"/>
      <c r="K2557" s="55"/>
      <c r="M2557" s="9"/>
    </row>
    <row r="2558" ht="15.75" hidden="1" customHeight="1">
      <c r="A2558" s="9"/>
      <c r="B2558" s="9"/>
      <c r="D2558" s="9"/>
      <c r="F2558" s="9"/>
      <c r="G2558" s="9"/>
      <c r="H2558" s="127"/>
      <c r="I2558" s="9"/>
      <c r="J2558" s="9"/>
      <c r="K2558" s="55"/>
      <c r="M2558" s="9"/>
    </row>
    <row r="2559" ht="15.75" hidden="1" customHeight="1">
      <c r="A2559" s="9"/>
      <c r="B2559" s="9"/>
      <c r="D2559" s="9"/>
      <c r="F2559" s="9"/>
      <c r="G2559" s="9"/>
      <c r="H2559" s="127"/>
      <c r="I2559" s="9"/>
      <c r="J2559" s="9"/>
      <c r="K2559" s="55"/>
      <c r="M2559" s="9"/>
    </row>
    <row r="2560" ht="15.75" hidden="1" customHeight="1">
      <c r="A2560" s="9"/>
      <c r="B2560" s="9"/>
      <c r="D2560" s="9"/>
      <c r="F2560" s="9"/>
      <c r="G2560" s="9"/>
      <c r="H2560" s="127"/>
      <c r="I2560" s="9"/>
      <c r="J2560" s="9"/>
      <c r="K2560" s="55"/>
      <c r="M2560" s="9"/>
    </row>
    <row r="2561" ht="15.75" hidden="1" customHeight="1">
      <c r="A2561" s="9"/>
      <c r="B2561" s="9"/>
      <c r="D2561" s="9"/>
      <c r="F2561" s="9"/>
      <c r="G2561" s="9"/>
      <c r="H2561" s="127"/>
      <c r="I2561" s="9"/>
      <c r="J2561" s="9"/>
      <c r="K2561" s="55"/>
      <c r="M2561" s="9"/>
    </row>
    <row r="2562" ht="15.75" hidden="1" customHeight="1">
      <c r="A2562" s="9"/>
      <c r="B2562" s="9"/>
      <c r="D2562" s="9"/>
      <c r="F2562" s="9"/>
      <c r="G2562" s="9"/>
      <c r="H2562" s="127"/>
      <c r="I2562" s="9"/>
      <c r="J2562" s="9"/>
      <c r="K2562" s="55"/>
      <c r="M2562" s="9"/>
    </row>
    <row r="2563" ht="15.75" hidden="1" customHeight="1">
      <c r="A2563" s="9"/>
      <c r="B2563" s="9"/>
      <c r="D2563" s="9"/>
      <c r="F2563" s="9"/>
      <c r="G2563" s="9"/>
      <c r="H2563" s="127"/>
      <c r="I2563" s="9"/>
      <c r="J2563" s="9"/>
      <c r="K2563" s="55"/>
      <c r="M2563" s="9"/>
    </row>
    <row r="2564" ht="15.75" hidden="1" customHeight="1">
      <c r="A2564" s="9"/>
      <c r="B2564" s="9"/>
      <c r="D2564" s="9"/>
      <c r="F2564" s="9"/>
      <c r="G2564" s="9"/>
      <c r="H2564" s="127"/>
      <c r="I2564" s="9"/>
      <c r="J2564" s="9"/>
      <c r="K2564" s="55"/>
      <c r="M2564" s="9"/>
    </row>
    <row r="2565" ht="15.75" hidden="1" customHeight="1">
      <c r="A2565" s="9"/>
      <c r="B2565" s="9"/>
      <c r="D2565" s="9"/>
      <c r="F2565" s="9"/>
      <c r="G2565" s="9"/>
      <c r="H2565" s="127"/>
      <c r="I2565" s="9"/>
      <c r="J2565" s="9"/>
      <c r="K2565" s="55"/>
      <c r="M2565" s="9"/>
    </row>
    <row r="2566" ht="15.75" hidden="1" customHeight="1">
      <c r="A2566" s="9"/>
      <c r="B2566" s="9"/>
      <c r="D2566" s="9"/>
      <c r="F2566" s="9"/>
      <c r="G2566" s="9"/>
      <c r="H2566" s="127"/>
      <c r="I2566" s="9"/>
      <c r="J2566" s="9"/>
      <c r="K2566" s="55"/>
      <c r="M2566" s="9"/>
    </row>
    <row r="2567" ht="15.75" hidden="1" customHeight="1">
      <c r="A2567" s="9"/>
      <c r="B2567" s="9"/>
      <c r="D2567" s="9"/>
      <c r="F2567" s="9"/>
      <c r="G2567" s="9"/>
      <c r="H2567" s="127"/>
      <c r="I2567" s="9"/>
      <c r="J2567" s="9"/>
      <c r="K2567" s="55"/>
      <c r="M2567" s="9"/>
    </row>
    <row r="2568" ht="15.75" hidden="1" customHeight="1">
      <c r="A2568" s="9"/>
      <c r="B2568" s="9"/>
      <c r="D2568" s="9"/>
      <c r="F2568" s="9"/>
      <c r="G2568" s="9"/>
      <c r="H2568" s="127"/>
      <c r="I2568" s="9"/>
      <c r="J2568" s="9"/>
      <c r="K2568" s="55"/>
      <c r="M2568" s="9"/>
    </row>
    <row r="2569" ht="15.75" hidden="1" customHeight="1">
      <c r="A2569" s="9"/>
      <c r="B2569" s="9"/>
      <c r="D2569" s="9"/>
      <c r="F2569" s="9"/>
      <c r="G2569" s="9"/>
      <c r="H2569" s="127"/>
      <c r="I2569" s="9"/>
      <c r="J2569" s="9"/>
      <c r="K2569" s="55"/>
      <c r="M2569" s="9"/>
    </row>
    <row r="2570" ht="15.75" hidden="1" customHeight="1">
      <c r="A2570" s="9"/>
      <c r="B2570" s="9"/>
      <c r="D2570" s="9"/>
      <c r="F2570" s="9"/>
      <c r="G2570" s="9"/>
      <c r="H2570" s="127"/>
      <c r="I2570" s="9"/>
      <c r="J2570" s="9"/>
      <c r="K2570" s="55"/>
      <c r="M2570" s="9"/>
    </row>
    <row r="2571" ht="15.75" hidden="1" customHeight="1">
      <c r="A2571" s="9"/>
      <c r="B2571" s="9"/>
      <c r="D2571" s="9"/>
      <c r="F2571" s="9"/>
      <c r="G2571" s="9"/>
      <c r="H2571" s="127"/>
      <c r="I2571" s="9"/>
      <c r="J2571" s="9"/>
      <c r="K2571" s="55"/>
      <c r="M2571" s="9"/>
    </row>
    <row r="2572" ht="15.75" hidden="1" customHeight="1">
      <c r="A2572" s="9"/>
      <c r="B2572" s="9"/>
      <c r="D2572" s="9"/>
      <c r="F2572" s="9"/>
      <c r="G2572" s="9"/>
      <c r="H2572" s="127"/>
      <c r="I2572" s="9"/>
      <c r="J2572" s="9"/>
      <c r="K2572" s="55"/>
      <c r="M2572" s="9"/>
    </row>
    <row r="2573" ht="15.75" hidden="1" customHeight="1">
      <c r="A2573" s="9"/>
      <c r="B2573" s="9"/>
      <c r="D2573" s="9"/>
      <c r="F2573" s="9"/>
      <c r="G2573" s="9"/>
      <c r="H2573" s="127"/>
      <c r="I2573" s="9"/>
      <c r="J2573" s="9"/>
      <c r="K2573" s="55"/>
      <c r="M2573" s="9"/>
    </row>
    <row r="2574" ht="15.75" hidden="1" customHeight="1">
      <c r="A2574" s="9"/>
      <c r="B2574" s="9"/>
      <c r="D2574" s="9"/>
      <c r="F2574" s="9"/>
      <c r="G2574" s="9"/>
      <c r="H2574" s="127"/>
      <c r="I2574" s="9"/>
      <c r="J2574" s="9"/>
      <c r="K2574" s="55"/>
      <c r="M2574" s="9"/>
    </row>
    <row r="2575" ht="15.75" hidden="1" customHeight="1">
      <c r="A2575" s="9"/>
      <c r="B2575" s="9"/>
      <c r="D2575" s="9"/>
      <c r="F2575" s="9"/>
      <c r="G2575" s="9"/>
      <c r="H2575" s="127"/>
      <c r="I2575" s="9"/>
      <c r="J2575" s="9"/>
      <c r="K2575" s="55"/>
      <c r="M2575" s="9"/>
    </row>
    <row r="2576" ht="15.75" hidden="1" customHeight="1">
      <c r="A2576" s="9"/>
      <c r="B2576" s="9"/>
      <c r="D2576" s="9"/>
      <c r="F2576" s="9"/>
      <c r="G2576" s="9"/>
      <c r="H2576" s="127"/>
      <c r="I2576" s="9"/>
      <c r="J2576" s="9"/>
      <c r="K2576" s="55"/>
      <c r="M2576" s="9"/>
    </row>
    <row r="2577" ht="15.75" hidden="1" customHeight="1">
      <c r="A2577" s="9"/>
      <c r="B2577" s="9"/>
      <c r="D2577" s="9"/>
      <c r="F2577" s="9"/>
      <c r="G2577" s="9"/>
      <c r="H2577" s="127"/>
      <c r="I2577" s="9"/>
      <c r="J2577" s="9"/>
      <c r="K2577" s="55"/>
      <c r="M2577" s="9"/>
    </row>
    <row r="2578" ht="15.75" hidden="1" customHeight="1">
      <c r="A2578" s="9"/>
      <c r="B2578" s="9"/>
      <c r="D2578" s="9"/>
      <c r="F2578" s="9"/>
      <c r="G2578" s="9"/>
      <c r="H2578" s="127"/>
      <c r="I2578" s="9"/>
      <c r="J2578" s="9"/>
      <c r="K2578" s="55"/>
      <c r="M2578" s="9"/>
    </row>
    <row r="2579" ht="15.75" hidden="1" customHeight="1">
      <c r="A2579" s="9"/>
      <c r="B2579" s="9"/>
      <c r="D2579" s="9"/>
      <c r="F2579" s="9"/>
      <c r="G2579" s="9"/>
      <c r="H2579" s="127"/>
      <c r="I2579" s="9"/>
      <c r="J2579" s="9"/>
      <c r="K2579" s="55"/>
      <c r="M2579" s="9"/>
    </row>
    <row r="2580" ht="15.75" hidden="1" customHeight="1">
      <c r="A2580" s="9"/>
      <c r="B2580" s="9"/>
      <c r="D2580" s="9"/>
      <c r="F2580" s="9"/>
      <c r="G2580" s="9"/>
      <c r="H2580" s="127"/>
      <c r="I2580" s="9"/>
      <c r="J2580" s="9"/>
      <c r="K2580" s="55"/>
      <c r="M2580" s="9"/>
    </row>
    <row r="2581" ht="15.75" hidden="1" customHeight="1">
      <c r="A2581" s="9"/>
      <c r="B2581" s="9"/>
      <c r="D2581" s="9"/>
      <c r="F2581" s="9"/>
      <c r="G2581" s="9"/>
      <c r="H2581" s="127"/>
      <c r="I2581" s="9"/>
      <c r="J2581" s="9"/>
      <c r="K2581" s="55"/>
      <c r="M2581" s="9"/>
    </row>
    <row r="2582" ht="15.75" hidden="1" customHeight="1">
      <c r="A2582" s="9"/>
      <c r="B2582" s="9"/>
      <c r="D2582" s="9"/>
      <c r="F2582" s="9"/>
      <c r="G2582" s="9"/>
      <c r="H2582" s="127"/>
      <c r="I2582" s="9"/>
      <c r="J2582" s="9"/>
      <c r="K2582" s="55"/>
      <c r="M2582" s="9"/>
    </row>
    <row r="2583" ht="15.75" hidden="1" customHeight="1">
      <c r="A2583" s="9"/>
      <c r="B2583" s="9"/>
      <c r="D2583" s="9"/>
      <c r="F2583" s="9"/>
      <c r="G2583" s="9"/>
      <c r="H2583" s="127"/>
      <c r="I2583" s="9"/>
      <c r="J2583" s="9"/>
      <c r="K2583" s="55"/>
      <c r="M2583" s="9"/>
    </row>
    <row r="2584" ht="15.75" hidden="1" customHeight="1">
      <c r="A2584" s="9"/>
      <c r="B2584" s="9"/>
      <c r="D2584" s="9"/>
      <c r="F2584" s="9"/>
      <c r="G2584" s="9"/>
      <c r="H2584" s="127"/>
      <c r="I2584" s="9"/>
      <c r="J2584" s="9"/>
      <c r="K2584" s="55"/>
      <c r="M2584" s="9"/>
    </row>
    <row r="2585" ht="15.75" hidden="1" customHeight="1">
      <c r="A2585" s="9"/>
      <c r="B2585" s="9"/>
      <c r="D2585" s="9"/>
      <c r="F2585" s="9"/>
      <c r="G2585" s="9"/>
      <c r="H2585" s="127"/>
      <c r="I2585" s="9"/>
      <c r="J2585" s="9"/>
      <c r="K2585" s="55"/>
      <c r="M2585" s="9"/>
    </row>
    <row r="2586" ht="15.75" hidden="1" customHeight="1">
      <c r="A2586" s="9"/>
      <c r="B2586" s="9"/>
      <c r="D2586" s="9"/>
      <c r="F2586" s="9"/>
      <c r="G2586" s="9"/>
      <c r="H2586" s="127"/>
      <c r="I2586" s="9"/>
      <c r="J2586" s="9"/>
      <c r="K2586" s="55"/>
      <c r="M2586" s="9"/>
    </row>
    <row r="2587" ht="15.75" hidden="1" customHeight="1">
      <c r="A2587" s="9"/>
      <c r="B2587" s="9"/>
      <c r="D2587" s="9"/>
      <c r="F2587" s="9"/>
      <c r="G2587" s="9"/>
      <c r="H2587" s="127"/>
      <c r="I2587" s="9"/>
      <c r="J2587" s="9"/>
      <c r="K2587" s="55"/>
      <c r="M2587" s="9"/>
    </row>
    <row r="2588" ht="15.75" hidden="1" customHeight="1">
      <c r="A2588" s="9"/>
      <c r="B2588" s="9"/>
      <c r="D2588" s="9"/>
      <c r="F2588" s="9"/>
      <c r="G2588" s="9"/>
      <c r="H2588" s="127"/>
      <c r="I2588" s="9"/>
      <c r="J2588" s="9"/>
      <c r="K2588" s="55"/>
      <c r="M2588" s="9"/>
    </row>
    <row r="2589" ht="15.75" hidden="1" customHeight="1">
      <c r="A2589" s="9"/>
      <c r="B2589" s="9"/>
      <c r="D2589" s="9"/>
      <c r="F2589" s="9"/>
      <c r="G2589" s="9"/>
      <c r="H2589" s="127"/>
      <c r="I2589" s="9"/>
      <c r="J2589" s="9"/>
      <c r="K2589" s="55"/>
      <c r="M2589" s="9"/>
    </row>
    <row r="2590" ht="15.75" hidden="1" customHeight="1">
      <c r="A2590" s="9"/>
      <c r="B2590" s="9"/>
      <c r="D2590" s="9"/>
      <c r="F2590" s="9"/>
      <c r="G2590" s="9"/>
      <c r="H2590" s="127"/>
      <c r="I2590" s="9"/>
      <c r="J2590" s="9"/>
      <c r="K2590" s="55"/>
      <c r="M2590" s="9"/>
    </row>
    <row r="2591" ht="15.75" hidden="1" customHeight="1">
      <c r="A2591" s="9"/>
      <c r="B2591" s="9"/>
      <c r="D2591" s="9"/>
      <c r="F2591" s="9"/>
      <c r="G2591" s="9"/>
      <c r="H2591" s="127"/>
      <c r="I2591" s="9"/>
      <c r="J2591" s="9"/>
      <c r="K2591" s="55"/>
      <c r="M2591" s="9"/>
    </row>
    <row r="2592" ht="15.75" hidden="1" customHeight="1">
      <c r="A2592" s="9"/>
      <c r="B2592" s="9"/>
      <c r="D2592" s="9"/>
      <c r="F2592" s="9"/>
      <c r="G2592" s="9"/>
      <c r="H2592" s="127"/>
      <c r="I2592" s="9"/>
      <c r="J2592" s="9"/>
      <c r="K2592" s="55"/>
      <c r="M2592" s="9"/>
    </row>
    <row r="2593" ht="15.75" hidden="1" customHeight="1">
      <c r="A2593" s="9"/>
      <c r="B2593" s="9"/>
      <c r="D2593" s="9"/>
      <c r="F2593" s="9"/>
      <c r="G2593" s="9"/>
      <c r="H2593" s="127"/>
      <c r="I2593" s="9"/>
      <c r="J2593" s="9"/>
      <c r="K2593" s="55"/>
      <c r="M2593" s="9"/>
    </row>
    <row r="2594" ht="15.75" hidden="1" customHeight="1">
      <c r="A2594" s="9"/>
      <c r="B2594" s="9"/>
      <c r="D2594" s="9"/>
      <c r="F2594" s="9"/>
      <c r="G2594" s="9"/>
      <c r="H2594" s="127"/>
      <c r="I2594" s="9"/>
      <c r="J2594" s="9"/>
      <c r="K2594" s="55"/>
      <c r="M2594" s="9"/>
    </row>
    <row r="2595" ht="15.75" hidden="1" customHeight="1">
      <c r="A2595" s="9"/>
      <c r="B2595" s="9"/>
      <c r="D2595" s="9"/>
      <c r="F2595" s="9"/>
      <c r="G2595" s="9"/>
      <c r="H2595" s="127"/>
      <c r="I2595" s="9"/>
      <c r="J2595" s="9"/>
      <c r="K2595" s="55"/>
      <c r="M2595" s="9"/>
    </row>
    <row r="2596" ht="15.75" hidden="1" customHeight="1">
      <c r="A2596" s="9"/>
      <c r="B2596" s="9"/>
      <c r="D2596" s="9"/>
      <c r="F2596" s="9"/>
      <c r="G2596" s="9"/>
      <c r="H2596" s="127"/>
      <c r="I2596" s="9"/>
      <c r="J2596" s="9"/>
      <c r="K2596" s="55"/>
      <c r="M2596" s="9"/>
    </row>
    <row r="2597" ht="15.75" hidden="1" customHeight="1">
      <c r="A2597" s="9"/>
      <c r="B2597" s="9"/>
      <c r="D2597" s="9"/>
      <c r="F2597" s="9"/>
      <c r="G2597" s="9"/>
      <c r="H2597" s="127"/>
      <c r="I2597" s="9"/>
      <c r="J2597" s="9"/>
      <c r="K2597" s="55"/>
      <c r="M2597" s="9"/>
    </row>
    <row r="2598" ht="15.75" hidden="1" customHeight="1">
      <c r="A2598" s="9"/>
      <c r="B2598" s="9"/>
      <c r="D2598" s="9"/>
      <c r="F2598" s="9"/>
      <c r="G2598" s="9"/>
      <c r="H2598" s="127"/>
      <c r="I2598" s="9"/>
      <c r="J2598" s="9"/>
      <c r="K2598" s="55"/>
      <c r="M2598" s="9"/>
    </row>
    <row r="2599" ht="15.75" hidden="1" customHeight="1">
      <c r="A2599" s="9"/>
      <c r="B2599" s="9"/>
      <c r="D2599" s="9"/>
      <c r="F2599" s="9"/>
      <c r="G2599" s="9"/>
      <c r="H2599" s="127"/>
      <c r="I2599" s="9"/>
      <c r="J2599" s="9"/>
      <c r="K2599" s="55"/>
      <c r="M2599" s="9"/>
    </row>
    <row r="2600" ht="15.75" hidden="1" customHeight="1">
      <c r="A2600" s="9"/>
      <c r="B2600" s="9"/>
      <c r="D2600" s="9"/>
      <c r="F2600" s="9"/>
      <c r="G2600" s="9"/>
      <c r="H2600" s="127"/>
      <c r="I2600" s="9"/>
      <c r="J2600" s="9"/>
      <c r="K2600" s="55"/>
      <c r="M2600" s="9"/>
    </row>
    <row r="2601" ht="15.75" hidden="1" customHeight="1">
      <c r="A2601" s="9"/>
      <c r="B2601" s="9"/>
      <c r="D2601" s="9"/>
      <c r="F2601" s="9"/>
      <c r="G2601" s="9"/>
      <c r="H2601" s="127"/>
      <c r="I2601" s="9"/>
      <c r="J2601" s="9"/>
      <c r="K2601" s="55"/>
      <c r="M2601" s="9"/>
    </row>
    <row r="2602" ht="15.75" hidden="1" customHeight="1">
      <c r="A2602" s="9"/>
      <c r="B2602" s="9"/>
      <c r="D2602" s="9"/>
      <c r="F2602" s="9"/>
      <c r="G2602" s="9"/>
      <c r="H2602" s="127"/>
      <c r="I2602" s="9"/>
      <c r="J2602" s="9"/>
      <c r="K2602" s="55"/>
      <c r="M2602" s="9"/>
    </row>
    <row r="2603" ht="15.75" hidden="1" customHeight="1">
      <c r="A2603" s="9"/>
      <c r="B2603" s="9"/>
      <c r="D2603" s="9"/>
      <c r="F2603" s="9"/>
      <c r="G2603" s="9"/>
      <c r="H2603" s="127"/>
      <c r="I2603" s="9"/>
      <c r="J2603" s="9"/>
      <c r="K2603" s="55"/>
      <c r="M2603" s="9"/>
    </row>
    <row r="2604" ht="15.75" hidden="1" customHeight="1">
      <c r="A2604" s="9"/>
      <c r="B2604" s="9"/>
      <c r="D2604" s="9"/>
      <c r="F2604" s="9"/>
      <c r="G2604" s="9"/>
      <c r="H2604" s="127"/>
      <c r="I2604" s="9"/>
      <c r="J2604" s="9"/>
      <c r="K2604" s="55"/>
      <c r="M2604" s="9"/>
    </row>
    <row r="2605" ht="15.75" hidden="1" customHeight="1">
      <c r="A2605" s="9"/>
      <c r="B2605" s="9"/>
      <c r="D2605" s="9"/>
      <c r="F2605" s="9"/>
      <c r="G2605" s="9"/>
      <c r="H2605" s="127"/>
      <c r="I2605" s="9"/>
      <c r="J2605" s="9"/>
      <c r="K2605" s="55"/>
      <c r="M2605" s="9"/>
    </row>
    <row r="2606" ht="15.75" hidden="1" customHeight="1">
      <c r="A2606" s="9"/>
      <c r="B2606" s="9"/>
      <c r="D2606" s="9"/>
      <c r="F2606" s="9"/>
      <c r="G2606" s="9"/>
      <c r="H2606" s="127"/>
      <c r="I2606" s="9"/>
      <c r="J2606" s="9"/>
      <c r="K2606" s="55"/>
      <c r="M2606" s="9"/>
    </row>
    <row r="2607" ht="15.75" hidden="1" customHeight="1">
      <c r="A2607" s="9"/>
      <c r="B2607" s="9"/>
      <c r="D2607" s="9"/>
      <c r="F2607" s="9"/>
      <c r="G2607" s="9"/>
      <c r="H2607" s="127"/>
      <c r="I2607" s="9"/>
      <c r="J2607" s="9"/>
      <c r="K2607" s="55"/>
      <c r="M2607" s="9"/>
    </row>
    <row r="2608" ht="15.75" hidden="1" customHeight="1">
      <c r="A2608" s="9"/>
      <c r="B2608" s="9"/>
      <c r="D2608" s="9"/>
      <c r="F2608" s="9"/>
      <c r="G2608" s="9"/>
      <c r="H2608" s="127"/>
      <c r="I2608" s="9"/>
      <c r="J2608" s="9"/>
      <c r="K2608" s="55"/>
      <c r="M2608" s="9"/>
    </row>
    <row r="2609" ht="15.75" hidden="1" customHeight="1">
      <c r="A2609" s="9"/>
      <c r="B2609" s="9"/>
      <c r="D2609" s="9"/>
      <c r="F2609" s="9"/>
      <c r="G2609" s="9"/>
      <c r="H2609" s="127"/>
      <c r="I2609" s="9"/>
      <c r="J2609" s="9"/>
      <c r="K2609" s="55"/>
      <c r="M2609" s="9"/>
    </row>
    <row r="2610" ht="15.75" hidden="1" customHeight="1">
      <c r="A2610" s="9"/>
      <c r="B2610" s="9"/>
      <c r="D2610" s="9"/>
      <c r="F2610" s="9"/>
      <c r="G2610" s="9"/>
      <c r="H2610" s="127"/>
      <c r="I2610" s="9"/>
      <c r="J2610" s="9"/>
      <c r="K2610" s="55"/>
      <c r="M2610" s="9"/>
    </row>
    <row r="2611" ht="15.75" hidden="1" customHeight="1">
      <c r="A2611" s="9"/>
      <c r="B2611" s="9"/>
      <c r="D2611" s="9"/>
      <c r="F2611" s="9"/>
      <c r="G2611" s="9"/>
      <c r="H2611" s="127"/>
      <c r="I2611" s="9"/>
      <c r="J2611" s="9"/>
      <c r="K2611" s="55"/>
      <c r="M2611" s="9"/>
    </row>
    <row r="2612" ht="15.75" hidden="1" customHeight="1">
      <c r="A2612" s="9"/>
      <c r="B2612" s="9"/>
      <c r="D2612" s="9"/>
      <c r="F2612" s="9"/>
      <c r="G2612" s="9"/>
      <c r="H2612" s="127"/>
      <c r="I2612" s="9"/>
      <c r="J2612" s="9"/>
      <c r="K2612" s="55"/>
      <c r="M2612" s="9"/>
    </row>
    <row r="2613" ht="15.75" hidden="1" customHeight="1">
      <c r="A2613" s="9"/>
      <c r="B2613" s="9"/>
      <c r="D2613" s="9"/>
      <c r="F2613" s="9"/>
      <c r="G2613" s="9"/>
      <c r="H2613" s="127"/>
      <c r="I2613" s="9"/>
      <c r="J2613" s="9"/>
      <c r="K2613" s="55"/>
      <c r="M2613" s="9"/>
    </row>
    <row r="2614" ht="15.75" hidden="1" customHeight="1">
      <c r="A2614" s="9"/>
      <c r="B2614" s="9"/>
      <c r="D2614" s="9"/>
      <c r="F2614" s="9"/>
      <c r="G2614" s="9"/>
      <c r="H2614" s="127"/>
      <c r="I2614" s="9"/>
      <c r="J2614" s="9"/>
      <c r="K2614" s="55"/>
      <c r="M2614" s="9"/>
    </row>
    <row r="2615" ht="15.75" hidden="1" customHeight="1">
      <c r="A2615" s="9"/>
      <c r="B2615" s="9"/>
      <c r="D2615" s="9"/>
      <c r="F2615" s="9"/>
      <c r="G2615" s="9"/>
      <c r="H2615" s="127"/>
      <c r="I2615" s="9"/>
      <c r="J2615" s="9"/>
      <c r="K2615" s="55"/>
      <c r="M2615" s="9"/>
    </row>
    <row r="2616" ht="15.75" hidden="1" customHeight="1">
      <c r="A2616" s="9"/>
      <c r="B2616" s="9"/>
      <c r="D2616" s="9"/>
      <c r="F2616" s="9"/>
      <c r="G2616" s="9"/>
      <c r="H2616" s="127"/>
      <c r="I2616" s="9"/>
      <c r="J2616" s="9"/>
      <c r="K2616" s="55"/>
      <c r="M2616" s="9"/>
    </row>
    <row r="2617" ht="15.75" hidden="1" customHeight="1">
      <c r="A2617" s="9"/>
      <c r="B2617" s="9"/>
      <c r="D2617" s="9"/>
      <c r="F2617" s="9"/>
      <c r="G2617" s="9"/>
      <c r="H2617" s="127"/>
      <c r="I2617" s="9"/>
      <c r="J2617" s="9"/>
      <c r="K2617" s="55"/>
      <c r="M2617" s="9"/>
    </row>
    <row r="2618" ht="15.75" hidden="1" customHeight="1">
      <c r="A2618" s="9"/>
      <c r="B2618" s="9"/>
      <c r="D2618" s="9"/>
      <c r="F2618" s="9"/>
      <c r="G2618" s="9"/>
      <c r="H2618" s="127"/>
      <c r="I2618" s="9"/>
      <c r="J2618" s="9"/>
      <c r="K2618" s="55"/>
      <c r="M2618" s="9"/>
    </row>
    <row r="2619" ht="15.75" hidden="1" customHeight="1">
      <c r="A2619" s="9"/>
      <c r="B2619" s="9"/>
      <c r="D2619" s="9"/>
      <c r="F2619" s="9"/>
      <c r="G2619" s="9"/>
      <c r="H2619" s="127"/>
      <c r="I2619" s="9"/>
      <c r="J2619" s="9"/>
      <c r="K2619" s="55"/>
      <c r="M2619" s="9"/>
    </row>
    <row r="2620" ht="15.75" hidden="1" customHeight="1">
      <c r="A2620" s="9"/>
      <c r="B2620" s="9"/>
      <c r="D2620" s="9"/>
      <c r="F2620" s="9"/>
      <c r="G2620" s="9"/>
      <c r="H2620" s="127"/>
      <c r="I2620" s="9"/>
      <c r="J2620" s="9"/>
      <c r="K2620" s="55"/>
      <c r="M2620" s="9"/>
    </row>
    <row r="2621" ht="15.75" hidden="1" customHeight="1">
      <c r="A2621" s="9"/>
      <c r="B2621" s="9"/>
      <c r="D2621" s="9"/>
      <c r="F2621" s="9"/>
      <c r="G2621" s="9"/>
      <c r="H2621" s="127"/>
      <c r="I2621" s="9"/>
      <c r="J2621" s="9"/>
      <c r="K2621" s="55"/>
      <c r="M2621" s="9"/>
    </row>
    <row r="2622" ht="15.75" hidden="1" customHeight="1">
      <c r="A2622" s="9"/>
      <c r="B2622" s="9"/>
      <c r="D2622" s="9"/>
      <c r="F2622" s="9"/>
      <c r="G2622" s="9"/>
      <c r="H2622" s="127"/>
      <c r="I2622" s="9"/>
      <c r="J2622" s="9"/>
      <c r="K2622" s="55"/>
      <c r="M2622" s="9"/>
    </row>
    <row r="2623" ht="15.75" hidden="1" customHeight="1">
      <c r="A2623" s="9"/>
      <c r="B2623" s="9"/>
      <c r="D2623" s="9"/>
      <c r="F2623" s="9"/>
      <c r="G2623" s="9"/>
      <c r="H2623" s="127"/>
      <c r="I2623" s="9"/>
      <c r="J2623" s="9"/>
      <c r="K2623" s="55"/>
      <c r="M2623" s="9"/>
    </row>
    <row r="2624" ht="15.75" hidden="1" customHeight="1">
      <c r="A2624" s="9"/>
      <c r="B2624" s="9"/>
      <c r="D2624" s="9"/>
      <c r="F2624" s="9"/>
      <c r="G2624" s="9"/>
      <c r="H2624" s="127"/>
      <c r="I2624" s="9"/>
      <c r="J2624" s="9"/>
      <c r="K2624" s="55"/>
      <c r="M2624" s="9"/>
    </row>
    <row r="2625" ht="15.75" hidden="1" customHeight="1">
      <c r="A2625" s="9"/>
      <c r="B2625" s="9"/>
      <c r="D2625" s="9"/>
      <c r="F2625" s="9"/>
      <c r="G2625" s="9"/>
      <c r="H2625" s="127"/>
      <c r="I2625" s="9"/>
      <c r="J2625" s="9"/>
      <c r="K2625" s="55"/>
      <c r="M2625" s="9"/>
    </row>
    <row r="2626" ht="15.75" hidden="1" customHeight="1">
      <c r="A2626" s="9"/>
      <c r="B2626" s="9"/>
      <c r="D2626" s="9"/>
      <c r="F2626" s="9"/>
      <c r="G2626" s="9"/>
      <c r="H2626" s="127"/>
      <c r="I2626" s="9"/>
      <c r="J2626" s="9"/>
      <c r="K2626" s="55"/>
      <c r="M2626" s="9"/>
    </row>
    <row r="2627" ht="15.75" hidden="1" customHeight="1">
      <c r="A2627" s="9"/>
      <c r="B2627" s="9"/>
      <c r="D2627" s="9"/>
      <c r="F2627" s="9"/>
      <c r="G2627" s="9"/>
      <c r="H2627" s="127"/>
      <c r="I2627" s="9"/>
      <c r="J2627" s="9"/>
      <c r="K2627" s="55"/>
      <c r="M2627" s="9"/>
    </row>
    <row r="2628" ht="15.75" hidden="1" customHeight="1">
      <c r="A2628" s="9"/>
      <c r="B2628" s="9"/>
      <c r="D2628" s="9"/>
      <c r="F2628" s="9"/>
      <c r="G2628" s="9"/>
      <c r="H2628" s="127"/>
      <c r="I2628" s="9"/>
      <c r="J2628" s="9"/>
      <c r="K2628" s="55"/>
      <c r="M2628" s="9"/>
    </row>
    <row r="2629" ht="15.75" hidden="1" customHeight="1">
      <c r="A2629" s="9"/>
      <c r="B2629" s="9"/>
      <c r="D2629" s="9"/>
      <c r="F2629" s="9"/>
      <c r="G2629" s="9"/>
      <c r="H2629" s="127"/>
      <c r="I2629" s="9"/>
      <c r="J2629" s="9"/>
      <c r="K2629" s="55"/>
      <c r="M2629" s="9"/>
    </row>
    <row r="2630" ht="15.75" hidden="1" customHeight="1">
      <c r="A2630" s="9"/>
      <c r="B2630" s="9"/>
      <c r="D2630" s="9"/>
      <c r="F2630" s="9"/>
      <c r="G2630" s="9"/>
      <c r="H2630" s="127"/>
      <c r="I2630" s="9"/>
      <c r="J2630" s="9"/>
      <c r="K2630" s="55"/>
      <c r="M2630" s="9"/>
    </row>
    <row r="2631" ht="15.75" hidden="1" customHeight="1">
      <c r="A2631" s="9"/>
      <c r="B2631" s="9"/>
      <c r="D2631" s="9"/>
      <c r="F2631" s="9"/>
      <c r="G2631" s="9"/>
      <c r="H2631" s="127"/>
      <c r="I2631" s="9"/>
      <c r="J2631" s="9"/>
      <c r="K2631" s="55"/>
      <c r="M2631" s="9"/>
    </row>
    <row r="2632" ht="15.75" hidden="1" customHeight="1">
      <c r="A2632" s="9"/>
      <c r="B2632" s="9"/>
      <c r="D2632" s="9"/>
      <c r="F2632" s="9"/>
      <c r="G2632" s="9"/>
      <c r="H2632" s="127"/>
      <c r="I2632" s="9"/>
      <c r="J2632" s="9"/>
      <c r="K2632" s="55"/>
      <c r="M2632" s="9"/>
    </row>
    <row r="2633" ht="15.75" hidden="1" customHeight="1">
      <c r="A2633" s="9"/>
      <c r="B2633" s="9"/>
      <c r="D2633" s="9"/>
      <c r="F2633" s="9"/>
      <c r="G2633" s="9"/>
      <c r="H2633" s="127"/>
      <c r="I2633" s="9"/>
      <c r="J2633" s="9"/>
      <c r="K2633" s="55"/>
      <c r="M2633" s="9"/>
    </row>
    <row r="2634" ht="15.75" hidden="1" customHeight="1">
      <c r="A2634" s="9"/>
      <c r="B2634" s="9"/>
      <c r="D2634" s="9"/>
      <c r="F2634" s="9"/>
      <c r="G2634" s="9"/>
      <c r="H2634" s="127"/>
      <c r="I2634" s="9"/>
      <c r="J2634" s="9"/>
      <c r="K2634" s="55"/>
      <c r="M2634" s="9"/>
    </row>
    <row r="2635" ht="15.75" hidden="1" customHeight="1">
      <c r="A2635" s="9"/>
      <c r="B2635" s="9"/>
      <c r="D2635" s="9"/>
      <c r="F2635" s="9"/>
      <c r="G2635" s="9"/>
      <c r="H2635" s="127"/>
      <c r="I2635" s="9"/>
      <c r="J2635" s="9"/>
      <c r="K2635" s="55"/>
      <c r="M2635" s="9"/>
    </row>
    <row r="2636" ht="15.75" hidden="1" customHeight="1">
      <c r="A2636" s="9"/>
      <c r="B2636" s="9"/>
      <c r="D2636" s="9"/>
      <c r="F2636" s="9"/>
      <c r="G2636" s="9"/>
      <c r="H2636" s="127"/>
      <c r="I2636" s="9"/>
      <c r="J2636" s="9"/>
      <c r="K2636" s="55"/>
      <c r="M2636" s="9"/>
    </row>
    <row r="2637" ht="15.75" hidden="1" customHeight="1">
      <c r="A2637" s="9"/>
      <c r="B2637" s="9"/>
      <c r="D2637" s="9"/>
      <c r="F2637" s="9"/>
      <c r="G2637" s="9"/>
      <c r="H2637" s="127"/>
      <c r="I2637" s="9"/>
      <c r="J2637" s="9"/>
      <c r="K2637" s="55"/>
      <c r="M2637" s="9"/>
    </row>
    <row r="2638" ht="15.75" hidden="1" customHeight="1">
      <c r="A2638" s="9"/>
      <c r="B2638" s="9"/>
      <c r="D2638" s="9"/>
      <c r="F2638" s="9"/>
      <c r="G2638" s="9"/>
      <c r="H2638" s="127"/>
      <c r="I2638" s="9"/>
      <c r="J2638" s="9"/>
      <c r="K2638" s="55"/>
      <c r="M2638" s="9"/>
    </row>
    <row r="2639" ht="15.75" hidden="1" customHeight="1">
      <c r="A2639" s="9"/>
      <c r="B2639" s="9"/>
      <c r="D2639" s="9"/>
      <c r="F2639" s="9"/>
      <c r="G2639" s="9"/>
      <c r="H2639" s="127"/>
      <c r="I2639" s="9"/>
      <c r="J2639" s="9"/>
      <c r="K2639" s="55"/>
      <c r="M2639" s="9"/>
    </row>
    <row r="2640" ht="15.75" hidden="1" customHeight="1">
      <c r="A2640" s="9"/>
      <c r="B2640" s="9"/>
      <c r="D2640" s="9"/>
      <c r="F2640" s="9"/>
      <c r="G2640" s="9"/>
      <c r="H2640" s="127"/>
      <c r="I2640" s="9"/>
      <c r="J2640" s="9"/>
      <c r="K2640" s="55"/>
      <c r="M2640" s="9"/>
    </row>
    <row r="2641" ht="15.75" hidden="1" customHeight="1">
      <c r="A2641" s="9"/>
      <c r="B2641" s="9"/>
      <c r="D2641" s="9"/>
      <c r="F2641" s="9"/>
      <c r="G2641" s="9"/>
      <c r="H2641" s="127"/>
      <c r="I2641" s="9"/>
      <c r="J2641" s="9"/>
      <c r="K2641" s="55"/>
      <c r="M2641" s="9"/>
    </row>
    <row r="2642" ht="15.75" hidden="1" customHeight="1">
      <c r="A2642" s="9"/>
      <c r="B2642" s="9"/>
      <c r="D2642" s="9"/>
      <c r="F2642" s="9"/>
      <c r="G2642" s="9"/>
      <c r="H2642" s="127"/>
      <c r="I2642" s="9"/>
      <c r="J2642" s="9"/>
      <c r="K2642" s="55"/>
      <c r="M2642" s="9"/>
    </row>
    <row r="2643" ht="15.75" hidden="1" customHeight="1">
      <c r="A2643" s="9"/>
      <c r="B2643" s="9"/>
      <c r="D2643" s="9"/>
      <c r="F2643" s="9"/>
      <c r="G2643" s="9"/>
      <c r="H2643" s="127"/>
      <c r="I2643" s="9"/>
      <c r="J2643" s="9"/>
      <c r="K2643" s="55"/>
      <c r="M2643" s="9"/>
    </row>
    <row r="2644" ht="15.75" hidden="1" customHeight="1">
      <c r="A2644" s="9"/>
      <c r="B2644" s="9"/>
      <c r="D2644" s="9"/>
      <c r="F2644" s="9"/>
      <c r="G2644" s="9"/>
      <c r="H2644" s="127"/>
      <c r="I2644" s="9"/>
      <c r="J2644" s="9"/>
      <c r="K2644" s="55"/>
      <c r="M2644" s="9"/>
    </row>
    <row r="2645" ht="15.75" hidden="1" customHeight="1">
      <c r="A2645" s="9"/>
      <c r="B2645" s="9"/>
      <c r="D2645" s="9"/>
      <c r="F2645" s="9"/>
      <c r="G2645" s="9"/>
      <c r="H2645" s="127"/>
      <c r="I2645" s="9"/>
      <c r="J2645" s="9"/>
      <c r="K2645" s="55"/>
      <c r="M2645" s="9"/>
    </row>
    <row r="2646" ht="15.75" hidden="1" customHeight="1">
      <c r="A2646" s="9"/>
      <c r="B2646" s="9"/>
      <c r="D2646" s="9"/>
      <c r="F2646" s="9"/>
      <c r="G2646" s="9"/>
      <c r="H2646" s="127"/>
      <c r="I2646" s="9"/>
      <c r="J2646" s="9"/>
      <c r="K2646" s="55"/>
      <c r="M2646" s="9"/>
    </row>
    <row r="2647" ht="15.75" hidden="1" customHeight="1">
      <c r="A2647" s="9"/>
      <c r="B2647" s="9"/>
      <c r="D2647" s="9"/>
      <c r="F2647" s="9"/>
      <c r="G2647" s="9"/>
      <c r="H2647" s="127"/>
      <c r="I2647" s="9"/>
      <c r="J2647" s="9"/>
      <c r="K2647" s="55"/>
      <c r="M2647" s="9"/>
    </row>
    <row r="2648" ht="15.75" hidden="1" customHeight="1">
      <c r="A2648" s="9"/>
      <c r="B2648" s="9"/>
      <c r="D2648" s="9"/>
      <c r="F2648" s="9"/>
      <c r="G2648" s="9"/>
      <c r="H2648" s="127"/>
      <c r="I2648" s="9"/>
      <c r="J2648" s="9"/>
      <c r="K2648" s="55"/>
      <c r="M2648" s="9"/>
    </row>
    <row r="2649" ht="15.75" hidden="1" customHeight="1">
      <c r="A2649" s="9"/>
      <c r="B2649" s="9"/>
      <c r="D2649" s="9"/>
      <c r="F2649" s="9"/>
      <c r="G2649" s="9"/>
      <c r="H2649" s="127"/>
      <c r="I2649" s="9"/>
      <c r="J2649" s="9"/>
      <c r="K2649" s="55"/>
      <c r="M2649" s="9"/>
    </row>
    <row r="2650" ht="15.75" hidden="1" customHeight="1">
      <c r="A2650" s="9"/>
      <c r="B2650" s="9"/>
      <c r="D2650" s="9"/>
      <c r="F2650" s="9"/>
      <c r="G2650" s="9"/>
      <c r="H2650" s="127"/>
      <c r="I2650" s="9"/>
      <c r="J2650" s="9"/>
      <c r="K2650" s="55"/>
      <c r="M2650" s="9"/>
    </row>
    <row r="2651" ht="15.75" hidden="1" customHeight="1">
      <c r="A2651" s="9"/>
      <c r="B2651" s="9"/>
      <c r="D2651" s="9"/>
      <c r="F2651" s="9"/>
      <c r="G2651" s="9"/>
      <c r="H2651" s="127"/>
      <c r="I2651" s="9"/>
      <c r="J2651" s="9"/>
      <c r="K2651" s="55"/>
      <c r="M2651" s="9"/>
    </row>
    <row r="2652" ht="15.75" hidden="1" customHeight="1">
      <c r="A2652" s="9"/>
      <c r="B2652" s="9"/>
      <c r="D2652" s="9"/>
      <c r="F2652" s="9"/>
      <c r="G2652" s="9"/>
      <c r="H2652" s="127"/>
      <c r="I2652" s="9"/>
      <c r="J2652" s="9"/>
      <c r="K2652" s="55"/>
      <c r="M2652" s="9"/>
    </row>
    <row r="2653" ht="15.75" hidden="1" customHeight="1">
      <c r="A2653" s="9"/>
      <c r="B2653" s="9"/>
      <c r="D2653" s="9"/>
      <c r="F2653" s="9"/>
      <c r="G2653" s="9"/>
      <c r="H2653" s="127"/>
      <c r="I2653" s="9"/>
      <c r="J2653" s="9"/>
      <c r="K2653" s="55"/>
      <c r="M2653" s="9"/>
    </row>
    <row r="2654" ht="15.75" hidden="1" customHeight="1">
      <c r="A2654" s="9"/>
      <c r="B2654" s="9"/>
      <c r="D2654" s="9"/>
      <c r="F2654" s="9"/>
      <c r="G2654" s="9"/>
      <c r="H2654" s="127"/>
      <c r="I2654" s="9"/>
      <c r="J2654" s="9"/>
      <c r="K2654" s="55"/>
      <c r="M2654" s="9"/>
    </row>
    <row r="2655" ht="15.75" hidden="1" customHeight="1">
      <c r="A2655" s="9"/>
      <c r="B2655" s="9"/>
      <c r="D2655" s="9"/>
      <c r="F2655" s="9"/>
      <c r="G2655" s="9"/>
      <c r="H2655" s="127"/>
      <c r="I2655" s="9"/>
      <c r="J2655" s="9"/>
      <c r="K2655" s="55"/>
      <c r="M2655" s="9"/>
    </row>
    <row r="2656" ht="15.75" hidden="1" customHeight="1">
      <c r="A2656" s="9"/>
      <c r="B2656" s="9"/>
      <c r="D2656" s="9"/>
      <c r="F2656" s="9"/>
      <c r="G2656" s="9"/>
      <c r="H2656" s="127"/>
      <c r="I2656" s="9"/>
      <c r="J2656" s="9"/>
      <c r="K2656" s="55"/>
      <c r="M2656" s="9"/>
    </row>
    <row r="2657" ht="15.75" hidden="1" customHeight="1">
      <c r="A2657" s="9"/>
      <c r="B2657" s="9"/>
      <c r="D2657" s="9"/>
      <c r="F2657" s="9"/>
      <c r="G2657" s="9"/>
      <c r="H2657" s="127"/>
      <c r="I2657" s="9"/>
      <c r="J2657" s="9"/>
      <c r="K2657" s="55"/>
      <c r="M2657" s="9"/>
    </row>
    <row r="2658" ht="15.75" hidden="1" customHeight="1">
      <c r="A2658" s="9"/>
      <c r="B2658" s="9"/>
      <c r="D2658" s="9"/>
      <c r="F2658" s="9"/>
      <c r="G2658" s="9"/>
      <c r="H2658" s="127"/>
      <c r="I2658" s="9"/>
      <c r="J2658" s="9"/>
      <c r="K2658" s="55"/>
      <c r="M2658" s="9"/>
    </row>
    <row r="2659" ht="15.75" hidden="1" customHeight="1">
      <c r="A2659" s="9"/>
      <c r="B2659" s="9"/>
      <c r="D2659" s="9"/>
      <c r="F2659" s="9"/>
      <c r="G2659" s="9"/>
      <c r="H2659" s="127"/>
      <c r="I2659" s="9"/>
      <c r="J2659" s="9"/>
      <c r="K2659" s="55"/>
      <c r="M2659" s="9"/>
    </row>
    <row r="2660" ht="15.75" hidden="1" customHeight="1">
      <c r="A2660" s="9"/>
      <c r="B2660" s="9"/>
      <c r="D2660" s="9"/>
      <c r="F2660" s="9"/>
      <c r="G2660" s="9"/>
      <c r="H2660" s="127"/>
      <c r="I2660" s="9"/>
      <c r="J2660" s="9"/>
      <c r="K2660" s="55"/>
      <c r="M2660" s="9"/>
    </row>
    <row r="2661" ht="15.75" hidden="1" customHeight="1">
      <c r="A2661" s="9"/>
      <c r="B2661" s="9"/>
      <c r="D2661" s="9"/>
      <c r="F2661" s="9"/>
      <c r="G2661" s="9"/>
      <c r="H2661" s="127"/>
      <c r="I2661" s="9"/>
      <c r="J2661" s="9"/>
      <c r="K2661" s="55"/>
      <c r="M2661" s="9"/>
    </row>
    <row r="2662" ht="15.75" hidden="1" customHeight="1">
      <c r="A2662" s="9"/>
      <c r="B2662" s="9"/>
      <c r="D2662" s="9"/>
      <c r="F2662" s="9"/>
      <c r="G2662" s="9"/>
      <c r="H2662" s="127"/>
      <c r="I2662" s="9"/>
      <c r="J2662" s="9"/>
      <c r="K2662" s="55"/>
      <c r="M2662" s="9"/>
    </row>
    <row r="2663" ht="15.75" hidden="1" customHeight="1">
      <c r="A2663" s="9"/>
      <c r="B2663" s="9"/>
      <c r="D2663" s="9"/>
      <c r="F2663" s="9"/>
      <c r="G2663" s="9"/>
      <c r="H2663" s="127"/>
      <c r="I2663" s="9"/>
      <c r="J2663" s="9"/>
      <c r="K2663" s="55"/>
      <c r="M2663" s="9"/>
    </row>
    <row r="2664" ht="15.75" hidden="1" customHeight="1">
      <c r="A2664" s="9"/>
      <c r="B2664" s="9"/>
      <c r="D2664" s="9"/>
      <c r="F2664" s="9"/>
      <c r="G2664" s="9"/>
      <c r="H2664" s="127"/>
      <c r="I2664" s="9"/>
      <c r="J2664" s="9"/>
      <c r="K2664" s="55"/>
      <c r="M2664" s="9"/>
    </row>
    <row r="2665" ht="15.75" hidden="1" customHeight="1">
      <c r="A2665" s="9"/>
      <c r="B2665" s="9"/>
      <c r="D2665" s="9"/>
      <c r="F2665" s="9"/>
      <c r="G2665" s="9"/>
      <c r="H2665" s="127"/>
      <c r="I2665" s="9"/>
      <c r="J2665" s="9"/>
      <c r="K2665" s="55"/>
      <c r="M2665" s="9"/>
    </row>
    <row r="2666" ht="15.75" hidden="1" customHeight="1">
      <c r="A2666" s="9"/>
      <c r="B2666" s="9"/>
      <c r="D2666" s="9"/>
      <c r="F2666" s="9"/>
      <c r="G2666" s="9"/>
      <c r="H2666" s="127"/>
      <c r="I2666" s="9"/>
      <c r="J2666" s="9"/>
      <c r="K2666" s="55"/>
      <c r="M2666" s="9"/>
    </row>
    <row r="2667" ht="15.75" hidden="1" customHeight="1">
      <c r="A2667" s="9"/>
      <c r="B2667" s="9"/>
      <c r="D2667" s="9"/>
      <c r="F2667" s="9"/>
      <c r="G2667" s="9"/>
      <c r="H2667" s="127"/>
      <c r="I2667" s="9"/>
      <c r="J2667" s="9"/>
      <c r="K2667" s="55"/>
      <c r="M2667" s="9"/>
    </row>
    <row r="2668" ht="15.75" hidden="1" customHeight="1">
      <c r="A2668" s="9"/>
      <c r="B2668" s="9"/>
      <c r="D2668" s="9"/>
      <c r="F2668" s="9"/>
      <c r="G2668" s="9"/>
      <c r="H2668" s="127"/>
      <c r="I2668" s="9"/>
      <c r="J2668" s="9"/>
      <c r="K2668" s="55"/>
      <c r="M2668" s="9"/>
    </row>
    <row r="2669" ht="15.75" hidden="1" customHeight="1">
      <c r="A2669" s="9"/>
      <c r="B2669" s="9"/>
      <c r="D2669" s="9"/>
      <c r="F2669" s="9"/>
      <c r="G2669" s="9"/>
      <c r="H2669" s="127"/>
      <c r="I2669" s="9"/>
      <c r="J2669" s="9"/>
      <c r="K2669" s="55"/>
      <c r="M2669" s="9"/>
    </row>
    <row r="2670" ht="15.75" hidden="1" customHeight="1">
      <c r="A2670" s="9"/>
      <c r="B2670" s="9"/>
      <c r="D2670" s="9"/>
      <c r="F2670" s="9"/>
      <c r="G2670" s="9"/>
      <c r="H2670" s="127"/>
      <c r="I2670" s="9"/>
      <c r="J2670" s="9"/>
      <c r="K2670" s="55"/>
      <c r="M2670" s="9"/>
    </row>
    <row r="2671" ht="15.75" hidden="1" customHeight="1">
      <c r="A2671" s="9"/>
      <c r="B2671" s="9"/>
      <c r="D2671" s="9"/>
      <c r="F2671" s="9"/>
      <c r="G2671" s="9"/>
      <c r="H2671" s="127"/>
      <c r="I2671" s="9"/>
      <c r="J2671" s="9"/>
      <c r="K2671" s="55"/>
      <c r="M2671" s="9"/>
    </row>
    <row r="2672" ht="15.75" hidden="1" customHeight="1">
      <c r="A2672" s="9"/>
      <c r="B2672" s="9"/>
      <c r="D2672" s="9"/>
      <c r="F2672" s="9"/>
      <c r="G2672" s="9"/>
      <c r="H2672" s="127"/>
      <c r="I2672" s="9"/>
      <c r="J2672" s="9"/>
      <c r="K2672" s="55"/>
      <c r="M2672" s="9"/>
    </row>
    <row r="2673" ht="15.75" hidden="1" customHeight="1">
      <c r="A2673" s="9"/>
      <c r="B2673" s="9"/>
      <c r="D2673" s="9"/>
      <c r="F2673" s="9"/>
      <c r="G2673" s="9"/>
      <c r="H2673" s="127"/>
      <c r="I2673" s="9"/>
      <c r="J2673" s="9"/>
      <c r="K2673" s="55"/>
      <c r="M2673" s="9"/>
    </row>
    <row r="2674" ht="15.75" hidden="1" customHeight="1">
      <c r="A2674" s="9"/>
      <c r="B2674" s="9"/>
      <c r="D2674" s="9"/>
      <c r="F2674" s="9"/>
      <c r="G2674" s="9"/>
      <c r="H2674" s="127"/>
      <c r="I2674" s="9"/>
      <c r="J2674" s="9"/>
      <c r="K2674" s="55"/>
      <c r="M2674" s="9"/>
    </row>
    <row r="2675" ht="15.75" hidden="1" customHeight="1">
      <c r="A2675" s="9"/>
      <c r="B2675" s="9"/>
      <c r="D2675" s="9"/>
      <c r="F2675" s="9"/>
      <c r="G2675" s="9"/>
      <c r="H2675" s="127"/>
      <c r="I2675" s="9"/>
      <c r="J2675" s="9"/>
      <c r="K2675" s="55"/>
      <c r="M2675" s="9"/>
    </row>
    <row r="2676" ht="15.75" hidden="1" customHeight="1">
      <c r="A2676" s="9"/>
      <c r="B2676" s="9"/>
      <c r="D2676" s="9"/>
      <c r="F2676" s="9"/>
      <c r="G2676" s="9"/>
      <c r="H2676" s="127"/>
      <c r="I2676" s="9"/>
      <c r="J2676" s="9"/>
      <c r="K2676" s="55"/>
      <c r="M2676" s="9"/>
    </row>
    <row r="2677" ht="15.75" hidden="1" customHeight="1">
      <c r="A2677" s="9"/>
      <c r="B2677" s="9"/>
      <c r="D2677" s="9"/>
      <c r="F2677" s="9"/>
      <c r="G2677" s="9"/>
      <c r="H2677" s="127"/>
      <c r="I2677" s="9"/>
      <c r="J2677" s="9"/>
      <c r="K2677" s="55"/>
      <c r="M2677" s="9"/>
    </row>
    <row r="2678" ht="15.75" hidden="1" customHeight="1">
      <c r="A2678" s="9"/>
      <c r="B2678" s="9"/>
      <c r="D2678" s="9"/>
      <c r="F2678" s="9"/>
      <c r="G2678" s="9"/>
      <c r="H2678" s="127"/>
      <c r="I2678" s="9"/>
      <c r="J2678" s="9"/>
      <c r="K2678" s="55"/>
      <c r="M2678" s="9"/>
    </row>
    <row r="2679" ht="15.75" hidden="1" customHeight="1">
      <c r="A2679" s="9"/>
      <c r="B2679" s="9"/>
      <c r="D2679" s="9"/>
      <c r="F2679" s="9"/>
      <c r="G2679" s="9"/>
      <c r="H2679" s="127"/>
      <c r="I2679" s="9"/>
      <c r="J2679" s="9"/>
      <c r="K2679" s="55"/>
      <c r="M2679" s="9"/>
    </row>
    <row r="2680" ht="15.75" hidden="1" customHeight="1">
      <c r="A2680" s="9"/>
      <c r="B2680" s="9"/>
      <c r="D2680" s="9"/>
      <c r="F2680" s="9"/>
      <c r="G2680" s="9"/>
      <c r="H2680" s="127"/>
      <c r="I2680" s="9"/>
      <c r="J2680" s="9"/>
      <c r="K2680" s="55"/>
      <c r="M2680" s="9"/>
    </row>
    <row r="2681" ht="15.75" hidden="1" customHeight="1">
      <c r="A2681" s="9"/>
      <c r="B2681" s="9"/>
      <c r="D2681" s="9"/>
      <c r="F2681" s="9"/>
      <c r="G2681" s="9"/>
      <c r="H2681" s="127"/>
      <c r="I2681" s="9"/>
      <c r="J2681" s="9"/>
      <c r="K2681" s="55"/>
      <c r="M2681" s="9"/>
    </row>
    <row r="2682" ht="15.75" hidden="1" customHeight="1">
      <c r="A2682" s="9"/>
      <c r="B2682" s="9"/>
      <c r="D2682" s="9"/>
      <c r="F2682" s="9"/>
      <c r="G2682" s="9"/>
      <c r="H2682" s="127"/>
      <c r="I2682" s="9"/>
      <c r="J2682" s="9"/>
      <c r="K2682" s="55"/>
      <c r="M2682" s="9"/>
    </row>
    <row r="2683" ht="15.75" hidden="1" customHeight="1">
      <c r="A2683" s="9"/>
      <c r="B2683" s="9"/>
      <c r="D2683" s="9"/>
      <c r="F2683" s="9"/>
      <c r="G2683" s="9"/>
      <c r="H2683" s="127"/>
      <c r="I2683" s="9"/>
      <c r="J2683" s="9"/>
      <c r="K2683" s="55"/>
      <c r="M2683" s="9"/>
    </row>
    <row r="2684" ht="15.75" hidden="1" customHeight="1">
      <c r="A2684" s="9"/>
      <c r="B2684" s="9"/>
      <c r="D2684" s="9"/>
      <c r="F2684" s="9"/>
      <c r="G2684" s="9"/>
      <c r="H2684" s="127"/>
      <c r="I2684" s="9"/>
      <c r="J2684" s="9"/>
      <c r="K2684" s="55"/>
      <c r="M2684" s="9"/>
    </row>
    <row r="2685" ht="15.75" hidden="1" customHeight="1">
      <c r="A2685" s="9"/>
      <c r="B2685" s="9"/>
      <c r="D2685" s="9"/>
      <c r="F2685" s="9"/>
      <c r="G2685" s="9"/>
      <c r="H2685" s="127"/>
      <c r="I2685" s="9"/>
      <c r="J2685" s="9"/>
      <c r="K2685" s="55"/>
      <c r="M2685" s="9"/>
    </row>
    <row r="2686" ht="15.75" hidden="1" customHeight="1">
      <c r="A2686" s="9"/>
      <c r="B2686" s="9"/>
      <c r="D2686" s="9"/>
      <c r="F2686" s="9"/>
      <c r="G2686" s="9"/>
      <c r="H2686" s="127"/>
      <c r="I2686" s="9"/>
      <c r="J2686" s="9"/>
      <c r="K2686" s="55"/>
      <c r="M2686" s="9"/>
    </row>
    <row r="2687" ht="15.75" hidden="1" customHeight="1">
      <c r="A2687" s="9"/>
      <c r="B2687" s="9"/>
      <c r="D2687" s="9"/>
      <c r="F2687" s="9"/>
      <c r="G2687" s="9"/>
      <c r="H2687" s="127"/>
      <c r="I2687" s="9"/>
      <c r="J2687" s="9"/>
      <c r="K2687" s="55"/>
      <c r="M2687" s="9"/>
    </row>
    <row r="2688" ht="15.75" hidden="1" customHeight="1">
      <c r="A2688" s="9"/>
      <c r="B2688" s="9"/>
      <c r="D2688" s="9"/>
      <c r="F2688" s="9"/>
      <c r="G2688" s="9"/>
      <c r="H2688" s="127"/>
      <c r="I2688" s="9"/>
      <c r="J2688" s="9"/>
      <c r="K2688" s="55"/>
      <c r="M2688" s="9"/>
    </row>
    <row r="2689" ht="15.75" hidden="1" customHeight="1">
      <c r="A2689" s="9"/>
      <c r="B2689" s="9"/>
      <c r="D2689" s="9"/>
      <c r="F2689" s="9"/>
      <c r="G2689" s="9"/>
      <c r="H2689" s="127"/>
      <c r="I2689" s="9"/>
      <c r="J2689" s="9"/>
      <c r="K2689" s="55"/>
      <c r="M2689" s="9"/>
    </row>
    <row r="2690" ht="15.75" hidden="1" customHeight="1">
      <c r="A2690" s="9"/>
      <c r="B2690" s="9"/>
      <c r="D2690" s="9"/>
      <c r="F2690" s="9"/>
      <c r="G2690" s="9"/>
      <c r="H2690" s="127"/>
      <c r="I2690" s="9"/>
      <c r="J2690" s="9"/>
      <c r="K2690" s="55"/>
      <c r="M2690" s="9"/>
    </row>
    <row r="2691" ht="15.75" hidden="1" customHeight="1">
      <c r="A2691" s="9"/>
      <c r="B2691" s="9"/>
      <c r="D2691" s="9"/>
      <c r="F2691" s="9"/>
      <c r="G2691" s="9"/>
      <c r="H2691" s="127"/>
      <c r="I2691" s="9"/>
      <c r="J2691" s="9"/>
      <c r="K2691" s="55"/>
      <c r="M2691" s="9"/>
    </row>
    <row r="2692" ht="15.75" hidden="1" customHeight="1">
      <c r="A2692" s="9"/>
      <c r="B2692" s="9"/>
      <c r="D2692" s="9"/>
      <c r="F2692" s="9"/>
      <c r="G2692" s="9"/>
      <c r="H2692" s="127"/>
      <c r="I2692" s="9"/>
      <c r="J2692" s="9"/>
      <c r="K2692" s="55"/>
      <c r="M2692" s="9"/>
    </row>
    <row r="2693" ht="15.75" hidden="1" customHeight="1">
      <c r="A2693" s="9"/>
      <c r="B2693" s="9"/>
      <c r="D2693" s="9"/>
      <c r="F2693" s="9"/>
      <c r="G2693" s="9"/>
      <c r="H2693" s="127"/>
      <c r="I2693" s="9"/>
      <c r="J2693" s="9"/>
      <c r="K2693" s="55"/>
      <c r="M2693" s="9"/>
    </row>
    <row r="2694" ht="15.75" hidden="1" customHeight="1">
      <c r="A2694" s="9"/>
      <c r="B2694" s="9"/>
      <c r="D2694" s="9"/>
      <c r="F2694" s="9"/>
      <c r="G2694" s="9"/>
      <c r="H2694" s="127"/>
      <c r="I2694" s="9"/>
      <c r="J2694" s="9"/>
      <c r="K2694" s="55"/>
      <c r="M2694" s="9"/>
    </row>
    <row r="2695" ht="15.75" hidden="1" customHeight="1">
      <c r="A2695" s="9"/>
      <c r="B2695" s="9"/>
      <c r="D2695" s="9"/>
      <c r="F2695" s="9"/>
      <c r="G2695" s="9"/>
      <c r="H2695" s="127"/>
      <c r="I2695" s="9"/>
      <c r="J2695" s="9"/>
      <c r="K2695" s="55"/>
      <c r="M2695" s="9"/>
    </row>
    <row r="2696" ht="15.75" hidden="1" customHeight="1">
      <c r="A2696" s="9"/>
      <c r="B2696" s="9"/>
      <c r="D2696" s="9"/>
      <c r="F2696" s="9"/>
      <c r="G2696" s="9"/>
      <c r="H2696" s="127"/>
      <c r="I2696" s="9"/>
      <c r="J2696" s="9"/>
      <c r="K2696" s="55"/>
      <c r="M2696" s="9"/>
    </row>
    <row r="2697" ht="15.75" hidden="1" customHeight="1">
      <c r="A2697" s="9"/>
      <c r="B2697" s="9"/>
      <c r="D2697" s="9"/>
      <c r="F2697" s="9"/>
      <c r="G2697" s="9"/>
      <c r="H2697" s="127"/>
      <c r="I2697" s="9"/>
      <c r="J2697" s="9"/>
      <c r="K2697" s="55"/>
      <c r="M2697" s="9"/>
    </row>
    <row r="2698" ht="15.75" hidden="1" customHeight="1">
      <c r="A2698" s="9"/>
      <c r="B2698" s="9"/>
      <c r="D2698" s="9"/>
      <c r="F2698" s="9"/>
      <c r="G2698" s="9"/>
      <c r="H2698" s="127"/>
      <c r="I2698" s="9"/>
      <c r="J2698" s="9"/>
      <c r="K2698" s="55"/>
      <c r="M2698" s="9"/>
    </row>
    <row r="2699" ht="15.75" hidden="1" customHeight="1">
      <c r="A2699" s="9"/>
      <c r="B2699" s="9"/>
      <c r="D2699" s="9"/>
      <c r="F2699" s="9"/>
      <c r="G2699" s="9"/>
      <c r="H2699" s="127"/>
      <c r="I2699" s="9"/>
      <c r="J2699" s="9"/>
      <c r="K2699" s="55"/>
      <c r="M2699" s="9"/>
    </row>
    <row r="2700" ht="15.75" hidden="1" customHeight="1">
      <c r="A2700" s="9"/>
      <c r="B2700" s="9"/>
      <c r="D2700" s="9"/>
      <c r="F2700" s="9"/>
      <c r="G2700" s="9"/>
      <c r="H2700" s="127"/>
      <c r="I2700" s="9"/>
      <c r="J2700" s="9"/>
      <c r="K2700" s="55"/>
      <c r="M2700" s="9"/>
    </row>
    <row r="2701" ht="15.75" hidden="1" customHeight="1">
      <c r="A2701" s="9"/>
      <c r="B2701" s="9"/>
      <c r="D2701" s="9"/>
      <c r="F2701" s="9"/>
      <c r="G2701" s="9"/>
      <c r="H2701" s="127"/>
      <c r="I2701" s="9"/>
      <c r="J2701" s="9"/>
      <c r="K2701" s="55"/>
      <c r="M2701" s="9"/>
    </row>
    <row r="2702" ht="15.75" hidden="1" customHeight="1">
      <c r="A2702" s="9"/>
      <c r="B2702" s="9"/>
      <c r="D2702" s="9"/>
      <c r="F2702" s="9"/>
      <c r="G2702" s="9"/>
      <c r="H2702" s="127"/>
      <c r="I2702" s="9"/>
      <c r="J2702" s="9"/>
      <c r="K2702" s="55"/>
      <c r="M2702" s="9"/>
    </row>
    <row r="2703" ht="15.75" hidden="1" customHeight="1">
      <c r="A2703" s="9"/>
      <c r="B2703" s="9"/>
      <c r="D2703" s="9"/>
      <c r="F2703" s="9"/>
      <c r="G2703" s="9"/>
      <c r="H2703" s="127"/>
      <c r="I2703" s="9"/>
      <c r="J2703" s="9"/>
      <c r="K2703" s="55"/>
      <c r="M2703" s="9"/>
    </row>
    <row r="2704" ht="15.75" hidden="1" customHeight="1">
      <c r="A2704" s="9"/>
      <c r="B2704" s="9"/>
      <c r="D2704" s="9"/>
      <c r="F2704" s="9"/>
      <c r="G2704" s="9"/>
      <c r="H2704" s="127"/>
      <c r="I2704" s="9"/>
      <c r="J2704" s="9"/>
      <c r="K2704" s="55"/>
      <c r="M2704" s="9"/>
    </row>
    <row r="2705" ht="15.75" hidden="1" customHeight="1">
      <c r="A2705" s="9"/>
      <c r="B2705" s="9"/>
      <c r="D2705" s="9"/>
      <c r="F2705" s="9"/>
      <c r="G2705" s="9"/>
      <c r="H2705" s="127"/>
      <c r="I2705" s="9"/>
      <c r="J2705" s="9"/>
      <c r="K2705" s="55"/>
      <c r="M2705" s="9"/>
    </row>
    <row r="2706" ht="15.75" hidden="1" customHeight="1">
      <c r="A2706" s="9"/>
      <c r="B2706" s="9"/>
      <c r="D2706" s="9"/>
      <c r="F2706" s="9"/>
      <c r="G2706" s="9"/>
      <c r="H2706" s="127"/>
      <c r="I2706" s="9"/>
      <c r="J2706" s="9"/>
      <c r="K2706" s="55"/>
      <c r="M2706" s="9"/>
    </row>
    <row r="2707" ht="15.75" hidden="1" customHeight="1">
      <c r="A2707" s="9"/>
      <c r="B2707" s="9"/>
      <c r="D2707" s="9"/>
      <c r="F2707" s="9"/>
      <c r="G2707" s="9"/>
      <c r="H2707" s="127"/>
      <c r="I2707" s="9"/>
      <c r="J2707" s="9"/>
      <c r="K2707" s="55"/>
      <c r="M2707" s="9"/>
    </row>
    <row r="2708" ht="15.75" hidden="1" customHeight="1">
      <c r="A2708" s="9"/>
      <c r="B2708" s="9"/>
      <c r="D2708" s="9"/>
      <c r="F2708" s="9"/>
      <c r="G2708" s="9"/>
      <c r="H2708" s="127"/>
      <c r="I2708" s="9"/>
      <c r="J2708" s="9"/>
      <c r="K2708" s="55"/>
      <c r="M2708" s="9"/>
    </row>
    <row r="2709" ht="15.75" hidden="1" customHeight="1">
      <c r="A2709" s="9"/>
      <c r="B2709" s="9"/>
      <c r="D2709" s="9"/>
      <c r="F2709" s="9"/>
      <c r="G2709" s="9"/>
      <c r="H2709" s="127"/>
      <c r="I2709" s="9"/>
      <c r="J2709" s="9"/>
      <c r="K2709" s="55"/>
      <c r="M2709" s="9"/>
    </row>
    <row r="2710" ht="15.75" hidden="1" customHeight="1">
      <c r="A2710" s="9"/>
      <c r="B2710" s="9"/>
      <c r="D2710" s="9"/>
      <c r="F2710" s="9"/>
      <c r="G2710" s="9"/>
      <c r="H2710" s="127"/>
      <c r="I2710" s="9"/>
      <c r="J2710" s="9"/>
      <c r="K2710" s="55"/>
      <c r="M2710" s="9"/>
    </row>
    <row r="2711" ht="15.75" hidden="1" customHeight="1">
      <c r="A2711" s="9"/>
      <c r="B2711" s="9"/>
      <c r="D2711" s="9"/>
      <c r="F2711" s="9"/>
      <c r="G2711" s="9"/>
      <c r="H2711" s="127"/>
      <c r="I2711" s="9"/>
      <c r="J2711" s="9"/>
      <c r="K2711" s="55"/>
      <c r="M2711" s="9"/>
    </row>
    <row r="2712" ht="15.75" hidden="1" customHeight="1">
      <c r="A2712" s="9"/>
      <c r="B2712" s="9"/>
      <c r="D2712" s="9"/>
      <c r="F2712" s="9"/>
      <c r="G2712" s="9"/>
      <c r="H2712" s="127"/>
      <c r="I2712" s="9"/>
      <c r="J2712" s="9"/>
      <c r="K2712" s="55"/>
      <c r="M2712" s="9"/>
    </row>
    <row r="2713" ht="15.75" hidden="1" customHeight="1">
      <c r="A2713" s="9"/>
      <c r="B2713" s="9"/>
      <c r="D2713" s="9"/>
      <c r="F2713" s="9"/>
      <c r="G2713" s="9"/>
      <c r="H2713" s="127"/>
      <c r="I2713" s="9"/>
      <c r="J2713" s="9"/>
      <c r="K2713" s="55"/>
      <c r="M2713" s="9"/>
    </row>
    <row r="2714" ht="15.75" hidden="1" customHeight="1">
      <c r="A2714" s="9"/>
      <c r="B2714" s="9"/>
      <c r="D2714" s="9"/>
      <c r="F2714" s="9"/>
      <c r="G2714" s="9"/>
      <c r="H2714" s="127"/>
      <c r="I2714" s="9"/>
      <c r="J2714" s="9"/>
      <c r="K2714" s="55"/>
      <c r="M2714" s="9"/>
    </row>
    <row r="2715" ht="15.75" hidden="1" customHeight="1">
      <c r="A2715" s="9"/>
      <c r="B2715" s="9"/>
      <c r="D2715" s="9"/>
      <c r="F2715" s="9"/>
      <c r="G2715" s="9"/>
      <c r="H2715" s="127"/>
      <c r="I2715" s="9"/>
      <c r="J2715" s="9"/>
      <c r="K2715" s="55"/>
      <c r="M2715" s="9"/>
    </row>
    <row r="2716" ht="15.75" hidden="1" customHeight="1">
      <c r="A2716" s="9"/>
      <c r="B2716" s="9"/>
      <c r="D2716" s="9"/>
      <c r="F2716" s="9"/>
      <c r="G2716" s="9"/>
      <c r="H2716" s="127"/>
      <c r="I2716" s="9"/>
      <c r="J2716" s="9"/>
      <c r="K2716" s="55"/>
      <c r="M2716" s="9"/>
    </row>
    <row r="2717" ht="15.75" hidden="1" customHeight="1">
      <c r="A2717" s="9"/>
      <c r="B2717" s="9"/>
      <c r="D2717" s="9"/>
      <c r="F2717" s="9"/>
      <c r="G2717" s="9"/>
      <c r="H2717" s="127"/>
      <c r="I2717" s="9"/>
      <c r="J2717" s="9"/>
      <c r="K2717" s="55"/>
      <c r="M2717" s="9"/>
    </row>
    <row r="2718" ht="15.75" hidden="1" customHeight="1">
      <c r="A2718" s="9"/>
      <c r="B2718" s="9"/>
      <c r="D2718" s="9"/>
      <c r="F2718" s="9"/>
      <c r="G2718" s="9"/>
      <c r="H2718" s="127"/>
      <c r="I2718" s="9"/>
      <c r="J2718" s="9"/>
      <c r="K2718" s="55"/>
      <c r="M2718" s="9"/>
    </row>
    <row r="2719" ht="15.75" hidden="1" customHeight="1">
      <c r="A2719" s="9"/>
      <c r="B2719" s="9"/>
      <c r="D2719" s="9"/>
      <c r="F2719" s="9"/>
      <c r="G2719" s="9"/>
      <c r="H2719" s="127"/>
      <c r="I2719" s="9"/>
      <c r="J2719" s="9"/>
      <c r="K2719" s="55"/>
      <c r="M2719" s="9"/>
    </row>
    <row r="2720" ht="15.75" hidden="1" customHeight="1">
      <c r="A2720" s="9"/>
      <c r="B2720" s="9"/>
      <c r="D2720" s="9"/>
      <c r="F2720" s="9"/>
      <c r="G2720" s="9"/>
      <c r="H2720" s="127"/>
      <c r="I2720" s="9"/>
      <c r="J2720" s="9"/>
      <c r="K2720" s="55"/>
      <c r="M2720" s="9"/>
    </row>
    <row r="2721" ht="15.75" hidden="1" customHeight="1">
      <c r="A2721" s="9"/>
      <c r="B2721" s="9"/>
      <c r="D2721" s="9"/>
      <c r="F2721" s="9"/>
      <c r="G2721" s="9"/>
      <c r="H2721" s="127"/>
      <c r="I2721" s="9"/>
      <c r="J2721" s="9"/>
      <c r="K2721" s="55"/>
      <c r="M2721" s="9"/>
    </row>
    <row r="2722" ht="15.75" hidden="1" customHeight="1">
      <c r="A2722" s="9"/>
      <c r="B2722" s="9"/>
      <c r="D2722" s="9"/>
      <c r="F2722" s="9"/>
      <c r="G2722" s="9"/>
      <c r="H2722" s="127"/>
      <c r="I2722" s="9"/>
      <c r="J2722" s="9"/>
      <c r="K2722" s="55"/>
      <c r="M2722" s="9"/>
    </row>
    <row r="2723" ht="15.75" hidden="1" customHeight="1">
      <c r="A2723" s="9"/>
      <c r="B2723" s="9"/>
      <c r="D2723" s="9"/>
      <c r="F2723" s="9"/>
      <c r="G2723" s="9"/>
      <c r="H2723" s="127"/>
      <c r="I2723" s="9"/>
      <c r="J2723" s="9"/>
      <c r="K2723" s="55"/>
      <c r="M2723" s="9"/>
    </row>
    <row r="2724" ht="15.75" hidden="1" customHeight="1">
      <c r="A2724" s="9"/>
      <c r="B2724" s="9"/>
      <c r="D2724" s="9"/>
      <c r="F2724" s="9"/>
      <c r="G2724" s="9"/>
      <c r="H2724" s="127"/>
      <c r="I2724" s="9"/>
      <c r="J2724" s="9"/>
      <c r="K2724" s="55"/>
      <c r="M2724" s="9"/>
    </row>
    <row r="2725" ht="15.75" hidden="1" customHeight="1">
      <c r="A2725" s="9"/>
      <c r="B2725" s="9"/>
      <c r="D2725" s="9"/>
      <c r="F2725" s="9"/>
      <c r="G2725" s="9"/>
      <c r="H2725" s="127"/>
      <c r="I2725" s="9"/>
      <c r="J2725" s="9"/>
      <c r="K2725" s="55"/>
      <c r="M2725" s="9"/>
    </row>
    <row r="2726" ht="15.75" hidden="1" customHeight="1">
      <c r="A2726" s="9"/>
      <c r="B2726" s="9"/>
      <c r="D2726" s="9"/>
      <c r="F2726" s="9"/>
      <c r="G2726" s="9"/>
      <c r="H2726" s="127"/>
      <c r="I2726" s="9"/>
      <c r="J2726" s="9"/>
      <c r="K2726" s="55"/>
      <c r="M2726" s="9"/>
    </row>
    <row r="2727" ht="15.75" hidden="1" customHeight="1">
      <c r="A2727" s="9"/>
      <c r="B2727" s="9"/>
      <c r="D2727" s="9"/>
      <c r="F2727" s="9"/>
      <c r="G2727" s="9"/>
      <c r="H2727" s="127"/>
      <c r="I2727" s="9"/>
      <c r="J2727" s="9"/>
      <c r="K2727" s="55"/>
      <c r="M2727" s="9"/>
    </row>
    <row r="2728" ht="15.75" hidden="1" customHeight="1">
      <c r="A2728" s="9"/>
      <c r="B2728" s="9"/>
      <c r="D2728" s="9"/>
      <c r="F2728" s="9"/>
      <c r="G2728" s="9"/>
      <c r="H2728" s="127"/>
      <c r="I2728" s="9"/>
      <c r="J2728" s="9"/>
      <c r="K2728" s="55"/>
      <c r="M2728" s="9"/>
    </row>
    <row r="2729" ht="15.75" hidden="1" customHeight="1">
      <c r="A2729" s="9"/>
      <c r="B2729" s="9"/>
      <c r="D2729" s="9"/>
      <c r="F2729" s="9"/>
      <c r="G2729" s="9"/>
      <c r="H2729" s="127"/>
      <c r="I2729" s="9"/>
      <c r="J2729" s="9"/>
      <c r="K2729" s="55"/>
      <c r="M2729" s="9"/>
    </row>
    <row r="2730" ht="15.75" hidden="1" customHeight="1">
      <c r="A2730" s="9"/>
      <c r="B2730" s="9"/>
      <c r="D2730" s="9"/>
      <c r="F2730" s="9"/>
      <c r="G2730" s="9"/>
      <c r="H2730" s="127"/>
      <c r="I2730" s="9"/>
      <c r="J2730" s="9"/>
      <c r="K2730" s="55"/>
      <c r="M2730" s="9"/>
    </row>
    <row r="2731" ht="15.75" hidden="1" customHeight="1">
      <c r="A2731" s="9"/>
      <c r="B2731" s="9"/>
      <c r="D2731" s="9"/>
      <c r="F2731" s="9"/>
      <c r="G2731" s="9"/>
      <c r="H2731" s="127"/>
      <c r="I2731" s="9"/>
      <c r="J2731" s="9"/>
      <c r="K2731" s="55"/>
      <c r="M2731" s="9"/>
    </row>
    <row r="2732" ht="15.75" hidden="1" customHeight="1">
      <c r="A2732" s="9"/>
      <c r="B2732" s="9"/>
      <c r="D2732" s="9"/>
      <c r="F2732" s="9"/>
      <c r="G2732" s="9"/>
      <c r="H2732" s="127"/>
      <c r="I2732" s="9"/>
      <c r="J2732" s="9"/>
      <c r="K2732" s="55"/>
      <c r="M2732" s="9"/>
    </row>
    <row r="2733" ht="15.75" hidden="1" customHeight="1">
      <c r="A2733" s="9"/>
      <c r="B2733" s="9"/>
      <c r="D2733" s="9"/>
      <c r="F2733" s="9"/>
      <c r="G2733" s="9"/>
      <c r="H2733" s="127"/>
      <c r="I2733" s="9"/>
      <c r="J2733" s="9"/>
      <c r="K2733" s="55"/>
      <c r="M2733" s="9"/>
    </row>
    <row r="2734" ht="15.75" hidden="1" customHeight="1">
      <c r="A2734" s="9"/>
      <c r="B2734" s="9"/>
      <c r="D2734" s="9"/>
      <c r="F2734" s="9"/>
      <c r="G2734" s="9"/>
      <c r="H2734" s="127"/>
      <c r="I2734" s="9"/>
      <c r="J2734" s="9"/>
      <c r="K2734" s="55"/>
      <c r="M2734" s="9"/>
    </row>
    <row r="2735" ht="15.75" hidden="1" customHeight="1">
      <c r="A2735" s="9"/>
      <c r="B2735" s="9"/>
      <c r="D2735" s="9"/>
      <c r="F2735" s="9"/>
      <c r="G2735" s="9"/>
      <c r="H2735" s="127"/>
      <c r="I2735" s="9"/>
      <c r="J2735" s="9"/>
      <c r="K2735" s="55"/>
      <c r="M2735" s="9"/>
    </row>
    <row r="2736" ht="15.75" hidden="1" customHeight="1">
      <c r="A2736" s="9"/>
      <c r="B2736" s="9"/>
      <c r="D2736" s="9"/>
      <c r="F2736" s="9"/>
      <c r="G2736" s="9"/>
      <c r="H2736" s="127"/>
      <c r="I2736" s="9"/>
      <c r="J2736" s="9"/>
      <c r="K2736" s="55"/>
      <c r="M2736" s="9"/>
    </row>
    <row r="2737" ht="15.75" hidden="1" customHeight="1">
      <c r="A2737" s="9"/>
      <c r="B2737" s="9"/>
      <c r="D2737" s="9"/>
      <c r="F2737" s="9"/>
      <c r="G2737" s="9"/>
      <c r="H2737" s="127"/>
      <c r="I2737" s="9"/>
      <c r="J2737" s="9"/>
      <c r="K2737" s="55"/>
      <c r="M2737" s="9"/>
    </row>
    <row r="2738" ht="15.75" hidden="1" customHeight="1">
      <c r="A2738" s="9"/>
      <c r="B2738" s="9"/>
      <c r="D2738" s="9"/>
      <c r="F2738" s="9"/>
      <c r="G2738" s="9"/>
      <c r="H2738" s="127"/>
      <c r="I2738" s="9"/>
      <c r="J2738" s="9"/>
      <c r="K2738" s="55"/>
      <c r="M2738" s="9"/>
    </row>
    <row r="2739" ht="15.75" hidden="1" customHeight="1">
      <c r="A2739" s="9"/>
      <c r="B2739" s="9"/>
      <c r="D2739" s="9"/>
      <c r="F2739" s="9"/>
      <c r="G2739" s="9"/>
      <c r="H2739" s="127"/>
      <c r="I2739" s="9"/>
      <c r="J2739" s="9"/>
      <c r="K2739" s="55"/>
      <c r="M2739" s="9"/>
    </row>
    <row r="2740" ht="15.75" hidden="1" customHeight="1">
      <c r="A2740" s="9"/>
      <c r="B2740" s="9"/>
      <c r="D2740" s="9"/>
      <c r="F2740" s="9"/>
      <c r="G2740" s="9"/>
      <c r="H2740" s="127"/>
      <c r="I2740" s="9"/>
      <c r="J2740" s="9"/>
      <c r="K2740" s="55"/>
      <c r="M2740" s="9"/>
    </row>
    <row r="2741" ht="15.75" hidden="1" customHeight="1">
      <c r="A2741" s="9"/>
      <c r="B2741" s="9"/>
      <c r="D2741" s="9"/>
      <c r="F2741" s="9"/>
      <c r="G2741" s="9"/>
      <c r="H2741" s="127"/>
      <c r="I2741" s="9"/>
      <c r="J2741" s="9"/>
      <c r="K2741" s="55"/>
      <c r="M2741" s="9"/>
    </row>
    <row r="2742" ht="15.75" hidden="1" customHeight="1">
      <c r="A2742" s="9"/>
      <c r="B2742" s="9"/>
      <c r="D2742" s="9"/>
      <c r="F2742" s="9"/>
      <c r="G2742" s="9"/>
      <c r="H2742" s="127"/>
      <c r="I2742" s="9"/>
      <c r="J2742" s="9"/>
      <c r="K2742" s="55"/>
      <c r="M2742" s="9"/>
    </row>
    <row r="2743" ht="15.75" hidden="1" customHeight="1">
      <c r="A2743" s="9"/>
      <c r="B2743" s="9"/>
      <c r="D2743" s="9"/>
      <c r="F2743" s="9"/>
      <c r="G2743" s="9"/>
      <c r="H2743" s="127"/>
      <c r="I2743" s="9"/>
      <c r="J2743" s="9"/>
      <c r="K2743" s="55"/>
      <c r="M2743" s="9"/>
    </row>
    <row r="2744" ht="15.75" hidden="1" customHeight="1">
      <c r="A2744" s="9"/>
      <c r="B2744" s="9"/>
      <c r="D2744" s="9"/>
      <c r="F2744" s="9"/>
      <c r="G2744" s="9"/>
      <c r="H2744" s="127"/>
      <c r="I2744" s="9"/>
      <c r="J2744" s="9"/>
      <c r="K2744" s="55"/>
      <c r="M2744" s="9"/>
    </row>
    <row r="2745" ht="15.75" hidden="1" customHeight="1">
      <c r="A2745" s="9"/>
      <c r="B2745" s="9"/>
      <c r="D2745" s="9"/>
      <c r="F2745" s="9"/>
      <c r="G2745" s="9"/>
      <c r="H2745" s="127"/>
      <c r="I2745" s="9"/>
      <c r="J2745" s="9"/>
      <c r="K2745" s="55"/>
      <c r="M2745" s="9"/>
    </row>
    <row r="2746" ht="15.75" hidden="1" customHeight="1">
      <c r="A2746" s="9"/>
      <c r="B2746" s="9"/>
      <c r="D2746" s="9"/>
      <c r="F2746" s="9"/>
      <c r="G2746" s="9"/>
      <c r="H2746" s="127"/>
      <c r="I2746" s="9"/>
      <c r="J2746" s="9"/>
      <c r="K2746" s="55"/>
      <c r="M2746" s="9"/>
    </row>
    <row r="2747" ht="15.75" hidden="1" customHeight="1">
      <c r="A2747" s="9"/>
      <c r="B2747" s="9"/>
      <c r="D2747" s="9"/>
      <c r="F2747" s="9"/>
      <c r="G2747" s="9"/>
      <c r="H2747" s="127"/>
      <c r="I2747" s="9"/>
      <c r="J2747" s="9"/>
      <c r="K2747" s="55"/>
      <c r="M2747" s="9"/>
    </row>
    <row r="2748" ht="15.75" hidden="1" customHeight="1">
      <c r="A2748" s="9"/>
      <c r="B2748" s="9"/>
      <c r="D2748" s="9"/>
      <c r="F2748" s="9"/>
      <c r="G2748" s="9"/>
      <c r="H2748" s="127"/>
      <c r="I2748" s="9"/>
      <c r="J2748" s="9"/>
      <c r="K2748" s="55"/>
      <c r="M2748" s="9"/>
    </row>
    <row r="2749" ht="15.75" hidden="1" customHeight="1">
      <c r="A2749" s="9"/>
      <c r="B2749" s="9"/>
      <c r="D2749" s="9"/>
      <c r="F2749" s="9"/>
      <c r="G2749" s="9"/>
      <c r="H2749" s="127"/>
      <c r="I2749" s="9"/>
      <c r="J2749" s="9"/>
      <c r="K2749" s="55"/>
      <c r="M2749" s="9"/>
    </row>
    <row r="2750" ht="15.75" hidden="1" customHeight="1">
      <c r="A2750" s="9"/>
      <c r="B2750" s="9"/>
      <c r="D2750" s="9"/>
      <c r="F2750" s="9"/>
      <c r="G2750" s="9"/>
      <c r="H2750" s="127"/>
      <c r="I2750" s="9"/>
      <c r="J2750" s="9"/>
      <c r="K2750" s="55"/>
      <c r="M2750" s="9"/>
    </row>
    <row r="2751" ht="15.75" hidden="1" customHeight="1">
      <c r="A2751" s="9"/>
      <c r="B2751" s="9"/>
      <c r="D2751" s="9"/>
      <c r="F2751" s="9"/>
      <c r="G2751" s="9"/>
      <c r="H2751" s="127"/>
      <c r="I2751" s="9"/>
      <c r="J2751" s="9"/>
      <c r="K2751" s="55"/>
      <c r="M2751" s="9"/>
    </row>
    <row r="2752" ht="15.75" hidden="1" customHeight="1">
      <c r="A2752" s="9"/>
      <c r="B2752" s="9"/>
      <c r="D2752" s="9"/>
      <c r="F2752" s="9"/>
      <c r="G2752" s="9"/>
      <c r="H2752" s="127"/>
      <c r="I2752" s="9"/>
      <c r="J2752" s="9"/>
      <c r="K2752" s="55"/>
      <c r="M2752" s="9"/>
    </row>
    <row r="2753" ht="15.75" hidden="1" customHeight="1">
      <c r="A2753" s="9"/>
      <c r="B2753" s="9"/>
      <c r="D2753" s="9"/>
      <c r="F2753" s="9"/>
      <c r="G2753" s="9"/>
      <c r="H2753" s="127"/>
      <c r="I2753" s="9"/>
      <c r="J2753" s="9"/>
      <c r="K2753" s="55"/>
      <c r="M2753" s="9"/>
    </row>
    <row r="2754" ht="15.75" hidden="1" customHeight="1">
      <c r="A2754" s="9"/>
      <c r="B2754" s="9"/>
      <c r="D2754" s="9"/>
      <c r="F2754" s="9"/>
      <c r="G2754" s="9"/>
      <c r="H2754" s="127"/>
      <c r="I2754" s="9"/>
      <c r="J2754" s="9"/>
      <c r="K2754" s="55"/>
      <c r="M2754" s="9"/>
    </row>
    <row r="2755" ht="15.75" hidden="1" customHeight="1">
      <c r="A2755" s="9"/>
      <c r="B2755" s="9"/>
      <c r="D2755" s="9"/>
      <c r="F2755" s="9"/>
      <c r="G2755" s="9"/>
      <c r="H2755" s="127"/>
      <c r="I2755" s="9"/>
      <c r="J2755" s="9"/>
      <c r="K2755" s="55"/>
      <c r="M2755" s="9"/>
    </row>
    <row r="2756" ht="15.75" hidden="1" customHeight="1">
      <c r="A2756" s="9"/>
      <c r="B2756" s="9"/>
      <c r="D2756" s="9"/>
      <c r="F2756" s="9"/>
      <c r="G2756" s="9"/>
      <c r="H2756" s="127"/>
      <c r="I2756" s="9"/>
      <c r="J2756" s="9"/>
      <c r="K2756" s="55"/>
      <c r="M2756" s="9"/>
    </row>
    <row r="2757" ht="15.75" hidden="1" customHeight="1">
      <c r="A2757" s="9"/>
      <c r="B2757" s="9"/>
      <c r="D2757" s="9"/>
      <c r="F2757" s="9"/>
      <c r="G2757" s="9"/>
      <c r="H2757" s="127"/>
      <c r="I2757" s="9"/>
      <c r="J2757" s="9"/>
      <c r="K2757" s="55"/>
      <c r="M2757" s="9"/>
    </row>
    <row r="2758" ht="15.75" hidden="1" customHeight="1">
      <c r="A2758" s="9"/>
      <c r="B2758" s="9"/>
      <c r="D2758" s="9"/>
      <c r="F2758" s="9"/>
      <c r="G2758" s="9"/>
      <c r="H2758" s="127"/>
      <c r="I2758" s="9"/>
      <c r="J2758" s="9"/>
      <c r="K2758" s="55"/>
      <c r="M2758" s="9"/>
    </row>
  </sheetData>
  <autoFilter ref="$A$1:$AB$2758">
    <filterColumn colId="3">
      <filters>
        <filter val="Demande signalétique"/>
        <filter val="Accompagnement Taxe de séjour"/>
      </filters>
    </filterColumn>
  </autoFil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42498</v>
      </c>
      <c r="B1" s="9" t="s">
        <v>32614</v>
      </c>
      <c r="C1" s="9" t="s">
        <v>42499</v>
      </c>
    </row>
    <row r="2">
      <c r="A2" s="9" t="s">
        <v>19090</v>
      </c>
      <c r="B2" s="9" t="s">
        <v>42500</v>
      </c>
    </row>
    <row r="3">
      <c r="A3" s="9" t="s">
        <v>12371</v>
      </c>
      <c r="B3" s="9" t="s">
        <v>42501</v>
      </c>
    </row>
    <row r="4">
      <c r="A4" s="9" t="s">
        <v>751</v>
      </c>
      <c r="B4" s="9" t="s">
        <v>42502</v>
      </c>
      <c r="C4" s="8" t="s">
        <v>42503</v>
      </c>
    </row>
    <row r="5">
      <c r="A5" s="9" t="s">
        <v>1419</v>
      </c>
      <c r="B5" s="9" t="s">
        <v>42504</v>
      </c>
      <c r="C5" s="8" t="s">
        <v>42505</v>
      </c>
    </row>
    <row r="6">
      <c r="A6" s="9" t="s">
        <v>3339</v>
      </c>
      <c r="B6" s="9" t="s">
        <v>42506</v>
      </c>
      <c r="C6" s="8" t="s">
        <v>42507</v>
      </c>
    </row>
    <row r="7">
      <c r="A7" s="9" t="s">
        <v>578</v>
      </c>
      <c r="B7" s="9" t="s">
        <v>42508</v>
      </c>
      <c r="C7" s="8" t="s">
        <v>42509</v>
      </c>
    </row>
    <row r="8">
      <c r="A8" s="9" t="s">
        <v>597</v>
      </c>
      <c r="B8" s="9" t="s">
        <v>42510</v>
      </c>
      <c r="C8" s="8" t="s">
        <v>42511</v>
      </c>
    </row>
    <row r="9">
      <c r="A9" s="9" t="s">
        <v>13376</v>
      </c>
      <c r="B9" s="9" t="s">
        <v>42512</v>
      </c>
      <c r="C9" s="8" t="s">
        <v>42513</v>
      </c>
    </row>
    <row r="10">
      <c r="A10" s="9" t="s">
        <v>42514</v>
      </c>
      <c r="B10" s="9" t="s">
        <v>42515</v>
      </c>
      <c r="C10" s="8" t="s">
        <v>42516</v>
      </c>
    </row>
    <row r="11">
      <c r="A11" s="9" t="s">
        <v>17219</v>
      </c>
      <c r="B11" s="9" t="s">
        <v>42517</v>
      </c>
      <c r="C11" s="8" t="s">
        <v>42518</v>
      </c>
    </row>
    <row r="12">
      <c r="A12" s="9" t="s">
        <v>17130</v>
      </c>
      <c r="B12" s="9" t="s">
        <v>42519</v>
      </c>
      <c r="C12" s="8" t="s">
        <v>42520</v>
      </c>
    </row>
    <row r="13">
      <c r="A13" s="9" t="s">
        <v>12888</v>
      </c>
      <c r="B13" s="9" t="s">
        <v>42521</v>
      </c>
      <c r="C13" s="8" t="s">
        <v>42522</v>
      </c>
    </row>
    <row r="14">
      <c r="A14" s="9" t="s">
        <v>42523</v>
      </c>
      <c r="B14" s="9" t="s">
        <v>42524</v>
      </c>
      <c r="C14" s="8" t="s">
        <v>42525</v>
      </c>
    </row>
    <row r="15">
      <c r="A15" s="9" t="s">
        <v>16121</v>
      </c>
      <c r="B15" s="9" t="s">
        <v>42526</v>
      </c>
      <c r="C15" s="8" t="s">
        <v>42527</v>
      </c>
    </row>
    <row r="16">
      <c r="A16" s="9" t="s">
        <v>42528</v>
      </c>
      <c r="B16" s="9" t="s">
        <v>42529</v>
      </c>
      <c r="C16" s="8" t="s">
        <v>42530</v>
      </c>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s>
  <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63"/>
  </cols>
  <sheetData>
    <row r="1">
      <c r="A1" s="9" t="s">
        <v>42531</v>
      </c>
      <c r="B1" s="9" t="s">
        <v>32614</v>
      </c>
      <c r="C1" s="9" t="s">
        <v>42499</v>
      </c>
    </row>
    <row r="2">
      <c r="A2" s="9" t="s">
        <v>42532</v>
      </c>
      <c r="B2" s="9" t="s">
        <v>42533</v>
      </c>
      <c r="C2" s="8" t="s">
        <v>42534</v>
      </c>
    </row>
    <row r="3">
      <c r="A3" s="9" t="s">
        <v>42535</v>
      </c>
      <c r="B3" s="9" t="s">
        <v>42536</v>
      </c>
      <c r="C3" s="8" t="s">
        <v>42537</v>
      </c>
    </row>
    <row r="4">
      <c r="A4" s="9" t="s">
        <v>42538</v>
      </c>
      <c r="B4" s="9" t="s">
        <v>42539</v>
      </c>
      <c r="C4" s="8" t="s">
        <v>42540</v>
      </c>
    </row>
    <row r="5">
      <c r="A5" s="9" t="s">
        <v>19384</v>
      </c>
      <c r="B5" s="9" t="s">
        <v>42541</v>
      </c>
      <c r="C5" s="8" t="s">
        <v>42542</v>
      </c>
    </row>
    <row r="6">
      <c r="A6" s="128" t="s">
        <v>42543</v>
      </c>
      <c r="B6" s="128" t="s">
        <v>42544</v>
      </c>
      <c r="C6" s="129" t="s">
        <v>42545</v>
      </c>
      <c r="D6" s="128"/>
      <c r="E6" s="128"/>
      <c r="F6" s="128"/>
      <c r="G6" s="128"/>
      <c r="H6" s="128"/>
      <c r="I6" s="128"/>
      <c r="J6" s="128"/>
      <c r="K6" s="128"/>
      <c r="L6" s="128"/>
      <c r="M6" s="128"/>
      <c r="N6" s="128"/>
      <c r="O6" s="128"/>
      <c r="P6" s="128"/>
      <c r="Q6" s="128"/>
      <c r="R6" s="128"/>
      <c r="S6" s="128"/>
      <c r="T6" s="128"/>
      <c r="U6" s="128"/>
      <c r="V6" s="128"/>
      <c r="W6" s="128"/>
      <c r="X6" s="128"/>
      <c r="Y6" s="128"/>
      <c r="Z6" s="128"/>
    </row>
    <row r="7">
      <c r="A7" s="9" t="s">
        <v>42546</v>
      </c>
      <c r="B7" s="9" t="s">
        <v>42547</v>
      </c>
      <c r="C7" s="8" t="s">
        <v>42548</v>
      </c>
    </row>
    <row r="8">
      <c r="A8" s="9" t="s">
        <v>10068</v>
      </c>
      <c r="B8" s="9" t="s">
        <v>42549</v>
      </c>
      <c r="C8" s="8" t="s">
        <v>42550</v>
      </c>
    </row>
    <row r="9">
      <c r="A9" s="9" t="s">
        <v>42551</v>
      </c>
      <c r="B9" s="9" t="s">
        <v>42552</v>
      </c>
      <c r="C9" s="8" t="s">
        <v>42553</v>
      </c>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0"/>
    <col customWidth="1" min="3" max="3" width="12.63"/>
    <col customWidth="1" min="4" max="4" width="31.75"/>
    <col customWidth="1" min="5" max="6" width="12.63"/>
    <col customWidth="1" min="7" max="7" width="19.63"/>
    <col customWidth="1" min="8" max="8" width="19.88"/>
  </cols>
  <sheetData>
    <row r="1">
      <c r="A1" s="2" t="s">
        <v>38786</v>
      </c>
      <c r="B1" s="2" t="s">
        <v>93</v>
      </c>
      <c r="C1" s="2" t="s">
        <v>42554</v>
      </c>
      <c r="D1" s="2" t="s">
        <v>42555</v>
      </c>
      <c r="E1" s="2" t="s">
        <v>38792</v>
      </c>
      <c r="F1" s="2" t="s">
        <v>42556</v>
      </c>
      <c r="G1" s="2" t="s">
        <v>330</v>
      </c>
      <c r="H1" s="119" t="s">
        <v>38791</v>
      </c>
      <c r="I1" s="1" t="s">
        <v>42557</v>
      </c>
      <c r="J1" s="2"/>
      <c r="K1" s="2"/>
      <c r="L1" s="2"/>
      <c r="M1" s="2"/>
      <c r="N1" s="2"/>
      <c r="O1" s="2"/>
      <c r="P1" s="2"/>
      <c r="Q1" s="2"/>
      <c r="R1" s="2"/>
      <c r="S1" s="2"/>
      <c r="T1" s="2"/>
      <c r="U1" s="2"/>
      <c r="V1" s="2"/>
      <c r="W1" s="2"/>
      <c r="X1" s="2"/>
      <c r="Y1" s="2"/>
      <c r="Z1" s="2"/>
      <c r="AA1" s="2"/>
      <c r="AB1" s="2"/>
    </row>
    <row r="2">
      <c r="A2" s="5" t="s">
        <v>42558</v>
      </c>
      <c r="B2" s="5" t="s">
        <v>32</v>
      </c>
      <c r="C2" s="5" t="s">
        <v>38870</v>
      </c>
      <c r="D2" s="130" t="s">
        <v>42559</v>
      </c>
      <c r="E2" s="126">
        <v>44363.0</v>
      </c>
      <c r="F2" s="5" t="b">
        <v>1</v>
      </c>
      <c r="G2" s="9" t="s">
        <v>38801</v>
      </c>
      <c r="H2" s="5" t="s">
        <v>42560</v>
      </c>
    </row>
    <row r="3">
      <c r="A3" s="9" t="s">
        <v>42561</v>
      </c>
      <c r="B3" s="9" t="s">
        <v>32</v>
      </c>
      <c r="C3" s="9" t="s">
        <v>38811</v>
      </c>
      <c r="D3" s="9" t="s">
        <v>42562</v>
      </c>
      <c r="E3" s="56">
        <v>44363.0</v>
      </c>
      <c r="F3" s="9" t="b">
        <v>1</v>
      </c>
      <c r="G3" s="9" t="s">
        <v>38801</v>
      </c>
      <c r="H3" s="9" t="s">
        <v>42560</v>
      </c>
    </row>
    <row r="4">
      <c r="A4" s="9" t="s">
        <v>42563</v>
      </c>
      <c r="B4" s="9" t="s">
        <v>32</v>
      </c>
      <c r="C4" s="9" t="s">
        <v>38872</v>
      </c>
      <c r="D4" s="9" t="s">
        <v>42564</v>
      </c>
      <c r="E4" s="56">
        <v>44363.0</v>
      </c>
      <c r="F4" s="9" t="b">
        <v>1</v>
      </c>
      <c r="G4" s="9" t="s">
        <v>38801</v>
      </c>
      <c r="H4" s="9" t="s">
        <v>42560</v>
      </c>
    </row>
    <row r="5">
      <c r="A5" s="9" t="s">
        <v>42565</v>
      </c>
      <c r="B5" s="9" t="s">
        <v>32</v>
      </c>
      <c r="C5" s="9" t="s">
        <v>38871</v>
      </c>
      <c r="D5" s="9" t="s">
        <v>42566</v>
      </c>
      <c r="E5" s="56">
        <v>44363.0</v>
      </c>
      <c r="F5" s="9" t="b">
        <v>1</v>
      </c>
      <c r="G5" s="9" t="s">
        <v>38801</v>
      </c>
      <c r="H5" s="9" t="s">
        <v>42560</v>
      </c>
    </row>
    <row r="6">
      <c r="A6" s="9" t="s">
        <v>42567</v>
      </c>
      <c r="B6" s="9" t="s">
        <v>32</v>
      </c>
      <c r="C6" s="9" t="s">
        <v>38869</v>
      </c>
      <c r="D6" s="9" t="s">
        <v>42568</v>
      </c>
      <c r="E6" s="56">
        <v>44363.0</v>
      </c>
      <c r="F6" s="9" t="b">
        <v>1</v>
      </c>
      <c r="G6" s="9" t="s">
        <v>38801</v>
      </c>
      <c r="H6" s="9" t="s">
        <v>42560</v>
      </c>
    </row>
    <row r="7">
      <c r="A7" s="9" t="s">
        <v>42569</v>
      </c>
      <c r="B7" s="9" t="s">
        <v>32</v>
      </c>
      <c r="C7" s="9" t="s">
        <v>38867</v>
      </c>
      <c r="D7" s="9" t="s">
        <v>42570</v>
      </c>
      <c r="E7" s="56">
        <v>44363.0</v>
      </c>
      <c r="F7" s="9" t="b">
        <v>1</v>
      </c>
      <c r="G7" s="9" t="s">
        <v>38801</v>
      </c>
      <c r="H7" s="9" t="s">
        <v>42560</v>
      </c>
    </row>
    <row r="8">
      <c r="A8" s="9" t="s">
        <v>42571</v>
      </c>
      <c r="B8" s="9" t="s">
        <v>32</v>
      </c>
      <c r="C8" s="9" t="s">
        <v>38938</v>
      </c>
      <c r="D8" s="9" t="s">
        <v>42572</v>
      </c>
      <c r="E8" s="56">
        <v>44363.0</v>
      </c>
      <c r="F8" s="9" t="b">
        <v>1</v>
      </c>
      <c r="G8" s="9" t="s">
        <v>42573</v>
      </c>
      <c r="H8" s="9" t="s">
        <v>42560</v>
      </c>
    </row>
    <row r="9">
      <c r="A9" s="9" t="s">
        <v>42574</v>
      </c>
      <c r="B9" s="9" t="s">
        <v>19</v>
      </c>
      <c r="C9" s="9" t="s">
        <v>38869</v>
      </c>
      <c r="D9" s="9" t="s">
        <v>42575</v>
      </c>
      <c r="E9" s="56">
        <v>44393.0</v>
      </c>
      <c r="F9" s="9" t="b">
        <v>1</v>
      </c>
      <c r="G9" s="9" t="s">
        <v>38801</v>
      </c>
      <c r="H9" s="9" t="s">
        <v>42576</v>
      </c>
      <c r="I9" s="9" t="b">
        <v>1</v>
      </c>
    </row>
    <row r="10">
      <c r="A10" s="9" t="s">
        <v>42577</v>
      </c>
      <c r="B10" s="9" t="s">
        <v>19</v>
      </c>
      <c r="C10" s="9" t="s">
        <v>38943</v>
      </c>
      <c r="D10" s="9" t="s">
        <v>42575</v>
      </c>
      <c r="E10" s="56">
        <v>44393.0</v>
      </c>
      <c r="F10" s="9" t="b">
        <v>1</v>
      </c>
      <c r="G10" s="9" t="s">
        <v>38801</v>
      </c>
      <c r="H10" s="9" t="s">
        <v>42576</v>
      </c>
      <c r="I10" s="9" t="b">
        <v>1</v>
      </c>
    </row>
    <row r="11">
      <c r="A11" s="9" t="s">
        <v>42578</v>
      </c>
      <c r="B11" s="9" t="s">
        <v>19</v>
      </c>
      <c r="C11" s="9" t="s">
        <v>38811</v>
      </c>
      <c r="D11" s="9" t="s">
        <v>38801</v>
      </c>
      <c r="E11" s="56">
        <v>44393.0</v>
      </c>
      <c r="F11" s="9" t="b">
        <v>1</v>
      </c>
      <c r="G11" s="9" t="s">
        <v>38801</v>
      </c>
      <c r="H11" s="9" t="s">
        <v>42576</v>
      </c>
      <c r="I11" s="9" t="b">
        <v>1</v>
      </c>
    </row>
    <row r="12" ht="15.75" customHeight="1">
      <c r="A12" s="9" t="s">
        <v>42579</v>
      </c>
      <c r="B12" s="9" t="s">
        <v>19</v>
      </c>
      <c r="C12" s="9" t="s">
        <v>38870</v>
      </c>
      <c r="D12" s="9" t="s">
        <v>38801</v>
      </c>
      <c r="E12" s="56">
        <v>44393.0</v>
      </c>
      <c r="F12" s="9" t="b">
        <v>1</v>
      </c>
      <c r="G12" s="9" t="s">
        <v>38801</v>
      </c>
      <c r="H12" s="9" t="s">
        <v>42576</v>
      </c>
      <c r="I12" s="9" t="b">
        <v>1</v>
      </c>
    </row>
    <row r="13" ht="15.75" customHeight="1">
      <c r="A13" s="9" t="s">
        <v>42580</v>
      </c>
      <c r="B13" s="9" t="s">
        <v>19</v>
      </c>
      <c r="C13" s="9" t="s">
        <v>38867</v>
      </c>
      <c r="D13" s="9" t="s">
        <v>38801</v>
      </c>
      <c r="E13" s="56">
        <v>44393.0</v>
      </c>
      <c r="F13" s="9" t="b">
        <v>1</v>
      </c>
      <c r="G13" s="9" t="s">
        <v>38801</v>
      </c>
      <c r="H13" s="9" t="s">
        <v>42576</v>
      </c>
      <c r="I13" s="9" t="b">
        <v>1</v>
      </c>
    </row>
    <row r="14" ht="15.75" customHeight="1">
      <c r="A14" s="9" t="s">
        <v>42581</v>
      </c>
      <c r="B14" s="9" t="s">
        <v>19</v>
      </c>
      <c r="C14" s="9" t="s">
        <v>38871</v>
      </c>
      <c r="D14" s="9" t="s">
        <v>38801</v>
      </c>
      <c r="E14" s="56">
        <v>44393.0</v>
      </c>
      <c r="F14" s="9" t="b">
        <v>1</v>
      </c>
      <c r="G14" s="9" t="s">
        <v>38801</v>
      </c>
      <c r="H14" s="9" t="s">
        <v>42576</v>
      </c>
      <c r="I14" s="9" t="b">
        <v>1</v>
      </c>
    </row>
    <row r="15" ht="15.75" customHeight="1">
      <c r="A15" s="9" t="s">
        <v>42582</v>
      </c>
      <c r="B15" s="9" t="s">
        <v>19</v>
      </c>
      <c r="C15" s="9" t="s">
        <v>38872</v>
      </c>
      <c r="D15" s="9" t="s">
        <v>38801</v>
      </c>
      <c r="E15" s="56">
        <v>44393.0</v>
      </c>
      <c r="F15" s="9" t="b">
        <v>1</v>
      </c>
      <c r="G15" s="9" t="s">
        <v>38801</v>
      </c>
      <c r="H15" s="9" t="s">
        <v>42576</v>
      </c>
      <c r="I15" s="9" t="b">
        <v>1</v>
      </c>
    </row>
    <row r="16" ht="15.75" customHeight="1">
      <c r="A16" s="9" t="s">
        <v>42583</v>
      </c>
      <c r="B16" s="9" t="s">
        <v>52</v>
      </c>
      <c r="C16" s="9" t="s">
        <v>38839</v>
      </c>
      <c r="D16" s="9" t="s">
        <v>42584</v>
      </c>
      <c r="E16" s="56">
        <v>44419.0</v>
      </c>
      <c r="F16" s="9" t="b">
        <v>1</v>
      </c>
      <c r="G16" s="9" t="s">
        <v>42585</v>
      </c>
      <c r="H16" s="9" t="s">
        <v>42560</v>
      </c>
    </row>
    <row r="17" ht="15.75" customHeight="1">
      <c r="A17" s="9" t="s">
        <v>42586</v>
      </c>
      <c r="B17" s="9" t="s">
        <v>47</v>
      </c>
      <c r="C17" s="9" t="s">
        <v>38955</v>
      </c>
      <c r="D17" s="9" t="s">
        <v>42587</v>
      </c>
      <c r="E17" s="56">
        <v>44435.0</v>
      </c>
      <c r="F17" s="9" t="b">
        <v>1</v>
      </c>
      <c r="G17" s="9" t="s">
        <v>42573</v>
      </c>
      <c r="H17" s="9" t="s">
        <v>42560</v>
      </c>
    </row>
    <row r="18" ht="15.75" customHeight="1">
      <c r="A18" s="9" t="s">
        <v>42588</v>
      </c>
      <c r="B18" s="9" t="s">
        <v>47</v>
      </c>
      <c r="C18" s="9" t="s">
        <v>38965</v>
      </c>
      <c r="D18" s="9" t="s">
        <v>42589</v>
      </c>
      <c r="E18" s="56">
        <v>44442.0</v>
      </c>
      <c r="F18" s="9" t="b">
        <v>1</v>
      </c>
      <c r="G18" s="9" t="s">
        <v>38801</v>
      </c>
      <c r="H18" s="9" t="s">
        <v>42560</v>
      </c>
      <c r="I18" s="9" t="b">
        <v>1</v>
      </c>
    </row>
    <row r="19" ht="15.75" customHeight="1">
      <c r="A19" s="9" t="s">
        <v>42590</v>
      </c>
      <c r="B19" s="9" t="s">
        <v>26</v>
      </c>
      <c r="C19" s="9" t="s">
        <v>38969</v>
      </c>
      <c r="D19" s="9" t="s">
        <v>42591</v>
      </c>
      <c r="E19" s="56">
        <v>44447.0</v>
      </c>
      <c r="F19" s="9" t="b">
        <v>1</v>
      </c>
      <c r="G19" s="9" t="s">
        <v>42573</v>
      </c>
      <c r="H19" s="9" t="s">
        <v>42560</v>
      </c>
    </row>
    <row r="20" ht="15.75" customHeight="1">
      <c r="A20" s="52" t="s">
        <v>42592</v>
      </c>
      <c r="B20" s="9" t="s">
        <v>26</v>
      </c>
      <c r="C20" s="9" t="s">
        <v>38969</v>
      </c>
      <c r="D20" s="9" t="s">
        <v>42593</v>
      </c>
      <c r="E20" s="56">
        <v>44448.0</v>
      </c>
      <c r="F20" s="9" t="b">
        <v>1</v>
      </c>
      <c r="G20" s="9" t="s">
        <v>42573</v>
      </c>
      <c r="H20" s="9" t="s">
        <v>42560</v>
      </c>
    </row>
    <row r="21" ht="15.75" customHeight="1">
      <c r="A21" s="9" t="s">
        <v>42594</v>
      </c>
      <c r="B21" s="9" t="s">
        <v>47</v>
      </c>
      <c r="C21" s="9" t="s">
        <v>38974</v>
      </c>
      <c r="D21" s="9" t="s">
        <v>42595</v>
      </c>
      <c r="E21" s="56">
        <v>44452.0</v>
      </c>
      <c r="F21" s="9" t="b">
        <v>1</v>
      </c>
      <c r="G21" s="9" t="s">
        <v>38801</v>
      </c>
      <c r="H21" s="9" t="s">
        <v>42576</v>
      </c>
      <c r="I21" s="9" t="b">
        <v>1</v>
      </c>
    </row>
    <row r="22" ht="15.75" customHeight="1">
      <c r="A22" s="9" t="s">
        <v>42596</v>
      </c>
      <c r="B22" s="9" t="s">
        <v>47</v>
      </c>
      <c r="C22" s="9" t="s">
        <v>38979</v>
      </c>
      <c r="D22" s="9" t="s">
        <v>42597</v>
      </c>
      <c r="E22" s="56">
        <v>44453.0</v>
      </c>
      <c r="F22" s="9" t="b">
        <v>1</v>
      </c>
      <c r="G22" s="9" t="s">
        <v>38801</v>
      </c>
      <c r="H22" s="9" t="s">
        <v>42576</v>
      </c>
      <c r="I22" s="9" t="b">
        <v>1</v>
      </c>
    </row>
    <row r="23" ht="15.75" customHeight="1">
      <c r="A23" s="9" t="s">
        <v>42598</v>
      </c>
      <c r="B23" s="9" t="s">
        <v>47</v>
      </c>
      <c r="C23" s="9" t="s">
        <v>38974</v>
      </c>
      <c r="D23" s="9" t="s">
        <v>42599</v>
      </c>
      <c r="E23" s="56">
        <v>44453.0</v>
      </c>
      <c r="F23" s="9" t="b">
        <v>1</v>
      </c>
      <c r="G23" s="9" t="s">
        <v>38801</v>
      </c>
      <c r="H23" s="9" t="s">
        <v>42576</v>
      </c>
      <c r="I23" s="9" t="b">
        <v>1</v>
      </c>
    </row>
    <row r="24" ht="15.75" customHeight="1">
      <c r="A24" s="9" t="s">
        <v>42600</v>
      </c>
      <c r="B24" s="9" t="s">
        <v>26</v>
      </c>
      <c r="C24" s="9" t="s">
        <v>38969</v>
      </c>
      <c r="D24" s="9" t="s">
        <v>42601</v>
      </c>
      <c r="E24" s="56">
        <v>44454.0</v>
      </c>
      <c r="F24" s="9" t="b">
        <v>1</v>
      </c>
      <c r="G24" s="9" t="s">
        <v>42573</v>
      </c>
      <c r="H24" s="9" t="s">
        <v>42560</v>
      </c>
    </row>
    <row r="25" ht="15.75" customHeight="1">
      <c r="A25" s="9" t="s">
        <v>42602</v>
      </c>
      <c r="B25" s="9" t="s">
        <v>26</v>
      </c>
      <c r="C25" s="9" t="s">
        <v>38969</v>
      </c>
      <c r="D25" s="9" t="s">
        <v>42603</v>
      </c>
      <c r="E25" s="56">
        <v>44455.0</v>
      </c>
      <c r="F25" s="9" t="b">
        <v>1</v>
      </c>
      <c r="G25" s="9" t="s">
        <v>42573</v>
      </c>
      <c r="H25" s="9" t="s">
        <v>42560</v>
      </c>
    </row>
    <row r="26" ht="15.75" customHeight="1">
      <c r="A26" s="9" t="s">
        <v>42604</v>
      </c>
      <c r="B26" s="9" t="s">
        <v>47</v>
      </c>
      <c r="C26" s="9" t="s">
        <v>38983</v>
      </c>
      <c r="D26" s="9" t="s">
        <v>42605</v>
      </c>
      <c r="E26" s="56">
        <v>44456.0</v>
      </c>
      <c r="F26" s="9" t="b">
        <v>1</v>
      </c>
      <c r="G26" s="9" t="s">
        <v>38801</v>
      </c>
      <c r="H26" s="9" t="s">
        <v>42576</v>
      </c>
      <c r="I26" s="9" t="b">
        <v>1</v>
      </c>
    </row>
    <row r="27" ht="15.75" customHeight="1">
      <c r="A27" s="9" t="s">
        <v>42606</v>
      </c>
      <c r="B27" s="9" t="s">
        <v>26</v>
      </c>
      <c r="C27" s="9" t="s">
        <v>38981</v>
      </c>
      <c r="D27" s="9" t="s">
        <v>42607</v>
      </c>
      <c r="E27" s="56">
        <v>44455.0</v>
      </c>
      <c r="F27" s="9" t="b">
        <v>1</v>
      </c>
      <c r="G27" s="9" t="s">
        <v>42573</v>
      </c>
      <c r="H27" s="9" t="s">
        <v>42560</v>
      </c>
    </row>
    <row r="28" ht="15.75" customHeight="1">
      <c r="A28" s="9" t="s">
        <v>42608</v>
      </c>
      <c r="B28" s="9" t="s">
        <v>26</v>
      </c>
      <c r="C28" s="9" t="s">
        <v>38981</v>
      </c>
      <c r="D28" s="9" t="s">
        <v>42609</v>
      </c>
      <c r="E28" s="56">
        <v>44456.0</v>
      </c>
      <c r="F28" s="9" t="b">
        <v>1</v>
      </c>
      <c r="G28" s="9" t="s">
        <v>42573</v>
      </c>
      <c r="H28" s="9" t="s">
        <v>42560</v>
      </c>
    </row>
    <row r="29" ht="15.75" customHeight="1">
      <c r="A29" s="9" t="s">
        <v>42610</v>
      </c>
      <c r="B29" s="9" t="s">
        <v>47</v>
      </c>
      <c r="C29" s="9" t="s">
        <v>38985</v>
      </c>
      <c r="D29" s="9" t="s">
        <v>42611</v>
      </c>
      <c r="E29" s="56">
        <v>44456.0</v>
      </c>
      <c r="F29" s="9" t="b">
        <v>1</v>
      </c>
      <c r="G29" s="9" t="s">
        <v>38801</v>
      </c>
      <c r="H29" s="9" t="s">
        <v>42576</v>
      </c>
      <c r="I29" s="9" t="b">
        <v>1</v>
      </c>
    </row>
    <row r="30" ht="15.75" customHeight="1">
      <c r="A30" s="9" t="s">
        <v>42612</v>
      </c>
      <c r="B30" s="9" t="s">
        <v>47</v>
      </c>
      <c r="C30" s="9" t="s">
        <v>38994</v>
      </c>
      <c r="D30" s="9" t="s">
        <v>42613</v>
      </c>
      <c r="E30" s="56">
        <v>44456.0</v>
      </c>
      <c r="F30" s="9" t="b">
        <v>1</v>
      </c>
      <c r="G30" s="9" t="s">
        <v>42573</v>
      </c>
      <c r="H30" s="9" t="s">
        <v>42560</v>
      </c>
    </row>
    <row r="31" ht="15.75" customHeight="1">
      <c r="A31" s="9" t="s">
        <v>42614</v>
      </c>
      <c r="B31" s="9" t="s">
        <v>47</v>
      </c>
      <c r="C31" s="9" t="s">
        <v>38977</v>
      </c>
      <c r="D31" s="9" t="s">
        <v>42615</v>
      </c>
      <c r="E31" s="56">
        <v>44456.0</v>
      </c>
      <c r="F31" s="9" t="b">
        <v>1</v>
      </c>
      <c r="G31" s="9" t="s">
        <v>42573</v>
      </c>
      <c r="H31" s="9" t="s">
        <v>42560</v>
      </c>
    </row>
    <row r="32" ht="15.75" customHeight="1">
      <c r="A32" s="9" t="s">
        <v>42616</v>
      </c>
      <c r="B32" s="9" t="s">
        <v>47</v>
      </c>
      <c r="C32" s="9" t="s">
        <v>38987</v>
      </c>
      <c r="D32" s="9" t="s">
        <v>42617</v>
      </c>
      <c r="E32" s="56">
        <v>44456.0</v>
      </c>
      <c r="F32" s="9" t="b">
        <v>1</v>
      </c>
      <c r="G32" s="9" t="s">
        <v>42573</v>
      </c>
      <c r="H32" s="9" t="s">
        <v>42576</v>
      </c>
    </row>
    <row r="33" ht="15.75" customHeight="1">
      <c r="A33" s="9" t="s">
        <v>42618</v>
      </c>
      <c r="B33" s="9" t="s">
        <v>26</v>
      </c>
      <c r="C33" s="9" t="s">
        <v>38994</v>
      </c>
      <c r="D33" s="9" t="s">
        <v>42619</v>
      </c>
      <c r="E33" s="56">
        <v>44459.0</v>
      </c>
      <c r="F33" s="9" t="b">
        <v>1</v>
      </c>
      <c r="G33" s="9" t="s">
        <v>38801</v>
      </c>
      <c r="H33" s="9" t="s">
        <v>42560</v>
      </c>
      <c r="I33" s="9" t="b">
        <v>1</v>
      </c>
    </row>
    <row r="34" ht="15.75" customHeight="1">
      <c r="A34" s="9" t="s">
        <v>42620</v>
      </c>
      <c r="B34" s="9" t="s">
        <v>26</v>
      </c>
      <c r="C34" s="9" t="s">
        <v>38991</v>
      </c>
      <c r="D34" s="9" t="s">
        <v>42621</v>
      </c>
      <c r="E34" s="56">
        <v>44459.0</v>
      </c>
      <c r="F34" s="9" t="b">
        <v>1</v>
      </c>
      <c r="G34" s="9" t="s">
        <v>42573</v>
      </c>
      <c r="H34" s="9" t="s">
        <v>42560</v>
      </c>
    </row>
    <row r="35" ht="15.75" customHeight="1">
      <c r="A35" s="9" t="s">
        <v>42622</v>
      </c>
      <c r="B35" s="9" t="s">
        <v>26</v>
      </c>
      <c r="C35" s="9" t="s">
        <v>38998</v>
      </c>
      <c r="D35" s="9" t="s">
        <v>42623</v>
      </c>
      <c r="E35" s="56">
        <v>44459.0</v>
      </c>
      <c r="F35" s="9" t="b">
        <v>1</v>
      </c>
      <c r="G35" s="9" t="s">
        <v>38801</v>
      </c>
      <c r="H35" s="9" t="s">
        <v>42576</v>
      </c>
      <c r="I35" s="9" t="b">
        <v>1</v>
      </c>
    </row>
    <row r="36" ht="15.75" customHeight="1">
      <c r="A36" s="9" t="s">
        <v>42624</v>
      </c>
      <c r="B36" s="9" t="s">
        <v>26</v>
      </c>
      <c r="C36" s="9" t="s">
        <v>38981</v>
      </c>
      <c r="D36" s="9" t="s">
        <v>42625</v>
      </c>
      <c r="E36" s="56">
        <v>44459.0</v>
      </c>
      <c r="F36" s="9" t="b">
        <v>1</v>
      </c>
      <c r="G36" s="9" t="s">
        <v>42573</v>
      </c>
      <c r="H36" s="9" t="s">
        <v>42560</v>
      </c>
    </row>
    <row r="37" ht="15.75" customHeight="1">
      <c r="A37" s="9" t="s">
        <v>42626</v>
      </c>
      <c r="B37" s="9" t="s">
        <v>26</v>
      </c>
      <c r="C37" s="9" t="s">
        <v>38969</v>
      </c>
      <c r="D37" s="9" t="s">
        <v>42627</v>
      </c>
      <c r="E37" s="56">
        <v>44459.0</v>
      </c>
      <c r="F37" s="9" t="b">
        <v>1</v>
      </c>
      <c r="G37" s="9" t="s">
        <v>38801</v>
      </c>
      <c r="H37" s="9" t="s">
        <v>42560</v>
      </c>
      <c r="I37" s="9" t="b">
        <v>1</v>
      </c>
    </row>
    <row r="38" ht="15.75" customHeight="1">
      <c r="A38" s="9" t="s">
        <v>42628</v>
      </c>
      <c r="B38" s="9" t="s">
        <v>26</v>
      </c>
      <c r="C38" s="9" t="s">
        <v>38981</v>
      </c>
      <c r="D38" s="9" t="s">
        <v>42629</v>
      </c>
      <c r="E38" s="56">
        <v>44459.0</v>
      </c>
      <c r="F38" s="9" t="b">
        <v>1</v>
      </c>
      <c r="G38" s="9" t="s">
        <v>38801</v>
      </c>
      <c r="H38" s="9" t="s">
        <v>42560</v>
      </c>
      <c r="I38" s="9" t="b">
        <v>1</v>
      </c>
    </row>
    <row r="39" ht="15.75" customHeight="1">
      <c r="A39" s="9" t="s">
        <v>42630</v>
      </c>
      <c r="B39" s="9" t="s">
        <v>80</v>
      </c>
      <c r="C39" s="9" t="s">
        <v>38853</v>
      </c>
      <c r="D39" s="9" t="s">
        <v>42631</v>
      </c>
      <c r="E39" s="56">
        <v>44459.0</v>
      </c>
      <c r="F39" s="9" t="b">
        <v>1</v>
      </c>
      <c r="G39" s="9" t="s">
        <v>42632</v>
      </c>
      <c r="H39" s="9" t="s">
        <v>42560</v>
      </c>
    </row>
    <row r="40" ht="15.75" customHeight="1">
      <c r="A40" s="9" t="s">
        <v>42633</v>
      </c>
      <c r="B40" s="9" t="s">
        <v>26</v>
      </c>
      <c r="C40" s="9" t="s">
        <v>39000</v>
      </c>
      <c r="D40" s="9" t="s">
        <v>42634</v>
      </c>
      <c r="E40" s="56">
        <v>44460.0</v>
      </c>
      <c r="F40" s="9" t="b">
        <v>1</v>
      </c>
      <c r="G40" s="9" t="s">
        <v>42573</v>
      </c>
      <c r="H40" s="9" t="s">
        <v>42576</v>
      </c>
    </row>
    <row r="41" ht="15.75" customHeight="1">
      <c r="A41" s="9" t="s">
        <v>42635</v>
      </c>
      <c r="B41" s="9" t="s">
        <v>26</v>
      </c>
      <c r="C41" s="9" t="s">
        <v>38991</v>
      </c>
      <c r="D41" s="9" t="s">
        <v>42636</v>
      </c>
      <c r="E41" s="56">
        <v>44460.0</v>
      </c>
      <c r="F41" s="9" t="b">
        <v>1</v>
      </c>
      <c r="G41" s="9" t="s">
        <v>38801</v>
      </c>
      <c r="H41" s="9" t="s">
        <v>42560</v>
      </c>
      <c r="I41" s="9" t="b">
        <v>1</v>
      </c>
    </row>
    <row r="42" ht="15.75" customHeight="1">
      <c r="A42" s="9" t="s">
        <v>42637</v>
      </c>
      <c r="B42" s="9" t="s">
        <v>26</v>
      </c>
      <c r="C42" s="9" t="s">
        <v>38957</v>
      </c>
      <c r="D42" s="9" t="s">
        <v>42638</v>
      </c>
      <c r="E42" s="56">
        <v>44460.0</v>
      </c>
      <c r="F42" s="9" t="b">
        <v>1</v>
      </c>
      <c r="G42" s="9" t="s">
        <v>38801</v>
      </c>
      <c r="H42" s="9" t="s">
        <v>42560</v>
      </c>
      <c r="I42" s="9" t="b">
        <v>1</v>
      </c>
    </row>
    <row r="43" ht="15.75" customHeight="1">
      <c r="A43" s="9" t="s">
        <v>42639</v>
      </c>
      <c r="B43" s="9" t="s">
        <v>84</v>
      </c>
      <c r="C43" s="9" t="s">
        <v>39000</v>
      </c>
      <c r="D43" s="9" t="s">
        <v>42640</v>
      </c>
      <c r="E43" s="56">
        <v>44461.0</v>
      </c>
      <c r="F43" s="9" t="b">
        <v>1</v>
      </c>
      <c r="G43" s="9" t="s">
        <v>42573</v>
      </c>
      <c r="H43" s="9" t="s">
        <v>42576</v>
      </c>
    </row>
    <row r="44" ht="15.75" customHeight="1">
      <c r="A44" s="9" t="s">
        <v>42641</v>
      </c>
      <c r="B44" s="9" t="s">
        <v>84</v>
      </c>
      <c r="C44" s="9" t="s">
        <v>38989</v>
      </c>
      <c r="D44" s="9" t="s">
        <v>42642</v>
      </c>
      <c r="E44" s="56">
        <v>44461.0</v>
      </c>
      <c r="F44" s="9" t="b">
        <v>1</v>
      </c>
      <c r="G44" s="9" t="s">
        <v>38801</v>
      </c>
      <c r="H44" s="9" t="s">
        <v>42560</v>
      </c>
      <c r="I44" s="9" t="b">
        <v>0</v>
      </c>
    </row>
    <row r="45" ht="15.75" customHeight="1">
      <c r="A45" s="9" t="s">
        <v>42643</v>
      </c>
      <c r="B45" s="9" t="s">
        <v>84</v>
      </c>
      <c r="C45" s="9" t="s">
        <v>39000</v>
      </c>
      <c r="D45" s="9" t="s">
        <v>42644</v>
      </c>
      <c r="E45" s="56">
        <v>44461.0</v>
      </c>
      <c r="F45" s="9" t="b">
        <v>1</v>
      </c>
      <c r="G45" s="9" t="s">
        <v>42573</v>
      </c>
      <c r="H45" s="9" t="s">
        <v>42576</v>
      </c>
    </row>
    <row r="46" ht="15.75" customHeight="1">
      <c r="A46" s="9" t="s">
        <v>42645</v>
      </c>
      <c r="B46" s="9" t="s">
        <v>84</v>
      </c>
      <c r="C46" s="9" t="s">
        <v>39000</v>
      </c>
      <c r="D46" s="9" t="s">
        <v>42646</v>
      </c>
      <c r="E46" s="56">
        <v>44462.0</v>
      </c>
      <c r="F46" s="9" t="b">
        <v>1</v>
      </c>
      <c r="G46" s="9" t="s">
        <v>38801</v>
      </c>
      <c r="H46" s="9" t="s">
        <v>42576</v>
      </c>
      <c r="I46" s="9" t="b">
        <v>1</v>
      </c>
    </row>
    <row r="47" ht="15.75" customHeight="1">
      <c r="A47" s="9" t="s">
        <v>42647</v>
      </c>
      <c r="B47" s="9" t="s">
        <v>26</v>
      </c>
      <c r="C47" s="9" t="s">
        <v>39002</v>
      </c>
      <c r="D47" s="9" t="s">
        <v>42648</v>
      </c>
      <c r="E47" s="56">
        <v>44466.0</v>
      </c>
      <c r="F47" s="9" t="b">
        <v>1</v>
      </c>
      <c r="G47" s="9" t="s">
        <v>38801</v>
      </c>
      <c r="H47" s="9" t="s">
        <v>42560</v>
      </c>
      <c r="I47" s="9" t="b">
        <v>1</v>
      </c>
    </row>
    <row r="48" ht="15.75" customHeight="1">
      <c r="A48" s="9" t="s">
        <v>42649</v>
      </c>
      <c r="B48" s="9" t="s">
        <v>26</v>
      </c>
      <c r="C48" s="9" t="s">
        <v>38998</v>
      </c>
      <c r="D48" s="9" t="s">
        <v>42650</v>
      </c>
      <c r="E48" s="56">
        <v>44467.0</v>
      </c>
      <c r="F48" s="9" t="b">
        <v>1</v>
      </c>
      <c r="G48" s="9" t="s">
        <v>42573</v>
      </c>
      <c r="H48" s="9" t="s">
        <v>42560</v>
      </c>
    </row>
    <row r="49" ht="15.75" customHeight="1">
      <c r="A49" s="9" t="s">
        <v>42651</v>
      </c>
      <c r="B49" s="9" t="s">
        <v>47</v>
      </c>
      <c r="C49" s="9" t="s">
        <v>39004</v>
      </c>
      <c r="D49" s="9" t="s">
        <v>42652</v>
      </c>
      <c r="E49" s="56">
        <v>44467.0</v>
      </c>
      <c r="F49" s="9" t="b">
        <v>1</v>
      </c>
      <c r="G49" s="9" t="s">
        <v>38801</v>
      </c>
      <c r="H49" s="9" t="s">
        <v>42560</v>
      </c>
      <c r="I49" s="9" t="b">
        <v>1</v>
      </c>
    </row>
    <row r="50" ht="15.75" customHeight="1">
      <c r="A50" s="9" t="s">
        <v>42653</v>
      </c>
      <c r="B50" s="9" t="s">
        <v>47</v>
      </c>
      <c r="C50" s="9" t="s">
        <v>39012</v>
      </c>
      <c r="D50" s="9" t="s">
        <v>42654</v>
      </c>
      <c r="E50" s="56">
        <v>44467.0</v>
      </c>
      <c r="F50" s="9" t="b">
        <v>1</v>
      </c>
      <c r="G50" s="9" t="s">
        <v>38801</v>
      </c>
      <c r="H50" s="9" t="s">
        <v>42576</v>
      </c>
      <c r="I50" s="9" t="b">
        <v>1</v>
      </c>
    </row>
    <row r="51" ht="15.75" customHeight="1">
      <c r="A51" s="9" t="s">
        <v>42655</v>
      </c>
      <c r="B51" s="9" t="s">
        <v>47</v>
      </c>
      <c r="C51" s="9" t="s">
        <v>38983</v>
      </c>
      <c r="D51" s="9" t="s">
        <v>42656</v>
      </c>
      <c r="E51" s="56">
        <v>44467.0</v>
      </c>
      <c r="F51" s="9" t="b">
        <v>1</v>
      </c>
      <c r="G51" s="9" t="s">
        <v>38801</v>
      </c>
      <c r="H51" s="9" t="s">
        <v>42576</v>
      </c>
      <c r="I51" s="9" t="b">
        <v>1</v>
      </c>
    </row>
    <row r="52" ht="15.75" customHeight="1">
      <c r="A52" s="9" t="s">
        <v>42657</v>
      </c>
      <c r="B52" s="9" t="s">
        <v>47</v>
      </c>
      <c r="C52" s="9" t="s">
        <v>39010</v>
      </c>
      <c r="D52" s="9" t="s">
        <v>42658</v>
      </c>
      <c r="E52" s="56">
        <v>44468.0</v>
      </c>
      <c r="F52" s="9" t="b">
        <v>1</v>
      </c>
      <c r="G52" s="9" t="s">
        <v>38801</v>
      </c>
      <c r="H52" s="9" t="s">
        <v>42576</v>
      </c>
      <c r="I52" s="9" t="b">
        <v>1</v>
      </c>
    </row>
    <row r="53" ht="15.75" customHeight="1">
      <c r="A53" s="9" t="s">
        <v>42659</v>
      </c>
      <c r="B53" s="9" t="s">
        <v>26</v>
      </c>
      <c r="C53" s="9" t="s">
        <v>38967</v>
      </c>
      <c r="D53" s="9" t="s">
        <v>42660</v>
      </c>
      <c r="E53" s="56">
        <v>44468.0</v>
      </c>
      <c r="F53" s="9" t="b">
        <v>1</v>
      </c>
      <c r="G53" s="9" t="s">
        <v>38801</v>
      </c>
      <c r="H53" s="9" t="s">
        <v>42560</v>
      </c>
      <c r="I53" s="9" t="b">
        <v>1</v>
      </c>
    </row>
    <row r="54" ht="15.75" customHeight="1">
      <c r="A54" s="9" t="s">
        <v>42661</v>
      </c>
      <c r="B54" s="9" t="s">
        <v>47</v>
      </c>
      <c r="C54" s="9" t="s">
        <v>39014</v>
      </c>
      <c r="D54" s="9" t="s">
        <v>42662</v>
      </c>
      <c r="E54" s="56">
        <v>44468.0</v>
      </c>
      <c r="F54" s="9" t="b">
        <v>1</v>
      </c>
      <c r="G54" s="9" t="s">
        <v>38801</v>
      </c>
      <c r="H54" s="9" t="s">
        <v>42576</v>
      </c>
      <c r="I54" s="9" t="b">
        <v>1</v>
      </c>
    </row>
    <row r="55" ht="15.75" customHeight="1">
      <c r="A55" s="9" t="s">
        <v>42663</v>
      </c>
      <c r="B55" s="9" t="s">
        <v>47</v>
      </c>
      <c r="C55" s="9" t="s">
        <v>38987</v>
      </c>
      <c r="D55" s="9" t="s">
        <v>42664</v>
      </c>
      <c r="E55" s="56">
        <v>44468.0</v>
      </c>
      <c r="F55" s="9" t="b">
        <v>1</v>
      </c>
      <c r="G55" s="9" t="s">
        <v>42573</v>
      </c>
      <c r="H55" s="9" t="s">
        <v>42560</v>
      </c>
    </row>
    <row r="56" ht="15.75" customHeight="1">
      <c r="A56" s="9" t="s">
        <v>42665</v>
      </c>
      <c r="B56" s="9" t="s">
        <v>19</v>
      </c>
      <c r="C56" s="9" t="s">
        <v>38881</v>
      </c>
      <c r="D56" s="9" t="s">
        <v>42666</v>
      </c>
      <c r="E56" s="56">
        <v>44468.0</v>
      </c>
      <c r="F56" s="9" t="b">
        <v>1</v>
      </c>
      <c r="G56" s="9" t="s">
        <v>42585</v>
      </c>
      <c r="H56" s="9" t="s">
        <v>42560</v>
      </c>
    </row>
    <row r="57" ht="15.75" customHeight="1">
      <c r="A57" s="9" t="s">
        <v>42667</v>
      </c>
      <c r="B57" s="9" t="s">
        <v>26</v>
      </c>
      <c r="C57" s="9" t="s">
        <v>39018</v>
      </c>
      <c r="D57" s="9" t="s">
        <v>42668</v>
      </c>
      <c r="E57" s="56">
        <v>44469.0</v>
      </c>
      <c r="F57" s="9" t="b">
        <v>1</v>
      </c>
      <c r="G57" s="9" t="s">
        <v>38801</v>
      </c>
      <c r="H57" s="9" t="s">
        <v>42560</v>
      </c>
      <c r="I57" s="9" t="b">
        <v>1</v>
      </c>
    </row>
    <row r="58" ht="15.75" customHeight="1">
      <c r="A58" s="9" t="s">
        <v>42669</v>
      </c>
      <c r="B58" s="9" t="s">
        <v>26</v>
      </c>
      <c r="C58" s="9" t="s">
        <v>39006</v>
      </c>
      <c r="D58" s="9" t="s">
        <v>42670</v>
      </c>
      <c r="E58" s="56">
        <v>44469.0</v>
      </c>
      <c r="F58" s="9" t="b">
        <v>1</v>
      </c>
      <c r="G58" s="9" t="s">
        <v>42573</v>
      </c>
      <c r="H58" s="9" t="s">
        <v>42560</v>
      </c>
    </row>
    <row r="59" ht="15.75" customHeight="1">
      <c r="A59" s="9" t="s">
        <v>42671</v>
      </c>
      <c r="B59" s="9" t="s">
        <v>26</v>
      </c>
      <c r="C59" s="9" t="s">
        <v>38959</v>
      </c>
      <c r="D59" s="9" t="s">
        <v>42672</v>
      </c>
      <c r="E59" s="56">
        <v>44469.0</v>
      </c>
      <c r="F59" s="9" t="b">
        <v>1</v>
      </c>
      <c r="G59" s="9" t="s">
        <v>42573</v>
      </c>
      <c r="H59" s="9" t="s">
        <v>42560</v>
      </c>
    </row>
    <row r="60" ht="15.75" customHeight="1">
      <c r="A60" s="9" t="s">
        <v>42673</v>
      </c>
      <c r="B60" s="9" t="s">
        <v>26</v>
      </c>
      <c r="C60" s="9" t="s">
        <v>39016</v>
      </c>
      <c r="D60" s="9" t="s">
        <v>42674</v>
      </c>
      <c r="E60" s="56">
        <v>44469.0</v>
      </c>
      <c r="F60" s="9" t="b">
        <v>1</v>
      </c>
      <c r="G60" s="9" t="s">
        <v>42573</v>
      </c>
      <c r="H60" s="9" t="s">
        <v>42560</v>
      </c>
    </row>
    <row r="61" ht="15.75" customHeight="1">
      <c r="A61" s="9" t="s">
        <v>42675</v>
      </c>
      <c r="B61" s="9" t="s">
        <v>26</v>
      </c>
      <c r="C61" s="9" t="s">
        <v>38951</v>
      </c>
      <c r="D61" s="9" t="s">
        <v>42676</v>
      </c>
      <c r="E61" s="56">
        <v>44469.0</v>
      </c>
      <c r="F61" s="9" t="b">
        <v>1</v>
      </c>
      <c r="G61" s="9" t="s">
        <v>42573</v>
      </c>
      <c r="H61" s="9" t="s">
        <v>42560</v>
      </c>
    </row>
    <row r="62" ht="15.75" customHeight="1">
      <c r="A62" s="52" t="s">
        <v>42677</v>
      </c>
      <c r="B62" s="9" t="s">
        <v>26</v>
      </c>
      <c r="C62" s="9" t="s">
        <v>38959</v>
      </c>
      <c r="D62" s="9" t="s">
        <v>42678</v>
      </c>
      <c r="E62" s="56">
        <v>44470.0</v>
      </c>
      <c r="F62" s="9" t="b">
        <v>1</v>
      </c>
      <c r="G62" s="9" t="s">
        <v>38801</v>
      </c>
      <c r="H62" s="9" t="s">
        <v>42560</v>
      </c>
      <c r="I62" s="9" t="b">
        <v>1</v>
      </c>
    </row>
    <row r="63" ht="15.75" customHeight="1">
      <c r="A63" s="9" t="s">
        <v>42679</v>
      </c>
      <c r="B63" s="9" t="s">
        <v>47</v>
      </c>
      <c r="C63" s="9" t="s">
        <v>39016</v>
      </c>
      <c r="D63" s="9" t="s">
        <v>42680</v>
      </c>
      <c r="E63" s="56">
        <v>44470.0</v>
      </c>
      <c r="F63" s="9" t="b">
        <v>1</v>
      </c>
      <c r="G63" s="9" t="s">
        <v>38801</v>
      </c>
      <c r="H63" s="9" t="s">
        <v>42560</v>
      </c>
      <c r="I63" s="9" t="b">
        <v>1</v>
      </c>
    </row>
    <row r="64" ht="15.75" customHeight="1">
      <c r="A64" s="9" t="s">
        <v>42681</v>
      </c>
      <c r="B64" s="9" t="s">
        <v>26</v>
      </c>
      <c r="C64" s="9" t="s">
        <v>38953</v>
      </c>
      <c r="D64" s="9" t="s">
        <v>42682</v>
      </c>
      <c r="E64" s="56">
        <v>44470.0</v>
      </c>
      <c r="F64" s="9" t="b">
        <v>1</v>
      </c>
      <c r="G64" s="9" t="s">
        <v>42573</v>
      </c>
      <c r="H64" s="9" t="s">
        <v>42560</v>
      </c>
    </row>
    <row r="65" ht="15.75" customHeight="1">
      <c r="A65" s="9" t="s">
        <v>42683</v>
      </c>
      <c r="B65" s="9" t="s">
        <v>26</v>
      </c>
      <c r="C65" s="9" t="s">
        <v>38953</v>
      </c>
      <c r="D65" s="9" t="s">
        <v>42684</v>
      </c>
      <c r="E65" s="56">
        <v>44470.0</v>
      </c>
      <c r="F65" s="9" t="b">
        <v>1</v>
      </c>
      <c r="G65" s="9" t="s">
        <v>38801</v>
      </c>
      <c r="H65" s="9" t="s">
        <v>42560</v>
      </c>
      <c r="I65" s="9" t="b">
        <v>1</v>
      </c>
    </row>
    <row r="66" ht="15.75" customHeight="1">
      <c r="A66" s="9" t="s">
        <v>42685</v>
      </c>
      <c r="B66" s="9" t="s">
        <v>47</v>
      </c>
      <c r="C66" s="9" t="s">
        <v>38853</v>
      </c>
      <c r="D66" s="9" t="s">
        <v>42686</v>
      </c>
      <c r="E66" s="56">
        <v>44473.0</v>
      </c>
      <c r="F66" s="9" t="b">
        <v>1</v>
      </c>
      <c r="G66" s="9" t="s">
        <v>42585</v>
      </c>
      <c r="H66" s="9" t="s">
        <v>38800</v>
      </c>
    </row>
    <row r="67" ht="15.75" customHeight="1">
      <c r="A67" s="9" t="s">
        <v>42687</v>
      </c>
      <c r="B67" s="9" t="s">
        <v>47</v>
      </c>
      <c r="C67" s="9" t="s">
        <v>39020</v>
      </c>
      <c r="D67" s="9" t="s">
        <v>42688</v>
      </c>
      <c r="E67" s="56">
        <v>44473.0</v>
      </c>
      <c r="F67" s="9" t="b">
        <v>1</v>
      </c>
      <c r="G67" s="9" t="s">
        <v>38801</v>
      </c>
      <c r="H67" s="9" t="s">
        <v>42576</v>
      </c>
      <c r="I67" s="9" t="b">
        <v>1</v>
      </c>
    </row>
    <row r="68" ht="15.75" customHeight="1">
      <c r="A68" s="9" t="s">
        <v>42689</v>
      </c>
      <c r="B68" s="9" t="s">
        <v>47</v>
      </c>
      <c r="C68" s="52" t="s">
        <v>39028</v>
      </c>
      <c r="D68" s="9" t="s">
        <v>42690</v>
      </c>
      <c r="E68" s="56">
        <v>44473.0</v>
      </c>
      <c r="F68" s="9" t="b">
        <v>1</v>
      </c>
      <c r="G68" s="9" t="s">
        <v>38801</v>
      </c>
      <c r="H68" s="9" t="s">
        <v>42560</v>
      </c>
      <c r="I68" s="9" t="b">
        <v>1</v>
      </c>
    </row>
    <row r="69" ht="15.75" customHeight="1">
      <c r="A69" s="9" t="s">
        <v>42691</v>
      </c>
      <c r="B69" s="9" t="s">
        <v>26</v>
      </c>
      <c r="C69" s="9" t="s">
        <v>39024</v>
      </c>
      <c r="D69" s="9" t="s">
        <v>42692</v>
      </c>
      <c r="E69" s="56">
        <v>44473.0</v>
      </c>
      <c r="F69" s="9" t="b">
        <v>1</v>
      </c>
      <c r="G69" s="9" t="s">
        <v>42585</v>
      </c>
      <c r="H69" s="9" t="s">
        <v>42560</v>
      </c>
    </row>
    <row r="70" ht="15.75" customHeight="1">
      <c r="A70" s="9" t="s">
        <v>42693</v>
      </c>
      <c r="B70" s="9" t="s">
        <v>26</v>
      </c>
      <c r="C70" s="9" t="s">
        <v>38951</v>
      </c>
      <c r="D70" s="9" t="s">
        <v>42694</v>
      </c>
      <c r="E70" s="56">
        <v>44473.0</v>
      </c>
      <c r="F70" s="9" t="b">
        <v>1</v>
      </c>
      <c r="G70" s="9" t="s">
        <v>38801</v>
      </c>
      <c r="H70" s="9" t="s">
        <v>42560</v>
      </c>
      <c r="I70" s="9" t="b">
        <v>1</v>
      </c>
    </row>
    <row r="71" ht="15.75" customHeight="1">
      <c r="A71" s="9" t="s">
        <v>42695</v>
      </c>
      <c r="B71" s="9" t="s">
        <v>26</v>
      </c>
      <c r="C71" s="9" t="s">
        <v>38967</v>
      </c>
      <c r="D71" s="9" t="s">
        <v>42696</v>
      </c>
      <c r="E71" s="56">
        <v>44474.0</v>
      </c>
      <c r="F71" s="9" t="b">
        <v>1</v>
      </c>
      <c r="G71" s="9" t="s">
        <v>38801</v>
      </c>
      <c r="H71" s="9" t="s">
        <v>42560</v>
      </c>
      <c r="I71" s="9" t="b">
        <v>1</v>
      </c>
    </row>
    <row r="72" ht="15.75" customHeight="1">
      <c r="A72" s="9" t="s">
        <v>42697</v>
      </c>
      <c r="B72" s="9" t="s">
        <v>26</v>
      </c>
      <c r="C72" s="9" t="s">
        <v>38835</v>
      </c>
      <c r="D72" s="9" t="s">
        <v>42698</v>
      </c>
      <c r="E72" s="56">
        <v>44474.0</v>
      </c>
      <c r="F72" s="9" t="b">
        <v>1</v>
      </c>
      <c r="G72" s="9" t="s">
        <v>38801</v>
      </c>
      <c r="H72" s="9" t="s">
        <v>38800</v>
      </c>
      <c r="I72" s="9" t="b">
        <v>1</v>
      </c>
    </row>
    <row r="73" ht="15.75" customHeight="1">
      <c r="A73" s="9" t="s">
        <v>42699</v>
      </c>
      <c r="B73" s="9" t="s">
        <v>47</v>
      </c>
      <c r="C73" s="9" t="s">
        <v>39036</v>
      </c>
      <c r="D73" s="9" t="s">
        <v>42700</v>
      </c>
      <c r="E73" s="56">
        <v>44474.0</v>
      </c>
      <c r="F73" s="9" t="b">
        <v>1</v>
      </c>
      <c r="G73" s="9" t="s">
        <v>38801</v>
      </c>
      <c r="H73" s="9" t="s">
        <v>42576</v>
      </c>
      <c r="I73" s="9" t="b">
        <v>1</v>
      </c>
    </row>
    <row r="74" ht="15.75" customHeight="1">
      <c r="A74" s="9" t="s">
        <v>42701</v>
      </c>
      <c r="B74" s="9" t="s">
        <v>47</v>
      </c>
      <c r="C74" s="9" t="s">
        <v>39038</v>
      </c>
      <c r="D74" s="9" t="s">
        <v>42702</v>
      </c>
      <c r="E74" s="56">
        <v>44474.0</v>
      </c>
      <c r="F74" s="9" t="b">
        <v>1</v>
      </c>
      <c r="G74" s="9" t="s">
        <v>38801</v>
      </c>
      <c r="H74" s="9" t="s">
        <v>42576</v>
      </c>
      <c r="I74" s="9" t="b">
        <v>1</v>
      </c>
    </row>
    <row r="75" ht="15.75" customHeight="1">
      <c r="A75" s="9" t="s">
        <v>42703</v>
      </c>
      <c r="B75" s="9" t="s">
        <v>47</v>
      </c>
      <c r="C75" s="9" t="s">
        <v>39034</v>
      </c>
      <c r="D75" s="9" t="s">
        <v>42704</v>
      </c>
      <c r="E75" s="56">
        <v>44474.0</v>
      </c>
      <c r="F75" s="9" t="b">
        <v>1</v>
      </c>
      <c r="G75" s="9" t="s">
        <v>42573</v>
      </c>
      <c r="H75" s="9" t="s">
        <v>42560</v>
      </c>
    </row>
    <row r="76" ht="15.75" customHeight="1">
      <c r="A76" s="9" t="s">
        <v>42705</v>
      </c>
      <c r="B76" s="9" t="s">
        <v>47</v>
      </c>
      <c r="C76" s="9" t="s">
        <v>39030</v>
      </c>
      <c r="D76" s="9" t="s">
        <v>42706</v>
      </c>
      <c r="E76" s="56">
        <v>44474.0</v>
      </c>
      <c r="F76" s="9" t="b">
        <v>1</v>
      </c>
      <c r="G76" s="9" t="s">
        <v>42573</v>
      </c>
      <c r="H76" s="9" t="s">
        <v>42576</v>
      </c>
    </row>
    <row r="77" ht="15.75" customHeight="1">
      <c r="A77" s="9" t="s">
        <v>42707</v>
      </c>
      <c r="B77" s="9" t="s">
        <v>47</v>
      </c>
      <c r="C77" s="9" t="s">
        <v>38974</v>
      </c>
      <c r="D77" s="9" t="s">
        <v>42708</v>
      </c>
      <c r="E77" s="56">
        <v>44474.0</v>
      </c>
      <c r="F77" s="9" t="b">
        <v>1</v>
      </c>
      <c r="G77" s="9" t="s">
        <v>38801</v>
      </c>
      <c r="H77" s="9" t="s">
        <v>42576</v>
      </c>
      <c r="I77" s="9" t="b">
        <v>1</v>
      </c>
    </row>
    <row r="78" ht="15.75" customHeight="1">
      <c r="A78" s="9" t="s">
        <v>42709</v>
      </c>
      <c r="B78" s="9" t="s">
        <v>47</v>
      </c>
      <c r="C78" s="9" t="s">
        <v>39022</v>
      </c>
      <c r="D78" s="9" t="s">
        <v>42710</v>
      </c>
      <c r="E78" s="56">
        <v>44474.0</v>
      </c>
      <c r="F78" s="9" t="b">
        <v>1</v>
      </c>
      <c r="G78" s="9" t="s">
        <v>42573</v>
      </c>
      <c r="H78" s="9" t="s">
        <v>42560</v>
      </c>
      <c r="I78" s="9" t="b">
        <v>0</v>
      </c>
    </row>
    <row r="79" ht="15.75" customHeight="1">
      <c r="A79" s="9" t="s">
        <v>42711</v>
      </c>
      <c r="B79" s="9" t="s">
        <v>47</v>
      </c>
      <c r="C79" s="9" t="s">
        <v>39026</v>
      </c>
      <c r="D79" s="9" t="s">
        <v>42712</v>
      </c>
      <c r="E79" s="56">
        <v>44474.0</v>
      </c>
      <c r="F79" s="9" t="b">
        <v>1</v>
      </c>
      <c r="G79" s="9" t="s">
        <v>38801</v>
      </c>
      <c r="H79" s="9" t="s">
        <v>42560</v>
      </c>
      <c r="I79" s="9" t="b">
        <v>1</v>
      </c>
    </row>
    <row r="80" ht="15.75" customHeight="1">
      <c r="A80" s="9" t="s">
        <v>42713</v>
      </c>
      <c r="B80" s="9" t="s">
        <v>47</v>
      </c>
      <c r="C80" s="9" t="s">
        <v>38987</v>
      </c>
      <c r="D80" s="9" t="s">
        <v>42714</v>
      </c>
      <c r="E80" s="56">
        <v>44474.0</v>
      </c>
      <c r="F80" s="9" t="b">
        <v>1</v>
      </c>
      <c r="G80" s="9" t="s">
        <v>38801</v>
      </c>
      <c r="H80" s="9" t="s">
        <v>42576</v>
      </c>
      <c r="I80" s="9" t="b">
        <v>1</v>
      </c>
    </row>
    <row r="81" ht="15.75" customHeight="1">
      <c r="A81" s="9" t="s">
        <v>42715</v>
      </c>
      <c r="B81" s="9" t="s">
        <v>47</v>
      </c>
      <c r="C81" s="9" t="s">
        <v>39042</v>
      </c>
      <c r="D81" s="9" t="s">
        <v>42716</v>
      </c>
      <c r="E81" s="56">
        <v>44475.0</v>
      </c>
      <c r="F81" s="9" t="b">
        <v>1</v>
      </c>
      <c r="G81" s="9" t="s">
        <v>38801</v>
      </c>
      <c r="H81" s="9" t="s">
        <v>42576</v>
      </c>
      <c r="I81" s="9" t="b">
        <v>1</v>
      </c>
    </row>
    <row r="82" ht="15.75" customHeight="1">
      <c r="A82" s="9" t="s">
        <v>42717</v>
      </c>
      <c r="B82" s="9" t="s">
        <v>47</v>
      </c>
      <c r="C82" s="9" t="s">
        <v>39048</v>
      </c>
      <c r="D82" s="9" t="s">
        <v>42718</v>
      </c>
      <c r="E82" s="56">
        <v>44475.0</v>
      </c>
      <c r="F82" s="9" t="b">
        <v>1</v>
      </c>
      <c r="G82" s="9" t="s">
        <v>38801</v>
      </c>
      <c r="H82" s="9" t="s">
        <v>42576</v>
      </c>
      <c r="I82" s="9" t="b">
        <v>1</v>
      </c>
    </row>
    <row r="83" ht="15.75" customHeight="1">
      <c r="A83" s="9" t="s">
        <v>42719</v>
      </c>
      <c r="B83" s="9" t="s">
        <v>39</v>
      </c>
      <c r="C83" s="9" t="s">
        <v>39046</v>
      </c>
      <c r="D83" s="9" t="s">
        <v>42720</v>
      </c>
      <c r="E83" s="56">
        <v>44476.0</v>
      </c>
      <c r="F83" s="9" t="b">
        <v>1</v>
      </c>
      <c r="G83" s="9" t="s">
        <v>38801</v>
      </c>
      <c r="H83" s="9" t="s">
        <v>42576</v>
      </c>
      <c r="I83" s="9" t="b">
        <v>1</v>
      </c>
    </row>
    <row r="84" ht="15.75" customHeight="1">
      <c r="A84" s="9" t="s">
        <v>42721</v>
      </c>
      <c r="B84" s="9" t="s">
        <v>26</v>
      </c>
      <c r="C84" s="9" t="s">
        <v>38917</v>
      </c>
      <c r="D84" s="9" t="s">
        <v>42722</v>
      </c>
      <c r="E84" s="56">
        <v>44476.0</v>
      </c>
      <c r="F84" s="9" t="b">
        <v>1</v>
      </c>
      <c r="G84" s="9" t="s">
        <v>42573</v>
      </c>
      <c r="H84" s="9" t="s">
        <v>42560</v>
      </c>
    </row>
    <row r="85" ht="15.75" customHeight="1">
      <c r="A85" s="9" t="s">
        <v>42723</v>
      </c>
      <c r="B85" s="9" t="s">
        <v>47</v>
      </c>
      <c r="C85" s="9" t="s">
        <v>39044</v>
      </c>
      <c r="D85" s="9" t="s">
        <v>42724</v>
      </c>
      <c r="E85" s="56">
        <v>44477.0</v>
      </c>
      <c r="F85" s="9" t="b">
        <v>1</v>
      </c>
      <c r="G85" s="9" t="s">
        <v>38801</v>
      </c>
      <c r="H85" s="9" t="s">
        <v>42560</v>
      </c>
      <c r="I85" s="9" t="b">
        <v>1</v>
      </c>
    </row>
    <row r="86" ht="15.75" customHeight="1">
      <c r="A86" s="9" t="s">
        <v>42725</v>
      </c>
      <c r="B86" s="9" t="s">
        <v>19</v>
      </c>
      <c r="C86" s="9" t="s">
        <v>38882</v>
      </c>
      <c r="D86" s="9" t="s">
        <v>42726</v>
      </c>
      <c r="E86" s="61">
        <v>44480.0</v>
      </c>
      <c r="F86" s="9" t="b">
        <v>1</v>
      </c>
      <c r="G86" s="9" t="s">
        <v>42585</v>
      </c>
      <c r="H86" s="9" t="s">
        <v>42560</v>
      </c>
    </row>
    <row r="87" ht="15.75" customHeight="1">
      <c r="A87" s="9" t="s">
        <v>42727</v>
      </c>
      <c r="B87" s="9" t="s">
        <v>47</v>
      </c>
      <c r="C87" s="9" t="s">
        <v>39050</v>
      </c>
      <c r="D87" s="9" t="s">
        <v>42728</v>
      </c>
      <c r="E87" s="61">
        <v>44480.0</v>
      </c>
      <c r="F87" s="9" t="b">
        <v>1</v>
      </c>
      <c r="G87" s="9" t="s">
        <v>38801</v>
      </c>
      <c r="H87" s="9" t="s">
        <v>42560</v>
      </c>
      <c r="I87" s="9" t="b">
        <v>1</v>
      </c>
    </row>
    <row r="88" ht="15.75" customHeight="1">
      <c r="A88" s="9" t="s">
        <v>42729</v>
      </c>
      <c r="B88" s="9" t="s">
        <v>47</v>
      </c>
      <c r="C88" s="9" t="s">
        <v>39052</v>
      </c>
      <c r="D88" s="9" t="s">
        <v>42730</v>
      </c>
      <c r="E88" s="61">
        <v>44480.0</v>
      </c>
      <c r="F88" s="9" t="b">
        <v>1</v>
      </c>
      <c r="G88" s="9" t="s">
        <v>38801</v>
      </c>
      <c r="H88" s="9" t="s">
        <v>42576</v>
      </c>
      <c r="I88" s="9" t="b">
        <v>1</v>
      </c>
    </row>
    <row r="89" ht="15.75" customHeight="1">
      <c r="A89" s="9" t="s">
        <v>42731</v>
      </c>
      <c r="B89" s="9" t="s">
        <v>47</v>
      </c>
      <c r="C89" s="9" t="s">
        <v>39054</v>
      </c>
      <c r="D89" s="9" t="s">
        <v>42732</v>
      </c>
      <c r="E89" s="61">
        <v>44480.0</v>
      </c>
      <c r="F89" s="9" t="b">
        <v>1</v>
      </c>
      <c r="G89" s="9" t="s">
        <v>38801</v>
      </c>
      <c r="H89" s="9" t="s">
        <v>42560</v>
      </c>
      <c r="I89" s="9" t="b">
        <v>1</v>
      </c>
    </row>
    <row r="90" ht="15.75" customHeight="1">
      <c r="A90" s="9" t="s">
        <v>42733</v>
      </c>
      <c r="B90" s="9" t="s">
        <v>47</v>
      </c>
      <c r="C90" s="9" t="s">
        <v>39064</v>
      </c>
      <c r="D90" s="9" t="s">
        <v>42734</v>
      </c>
      <c r="E90" s="61">
        <v>44481.0</v>
      </c>
      <c r="F90" s="9" t="b">
        <v>1</v>
      </c>
      <c r="G90" s="9" t="s">
        <v>38801</v>
      </c>
      <c r="H90" s="9" t="s">
        <v>42576</v>
      </c>
      <c r="I90" s="9" t="b">
        <v>1</v>
      </c>
    </row>
    <row r="91" ht="15.75" customHeight="1">
      <c r="A91" s="9" t="s">
        <v>42735</v>
      </c>
      <c r="B91" s="9" t="s">
        <v>47</v>
      </c>
      <c r="C91" s="9" t="s">
        <v>39062</v>
      </c>
      <c r="D91" s="9" t="s">
        <v>42736</v>
      </c>
      <c r="E91" s="61">
        <v>44481.0</v>
      </c>
      <c r="F91" s="9" t="b">
        <v>1</v>
      </c>
      <c r="G91" s="9" t="s">
        <v>38801</v>
      </c>
      <c r="H91" s="9" t="s">
        <v>42576</v>
      </c>
      <c r="I91" s="9" t="b">
        <v>1</v>
      </c>
    </row>
    <row r="92" ht="15.75" customHeight="1">
      <c r="A92" s="9" t="s">
        <v>42737</v>
      </c>
      <c r="B92" s="9" t="s">
        <v>47</v>
      </c>
      <c r="C92" s="9" t="s">
        <v>39060</v>
      </c>
      <c r="D92" s="9" t="s">
        <v>42738</v>
      </c>
      <c r="E92" s="61">
        <v>44481.0</v>
      </c>
      <c r="F92" s="9" t="b">
        <v>1</v>
      </c>
      <c r="G92" s="9" t="s">
        <v>42573</v>
      </c>
      <c r="H92" s="9" t="s">
        <v>42576</v>
      </c>
    </row>
    <row r="93" ht="15.75" customHeight="1">
      <c r="A93" s="9" t="s">
        <v>42739</v>
      </c>
      <c r="B93" s="9" t="s">
        <v>47</v>
      </c>
      <c r="C93" s="9" t="s">
        <v>39066</v>
      </c>
      <c r="D93" s="9" t="s">
        <v>39067</v>
      </c>
      <c r="E93" s="61">
        <v>44481.0</v>
      </c>
      <c r="F93" s="9" t="b">
        <v>1</v>
      </c>
      <c r="G93" s="9" t="s">
        <v>38801</v>
      </c>
      <c r="H93" s="9" t="s">
        <v>42576</v>
      </c>
      <c r="I93" s="9" t="b">
        <v>1</v>
      </c>
    </row>
    <row r="94" ht="15.75" customHeight="1">
      <c r="A94" s="9" t="s">
        <v>42740</v>
      </c>
      <c r="B94" s="9" t="s">
        <v>47</v>
      </c>
      <c r="C94" s="9" t="s">
        <v>39056</v>
      </c>
      <c r="D94" s="9" t="s">
        <v>42741</v>
      </c>
      <c r="E94" s="61">
        <v>44481.0</v>
      </c>
      <c r="F94" s="9" t="b">
        <v>1</v>
      </c>
      <c r="G94" s="9" t="s">
        <v>42573</v>
      </c>
      <c r="H94" s="9" t="s">
        <v>42576</v>
      </c>
    </row>
    <row r="95" ht="15.75" customHeight="1">
      <c r="A95" s="9" t="s">
        <v>42742</v>
      </c>
      <c r="B95" s="9" t="s">
        <v>47</v>
      </c>
      <c r="C95" s="9" t="s">
        <v>39068</v>
      </c>
      <c r="D95" s="9" t="s">
        <v>42560</v>
      </c>
      <c r="E95" s="61">
        <v>44481.0</v>
      </c>
      <c r="F95" s="9" t="b">
        <v>1</v>
      </c>
      <c r="G95" s="9" t="s">
        <v>38801</v>
      </c>
      <c r="H95" s="9" t="s">
        <v>42576</v>
      </c>
      <c r="I95" s="9" t="b">
        <v>1</v>
      </c>
    </row>
    <row r="96" ht="15.75" customHeight="1">
      <c r="A96" s="9" t="s">
        <v>42743</v>
      </c>
      <c r="B96" s="9" t="s">
        <v>47</v>
      </c>
      <c r="C96" s="9" t="s">
        <v>38806</v>
      </c>
      <c r="D96" s="9" t="s">
        <v>42744</v>
      </c>
      <c r="E96" s="61">
        <v>44483.0</v>
      </c>
      <c r="F96" s="9" t="b">
        <v>1</v>
      </c>
      <c r="G96" s="9" t="s">
        <v>38801</v>
      </c>
      <c r="H96" s="9" t="s">
        <v>42560</v>
      </c>
      <c r="I96" s="9" t="b">
        <v>1</v>
      </c>
    </row>
    <row r="97" ht="15.75" customHeight="1">
      <c r="A97" s="9" t="s">
        <v>42745</v>
      </c>
      <c r="B97" s="9" t="s">
        <v>47</v>
      </c>
      <c r="C97" s="9" t="s">
        <v>39070</v>
      </c>
      <c r="D97" s="9" t="s">
        <v>42746</v>
      </c>
      <c r="E97" s="61">
        <v>44483.0</v>
      </c>
      <c r="F97" s="9" t="b">
        <v>1</v>
      </c>
      <c r="G97" s="9" t="s">
        <v>38801</v>
      </c>
      <c r="H97" s="9" t="s">
        <v>42560</v>
      </c>
      <c r="I97" s="9" t="b">
        <v>1</v>
      </c>
    </row>
    <row r="98" ht="15.75" customHeight="1">
      <c r="A98" s="9" t="s">
        <v>42747</v>
      </c>
      <c r="B98" s="9" t="s">
        <v>47</v>
      </c>
      <c r="C98" s="9" t="s">
        <v>39060</v>
      </c>
      <c r="D98" s="9" t="s">
        <v>42748</v>
      </c>
      <c r="E98" s="61">
        <v>44483.0</v>
      </c>
      <c r="F98" s="9" t="b">
        <v>1</v>
      </c>
      <c r="G98" s="9" t="s">
        <v>38801</v>
      </c>
      <c r="H98" s="9" t="s">
        <v>42560</v>
      </c>
      <c r="I98" s="9" t="b">
        <v>1</v>
      </c>
    </row>
    <row r="99" ht="15.75" customHeight="1">
      <c r="A99" s="9" t="s">
        <v>42749</v>
      </c>
      <c r="B99" s="9" t="s">
        <v>47</v>
      </c>
      <c r="C99" s="9" t="s">
        <v>39074</v>
      </c>
      <c r="D99" s="9" t="s">
        <v>42750</v>
      </c>
      <c r="E99" s="61">
        <v>44487.0</v>
      </c>
      <c r="F99" s="9" t="b">
        <v>1</v>
      </c>
      <c r="G99" s="9" t="s">
        <v>38801</v>
      </c>
      <c r="H99" s="9" t="s">
        <v>42576</v>
      </c>
      <c r="I99" s="9" t="b">
        <v>1</v>
      </c>
    </row>
    <row r="100" ht="15.75" customHeight="1">
      <c r="A100" s="9" t="s">
        <v>42751</v>
      </c>
      <c r="B100" s="9" t="s">
        <v>47</v>
      </c>
      <c r="C100" s="9" t="s">
        <v>39076</v>
      </c>
      <c r="D100" s="9" t="s">
        <v>42752</v>
      </c>
      <c r="E100" s="61">
        <v>44487.0</v>
      </c>
      <c r="F100" s="9" t="b">
        <v>1</v>
      </c>
      <c r="G100" s="9" t="s">
        <v>38801</v>
      </c>
      <c r="H100" s="9" t="s">
        <v>42576</v>
      </c>
      <c r="I100" s="9" t="b">
        <v>1</v>
      </c>
    </row>
    <row r="101" ht="15.75" customHeight="1">
      <c r="A101" s="9" t="s">
        <v>42753</v>
      </c>
      <c r="B101" s="9" t="s">
        <v>19</v>
      </c>
      <c r="C101" s="9" t="s">
        <v>38809</v>
      </c>
      <c r="D101" s="9" t="s">
        <v>42754</v>
      </c>
      <c r="E101" s="61">
        <v>44489.0</v>
      </c>
      <c r="F101" s="9" t="b">
        <v>1</v>
      </c>
      <c r="G101" s="9" t="s">
        <v>38801</v>
      </c>
      <c r="H101" s="9" t="s">
        <v>42576</v>
      </c>
      <c r="I101" s="9" t="b">
        <v>1</v>
      </c>
    </row>
    <row r="102" ht="15.75" customHeight="1">
      <c r="A102" s="9" t="s">
        <v>42755</v>
      </c>
      <c r="B102" s="9" t="s">
        <v>19</v>
      </c>
      <c r="C102" s="9" t="s">
        <v>39079</v>
      </c>
      <c r="D102" s="9" t="s">
        <v>42756</v>
      </c>
      <c r="E102" s="61">
        <v>44490.0</v>
      </c>
      <c r="F102" s="9" t="b">
        <v>1</v>
      </c>
      <c r="G102" s="9" t="s">
        <v>38801</v>
      </c>
      <c r="H102" s="9" t="s">
        <v>42576</v>
      </c>
      <c r="I102" s="9" t="b">
        <v>1</v>
      </c>
    </row>
    <row r="103" ht="15.75" customHeight="1">
      <c r="A103" s="9" t="s">
        <v>42757</v>
      </c>
      <c r="B103" s="9" t="s">
        <v>19</v>
      </c>
      <c r="C103" s="9" t="s">
        <v>39077</v>
      </c>
      <c r="D103" s="9" t="s">
        <v>42720</v>
      </c>
      <c r="E103" s="61">
        <v>44490.0</v>
      </c>
      <c r="F103" s="9" t="b">
        <v>1</v>
      </c>
      <c r="G103" s="9" t="s">
        <v>38801</v>
      </c>
      <c r="H103" s="9" t="s">
        <v>42576</v>
      </c>
      <c r="I103" s="9" t="b">
        <v>1</v>
      </c>
    </row>
    <row r="104" ht="15.75" customHeight="1">
      <c r="A104" s="9" t="s">
        <v>42758</v>
      </c>
      <c r="B104" s="9" t="s">
        <v>47</v>
      </c>
      <c r="C104" s="9" t="s">
        <v>39083</v>
      </c>
      <c r="D104" s="9" t="s">
        <v>42759</v>
      </c>
      <c r="E104" s="61">
        <v>44491.0</v>
      </c>
      <c r="F104" s="9" t="b">
        <v>1</v>
      </c>
      <c r="G104" s="9" t="s">
        <v>38801</v>
      </c>
      <c r="H104" s="9" t="s">
        <v>42576</v>
      </c>
      <c r="I104" s="9" t="b">
        <v>1</v>
      </c>
    </row>
    <row r="105" ht="15.75" customHeight="1">
      <c r="A105" s="9" t="s">
        <v>42760</v>
      </c>
      <c r="B105" s="9" t="s">
        <v>26</v>
      </c>
      <c r="C105" s="9" t="s">
        <v>39008</v>
      </c>
      <c r="D105" s="8" t="s">
        <v>42761</v>
      </c>
      <c r="E105" s="61">
        <v>44494.0</v>
      </c>
      <c r="F105" s="9" t="b">
        <v>1</v>
      </c>
      <c r="G105" s="9" t="s">
        <v>42573</v>
      </c>
      <c r="H105" s="9" t="s">
        <v>42560</v>
      </c>
    </row>
    <row r="106" ht="15.75" customHeight="1">
      <c r="A106" s="9" t="s">
        <v>42762</v>
      </c>
      <c r="B106" s="9" t="s">
        <v>26</v>
      </c>
      <c r="C106" s="9" t="s">
        <v>39008</v>
      </c>
      <c r="D106" s="9" t="s">
        <v>42763</v>
      </c>
      <c r="E106" s="61">
        <v>44494.0</v>
      </c>
      <c r="F106" s="9" t="b">
        <v>1</v>
      </c>
      <c r="G106" s="9" t="s">
        <v>38801</v>
      </c>
      <c r="H106" s="9" t="s">
        <v>42576</v>
      </c>
      <c r="I106" s="9" t="b">
        <v>1</v>
      </c>
    </row>
    <row r="107" ht="15.75" customHeight="1">
      <c r="A107" s="9" t="s">
        <v>42764</v>
      </c>
      <c r="B107" s="9" t="s">
        <v>26</v>
      </c>
      <c r="C107" s="9" t="s">
        <v>39006</v>
      </c>
      <c r="D107" s="9" t="s">
        <v>42765</v>
      </c>
      <c r="E107" s="61">
        <v>44494.0</v>
      </c>
      <c r="F107" s="9" t="b">
        <v>1</v>
      </c>
      <c r="G107" s="9" t="s">
        <v>42632</v>
      </c>
      <c r="H107" s="9" t="s">
        <v>42560</v>
      </c>
    </row>
    <row r="108" ht="15.75" customHeight="1">
      <c r="A108" s="9" t="s">
        <v>42766</v>
      </c>
      <c r="B108" s="9" t="s">
        <v>47</v>
      </c>
      <c r="C108" s="9" t="s">
        <v>39087</v>
      </c>
      <c r="D108" s="9" t="s">
        <v>42767</v>
      </c>
      <c r="E108" s="61">
        <v>44494.0</v>
      </c>
      <c r="F108" s="9" t="b">
        <v>1</v>
      </c>
      <c r="G108" s="9" t="s">
        <v>38801</v>
      </c>
      <c r="H108" s="9" t="s">
        <v>42576</v>
      </c>
      <c r="I108" s="9" t="b">
        <v>1</v>
      </c>
    </row>
    <row r="109" ht="15.75" customHeight="1">
      <c r="A109" s="9" t="s">
        <v>42768</v>
      </c>
      <c r="B109" s="9" t="s">
        <v>47</v>
      </c>
      <c r="C109" s="9" t="s">
        <v>39089</v>
      </c>
      <c r="D109" s="9" t="s">
        <v>42769</v>
      </c>
      <c r="E109" s="61">
        <v>44494.0</v>
      </c>
      <c r="F109" s="9" t="b">
        <v>1</v>
      </c>
      <c r="G109" s="9" t="s">
        <v>38801</v>
      </c>
      <c r="H109" s="9" t="s">
        <v>42576</v>
      </c>
      <c r="I109" s="9" t="b">
        <v>1</v>
      </c>
    </row>
    <row r="110" ht="15.75" customHeight="1">
      <c r="A110" s="9" t="s">
        <v>42770</v>
      </c>
      <c r="B110" s="9" t="s">
        <v>47</v>
      </c>
      <c r="C110" s="9" t="s">
        <v>39085</v>
      </c>
      <c r="D110" s="9" t="s">
        <v>42771</v>
      </c>
      <c r="E110" s="61">
        <v>44494.0</v>
      </c>
      <c r="F110" s="9" t="b">
        <v>1</v>
      </c>
      <c r="G110" s="9" t="s">
        <v>42573</v>
      </c>
      <c r="H110" s="9" t="s">
        <v>42576</v>
      </c>
    </row>
    <row r="111" ht="15.75" customHeight="1">
      <c r="A111" s="9" t="s">
        <v>42772</v>
      </c>
      <c r="B111" s="9" t="s">
        <v>19</v>
      </c>
      <c r="C111" s="9" t="s">
        <v>38866</v>
      </c>
      <c r="D111" s="9" t="s">
        <v>42773</v>
      </c>
      <c r="E111" s="61">
        <v>44494.0</v>
      </c>
      <c r="F111" s="9" t="b">
        <v>1</v>
      </c>
      <c r="G111" s="9" t="s">
        <v>38801</v>
      </c>
      <c r="H111" s="9" t="s">
        <v>42576</v>
      </c>
      <c r="I111" s="9" t="b">
        <v>1</v>
      </c>
    </row>
    <row r="112" ht="15.75" customHeight="1">
      <c r="A112" s="9" t="s">
        <v>42774</v>
      </c>
      <c r="B112" s="9" t="s">
        <v>47</v>
      </c>
      <c r="C112" s="9" t="s">
        <v>39085</v>
      </c>
      <c r="D112" s="9" t="s">
        <v>42775</v>
      </c>
      <c r="E112" s="61">
        <v>44495.0</v>
      </c>
      <c r="F112" s="9" t="b">
        <v>1</v>
      </c>
      <c r="G112" s="9" t="s">
        <v>38801</v>
      </c>
      <c r="H112" s="9" t="s">
        <v>42576</v>
      </c>
      <c r="I112" s="9" t="b">
        <v>1</v>
      </c>
    </row>
    <row r="113" ht="15.75" customHeight="1">
      <c r="A113" s="9" t="s">
        <v>42776</v>
      </c>
      <c r="B113" s="9" t="s">
        <v>26</v>
      </c>
      <c r="C113" s="9" t="s">
        <v>38947</v>
      </c>
      <c r="D113" s="9" t="s">
        <v>42777</v>
      </c>
      <c r="E113" s="61">
        <v>44495.0</v>
      </c>
      <c r="F113" s="9" t="b">
        <v>1</v>
      </c>
      <c r="G113" s="9" t="s">
        <v>42573</v>
      </c>
      <c r="H113" s="9" t="s">
        <v>42560</v>
      </c>
    </row>
    <row r="114" ht="15.75" customHeight="1">
      <c r="A114" s="9" t="s">
        <v>42778</v>
      </c>
      <c r="B114" s="9" t="s">
        <v>47</v>
      </c>
      <c r="C114" s="9" t="s">
        <v>39103</v>
      </c>
      <c r="D114" s="9" t="s">
        <v>42560</v>
      </c>
      <c r="E114" s="61">
        <v>44498.0</v>
      </c>
      <c r="F114" s="9" t="b">
        <v>1</v>
      </c>
      <c r="G114" s="9" t="s">
        <v>38801</v>
      </c>
      <c r="H114" s="9" t="s">
        <v>42576</v>
      </c>
      <c r="I114" s="9" t="b">
        <v>1</v>
      </c>
    </row>
    <row r="115" ht="15.75" customHeight="1">
      <c r="A115" s="9" t="s">
        <v>42779</v>
      </c>
      <c r="B115" s="9" t="s">
        <v>26</v>
      </c>
      <c r="C115" s="9" t="s">
        <v>38864</v>
      </c>
      <c r="D115" s="9" t="s">
        <v>42780</v>
      </c>
      <c r="E115" s="61">
        <v>44498.0</v>
      </c>
      <c r="F115" s="9" t="b">
        <v>1</v>
      </c>
      <c r="G115" s="9" t="s">
        <v>38801</v>
      </c>
      <c r="H115" s="9" t="s">
        <v>42560</v>
      </c>
      <c r="I115" s="9" t="b">
        <v>1</v>
      </c>
    </row>
    <row r="116" ht="15.75" customHeight="1">
      <c r="A116" s="52" t="s">
        <v>42781</v>
      </c>
      <c r="B116" s="9" t="s">
        <v>84</v>
      </c>
      <c r="C116" s="9" t="s">
        <v>39024</v>
      </c>
      <c r="D116" s="9" t="s">
        <v>42660</v>
      </c>
      <c r="E116" s="61">
        <v>44498.0</v>
      </c>
      <c r="F116" s="9" t="b">
        <v>1</v>
      </c>
      <c r="G116" s="9" t="s">
        <v>38801</v>
      </c>
      <c r="H116" s="9" t="s">
        <v>42560</v>
      </c>
      <c r="I116" s="9" t="b">
        <v>1</v>
      </c>
    </row>
    <row r="117" ht="15.75" customHeight="1">
      <c r="A117" s="9" t="s">
        <v>42782</v>
      </c>
      <c r="B117" s="9" t="s">
        <v>47</v>
      </c>
      <c r="C117" s="9" t="s">
        <v>39109</v>
      </c>
      <c r="D117" s="9" t="s">
        <v>42783</v>
      </c>
      <c r="E117" s="61">
        <v>44498.0</v>
      </c>
      <c r="F117" s="9" t="b">
        <v>1</v>
      </c>
      <c r="G117" s="9" t="s">
        <v>38801</v>
      </c>
      <c r="H117" s="9" t="s">
        <v>42576</v>
      </c>
      <c r="I117" s="9" t="b">
        <v>1</v>
      </c>
    </row>
    <row r="118" ht="15.75" customHeight="1">
      <c r="A118" s="9" t="s">
        <v>42784</v>
      </c>
      <c r="B118" s="9" t="s">
        <v>47</v>
      </c>
      <c r="C118" s="9" t="s">
        <v>39107</v>
      </c>
      <c r="D118" s="9" t="s">
        <v>42785</v>
      </c>
      <c r="E118" s="61">
        <v>44498.0</v>
      </c>
      <c r="F118" s="9" t="b">
        <v>1</v>
      </c>
      <c r="G118" s="9" t="s">
        <v>38801</v>
      </c>
      <c r="H118" s="9" t="s">
        <v>42576</v>
      </c>
      <c r="I118" s="9" t="b">
        <v>1</v>
      </c>
    </row>
    <row r="119" ht="15.75" customHeight="1">
      <c r="A119" s="9" t="s">
        <v>42786</v>
      </c>
      <c r="B119" s="9" t="s">
        <v>47</v>
      </c>
      <c r="C119" s="9" t="s">
        <v>39099</v>
      </c>
      <c r="D119" s="9" t="s">
        <v>42787</v>
      </c>
      <c r="E119" s="61">
        <v>44498.0</v>
      </c>
      <c r="F119" s="9" t="b">
        <v>1</v>
      </c>
      <c r="G119" s="9" t="s">
        <v>42573</v>
      </c>
      <c r="H119" s="9" t="s">
        <v>42576</v>
      </c>
    </row>
    <row r="120" ht="15.75" customHeight="1">
      <c r="A120" s="9" t="s">
        <v>42788</v>
      </c>
      <c r="B120" s="9" t="s">
        <v>84</v>
      </c>
      <c r="C120" s="9" t="s">
        <v>39058</v>
      </c>
      <c r="D120" s="9" t="s">
        <v>42560</v>
      </c>
      <c r="E120" s="61">
        <v>44498.0</v>
      </c>
      <c r="F120" s="9" t="b">
        <v>1</v>
      </c>
      <c r="G120" s="9" t="s">
        <v>38801</v>
      </c>
      <c r="H120" s="9" t="s">
        <v>42560</v>
      </c>
      <c r="I120" s="9" t="b">
        <v>1</v>
      </c>
    </row>
    <row r="121" ht="15.75" customHeight="1">
      <c r="A121" s="9" t="s">
        <v>42789</v>
      </c>
      <c r="B121" s="9" t="s">
        <v>84</v>
      </c>
      <c r="C121" s="9" t="s">
        <v>39105</v>
      </c>
      <c r="D121" s="9" t="s">
        <v>42790</v>
      </c>
      <c r="E121" s="61">
        <v>44498.0</v>
      </c>
      <c r="F121" s="9" t="b">
        <v>1</v>
      </c>
      <c r="G121" s="9" t="s">
        <v>38801</v>
      </c>
      <c r="H121" s="9" t="s">
        <v>42560</v>
      </c>
      <c r="I121" s="9" t="b">
        <v>1</v>
      </c>
    </row>
    <row r="122" ht="15.75" customHeight="1">
      <c r="A122" s="9" t="s">
        <v>42791</v>
      </c>
      <c r="B122" s="9" t="s">
        <v>19</v>
      </c>
      <c r="C122" s="9" t="s">
        <v>38977</v>
      </c>
      <c r="D122" s="9" t="s">
        <v>42792</v>
      </c>
      <c r="E122" s="56">
        <v>44502.0</v>
      </c>
      <c r="F122" s="9" t="b">
        <v>1</v>
      </c>
      <c r="G122" s="9" t="s">
        <v>42573</v>
      </c>
      <c r="H122" s="9" t="s">
        <v>42576</v>
      </c>
    </row>
    <row r="123" ht="15.75" customHeight="1">
      <c r="A123" s="9" t="s">
        <v>42793</v>
      </c>
      <c r="B123" s="9" t="s">
        <v>47</v>
      </c>
      <c r="C123" s="9" t="s">
        <v>39113</v>
      </c>
      <c r="D123" s="9" t="s">
        <v>42794</v>
      </c>
      <c r="E123" s="56">
        <v>44503.0</v>
      </c>
      <c r="F123" s="9" t="b">
        <v>1</v>
      </c>
      <c r="G123" s="9" t="s">
        <v>42585</v>
      </c>
      <c r="H123" s="9" t="s">
        <v>42576</v>
      </c>
    </row>
    <row r="124" ht="15.75" customHeight="1">
      <c r="A124" s="9" t="s">
        <v>42795</v>
      </c>
      <c r="B124" s="9" t="s">
        <v>47</v>
      </c>
      <c r="C124" s="9" t="s">
        <v>39117</v>
      </c>
      <c r="D124" s="9" t="s">
        <v>42796</v>
      </c>
      <c r="E124" s="56">
        <v>44503.0</v>
      </c>
      <c r="F124" s="9" t="b">
        <v>1</v>
      </c>
      <c r="G124" s="9" t="s">
        <v>38801</v>
      </c>
      <c r="H124" s="9" t="s">
        <v>42576</v>
      </c>
      <c r="I124" s="9" t="b">
        <v>1</v>
      </c>
    </row>
    <row r="125" ht="15.75" customHeight="1">
      <c r="A125" s="9" t="s">
        <v>42797</v>
      </c>
      <c r="B125" s="9" t="s">
        <v>47</v>
      </c>
      <c r="C125" s="9" t="s">
        <v>39115</v>
      </c>
      <c r="D125" s="9" t="s">
        <v>42798</v>
      </c>
      <c r="E125" s="56">
        <v>44503.0</v>
      </c>
      <c r="F125" s="9" t="b">
        <v>1</v>
      </c>
      <c r="G125" s="9" t="s">
        <v>42573</v>
      </c>
      <c r="H125" s="9" t="s">
        <v>42576</v>
      </c>
    </row>
    <row r="126" ht="15.75" customHeight="1">
      <c r="A126" s="9" t="s">
        <v>42799</v>
      </c>
      <c r="B126" s="9" t="s">
        <v>26</v>
      </c>
      <c r="C126" s="9" t="s">
        <v>38996</v>
      </c>
      <c r="D126" s="9" t="s">
        <v>42800</v>
      </c>
      <c r="E126" s="56">
        <v>44504.0</v>
      </c>
      <c r="F126" s="9" t="b">
        <v>1</v>
      </c>
      <c r="G126" s="9" t="s">
        <v>38801</v>
      </c>
      <c r="H126" s="9" t="s">
        <v>42560</v>
      </c>
      <c r="I126" s="9" t="b">
        <v>1</v>
      </c>
    </row>
    <row r="127" ht="15.75" customHeight="1">
      <c r="A127" s="9" t="s">
        <v>42801</v>
      </c>
      <c r="B127" s="9" t="s">
        <v>26</v>
      </c>
      <c r="C127" s="9" t="s">
        <v>39101</v>
      </c>
      <c r="D127" s="9" t="s">
        <v>42802</v>
      </c>
      <c r="E127" s="56">
        <v>44504.0</v>
      </c>
      <c r="F127" s="9" t="b">
        <v>1</v>
      </c>
      <c r="G127" s="9" t="s">
        <v>38801</v>
      </c>
      <c r="H127" s="9" t="s">
        <v>42560</v>
      </c>
      <c r="I127" s="9" t="b">
        <v>1</v>
      </c>
    </row>
    <row r="128" ht="15.75" customHeight="1">
      <c r="A128" s="9" t="s">
        <v>42803</v>
      </c>
      <c r="B128" s="9" t="s">
        <v>26</v>
      </c>
      <c r="C128" s="9" t="s">
        <v>39097</v>
      </c>
      <c r="D128" s="9" t="s">
        <v>42804</v>
      </c>
      <c r="E128" s="56">
        <v>44504.0</v>
      </c>
      <c r="F128" s="9" t="b">
        <v>1</v>
      </c>
      <c r="G128" s="9" t="s">
        <v>42573</v>
      </c>
      <c r="H128" s="9" t="s">
        <v>42560</v>
      </c>
    </row>
    <row r="129" ht="15.75" customHeight="1">
      <c r="A129" s="9" t="s">
        <v>42805</v>
      </c>
      <c r="B129" s="9" t="s">
        <v>84</v>
      </c>
      <c r="C129" s="9" t="s">
        <v>39095</v>
      </c>
      <c r="D129" s="9" t="s">
        <v>42660</v>
      </c>
      <c r="E129" s="56">
        <v>44505.0</v>
      </c>
      <c r="F129" s="9" t="b">
        <v>1</v>
      </c>
      <c r="G129" s="9" t="s">
        <v>38801</v>
      </c>
      <c r="H129" s="9" t="s">
        <v>42560</v>
      </c>
      <c r="I129" s="9" t="b">
        <v>1</v>
      </c>
    </row>
    <row r="130" ht="15.75" customHeight="1">
      <c r="A130" s="9" t="s">
        <v>42806</v>
      </c>
      <c r="B130" s="9" t="s">
        <v>84</v>
      </c>
      <c r="C130" s="9" t="s">
        <v>39111</v>
      </c>
      <c r="D130" s="9" t="s">
        <v>42790</v>
      </c>
      <c r="E130" s="56">
        <v>44505.0</v>
      </c>
      <c r="F130" s="9" t="b">
        <v>1</v>
      </c>
      <c r="G130" s="9" t="s">
        <v>38801</v>
      </c>
      <c r="H130" s="9" t="s">
        <v>42560</v>
      </c>
      <c r="I130" s="9" t="b">
        <v>1</v>
      </c>
    </row>
    <row r="131" ht="15.75" customHeight="1">
      <c r="A131" s="9" t="s">
        <v>42807</v>
      </c>
      <c r="B131" s="9" t="s">
        <v>26</v>
      </c>
      <c r="C131" s="9" t="s">
        <v>39120</v>
      </c>
      <c r="D131" s="9" t="s">
        <v>42808</v>
      </c>
      <c r="E131" s="56">
        <v>44505.0</v>
      </c>
      <c r="F131" s="9" t="b">
        <v>1</v>
      </c>
      <c r="G131" s="9" t="s">
        <v>42573</v>
      </c>
      <c r="H131" s="9" t="s">
        <v>42560</v>
      </c>
    </row>
    <row r="132" ht="15.75" customHeight="1">
      <c r="A132" s="9" t="s">
        <v>42809</v>
      </c>
      <c r="B132" s="9" t="s">
        <v>26</v>
      </c>
      <c r="C132" s="9" t="s">
        <v>38908</v>
      </c>
      <c r="D132" s="9" t="s">
        <v>42810</v>
      </c>
      <c r="E132" s="56">
        <v>44508.0</v>
      </c>
      <c r="F132" s="9" t="b">
        <v>1</v>
      </c>
      <c r="G132" s="9" t="s">
        <v>42585</v>
      </c>
      <c r="H132" s="9" t="s">
        <v>38800</v>
      </c>
    </row>
    <row r="133" ht="15.75" customHeight="1">
      <c r="A133" s="9" t="s">
        <v>42811</v>
      </c>
      <c r="B133" s="9" t="s">
        <v>47</v>
      </c>
      <c r="C133" s="9" t="s">
        <v>39132</v>
      </c>
      <c r="D133" s="9" t="s">
        <v>42812</v>
      </c>
      <c r="E133" s="56">
        <v>44508.0</v>
      </c>
      <c r="F133" s="9" t="b">
        <v>1</v>
      </c>
      <c r="G133" s="9" t="s">
        <v>42573</v>
      </c>
      <c r="H133" s="9" t="s">
        <v>42576</v>
      </c>
    </row>
    <row r="134" ht="15.75" customHeight="1">
      <c r="A134" s="9" t="s">
        <v>42813</v>
      </c>
      <c r="B134" s="9" t="s">
        <v>47</v>
      </c>
      <c r="C134" s="9" t="s">
        <v>39115</v>
      </c>
      <c r="D134" s="9" t="s">
        <v>42814</v>
      </c>
      <c r="E134" s="56">
        <v>44509.0</v>
      </c>
      <c r="F134" s="9" t="b">
        <v>1</v>
      </c>
      <c r="G134" s="9" t="s">
        <v>38801</v>
      </c>
      <c r="H134" s="9" t="s">
        <v>42576</v>
      </c>
      <c r="I134" s="9" t="b">
        <v>1</v>
      </c>
    </row>
    <row r="135" ht="15.75" customHeight="1">
      <c r="A135" s="9" t="s">
        <v>42815</v>
      </c>
      <c r="B135" s="9" t="s">
        <v>47</v>
      </c>
      <c r="C135" s="9" t="s">
        <v>39124</v>
      </c>
      <c r="D135" s="9" t="s">
        <v>42816</v>
      </c>
      <c r="E135" s="56">
        <v>44509.0</v>
      </c>
      <c r="F135" s="9" t="b">
        <v>1</v>
      </c>
      <c r="G135" s="9" t="s">
        <v>42573</v>
      </c>
      <c r="H135" s="9" t="s">
        <v>42576</v>
      </c>
    </row>
    <row r="136" ht="15.75" customHeight="1">
      <c r="A136" s="9" t="s">
        <v>42817</v>
      </c>
      <c r="B136" s="9" t="s">
        <v>47</v>
      </c>
      <c r="C136" s="9" t="s">
        <v>39040</v>
      </c>
      <c r="D136" s="9" t="s">
        <v>42818</v>
      </c>
      <c r="E136" s="56">
        <v>44509.0</v>
      </c>
      <c r="F136" s="9" t="b">
        <v>1</v>
      </c>
      <c r="G136" s="9" t="s">
        <v>42573</v>
      </c>
      <c r="H136" s="9" t="s">
        <v>42576</v>
      </c>
    </row>
    <row r="137" ht="15.75" customHeight="1">
      <c r="A137" s="9" t="s">
        <v>42819</v>
      </c>
      <c r="B137" s="9" t="s">
        <v>52</v>
      </c>
      <c r="C137" s="9" t="s">
        <v>42820</v>
      </c>
      <c r="D137" s="9" t="s">
        <v>42821</v>
      </c>
      <c r="E137" s="56">
        <v>44509.0</v>
      </c>
      <c r="F137" s="9" t="b">
        <v>1</v>
      </c>
      <c r="G137" s="9" t="s">
        <v>38801</v>
      </c>
      <c r="H137" s="9" t="s">
        <v>42560</v>
      </c>
      <c r="I137" s="9" t="b">
        <v>1</v>
      </c>
    </row>
    <row r="138" ht="15.75" customHeight="1">
      <c r="A138" s="9" t="s">
        <v>42822</v>
      </c>
      <c r="B138" s="9" t="s">
        <v>47</v>
      </c>
      <c r="C138" s="9" t="s">
        <v>39147</v>
      </c>
      <c r="D138" s="9" t="s">
        <v>42823</v>
      </c>
      <c r="E138" s="61">
        <v>44510.0</v>
      </c>
      <c r="F138" s="9" t="b">
        <v>1</v>
      </c>
      <c r="G138" s="9" t="s">
        <v>38801</v>
      </c>
      <c r="H138" s="9" t="s">
        <v>42576</v>
      </c>
      <c r="I138" s="9" t="b">
        <v>1</v>
      </c>
    </row>
    <row r="139" ht="15.75" customHeight="1">
      <c r="A139" s="9" t="s">
        <v>42824</v>
      </c>
      <c r="B139" s="9" t="s">
        <v>47</v>
      </c>
      <c r="C139" s="9" t="s">
        <v>39130</v>
      </c>
      <c r="D139" s="9" t="s">
        <v>42825</v>
      </c>
      <c r="E139" s="61">
        <v>44510.0</v>
      </c>
      <c r="F139" s="9" t="b">
        <v>1</v>
      </c>
      <c r="G139" s="9" t="s">
        <v>38801</v>
      </c>
      <c r="H139" s="9" t="s">
        <v>42576</v>
      </c>
      <c r="I139" s="9" t="b">
        <v>1</v>
      </c>
    </row>
    <row r="140" ht="15.75" customHeight="1">
      <c r="A140" s="9" t="s">
        <v>42826</v>
      </c>
      <c r="B140" s="9" t="s">
        <v>47</v>
      </c>
      <c r="C140" s="9" t="s">
        <v>39163</v>
      </c>
      <c r="D140" s="9" t="s">
        <v>42827</v>
      </c>
      <c r="E140" s="61">
        <v>44510.0</v>
      </c>
      <c r="F140" s="9" t="b">
        <v>1</v>
      </c>
      <c r="G140" s="9" t="s">
        <v>38801</v>
      </c>
      <c r="H140" s="9" t="s">
        <v>42576</v>
      </c>
      <c r="I140" s="9" t="b">
        <v>1</v>
      </c>
    </row>
    <row r="141" ht="15.75" customHeight="1">
      <c r="A141" s="9" t="s">
        <v>42828</v>
      </c>
      <c r="B141" s="9" t="s">
        <v>52</v>
      </c>
      <c r="C141" s="9" t="s">
        <v>39149</v>
      </c>
      <c r="D141" s="9" t="s">
        <v>42829</v>
      </c>
      <c r="E141" s="61">
        <v>44512.0</v>
      </c>
      <c r="F141" s="9" t="b">
        <v>1</v>
      </c>
      <c r="G141" s="9" t="s">
        <v>42573</v>
      </c>
      <c r="H141" s="9" t="s">
        <v>42576</v>
      </c>
    </row>
    <row r="142" ht="15.75" customHeight="1">
      <c r="A142" s="9" t="s">
        <v>42830</v>
      </c>
      <c r="B142" s="9" t="s">
        <v>26</v>
      </c>
      <c r="C142" s="9" t="s">
        <v>39161</v>
      </c>
      <c r="D142" s="9" t="s">
        <v>42831</v>
      </c>
      <c r="E142" s="61">
        <v>44515.0</v>
      </c>
      <c r="F142" s="9" t="b">
        <v>1</v>
      </c>
      <c r="G142" s="9" t="s">
        <v>38801</v>
      </c>
      <c r="H142" s="9" t="s">
        <v>42560</v>
      </c>
      <c r="I142" s="9" t="b">
        <v>1</v>
      </c>
    </row>
    <row r="143" ht="15.75" customHeight="1">
      <c r="A143" s="9" t="s">
        <v>42832</v>
      </c>
      <c r="B143" s="9" t="s">
        <v>26</v>
      </c>
      <c r="C143" s="9" t="s">
        <v>39149</v>
      </c>
      <c r="D143" s="9" t="s">
        <v>42833</v>
      </c>
      <c r="E143" s="61">
        <v>44515.0</v>
      </c>
      <c r="F143" s="9" t="b">
        <v>1</v>
      </c>
      <c r="G143" s="9" t="s">
        <v>38801</v>
      </c>
      <c r="H143" s="9" t="s">
        <v>42560</v>
      </c>
      <c r="I143" s="9" t="b">
        <v>1</v>
      </c>
    </row>
    <row r="144" ht="15.75" customHeight="1">
      <c r="A144" s="9" t="s">
        <v>42834</v>
      </c>
      <c r="B144" s="9" t="s">
        <v>26</v>
      </c>
      <c r="C144" s="9" t="s">
        <v>39157</v>
      </c>
      <c r="D144" s="9" t="s">
        <v>42835</v>
      </c>
      <c r="E144" s="61">
        <v>44515.0</v>
      </c>
      <c r="F144" s="9" t="b">
        <v>1</v>
      </c>
      <c r="G144" s="9" t="s">
        <v>38801</v>
      </c>
      <c r="H144" s="9" t="s">
        <v>42560</v>
      </c>
      <c r="I144" s="9" t="b">
        <v>1</v>
      </c>
    </row>
    <row r="145" ht="15.75" customHeight="1">
      <c r="A145" s="9" t="s">
        <v>42836</v>
      </c>
      <c r="B145" s="9" t="s">
        <v>26</v>
      </c>
      <c r="C145" s="9" t="s">
        <v>39159</v>
      </c>
      <c r="D145" s="9" t="s">
        <v>42837</v>
      </c>
      <c r="E145" s="61">
        <v>44515.0</v>
      </c>
      <c r="F145" s="9" t="b">
        <v>1</v>
      </c>
      <c r="G145" s="9" t="s">
        <v>38801</v>
      </c>
      <c r="H145" s="9" t="s">
        <v>42560</v>
      </c>
      <c r="I145" s="9" t="b">
        <v>1</v>
      </c>
    </row>
    <row r="146" ht="15.75" customHeight="1">
      <c r="A146" s="9" t="s">
        <v>42838</v>
      </c>
      <c r="B146" s="9" t="s">
        <v>26</v>
      </c>
      <c r="C146" s="9" t="s">
        <v>39006</v>
      </c>
      <c r="D146" s="9" t="s">
        <v>42839</v>
      </c>
      <c r="E146" s="61">
        <v>44515.0</v>
      </c>
      <c r="F146" s="9" t="b">
        <v>1</v>
      </c>
      <c r="G146" s="9" t="s">
        <v>42632</v>
      </c>
      <c r="H146" s="9" t="s">
        <v>38800</v>
      </c>
    </row>
    <row r="147" ht="15.75" customHeight="1">
      <c r="A147" s="9" t="s">
        <v>42840</v>
      </c>
      <c r="B147" s="9" t="s">
        <v>47</v>
      </c>
      <c r="C147" s="9" t="s">
        <v>39155</v>
      </c>
      <c r="D147" s="9" t="s">
        <v>42841</v>
      </c>
      <c r="E147" s="61">
        <v>44516.0</v>
      </c>
      <c r="F147" s="9" t="b">
        <v>1</v>
      </c>
      <c r="G147" s="9" t="s">
        <v>42573</v>
      </c>
      <c r="H147" s="9" t="s">
        <v>42576</v>
      </c>
    </row>
    <row r="148" ht="15.75" customHeight="1">
      <c r="A148" s="9" t="s">
        <v>42842</v>
      </c>
      <c r="B148" s="9" t="s">
        <v>47</v>
      </c>
      <c r="C148" s="9" t="s">
        <v>38849</v>
      </c>
      <c r="D148" s="9" t="s">
        <v>42843</v>
      </c>
      <c r="E148" s="61">
        <v>44516.0</v>
      </c>
      <c r="F148" s="9" t="b">
        <v>1</v>
      </c>
      <c r="G148" s="9" t="s">
        <v>38801</v>
      </c>
      <c r="H148" s="9" t="s">
        <v>42576</v>
      </c>
      <c r="I148" s="9" t="b">
        <v>1</v>
      </c>
    </row>
    <row r="149" ht="15.75" customHeight="1">
      <c r="A149" s="9" t="s">
        <v>42844</v>
      </c>
      <c r="B149" s="9" t="s">
        <v>26</v>
      </c>
      <c r="C149" s="9" t="s">
        <v>38900</v>
      </c>
      <c r="D149" s="9" t="s">
        <v>42845</v>
      </c>
      <c r="E149" s="61">
        <v>44516.0</v>
      </c>
      <c r="F149" s="9" t="b">
        <v>1</v>
      </c>
      <c r="G149" s="9" t="s">
        <v>42585</v>
      </c>
      <c r="H149" s="9" t="s">
        <v>42560</v>
      </c>
    </row>
    <row r="150" ht="15.75" customHeight="1">
      <c r="A150" s="9" t="s">
        <v>42846</v>
      </c>
      <c r="B150" s="9" t="s">
        <v>19</v>
      </c>
      <c r="C150" s="9" t="s">
        <v>38798</v>
      </c>
      <c r="D150" s="9" t="s">
        <v>42847</v>
      </c>
      <c r="E150" s="61">
        <v>44517.0</v>
      </c>
      <c r="F150" s="9" t="b">
        <v>1</v>
      </c>
      <c r="G150" s="9" t="s">
        <v>38801</v>
      </c>
      <c r="H150" s="9" t="s">
        <v>42560</v>
      </c>
      <c r="I150" s="9" t="b">
        <v>1</v>
      </c>
    </row>
    <row r="151" ht="15.75" customHeight="1">
      <c r="A151" s="52" t="s">
        <v>42848</v>
      </c>
      <c r="B151" s="9" t="s">
        <v>47</v>
      </c>
      <c r="C151" s="9" t="s">
        <v>39124</v>
      </c>
      <c r="D151" s="9" t="s">
        <v>42849</v>
      </c>
      <c r="E151" s="61">
        <v>44518.0</v>
      </c>
      <c r="F151" s="9" t="b">
        <v>1</v>
      </c>
      <c r="G151" s="9" t="s">
        <v>42573</v>
      </c>
      <c r="H151" s="9" t="s">
        <v>42576</v>
      </c>
    </row>
    <row r="152" ht="15.75" customHeight="1">
      <c r="A152" s="9" t="s">
        <v>42850</v>
      </c>
      <c r="B152" s="9" t="s">
        <v>52</v>
      </c>
      <c r="C152" s="9" t="s">
        <v>39185</v>
      </c>
      <c r="D152" s="9" t="s">
        <v>42851</v>
      </c>
      <c r="E152" s="61">
        <v>44518.0</v>
      </c>
      <c r="F152" s="9" t="b">
        <v>1</v>
      </c>
      <c r="G152" s="9" t="s">
        <v>38801</v>
      </c>
      <c r="H152" s="9" t="s">
        <v>42560</v>
      </c>
      <c r="I152" s="9" t="b">
        <v>1</v>
      </c>
    </row>
    <row r="153" ht="15.75" customHeight="1">
      <c r="A153" s="9" t="s">
        <v>42852</v>
      </c>
      <c r="B153" s="9" t="s">
        <v>52</v>
      </c>
      <c r="C153" s="9" t="s">
        <v>39191</v>
      </c>
      <c r="D153" s="9" t="s">
        <v>42853</v>
      </c>
      <c r="E153" s="61">
        <v>44518.0</v>
      </c>
      <c r="F153" s="9" t="b">
        <v>1</v>
      </c>
      <c r="G153" s="9" t="s">
        <v>38801</v>
      </c>
      <c r="H153" s="9" t="s">
        <v>42560</v>
      </c>
      <c r="I153" s="9" t="b">
        <v>1</v>
      </c>
    </row>
    <row r="154" ht="15.75" customHeight="1">
      <c r="A154" s="9" t="s">
        <v>42854</v>
      </c>
      <c r="B154" s="9" t="s">
        <v>52</v>
      </c>
      <c r="C154" s="9" t="s">
        <v>39171</v>
      </c>
      <c r="D154" s="9" t="s">
        <v>42855</v>
      </c>
      <c r="E154" s="61">
        <v>44519.0</v>
      </c>
      <c r="F154" s="9" t="b">
        <v>1</v>
      </c>
      <c r="G154" s="9" t="s">
        <v>42585</v>
      </c>
      <c r="H154" s="9" t="s">
        <v>42560</v>
      </c>
    </row>
    <row r="155" ht="15.75" customHeight="1">
      <c r="A155" s="9" t="s">
        <v>42856</v>
      </c>
      <c r="B155" s="9" t="s">
        <v>47</v>
      </c>
      <c r="C155" s="9" t="s">
        <v>39205</v>
      </c>
      <c r="D155" s="9" t="s">
        <v>42857</v>
      </c>
      <c r="E155" s="61">
        <v>44519.0</v>
      </c>
      <c r="F155" s="9" t="b">
        <v>1</v>
      </c>
      <c r="G155" s="9" t="s">
        <v>38801</v>
      </c>
      <c r="H155" s="9" t="s">
        <v>42576</v>
      </c>
      <c r="I155" s="9" t="b">
        <v>1</v>
      </c>
    </row>
    <row r="156" ht="15.75" customHeight="1">
      <c r="A156" s="9" t="s">
        <v>42858</v>
      </c>
      <c r="B156" s="9" t="s">
        <v>47</v>
      </c>
      <c r="C156" s="9" t="s">
        <v>39171</v>
      </c>
      <c r="D156" s="9" t="s">
        <v>42560</v>
      </c>
      <c r="E156" s="61">
        <v>44519.0</v>
      </c>
      <c r="F156" s="9" t="b">
        <v>1</v>
      </c>
      <c r="G156" s="9" t="s">
        <v>38801</v>
      </c>
      <c r="H156" s="9" t="s">
        <v>42576</v>
      </c>
      <c r="I156" s="9" t="b">
        <v>1</v>
      </c>
    </row>
    <row r="157" ht="15.75" customHeight="1">
      <c r="A157" s="9" t="s">
        <v>42859</v>
      </c>
      <c r="B157" s="9" t="s">
        <v>47</v>
      </c>
      <c r="C157" s="9" t="s">
        <v>39187</v>
      </c>
      <c r="D157" s="9" t="s">
        <v>42860</v>
      </c>
      <c r="E157" s="61">
        <v>44519.0</v>
      </c>
      <c r="F157" s="9" t="b">
        <v>1</v>
      </c>
      <c r="G157" s="9" t="s">
        <v>38801</v>
      </c>
      <c r="H157" s="9" t="s">
        <v>42576</v>
      </c>
      <c r="I157" s="9" t="b">
        <v>1</v>
      </c>
    </row>
    <row r="158" ht="15.75" customHeight="1">
      <c r="A158" s="52" t="s">
        <v>42861</v>
      </c>
      <c r="B158" s="9" t="s">
        <v>47</v>
      </c>
      <c r="C158" s="9" t="s">
        <v>39099</v>
      </c>
      <c r="D158" s="9" t="s">
        <v>42756</v>
      </c>
      <c r="E158" s="61">
        <v>44519.0</v>
      </c>
      <c r="F158" s="9" t="b">
        <v>1</v>
      </c>
      <c r="G158" s="9" t="s">
        <v>38801</v>
      </c>
      <c r="H158" s="9" t="s">
        <v>42576</v>
      </c>
      <c r="I158" s="9" t="b">
        <v>1</v>
      </c>
    </row>
    <row r="159" ht="15.75" customHeight="1">
      <c r="A159" s="9" t="s">
        <v>42862</v>
      </c>
      <c r="B159" s="9" t="s">
        <v>47</v>
      </c>
      <c r="C159" s="9" t="s">
        <v>39081</v>
      </c>
      <c r="D159" s="9" t="s">
        <v>42863</v>
      </c>
      <c r="E159" s="61">
        <v>44519.0</v>
      </c>
      <c r="F159" s="9" t="b">
        <v>1</v>
      </c>
      <c r="G159" s="9" t="s">
        <v>42573</v>
      </c>
      <c r="H159" s="9" t="s">
        <v>42560</v>
      </c>
    </row>
    <row r="160" ht="15.75" customHeight="1">
      <c r="A160" s="9" t="s">
        <v>42864</v>
      </c>
      <c r="B160" s="9" t="s">
        <v>26</v>
      </c>
      <c r="C160" s="9" t="s">
        <v>39201</v>
      </c>
      <c r="D160" s="9" t="s">
        <v>42865</v>
      </c>
      <c r="E160" s="61">
        <v>44519.0</v>
      </c>
      <c r="F160" s="9" t="b">
        <v>1</v>
      </c>
      <c r="G160" s="9" t="s">
        <v>42573</v>
      </c>
      <c r="H160" s="9" t="s">
        <v>42560</v>
      </c>
    </row>
    <row r="161" ht="15.75" customHeight="1">
      <c r="A161" s="9" t="s">
        <v>42866</v>
      </c>
      <c r="B161" s="9" t="s">
        <v>47</v>
      </c>
      <c r="C161" s="9" t="s">
        <v>39081</v>
      </c>
      <c r="D161" s="9" t="s">
        <v>42867</v>
      </c>
      <c r="E161" s="61">
        <v>44519.0</v>
      </c>
      <c r="F161" s="9" t="b">
        <v>1</v>
      </c>
      <c r="G161" s="9" t="s">
        <v>42573</v>
      </c>
      <c r="H161" s="9" t="s">
        <v>42576</v>
      </c>
    </row>
    <row r="162" ht="15.75" customHeight="1">
      <c r="A162" s="9" t="s">
        <v>42868</v>
      </c>
      <c r="B162" s="9" t="s">
        <v>47</v>
      </c>
      <c r="C162" s="9" t="s">
        <v>39197</v>
      </c>
      <c r="D162" s="9" t="s">
        <v>42869</v>
      </c>
      <c r="E162" s="61">
        <v>44519.0</v>
      </c>
      <c r="F162" s="9" t="b">
        <v>1</v>
      </c>
      <c r="G162" s="9" t="s">
        <v>42573</v>
      </c>
      <c r="H162" s="9" t="s">
        <v>42560</v>
      </c>
    </row>
    <row r="163" ht="15.75" customHeight="1">
      <c r="A163" s="9" t="s">
        <v>42870</v>
      </c>
      <c r="B163" s="9" t="s">
        <v>52</v>
      </c>
      <c r="C163" s="9" t="s">
        <v>39124</v>
      </c>
      <c r="D163" s="9" t="s">
        <v>42871</v>
      </c>
      <c r="E163" s="61">
        <v>44519.0</v>
      </c>
      <c r="F163" s="9" t="b">
        <v>1</v>
      </c>
      <c r="G163" s="9" t="s">
        <v>42573</v>
      </c>
      <c r="H163" s="9" t="s">
        <v>42576</v>
      </c>
    </row>
    <row r="164" ht="15.75" customHeight="1">
      <c r="A164" s="9" t="s">
        <v>42872</v>
      </c>
      <c r="B164" s="9" t="s">
        <v>47</v>
      </c>
      <c r="C164" s="9" t="s">
        <v>39081</v>
      </c>
      <c r="D164" s="9" t="s">
        <v>42873</v>
      </c>
      <c r="E164" s="61">
        <v>44519.0</v>
      </c>
      <c r="F164" s="9" t="b">
        <v>1</v>
      </c>
      <c r="G164" s="9" t="s">
        <v>38801</v>
      </c>
      <c r="H164" s="9" t="s">
        <v>42576</v>
      </c>
      <c r="I164" s="9" t="b">
        <v>1</v>
      </c>
    </row>
    <row r="165" ht="15.75" customHeight="1">
      <c r="A165" s="9" t="s">
        <v>42874</v>
      </c>
      <c r="B165" s="9" t="s">
        <v>52</v>
      </c>
      <c r="C165" s="9" t="s">
        <v>42875</v>
      </c>
      <c r="D165" s="9" t="s">
        <v>42876</v>
      </c>
      <c r="E165" s="61">
        <v>44522.0</v>
      </c>
      <c r="F165" s="9" t="b">
        <v>1</v>
      </c>
      <c r="G165" s="9" t="s">
        <v>38801</v>
      </c>
      <c r="H165" s="9" t="s">
        <v>42560</v>
      </c>
      <c r="I165" s="9" t="b">
        <v>1</v>
      </c>
    </row>
    <row r="166" ht="15.75" customHeight="1">
      <c r="A166" s="9" t="s">
        <v>42877</v>
      </c>
      <c r="B166" s="9" t="s">
        <v>26</v>
      </c>
      <c r="C166" s="9" t="s">
        <v>39211</v>
      </c>
      <c r="D166" s="9" t="s">
        <v>42878</v>
      </c>
      <c r="E166" s="61">
        <v>44522.0</v>
      </c>
      <c r="F166" s="9" t="b">
        <v>1</v>
      </c>
      <c r="G166" s="9" t="s">
        <v>42573</v>
      </c>
      <c r="H166" s="9" t="s">
        <v>42560</v>
      </c>
    </row>
    <row r="167" ht="15.75" customHeight="1">
      <c r="A167" s="9" t="s">
        <v>42879</v>
      </c>
      <c r="B167" s="9" t="s">
        <v>26</v>
      </c>
      <c r="C167" s="9" t="s">
        <v>39118</v>
      </c>
      <c r="D167" s="9" t="s">
        <v>42880</v>
      </c>
      <c r="E167" s="61">
        <v>44523.0</v>
      </c>
      <c r="F167" s="9" t="b">
        <v>1</v>
      </c>
      <c r="G167" s="9" t="s">
        <v>42573</v>
      </c>
      <c r="H167" s="9" t="s">
        <v>42560</v>
      </c>
    </row>
    <row r="168" ht="15.75" customHeight="1">
      <c r="A168" s="9" t="s">
        <v>42881</v>
      </c>
      <c r="B168" s="9" t="s">
        <v>47</v>
      </c>
      <c r="C168" s="9" t="s">
        <v>39233</v>
      </c>
      <c r="D168" s="9" t="s">
        <v>42560</v>
      </c>
      <c r="E168" s="61">
        <v>44524.0</v>
      </c>
      <c r="F168" s="9" t="b">
        <v>1</v>
      </c>
      <c r="G168" s="9" t="s">
        <v>38801</v>
      </c>
      <c r="H168" s="9" t="s">
        <v>42560</v>
      </c>
      <c r="I168" s="9" t="b">
        <v>1</v>
      </c>
    </row>
    <row r="169" ht="15.75" customHeight="1">
      <c r="A169" s="9" t="s">
        <v>42882</v>
      </c>
      <c r="B169" s="9" t="s">
        <v>47</v>
      </c>
      <c r="C169" s="9" t="s">
        <v>39203</v>
      </c>
      <c r="D169" s="9" t="s">
        <v>42883</v>
      </c>
      <c r="E169" s="61">
        <v>44524.0</v>
      </c>
      <c r="F169" s="9" t="b">
        <v>1</v>
      </c>
      <c r="G169" s="9" t="s">
        <v>38801</v>
      </c>
      <c r="H169" s="9" t="s">
        <v>42576</v>
      </c>
      <c r="I169" s="9" t="b">
        <v>1</v>
      </c>
    </row>
    <row r="170" ht="15.75" customHeight="1">
      <c r="A170" s="9" t="s">
        <v>42884</v>
      </c>
      <c r="B170" s="9" t="s">
        <v>52</v>
      </c>
      <c r="C170" s="9" t="s">
        <v>39221</v>
      </c>
      <c r="D170" s="9" t="s">
        <v>42885</v>
      </c>
      <c r="E170" s="61">
        <v>44524.0</v>
      </c>
      <c r="F170" s="9" t="b">
        <v>1</v>
      </c>
      <c r="G170" s="9" t="s">
        <v>42573</v>
      </c>
      <c r="H170" s="9" t="s">
        <v>42576</v>
      </c>
      <c r="I170" s="9" t="b">
        <v>1</v>
      </c>
    </row>
    <row r="171" ht="15.75" customHeight="1">
      <c r="A171" s="9" t="s">
        <v>42886</v>
      </c>
      <c r="B171" s="9" t="s">
        <v>47</v>
      </c>
      <c r="C171" s="9" t="s">
        <v>39219</v>
      </c>
      <c r="D171" s="9" t="s">
        <v>42887</v>
      </c>
      <c r="E171" s="61">
        <v>44524.0</v>
      </c>
      <c r="F171" s="9" t="b">
        <v>1</v>
      </c>
      <c r="G171" s="9" t="s">
        <v>38801</v>
      </c>
      <c r="H171" s="9" t="s">
        <v>42576</v>
      </c>
      <c r="I171" s="9" t="b">
        <v>1</v>
      </c>
    </row>
    <row r="172" ht="15.75" customHeight="1">
      <c r="A172" s="9" t="s">
        <v>42888</v>
      </c>
      <c r="B172" s="9" t="s">
        <v>47</v>
      </c>
      <c r="C172" s="9" t="s">
        <v>39195</v>
      </c>
      <c r="D172" s="9" t="s">
        <v>42889</v>
      </c>
      <c r="E172" s="61">
        <v>44524.0</v>
      </c>
      <c r="F172" s="9" t="b">
        <v>1</v>
      </c>
      <c r="G172" s="9" t="s">
        <v>38801</v>
      </c>
      <c r="H172" s="9" t="s">
        <v>42576</v>
      </c>
      <c r="I172" s="9" t="b">
        <v>1</v>
      </c>
    </row>
    <row r="173" ht="15.75" customHeight="1">
      <c r="A173" s="9" t="s">
        <v>42890</v>
      </c>
      <c r="B173" s="9" t="s">
        <v>52</v>
      </c>
      <c r="C173" s="9" t="s">
        <v>39030</v>
      </c>
      <c r="D173" s="9" t="s">
        <v>42891</v>
      </c>
      <c r="E173" s="61">
        <v>44524.0</v>
      </c>
      <c r="F173" s="9" t="b">
        <v>1</v>
      </c>
      <c r="G173" s="9" t="s">
        <v>42573</v>
      </c>
      <c r="H173" s="9" t="s">
        <v>42576</v>
      </c>
    </row>
    <row r="174" ht="15.75" customHeight="1">
      <c r="A174" s="9" t="s">
        <v>42892</v>
      </c>
      <c r="B174" s="9" t="s">
        <v>52</v>
      </c>
      <c r="C174" s="9" t="s">
        <v>39231</v>
      </c>
      <c r="D174" s="9" t="s">
        <v>42893</v>
      </c>
      <c r="E174" s="61">
        <v>44525.0</v>
      </c>
      <c r="F174" s="9" t="b">
        <v>1</v>
      </c>
      <c r="G174" s="9" t="s">
        <v>38801</v>
      </c>
      <c r="H174" s="9" t="s">
        <v>42576</v>
      </c>
      <c r="I174" s="9" t="b">
        <v>1</v>
      </c>
    </row>
    <row r="175" ht="15.75" customHeight="1">
      <c r="A175" s="9" t="s">
        <v>42894</v>
      </c>
      <c r="B175" s="9" t="s">
        <v>26</v>
      </c>
      <c r="C175" s="9" t="s">
        <v>39235</v>
      </c>
      <c r="D175" s="9" t="s">
        <v>42895</v>
      </c>
      <c r="E175" s="61">
        <v>44525.0</v>
      </c>
      <c r="F175" s="9" t="b">
        <v>1</v>
      </c>
      <c r="G175" s="9" t="s">
        <v>42573</v>
      </c>
      <c r="H175" s="9" t="s">
        <v>42560</v>
      </c>
    </row>
    <row r="176" ht="15.75" customHeight="1">
      <c r="A176" s="9" t="s">
        <v>42896</v>
      </c>
      <c r="B176" s="9" t="s">
        <v>52</v>
      </c>
      <c r="C176" s="9" t="s">
        <v>39245</v>
      </c>
      <c r="D176" s="9" t="s">
        <v>42897</v>
      </c>
      <c r="E176" s="61">
        <v>44525.0</v>
      </c>
      <c r="F176" s="9" t="b">
        <v>1</v>
      </c>
      <c r="G176" s="9" t="s">
        <v>38801</v>
      </c>
      <c r="H176" s="9" t="s">
        <v>42576</v>
      </c>
      <c r="I176" s="9" t="b">
        <v>1</v>
      </c>
    </row>
    <row r="177" ht="15.75" customHeight="1">
      <c r="A177" s="9" t="s">
        <v>42898</v>
      </c>
      <c r="B177" s="9" t="s">
        <v>52</v>
      </c>
      <c r="C177" s="9" t="s">
        <v>39197</v>
      </c>
      <c r="D177" s="9" t="s">
        <v>42899</v>
      </c>
      <c r="E177" s="61">
        <v>44526.0</v>
      </c>
      <c r="F177" s="9" t="b">
        <v>1</v>
      </c>
      <c r="G177" s="9" t="s">
        <v>42573</v>
      </c>
      <c r="H177" s="9" t="s">
        <v>42576</v>
      </c>
    </row>
    <row r="178" ht="15.75" customHeight="1">
      <c r="A178" s="9" t="s">
        <v>42900</v>
      </c>
      <c r="B178" s="9" t="s">
        <v>84</v>
      </c>
      <c r="C178" s="9" t="s">
        <v>39113</v>
      </c>
      <c r="D178" s="9" t="s">
        <v>42901</v>
      </c>
      <c r="E178" s="61">
        <v>44526.0</v>
      </c>
      <c r="F178" s="9" t="b">
        <v>1</v>
      </c>
      <c r="G178" s="9" t="s">
        <v>38801</v>
      </c>
      <c r="H178" s="9" t="s">
        <v>42576</v>
      </c>
      <c r="I178" s="9" t="b">
        <v>1</v>
      </c>
    </row>
    <row r="179" ht="15.75" customHeight="1">
      <c r="A179" s="9" t="s">
        <v>42902</v>
      </c>
      <c r="B179" s="9" t="s">
        <v>47</v>
      </c>
      <c r="C179" s="9" t="s">
        <v>39229</v>
      </c>
      <c r="D179" s="9" t="s">
        <v>42903</v>
      </c>
      <c r="E179" s="61">
        <v>44526.0</v>
      </c>
      <c r="F179" s="9" t="b">
        <v>1</v>
      </c>
      <c r="G179" s="9" t="s">
        <v>42573</v>
      </c>
      <c r="H179" s="9" t="s">
        <v>42576</v>
      </c>
    </row>
    <row r="180" ht="15.75" customHeight="1">
      <c r="A180" s="9" t="s">
        <v>42904</v>
      </c>
      <c r="B180" s="9" t="s">
        <v>52</v>
      </c>
      <c r="C180" s="9" t="s">
        <v>39124</v>
      </c>
      <c r="D180" s="9" t="s">
        <v>42905</v>
      </c>
      <c r="E180" s="61">
        <v>44526.0</v>
      </c>
      <c r="F180" s="9" t="b">
        <v>1</v>
      </c>
      <c r="G180" s="9" t="s">
        <v>42573</v>
      </c>
      <c r="H180" s="9" t="s">
        <v>42576</v>
      </c>
    </row>
    <row r="181" ht="15.75" customHeight="1">
      <c r="A181" s="9" t="s">
        <v>42906</v>
      </c>
      <c r="B181" s="9" t="s">
        <v>52</v>
      </c>
      <c r="C181" s="9" t="s">
        <v>39124</v>
      </c>
      <c r="D181" s="9" t="s">
        <v>42907</v>
      </c>
      <c r="E181" s="61">
        <v>44526.0</v>
      </c>
      <c r="F181" s="9" t="b">
        <v>1</v>
      </c>
      <c r="G181" s="9" t="s">
        <v>42573</v>
      </c>
      <c r="H181" s="9" t="s">
        <v>42576</v>
      </c>
    </row>
    <row r="182" ht="15.75" customHeight="1">
      <c r="A182" s="9" t="s">
        <v>42908</v>
      </c>
      <c r="B182" s="9" t="s">
        <v>52</v>
      </c>
      <c r="C182" s="9" t="s">
        <v>39249</v>
      </c>
      <c r="D182" s="9" t="s">
        <v>42909</v>
      </c>
      <c r="E182" s="61">
        <v>44529.0</v>
      </c>
      <c r="F182" s="9" t="b">
        <v>1</v>
      </c>
      <c r="G182" s="9" t="s">
        <v>38801</v>
      </c>
      <c r="H182" s="9" t="s">
        <v>42576</v>
      </c>
      <c r="I182" s="9" t="b">
        <v>1</v>
      </c>
    </row>
    <row r="183" ht="15.75" customHeight="1">
      <c r="A183" s="9" t="s">
        <v>42910</v>
      </c>
      <c r="B183" s="9" t="s">
        <v>52</v>
      </c>
      <c r="C183" s="9" t="s">
        <v>39008</v>
      </c>
      <c r="D183" s="9" t="s">
        <v>42911</v>
      </c>
      <c r="E183" s="61">
        <v>44529.0</v>
      </c>
      <c r="F183" s="9" t="b">
        <v>1</v>
      </c>
      <c r="G183" s="9" t="s">
        <v>42573</v>
      </c>
      <c r="H183" s="9" t="s">
        <v>42576</v>
      </c>
    </row>
    <row r="184" ht="15.75" customHeight="1">
      <c r="A184" s="9" t="s">
        <v>42912</v>
      </c>
      <c r="B184" s="9" t="s">
        <v>47</v>
      </c>
      <c r="C184" s="9" t="s">
        <v>39258</v>
      </c>
      <c r="D184" s="9" t="s">
        <v>42752</v>
      </c>
      <c r="E184" s="61">
        <v>44529.0</v>
      </c>
      <c r="F184" s="9" t="b">
        <v>1</v>
      </c>
      <c r="G184" s="9" t="s">
        <v>38801</v>
      </c>
      <c r="H184" s="9" t="s">
        <v>42576</v>
      </c>
      <c r="I184" s="9" t="b">
        <v>1</v>
      </c>
    </row>
    <row r="185" ht="15.75" customHeight="1">
      <c r="A185" s="52" t="s">
        <v>42913</v>
      </c>
      <c r="B185" s="9" t="s">
        <v>47</v>
      </c>
      <c r="C185" s="9" t="s">
        <v>39262</v>
      </c>
      <c r="D185" s="9" t="s">
        <v>42914</v>
      </c>
      <c r="E185" s="61">
        <v>44529.0</v>
      </c>
      <c r="F185" s="9" t="b">
        <v>1</v>
      </c>
      <c r="G185" s="9" t="s">
        <v>38801</v>
      </c>
      <c r="H185" s="9" t="s">
        <v>42576</v>
      </c>
      <c r="I185" s="9" t="b">
        <v>1</v>
      </c>
    </row>
    <row r="186" ht="15.75" customHeight="1">
      <c r="A186" s="9" t="s">
        <v>42915</v>
      </c>
      <c r="B186" s="9" t="s">
        <v>52</v>
      </c>
      <c r="C186" s="9" t="s">
        <v>39229</v>
      </c>
      <c r="D186" s="9" t="s">
        <v>42916</v>
      </c>
      <c r="E186" s="61">
        <v>44529.0</v>
      </c>
      <c r="F186" s="9" t="b">
        <v>1</v>
      </c>
      <c r="G186" s="9" t="s">
        <v>38801</v>
      </c>
      <c r="H186" s="9" t="s">
        <v>42576</v>
      </c>
      <c r="I186" s="9" t="b">
        <v>1</v>
      </c>
    </row>
    <row r="187" ht="15.75" customHeight="1">
      <c r="A187" s="9" t="s">
        <v>42917</v>
      </c>
      <c r="B187" s="9" t="s">
        <v>26</v>
      </c>
      <c r="C187" s="9" t="s">
        <v>39239</v>
      </c>
      <c r="D187" s="9" t="s">
        <v>42918</v>
      </c>
      <c r="E187" s="61">
        <v>44529.0</v>
      </c>
      <c r="F187" s="9" t="b">
        <v>1</v>
      </c>
      <c r="G187" s="9" t="s">
        <v>38801</v>
      </c>
      <c r="H187" s="9" t="s">
        <v>42560</v>
      </c>
      <c r="I187" s="9" t="b">
        <v>1</v>
      </c>
    </row>
    <row r="188" ht="15.75" customHeight="1">
      <c r="A188" s="9" t="s">
        <v>42919</v>
      </c>
      <c r="B188" s="9" t="s">
        <v>52</v>
      </c>
      <c r="C188" s="9" t="s">
        <v>39260</v>
      </c>
      <c r="D188" s="9" t="s">
        <v>42920</v>
      </c>
      <c r="E188" s="61">
        <v>44529.0</v>
      </c>
      <c r="F188" s="9" t="b">
        <v>1</v>
      </c>
      <c r="G188" s="9" t="s">
        <v>38801</v>
      </c>
      <c r="H188" s="9" t="s">
        <v>42576</v>
      </c>
      <c r="I188" s="9" t="b">
        <v>1</v>
      </c>
    </row>
    <row r="189" ht="15.75" customHeight="1">
      <c r="A189" s="9" t="s">
        <v>42921</v>
      </c>
      <c r="B189" s="9" t="s">
        <v>52</v>
      </c>
      <c r="C189" s="9" t="s">
        <v>39193</v>
      </c>
      <c r="D189" s="9" t="s">
        <v>42922</v>
      </c>
      <c r="E189" s="61">
        <v>44529.0</v>
      </c>
      <c r="F189" s="9" t="b">
        <v>1</v>
      </c>
      <c r="G189" s="9" t="s">
        <v>38801</v>
      </c>
      <c r="H189" s="9" t="s">
        <v>42576</v>
      </c>
      <c r="I189" s="9" t="b">
        <v>1</v>
      </c>
    </row>
    <row r="190" ht="15.75" customHeight="1">
      <c r="A190" s="9" t="s">
        <v>42923</v>
      </c>
      <c r="B190" s="9" t="s">
        <v>19</v>
      </c>
      <c r="C190" s="9" t="s">
        <v>38862</v>
      </c>
      <c r="D190" s="9" t="s">
        <v>42924</v>
      </c>
      <c r="E190" s="61">
        <v>44530.0</v>
      </c>
      <c r="F190" s="9" t="b">
        <v>1</v>
      </c>
      <c r="G190" s="9" t="s">
        <v>38801</v>
      </c>
      <c r="H190" s="9" t="s">
        <v>42560</v>
      </c>
      <c r="I190" s="9" t="b">
        <v>1</v>
      </c>
    </row>
    <row r="191" ht="15.75" customHeight="1">
      <c r="A191" s="9" t="s">
        <v>42925</v>
      </c>
      <c r="B191" s="9" t="s">
        <v>47</v>
      </c>
      <c r="C191" s="9" t="s">
        <v>39273</v>
      </c>
      <c r="D191" s="9" t="s">
        <v>42926</v>
      </c>
      <c r="E191" s="61">
        <v>44530.0</v>
      </c>
      <c r="F191" s="9" t="b">
        <v>1</v>
      </c>
      <c r="G191" s="9" t="s">
        <v>42573</v>
      </c>
      <c r="H191" s="9" t="s">
        <v>42576</v>
      </c>
    </row>
    <row r="192" ht="15.75" customHeight="1">
      <c r="A192" s="9" t="s">
        <v>42927</v>
      </c>
      <c r="B192" s="9" t="s">
        <v>47</v>
      </c>
      <c r="C192" s="9" t="s">
        <v>39132</v>
      </c>
      <c r="D192" s="9" t="s">
        <v>42928</v>
      </c>
      <c r="E192" s="61">
        <v>44530.0</v>
      </c>
      <c r="F192" s="9" t="b">
        <v>1</v>
      </c>
      <c r="G192" s="9" t="s">
        <v>38801</v>
      </c>
      <c r="H192" s="9" t="s">
        <v>42576</v>
      </c>
      <c r="I192" s="9" t="b">
        <v>1</v>
      </c>
    </row>
    <row r="193" ht="15.75" customHeight="1">
      <c r="A193" s="9" t="s">
        <v>42929</v>
      </c>
      <c r="B193" s="9" t="s">
        <v>26</v>
      </c>
      <c r="C193" s="9" t="s">
        <v>39141</v>
      </c>
      <c r="D193" s="9" t="s">
        <v>42930</v>
      </c>
      <c r="E193" s="56">
        <v>44531.0</v>
      </c>
      <c r="F193" s="9" t="b">
        <v>1</v>
      </c>
      <c r="G193" s="9" t="s">
        <v>38801</v>
      </c>
      <c r="H193" s="9" t="s">
        <v>42560</v>
      </c>
      <c r="I193" s="9" t="b">
        <v>1</v>
      </c>
    </row>
    <row r="194" ht="15.75" customHeight="1">
      <c r="A194" s="9" t="s">
        <v>42931</v>
      </c>
      <c r="B194" s="9" t="s">
        <v>26</v>
      </c>
      <c r="C194" s="9" t="s">
        <v>38934</v>
      </c>
      <c r="D194" s="9" t="s">
        <v>42932</v>
      </c>
      <c r="E194" s="56">
        <v>44531.0</v>
      </c>
      <c r="F194" s="9" t="b">
        <v>1</v>
      </c>
      <c r="G194" s="9" t="s">
        <v>42573</v>
      </c>
      <c r="H194" s="9" t="s">
        <v>42560</v>
      </c>
    </row>
    <row r="195" ht="15.75" customHeight="1">
      <c r="A195" s="9" t="s">
        <v>42933</v>
      </c>
      <c r="B195" s="9" t="s">
        <v>26</v>
      </c>
      <c r="C195" s="9" t="s">
        <v>39183</v>
      </c>
      <c r="D195" s="9" t="s">
        <v>42934</v>
      </c>
      <c r="E195" s="56">
        <v>44531.0</v>
      </c>
      <c r="F195" s="9" t="b">
        <v>1</v>
      </c>
      <c r="G195" s="9" t="s">
        <v>38801</v>
      </c>
      <c r="H195" s="9" t="s">
        <v>42560</v>
      </c>
      <c r="I195" s="9" t="b">
        <v>1</v>
      </c>
    </row>
    <row r="196" ht="15.75" customHeight="1">
      <c r="A196" s="9" t="s">
        <v>42935</v>
      </c>
      <c r="B196" s="9" t="s">
        <v>47</v>
      </c>
      <c r="C196" s="9" t="s">
        <v>39285</v>
      </c>
      <c r="D196" s="9" t="s">
        <v>42857</v>
      </c>
      <c r="E196" s="56">
        <v>44531.0</v>
      </c>
      <c r="F196" s="9" t="b">
        <v>1</v>
      </c>
      <c r="G196" s="9" t="s">
        <v>38801</v>
      </c>
      <c r="H196" s="9" t="s">
        <v>42576</v>
      </c>
      <c r="I196" s="9" t="b">
        <v>1</v>
      </c>
    </row>
    <row r="197" ht="15.75" customHeight="1">
      <c r="A197" s="9" t="s">
        <v>42936</v>
      </c>
      <c r="B197" s="9" t="s">
        <v>47</v>
      </c>
      <c r="C197" s="9" t="s">
        <v>39287</v>
      </c>
      <c r="D197" s="9" t="s">
        <v>42937</v>
      </c>
      <c r="E197" s="56">
        <v>44531.0</v>
      </c>
      <c r="F197" s="9" t="b">
        <v>1</v>
      </c>
      <c r="G197" s="9" t="s">
        <v>38801</v>
      </c>
      <c r="H197" s="9" t="s">
        <v>42576</v>
      </c>
      <c r="I197" s="9" t="b">
        <v>1</v>
      </c>
    </row>
    <row r="198" ht="15.75" customHeight="1">
      <c r="A198" s="9" t="s">
        <v>42938</v>
      </c>
      <c r="B198" s="9" t="s">
        <v>47</v>
      </c>
      <c r="C198" s="9" t="s">
        <v>39277</v>
      </c>
      <c r="D198" s="9" t="s">
        <v>42939</v>
      </c>
      <c r="E198" s="56">
        <v>44531.0</v>
      </c>
      <c r="F198" s="9" t="b">
        <v>1</v>
      </c>
      <c r="G198" s="9" t="s">
        <v>42573</v>
      </c>
      <c r="H198" s="9" t="s">
        <v>42576</v>
      </c>
    </row>
    <row r="199" ht="15.75" customHeight="1">
      <c r="A199" s="9" t="s">
        <v>42940</v>
      </c>
      <c r="B199" s="9" t="s">
        <v>52</v>
      </c>
      <c r="C199" s="9" t="s">
        <v>39207</v>
      </c>
      <c r="D199" s="9" t="s">
        <v>42941</v>
      </c>
      <c r="E199" s="56">
        <v>44531.0</v>
      </c>
      <c r="F199" s="9" t="b">
        <v>1</v>
      </c>
      <c r="G199" s="9" t="s">
        <v>42573</v>
      </c>
      <c r="H199" s="9" t="s">
        <v>42576</v>
      </c>
    </row>
    <row r="200" ht="15.75" customHeight="1">
      <c r="A200" s="9" t="s">
        <v>42942</v>
      </c>
      <c r="B200" s="9" t="s">
        <v>47</v>
      </c>
      <c r="C200" s="52" t="s">
        <v>39295</v>
      </c>
      <c r="D200" s="9" t="s">
        <v>42943</v>
      </c>
      <c r="E200" s="56">
        <v>44533.0</v>
      </c>
      <c r="F200" s="9" t="b">
        <v>1</v>
      </c>
      <c r="G200" s="9" t="s">
        <v>38801</v>
      </c>
      <c r="H200" s="9" t="s">
        <v>42576</v>
      </c>
      <c r="I200" s="9" t="b">
        <v>1</v>
      </c>
    </row>
    <row r="201" ht="15.75" customHeight="1">
      <c r="A201" s="9" t="s">
        <v>42944</v>
      </c>
      <c r="B201" s="9" t="s">
        <v>47</v>
      </c>
      <c r="C201" s="9" t="s">
        <v>39303</v>
      </c>
      <c r="D201" s="9" t="s">
        <v>42945</v>
      </c>
      <c r="E201" s="56">
        <v>44533.0</v>
      </c>
      <c r="F201" s="9" t="b">
        <v>1</v>
      </c>
      <c r="G201" s="9" t="s">
        <v>42573</v>
      </c>
      <c r="H201" s="9" t="s">
        <v>42560</v>
      </c>
    </row>
    <row r="202" ht="15.75" customHeight="1">
      <c r="A202" s="9" t="s">
        <v>42946</v>
      </c>
      <c r="B202" s="9" t="s">
        <v>47</v>
      </c>
      <c r="C202" s="9" t="s">
        <v>39305</v>
      </c>
      <c r="D202" s="9" t="s">
        <v>42947</v>
      </c>
      <c r="E202" s="56">
        <v>44533.0</v>
      </c>
      <c r="F202" s="9" t="b">
        <v>1</v>
      </c>
      <c r="G202" s="9" t="s">
        <v>38801</v>
      </c>
      <c r="H202" s="9" t="s">
        <v>42560</v>
      </c>
      <c r="I202" s="9" t="b">
        <v>1</v>
      </c>
    </row>
    <row r="203" ht="15.75" customHeight="1">
      <c r="A203" s="9" t="s">
        <v>42948</v>
      </c>
      <c r="B203" s="9" t="s">
        <v>52</v>
      </c>
      <c r="C203" s="9" t="s">
        <v>39289</v>
      </c>
      <c r="D203" s="9" t="s">
        <v>42949</v>
      </c>
      <c r="E203" s="56">
        <v>44533.0</v>
      </c>
      <c r="F203" s="9" t="b">
        <v>1</v>
      </c>
      <c r="G203" s="9" t="s">
        <v>42585</v>
      </c>
      <c r="H203" s="9" t="s">
        <v>42560</v>
      </c>
    </row>
    <row r="204" ht="15.75" customHeight="1">
      <c r="A204" s="9" t="s">
        <v>42950</v>
      </c>
      <c r="B204" s="9" t="s">
        <v>52</v>
      </c>
      <c r="C204" s="9" t="s">
        <v>39283</v>
      </c>
      <c r="D204" s="9" t="s">
        <v>42951</v>
      </c>
      <c r="E204" s="56">
        <v>44536.0</v>
      </c>
      <c r="F204" s="9" t="b">
        <v>1</v>
      </c>
      <c r="G204" s="9" t="s">
        <v>38801</v>
      </c>
      <c r="H204" s="9" t="s">
        <v>42576</v>
      </c>
      <c r="I204" s="9" t="b">
        <v>1</v>
      </c>
    </row>
    <row r="205" ht="15.75" customHeight="1">
      <c r="A205" s="9" t="s">
        <v>42952</v>
      </c>
      <c r="B205" s="9" t="s">
        <v>52</v>
      </c>
      <c r="C205" s="9" t="s">
        <v>39293</v>
      </c>
      <c r="D205" s="9" t="s">
        <v>42953</v>
      </c>
      <c r="E205" s="56">
        <v>44536.0</v>
      </c>
      <c r="F205" s="9" t="b">
        <v>1</v>
      </c>
      <c r="G205" s="9" t="s">
        <v>38801</v>
      </c>
      <c r="H205" s="9" t="s">
        <v>42576</v>
      </c>
      <c r="I205" s="9" t="b">
        <v>1</v>
      </c>
    </row>
    <row r="206" ht="15.75" customHeight="1">
      <c r="A206" s="52" t="s">
        <v>42954</v>
      </c>
      <c r="B206" s="9" t="s">
        <v>52</v>
      </c>
      <c r="C206" s="9" t="s">
        <v>39311</v>
      </c>
      <c r="D206" s="9" t="s">
        <v>42955</v>
      </c>
      <c r="E206" s="56">
        <v>44536.0</v>
      </c>
      <c r="F206" s="9" t="b">
        <v>1</v>
      </c>
      <c r="G206" s="9" t="s">
        <v>38801</v>
      </c>
      <c r="H206" s="9" t="s">
        <v>42576</v>
      </c>
      <c r="I206" s="9" t="b">
        <v>1</v>
      </c>
    </row>
    <row r="207" ht="15.75" customHeight="1">
      <c r="A207" s="9" t="s">
        <v>42956</v>
      </c>
      <c r="B207" s="9" t="s">
        <v>52</v>
      </c>
      <c r="C207" s="9" t="s">
        <v>39313</v>
      </c>
      <c r="D207" s="9" t="s">
        <v>42957</v>
      </c>
      <c r="E207" s="56">
        <v>44536.0</v>
      </c>
      <c r="F207" s="9" t="b">
        <v>1</v>
      </c>
      <c r="G207" s="9" t="s">
        <v>38801</v>
      </c>
      <c r="H207" s="9" t="s">
        <v>42576</v>
      </c>
      <c r="I207" s="9" t="b">
        <v>1</v>
      </c>
    </row>
    <row r="208" ht="15.75" customHeight="1">
      <c r="A208" s="9" t="s">
        <v>42958</v>
      </c>
      <c r="B208" s="9" t="s">
        <v>52</v>
      </c>
      <c r="C208" s="9" t="s">
        <v>39315</v>
      </c>
      <c r="D208" s="9" t="s">
        <v>42959</v>
      </c>
      <c r="E208" s="56">
        <v>44536.0</v>
      </c>
      <c r="F208" s="9" t="b">
        <v>1</v>
      </c>
      <c r="G208" s="9" t="s">
        <v>38801</v>
      </c>
      <c r="H208" s="9" t="s">
        <v>42576</v>
      </c>
      <c r="I208" s="9" t="b">
        <v>1</v>
      </c>
    </row>
    <row r="209" ht="15.75" customHeight="1">
      <c r="A209" s="9" t="s">
        <v>42960</v>
      </c>
      <c r="B209" s="9" t="s">
        <v>52</v>
      </c>
      <c r="C209" s="9" t="s">
        <v>39289</v>
      </c>
      <c r="D209" s="9" t="s">
        <v>42961</v>
      </c>
      <c r="E209" s="56">
        <v>44536.0</v>
      </c>
      <c r="F209" s="9" t="b">
        <v>1</v>
      </c>
      <c r="G209" s="9" t="s">
        <v>38801</v>
      </c>
      <c r="H209" s="9" t="s">
        <v>42576</v>
      </c>
      <c r="I209" s="9" t="b">
        <v>1</v>
      </c>
    </row>
    <row r="210" ht="15.75" customHeight="1">
      <c r="A210" s="9" t="s">
        <v>42962</v>
      </c>
      <c r="B210" s="9" t="s">
        <v>52</v>
      </c>
      <c r="C210" s="9" t="s">
        <v>39197</v>
      </c>
      <c r="D210" s="9" t="s">
        <v>42963</v>
      </c>
      <c r="E210" s="56">
        <v>44536.0</v>
      </c>
      <c r="F210" s="9" t="b">
        <v>1</v>
      </c>
      <c r="G210" s="9" t="s">
        <v>42585</v>
      </c>
      <c r="H210" s="9" t="s">
        <v>42576</v>
      </c>
    </row>
    <row r="211" ht="15.75" customHeight="1">
      <c r="A211" s="52" t="s">
        <v>42964</v>
      </c>
      <c r="B211" s="9" t="s">
        <v>47</v>
      </c>
      <c r="C211" s="9" t="s">
        <v>38843</v>
      </c>
      <c r="D211" s="9" t="s">
        <v>42965</v>
      </c>
      <c r="E211" s="56">
        <v>44537.0</v>
      </c>
      <c r="F211" s="9" t="b">
        <v>1</v>
      </c>
      <c r="G211" s="9" t="s">
        <v>38801</v>
      </c>
      <c r="H211" s="9" t="s">
        <v>42560</v>
      </c>
      <c r="I211" s="9" t="b">
        <v>1</v>
      </c>
    </row>
    <row r="212" ht="15.75" customHeight="1">
      <c r="A212" s="9" t="s">
        <v>42966</v>
      </c>
      <c r="B212" s="9" t="s">
        <v>47</v>
      </c>
      <c r="C212" s="9" t="s">
        <v>39197</v>
      </c>
      <c r="D212" s="9" t="s">
        <v>42967</v>
      </c>
      <c r="E212" s="56">
        <v>44537.0</v>
      </c>
      <c r="F212" s="9" t="b">
        <v>1</v>
      </c>
      <c r="G212" s="9" t="s">
        <v>38801</v>
      </c>
      <c r="H212" s="9" t="s">
        <v>42560</v>
      </c>
      <c r="I212" s="9" t="b">
        <v>1</v>
      </c>
    </row>
    <row r="213" ht="15.75" customHeight="1">
      <c r="A213" s="9" t="s">
        <v>42968</v>
      </c>
      <c r="B213" s="9" t="s">
        <v>47</v>
      </c>
      <c r="C213" s="9" t="s">
        <v>39333</v>
      </c>
      <c r="D213" s="9" t="s">
        <v>42969</v>
      </c>
      <c r="E213" s="56">
        <v>44537.0</v>
      </c>
      <c r="F213" s="9" t="b">
        <v>1</v>
      </c>
      <c r="G213" s="9" t="s">
        <v>38801</v>
      </c>
      <c r="H213" s="9" t="s">
        <v>42576</v>
      </c>
      <c r="I213" s="9" t="b">
        <v>1</v>
      </c>
    </row>
    <row r="214" ht="15.75" customHeight="1">
      <c r="A214" s="9" t="s">
        <v>42970</v>
      </c>
      <c r="B214" s="9" t="s">
        <v>47</v>
      </c>
      <c r="C214" s="9" t="s">
        <v>39277</v>
      </c>
      <c r="D214" s="9" t="s">
        <v>42971</v>
      </c>
      <c r="E214" s="56">
        <v>44537.0</v>
      </c>
      <c r="F214" s="9" t="b">
        <v>1</v>
      </c>
      <c r="G214" s="9" t="s">
        <v>42573</v>
      </c>
      <c r="H214" s="9" t="s">
        <v>42576</v>
      </c>
    </row>
    <row r="215" ht="15.75" customHeight="1">
      <c r="A215" s="9" t="s">
        <v>42972</v>
      </c>
      <c r="B215" s="9" t="s">
        <v>47</v>
      </c>
      <c r="C215" s="9" t="s">
        <v>39335</v>
      </c>
      <c r="D215" s="9" t="s">
        <v>42973</v>
      </c>
      <c r="E215" s="56">
        <v>44537.0</v>
      </c>
      <c r="F215" s="9" t="b">
        <v>1</v>
      </c>
      <c r="G215" s="9" t="s">
        <v>38801</v>
      </c>
      <c r="H215" s="9" t="s">
        <v>42576</v>
      </c>
      <c r="I215" s="9" t="b">
        <v>1</v>
      </c>
    </row>
    <row r="216" ht="15.75" customHeight="1">
      <c r="A216" s="9" t="s">
        <v>42974</v>
      </c>
      <c r="B216" s="9" t="s">
        <v>47</v>
      </c>
      <c r="C216" s="9" t="s">
        <v>39317</v>
      </c>
      <c r="D216" s="9" t="s">
        <v>42975</v>
      </c>
      <c r="E216" s="56">
        <v>44537.0</v>
      </c>
      <c r="F216" s="9" t="b">
        <v>1</v>
      </c>
      <c r="G216" s="9" t="s">
        <v>38801</v>
      </c>
      <c r="H216" s="9" t="s">
        <v>42560</v>
      </c>
      <c r="I216" s="9" t="b">
        <v>1</v>
      </c>
    </row>
    <row r="217" ht="15.75" customHeight="1">
      <c r="A217" s="9" t="s">
        <v>42976</v>
      </c>
      <c r="B217" s="9" t="s">
        <v>52</v>
      </c>
      <c r="C217" s="9" t="s">
        <v>39030</v>
      </c>
      <c r="D217" s="9" t="s">
        <v>42977</v>
      </c>
      <c r="E217" s="56">
        <v>44538.0</v>
      </c>
      <c r="F217" s="9" t="b">
        <v>1</v>
      </c>
      <c r="G217" s="9" t="s">
        <v>38801</v>
      </c>
      <c r="H217" s="9" t="s">
        <v>42576</v>
      </c>
      <c r="I217" s="9" t="b">
        <v>1</v>
      </c>
    </row>
    <row r="218" ht="15.75" customHeight="1">
      <c r="A218" s="9" t="s">
        <v>42978</v>
      </c>
      <c r="B218" s="9" t="s">
        <v>47</v>
      </c>
      <c r="C218" s="9" t="s">
        <v>39337</v>
      </c>
      <c r="D218" s="9" t="s">
        <v>42979</v>
      </c>
      <c r="E218" s="56">
        <v>44538.0</v>
      </c>
      <c r="F218" s="9" t="b">
        <v>1</v>
      </c>
      <c r="G218" s="9" t="s">
        <v>38801</v>
      </c>
      <c r="H218" s="9" t="s">
        <v>42576</v>
      </c>
      <c r="I218" s="9" t="b">
        <v>1</v>
      </c>
    </row>
    <row r="219" ht="15.75" customHeight="1">
      <c r="A219" s="9" t="s">
        <v>42980</v>
      </c>
      <c r="B219" s="9" t="s">
        <v>52</v>
      </c>
      <c r="C219" s="9" t="s">
        <v>39124</v>
      </c>
      <c r="D219" s="9" t="s">
        <v>42981</v>
      </c>
      <c r="E219" s="56">
        <v>44538.0</v>
      </c>
      <c r="F219" s="9" t="b">
        <v>1</v>
      </c>
      <c r="G219" s="9" t="s">
        <v>42573</v>
      </c>
      <c r="H219" s="9" t="s">
        <v>42576</v>
      </c>
    </row>
    <row r="220" ht="15.75" customHeight="1">
      <c r="A220" s="9" t="s">
        <v>42982</v>
      </c>
      <c r="B220" s="9" t="s">
        <v>52</v>
      </c>
      <c r="C220" s="9" t="s">
        <v>39301</v>
      </c>
      <c r="D220" s="9" t="s">
        <v>42983</v>
      </c>
      <c r="E220" s="56">
        <v>44538.0</v>
      </c>
      <c r="F220" s="9" t="b">
        <v>1</v>
      </c>
      <c r="G220" s="9" t="s">
        <v>42573</v>
      </c>
      <c r="H220" s="9" t="s">
        <v>42576</v>
      </c>
    </row>
    <row r="221" ht="15.75" customHeight="1">
      <c r="A221" s="9" t="s">
        <v>42984</v>
      </c>
      <c r="B221" s="9" t="s">
        <v>47</v>
      </c>
      <c r="C221" s="9" t="s">
        <v>39339</v>
      </c>
      <c r="D221" s="9" t="s">
        <v>42985</v>
      </c>
      <c r="E221" s="56">
        <v>44538.0</v>
      </c>
      <c r="F221" s="9" t="b">
        <v>1</v>
      </c>
      <c r="G221" s="9" t="s">
        <v>38801</v>
      </c>
      <c r="H221" s="9" t="s">
        <v>42576</v>
      </c>
      <c r="I221" s="9" t="b">
        <v>1</v>
      </c>
    </row>
    <row r="222" ht="15.75" customHeight="1">
      <c r="A222" s="9" t="s">
        <v>42986</v>
      </c>
      <c r="B222" s="9" t="s">
        <v>47</v>
      </c>
      <c r="C222" s="9" t="s">
        <v>39319</v>
      </c>
      <c r="D222" s="9" t="s">
        <v>42987</v>
      </c>
      <c r="E222" s="56">
        <v>44538.0</v>
      </c>
      <c r="F222" s="9" t="b">
        <v>1</v>
      </c>
      <c r="G222" s="9" t="s">
        <v>38801</v>
      </c>
      <c r="H222" s="9" t="s">
        <v>42576</v>
      </c>
      <c r="I222" s="9" t="b">
        <v>1</v>
      </c>
    </row>
    <row r="223" ht="15.75" customHeight="1">
      <c r="A223" s="9" t="s">
        <v>42988</v>
      </c>
      <c r="B223" s="9" t="s">
        <v>47</v>
      </c>
      <c r="C223" s="9" t="s">
        <v>39219</v>
      </c>
      <c r="D223" s="9" t="s">
        <v>42989</v>
      </c>
      <c r="E223" s="56">
        <v>44538.0</v>
      </c>
      <c r="F223" s="9" t="b">
        <v>1</v>
      </c>
      <c r="G223" s="9" t="s">
        <v>42573</v>
      </c>
      <c r="H223" s="9" t="s">
        <v>42560</v>
      </c>
    </row>
    <row r="224" ht="15.75" customHeight="1">
      <c r="A224" s="9" t="s">
        <v>42990</v>
      </c>
      <c r="B224" s="9" t="s">
        <v>52</v>
      </c>
      <c r="C224" s="9" t="s">
        <v>39341</v>
      </c>
      <c r="D224" s="9" t="s">
        <v>42991</v>
      </c>
      <c r="E224" s="56">
        <v>44538.0</v>
      </c>
      <c r="F224" s="9" t="b">
        <v>1</v>
      </c>
      <c r="G224" s="9" t="s">
        <v>38801</v>
      </c>
      <c r="H224" s="9" t="s">
        <v>42576</v>
      </c>
      <c r="I224" s="9" t="b">
        <v>1</v>
      </c>
    </row>
    <row r="225" ht="15.75" customHeight="1">
      <c r="A225" s="9" t="s">
        <v>42992</v>
      </c>
      <c r="B225" s="9" t="s">
        <v>52</v>
      </c>
      <c r="C225" s="9" t="s">
        <v>39325</v>
      </c>
      <c r="D225" s="9" t="s">
        <v>42993</v>
      </c>
      <c r="E225" s="56">
        <v>44539.0</v>
      </c>
      <c r="F225" s="9" t="b">
        <v>1</v>
      </c>
      <c r="G225" s="9" t="s">
        <v>42573</v>
      </c>
      <c r="H225" s="9" t="s">
        <v>42576</v>
      </c>
    </row>
    <row r="226" ht="15.75" customHeight="1">
      <c r="A226" s="9" t="s">
        <v>42994</v>
      </c>
      <c r="B226" s="9" t="s">
        <v>19</v>
      </c>
      <c r="C226" s="9" t="s">
        <v>38901</v>
      </c>
      <c r="D226" s="9" t="s">
        <v>42995</v>
      </c>
      <c r="E226" s="56">
        <v>44539.0</v>
      </c>
      <c r="F226" s="9" t="b">
        <v>1</v>
      </c>
      <c r="G226" s="9" t="s">
        <v>42632</v>
      </c>
      <c r="H226" s="9" t="s">
        <v>42560</v>
      </c>
    </row>
    <row r="227" ht="15.75" customHeight="1">
      <c r="A227" s="9" t="s">
        <v>42996</v>
      </c>
      <c r="B227" s="9" t="s">
        <v>19</v>
      </c>
      <c r="C227" s="9" t="s">
        <v>38921</v>
      </c>
      <c r="D227" s="9" t="s">
        <v>42997</v>
      </c>
      <c r="E227" s="56">
        <v>44539.0</v>
      </c>
      <c r="F227" s="9" t="b">
        <v>1</v>
      </c>
      <c r="G227" s="9" t="s">
        <v>42632</v>
      </c>
      <c r="H227" s="9" t="s">
        <v>42560</v>
      </c>
    </row>
    <row r="228" ht="15.75" customHeight="1">
      <c r="A228" s="9" t="s">
        <v>42998</v>
      </c>
      <c r="B228" s="9" t="s">
        <v>19</v>
      </c>
      <c r="C228" s="9" t="s">
        <v>38904</v>
      </c>
      <c r="D228" s="9" t="s">
        <v>42999</v>
      </c>
      <c r="E228" s="56">
        <v>44539.0</v>
      </c>
      <c r="F228" s="9" t="b">
        <v>1</v>
      </c>
      <c r="G228" s="9" t="s">
        <v>42573</v>
      </c>
      <c r="H228" s="9" t="s">
        <v>42560</v>
      </c>
    </row>
    <row r="229" ht="15.75" customHeight="1">
      <c r="A229" s="9" t="s">
        <v>43000</v>
      </c>
      <c r="B229" s="9" t="s">
        <v>19</v>
      </c>
      <c r="C229" s="9" t="s">
        <v>38860</v>
      </c>
      <c r="D229" s="9" t="s">
        <v>43001</v>
      </c>
      <c r="E229" s="56">
        <v>44539.0</v>
      </c>
      <c r="F229" s="9" t="b">
        <v>1</v>
      </c>
      <c r="G229" s="9" t="s">
        <v>38801</v>
      </c>
      <c r="H229" s="9" t="s">
        <v>42560</v>
      </c>
      <c r="I229" s="9" t="b">
        <v>1</v>
      </c>
    </row>
    <row r="230" ht="15.75" customHeight="1">
      <c r="A230" s="9" t="s">
        <v>43002</v>
      </c>
      <c r="B230" s="9" t="s">
        <v>19</v>
      </c>
      <c r="C230" s="9" t="s">
        <v>38823</v>
      </c>
      <c r="D230" s="9" t="s">
        <v>43003</v>
      </c>
      <c r="E230" s="56">
        <v>44539.0</v>
      </c>
      <c r="F230" s="9" t="b">
        <v>1</v>
      </c>
      <c r="G230" s="9" t="s">
        <v>38801</v>
      </c>
      <c r="H230" s="9" t="s">
        <v>42560</v>
      </c>
      <c r="I230" s="9" t="b">
        <v>1</v>
      </c>
    </row>
    <row r="231" ht="15.75" customHeight="1">
      <c r="A231" s="9" t="s">
        <v>43004</v>
      </c>
      <c r="B231" s="9" t="s">
        <v>19</v>
      </c>
      <c r="C231" s="9" t="s">
        <v>38861</v>
      </c>
      <c r="D231" s="9" t="s">
        <v>39346</v>
      </c>
      <c r="E231" s="56">
        <v>44539.0</v>
      </c>
      <c r="F231" s="9" t="b">
        <v>1</v>
      </c>
      <c r="G231" s="9" t="s">
        <v>38801</v>
      </c>
      <c r="H231" s="9" t="s">
        <v>42560</v>
      </c>
      <c r="I231" s="9" t="b">
        <v>1</v>
      </c>
    </row>
    <row r="232" ht="15.75" customHeight="1">
      <c r="A232" s="9" t="s">
        <v>43005</v>
      </c>
      <c r="B232" s="9" t="s">
        <v>26</v>
      </c>
      <c r="C232" s="9" t="s">
        <v>39120</v>
      </c>
      <c r="D232" s="9" t="s">
        <v>43006</v>
      </c>
      <c r="E232" s="56">
        <v>44539.0</v>
      </c>
      <c r="F232" s="9" t="b">
        <v>1</v>
      </c>
      <c r="G232" s="9" t="s">
        <v>38801</v>
      </c>
      <c r="H232" s="9" t="s">
        <v>42560</v>
      </c>
      <c r="I232" s="9" t="b">
        <v>1</v>
      </c>
    </row>
    <row r="233" ht="15.75" customHeight="1">
      <c r="A233" s="9" t="s">
        <v>43007</v>
      </c>
      <c r="B233" s="9" t="s">
        <v>26</v>
      </c>
      <c r="C233" s="9" t="s">
        <v>39277</v>
      </c>
      <c r="D233" s="9" t="s">
        <v>43008</v>
      </c>
      <c r="E233" s="56">
        <v>44539.0</v>
      </c>
      <c r="F233" s="9" t="b">
        <v>1</v>
      </c>
      <c r="G233" s="9" t="s">
        <v>38801</v>
      </c>
      <c r="H233" s="9" t="s">
        <v>42560</v>
      </c>
      <c r="I233" s="9" t="b">
        <v>1</v>
      </c>
    </row>
    <row r="234" ht="15.75" customHeight="1">
      <c r="A234" s="9" t="s">
        <v>43009</v>
      </c>
      <c r="B234" s="9" t="s">
        <v>26</v>
      </c>
      <c r="C234" s="9" t="s">
        <v>38903</v>
      </c>
      <c r="D234" s="9" t="s">
        <v>43010</v>
      </c>
      <c r="E234" s="56">
        <v>44539.0</v>
      </c>
      <c r="F234" s="9" t="b">
        <v>1</v>
      </c>
      <c r="G234" s="9" t="s">
        <v>42585</v>
      </c>
      <c r="H234" s="9" t="s">
        <v>42560</v>
      </c>
    </row>
    <row r="235" ht="15.75" customHeight="1">
      <c r="A235" s="9" t="s">
        <v>43011</v>
      </c>
      <c r="B235" s="9" t="s">
        <v>26</v>
      </c>
      <c r="C235" s="9" t="s">
        <v>39201</v>
      </c>
      <c r="D235" s="9" t="s">
        <v>43012</v>
      </c>
      <c r="E235" s="61">
        <v>44540.0</v>
      </c>
      <c r="F235" s="9" t="b">
        <v>1</v>
      </c>
      <c r="G235" s="9" t="s">
        <v>38801</v>
      </c>
      <c r="H235" s="9" t="s">
        <v>42560</v>
      </c>
      <c r="I235" s="9" t="b">
        <v>1</v>
      </c>
    </row>
    <row r="236" ht="15.75" customHeight="1">
      <c r="A236" s="9" t="s">
        <v>43013</v>
      </c>
      <c r="B236" s="9" t="s">
        <v>26</v>
      </c>
      <c r="C236" s="9" t="s">
        <v>39303</v>
      </c>
      <c r="D236" s="9" t="s">
        <v>43014</v>
      </c>
      <c r="E236" s="61">
        <v>44540.0</v>
      </c>
      <c r="F236" s="9" t="b">
        <v>1</v>
      </c>
      <c r="G236" s="9" t="s">
        <v>38801</v>
      </c>
      <c r="H236" s="9" t="s">
        <v>42560</v>
      </c>
      <c r="I236" s="9" t="b">
        <v>1</v>
      </c>
    </row>
    <row r="237" ht="15.75" customHeight="1">
      <c r="A237" s="9" t="s">
        <v>43015</v>
      </c>
      <c r="B237" s="9" t="s">
        <v>19</v>
      </c>
      <c r="C237" s="9" t="s">
        <v>38923</v>
      </c>
      <c r="D237" s="9" t="s">
        <v>43016</v>
      </c>
      <c r="E237" s="61">
        <v>44540.0</v>
      </c>
      <c r="F237" s="9" t="b">
        <v>1</v>
      </c>
      <c r="G237" s="9" t="s">
        <v>42632</v>
      </c>
      <c r="H237" s="9" t="s">
        <v>42560</v>
      </c>
    </row>
    <row r="238" ht="15.75" customHeight="1">
      <c r="A238" s="9" t="s">
        <v>43017</v>
      </c>
      <c r="B238" s="9" t="s">
        <v>52</v>
      </c>
      <c r="C238" s="9" t="s">
        <v>39321</v>
      </c>
      <c r="D238" s="9" t="s">
        <v>43018</v>
      </c>
      <c r="E238" s="61">
        <v>44540.0</v>
      </c>
      <c r="F238" s="9" t="b">
        <v>1</v>
      </c>
      <c r="G238" s="9" t="s">
        <v>42573</v>
      </c>
      <c r="H238" s="9" t="s">
        <v>42576</v>
      </c>
    </row>
    <row r="239" ht="15.75" customHeight="1">
      <c r="A239" s="9" t="s">
        <v>43019</v>
      </c>
      <c r="B239" s="9" t="s">
        <v>52</v>
      </c>
      <c r="C239" s="9" t="s">
        <v>39356</v>
      </c>
      <c r="D239" s="9" t="s">
        <v>43020</v>
      </c>
      <c r="E239" s="61">
        <v>44540.0</v>
      </c>
      <c r="F239" s="9" t="b">
        <v>1</v>
      </c>
      <c r="G239" s="9" t="s">
        <v>38801</v>
      </c>
      <c r="H239" s="9" t="s">
        <v>42576</v>
      </c>
      <c r="I239" s="9" t="b">
        <v>1</v>
      </c>
    </row>
    <row r="240" ht="15.75" customHeight="1">
      <c r="A240" s="9" t="s">
        <v>43021</v>
      </c>
      <c r="B240" s="9" t="s">
        <v>47</v>
      </c>
      <c r="C240" s="9" t="s">
        <v>39366</v>
      </c>
      <c r="D240" s="9" t="s">
        <v>43022</v>
      </c>
      <c r="E240" s="61">
        <v>44540.0</v>
      </c>
      <c r="F240" s="9" t="b">
        <v>1</v>
      </c>
      <c r="G240" s="9" t="s">
        <v>38801</v>
      </c>
      <c r="H240" s="9" t="s">
        <v>42560</v>
      </c>
      <c r="I240" s="9" t="b">
        <v>1</v>
      </c>
    </row>
    <row r="241" ht="15.75" customHeight="1">
      <c r="A241" s="9" t="s">
        <v>43023</v>
      </c>
      <c r="B241" s="9" t="s">
        <v>52</v>
      </c>
      <c r="C241" s="9" t="s">
        <v>39124</v>
      </c>
      <c r="D241" s="9" t="s">
        <v>43024</v>
      </c>
      <c r="E241" s="61">
        <v>44540.0</v>
      </c>
      <c r="F241" s="9" t="b">
        <v>1</v>
      </c>
      <c r="G241" s="9" t="s">
        <v>42573</v>
      </c>
      <c r="H241" s="9" t="s">
        <v>42576</v>
      </c>
    </row>
    <row r="242" ht="15.75" customHeight="1">
      <c r="A242" s="9" t="s">
        <v>43025</v>
      </c>
      <c r="B242" s="9" t="s">
        <v>47</v>
      </c>
      <c r="C242" s="9" t="s">
        <v>39350</v>
      </c>
      <c r="D242" s="9" t="s">
        <v>43026</v>
      </c>
      <c r="E242" s="61">
        <v>44540.0</v>
      </c>
      <c r="F242" s="9" t="b">
        <v>1</v>
      </c>
      <c r="G242" s="9" t="s">
        <v>42573</v>
      </c>
      <c r="H242" s="9" t="s">
        <v>42576</v>
      </c>
    </row>
    <row r="243" ht="15.75" customHeight="1">
      <c r="A243" s="9" t="s">
        <v>43027</v>
      </c>
      <c r="B243" s="9" t="s">
        <v>26</v>
      </c>
      <c r="C243" s="9" t="s">
        <v>38934</v>
      </c>
      <c r="D243" s="9" t="s">
        <v>43028</v>
      </c>
      <c r="E243" s="61">
        <v>44541.0</v>
      </c>
      <c r="F243" s="9" t="b">
        <v>1</v>
      </c>
      <c r="G243" s="9" t="s">
        <v>42573</v>
      </c>
      <c r="H243" s="9" t="s">
        <v>42560</v>
      </c>
    </row>
    <row r="244" ht="15.75" customHeight="1">
      <c r="A244" s="9" t="s">
        <v>43029</v>
      </c>
      <c r="B244" s="9" t="s">
        <v>52</v>
      </c>
      <c r="C244" s="9" t="s">
        <v>39331</v>
      </c>
      <c r="D244" s="9" t="s">
        <v>43030</v>
      </c>
      <c r="E244" s="61">
        <v>44543.0</v>
      </c>
      <c r="F244" s="9" t="b">
        <v>1</v>
      </c>
      <c r="G244" s="9" t="s">
        <v>38801</v>
      </c>
      <c r="H244" s="9" t="s">
        <v>42576</v>
      </c>
      <c r="I244" s="9" t="b">
        <v>1</v>
      </c>
    </row>
    <row r="245" ht="15.75" customHeight="1">
      <c r="A245" s="9" t="s">
        <v>43031</v>
      </c>
      <c r="B245" s="9" t="s">
        <v>52</v>
      </c>
      <c r="C245" s="9" t="s">
        <v>39273</v>
      </c>
      <c r="D245" s="9" t="s">
        <v>43032</v>
      </c>
      <c r="E245" s="61">
        <v>44543.0</v>
      </c>
      <c r="F245" s="9" t="b">
        <v>1</v>
      </c>
      <c r="G245" s="9" t="s">
        <v>42573</v>
      </c>
      <c r="H245" s="9" t="s">
        <v>42576</v>
      </c>
    </row>
    <row r="246" ht="15.75" customHeight="1">
      <c r="A246" s="9" t="s">
        <v>43033</v>
      </c>
      <c r="B246" s="9" t="s">
        <v>47</v>
      </c>
      <c r="C246" s="9" t="s">
        <v>39309</v>
      </c>
      <c r="D246" s="9" t="s">
        <v>43034</v>
      </c>
      <c r="E246" s="61">
        <v>44543.0</v>
      </c>
      <c r="F246" s="9" t="b">
        <v>1</v>
      </c>
      <c r="G246" s="9" t="s">
        <v>38801</v>
      </c>
      <c r="H246" s="9" t="s">
        <v>42576</v>
      </c>
      <c r="I246" s="9" t="b">
        <v>1</v>
      </c>
    </row>
    <row r="247" ht="15.75" customHeight="1">
      <c r="A247" s="9" t="s">
        <v>43035</v>
      </c>
      <c r="B247" s="9" t="s">
        <v>47</v>
      </c>
      <c r="C247" s="9" t="s">
        <v>39370</v>
      </c>
      <c r="D247" s="9" t="s">
        <v>43036</v>
      </c>
      <c r="E247" s="61">
        <v>44543.0</v>
      </c>
      <c r="F247" s="9" t="b">
        <v>1</v>
      </c>
      <c r="G247" s="9" t="s">
        <v>38801</v>
      </c>
      <c r="H247" s="9" t="s">
        <v>42576</v>
      </c>
      <c r="I247" s="9" t="b">
        <v>1</v>
      </c>
    </row>
    <row r="248" ht="15.75" customHeight="1">
      <c r="A248" s="9" t="s">
        <v>43037</v>
      </c>
      <c r="B248" s="9" t="s">
        <v>47</v>
      </c>
      <c r="C248" s="9" t="s">
        <v>39388</v>
      </c>
      <c r="D248" s="9" t="s">
        <v>42752</v>
      </c>
      <c r="E248" s="61">
        <v>44544.0</v>
      </c>
      <c r="F248" s="9" t="b">
        <v>1</v>
      </c>
      <c r="G248" s="9" t="s">
        <v>38801</v>
      </c>
      <c r="H248" s="9" t="s">
        <v>42576</v>
      </c>
      <c r="I248" s="9" t="b">
        <v>1</v>
      </c>
    </row>
    <row r="249" ht="15.75" customHeight="1">
      <c r="A249" s="9" t="s">
        <v>43038</v>
      </c>
      <c r="B249" s="9" t="s">
        <v>47</v>
      </c>
      <c r="C249" s="9" t="s">
        <v>38947</v>
      </c>
      <c r="D249" s="9" t="s">
        <v>43039</v>
      </c>
      <c r="E249" s="61">
        <v>44544.0</v>
      </c>
      <c r="F249" s="9" t="b">
        <v>1</v>
      </c>
      <c r="G249" s="9" t="s">
        <v>42573</v>
      </c>
      <c r="H249" s="9" t="s">
        <v>42560</v>
      </c>
    </row>
    <row r="250" ht="15.75" customHeight="1">
      <c r="A250" s="9" t="s">
        <v>43040</v>
      </c>
      <c r="B250" s="9" t="s">
        <v>52</v>
      </c>
      <c r="C250" s="9" t="s">
        <v>39128</v>
      </c>
      <c r="D250" s="9" t="s">
        <v>43041</v>
      </c>
      <c r="E250" s="61">
        <v>44544.0</v>
      </c>
      <c r="F250" s="9" t="b">
        <v>1</v>
      </c>
      <c r="G250" s="9" t="s">
        <v>38801</v>
      </c>
      <c r="H250" s="9" t="s">
        <v>42576</v>
      </c>
      <c r="I250" s="9" t="b">
        <v>1</v>
      </c>
    </row>
    <row r="251" ht="15.75" customHeight="1">
      <c r="A251" s="9" t="s">
        <v>43042</v>
      </c>
      <c r="B251" s="9" t="s">
        <v>47</v>
      </c>
      <c r="C251" s="9" t="s">
        <v>39386</v>
      </c>
      <c r="D251" s="9" t="s">
        <v>43043</v>
      </c>
      <c r="E251" s="61">
        <v>44544.0</v>
      </c>
      <c r="F251" s="9" t="b">
        <v>1</v>
      </c>
      <c r="G251" s="9" t="s">
        <v>38801</v>
      </c>
      <c r="H251" s="9" t="s">
        <v>42576</v>
      </c>
      <c r="I251" s="9" t="b">
        <v>1</v>
      </c>
    </row>
    <row r="252" ht="15.75" customHeight="1">
      <c r="A252" s="9" t="s">
        <v>43044</v>
      </c>
      <c r="B252" s="9" t="s">
        <v>47</v>
      </c>
      <c r="C252" s="9" t="s">
        <v>39350</v>
      </c>
      <c r="D252" s="9" t="s">
        <v>43045</v>
      </c>
      <c r="E252" s="61">
        <v>44544.0</v>
      </c>
      <c r="F252" s="9" t="b">
        <v>1</v>
      </c>
      <c r="G252" s="9" t="s">
        <v>42573</v>
      </c>
      <c r="H252" s="9" t="s">
        <v>42576</v>
      </c>
    </row>
    <row r="253" ht="15.75" customHeight="1">
      <c r="A253" s="9" t="s">
        <v>43046</v>
      </c>
      <c r="B253" s="9" t="s">
        <v>52</v>
      </c>
      <c r="C253" s="9" t="s">
        <v>39207</v>
      </c>
      <c r="D253" s="9" t="s">
        <v>43047</v>
      </c>
      <c r="E253" s="61">
        <v>44545.0</v>
      </c>
      <c r="F253" s="9" t="b">
        <v>1</v>
      </c>
      <c r="G253" s="9" t="s">
        <v>42573</v>
      </c>
      <c r="H253" s="9" t="s">
        <v>42576</v>
      </c>
    </row>
    <row r="254" ht="15.75" customHeight="1">
      <c r="A254" s="9" t="s">
        <v>43048</v>
      </c>
      <c r="B254" s="9" t="s">
        <v>47</v>
      </c>
      <c r="C254" s="9" t="s">
        <v>39350</v>
      </c>
      <c r="D254" s="9" t="s">
        <v>43049</v>
      </c>
      <c r="E254" s="61">
        <v>44545.0</v>
      </c>
      <c r="F254" s="9" t="b">
        <v>1</v>
      </c>
      <c r="G254" s="9" t="s">
        <v>42573</v>
      </c>
      <c r="H254" s="9" t="s">
        <v>42560</v>
      </c>
    </row>
    <row r="255" ht="15.75" customHeight="1">
      <c r="A255" s="9" t="s">
        <v>43050</v>
      </c>
      <c r="B255" s="9" t="s">
        <v>52</v>
      </c>
      <c r="C255" s="9" t="s">
        <v>39390</v>
      </c>
      <c r="D255" s="9" t="s">
        <v>43051</v>
      </c>
      <c r="E255" s="61">
        <v>44546.0</v>
      </c>
      <c r="F255" s="9" t="b">
        <v>1</v>
      </c>
      <c r="G255" s="9" t="s">
        <v>38801</v>
      </c>
      <c r="H255" s="9" t="s">
        <v>42576</v>
      </c>
      <c r="I255" s="9" t="b">
        <v>1</v>
      </c>
    </row>
    <row r="256" ht="15.75" customHeight="1">
      <c r="A256" s="9" t="s">
        <v>43052</v>
      </c>
      <c r="B256" s="9" t="s">
        <v>52</v>
      </c>
      <c r="C256" s="9" t="s">
        <v>39352</v>
      </c>
      <c r="D256" s="9" t="s">
        <v>43053</v>
      </c>
      <c r="E256" s="61">
        <v>44546.0</v>
      </c>
      <c r="F256" s="9" t="b">
        <v>1</v>
      </c>
      <c r="G256" s="9" t="s">
        <v>38801</v>
      </c>
      <c r="H256" s="9" t="s">
        <v>42576</v>
      </c>
      <c r="I256" s="9" t="b">
        <v>1</v>
      </c>
    </row>
    <row r="257" ht="15.75" customHeight="1">
      <c r="A257" s="9" t="s">
        <v>43054</v>
      </c>
      <c r="B257" s="9" t="s">
        <v>52</v>
      </c>
      <c r="C257" s="9" t="s">
        <v>39354</v>
      </c>
      <c r="D257" s="9" t="s">
        <v>43053</v>
      </c>
      <c r="E257" s="61">
        <v>44546.0</v>
      </c>
      <c r="F257" s="9" t="b">
        <v>1</v>
      </c>
      <c r="G257" s="9" t="s">
        <v>38801</v>
      </c>
      <c r="H257" s="9" t="s">
        <v>42576</v>
      </c>
      <c r="I257" s="9" t="b">
        <v>1</v>
      </c>
    </row>
    <row r="258" ht="15.75" customHeight="1">
      <c r="A258" s="9" t="s">
        <v>43055</v>
      </c>
      <c r="B258" s="9" t="s">
        <v>84</v>
      </c>
      <c r="C258" s="9" t="s">
        <v>39352</v>
      </c>
      <c r="D258" s="9" t="s">
        <v>43056</v>
      </c>
      <c r="E258" s="61">
        <v>44546.0</v>
      </c>
      <c r="F258" s="9" t="b">
        <v>1</v>
      </c>
      <c r="G258" s="9" t="s">
        <v>38801</v>
      </c>
      <c r="H258" s="9" t="s">
        <v>42576</v>
      </c>
      <c r="I258" s="9" t="b">
        <v>1</v>
      </c>
    </row>
    <row r="259" ht="15.75" customHeight="1">
      <c r="A259" s="9" t="s">
        <v>43057</v>
      </c>
      <c r="B259" s="9" t="s">
        <v>84</v>
      </c>
      <c r="C259" s="9" t="s">
        <v>39181</v>
      </c>
      <c r="D259" s="9" t="s">
        <v>43058</v>
      </c>
      <c r="E259" s="61">
        <v>44546.0</v>
      </c>
      <c r="F259" s="9" t="b">
        <v>1</v>
      </c>
      <c r="G259" s="9" t="s">
        <v>38801</v>
      </c>
      <c r="H259" s="9" t="s">
        <v>42560</v>
      </c>
      <c r="I259" s="9" t="b">
        <v>1</v>
      </c>
    </row>
    <row r="260" ht="15.75" customHeight="1">
      <c r="A260" s="9" t="s">
        <v>43059</v>
      </c>
      <c r="B260" s="9" t="s">
        <v>84</v>
      </c>
      <c r="C260" s="9" t="s">
        <v>39323</v>
      </c>
      <c r="D260" s="9" t="s">
        <v>42660</v>
      </c>
      <c r="E260" s="61">
        <v>44546.0</v>
      </c>
      <c r="F260" s="9" t="b">
        <v>1</v>
      </c>
      <c r="G260" s="9" t="s">
        <v>38801</v>
      </c>
      <c r="H260" s="9" t="s">
        <v>42560</v>
      </c>
      <c r="I260" s="9" t="b">
        <v>1</v>
      </c>
    </row>
    <row r="261" ht="15.75" customHeight="1">
      <c r="A261" s="9" t="s">
        <v>43060</v>
      </c>
      <c r="B261" s="9" t="s">
        <v>47</v>
      </c>
      <c r="C261" s="9" t="s">
        <v>39414</v>
      </c>
      <c r="D261" s="9" t="s">
        <v>43061</v>
      </c>
      <c r="E261" s="61">
        <v>44547.0</v>
      </c>
      <c r="F261" s="9" t="b">
        <v>1</v>
      </c>
      <c r="G261" s="9" t="s">
        <v>38801</v>
      </c>
      <c r="H261" s="9" t="s">
        <v>42560</v>
      </c>
      <c r="I261" s="9" t="b">
        <v>1</v>
      </c>
    </row>
    <row r="262" ht="15.75" customHeight="1">
      <c r="A262" s="9" t="s">
        <v>43062</v>
      </c>
      <c r="B262" s="9" t="s">
        <v>47</v>
      </c>
      <c r="C262" s="9" t="s">
        <v>39398</v>
      </c>
      <c r="D262" s="9" t="s">
        <v>43063</v>
      </c>
      <c r="E262" s="61">
        <v>44547.0</v>
      </c>
      <c r="F262" s="9" t="b">
        <v>1</v>
      </c>
      <c r="G262" s="9" t="s">
        <v>38801</v>
      </c>
      <c r="H262" s="9" t="s">
        <v>42560</v>
      </c>
      <c r="I262" s="9" t="b">
        <v>1</v>
      </c>
    </row>
    <row r="263" ht="15.75" customHeight="1">
      <c r="A263" s="9" t="s">
        <v>43064</v>
      </c>
      <c r="B263" s="9" t="s">
        <v>47</v>
      </c>
      <c r="C263" s="9" t="s">
        <v>39350</v>
      </c>
      <c r="D263" s="9" t="s">
        <v>43065</v>
      </c>
      <c r="E263" s="61">
        <v>44547.0</v>
      </c>
      <c r="F263" s="9" t="b">
        <v>1</v>
      </c>
      <c r="G263" s="9" t="s">
        <v>38801</v>
      </c>
      <c r="H263" s="9" t="s">
        <v>42576</v>
      </c>
      <c r="I263" s="9" t="b">
        <v>1</v>
      </c>
    </row>
    <row r="264" ht="15.75" customHeight="1">
      <c r="A264" s="9" t="s">
        <v>43066</v>
      </c>
      <c r="B264" s="9" t="s">
        <v>47</v>
      </c>
      <c r="C264" s="9" t="s">
        <v>39382</v>
      </c>
      <c r="D264" s="9" t="s">
        <v>43067</v>
      </c>
      <c r="E264" s="61">
        <v>44547.0</v>
      </c>
      <c r="F264" s="9" t="b">
        <v>1</v>
      </c>
      <c r="G264" s="9" t="s">
        <v>38801</v>
      </c>
      <c r="H264" s="9" t="s">
        <v>42576</v>
      </c>
      <c r="I264" s="9" t="b">
        <v>1</v>
      </c>
    </row>
    <row r="265" ht="15.75" customHeight="1">
      <c r="A265" s="9" t="s">
        <v>43068</v>
      </c>
      <c r="B265" s="9" t="s">
        <v>26</v>
      </c>
      <c r="C265" s="9" t="s">
        <v>39412</v>
      </c>
      <c r="D265" s="9" t="s">
        <v>43069</v>
      </c>
      <c r="E265" s="61">
        <v>44551.0</v>
      </c>
      <c r="F265" s="9" t="b">
        <v>1</v>
      </c>
      <c r="G265" s="9" t="s">
        <v>38801</v>
      </c>
      <c r="H265" s="9" t="s">
        <v>42560</v>
      </c>
      <c r="I265" s="9" t="b">
        <v>1</v>
      </c>
    </row>
    <row r="266" ht="15.75" customHeight="1">
      <c r="A266" s="9" t="s">
        <v>43070</v>
      </c>
      <c r="B266" s="9" t="s">
        <v>52</v>
      </c>
      <c r="C266" s="9" t="s">
        <v>39301</v>
      </c>
      <c r="D266" s="9" t="s">
        <v>43071</v>
      </c>
      <c r="E266" s="61">
        <v>44551.0</v>
      </c>
      <c r="F266" s="9" t="b">
        <v>1</v>
      </c>
      <c r="G266" s="9" t="s">
        <v>38801</v>
      </c>
      <c r="H266" s="9" t="s">
        <v>42576</v>
      </c>
      <c r="I266" s="9" t="b">
        <v>1</v>
      </c>
    </row>
    <row r="267" ht="15.75" customHeight="1">
      <c r="A267" s="9" t="s">
        <v>43072</v>
      </c>
      <c r="B267" s="9" t="s">
        <v>52</v>
      </c>
      <c r="C267" s="9" t="s">
        <v>39343</v>
      </c>
      <c r="D267" s="9" t="s">
        <v>43073</v>
      </c>
      <c r="E267" s="61">
        <v>44552.0</v>
      </c>
      <c r="F267" s="9" t="b">
        <v>1</v>
      </c>
      <c r="G267" s="9" t="s">
        <v>42573</v>
      </c>
      <c r="H267" s="9" t="s">
        <v>42576</v>
      </c>
      <c r="I267" s="9" t="b">
        <v>0</v>
      </c>
    </row>
    <row r="268" ht="15.75" customHeight="1">
      <c r="A268" s="9" t="s">
        <v>43074</v>
      </c>
      <c r="B268" s="9" t="s">
        <v>47</v>
      </c>
      <c r="C268" s="9" t="s">
        <v>39434</v>
      </c>
      <c r="D268" s="9" t="s">
        <v>43075</v>
      </c>
      <c r="E268" s="61">
        <v>44554.0</v>
      </c>
      <c r="F268" s="9" t="b">
        <v>1</v>
      </c>
      <c r="G268" s="9" t="s">
        <v>42573</v>
      </c>
      <c r="H268" s="9" t="s">
        <v>42576</v>
      </c>
    </row>
    <row r="269" ht="15.75" customHeight="1">
      <c r="A269" s="9" t="s">
        <v>43076</v>
      </c>
      <c r="B269" s="9" t="s">
        <v>26</v>
      </c>
      <c r="C269" s="9" t="s">
        <v>39422</v>
      </c>
      <c r="D269" s="9" t="s">
        <v>43077</v>
      </c>
      <c r="E269" s="61">
        <v>44557.0</v>
      </c>
      <c r="F269" s="9" t="b">
        <v>1</v>
      </c>
      <c r="G269" s="9" t="s">
        <v>38801</v>
      </c>
      <c r="H269" s="9" t="s">
        <v>42576</v>
      </c>
      <c r="I269" s="9" t="b">
        <v>1</v>
      </c>
    </row>
    <row r="270" ht="15.75" customHeight="1">
      <c r="A270" s="9" t="s">
        <v>43078</v>
      </c>
      <c r="B270" s="9" t="s">
        <v>26</v>
      </c>
      <c r="C270" s="9" t="s">
        <v>39428</v>
      </c>
      <c r="D270" s="9" t="s">
        <v>43079</v>
      </c>
      <c r="E270" s="61">
        <v>44557.0</v>
      </c>
      <c r="F270" s="9" t="b">
        <v>1</v>
      </c>
      <c r="G270" s="9" t="s">
        <v>38801</v>
      </c>
      <c r="H270" s="9" t="s">
        <v>42560</v>
      </c>
      <c r="I270" s="9" t="b">
        <v>1</v>
      </c>
    </row>
    <row r="271" ht="15.75" customHeight="1">
      <c r="A271" s="9" t="s">
        <v>43080</v>
      </c>
      <c r="B271" s="9" t="s">
        <v>26</v>
      </c>
      <c r="C271" s="9" t="s">
        <v>39392</v>
      </c>
      <c r="D271" s="9" t="s">
        <v>43081</v>
      </c>
      <c r="E271" s="61">
        <v>44557.0</v>
      </c>
      <c r="F271" s="9" t="b">
        <v>1</v>
      </c>
      <c r="G271" s="9" t="s">
        <v>38801</v>
      </c>
      <c r="H271" s="9" t="s">
        <v>42560</v>
      </c>
      <c r="I271" s="9" t="b">
        <v>1</v>
      </c>
    </row>
    <row r="272" ht="15.75" customHeight="1">
      <c r="A272" s="9" t="s">
        <v>43082</v>
      </c>
      <c r="B272" s="9" t="s">
        <v>52</v>
      </c>
      <c r="C272" s="9" t="s">
        <v>39400</v>
      </c>
      <c r="D272" s="9" t="s">
        <v>43083</v>
      </c>
      <c r="E272" s="61">
        <v>44558.0</v>
      </c>
      <c r="F272" s="9" t="b">
        <v>1</v>
      </c>
      <c r="G272" s="9" t="s">
        <v>38801</v>
      </c>
      <c r="H272" s="9" t="s">
        <v>42576</v>
      </c>
      <c r="I272" s="9" t="b">
        <v>1</v>
      </c>
    </row>
    <row r="273" ht="15.75" customHeight="1">
      <c r="A273" s="9" t="s">
        <v>43084</v>
      </c>
      <c r="B273" s="9" t="s">
        <v>52</v>
      </c>
      <c r="C273" s="9" t="s">
        <v>39364</v>
      </c>
      <c r="D273" s="9" t="s">
        <v>43085</v>
      </c>
      <c r="E273" s="61">
        <v>44558.0</v>
      </c>
      <c r="F273" s="9" t="b">
        <v>1</v>
      </c>
      <c r="G273" s="9" t="s">
        <v>38801</v>
      </c>
      <c r="H273" s="9" t="s">
        <v>42576</v>
      </c>
      <c r="I273" s="9" t="b">
        <v>1</v>
      </c>
    </row>
    <row r="274" ht="15.75" customHeight="1">
      <c r="A274" s="52" t="s">
        <v>43086</v>
      </c>
      <c r="B274" s="9" t="s">
        <v>26</v>
      </c>
      <c r="C274" s="9" t="s">
        <v>39348</v>
      </c>
      <c r="D274" s="9" t="s">
        <v>43087</v>
      </c>
      <c r="E274" s="61">
        <v>44559.0</v>
      </c>
      <c r="F274" s="9" t="b">
        <v>1</v>
      </c>
      <c r="G274" s="9" t="s">
        <v>38801</v>
      </c>
      <c r="H274" s="9" t="s">
        <v>42560</v>
      </c>
      <c r="I274" s="9" t="b">
        <v>1</v>
      </c>
    </row>
    <row r="275" ht="15.75" customHeight="1">
      <c r="A275" s="9" t="s">
        <v>43088</v>
      </c>
      <c r="B275" s="9" t="s">
        <v>26</v>
      </c>
      <c r="C275" s="9" t="s">
        <v>39406</v>
      </c>
      <c r="D275" s="9" t="s">
        <v>43089</v>
      </c>
      <c r="E275" s="61">
        <v>44559.0</v>
      </c>
      <c r="F275" s="9" t="b">
        <v>1</v>
      </c>
      <c r="G275" s="9" t="s">
        <v>42573</v>
      </c>
      <c r="H275" s="9" t="s">
        <v>42560</v>
      </c>
    </row>
    <row r="276" ht="15.75" customHeight="1">
      <c r="A276" s="9" t="s">
        <v>43090</v>
      </c>
      <c r="B276" s="9" t="s">
        <v>26</v>
      </c>
      <c r="C276" s="9" t="s">
        <v>39396</v>
      </c>
      <c r="D276" s="9" t="s">
        <v>43091</v>
      </c>
      <c r="E276" s="61">
        <v>44559.0</v>
      </c>
      <c r="F276" s="9" t="b">
        <v>1</v>
      </c>
      <c r="G276" s="9" t="s">
        <v>42573</v>
      </c>
      <c r="H276" s="9" t="s">
        <v>42560</v>
      </c>
    </row>
    <row r="277" ht="15.75" customHeight="1">
      <c r="A277" s="9" t="s">
        <v>43092</v>
      </c>
      <c r="B277" s="9" t="s">
        <v>26</v>
      </c>
      <c r="C277" s="9" t="s">
        <v>39360</v>
      </c>
      <c r="D277" s="9" t="s">
        <v>43093</v>
      </c>
      <c r="E277" s="61">
        <v>44559.0</v>
      </c>
      <c r="F277" s="9" t="b">
        <v>1</v>
      </c>
      <c r="G277" s="9" t="s">
        <v>42573</v>
      </c>
      <c r="H277" s="9" t="s">
        <v>42560</v>
      </c>
    </row>
    <row r="278" ht="15.75" customHeight="1">
      <c r="A278" s="9" t="s">
        <v>43094</v>
      </c>
      <c r="B278" s="9" t="s">
        <v>52</v>
      </c>
      <c r="C278" s="9" t="s">
        <v>39139</v>
      </c>
      <c r="D278" s="9" t="s">
        <v>43095</v>
      </c>
      <c r="E278" s="61">
        <v>44559.0</v>
      </c>
      <c r="F278" s="9" t="b">
        <v>1</v>
      </c>
      <c r="G278" s="9" t="s">
        <v>38801</v>
      </c>
      <c r="H278" s="9" t="s">
        <v>42576</v>
      </c>
      <c r="I278" s="9" t="b">
        <v>1</v>
      </c>
    </row>
    <row r="279" ht="15.75" customHeight="1">
      <c r="A279" s="9" t="s">
        <v>43096</v>
      </c>
      <c r="B279" s="9" t="s">
        <v>52</v>
      </c>
      <c r="C279" s="9" t="s">
        <v>39447</v>
      </c>
      <c r="D279" s="9" t="s">
        <v>43097</v>
      </c>
      <c r="E279" s="61">
        <v>44559.0</v>
      </c>
      <c r="F279" s="9" t="b">
        <v>1</v>
      </c>
      <c r="G279" s="9" t="s">
        <v>38801</v>
      </c>
      <c r="H279" s="9" t="s">
        <v>42576</v>
      </c>
      <c r="I279" s="9" t="b">
        <v>1</v>
      </c>
    </row>
    <row r="280" ht="15.75" customHeight="1">
      <c r="A280" s="9" t="s">
        <v>43098</v>
      </c>
      <c r="B280" s="9" t="s">
        <v>52</v>
      </c>
      <c r="C280" s="9" t="s">
        <v>39449</v>
      </c>
      <c r="D280" s="9" t="s">
        <v>43099</v>
      </c>
      <c r="E280" s="61">
        <v>44560.0</v>
      </c>
      <c r="F280" s="9" t="b">
        <v>1</v>
      </c>
      <c r="G280" s="9" t="s">
        <v>38801</v>
      </c>
      <c r="H280" s="9" t="s">
        <v>42576</v>
      </c>
      <c r="I280" s="9" t="b">
        <v>1</v>
      </c>
    </row>
    <row r="281" ht="15.75" customHeight="1">
      <c r="A281" s="9" t="s">
        <v>43100</v>
      </c>
      <c r="B281" s="9" t="s">
        <v>52</v>
      </c>
      <c r="C281" s="9" t="s">
        <v>39410</v>
      </c>
      <c r="D281" s="9" t="s">
        <v>43101</v>
      </c>
      <c r="E281" s="61">
        <v>44561.0</v>
      </c>
      <c r="F281" s="9" t="b">
        <v>1</v>
      </c>
      <c r="G281" s="9" t="s">
        <v>42573</v>
      </c>
      <c r="H281" s="9" t="s">
        <v>42576</v>
      </c>
    </row>
    <row r="282" ht="15.75" customHeight="1">
      <c r="A282" s="52" t="s">
        <v>43102</v>
      </c>
      <c r="B282" s="9" t="s">
        <v>52</v>
      </c>
      <c r="C282" s="9" t="s">
        <v>39380</v>
      </c>
      <c r="D282" s="9" t="s">
        <v>43103</v>
      </c>
      <c r="E282" s="61">
        <v>44561.0</v>
      </c>
      <c r="F282" s="9" t="b">
        <v>1</v>
      </c>
      <c r="G282" s="9" t="s">
        <v>38801</v>
      </c>
      <c r="H282" s="9" t="s">
        <v>42576</v>
      </c>
      <c r="I282" s="9" t="b">
        <v>1</v>
      </c>
    </row>
    <row r="283" ht="15.75" customHeight="1">
      <c r="A283" s="9" t="s">
        <v>43104</v>
      </c>
      <c r="B283" s="9" t="s">
        <v>52</v>
      </c>
      <c r="C283" s="9" t="s">
        <v>39455</v>
      </c>
      <c r="D283" s="9" t="s">
        <v>43105</v>
      </c>
      <c r="E283" s="56">
        <v>44564.0</v>
      </c>
      <c r="F283" s="9" t="b">
        <v>1</v>
      </c>
      <c r="G283" s="9" t="s">
        <v>38801</v>
      </c>
      <c r="H283" s="9" t="s">
        <v>42576</v>
      </c>
      <c r="I283" s="9" t="b">
        <v>1</v>
      </c>
    </row>
    <row r="284" ht="15.75" customHeight="1">
      <c r="A284" s="9" t="s">
        <v>43106</v>
      </c>
      <c r="B284" s="9" t="s">
        <v>52</v>
      </c>
      <c r="C284" s="9" t="s">
        <v>39418</v>
      </c>
      <c r="D284" s="9" t="s">
        <v>43107</v>
      </c>
      <c r="E284" s="56">
        <v>44565.0</v>
      </c>
      <c r="F284" s="9" t="b">
        <v>1</v>
      </c>
      <c r="G284" s="9" t="s">
        <v>42573</v>
      </c>
      <c r="H284" s="9" t="s">
        <v>42576</v>
      </c>
    </row>
    <row r="285" ht="15.75" customHeight="1">
      <c r="A285" s="9" t="s">
        <v>43108</v>
      </c>
      <c r="B285" s="9" t="s">
        <v>52</v>
      </c>
      <c r="C285" s="9" t="s">
        <v>39410</v>
      </c>
      <c r="D285" s="9" t="s">
        <v>43109</v>
      </c>
      <c r="E285" s="56">
        <v>44565.0</v>
      </c>
      <c r="F285" s="9" t="b">
        <v>1</v>
      </c>
      <c r="G285" s="9" t="s">
        <v>38801</v>
      </c>
      <c r="H285" s="9" t="s">
        <v>42576</v>
      </c>
      <c r="I285" s="9" t="b">
        <v>1</v>
      </c>
    </row>
    <row r="286" ht="15.75" customHeight="1">
      <c r="A286" s="9" t="s">
        <v>43110</v>
      </c>
      <c r="B286" s="9" t="s">
        <v>52</v>
      </c>
      <c r="C286" s="9" t="s">
        <v>39453</v>
      </c>
      <c r="D286" s="9" t="s">
        <v>43111</v>
      </c>
      <c r="E286" s="56">
        <v>44565.0</v>
      </c>
      <c r="F286" s="9" t="b">
        <v>1</v>
      </c>
      <c r="G286" s="9" t="s">
        <v>38801</v>
      </c>
      <c r="H286" s="9" t="s">
        <v>42576</v>
      </c>
      <c r="I286" s="9" t="b">
        <v>1</v>
      </c>
    </row>
    <row r="287" ht="15.75" customHeight="1">
      <c r="A287" s="9" t="s">
        <v>43112</v>
      </c>
      <c r="B287" s="9" t="s">
        <v>47</v>
      </c>
      <c r="C287" s="9" t="s">
        <v>39438</v>
      </c>
      <c r="D287" s="9" t="s">
        <v>43113</v>
      </c>
      <c r="E287" s="56">
        <v>44566.0</v>
      </c>
      <c r="F287" s="9" t="b">
        <v>1</v>
      </c>
      <c r="G287" s="9" t="s">
        <v>42573</v>
      </c>
      <c r="H287" s="9" t="s">
        <v>42560</v>
      </c>
    </row>
    <row r="288" ht="15.75" customHeight="1">
      <c r="A288" s="9" t="s">
        <v>43114</v>
      </c>
      <c r="B288" s="9" t="s">
        <v>52</v>
      </c>
      <c r="C288" s="9" t="s">
        <v>39459</v>
      </c>
      <c r="D288" s="9" t="s">
        <v>43115</v>
      </c>
      <c r="E288" s="56">
        <v>44566.0</v>
      </c>
      <c r="F288" s="9" t="b">
        <v>1</v>
      </c>
      <c r="G288" s="9" t="s">
        <v>42573</v>
      </c>
      <c r="H288" s="9" t="s">
        <v>42576</v>
      </c>
    </row>
    <row r="289" ht="15.75" customHeight="1">
      <c r="A289" s="9" t="s">
        <v>43116</v>
      </c>
      <c r="B289" s="9" t="s">
        <v>52</v>
      </c>
      <c r="C289" s="9" t="s">
        <v>39457</v>
      </c>
      <c r="D289" s="9" t="s">
        <v>43117</v>
      </c>
      <c r="E289" s="56">
        <v>44566.0</v>
      </c>
      <c r="F289" s="9" t="b">
        <v>1</v>
      </c>
      <c r="G289" s="9" t="s">
        <v>42573</v>
      </c>
      <c r="H289" s="9" t="s">
        <v>42576</v>
      </c>
    </row>
    <row r="290" ht="15.75" customHeight="1">
      <c r="A290" s="9" t="s">
        <v>43118</v>
      </c>
      <c r="B290" s="9" t="s">
        <v>76</v>
      </c>
      <c r="C290" s="9" t="s">
        <v>39378</v>
      </c>
      <c r="D290" s="9" t="s">
        <v>43119</v>
      </c>
      <c r="E290" s="56">
        <v>44567.0</v>
      </c>
      <c r="F290" s="9" t="b">
        <v>1</v>
      </c>
      <c r="G290" s="9" t="s">
        <v>38801</v>
      </c>
      <c r="H290" s="9" t="s">
        <v>42560</v>
      </c>
      <c r="I290" s="9" t="b">
        <v>1</v>
      </c>
    </row>
    <row r="291" ht="15.75" customHeight="1">
      <c r="A291" s="9" t="s">
        <v>43120</v>
      </c>
      <c r="B291" s="9" t="s">
        <v>47</v>
      </c>
      <c r="C291" s="9" t="s">
        <v>39434</v>
      </c>
      <c r="D291" s="9" t="s">
        <v>43121</v>
      </c>
      <c r="E291" s="56">
        <v>44568.0</v>
      </c>
      <c r="F291" s="9" t="b">
        <v>1</v>
      </c>
      <c r="G291" s="9" t="s">
        <v>38801</v>
      </c>
      <c r="H291" s="9" t="s">
        <v>42576</v>
      </c>
      <c r="I291" s="9" t="b">
        <v>1</v>
      </c>
    </row>
    <row r="292" ht="15.75" customHeight="1">
      <c r="A292" s="9" t="s">
        <v>43122</v>
      </c>
      <c r="B292" s="9" t="s">
        <v>52</v>
      </c>
      <c r="C292" s="9" t="s">
        <v>39040</v>
      </c>
      <c r="D292" s="9" t="s">
        <v>43123</v>
      </c>
      <c r="E292" s="56">
        <v>44568.0</v>
      </c>
      <c r="F292" s="9" t="b">
        <v>1</v>
      </c>
      <c r="G292" s="9" t="s">
        <v>42573</v>
      </c>
      <c r="H292" s="9" t="s">
        <v>42560</v>
      </c>
    </row>
    <row r="293" ht="15.75" customHeight="1">
      <c r="A293" s="9" t="s">
        <v>43124</v>
      </c>
      <c r="B293" s="9" t="s">
        <v>52</v>
      </c>
      <c r="C293" s="9" t="s">
        <v>39124</v>
      </c>
      <c r="D293" s="9" t="s">
        <v>43125</v>
      </c>
      <c r="E293" s="56">
        <v>44568.0</v>
      </c>
      <c r="F293" s="9" t="b">
        <v>1</v>
      </c>
      <c r="G293" s="9" t="s">
        <v>42573</v>
      </c>
      <c r="H293" s="9" t="s">
        <v>42560</v>
      </c>
    </row>
    <row r="294" ht="15.75" customHeight="1">
      <c r="A294" s="9" t="s">
        <v>43126</v>
      </c>
      <c r="B294" s="9" t="s">
        <v>52</v>
      </c>
      <c r="C294" s="9" t="s">
        <v>39155</v>
      </c>
      <c r="D294" s="9" t="s">
        <v>43127</v>
      </c>
      <c r="E294" s="56">
        <v>44568.0</v>
      </c>
      <c r="F294" s="9" t="b">
        <v>1</v>
      </c>
      <c r="G294" s="9" t="s">
        <v>38801</v>
      </c>
      <c r="H294" s="9" t="s">
        <v>42576</v>
      </c>
      <c r="I294" s="9" t="b">
        <v>1</v>
      </c>
    </row>
    <row r="295" ht="15.75" customHeight="1">
      <c r="A295" s="9" t="s">
        <v>43128</v>
      </c>
      <c r="B295" s="9" t="s">
        <v>47</v>
      </c>
      <c r="C295" s="9" t="s">
        <v>39022</v>
      </c>
      <c r="D295" s="9" t="s">
        <v>43129</v>
      </c>
      <c r="E295" s="56">
        <v>44568.0</v>
      </c>
      <c r="F295" s="9" t="b">
        <v>1</v>
      </c>
      <c r="G295" s="9" t="s">
        <v>38801</v>
      </c>
      <c r="H295" s="9" t="s">
        <v>42560</v>
      </c>
      <c r="I295" s="9" t="b">
        <v>1</v>
      </c>
    </row>
    <row r="296" ht="15.75" customHeight="1">
      <c r="A296" s="9" t="s">
        <v>43130</v>
      </c>
      <c r="B296" s="9" t="s">
        <v>47</v>
      </c>
      <c r="C296" s="9" t="s">
        <v>39446</v>
      </c>
      <c r="D296" s="9" t="s">
        <v>43131</v>
      </c>
      <c r="E296" s="56">
        <v>44568.0</v>
      </c>
      <c r="F296" s="9" t="b">
        <v>1</v>
      </c>
      <c r="G296" s="9" t="s">
        <v>42573</v>
      </c>
      <c r="H296" s="9" t="s">
        <v>42576</v>
      </c>
    </row>
    <row r="297" ht="15.75" customHeight="1">
      <c r="A297" s="9" t="s">
        <v>43132</v>
      </c>
      <c r="B297" s="9" t="s">
        <v>47</v>
      </c>
      <c r="C297" s="9" t="s">
        <v>39436</v>
      </c>
      <c r="D297" s="9" t="s">
        <v>43133</v>
      </c>
      <c r="E297" s="56">
        <v>44568.0</v>
      </c>
      <c r="F297" s="9" t="b">
        <v>1</v>
      </c>
      <c r="G297" s="9" t="s">
        <v>42573</v>
      </c>
      <c r="H297" s="9" t="s">
        <v>42576</v>
      </c>
    </row>
    <row r="298" ht="15.75" customHeight="1">
      <c r="A298" s="9" t="s">
        <v>43134</v>
      </c>
      <c r="B298" s="9" t="s">
        <v>47</v>
      </c>
      <c r="C298" s="9" t="s">
        <v>39468</v>
      </c>
      <c r="D298" s="9" t="s">
        <v>43135</v>
      </c>
      <c r="E298" s="56">
        <v>44571.0</v>
      </c>
      <c r="F298" s="9" t="b">
        <v>1</v>
      </c>
      <c r="G298" s="9" t="s">
        <v>42573</v>
      </c>
      <c r="H298" s="9" t="s">
        <v>42576</v>
      </c>
    </row>
    <row r="299" ht="15.75" customHeight="1">
      <c r="A299" s="9" t="s">
        <v>43136</v>
      </c>
      <c r="B299" s="9" t="s">
        <v>47</v>
      </c>
      <c r="C299" s="9" t="s">
        <v>39477</v>
      </c>
      <c r="D299" s="9" t="s">
        <v>43137</v>
      </c>
      <c r="E299" s="56">
        <v>44571.0</v>
      </c>
      <c r="F299" s="9" t="b">
        <v>1</v>
      </c>
      <c r="G299" s="9" t="s">
        <v>38801</v>
      </c>
      <c r="H299" s="9" t="s">
        <v>42576</v>
      </c>
      <c r="I299" s="9" t="b">
        <v>1</v>
      </c>
    </row>
    <row r="300" ht="15.75" customHeight="1">
      <c r="A300" s="9" t="s">
        <v>43138</v>
      </c>
      <c r="B300" s="9" t="s">
        <v>47</v>
      </c>
      <c r="C300" s="9" t="s">
        <v>39466</v>
      </c>
      <c r="D300" s="9" t="s">
        <v>43139</v>
      </c>
      <c r="E300" s="56">
        <v>44571.0</v>
      </c>
      <c r="F300" s="9" t="b">
        <v>1</v>
      </c>
      <c r="G300" s="9" t="s">
        <v>42632</v>
      </c>
      <c r="H300" s="9" t="s">
        <v>42560</v>
      </c>
    </row>
    <row r="301" ht="15.75" customHeight="1">
      <c r="A301" s="9" t="s">
        <v>43140</v>
      </c>
      <c r="B301" s="9" t="s">
        <v>47</v>
      </c>
      <c r="C301" s="9" t="s">
        <v>39466</v>
      </c>
      <c r="D301" s="9" t="s">
        <v>43141</v>
      </c>
      <c r="E301" s="56">
        <v>44571.0</v>
      </c>
      <c r="F301" s="9" t="b">
        <v>1</v>
      </c>
      <c r="G301" s="9" t="s">
        <v>38801</v>
      </c>
      <c r="H301" s="9" t="s">
        <v>42576</v>
      </c>
      <c r="I301" s="9" t="b">
        <v>1</v>
      </c>
    </row>
    <row r="302" ht="15.75" customHeight="1">
      <c r="A302" s="9" t="s">
        <v>43142</v>
      </c>
      <c r="B302" s="9" t="s">
        <v>52</v>
      </c>
      <c r="C302" s="9" t="s">
        <v>38839</v>
      </c>
      <c r="D302" s="9" t="s">
        <v>43143</v>
      </c>
      <c r="E302" s="56">
        <v>44571.0</v>
      </c>
      <c r="F302" s="9" t="b">
        <v>1</v>
      </c>
      <c r="G302" s="9" t="s">
        <v>42585</v>
      </c>
      <c r="H302" s="9" t="s">
        <v>42560</v>
      </c>
    </row>
    <row r="303" ht="15.75" customHeight="1">
      <c r="A303" s="9" t="s">
        <v>43144</v>
      </c>
      <c r="B303" s="9" t="s">
        <v>47</v>
      </c>
      <c r="C303" s="9" t="s">
        <v>39464</v>
      </c>
      <c r="D303" s="9" t="s">
        <v>43145</v>
      </c>
      <c r="E303" s="56">
        <v>44571.0</v>
      </c>
      <c r="F303" s="9" t="b">
        <v>1</v>
      </c>
      <c r="G303" s="9" t="s">
        <v>42573</v>
      </c>
      <c r="H303" s="9" t="s">
        <v>42560</v>
      </c>
    </row>
    <row r="304" ht="15.75" customHeight="1">
      <c r="A304" s="9" t="s">
        <v>43146</v>
      </c>
      <c r="B304" s="9" t="s">
        <v>47</v>
      </c>
      <c r="C304" s="9" t="s">
        <v>39408</v>
      </c>
      <c r="D304" s="9" t="s">
        <v>43147</v>
      </c>
      <c r="E304" s="56">
        <v>44571.0</v>
      </c>
      <c r="F304" s="9" t="b">
        <v>1</v>
      </c>
      <c r="G304" s="9" t="s">
        <v>42573</v>
      </c>
      <c r="H304" s="9" t="s">
        <v>42560</v>
      </c>
    </row>
    <row r="305" ht="15.75" customHeight="1">
      <c r="A305" s="9" t="s">
        <v>43148</v>
      </c>
      <c r="B305" s="9" t="s">
        <v>52</v>
      </c>
      <c r="C305" s="9" t="s">
        <v>38889</v>
      </c>
      <c r="D305" s="9" t="s">
        <v>43149</v>
      </c>
      <c r="E305" s="56">
        <v>44571.0</v>
      </c>
      <c r="F305" s="9" t="b">
        <v>1</v>
      </c>
      <c r="G305" s="9" t="s">
        <v>42585</v>
      </c>
      <c r="H305" s="9" t="s">
        <v>42560</v>
      </c>
    </row>
    <row r="306" ht="15.75" customHeight="1">
      <c r="A306" s="9" t="s">
        <v>43150</v>
      </c>
      <c r="B306" s="9" t="s">
        <v>47</v>
      </c>
      <c r="C306" s="9" t="s">
        <v>39430</v>
      </c>
      <c r="D306" s="9" t="s">
        <v>43147</v>
      </c>
      <c r="E306" s="56">
        <v>44571.0</v>
      </c>
      <c r="F306" s="9" t="b">
        <v>1</v>
      </c>
      <c r="G306" s="9" t="s">
        <v>42573</v>
      </c>
      <c r="H306" s="9" t="s">
        <v>42560</v>
      </c>
    </row>
    <row r="307" ht="15.75" customHeight="1">
      <c r="A307" s="9" t="s">
        <v>43151</v>
      </c>
      <c r="B307" s="9" t="s">
        <v>47</v>
      </c>
      <c r="C307" s="9" t="s">
        <v>39432</v>
      </c>
      <c r="D307" s="9" t="s">
        <v>43147</v>
      </c>
      <c r="E307" s="56">
        <v>44571.0</v>
      </c>
      <c r="F307" s="9" t="b">
        <v>1</v>
      </c>
      <c r="G307" s="9" t="s">
        <v>42573</v>
      </c>
      <c r="H307" s="9" t="s">
        <v>42560</v>
      </c>
    </row>
    <row r="308" ht="15.75" customHeight="1">
      <c r="A308" s="52" t="s">
        <v>43152</v>
      </c>
      <c r="B308" s="9" t="s">
        <v>52</v>
      </c>
      <c r="C308" s="9" t="s">
        <v>39416</v>
      </c>
      <c r="D308" s="9" t="s">
        <v>43153</v>
      </c>
      <c r="E308" s="56">
        <v>44572.0</v>
      </c>
      <c r="F308" s="9" t="b">
        <v>1</v>
      </c>
      <c r="G308" s="9" t="s">
        <v>42573</v>
      </c>
      <c r="H308" s="9" t="s">
        <v>42560</v>
      </c>
    </row>
    <row r="309" ht="15.75" customHeight="1">
      <c r="A309" s="9" t="s">
        <v>43154</v>
      </c>
      <c r="B309" s="9" t="s">
        <v>47</v>
      </c>
      <c r="C309" s="9" t="s">
        <v>39479</v>
      </c>
      <c r="D309" s="9" t="s">
        <v>43155</v>
      </c>
      <c r="E309" s="56">
        <v>44572.0</v>
      </c>
      <c r="F309" s="9" t="b">
        <v>1</v>
      </c>
      <c r="G309" s="9" t="s">
        <v>38801</v>
      </c>
      <c r="H309" s="9" t="s">
        <v>42576</v>
      </c>
      <c r="I309" s="9" t="b">
        <v>1</v>
      </c>
    </row>
    <row r="310" ht="15.75" customHeight="1">
      <c r="A310" s="9" t="s">
        <v>43156</v>
      </c>
      <c r="B310" s="9" t="s">
        <v>47</v>
      </c>
      <c r="C310" s="9" t="s">
        <v>39481</v>
      </c>
      <c r="D310" s="9" t="s">
        <v>43157</v>
      </c>
      <c r="E310" s="56">
        <v>44572.0</v>
      </c>
      <c r="F310" s="9" t="b">
        <v>1</v>
      </c>
      <c r="G310" s="9" t="s">
        <v>42573</v>
      </c>
      <c r="H310" s="9" t="s">
        <v>42576</v>
      </c>
    </row>
    <row r="311" ht="15.75" customHeight="1">
      <c r="A311" s="9" t="s">
        <v>43158</v>
      </c>
      <c r="B311" s="9" t="s">
        <v>47</v>
      </c>
      <c r="C311" s="9" t="s">
        <v>39484</v>
      </c>
      <c r="D311" s="9" t="s">
        <v>43159</v>
      </c>
      <c r="E311" s="56">
        <v>44572.0</v>
      </c>
      <c r="F311" s="9" t="b">
        <v>1</v>
      </c>
      <c r="G311" s="9" t="s">
        <v>42573</v>
      </c>
      <c r="H311" s="9" t="s">
        <v>42576</v>
      </c>
    </row>
    <row r="312" ht="15.75" customHeight="1">
      <c r="A312" s="9" t="s">
        <v>43160</v>
      </c>
      <c r="B312" s="9" t="s">
        <v>47</v>
      </c>
      <c r="C312" s="9" t="s">
        <v>39468</v>
      </c>
      <c r="D312" s="9" t="s">
        <v>43161</v>
      </c>
      <c r="E312" s="56">
        <v>44572.0</v>
      </c>
      <c r="F312" s="9" t="b">
        <v>1</v>
      </c>
      <c r="G312" s="9" t="s">
        <v>42573</v>
      </c>
      <c r="H312" s="9" t="s">
        <v>42576</v>
      </c>
    </row>
    <row r="313" ht="15.75" customHeight="1">
      <c r="A313" s="9" t="s">
        <v>43162</v>
      </c>
      <c r="B313" s="9" t="s">
        <v>52</v>
      </c>
      <c r="C313" s="9" t="s">
        <v>39416</v>
      </c>
      <c r="D313" s="9" t="s">
        <v>43163</v>
      </c>
      <c r="E313" s="56">
        <v>44573.0</v>
      </c>
      <c r="F313" s="9" t="b">
        <v>1</v>
      </c>
      <c r="G313" s="9" t="s">
        <v>38801</v>
      </c>
      <c r="H313" s="9" t="s">
        <v>42576</v>
      </c>
      <c r="I313" s="9" t="b">
        <v>1</v>
      </c>
    </row>
    <row r="314" ht="15.75" customHeight="1">
      <c r="A314" s="9" t="s">
        <v>43164</v>
      </c>
      <c r="B314" s="9" t="s">
        <v>47</v>
      </c>
      <c r="C314" s="9" t="s">
        <v>39484</v>
      </c>
      <c r="D314" s="9" t="s">
        <v>43165</v>
      </c>
      <c r="E314" s="56">
        <v>44573.0</v>
      </c>
      <c r="F314" s="9" t="b">
        <v>1</v>
      </c>
      <c r="G314" s="9" t="s">
        <v>38801</v>
      </c>
      <c r="H314" s="9" t="s">
        <v>42576</v>
      </c>
      <c r="I314" s="9" t="b">
        <v>1</v>
      </c>
    </row>
    <row r="315" ht="15.75" customHeight="1">
      <c r="A315" s="9" t="s">
        <v>43166</v>
      </c>
      <c r="B315" s="9" t="s">
        <v>47</v>
      </c>
      <c r="C315" s="9" t="s">
        <v>39468</v>
      </c>
      <c r="D315" s="9" t="s">
        <v>43167</v>
      </c>
      <c r="E315" s="56">
        <v>44573.0</v>
      </c>
      <c r="F315" s="9" t="b">
        <v>1</v>
      </c>
      <c r="G315" s="9" t="s">
        <v>38801</v>
      </c>
      <c r="H315" s="9" t="s">
        <v>42576</v>
      </c>
      <c r="I315" s="9" t="b">
        <v>1</v>
      </c>
    </row>
    <row r="316" ht="15.75" customHeight="1">
      <c r="A316" s="9" t="s">
        <v>43168</v>
      </c>
      <c r="B316" s="9" t="s">
        <v>47</v>
      </c>
      <c r="C316" s="9" t="s">
        <v>39492</v>
      </c>
      <c r="D316" s="9" t="s">
        <v>43169</v>
      </c>
      <c r="E316" s="56">
        <v>44573.0</v>
      </c>
      <c r="F316" s="9" t="b">
        <v>1</v>
      </c>
      <c r="G316" s="9" t="s">
        <v>38801</v>
      </c>
      <c r="H316" s="9" t="s">
        <v>42576</v>
      </c>
      <c r="I316" s="9" t="b">
        <v>1</v>
      </c>
    </row>
    <row r="317" ht="15.75" customHeight="1">
      <c r="A317" s="9" t="s">
        <v>43170</v>
      </c>
      <c r="B317" s="9" t="s">
        <v>47</v>
      </c>
      <c r="C317" s="9" t="s">
        <v>39490</v>
      </c>
      <c r="D317" s="9" t="s">
        <v>43171</v>
      </c>
      <c r="E317" s="56">
        <v>44573.0</v>
      </c>
      <c r="F317" s="9" t="b">
        <v>1</v>
      </c>
      <c r="G317" s="9" t="s">
        <v>42573</v>
      </c>
      <c r="H317" s="9" t="s">
        <v>42576</v>
      </c>
    </row>
    <row r="318" ht="15.75" customHeight="1">
      <c r="A318" s="9" t="s">
        <v>43172</v>
      </c>
      <c r="B318" s="9" t="s">
        <v>47</v>
      </c>
      <c r="C318" s="9" t="s">
        <v>39416</v>
      </c>
      <c r="D318" s="9" t="s">
        <v>43173</v>
      </c>
      <c r="E318" s="56">
        <v>44573.0</v>
      </c>
      <c r="F318" s="9" t="b">
        <v>1</v>
      </c>
      <c r="G318" s="9" t="s">
        <v>38801</v>
      </c>
      <c r="H318" s="9" t="s">
        <v>42576</v>
      </c>
      <c r="I318" s="9" t="b">
        <v>1</v>
      </c>
    </row>
    <row r="319" ht="15.75" customHeight="1">
      <c r="A319" s="9" t="s">
        <v>43174</v>
      </c>
      <c r="B319" s="9" t="s">
        <v>52</v>
      </c>
      <c r="C319" s="9" t="s">
        <v>39486</v>
      </c>
      <c r="D319" s="9" t="s">
        <v>43175</v>
      </c>
      <c r="E319" s="56">
        <v>44573.0</v>
      </c>
      <c r="F319" s="9" t="b">
        <v>1</v>
      </c>
      <c r="G319" s="9" t="s">
        <v>42573</v>
      </c>
      <c r="H319" s="9" t="s">
        <v>42560</v>
      </c>
    </row>
    <row r="320" ht="15.75" customHeight="1">
      <c r="A320" s="9" t="s">
        <v>43176</v>
      </c>
      <c r="B320" s="9" t="s">
        <v>52</v>
      </c>
      <c r="C320" s="9" t="s">
        <v>39475</v>
      </c>
      <c r="D320" s="9" t="s">
        <v>43177</v>
      </c>
      <c r="E320" s="56">
        <v>44573.0</v>
      </c>
      <c r="F320" s="9" t="b">
        <v>1</v>
      </c>
      <c r="G320" s="9" t="s">
        <v>38801</v>
      </c>
      <c r="H320" s="9" t="s">
        <v>42576</v>
      </c>
      <c r="I320" s="9" t="b">
        <v>1</v>
      </c>
    </row>
    <row r="321" ht="15.75" customHeight="1">
      <c r="A321" s="9" t="s">
        <v>43178</v>
      </c>
      <c r="B321" s="9" t="s">
        <v>52</v>
      </c>
      <c r="C321" s="9" t="s">
        <v>39175</v>
      </c>
      <c r="D321" s="9" t="s">
        <v>43179</v>
      </c>
      <c r="E321" s="56">
        <v>44574.0</v>
      </c>
      <c r="F321" s="9" t="b">
        <v>1</v>
      </c>
      <c r="G321" s="9" t="s">
        <v>42573</v>
      </c>
      <c r="H321" s="9" t="s">
        <v>42576</v>
      </c>
    </row>
    <row r="322" ht="15.75" customHeight="1">
      <c r="A322" s="9" t="s">
        <v>43180</v>
      </c>
      <c r="B322" s="9" t="s">
        <v>47</v>
      </c>
      <c r="C322" s="9" t="s">
        <v>39490</v>
      </c>
      <c r="D322" s="9" t="s">
        <v>43181</v>
      </c>
      <c r="E322" s="56">
        <v>44574.0</v>
      </c>
      <c r="F322" s="9" t="b">
        <v>1</v>
      </c>
      <c r="G322" s="9" t="s">
        <v>38801</v>
      </c>
      <c r="H322" s="9" t="s">
        <v>42576</v>
      </c>
      <c r="I322" s="9" t="b">
        <v>1</v>
      </c>
    </row>
    <row r="323" ht="15.75" customHeight="1">
      <c r="A323" s="9" t="s">
        <v>43182</v>
      </c>
      <c r="B323" s="9" t="s">
        <v>47</v>
      </c>
      <c r="C323" s="9" t="s">
        <v>39503</v>
      </c>
      <c r="D323" s="9" t="s">
        <v>43183</v>
      </c>
      <c r="E323" s="56">
        <v>44574.0</v>
      </c>
      <c r="F323" s="9" t="b">
        <v>1</v>
      </c>
      <c r="G323" s="9" t="s">
        <v>38801</v>
      </c>
      <c r="H323" s="9" t="s">
        <v>42560</v>
      </c>
      <c r="I323" s="9" t="b">
        <v>1</v>
      </c>
    </row>
    <row r="324" ht="15.75" customHeight="1">
      <c r="A324" s="9" t="s">
        <v>43184</v>
      </c>
      <c r="B324" s="9" t="s">
        <v>47</v>
      </c>
      <c r="C324" s="9" t="s">
        <v>39494</v>
      </c>
      <c r="D324" s="9" t="s">
        <v>43185</v>
      </c>
      <c r="E324" s="56">
        <v>44574.0</v>
      </c>
      <c r="F324" s="9" t="b">
        <v>1</v>
      </c>
      <c r="G324" s="9" t="s">
        <v>38801</v>
      </c>
      <c r="H324" s="9" t="s">
        <v>42576</v>
      </c>
      <c r="I324" s="9" t="b">
        <v>1</v>
      </c>
    </row>
    <row r="325" ht="15.75" customHeight="1">
      <c r="A325" s="9" t="s">
        <v>43186</v>
      </c>
      <c r="B325" s="9" t="s">
        <v>47</v>
      </c>
      <c r="C325" s="9" t="s">
        <v>39072</v>
      </c>
      <c r="D325" s="9" t="s">
        <v>43187</v>
      </c>
      <c r="E325" s="56">
        <v>44574.0</v>
      </c>
      <c r="F325" s="9" t="b">
        <v>1</v>
      </c>
      <c r="G325" s="9" t="s">
        <v>42573</v>
      </c>
      <c r="H325" s="9" t="s">
        <v>42576</v>
      </c>
    </row>
    <row r="326" ht="15.75" customHeight="1">
      <c r="A326" s="9" t="s">
        <v>43188</v>
      </c>
      <c r="B326" s="9" t="s">
        <v>76</v>
      </c>
      <c r="C326" s="9" t="s">
        <v>39460</v>
      </c>
      <c r="D326" s="9" t="s">
        <v>43189</v>
      </c>
      <c r="E326" s="56">
        <v>44574.0</v>
      </c>
      <c r="F326" s="9" t="b">
        <v>1</v>
      </c>
      <c r="G326" s="9" t="s">
        <v>38801</v>
      </c>
      <c r="H326" s="9" t="s">
        <v>42576</v>
      </c>
      <c r="I326" s="9" t="b">
        <v>1</v>
      </c>
    </row>
    <row r="327" ht="15.75" customHeight="1">
      <c r="A327" s="9" t="s">
        <v>43190</v>
      </c>
      <c r="B327" s="9" t="s">
        <v>52</v>
      </c>
      <c r="C327" s="9" t="s">
        <v>39124</v>
      </c>
      <c r="D327" s="9" t="s">
        <v>43191</v>
      </c>
      <c r="E327" s="56">
        <v>44575.0</v>
      </c>
      <c r="F327" s="9" t="b">
        <v>1</v>
      </c>
      <c r="G327" s="9" t="s">
        <v>42573</v>
      </c>
      <c r="H327" s="9" t="s">
        <v>42560</v>
      </c>
    </row>
    <row r="328" ht="15.75" customHeight="1">
      <c r="A328" s="9" t="s">
        <v>43192</v>
      </c>
      <c r="B328" s="9" t="s">
        <v>52</v>
      </c>
      <c r="C328" s="9" t="s">
        <v>39418</v>
      </c>
      <c r="D328" s="9" t="s">
        <v>43193</v>
      </c>
      <c r="E328" s="56">
        <v>44575.0</v>
      </c>
      <c r="F328" s="9" t="b">
        <v>1</v>
      </c>
      <c r="G328" s="9" t="s">
        <v>42573</v>
      </c>
      <c r="H328" s="9" t="s">
        <v>42576</v>
      </c>
    </row>
    <row r="329" ht="15.75" customHeight="1">
      <c r="A329" s="9" t="s">
        <v>43194</v>
      </c>
      <c r="B329" s="9" t="s">
        <v>52</v>
      </c>
      <c r="C329" s="9" t="s">
        <v>39251</v>
      </c>
      <c r="D329" s="9" t="s">
        <v>43195</v>
      </c>
      <c r="E329" s="56">
        <v>44575.0</v>
      </c>
      <c r="F329" s="9" t="b">
        <v>1</v>
      </c>
      <c r="G329" s="9" t="s">
        <v>42573</v>
      </c>
      <c r="H329" s="9" t="s">
        <v>42576</v>
      </c>
    </row>
    <row r="330" ht="15.75" customHeight="1">
      <c r="A330" s="9" t="s">
        <v>43196</v>
      </c>
      <c r="B330" s="9" t="s">
        <v>52</v>
      </c>
      <c r="C330" s="9" t="s">
        <v>39253</v>
      </c>
      <c r="D330" s="9" t="s">
        <v>43197</v>
      </c>
      <c r="E330" s="56">
        <v>44575.0</v>
      </c>
      <c r="F330" s="9" t="b">
        <v>1</v>
      </c>
      <c r="G330" s="9" t="s">
        <v>42573</v>
      </c>
      <c r="H330" s="9" t="s">
        <v>42576</v>
      </c>
    </row>
    <row r="331" ht="15.75" customHeight="1">
      <c r="A331" s="9" t="s">
        <v>43198</v>
      </c>
      <c r="B331" s="9" t="s">
        <v>52</v>
      </c>
      <c r="C331" s="9" t="s">
        <v>39426</v>
      </c>
      <c r="D331" s="9" t="s">
        <v>43199</v>
      </c>
      <c r="E331" s="56">
        <v>44575.0</v>
      </c>
      <c r="F331" s="9" t="b">
        <v>1</v>
      </c>
      <c r="G331" s="9" t="s">
        <v>42573</v>
      </c>
      <c r="H331" s="9" t="s">
        <v>42576</v>
      </c>
    </row>
    <row r="332" ht="15.75" customHeight="1">
      <c r="A332" s="9" t="s">
        <v>43200</v>
      </c>
      <c r="B332" s="9" t="s">
        <v>47</v>
      </c>
      <c r="C332" s="9" t="s">
        <v>39091</v>
      </c>
      <c r="D332" s="9" t="s">
        <v>43201</v>
      </c>
      <c r="E332" s="56">
        <v>44578.0</v>
      </c>
      <c r="F332" s="9" t="b">
        <v>1</v>
      </c>
      <c r="G332" s="9" t="s">
        <v>42573</v>
      </c>
      <c r="H332" s="9" t="s">
        <v>42560</v>
      </c>
    </row>
    <row r="333" ht="15.75" customHeight="1">
      <c r="A333" s="9" t="s">
        <v>43202</v>
      </c>
      <c r="B333" s="9" t="s">
        <v>47</v>
      </c>
      <c r="C333" s="9" t="s">
        <v>39072</v>
      </c>
      <c r="D333" s="9" t="s">
        <v>43203</v>
      </c>
      <c r="E333" s="56">
        <v>44578.0</v>
      </c>
      <c r="F333" s="9" t="b">
        <v>1</v>
      </c>
      <c r="G333" s="9" t="s">
        <v>42573</v>
      </c>
      <c r="H333" s="9" t="s">
        <v>42560</v>
      </c>
    </row>
    <row r="334" ht="15.75" customHeight="1">
      <c r="A334" s="9" t="s">
        <v>43204</v>
      </c>
      <c r="B334" s="9" t="s">
        <v>47</v>
      </c>
      <c r="C334" s="9" t="s">
        <v>39515</v>
      </c>
      <c r="D334" s="9" t="s">
        <v>43205</v>
      </c>
      <c r="E334" s="56">
        <v>44578.0</v>
      </c>
      <c r="F334" s="9" t="b">
        <v>1</v>
      </c>
      <c r="G334" s="9" t="s">
        <v>42573</v>
      </c>
      <c r="H334" s="9" t="s">
        <v>42576</v>
      </c>
    </row>
    <row r="335" ht="15.75" customHeight="1">
      <c r="A335" s="9" t="s">
        <v>43206</v>
      </c>
      <c r="B335" s="9" t="s">
        <v>47</v>
      </c>
      <c r="C335" s="9" t="s">
        <v>39511</v>
      </c>
      <c r="D335" s="9" t="s">
        <v>43207</v>
      </c>
      <c r="E335" s="56">
        <v>44578.0</v>
      </c>
      <c r="F335" s="9" t="b">
        <v>1</v>
      </c>
      <c r="G335" s="9" t="s">
        <v>42573</v>
      </c>
      <c r="H335" s="9" t="s">
        <v>42576</v>
      </c>
    </row>
    <row r="336" ht="15.75" customHeight="1">
      <c r="A336" s="9" t="s">
        <v>43208</v>
      </c>
      <c r="B336" s="9" t="s">
        <v>47</v>
      </c>
      <c r="C336" s="9" t="s">
        <v>39072</v>
      </c>
      <c r="D336" s="9" t="s">
        <v>43209</v>
      </c>
      <c r="E336" s="56">
        <v>44578.0</v>
      </c>
      <c r="F336" s="9" t="b">
        <v>1</v>
      </c>
      <c r="G336" s="9" t="s">
        <v>42573</v>
      </c>
      <c r="H336" s="9" t="s">
        <v>42576</v>
      </c>
    </row>
    <row r="337" ht="15.75" customHeight="1">
      <c r="A337" s="9" t="s">
        <v>43210</v>
      </c>
      <c r="B337" s="9" t="s">
        <v>26</v>
      </c>
      <c r="C337" s="9" t="s">
        <v>39111</v>
      </c>
      <c r="D337" s="9" t="s">
        <v>43211</v>
      </c>
      <c r="E337" s="56">
        <v>44579.0</v>
      </c>
      <c r="F337" s="9" t="b">
        <v>1</v>
      </c>
      <c r="G337" s="9" t="s">
        <v>38801</v>
      </c>
      <c r="H337" s="9" t="s">
        <v>42560</v>
      </c>
      <c r="I337" s="9" t="b">
        <v>1</v>
      </c>
    </row>
    <row r="338" ht="15.75" customHeight="1">
      <c r="A338" s="9" t="s">
        <v>43212</v>
      </c>
      <c r="B338" s="9" t="s">
        <v>26</v>
      </c>
      <c r="C338" s="9" t="s">
        <v>39093</v>
      </c>
      <c r="D338" s="9" t="s">
        <v>43213</v>
      </c>
      <c r="E338" s="56">
        <v>44579.0</v>
      </c>
      <c r="F338" s="9" t="b">
        <v>1</v>
      </c>
      <c r="G338" s="9" t="s">
        <v>38801</v>
      </c>
      <c r="H338" s="9" t="s">
        <v>42560</v>
      </c>
      <c r="I338" s="9" t="b">
        <v>1</v>
      </c>
    </row>
    <row r="339" ht="15.75" customHeight="1">
      <c r="A339" s="9" t="s">
        <v>43214</v>
      </c>
      <c r="B339" s="9" t="s">
        <v>47</v>
      </c>
      <c r="C339" s="9" t="s">
        <v>39525</v>
      </c>
      <c r="D339" s="9" t="s">
        <v>43215</v>
      </c>
      <c r="E339" s="56">
        <v>44579.0</v>
      </c>
      <c r="F339" s="9" t="b">
        <v>1</v>
      </c>
      <c r="G339" s="9" t="s">
        <v>38801</v>
      </c>
      <c r="H339" s="9" t="s">
        <v>42576</v>
      </c>
      <c r="I339" s="9" t="b">
        <v>1</v>
      </c>
    </row>
    <row r="340" ht="15.75" customHeight="1">
      <c r="A340" s="9" t="s">
        <v>43216</v>
      </c>
      <c r="B340" s="9" t="s">
        <v>47</v>
      </c>
      <c r="C340" s="9" t="s">
        <v>39519</v>
      </c>
      <c r="D340" s="9" t="s">
        <v>43217</v>
      </c>
      <c r="E340" s="56">
        <v>44579.0</v>
      </c>
      <c r="F340" s="9" t="b">
        <v>1</v>
      </c>
      <c r="G340" s="9" t="s">
        <v>38801</v>
      </c>
      <c r="H340" s="9" t="s">
        <v>42576</v>
      </c>
      <c r="I340" s="9" t="b">
        <v>1</v>
      </c>
    </row>
    <row r="341" ht="15.75" customHeight="1">
      <c r="A341" s="9" t="s">
        <v>43218</v>
      </c>
      <c r="B341" s="9" t="s">
        <v>47</v>
      </c>
      <c r="C341" s="9" t="s">
        <v>39464</v>
      </c>
      <c r="D341" s="9" t="s">
        <v>43219</v>
      </c>
      <c r="E341" s="56">
        <v>44579.0</v>
      </c>
      <c r="F341" s="9" t="b">
        <v>1</v>
      </c>
      <c r="G341" s="9" t="s">
        <v>42573</v>
      </c>
      <c r="H341" s="9" t="s">
        <v>42576</v>
      </c>
    </row>
    <row r="342" ht="15.75" customHeight="1">
      <c r="A342" s="9" t="s">
        <v>43220</v>
      </c>
      <c r="B342" s="9" t="s">
        <v>47</v>
      </c>
      <c r="C342" s="9" t="s">
        <v>39408</v>
      </c>
      <c r="D342" s="9" t="s">
        <v>43219</v>
      </c>
      <c r="E342" s="56">
        <v>44579.0</v>
      </c>
      <c r="F342" s="9" t="b">
        <v>1</v>
      </c>
      <c r="G342" s="9" t="s">
        <v>42573</v>
      </c>
      <c r="H342" s="9" t="s">
        <v>42576</v>
      </c>
    </row>
    <row r="343" ht="15.75" customHeight="1">
      <c r="A343" s="9" t="s">
        <v>43221</v>
      </c>
      <c r="B343" s="9" t="s">
        <v>47</v>
      </c>
      <c r="C343" s="9" t="s">
        <v>39430</v>
      </c>
      <c r="D343" s="9" t="s">
        <v>43219</v>
      </c>
      <c r="E343" s="56">
        <v>44579.0</v>
      </c>
      <c r="F343" s="9" t="b">
        <v>1</v>
      </c>
      <c r="G343" s="9" t="s">
        <v>42573</v>
      </c>
      <c r="H343" s="9" t="s">
        <v>42576</v>
      </c>
    </row>
    <row r="344" ht="15.75" customHeight="1">
      <c r="A344" s="9" t="s">
        <v>43222</v>
      </c>
      <c r="B344" s="9" t="s">
        <v>47</v>
      </c>
      <c r="C344" s="9" t="s">
        <v>39432</v>
      </c>
      <c r="D344" s="9" t="s">
        <v>43219</v>
      </c>
      <c r="E344" s="56">
        <v>44579.0</v>
      </c>
      <c r="F344" s="9" t="b">
        <v>1</v>
      </c>
      <c r="G344" s="9" t="s">
        <v>42573</v>
      </c>
      <c r="H344" s="9" t="s">
        <v>42576</v>
      </c>
    </row>
    <row r="345" ht="15.75" customHeight="1">
      <c r="A345" s="9" t="s">
        <v>43223</v>
      </c>
      <c r="B345" s="9" t="s">
        <v>47</v>
      </c>
      <c r="C345" s="9" t="s">
        <v>39481</v>
      </c>
      <c r="D345" s="9" t="s">
        <v>43219</v>
      </c>
      <c r="E345" s="56">
        <v>44579.0</v>
      </c>
      <c r="F345" s="9" t="b">
        <v>1</v>
      </c>
      <c r="G345" s="9" t="s">
        <v>42573</v>
      </c>
      <c r="H345" s="9" t="s">
        <v>42576</v>
      </c>
    </row>
    <row r="346" ht="15.75" customHeight="1">
      <c r="A346" s="9" t="s">
        <v>43224</v>
      </c>
      <c r="B346" s="9" t="s">
        <v>47</v>
      </c>
      <c r="C346" s="9" t="s">
        <v>39500</v>
      </c>
      <c r="D346" s="9" t="s">
        <v>43225</v>
      </c>
      <c r="E346" s="56">
        <v>44579.0</v>
      </c>
      <c r="F346" s="9" t="b">
        <v>1</v>
      </c>
      <c r="G346" s="9" t="s">
        <v>42573</v>
      </c>
      <c r="H346" s="9" t="s">
        <v>42576</v>
      </c>
    </row>
    <row r="347" ht="15.75" customHeight="1">
      <c r="A347" s="9" t="s">
        <v>43226</v>
      </c>
      <c r="B347" s="9" t="s">
        <v>26</v>
      </c>
      <c r="C347" s="9" t="s">
        <v>39122</v>
      </c>
      <c r="D347" s="9" t="s">
        <v>43227</v>
      </c>
      <c r="E347" s="56">
        <v>44579.0</v>
      </c>
      <c r="F347" s="9" t="b">
        <v>1</v>
      </c>
      <c r="G347" s="9" t="s">
        <v>43228</v>
      </c>
      <c r="H347" s="9" t="s">
        <v>42560</v>
      </c>
    </row>
    <row r="348" ht="15.75" customHeight="1">
      <c r="A348" s="9" t="s">
        <v>43229</v>
      </c>
      <c r="B348" s="9" t="s">
        <v>26</v>
      </c>
      <c r="C348" s="9" t="s">
        <v>39126</v>
      </c>
      <c r="D348" s="9" t="s">
        <v>43230</v>
      </c>
      <c r="E348" s="56">
        <v>44579.0</v>
      </c>
      <c r="F348" s="9" t="b">
        <v>1</v>
      </c>
      <c r="G348" s="9" t="s">
        <v>38801</v>
      </c>
      <c r="H348" s="9" t="s">
        <v>42560</v>
      </c>
      <c r="I348" s="9" t="b">
        <v>1</v>
      </c>
    </row>
    <row r="349" ht="15.75" customHeight="1">
      <c r="A349" s="9" t="s">
        <v>43231</v>
      </c>
      <c r="B349" s="9" t="s">
        <v>26</v>
      </c>
      <c r="C349" s="9" t="s">
        <v>39374</v>
      </c>
      <c r="D349" s="9" t="s">
        <v>43232</v>
      </c>
      <c r="E349" s="56">
        <v>44579.0</v>
      </c>
      <c r="F349" s="9" t="b">
        <v>1</v>
      </c>
      <c r="G349" s="9" t="s">
        <v>43228</v>
      </c>
      <c r="H349" s="9" t="s">
        <v>42560</v>
      </c>
    </row>
    <row r="350" ht="15.75" customHeight="1">
      <c r="A350" s="9" t="s">
        <v>43233</v>
      </c>
      <c r="B350" s="9" t="s">
        <v>26</v>
      </c>
      <c r="C350" s="9" t="s">
        <v>39418</v>
      </c>
      <c r="D350" s="9" t="s">
        <v>43234</v>
      </c>
      <c r="E350" s="56">
        <v>44579.0</v>
      </c>
      <c r="F350" s="9" t="b">
        <v>1</v>
      </c>
      <c r="G350" s="9" t="s">
        <v>43228</v>
      </c>
      <c r="H350" s="9" t="s">
        <v>42560</v>
      </c>
    </row>
    <row r="351" ht="15.75" customHeight="1">
      <c r="A351" s="9" t="s">
        <v>43235</v>
      </c>
      <c r="B351" s="9" t="s">
        <v>26</v>
      </c>
      <c r="C351" s="9" t="s">
        <v>39394</v>
      </c>
      <c r="D351" s="9" t="s">
        <v>39395</v>
      </c>
      <c r="E351" s="56">
        <v>44579.0</v>
      </c>
      <c r="F351" s="9" t="b">
        <v>1</v>
      </c>
      <c r="G351" s="9" t="s">
        <v>43228</v>
      </c>
      <c r="H351" s="9" t="s">
        <v>42560</v>
      </c>
    </row>
    <row r="352" ht="15.75" customHeight="1">
      <c r="A352" s="9" t="s">
        <v>43236</v>
      </c>
      <c r="B352" s="9" t="s">
        <v>26</v>
      </c>
      <c r="C352" s="9" t="s">
        <v>39394</v>
      </c>
      <c r="D352" s="9" t="s">
        <v>39395</v>
      </c>
      <c r="E352" s="56">
        <v>44579.0</v>
      </c>
      <c r="F352" s="9" t="b">
        <v>1</v>
      </c>
      <c r="G352" s="9" t="s">
        <v>43228</v>
      </c>
      <c r="H352" s="9" t="s">
        <v>42560</v>
      </c>
    </row>
    <row r="353" ht="15.75" customHeight="1">
      <c r="A353" s="9" t="s">
        <v>43237</v>
      </c>
      <c r="B353" s="9" t="s">
        <v>26</v>
      </c>
      <c r="C353" s="9" t="s">
        <v>39394</v>
      </c>
      <c r="D353" s="9" t="s">
        <v>39395</v>
      </c>
      <c r="E353" s="56">
        <v>44579.0</v>
      </c>
      <c r="F353" s="9" t="b">
        <v>1</v>
      </c>
      <c r="G353" s="9" t="s">
        <v>43228</v>
      </c>
      <c r="H353" s="9" t="s">
        <v>42560</v>
      </c>
    </row>
    <row r="354" ht="15.75" customHeight="1">
      <c r="A354" s="9" t="s">
        <v>43238</v>
      </c>
      <c r="B354" s="9" t="s">
        <v>26</v>
      </c>
      <c r="C354" s="9" t="s">
        <v>39243</v>
      </c>
      <c r="D354" s="9" t="s">
        <v>43239</v>
      </c>
      <c r="E354" s="56">
        <v>44579.0</v>
      </c>
      <c r="F354" s="9" t="b">
        <v>1</v>
      </c>
      <c r="G354" s="9" t="s">
        <v>38801</v>
      </c>
      <c r="H354" s="9" t="s">
        <v>42560</v>
      </c>
      <c r="I354" s="9" t="b">
        <v>1</v>
      </c>
    </row>
    <row r="355" ht="15.75" customHeight="1">
      <c r="A355" s="9" t="s">
        <v>43240</v>
      </c>
      <c r="B355" s="9" t="s">
        <v>26</v>
      </c>
      <c r="C355" s="9" t="s">
        <v>39394</v>
      </c>
      <c r="D355" s="9" t="s">
        <v>39395</v>
      </c>
      <c r="E355" s="56">
        <v>44579.0</v>
      </c>
      <c r="F355" s="9" t="b">
        <v>1</v>
      </c>
      <c r="G355" s="9" t="s">
        <v>38801</v>
      </c>
      <c r="H355" s="9" t="s">
        <v>42560</v>
      </c>
      <c r="I355" s="9" t="b">
        <v>1</v>
      </c>
    </row>
    <row r="356" ht="15.75" customHeight="1">
      <c r="A356" s="9" t="s">
        <v>43241</v>
      </c>
      <c r="B356" s="9" t="s">
        <v>26</v>
      </c>
      <c r="C356" s="9" t="s">
        <v>39291</v>
      </c>
      <c r="D356" s="9" t="s">
        <v>43242</v>
      </c>
      <c r="E356" s="56">
        <v>44579.0</v>
      </c>
      <c r="F356" s="9" t="b">
        <v>1</v>
      </c>
      <c r="G356" s="9" t="s">
        <v>38801</v>
      </c>
      <c r="H356" s="9" t="s">
        <v>42560</v>
      </c>
      <c r="I356" s="9" t="b">
        <v>1</v>
      </c>
    </row>
    <row r="357" ht="15.75" customHeight="1">
      <c r="A357" s="9" t="s">
        <v>43243</v>
      </c>
      <c r="B357" s="9" t="s">
        <v>26</v>
      </c>
      <c r="C357" s="9" t="s">
        <v>39189</v>
      </c>
      <c r="D357" s="9" t="s">
        <v>43244</v>
      </c>
      <c r="E357" s="56">
        <v>44579.0</v>
      </c>
      <c r="F357" s="9" t="b">
        <v>1</v>
      </c>
      <c r="G357" s="9" t="s">
        <v>38801</v>
      </c>
      <c r="H357" s="9" t="s">
        <v>42560</v>
      </c>
      <c r="I357" s="9" t="b">
        <v>1</v>
      </c>
    </row>
    <row r="358" ht="15.75" customHeight="1">
      <c r="A358" s="9" t="s">
        <v>43245</v>
      </c>
      <c r="B358" s="9" t="s">
        <v>26</v>
      </c>
      <c r="C358" s="9" t="s">
        <v>39327</v>
      </c>
      <c r="D358" s="9" t="s">
        <v>39328</v>
      </c>
      <c r="E358" s="56">
        <v>44579.0</v>
      </c>
      <c r="F358" s="9" t="b">
        <v>1</v>
      </c>
      <c r="G358" s="9" t="s">
        <v>38801</v>
      </c>
      <c r="H358" s="9" t="s">
        <v>42560</v>
      </c>
      <c r="I358" s="9" t="b">
        <v>1</v>
      </c>
    </row>
    <row r="359" ht="15.75" customHeight="1">
      <c r="A359" s="9" t="s">
        <v>43246</v>
      </c>
      <c r="B359" s="9" t="s">
        <v>26</v>
      </c>
      <c r="C359" s="9" t="s">
        <v>39247</v>
      </c>
      <c r="D359" s="9" t="s">
        <v>39248</v>
      </c>
      <c r="E359" s="56">
        <v>44579.0</v>
      </c>
      <c r="F359" s="9" t="b">
        <v>1</v>
      </c>
      <c r="G359" s="9" t="s">
        <v>38801</v>
      </c>
      <c r="H359" s="9" t="s">
        <v>42560</v>
      </c>
      <c r="I359" s="9" t="b">
        <v>1</v>
      </c>
    </row>
    <row r="360" ht="15.75" customHeight="1">
      <c r="A360" s="9" t="s">
        <v>43247</v>
      </c>
      <c r="B360" s="9" t="s">
        <v>26</v>
      </c>
      <c r="C360" s="9" t="s">
        <v>39345</v>
      </c>
      <c r="D360" s="9" t="s">
        <v>43248</v>
      </c>
      <c r="E360" s="56">
        <v>44579.0</v>
      </c>
      <c r="F360" s="9" t="b">
        <v>1</v>
      </c>
      <c r="G360" s="9" t="s">
        <v>42632</v>
      </c>
      <c r="H360" s="9" t="s">
        <v>42560</v>
      </c>
    </row>
    <row r="361" ht="15.75" customHeight="1">
      <c r="A361" s="9" t="s">
        <v>43249</v>
      </c>
      <c r="B361" s="9" t="s">
        <v>26</v>
      </c>
      <c r="C361" s="9" t="s">
        <v>39347</v>
      </c>
      <c r="D361" s="9" t="s">
        <v>43248</v>
      </c>
      <c r="E361" s="56">
        <v>44579.0</v>
      </c>
      <c r="F361" s="9" t="b">
        <v>1</v>
      </c>
      <c r="G361" s="9" t="s">
        <v>42632</v>
      </c>
      <c r="H361" s="9" t="s">
        <v>42560</v>
      </c>
    </row>
    <row r="362" ht="15.75" customHeight="1">
      <c r="A362" s="9" t="s">
        <v>43250</v>
      </c>
      <c r="B362" s="9" t="s">
        <v>26</v>
      </c>
      <c r="C362" s="9" t="s">
        <v>39515</v>
      </c>
      <c r="D362" s="9" t="s">
        <v>43251</v>
      </c>
      <c r="E362" s="56">
        <v>44579.0</v>
      </c>
      <c r="F362" s="9" t="b">
        <v>1</v>
      </c>
      <c r="G362" s="9" t="s">
        <v>43228</v>
      </c>
      <c r="H362" s="9" t="s">
        <v>42560</v>
      </c>
    </row>
    <row r="363" ht="15.75" customHeight="1">
      <c r="A363" s="9" t="s">
        <v>43252</v>
      </c>
      <c r="B363" s="9" t="s">
        <v>26</v>
      </c>
      <c r="C363" s="9" t="s">
        <v>39515</v>
      </c>
      <c r="D363" s="9" t="s">
        <v>43253</v>
      </c>
      <c r="E363" s="56">
        <v>44579.0</v>
      </c>
      <c r="F363" s="9" t="b">
        <v>1</v>
      </c>
      <c r="G363" s="9" t="s">
        <v>38801</v>
      </c>
      <c r="H363" s="9" t="s">
        <v>42560</v>
      </c>
      <c r="I363" s="9" t="b">
        <v>1</v>
      </c>
    </row>
    <row r="364" ht="15.75" customHeight="1">
      <c r="A364" s="9" t="s">
        <v>43254</v>
      </c>
      <c r="B364" s="9" t="s">
        <v>26</v>
      </c>
      <c r="C364" s="9" t="s">
        <v>39446</v>
      </c>
      <c r="D364" s="9" t="s">
        <v>43255</v>
      </c>
      <c r="E364" s="56">
        <v>44579.0</v>
      </c>
      <c r="F364" s="9" t="b">
        <v>1</v>
      </c>
      <c r="G364" s="9" t="s">
        <v>38801</v>
      </c>
      <c r="H364" s="9" t="s">
        <v>42560</v>
      </c>
      <c r="I364" s="9" t="b">
        <v>1</v>
      </c>
    </row>
    <row r="365" ht="15.75" customHeight="1">
      <c r="A365" s="9" t="s">
        <v>43256</v>
      </c>
      <c r="B365" s="9" t="s">
        <v>26</v>
      </c>
      <c r="C365" s="9" t="s">
        <v>39501</v>
      </c>
      <c r="D365" s="9" t="s">
        <v>43255</v>
      </c>
      <c r="E365" s="56">
        <v>44579.0</v>
      </c>
      <c r="F365" s="9" t="b">
        <v>1</v>
      </c>
      <c r="G365" s="9" t="s">
        <v>38801</v>
      </c>
      <c r="H365" s="9" t="s">
        <v>42560</v>
      </c>
      <c r="I365" s="9" t="b">
        <v>1</v>
      </c>
    </row>
    <row r="366" ht="15.75" customHeight="1">
      <c r="A366" s="9" t="s">
        <v>43257</v>
      </c>
      <c r="B366" s="9" t="s">
        <v>26</v>
      </c>
      <c r="C366" s="9" t="s">
        <v>39438</v>
      </c>
      <c r="D366" s="9" t="s">
        <v>43255</v>
      </c>
      <c r="E366" s="56">
        <v>44579.0</v>
      </c>
      <c r="F366" s="9" t="b">
        <v>1</v>
      </c>
      <c r="G366" s="9" t="s">
        <v>38801</v>
      </c>
      <c r="H366" s="9" t="s">
        <v>42560</v>
      </c>
      <c r="I366" s="9" t="b">
        <v>1</v>
      </c>
    </row>
    <row r="367" ht="15.75" customHeight="1">
      <c r="A367" s="9" t="s">
        <v>43258</v>
      </c>
      <c r="B367" s="9" t="s">
        <v>26</v>
      </c>
      <c r="C367" s="9" t="s">
        <v>39362</v>
      </c>
      <c r="D367" s="9" t="s">
        <v>43255</v>
      </c>
      <c r="E367" s="56">
        <v>44579.0</v>
      </c>
      <c r="F367" s="9" t="b">
        <v>1</v>
      </c>
      <c r="G367" s="9" t="s">
        <v>38801</v>
      </c>
      <c r="H367" s="9" t="s">
        <v>42560</v>
      </c>
      <c r="I367" s="9" t="b">
        <v>1</v>
      </c>
    </row>
    <row r="368" ht="15.75" customHeight="1">
      <c r="A368" s="9" t="s">
        <v>43259</v>
      </c>
      <c r="B368" s="9" t="s">
        <v>26</v>
      </c>
      <c r="C368" s="9" t="s">
        <v>39436</v>
      </c>
      <c r="D368" s="9" t="s">
        <v>43255</v>
      </c>
      <c r="E368" s="56">
        <v>44579.0</v>
      </c>
      <c r="F368" s="9" t="b">
        <v>1</v>
      </c>
      <c r="G368" s="9" t="s">
        <v>38801</v>
      </c>
      <c r="H368" s="9" t="s">
        <v>42560</v>
      </c>
      <c r="I368" s="9" t="b">
        <v>1</v>
      </c>
    </row>
    <row r="369" ht="15.75" customHeight="1">
      <c r="A369" s="9" t="s">
        <v>43260</v>
      </c>
      <c r="B369" s="9" t="s">
        <v>26</v>
      </c>
      <c r="C369" s="9" t="s">
        <v>39329</v>
      </c>
      <c r="D369" s="9" t="s">
        <v>43261</v>
      </c>
      <c r="E369" s="56">
        <v>44579.0</v>
      </c>
      <c r="F369" s="9" t="b">
        <v>1</v>
      </c>
      <c r="G369" s="9" t="s">
        <v>38801</v>
      </c>
      <c r="H369" s="9" t="s">
        <v>42560</v>
      </c>
      <c r="I369" s="9" t="b">
        <v>1</v>
      </c>
    </row>
    <row r="370" ht="15.75" customHeight="1">
      <c r="A370" s="9" t="s">
        <v>43262</v>
      </c>
      <c r="B370" s="9" t="s">
        <v>26</v>
      </c>
      <c r="C370" s="9" t="s">
        <v>39072</v>
      </c>
      <c r="D370" s="9" t="s">
        <v>43263</v>
      </c>
      <c r="E370" s="56">
        <v>44579.0</v>
      </c>
      <c r="F370" s="9" t="b">
        <v>1</v>
      </c>
      <c r="G370" s="9" t="s">
        <v>38801</v>
      </c>
      <c r="H370" s="9" t="s">
        <v>42560</v>
      </c>
      <c r="I370" s="9" t="b">
        <v>1</v>
      </c>
    </row>
    <row r="371" ht="15.75" customHeight="1">
      <c r="A371" s="9" t="s">
        <v>43264</v>
      </c>
      <c r="B371" s="9" t="s">
        <v>26</v>
      </c>
      <c r="C371" s="9" t="s">
        <v>39459</v>
      </c>
      <c r="D371" s="9" t="s">
        <v>43115</v>
      </c>
      <c r="E371" s="56">
        <v>44579.0</v>
      </c>
      <c r="F371" s="9" t="b">
        <v>1</v>
      </c>
      <c r="G371" s="9" t="s">
        <v>43228</v>
      </c>
      <c r="H371" s="9" t="s">
        <v>42560</v>
      </c>
    </row>
    <row r="372" ht="15.75" customHeight="1">
      <c r="A372" s="9" t="s">
        <v>43265</v>
      </c>
      <c r="B372" s="9" t="s">
        <v>26</v>
      </c>
      <c r="C372" s="9" t="s">
        <v>39275</v>
      </c>
      <c r="D372" s="9" t="s">
        <v>39276</v>
      </c>
      <c r="E372" s="56">
        <v>44579.0</v>
      </c>
      <c r="F372" s="9" t="b">
        <v>1</v>
      </c>
      <c r="G372" s="9" t="s">
        <v>43228</v>
      </c>
      <c r="H372" s="9" t="s">
        <v>42560</v>
      </c>
    </row>
    <row r="373" ht="15.75" customHeight="1">
      <c r="A373" s="9" t="s">
        <v>43266</v>
      </c>
      <c r="B373" s="9" t="s">
        <v>26</v>
      </c>
      <c r="C373" s="9" t="s">
        <v>39457</v>
      </c>
      <c r="D373" s="9" t="s">
        <v>43117</v>
      </c>
      <c r="E373" s="56">
        <v>44579.0</v>
      </c>
      <c r="F373" s="9" t="b">
        <v>1</v>
      </c>
      <c r="G373" s="9" t="s">
        <v>43228</v>
      </c>
      <c r="H373" s="9" t="s">
        <v>42560</v>
      </c>
    </row>
    <row r="374" ht="15.75" customHeight="1">
      <c r="A374" s="9" t="s">
        <v>43267</v>
      </c>
      <c r="B374" s="9" t="s">
        <v>26</v>
      </c>
      <c r="C374" s="9" t="s">
        <v>39241</v>
      </c>
      <c r="D374" s="9" t="s">
        <v>39242</v>
      </c>
      <c r="E374" s="56">
        <v>44579.0</v>
      </c>
      <c r="F374" s="9" t="b">
        <v>1</v>
      </c>
      <c r="G374" s="9" t="s">
        <v>43228</v>
      </c>
      <c r="H374" s="9" t="s">
        <v>42560</v>
      </c>
    </row>
    <row r="375" ht="15.75" customHeight="1">
      <c r="A375" s="9" t="s">
        <v>43268</v>
      </c>
      <c r="B375" s="9" t="s">
        <v>26</v>
      </c>
      <c r="C375" s="9" t="s">
        <v>39257</v>
      </c>
      <c r="D375" s="9" t="s">
        <v>39256</v>
      </c>
      <c r="E375" s="56">
        <v>44579.0</v>
      </c>
      <c r="F375" s="9" t="b">
        <v>1</v>
      </c>
      <c r="G375" s="9" t="s">
        <v>43228</v>
      </c>
      <c r="H375" s="9" t="s">
        <v>42560</v>
      </c>
    </row>
    <row r="376" ht="15.75" customHeight="1">
      <c r="A376" s="9" t="s">
        <v>43269</v>
      </c>
      <c r="B376" s="9" t="s">
        <v>26</v>
      </c>
      <c r="C376" s="9" t="s">
        <v>39269</v>
      </c>
      <c r="D376" s="9" t="s">
        <v>39270</v>
      </c>
      <c r="E376" s="56">
        <v>44579.0</v>
      </c>
      <c r="F376" s="9" t="b">
        <v>1</v>
      </c>
      <c r="G376" s="9" t="s">
        <v>43228</v>
      </c>
      <c r="H376" s="9" t="s">
        <v>42560</v>
      </c>
    </row>
    <row r="377" ht="15.75" customHeight="1">
      <c r="A377" s="9" t="s">
        <v>43270</v>
      </c>
      <c r="B377" s="9" t="s">
        <v>26</v>
      </c>
      <c r="C377" s="9" t="s">
        <v>39271</v>
      </c>
      <c r="D377" s="9" t="s">
        <v>39272</v>
      </c>
      <c r="E377" s="56">
        <v>44579.0</v>
      </c>
      <c r="F377" s="9" t="b">
        <v>1</v>
      </c>
      <c r="G377" s="9" t="s">
        <v>43228</v>
      </c>
      <c r="H377" s="9" t="s">
        <v>42560</v>
      </c>
    </row>
    <row r="378" ht="15.75" customHeight="1">
      <c r="A378" s="9" t="s">
        <v>43271</v>
      </c>
      <c r="B378" s="9" t="s">
        <v>26</v>
      </c>
      <c r="C378" s="9" t="s">
        <v>39372</v>
      </c>
      <c r="D378" s="9" t="s">
        <v>39373</v>
      </c>
      <c r="E378" s="56">
        <v>44579.0</v>
      </c>
      <c r="F378" s="9" t="b">
        <v>1</v>
      </c>
      <c r="G378" s="9" t="s">
        <v>43228</v>
      </c>
      <c r="H378" s="9" t="s">
        <v>42560</v>
      </c>
    </row>
    <row r="379" ht="15.75" customHeight="1">
      <c r="A379" s="9" t="s">
        <v>43272</v>
      </c>
      <c r="B379" s="9" t="s">
        <v>26</v>
      </c>
      <c r="C379" s="9" t="s">
        <v>39482</v>
      </c>
      <c r="D379" s="9" t="s">
        <v>39483</v>
      </c>
      <c r="E379" s="56">
        <v>44579.0</v>
      </c>
      <c r="F379" s="9" t="b">
        <v>1</v>
      </c>
      <c r="G379" s="9" t="s">
        <v>43228</v>
      </c>
      <c r="H379" s="9" t="s">
        <v>42560</v>
      </c>
    </row>
    <row r="380" ht="15.75" customHeight="1">
      <c r="A380" s="9" t="s">
        <v>43273</v>
      </c>
      <c r="B380" s="9" t="s">
        <v>26</v>
      </c>
      <c r="C380" s="9" t="s">
        <v>39056</v>
      </c>
      <c r="D380" s="9" t="s">
        <v>43274</v>
      </c>
      <c r="E380" s="56">
        <v>44579.0</v>
      </c>
      <c r="F380" s="9" t="b">
        <v>1</v>
      </c>
      <c r="G380" s="9" t="s">
        <v>43228</v>
      </c>
      <c r="H380" s="9" t="s">
        <v>42560</v>
      </c>
    </row>
    <row r="381" ht="15.75" customHeight="1">
      <c r="A381" s="9" t="s">
        <v>43275</v>
      </c>
      <c r="B381" s="9" t="s">
        <v>26</v>
      </c>
      <c r="C381" s="9" t="s">
        <v>39165</v>
      </c>
      <c r="D381" s="9" t="s">
        <v>39166</v>
      </c>
      <c r="E381" s="56">
        <v>44579.0</v>
      </c>
      <c r="F381" s="9" t="b">
        <v>1</v>
      </c>
      <c r="G381" s="9" t="s">
        <v>43228</v>
      </c>
      <c r="H381" s="9" t="s">
        <v>42560</v>
      </c>
    </row>
    <row r="382" ht="15.75" customHeight="1">
      <c r="A382" s="9" t="s">
        <v>43276</v>
      </c>
      <c r="B382" s="9" t="s">
        <v>26</v>
      </c>
      <c r="C382" s="9" t="s">
        <v>39177</v>
      </c>
      <c r="D382" s="9" t="s">
        <v>39178</v>
      </c>
      <c r="E382" s="56">
        <v>44579.0</v>
      </c>
      <c r="F382" s="9" t="b">
        <v>1</v>
      </c>
      <c r="G382" s="9" t="s">
        <v>43228</v>
      </c>
      <c r="H382" s="9" t="s">
        <v>42560</v>
      </c>
    </row>
    <row r="383" ht="15.75" customHeight="1">
      <c r="A383" s="52" t="s">
        <v>43277</v>
      </c>
      <c r="B383" s="9" t="s">
        <v>26</v>
      </c>
      <c r="C383" s="9" t="s">
        <v>39207</v>
      </c>
      <c r="D383" s="9" t="s">
        <v>42941</v>
      </c>
      <c r="E383" s="56">
        <v>44579.0</v>
      </c>
      <c r="F383" s="9" t="b">
        <v>1</v>
      </c>
      <c r="G383" s="9" t="s">
        <v>43228</v>
      </c>
      <c r="H383" s="9" t="s">
        <v>42560</v>
      </c>
    </row>
    <row r="384" ht="15.75" customHeight="1">
      <c r="A384" s="9" t="s">
        <v>43278</v>
      </c>
      <c r="B384" s="9" t="s">
        <v>26</v>
      </c>
      <c r="C384" s="9" t="s">
        <v>39213</v>
      </c>
      <c r="D384" s="9" t="s">
        <v>39214</v>
      </c>
      <c r="E384" s="56">
        <v>44579.0</v>
      </c>
      <c r="F384" s="9" t="b">
        <v>1</v>
      </c>
      <c r="G384" s="9" t="s">
        <v>43228</v>
      </c>
      <c r="H384" s="9" t="s">
        <v>42560</v>
      </c>
    </row>
    <row r="385" ht="15.75" customHeight="1">
      <c r="A385" s="9" t="s">
        <v>43279</v>
      </c>
      <c r="B385" s="9" t="s">
        <v>26</v>
      </c>
      <c r="C385" s="9" t="s">
        <v>39215</v>
      </c>
      <c r="D385" s="9" t="s">
        <v>39216</v>
      </c>
      <c r="E385" s="56">
        <v>44579.0</v>
      </c>
      <c r="F385" s="9" t="b">
        <v>1</v>
      </c>
      <c r="G385" s="9" t="s">
        <v>43228</v>
      </c>
      <c r="H385" s="9" t="s">
        <v>42560</v>
      </c>
    </row>
    <row r="386" ht="15.75" customHeight="1">
      <c r="A386" s="9" t="s">
        <v>43280</v>
      </c>
      <c r="B386" s="9" t="s">
        <v>26</v>
      </c>
      <c r="C386" s="9" t="s">
        <v>39273</v>
      </c>
      <c r="D386" s="9" t="s">
        <v>39274</v>
      </c>
      <c r="E386" s="56">
        <v>44579.0</v>
      </c>
      <c r="F386" s="9" t="b">
        <v>1</v>
      </c>
      <c r="G386" s="9" t="s">
        <v>43228</v>
      </c>
      <c r="H386" s="9" t="s">
        <v>42560</v>
      </c>
    </row>
    <row r="387" ht="15.75" customHeight="1">
      <c r="A387" s="9" t="s">
        <v>43281</v>
      </c>
      <c r="B387" s="9" t="s">
        <v>26</v>
      </c>
      <c r="C387" s="9" t="s">
        <v>39281</v>
      </c>
      <c r="D387" s="9" t="s">
        <v>39282</v>
      </c>
      <c r="E387" s="56">
        <v>44579.0</v>
      </c>
      <c r="F387" s="9" t="b">
        <v>1</v>
      </c>
      <c r="G387" s="9" t="s">
        <v>43228</v>
      </c>
      <c r="H387" s="9" t="s">
        <v>42560</v>
      </c>
    </row>
    <row r="388" ht="15.75" customHeight="1">
      <c r="A388" s="9" t="s">
        <v>43282</v>
      </c>
      <c r="B388" s="9" t="s">
        <v>26</v>
      </c>
      <c r="C388" s="9" t="s">
        <v>39321</v>
      </c>
      <c r="D388" s="9" t="s">
        <v>43018</v>
      </c>
      <c r="E388" s="56">
        <v>44579.0</v>
      </c>
      <c r="F388" s="9" t="b">
        <v>1</v>
      </c>
      <c r="G388" s="9" t="s">
        <v>43228</v>
      </c>
      <c r="H388" s="9" t="s">
        <v>42560</v>
      </c>
    </row>
    <row r="389" ht="15.75" customHeight="1">
      <c r="A389" s="9" t="s">
        <v>43283</v>
      </c>
      <c r="B389" s="9" t="s">
        <v>26</v>
      </c>
      <c r="C389" s="9" t="s">
        <v>39325</v>
      </c>
      <c r="D389" s="9" t="s">
        <v>39326</v>
      </c>
      <c r="E389" s="56">
        <v>44579.0</v>
      </c>
      <c r="F389" s="9" t="b">
        <v>1</v>
      </c>
      <c r="G389" s="9" t="s">
        <v>43228</v>
      </c>
      <c r="H389" s="9" t="s">
        <v>42560</v>
      </c>
    </row>
    <row r="390" ht="15.75" customHeight="1">
      <c r="A390" s="9" t="s">
        <v>43284</v>
      </c>
      <c r="B390" s="9" t="s">
        <v>26</v>
      </c>
      <c r="C390" s="9" t="s">
        <v>39343</v>
      </c>
      <c r="D390" s="9" t="s">
        <v>43285</v>
      </c>
      <c r="E390" s="56">
        <v>44579.0</v>
      </c>
      <c r="F390" s="9" t="b">
        <v>1</v>
      </c>
      <c r="G390" s="9" t="s">
        <v>43228</v>
      </c>
      <c r="H390" s="9" t="s">
        <v>42560</v>
      </c>
    </row>
    <row r="391" ht="15.75" customHeight="1">
      <c r="A391" s="9" t="s">
        <v>43286</v>
      </c>
      <c r="B391" s="9" t="s">
        <v>26</v>
      </c>
      <c r="C391" s="9" t="s">
        <v>39376</v>
      </c>
      <c r="D391" s="9" t="s">
        <v>39377</v>
      </c>
      <c r="E391" s="56">
        <v>44579.0</v>
      </c>
      <c r="F391" s="9" t="b">
        <v>1</v>
      </c>
      <c r="G391" s="9" t="s">
        <v>43228</v>
      </c>
      <c r="H391" s="9" t="s">
        <v>42560</v>
      </c>
    </row>
    <row r="392" ht="15.75" customHeight="1">
      <c r="A392" s="9" t="s">
        <v>43287</v>
      </c>
      <c r="B392" s="9" t="s">
        <v>26</v>
      </c>
      <c r="C392" s="9" t="s">
        <v>39444</v>
      </c>
      <c r="D392" s="9" t="s">
        <v>39445</v>
      </c>
      <c r="E392" s="56">
        <v>44579.0</v>
      </c>
      <c r="F392" s="9" t="b">
        <v>1</v>
      </c>
      <c r="G392" s="9" t="s">
        <v>43228</v>
      </c>
      <c r="H392" s="9" t="s">
        <v>42560</v>
      </c>
    </row>
    <row r="393" ht="15.75" customHeight="1">
      <c r="A393" s="9" t="s">
        <v>43288</v>
      </c>
      <c r="B393" s="9" t="s">
        <v>26</v>
      </c>
      <c r="C393" s="9" t="s">
        <v>39426</v>
      </c>
      <c r="D393" s="9" t="s">
        <v>39427</v>
      </c>
      <c r="E393" s="56">
        <v>44579.0</v>
      </c>
      <c r="F393" s="9" t="b">
        <v>1</v>
      </c>
      <c r="G393" s="9" t="s">
        <v>43228</v>
      </c>
      <c r="H393" s="9" t="s">
        <v>42560</v>
      </c>
    </row>
    <row r="394" ht="15.75" customHeight="1">
      <c r="A394" s="9" t="s">
        <v>43289</v>
      </c>
      <c r="B394" s="9" t="s">
        <v>26</v>
      </c>
      <c r="C394" s="9" t="s">
        <v>39358</v>
      </c>
      <c r="D394" s="9" t="s">
        <v>39359</v>
      </c>
      <c r="E394" s="56">
        <v>44579.0</v>
      </c>
      <c r="F394" s="9" t="b">
        <v>1</v>
      </c>
      <c r="G394" s="9" t="s">
        <v>43228</v>
      </c>
      <c r="H394" s="9" t="s">
        <v>42560</v>
      </c>
    </row>
    <row r="395" ht="15.75" customHeight="1">
      <c r="A395" s="9" t="s">
        <v>43290</v>
      </c>
      <c r="B395" s="9" t="s">
        <v>26</v>
      </c>
      <c r="C395" s="9" t="s">
        <v>39307</v>
      </c>
      <c r="D395" s="9" t="s">
        <v>39308</v>
      </c>
      <c r="E395" s="56">
        <v>44579.0</v>
      </c>
      <c r="F395" s="9" t="b">
        <v>1</v>
      </c>
      <c r="G395" s="9" t="s">
        <v>43228</v>
      </c>
      <c r="H395" s="9" t="s">
        <v>42560</v>
      </c>
    </row>
    <row r="396" ht="15.75" customHeight="1">
      <c r="A396" s="9" t="s">
        <v>43291</v>
      </c>
      <c r="B396" s="9" t="s">
        <v>26</v>
      </c>
      <c r="C396" s="52" t="s">
        <v>39299</v>
      </c>
      <c r="D396" s="9" t="s">
        <v>39300</v>
      </c>
      <c r="E396" s="56">
        <v>44579.0</v>
      </c>
      <c r="F396" s="9" t="b">
        <v>1</v>
      </c>
      <c r="G396" s="9" t="s">
        <v>43228</v>
      </c>
      <c r="H396" s="9" t="s">
        <v>42560</v>
      </c>
    </row>
    <row r="397" ht="15.75" customHeight="1">
      <c r="A397" s="52" t="s">
        <v>43292</v>
      </c>
      <c r="B397" s="9" t="s">
        <v>26</v>
      </c>
      <c r="C397" s="9" t="s">
        <v>39279</v>
      </c>
      <c r="D397" s="9" t="s">
        <v>39280</v>
      </c>
      <c r="E397" s="56">
        <v>44579.0</v>
      </c>
      <c r="F397" s="9" t="b">
        <v>1</v>
      </c>
      <c r="G397" s="9" t="s">
        <v>43228</v>
      </c>
      <c r="H397" s="9" t="s">
        <v>42560</v>
      </c>
    </row>
    <row r="398" ht="15.75" customHeight="1">
      <c r="A398" s="9" t="s">
        <v>43293</v>
      </c>
      <c r="B398" s="9" t="s">
        <v>26</v>
      </c>
      <c r="C398" s="9" t="s">
        <v>39267</v>
      </c>
      <c r="D398" s="9" t="s">
        <v>39268</v>
      </c>
      <c r="E398" s="56">
        <v>44579.0</v>
      </c>
      <c r="F398" s="9" t="b">
        <v>1</v>
      </c>
      <c r="G398" s="9" t="s">
        <v>43228</v>
      </c>
      <c r="H398" s="9" t="s">
        <v>42560</v>
      </c>
    </row>
    <row r="399" ht="15.75" customHeight="1">
      <c r="A399" s="9" t="s">
        <v>43294</v>
      </c>
      <c r="B399" s="9" t="s">
        <v>26</v>
      </c>
      <c r="C399" s="9" t="s">
        <v>39253</v>
      </c>
      <c r="D399" s="9" t="s">
        <v>43197</v>
      </c>
      <c r="E399" s="56">
        <v>44579.0</v>
      </c>
      <c r="F399" s="9" t="b">
        <v>1</v>
      </c>
      <c r="G399" s="9" t="s">
        <v>43228</v>
      </c>
      <c r="H399" s="9" t="s">
        <v>42560</v>
      </c>
    </row>
    <row r="400" ht="15.75" customHeight="1">
      <c r="A400" s="9" t="s">
        <v>43295</v>
      </c>
      <c r="B400" s="9" t="s">
        <v>26</v>
      </c>
      <c r="C400" s="9" t="s">
        <v>39255</v>
      </c>
      <c r="D400" s="9" t="s">
        <v>39256</v>
      </c>
      <c r="E400" s="56">
        <v>44579.0</v>
      </c>
      <c r="F400" s="9" t="b">
        <v>1</v>
      </c>
      <c r="G400" s="9" t="s">
        <v>43228</v>
      </c>
      <c r="H400" s="9" t="s">
        <v>42560</v>
      </c>
    </row>
    <row r="401" ht="15.75" customHeight="1">
      <c r="A401" s="9" t="s">
        <v>43296</v>
      </c>
      <c r="B401" s="9" t="s">
        <v>26</v>
      </c>
      <c r="C401" s="9" t="s">
        <v>39225</v>
      </c>
      <c r="D401" s="9" t="s">
        <v>39226</v>
      </c>
      <c r="E401" s="56">
        <v>44579.0</v>
      </c>
      <c r="F401" s="9" t="b">
        <v>1</v>
      </c>
      <c r="G401" s="9" t="s">
        <v>43228</v>
      </c>
      <c r="H401" s="9" t="s">
        <v>42560</v>
      </c>
    </row>
    <row r="402" ht="15.75" customHeight="1">
      <c r="A402" s="9" t="s">
        <v>43297</v>
      </c>
      <c r="B402" s="9" t="s">
        <v>26</v>
      </c>
      <c r="C402" s="9" t="s">
        <v>39209</v>
      </c>
      <c r="D402" s="9" t="s">
        <v>39210</v>
      </c>
      <c r="E402" s="56">
        <v>44579.0</v>
      </c>
      <c r="F402" s="9" t="b">
        <v>1</v>
      </c>
      <c r="G402" s="9" t="s">
        <v>43228</v>
      </c>
      <c r="H402" s="9" t="s">
        <v>42560</v>
      </c>
    </row>
    <row r="403" ht="15.75" customHeight="1">
      <c r="A403" s="9" t="s">
        <v>43298</v>
      </c>
      <c r="B403" s="9" t="s">
        <v>26</v>
      </c>
      <c r="C403" s="9" t="s">
        <v>39199</v>
      </c>
      <c r="D403" s="9" t="s">
        <v>39200</v>
      </c>
      <c r="E403" s="56">
        <v>44579.0</v>
      </c>
      <c r="F403" s="9" t="b">
        <v>1</v>
      </c>
      <c r="G403" s="9" t="s">
        <v>43228</v>
      </c>
      <c r="H403" s="9" t="s">
        <v>42560</v>
      </c>
    </row>
    <row r="404" ht="15.75" customHeight="1">
      <c r="A404" s="9" t="s">
        <v>43299</v>
      </c>
      <c r="B404" s="9" t="s">
        <v>26</v>
      </c>
      <c r="C404" s="9" t="s">
        <v>39175</v>
      </c>
      <c r="D404" s="9" t="s">
        <v>43179</v>
      </c>
      <c r="E404" s="56">
        <v>44579.0</v>
      </c>
      <c r="F404" s="9" t="b">
        <v>1</v>
      </c>
      <c r="G404" s="9" t="s">
        <v>43228</v>
      </c>
      <c r="H404" s="9" t="s">
        <v>42560</v>
      </c>
    </row>
    <row r="405" ht="15.75" customHeight="1">
      <c r="A405" s="9" t="s">
        <v>43300</v>
      </c>
      <c r="B405" s="9" t="s">
        <v>26</v>
      </c>
      <c r="C405" s="9" t="s">
        <v>39169</v>
      </c>
      <c r="D405" s="9" t="s">
        <v>39170</v>
      </c>
      <c r="E405" s="56">
        <v>44579.0</v>
      </c>
      <c r="F405" s="9" t="b">
        <v>1</v>
      </c>
      <c r="G405" s="9" t="s">
        <v>43228</v>
      </c>
      <c r="H405" s="9" t="s">
        <v>42560</v>
      </c>
    </row>
    <row r="406" ht="15.75" customHeight="1">
      <c r="A406" s="9" t="s">
        <v>43301</v>
      </c>
      <c r="B406" s="9" t="s">
        <v>26</v>
      </c>
      <c r="C406" s="9" t="s">
        <v>39153</v>
      </c>
      <c r="D406" s="9" t="s">
        <v>39154</v>
      </c>
      <c r="E406" s="56">
        <v>44579.0</v>
      </c>
      <c r="F406" s="9" t="b">
        <v>1</v>
      </c>
      <c r="G406" s="9" t="s">
        <v>43228</v>
      </c>
      <c r="H406" s="9" t="s">
        <v>42560</v>
      </c>
    </row>
    <row r="407" ht="15.75" customHeight="1">
      <c r="A407" s="9" t="s">
        <v>43302</v>
      </c>
      <c r="B407" s="9" t="s">
        <v>26</v>
      </c>
      <c r="C407" s="9" t="s">
        <v>39145</v>
      </c>
      <c r="D407" s="9" t="s">
        <v>39146</v>
      </c>
      <c r="E407" s="56">
        <v>44579.0</v>
      </c>
      <c r="F407" s="9" t="b">
        <v>1</v>
      </c>
      <c r="G407" s="9" t="s">
        <v>43228</v>
      </c>
      <c r="H407" s="9" t="s">
        <v>42560</v>
      </c>
    </row>
    <row r="408" ht="15.75" customHeight="1">
      <c r="A408" s="9" t="s">
        <v>43303</v>
      </c>
      <c r="B408" s="9" t="s">
        <v>26</v>
      </c>
      <c r="C408" s="9" t="s">
        <v>39134</v>
      </c>
      <c r="D408" s="9" t="s">
        <v>39135</v>
      </c>
      <c r="E408" s="56">
        <v>44579.0</v>
      </c>
      <c r="F408" s="9" t="b">
        <v>1</v>
      </c>
      <c r="G408" s="9" t="s">
        <v>43228</v>
      </c>
      <c r="H408" s="9" t="s">
        <v>42560</v>
      </c>
    </row>
    <row r="409" ht="15.75" customHeight="1">
      <c r="A409" s="9" t="s">
        <v>43304</v>
      </c>
      <c r="B409" s="9" t="s">
        <v>26</v>
      </c>
      <c r="C409" s="9" t="s">
        <v>39136</v>
      </c>
      <c r="D409" s="9" t="s">
        <v>39135</v>
      </c>
      <c r="E409" s="56">
        <v>44579.0</v>
      </c>
      <c r="F409" s="9" t="b">
        <v>1</v>
      </c>
      <c r="G409" s="9" t="s">
        <v>43228</v>
      </c>
      <c r="H409" s="9" t="s">
        <v>42560</v>
      </c>
    </row>
    <row r="410" ht="15.75" customHeight="1">
      <c r="A410" s="9" t="s">
        <v>43305</v>
      </c>
      <c r="B410" s="9" t="s">
        <v>26</v>
      </c>
      <c r="C410" s="9" t="s">
        <v>39137</v>
      </c>
      <c r="D410" s="9" t="s">
        <v>39138</v>
      </c>
      <c r="E410" s="56">
        <v>44579.0</v>
      </c>
      <c r="F410" s="9" t="b">
        <v>1</v>
      </c>
      <c r="G410" s="9" t="s">
        <v>43228</v>
      </c>
      <c r="H410" s="9" t="s">
        <v>42560</v>
      </c>
    </row>
    <row r="411" ht="15.75" customHeight="1">
      <c r="A411" s="9" t="s">
        <v>43306</v>
      </c>
      <c r="B411" s="9" t="s">
        <v>26</v>
      </c>
      <c r="C411" s="9" t="s">
        <v>39124</v>
      </c>
      <c r="D411" s="9" t="s">
        <v>39125</v>
      </c>
      <c r="E411" s="56">
        <v>44579.0</v>
      </c>
      <c r="F411" s="9" t="b">
        <v>1</v>
      </c>
      <c r="G411" s="9" t="s">
        <v>43228</v>
      </c>
      <c r="H411" s="9" t="s">
        <v>42560</v>
      </c>
    </row>
    <row r="412" ht="15.75" customHeight="1">
      <c r="A412" s="9" t="s">
        <v>43307</v>
      </c>
      <c r="B412" s="9" t="s">
        <v>26</v>
      </c>
      <c r="C412" s="9" t="s">
        <v>39122</v>
      </c>
      <c r="D412" s="9" t="s">
        <v>39123</v>
      </c>
      <c r="E412" s="56">
        <v>44579.0</v>
      </c>
      <c r="F412" s="9" t="b">
        <v>1</v>
      </c>
      <c r="G412" s="9" t="s">
        <v>43228</v>
      </c>
      <c r="H412" s="9" t="s">
        <v>42560</v>
      </c>
    </row>
    <row r="413" ht="15.75" customHeight="1">
      <c r="A413" s="9" t="s">
        <v>43308</v>
      </c>
      <c r="B413" s="9" t="s">
        <v>26</v>
      </c>
      <c r="C413" s="9" t="s">
        <v>39118</v>
      </c>
      <c r="D413" s="9" t="s">
        <v>39119</v>
      </c>
      <c r="E413" s="56">
        <v>44579.0</v>
      </c>
      <c r="F413" s="9" t="b">
        <v>1</v>
      </c>
      <c r="G413" s="9" t="s">
        <v>43228</v>
      </c>
      <c r="H413" s="9" t="s">
        <v>42560</v>
      </c>
    </row>
    <row r="414" ht="15.75" customHeight="1">
      <c r="A414" s="52" t="s">
        <v>43309</v>
      </c>
      <c r="B414" s="9" t="s">
        <v>26</v>
      </c>
      <c r="C414" s="9" t="s">
        <v>39097</v>
      </c>
      <c r="D414" s="9" t="s">
        <v>42804</v>
      </c>
      <c r="E414" s="56">
        <v>44579.0</v>
      </c>
      <c r="F414" s="9" t="b">
        <v>1</v>
      </c>
      <c r="G414" s="9" t="s">
        <v>43228</v>
      </c>
      <c r="H414" s="9" t="s">
        <v>42560</v>
      </c>
    </row>
    <row r="415" ht="15.75" customHeight="1">
      <c r="A415" s="9" t="s">
        <v>43310</v>
      </c>
      <c r="B415" s="9" t="s">
        <v>26</v>
      </c>
      <c r="C415" s="9" t="s">
        <v>39034</v>
      </c>
      <c r="D415" s="9" t="s">
        <v>42704</v>
      </c>
      <c r="E415" s="56">
        <v>44579.0</v>
      </c>
      <c r="F415" s="9" t="b">
        <v>1</v>
      </c>
      <c r="G415" s="9" t="s">
        <v>43228</v>
      </c>
      <c r="H415" s="9" t="s">
        <v>42560</v>
      </c>
    </row>
    <row r="416" ht="15.75" customHeight="1">
      <c r="A416" s="9" t="s">
        <v>43311</v>
      </c>
      <c r="B416" s="9" t="s">
        <v>47</v>
      </c>
      <c r="C416" s="9" t="s">
        <v>39507</v>
      </c>
      <c r="D416" s="9" t="s">
        <v>43312</v>
      </c>
      <c r="E416" s="56">
        <v>44580.0</v>
      </c>
      <c r="F416" s="9" t="b">
        <v>1</v>
      </c>
      <c r="G416" s="9" t="s">
        <v>43228</v>
      </c>
      <c r="H416" s="9" t="s">
        <v>42560</v>
      </c>
    </row>
    <row r="417" ht="15.75" customHeight="1">
      <c r="A417" s="9" t="s">
        <v>43313</v>
      </c>
      <c r="B417" s="9" t="s">
        <v>47</v>
      </c>
      <c r="C417" s="9" t="s">
        <v>39464</v>
      </c>
      <c r="D417" s="9" t="s">
        <v>43314</v>
      </c>
      <c r="E417" s="56">
        <v>44580.0</v>
      </c>
      <c r="F417" s="9" t="b">
        <v>1</v>
      </c>
      <c r="G417" s="9" t="s">
        <v>38801</v>
      </c>
      <c r="H417" s="9" t="s">
        <v>42576</v>
      </c>
      <c r="I417" s="9" t="b">
        <v>1</v>
      </c>
    </row>
    <row r="418" ht="15.75" customHeight="1">
      <c r="A418" s="9" t="s">
        <v>43315</v>
      </c>
      <c r="B418" s="9" t="s">
        <v>47</v>
      </c>
      <c r="C418" s="9" t="s">
        <v>39408</v>
      </c>
      <c r="D418" s="9" t="s">
        <v>43314</v>
      </c>
      <c r="E418" s="56">
        <v>44580.0</v>
      </c>
      <c r="F418" s="9" t="b">
        <v>1</v>
      </c>
      <c r="G418" s="9" t="s">
        <v>38801</v>
      </c>
      <c r="H418" s="9" t="s">
        <v>42576</v>
      </c>
      <c r="I418" s="9" t="b">
        <v>1</v>
      </c>
    </row>
    <row r="419" ht="15.75" customHeight="1">
      <c r="A419" s="9" t="s">
        <v>43316</v>
      </c>
      <c r="B419" s="9" t="s">
        <v>47</v>
      </c>
      <c r="C419" s="9" t="s">
        <v>39430</v>
      </c>
      <c r="D419" s="9" t="s">
        <v>43314</v>
      </c>
      <c r="E419" s="56">
        <v>44580.0</v>
      </c>
      <c r="F419" s="9" t="b">
        <v>1</v>
      </c>
      <c r="G419" s="9" t="s">
        <v>38801</v>
      </c>
      <c r="H419" s="9" t="s">
        <v>42576</v>
      </c>
      <c r="I419" s="9" t="b">
        <v>1</v>
      </c>
    </row>
    <row r="420" ht="15.75" customHeight="1">
      <c r="A420" s="9" t="s">
        <v>43317</v>
      </c>
      <c r="B420" s="9" t="s">
        <v>47</v>
      </c>
      <c r="C420" s="9" t="s">
        <v>39432</v>
      </c>
      <c r="D420" s="9" t="s">
        <v>43314</v>
      </c>
      <c r="E420" s="56">
        <v>44580.0</v>
      </c>
      <c r="F420" s="9" t="b">
        <v>1</v>
      </c>
      <c r="G420" s="9" t="s">
        <v>38801</v>
      </c>
      <c r="H420" s="9" t="s">
        <v>42576</v>
      </c>
      <c r="I420" s="9" t="b">
        <v>1</v>
      </c>
    </row>
    <row r="421" ht="15.75" customHeight="1">
      <c r="A421" s="9" t="s">
        <v>43318</v>
      </c>
      <c r="B421" s="9" t="s">
        <v>47</v>
      </c>
      <c r="C421" s="9" t="s">
        <v>39481</v>
      </c>
      <c r="D421" s="9" t="s">
        <v>43314</v>
      </c>
      <c r="E421" s="56">
        <v>44580.0</v>
      </c>
      <c r="F421" s="9" t="b">
        <v>1</v>
      </c>
      <c r="G421" s="9" t="s">
        <v>38801</v>
      </c>
      <c r="H421" s="9" t="s">
        <v>42576</v>
      </c>
      <c r="I421" s="9" t="b">
        <v>1</v>
      </c>
    </row>
    <row r="422" ht="15.75" customHeight="1">
      <c r="A422" s="9" t="s">
        <v>43319</v>
      </c>
      <c r="B422" s="9" t="s">
        <v>47</v>
      </c>
      <c r="C422" s="9" t="s">
        <v>39511</v>
      </c>
      <c r="D422" s="9" t="s">
        <v>43314</v>
      </c>
      <c r="E422" s="56">
        <v>44580.0</v>
      </c>
      <c r="F422" s="9" t="b">
        <v>1</v>
      </c>
      <c r="G422" s="9" t="s">
        <v>38801</v>
      </c>
      <c r="H422" s="9" t="s">
        <v>42576</v>
      </c>
      <c r="I422" s="9" t="b">
        <v>1</v>
      </c>
    </row>
    <row r="423" ht="15.75" customHeight="1">
      <c r="A423" s="9" t="s">
        <v>43320</v>
      </c>
      <c r="B423" s="9" t="s">
        <v>52</v>
      </c>
      <c r="C423" s="9" t="s">
        <v>39402</v>
      </c>
      <c r="D423" s="9" t="s">
        <v>39458</v>
      </c>
      <c r="E423" s="56">
        <v>44580.0</v>
      </c>
      <c r="F423" s="9" t="b">
        <v>1</v>
      </c>
      <c r="G423" s="9" t="s">
        <v>43228</v>
      </c>
      <c r="H423" s="9" t="s">
        <v>42576</v>
      </c>
    </row>
    <row r="424" ht="15.75" customHeight="1">
      <c r="A424" s="9" t="s">
        <v>43321</v>
      </c>
      <c r="B424" s="9" t="s">
        <v>47</v>
      </c>
      <c r="C424" s="9" t="s">
        <v>39513</v>
      </c>
      <c r="D424" s="9" t="s">
        <v>43314</v>
      </c>
      <c r="E424" s="56">
        <v>44580.0</v>
      </c>
      <c r="F424" s="9" t="b">
        <v>1</v>
      </c>
      <c r="G424" s="9" t="s">
        <v>38801</v>
      </c>
      <c r="H424" s="9" t="s">
        <v>42576</v>
      </c>
      <c r="I424" s="9" t="b">
        <v>1</v>
      </c>
    </row>
    <row r="425" ht="15.75" customHeight="1">
      <c r="A425" s="52" t="s">
        <v>43322</v>
      </c>
      <c r="B425" s="9" t="s">
        <v>52</v>
      </c>
      <c r="C425" s="9" t="s">
        <v>39521</v>
      </c>
      <c r="D425" s="9" t="s">
        <v>43323</v>
      </c>
      <c r="E425" s="56">
        <v>44580.0</v>
      </c>
      <c r="F425" s="9" t="b">
        <v>1</v>
      </c>
      <c r="G425" s="9" t="s">
        <v>43228</v>
      </c>
      <c r="H425" s="9" t="s">
        <v>42576</v>
      </c>
    </row>
    <row r="426" ht="15.75" customHeight="1">
      <c r="A426" s="9" t="s">
        <v>43324</v>
      </c>
      <c r="B426" s="9" t="s">
        <v>47</v>
      </c>
      <c r="C426" s="9" t="s">
        <v>39500</v>
      </c>
      <c r="D426" s="9" t="s">
        <v>43314</v>
      </c>
      <c r="E426" s="56">
        <v>44580.0</v>
      </c>
      <c r="F426" s="9" t="b">
        <v>1</v>
      </c>
      <c r="G426" s="9" t="s">
        <v>38801</v>
      </c>
      <c r="H426" s="9" t="s">
        <v>42576</v>
      </c>
      <c r="I426" s="9" t="b">
        <v>1</v>
      </c>
    </row>
    <row r="427" ht="15.75" customHeight="1">
      <c r="A427" s="9" t="s">
        <v>43325</v>
      </c>
      <c r="B427" s="9" t="s">
        <v>52</v>
      </c>
      <c r="C427" s="9" t="s">
        <v>39251</v>
      </c>
      <c r="D427" s="9" t="s">
        <v>39252</v>
      </c>
      <c r="E427" s="56">
        <v>44580.0</v>
      </c>
      <c r="F427" s="9" t="b">
        <v>1</v>
      </c>
      <c r="G427" s="9" t="s">
        <v>43228</v>
      </c>
      <c r="H427" s="9" t="s">
        <v>42576</v>
      </c>
    </row>
    <row r="428" ht="15.75" customHeight="1">
      <c r="A428" s="9" t="s">
        <v>43326</v>
      </c>
      <c r="B428" s="9" t="s">
        <v>47</v>
      </c>
      <c r="C428" s="9" t="s">
        <v>39523</v>
      </c>
      <c r="D428" s="9" t="s">
        <v>43327</v>
      </c>
      <c r="E428" s="56">
        <v>44580.0</v>
      </c>
      <c r="F428" s="9" t="b">
        <v>1</v>
      </c>
      <c r="G428" s="9" t="s">
        <v>43228</v>
      </c>
      <c r="H428" s="9" t="s">
        <v>42576</v>
      </c>
    </row>
    <row r="429" ht="15.75" customHeight="1">
      <c r="A429" s="9" t="s">
        <v>43328</v>
      </c>
      <c r="B429" s="9" t="s">
        <v>47</v>
      </c>
      <c r="C429" s="9" t="s">
        <v>39523</v>
      </c>
      <c r="D429" s="9" t="s">
        <v>43329</v>
      </c>
      <c r="E429" s="56">
        <v>44580.0</v>
      </c>
      <c r="F429" s="9" t="b">
        <v>1</v>
      </c>
      <c r="G429" s="9" t="s">
        <v>38801</v>
      </c>
      <c r="H429" s="9" t="s">
        <v>42576</v>
      </c>
      <c r="I429" s="9" t="b">
        <v>1</v>
      </c>
    </row>
    <row r="430" ht="15.75" customHeight="1">
      <c r="A430" s="9" t="s">
        <v>43330</v>
      </c>
      <c r="B430" s="9" t="s">
        <v>76</v>
      </c>
      <c r="C430" s="9" t="s">
        <v>39368</v>
      </c>
      <c r="D430" s="9" t="s">
        <v>43331</v>
      </c>
      <c r="E430" s="56">
        <v>44580.0</v>
      </c>
      <c r="F430" s="9" t="b">
        <v>1</v>
      </c>
      <c r="G430" s="9" t="s">
        <v>38801</v>
      </c>
      <c r="H430" s="9" t="s">
        <v>42576</v>
      </c>
      <c r="I430" s="9" t="b">
        <v>1</v>
      </c>
    </row>
    <row r="431" ht="15.75" customHeight="1">
      <c r="A431" s="9" t="s">
        <v>43332</v>
      </c>
      <c r="B431" s="9" t="s">
        <v>47</v>
      </c>
      <c r="C431" s="52" t="s">
        <v>39527</v>
      </c>
      <c r="D431" s="9" t="s">
        <v>43333</v>
      </c>
      <c r="E431" s="56">
        <v>44580.0</v>
      </c>
      <c r="F431" s="9" t="b">
        <v>1</v>
      </c>
      <c r="G431" s="9" t="s">
        <v>43228</v>
      </c>
      <c r="H431" s="9" t="s">
        <v>42576</v>
      </c>
    </row>
    <row r="432" ht="15.75" customHeight="1">
      <c r="A432" s="9" t="s">
        <v>43334</v>
      </c>
      <c r="B432" s="9" t="s">
        <v>47</v>
      </c>
      <c r="C432" s="9" t="s">
        <v>39529</v>
      </c>
      <c r="D432" s="9" t="s">
        <v>43335</v>
      </c>
      <c r="E432" s="56">
        <v>44580.0</v>
      </c>
      <c r="F432" s="9" t="b">
        <v>1</v>
      </c>
      <c r="G432" s="9" t="s">
        <v>43228</v>
      </c>
      <c r="H432" s="9" t="s">
        <v>42576</v>
      </c>
    </row>
    <row r="433" ht="15.75" customHeight="1">
      <c r="A433" s="9" t="s">
        <v>43336</v>
      </c>
      <c r="B433" s="9" t="s">
        <v>52</v>
      </c>
      <c r="C433" s="9" t="s">
        <v>39496</v>
      </c>
      <c r="D433" s="9" t="s">
        <v>43337</v>
      </c>
      <c r="E433" s="56">
        <v>44580.0</v>
      </c>
      <c r="F433" s="9" t="b">
        <v>1</v>
      </c>
      <c r="G433" s="9" t="s">
        <v>43228</v>
      </c>
      <c r="H433" s="9" t="s">
        <v>42576</v>
      </c>
    </row>
    <row r="434" ht="15.75" customHeight="1">
      <c r="A434" s="9" t="s">
        <v>43338</v>
      </c>
      <c r="B434" s="9" t="s">
        <v>47</v>
      </c>
      <c r="C434" s="9" t="s">
        <v>39420</v>
      </c>
      <c r="D434" s="9" t="s">
        <v>43339</v>
      </c>
      <c r="E434" s="56">
        <v>44580.0</v>
      </c>
      <c r="F434" s="9" t="b">
        <v>1</v>
      </c>
      <c r="G434" s="9" t="s">
        <v>38801</v>
      </c>
      <c r="H434" s="9" t="s">
        <v>42576</v>
      </c>
      <c r="I434" s="9" t="b">
        <v>1</v>
      </c>
    </row>
    <row r="435" ht="15.75" customHeight="1">
      <c r="A435" s="9" t="s">
        <v>43340</v>
      </c>
      <c r="B435" s="9" t="s">
        <v>52</v>
      </c>
      <c r="C435" s="9" t="s">
        <v>39167</v>
      </c>
      <c r="D435" s="9" t="s">
        <v>43341</v>
      </c>
      <c r="E435" s="56">
        <v>44580.0</v>
      </c>
      <c r="F435" s="9" t="b">
        <v>1</v>
      </c>
      <c r="G435" s="9" t="s">
        <v>42573</v>
      </c>
      <c r="H435" s="9" t="s">
        <v>42576</v>
      </c>
    </row>
    <row r="436" ht="15.75" customHeight="1">
      <c r="A436" s="9" t="s">
        <v>43342</v>
      </c>
      <c r="B436" s="9" t="s">
        <v>52</v>
      </c>
      <c r="C436" s="9" t="s">
        <v>39167</v>
      </c>
      <c r="D436" s="9" t="s">
        <v>43343</v>
      </c>
      <c r="E436" s="56">
        <v>44580.0</v>
      </c>
      <c r="F436" s="9" t="b">
        <v>1</v>
      </c>
      <c r="G436" s="9" t="s">
        <v>43228</v>
      </c>
      <c r="H436" s="9" t="s">
        <v>42576</v>
      </c>
    </row>
    <row r="437" ht="15.75" customHeight="1">
      <c r="A437" s="9" t="s">
        <v>43344</v>
      </c>
      <c r="B437" s="9" t="s">
        <v>52</v>
      </c>
      <c r="C437" s="9" t="s">
        <v>39143</v>
      </c>
      <c r="D437" s="9" t="s">
        <v>43345</v>
      </c>
      <c r="E437" s="56">
        <v>44580.0</v>
      </c>
      <c r="F437" s="9" t="b">
        <v>1</v>
      </c>
      <c r="G437" s="9" t="s">
        <v>43228</v>
      </c>
      <c r="H437" s="9" t="s">
        <v>42576</v>
      </c>
    </row>
    <row r="438" ht="15.75" customHeight="1">
      <c r="A438" s="9" t="s">
        <v>43346</v>
      </c>
      <c r="B438" s="9" t="s">
        <v>47</v>
      </c>
      <c r="C438" s="9" t="s">
        <v>39470</v>
      </c>
      <c r="D438" s="9" t="s">
        <v>43347</v>
      </c>
      <c r="E438" s="56">
        <v>44580.0</v>
      </c>
      <c r="F438" s="9" t="b">
        <v>1</v>
      </c>
      <c r="G438" s="9" t="s">
        <v>43228</v>
      </c>
      <c r="H438" s="9" t="s">
        <v>42576</v>
      </c>
    </row>
    <row r="439" ht="15.75" customHeight="1">
      <c r="A439" s="9" t="s">
        <v>43348</v>
      </c>
      <c r="B439" s="9" t="s">
        <v>52</v>
      </c>
      <c r="C439" s="9" t="s">
        <v>39227</v>
      </c>
      <c r="D439" s="9" t="s">
        <v>43349</v>
      </c>
      <c r="E439" s="56">
        <v>44580.0</v>
      </c>
      <c r="F439" s="9" t="b">
        <v>1</v>
      </c>
      <c r="G439" s="9" t="s">
        <v>38801</v>
      </c>
      <c r="H439" s="9" t="s">
        <v>42576</v>
      </c>
      <c r="I439" s="9" t="b">
        <v>1</v>
      </c>
    </row>
    <row r="440" ht="15.75" customHeight="1">
      <c r="A440" s="9" t="s">
        <v>43350</v>
      </c>
      <c r="B440" s="9" t="s">
        <v>47</v>
      </c>
      <c r="C440" s="9" t="s">
        <v>39442</v>
      </c>
      <c r="D440" s="9" t="s">
        <v>43351</v>
      </c>
      <c r="E440" s="56">
        <v>44580.0</v>
      </c>
      <c r="F440" s="9" t="b">
        <v>1</v>
      </c>
      <c r="G440" s="9" t="s">
        <v>42632</v>
      </c>
      <c r="H440" s="9" t="s">
        <v>42560</v>
      </c>
    </row>
    <row r="441" ht="15.75" customHeight="1">
      <c r="A441" s="9" t="s">
        <v>43352</v>
      </c>
      <c r="B441" s="9" t="s">
        <v>47</v>
      </c>
      <c r="C441" s="9" t="s">
        <v>39529</v>
      </c>
      <c r="D441" s="9" t="s">
        <v>43353</v>
      </c>
      <c r="E441" s="56">
        <v>44581.0</v>
      </c>
      <c r="F441" s="9" t="b">
        <v>1</v>
      </c>
      <c r="G441" s="9" t="s">
        <v>38801</v>
      </c>
      <c r="H441" s="9" t="s">
        <v>42576</v>
      </c>
      <c r="I441" s="9" t="b">
        <v>1</v>
      </c>
    </row>
    <row r="442" ht="15.75" customHeight="1">
      <c r="A442" s="9" t="s">
        <v>43354</v>
      </c>
      <c r="B442" s="9" t="s">
        <v>52</v>
      </c>
      <c r="C442" s="9" t="s">
        <v>39531</v>
      </c>
      <c r="D442" s="9" t="s">
        <v>43355</v>
      </c>
      <c r="E442" s="56">
        <v>44581.0</v>
      </c>
      <c r="F442" s="9" t="b">
        <v>1</v>
      </c>
      <c r="G442" s="9" t="s">
        <v>38801</v>
      </c>
      <c r="H442" s="9" t="s">
        <v>42560</v>
      </c>
      <c r="I442" s="9" t="b">
        <v>1</v>
      </c>
    </row>
    <row r="443" ht="15.75" customHeight="1">
      <c r="A443" s="9" t="s">
        <v>43356</v>
      </c>
      <c r="B443" s="9" t="s">
        <v>47</v>
      </c>
      <c r="C443" s="9" t="s">
        <v>39474</v>
      </c>
      <c r="D443" s="9" t="s">
        <v>43357</v>
      </c>
      <c r="E443" s="56">
        <v>44581.0</v>
      </c>
      <c r="F443" s="9" t="b">
        <v>1</v>
      </c>
      <c r="G443" s="9" t="s">
        <v>38801</v>
      </c>
      <c r="H443" s="9" t="s">
        <v>42576</v>
      </c>
      <c r="I443" s="9" t="b">
        <v>1</v>
      </c>
    </row>
    <row r="444" ht="15.75" customHeight="1">
      <c r="A444" s="9" t="s">
        <v>43358</v>
      </c>
      <c r="B444" s="9" t="s">
        <v>52</v>
      </c>
      <c r="C444" s="9" t="s">
        <v>39167</v>
      </c>
      <c r="D444" s="9" t="s">
        <v>43359</v>
      </c>
      <c r="E444" s="56">
        <v>44581.0</v>
      </c>
      <c r="F444" s="9" t="b">
        <v>1</v>
      </c>
      <c r="G444" s="9" t="s">
        <v>43228</v>
      </c>
      <c r="H444" s="9" t="s">
        <v>42576</v>
      </c>
    </row>
    <row r="445" ht="15.75" customHeight="1">
      <c r="A445" s="9" t="s">
        <v>43360</v>
      </c>
      <c r="B445" s="9" t="s">
        <v>47</v>
      </c>
      <c r="C445" s="9" t="s">
        <v>39535</v>
      </c>
      <c r="D445" s="9" t="s">
        <v>43361</v>
      </c>
      <c r="E445" s="56">
        <v>44581.0</v>
      </c>
      <c r="F445" s="9" t="b">
        <v>1</v>
      </c>
      <c r="G445" s="9" t="s">
        <v>43228</v>
      </c>
      <c r="H445" s="9" t="s">
        <v>42576</v>
      </c>
    </row>
    <row r="446" ht="15.75" customHeight="1">
      <c r="A446" s="9" t="s">
        <v>43362</v>
      </c>
      <c r="B446" s="9" t="s">
        <v>47</v>
      </c>
      <c r="C446" s="9" t="s">
        <v>39535</v>
      </c>
      <c r="D446" s="9" t="s">
        <v>43363</v>
      </c>
      <c r="E446" s="56">
        <v>44581.0</v>
      </c>
      <c r="F446" s="9" t="b">
        <v>1</v>
      </c>
      <c r="G446" s="9" t="s">
        <v>38801</v>
      </c>
      <c r="H446" s="9" t="s">
        <v>42576</v>
      </c>
      <c r="I446" s="9" t="b">
        <v>1</v>
      </c>
    </row>
    <row r="447" ht="15.75" customHeight="1">
      <c r="A447" s="9" t="s">
        <v>43364</v>
      </c>
      <c r="B447" s="9" t="s">
        <v>52</v>
      </c>
      <c r="C447" s="9" t="s">
        <v>39124</v>
      </c>
      <c r="D447" s="9" t="s">
        <v>43365</v>
      </c>
      <c r="E447" s="56">
        <v>44581.0</v>
      </c>
      <c r="F447" s="9" t="b">
        <v>1</v>
      </c>
      <c r="G447" s="9" t="s">
        <v>42573</v>
      </c>
      <c r="H447" s="9" t="s">
        <v>42576</v>
      </c>
    </row>
    <row r="448" ht="15.75" customHeight="1">
      <c r="A448" s="9" t="s">
        <v>43366</v>
      </c>
      <c r="B448" s="9" t="s">
        <v>47</v>
      </c>
      <c r="C448" s="9" t="s">
        <v>39537</v>
      </c>
      <c r="D448" s="9" t="s">
        <v>43367</v>
      </c>
      <c r="E448" s="56">
        <v>44581.0</v>
      </c>
      <c r="F448" s="9" t="b">
        <v>1</v>
      </c>
      <c r="G448" s="9" t="s">
        <v>38801</v>
      </c>
      <c r="H448" s="9" t="s">
        <v>42576</v>
      </c>
      <c r="I448" s="9" t="b">
        <v>1</v>
      </c>
    </row>
    <row r="449" ht="15.75" customHeight="1">
      <c r="A449" s="9" t="s">
        <v>43368</v>
      </c>
      <c r="B449" s="9" t="s">
        <v>47</v>
      </c>
      <c r="C449" s="9" t="s">
        <v>39539</v>
      </c>
      <c r="D449" s="9" t="s">
        <v>42967</v>
      </c>
      <c r="E449" s="56">
        <v>44581.0</v>
      </c>
      <c r="F449" s="9" t="b">
        <v>1</v>
      </c>
      <c r="G449" s="9" t="s">
        <v>38801</v>
      </c>
      <c r="H449" s="9" t="s">
        <v>42576</v>
      </c>
      <c r="I449" s="9" t="b">
        <v>1</v>
      </c>
    </row>
    <row r="450" ht="15.75" customHeight="1">
      <c r="A450" s="9" t="s">
        <v>43369</v>
      </c>
      <c r="B450" s="9" t="s">
        <v>52</v>
      </c>
      <c r="C450" s="52" t="s">
        <v>39533</v>
      </c>
      <c r="D450" s="9" t="s">
        <v>43370</v>
      </c>
      <c r="E450" s="56">
        <v>44582.0</v>
      </c>
      <c r="F450" s="9" t="b">
        <v>1</v>
      </c>
      <c r="G450" s="9" t="s">
        <v>43228</v>
      </c>
      <c r="H450" s="9" t="s">
        <v>42560</v>
      </c>
    </row>
    <row r="451" ht="15.75" customHeight="1">
      <c r="A451" s="9" t="s">
        <v>43371</v>
      </c>
      <c r="B451" s="9" t="s">
        <v>26</v>
      </c>
      <c r="C451" s="9" t="s">
        <v>39462</v>
      </c>
      <c r="D451" s="9" t="s">
        <v>43372</v>
      </c>
      <c r="E451" s="56">
        <v>44585.0</v>
      </c>
      <c r="F451" s="9" t="b">
        <v>1</v>
      </c>
      <c r="G451" s="9" t="s">
        <v>42573</v>
      </c>
      <c r="H451" s="9" t="s">
        <v>42560</v>
      </c>
    </row>
    <row r="452" ht="15.75" customHeight="1">
      <c r="A452" s="9" t="s">
        <v>43373</v>
      </c>
      <c r="B452" s="9" t="s">
        <v>26</v>
      </c>
      <c r="C452" s="9" t="s">
        <v>39488</v>
      </c>
      <c r="D452" s="9" t="s">
        <v>43374</v>
      </c>
      <c r="E452" s="56">
        <v>44585.0</v>
      </c>
      <c r="F452" s="9" t="b">
        <v>1</v>
      </c>
      <c r="G452" s="9" t="s">
        <v>42573</v>
      </c>
      <c r="H452" s="9" t="s">
        <v>42560</v>
      </c>
    </row>
    <row r="453" ht="15.75" customHeight="1">
      <c r="A453" s="9" t="s">
        <v>43375</v>
      </c>
      <c r="B453" s="9" t="s">
        <v>26</v>
      </c>
      <c r="C453" s="9" t="s">
        <v>39406</v>
      </c>
      <c r="D453" s="9" t="s">
        <v>43376</v>
      </c>
      <c r="E453" s="56">
        <v>44585.0</v>
      </c>
      <c r="F453" s="9" t="b">
        <v>1</v>
      </c>
      <c r="G453" s="9" t="s">
        <v>42632</v>
      </c>
      <c r="H453" s="9" t="s">
        <v>42560</v>
      </c>
    </row>
    <row r="454" ht="15.75" customHeight="1">
      <c r="A454" s="9" t="s">
        <v>43377</v>
      </c>
      <c r="B454" s="9" t="s">
        <v>52</v>
      </c>
      <c r="C454" s="9" t="s">
        <v>39426</v>
      </c>
      <c r="D454" s="9" t="s">
        <v>43378</v>
      </c>
      <c r="E454" s="56">
        <v>44585.0</v>
      </c>
      <c r="F454" s="9" t="b">
        <v>1</v>
      </c>
      <c r="G454" s="9" t="s">
        <v>43228</v>
      </c>
      <c r="H454" s="9" t="s">
        <v>42576</v>
      </c>
    </row>
    <row r="455" ht="15.75" customHeight="1">
      <c r="A455" s="9" t="s">
        <v>43379</v>
      </c>
      <c r="B455" s="9" t="s">
        <v>47</v>
      </c>
      <c r="C455" s="9" t="s">
        <v>39541</v>
      </c>
      <c r="D455" s="9" t="s">
        <v>43380</v>
      </c>
      <c r="E455" s="56">
        <v>44585.0</v>
      </c>
      <c r="F455" s="9" t="b">
        <v>1</v>
      </c>
      <c r="G455" s="9" t="s">
        <v>38801</v>
      </c>
      <c r="H455" s="9" t="s">
        <v>42576</v>
      </c>
      <c r="I455" s="9" t="b">
        <v>1</v>
      </c>
    </row>
    <row r="456" ht="15.75" customHeight="1">
      <c r="A456" s="9" t="s">
        <v>43381</v>
      </c>
      <c r="B456" s="9" t="s">
        <v>47</v>
      </c>
      <c r="C456" s="9" t="s">
        <v>39442</v>
      </c>
      <c r="D456" s="9" t="s">
        <v>43382</v>
      </c>
      <c r="E456" s="56">
        <v>44585.0</v>
      </c>
      <c r="F456" s="9" t="b">
        <v>1</v>
      </c>
      <c r="G456" s="9" t="s">
        <v>38801</v>
      </c>
      <c r="H456" s="9" t="s">
        <v>42560</v>
      </c>
      <c r="I456" s="9" t="b">
        <v>1</v>
      </c>
    </row>
    <row r="457" ht="15.75" customHeight="1">
      <c r="A457" s="9" t="s">
        <v>43383</v>
      </c>
      <c r="B457" s="9" t="s">
        <v>52</v>
      </c>
      <c r="C457" s="9" t="s">
        <v>39257</v>
      </c>
      <c r="D457" s="9" t="s">
        <v>43384</v>
      </c>
      <c r="E457" s="56">
        <v>44585.0</v>
      </c>
      <c r="F457" s="9" t="b">
        <v>1</v>
      </c>
      <c r="G457" s="9" t="s">
        <v>43228</v>
      </c>
      <c r="H457" s="9" t="s">
        <v>42576</v>
      </c>
    </row>
    <row r="458" ht="15.75" customHeight="1">
      <c r="A458" s="9" t="s">
        <v>43385</v>
      </c>
      <c r="B458" s="9" t="s">
        <v>26</v>
      </c>
      <c r="C458" s="9" t="s">
        <v>39543</v>
      </c>
      <c r="D458" s="9" t="s">
        <v>43386</v>
      </c>
      <c r="E458" s="56">
        <v>44585.0</v>
      </c>
      <c r="F458" s="9" t="b">
        <v>1</v>
      </c>
      <c r="G458" s="9" t="s">
        <v>42573</v>
      </c>
      <c r="H458" s="9" t="s">
        <v>42560</v>
      </c>
    </row>
    <row r="459" ht="15.75" customHeight="1">
      <c r="A459" s="9" t="s">
        <v>43387</v>
      </c>
      <c r="B459" s="9" t="s">
        <v>47</v>
      </c>
      <c r="C459" s="9" t="s">
        <v>39545</v>
      </c>
      <c r="D459" s="9" t="s">
        <v>43388</v>
      </c>
      <c r="E459" s="56">
        <v>44585.0</v>
      </c>
      <c r="F459" s="9" t="b">
        <v>1</v>
      </c>
      <c r="G459" s="9" t="s">
        <v>38801</v>
      </c>
      <c r="H459" s="9" t="s">
        <v>42576</v>
      </c>
      <c r="I459" s="9" t="b">
        <v>1</v>
      </c>
    </row>
    <row r="460" ht="15.75" customHeight="1">
      <c r="A460" s="9" t="s">
        <v>43389</v>
      </c>
      <c r="B460" s="9" t="s">
        <v>52</v>
      </c>
      <c r="C460" s="9" t="s">
        <v>39410</v>
      </c>
      <c r="D460" s="9" t="s">
        <v>43390</v>
      </c>
      <c r="E460" s="56">
        <v>44585.0</v>
      </c>
      <c r="F460" s="9" t="b">
        <v>1</v>
      </c>
      <c r="G460" s="9" t="s">
        <v>42573</v>
      </c>
      <c r="H460" s="9" t="s">
        <v>42576</v>
      </c>
    </row>
    <row r="461" ht="15.75" customHeight="1">
      <c r="A461" s="9" t="s">
        <v>43391</v>
      </c>
      <c r="B461" s="9" t="s">
        <v>76</v>
      </c>
      <c r="C461" s="9" t="s">
        <v>39488</v>
      </c>
      <c r="D461" s="9" t="s">
        <v>43392</v>
      </c>
      <c r="E461" s="56">
        <v>44586.0</v>
      </c>
      <c r="F461" s="9" t="b">
        <v>1</v>
      </c>
      <c r="G461" s="9" t="s">
        <v>38801</v>
      </c>
      <c r="H461" s="9" t="s">
        <v>42560</v>
      </c>
      <c r="I461" s="9" t="b">
        <v>1</v>
      </c>
    </row>
    <row r="462" ht="15.75" customHeight="1">
      <c r="A462" s="9" t="s">
        <v>43393</v>
      </c>
      <c r="B462" s="9" t="s">
        <v>52</v>
      </c>
      <c r="C462" s="9" t="s">
        <v>39124</v>
      </c>
      <c r="D462" s="9" t="s">
        <v>43394</v>
      </c>
      <c r="E462" s="56">
        <v>44586.0</v>
      </c>
      <c r="F462" s="9" t="b">
        <v>1</v>
      </c>
      <c r="G462" s="9" t="s">
        <v>38801</v>
      </c>
      <c r="H462" s="9" t="s">
        <v>42576</v>
      </c>
      <c r="I462" s="9" t="b">
        <v>1</v>
      </c>
    </row>
    <row r="463" ht="15.75" customHeight="1">
      <c r="A463" s="9" t="s">
        <v>43395</v>
      </c>
      <c r="B463" s="9" t="s">
        <v>26</v>
      </c>
      <c r="C463" s="9" t="s">
        <v>39462</v>
      </c>
      <c r="D463" s="9" t="s">
        <v>43396</v>
      </c>
      <c r="E463" s="56">
        <v>44586.0</v>
      </c>
      <c r="F463" s="9" t="b">
        <v>1</v>
      </c>
      <c r="G463" s="9" t="s">
        <v>42573</v>
      </c>
      <c r="H463" s="9" t="s">
        <v>42560</v>
      </c>
    </row>
    <row r="464" ht="15.75" customHeight="1">
      <c r="A464" s="9" t="s">
        <v>43397</v>
      </c>
      <c r="B464" s="9" t="s">
        <v>26</v>
      </c>
      <c r="C464" s="9" t="s">
        <v>39406</v>
      </c>
      <c r="D464" s="9" t="s">
        <v>43398</v>
      </c>
      <c r="E464" s="56">
        <v>44586.0</v>
      </c>
      <c r="F464" s="9" t="b">
        <v>1</v>
      </c>
      <c r="G464" s="9" t="s">
        <v>43228</v>
      </c>
      <c r="H464" s="9" t="s">
        <v>42560</v>
      </c>
    </row>
    <row r="465" ht="15.75" customHeight="1">
      <c r="A465" s="9" t="s">
        <v>43399</v>
      </c>
      <c r="B465" s="9" t="s">
        <v>26</v>
      </c>
      <c r="C465" s="9" t="s">
        <v>39396</v>
      </c>
      <c r="D465" s="9" t="s">
        <v>43400</v>
      </c>
      <c r="E465" s="56">
        <v>44586.0</v>
      </c>
      <c r="F465" s="9" t="b">
        <v>1</v>
      </c>
      <c r="G465" s="9" t="s">
        <v>42585</v>
      </c>
      <c r="H465" s="9" t="s">
        <v>42560</v>
      </c>
    </row>
    <row r="466" ht="15.75" customHeight="1">
      <c r="A466" s="9" t="s">
        <v>43401</v>
      </c>
      <c r="B466" s="9" t="s">
        <v>26</v>
      </c>
      <c r="C466" s="9" t="s">
        <v>39360</v>
      </c>
      <c r="D466" s="9" t="s">
        <v>43402</v>
      </c>
      <c r="E466" s="56">
        <v>44586.0</v>
      </c>
      <c r="F466" s="9" t="b">
        <v>1</v>
      </c>
      <c r="G466" s="9" t="s">
        <v>38801</v>
      </c>
      <c r="H466" s="9" t="s">
        <v>42560</v>
      </c>
      <c r="I466" s="9" t="b">
        <v>1</v>
      </c>
    </row>
    <row r="467" ht="15.75" customHeight="1">
      <c r="A467" s="9" t="s">
        <v>43403</v>
      </c>
      <c r="B467" s="9" t="s">
        <v>52</v>
      </c>
      <c r="C467" s="9" t="s">
        <v>39404</v>
      </c>
      <c r="D467" s="9" t="s">
        <v>43404</v>
      </c>
      <c r="E467" s="56">
        <v>44586.0</v>
      </c>
      <c r="F467" s="9" t="b">
        <v>1</v>
      </c>
      <c r="G467" s="9" t="s">
        <v>42585</v>
      </c>
      <c r="H467" s="9" t="s">
        <v>42576</v>
      </c>
    </row>
    <row r="468" ht="15.75" customHeight="1">
      <c r="A468" s="9" t="s">
        <v>43405</v>
      </c>
      <c r="B468" s="9" t="s">
        <v>52</v>
      </c>
      <c r="C468" s="9" t="s">
        <v>39547</v>
      </c>
      <c r="D468" s="9" t="s">
        <v>43406</v>
      </c>
      <c r="E468" s="56">
        <v>44586.0</v>
      </c>
      <c r="F468" s="9" t="b">
        <v>1</v>
      </c>
      <c r="G468" s="9" t="s">
        <v>43228</v>
      </c>
      <c r="H468" s="9" t="s">
        <v>42576</v>
      </c>
    </row>
    <row r="469" ht="15.75" customHeight="1">
      <c r="A469" s="9" t="s">
        <v>43407</v>
      </c>
      <c r="B469" s="9" t="s">
        <v>26</v>
      </c>
      <c r="C469" s="9" t="s">
        <v>39553</v>
      </c>
      <c r="D469" s="9" t="s">
        <v>43408</v>
      </c>
      <c r="E469" s="56">
        <v>44586.0</v>
      </c>
      <c r="F469" s="9" t="b">
        <v>1</v>
      </c>
      <c r="G469" s="9" t="s">
        <v>38801</v>
      </c>
      <c r="H469" s="9" t="s">
        <v>42560</v>
      </c>
      <c r="I469" s="9" t="b">
        <v>1</v>
      </c>
    </row>
    <row r="470" ht="15.75" customHeight="1">
      <c r="A470" s="9" t="s">
        <v>43409</v>
      </c>
      <c r="B470" s="9" t="s">
        <v>52</v>
      </c>
      <c r="C470" s="9" t="s">
        <v>39418</v>
      </c>
      <c r="D470" s="9" t="s">
        <v>43410</v>
      </c>
      <c r="E470" s="56">
        <v>44587.0</v>
      </c>
      <c r="F470" s="9" t="b">
        <v>1</v>
      </c>
      <c r="G470" s="9" t="s">
        <v>38801</v>
      </c>
      <c r="H470" s="9" t="s">
        <v>42576</v>
      </c>
      <c r="I470" s="9" t="b">
        <v>1</v>
      </c>
    </row>
    <row r="471" ht="15.75" customHeight="1">
      <c r="A471" s="9" t="s">
        <v>43411</v>
      </c>
      <c r="B471" s="9" t="s">
        <v>26</v>
      </c>
      <c r="C471" s="9" t="s">
        <v>39440</v>
      </c>
      <c r="D471" s="9" t="s">
        <v>43412</v>
      </c>
      <c r="E471" s="56">
        <v>44587.0</v>
      </c>
      <c r="F471" s="9" t="b">
        <v>1</v>
      </c>
      <c r="G471" s="9" t="s">
        <v>43228</v>
      </c>
      <c r="H471" s="9" t="s">
        <v>42560</v>
      </c>
    </row>
    <row r="472" ht="15.75" customHeight="1">
      <c r="A472" s="9" t="s">
        <v>43413</v>
      </c>
      <c r="B472" s="9" t="s">
        <v>26</v>
      </c>
      <c r="C472" s="52" t="s">
        <v>39527</v>
      </c>
      <c r="D472" s="9" t="s">
        <v>43414</v>
      </c>
      <c r="E472" s="56">
        <v>44587.0</v>
      </c>
      <c r="F472" s="9" t="b">
        <v>1</v>
      </c>
      <c r="G472" s="9" t="s">
        <v>43228</v>
      </c>
      <c r="H472" s="9" t="s">
        <v>42560</v>
      </c>
    </row>
    <row r="473" ht="15.75" customHeight="1">
      <c r="A473" s="9" t="s">
        <v>43415</v>
      </c>
      <c r="B473" s="9" t="s">
        <v>26</v>
      </c>
      <c r="C473" s="9" t="s">
        <v>39470</v>
      </c>
      <c r="D473" s="9" t="s">
        <v>43414</v>
      </c>
      <c r="E473" s="56">
        <v>44587.0</v>
      </c>
      <c r="F473" s="9" t="b">
        <v>1</v>
      </c>
      <c r="G473" s="9" t="s">
        <v>43228</v>
      </c>
      <c r="H473" s="9" t="s">
        <v>42560</v>
      </c>
    </row>
    <row r="474" ht="15.75" customHeight="1">
      <c r="A474" s="9" t="s">
        <v>43416</v>
      </c>
      <c r="B474" s="9" t="s">
        <v>47</v>
      </c>
      <c r="C474" s="9" t="s">
        <v>39207</v>
      </c>
      <c r="D474" s="9" t="s">
        <v>43417</v>
      </c>
      <c r="E474" s="56">
        <v>44587.0</v>
      </c>
      <c r="F474" s="9" t="b">
        <v>1</v>
      </c>
      <c r="G474" s="9" t="s">
        <v>42573</v>
      </c>
      <c r="H474" s="9" t="s">
        <v>42576</v>
      </c>
    </row>
    <row r="475" ht="15.75" customHeight="1">
      <c r="A475" s="9" t="s">
        <v>43418</v>
      </c>
      <c r="B475" s="9" t="s">
        <v>52</v>
      </c>
      <c r="C475" s="9" t="s">
        <v>39207</v>
      </c>
      <c r="D475" s="9" t="s">
        <v>43419</v>
      </c>
      <c r="E475" s="56">
        <v>44587.0</v>
      </c>
      <c r="F475" s="9" t="b">
        <v>1</v>
      </c>
      <c r="G475" s="9" t="s">
        <v>42573</v>
      </c>
      <c r="H475" s="9" t="s">
        <v>42576</v>
      </c>
    </row>
    <row r="476" ht="15.75" customHeight="1">
      <c r="A476" s="9" t="s">
        <v>43420</v>
      </c>
      <c r="B476" s="9" t="s">
        <v>47</v>
      </c>
      <c r="C476" s="9" t="s">
        <v>39451</v>
      </c>
      <c r="D476" s="9" t="s">
        <v>43421</v>
      </c>
      <c r="E476" s="56">
        <v>44587.0</v>
      </c>
      <c r="F476" s="9" t="b">
        <v>1</v>
      </c>
      <c r="G476" s="9" t="s">
        <v>38801</v>
      </c>
      <c r="H476" s="9" t="s">
        <v>42576</v>
      </c>
      <c r="I476" s="9" t="b">
        <v>1</v>
      </c>
    </row>
    <row r="477" ht="15.75" customHeight="1">
      <c r="A477" s="9" t="s">
        <v>43422</v>
      </c>
      <c r="B477" s="9" t="s">
        <v>26</v>
      </c>
      <c r="C477" s="9" t="s">
        <v>39543</v>
      </c>
      <c r="D477" s="9" t="s">
        <v>43423</v>
      </c>
      <c r="E477" s="56">
        <v>44587.0</v>
      </c>
      <c r="F477" s="9" t="b">
        <v>1</v>
      </c>
      <c r="G477" s="9" t="s">
        <v>38801</v>
      </c>
      <c r="H477" s="9" t="s">
        <v>42560</v>
      </c>
      <c r="I477" s="9" t="b">
        <v>1</v>
      </c>
    </row>
    <row r="478" ht="15.75" customHeight="1">
      <c r="A478" s="9" t="s">
        <v>43424</v>
      </c>
      <c r="B478" s="9" t="s">
        <v>47</v>
      </c>
      <c r="C478" s="9" t="s">
        <v>39557</v>
      </c>
      <c r="D478" s="9" t="s">
        <v>43425</v>
      </c>
      <c r="E478" s="56">
        <v>44587.0</v>
      </c>
      <c r="F478" s="9" t="b">
        <v>1</v>
      </c>
      <c r="G478" s="9" t="s">
        <v>38801</v>
      </c>
      <c r="H478" s="9" t="s">
        <v>42576</v>
      </c>
      <c r="I478" s="9" t="b">
        <v>1</v>
      </c>
    </row>
    <row r="479" ht="15.75" customHeight="1">
      <c r="A479" s="9" t="s">
        <v>43426</v>
      </c>
      <c r="B479" s="9" t="s">
        <v>52</v>
      </c>
      <c r="C479" s="9" t="s">
        <v>39551</v>
      </c>
      <c r="D479" s="9" t="s">
        <v>43427</v>
      </c>
      <c r="E479" s="56">
        <v>44587.0</v>
      </c>
      <c r="F479" s="9" t="b">
        <v>1</v>
      </c>
      <c r="G479" s="9" t="s">
        <v>38801</v>
      </c>
      <c r="H479" s="9" t="s">
        <v>42576</v>
      </c>
      <c r="I479" s="9" t="b">
        <v>1</v>
      </c>
    </row>
    <row r="480" ht="15.75" customHeight="1">
      <c r="A480" s="9" t="s">
        <v>43428</v>
      </c>
      <c r="B480" s="9" t="s">
        <v>47</v>
      </c>
      <c r="C480" s="9" t="s">
        <v>39559</v>
      </c>
      <c r="D480" s="9" t="s">
        <v>43429</v>
      </c>
      <c r="E480" s="56">
        <v>44587.0</v>
      </c>
      <c r="F480" s="9" t="b">
        <v>1</v>
      </c>
      <c r="G480" s="9" t="s">
        <v>38801</v>
      </c>
      <c r="H480" s="9" t="s">
        <v>42560</v>
      </c>
      <c r="I480" s="9" t="b">
        <v>1</v>
      </c>
    </row>
    <row r="481" ht="15.75" customHeight="1">
      <c r="A481" s="9" t="s">
        <v>43430</v>
      </c>
      <c r="B481" s="9" t="s">
        <v>47</v>
      </c>
      <c r="C481" s="9" t="s">
        <v>39563</v>
      </c>
      <c r="D481" s="9" t="s">
        <v>43431</v>
      </c>
      <c r="E481" s="56">
        <v>44588.0</v>
      </c>
      <c r="F481" s="9" t="b">
        <v>1</v>
      </c>
      <c r="G481" s="9" t="s">
        <v>38801</v>
      </c>
      <c r="H481" s="9" t="s">
        <v>42576</v>
      </c>
      <c r="I481" s="9" t="b">
        <v>1</v>
      </c>
    </row>
    <row r="482" ht="15.75" customHeight="1">
      <c r="A482" s="9" t="s">
        <v>43432</v>
      </c>
      <c r="B482" s="9" t="s">
        <v>52</v>
      </c>
      <c r="C482" s="52" t="s">
        <v>39565</v>
      </c>
      <c r="D482" s="9" t="s">
        <v>43433</v>
      </c>
      <c r="E482" s="56">
        <v>44592.0</v>
      </c>
      <c r="F482" s="9" t="b">
        <v>1</v>
      </c>
      <c r="G482" s="9" t="s">
        <v>43228</v>
      </c>
      <c r="H482" s="9" t="s">
        <v>42576</v>
      </c>
    </row>
    <row r="483" ht="15.75" customHeight="1">
      <c r="A483" s="9" t="s">
        <v>43434</v>
      </c>
      <c r="B483" s="9" t="s">
        <v>52</v>
      </c>
      <c r="C483" s="9" t="s">
        <v>39555</v>
      </c>
      <c r="D483" s="9" t="s">
        <v>43435</v>
      </c>
      <c r="E483" s="56">
        <v>44592.0</v>
      </c>
      <c r="F483" s="9" t="b">
        <v>1</v>
      </c>
      <c r="G483" s="9" t="s">
        <v>43228</v>
      </c>
      <c r="H483" s="9" t="s">
        <v>42576</v>
      </c>
    </row>
    <row r="484" ht="15.75" customHeight="1">
      <c r="A484" s="9" t="s">
        <v>43436</v>
      </c>
      <c r="B484" s="9" t="s">
        <v>26</v>
      </c>
      <c r="C484" s="9" t="s">
        <v>39345</v>
      </c>
      <c r="D484" s="9" t="s">
        <v>43437</v>
      </c>
      <c r="E484" s="56">
        <v>44592.0</v>
      </c>
      <c r="F484" s="9" t="b">
        <v>1</v>
      </c>
      <c r="G484" s="9" t="s">
        <v>42632</v>
      </c>
      <c r="H484" s="9" t="s">
        <v>42560</v>
      </c>
    </row>
    <row r="485" ht="15.75" customHeight="1">
      <c r="A485" s="9" t="s">
        <v>43438</v>
      </c>
      <c r="B485" s="9" t="s">
        <v>26</v>
      </c>
      <c r="C485" s="9" t="s">
        <v>39347</v>
      </c>
      <c r="D485" s="9" t="s">
        <v>43437</v>
      </c>
      <c r="E485" s="56">
        <v>44592.0</v>
      </c>
      <c r="F485" s="9" t="b">
        <v>1</v>
      </c>
      <c r="G485" s="9" t="s">
        <v>42632</v>
      </c>
      <c r="H485" s="9" t="s">
        <v>42560</v>
      </c>
    </row>
    <row r="486" ht="15.75" customHeight="1">
      <c r="A486" s="9" t="s">
        <v>43439</v>
      </c>
      <c r="B486" s="9" t="s">
        <v>26</v>
      </c>
      <c r="C486" s="9" t="s">
        <v>39006</v>
      </c>
      <c r="D486" s="9" t="s">
        <v>43440</v>
      </c>
      <c r="E486" s="56">
        <v>44592.0</v>
      </c>
      <c r="F486" s="9" t="b">
        <v>1</v>
      </c>
      <c r="G486" s="9" t="s">
        <v>42632</v>
      </c>
      <c r="H486" s="9" t="s">
        <v>42560</v>
      </c>
    </row>
    <row r="487" ht="15.75" customHeight="1">
      <c r="A487" s="9" t="s">
        <v>43441</v>
      </c>
      <c r="B487" s="9" t="s">
        <v>52</v>
      </c>
      <c r="C487" s="9" t="s">
        <v>39341</v>
      </c>
      <c r="D487" s="9" t="s">
        <v>43442</v>
      </c>
      <c r="E487" s="56">
        <v>44593.0</v>
      </c>
      <c r="F487" s="9" t="b">
        <v>1</v>
      </c>
      <c r="G487" s="9" t="s">
        <v>43228</v>
      </c>
      <c r="H487" s="9" t="s">
        <v>42576</v>
      </c>
    </row>
    <row r="488" ht="15.75" customHeight="1">
      <c r="A488" s="9" t="s">
        <v>43443</v>
      </c>
      <c r="B488" s="9" t="s">
        <v>52</v>
      </c>
      <c r="C488" s="9" t="s">
        <v>39568</v>
      </c>
      <c r="D488" s="9" t="s">
        <v>43444</v>
      </c>
      <c r="E488" s="56">
        <v>44593.0</v>
      </c>
      <c r="F488" s="9" t="b">
        <v>1</v>
      </c>
      <c r="G488" s="9" t="s">
        <v>43228</v>
      </c>
      <c r="H488" s="9" t="s">
        <v>42576</v>
      </c>
    </row>
    <row r="489" ht="15.75" customHeight="1">
      <c r="A489" s="9" t="s">
        <v>43445</v>
      </c>
      <c r="B489" s="9" t="s">
        <v>52</v>
      </c>
      <c r="C489" s="9" t="s">
        <v>39573</v>
      </c>
      <c r="D489" s="9" t="s">
        <v>43446</v>
      </c>
      <c r="E489" s="56">
        <v>44594.0</v>
      </c>
      <c r="F489" s="9" t="b">
        <v>1</v>
      </c>
      <c r="G489" s="9" t="s">
        <v>43228</v>
      </c>
      <c r="H489" s="9" t="s">
        <v>42576</v>
      </c>
    </row>
    <row r="490" ht="15.75" customHeight="1">
      <c r="A490" s="9" t="s">
        <v>43447</v>
      </c>
      <c r="B490" s="9" t="s">
        <v>52</v>
      </c>
      <c r="C490" s="9" t="s">
        <v>39576</v>
      </c>
      <c r="D490" s="9" t="s">
        <v>43448</v>
      </c>
      <c r="E490" s="56">
        <v>44600.0</v>
      </c>
      <c r="F490" s="9" t="b">
        <v>1</v>
      </c>
      <c r="G490" s="9" t="s">
        <v>38801</v>
      </c>
      <c r="H490" s="9" t="s">
        <v>42576</v>
      </c>
      <c r="I490" s="9" t="b">
        <v>1</v>
      </c>
    </row>
    <row r="491" ht="15.75" customHeight="1">
      <c r="A491" s="9" t="s">
        <v>43449</v>
      </c>
      <c r="B491" s="9" t="s">
        <v>52</v>
      </c>
      <c r="C491" s="9" t="s">
        <v>39402</v>
      </c>
      <c r="D491" s="9" t="s">
        <v>43450</v>
      </c>
      <c r="E491" s="56">
        <v>44600.0</v>
      </c>
      <c r="F491" s="9" t="b">
        <v>1</v>
      </c>
      <c r="G491" s="9" t="s">
        <v>43228</v>
      </c>
      <c r="H491" s="9" t="s">
        <v>42576</v>
      </c>
    </row>
    <row r="492" ht="15.75" customHeight="1">
      <c r="A492" s="9" t="s">
        <v>43451</v>
      </c>
      <c r="B492" s="9" t="s">
        <v>26</v>
      </c>
      <c r="C492" s="9" t="s">
        <v>39583</v>
      </c>
      <c r="D492" s="9" t="s">
        <v>43452</v>
      </c>
      <c r="E492" s="56">
        <v>44601.0</v>
      </c>
      <c r="F492" s="9" t="b">
        <v>1</v>
      </c>
      <c r="G492" s="9" t="s">
        <v>38801</v>
      </c>
      <c r="H492" s="9" t="s">
        <v>42560</v>
      </c>
      <c r="I492" s="9" t="b">
        <v>1</v>
      </c>
    </row>
    <row r="493" ht="15.75" customHeight="1">
      <c r="A493" s="9" t="s">
        <v>43453</v>
      </c>
      <c r="B493" s="9" t="s">
        <v>52</v>
      </c>
      <c r="C493" s="9" t="s">
        <v>39585</v>
      </c>
      <c r="D493" s="9" t="s">
        <v>43454</v>
      </c>
      <c r="E493" s="56">
        <v>44601.0</v>
      </c>
      <c r="F493" s="9" t="b">
        <v>1</v>
      </c>
      <c r="G493" s="9" t="s">
        <v>38801</v>
      </c>
      <c r="H493" s="9" t="s">
        <v>42576</v>
      </c>
      <c r="I493" s="9" t="b">
        <v>1</v>
      </c>
    </row>
    <row r="494" ht="15.75" customHeight="1">
      <c r="A494" s="9" t="s">
        <v>43455</v>
      </c>
      <c r="B494" s="9" t="s">
        <v>52</v>
      </c>
      <c r="C494" s="9" t="s">
        <v>39581</v>
      </c>
      <c r="D494" s="9" t="s">
        <v>43456</v>
      </c>
      <c r="E494" s="56">
        <v>44601.0</v>
      </c>
      <c r="F494" s="9" t="b">
        <v>1</v>
      </c>
      <c r="G494" s="9" t="s">
        <v>43228</v>
      </c>
      <c r="H494" s="9" t="s">
        <v>42576</v>
      </c>
    </row>
    <row r="495" ht="15.75" customHeight="1">
      <c r="A495" s="9" t="s">
        <v>43457</v>
      </c>
      <c r="B495" s="9" t="s">
        <v>52</v>
      </c>
      <c r="C495" s="9" t="s">
        <v>39217</v>
      </c>
      <c r="D495" s="9" t="s">
        <v>43458</v>
      </c>
      <c r="E495" s="56">
        <v>44602.0</v>
      </c>
      <c r="F495" s="9" t="b">
        <v>1</v>
      </c>
      <c r="G495" s="9" t="s">
        <v>43228</v>
      </c>
      <c r="H495" s="9" t="s">
        <v>42576</v>
      </c>
    </row>
    <row r="496" ht="15.75" customHeight="1">
      <c r="A496" s="9" t="s">
        <v>43459</v>
      </c>
      <c r="B496" s="9" t="s">
        <v>52</v>
      </c>
      <c r="C496" s="9" t="s">
        <v>39151</v>
      </c>
      <c r="D496" s="9" t="s">
        <v>43460</v>
      </c>
      <c r="E496" s="56">
        <v>44602.0</v>
      </c>
      <c r="F496" s="9" t="b">
        <v>1</v>
      </c>
      <c r="G496" s="9" t="s">
        <v>43228</v>
      </c>
      <c r="H496" s="9" t="s">
        <v>42576</v>
      </c>
    </row>
    <row r="497" ht="15.75" customHeight="1">
      <c r="A497" s="9" t="s">
        <v>43461</v>
      </c>
      <c r="B497" s="9" t="s">
        <v>19</v>
      </c>
      <c r="C497" s="9" t="s">
        <v>39040</v>
      </c>
      <c r="D497" s="9" t="s">
        <v>43462</v>
      </c>
      <c r="E497" s="56">
        <v>44603.0</v>
      </c>
      <c r="F497" s="9" t="b">
        <v>1</v>
      </c>
      <c r="G497" s="9" t="s">
        <v>42573</v>
      </c>
      <c r="H497" s="9" t="s">
        <v>42560</v>
      </c>
    </row>
    <row r="498" ht="15.75" customHeight="1">
      <c r="A498" s="9" t="s">
        <v>43463</v>
      </c>
      <c r="B498" s="9" t="s">
        <v>26</v>
      </c>
      <c r="C498" s="9" t="s">
        <v>39605</v>
      </c>
      <c r="D498" s="9" t="s">
        <v>43464</v>
      </c>
      <c r="E498" s="56">
        <v>44603.0</v>
      </c>
      <c r="F498" s="9" t="b">
        <v>1</v>
      </c>
      <c r="G498" s="9" t="s">
        <v>38801</v>
      </c>
      <c r="H498" s="9" t="s">
        <v>42560</v>
      </c>
      <c r="I498" s="9" t="b">
        <v>1</v>
      </c>
    </row>
    <row r="499" ht="15.75" customHeight="1">
      <c r="A499" s="9" t="s">
        <v>43465</v>
      </c>
      <c r="B499" s="9" t="s">
        <v>26</v>
      </c>
      <c r="C499" s="9" t="s">
        <v>39607</v>
      </c>
      <c r="D499" s="9" t="s">
        <v>43466</v>
      </c>
      <c r="E499" s="56">
        <v>44603.0</v>
      </c>
      <c r="F499" s="9" t="b">
        <v>1</v>
      </c>
      <c r="G499" s="9" t="s">
        <v>38801</v>
      </c>
      <c r="H499" s="9" t="s">
        <v>42560</v>
      </c>
      <c r="I499" s="9" t="b">
        <v>1</v>
      </c>
    </row>
    <row r="500" ht="15.75" customHeight="1">
      <c r="A500" s="9" t="s">
        <v>43467</v>
      </c>
      <c r="B500" s="9" t="s">
        <v>26</v>
      </c>
      <c r="C500" s="9" t="s">
        <v>39602</v>
      </c>
      <c r="D500" s="9" t="s">
        <v>43468</v>
      </c>
      <c r="E500" s="56">
        <v>44603.0</v>
      </c>
      <c r="F500" s="9" t="b">
        <v>1</v>
      </c>
      <c r="G500" s="9" t="s">
        <v>38801</v>
      </c>
      <c r="H500" s="9" t="s">
        <v>42560</v>
      </c>
      <c r="I500" s="9" t="b">
        <v>1</v>
      </c>
    </row>
    <row r="501" ht="15.75" customHeight="1">
      <c r="A501" s="9" t="s">
        <v>43469</v>
      </c>
      <c r="B501" s="9" t="s">
        <v>26</v>
      </c>
      <c r="C501" s="9" t="s">
        <v>39609</v>
      </c>
      <c r="D501" s="9" t="s">
        <v>43470</v>
      </c>
      <c r="E501" s="56">
        <v>44603.0</v>
      </c>
      <c r="F501" s="9" t="b">
        <v>1</v>
      </c>
      <c r="G501" s="9" t="s">
        <v>38801</v>
      </c>
      <c r="H501" s="9" t="s">
        <v>42560</v>
      </c>
      <c r="I501" s="9" t="b">
        <v>1</v>
      </c>
    </row>
    <row r="502" ht="15.75" customHeight="1">
      <c r="A502" s="9" t="s">
        <v>43471</v>
      </c>
      <c r="B502" s="9" t="s">
        <v>26</v>
      </c>
      <c r="C502" s="9" t="s">
        <v>39589</v>
      </c>
      <c r="D502" s="9" t="s">
        <v>43472</v>
      </c>
      <c r="E502" s="56">
        <v>44603.0</v>
      </c>
      <c r="F502" s="9" t="b">
        <v>1</v>
      </c>
      <c r="G502" s="9" t="s">
        <v>38801</v>
      </c>
      <c r="H502" s="9" t="s">
        <v>42560</v>
      </c>
      <c r="I502" s="9" t="b">
        <v>1</v>
      </c>
    </row>
    <row r="503" ht="15.75" customHeight="1">
      <c r="A503" s="9" t="s">
        <v>43473</v>
      </c>
      <c r="B503" s="9" t="s">
        <v>26</v>
      </c>
      <c r="C503" s="9" t="s">
        <v>39604</v>
      </c>
      <c r="D503" s="9" t="s">
        <v>43470</v>
      </c>
      <c r="E503" s="56">
        <v>44603.0</v>
      </c>
      <c r="F503" s="9" t="b">
        <v>1</v>
      </c>
      <c r="G503" s="9" t="s">
        <v>38801</v>
      </c>
      <c r="H503" s="9" t="s">
        <v>42560</v>
      </c>
      <c r="I503" s="9" t="b">
        <v>1</v>
      </c>
    </row>
    <row r="504" ht="15.75" customHeight="1">
      <c r="A504" s="9" t="s">
        <v>43474</v>
      </c>
      <c r="B504" s="9" t="s">
        <v>26</v>
      </c>
      <c r="C504" s="9" t="s">
        <v>39611</v>
      </c>
      <c r="D504" s="9" t="s">
        <v>43470</v>
      </c>
      <c r="E504" s="56">
        <v>44603.0</v>
      </c>
      <c r="F504" s="9" t="b">
        <v>1</v>
      </c>
      <c r="G504" s="9" t="s">
        <v>38801</v>
      </c>
      <c r="H504" s="9" t="s">
        <v>42560</v>
      </c>
      <c r="I504" s="9" t="b">
        <v>1</v>
      </c>
    </row>
    <row r="505" ht="15.75" customHeight="1">
      <c r="A505" s="9" t="s">
        <v>43475</v>
      </c>
      <c r="B505" s="9" t="s">
        <v>52</v>
      </c>
      <c r="C505" s="9" t="s">
        <v>39593</v>
      </c>
      <c r="D505" s="9" t="s">
        <v>43476</v>
      </c>
      <c r="E505" s="56">
        <v>44603.0</v>
      </c>
      <c r="F505" s="9" t="b">
        <v>1</v>
      </c>
      <c r="G505" s="9" t="s">
        <v>43228</v>
      </c>
      <c r="H505" s="9" t="s">
        <v>42576</v>
      </c>
    </row>
    <row r="506" ht="15.75" customHeight="1">
      <c r="A506" s="9" t="s">
        <v>43477</v>
      </c>
      <c r="B506" s="9" t="s">
        <v>52</v>
      </c>
      <c r="C506" s="9" t="s">
        <v>39591</v>
      </c>
      <c r="D506" s="9" t="s">
        <v>43478</v>
      </c>
      <c r="E506" s="56">
        <v>44603.0</v>
      </c>
      <c r="F506" s="9" t="b">
        <v>1</v>
      </c>
      <c r="G506" s="9" t="s">
        <v>43228</v>
      </c>
      <c r="H506" s="9" t="s">
        <v>42576</v>
      </c>
    </row>
    <row r="507" ht="15.75" customHeight="1">
      <c r="A507" s="9" t="s">
        <v>43479</v>
      </c>
      <c r="B507" s="9" t="s">
        <v>52</v>
      </c>
      <c r="C507" s="9" t="s">
        <v>39498</v>
      </c>
      <c r="D507" s="9" t="s">
        <v>43480</v>
      </c>
      <c r="E507" s="56">
        <v>44606.0</v>
      </c>
      <c r="F507" s="9" t="b">
        <v>1</v>
      </c>
      <c r="G507" s="9" t="s">
        <v>43228</v>
      </c>
      <c r="H507" s="9" t="s">
        <v>42576</v>
      </c>
    </row>
    <row r="508" ht="15.75" customHeight="1">
      <c r="A508" s="9" t="s">
        <v>43481</v>
      </c>
      <c r="B508" s="9" t="s">
        <v>52</v>
      </c>
      <c r="C508" s="9" t="s">
        <v>39179</v>
      </c>
      <c r="D508" s="9" t="s">
        <v>43482</v>
      </c>
      <c r="E508" s="56">
        <v>44606.0</v>
      </c>
      <c r="F508" s="9" t="b">
        <v>1</v>
      </c>
      <c r="G508" s="9" t="s">
        <v>43228</v>
      </c>
      <c r="H508" s="9" t="s">
        <v>42576</v>
      </c>
    </row>
    <row r="509" ht="15.75" customHeight="1">
      <c r="A509" s="9" t="s">
        <v>43483</v>
      </c>
      <c r="B509" s="9" t="s">
        <v>52</v>
      </c>
      <c r="C509" s="9" t="s">
        <v>39482</v>
      </c>
      <c r="D509" s="9" t="s">
        <v>43484</v>
      </c>
      <c r="E509" s="56">
        <v>44606.0</v>
      </c>
      <c r="F509" s="9" t="b">
        <v>1</v>
      </c>
      <c r="G509" s="9" t="s">
        <v>42573</v>
      </c>
      <c r="H509" s="9" t="s">
        <v>42576</v>
      </c>
    </row>
    <row r="510" ht="15.75" customHeight="1">
      <c r="A510" s="9" t="s">
        <v>43485</v>
      </c>
      <c r="B510" s="9" t="s">
        <v>52</v>
      </c>
      <c r="C510" s="9" t="s">
        <v>39482</v>
      </c>
      <c r="D510" s="9" t="s">
        <v>43486</v>
      </c>
      <c r="E510" s="56">
        <v>44606.0</v>
      </c>
      <c r="F510" s="9" t="b">
        <v>1</v>
      </c>
      <c r="G510" s="9" t="s">
        <v>38801</v>
      </c>
      <c r="H510" s="9" t="s">
        <v>42576</v>
      </c>
      <c r="I510" s="9" t="b">
        <v>1</v>
      </c>
    </row>
    <row r="511" ht="15.75" customHeight="1">
      <c r="A511" s="9" t="s">
        <v>43487</v>
      </c>
      <c r="B511" s="9" t="s">
        <v>52</v>
      </c>
      <c r="C511" s="9" t="s">
        <v>39341</v>
      </c>
      <c r="D511" s="9" t="s">
        <v>43488</v>
      </c>
      <c r="E511" s="56">
        <v>44607.0</v>
      </c>
      <c r="F511" s="9" t="b">
        <v>1</v>
      </c>
      <c r="G511" s="9" t="s">
        <v>43228</v>
      </c>
      <c r="H511" s="9" t="s">
        <v>42576</v>
      </c>
    </row>
    <row r="512" ht="15.75" customHeight="1">
      <c r="A512" s="9" t="s">
        <v>43489</v>
      </c>
      <c r="B512" s="9" t="s">
        <v>52</v>
      </c>
      <c r="C512" s="9" t="s">
        <v>39616</v>
      </c>
      <c r="D512" s="9" t="s">
        <v>43490</v>
      </c>
      <c r="E512" s="56">
        <v>44607.0</v>
      </c>
      <c r="F512" s="9" t="b">
        <v>1</v>
      </c>
      <c r="G512" s="9" t="s">
        <v>43228</v>
      </c>
      <c r="H512" s="9" t="s">
        <v>42576</v>
      </c>
    </row>
    <row r="513" ht="15.75" customHeight="1">
      <c r="A513" s="9" t="s">
        <v>43491</v>
      </c>
      <c r="B513" s="9" t="s">
        <v>26</v>
      </c>
      <c r="C513" s="9" t="s">
        <v>39619</v>
      </c>
      <c r="D513" s="9" t="s">
        <v>43492</v>
      </c>
      <c r="E513" s="56">
        <v>44608.0</v>
      </c>
      <c r="F513" s="9" t="b">
        <v>1</v>
      </c>
      <c r="G513" s="9" t="s">
        <v>38801</v>
      </c>
      <c r="H513" s="9" t="s">
        <v>42576</v>
      </c>
      <c r="I513" s="9" t="b">
        <v>1</v>
      </c>
    </row>
    <row r="514" ht="15.75" customHeight="1">
      <c r="A514" s="9" t="s">
        <v>43493</v>
      </c>
      <c r="B514" s="9" t="s">
        <v>52</v>
      </c>
      <c r="C514" s="9" t="s">
        <v>39472</v>
      </c>
      <c r="D514" s="9" t="s">
        <v>43494</v>
      </c>
      <c r="E514" s="56">
        <v>44608.0</v>
      </c>
      <c r="F514" s="9" t="b">
        <v>1</v>
      </c>
      <c r="G514" s="9" t="s">
        <v>38801</v>
      </c>
      <c r="H514" s="9" t="s">
        <v>42576</v>
      </c>
      <c r="I514" s="9" t="b">
        <v>1</v>
      </c>
    </row>
    <row r="515" ht="15.75" customHeight="1">
      <c r="A515" s="9" t="s">
        <v>43495</v>
      </c>
      <c r="B515" s="9" t="s">
        <v>52</v>
      </c>
      <c r="C515" s="9" t="s">
        <v>39486</v>
      </c>
      <c r="D515" s="9" t="s">
        <v>43496</v>
      </c>
      <c r="E515" s="56">
        <v>44609.0</v>
      </c>
      <c r="F515" s="9" t="b">
        <v>1</v>
      </c>
      <c r="G515" s="9" t="s">
        <v>38801</v>
      </c>
      <c r="H515" s="9" t="s">
        <v>42576</v>
      </c>
      <c r="I515" s="9" t="b">
        <v>1</v>
      </c>
    </row>
    <row r="516" ht="15.75" customHeight="1">
      <c r="A516" s="9" t="s">
        <v>43497</v>
      </c>
      <c r="B516" s="9" t="s">
        <v>52</v>
      </c>
      <c r="C516" s="9" t="s">
        <v>39627</v>
      </c>
      <c r="D516" s="9" t="s">
        <v>43498</v>
      </c>
      <c r="E516" s="56">
        <v>44610.0</v>
      </c>
      <c r="F516" s="9" t="b">
        <v>1</v>
      </c>
      <c r="G516" s="9" t="s">
        <v>43228</v>
      </c>
      <c r="H516" s="9" t="s">
        <v>42576</v>
      </c>
    </row>
    <row r="517" ht="15.75" customHeight="1">
      <c r="A517" s="9" t="s">
        <v>43499</v>
      </c>
      <c r="B517" s="9" t="s">
        <v>76</v>
      </c>
      <c r="C517" s="9" t="s">
        <v>39462</v>
      </c>
      <c r="D517" s="9" t="s">
        <v>43500</v>
      </c>
      <c r="E517" s="56">
        <v>44611.0</v>
      </c>
      <c r="F517" s="9" t="b">
        <v>1</v>
      </c>
      <c r="G517" s="9" t="s">
        <v>38801</v>
      </c>
      <c r="H517" s="9" t="s">
        <v>42576</v>
      </c>
      <c r="I517" s="9" t="b">
        <v>1</v>
      </c>
    </row>
    <row r="518" ht="15.75" customHeight="1">
      <c r="A518" s="9" t="s">
        <v>43501</v>
      </c>
      <c r="B518" s="9" t="s">
        <v>52</v>
      </c>
      <c r="C518" s="9" t="s">
        <v>39629</v>
      </c>
      <c r="D518" s="9" t="s">
        <v>43502</v>
      </c>
      <c r="E518" s="56">
        <v>44614.0</v>
      </c>
      <c r="F518" s="9" t="b">
        <v>1</v>
      </c>
      <c r="G518" s="9" t="s">
        <v>42585</v>
      </c>
      <c r="H518" s="9" t="s">
        <v>42576</v>
      </c>
    </row>
    <row r="519" ht="15.75" customHeight="1">
      <c r="A519" s="9" t="s">
        <v>43503</v>
      </c>
      <c r="B519" s="9" t="s">
        <v>52</v>
      </c>
      <c r="C519" s="9" t="s">
        <v>39631</v>
      </c>
      <c r="D519" s="9" t="s">
        <v>43504</v>
      </c>
      <c r="E519" s="56">
        <v>44614.0</v>
      </c>
      <c r="F519" s="9" t="b">
        <v>1</v>
      </c>
      <c r="G519" s="9" t="s">
        <v>43228</v>
      </c>
      <c r="H519" s="9" t="s">
        <v>42560</v>
      </c>
    </row>
    <row r="520" ht="15.75" customHeight="1">
      <c r="A520" s="9" t="s">
        <v>43505</v>
      </c>
      <c r="B520" s="9" t="s">
        <v>76</v>
      </c>
      <c r="C520" s="9" t="s">
        <v>39396</v>
      </c>
      <c r="D520" s="9" t="s">
        <v>43506</v>
      </c>
      <c r="E520" s="56">
        <v>44614.0</v>
      </c>
      <c r="F520" s="9" t="b">
        <v>1</v>
      </c>
      <c r="G520" s="9" t="s">
        <v>38801</v>
      </c>
      <c r="H520" s="9" t="s">
        <v>42560</v>
      </c>
      <c r="I520" s="9" t="b">
        <v>1</v>
      </c>
    </row>
    <row r="521" ht="15.75" customHeight="1">
      <c r="A521" s="9" t="s">
        <v>43507</v>
      </c>
      <c r="B521" s="9" t="s">
        <v>52</v>
      </c>
      <c r="C521" s="52" t="s">
        <v>38939</v>
      </c>
      <c r="D521" s="9" t="s">
        <v>43508</v>
      </c>
      <c r="E521" s="56">
        <v>44614.0</v>
      </c>
      <c r="F521" s="9" t="b">
        <v>1</v>
      </c>
      <c r="G521" s="9" t="s">
        <v>42585</v>
      </c>
      <c r="H521" s="9" t="s">
        <v>38800</v>
      </c>
    </row>
    <row r="522" ht="15.75" customHeight="1">
      <c r="A522" s="9" t="s">
        <v>43509</v>
      </c>
      <c r="B522" s="9" t="s">
        <v>52</v>
      </c>
      <c r="C522" s="9" t="s">
        <v>39406</v>
      </c>
      <c r="D522" s="9" t="s">
        <v>43510</v>
      </c>
      <c r="E522" s="56">
        <v>44615.0</v>
      </c>
      <c r="F522" s="9" t="b">
        <v>1</v>
      </c>
      <c r="G522" s="9" t="s">
        <v>38801</v>
      </c>
      <c r="H522" s="9" t="s">
        <v>42576</v>
      </c>
      <c r="I522" s="9" t="b">
        <v>1</v>
      </c>
    </row>
    <row r="523" ht="15.75" customHeight="1">
      <c r="A523" s="9" t="s">
        <v>43511</v>
      </c>
      <c r="B523" s="9" t="s">
        <v>52</v>
      </c>
      <c r="C523" s="9" t="s">
        <v>39426</v>
      </c>
      <c r="D523" s="9" t="s">
        <v>43512</v>
      </c>
      <c r="E523" s="56">
        <v>44615.0</v>
      </c>
      <c r="F523" s="9" t="b">
        <v>1</v>
      </c>
      <c r="G523" s="9" t="s">
        <v>38801</v>
      </c>
      <c r="H523" s="9" t="s">
        <v>42576</v>
      </c>
      <c r="I523" s="9" t="b">
        <v>1</v>
      </c>
    </row>
    <row r="524" ht="15.75" customHeight="1">
      <c r="A524" s="9" t="s">
        <v>43513</v>
      </c>
      <c r="B524" s="9" t="s">
        <v>52</v>
      </c>
      <c r="C524" s="9" t="s">
        <v>39644</v>
      </c>
      <c r="D524" s="9" t="s">
        <v>43514</v>
      </c>
      <c r="E524" s="56">
        <v>44624.0</v>
      </c>
      <c r="F524" s="9" t="b">
        <v>1</v>
      </c>
      <c r="G524" s="9" t="s">
        <v>43228</v>
      </c>
      <c r="H524" s="9" t="s">
        <v>42576</v>
      </c>
    </row>
    <row r="525" ht="15.75" customHeight="1">
      <c r="A525" s="9" t="s">
        <v>43515</v>
      </c>
      <c r="B525" s="9" t="s">
        <v>26</v>
      </c>
      <c r="C525" s="9" t="s">
        <v>39213</v>
      </c>
      <c r="D525" s="9" t="s">
        <v>43516</v>
      </c>
      <c r="E525" s="56">
        <v>44628.0</v>
      </c>
      <c r="F525" s="9" t="b">
        <v>1</v>
      </c>
      <c r="G525" s="9" t="s">
        <v>43228</v>
      </c>
      <c r="H525" s="9" t="s">
        <v>42576</v>
      </c>
    </row>
    <row r="526" ht="15.75" customHeight="1">
      <c r="A526" s="9" t="s">
        <v>43517</v>
      </c>
      <c r="B526" s="9" t="s">
        <v>52</v>
      </c>
      <c r="C526" s="9" t="s">
        <v>39644</v>
      </c>
      <c r="D526" s="9" t="s">
        <v>43518</v>
      </c>
      <c r="E526" s="56">
        <v>44628.0</v>
      </c>
      <c r="F526" s="9" t="b">
        <v>1</v>
      </c>
      <c r="G526" s="9" t="s">
        <v>38801</v>
      </c>
      <c r="H526" s="9" t="s">
        <v>42576</v>
      </c>
      <c r="I526" s="9" t="b">
        <v>1</v>
      </c>
    </row>
    <row r="527" ht="15.75" customHeight="1">
      <c r="A527" s="9" t="s">
        <v>43519</v>
      </c>
      <c r="B527" s="9" t="s">
        <v>26</v>
      </c>
      <c r="C527" s="9" t="s">
        <v>39571</v>
      </c>
      <c r="D527" s="9" t="s">
        <v>43520</v>
      </c>
      <c r="E527" s="56">
        <v>44629.0</v>
      </c>
      <c r="F527" s="9" t="b">
        <v>1</v>
      </c>
      <c r="G527" s="9" t="s">
        <v>38801</v>
      </c>
      <c r="H527" s="9" t="s">
        <v>42576</v>
      </c>
      <c r="I527" s="9" t="b">
        <v>1</v>
      </c>
    </row>
    <row r="528" ht="15.75" customHeight="1">
      <c r="A528" s="9" t="s">
        <v>43521</v>
      </c>
      <c r="B528" s="9" t="s">
        <v>26</v>
      </c>
      <c r="C528" s="9" t="s">
        <v>39617</v>
      </c>
      <c r="D528" s="9" t="s">
        <v>43522</v>
      </c>
      <c r="E528" s="56">
        <v>44629.0</v>
      </c>
      <c r="F528" s="9" t="b">
        <v>1</v>
      </c>
      <c r="G528" s="9" t="s">
        <v>38801</v>
      </c>
      <c r="H528" s="9" t="s">
        <v>42560</v>
      </c>
      <c r="I528" s="9" t="b">
        <v>1</v>
      </c>
    </row>
    <row r="529" ht="15.75" customHeight="1">
      <c r="A529" s="9" t="s">
        <v>43523</v>
      </c>
      <c r="B529" s="9" t="s">
        <v>26</v>
      </c>
      <c r="C529" s="9" t="s">
        <v>39621</v>
      </c>
      <c r="D529" s="9" t="s">
        <v>43524</v>
      </c>
      <c r="E529" s="56">
        <v>44629.0</v>
      </c>
      <c r="F529" s="9" t="b">
        <v>1</v>
      </c>
      <c r="G529" s="9" t="s">
        <v>42573</v>
      </c>
      <c r="H529" s="9" t="s">
        <v>42560</v>
      </c>
    </row>
    <row r="530" ht="15.75" customHeight="1">
      <c r="A530" s="9" t="s">
        <v>43525</v>
      </c>
      <c r="B530" s="9" t="s">
        <v>26</v>
      </c>
      <c r="C530" s="9" t="s">
        <v>39638</v>
      </c>
      <c r="D530" s="9" t="s">
        <v>43526</v>
      </c>
      <c r="E530" s="56">
        <v>44629.0</v>
      </c>
      <c r="F530" s="9" t="b">
        <v>1</v>
      </c>
      <c r="G530" s="9" t="s">
        <v>38801</v>
      </c>
      <c r="H530" s="9" t="s">
        <v>42560</v>
      </c>
      <c r="I530" s="9" t="b">
        <v>1</v>
      </c>
    </row>
    <row r="531" ht="15.75" customHeight="1">
      <c r="A531" s="9" t="s">
        <v>43527</v>
      </c>
      <c r="B531" s="9" t="s">
        <v>26</v>
      </c>
      <c r="C531" s="9" t="s">
        <v>39629</v>
      </c>
      <c r="D531" s="9" t="s">
        <v>43528</v>
      </c>
      <c r="E531" s="56">
        <v>44629.0</v>
      </c>
      <c r="F531" s="9" t="b">
        <v>1</v>
      </c>
      <c r="G531" s="9" t="s">
        <v>38801</v>
      </c>
      <c r="H531" s="9" t="s">
        <v>42576</v>
      </c>
      <c r="I531" s="9" t="b">
        <v>1</v>
      </c>
    </row>
    <row r="532" ht="15.75" customHeight="1">
      <c r="A532" s="9" t="s">
        <v>43529</v>
      </c>
      <c r="B532" s="9" t="s">
        <v>26</v>
      </c>
      <c r="C532" s="9" t="s">
        <v>39636</v>
      </c>
      <c r="D532" s="9" t="s">
        <v>43530</v>
      </c>
      <c r="E532" s="56">
        <v>44629.0</v>
      </c>
      <c r="F532" s="9" t="b">
        <v>1</v>
      </c>
      <c r="G532" s="9" t="s">
        <v>38801</v>
      </c>
      <c r="H532" s="9" t="s">
        <v>42576</v>
      </c>
      <c r="I532" s="9" t="b">
        <v>1</v>
      </c>
    </row>
    <row r="533" ht="15.75" customHeight="1">
      <c r="A533" s="9" t="s">
        <v>43531</v>
      </c>
      <c r="B533" s="9" t="s">
        <v>26</v>
      </c>
      <c r="C533" s="9" t="s">
        <v>39623</v>
      </c>
      <c r="D533" s="9" t="s">
        <v>43532</v>
      </c>
      <c r="E533" s="56">
        <v>44629.0</v>
      </c>
      <c r="F533" s="9" t="b">
        <v>1</v>
      </c>
      <c r="G533" s="9" t="s">
        <v>38801</v>
      </c>
      <c r="H533" s="9" t="s">
        <v>42560</v>
      </c>
      <c r="I533" s="9" t="b">
        <v>1</v>
      </c>
    </row>
    <row r="534" ht="15.75" customHeight="1">
      <c r="A534" s="9" t="s">
        <v>43533</v>
      </c>
      <c r="B534" s="9" t="s">
        <v>52</v>
      </c>
      <c r="C534" s="9" t="s">
        <v>39646</v>
      </c>
      <c r="D534" s="9" t="s">
        <v>43534</v>
      </c>
      <c r="E534" s="56">
        <v>44630.0</v>
      </c>
      <c r="F534" s="9" t="b">
        <v>1</v>
      </c>
      <c r="G534" s="9" t="s">
        <v>43228</v>
      </c>
      <c r="H534" s="9" t="s">
        <v>42576</v>
      </c>
    </row>
    <row r="535" ht="15.75" customHeight="1">
      <c r="A535" s="9" t="s">
        <v>43535</v>
      </c>
      <c r="B535" s="9" t="s">
        <v>26</v>
      </c>
      <c r="C535" s="9" t="s">
        <v>39621</v>
      </c>
      <c r="D535" s="9" t="s">
        <v>43536</v>
      </c>
      <c r="E535" s="56">
        <v>44631.0</v>
      </c>
      <c r="F535" s="9" t="b">
        <v>1</v>
      </c>
      <c r="G535" s="9" t="s">
        <v>43228</v>
      </c>
      <c r="H535" s="9" t="s">
        <v>42576</v>
      </c>
    </row>
    <row r="536" ht="15.75" customHeight="1">
      <c r="A536" s="9" t="s">
        <v>43537</v>
      </c>
      <c r="B536" s="9" t="s">
        <v>26</v>
      </c>
      <c r="C536" s="9" t="s">
        <v>39614</v>
      </c>
      <c r="D536" s="52" t="s">
        <v>43538</v>
      </c>
      <c r="E536" s="56">
        <v>44631.0</v>
      </c>
      <c r="F536" s="9" t="b">
        <v>1</v>
      </c>
      <c r="G536" s="9" t="s">
        <v>42573</v>
      </c>
      <c r="H536" s="9" t="s">
        <v>42576</v>
      </c>
    </row>
    <row r="537" ht="15.75" customHeight="1">
      <c r="A537" s="9" t="s">
        <v>43539</v>
      </c>
      <c r="B537" s="9" t="s">
        <v>52</v>
      </c>
      <c r="C537" s="9" t="s">
        <v>39648</v>
      </c>
      <c r="D537" s="9" t="s">
        <v>43540</v>
      </c>
      <c r="E537" s="56">
        <v>44634.0</v>
      </c>
      <c r="F537" s="9" t="b">
        <v>1</v>
      </c>
      <c r="G537" s="9" t="s">
        <v>43228</v>
      </c>
      <c r="H537" s="9" t="s">
        <v>42576</v>
      </c>
    </row>
    <row r="538" ht="15.75" customHeight="1">
      <c r="A538" s="9" t="s">
        <v>43541</v>
      </c>
      <c r="B538" s="9" t="s">
        <v>52</v>
      </c>
      <c r="C538" s="9" t="s">
        <v>39137</v>
      </c>
      <c r="D538" s="9" t="s">
        <v>43542</v>
      </c>
      <c r="E538" s="56">
        <v>44634.0</v>
      </c>
      <c r="F538" s="9" t="b">
        <v>1</v>
      </c>
      <c r="G538" s="9" t="s">
        <v>43228</v>
      </c>
      <c r="H538" s="9" t="s">
        <v>42576</v>
      </c>
    </row>
    <row r="539" ht="15.75" customHeight="1">
      <c r="A539" s="9" t="s">
        <v>43543</v>
      </c>
      <c r="B539" s="9" t="s">
        <v>52</v>
      </c>
      <c r="C539" s="9" t="s">
        <v>39650</v>
      </c>
      <c r="D539" s="9" t="s">
        <v>43544</v>
      </c>
      <c r="E539" s="56">
        <v>44634.0</v>
      </c>
      <c r="F539" s="9" t="b">
        <v>1</v>
      </c>
      <c r="G539" s="9" t="s">
        <v>43228</v>
      </c>
      <c r="H539" s="9" t="s">
        <v>42576</v>
      </c>
    </row>
    <row r="540" ht="15.75" customHeight="1">
      <c r="A540" s="9" t="s">
        <v>43545</v>
      </c>
      <c r="B540" s="9" t="s">
        <v>101</v>
      </c>
      <c r="C540" s="9" t="s">
        <v>39651</v>
      </c>
      <c r="D540" s="9" t="s">
        <v>43546</v>
      </c>
      <c r="E540" s="56">
        <v>44634.0</v>
      </c>
      <c r="F540" s="9" t="b">
        <v>1</v>
      </c>
      <c r="G540" s="9" t="s">
        <v>42585</v>
      </c>
      <c r="H540" s="9" t="s">
        <v>42560</v>
      </c>
    </row>
    <row r="541" ht="15.75" customHeight="1">
      <c r="A541" s="9" t="s">
        <v>43547</v>
      </c>
      <c r="B541" s="9" t="s">
        <v>52</v>
      </c>
      <c r="C541" s="9" t="s">
        <v>39207</v>
      </c>
      <c r="D541" s="9" t="s">
        <v>43548</v>
      </c>
      <c r="E541" s="56">
        <v>44635.0</v>
      </c>
      <c r="F541" s="9" t="b">
        <v>1</v>
      </c>
      <c r="G541" s="9" t="s">
        <v>38801</v>
      </c>
      <c r="H541" s="9" t="s">
        <v>42576</v>
      </c>
      <c r="I541" s="9" t="b">
        <v>1</v>
      </c>
    </row>
    <row r="542" ht="15.75" customHeight="1">
      <c r="A542" s="9" t="s">
        <v>43549</v>
      </c>
      <c r="B542" s="9" t="s">
        <v>52</v>
      </c>
      <c r="C542" s="9" t="s">
        <v>39653</v>
      </c>
      <c r="D542" s="9" t="s">
        <v>43550</v>
      </c>
      <c r="E542" s="56">
        <v>44636.0</v>
      </c>
      <c r="F542" s="9" t="b">
        <v>1</v>
      </c>
      <c r="G542" s="9" t="s">
        <v>43228</v>
      </c>
      <c r="H542" s="9" t="s">
        <v>42576</v>
      </c>
    </row>
    <row r="543" ht="15.75" customHeight="1">
      <c r="A543" s="9" t="s">
        <v>43551</v>
      </c>
      <c r="B543" s="9" t="s">
        <v>52</v>
      </c>
      <c r="C543" s="9" t="s">
        <v>39654</v>
      </c>
      <c r="D543" s="9" t="s">
        <v>43552</v>
      </c>
      <c r="E543" s="56">
        <v>44636.0</v>
      </c>
      <c r="F543" s="9" t="b">
        <v>1</v>
      </c>
      <c r="G543" s="9" t="s">
        <v>43228</v>
      </c>
      <c r="H543" s="9" t="s">
        <v>42576</v>
      </c>
    </row>
    <row r="544" ht="15.75" customHeight="1">
      <c r="A544" s="9" t="s">
        <v>43553</v>
      </c>
      <c r="B544" s="9" t="s">
        <v>52</v>
      </c>
      <c r="C544" s="9" t="s">
        <v>39657</v>
      </c>
      <c r="D544" s="9" t="s">
        <v>43554</v>
      </c>
      <c r="E544" s="56">
        <v>44641.0</v>
      </c>
      <c r="F544" s="9" t="b">
        <v>1</v>
      </c>
      <c r="G544" s="9" t="s">
        <v>43228</v>
      </c>
      <c r="H544" s="9" t="s">
        <v>42576</v>
      </c>
    </row>
    <row r="545" ht="15.75" customHeight="1">
      <c r="A545" s="9" t="s">
        <v>43555</v>
      </c>
      <c r="B545" s="9" t="s">
        <v>52</v>
      </c>
      <c r="C545" s="9" t="s">
        <v>39661</v>
      </c>
      <c r="D545" s="9" t="s">
        <v>43556</v>
      </c>
      <c r="E545" s="56">
        <v>44642.0</v>
      </c>
      <c r="F545" s="9" t="b">
        <v>1</v>
      </c>
      <c r="G545" s="9" t="s">
        <v>43228</v>
      </c>
      <c r="H545" s="9" t="s">
        <v>42576</v>
      </c>
    </row>
    <row r="546" ht="15.75" customHeight="1">
      <c r="A546" s="9" t="s">
        <v>43557</v>
      </c>
      <c r="B546" s="9" t="s">
        <v>52</v>
      </c>
      <c r="C546" s="9" t="s">
        <v>39662</v>
      </c>
      <c r="D546" s="9" t="s">
        <v>43558</v>
      </c>
      <c r="E546" s="56">
        <v>44643.0</v>
      </c>
      <c r="F546" s="9" t="b">
        <v>1</v>
      </c>
      <c r="G546" s="9" t="s">
        <v>43228</v>
      </c>
      <c r="H546" s="9" t="s">
        <v>42576</v>
      </c>
    </row>
    <row r="547" ht="15.75" customHeight="1">
      <c r="A547" s="9" t="s">
        <v>43559</v>
      </c>
      <c r="B547" s="9" t="s">
        <v>52</v>
      </c>
      <c r="C547" s="9" t="s">
        <v>39664</v>
      </c>
      <c r="D547" s="9" t="s">
        <v>43560</v>
      </c>
      <c r="E547" s="56">
        <v>44643.0</v>
      </c>
      <c r="F547" s="9" t="b">
        <v>1</v>
      </c>
      <c r="G547" s="9" t="s">
        <v>38801</v>
      </c>
      <c r="H547" s="9" t="s">
        <v>42576</v>
      </c>
      <c r="I547" s="9" t="b">
        <v>1</v>
      </c>
    </row>
    <row r="548" ht="15.75" customHeight="1">
      <c r="A548" s="9" t="s">
        <v>43561</v>
      </c>
      <c r="B548" s="9" t="s">
        <v>26</v>
      </c>
      <c r="C548" s="9" t="s">
        <v>39655</v>
      </c>
      <c r="D548" s="9" t="s">
        <v>43562</v>
      </c>
      <c r="E548" s="56">
        <v>44651.0</v>
      </c>
      <c r="F548" s="9" t="b">
        <v>1</v>
      </c>
      <c r="G548" s="9" t="s">
        <v>43228</v>
      </c>
      <c r="H548" s="9" t="s">
        <v>42576</v>
      </c>
    </row>
    <row r="549" ht="15.75" customHeight="1">
      <c r="A549" s="9" t="s">
        <v>43563</v>
      </c>
      <c r="B549" s="9" t="s">
        <v>26</v>
      </c>
      <c r="C549" s="9" t="s">
        <v>39549</v>
      </c>
      <c r="D549" s="9" t="s">
        <v>43564</v>
      </c>
      <c r="E549" s="56">
        <v>44651.0</v>
      </c>
      <c r="F549" s="9" t="b">
        <v>1</v>
      </c>
      <c r="G549" s="9" t="s">
        <v>38801</v>
      </c>
      <c r="H549" s="9" t="s">
        <v>42560</v>
      </c>
      <c r="I549" s="9" t="b">
        <v>1</v>
      </c>
    </row>
    <row r="550" ht="15.75" customHeight="1">
      <c r="A550" s="9" t="s">
        <v>43565</v>
      </c>
      <c r="B550" s="9" t="s">
        <v>26</v>
      </c>
      <c r="C550" s="9" t="s">
        <v>39566</v>
      </c>
      <c r="D550" s="9" t="s">
        <v>43566</v>
      </c>
      <c r="E550" s="56">
        <v>44651.0</v>
      </c>
      <c r="F550" s="9" t="b">
        <v>1</v>
      </c>
      <c r="G550" s="9" t="s">
        <v>38801</v>
      </c>
      <c r="H550" s="9" t="s">
        <v>42560</v>
      </c>
      <c r="I550" s="9" t="b">
        <v>1</v>
      </c>
    </row>
    <row r="551" ht="15.75" customHeight="1">
      <c r="A551" s="9" t="s">
        <v>43567</v>
      </c>
      <c r="B551" s="9" t="s">
        <v>26</v>
      </c>
      <c r="C551" s="9" t="s">
        <v>39600</v>
      </c>
      <c r="D551" s="9" t="s">
        <v>43568</v>
      </c>
      <c r="E551" s="56">
        <v>44651.0</v>
      </c>
      <c r="F551" s="9" t="b">
        <v>1</v>
      </c>
      <c r="G551" s="9" t="s">
        <v>42573</v>
      </c>
      <c r="H551" s="9" t="s">
        <v>42560</v>
      </c>
      <c r="I551" s="9" t="b">
        <v>1</v>
      </c>
    </row>
    <row r="552" ht="15.75" customHeight="1">
      <c r="A552" s="9" t="s">
        <v>43569</v>
      </c>
      <c r="B552" s="9" t="s">
        <v>26</v>
      </c>
      <c r="C552" s="9" t="s">
        <v>39006</v>
      </c>
      <c r="D552" s="9" t="s">
        <v>43570</v>
      </c>
      <c r="E552" s="56">
        <v>44652.0</v>
      </c>
      <c r="F552" s="9" t="b">
        <v>1</v>
      </c>
      <c r="G552" s="9" t="s">
        <v>42632</v>
      </c>
      <c r="H552" s="9" t="s">
        <v>42560</v>
      </c>
    </row>
    <row r="553" ht="15.75" customHeight="1">
      <c r="A553" s="9" t="s">
        <v>43571</v>
      </c>
      <c r="B553" s="9" t="s">
        <v>26</v>
      </c>
      <c r="C553" s="9" t="s">
        <v>39345</v>
      </c>
      <c r="D553" s="9" t="s">
        <v>43572</v>
      </c>
      <c r="E553" s="56">
        <v>44652.0</v>
      </c>
      <c r="F553" s="9" t="b">
        <v>1</v>
      </c>
      <c r="G553" s="9" t="s">
        <v>42632</v>
      </c>
      <c r="H553" s="9" t="s">
        <v>42560</v>
      </c>
    </row>
    <row r="554" ht="15.75" customHeight="1">
      <c r="A554" s="9" t="s">
        <v>43573</v>
      </c>
      <c r="B554" s="9" t="s">
        <v>26</v>
      </c>
      <c r="C554" s="9" t="s">
        <v>39347</v>
      </c>
      <c r="D554" s="9" t="s">
        <v>43572</v>
      </c>
      <c r="E554" s="56">
        <v>44652.0</v>
      </c>
      <c r="F554" s="9" t="b">
        <v>1</v>
      </c>
      <c r="G554" s="9" t="s">
        <v>42632</v>
      </c>
      <c r="H554" s="9" t="s">
        <v>42560</v>
      </c>
    </row>
    <row r="555" ht="15.75" customHeight="1">
      <c r="A555" s="9" t="s">
        <v>43574</v>
      </c>
      <c r="B555" s="9" t="s">
        <v>26</v>
      </c>
      <c r="C555" s="9" t="s">
        <v>39598</v>
      </c>
      <c r="D555" s="9" t="s">
        <v>43575</v>
      </c>
      <c r="E555" s="56">
        <v>44652.0</v>
      </c>
      <c r="F555" s="9" t="b">
        <v>1</v>
      </c>
      <c r="G555" s="9" t="s">
        <v>38801</v>
      </c>
      <c r="H555" s="9" t="s">
        <v>42560</v>
      </c>
      <c r="I555" s="9" t="b">
        <v>1</v>
      </c>
    </row>
    <row r="556" ht="15.75" customHeight="1">
      <c r="A556" s="9" t="s">
        <v>43576</v>
      </c>
      <c r="B556" s="9" t="s">
        <v>26</v>
      </c>
      <c r="C556" s="9" t="s">
        <v>39594</v>
      </c>
      <c r="D556" s="9" t="s">
        <v>43577</v>
      </c>
      <c r="E556" s="56">
        <v>44652.0</v>
      </c>
      <c r="F556" s="9" t="b">
        <v>1</v>
      </c>
      <c r="G556" s="9" t="s">
        <v>42573</v>
      </c>
      <c r="H556" s="9" t="s">
        <v>42560</v>
      </c>
    </row>
    <row r="557" ht="15.75" customHeight="1">
      <c r="A557" s="9" t="s">
        <v>43578</v>
      </c>
      <c r="B557" s="9" t="s">
        <v>26</v>
      </c>
      <c r="C557" s="9" t="s">
        <v>39651</v>
      </c>
      <c r="D557" s="9" t="s">
        <v>43579</v>
      </c>
      <c r="E557" s="56">
        <v>44652.0</v>
      </c>
      <c r="F557" s="9" t="b">
        <v>1</v>
      </c>
      <c r="G557" s="9" t="s">
        <v>38801</v>
      </c>
      <c r="H557" s="9" t="s">
        <v>42560</v>
      </c>
      <c r="I557" s="9" t="b">
        <v>1</v>
      </c>
    </row>
    <row r="558" ht="15.75" customHeight="1">
      <c r="A558" s="9" t="s">
        <v>43580</v>
      </c>
      <c r="B558" s="9" t="s">
        <v>26</v>
      </c>
      <c r="C558" s="9" t="s">
        <v>39404</v>
      </c>
      <c r="D558" s="9" t="s">
        <v>43581</v>
      </c>
      <c r="E558" s="56">
        <v>44656.0</v>
      </c>
      <c r="F558" s="9" t="b">
        <v>1</v>
      </c>
      <c r="G558" s="9" t="s">
        <v>38801</v>
      </c>
      <c r="H558" s="9" t="s">
        <v>42560</v>
      </c>
      <c r="I558" s="9" t="b">
        <v>1</v>
      </c>
    </row>
    <row r="559" ht="15.75" customHeight="1">
      <c r="A559" s="9" t="s">
        <v>43582</v>
      </c>
      <c r="B559" s="9" t="s">
        <v>26</v>
      </c>
      <c r="C559" s="9" t="s">
        <v>39509</v>
      </c>
      <c r="D559" s="9" t="s">
        <v>43581</v>
      </c>
      <c r="E559" s="56">
        <v>44656.0</v>
      </c>
      <c r="F559" s="9" t="b">
        <v>1</v>
      </c>
      <c r="G559" s="9" t="s">
        <v>38801</v>
      </c>
      <c r="H559" s="9" t="s">
        <v>42560</v>
      </c>
      <c r="I559" s="9" t="b">
        <v>1</v>
      </c>
    </row>
    <row r="560" ht="15.75" customHeight="1">
      <c r="A560" s="9" t="s">
        <v>43583</v>
      </c>
      <c r="B560" s="9" t="s">
        <v>26</v>
      </c>
      <c r="C560" s="9" t="s">
        <v>39440</v>
      </c>
      <c r="D560" s="9" t="s">
        <v>43584</v>
      </c>
      <c r="E560" s="56">
        <v>44656.0</v>
      </c>
      <c r="F560" s="9" t="b">
        <v>1</v>
      </c>
      <c r="G560" s="9" t="s">
        <v>38801</v>
      </c>
      <c r="H560" s="9" t="s">
        <v>42560</v>
      </c>
      <c r="I560" s="9" t="b">
        <v>1</v>
      </c>
    </row>
    <row r="561" ht="15.75" customHeight="1">
      <c r="A561" s="9" t="s">
        <v>43585</v>
      </c>
      <c r="B561" s="9" t="s">
        <v>26</v>
      </c>
      <c r="C561" s="52" t="s">
        <v>39527</v>
      </c>
      <c r="D561" s="9" t="s">
        <v>43586</v>
      </c>
      <c r="E561" s="56">
        <v>44656.0</v>
      </c>
      <c r="F561" s="9" t="b">
        <v>1</v>
      </c>
      <c r="G561" s="9" t="s">
        <v>38801</v>
      </c>
      <c r="H561" s="9" t="s">
        <v>42560</v>
      </c>
      <c r="I561" s="9" t="b">
        <v>1</v>
      </c>
    </row>
    <row r="562" ht="15.75" customHeight="1">
      <c r="A562" s="9" t="s">
        <v>43587</v>
      </c>
      <c r="B562" s="9" t="s">
        <v>26</v>
      </c>
      <c r="C562" s="9" t="s">
        <v>39470</v>
      </c>
      <c r="D562" s="9" t="s">
        <v>43588</v>
      </c>
      <c r="E562" s="56">
        <v>44656.0</v>
      </c>
      <c r="F562" s="9" t="b">
        <v>1</v>
      </c>
      <c r="G562" s="9" t="s">
        <v>38801</v>
      </c>
      <c r="H562" s="9" t="s">
        <v>42560</v>
      </c>
      <c r="I562" s="9" t="b">
        <v>1</v>
      </c>
    </row>
    <row r="563" ht="15.75" customHeight="1">
      <c r="A563" s="9" t="s">
        <v>43589</v>
      </c>
      <c r="B563" s="9" t="s">
        <v>26</v>
      </c>
      <c r="C563" s="9" t="s">
        <v>39006</v>
      </c>
      <c r="D563" s="9" t="s">
        <v>43590</v>
      </c>
      <c r="E563" s="56">
        <v>44656.0</v>
      </c>
      <c r="F563" s="9" t="b">
        <v>1</v>
      </c>
      <c r="G563" s="9" t="s">
        <v>38801</v>
      </c>
      <c r="H563" s="9" t="s">
        <v>42560</v>
      </c>
      <c r="I563" s="9" t="b">
        <v>1</v>
      </c>
    </row>
    <row r="564" ht="15.75" customHeight="1">
      <c r="A564" s="9" t="s">
        <v>43591</v>
      </c>
      <c r="B564" s="9" t="s">
        <v>26</v>
      </c>
      <c r="C564" s="9" t="s">
        <v>39672</v>
      </c>
      <c r="D564" s="9" t="s">
        <v>43592</v>
      </c>
      <c r="E564" s="56">
        <v>44657.0</v>
      </c>
      <c r="F564" s="9" t="b">
        <v>1</v>
      </c>
      <c r="G564" s="9" t="s">
        <v>38801</v>
      </c>
      <c r="H564" s="9" t="s">
        <v>42576</v>
      </c>
      <c r="I564" s="9" t="b">
        <v>1</v>
      </c>
    </row>
    <row r="565" ht="15.75" customHeight="1">
      <c r="A565" s="9" t="s">
        <v>43593</v>
      </c>
      <c r="B565" s="9" t="s">
        <v>26</v>
      </c>
      <c r="C565" s="9" t="s">
        <v>39670</v>
      </c>
      <c r="D565" s="9" t="s">
        <v>43594</v>
      </c>
      <c r="E565" s="56">
        <v>44657.0</v>
      </c>
      <c r="F565" s="9" t="b">
        <v>1</v>
      </c>
      <c r="G565" s="9" t="s">
        <v>43228</v>
      </c>
      <c r="H565" s="9" t="s">
        <v>42560</v>
      </c>
    </row>
    <row r="566" ht="15.75" customHeight="1">
      <c r="A566" s="9" t="s">
        <v>43595</v>
      </c>
      <c r="B566" s="9" t="s">
        <v>52</v>
      </c>
      <c r="C566" s="9" t="s">
        <v>39674</v>
      </c>
      <c r="D566" s="9" t="s">
        <v>43596</v>
      </c>
      <c r="E566" s="56">
        <v>44658.0</v>
      </c>
      <c r="F566" s="9" t="b">
        <v>1</v>
      </c>
      <c r="G566" s="9" t="s">
        <v>43228</v>
      </c>
      <c r="H566" s="9" t="s">
        <v>42576</v>
      </c>
    </row>
    <row r="567" ht="15.75" customHeight="1">
      <c r="A567" s="9" t="s">
        <v>43597</v>
      </c>
      <c r="B567" s="9" t="s">
        <v>52</v>
      </c>
      <c r="C567" s="9" t="s">
        <v>39670</v>
      </c>
      <c r="D567" s="9" t="s">
        <v>43598</v>
      </c>
      <c r="E567" s="56">
        <v>44658.0</v>
      </c>
      <c r="F567" s="9" t="b">
        <v>1</v>
      </c>
      <c r="G567" s="9" t="s">
        <v>43228</v>
      </c>
      <c r="H567" s="9" t="s">
        <v>42576</v>
      </c>
    </row>
    <row r="568" ht="15.75" customHeight="1">
      <c r="A568" s="9" t="s">
        <v>43599</v>
      </c>
      <c r="B568" s="9" t="s">
        <v>52</v>
      </c>
      <c r="C568" s="9" t="s">
        <v>39680</v>
      </c>
      <c r="D568" s="9" t="s">
        <v>43600</v>
      </c>
      <c r="E568" s="56">
        <v>44659.0</v>
      </c>
      <c r="F568" s="9" t="b">
        <v>1</v>
      </c>
      <c r="G568" s="9" t="s">
        <v>43228</v>
      </c>
      <c r="H568" s="9" t="s">
        <v>42576</v>
      </c>
    </row>
    <row r="569" ht="15.75" customHeight="1">
      <c r="A569" s="9" t="s">
        <v>43601</v>
      </c>
      <c r="B569" s="9" t="s">
        <v>52</v>
      </c>
      <c r="C569" s="9" t="s">
        <v>39676</v>
      </c>
      <c r="D569" s="9" t="s">
        <v>43602</v>
      </c>
      <c r="E569" s="56">
        <v>44659.0</v>
      </c>
      <c r="F569" s="9" t="b">
        <v>1</v>
      </c>
      <c r="G569" s="9" t="s">
        <v>43228</v>
      </c>
      <c r="H569" s="9" t="s">
        <v>42576</v>
      </c>
    </row>
    <row r="570" ht="15.75" customHeight="1">
      <c r="A570" s="9" t="s">
        <v>43603</v>
      </c>
      <c r="B570" s="9" t="s">
        <v>52</v>
      </c>
      <c r="C570" s="9" t="s">
        <v>39680</v>
      </c>
      <c r="D570" s="9" t="s">
        <v>43604</v>
      </c>
      <c r="E570" s="56">
        <v>44659.0</v>
      </c>
      <c r="F570" s="9" t="b">
        <v>1</v>
      </c>
      <c r="G570" s="9" t="s">
        <v>43228</v>
      </c>
      <c r="H570" s="9" t="s">
        <v>42576</v>
      </c>
    </row>
    <row r="571" ht="15.75" customHeight="1">
      <c r="A571" s="9" t="s">
        <v>43605</v>
      </c>
      <c r="B571" s="9" t="s">
        <v>52</v>
      </c>
      <c r="C571" s="9" t="s">
        <v>39681</v>
      </c>
      <c r="D571" s="9" t="s">
        <v>43606</v>
      </c>
      <c r="E571" s="56">
        <v>44662.0</v>
      </c>
      <c r="F571" s="9" t="b">
        <v>1</v>
      </c>
      <c r="G571" s="9" t="s">
        <v>43228</v>
      </c>
      <c r="H571" s="9" t="s">
        <v>42576</v>
      </c>
    </row>
    <row r="572" ht="15.75" customHeight="1">
      <c r="A572" s="9" t="s">
        <v>43607</v>
      </c>
      <c r="B572" s="9" t="s">
        <v>52</v>
      </c>
      <c r="C572" s="9" t="s">
        <v>39681</v>
      </c>
      <c r="D572" s="9" t="s">
        <v>43608</v>
      </c>
      <c r="E572" s="56">
        <v>44662.0</v>
      </c>
      <c r="F572" s="9" t="b">
        <v>1</v>
      </c>
      <c r="G572" s="9" t="s">
        <v>38801</v>
      </c>
      <c r="H572" s="9" t="s">
        <v>42576</v>
      </c>
      <c r="I572" s="9" t="b">
        <v>1</v>
      </c>
    </row>
    <row r="573" ht="15.75" customHeight="1">
      <c r="A573" s="9" t="s">
        <v>43609</v>
      </c>
      <c r="B573" s="9" t="s">
        <v>52</v>
      </c>
      <c r="C573" s="9" t="s">
        <v>39670</v>
      </c>
      <c r="D573" s="9" t="s">
        <v>43610</v>
      </c>
      <c r="E573" s="56">
        <v>44663.0</v>
      </c>
      <c r="F573" s="9" t="b">
        <v>1</v>
      </c>
      <c r="G573" s="9" t="s">
        <v>38801</v>
      </c>
      <c r="H573" s="9" t="s">
        <v>42576</v>
      </c>
      <c r="I573" s="9" t="b">
        <v>1</v>
      </c>
    </row>
    <row r="574" ht="15.75" customHeight="1">
      <c r="A574" s="9" t="s">
        <v>43611</v>
      </c>
      <c r="B574" s="9" t="s">
        <v>52</v>
      </c>
      <c r="C574" s="9" t="s">
        <v>39685</v>
      </c>
      <c r="D574" s="9" t="s">
        <v>43612</v>
      </c>
      <c r="E574" s="56">
        <v>44663.0</v>
      </c>
      <c r="F574" s="9" t="b">
        <v>1</v>
      </c>
      <c r="G574" s="9" t="s">
        <v>43228</v>
      </c>
      <c r="H574" s="9" t="s">
        <v>42576</v>
      </c>
    </row>
    <row r="575" ht="15.75" customHeight="1">
      <c r="A575" s="9" t="s">
        <v>43613</v>
      </c>
      <c r="B575" s="9" t="s">
        <v>52</v>
      </c>
      <c r="C575" s="9" t="s">
        <v>39034</v>
      </c>
      <c r="D575" s="9" t="s">
        <v>43614</v>
      </c>
      <c r="E575" s="56">
        <v>44664.0</v>
      </c>
      <c r="F575" s="9" t="b">
        <v>1</v>
      </c>
      <c r="G575" s="9" t="s">
        <v>38801</v>
      </c>
      <c r="H575" s="9" t="s">
        <v>42576</v>
      </c>
      <c r="I575" s="9" t="b">
        <v>1</v>
      </c>
    </row>
    <row r="576" ht="15.75" customHeight="1">
      <c r="A576" s="9" t="s">
        <v>43615</v>
      </c>
      <c r="B576" s="9" t="s">
        <v>52</v>
      </c>
      <c r="C576" s="9" t="s">
        <v>39444</v>
      </c>
      <c r="D576" s="9" t="s">
        <v>43616</v>
      </c>
      <c r="E576" s="56">
        <v>44664.0</v>
      </c>
      <c r="F576" s="9" t="b">
        <v>1</v>
      </c>
      <c r="G576" s="9" t="s">
        <v>43228</v>
      </c>
      <c r="H576" s="9" t="s">
        <v>42576</v>
      </c>
    </row>
    <row r="577" ht="15.75" customHeight="1">
      <c r="A577" s="9" t="s">
        <v>43617</v>
      </c>
      <c r="B577" s="9" t="s">
        <v>52</v>
      </c>
      <c r="C577" s="9" t="s">
        <v>39688</v>
      </c>
      <c r="D577" s="9" t="s">
        <v>43618</v>
      </c>
      <c r="E577" s="56">
        <v>44664.0</v>
      </c>
      <c r="F577" s="9" t="b">
        <v>1</v>
      </c>
      <c r="G577" s="9" t="s">
        <v>43228</v>
      </c>
      <c r="H577" s="9" t="s">
        <v>42576</v>
      </c>
    </row>
    <row r="578" ht="15.75" customHeight="1">
      <c r="A578" s="9" t="s">
        <v>43619</v>
      </c>
      <c r="B578" s="9" t="s">
        <v>52</v>
      </c>
      <c r="C578" s="9" t="s">
        <v>39653</v>
      </c>
      <c r="D578" s="9" t="s">
        <v>43620</v>
      </c>
      <c r="E578" s="56">
        <v>44665.0</v>
      </c>
      <c r="F578" s="9" t="b">
        <v>1</v>
      </c>
      <c r="G578" s="9" t="s">
        <v>43228</v>
      </c>
      <c r="H578" s="9" t="s">
        <v>42576</v>
      </c>
    </row>
    <row r="579" ht="15.75" customHeight="1">
      <c r="A579" s="9" t="s">
        <v>43621</v>
      </c>
      <c r="B579" s="9" t="s">
        <v>52</v>
      </c>
      <c r="C579" s="9" t="s">
        <v>39680</v>
      </c>
      <c r="D579" s="9" t="s">
        <v>43622</v>
      </c>
      <c r="E579" s="56">
        <v>44665.0</v>
      </c>
      <c r="F579" s="9" t="b">
        <v>1</v>
      </c>
      <c r="G579" s="9" t="s">
        <v>43228</v>
      </c>
      <c r="H579" s="9" t="s">
        <v>42576</v>
      </c>
    </row>
    <row r="580" ht="15.75" customHeight="1">
      <c r="A580" s="9" t="s">
        <v>43623</v>
      </c>
      <c r="B580" s="9" t="s">
        <v>52</v>
      </c>
      <c r="C580" s="9" t="s">
        <v>39662</v>
      </c>
      <c r="D580" s="9" t="s">
        <v>43624</v>
      </c>
      <c r="E580" s="56">
        <v>44665.0</v>
      </c>
      <c r="F580" s="9" t="b">
        <v>1</v>
      </c>
      <c r="G580" s="9" t="s">
        <v>43228</v>
      </c>
      <c r="H580" s="9" t="s">
        <v>42576</v>
      </c>
    </row>
    <row r="581" ht="15.75" customHeight="1">
      <c r="A581" s="9" t="s">
        <v>43625</v>
      </c>
      <c r="B581" s="9" t="s">
        <v>52</v>
      </c>
      <c r="C581" s="9" t="s">
        <v>39213</v>
      </c>
      <c r="D581" s="9" t="s">
        <v>43626</v>
      </c>
      <c r="E581" s="56">
        <v>44665.0</v>
      </c>
      <c r="F581" s="9" t="b">
        <v>1</v>
      </c>
      <c r="G581" s="9" t="s">
        <v>38801</v>
      </c>
      <c r="H581" s="9" t="s">
        <v>42576</v>
      </c>
      <c r="I581" s="9" t="b">
        <v>1</v>
      </c>
    </row>
    <row r="582" ht="15.75" customHeight="1">
      <c r="A582" s="9" t="s">
        <v>43627</v>
      </c>
      <c r="B582" s="9" t="s">
        <v>52</v>
      </c>
      <c r="C582" s="9" t="s">
        <v>39122</v>
      </c>
      <c r="D582" s="9" t="s">
        <v>43628</v>
      </c>
      <c r="E582" s="56">
        <v>44665.0</v>
      </c>
      <c r="F582" s="9" t="b">
        <v>1</v>
      </c>
      <c r="G582" s="9" t="s">
        <v>38801</v>
      </c>
      <c r="H582" s="9" t="s">
        <v>42576</v>
      </c>
      <c r="I582" s="9" t="b">
        <v>1</v>
      </c>
    </row>
    <row r="583" ht="15.75" customHeight="1">
      <c r="A583" s="9" t="s">
        <v>43629</v>
      </c>
      <c r="B583" s="9" t="s">
        <v>52</v>
      </c>
      <c r="C583" s="9" t="s">
        <v>39688</v>
      </c>
      <c r="D583" s="9" t="s">
        <v>43630</v>
      </c>
      <c r="E583" s="56">
        <v>44666.0</v>
      </c>
      <c r="F583" s="9" t="b">
        <v>1</v>
      </c>
      <c r="G583" s="9" t="s">
        <v>38801</v>
      </c>
      <c r="H583" s="9" t="s">
        <v>42576</v>
      </c>
      <c r="I583" s="9" t="b">
        <v>1</v>
      </c>
    </row>
    <row r="584" ht="15.75" customHeight="1">
      <c r="A584" s="9" t="s">
        <v>43631</v>
      </c>
      <c r="B584" s="9" t="s">
        <v>52</v>
      </c>
      <c r="C584" s="9" t="s">
        <v>39689</v>
      </c>
      <c r="D584" s="9" t="s">
        <v>43632</v>
      </c>
      <c r="E584" s="56">
        <v>44666.0</v>
      </c>
      <c r="F584" s="9" t="b">
        <v>1</v>
      </c>
      <c r="G584" s="9" t="s">
        <v>43228</v>
      </c>
      <c r="H584" s="9" t="s">
        <v>42576</v>
      </c>
    </row>
    <row r="585" ht="15.75" customHeight="1">
      <c r="A585" s="9" t="s">
        <v>43633</v>
      </c>
      <c r="B585" s="9" t="s">
        <v>52</v>
      </c>
      <c r="C585" s="52" t="s">
        <v>39565</v>
      </c>
      <c r="D585" s="9" t="s">
        <v>43634</v>
      </c>
      <c r="E585" s="56">
        <v>44666.0</v>
      </c>
      <c r="F585" s="9" t="b">
        <v>1</v>
      </c>
      <c r="G585" s="9" t="s">
        <v>43228</v>
      </c>
      <c r="H585" s="9" t="s">
        <v>42576</v>
      </c>
    </row>
    <row r="586" ht="15.75" customHeight="1">
      <c r="A586" s="9" t="s">
        <v>43635</v>
      </c>
      <c r="B586" s="9" t="s">
        <v>52</v>
      </c>
      <c r="C586" s="9" t="s">
        <v>39680</v>
      </c>
      <c r="D586" s="9" t="s">
        <v>43614</v>
      </c>
      <c r="E586" s="56">
        <v>44672.0</v>
      </c>
      <c r="F586" s="9" t="b">
        <v>1</v>
      </c>
      <c r="G586" s="9" t="s">
        <v>38801</v>
      </c>
      <c r="H586" s="9" t="s">
        <v>42576</v>
      </c>
      <c r="I586" s="9" t="b">
        <v>1</v>
      </c>
    </row>
    <row r="587" ht="15.75" customHeight="1">
      <c r="A587" s="9" t="s">
        <v>43636</v>
      </c>
      <c r="B587" s="9" t="s">
        <v>52</v>
      </c>
      <c r="C587" s="9" t="s">
        <v>39695</v>
      </c>
      <c r="D587" s="9" t="s">
        <v>43637</v>
      </c>
      <c r="E587" s="56">
        <v>44673.0</v>
      </c>
      <c r="F587" s="9" t="b">
        <v>1</v>
      </c>
      <c r="G587" s="9" t="s">
        <v>43228</v>
      </c>
      <c r="H587" s="9" t="s">
        <v>42576</v>
      </c>
    </row>
    <row r="588" ht="15.75" customHeight="1">
      <c r="A588" s="9" t="s">
        <v>43638</v>
      </c>
      <c r="B588" s="9" t="s">
        <v>52</v>
      </c>
      <c r="C588" s="9" t="s">
        <v>39696</v>
      </c>
      <c r="D588" s="9" t="s">
        <v>43639</v>
      </c>
      <c r="E588" s="56">
        <v>44673.0</v>
      </c>
      <c r="F588" s="9" t="b">
        <v>1</v>
      </c>
      <c r="G588" s="9" t="s">
        <v>43228</v>
      </c>
      <c r="H588" s="9" t="s">
        <v>42576</v>
      </c>
    </row>
    <row r="589" ht="15.75" customHeight="1">
      <c r="A589" s="9" t="s">
        <v>43640</v>
      </c>
      <c r="B589" s="9" t="s">
        <v>52</v>
      </c>
      <c r="C589" s="9" t="s">
        <v>39693</v>
      </c>
      <c r="D589" s="9" t="s">
        <v>43641</v>
      </c>
      <c r="E589" s="56">
        <v>44673.0</v>
      </c>
      <c r="F589" s="9" t="b">
        <v>1</v>
      </c>
      <c r="G589" s="9" t="s">
        <v>43228</v>
      </c>
      <c r="H589" s="9" t="s">
        <v>42576</v>
      </c>
    </row>
    <row r="590" ht="15.75" customHeight="1">
      <c r="A590" s="9" t="s">
        <v>43642</v>
      </c>
      <c r="B590" s="9" t="s">
        <v>52</v>
      </c>
      <c r="C590" s="9" t="s">
        <v>39697</v>
      </c>
      <c r="D590" s="9" t="s">
        <v>43643</v>
      </c>
      <c r="E590" s="56">
        <v>44677.0</v>
      </c>
      <c r="F590" s="9" t="b">
        <v>1</v>
      </c>
      <c r="G590" s="9" t="s">
        <v>43228</v>
      </c>
      <c r="H590" s="9" t="s">
        <v>42576</v>
      </c>
    </row>
    <row r="591" ht="15.75" customHeight="1">
      <c r="A591" s="9" t="s">
        <v>43644</v>
      </c>
      <c r="B591" s="9" t="s">
        <v>76</v>
      </c>
      <c r="C591" s="9" t="s">
        <v>39668</v>
      </c>
      <c r="D591" s="9" t="s">
        <v>43645</v>
      </c>
      <c r="E591" s="56">
        <v>44678.0</v>
      </c>
      <c r="F591" s="9" t="b">
        <v>1</v>
      </c>
      <c r="G591" s="9" t="s">
        <v>38801</v>
      </c>
      <c r="H591" s="9" t="s">
        <v>42576</v>
      </c>
      <c r="I591" s="9" t="b">
        <v>1</v>
      </c>
    </row>
    <row r="592" ht="15.75" customHeight="1">
      <c r="A592" s="9" t="s">
        <v>43646</v>
      </c>
      <c r="B592" s="9" t="s">
        <v>52</v>
      </c>
      <c r="C592" s="9" t="s">
        <v>39698</v>
      </c>
      <c r="D592" s="9" t="s">
        <v>43647</v>
      </c>
      <c r="E592" s="56">
        <v>44679.0</v>
      </c>
      <c r="F592" s="9" t="b">
        <v>1</v>
      </c>
      <c r="G592" s="9" t="s">
        <v>38801</v>
      </c>
      <c r="H592" s="9" t="s">
        <v>42576</v>
      </c>
      <c r="I592" s="9" t="b">
        <v>1</v>
      </c>
    </row>
    <row r="593" ht="15.75" customHeight="1">
      <c r="A593" s="9" t="s">
        <v>43648</v>
      </c>
      <c r="B593" s="9" t="s">
        <v>52</v>
      </c>
      <c r="C593" s="9" t="s">
        <v>39700</v>
      </c>
      <c r="D593" s="9" t="s">
        <v>43649</v>
      </c>
      <c r="E593" s="56">
        <v>44679.0</v>
      </c>
      <c r="F593" s="9" t="b">
        <v>1</v>
      </c>
      <c r="G593" s="9" t="s">
        <v>43228</v>
      </c>
      <c r="H593" s="9" t="s">
        <v>42576</v>
      </c>
    </row>
    <row r="594" ht="15.75" customHeight="1">
      <c r="A594" s="9" t="s">
        <v>43650</v>
      </c>
      <c r="B594" s="9" t="s">
        <v>52</v>
      </c>
      <c r="C594" s="9" t="s">
        <v>39701</v>
      </c>
      <c r="D594" s="9" t="s">
        <v>43651</v>
      </c>
      <c r="E594" s="56">
        <v>44679.0</v>
      </c>
      <c r="F594" s="9" t="b">
        <v>1</v>
      </c>
      <c r="G594" s="9" t="s">
        <v>43228</v>
      </c>
      <c r="H594" s="9" t="s">
        <v>42576</v>
      </c>
    </row>
    <row r="595" ht="15.75" customHeight="1">
      <c r="A595" s="9" t="s">
        <v>43652</v>
      </c>
      <c r="B595" s="9" t="s">
        <v>52</v>
      </c>
      <c r="C595" s="9" t="s">
        <v>39165</v>
      </c>
      <c r="D595" s="9" t="s">
        <v>43653</v>
      </c>
      <c r="E595" s="56">
        <v>44683.0</v>
      </c>
      <c r="F595" s="9" t="b">
        <v>1</v>
      </c>
      <c r="G595" s="9" t="s">
        <v>38801</v>
      </c>
      <c r="H595" s="9" t="s">
        <v>42576</v>
      </c>
      <c r="I595" s="9" t="b">
        <v>1</v>
      </c>
    </row>
    <row r="596" ht="15.75" customHeight="1">
      <c r="A596" s="9" t="s">
        <v>43654</v>
      </c>
      <c r="B596" s="9" t="s">
        <v>52</v>
      </c>
      <c r="C596" s="9" t="s">
        <v>39702</v>
      </c>
      <c r="D596" s="9" t="s">
        <v>43655</v>
      </c>
      <c r="E596" s="56">
        <v>44684.0</v>
      </c>
      <c r="F596" s="9" t="b">
        <v>1</v>
      </c>
      <c r="G596" s="9" t="s">
        <v>43228</v>
      </c>
      <c r="H596" s="9" t="s">
        <v>42576</v>
      </c>
    </row>
    <row r="597" ht="15.75" customHeight="1">
      <c r="A597" s="9" t="s">
        <v>43656</v>
      </c>
      <c r="B597" s="9" t="s">
        <v>52</v>
      </c>
      <c r="C597" s="9" t="s">
        <v>39705</v>
      </c>
      <c r="D597" s="9" t="s">
        <v>43657</v>
      </c>
      <c r="E597" s="56">
        <v>44686.0</v>
      </c>
      <c r="F597" s="9" t="b">
        <v>1</v>
      </c>
      <c r="G597" s="9" t="s">
        <v>43228</v>
      </c>
      <c r="H597" s="9" t="s">
        <v>42576</v>
      </c>
    </row>
    <row r="598" ht="15.75" customHeight="1">
      <c r="A598" s="9" t="s">
        <v>43658</v>
      </c>
      <c r="B598" s="9" t="s">
        <v>47</v>
      </c>
      <c r="C598" s="9" t="s">
        <v>39709</v>
      </c>
      <c r="D598" s="9" t="s">
        <v>43659</v>
      </c>
      <c r="E598" s="56">
        <v>44686.0</v>
      </c>
      <c r="F598" s="9" t="b">
        <v>1</v>
      </c>
      <c r="G598" s="9" t="s">
        <v>43228</v>
      </c>
      <c r="H598" s="9" t="s">
        <v>42576</v>
      </c>
    </row>
    <row r="599" ht="15.75" customHeight="1">
      <c r="A599" s="9" t="s">
        <v>43660</v>
      </c>
      <c r="B599" s="9" t="s">
        <v>47</v>
      </c>
      <c r="C599" s="9" t="s">
        <v>39707</v>
      </c>
      <c r="D599" s="9" t="s">
        <v>43661</v>
      </c>
      <c r="E599" s="56">
        <v>44686.0</v>
      </c>
      <c r="F599" s="9" t="b">
        <v>1</v>
      </c>
      <c r="G599" s="9" t="s">
        <v>43228</v>
      </c>
      <c r="H599" s="9" t="s">
        <v>42576</v>
      </c>
    </row>
    <row r="600" ht="15.75" customHeight="1">
      <c r="A600" s="9" t="s">
        <v>43662</v>
      </c>
      <c r="B600" s="9" t="s">
        <v>47</v>
      </c>
      <c r="C600" s="9" t="s">
        <v>39711</v>
      </c>
      <c r="D600" s="9" t="s">
        <v>43663</v>
      </c>
      <c r="E600" s="56">
        <v>44686.0</v>
      </c>
      <c r="F600" s="9" t="b">
        <v>1</v>
      </c>
      <c r="G600" s="9" t="s">
        <v>38801</v>
      </c>
      <c r="H600" s="9" t="s">
        <v>42560</v>
      </c>
      <c r="I600" s="9" t="b">
        <v>1</v>
      </c>
    </row>
    <row r="601" ht="15.75" customHeight="1">
      <c r="A601" s="9" t="s">
        <v>43664</v>
      </c>
      <c r="B601" s="9" t="s">
        <v>47</v>
      </c>
      <c r="C601" s="9" t="s">
        <v>39712</v>
      </c>
      <c r="D601" s="9" t="s">
        <v>43665</v>
      </c>
      <c r="E601" s="56">
        <v>44687.0</v>
      </c>
      <c r="F601" s="9" t="b">
        <v>1</v>
      </c>
      <c r="G601" s="9" t="s">
        <v>38801</v>
      </c>
      <c r="H601" s="9" t="s">
        <v>42560</v>
      </c>
      <c r="I601" s="9" t="b">
        <v>1</v>
      </c>
    </row>
    <row r="602" ht="15.75" customHeight="1">
      <c r="A602" s="9" t="s">
        <v>43666</v>
      </c>
      <c r="B602" s="9" t="s">
        <v>47</v>
      </c>
      <c r="C602" s="9" t="s">
        <v>39569</v>
      </c>
      <c r="D602" s="9" t="s">
        <v>43667</v>
      </c>
      <c r="E602" s="56">
        <v>44687.0</v>
      </c>
      <c r="F602" s="9" t="b">
        <v>1</v>
      </c>
      <c r="G602" s="9" t="s">
        <v>38801</v>
      </c>
      <c r="H602" s="9" t="s">
        <v>42576</v>
      </c>
      <c r="I602" s="9" t="b">
        <v>1</v>
      </c>
    </row>
    <row r="603" ht="15.75" customHeight="1">
      <c r="A603" s="9" t="s">
        <v>43668</v>
      </c>
      <c r="B603" s="9" t="s">
        <v>52</v>
      </c>
      <c r="C603" s="9" t="s">
        <v>39136</v>
      </c>
      <c r="D603" s="9" t="s">
        <v>43669</v>
      </c>
      <c r="E603" s="56">
        <v>44687.0</v>
      </c>
      <c r="F603" s="9" t="b">
        <v>1</v>
      </c>
      <c r="G603" s="9" t="s">
        <v>43228</v>
      </c>
      <c r="H603" s="9" t="s">
        <v>42576</v>
      </c>
    </row>
    <row r="604" ht="15.75" customHeight="1">
      <c r="A604" s="9" t="s">
        <v>43670</v>
      </c>
      <c r="B604" s="9" t="s">
        <v>47</v>
      </c>
      <c r="C604" s="9" t="s">
        <v>39678</v>
      </c>
      <c r="D604" s="9" t="s">
        <v>42560</v>
      </c>
      <c r="E604" s="56">
        <v>44690.0</v>
      </c>
      <c r="F604" s="9" t="b">
        <v>1</v>
      </c>
      <c r="G604" s="9" t="s">
        <v>38801</v>
      </c>
      <c r="H604" s="9" t="s">
        <v>42560</v>
      </c>
      <c r="I604" s="9" t="b">
        <v>1</v>
      </c>
    </row>
    <row r="605" ht="15.75" customHeight="1">
      <c r="A605" s="9" t="s">
        <v>43671</v>
      </c>
      <c r="B605" s="9" t="s">
        <v>47</v>
      </c>
      <c r="C605" s="9" t="s">
        <v>39678</v>
      </c>
      <c r="D605" s="9" t="s">
        <v>43672</v>
      </c>
      <c r="E605" s="56">
        <v>44690.0</v>
      </c>
      <c r="F605" s="9" t="b">
        <v>1</v>
      </c>
      <c r="G605" s="9" t="s">
        <v>38801</v>
      </c>
      <c r="H605" s="9" t="s">
        <v>42560</v>
      </c>
      <c r="I605" s="9" t="b">
        <v>1</v>
      </c>
    </row>
    <row r="606" ht="15.75" customHeight="1">
      <c r="A606" s="9" t="s">
        <v>43673</v>
      </c>
      <c r="B606" s="9" t="s">
        <v>47</v>
      </c>
      <c r="C606" s="9" t="s">
        <v>39703</v>
      </c>
      <c r="D606" s="9" t="s">
        <v>43674</v>
      </c>
      <c r="E606" s="56">
        <v>44690.0</v>
      </c>
      <c r="F606" s="9" t="b">
        <v>1</v>
      </c>
      <c r="G606" s="9" t="s">
        <v>38801</v>
      </c>
      <c r="H606" s="9" t="s">
        <v>42560</v>
      </c>
      <c r="I606" s="9" t="b">
        <v>1</v>
      </c>
    </row>
    <row r="607" ht="15.75" customHeight="1">
      <c r="A607" s="9" t="s">
        <v>43675</v>
      </c>
      <c r="B607" s="9" t="s">
        <v>47</v>
      </c>
      <c r="C607" s="9" t="s">
        <v>39574</v>
      </c>
      <c r="D607" s="9" t="s">
        <v>43676</v>
      </c>
      <c r="E607" s="56">
        <v>44690.0</v>
      </c>
      <c r="F607" s="9" t="b">
        <v>1</v>
      </c>
      <c r="G607" s="9" t="s">
        <v>38801</v>
      </c>
      <c r="H607" s="9" t="s">
        <v>42560</v>
      </c>
      <c r="I607" s="9" t="b">
        <v>1</v>
      </c>
    </row>
    <row r="608" ht="15.75" customHeight="1">
      <c r="A608" s="9" t="s">
        <v>43677</v>
      </c>
      <c r="B608" s="9" t="s">
        <v>47</v>
      </c>
      <c r="C608" s="9" t="s">
        <v>39582</v>
      </c>
      <c r="D608" s="9" t="s">
        <v>43678</v>
      </c>
      <c r="E608" s="56">
        <v>44690.0</v>
      </c>
      <c r="F608" s="9" t="b">
        <v>1</v>
      </c>
      <c r="G608" s="9" t="s">
        <v>42573</v>
      </c>
      <c r="H608" s="9" t="s">
        <v>42560</v>
      </c>
    </row>
    <row r="609" ht="15.75" customHeight="1">
      <c r="A609" s="9" t="s">
        <v>43679</v>
      </c>
      <c r="B609" s="9" t="s">
        <v>47</v>
      </c>
      <c r="C609" s="9" t="s">
        <v>39718</v>
      </c>
      <c r="D609" s="9" t="s">
        <v>43680</v>
      </c>
      <c r="E609" s="56">
        <v>44691.0</v>
      </c>
      <c r="F609" s="9" t="b">
        <v>1</v>
      </c>
      <c r="G609" s="9" t="s">
        <v>43228</v>
      </c>
      <c r="H609" s="9" t="s">
        <v>42560</v>
      </c>
    </row>
    <row r="610" ht="15.75" customHeight="1">
      <c r="A610" s="9" t="s">
        <v>43681</v>
      </c>
      <c r="B610" s="9" t="s">
        <v>47</v>
      </c>
      <c r="C610" s="9" t="s">
        <v>39582</v>
      </c>
      <c r="D610" s="9" t="s">
        <v>43682</v>
      </c>
      <c r="E610" s="56">
        <v>44691.0</v>
      </c>
      <c r="F610" s="9" t="b">
        <v>1</v>
      </c>
      <c r="G610" s="9" t="s">
        <v>38801</v>
      </c>
      <c r="H610" s="9" t="s">
        <v>42576</v>
      </c>
      <c r="I610" s="9" t="b">
        <v>1</v>
      </c>
    </row>
    <row r="611" ht="15.75" customHeight="1">
      <c r="A611" s="9" t="s">
        <v>43683</v>
      </c>
      <c r="B611" s="9" t="s">
        <v>47</v>
      </c>
      <c r="C611" s="9" t="s">
        <v>39578</v>
      </c>
      <c r="D611" s="9" t="s">
        <v>43684</v>
      </c>
      <c r="E611" s="56">
        <v>44691.0</v>
      </c>
      <c r="F611" s="9" t="b">
        <v>1</v>
      </c>
      <c r="G611" s="9" t="s">
        <v>38801</v>
      </c>
      <c r="H611" s="9" t="s">
        <v>42560</v>
      </c>
      <c r="I611" s="9" t="b">
        <v>1</v>
      </c>
    </row>
    <row r="612" ht="15.75" customHeight="1">
      <c r="A612" s="9" t="s">
        <v>43685</v>
      </c>
      <c r="B612" s="9" t="s">
        <v>26</v>
      </c>
      <c r="C612" s="9" t="s">
        <v>39716</v>
      </c>
      <c r="D612" s="9" t="s">
        <v>43686</v>
      </c>
      <c r="E612" s="56">
        <v>44691.0</v>
      </c>
      <c r="F612" s="9" t="b">
        <v>1</v>
      </c>
      <c r="G612" s="9" t="s">
        <v>38801</v>
      </c>
      <c r="H612" s="9" t="s">
        <v>42560</v>
      </c>
      <c r="I612" s="9" t="b">
        <v>1</v>
      </c>
    </row>
    <row r="613" ht="15.75" customHeight="1">
      <c r="A613" s="9" t="s">
        <v>43687</v>
      </c>
      <c r="B613" s="9" t="s">
        <v>47</v>
      </c>
      <c r="C613" s="9" t="s">
        <v>39590</v>
      </c>
      <c r="D613" s="9" t="s">
        <v>43688</v>
      </c>
      <c r="E613" s="56">
        <v>44691.0</v>
      </c>
      <c r="F613" s="9" t="b">
        <v>1</v>
      </c>
      <c r="G613" s="9" t="s">
        <v>43228</v>
      </c>
      <c r="H613" s="9" t="s">
        <v>42576</v>
      </c>
    </row>
    <row r="614" ht="15.75" customHeight="1">
      <c r="A614" s="9" t="s">
        <v>43689</v>
      </c>
      <c r="B614" s="9" t="s">
        <v>47</v>
      </c>
      <c r="C614" s="9" t="s">
        <v>39714</v>
      </c>
      <c r="D614" s="9" t="s">
        <v>43690</v>
      </c>
      <c r="E614" s="56">
        <v>44691.0</v>
      </c>
      <c r="F614" s="9" t="b">
        <v>1</v>
      </c>
      <c r="G614" s="9" t="s">
        <v>43228</v>
      </c>
      <c r="H614" s="9" t="s">
        <v>42576</v>
      </c>
    </row>
    <row r="615" ht="15.75" customHeight="1">
      <c r="A615" s="9" t="s">
        <v>43691</v>
      </c>
      <c r="B615" s="9" t="s">
        <v>47</v>
      </c>
      <c r="C615" s="9" t="s">
        <v>39722</v>
      </c>
      <c r="D615" s="9" t="s">
        <v>43692</v>
      </c>
      <c r="E615" s="56">
        <v>44692.0</v>
      </c>
      <c r="F615" s="9" t="b">
        <v>1</v>
      </c>
      <c r="G615" s="9" t="s">
        <v>43228</v>
      </c>
      <c r="H615" s="9" t="s">
        <v>42576</v>
      </c>
    </row>
    <row r="616" ht="15.75" customHeight="1">
      <c r="A616" s="9" t="s">
        <v>43693</v>
      </c>
      <c r="B616" s="9" t="s">
        <v>47</v>
      </c>
      <c r="C616" s="9" t="s">
        <v>39724</v>
      </c>
      <c r="D616" s="9" t="s">
        <v>43694</v>
      </c>
      <c r="E616" s="56">
        <v>44692.0</v>
      </c>
      <c r="F616" s="9" t="b">
        <v>1</v>
      </c>
      <c r="G616" s="9" t="s">
        <v>38801</v>
      </c>
      <c r="H616" s="9" t="s">
        <v>42576</v>
      </c>
      <c r="I616" s="9" t="b">
        <v>1</v>
      </c>
    </row>
    <row r="617" ht="15.75" customHeight="1">
      <c r="A617" s="9" t="s">
        <v>43695</v>
      </c>
      <c r="B617" s="9" t="s">
        <v>47</v>
      </c>
      <c r="C617" s="9" t="s">
        <v>39720</v>
      </c>
      <c r="D617" s="9" t="s">
        <v>43696</v>
      </c>
      <c r="E617" s="56">
        <v>44692.0</v>
      </c>
      <c r="F617" s="9" t="b">
        <v>1</v>
      </c>
      <c r="G617" s="9" t="s">
        <v>43228</v>
      </c>
      <c r="H617" s="9" t="s">
        <v>42576</v>
      </c>
    </row>
    <row r="618" ht="15.75" customHeight="1">
      <c r="A618" s="9" t="s">
        <v>43697</v>
      </c>
      <c r="B618" s="9" t="s">
        <v>47</v>
      </c>
      <c r="C618" s="9" t="s">
        <v>39726</v>
      </c>
      <c r="D618" s="9" t="s">
        <v>43698</v>
      </c>
      <c r="E618" s="56">
        <v>44692.0</v>
      </c>
      <c r="F618" s="9" t="b">
        <v>1</v>
      </c>
      <c r="G618" s="9" t="s">
        <v>38801</v>
      </c>
      <c r="H618" s="9" t="s">
        <v>42576</v>
      </c>
      <c r="I618" s="9" t="b">
        <v>1</v>
      </c>
    </row>
    <row r="619" ht="15.75" customHeight="1">
      <c r="A619" s="9" t="s">
        <v>43699</v>
      </c>
      <c r="B619" s="9" t="s">
        <v>47</v>
      </c>
      <c r="C619" s="9" t="s">
        <v>39728</v>
      </c>
      <c r="D619" s="9" t="s">
        <v>43700</v>
      </c>
      <c r="E619" s="56">
        <v>44694.0</v>
      </c>
      <c r="F619" s="9" t="b">
        <v>1</v>
      </c>
      <c r="G619" s="9" t="s">
        <v>38801</v>
      </c>
      <c r="H619" s="9" t="s">
        <v>42576</v>
      </c>
      <c r="I619" s="9" t="b">
        <v>1</v>
      </c>
    </row>
    <row r="620" ht="15.75" customHeight="1">
      <c r="A620" s="9" t="s">
        <v>43701</v>
      </c>
      <c r="B620" s="9" t="s">
        <v>47</v>
      </c>
      <c r="C620" s="9" t="s">
        <v>39722</v>
      </c>
      <c r="D620" s="9" t="s">
        <v>43702</v>
      </c>
      <c r="E620" s="56">
        <v>44697.0</v>
      </c>
      <c r="F620" s="9" t="b">
        <v>1</v>
      </c>
      <c r="G620" s="9" t="s">
        <v>38801</v>
      </c>
      <c r="H620" s="9" t="s">
        <v>42576</v>
      </c>
      <c r="I620" s="9" t="b">
        <v>1</v>
      </c>
    </row>
    <row r="621" ht="15.75" customHeight="1">
      <c r="A621" s="52" t="s">
        <v>43703</v>
      </c>
      <c r="B621" s="9" t="s">
        <v>47</v>
      </c>
      <c r="C621" s="9" t="s">
        <v>39731</v>
      </c>
      <c r="D621" s="9" t="s">
        <v>43704</v>
      </c>
      <c r="E621" s="56">
        <v>44697.0</v>
      </c>
      <c r="F621" s="9" t="b">
        <v>1</v>
      </c>
      <c r="G621" s="9" t="s">
        <v>38801</v>
      </c>
      <c r="H621" s="9" t="s">
        <v>42576</v>
      </c>
      <c r="I621" s="9" t="b">
        <v>1</v>
      </c>
    </row>
    <row r="622" ht="15.75" customHeight="1">
      <c r="A622" s="9" t="s">
        <v>43705</v>
      </c>
      <c r="B622" s="9" t="s">
        <v>47</v>
      </c>
      <c r="C622" s="9" t="s">
        <v>39733</v>
      </c>
      <c r="D622" s="9" t="s">
        <v>43706</v>
      </c>
      <c r="E622" s="56">
        <v>44697.0</v>
      </c>
      <c r="F622" s="9" t="b">
        <v>1</v>
      </c>
      <c r="G622" s="9" t="s">
        <v>38801</v>
      </c>
      <c r="H622" s="9" t="s">
        <v>42576</v>
      </c>
      <c r="I622" s="9" t="b">
        <v>1</v>
      </c>
    </row>
    <row r="623" ht="15.75" customHeight="1">
      <c r="A623" s="9" t="s">
        <v>43707</v>
      </c>
      <c r="B623" s="9" t="s">
        <v>52</v>
      </c>
      <c r="C623" s="9" t="s">
        <v>39730</v>
      </c>
      <c r="D623" s="9" t="s">
        <v>43708</v>
      </c>
      <c r="E623" s="56">
        <v>44698.0</v>
      </c>
      <c r="F623" s="9" t="b">
        <v>1</v>
      </c>
      <c r="G623" s="9" t="s">
        <v>43228</v>
      </c>
      <c r="H623" s="9" t="s">
        <v>42576</v>
      </c>
    </row>
    <row r="624" ht="15.75" customHeight="1">
      <c r="A624" s="9" t="s">
        <v>43709</v>
      </c>
      <c r="B624" s="9" t="s">
        <v>47</v>
      </c>
      <c r="C624" s="9" t="s">
        <v>39735</v>
      </c>
      <c r="D624" s="9" t="s">
        <v>43710</v>
      </c>
      <c r="E624" s="56">
        <v>44698.0</v>
      </c>
      <c r="F624" s="9" t="b">
        <v>1</v>
      </c>
      <c r="G624" s="9" t="s">
        <v>38801</v>
      </c>
      <c r="H624" s="9" t="s">
        <v>42576</v>
      </c>
      <c r="I624" s="9" t="b">
        <v>1</v>
      </c>
    </row>
    <row r="625" ht="15.75" customHeight="1">
      <c r="A625" s="9" t="s">
        <v>43711</v>
      </c>
      <c r="B625" s="9" t="s">
        <v>47</v>
      </c>
      <c r="C625" s="9" t="s">
        <v>39720</v>
      </c>
      <c r="D625" s="9" t="s">
        <v>43712</v>
      </c>
      <c r="E625" s="56">
        <v>44698.0</v>
      </c>
      <c r="F625" s="9" t="b">
        <v>1</v>
      </c>
      <c r="G625" s="9" t="s">
        <v>38801</v>
      </c>
      <c r="H625" s="9" t="s">
        <v>42576</v>
      </c>
      <c r="I625" s="9" t="b">
        <v>1</v>
      </c>
    </row>
    <row r="626" ht="15.75" customHeight="1">
      <c r="A626" s="9" t="s">
        <v>43713</v>
      </c>
      <c r="B626" s="9" t="s">
        <v>52</v>
      </c>
      <c r="C626" s="9" t="s">
        <v>39734</v>
      </c>
      <c r="D626" s="9" t="s">
        <v>43714</v>
      </c>
      <c r="E626" s="56">
        <v>44698.0</v>
      </c>
      <c r="F626" s="9" t="b">
        <v>1</v>
      </c>
      <c r="G626" s="9" t="s">
        <v>43228</v>
      </c>
      <c r="H626" s="9" t="s">
        <v>42576</v>
      </c>
    </row>
    <row r="627" ht="15.75" customHeight="1">
      <c r="A627" s="9" t="s">
        <v>43715</v>
      </c>
      <c r="B627" s="9" t="s">
        <v>52</v>
      </c>
      <c r="C627" s="9" t="s">
        <v>39177</v>
      </c>
      <c r="D627" s="9" t="s">
        <v>43716</v>
      </c>
      <c r="E627" s="56">
        <v>44699.0</v>
      </c>
      <c r="F627" s="9" t="b">
        <v>1</v>
      </c>
      <c r="G627" s="9" t="s">
        <v>43228</v>
      </c>
      <c r="H627" s="9" t="s">
        <v>42576</v>
      </c>
    </row>
    <row r="628" ht="15.75" customHeight="1">
      <c r="A628" s="9" t="s">
        <v>43717</v>
      </c>
      <c r="B628" s="9" t="s">
        <v>47</v>
      </c>
      <c r="C628" s="9" t="s">
        <v>39737</v>
      </c>
      <c r="D628" s="9" t="s">
        <v>43718</v>
      </c>
      <c r="E628" s="56">
        <v>44699.0</v>
      </c>
      <c r="F628" s="9" t="b">
        <v>1</v>
      </c>
      <c r="G628" s="9" t="s">
        <v>38801</v>
      </c>
      <c r="H628" s="9" t="s">
        <v>42576</v>
      </c>
      <c r="I628" s="9" t="b">
        <v>1</v>
      </c>
    </row>
    <row r="629" ht="15.75" customHeight="1">
      <c r="A629" s="9" t="s">
        <v>43719</v>
      </c>
      <c r="B629" s="9" t="s">
        <v>47</v>
      </c>
      <c r="C629" s="9" t="s">
        <v>39739</v>
      </c>
      <c r="D629" s="9" t="s">
        <v>43720</v>
      </c>
      <c r="E629" s="56">
        <v>44699.0</v>
      </c>
      <c r="F629" s="9" t="b">
        <v>1</v>
      </c>
      <c r="G629" s="9" t="s">
        <v>38801</v>
      </c>
      <c r="H629" s="9" t="s">
        <v>42576</v>
      </c>
      <c r="I629" s="9" t="b">
        <v>1</v>
      </c>
    </row>
    <row r="630" ht="15.75" customHeight="1">
      <c r="A630" s="9" t="s">
        <v>43721</v>
      </c>
      <c r="B630" s="9" t="s">
        <v>52</v>
      </c>
      <c r="C630" s="9" t="s">
        <v>39217</v>
      </c>
      <c r="D630" s="9" t="s">
        <v>43722</v>
      </c>
      <c r="E630" s="56">
        <v>44699.0</v>
      </c>
      <c r="F630" s="9" t="b">
        <v>1</v>
      </c>
      <c r="G630" s="9" t="s">
        <v>43228</v>
      </c>
      <c r="H630" s="9" t="s">
        <v>42576</v>
      </c>
    </row>
    <row r="631" ht="15.75" customHeight="1">
      <c r="A631" s="9" t="s">
        <v>43723</v>
      </c>
      <c r="B631" s="9" t="s">
        <v>47</v>
      </c>
      <c r="C631" s="9" t="s">
        <v>39749</v>
      </c>
      <c r="D631" s="9" t="s">
        <v>43724</v>
      </c>
      <c r="E631" s="56">
        <v>44699.0</v>
      </c>
      <c r="F631" s="9" t="b">
        <v>1</v>
      </c>
      <c r="G631" s="9" t="s">
        <v>38801</v>
      </c>
      <c r="H631" s="9" t="s">
        <v>42576</v>
      </c>
      <c r="I631" s="9" t="b">
        <v>1</v>
      </c>
    </row>
    <row r="632" ht="15.75" customHeight="1">
      <c r="A632" s="9" t="s">
        <v>43725</v>
      </c>
      <c r="B632" s="9" t="s">
        <v>52</v>
      </c>
      <c r="C632" s="52" t="s">
        <v>39565</v>
      </c>
      <c r="D632" s="9" t="s">
        <v>43726</v>
      </c>
      <c r="E632" s="56">
        <v>44699.0</v>
      </c>
      <c r="F632" s="9" t="b">
        <v>1</v>
      </c>
      <c r="G632" s="9" t="s">
        <v>43228</v>
      </c>
      <c r="H632" s="9" t="s">
        <v>42576</v>
      </c>
    </row>
    <row r="633" ht="15.75" customHeight="1">
      <c r="A633" s="9" t="s">
        <v>43727</v>
      </c>
      <c r="B633" s="9" t="s">
        <v>47</v>
      </c>
      <c r="C633" s="9" t="s">
        <v>38913</v>
      </c>
      <c r="D633" s="9" t="s">
        <v>43728</v>
      </c>
      <c r="E633" s="56">
        <v>44700.0</v>
      </c>
      <c r="F633" s="9" t="b">
        <v>1</v>
      </c>
      <c r="G633" s="9" t="s">
        <v>42573</v>
      </c>
      <c r="H633" s="9" t="s">
        <v>42560</v>
      </c>
    </row>
    <row r="634" ht="15.75" customHeight="1">
      <c r="A634" s="9" t="s">
        <v>43729</v>
      </c>
      <c r="B634" s="9" t="s">
        <v>47</v>
      </c>
      <c r="C634" s="9" t="s">
        <v>39753</v>
      </c>
      <c r="D634" s="9" t="s">
        <v>43730</v>
      </c>
      <c r="E634" s="56">
        <v>44701.0</v>
      </c>
      <c r="F634" s="9" t="b">
        <v>1</v>
      </c>
      <c r="G634" s="9" t="s">
        <v>43228</v>
      </c>
      <c r="H634" s="9" t="s">
        <v>42576</v>
      </c>
    </row>
    <row r="635" ht="15.75" customHeight="1">
      <c r="A635" s="9" t="s">
        <v>43731</v>
      </c>
      <c r="B635" s="9" t="s">
        <v>47</v>
      </c>
      <c r="C635" s="9" t="s">
        <v>39751</v>
      </c>
      <c r="D635" s="9" t="s">
        <v>43732</v>
      </c>
      <c r="E635" s="56">
        <v>44701.0</v>
      </c>
      <c r="F635" s="9" t="b">
        <v>1</v>
      </c>
      <c r="G635" s="9" t="s">
        <v>43228</v>
      </c>
      <c r="H635" s="9" t="s">
        <v>42576</v>
      </c>
    </row>
    <row r="636" ht="15.75" customHeight="1">
      <c r="A636" s="9" t="s">
        <v>43733</v>
      </c>
      <c r="B636" s="9" t="s">
        <v>47</v>
      </c>
      <c r="C636" s="9" t="s">
        <v>38937</v>
      </c>
      <c r="D636" s="9" t="s">
        <v>43734</v>
      </c>
      <c r="E636" s="56">
        <v>44701.0</v>
      </c>
      <c r="F636" s="9" t="b">
        <v>1</v>
      </c>
      <c r="G636" s="9" t="s">
        <v>42585</v>
      </c>
      <c r="H636" s="9" t="s">
        <v>42560</v>
      </c>
    </row>
    <row r="637" ht="15.75" customHeight="1">
      <c r="A637" s="9" t="s">
        <v>43735</v>
      </c>
      <c r="B637" s="9" t="s">
        <v>26</v>
      </c>
      <c r="C637" s="9" t="s">
        <v>39709</v>
      </c>
      <c r="D637" s="9" t="s">
        <v>43736</v>
      </c>
      <c r="E637" s="56">
        <v>44705.0</v>
      </c>
      <c r="F637" s="9" t="b">
        <v>1</v>
      </c>
      <c r="G637" s="9" t="s">
        <v>38801</v>
      </c>
      <c r="H637" s="9" t="s">
        <v>42560</v>
      </c>
      <c r="I637" s="9" t="b">
        <v>1</v>
      </c>
    </row>
    <row r="638" ht="15.75" customHeight="1">
      <c r="A638" s="9" t="s">
        <v>43737</v>
      </c>
      <c r="B638" s="9" t="s">
        <v>26</v>
      </c>
      <c r="C638" s="9" t="s">
        <v>38913</v>
      </c>
      <c r="D638" s="9" t="s">
        <v>43738</v>
      </c>
      <c r="E638" s="56">
        <v>44705.0</v>
      </c>
      <c r="F638" s="9" t="b">
        <v>1</v>
      </c>
      <c r="G638" s="9" t="s">
        <v>42632</v>
      </c>
      <c r="H638" s="9" t="s">
        <v>42560</v>
      </c>
    </row>
    <row r="639" ht="15.75" customHeight="1">
      <c r="A639" s="9" t="s">
        <v>43739</v>
      </c>
      <c r="B639" s="9" t="s">
        <v>52</v>
      </c>
      <c r="C639" s="9" t="s">
        <v>39179</v>
      </c>
      <c r="D639" s="9" t="s">
        <v>43740</v>
      </c>
      <c r="E639" s="56">
        <v>44705.0</v>
      </c>
      <c r="F639" s="9" t="b">
        <v>1</v>
      </c>
      <c r="G639" s="9" t="s">
        <v>43228</v>
      </c>
      <c r="H639" s="9" t="s">
        <v>42576</v>
      </c>
    </row>
    <row r="640" ht="15.75" customHeight="1">
      <c r="A640" s="9" t="s">
        <v>43741</v>
      </c>
      <c r="B640" s="9" t="s">
        <v>52</v>
      </c>
      <c r="C640" s="9" t="s">
        <v>39755</v>
      </c>
      <c r="D640" s="9" t="s">
        <v>43742</v>
      </c>
      <c r="E640" s="56">
        <v>44706.0</v>
      </c>
      <c r="F640" s="9" t="b">
        <v>1</v>
      </c>
      <c r="G640" s="9" t="s">
        <v>38801</v>
      </c>
      <c r="H640" s="9" t="s">
        <v>42576</v>
      </c>
      <c r="I640" s="9" t="b">
        <v>1</v>
      </c>
    </row>
    <row r="641" ht="15.75" customHeight="1">
      <c r="A641" s="9" t="s">
        <v>43743</v>
      </c>
      <c r="B641" s="9" t="s">
        <v>52</v>
      </c>
      <c r="C641" s="9" t="s">
        <v>39496</v>
      </c>
      <c r="D641" s="9" t="s">
        <v>43744</v>
      </c>
      <c r="E641" s="56">
        <v>44706.0</v>
      </c>
      <c r="F641" s="9" t="b">
        <v>1</v>
      </c>
      <c r="G641" s="9" t="s">
        <v>43228</v>
      </c>
      <c r="H641" s="9" t="s">
        <v>42576</v>
      </c>
    </row>
    <row r="642" ht="15.75" customHeight="1">
      <c r="A642" s="9" t="s">
        <v>43745</v>
      </c>
      <c r="B642" s="9" t="s">
        <v>52</v>
      </c>
      <c r="C642" s="9" t="s">
        <v>39757</v>
      </c>
      <c r="D642" s="9" t="s">
        <v>43746</v>
      </c>
      <c r="E642" s="56">
        <v>44711.0</v>
      </c>
      <c r="F642" s="9" t="b">
        <v>1</v>
      </c>
      <c r="G642" s="9" t="s">
        <v>43228</v>
      </c>
      <c r="H642" s="9" t="s">
        <v>42576</v>
      </c>
    </row>
    <row r="643" ht="15.75" customHeight="1">
      <c r="A643" s="9" t="s">
        <v>43747</v>
      </c>
      <c r="B643" s="9" t="s">
        <v>52</v>
      </c>
      <c r="C643" s="9" t="s">
        <v>39759</v>
      </c>
      <c r="D643" s="9" t="s">
        <v>43748</v>
      </c>
      <c r="E643" s="56">
        <v>44712.0</v>
      </c>
      <c r="F643" s="9" t="b">
        <v>1</v>
      </c>
      <c r="G643" s="9" t="s">
        <v>38801</v>
      </c>
      <c r="H643" s="9" t="s">
        <v>42576</v>
      </c>
      <c r="I643" s="9" t="b">
        <v>1</v>
      </c>
    </row>
    <row r="644" ht="15.75" customHeight="1">
      <c r="A644" s="9" t="s">
        <v>43749</v>
      </c>
      <c r="B644" s="9" t="s">
        <v>52</v>
      </c>
      <c r="C644" s="9" t="s">
        <v>39765</v>
      </c>
      <c r="D644" s="9" t="s">
        <v>43750</v>
      </c>
      <c r="E644" s="56">
        <v>44713.0</v>
      </c>
      <c r="F644" s="9" t="b">
        <v>1</v>
      </c>
      <c r="G644" s="9" t="s">
        <v>43228</v>
      </c>
      <c r="H644" s="9" t="s">
        <v>42576</v>
      </c>
    </row>
    <row r="645" ht="15.75" customHeight="1">
      <c r="A645" s="9" t="s">
        <v>43751</v>
      </c>
      <c r="B645" s="9" t="s">
        <v>47</v>
      </c>
      <c r="C645" s="9" t="s">
        <v>39769</v>
      </c>
      <c r="D645" s="9" t="s">
        <v>42560</v>
      </c>
      <c r="E645" s="56">
        <v>44719.0</v>
      </c>
      <c r="F645" s="9" t="b">
        <v>1</v>
      </c>
      <c r="G645" s="9" t="s">
        <v>38801</v>
      </c>
      <c r="H645" s="9" t="s">
        <v>42576</v>
      </c>
      <c r="I645" s="9" t="b">
        <v>1</v>
      </c>
    </row>
    <row r="646" ht="15.75" customHeight="1">
      <c r="A646" s="9" t="s">
        <v>43752</v>
      </c>
      <c r="B646" s="9" t="s">
        <v>47</v>
      </c>
      <c r="C646" s="9" t="s">
        <v>39771</v>
      </c>
      <c r="D646" s="9" t="s">
        <v>42560</v>
      </c>
      <c r="E646" s="56">
        <v>44719.0</v>
      </c>
      <c r="F646" s="9" t="b">
        <v>1</v>
      </c>
      <c r="G646" s="9" t="s">
        <v>38801</v>
      </c>
      <c r="H646" s="9" t="s">
        <v>42576</v>
      </c>
      <c r="I646" s="9" t="b">
        <v>1</v>
      </c>
    </row>
    <row r="647" ht="15.75" customHeight="1">
      <c r="A647" s="9" t="s">
        <v>43753</v>
      </c>
      <c r="B647" s="9" t="s">
        <v>47</v>
      </c>
      <c r="C647" s="9" t="s">
        <v>39785</v>
      </c>
      <c r="D647" s="9" t="s">
        <v>43754</v>
      </c>
      <c r="E647" s="56">
        <v>44720.0</v>
      </c>
      <c r="F647" s="9" t="b">
        <v>1</v>
      </c>
      <c r="G647" s="9" t="s">
        <v>38801</v>
      </c>
      <c r="H647" s="9" t="s">
        <v>42576</v>
      </c>
      <c r="I647" s="9" t="b">
        <v>1</v>
      </c>
    </row>
    <row r="648" ht="15.75" customHeight="1">
      <c r="A648" s="9" t="s">
        <v>43755</v>
      </c>
      <c r="B648" s="9" t="s">
        <v>47</v>
      </c>
      <c r="C648" s="9" t="s">
        <v>39783</v>
      </c>
      <c r="D648" s="9" t="s">
        <v>43756</v>
      </c>
      <c r="E648" s="56">
        <v>44720.0</v>
      </c>
      <c r="F648" s="9" t="b">
        <v>1</v>
      </c>
      <c r="G648" s="9" t="s">
        <v>38801</v>
      </c>
      <c r="H648" s="9" t="s">
        <v>42576</v>
      </c>
      <c r="I648" s="9" t="b">
        <v>1</v>
      </c>
    </row>
    <row r="649" ht="15.75" customHeight="1">
      <c r="A649" s="9" t="s">
        <v>43757</v>
      </c>
      <c r="B649" s="9" t="s">
        <v>47</v>
      </c>
      <c r="C649" s="9" t="s">
        <v>39779</v>
      </c>
      <c r="D649" s="9" t="s">
        <v>43758</v>
      </c>
      <c r="E649" s="56">
        <v>44720.0</v>
      </c>
      <c r="F649" s="9" t="b">
        <v>1</v>
      </c>
      <c r="G649" s="9" t="s">
        <v>43228</v>
      </c>
      <c r="H649" s="9" t="s">
        <v>42576</v>
      </c>
    </row>
    <row r="650" ht="15.75" customHeight="1">
      <c r="A650" s="9" t="s">
        <v>43759</v>
      </c>
      <c r="B650" s="9" t="s">
        <v>47</v>
      </c>
      <c r="C650" s="9" t="s">
        <v>39789</v>
      </c>
      <c r="D650" s="9" t="s">
        <v>43760</v>
      </c>
      <c r="E650" s="56">
        <v>44721.0</v>
      </c>
      <c r="F650" s="9" t="b">
        <v>1</v>
      </c>
      <c r="G650" s="9" t="s">
        <v>38801</v>
      </c>
      <c r="H650" s="9" t="s">
        <v>42576</v>
      </c>
      <c r="I650" s="9" t="b">
        <v>1</v>
      </c>
    </row>
    <row r="651" ht="15.75" customHeight="1">
      <c r="A651" s="9" t="s">
        <v>43761</v>
      </c>
      <c r="B651" s="9" t="s">
        <v>47</v>
      </c>
      <c r="C651" s="9" t="s">
        <v>39791</v>
      </c>
      <c r="D651" s="9" t="s">
        <v>43762</v>
      </c>
      <c r="E651" s="56">
        <v>44721.0</v>
      </c>
      <c r="F651" s="9" t="b">
        <v>1</v>
      </c>
      <c r="G651" s="9" t="s">
        <v>38801</v>
      </c>
      <c r="H651" s="9" t="s">
        <v>42576</v>
      </c>
      <c r="I651" s="9" t="b">
        <v>1</v>
      </c>
    </row>
    <row r="652" ht="15.75" customHeight="1">
      <c r="A652" s="9" t="s">
        <v>43763</v>
      </c>
      <c r="B652" s="9" t="s">
        <v>47</v>
      </c>
      <c r="C652" s="9" t="s">
        <v>39795</v>
      </c>
      <c r="D652" s="9" t="s">
        <v>43724</v>
      </c>
      <c r="E652" s="56">
        <v>44722.0</v>
      </c>
      <c r="F652" s="9" t="b">
        <v>1</v>
      </c>
      <c r="G652" s="9" t="s">
        <v>38801</v>
      </c>
      <c r="H652" s="9" t="s">
        <v>42576</v>
      </c>
      <c r="I652" s="9" t="b">
        <v>1</v>
      </c>
    </row>
    <row r="653" ht="15.75" customHeight="1">
      <c r="A653" s="9" t="s">
        <v>43764</v>
      </c>
      <c r="B653" s="9" t="s">
        <v>47</v>
      </c>
      <c r="C653" s="9" t="s">
        <v>39791</v>
      </c>
      <c r="D653" s="9" t="s">
        <v>42560</v>
      </c>
      <c r="E653" s="56">
        <v>44722.0</v>
      </c>
      <c r="F653" s="9" t="b">
        <v>1</v>
      </c>
      <c r="G653" s="9" t="s">
        <v>38801</v>
      </c>
      <c r="H653" s="9" t="s">
        <v>42560</v>
      </c>
      <c r="I653" s="9" t="b">
        <v>1</v>
      </c>
    </row>
    <row r="654" ht="15.75" customHeight="1">
      <c r="A654" s="9" t="s">
        <v>43765</v>
      </c>
      <c r="B654" s="9" t="s">
        <v>47</v>
      </c>
      <c r="C654" s="9" t="s">
        <v>39774</v>
      </c>
      <c r="D654" s="9" t="s">
        <v>43724</v>
      </c>
      <c r="E654" s="56">
        <v>44722.0</v>
      </c>
      <c r="F654" s="9" t="b">
        <v>1</v>
      </c>
      <c r="G654" s="9" t="s">
        <v>38801</v>
      </c>
      <c r="H654" s="9" t="s">
        <v>42576</v>
      </c>
      <c r="I654" s="9" t="b">
        <v>1</v>
      </c>
    </row>
    <row r="655" ht="15.75" customHeight="1">
      <c r="A655" s="9" t="s">
        <v>43766</v>
      </c>
      <c r="B655" s="9" t="s">
        <v>47</v>
      </c>
      <c r="C655" s="9" t="s">
        <v>39772</v>
      </c>
      <c r="D655" s="9" t="s">
        <v>43724</v>
      </c>
      <c r="E655" s="56">
        <v>44722.0</v>
      </c>
      <c r="F655" s="9" t="b">
        <v>1</v>
      </c>
      <c r="G655" s="9" t="s">
        <v>38801</v>
      </c>
      <c r="H655" s="9" t="s">
        <v>42576</v>
      </c>
      <c r="I655" s="9" t="b">
        <v>1</v>
      </c>
    </row>
    <row r="656" ht="15.75" customHeight="1">
      <c r="A656" s="9" t="s">
        <v>43767</v>
      </c>
      <c r="B656" s="9" t="s">
        <v>47</v>
      </c>
      <c r="C656" s="9" t="s">
        <v>39775</v>
      </c>
      <c r="D656" s="9" t="s">
        <v>43724</v>
      </c>
      <c r="E656" s="56">
        <v>44722.0</v>
      </c>
      <c r="F656" s="9" t="b">
        <v>1</v>
      </c>
      <c r="G656" s="9" t="s">
        <v>38801</v>
      </c>
      <c r="H656" s="9" t="s">
        <v>42560</v>
      </c>
      <c r="I656" s="9" t="b">
        <v>1</v>
      </c>
    </row>
    <row r="657" ht="15.75" customHeight="1">
      <c r="A657" s="9" t="s">
        <v>43768</v>
      </c>
      <c r="B657" s="9" t="s">
        <v>52</v>
      </c>
      <c r="C657" s="9" t="s">
        <v>39730</v>
      </c>
      <c r="D657" s="9" t="s">
        <v>43769</v>
      </c>
      <c r="E657" s="56">
        <v>44722.0</v>
      </c>
      <c r="F657" s="9" t="b">
        <v>1</v>
      </c>
      <c r="G657" s="9" t="s">
        <v>38801</v>
      </c>
      <c r="H657" s="9" t="s">
        <v>42576</v>
      </c>
      <c r="I657" s="9" t="b">
        <v>1</v>
      </c>
    </row>
    <row r="658" ht="15.75" customHeight="1">
      <c r="A658" s="9" t="s">
        <v>43770</v>
      </c>
      <c r="B658" s="9" t="s">
        <v>47</v>
      </c>
      <c r="C658" s="9" t="s">
        <v>39801</v>
      </c>
      <c r="D658" s="9" t="s">
        <v>43771</v>
      </c>
      <c r="E658" s="56">
        <v>44725.0</v>
      </c>
      <c r="F658" s="9" t="b">
        <v>1</v>
      </c>
      <c r="G658" s="9" t="s">
        <v>38801</v>
      </c>
      <c r="H658" s="9" t="s">
        <v>42576</v>
      </c>
      <c r="I658" s="9" t="b">
        <v>1</v>
      </c>
    </row>
    <row r="659" ht="15.75" customHeight="1">
      <c r="A659" s="9" t="s">
        <v>43772</v>
      </c>
      <c r="B659" s="9" t="s">
        <v>47</v>
      </c>
      <c r="C659" s="9" t="s">
        <v>39803</v>
      </c>
      <c r="D659" s="9" t="s">
        <v>43724</v>
      </c>
      <c r="E659" s="56">
        <v>44725.0</v>
      </c>
      <c r="F659" s="9" t="b">
        <v>1</v>
      </c>
      <c r="G659" s="9" t="s">
        <v>38801</v>
      </c>
      <c r="H659" s="9" t="s">
        <v>42576</v>
      </c>
      <c r="I659" s="9" t="b">
        <v>1</v>
      </c>
    </row>
    <row r="660" ht="15.75" customHeight="1">
      <c r="A660" s="9" t="s">
        <v>43773</v>
      </c>
      <c r="B660" s="9" t="s">
        <v>52</v>
      </c>
      <c r="C660" s="9" t="s">
        <v>39806</v>
      </c>
      <c r="D660" s="9" t="s">
        <v>43774</v>
      </c>
      <c r="E660" s="56">
        <v>44726.0</v>
      </c>
      <c r="F660" s="9" t="b">
        <v>1</v>
      </c>
      <c r="G660" s="9" t="s">
        <v>38801</v>
      </c>
      <c r="H660" s="9" t="s">
        <v>42576</v>
      </c>
      <c r="I660" s="9" t="b">
        <v>1</v>
      </c>
    </row>
    <row r="661" ht="15.75" customHeight="1">
      <c r="A661" s="9" t="s">
        <v>43775</v>
      </c>
      <c r="B661" s="9" t="s">
        <v>76</v>
      </c>
      <c r="C661" s="52" t="s">
        <v>39691</v>
      </c>
      <c r="D661" s="9" t="s">
        <v>43776</v>
      </c>
      <c r="E661" s="56">
        <v>44726.0</v>
      </c>
      <c r="F661" s="9" t="b">
        <v>1</v>
      </c>
      <c r="G661" s="9" t="s">
        <v>38801</v>
      </c>
      <c r="H661" s="9" t="s">
        <v>42576</v>
      </c>
      <c r="I661" s="9" t="b">
        <v>1</v>
      </c>
    </row>
    <row r="662" ht="15.75" customHeight="1">
      <c r="A662" s="9" t="s">
        <v>43777</v>
      </c>
      <c r="B662" s="9" t="s">
        <v>47</v>
      </c>
      <c r="C662" s="9" t="s">
        <v>39810</v>
      </c>
      <c r="D662" s="9" t="s">
        <v>43700</v>
      </c>
      <c r="E662" s="56">
        <v>44726.0</v>
      </c>
      <c r="F662" s="9" t="b">
        <v>1</v>
      </c>
      <c r="G662" s="9" t="s">
        <v>38801</v>
      </c>
      <c r="H662" s="9" t="s">
        <v>42576</v>
      </c>
      <c r="I662" s="9" t="b">
        <v>1</v>
      </c>
    </row>
    <row r="663" ht="15.75" customHeight="1">
      <c r="A663" s="9" t="s">
        <v>43778</v>
      </c>
      <c r="B663" s="9" t="s">
        <v>47</v>
      </c>
      <c r="C663" s="9" t="s">
        <v>39812</v>
      </c>
      <c r="D663" s="9" t="s">
        <v>43779</v>
      </c>
      <c r="E663" s="56">
        <v>44726.0</v>
      </c>
      <c r="F663" s="9" t="b">
        <v>1</v>
      </c>
      <c r="G663" s="9" t="s">
        <v>38801</v>
      </c>
      <c r="H663" s="9" t="s">
        <v>42576</v>
      </c>
      <c r="I663" s="9" t="b">
        <v>1</v>
      </c>
    </row>
    <row r="664" ht="15.75" customHeight="1">
      <c r="A664" s="9" t="s">
        <v>43780</v>
      </c>
      <c r="B664" s="9" t="s">
        <v>47</v>
      </c>
      <c r="C664" s="9" t="s">
        <v>39614</v>
      </c>
      <c r="D664" s="9" t="s">
        <v>43781</v>
      </c>
      <c r="E664" s="56">
        <v>44727.0</v>
      </c>
      <c r="F664" s="9" t="b">
        <v>1</v>
      </c>
      <c r="G664" s="9" t="s">
        <v>38801</v>
      </c>
      <c r="H664" s="9" t="s">
        <v>42576</v>
      </c>
      <c r="I664" s="9" t="b">
        <v>1</v>
      </c>
    </row>
    <row r="665" ht="15.75" customHeight="1">
      <c r="A665" s="9" t="s">
        <v>43782</v>
      </c>
      <c r="B665" s="9" t="s">
        <v>47</v>
      </c>
      <c r="C665" s="9" t="s">
        <v>39647</v>
      </c>
      <c r="D665" s="9" t="s">
        <v>43783</v>
      </c>
      <c r="E665" s="56">
        <v>44727.0</v>
      </c>
      <c r="F665" s="9" t="b">
        <v>1</v>
      </c>
      <c r="G665" s="9" t="s">
        <v>38801</v>
      </c>
      <c r="H665" s="9" t="s">
        <v>42576</v>
      </c>
      <c r="I665" s="9" t="b">
        <v>1</v>
      </c>
    </row>
    <row r="666" ht="15.75" customHeight="1">
      <c r="A666" s="9" t="s">
        <v>43784</v>
      </c>
      <c r="B666" s="9" t="s">
        <v>47</v>
      </c>
      <c r="C666" s="9" t="s">
        <v>39683</v>
      </c>
      <c r="D666" s="9" t="s">
        <v>43724</v>
      </c>
      <c r="E666" s="56">
        <v>44727.0</v>
      </c>
      <c r="F666" s="9" t="b">
        <v>1</v>
      </c>
      <c r="G666" s="9" t="s">
        <v>38801</v>
      </c>
      <c r="H666" s="9" t="s">
        <v>42576</v>
      </c>
      <c r="I666" s="9" t="b">
        <v>1</v>
      </c>
    </row>
    <row r="667" ht="15.75" customHeight="1">
      <c r="A667" s="9" t="s">
        <v>43785</v>
      </c>
      <c r="B667" s="9" t="s">
        <v>47</v>
      </c>
      <c r="C667" s="9" t="s">
        <v>39818</v>
      </c>
      <c r="D667" s="9" t="s">
        <v>43724</v>
      </c>
      <c r="E667" s="56">
        <v>44728.0</v>
      </c>
      <c r="F667" s="9" t="b">
        <v>1</v>
      </c>
      <c r="G667" s="9" t="s">
        <v>38801</v>
      </c>
      <c r="H667" s="9" t="s">
        <v>42576</v>
      </c>
      <c r="I667" s="9" t="b">
        <v>1</v>
      </c>
    </row>
    <row r="668" ht="15.75" customHeight="1">
      <c r="A668" s="52" t="s">
        <v>43786</v>
      </c>
      <c r="B668" s="9" t="s">
        <v>47</v>
      </c>
      <c r="C668" s="9" t="s">
        <v>39820</v>
      </c>
      <c r="D668" s="9" t="s">
        <v>43787</v>
      </c>
      <c r="E668" s="56">
        <v>44728.0</v>
      </c>
      <c r="F668" s="9" t="b">
        <v>1</v>
      </c>
      <c r="G668" s="9" t="s">
        <v>38801</v>
      </c>
      <c r="H668" s="9" t="s">
        <v>42576</v>
      </c>
      <c r="I668" s="9" t="b">
        <v>1</v>
      </c>
    </row>
    <row r="669" ht="15.75" customHeight="1">
      <c r="A669" s="9" t="s">
        <v>43788</v>
      </c>
      <c r="B669" s="9" t="s">
        <v>52</v>
      </c>
      <c r="C669" s="9" t="s">
        <v>39091</v>
      </c>
      <c r="D669" s="9" t="s">
        <v>43789</v>
      </c>
      <c r="E669" s="56">
        <v>44728.0</v>
      </c>
      <c r="F669" s="9" t="b">
        <v>1</v>
      </c>
      <c r="G669" s="9" t="s">
        <v>42585</v>
      </c>
      <c r="H669" s="9" t="s">
        <v>38800</v>
      </c>
    </row>
    <row r="670" ht="15.75" customHeight="1">
      <c r="A670" s="9" t="s">
        <v>43790</v>
      </c>
      <c r="B670" s="9" t="s">
        <v>52</v>
      </c>
      <c r="C670" s="9" t="s">
        <v>39767</v>
      </c>
      <c r="D670" s="9" t="s">
        <v>43791</v>
      </c>
      <c r="E670" s="56">
        <v>44728.0</v>
      </c>
      <c r="F670" s="9" t="b">
        <v>1</v>
      </c>
      <c r="G670" s="9" t="s">
        <v>42585</v>
      </c>
      <c r="H670" s="9" t="s">
        <v>42576</v>
      </c>
    </row>
    <row r="671" ht="15.75" customHeight="1">
      <c r="A671" s="9" t="s">
        <v>43792</v>
      </c>
      <c r="B671" s="9" t="s">
        <v>47</v>
      </c>
      <c r="C671" s="9" t="s">
        <v>39767</v>
      </c>
      <c r="D671" s="9" t="s">
        <v>42752</v>
      </c>
      <c r="E671" s="56">
        <v>44728.0</v>
      </c>
      <c r="F671" s="9" t="b">
        <v>1</v>
      </c>
      <c r="G671" s="9" t="s">
        <v>38801</v>
      </c>
      <c r="H671" s="9" t="s">
        <v>42576</v>
      </c>
      <c r="I671" s="9" t="b">
        <v>1</v>
      </c>
    </row>
    <row r="672" ht="15.75" customHeight="1">
      <c r="A672" s="9" t="s">
        <v>43793</v>
      </c>
      <c r="B672" s="9" t="s">
        <v>47</v>
      </c>
      <c r="C672" s="9" t="s">
        <v>39822</v>
      </c>
      <c r="D672" s="9" t="s">
        <v>43794</v>
      </c>
      <c r="E672" s="56">
        <v>44728.0</v>
      </c>
      <c r="F672" s="9" t="b">
        <v>1</v>
      </c>
      <c r="G672" s="9" t="s">
        <v>38801</v>
      </c>
      <c r="H672" s="9" t="s">
        <v>42576</v>
      </c>
      <c r="I672" s="9" t="b">
        <v>1</v>
      </c>
    </row>
    <row r="673" ht="15.75" customHeight="1">
      <c r="A673" s="9" t="s">
        <v>43795</v>
      </c>
      <c r="B673" s="9" t="s">
        <v>47</v>
      </c>
      <c r="C673" s="9" t="s">
        <v>39824</v>
      </c>
      <c r="D673" s="9" t="s">
        <v>43796</v>
      </c>
      <c r="E673" s="56">
        <v>44729.0</v>
      </c>
      <c r="F673" s="9" t="b">
        <v>1</v>
      </c>
      <c r="G673" s="9" t="s">
        <v>38801</v>
      </c>
      <c r="H673" s="9" t="s">
        <v>42576</v>
      </c>
      <c r="I673" s="9" t="b">
        <v>1</v>
      </c>
    </row>
    <row r="674" ht="15.75" customHeight="1">
      <c r="A674" s="9" t="s">
        <v>43797</v>
      </c>
      <c r="B674" s="9" t="s">
        <v>52</v>
      </c>
      <c r="C674" s="9" t="s">
        <v>39777</v>
      </c>
      <c r="D674" s="9" t="s">
        <v>43798</v>
      </c>
      <c r="E674" s="56">
        <v>44729.0</v>
      </c>
      <c r="F674" s="9" t="b">
        <v>1</v>
      </c>
      <c r="G674" s="9" t="s">
        <v>43228</v>
      </c>
      <c r="H674" s="9" t="s">
        <v>42576</v>
      </c>
    </row>
    <row r="675" ht="15.75" customHeight="1">
      <c r="A675" s="9" t="s">
        <v>43799</v>
      </c>
      <c r="B675" s="9" t="s">
        <v>52</v>
      </c>
      <c r="C675" s="9" t="s">
        <v>39826</v>
      </c>
      <c r="D675" s="9" t="s">
        <v>43800</v>
      </c>
      <c r="E675" s="56">
        <v>44729.0</v>
      </c>
      <c r="F675" s="9" t="b">
        <v>1</v>
      </c>
      <c r="G675" s="9" t="s">
        <v>43228</v>
      </c>
      <c r="H675" s="9" t="s">
        <v>42576</v>
      </c>
    </row>
    <row r="676" ht="15.75" customHeight="1">
      <c r="A676" s="9" t="s">
        <v>43801</v>
      </c>
      <c r="B676" s="9" t="s">
        <v>52</v>
      </c>
      <c r="C676" s="9" t="s">
        <v>39747</v>
      </c>
      <c r="D676" s="9" t="s">
        <v>43802</v>
      </c>
      <c r="E676" s="56">
        <v>44729.0</v>
      </c>
      <c r="F676" s="9" t="b">
        <v>1</v>
      </c>
      <c r="G676" s="9" t="s">
        <v>42585</v>
      </c>
      <c r="H676" s="9" t="s">
        <v>42560</v>
      </c>
    </row>
    <row r="677" ht="15.75" customHeight="1">
      <c r="A677" s="9" t="s">
        <v>43803</v>
      </c>
      <c r="B677" s="9" t="s">
        <v>47</v>
      </c>
      <c r="C677" s="9" t="s">
        <v>39829</v>
      </c>
      <c r="D677" s="9" t="s">
        <v>43804</v>
      </c>
      <c r="E677" s="56">
        <v>44733.0</v>
      </c>
      <c r="F677" s="9" t="b">
        <v>1</v>
      </c>
      <c r="G677" s="9" t="s">
        <v>38801</v>
      </c>
      <c r="H677" s="9" t="s">
        <v>42576</v>
      </c>
      <c r="I677" s="9" t="b">
        <v>1</v>
      </c>
    </row>
    <row r="678" ht="15.75" customHeight="1">
      <c r="A678" s="9" t="s">
        <v>43805</v>
      </c>
      <c r="B678" s="9" t="s">
        <v>47</v>
      </c>
      <c r="C678" s="9" t="s">
        <v>39596</v>
      </c>
      <c r="D678" s="9" t="s">
        <v>43806</v>
      </c>
      <c r="E678" s="56">
        <v>44733.0</v>
      </c>
      <c r="F678" s="9" t="b">
        <v>1</v>
      </c>
      <c r="G678" s="9" t="s">
        <v>38801</v>
      </c>
      <c r="H678" s="9" t="s">
        <v>42576</v>
      </c>
      <c r="I678" s="9" t="b">
        <v>1</v>
      </c>
    </row>
    <row r="679" ht="15.75" customHeight="1">
      <c r="A679" s="9" t="s">
        <v>43807</v>
      </c>
      <c r="B679" s="9" t="s">
        <v>47</v>
      </c>
      <c r="C679" s="9" t="s">
        <v>39827</v>
      </c>
      <c r="D679" s="9" t="s">
        <v>43808</v>
      </c>
      <c r="E679" s="56">
        <v>44733.0</v>
      </c>
      <c r="F679" s="9" t="b">
        <v>1</v>
      </c>
      <c r="G679" s="9" t="s">
        <v>43228</v>
      </c>
      <c r="H679" s="9" t="s">
        <v>42576</v>
      </c>
    </row>
    <row r="680" ht="15.75" customHeight="1">
      <c r="A680" s="9" t="s">
        <v>43809</v>
      </c>
      <c r="B680" s="9" t="s">
        <v>47</v>
      </c>
      <c r="C680" s="9" t="s">
        <v>39625</v>
      </c>
      <c r="D680" s="9" t="s">
        <v>43810</v>
      </c>
      <c r="E680" s="56">
        <v>44734.0</v>
      </c>
      <c r="F680" s="9" t="b">
        <v>1</v>
      </c>
      <c r="G680" s="9" t="s">
        <v>42573</v>
      </c>
      <c r="H680" s="9" t="s">
        <v>42560</v>
      </c>
    </row>
    <row r="681" ht="15.75" customHeight="1">
      <c r="A681" s="9" t="s">
        <v>43811</v>
      </c>
      <c r="B681" s="9" t="s">
        <v>47</v>
      </c>
      <c r="C681" s="9" t="s">
        <v>39625</v>
      </c>
      <c r="D681" s="9" t="s">
        <v>43724</v>
      </c>
      <c r="E681" s="56">
        <v>44734.0</v>
      </c>
      <c r="F681" s="9" t="b">
        <v>1</v>
      </c>
      <c r="G681" s="9" t="s">
        <v>38801</v>
      </c>
      <c r="H681" s="9" t="s">
        <v>42576</v>
      </c>
      <c r="I681" s="9" t="b">
        <v>1</v>
      </c>
    </row>
    <row r="682" ht="15.75" customHeight="1">
      <c r="A682" s="9" t="s">
        <v>43812</v>
      </c>
      <c r="B682" s="9" t="s">
        <v>47</v>
      </c>
      <c r="C682" s="9" t="s">
        <v>39686</v>
      </c>
      <c r="D682" s="9" t="s">
        <v>43724</v>
      </c>
      <c r="E682" s="56">
        <v>44734.0</v>
      </c>
      <c r="F682" s="9" t="b">
        <v>1</v>
      </c>
      <c r="G682" s="9" t="s">
        <v>38801</v>
      </c>
      <c r="H682" s="9" t="s">
        <v>42576</v>
      </c>
      <c r="I682" s="9" t="b">
        <v>1</v>
      </c>
    </row>
    <row r="683" ht="15.75" customHeight="1">
      <c r="A683" s="9" t="s">
        <v>43813</v>
      </c>
      <c r="B683" s="9" t="s">
        <v>47</v>
      </c>
      <c r="C683" s="9" t="s">
        <v>39833</v>
      </c>
      <c r="D683" s="9" t="s">
        <v>42560</v>
      </c>
      <c r="E683" s="56">
        <v>44734.0</v>
      </c>
      <c r="F683" s="9" t="b">
        <v>1</v>
      </c>
      <c r="G683" s="9" t="s">
        <v>38801</v>
      </c>
      <c r="H683" s="9" t="s">
        <v>42560</v>
      </c>
      <c r="I683" s="9" t="b">
        <v>1</v>
      </c>
    </row>
    <row r="684" ht="15.75" customHeight="1">
      <c r="A684" s="9" t="s">
        <v>43814</v>
      </c>
      <c r="B684" s="9" t="s">
        <v>47</v>
      </c>
      <c r="C684" s="9" t="s">
        <v>39835</v>
      </c>
      <c r="D684" s="9" t="s">
        <v>43724</v>
      </c>
      <c r="E684" s="56">
        <v>44734.0</v>
      </c>
      <c r="F684" s="9" t="b">
        <v>1</v>
      </c>
      <c r="G684" s="9" t="s">
        <v>38801</v>
      </c>
      <c r="H684" s="9" t="s">
        <v>42576</v>
      </c>
      <c r="I684" s="9" t="b">
        <v>1</v>
      </c>
    </row>
    <row r="685" ht="15.75" customHeight="1">
      <c r="A685" s="9" t="s">
        <v>43815</v>
      </c>
      <c r="B685" s="9" t="s">
        <v>47</v>
      </c>
      <c r="C685" s="9" t="s">
        <v>39761</v>
      </c>
      <c r="D685" s="9" t="s">
        <v>43724</v>
      </c>
      <c r="E685" s="56">
        <v>44734.0</v>
      </c>
      <c r="F685" s="9" t="b">
        <v>1</v>
      </c>
      <c r="G685" s="9" t="s">
        <v>38801</v>
      </c>
      <c r="H685" s="9" t="s">
        <v>42560</v>
      </c>
      <c r="I685" s="9" t="b">
        <v>1</v>
      </c>
    </row>
    <row r="686" ht="15.75" customHeight="1">
      <c r="A686" s="9" t="s">
        <v>43816</v>
      </c>
      <c r="B686" s="9" t="s">
        <v>47</v>
      </c>
      <c r="C686" s="9" t="s">
        <v>39793</v>
      </c>
      <c r="D686" s="9" t="s">
        <v>43724</v>
      </c>
      <c r="E686" s="56">
        <v>44735.0</v>
      </c>
      <c r="F686" s="9" t="b">
        <v>1</v>
      </c>
      <c r="G686" s="9" t="s">
        <v>38801</v>
      </c>
      <c r="H686" s="9" t="s">
        <v>42576</v>
      </c>
      <c r="I686" s="9" t="b">
        <v>1</v>
      </c>
    </row>
    <row r="687" ht="15.75" customHeight="1">
      <c r="A687" s="9" t="s">
        <v>43817</v>
      </c>
      <c r="B687" s="9" t="s">
        <v>47</v>
      </c>
      <c r="C687" s="9" t="s">
        <v>39655</v>
      </c>
      <c r="D687" s="9" t="s">
        <v>43818</v>
      </c>
      <c r="E687" s="56">
        <v>44735.0</v>
      </c>
      <c r="F687" s="9" t="b">
        <v>1</v>
      </c>
      <c r="G687" s="9" t="s">
        <v>38801</v>
      </c>
      <c r="H687" s="9" t="s">
        <v>42560</v>
      </c>
      <c r="I687" s="9" t="b">
        <v>1</v>
      </c>
    </row>
    <row r="688" ht="15.75" customHeight="1">
      <c r="A688" s="9" t="s">
        <v>43819</v>
      </c>
      <c r="B688" s="9" t="s">
        <v>47</v>
      </c>
      <c r="C688" s="9" t="s">
        <v>39797</v>
      </c>
      <c r="D688" s="9" t="s">
        <v>43724</v>
      </c>
      <c r="E688" s="56">
        <v>44735.0</v>
      </c>
      <c r="F688" s="9" t="b">
        <v>1</v>
      </c>
      <c r="G688" s="9" t="s">
        <v>38801</v>
      </c>
      <c r="H688" s="9" t="s">
        <v>42576</v>
      </c>
      <c r="I688" s="9" t="b">
        <v>1</v>
      </c>
    </row>
    <row r="689" ht="15.75" customHeight="1">
      <c r="A689" s="9" t="s">
        <v>43820</v>
      </c>
      <c r="B689" s="9" t="s">
        <v>47</v>
      </c>
      <c r="C689" s="9" t="s">
        <v>39839</v>
      </c>
      <c r="D689" s="9" t="s">
        <v>43724</v>
      </c>
      <c r="E689" s="56">
        <v>44736.0</v>
      </c>
      <c r="F689" s="9" t="b">
        <v>1</v>
      </c>
      <c r="G689" s="9" t="s">
        <v>38801</v>
      </c>
      <c r="H689" s="9" t="s">
        <v>42576</v>
      </c>
      <c r="I689" s="9" t="b">
        <v>1</v>
      </c>
    </row>
    <row r="690" ht="15.75" customHeight="1">
      <c r="A690" s="9" t="s">
        <v>43821</v>
      </c>
      <c r="B690" s="9" t="s">
        <v>47</v>
      </c>
      <c r="C690" s="9" t="s">
        <v>39837</v>
      </c>
      <c r="D690" s="9" t="s">
        <v>43724</v>
      </c>
      <c r="E690" s="56">
        <v>44736.0</v>
      </c>
      <c r="F690" s="9" t="b">
        <v>1</v>
      </c>
      <c r="G690" s="9" t="s">
        <v>38801</v>
      </c>
      <c r="H690" s="9" t="s">
        <v>42576</v>
      </c>
      <c r="I690" s="9" t="b">
        <v>1</v>
      </c>
    </row>
    <row r="691" ht="15.75" customHeight="1">
      <c r="A691" s="9" t="s">
        <v>43822</v>
      </c>
      <c r="B691" s="9" t="s">
        <v>47</v>
      </c>
      <c r="C691" s="9" t="s">
        <v>39800</v>
      </c>
      <c r="D691" s="9" t="s">
        <v>43724</v>
      </c>
      <c r="E691" s="56">
        <v>44736.0</v>
      </c>
      <c r="F691" s="9" t="b">
        <v>1</v>
      </c>
      <c r="G691" s="9" t="s">
        <v>38801</v>
      </c>
      <c r="H691" s="9" t="s">
        <v>42576</v>
      </c>
      <c r="I691" s="9" t="b">
        <v>1</v>
      </c>
    </row>
    <row r="692" ht="15.75" customHeight="1">
      <c r="A692" s="9" t="s">
        <v>43823</v>
      </c>
      <c r="B692" s="9" t="s">
        <v>47</v>
      </c>
      <c r="C692" s="9" t="s">
        <v>39590</v>
      </c>
      <c r="D692" s="9" t="s">
        <v>43824</v>
      </c>
      <c r="E692" s="56">
        <v>44736.0</v>
      </c>
      <c r="F692" s="9" t="b">
        <v>1</v>
      </c>
      <c r="G692" s="9" t="s">
        <v>43228</v>
      </c>
      <c r="H692" s="9" t="s">
        <v>42560</v>
      </c>
    </row>
    <row r="693" ht="15.75" customHeight="1">
      <c r="A693" s="9" t="s">
        <v>43825</v>
      </c>
      <c r="B693" s="9" t="s">
        <v>47</v>
      </c>
      <c r="C693" s="9" t="s">
        <v>39841</v>
      </c>
      <c r="D693" s="9" t="s">
        <v>42560</v>
      </c>
      <c r="E693" s="56">
        <v>44736.0</v>
      </c>
      <c r="F693" s="9" t="b">
        <v>1</v>
      </c>
      <c r="G693" s="9" t="s">
        <v>38801</v>
      </c>
      <c r="H693" s="9" t="s">
        <v>42576</v>
      </c>
      <c r="I693" s="9" t="b">
        <v>1</v>
      </c>
    </row>
    <row r="694" ht="15.75" customHeight="1">
      <c r="A694" s="9" t="s">
        <v>43826</v>
      </c>
      <c r="B694" s="9" t="s">
        <v>47</v>
      </c>
      <c r="C694" s="9" t="s">
        <v>39843</v>
      </c>
      <c r="D694" s="9" t="s">
        <v>42560</v>
      </c>
      <c r="E694" s="56">
        <v>44736.0</v>
      </c>
      <c r="F694" s="9" t="b">
        <v>1</v>
      </c>
      <c r="G694" s="9" t="s">
        <v>38801</v>
      </c>
      <c r="H694" s="9" t="s">
        <v>42560</v>
      </c>
      <c r="I694" s="9" t="b">
        <v>1</v>
      </c>
    </row>
    <row r="695" ht="15.75" customHeight="1">
      <c r="A695" s="9" t="s">
        <v>43827</v>
      </c>
      <c r="B695" s="9" t="s">
        <v>47</v>
      </c>
      <c r="C695" s="9" t="s">
        <v>39808</v>
      </c>
      <c r="D695" s="9" t="s">
        <v>43724</v>
      </c>
      <c r="E695" s="56">
        <v>44740.0</v>
      </c>
      <c r="F695" s="9" t="b">
        <v>1</v>
      </c>
      <c r="G695" s="9" t="s">
        <v>38801</v>
      </c>
      <c r="H695" s="9" t="s">
        <v>42576</v>
      </c>
      <c r="I695" s="9" t="b">
        <v>1</v>
      </c>
    </row>
    <row r="696" ht="15.75" customHeight="1">
      <c r="A696" s="9" t="s">
        <v>43828</v>
      </c>
      <c r="B696" s="9" t="s">
        <v>52</v>
      </c>
      <c r="C696" s="9" t="s">
        <v>39747</v>
      </c>
      <c r="D696" s="9" t="s">
        <v>43829</v>
      </c>
      <c r="E696" s="56">
        <v>44741.0</v>
      </c>
      <c r="F696" s="9" t="b">
        <v>1</v>
      </c>
      <c r="G696" s="9" t="s">
        <v>43228</v>
      </c>
      <c r="H696" s="9" t="s">
        <v>42576</v>
      </c>
    </row>
    <row r="697" ht="15.75" customHeight="1">
      <c r="A697" s="9" t="s">
        <v>43830</v>
      </c>
      <c r="B697" s="9" t="s">
        <v>47</v>
      </c>
      <c r="C697" s="9" t="s">
        <v>39798</v>
      </c>
      <c r="D697" s="9" t="s">
        <v>42560</v>
      </c>
      <c r="E697" s="56">
        <v>44742.0</v>
      </c>
      <c r="F697" s="9" t="b">
        <v>1</v>
      </c>
      <c r="G697" s="9" t="s">
        <v>38801</v>
      </c>
      <c r="H697" s="9" t="s">
        <v>42576</v>
      </c>
      <c r="I697" s="9" t="b">
        <v>1</v>
      </c>
    </row>
    <row r="698" ht="15.75" customHeight="1">
      <c r="A698" s="9" t="s">
        <v>43831</v>
      </c>
      <c r="B698" s="9" t="s">
        <v>47</v>
      </c>
      <c r="C698" s="9" t="s">
        <v>39815</v>
      </c>
      <c r="D698" s="9" t="s">
        <v>42560</v>
      </c>
      <c r="E698" s="56">
        <v>44742.0</v>
      </c>
      <c r="F698" s="9" t="b">
        <v>1</v>
      </c>
      <c r="G698" s="9" t="s">
        <v>38801</v>
      </c>
      <c r="H698" s="9" t="s">
        <v>42576</v>
      </c>
      <c r="I698" s="9" t="b">
        <v>1</v>
      </c>
    </row>
    <row r="699" ht="15.75" customHeight="1">
      <c r="A699" s="9" t="s">
        <v>43832</v>
      </c>
      <c r="B699" s="9" t="s">
        <v>47</v>
      </c>
      <c r="C699" s="9" t="s">
        <v>39816</v>
      </c>
      <c r="D699" s="9" t="s">
        <v>42560</v>
      </c>
      <c r="E699" s="56">
        <v>44742.0</v>
      </c>
      <c r="F699" s="9" t="b">
        <v>1</v>
      </c>
      <c r="G699" s="9" t="s">
        <v>38801</v>
      </c>
      <c r="H699" s="9" t="s">
        <v>42576</v>
      </c>
      <c r="I699" s="9" t="b">
        <v>1</v>
      </c>
    </row>
    <row r="700" ht="15.75" customHeight="1">
      <c r="A700" s="9" t="s">
        <v>43833</v>
      </c>
      <c r="B700" s="9" t="s">
        <v>47</v>
      </c>
      <c r="C700" s="9" t="s">
        <v>39846</v>
      </c>
      <c r="D700" s="9" t="s">
        <v>43834</v>
      </c>
      <c r="E700" s="56">
        <v>44742.0</v>
      </c>
      <c r="F700" s="9" t="b">
        <v>1</v>
      </c>
      <c r="G700" s="9" t="s">
        <v>42573</v>
      </c>
      <c r="H700" s="9" t="s">
        <v>42576</v>
      </c>
    </row>
    <row r="701" ht="15.75" customHeight="1">
      <c r="A701" s="9" t="s">
        <v>43835</v>
      </c>
      <c r="B701" s="9" t="s">
        <v>52</v>
      </c>
      <c r="C701" s="9" t="s">
        <v>39702</v>
      </c>
      <c r="D701" s="9" t="s">
        <v>43836</v>
      </c>
      <c r="E701" s="56">
        <v>44742.0</v>
      </c>
      <c r="F701" s="9" t="b">
        <v>1</v>
      </c>
      <c r="G701" s="9" t="s">
        <v>38801</v>
      </c>
      <c r="H701" s="9" t="s">
        <v>42576</v>
      </c>
      <c r="I701" s="9" t="b">
        <v>1</v>
      </c>
    </row>
    <row r="702" ht="15.75" customHeight="1">
      <c r="A702" s="9" t="s">
        <v>43837</v>
      </c>
      <c r="B702" s="9" t="s">
        <v>47</v>
      </c>
      <c r="C702" s="9" t="s">
        <v>39235</v>
      </c>
      <c r="D702" s="9" t="s">
        <v>43838</v>
      </c>
      <c r="E702" s="56">
        <v>44743.0</v>
      </c>
      <c r="F702" s="9" t="b">
        <v>1</v>
      </c>
      <c r="G702" s="9" t="s">
        <v>42573</v>
      </c>
      <c r="H702" s="9" t="s">
        <v>42560</v>
      </c>
    </row>
    <row r="703" ht="15.75" customHeight="1">
      <c r="A703" s="9" t="s">
        <v>43839</v>
      </c>
      <c r="B703" s="9" t="s">
        <v>52</v>
      </c>
      <c r="C703" s="9" t="s">
        <v>39498</v>
      </c>
      <c r="D703" s="9" t="s">
        <v>43840</v>
      </c>
      <c r="E703" s="56">
        <v>44746.0</v>
      </c>
      <c r="F703" s="9" t="b">
        <v>1</v>
      </c>
      <c r="G703" s="9" t="s">
        <v>38801</v>
      </c>
      <c r="H703" s="9" t="s">
        <v>42576</v>
      </c>
      <c r="I703" s="9" t="b">
        <v>1</v>
      </c>
    </row>
    <row r="704" ht="15.75" customHeight="1">
      <c r="A704" s="9" t="s">
        <v>43841</v>
      </c>
      <c r="B704" s="9" t="s">
        <v>47</v>
      </c>
      <c r="C704" s="9" t="s">
        <v>39763</v>
      </c>
      <c r="D704" s="9" t="s">
        <v>43842</v>
      </c>
      <c r="E704" s="56">
        <v>44747.0</v>
      </c>
      <c r="F704" s="9" t="b">
        <v>1</v>
      </c>
      <c r="G704" s="9" t="s">
        <v>38801</v>
      </c>
      <c r="H704" s="9" t="s">
        <v>42576</v>
      </c>
      <c r="I704" s="9" t="b">
        <v>1</v>
      </c>
    </row>
    <row r="705" ht="15.75" customHeight="1">
      <c r="A705" s="9" t="s">
        <v>43843</v>
      </c>
      <c r="B705" s="9" t="s">
        <v>47</v>
      </c>
      <c r="C705" s="9" t="s">
        <v>39850</v>
      </c>
      <c r="D705" s="9" t="s">
        <v>43844</v>
      </c>
      <c r="E705" s="56">
        <v>44747.0</v>
      </c>
      <c r="F705" s="9" t="b">
        <v>1</v>
      </c>
      <c r="G705" s="9" t="s">
        <v>38801</v>
      </c>
      <c r="H705" s="9" t="s">
        <v>42576</v>
      </c>
      <c r="I705" s="9" t="b">
        <v>1</v>
      </c>
    </row>
    <row r="706" ht="15.75" customHeight="1">
      <c r="A706" s="9" t="s">
        <v>43845</v>
      </c>
      <c r="B706" s="9" t="s">
        <v>47</v>
      </c>
      <c r="C706" s="9" t="s">
        <v>39846</v>
      </c>
      <c r="D706" s="9" t="s">
        <v>43846</v>
      </c>
      <c r="E706" s="56">
        <v>44747.0</v>
      </c>
      <c r="F706" s="9" t="b">
        <v>1</v>
      </c>
      <c r="G706" s="9" t="s">
        <v>38801</v>
      </c>
      <c r="H706" s="9" t="s">
        <v>42576</v>
      </c>
      <c r="I706" s="9" t="b">
        <v>1</v>
      </c>
    </row>
    <row r="707" ht="15.75" customHeight="1">
      <c r="A707" s="9" t="s">
        <v>43847</v>
      </c>
      <c r="B707" s="9" t="s">
        <v>47</v>
      </c>
      <c r="C707" s="9" t="s">
        <v>39864</v>
      </c>
      <c r="D707" s="9" t="s">
        <v>43848</v>
      </c>
      <c r="E707" s="56">
        <v>44747.0</v>
      </c>
      <c r="F707" s="9" t="b">
        <v>1</v>
      </c>
      <c r="G707" s="9" t="s">
        <v>38801</v>
      </c>
      <c r="H707" s="9" t="s">
        <v>42576</v>
      </c>
      <c r="I707" s="9" t="b">
        <v>1</v>
      </c>
    </row>
    <row r="708" ht="15.75" customHeight="1">
      <c r="A708" s="9" t="s">
        <v>43849</v>
      </c>
      <c r="B708" s="9" t="s">
        <v>47</v>
      </c>
      <c r="C708" s="9" t="s">
        <v>39862</v>
      </c>
      <c r="D708" s="9" t="s">
        <v>43850</v>
      </c>
      <c r="E708" s="56">
        <v>44747.0</v>
      </c>
      <c r="F708" s="9" t="b">
        <v>1</v>
      </c>
      <c r="G708" s="9" t="s">
        <v>38801</v>
      </c>
      <c r="H708" s="9" t="s">
        <v>42576</v>
      </c>
      <c r="I708" s="9" t="b">
        <v>1</v>
      </c>
    </row>
    <row r="709" ht="15.75" customHeight="1">
      <c r="A709" s="9" t="s">
        <v>43851</v>
      </c>
      <c r="B709" s="9" t="s">
        <v>47</v>
      </c>
      <c r="C709" s="9" t="s">
        <v>39854</v>
      </c>
      <c r="D709" s="9" t="s">
        <v>43852</v>
      </c>
      <c r="E709" s="56">
        <v>44747.0</v>
      </c>
      <c r="F709" s="9" t="b">
        <v>1</v>
      </c>
      <c r="G709" s="9" t="s">
        <v>38801</v>
      </c>
      <c r="H709" s="9" t="s">
        <v>42576</v>
      </c>
      <c r="I709" s="9" t="b">
        <v>1</v>
      </c>
    </row>
    <row r="710" ht="15.75" customHeight="1">
      <c r="A710" s="9" t="s">
        <v>43853</v>
      </c>
      <c r="B710" s="9" t="s">
        <v>47</v>
      </c>
      <c r="C710" s="9" t="s">
        <v>39866</v>
      </c>
      <c r="D710" s="9" t="s">
        <v>43854</v>
      </c>
      <c r="E710" s="56">
        <v>44747.0</v>
      </c>
      <c r="F710" s="9" t="b">
        <v>1</v>
      </c>
      <c r="G710" s="9" t="s">
        <v>38801</v>
      </c>
      <c r="H710" s="9" t="s">
        <v>42576</v>
      </c>
      <c r="I710" s="9" t="b">
        <v>1</v>
      </c>
    </row>
    <row r="711" ht="15.75" customHeight="1">
      <c r="A711" s="9" t="s">
        <v>43855</v>
      </c>
      <c r="B711" s="9" t="s">
        <v>52</v>
      </c>
      <c r="C711" s="9" t="s">
        <v>39860</v>
      </c>
      <c r="D711" s="9" t="s">
        <v>43856</v>
      </c>
      <c r="E711" s="56">
        <v>44747.0</v>
      </c>
      <c r="F711" s="9" t="b">
        <v>1</v>
      </c>
      <c r="G711" s="9" t="s">
        <v>43228</v>
      </c>
      <c r="H711" s="9" t="s">
        <v>42576</v>
      </c>
    </row>
    <row r="712" ht="15.75" customHeight="1">
      <c r="A712" s="9" t="s">
        <v>43857</v>
      </c>
      <c r="B712" s="9" t="s">
        <v>47</v>
      </c>
      <c r="C712" s="9" t="s">
        <v>39856</v>
      </c>
      <c r="D712" s="9" t="s">
        <v>43858</v>
      </c>
      <c r="E712" s="56">
        <v>44747.0</v>
      </c>
      <c r="F712" s="9" t="b">
        <v>1</v>
      </c>
      <c r="G712" s="9" t="s">
        <v>43228</v>
      </c>
      <c r="H712" s="9" t="s">
        <v>42576</v>
      </c>
    </row>
    <row r="713" ht="15.75" customHeight="1">
      <c r="A713" s="9" t="s">
        <v>43859</v>
      </c>
      <c r="B713" s="9" t="s">
        <v>47</v>
      </c>
      <c r="C713" s="9" t="s">
        <v>39858</v>
      </c>
      <c r="D713" s="9" t="s">
        <v>43860</v>
      </c>
      <c r="E713" s="56">
        <v>44747.0</v>
      </c>
      <c r="F713" s="9" t="b">
        <v>1</v>
      </c>
      <c r="G713" s="9" t="s">
        <v>43228</v>
      </c>
      <c r="H713" s="9" t="s">
        <v>42576</v>
      </c>
    </row>
    <row r="714" ht="15.75" customHeight="1">
      <c r="A714" s="9" t="s">
        <v>43861</v>
      </c>
      <c r="B714" s="9" t="s">
        <v>52</v>
      </c>
      <c r="C714" s="9" t="s">
        <v>39861</v>
      </c>
      <c r="D714" s="9" t="s">
        <v>43862</v>
      </c>
      <c r="E714" s="56">
        <v>44747.0</v>
      </c>
      <c r="F714" s="9" t="b">
        <v>1</v>
      </c>
      <c r="G714" s="9" t="s">
        <v>43228</v>
      </c>
      <c r="H714" s="9" t="s">
        <v>42576</v>
      </c>
    </row>
    <row r="715" ht="15.75" customHeight="1">
      <c r="A715" s="9" t="s">
        <v>43863</v>
      </c>
      <c r="B715" s="9" t="s">
        <v>76</v>
      </c>
      <c r="C715" s="9" t="s">
        <v>39781</v>
      </c>
      <c r="D715" s="9" t="s">
        <v>43864</v>
      </c>
      <c r="E715" s="56">
        <v>44748.0</v>
      </c>
      <c r="F715" s="9" t="b">
        <v>1</v>
      </c>
      <c r="G715" s="9" t="s">
        <v>38801</v>
      </c>
      <c r="H715" s="9" t="s">
        <v>42576</v>
      </c>
      <c r="I715" s="9" t="b">
        <v>1</v>
      </c>
    </row>
    <row r="716" ht="15.75" customHeight="1">
      <c r="A716" s="9" t="s">
        <v>43865</v>
      </c>
      <c r="B716" s="9" t="s">
        <v>47</v>
      </c>
      <c r="C716" s="9" t="s">
        <v>39831</v>
      </c>
      <c r="D716" s="9" t="s">
        <v>43866</v>
      </c>
      <c r="E716" s="56">
        <v>44749.0</v>
      </c>
      <c r="F716" s="9" t="b">
        <v>1</v>
      </c>
      <c r="G716" s="9" t="s">
        <v>38801</v>
      </c>
      <c r="H716" s="9" t="s">
        <v>42576</v>
      </c>
      <c r="I716" s="9" t="b">
        <v>1</v>
      </c>
    </row>
    <row r="717" ht="15.75" customHeight="1">
      <c r="A717" s="9" t="s">
        <v>43867</v>
      </c>
      <c r="B717" s="9" t="s">
        <v>47</v>
      </c>
      <c r="C717" s="9" t="s">
        <v>39868</v>
      </c>
      <c r="D717" s="9" t="s">
        <v>43868</v>
      </c>
      <c r="E717" s="56">
        <v>44749.0</v>
      </c>
      <c r="F717" s="9" t="b">
        <v>1</v>
      </c>
      <c r="G717" s="9" t="s">
        <v>38801</v>
      </c>
      <c r="H717" s="9" t="s">
        <v>42576</v>
      </c>
      <c r="I717" s="9" t="b">
        <v>1</v>
      </c>
    </row>
    <row r="718" ht="15.75" customHeight="1">
      <c r="A718" s="9" t="s">
        <v>43869</v>
      </c>
      <c r="B718" s="9" t="s">
        <v>47</v>
      </c>
      <c r="C718" s="9" t="s">
        <v>39873</v>
      </c>
      <c r="D718" s="9" t="s">
        <v>43870</v>
      </c>
      <c r="E718" s="56">
        <v>44750.0</v>
      </c>
      <c r="F718" s="9" t="b">
        <v>1</v>
      </c>
      <c r="G718" s="9" t="s">
        <v>38801</v>
      </c>
      <c r="H718" s="9" t="s">
        <v>42576</v>
      </c>
      <c r="I718" s="9" t="b">
        <v>1</v>
      </c>
    </row>
    <row r="719" ht="15.75" customHeight="1">
      <c r="A719" s="9" t="s">
        <v>43871</v>
      </c>
      <c r="B719" s="9" t="s">
        <v>47</v>
      </c>
      <c r="C719" s="9" t="s">
        <v>39872</v>
      </c>
      <c r="D719" s="9" t="s">
        <v>42752</v>
      </c>
      <c r="E719" s="56">
        <v>44750.0</v>
      </c>
      <c r="F719" s="9" t="b">
        <v>1</v>
      </c>
      <c r="G719" s="9" t="s">
        <v>38801</v>
      </c>
      <c r="H719" s="9" t="s">
        <v>42576</v>
      </c>
      <c r="I719" s="9" t="b">
        <v>1</v>
      </c>
    </row>
    <row r="720" ht="15.75" customHeight="1">
      <c r="A720" s="9" t="s">
        <v>43872</v>
      </c>
      <c r="B720" s="9" t="s">
        <v>47</v>
      </c>
      <c r="C720" s="9" t="s">
        <v>39841</v>
      </c>
      <c r="D720" s="9" t="s">
        <v>43873</v>
      </c>
      <c r="E720" s="56">
        <v>44750.0</v>
      </c>
      <c r="F720" s="9" t="b">
        <v>1</v>
      </c>
      <c r="G720" s="9" t="s">
        <v>43228</v>
      </c>
      <c r="H720" s="9" t="s">
        <v>42576</v>
      </c>
    </row>
    <row r="721" ht="15.75" customHeight="1">
      <c r="A721" s="9" t="s">
        <v>43874</v>
      </c>
      <c r="B721" s="9" t="s">
        <v>52</v>
      </c>
      <c r="C721" s="9" t="s">
        <v>39848</v>
      </c>
      <c r="D721" s="9" t="s">
        <v>43875</v>
      </c>
      <c r="E721" s="56">
        <v>44750.0</v>
      </c>
      <c r="F721" s="9" t="b">
        <v>1</v>
      </c>
      <c r="G721" s="9" t="s">
        <v>43228</v>
      </c>
      <c r="H721" s="9" t="s">
        <v>42576</v>
      </c>
    </row>
    <row r="722" ht="15.75" customHeight="1">
      <c r="A722" s="9" t="s">
        <v>43876</v>
      </c>
      <c r="B722" s="9" t="s">
        <v>47</v>
      </c>
      <c r="C722" s="9" t="s">
        <v>39875</v>
      </c>
      <c r="D722" s="9" t="s">
        <v>43877</v>
      </c>
      <c r="E722" s="56">
        <v>44757.0</v>
      </c>
      <c r="F722" s="9" t="b">
        <v>1</v>
      </c>
      <c r="G722" s="9" t="s">
        <v>38801</v>
      </c>
      <c r="H722" s="9" t="s">
        <v>42576</v>
      </c>
      <c r="I722" s="9" t="b">
        <v>1</v>
      </c>
    </row>
    <row r="723" ht="15.75" customHeight="1">
      <c r="A723" s="9" t="s">
        <v>43878</v>
      </c>
      <c r="B723" s="9" t="s">
        <v>47</v>
      </c>
      <c r="C723" s="9" t="s">
        <v>39877</v>
      </c>
      <c r="D723" s="9" t="s">
        <v>43796</v>
      </c>
      <c r="E723" s="56">
        <v>44757.0</v>
      </c>
      <c r="F723" s="9" t="b">
        <v>1</v>
      </c>
      <c r="G723" s="9" t="s">
        <v>38801</v>
      </c>
      <c r="H723" s="9" t="s">
        <v>42576</v>
      </c>
      <c r="I723" s="9" t="b">
        <v>1</v>
      </c>
    </row>
    <row r="724" ht="15.75" customHeight="1">
      <c r="A724" s="9" t="s">
        <v>43879</v>
      </c>
      <c r="B724" s="9" t="s">
        <v>47</v>
      </c>
      <c r="C724" s="9" t="s">
        <v>39884</v>
      </c>
      <c r="D724" s="9" t="s">
        <v>42752</v>
      </c>
      <c r="E724" s="56">
        <v>44760.0</v>
      </c>
      <c r="F724" s="9" t="b">
        <v>1</v>
      </c>
      <c r="G724" s="9" t="s">
        <v>38801</v>
      </c>
      <c r="H724" s="9" t="s">
        <v>42576</v>
      </c>
      <c r="I724" s="9" t="b">
        <v>1</v>
      </c>
    </row>
    <row r="725" ht="15.75" customHeight="1">
      <c r="A725" s="9" t="s">
        <v>43880</v>
      </c>
      <c r="B725" s="9" t="s">
        <v>47</v>
      </c>
      <c r="C725" s="9" t="s">
        <v>39753</v>
      </c>
      <c r="D725" s="9" t="s">
        <v>43881</v>
      </c>
      <c r="E725" s="56">
        <v>44760.0</v>
      </c>
      <c r="F725" s="9" t="b">
        <v>1</v>
      </c>
      <c r="G725" s="9" t="s">
        <v>43228</v>
      </c>
      <c r="H725" s="9" t="s">
        <v>38800</v>
      </c>
    </row>
    <row r="726" ht="15.75" customHeight="1">
      <c r="A726" s="9" t="s">
        <v>43882</v>
      </c>
      <c r="B726" s="9" t="s">
        <v>47</v>
      </c>
      <c r="C726" s="9" t="s">
        <v>39751</v>
      </c>
      <c r="D726" s="9" t="s">
        <v>43883</v>
      </c>
      <c r="E726" s="56">
        <v>44760.0</v>
      </c>
      <c r="F726" s="9" t="b">
        <v>1</v>
      </c>
      <c r="G726" s="9" t="s">
        <v>43228</v>
      </c>
      <c r="H726" s="9" t="s">
        <v>38800</v>
      </c>
    </row>
    <row r="727" ht="15.75" customHeight="1">
      <c r="A727" s="9" t="s">
        <v>43884</v>
      </c>
      <c r="B727" s="9" t="s">
        <v>47</v>
      </c>
      <c r="C727" s="9" t="s">
        <v>39878</v>
      </c>
      <c r="D727" s="9" t="s">
        <v>42560</v>
      </c>
      <c r="E727" s="56">
        <v>44760.0</v>
      </c>
      <c r="F727" s="9" t="b">
        <v>1</v>
      </c>
      <c r="G727" s="9" t="s">
        <v>38801</v>
      </c>
      <c r="H727" s="9" t="s">
        <v>42576</v>
      </c>
      <c r="I727" s="9" t="b">
        <v>1</v>
      </c>
    </row>
    <row r="728" ht="15.75" customHeight="1">
      <c r="A728" s="9" t="s">
        <v>43885</v>
      </c>
      <c r="B728" s="9" t="s">
        <v>47</v>
      </c>
      <c r="C728" s="52" t="s">
        <v>39886</v>
      </c>
      <c r="D728" s="9" t="s">
        <v>43886</v>
      </c>
      <c r="E728" s="56">
        <v>44760.0</v>
      </c>
      <c r="F728" s="9" t="b">
        <v>1</v>
      </c>
      <c r="G728" s="9" t="s">
        <v>38801</v>
      </c>
      <c r="H728" s="9" t="s">
        <v>42576</v>
      </c>
      <c r="I728" s="9" t="b">
        <v>1</v>
      </c>
    </row>
    <row r="729" ht="15.75" customHeight="1">
      <c r="A729" s="9" t="s">
        <v>43887</v>
      </c>
      <c r="B729" s="9" t="s">
        <v>47</v>
      </c>
      <c r="C729" s="9" t="s">
        <v>39880</v>
      </c>
      <c r="D729" s="9" t="s">
        <v>43888</v>
      </c>
      <c r="E729" s="56">
        <v>44760.0</v>
      </c>
      <c r="F729" s="9" t="b">
        <v>1</v>
      </c>
      <c r="G729" s="9" t="s">
        <v>42573</v>
      </c>
      <c r="H729" s="9" t="s">
        <v>42560</v>
      </c>
    </row>
    <row r="730" ht="15.75" customHeight="1">
      <c r="A730" s="52" t="s">
        <v>43889</v>
      </c>
      <c r="B730" s="9" t="s">
        <v>47</v>
      </c>
      <c r="C730" s="9" t="s">
        <v>39888</v>
      </c>
      <c r="D730" s="9" t="s">
        <v>42560</v>
      </c>
      <c r="E730" s="56">
        <v>44760.0</v>
      </c>
      <c r="F730" s="9" t="b">
        <v>1</v>
      </c>
      <c r="G730" s="9" t="s">
        <v>38801</v>
      </c>
      <c r="H730" s="9" t="s">
        <v>42576</v>
      </c>
      <c r="I730" s="9" t="b">
        <v>1</v>
      </c>
    </row>
    <row r="731" ht="15.75" customHeight="1">
      <c r="A731" s="9" t="s">
        <v>43890</v>
      </c>
      <c r="B731" s="9" t="s">
        <v>47</v>
      </c>
      <c r="C731" s="9" t="s">
        <v>39882</v>
      </c>
      <c r="D731" s="9" t="s">
        <v>43891</v>
      </c>
      <c r="E731" s="56">
        <v>44760.0</v>
      </c>
      <c r="F731" s="9" t="b">
        <v>1</v>
      </c>
      <c r="G731" s="9" t="s">
        <v>42573</v>
      </c>
      <c r="H731" s="9" t="s">
        <v>42560</v>
      </c>
    </row>
    <row r="732" ht="15.75" customHeight="1">
      <c r="A732" s="9" t="s">
        <v>43892</v>
      </c>
      <c r="B732" s="9" t="s">
        <v>47</v>
      </c>
      <c r="C732" s="9" t="s">
        <v>39892</v>
      </c>
      <c r="D732" s="9" t="s">
        <v>43893</v>
      </c>
      <c r="E732" s="56">
        <v>44761.0</v>
      </c>
      <c r="F732" s="9" t="b">
        <v>1</v>
      </c>
      <c r="G732" s="9" t="s">
        <v>38801</v>
      </c>
      <c r="H732" s="9" t="s">
        <v>42576</v>
      </c>
      <c r="I732" s="9" t="b">
        <v>1</v>
      </c>
    </row>
    <row r="733" ht="15.75" customHeight="1">
      <c r="A733" s="9" t="s">
        <v>43894</v>
      </c>
      <c r="B733" s="9" t="s">
        <v>47</v>
      </c>
      <c r="C733" s="9" t="s">
        <v>39870</v>
      </c>
      <c r="D733" s="9" t="s">
        <v>43895</v>
      </c>
      <c r="E733" s="56">
        <v>44761.0</v>
      </c>
      <c r="F733" s="9" t="b">
        <v>1</v>
      </c>
      <c r="G733" s="9" t="s">
        <v>38801</v>
      </c>
      <c r="H733" s="9" t="s">
        <v>42576</v>
      </c>
      <c r="I733" s="9" t="b">
        <v>1</v>
      </c>
    </row>
    <row r="734" ht="15.75" customHeight="1">
      <c r="A734" s="9" t="s">
        <v>43896</v>
      </c>
      <c r="B734" s="9" t="s">
        <v>47</v>
      </c>
      <c r="C734" s="9" t="s">
        <v>39894</v>
      </c>
      <c r="D734" s="9" t="s">
        <v>43897</v>
      </c>
      <c r="E734" s="56">
        <v>44762.0</v>
      </c>
      <c r="F734" s="9" t="b">
        <v>1</v>
      </c>
      <c r="G734" s="9" t="s">
        <v>43228</v>
      </c>
      <c r="H734" s="9" t="s">
        <v>42576</v>
      </c>
    </row>
    <row r="735" ht="15.75" customHeight="1">
      <c r="A735" s="9" t="s">
        <v>43898</v>
      </c>
      <c r="B735" s="9" t="s">
        <v>47</v>
      </c>
      <c r="C735" s="9" t="s">
        <v>39896</v>
      </c>
      <c r="D735" s="9" t="s">
        <v>43899</v>
      </c>
      <c r="E735" s="56">
        <v>44762.0</v>
      </c>
      <c r="F735" s="9" t="b">
        <v>1</v>
      </c>
      <c r="G735" s="9" t="s">
        <v>43228</v>
      </c>
      <c r="H735" s="9" t="s">
        <v>42576</v>
      </c>
    </row>
    <row r="736" ht="15.75" customHeight="1">
      <c r="A736" s="9" t="s">
        <v>43900</v>
      </c>
      <c r="B736" s="9" t="s">
        <v>47</v>
      </c>
      <c r="C736" s="9" t="s">
        <v>39845</v>
      </c>
      <c r="D736" s="9" t="s">
        <v>43901</v>
      </c>
      <c r="E736" s="56">
        <v>44762.0</v>
      </c>
      <c r="F736" s="9" t="b">
        <v>1</v>
      </c>
      <c r="G736" s="9" t="s">
        <v>42573</v>
      </c>
      <c r="H736" s="9" t="s">
        <v>42576</v>
      </c>
    </row>
    <row r="737" ht="15.75" customHeight="1">
      <c r="A737" s="9" t="s">
        <v>43902</v>
      </c>
      <c r="B737" s="9" t="s">
        <v>47</v>
      </c>
      <c r="C737" s="9" t="s">
        <v>39882</v>
      </c>
      <c r="D737" s="9" t="s">
        <v>43903</v>
      </c>
      <c r="E737" s="56">
        <v>44762.0</v>
      </c>
      <c r="F737" s="9" t="b">
        <v>1</v>
      </c>
      <c r="G737" s="9" t="s">
        <v>38801</v>
      </c>
      <c r="H737" s="9" t="s">
        <v>42576</v>
      </c>
      <c r="I737" s="9" t="b">
        <v>1</v>
      </c>
    </row>
    <row r="738" ht="15.75" customHeight="1">
      <c r="A738" s="9" t="s">
        <v>43904</v>
      </c>
      <c r="B738" s="9" t="s">
        <v>47</v>
      </c>
      <c r="C738" s="9" t="s">
        <v>39898</v>
      </c>
      <c r="D738" s="9" t="s">
        <v>43905</v>
      </c>
      <c r="E738" s="56">
        <v>44762.0</v>
      </c>
      <c r="F738" s="9" t="b">
        <v>1</v>
      </c>
      <c r="G738" s="9" t="s">
        <v>43228</v>
      </c>
      <c r="H738" s="9" t="s">
        <v>42576</v>
      </c>
    </row>
    <row r="739" ht="15.75" customHeight="1">
      <c r="A739" s="9" t="s">
        <v>43906</v>
      </c>
      <c r="B739" s="9" t="s">
        <v>47</v>
      </c>
      <c r="C739" s="9" t="s">
        <v>39900</v>
      </c>
      <c r="D739" s="9" t="s">
        <v>43907</v>
      </c>
      <c r="E739" s="56">
        <v>44762.0</v>
      </c>
      <c r="F739" s="9" t="b">
        <v>1</v>
      </c>
      <c r="G739" s="9" t="s">
        <v>43228</v>
      </c>
      <c r="H739" s="9" t="s">
        <v>42576</v>
      </c>
    </row>
    <row r="740" ht="15.75" customHeight="1">
      <c r="A740" s="9" t="s">
        <v>43908</v>
      </c>
      <c r="B740" s="9" t="s">
        <v>47</v>
      </c>
      <c r="C740" s="9" t="s">
        <v>39714</v>
      </c>
      <c r="D740" s="9" t="s">
        <v>43909</v>
      </c>
      <c r="E740" s="56">
        <v>44762.0</v>
      </c>
      <c r="F740" s="9" t="b">
        <v>1</v>
      </c>
      <c r="G740" s="9" t="s">
        <v>38801</v>
      </c>
      <c r="H740" s="9" t="s">
        <v>42560</v>
      </c>
      <c r="I740" s="9" t="b">
        <v>1</v>
      </c>
    </row>
    <row r="741" ht="15.75" customHeight="1">
      <c r="A741" s="9" t="s">
        <v>43910</v>
      </c>
      <c r="B741" s="9" t="s">
        <v>47</v>
      </c>
      <c r="C741" s="9" t="s">
        <v>39779</v>
      </c>
      <c r="D741" s="9" t="s">
        <v>43724</v>
      </c>
      <c r="E741" s="56">
        <v>44763.0</v>
      </c>
      <c r="F741" s="9" t="b">
        <v>1</v>
      </c>
      <c r="G741" s="9" t="s">
        <v>38801</v>
      </c>
      <c r="H741" s="9" t="s">
        <v>42576</v>
      </c>
      <c r="I741" s="9" t="b">
        <v>1</v>
      </c>
    </row>
    <row r="742" ht="15.75" customHeight="1">
      <c r="A742" s="9" t="s">
        <v>43911</v>
      </c>
      <c r="B742" s="9" t="s">
        <v>47</v>
      </c>
      <c r="C742" s="9" t="s">
        <v>39909</v>
      </c>
      <c r="D742" s="9" t="s">
        <v>43912</v>
      </c>
      <c r="E742" s="56">
        <v>44764.0</v>
      </c>
      <c r="F742" s="9" t="b">
        <v>1</v>
      </c>
      <c r="G742" s="9" t="s">
        <v>38801</v>
      </c>
      <c r="H742" s="9" t="s">
        <v>42576</v>
      </c>
      <c r="I742" s="9" t="b">
        <v>1</v>
      </c>
    </row>
    <row r="743" ht="15.75" customHeight="1">
      <c r="A743" s="9" t="s">
        <v>43913</v>
      </c>
      <c r="B743" s="9" t="s">
        <v>47</v>
      </c>
      <c r="C743" s="9" t="s">
        <v>39898</v>
      </c>
      <c r="D743" s="9" t="s">
        <v>43914</v>
      </c>
      <c r="E743" s="56">
        <v>44764.0</v>
      </c>
      <c r="F743" s="9" t="b">
        <v>1</v>
      </c>
      <c r="G743" s="9" t="s">
        <v>38801</v>
      </c>
      <c r="H743" s="9" t="s">
        <v>42576</v>
      </c>
      <c r="I743" s="9" t="b">
        <v>1</v>
      </c>
    </row>
    <row r="744" ht="15.75" customHeight="1">
      <c r="A744" s="9" t="s">
        <v>43915</v>
      </c>
      <c r="B744" s="9" t="s">
        <v>47</v>
      </c>
      <c r="C744" s="9" t="s">
        <v>39900</v>
      </c>
      <c r="D744" s="9" t="s">
        <v>43916</v>
      </c>
      <c r="E744" s="56">
        <v>44764.0</v>
      </c>
      <c r="F744" s="9" t="b">
        <v>1</v>
      </c>
      <c r="G744" s="9" t="s">
        <v>38801</v>
      </c>
      <c r="H744" s="9" t="s">
        <v>42576</v>
      </c>
      <c r="I744" s="9" t="b">
        <v>1</v>
      </c>
    </row>
    <row r="745" ht="15.75" customHeight="1">
      <c r="A745" s="9" t="s">
        <v>43917</v>
      </c>
      <c r="B745" s="9" t="s">
        <v>47</v>
      </c>
      <c r="C745" s="9" t="s">
        <v>39907</v>
      </c>
      <c r="D745" s="9" t="s">
        <v>43918</v>
      </c>
      <c r="E745" s="56">
        <v>44764.0</v>
      </c>
      <c r="F745" s="9" t="b">
        <v>1</v>
      </c>
      <c r="G745" s="9" t="s">
        <v>43228</v>
      </c>
      <c r="H745" s="9" t="s">
        <v>42576</v>
      </c>
    </row>
    <row r="746" ht="15.75" customHeight="1">
      <c r="A746" s="9" t="s">
        <v>43919</v>
      </c>
      <c r="B746" s="9" t="s">
        <v>47</v>
      </c>
      <c r="C746" s="9" t="s">
        <v>39209</v>
      </c>
      <c r="D746" s="9" t="s">
        <v>43920</v>
      </c>
      <c r="E746" s="56">
        <v>44764.0</v>
      </c>
      <c r="F746" s="9" t="b">
        <v>1</v>
      </c>
      <c r="G746" s="9" t="s">
        <v>43228</v>
      </c>
      <c r="H746" s="9" t="s">
        <v>42576</v>
      </c>
    </row>
    <row r="747" ht="15.75" customHeight="1">
      <c r="A747" s="9" t="s">
        <v>43921</v>
      </c>
      <c r="B747" s="9" t="s">
        <v>47</v>
      </c>
      <c r="C747" s="9" t="s">
        <v>39903</v>
      </c>
      <c r="D747" s="9" t="s">
        <v>43922</v>
      </c>
      <c r="E747" s="56">
        <v>44764.0</v>
      </c>
      <c r="F747" s="9" t="b">
        <v>1</v>
      </c>
      <c r="G747" s="9" t="s">
        <v>43228</v>
      </c>
      <c r="H747" s="9" t="s">
        <v>42576</v>
      </c>
    </row>
    <row r="748" ht="15.75" customHeight="1">
      <c r="A748" s="9" t="s">
        <v>43923</v>
      </c>
      <c r="B748" s="9" t="s">
        <v>47</v>
      </c>
      <c r="C748" s="9" t="s">
        <v>39905</v>
      </c>
      <c r="D748" s="9" t="s">
        <v>43924</v>
      </c>
      <c r="E748" s="56">
        <v>44764.0</v>
      </c>
      <c r="F748" s="9" t="b">
        <v>1</v>
      </c>
      <c r="G748" s="9" t="s">
        <v>43228</v>
      </c>
      <c r="H748" s="9" t="s">
        <v>42576</v>
      </c>
    </row>
    <row r="749" ht="15.75" customHeight="1">
      <c r="A749" s="9" t="s">
        <v>43925</v>
      </c>
      <c r="B749" s="9" t="s">
        <v>52</v>
      </c>
      <c r="C749" s="9" t="s">
        <v>39659</v>
      </c>
      <c r="D749" s="9" t="s">
        <v>43926</v>
      </c>
      <c r="E749" s="56">
        <v>44764.0</v>
      </c>
      <c r="F749" s="9" t="b">
        <v>1</v>
      </c>
      <c r="G749" s="9" t="s">
        <v>38801</v>
      </c>
      <c r="H749" s="9" t="s">
        <v>42576</v>
      </c>
      <c r="I749" s="9" t="b">
        <v>1</v>
      </c>
    </row>
    <row r="750" ht="15.75" customHeight="1">
      <c r="A750" s="9" t="s">
        <v>43927</v>
      </c>
      <c r="B750" s="9" t="s">
        <v>47</v>
      </c>
      <c r="C750" s="9" t="s">
        <v>39594</v>
      </c>
      <c r="D750" s="9" t="s">
        <v>43928</v>
      </c>
      <c r="E750" s="56">
        <v>44764.0</v>
      </c>
      <c r="F750" s="9" t="b">
        <v>1</v>
      </c>
      <c r="G750" s="9" t="s">
        <v>43228</v>
      </c>
      <c r="H750" s="9" t="s">
        <v>42560</v>
      </c>
    </row>
    <row r="751" ht="15.75" customHeight="1">
      <c r="A751" s="9" t="s">
        <v>43929</v>
      </c>
      <c r="B751" s="9" t="s">
        <v>52</v>
      </c>
      <c r="C751" s="9" t="s">
        <v>39902</v>
      </c>
      <c r="D751" s="9" t="s">
        <v>43930</v>
      </c>
      <c r="E751" s="56">
        <v>44764.0</v>
      </c>
      <c r="F751" s="9" t="b">
        <v>1</v>
      </c>
      <c r="G751" s="9" t="s">
        <v>43228</v>
      </c>
      <c r="H751" s="9" t="s">
        <v>42576</v>
      </c>
    </row>
    <row r="752" ht="15.75" customHeight="1">
      <c r="A752" s="9" t="s">
        <v>43931</v>
      </c>
      <c r="B752" s="9" t="s">
        <v>26</v>
      </c>
      <c r="C752" s="9" t="s">
        <v>39345</v>
      </c>
      <c r="D752" s="9" t="s">
        <v>43932</v>
      </c>
      <c r="E752" s="56">
        <v>44767.0</v>
      </c>
      <c r="F752" s="9" t="b">
        <v>1</v>
      </c>
      <c r="G752" s="9" t="s">
        <v>42632</v>
      </c>
      <c r="H752" s="9" t="s">
        <v>42560</v>
      </c>
    </row>
    <row r="753" ht="15.75" customHeight="1">
      <c r="A753" s="9" t="s">
        <v>43933</v>
      </c>
      <c r="B753" s="9" t="s">
        <v>26</v>
      </c>
      <c r="C753" s="9" t="s">
        <v>39347</v>
      </c>
      <c r="D753" s="9" t="s">
        <v>43934</v>
      </c>
      <c r="E753" s="56">
        <v>44767.0</v>
      </c>
      <c r="F753" s="9" t="b">
        <v>1</v>
      </c>
      <c r="G753" s="9" t="s">
        <v>42632</v>
      </c>
      <c r="H753" s="9" t="s">
        <v>42560</v>
      </c>
    </row>
    <row r="754" ht="15.75" customHeight="1">
      <c r="A754" s="9" t="s">
        <v>43935</v>
      </c>
      <c r="B754" s="9" t="s">
        <v>26</v>
      </c>
      <c r="C754" s="9" t="s">
        <v>39907</v>
      </c>
      <c r="D754" s="9" t="s">
        <v>43936</v>
      </c>
      <c r="E754" s="56">
        <v>44767.0</v>
      </c>
      <c r="F754" s="9" t="b">
        <v>1</v>
      </c>
      <c r="G754" s="9" t="s">
        <v>38801</v>
      </c>
      <c r="H754" s="9" t="s">
        <v>42560</v>
      </c>
      <c r="I754" s="9" t="b">
        <v>1</v>
      </c>
    </row>
    <row r="755" ht="15.75" customHeight="1">
      <c r="A755" s="9" t="s">
        <v>43937</v>
      </c>
      <c r="B755" s="9" t="s">
        <v>47</v>
      </c>
      <c r="C755" s="9" t="s">
        <v>39896</v>
      </c>
      <c r="D755" s="9" t="s">
        <v>43938</v>
      </c>
      <c r="E755" s="56">
        <v>44767.0</v>
      </c>
      <c r="F755" s="9" t="b">
        <v>1</v>
      </c>
      <c r="G755" s="9" t="s">
        <v>38801</v>
      </c>
      <c r="H755" s="9" t="s">
        <v>42560</v>
      </c>
      <c r="I755" s="9" t="b">
        <v>1</v>
      </c>
    </row>
    <row r="756" ht="15.75" customHeight="1">
      <c r="A756" s="9" t="s">
        <v>43939</v>
      </c>
      <c r="B756" s="9" t="s">
        <v>26</v>
      </c>
      <c r="C756" s="9" t="s">
        <v>39745</v>
      </c>
      <c r="D756" s="9" t="s">
        <v>43940</v>
      </c>
      <c r="E756" s="56">
        <v>44767.0</v>
      </c>
      <c r="F756" s="9" t="b">
        <v>1</v>
      </c>
      <c r="G756" s="9" t="s">
        <v>38801</v>
      </c>
      <c r="H756" s="9" t="s">
        <v>42560</v>
      </c>
      <c r="I756" s="9" t="b">
        <v>1</v>
      </c>
    </row>
    <row r="757" ht="15.75" customHeight="1">
      <c r="A757" s="9" t="s">
        <v>43941</v>
      </c>
      <c r="B757" s="9" t="s">
        <v>26</v>
      </c>
      <c r="C757" s="9" t="s">
        <v>39741</v>
      </c>
      <c r="D757" s="9" t="s">
        <v>43942</v>
      </c>
      <c r="E757" s="56">
        <v>44767.0</v>
      </c>
      <c r="F757" s="9" t="b">
        <v>1</v>
      </c>
      <c r="G757" s="9" t="s">
        <v>38801</v>
      </c>
      <c r="H757" s="9" t="s">
        <v>42560</v>
      </c>
      <c r="I757" s="9" t="b">
        <v>1</v>
      </c>
    </row>
    <row r="758" ht="15.75" customHeight="1">
      <c r="A758" s="9" t="s">
        <v>43943</v>
      </c>
      <c r="B758" s="9" t="s">
        <v>52</v>
      </c>
      <c r="C758" s="9" t="s">
        <v>38853</v>
      </c>
      <c r="D758" s="9" t="s">
        <v>43944</v>
      </c>
      <c r="E758" s="56">
        <v>44767.0</v>
      </c>
      <c r="F758" s="9" t="b">
        <v>1</v>
      </c>
      <c r="G758" s="9" t="s">
        <v>42632</v>
      </c>
      <c r="H758" s="9" t="s">
        <v>42560</v>
      </c>
    </row>
    <row r="759" ht="15.75" customHeight="1">
      <c r="A759" s="9" t="s">
        <v>43945</v>
      </c>
      <c r="B759" s="9" t="s">
        <v>47</v>
      </c>
      <c r="C759" s="9" t="s">
        <v>39913</v>
      </c>
      <c r="D759" s="9" t="s">
        <v>43946</v>
      </c>
      <c r="E759" s="56">
        <v>44767.0</v>
      </c>
      <c r="F759" s="9" t="b">
        <v>1</v>
      </c>
      <c r="G759" s="9" t="s">
        <v>38801</v>
      </c>
      <c r="H759" s="9" t="s">
        <v>42576</v>
      </c>
      <c r="I759" s="9" t="b">
        <v>1</v>
      </c>
    </row>
    <row r="760" ht="15.75" customHeight="1">
      <c r="A760" s="9" t="s">
        <v>43947</v>
      </c>
      <c r="B760" s="9" t="s">
        <v>47</v>
      </c>
      <c r="C760" s="9" t="s">
        <v>39845</v>
      </c>
      <c r="D760" s="9" t="s">
        <v>43948</v>
      </c>
      <c r="E760" s="56">
        <v>44768.0</v>
      </c>
      <c r="F760" s="9" t="b">
        <v>1</v>
      </c>
      <c r="G760" s="9" t="s">
        <v>38801</v>
      </c>
      <c r="H760" s="9" t="s">
        <v>42576</v>
      </c>
      <c r="I760" s="9" t="b">
        <v>1</v>
      </c>
    </row>
    <row r="761" ht="15.75" customHeight="1">
      <c r="A761" s="9" t="s">
        <v>43949</v>
      </c>
      <c r="B761" s="9" t="s">
        <v>47</v>
      </c>
      <c r="C761" s="9" t="s">
        <v>39911</v>
      </c>
      <c r="D761" s="9" t="s">
        <v>42560</v>
      </c>
      <c r="E761" s="56">
        <v>44768.0</v>
      </c>
      <c r="F761" s="9" t="b">
        <v>1</v>
      </c>
      <c r="G761" s="9" t="s">
        <v>38801</v>
      </c>
      <c r="H761" s="9" t="s">
        <v>42576</v>
      </c>
      <c r="I761" s="9" t="b">
        <v>1</v>
      </c>
    </row>
    <row r="762" ht="15.75" customHeight="1">
      <c r="A762" s="9" t="s">
        <v>43950</v>
      </c>
      <c r="B762" s="9" t="s">
        <v>47</v>
      </c>
      <c r="C762" s="9" t="s">
        <v>39517</v>
      </c>
      <c r="D762" s="9" t="s">
        <v>43951</v>
      </c>
      <c r="E762" s="56">
        <v>44768.0</v>
      </c>
      <c r="F762" s="9" t="b">
        <v>1</v>
      </c>
      <c r="G762" s="9" t="s">
        <v>42632</v>
      </c>
      <c r="H762" s="9" t="s">
        <v>42560</v>
      </c>
    </row>
    <row r="763" ht="15.75" customHeight="1">
      <c r="A763" s="9" t="s">
        <v>43952</v>
      </c>
      <c r="B763" s="9" t="s">
        <v>47</v>
      </c>
      <c r="C763" s="9" t="s">
        <v>39915</v>
      </c>
      <c r="D763" s="9" t="s">
        <v>43953</v>
      </c>
      <c r="E763" s="56">
        <v>44768.0</v>
      </c>
      <c r="F763" s="9" t="b">
        <v>1</v>
      </c>
      <c r="G763" s="9" t="s">
        <v>43228</v>
      </c>
      <c r="H763" s="9" t="s">
        <v>42560</v>
      </c>
    </row>
    <row r="764" ht="15.75" customHeight="1">
      <c r="A764" s="9" t="s">
        <v>43954</v>
      </c>
      <c r="B764" s="9" t="s">
        <v>52</v>
      </c>
      <c r="C764" s="9" t="s">
        <v>39374</v>
      </c>
      <c r="D764" s="9" t="s">
        <v>43955</v>
      </c>
      <c r="E764" s="56">
        <v>44768.0</v>
      </c>
      <c r="F764" s="9" t="b">
        <v>1</v>
      </c>
      <c r="G764" s="9" t="s">
        <v>43228</v>
      </c>
      <c r="H764" s="9" t="s">
        <v>42576</v>
      </c>
    </row>
    <row r="765" ht="15.75" customHeight="1">
      <c r="A765" s="9" t="s">
        <v>43956</v>
      </c>
      <c r="B765" s="9" t="s">
        <v>47</v>
      </c>
      <c r="C765" s="9" t="s">
        <v>39880</v>
      </c>
      <c r="D765" s="9" t="s">
        <v>42790</v>
      </c>
      <c r="E765" s="56">
        <v>44769.0</v>
      </c>
      <c r="F765" s="9" t="b">
        <v>1</v>
      </c>
      <c r="G765" s="9" t="s">
        <v>38801</v>
      </c>
      <c r="H765" s="9" t="s">
        <v>42576</v>
      </c>
      <c r="I765" s="9" t="b">
        <v>1</v>
      </c>
    </row>
    <row r="766" ht="15.75" customHeight="1">
      <c r="A766" s="9" t="s">
        <v>43957</v>
      </c>
      <c r="B766" s="9" t="s">
        <v>47</v>
      </c>
      <c r="C766" s="9" t="s">
        <v>39919</v>
      </c>
      <c r="D766" s="9" t="s">
        <v>43958</v>
      </c>
      <c r="E766" s="56">
        <v>44771.0</v>
      </c>
      <c r="F766" s="9" t="b">
        <v>1</v>
      </c>
      <c r="G766" s="9" t="s">
        <v>43228</v>
      </c>
      <c r="H766" s="9" t="s">
        <v>42560</v>
      </c>
    </row>
    <row r="767" ht="15.75" customHeight="1">
      <c r="A767" s="9" t="s">
        <v>43959</v>
      </c>
      <c r="B767" s="9" t="s">
        <v>52</v>
      </c>
      <c r="C767" s="9" t="s">
        <v>39547</v>
      </c>
      <c r="D767" s="9" t="s">
        <v>43960</v>
      </c>
      <c r="E767" s="56">
        <v>44771.0</v>
      </c>
      <c r="F767" s="9" t="b">
        <v>1</v>
      </c>
      <c r="G767" s="9" t="s">
        <v>43228</v>
      </c>
      <c r="H767" s="9" t="s">
        <v>42576</v>
      </c>
    </row>
    <row r="768" ht="15.75" customHeight="1">
      <c r="A768" s="9" t="s">
        <v>43961</v>
      </c>
      <c r="B768" s="9" t="s">
        <v>131</v>
      </c>
      <c r="C768" s="9" t="s">
        <v>39856</v>
      </c>
      <c r="D768" s="9" t="s">
        <v>43962</v>
      </c>
      <c r="E768" s="56">
        <v>44774.0</v>
      </c>
      <c r="F768" s="9" t="b">
        <v>1</v>
      </c>
      <c r="G768" s="9" t="s">
        <v>38801</v>
      </c>
      <c r="H768" s="9" t="s">
        <v>42576</v>
      </c>
      <c r="I768" s="9" t="b">
        <v>1</v>
      </c>
    </row>
    <row r="769" ht="15.75" customHeight="1">
      <c r="A769" s="9" t="s">
        <v>43963</v>
      </c>
      <c r="B769" s="9" t="s">
        <v>47</v>
      </c>
      <c r="C769" s="9" t="s">
        <v>39858</v>
      </c>
      <c r="D769" s="9" t="s">
        <v>43964</v>
      </c>
      <c r="E769" s="56">
        <v>44774.0</v>
      </c>
      <c r="F769" s="9" t="b">
        <v>1</v>
      </c>
      <c r="G769" s="9" t="s">
        <v>38801</v>
      </c>
      <c r="H769" s="9" t="s">
        <v>42560</v>
      </c>
      <c r="I769" s="9" t="b">
        <v>1</v>
      </c>
    </row>
    <row r="770" ht="15.75" customHeight="1">
      <c r="A770" s="9" t="s">
        <v>43965</v>
      </c>
      <c r="B770" s="9" t="s">
        <v>52</v>
      </c>
      <c r="C770" s="9" t="s">
        <v>39922</v>
      </c>
      <c r="D770" s="9" t="s">
        <v>43966</v>
      </c>
      <c r="E770" s="56">
        <v>44775.0</v>
      </c>
      <c r="F770" s="9" t="b">
        <v>1</v>
      </c>
      <c r="G770" s="9" t="s">
        <v>43228</v>
      </c>
      <c r="H770" s="9" t="s">
        <v>42576</v>
      </c>
    </row>
    <row r="771" ht="15.75" customHeight="1">
      <c r="A771" s="9" t="s">
        <v>43967</v>
      </c>
      <c r="B771" s="9" t="s">
        <v>47</v>
      </c>
      <c r="C771" s="9" t="s">
        <v>39923</v>
      </c>
      <c r="D771" s="9" t="s">
        <v>43968</v>
      </c>
      <c r="E771" s="56">
        <v>44776.0</v>
      </c>
      <c r="F771" s="9" t="b">
        <v>1</v>
      </c>
      <c r="G771" s="9" t="s">
        <v>43228</v>
      </c>
      <c r="H771" s="9" t="s">
        <v>42576</v>
      </c>
    </row>
    <row r="772" ht="15.75" customHeight="1">
      <c r="A772" s="9" t="s">
        <v>43969</v>
      </c>
      <c r="B772" s="9" t="s">
        <v>47</v>
      </c>
      <c r="C772" s="9" t="s">
        <v>39926</v>
      </c>
      <c r="D772" s="9" t="s">
        <v>43970</v>
      </c>
      <c r="E772" s="56">
        <v>44776.0</v>
      </c>
      <c r="F772" s="9" t="b">
        <v>1</v>
      </c>
      <c r="G772" s="9" t="s">
        <v>38801</v>
      </c>
      <c r="H772" s="9" t="s">
        <v>42560</v>
      </c>
      <c r="I772" s="9" t="b">
        <v>1</v>
      </c>
    </row>
    <row r="773" ht="15.75" customHeight="1">
      <c r="A773" s="9" t="s">
        <v>43971</v>
      </c>
      <c r="B773" s="9" t="s">
        <v>47</v>
      </c>
      <c r="C773" s="9" t="s">
        <v>39928</v>
      </c>
      <c r="D773" s="9" t="s">
        <v>43972</v>
      </c>
      <c r="E773" s="56">
        <v>44776.0</v>
      </c>
      <c r="F773" s="9" t="b">
        <v>1</v>
      </c>
      <c r="G773" s="9" t="s">
        <v>38801</v>
      </c>
      <c r="H773" s="9" t="s">
        <v>42576</v>
      </c>
      <c r="I773" s="9" t="b">
        <v>1</v>
      </c>
    </row>
    <row r="774" ht="15.75" customHeight="1">
      <c r="A774" s="9" t="s">
        <v>43973</v>
      </c>
      <c r="B774" s="9" t="s">
        <v>131</v>
      </c>
      <c r="C774" s="9" t="s">
        <v>39921</v>
      </c>
      <c r="D774" s="9" t="s">
        <v>43974</v>
      </c>
      <c r="E774" s="56">
        <v>44776.0</v>
      </c>
      <c r="F774" s="9" t="b">
        <v>1</v>
      </c>
      <c r="G774" s="9" t="s">
        <v>38801</v>
      </c>
      <c r="H774" s="9" t="s">
        <v>42560</v>
      </c>
      <c r="I774" s="9" t="b">
        <v>1</v>
      </c>
    </row>
    <row r="775" ht="15.75" customHeight="1">
      <c r="A775" s="9" t="s">
        <v>43975</v>
      </c>
      <c r="B775" s="9" t="s">
        <v>52</v>
      </c>
      <c r="C775" s="9" t="s">
        <v>39890</v>
      </c>
      <c r="D775" s="9" t="s">
        <v>43976</v>
      </c>
      <c r="E775" s="56">
        <v>44776.0</v>
      </c>
      <c r="F775" s="9" t="b">
        <v>1</v>
      </c>
      <c r="G775" s="9" t="s">
        <v>38801</v>
      </c>
      <c r="H775" s="9" t="s">
        <v>42576</v>
      </c>
      <c r="I775" s="9" t="b">
        <v>1</v>
      </c>
    </row>
    <row r="776" ht="15.75" customHeight="1">
      <c r="A776" s="9" t="s">
        <v>43977</v>
      </c>
      <c r="B776" s="9" t="s">
        <v>47</v>
      </c>
      <c r="C776" s="9" t="s">
        <v>39930</v>
      </c>
      <c r="D776" s="9" t="s">
        <v>43796</v>
      </c>
      <c r="E776" s="56">
        <v>44776.0</v>
      </c>
      <c r="F776" s="9" t="b">
        <v>1</v>
      </c>
      <c r="G776" s="9" t="s">
        <v>38801</v>
      </c>
      <c r="H776" s="9" t="s">
        <v>42576</v>
      </c>
      <c r="I776" s="9" t="b">
        <v>1</v>
      </c>
    </row>
    <row r="777" ht="15.75" customHeight="1">
      <c r="A777" s="52" t="s">
        <v>43978</v>
      </c>
      <c r="B777" s="9" t="s">
        <v>47</v>
      </c>
      <c r="C777" s="9" t="s">
        <v>39932</v>
      </c>
      <c r="D777" s="9" t="s">
        <v>43979</v>
      </c>
      <c r="E777" s="56">
        <v>44776.0</v>
      </c>
      <c r="F777" s="9" t="b">
        <v>1</v>
      </c>
      <c r="G777" s="9" t="s">
        <v>38801</v>
      </c>
      <c r="H777" s="9" t="s">
        <v>42560</v>
      </c>
      <c r="I777" s="9" t="b">
        <v>1</v>
      </c>
    </row>
    <row r="778" ht="15.75" customHeight="1">
      <c r="A778" s="9" t="s">
        <v>43980</v>
      </c>
      <c r="B778" s="9" t="s">
        <v>52</v>
      </c>
      <c r="C778" s="9" t="s">
        <v>39925</v>
      </c>
      <c r="D778" s="9" t="s">
        <v>43981</v>
      </c>
      <c r="E778" s="56">
        <v>44776.0</v>
      </c>
      <c r="F778" s="9" t="b">
        <v>1</v>
      </c>
      <c r="G778" s="9" t="s">
        <v>43228</v>
      </c>
      <c r="H778" s="9" t="s">
        <v>42576</v>
      </c>
    </row>
    <row r="779" ht="15.75" customHeight="1">
      <c r="A779" s="9" t="s">
        <v>43982</v>
      </c>
      <c r="B779" s="9" t="s">
        <v>52</v>
      </c>
      <c r="C779" s="9" t="s">
        <v>39281</v>
      </c>
      <c r="D779" s="9" t="s">
        <v>43983</v>
      </c>
      <c r="E779" s="56">
        <v>44776.0</v>
      </c>
      <c r="F779" s="9" t="b">
        <v>1</v>
      </c>
      <c r="G779" s="9" t="s">
        <v>43228</v>
      </c>
      <c r="H779" s="9" t="s">
        <v>42576</v>
      </c>
    </row>
    <row r="780" ht="15.75" customHeight="1">
      <c r="A780" s="9" t="s">
        <v>43984</v>
      </c>
      <c r="B780" s="9" t="s">
        <v>47</v>
      </c>
      <c r="C780" s="9" t="s">
        <v>39934</v>
      </c>
      <c r="D780" s="9" t="s">
        <v>43895</v>
      </c>
      <c r="E780" s="56">
        <v>44778.0</v>
      </c>
      <c r="F780" s="9" t="b">
        <v>1</v>
      </c>
      <c r="G780" s="9" t="s">
        <v>38801</v>
      </c>
      <c r="H780" s="9" t="s">
        <v>42576</v>
      </c>
      <c r="I780" s="9" t="b">
        <v>1</v>
      </c>
    </row>
    <row r="781" ht="15.75" customHeight="1">
      <c r="A781" s="9" t="s">
        <v>43985</v>
      </c>
      <c r="B781" s="9" t="s">
        <v>47</v>
      </c>
      <c r="C781" s="9" t="s">
        <v>39936</v>
      </c>
      <c r="D781" s="9" t="s">
        <v>43986</v>
      </c>
      <c r="E781" s="56">
        <v>44778.0</v>
      </c>
      <c r="F781" s="9" t="b">
        <v>1</v>
      </c>
      <c r="G781" s="9" t="s">
        <v>43228</v>
      </c>
      <c r="H781" s="9" t="s">
        <v>42576</v>
      </c>
    </row>
    <row r="782" ht="15.75" customHeight="1">
      <c r="A782" s="9" t="s">
        <v>43987</v>
      </c>
      <c r="B782" s="9" t="s">
        <v>52</v>
      </c>
      <c r="C782" s="9" t="s">
        <v>39555</v>
      </c>
      <c r="D782" s="9" t="s">
        <v>43988</v>
      </c>
      <c r="E782" s="56">
        <v>44778.0</v>
      </c>
      <c r="F782" s="9" t="b">
        <v>1</v>
      </c>
      <c r="G782" s="9" t="s">
        <v>43228</v>
      </c>
      <c r="H782" s="9" t="s">
        <v>42576</v>
      </c>
    </row>
    <row r="783" ht="15.75" customHeight="1">
      <c r="A783" s="9" t="s">
        <v>43989</v>
      </c>
      <c r="B783" s="9" t="s">
        <v>131</v>
      </c>
      <c r="C783" s="9" t="s">
        <v>39938</v>
      </c>
      <c r="D783" s="9" t="s">
        <v>43990</v>
      </c>
      <c r="E783" s="56">
        <v>44781.0</v>
      </c>
      <c r="F783" s="9" t="b">
        <v>1</v>
      </c>
      <c r="G783" s="9" t="s">
        <v>38801</v>
      </c>
      <c r="H783" s="9" t="s">
        <v>42560</v>
      </c>
      <c r="I783" s="9" t="b">
        <v>1</v>
      </c>
    </row>
    <row r="784" ht="15.75" customHeight="1">
      <c r="A784" s="9" t="s">
        <v>43991</v>
      </c>
      <c r="B784" s="9" t="s">
        <v>131</v>
      </c>
      <c r="C784" s="9" t="s">
        <v>39939</v>
      </c>
      <c r="D784" s="9" t="s">
        <v>43992</v>
      </c>
      <c r="E784" s="56">
        <v>44781.0</v>
      </c>
      <c r="F784" s="9" t="b">
        <v>1</v>
      </c>
      <c r="G784" s="9" t="s">
        <v>38801</v>
      </c>
      <c r="H784" s="9" t="s">
        <v>42560</v>
      </c>
      <c r="I784" s="9" t="b">
        <v>1</v>
      </c>
    </row>
    <row r="785" ht="15.75" customHeight="1">
      <c r="A785" s="9" t="s">
        <v>43993</v>
      </c>
      <c r="B785" s="9" t="s">
        <v>47</v>
      </c>
      <c r="C785" s="9" t="s">
        <v>39943</v>
      </c>
      <c r="D785" s="9" t="s">
        <v>43994</v>
      </c>
      <c r="E785" s="56">
        <v>44781.0</v>
      </c>
      <c r="F785" s="9" t="b">
        <v>1</v>
      </c>
      <c r="G785" s="9" t="s">
        <v>38801</v>
      </c>
      <c r="H785" s="9" t="s">
        <v>42576</v>
      </c>
      <c r="I785" s="9" t="b">
        <v>1</v>
      </c>
    </row>
    <row r="786" ht="15.75" customHeight="1">
      <c r="A786" s="9" t="s">
        <v>43995</v>
      </c>
      <c r="B786" s="9" t="s">
        <v>47</v>
      </c>
      <c r="C786" s="9" t="s">
        <v>39945</v>
      </c>
      <c r="D786" s="9" t="s">
        <v>43796</v>
      </c>
      <c r="E786" s="56">
        <v>44781.0</v>
      </c>
      <c r="F786" s="9" t="b">
        <v>1</v>
      </c>
      <c r="G786" s="9" t="s">
        <v>38801</v>
      </c>
      <c r="H786" s="9" t="s">
        <v>42576</v>
      </c>
      <c r="I786" s="9" t="b">
        <v>1</v>
      </c>
    </row>
    <row r="787" ht="15.75" customHeight="1">
      <c r="A787" s="9" t="s">
        <v>43996</v>
      </c>
      <c r="B787" s="9" t="s">
        <v>131</v>
      </c>
      <c r="C787" s="9" t="s">
        <v>39941</v>
      </c>
      <c r="D787" s="9" t="s">
        <v>43997</v>
      </c>
      <c r="E787" s="56">
        <v>44781.0</v>
      </c>
      <c r="F787" s="9" t="b">
        <v>1</v>
      </c>
      <c r="G787" s="9" t="s">
        <v>43228</v>
      </c>
      <c r="H787" s="9" t="s">
        <v>42560</v>
      </c>
    </row>
    <row r="788" ht="15.75" customHeight="1">
      <c r="A788" s="9" t="s">
        <v>43998</v>
      </c>
      <c r="B788" s="9" t="s">
        <v>52</v>
      </c>
      <c r="C788" s="9" t="s">
        <v>39402</v>
      </c>
      <c r="D788" s="9" t="s">
        <v>43999</v>
      </c>
      <c r="E788" s="56">
        <v>44783.0</v>
      </c>
      <c r="F788" s="9" t="b">
        <v>1</v>
      </c>
      <c r="G788" s="9" t="s">
        <v>38801</v>
      </c>
      <c r="H788" s="9" t="s">
        <v>42576</v>
      </c>
      <c r="I788" s="9" t="b">
        <v>1</v>
      </c>
    </row>
    <row r="789" ht="15.75" customHeight="1">
      <c r="A789" s="9" t="s">
        <v>44000</v>
      </c>
      <c r="B789" s="9" t="s">
        <v>26</v>
      </c>
      <c r="C789" s="9" t="s">
        <v>39743</v>
      </c>
      <c r="D789" s="9" t="s">
        <v>44001</v>
      </c>
      <c r="E789" s="56">
        <v>44783.0</v>
      </c>
      <c r="F789" s="9" t="b">
        <v>1</v>
      </c>
      <c r="G789" s="9" t="s">
        <v>38801</v>
      </c>
      <c r="H789" s="9" t="s">
        <v>42560</v>
      </c>
      <c r="I789" s="9" t="b">
        <v>1</v>
      </c>
    </row>
    <row r="790" ht="15.75" customHeight="1">
      <c r="A790" s="9" t="s">
        <v>44002</v>
      </c>
      <c r="B790" s="9" t="s">
        <v>47</v>
      </c>
      <c r="C790" s="9" t="s">
        <v>39917</v>
      </c>
      <c r="D790" s="9" t="s">
        <v>44003</v>
      </c>
      <c r="E790" s="56">
        <v>44783.0</v>
      </c>
      <c r="F790" s="9" t="b">
        <v>1</v>
      </c>
      <c r="G790" s="9" t="s">
        <v>42573</v>
      </c>
      <c r="H790" s="9" t="s">
        <v>42576</v>
      </c>
    </row>
    <row r="791" ht="15.75" customHeight="1">
      <c r="A791" s="52" t="s">
        <v>44004</v>
      </c>
      <c r="B791" s="9" t="s">
        <v>47</v>
      </c>
      <c r="C791" s="9" t="s">
        <v>39917</v>
      </c>
      <c r="D791" s="9" t="s">
        <v>39334</v>
      </c>
      <c r="E791" s="56">
        <v>44783.0</v>
      </c>
      <c r="F791" s="9" t="b">
        <v>1</v>
      </c>
      <c r="G791" s="9" t="s">
        <v>38801</v>
      </c>
      <c r="H791" s="9" t="s">
        <v>42576</v>
      </c>
      <c r="I791" s="9" t="b">
        <v>1</v>
      </c>
    </row>
    <row r="792" ht="15.75" customHeight="1">
      <c r="A792" s="9" t="s">
        <v>44005</v>
      </c>
      <c r="B792" s="9" t="s">
        <v>47</v>
      </c>
      <c r="C792" s="9" t="s">
        <v>39947</v>
      </c>
      <c r="D792" s="9" t="s">
        <v>42752</v>
      </c>
      <c r="E792" s="56">
        <v>44784.0</v>
      </c>
      <c r="F792" s="9" t="b">
        <v>1</v>
      </c>
      <c r="G792" s="9" t="s">
        <v>38801</v>
      </c>
      <c r="H792" s="9" t="s">
        <v>42576</v>
      </c>
      <c r="I792" s="9" t="b">
        <v>1</v>
      </c>
    </row>
    <row r="793" ht="15.75" customHeight="1">
      <c r="A793" s="9" t="s">
        <v>44006</v>
      </c>
      <c r="B793" s="9" t="s">
        <v>47</v>
      </c>
      <c r="C793" s="9" t="s">
        <v>39936</v>
      </c>
      <c r="D793" s="9" t="s">
        <v>44007</v>
      </c>
      <c r="E793" s="56">
        <v>44784.0</v>
      </c>
      <c r="F793" s="9" t="b">
        <v>1</v>
      </c>
      <c r="G793" s="9" t="s">
        <v>38801</v>
      </c>
      <c r="H793" s="9" t="s">
        <v>42576</v>
      </c>
      <c r="I793" s="9" t="b">
        <v>1</v>
      </c>
    </row>
    <row r="794" ht="15.75" customHeight="1">
      <c r="A794" s="9" t="s">
        <v>44008</v>
      </c>
      <c r="B794" s="9" t="s">
        <v>131</v>
      </c>
      <c r="C794" s="9" t="s">
        <v>39949</v>
      </c>
      <c r="D794" s="9" t="s">
        <v>44009</v>
      </c>
      <c r="E794" s="56">
        <v>44785.0</v>
      </c>
      <c r="F794" s="9" t="b">
        <v>1</v>
      </c>
      <c r="G794" s="9" t="s">
        <v>38801</v>
      </c>
      <c r="H794" s="9" t="s">
        <v>42560</v>
      </c>
      <c r="I794" s="9" t="b">
        <v>1</v>
      </c>
    </row>
    <row r="795" ht="15.75" customHeight="1">
      <c r="A795" s="9" t="s">
        <v>44010</v>
      </c>
      <c r="B795" s="9" t="s">
        <v>52</v>
      </c>
      <c r="C795" s="9" t="s">
        <v>39951</v>
      </c>
      <c r="D795" s="9" t="s">
        <v>44011</v>
      </c>
      <c r="E795" s="56">
        <v>44785.0</v>
      </c>
      <c r="F795" s="9" t="b">
        <v>1</v>
      </c>
      <c r="G795" s="9" t="s">
        <v>43228</v>
      </c>
      <c r="H795" s="9" t="s">
        <v>42576</v>
      </c>
    </row>
    <row r="796" ht="15.75" customHeight="1">
      <c r="A796" s="9" t="s">
        <v>44012</v>
      </c>
      <c r="B796" s="9" t="s">
        <v>131</v>
      </c>
      <c r="C796" s="9" t="s">
        <v>39957</v>
      </c>
      <c r="D796" s="9" t="s">
        <v>44013</v>
      </c>
      <c r="E796" s="56">
        <v>44790.0</v>
      </c>
      <c r="F796" s="9" t="b">
        <v>1</v>
      </c>
      <c r="G796" s="9" t="s">
        <v>38801</v>
      </c>
      <c r="H796" s="9" t="s">
        <v>42576</v>
      </c>
      <c r="I796" s="9" t="b">
        <v>1</v>
      </c>
    </row>
    <row r="797" ht="15.75" customHeight="1">
      <c r="A797" s="9" t="s">
        <v>44014</v>
      </c>
      <c r="B797" s="9" t="s">
        <v>131</v>
      </c>
      <c r="C797" s="9" t="s">
        <v>39959</v>
      </c>
      <c r="D797" s="9" t="s">
        <v>44013</v>
      </c>
      <c r="E797" s="56">
        <v>44790.0</v>
      </c>
      <c r="F797" s="9" t="b">
        <v>1</v>
      </c>
      <c r="G797" s="9" t="s">
        <v>38801</v>
      </c>
      <c r="H797" s="9" t="s">
        <v>42576</v>
      </c>
      <c r="I797" s="9" t="b">
        <v>1</v>
      </c>
    </row>
    <row r="798" ht="15.75" customHeight="1">
      <c r="A798" s="9" t="s">
        <v>44015</v>
      </c>
      <c r="B798" s="9" t="s">
        <v>131</v>
      </c>
      <c r="C798" s="9" t="s">
        <v>39960</v>
      </c>
      <c r="D798" s="9" t="s">
        <v>44013</v>
      </c>
      <c r="E798" s="56">
        <v>44790.0</v>
      </c>
      <c r="F798" s="9" t="b">
        <v>1</v>
      </c>
      <c r="G798" s="9" t="s">
        <v>38801</v>
      </c>
      <c r="H798" s="9" t="s">
        <v>42576</v>
      </c>
      <c r="I798" s="9" t="b">
        <v>1</v>
      </c>
    </row>
    <row r="799" ht="15.75" customHeight="1">
      <c r="A799" s="9" t="s">
        <v>44016</v>
      </c>
      <c r="B799" s="9" t="s">
        <v>131</v>
      </c>
      <c r="C799" s="9" t="s">
        <v>39961</v>
      </c>
      <c r="D799" s="9" t="s">
        <v>44013</v>
      </c>
      <c r="E799" s="56">
        <v>44790.0</v>
      </c>
      <c r="F799" s="9" t="b">
        <v>1</v>
      </c>
      <c r="G799" s="9" t="s">
        <v>38801</v>
      </c>
      <c r="H799" s="9" t="s">
        <v>42576</v>
      </c>
      <c r="I799" s="9" t="b">
        <v>1</v>
      </c>
    </row>
    <row r="800" ht="15.75" customHeight="1">
      <c r="A800" s="9" t="s">
        <v>44017</v>
      </c>
      <c r="B800" s="9" t="s">
        <v>52</v>
      </c>
      <c r="C800" s="9" t="s">
        <v>39848</v>
      </c>
      <c r="D800" s="9" t="s">
        <v>44018</v>
      </c>
      <c r="E800" s="56">
        <v>44791.0</v>
      </c>
      <c r="F800" s="9" t="b">
        <v>1</v>
      </c>
      <c r="G800" s="9" t="s">
        <v>38801</v>
      </c>
      <c r="H800" s="9" t="s">
        <v>42576</v>
      </c>
      <c r="I800" s="9" t="b">
        <v>1</v>
      </c>
    </row>
    <row r="801" ht="15.75" customHeight="1">
      <c r="A801" s="9" t="s">
        <v>44019</v>
      </c>
      <c r="B801" s="9" t="s">
        <v>52</v>
      </c>
      <c r="C801" s="9" t="s">
        <v>39555</v>
      </c>
      <c r="D801" s="9" t="s">
        <v>44020</v>
      </c>
      <c r="E801" s="56">
        <v>44791.0</v>
      </c>
      <c r="F801" s="9" t="b">
        <v>1</v>
      </c>
      <c r="G801" s="9" t="s">
        <v>42573</v>
      </c>
      <c r="H801" s="9" t="s">
        <v>42576</v>
      </c>
    </row>
    <row r="802" ht="15.75" customHeight="1">
      <c r="A802" s="9" t="s">
        <v>44021</v>
      </c>
      <c r="B802" s="9" t="s">
        <v>52</v>
      </c>
      <c r="C802" s="9" t="s">
        <v>39925</v>
      </c>
      <c r="D802" s="9" t="s">
        <v>44022</v>
      </c>
      <c r="E802" s="56">
        <v>44792.0</v>
      </c>
      <c r="F802" s="9" t="b">
        <v>1</v>
      </c>
      <c r="G802" s="9" t="s">
        <v>38801</v>
      </c>
      <c r="H802" s="9" t="s">
        <v>42576</v>
      </c>
      <c r="I802" s="9" t="b">
        <v>1</v>
      </c>
    </row>
    <row r="803" ht="15.75" customHeight="1">
      <c r="A803" s="9" t="s">
        <v>44023</v>
      </c>
      <c r="B803" s="9" t="s">
        <v>47</v>
      </c>
      <c r="C803" s="9" t="s">
        <v>39962</v>
      </c>
      <c r="D803" s="9" t="s">
        <v>44024</v>
      </c>
      <c r="E803" s="56">
        <v>44796.0</v>
      </c>
      <c r="F803" s="9" t="b">
        <v>1</v>
      </c>
      <c r="G803" s="9" t="s">
        <v>42573</v>
      </c>
      <c r="H803" s="9" t="s">
        <v>42576</v>
      </c>
    </row>
    <row r="804" ht="15.75" customHeight="1">
      <c r="A804" s="9" t="s">
        <v>44025</v>
      </c>
      <c r="B804" s="9" t="s">
        <v>47</v>
      </c>
      <c r="C804" s="9" t="s">
        <v>39962</v>
      </c>
      <c r="D804" s="9" t="s">
        <v>44026</v>
      </c>
      <c r="E804" s="56">
        <v>44798.0</v>
      </c>
      <c r="F804" s="9" t="b">
        <v>1</v>
      </c>
      <c r="G804" s="9" t="s">
        <v>38801</v>
      </c>
      <c r="H804" s="9" t="s">
        <v>42576</v>
      </c>
      <c r="I804" s="9" t="b">
        <v>1</v>
      </c>
    </row>
    <row r="805" ht="15.75" customHeight="1">
      <c r="A805" s="9" t="s">
        <v>44027</v>
      </c>
      <c r="B805" s="9" t="s">
        <v>47</v>
      </c>
      <c r="C805" s="9" t="s">
        <v>39968</v>
      </c>
      <c r="D805" s="9" t="s">
        <v>44028</v>
      </c>
      <c r="E805" s="56">
        <v>44798.0</v>
      </c>
      <c r="F805" s="9" t="b">
        <v>1</v>
      </c>
      <c r="G805" s="9" t="s">
        <v>38801</v>
      </c>
      <c r="H805" s="9" t="s">
        <v>42576</v>
      </c>
      <c r="I805" s="9" t="b">
        <v>1</v>
      </c>
    </row>
    <row r="806" ht="15.75" customHeight="1">
      <c r="A806" s="9" t="s">
        <v>44029</v>
      </c>
      <c r="B806" s="9" t="s">
        <v>47</v>
      </c>
      <c r="C806" s="9" t="s">
        <v>39970</v>
      </c>
      <c r="D806" s="9" t="s">
        <v>44030</v>
      </c>
      <c r="E806" s="56">
        <v>44798.0</v>
      </c>
      <c r="F806" s="9" t="b">
        <v>1</v>
      </c>
      <c r="G806" s="9" t="s">
        <v>38801</v>
      </c>
      <c r="H806" s="9" t="s">
        <v>42576</v>
      </c>
      <c r="I806" s="9" t="b">
        <v>1</v>
      </c>
    </row>
    <row r="807" ht="15.75" customHeight="1">
      <c r="A807" s="9" t="s">
        <v>44031</v>
      </c>
      <c r="B807" s="9" t="s">
        <v>47</v>
      </c>
      <c r="C807" s="9" t="s">
        <v>39903</v>
      </c>
      <c r="D807" s="9" t="s">
        <v>44032</v>
      </c>
      <c r="E807" s="56">
        <v>44798.0</v>
      </c>
      <c r="F807" s="9" t="b">
        <v>1</v>
      </c>
      <c r="G807" s="9" t="s">
        <v>38801</v>
      </c>
      <c r="H807" s="9" t="s">
        <v>42560</v>
      </c>
      <c r="I807" s="9" t="b">
        <v>1</v>
      </c>
    </row>
    <row r="808" ht="15.75" customHeight="1">
      <c r="A808" s="9" t="s">
        <v>44033</v>
      </c>
      <c r="B808" s="9" t="s">
        <v>47</v>
      </c>
      <c r="C808" s="9" t="s">
        <v>39264</v>
      </c>
      <c r="D808" s="9" t="s">
        <v>44034</v>
      </c>
      <c r="E808" s="56">
        <v>44798.0</v>
      </c>
      <c r="F808" s="9" t="b">
        <v>1</v>
      </c>
      <c r="G808" s="9" t="s">
        <v>42632</v>
      </c>
      <c r="H808" s="9" t="s">
        <v>38800</v>
      </c>
    </row>
    <row r="809" ht="15.75" customHeight="1">
      <c r="A809" s="9" t="s">
        <v>44035</v>
      </c>
      <c r="B809" s="9" t="s">
        <v>47</v>
      </c>
      <c r="C809" s="9" t="s">
        <v>39905</v>
      </c>
      <c r="D809" s="9" t="s">
        <v>44036</v>
      </c>
      <c r="E809" s="56">
        <v>44798.0</v>
      </c>
      <c r="F809" s="9" t="b">
        <v>1</v>
      </c>
      <c r="G809" s="9" t="s">
        <v>38801</v>
      </c>
      <c r="H809" s="9" t="s">
        <v>42576</v>
      </c>
      <c r="I809" s="9" t="b">
        <v>1</v>
      </c>
    </row>
    <row r="810" ht="15.75" customHeight="1">
      <c r="A810" s="9" t="s">
        <v>44037</v>
      </c>
      <c r="B810" s="9" t="s">
        <v>47</v>
      </c>
      <c r="C810" s="9" t="s">
        <v>39209</v>
      </c>
      <c r="D810" s="9" t="s">
        <v>44038</v>
      </c>
      <c r="E810" s="56">
        <v>44798.0</v>
      </c>
      <c r="F810" s="9" t="b">
        <v>1</v>
      </c>
      <c r="G810" s="9" t="s">
        <v>42585</v>
      </c>
      <c r="H810" s="9" t="s">
        <v>42576</v>
      </c>
    </row>
    <row r="811" ht="15.75" customHeight="1">
      <c r="A811" s="9" t="s">
        <v>44039</v>
      </c>
      <c r="B811" s="9" t="s">
        <v>47</v>
      </c>
      <c r="C811" s="9" t="s">
        <v>39966</v>
      </c>
      <c r="D811" s="9" t="s">
        <v>44040</v>
      </c>
      <c r="E811" s="56">
        <v>44799.0</v>
      </c>
      <c r="F811" s="9" t="b">
        <v>1</v>
      </c>
      <c r="G811" s="9" t="s">
        <v>42573</v>
      </c>
      <c r="H811" s="9" t="s">
        <v>42576</v>
      </c>
    </row>
    <row r="812" ht="15.75" customHeight="1">
      <c r="A812" s="9" t="s">
        <v>44041</v>
      </c>
      <c r="B812" s="9" t="s">
        <v>47</v>
      </c>
      <c r="C812" s="9" t="s">
        <v>39923</v>
      </c>
      <c r="D812" s="9" t="s">
        <v>43895</v>
      </c>
      <c r="E812" s="56">
        <v>44799.0</v>
      </c>
      <c r="F812" s="9" t="b">
        <v>1</v>
      </c>
      <c r="G812" s="9" t="s">
        <v>38801</v>
      </c>
      <c r="H812" s="9" t="s">
        <v>42576</v>
      </c>
      <c r="I812" s="9" t="b">
        <v>1</v>
      </c>
    </row>
    <row r="813" ht="15.75" customHeight="1">
      <c r="A813" s="9" t="s">
        <v>44042</v>
      </c>
      <c r="B813" s="9" t="s">
        <v>47</v>
      </c>
      <c r="C813" s="9" t="s">
        <v>39964</v>
      </c>
      <c r="D813" s="9" t="s">
        <v>42560</v>
      </c>
      <c r="E813" s="56">
        <v>44799.0</v>
      </c>
      <c r="F813" s="9" t="b">
        <v>1</v>
      </c>
      <c r="G813" s="9" t="s">
        <v>38801</v>
      </c>
      <c r="H813" s="9" t="s">
        <v>42576</v>
      </c>
      <c r="I813" s="9" t="b">
        <v>1</v>
      </c>
    </row>
    <row r="814" ht="15.75" customHeight="1">
      <c r="A814" s="9" t="s">
        <v>44043</v>
      </c>
      <c r="B814" s="9" t="s">
        <v>47</v>
      </c>
      <c r="C814" s="9" t="s">
        <v>39966</v>
      </c>
      <c r="D814" s="9" t="s">
        <v>44044</v>
      </c>
      <c r="E814" s="56">
        <v>44799.0</v>
      </c>
      <c r="F814" s="9" t="b">
        <v>1</v>
      </c>
      <c r="G814" s="9" t="s">
        <v>38801</v>
      </c>
      <c r="H814" s="9" t="s">
        <v>42576</v>
      </c>
      <c r="I814" s="9" t="b">
        <v>1</v>
      </c>
    </row>
    <row r="815" ht="15.75" customHeight="1">
      <c r="A815" s="9" t="s">
        <v>44045</v>
      </c>
      <c r="B815" s="9" t="s">
        <v>47</v>
      </c>
      <c r="C815" s="9" t="s">
        <v>39976</v>
      </c>
      <c r="D815" s="9" t="s">
        <v>44046</v>
      </c>
      <c r="E815" s="56">
        <v>44799.0</v>
      </c>
      <c r="F815" s="9" t="b">
        <v>1</v>
      </c>
      <c r="G815" s="9" t="s">
        <v>42573</v>
      </c>
      <c r="H815" s="9" t="s">
        <v>42576</v>
      </c>
    </row>
    <row r="816" ht="15.75" customHeight="1">
      <c r="A816" s="9" t="s">
        <v>44047</v>
      </c>
      <c r="B816" s="9" t="s">
        <v>131</v>
      </c>
      <c r="C816" s="9" t="s">
        <v>39978</v>
      </c>
      <c r="D816" s="9" t="s">
        <v>44048</v>
      </c>
      <c r="E816" s="56">
        <v>44802.0</v>
      </c>
      <c r="F816" s="9" t="b">
        <v>1</v>
      </c>
      <c r="G816" s="9" t="s">
        <v>43228</v>
      </c>
      <c r="H816" s="9" t="s">
        <v>42576</v>
      </c>
    </row>
    <row r="817" ht="15.75" customHeight="1">
      <c r="A817" s="9" t="s">
        <v>44049</v>
      </c>
      <c r="B817" s="9" t="s">
        <v>131</v>
      </c>
      <c r="C817" s="9" t="s">
        <v>39980</v>
      </c>
      <c r="D817" s="9" t="s">
        <v>44050</v>
      </c>
      <c r="E817" s="56">
        <v>44802.0</v>
      </c>
      <c r="F817" s="9" t="b">
        <v>1</v>
      </c>
      <c r="G817" s="9" t="s">
        <v>38801</v>
      </c>
      <c r="H817" s="9" t="s">
        <v>42560</v>
      </c>
      <c r="I817" s="9" t="b">
        <v>1</v>
      </c>
    </row>
    <row r="818" ht="15.75" customHeight="1">
      <c r="A818" s="9" t="s">
        <v>44051</v>
      </c>
      <c r="B818" s="9" t="s">
        <v>131</v>
      </c>
      <c r="C818" s="9" t="s">
        <v>39978</v>
      </c>
      <c r="D818" s="9" t="s">
        <v>44052</v>
      </c>
      <c r="E818" s="56">
        <v>44803.0</v>
      </c>
      <c r="F818" s="9" t="b">
        <v>1</v>
      </c>
      <c r="G818" s="9" t="s">
        <v>38801</v>
      </c>
      <c r="H818" s="9" t="s">
        <v>42576</v>
      </c>
      <c r="I818" s="9" t="b">
        <v>1</v>
      </c>
    </row>
    <row r="819" ht="15.75" customHeight="1">
      <c r="A819" s="9" t="s">
        <v>44053</v>
      </c>
      <c r="B819" s="9" t="s">
        <v>52</v>
      </c>
      <c r="C819" s="9" t="s">
        <v>39040</v>
      </c>
      <c r="D819" s="9" t="s">
        <v>44054</v>
      </c>
      <c r="E819" s="56">
        <v>44804.0</v>
      </c>
      <c r="F819" s="9" t="b">
        <v>1</v>
      </c>
      <c r="G819" s="9" t="s">
        <v>42585</v>
      </c>
      <c r="H819" s="9" t="s">
        <v>42560</v>
      </c>
    </row>
    <row r="820" ht="15.75" customHeight="1">
      <c r="A820" s="9" t="s">
        <v>44055</v>
      </c>
      <c r="B820" s="9" t="s">
        <v>47</v>
      </c>
      <c r="C820" s="9" t="s">
        <v>39986</v>
      </c>
      <c r="D820" s="9" t="s">
        <v>44056</v>
      </c>
      <c r="E820" s="56">
        <v>44804.0</v>
      </c>
      <c r="F820" s="9" t="b">
        <v>1</v>
      </c>
      <c r="G820" s="9" t="s">
        <v>43228</v>
      </c>
      <c r="H820" s="9" t="s">
        <v>42576</v>
      </c>
    </row>
    <row r="821" ht="15.75" customHeight="1">
      <c r="A821" s="9" t="s">
        <v>44057</v>
      </c>
      <c r="B821" s="9" t="s">
        <v>131</v>
      </c>
      <c r="C821" s="9" t="s">
        <v>39993</v>
      </c>
      <c r="D821" s="9" t="s">
        <v>42560</v>
      </c>
      <c r="E821" s="56">
        <v>44806.0</v>
      </c>
      <c r="F821" s="9" t="b">
        <v>1</v>
      </c>
      <c r="G821" s="9" t="s">
        <v>38801</v>
      </c>
      <c r="H821" s="9" t="s">
        <v>42576</v>
      </c>
      <c r="I821" s="9" t="b">
        <v>1</v>
      </c>
    </row>
    <row r="822" ht="15.75" customHeight="1">
      <c r="A822" s="9" t="s">
        <v>44058</v>
      </c>
      <c r="B822" s="9" t="s">
        <v>131</v>
      </c>
      <c r="C822" s="9" t="s">
        <v>39995</v>
      </c>
      <c r="D822" s="9" t="s">
        <v>42560</v>
      </c>
      <c r="E822" s="56">
        <v>44806.0</v>
      </c>
      <c r="F822" s="9" t="b">
        <v>1</v>
      </c>
      <c r="G822" s="9" t="s">
        <v>38801</v>
      </c>
      <c r="H822" s="9" t="s">
        <v>42576</v>
      </c>
      <c r="I822" s="9" t="b">
        <v>1</v>
      </c>
    </row>
    <row r="823" ht="15.75" customHeight="1">
      <c r="A823" s="9" t="s">
        <v>44059</v>
      </c>
      <c r="B823" s="9" t="s">
        <v>131</v>
      </c>
      <c r="C823" s="9" t="s">
        <v>39997</v>
      </c>
      <c r="D823" s="9" t="s">
        <v>42560</v>
      </c>
      <c r="E823" s="56">
        <v>44806.0</v>
      </c>
      <c r="F823" s="9" t="b">
        <v>1</v>
      </c>
      <c r="G823" s="9" t="s">
        <v>38801</v>
      </c>
      <c r="H823" s="9" t="s">
        <v>42576</v>
      </c>
      <c r="I823" s="9" t="b">
        <v>1</v>
      </c>
    </row>
    <row r="824" ht="15.75" customHeight="1">
      <c r="A824" s="9" t="s">
        <v>44060</v>
      </c>
      <c r="B824" s="9" t="s">
        <v>131</v>
      </c>
      <c r="C824" s="9" t="s">
        <v>39999</v>
      </c>
      <c r="D824" s="9" t="s">
        <v>44061</v>
      </c>
      <c r="E824" s="56">
        <v>44806.0</v>
      </c>
      <c r="F824" s="9" t="b">
        <v>1</v>
      </c>
      <c r="G824" s="9" t="s">
        <v>38801</v>
      </c>
      <c r="H824" s="9" t="s">
        <v>42576</v>
      </c>
      <c r="I824" s="9" t="b">
        <v>1</v>
      </c>
    </row>
    <row r="825" ht="15.75" customHeight="1">
      <c r="A825" s="9" t="s">
        <v>44062</v>
      </c>
      <c r="B825" s="9" t="s">
        <v>47</v>
      </c>
      <c r="C825" s="9" t="s">
        <v>40001</v>
      </c>
      <c r="D825" s="9" t="s">
        <v>44063</v>
      </c>
      <c r="E825" s="56">
        <v>44806.0</v>
      </c>
      <c r="F825" s="9" t="b">
        <v>1</v>
      </c>
      <c r="G825" s="9" t="s">
        <v>38801</v>
      </c>
      <c r="H825" s="9" t="s">
        <v>42576</v>
      </c>
      <c r="I825" s="9" t="b">
        <v>1</v>
      </c>
    </row>
    <row r="826" ht="15.75" customHeight="1">
      <c r="A826" s="9" t="s">
        <v>44064</v>
      </c>
      <c r="B826" s="9" t="s">
        <v>131</v>
      </c>
      <c r="C826" s="9" t="s">
        <v>39986</v>
      </c>
      <c r="D826" s="9" t="s">
        <v>44065</v>
      </c>
      <c r="E826" s="56">
        <v>44806.0</v>
      </c>
      <c r="F826" s="9" t="b">
        <v>1</v>
      </c>
      <c r="G826" s="9" t="s">
        <v>38801</v>
      </c>
      <c r="H826" s="9" t="s">
        <v>42576</v>
      </c>
      <c r="I826" s="9" t="b">
        <v>1</v>
      </c>
    </row>
    <row r="827" ht="15.75" customHeight="1">
      <c r="A827" s="9" t="s">
        <v>44066</v>
      </c>
      <c r="B827" s="9" t="s">
        <v>131</v>
      </c>
      <c r="C827" s="9" t="s">
        <v>40003</v>
      </c>
      <c r="D827" s="9" t="s">
        <v>44067</v>
      </c>
      <c r="E827" s="56">
        <v>44806.0</v>
      </c>
      <c r="F827" s="9" t="b">
        <v>1</v>
      </c>
      <c r="G827" s="9" t="s">
        <v>38801</v>
      </c>
      <c r="H827" s="9" t="s">
        <v>42576</v>
      </c>
      <c r="I827" s="9" t="b">
        <v>1</v>
      </c>
    </row>
    <row r="828" ht="15.75" customHeight="1">
      <c r="A828" s="9" t="s">
        <v>44068</v>
      </c>
      <c r="B828" s="9" t="s">
        <v>131</v>
      </c>
      <c r="C828" s="9" t="s">
        <v>40010</v>
      </c>
      <c r="D828" s="9" t="s">
        <v>44069</v>
      </c>
      <c r="E828" s="56">
        <v>44809.0</v>
      </c>
      <c r="F828" s="9" t="b">
        <v>1</v>
      </c>
      <c r="G828" s="9" t="s">
        <v>38801</v>
      </c>
      <c r="H828" s="9" t="s">
        <v>42560</v>
      </c>
      <c r="I828" s="9" t="b">
        <v>1</v>
      </c>
    </row>
    <row r="829" ht="15.75" customHeight="1">
      <c r="A829" s="9" t="s">
        <v>44070</v>
      </c>
      <c r="B829" s="9" t="s">
        <v>52</v>
      </c>
      <c r="C829" s="9" t="s">
        <v>39555</v>
      </c>
      <c r="D829" s="9" t="s">
        <v>44071</v>
      </c>
      <c r="E829" s="56">
        <v>44810.0</v>
      </c>
      <c r="F829" s="9" t="b">
        <v>1</v>
      </c>
      <c r="G829" s="9" t="s">
        <v>38801</v>
      </c>
      <c r="H829" s="9" t="s">
        <v>42576</v>
      </c>
      <c r="I829" s="9" t="b">
        <v>1</v>
      </c>
    </row>
    <row r="830" ht="15.75" customHeight="1">
      <c r="A830" s="9" t="s">
        <v>44072</v>
      </c>
      <c r="B830" s="9" t="s">
        <v>131</v>
      </c>
      <c r="C830" s="9" t="s">
        <v>40014</v>
      </c>
      <c r="D830" s="9" t="s">
        <v>44073</v>
      </c>
      <c r="E830" s="56">
        <v>44810.0</v>
      </c>
      <c r="F830" s="9" t="b">
        <v>1</v>
      </c>
      <c r="G830" s="9" t="s">
        <v>38801</v>
      </c>
      <c r="H830" s="9" t="s">
        <v>42560</v>
      </c>
      <c r="I830" s="9" t="b">
        <v>1</v>
      </c>
    </row>
    <row r="831" ht="15.75" customHeight="1">
      <c r="A831" s="9" t="s">
        <v>44074</v>
      </c>
      <c r="B831" s="9" t="s">
        <v>131</v>
      </c>
      <c r="C831" s="9" t="s">
        <v>40014</v>
      </c>
      <c r="D831" s="9" t="s">
        <v>44073</v>
      </c>
      <c r="E831" s="56">
        <v>44810.0</v>
      </c>
      <c r="F831" s="9" t="b">
        <v>1</v>
      </c>
      <c r="G831" s="9" t="s">
        <v>38801</v>
      </c>
      <c r="H831" s="9" t="s">
        <v>42560</v>
      </c>
      <c r="I831" s="9" t="b">
        <v>1</v>
      </c>
    </row>
    <row r="832" ht="15.75" customHeight="1">
      <c r="A832" s="9" t="s">
        <v>44075</v>
      </c>
      <c r="B832" s="9" t="s">
        <v>47</v>
      </c>
      <c r="C832" s="9" t="s">
        <v>40016</v>
      </c>
      <c r="D832" s="9" t="s">
        <v>42752</v>
      </c>
      <c r="E832" s="56">
        <v>44811.0</v>
      </c>
      <c r="F832" s="9" t="b">
        <v>1</v>
      </c>
      <c r="G832" s="9" t="s">
        <v>38801</v>
      </c>
      <c r="H832" s="9" t="s">
        <v>42576</v>
      </c>
      <c r="I832" s="9" t="b">
        <v>1</v>
      </c>
    </row>
    <row r="833" ht="15.75" customHeight="1">
      <c r="A833" s="9" t="s">
        <v>44076</v>
      </c>
      <c r="B833" s="9" t="s">
        <v>131</v>
      </c>
      <c r="C833" s="9" t="s">
        <v>40009</v>
      </c>
      <c r="D833" s="9" t="s">
        <v>44077</v>
      </c>
      <c r="E833" s="56">
        <v>44811.0</v>
      </c>
      <c r="F833" s="9" t="b">
        <v>1</v>
      </c>
      <c r="G833" s="9" t="s">
        <v>38801</v>
      </c>
      <c r="H833" s="9" t="s">
        <v>42576</v>
      </c>
      <c r="I833" s="9" t="b">
        <v>1</v>
      </c>
    </row>
    <row r="834" ht="15.75" customHeight="1">
      <c r="A834" s="9" t="s">
        <v>44078</v>
      </c>
      <c r="B834" s="9" t="s">
        <v>131</v>
      </c>
      <c r="C834" s="9" t="s">
        <v>39992</v>
      </c>
      <c r="D834" s="9" t="s">
        <v>44079</v>
      </c>
      <c r="E834" s="56">
        <v>44811.0</v>
      </c>
      <c r="F834" s="9" t="b">
        <v>1</v>
      </c>
      <c r="G834" s="9" t="s">
        <v>38801</v>
      </c>
      <c r="H834" s="9" t="s">
        <v>42576</v>
      </c>
      <c r="I834" s="9" t="b">
        <v>1</v>
      </c>
    </row>
    <row r="835" ht="15.75" customHeight="1">
      <c r="A835" s="9" t="s">
        <v>44080</v>
      </c>
      <c r="B835" s="9" t="s">
        <v>52</v>
      </c>
      <c r="C835" s="9" t="s">
        <v>39573</v>
      </c>
      <c r="D835" s="9" t="s">
        <v>44081</v>
      </c>
      <c r="E835" s="56">
        <v>44813.0</v>
      </c>
      <c r="F835" s="9" t="b">
        <v>1</v>
      </c>
      <c r="G835" s="9" t="s">
        <v>43228</v>
      </c>
      <c r="H835" s="9" t="s">
        <v>42576</v>
      </c>
    </row>
    <row r="836" ht="15.75" customHeight="1">
      <c r="A836" s="9" t="s">
        <v>44082</v>
      </c>
      <c r="B836" s="9" t="s">
        <v>47</v>
      </c>
      <c r="C836" s="9" t="s">
        <v>39827</v>
      </c>
      <c r="D836" s="9" t="s">
        <v>44083</v>
      </c>
      <c r="E836" s="56">
        <v>44813.0</v>
      </c>
      <c r="F836" s="9" t="b">
        <v>1</v>
      </c>
      <c r="G836" s="9" t="s">
        <v>38801</v>
      </c>
      <c r="H836" s="9" t="s">
        <v>42576</v>
      </c>
      <c r="I836" s="9" t="b">
        <v>1</v>
      </c>
    </row>
    <row r="837" ht="15.75" customHeight="1">
      <c r="A837" s="9" t="s">
        <v>44084</v>
      </c>
      <c r="B837" s="9" t="s">
        <v>47</v>
      </c>
      <c r="C837" s="9" t="s">
        <v>40007</v>
      </c>
      <c r="D837" s="9" t="s">
        <v>44085</v>
      </c>
      <c r="E837" s="56">
        <v>44813.0</v>
      </c>
      <c r="F837" s="9" t="b">
        <v>1</v>
      </c>
      <c r="G837" s="9" t="s">
        <v>38801</v>
      </c>
      <c r="H837" s="9" t="s">
        <v>42576</v>
      </c>
      <c r="I837" s="9" t="b">
        <v>1</v>
      </c>
    </row>
    <row r="838" ht="15.75" customHeight="1">
      <c r="A838" s="9" t="s">
        <v>44086</v>
      </c>
      <c r="B838" s="9" t="s">
        <v>47</v>
      </c>
      <c r="C838" s="9" t="s">
        <v>40019</v>
      </c>
      <c r="D838" s="9" t="s">
        <v>44087</v>
      </c>
      <c r="E838" s="56">
        <v>44813.0</v>
      </c>
      <c r="F838" s="9" t="b">
        <v>1</v>
      </c>
      <c r="G838" s="9" t="s">
        <v>43228</v>
      </c>
      <c r="H838" s="9" t="s">
        <v>42576</v>
      </c>
    </row>
    <row r="839" ht="15.75" customHeight="1">
      <c r="A839" s="9" t="s">
        <v>44088</v>
      </c>
      <c r="B839" s="9" t="s">
        <v>47</v>
      </c>
      <c r="C839" s="9" t="s">
        <v>40029</v>
      </c>
      <c r="D839" s="9" t="s">
        <v>43854</v>
      </c>
      <c r="E839" s="56">
        <v>44813.0</v>
      </c>
      <c r="F839" s="9" t="b">
        <v>1</v>
      </c>
      <c r="G839" s="9" t="s">
        <v>38801</v>
      </c>
      <c r="H839" s="9" t="s">
        <v>42576</v>
      </c>
      <c r="I839" s="9" t="b">
        <v>1</v>
      </c>
    </row>
    <row r="840" ht="15.75" customHeight="1">
      <c r="A840" s="9" t="s">
        <v>44089</v>
      </c>
      <c r="B840" s="9" t="s">
        <v>52</v>
      </c>
      <c r="C840" s="9" t="s">
        <v>39972</v>
      </c>
      <c r="D840" s="9" t="s">
        <v>44090</v>
      </c>
      <c r="E840" s="56">
        <v>44813.0</v>
      </c>
      <c r="F840" s="9" t="b">
        <v>1</v>
      </c>
      <c r="G840" s="9" t="s">
        <v>43228</v>
      </c>
      <c r="H840" s="9" t="s">
        <v>42576</v>
      </c>
    </row>
    <row r="841" ht="15.75" customHeight="1">
      <c r="A841" s="9" t="s">
        <v>44091</v>
      </c>
      <c r="B841" s="9" t="s">
        <v>131</v>
      </c>
      <c r="C841" s="9" t="s">
        <v>39991</v>
      </c>
      <c r="D841" s="9" t="s">
        <v>44092</v>
      </c>
      <c r="E841" s="56">
        <v>44813.0</v>
      </c>
      <c r="F841" s="9" t="b">
        <v>1</v>
      </c>
      <c r="G841" s="9" t="s">
        <v>38801</v>
      </c>
      <c r="H841" s="9" t="s">
        <v>42576</v>
      </c>
      <c r="I841" s="9" t="b">
        <v>1</v>
      </c>
    </row>
    <row r="842" ht="15.75" customHeight="1">
      <c r="A842" s="9" t="s">
        <v>44093</v>
      </c>
      <c r="B842" s="9" t="s">
        <v>131</v>
      </c>
      <c r="C842" s="9" t="s">
        <v>40035</v>
      </c>
      <c r="D842" s="9" t="s">
        <v>44094</v>
      </c>
      <c r="E842" s="56">
        <v>44816.0</v>
      </c>
      <c r="F842" s="9" t="b">
        <v>1</v>
      </c>
      <c r="G842" s="9" t="s">
        <v>38801</v>
      </c>
      <c r="H842" s="9" t="s">
        <v>42576</v>
      </c>
      <c r="I842" s="9" t="b">
        <v>1</v>
      </c>
    </row>
    <row r="843" ht="15.75" customHeight="1">
      <c r="A843" s="9" t="s">
        <v>44095</v>
      </c>
      <c r="B843" s="9" t="s">
        <v>52</v>
      </c>
      <c r="C843" s="52" t="s">
        <v>40027</v>
      </c>
      <c r="D843" s="9" t="s">
        <v>44096</v>
      </c>
      <c r="E843" s="56">
        <v>44816.0</v>
      </c>
      <c r="F843" s="9" t="b">
        <v>1</v>
      </c>
      <c r="G843" s="9" t="s">
        <v>38801</v>
      </c>
      <c r="H843" s="9" t="s">
        <v>42560</v>
      </c>
      <c r="I843" s="9" t="b">
        <v>1</v>
      </c>
    </row>
    <row r="844" ht="15.75" customHeight="1">
      <c r="A844" s="9" t="s">
        <v>44097</v>
      </c>
      <c r="B844" s="9" t="s">
        <v>131</v>
      </c>
      <c r="C844" s="9" t="s">
        <v>40031</v>
      </c>
      <c r="D844" s="9" t="s">
        <v>44098</v>
      </c>
      <c r="E844" s="56">
        <v>44816.0</v>
      </c>
      <c r="F844" s="9" t="b">
        <v>1</v>
      </c>
      <c r="G844" s="9" t="s">
        <v>43228</v>
      </c>
      <c r="H844" s="9" t="s">
        <v>42576</v>
      </c>
    </row>
    <row r="845" ht="15.75" customHeight="1">
      <c r="A845" s="9" t="s">
        <v>44099</v>
      </c>
      <c r="B845" s="9" t="s">
        <v>52</v>
      </c>
      <c r="C845" s="9" t="s">
        <v>39097</v>
      </c>
      <c r="D845" s="9" t="s">
        <v>44100</v>
      </c>
      <c r="E845" s="56">
        <v>44816.0</v>
      </c>
      <c r="F845" s="9" t="b">
        <v>1</v>
      </c>
      <c r="G845" s="9" t="s">
        <v>38801</v>
      </c>
      <c r="H845" s="9" t="s">
        <v>42576</v>
      </c>
      <c r="I845" s="9" t="b">
        <v>1</v>
      </c>
    </row>
    <row r="846" ht="15.75" customHeight="1">
      <c r="A846" s="9" t="s">
        <v>44101</v>
      </c>
      <c r="B846" s="9" t="s">
        <v>52</v>
      </c>
      <c r="C846" s="9" t="s">
        <v>40025</v>
      </c>
      <c r="D846" s="9" t="s">
        <v>44102</v>
      </c>
      <c r="E846" s="56">
        <v>44816.0</v>
      </c>
      <c r="F846" s="9" t="b">
        <v>1</v>
      </c>
      <c r="G846" s="9" t="s">
        <v>38801</v>
      </c>
      <c r="H846" s="9" t="s">
        <v>42576</v>
      </c>
      <c r="I846" s="9" t="b">
        <v>1</v>
      </c>
    </row>
    <row r="847" ht="15.75" customHeight="1">
      <c r="A847" s="52" t="s">
        <v>44103</v>
      </c>
      <c r="B847" s="9" t="s">
        <v>131</v>
      </c>
      <c r="C847" s="9" t="s">
        <v>39990</v>
      </c>
      <c r="D847" s="9" t="s">
        <v>44104</v>
      </c>
      <c r="E847" s="56">
        <v>44816.0</v>
      </c>
      <c r="F847" s="9" t="b">
        <v>1</v>
      </c>
      <c r="G847" s="9" t="s">
        <v>43228</v>
      </c>
      <c r="H847" s="9" t="s">
        <v>42576</v>
      </c>
    </row>
    <row r="848" ht="15.75" customHeight="1">
      <c r="A848" s="9" t="s">
        <v>44105</v>
      </c>
      <c r="B848" s="9" t="s">
        <v>131</v>
      </c>
      <c r="C848" s="9" t="s">
        <v>39988</v>
      </c>
      <c r="D848" s="9" t="s">
        <v>44104</v>
      </c>
      <c r="E848" s="56">
        <v>44816.0</v>
      </c>
      <c r="F848" s="9" t="b">
        <v>1</v>
      </c>
      <c r="G848" s="9" t="s">
        <v>43228</v>
      </c>
      <c r="H848" s="9" t="s">
        <v>42576</v>
      </c>
    </row>
    <row r="849" ht="15.75" customHeight="1">
      <c r="A849" s="9" t="s">
        <v>44106</v>
      </c>
      <c r="B849" s="9" t="s">
        <v>52</v>
      </c>
      <c r="C849" s="9" t="s">
        <v>40057</v>
      </c>
      <c r="D849" s="9" t="s">
        <v>44107</v>
      </c>
      <c r="E849" s="56">
        <v>44819.0</v>
      </c>
      <c r="F849" s="9" t="b">
        <v>1</v>
      </c>
      <c r="G849" s="9" t="s">
        <v>38801</v>
      </c>
      <c r="H849" s="9" t="s">
        <v>42576</v>
      </c>
      <c r="I849" s="9" t="b">
        <v>1</v>
      </c>
    </row>
    <row r="850" ht="15.75" customHeight="1">
      <c r="A850" s="9" t="s">
        <v>44108</v>
      </c>
      <c r="B850" s="9" t="s">
        <v>131</v>
      </c>
      <c r="C850" s="9" t="s">
        <v>40047</v>
      </c>
      <c r="D850" s="9" t="s">
        <v>44109</v>
      </c>
      <c r="E850" s="56">
        <v>44819.0</v>
      </c>
      <c r="F850" s="9" t="b">
        <v>1</v>
      </c>
      <c r="G850" s="9" t="s">
        <v>42585</v>
      </c>
      <c r="H850" s="9" t="s">
        <v>42576</v>
      </c>
    </row>
    <row r="851" ht="15.75" customHeight="1">
      <c r="A851" s="52" t="s">
        <v>44110</v>
      </c>
      <c r="B851" s="9" t="s">
        <v>131</v>
      </c>
      <c r="C851" s="9" t="s">
        <v>40045</v>
      </c>
      <c r="D851" s="9" t="s">
        <v>44111</v>
      </c>
      <c r="E851" s="56">
        <v>44819.0</v>
      </c>
      <c r="F851" s="9" t="b">
        <v>1</v>
      </c>
      <c r="G851" s="9" t="s">
        <v>43228</v>
      </c>
      <c r="H851" s="9" t="s">
        <v>42576</v>
      </c>
    </row>
    <row r="852" ht="15.75" customHeight="1">
      <c r="A852" s="9" t="s">
        <v>44112</v>
      </c>
      <c r="B852" s="9" t="s">
        <v>131</v>
      </c>
      <c r="C852" s="9" t="s">
        <v>40059</v>
      </c>
      <c r="D852" s="9" t="s">
        <v>44113</v>
      </c>
      <c r="E852" s="56">
        <v>44819.0</v>
      </c>
      <c r="F852" s="9" t="b">
        <v>1</v>
      </c>
      <c r="G852" s="9" t="s">
        <v>38801</v>
      </c>
      <c r="H852" s="9" t="s">
        <v>42576</v>
      </c>
      <c r="I852" s="9" t="b">
        <v>1</v>
      </c>
    </row>
    <row r="853" ht="15.75" customHeight="1">
      <c r="A853" s="9" t="s">
        <v>44114</v>
      </c>
      <c r="B853" s="9" t="s">
        <v>52</v>
      </c>
      <c r="C853" s="9" t="s">
        <v>40023</v>
      </c>
      <c r="D853" s="9" t="s">
        <v>44115</v>
      </c>
      <c r="E853" s="56">
        <v>44819.0</v>
      </c>
      <c r="F853" s="9" t="b">
        <v>1</v>
      </c>
      <c r="G853" s="9" t="s">
        <v>38801</v>
      </c>
      <c r="H853" s="9" t="s">
        <v>42576</v>
      </c>
      <c r="I853" s="9" t="b">
        <v>1</v>
      </c>
    </row>
    <row r="854" ht="15.75" customHeight="1">
      <c r="A854" s="9" t="s">
        <v>44116</v>
      </c>
      <c r="B854" s="9" t="s">
        <v>52</v>
      </c>
      <c r="C854" s="9" t="s">
        <v>40037</v>
      </c>
      <c r="D854" s="9" t="s">
        <v>44117</v>
      </c>
      <c r="E854" s="56">
        <v>44819.0</v>
      </c>
      <c r="F854" s="9" t="b">
        <v>1</v>
      </c>
      <c r="G854" s="9" t="s">
        <v>43228</v>
      </c>
      <c r="H854" s="9" t="s">
        <v>42576</v>
      </c>
    </row>
    <row r="855" ht="15.75" customHeight="1">
      <c r="A855" s="9" t="s">
        <v>44118</v>
      </c>
      <c r="B855" s="9" t="s">
        <v>131</v>
      </c>
      <c r="C855" s="9" t="s">
        <v>40041</v>
      </c>
      <c r="D855" s="9" t="s">
        <v>44119</v>
      </c>
      <c r="E855" s="56">
        <v>44819.0</v>
      </c>
      <c r="F855" s="9" t="b">
        <v>1</v>
      </c>
      <c r="G855" s="9" t="s">
        <v>42585</v>
      </c>
      <c r="H855" s="9" t="s">
        <v>42576</v>
      </c>
    </row>
    <row r="856" ht="15.75" customHeight="1">
      <c r="A856" s="9" t="s">
        <v>44120</v>
      </c>
      <c r="B856" s="9" t="s">
        <v>131</v>
      </c>
      <c r="C856" s="9" t="s">
        <v>40043</v>
      </c>
      <c r="D856" s="9" t="s">
        <v>44119</v>
      </c>
      <c r="E856" s="56">
        <v>44819.0</v>
      </c>
      <c r="F856" s="9" t="b">
        <v>1</v>
      </c>
      <c r="G856" s="9" t="s">
        <v>42585</v>
      </c>
      <c r="H856" s="9" t="s">
        <v>42576</v>
      </c>
    </row>
    <row r="857" ht="15.75" customHeight="1">
      <c r="A857" s="9" t="s">
        <v>44121</v>
      </c>
      <c r="B857" s="9" t="s">
        <v>52</v>
      </c>
      <c r="C857" s="9" t="s">
        <v>40055</v>
      </c>
      <c r="D857" s="9" t="s">
        <v>44122</v>
      </c>
      <c r="E857" s="56">
        <v>44820.0</v>
      </c>
      <c r="F857" s="9" t="b">
        <v>1</v>
      </c>
      <c r="G857" s="9" t="s">
        <v>38801</v>
      </c>
      <c r="H857" s="9" t="s">
        <v>42576</v>
      </c>
      <c r="I857" s="9" t="b">
        <v>1</v>
      </c>
    </row>
    <row r="858" ht="15.75" customHeight="1">
      <c r="A858" s="9" t="s">
        <v>44123</v>
      </c>
      <c r="B858" s="9" t="s">
        <v>131</v>
      </c>
      <c r="C858" s="9" t="s">
        <v>40031</v>
      </c>
      <c r="D858" s="9" t="s">
        <v>44124</v>
      </c>
      <c r="E858" s="56">
        <v>44823.0</v>
      </c>
      <c r="F858" s="9" t="b">
        <v>1</v>
      </c>
      <c r="G858" s="9" t="s">
        <v>38801</v>
      </c>
      <c r="H858" s="9" t="s">
        <v>42576</v>
      </c>
      <c r="I858" s="9" t="b">
        <v>1</v>
      </c>
    </row>
    <row r="859" ht="15.75" customHeight="1">
      <c r="A859" s="9" t="s">
        <v>44125</v>
      </c>
      <c r="B859" s="9" t="s">
        <v>131</v>
      </c>
      <c r="C859" s="9" t="s">
        <v>40065</v>
      </c>
      <c r="D859" s="9" t="s">
        <v>44126</v>
      </c>
      <c r="E859" s="56">
        <v>44823.0</v>
      </c>
      <c r="F859" s="9" t="b">
        <v>1</v>
      </c>
      <c r="G859" s="9" t="s">
        <v>38801</v>
      </c>
      <c r="H859" s="9" t="s">
        <v>42576</v>
      </c>
      <c r="I859" s="9" t="b">
        <v>1</v>
      </c>
    </row>
    <row r="860" ht="15.75" customHeight="1">
      <c r="A860" s="9" t="s">
        <v>44127</v>
      </c>
      <c r="B860" s="9" t="s">
        <v>131</v>
      </c>
      <c r="C860" s="9" t="s">
        <v>40067</v>
      </c>
      <c r="D860" s="9" t="s">
        <v>44128</v>
      </c>
      <c r="E860" s="56">
        <v>44823.0</v>
      </c>
      <c r="F860" s="9" t="b">
        <v>1</v>
      </c>
      <c r="G860" s="9" t="s">
        <v>38801</v>
      </c>
      <c r="H860" s="9" t="s">
        <v>42560</v>
      </c>
      <c r="I860" s="9" t="b">
        <v>1</v>
      </c>
    </row>
    <row r="861" ht="15.75" customHeight="1">
      <c r="A861" s="9" t="s">
        <v>44129</v>
      </c>
      <c r="B861" s="9" t="s">
        <v>47</v>
      </c>
      <c r="C861" s="9" t="s">
        <v>40053</v>
      </c>
      <c r="D861" s="9" t="s">
        <v>44130</v>
      </c>
      <c r="E861" s="56">
        <v>44823.0</v>
      </c>
      <c r="F861" s="9" t="b">
        <v>1</v>
      </c>
      <c r="G861" s="9" t="s">
        <v>38801</v>
      </c>
      <c r="H861" s="9" t="s">
        <v>42576</v>
      </c>
      <c r="I861" s="9" t="b">
        <v>1</v>
      </c>
    </row>
    <row r="862" ht="15.75" customHeight="1">
      <c r="A862" s="9" t="s">
        <v>44131</v>
      </c>
      <c r="B862" s="9" t="s">
        <v>131</v>
      </c>
      <c r="C862" s="9" t="s">
        <v>39953</v>
      </c>
      <c r="D862" s="9" t="s">
        <v>44132</v>
      </c>
      <c r="E862" s="56">
        <v>44823.0</v>
      </c>
      <c r="F862" s="9" t="b">
        <v>1</v>
      </c>
      <c r="G862" s="9" t="s">
        <v>42573</v>
      </c>
      <c r="H862" s="9" t="s">
        <v>42560</v>
      </c>
    </row>
    <row r="863" ht="15.75" customHeight="1">
      <c r="A863" s="9" t="s">
        <v>44133</v>
      </c>
      <c r="B863" s="9" t="s">
        <v>131</v>
      </c>
      <c r="C863" s="9" t="s">
        <v>39953</v>
      </c>
      <c r="D863" s="9" t="s">
        <v>44132</v>
      </c>
      <c r="E863" s="56">
        <v>44823.0</v>
      </c>
      <c r="F863" s="9" t="b">
        <v>1</v>
      </c>
      <c r="G863" s="9" t="s">
        <v>43228</v>
      </c>
      <c r="H863" s="9" t="s">
        <v>42560</v>
      </c>
    </row>
    <row r="864" ht="15.75" customHeight="1">
      <c r="A864" s="9" t="s">
        <v>44134</v>
      </c>
      <c r="B864" s="9" t="s">
        <v>131</v>
      </c>
      <c r="C864" s="9" t="s">
        <v>39955</v>
      </c>
      <c r="D864" s="9" t="s">
        <v>44132</v>
      </c>
      <c r="E864" s="56">
        <v>44823.0</v>
      </c>
      <c r="F864" s="9" t="b">
        <v>1</v>
      </c>
      <c r="G864" s="9" t="s">
        <v>43228</v>
      </c>
      <c r="H864" s="9" t="s">
        <v>42560</v>
      </c>
    </row>
    <row r="865" ht="15.75" customHeight="1">
      <c r="A865" s="9" t="s">
        <v>44135</v>
      </c>
      <c r="B865" s="9" t="s">
        <v>131</v>
      </c>
      <c r="C865" s="9" t="s">
        <v>40071</v>
      </c>
      <c r="D865" s="9" t="s">
        <v>44136</v>
      </c>
      <c r="E865" s="56">
        <v>44824.0</v>
      </c>
      <c r="F865" s="9" t="b">
        <v>1</v>
      </c>
      <c r="G865" s="9" t="s">
        <v>42573</v>
      </c>
      <c r="H865" s="9" t="s">
        <v>42576</v>
      </c>
    </row>
    <row r="866" ht="15.75" customHeight="1">
      <c r="A866" s="9" t="s">
        <v>44137</v>
      </c>
      <c r="B866" s="9" t="s">
        <v>47</v>
      </c>
      <c r="C866" s="9" t="s">
        <v>40069</v>
      </c>
      <c r="D866" s="9" t="s">
        <v>42560</v>
      </c>
      <c r="E866" s="56">
        <v>44824.0</v>
      </c>
      <c r="F866" s="9" t="b">
        <v>1</v>
      </c>
      <c r="G866" s="9" t="s">
        <v>38801</v>
      </c>
      <c r="H866" s="9" t="s">
        <v>42576</v>
      </c>
      <c r="I866" s="9" t="b">
        <v>1</v>
      </c>
    </row>
    <row r="867" ht="15.75" customHeight="1">
      <c r="A867" s="9" t="s">
        <v>44138</v>
      </c>
      <c r="B867" s="9" t="s">
        <v>47</v>
      </c>
      <c r="C867" s="9" t="s">
        <v>40051</v>
      </c>
      <c r="D867" s="9" t="s">
        <v>44139</v>
      </c>
      <c r="E867" s="56">
        <v>44825.0</v>
      </c>
      <c r="F867" s="9" t="b">
        <v>1</v>
      </c>
      <c r="G867" s="9" t="s">
        <v>38801</v>
      </c>
      <c r="H867" s="9" t="s">
        <v>42576</v>
      </c>
      <c r="I867" s="9" t="b">
        <v>1</v>
      </c>
    </row>
    <row r="868" ht="15.75" customHeight="1">
      <c r="A868" s="9" t="s">
        <v>44140</v>
      </c>
      <c r="B868" s="9" t="s">
        <v>47</v>
      </c>
      <c r="C868" s="9" t="s">
        <v>39674</v>
      </c>
      <c r="D868" s="9" t="s">
        <v>44141</v>
      </c>
      <c r="E868" s="56">
        <v>44826.0</v>
      </c>
      <c r="F868" s="9" t="b">
        <v>1</v>
      </c>
      <c r="G868" s="9" t="s">
        <v>43228</v>
      </c>
      <c r="H868" s="9" t="s">
        <v>42576</v>
      </c>
    </row>
    <row r="869" ht="15.75" customHeight="1">
      <c r="A869" s="9" t="s">
        <v>44142</v>
      </c>
      <c r="B869" s="9" t="s">
        <v>47</v>
      </c>
      <c r="C869" s="9" t="s">
        <v>40049</v>
      </c>
      <c r="D869" s="9" t="s">
        <v>44143</v>
      </c>
      <c r="E869" s="56">
        <v>44826.0</v>
      </c>
      <c r="F869" s="9" t="b">
        <v>1</v>
      </c>
      <c r="G869" s="9" t="s">
        <v>38801</v>
      </c>
      <c r="H869" s="9" t="s">
        <v>42576</v>
      </c>
      <c r="I869" s="9" t="b">
        <v>1</v>
      </c>
    </row>
    <row r="870" ht="15.75" customHeight="1">
      <c r="A870" s="9" t="s">
        <v>44144</v>
      </c>
      <c r="B870" s="9" t="s">
        <v>47</v>
      </c>
      <c r="C870" s="9" t="s">
        <v>40005</v>
      </c>
      <c r="D870" s="9" t="s">
        <v>44145</v>
      </c>
      <c r="E870" s="56">
        <v>44827.0</v>
      </c>
      <c r="F870" s="9" t="b">
        <v>1</v>
      </c>
      <c r="G870" s="9" t="s">
        <v>38801</v>
      </c>
      <c r="H870" s="9" t="s">
        <v>42576</v>
      </c>
      <c r="I870" s="9" t="b">
        <v>1</v>
      </c>
    </row>
    <row r="871" ht="15.75" customHeight="1">
      <c r="A871" s="9" t="s">
        <v>44146</v>
      </c>
      <c r="B871" s="9" t="s">
        <v>47</v>
      </c>
      <c r="C871" s="9" t="s">
        <v>40076</v>
      </c>
      <c r="D871" s="9" t="s">
        <v>44147</v>
      </c>
      <c r="E871" s="56">
        <v>44827.0</v>
      </c>
      <c r="F871" s="9" t="b">
        <v>1</v>
      </c>
      <c r="G871" s="9" t="s">
        <v>43228</v>
      </c>
      <c r="H871" s="9" t="s">
        <v>42576</v>
      </c>
    </row>
    <row r="872" ht="15.75" customHeight="1">
      <c r="A872" s="9" t="s">
        <v>44148</v>
      </c>
      <c r="B872" s="9" t="s">
        <v>131</v>
      </c>
      <c r="C872" s="9" t="s">
        <v>38845</v>
      </c>
      <c r="D872" s="9" t="s">
        <v>44149</v>
      </c>
      <c r="E872" s="56">
        <v>44827.0</v>
      </c>
      <c r="F872" s="9" t="b">
        <v>1</v>
      </c>
      <c r="G872" s="9" t="s">
        <v>38801</v>
      </c>
      <c r="H872" s="9" t="s">
        <v>42576</v>
      </c>
      <c r="I872" s="9" t="b">
        <v>1</v>
      </c>
    </row>
    <row r="873" ht="15.75" customHeight="1">
      <c r="A873" s="9" t="s">
        <v>44150</v>
      </c>
      <c r="B873" s="9" t="s">
        <v>131</v>
      </c>
      <c r="C873" s="9" t="s">
        <v>40080</v>
      </c>
      <c r="D873" s="9" t="s">
        <v>44151</v>
      </c>
      <c r="E873" s="56">
        <v>44827.0</v>
      </c>
      <c r="F873" s="9" t="b">
        <v>1</v>
      </c>
      <c r="G873" s="9" t="s">
        <v>38801</v>
      </c>
      <c r="H873" s="9" t="s">
        <v>42576</v>
      </c>
      <c r="I873" s="9" t="b">
        <v>1</v>
      </c>
    </row>
    <row r="874" ht="15.75" customHeight="1">
      <c r="A874" s="9" t="s">
        <v>44152</v>
      </c>
      <c r="B874" s="9" t="s">
        <v>47</v>
      </c>
      <c r="C874" s="9" t="s">
        <v>40078</v>
      </c>
      <c r="D874" s="9" t="s">
        <v>44153</v>
      </c>
      <c r="E874" s="56">
        <v>44827.0</v>
      </c>
      <c r="F874" s="9" t="b">
        <v>1</v>
      </c>
      <c r="G874" s="9" t="s">
        <v>38801</v>
      </c>
      <c r="H874" s="9" t="s">
        <v>42576</v>
      </c>
      <c r="I874" s="9" t="b">
        <v>1</v>
      </c>
    </row>
    <row r="875" ht="15.75" customHeight="1">
      <c r="A875" s="52" t="s">
        <v>44154</v>
      </c>
      <c r="B875" s="9" t="s">
        <v>47</v>
      </c>
      <c r="C875" s="9" t="s">
        <v>40082</v>
      </c>
      <c r="D875" s="9" t="s">
        <v>44155</v>
      </c>
      <c r="E875" s="56">
        <v>44827.0</v>
      </c>
      <c r="F875" s="9" t="b">
        <v>1</v>
      </c>
      <c r="G875" s="9" t="s">
        <v>38801</v>
      </c>
      <c r="H875" s="9" t="s">
        <v>42576</v>
      </c>
      <c r="I875" s="9" t="b">
        <v>1</v>
      </c>
    </row>
    <row r="876" ht="15.75" customHeight="1">
      <c r="A876" s="9" t="s">
        <v>44156</v>
      </c>
      <c r="B876" s="9" t="s">
        <v>47</v>
      </c>
      <c r="C876" s="9" t="s">
        <v>40092</v>
      </c>
      <c r="D876" s="9" t="s">
        <v>44157</v>
      </c>
      <c r="E876" s="56">
        <v>44831.0</v>
      </c>
      <c r="F876" s="9" t="b">
        <v>1</v>
      </c>
      <c r="G876" s="9" t="s">
        <v>38801</v>
      </c>
      <c r="H876" s="9" t="s">
        <v>42576</v>
      </c>
      <c r="I876" s="9" t="b">
        <v>1</v>
      </c>
    </row>
    <row r="877" ht="15.75" customHeight="1">
      <c r="A877" s="9" t="s">
        <v>44158</v>
      </c>
      <c r="B877" s="9" t="s">
        <v>47</v>
      </c>
      <c r="C877" s="9" t="s">
        <v>40088</v>
      </c>
      <c r="D877" s="9" t="s">
        <v>44159</v>
      </c>
      <c r="E877" s="56">
        <v>44831.0</v>
      </c>
      <c r="F877" s="9" t="b">
        <v>1</v>
      </c>
      <c r="G877" s="9" t="s">
        <v>43228</v>
      </c>
      <c r="H877" s="9" t="s">
        <v>42576</v>
      </c>
    </row>
    <row r="878" ht="15.75" customHeight="1">
      <c r="A878" s="9" t="s">
        <v>44160</v>
      </c>
      <c r="B878" s="9" t="s">
        <v>47</v>
      </c>
      <c r="C878" s="9" t="s">
        <v>40084</v>
      </c>
      <c r="D878" s="9" t="s">
        <v>44161</v>
      </c>
      <c r="E878" s="56">
        <v>44831.0</v>
      </c>
      <c r="F878" s="9" t="b">
        <v>1</v>
      </c>
      <c r="G878" s="9" t="s">
        <v>38801</v>
      </c>
      <c r="H878" s="9" t="s">
        <v>42576</v>
      </c>
      <c r="I878" s="9" t="b">
        <v>1</v>
      </c>
    </row>
    <row r="879" ht="15.75" customHeight="1">
      <c r="A879" s="9" t="s">
        <v>44162</v>
      </c>
      <c r="B879" s="9" t="s">
        <v>47</v>
      </c>
      <c r="C879" s="9" t="s">
        <v>39591</v>
      </c>
      <c r="D879" s="9" t="s">
        <v>42843</v>
      </c>
      <c r="E879" s="56">
        <v>44831.0</v>
      </c>
      <c r="F879" s="9" t="b">
        <v>1</v>
      </c>
      <c r="G879" s="9" t="s">
        <v>38801</v>
      </c>
      <c r="H879" s="9" t="s">
        <v>42576</v>
      </c>
      <c r="I879" s="9" t="b">
        <v>1</v>
      </c>
    </row>
    <row r="880" ht="15.75" customHeight="1">
      <c r="A880" s="9" t="s">
        <v>44163</v>
      </c>
      <c r="B880" s="9" t="s">
        <v>47</v>
      </c>
      <c r="C880" s="9" t="s">
        <v>40086</v>
      </c>
      <c r="D880" s="9" t="s">
        <v>44164</v>
      </c>
      <c r="E880" s="56">
        <v>44831.0</v>
      </c>
      <c r="F880" s="9" t="b">
        <v>1</v>
      </c>
      <c r="G880" s="9" t="s">
        <v>43228</v>
      </c>
      <c r="H880" s="9" t="s">
        <v>42576</v>
      </c>
    </row>
    <row r="881" ht="15.75" customHeight="1">
      <c r="A881" s="9" t="s">
        <v>44165</v>
      </c>
      <c r="B881" s="9" t="s">
        <v>76</v>
      </c>
      <c r="C881" s="9" t="s">
        <v>40047</v>
      </c>
      <c r="D881" s="9" t="s">
        <v>44166</v>
      </c>
      <c r="E881" s="56">
        <v>44832.0</v>
      </c>
      <c r="F881" s="9" t="b">
        <v>1</v>
      </c>
      <c r="G881" s="9" t="s">
        <v>38801</v>
      </c>
      <c r="H881" s="9" t="s">
        <v>42576</v>
      </c>
      <c r="I881" s="9" t="b">
        <v>1</v>
      </c>
    </row>
    <row r="882" ht="15.75" customHeight="1">
      <c r="A882" s="9" t="s">
        <v>44167</v>
      </c>
      <c r="B882" s="9" t="s">
        <v>47</v>
      </c>
      <c r="C882" s="9" t="s">
        <v>40098</v>
      </c>
      <c r="D882" s="9" t="s">
        <v>44168</v>
      </c>
      <c r="E882" s="56">
        <v>44832.0</v>
      </c>
      <c r="F882" s="9" t="b">
        <v>1</v>
      </c>
      <c r="G882" s="9" t="s">
        <v>43228</v>
      </c>
      <c r="H882" s="9" t="s">
        <v>42576</v>
      </c>
    </row>
    <row r="883" ht="15.75" customHeight="1">
      <c r="A883" s="9" t="s">
        <v>44169</v>
      </c>
      <c r="B883" s="9" t="s">
        <v>47</v>
      </c>
      <c r="C883" s="9" t="s">
        <v>40098</v>
      </c>
      <c r="D883" s="9" t="s">
        <v>44170</v>
      </c>
      <c r="E883" s="56">
        <v>44832.0</v>
      </c>
      <c r="F883" s="9" t="b">
        <v>1</v>
      </c>
      <c r="G883" s="9" t="s">
        <v>38801</v>
      </c>
      <c r="H883" s="9" t="s">
        <v>42576</v>
      </c>
      <c r="I883" s="9" t="b">
        <v>1</v>
      </c>
    </row>
    <row r="884" ht="15.75" customHeight="1">
      <c r="A884" s="9" t="s">
        <v>44171</v>
      </c>
      <c r="B884" s="9" t="s">
        <v>47</v>
      </c>
      <c r="C884" s="9" t="s">
        <v>40091</v>
      </c>
      <c r="D884" s="9" t="s">
        <v>44172</v>
      </c>
      <c r="E884" s="56">
        <v>44832.0</v>
      </c>
      <c r="F884" s="9" t="b">
        <v>1</v>
      </c>
      <c r="G884" s="9" t="s">
        <v>38801</v>
      </c>
      <c r="H884" s="9" t="s">
        <v>42576</v>
      </c>
      <c r="I884" s="9" t="b">
        <v>1</v>
      </c>
    </row>
    <row r="885" ht="15.75" customHeight="1">
      <c r="A885" s="9" t="s">
        <v>44173</v>
      </c>
      <c r="B885" s="9" t="s">
        <v>52</v>
      </c>
      <c r="C885" s="9" t="s">
        <v>39281</v>
      </c>
      <c r="D885" s="9" t="s">
        <v>44174</v>
      </c>
      <c r="E885" s="56">
        <v>44837.0</v>
      </c>
      <c r="F885" s="9" t="b">
        <v>1</v>
      </c>
      <c r="G885" s="9" t="s">
        <v>43228</v>
      </c>
      <c r="H885" s="9" t="s">
        <v>42576</v>
      </c>
    </row>
    <row r="886" ht="15.75" customHeight="1">
      <c r="A886" s="9" t="s">
        <v>44175</v>
      </c>
      <c r="B886" s="9" t="s">
        <v>52</v>
      </c>
      <c r="C886" s="9" t="s">
        <v>40102</v>
      </c>
      <c r="D886" s="9" t="s">
        <v>44176</v>
      </c>
      <c r="E886" s="56">
        <v>44837.0</v>
      </c>
      <c r="F886" s="9" t="b">
        <v>1</v>
      </c>
      <c r="G886" s="9" t="s">
        <v>43228</v>
      </c>
      <c r="H886" s="9" t="s">
        <v>42576</v>
      </c>
    </row>
    <row r="887" ht="15.75" customHeight="1">
      <c r="A887" s="9" t="s">
        <v>44177</v>
      </c>
      <c r="B887" s="9" t="s">
        <v>47</v>
      </c>
      <c r="C887" s="9" t="s">
        <v>40108</v>
      </c>
      <c r="D887" s="9" t="s">
        <v>44178</v>
      </c>
      <c r="E887" s="56">
        <v>44840.0</v>
      </c>
      <c r="F887" s="9" t="b">
        <v>1</v>
      </c>
      <c r="G887" s="9" t="s">
        <v>38801</v>
      </c>
      <c r="H887" s="9" t="s">
        <v>42576</v>
      </c>
      <c r="I887" s="9" t="b">
        <v>1</v>
      </c>
    </row>
    <row r="888" ht="15.75" customHeight="1">
      <c r="A888" s="9" t="s">
        <v>44179</v>
      </c>
      <c r="B888" s="9" t="s">
        <v>52</v>
      </c>
      <c r="C888" s="9" t="s">
        <v>40112</v>
      </c>
      <c r="D888" s="9" t="s">
        <v>44180</v>
      </c>
      <c r="E888" s="56">
        <v>44840.0</v>
      </c>
      <c r="F888" s="9" t="b">
        <v>1</v>
      </c>
      <c r="G888" s="9" t="s">
        <v>38801</v>
      </c>
      <c r="H888" s="9" t="s">
        <v>42576</v>
      </c>
      <c r="I888" s="9" t="b">
        <v>1</v>
      </c>
    </row>
    <row r="889" ht="15.75" customHeight="1">
      <c r="A889" s="9" t="s">
        <v>44181</v>
      </c>
      <c r="B889" s="9" t="s">
        <v>52</v>
      </c>
      <c r="C889" s="9" t="s">
        <v>40102</v>
      </c>
      <c r="D889" s="9" t="s">
        <v>44182</v>
      </c>
      <c r="E889" s="56">
        <v>44840.0</v>
      </c>
      <c r="F889" s="9" t="b">
        <v>1</v>
      </c>
      <c r="G889" s="9" t="s">
        <v>43228</v>
      </c>
      <c r="H889" s="9" t="s">
        <v>42576</v>
      </c>
    </row>
    <row r="890" ht="15.75" customHeight="1">
      <c r="A890" s="9" t="s">
        <v>44183</v>
      </c>
      <c r="B890" s="9" t="s">
        <v>47</v>
      </c>
      <c r="C890" s="9" t="s">
        <v>40106</v>
      </c>
      <c r="D890" s="9" t="s">
        <v>42560</v>
      </c>
      <c r="E890" s="56">
        <v>44840.0</v>
      </c>
      <c r="F890" s="9" t="b">
        <v>1</v>
      </c>
      <c r="G890" s="9" t="s">
        <v>38801</v>
      </c>
      <c r="H890" s="9" t="s">
        <v>42576</v>
      </c>
      <c r="I890" s="9" t="b">
        <v>1</v>
      </c>
    </row>
    <row r="891" ht="15.75" customHeight="1">
      <c r="A891" s="9" t="s">
        <v>44184</v>
      </c>
      <c r="B891" s="9" t="s">
        <v>47</v>
      </c>
      <c r="C891" s="9" t="s">
        <v>40115</v>
      </c>
      <c r="D891" s="9" t="s">
        <v>44185</v>
      </c>
      <c r="E891" s="56">
        <v>44840.0</v>
      </c>
      <c r="F891" s="9" t="b">
        <v>1</v>
      </c>
      <c r="G891" s="9" t="s">
        <v>38801</v>
      </c>
      <c r="H891" s="9" t="s">
        <v>42576</v>
      </c>
      <c r="I891" s="9" t="b">
        <v>1</v>
      </c>
    </row>
    <row r="892" ht="15.75" customHeight="1">
      <c r="A892" s="9" t="s">
        <v>44186</v>
      </c>
      <c r="B892" s="9" t="s">
        <v>47</v>
      </c>
      <c r="C892" s="9" t="s">
        <v>40117</v>
      </c>
      <c r="D892" s="9" t="s">
        <v>44187</v>
      </c>
      <c r="E892" s="56">
        <v>44840.0</v>
      </c>
      <c r="F892" s="9" t="b">
        <v>1</v>
      </c>
      <c r="G892" s="9" t="s">
        <v>38801</v>
      </c>
      <c r="H892" s="9" t="s">
        <v>42576</v>
      </c>
      <c r="I892" s="9" t="b">
        <v>1</v>
      </c>
    </row>
    <row r="893" ht="15.75" customHeight="1">
      <c r="A893" s="9" t="s">
        <v>44188</v>
      </c>
      <c r="B893" s="9" t="s">
        <v>52</v>
      </c>
      <c r="C893" s="9" t="s">
        <v>40119</v>
      </c>
      <c r="D893" s="9" t="s">
        <v>44189</v>
      </c>
      <c r="E893" s="56">
        <v>44841.0</v>
      </c>
      <c r="F893" s="9" t="b">
        <v>1</v>
      </c>
      <c r="G893" s="9" t="s">
        <v>43228</v>
      </c>
      <c r="H893" s="9" t="s">
        <v>42576</v>
      </c>
    </row>
    <row r="894" ht="15.75" customHeight="1">
      <c r="A894" s="9" t="s">
        <v>44190</v>
      </c>
      <c r="B894" s="9" t="s">
        <v>131</v>
      </c>
      <c r="C894" s="9" t="s">
        <v>40061</v>
      </c>
      <c r="D894" s="9" t="s">
        <v>44191</v>
      </c>
      <c r="E894" s="56">
        <v>44827.0</v>
      </c>
      <c r="F894" s="9" t="b">
        <v>1</v>
      </c>
      <c r="G894" s="9" t="s">
        <v>43228</v>
      </c>
      <c r="H894" s="9" t="s">
        <v>42560</v>
      </c>
    </row>
    <row r="895" ht="16.5" customHeight="1">
      <c r="A895" s="9" t="s">
        <v>44192</v>
      </c>
      <c r="B895" s="9" t="s">
        <v>52</v>
      </c>
      <c r="C895" s="9" t="s">
        <v>40061</v>
      </c>
      <c r="D895" s="9" t="s">
        <v>44193</v>
      </c>
      <c r="E895" s="56">
        <v>44833.0</v>
      </c>
      <c r="F895" s="9" t="b">
        <v>1</v>
      </c>
      <c r="G895" s="9" t="s">
        <v>43228</v>
      </c>
      <c r="H895" s="9" t="s">
        <v>42560</v>
      </c>
    </row>
    <row r="896" ht="15.75" customHeight="1">
      <c r="A896" s="9" t="s">
        <v>44194</v>
      </c>
      <c r="B896" s="9" t="s">
        <v>131</v>
      </c>
      <c r="C896" s="9" t="s">
        <v>40110</v>
      </c>
      <c r="D896" s="9" t="s">
        <v>44195</v>
      </c>
      <c r="E896" s="61">
        <v>44844.0</v>
      </c>
      <c r="F896" s="9" t="b">
        <v>1</v>
      </c>
      <c r="G896" s="9" t="s">
        <v>38801</v>
      </c>
      <c r="H896" s="9" t="s">
        <v>42560</v>
      </c>
      <c r="I896" s="9" t="b">
        <v>1</v>
      </c>
    </row>
    <row r="897" ht="15.75" customHeight="1">
      <c r="A897" s="9" t="s">
        <v>44196</v>
      </c>
      <c r="B897" s="9" t="s">
        <v>52</v>
      </c>
      <c r="C897" s="9" t="s">
        <v>39953</v>
      </c>
      <c r="D897" s="9" t="s">
        <v>44197</v>
      </c>
      <c r="E897" s="61">
        <v>44845.0</v>
      </c>
      <c r="F897" s="9" t="b">
        <v>1</v>
      </c>
      <c r="G897" s="9" t="s">
        <v>42585</v>
      </c>
      <c r="H897" s="9" t="s">
        <v>42576</v>
      </c>
    </row>
    <row r="898" ht="15.75" customHeight="1">
      <c r="A898" s="9" t="s">
        <v>44198</v>
      </c>
      <c r="B898" s="9" t="s">
        <v>52</v>
      </c>
      <c r="C898" s="9" t="s">
        <v>39955</v>
      </c>
      <c r="D898" s="9" t="s">
        <v>44197</v>
      </c>
      <c r="E898" s="61">
        <v>44845.0</v>
      </c>
      <c r="F898" s="9" t="b">
        <v>1</v>
      </c>
      <c r="G898" s="9" t="s">
        <v>42585</v>
      </c>
      <c r="H898" s="9" t="s">
        <v>42576</v>
      </c>
    </row>
    <row r="899" ht="15.75" customHeight="1">
      <c r="A899" s="9" t="s">
        <v>44199</v>
      </c>
      <c r="B899" s="9" t="s">
        <v>47</v>
      </c>
      <c r="C899" s="9" t="s">
        <v>39976</v>
      </c>
      <c r="D899" s="9" t="s">
        <v>42756</v>
      </c>
      <c r="E899" s="61">
        <v>44845.0</v>
      </c>
      <c r="F899" s="9" t="b">
        <v>1</v>
      </c>
      <c r="G899" s="9" t="s">
        <v>38801</v>
      </c>
      <c r="H899" s="9" t="s">
        <v>42576</v>
      </c>
      <c r="I899" s="9" t="b">
        <v>1</v>
      </c>
    </row>
    <row r="900" ht="15.75" customHeight="1">
      <c r="A900" s="9" t="s">
        <v>44200</v>
      </c>
      <c r="B900" s="9" t="s">
        <v>47</v>
      </c>
      <c r="C900" s="9" t="s">
        <v>40120</v>
      </c>
      <c r="D900" s="9" t="s">
        <v>44201</v>
      </c>
      <c r="E900" s="61">
        <v>44845.0</v>
      </c>
      <c r="F900" s="9" t="b">
        <v>1</v>
      </c>
      <c r="G900" s="9" t="s">
        <v>43228</v>
      </c>
      <c r="H900" s="9" t="s">
        <v>42576</v>
      </c>
    </row>
    <row r="901" ht="15.75" customHeight="1">
      <c r="A901" s="9" t="s">
        <v>44202</v>
      </c>
      <c r="B901" s="9" t="s">
        <v>131</v>
      </c>
      <c r="C901" s="9" t="s">
        <v>39955</v>
      </c>
      <c r="D901" s="9" t="s">
        <v>44203</v>
      </c>
      <c r="E901" s="61">
        <v>44845.0</v>
      </c>
      <c r="F901" s="9" t="b">
        <v>1</v>
      </c>
      <c r="G901" s="9" t="s">
        <v>38801</v>
      </c>
      <c r="H901" s="9" t="s">
        <v>42576</v>
      </c>
      <c r="I901" s="9" t="b">
        <v>1</v>
      </c>
    </row>
    <row r="902" ht="15.75" customHeight="1">
      <c r="A902" s="9" t="s">
        <v>44204</v>
      </c>
      <c r="B902" s="9" t="s">
        <v>131</v>
      </c>
      <c r="C902" s="9" t="s">
        <v>39953</v>
      </c>
      <c r="D902" s="9" t="s">
        <v>44203</v>
      </c>
      <c r="E902" s="61">
        <v>44845.0</v>
      </c>
      <c r="F902" s="9" t="b">
        <v>1</v>
      </c>
      <c r="G902" s="9" t="s">
        <v>38801</v>
      </c>
      <c r="H902" s="9" t="s">
        <v>42576</v>
      </c>
      <c r="I902" s="9" t="b">
        <v>1</v>
      </c>
    </row>
    <row r="903" ht="15.75" customHeight="1">
      <c r="A903" s="9" t="s">
        <v>44205</v>
      </c>
      <c r="B903" s="9" t="s">
        <v>52</v>
      </c>
      <c r="C903" s="9" t="s">
        <v>40119</v>
      </c>
      <c r="D903" s="9" t="s">
        <v>44206</v>
      </c>
      <c r="E903" s="61">
        <v>44845.0</v>
      </c>
      <c r="F903" s="9" t="b">
        <v>1</v>
      </c>
      <c r="G903" s="9" t="s">
        <v>42573</v>
      </c>
      <c r="H903" s="9" t="s">
        <v>42576</v>
      </c>
    </row>
    <row r="904" ht="15.75" customHeight="1">
      <c r="A904" s="9" t="s">
        <v>44207</v>
      </c>
      <c r="B904" s="9" t="s">
        <v>131</v>
      </c>
      <c r="C904" s="9" t="s">
        <v>40114</v>
      </c>
      <c r="D904" s="9" t="s">
        <v>44208</v>
      </c>
      <c r="E904" s="61">
        <v>44846.0</v>
      </c>
      <c r="F904" s="9" t="b">
        <v>1</v>
      </c>
      <c r="G904" s="9" t="s">
        <v>38801</v>
      </c>
      <c r="H904" s="9" t="s">
        <v>42576</v>
      </c>
      <c r="I904" s="9" t="b">
        <v>1</v>
      </c>
    </row>
    <row r="905" ht="15.75" customHeight="1">
      <c r="A905" s="9" t="s">
        <v>44209</v>
      </c>
      <c r="B905" s="9" t="s">
        <v>52</v>
      </c>
      <c r="C905" s="9" t="s">
        <v>40100</v>
      </c>
      <c r="D905" s="9" t="s">
        <v>44210</v>
      </c>
      <c r="E905" s="61">
        <v>44846.0</v>
      </c>
      <c r="F905" s="9" t="b">
        <v>1</v>
      </c>
      <c r="G905" s="9" t="s">
        <v>38801</v>
      </c>
      <c r="H905" s="9" t="s">
        <v>42576</v>
      </c>
      <c r="I905" s="9" t="b">
        <v>1</v>
      </c>
    </row>
    <row r="906" ht="15.75" customHeight="1">
      <c r="A906" s="9" t="s">
        <v>44211</v>
      </c>
      <c r="B906" s="9" t="s">
        <v>47</v>
      </c>
      <c r="C906" s="9" t="s">
        <v>40123</v>
      </c>
      <c r="D906" s="9" t="s">
        <v>44212</v>
      </c>
      <c r="E906" s="61">
        <v>44846.0</v>
      </c>
      <c r="F906" s="9" t="b">
        <v>1</v>
      </c>
      <c r="G906" s="9" t="s">
        <v>38801</v>
      </c>
      <c r="H906" s="9" t="s">
        <v>42576</v>
      </c>
      <c r="I906" s="9" t="b">
        <v>1</v>
      </c>
    </row>
    <row r="907" ht="15.75" customHeight="1">
      <c r="A907" s="9" t="s">
        <v>44213</v>
      </c>
      <c r="B907" s="9" t="s">
        <v>52</v>
      </c>
      <c r="C907" s="9" t="s">
        <v>40122</v>
      </c>
      <c r="D907" s="9" t="s">
        <v>44214</v>
      </c>
      <c r="E907" s="61">
        <v>44846.0</v>
      </c>
      <c r="F907" s="9" t="b">
        <v>1</v>
      </c>
      <c r="G907" s="9" t="s">
        <v>43228</v>
      </c>
      <c r="H907" s="9" t="s">
        <v>42576</v>
      </c>
    </row>
    <row r="908" ht="15.75" customHeight="1">
      <c r="A908" s="9" t="s">
        <v>44215</v>
      </c>
      <c r="B908" s="9" t="s">
        <v>131</v>
      </c>
      <c r="C908" s="9" t="s">
        <v>40073</v>
      </c>
      <c r="D908" s="9" t="s">
        <v>44216</v>
      </c>
      <c r="E908" s="61">
        <v>44846.0</v>
      </c>
      <c r="F908" s="9" t="b">
        <v>1</v>
      </c>
      <c r="G908" s="9" t="s">
        <v>38801</v>
      </c>
      <c r="H908" s="9" t="s">
        <v>42576</v>
      </c>
      <c r="I908" s="9" t="b">
        <v>1</v>
      </c>
    </row>
    <row r="909" ht="15.75" customHeight="1">
      <c r="A909" s="9" t="s">
        <v>44217</v>
      </c>
      <c r="B909" s="9" t="s">
        <v>131</v>
      </c>
      <c r="C909" s="9" t="s">
        <v>40071</v>
      </c>
      <c r="D909" s="9" t="s">
        <v>44218</v>
      </c>
      <c r="E909" s="61">
        <v>44846.0</v>
      </c>
      <c r="F909" s="9" t="b">
        <v>1</v>
      </c>
      <c r="G909" s="9" t="s">
        <v>38801</v>
      </c>
      <c r="H909" s="9" t="s">
        <v>42576</v>
      </c>
      <c r="I909" s="9" t="b">
        <v>1</v>
      </c>
    </row>
    <row r="910" ht="15.75" customHeight="1">
      <c r="A910" s="9" t="s">
        <v>44219</v>
      </c>
      <c r="B910" s="9" t="s">
        <v>131</v>
      </c>
      <c r="C910" s="9" t="s">
        <v>40074</v>
      </c>
      <c r="D910" s="9" t="s">
        <v>44220</v>
      </c>
      <c r="E910" s="61">
        <v>44846.0</v>
      </c>
      <c r="F910" s="9" t="b">
        <v>1</v>
      </c>
      <c r="G910" s="9" t="s">
        <v>38801</v>
      </c>
      <c r="H910" s="9" t="s">
        <v>42576</v>
      </c>
      <c r="I910" s="9" t="b">
        <v>1</v>
      </c>
    </row>
    <row r="911" ht="15.75" customHeight="1">
      <c r="A911" s="9" t="s">
        <v>44221</v>
      </c>
      <c r="B911" s="9" t="s">
        <v>131</v>
      </c>
      <c r="C911" s="9" t="s">
        <v>40127</v>
      </c>
      <c r="D911" s="9" t="s">
        <v>42560</v>
      </c>
      <c r="E911" s="61">
        <v>44847.0</v>
      </c>
      <c r="F911" s="9" t="b">
        <v>1</v>
      </c>
      <c r="G911" s="9" t="s">
        <v>38801</v>
      </c>
      <c r="H911" s="9" t="s">
        <v>42576</v>
      </c>
      <c r="I911" s="9" t="b">
        <v>1</v>
      </c>
    </row>
    <row r="912" ht="15.75" customHeight="1">
      <c r="A912" s="9" t="s">
        <v>44222</v>
      </c>
      <c r="B912" s="9" t="s">
        <v>131</v>
      </c>
      <c r="C912" s="9" t="s">
        <v>40125</v>
      </c>
      <c r="D912" s="9" t="s">
        <v>42560</v>
      </c>
      <c r="E912" s="61">
        <v>44847.0</v>
      </c>
      <c r="F912" s="9" t="b">
        <v>1</v>
      </c>
      <c r="G912" s="9" t="s">
        <v>38801</v>
      </c>
      <c r="H912" s="9" t="s">
        <v>42576</v>
      </c>
      <c r="I912" s="9" t="b">
        <v>1</v>
      </c>
    </row>
    <row r="913" ht="15.75" customHeight="1">
      <c r="A913" s="9" t="s">
        <v>44223</v>
      </c>
      <c r="B913" s="9" t="s">
        <v>131</v>
      </c>
      <c r="C913" s="9" t="s">
        <v>40129</v>
      </c>
      <c r="D913" s="9" t="s">
        <v>44224</v>
      </c>
      <c r="E913" s="61">
        <v>44847.0</v>
      </c>
      <c r="F913" s="9" t="b">
        <v>1</v>
      </c>
      <c r="G913" s="9" t="s">
        <v>42573</v>
      </c>
      <c r="H913" s="9" t="s">
        <v>42576</v>
      </c>
    </row>
    <row r="914" ht="15.75" customHeight="1">
      <c r="A914" s="52" t="s">
        <v>44225</v>
      </c>
      <c r="B914" s="9" t="s">
        <v>47</v>
      </c>
      <c r="C914" s="9" t="s">
        <v>40120</v>
      </c>
      <c r="D914" s="9" t="s">
        <v>43724</v>
      </c>
      <c r="E914" s="61">
        <v>44847.0</v>
      </c>
      <c r="F914" s="9" t="b">
        <v>1</v>
      </c>
      <c r="G914" s="9" t="s">
        <v>38801</v>
      </c>
      <c r="H914" s="9" t="s">
        <v>42576</v>
      </c>
      <c r="I914" s="9" t="b">
        <v>1</v>
      </c>
    </row>
    <row r="915" ht="15.75" customHeight="1">
      <c r="A915" s="9" t="s">
        <v>44226</v>
      </c>
      <c r="B915" s="9" t="s">
        <v>52</v>
      </c>
      <c r="C915" s="9" t="s">
        <v>39253</v>
      </c>
      <c r="D915" s="9" t="s">
        <v>44227</v>
      </c>
      <c r="E915" s="61">
        <v>44848.0</v>
      </c>
      <c r="F915" s="9" t="b">
        <v>1</v>
      </c>
      <c r="G915" s="9" t="s">
        <v>43228</v>
      </c>
      <c r="H915" s="9" t="s">
        <v>42576</v>
      </c>
    </row>
    <row r="916" ht="15.75" customHeight="1">
      <c r="A916" s="9" t="s">
        <v>44228</v>
      </c>
      <c r="B916" s="9" t="s">
        <v>52</v>
      </c>
      <c r="C916" s="9" t="s">
        <v>40119</v>
      </c>
      <c r="D916" s="9" t="s">
        <v>44229</v>
      </c>
      <c r="E916" s="61">
        <v>44851.0</v>
      </c>
      <c r="F916" s="9" t="b">
        <v>1</v>
      </c>
      <c r="G916" s="9" t="s">
        <v>38801</v>
      </c>
      <c r="H916" s="9" t="s">
        <v>42576</v>
      </c>
      <c r="I916" s="9" t="b">
        <v>1</v>
      </c>
    </row>
    <row r="917" ht="15.75" customHeight="1">
      <c r="A917" s="9" t="s">
        <v>44230</v>
      </c>
      <c r="B917" s="9" t="s">
        <v>52</v>
      </c>
      <c r="C917" s="9" t="s">
        <v>39951</v>
      </c>
      <c r="D917" s="9" t="s">
        <v>44231</v>
      </c>
      <c r="E917" s="61">
        <v>44853.0</v>
      </c>
      <c r="F917" s="9" t="b">
        <v>1</v>
      </c>
      <c r="G917" s="9" t="s">
        <v>38801</v>
      </c>
      <c r="H917" s="9" t="s">
        <v>42576</v>
      </c>
      <c r="I917" s="9" t="b">
        <v>1</v>
      </c>
    </row>
    <row r="918" ht="15.75" customHeight="1">
      <c r="A918" s="9" t="s">
        <v>44232</v>
      </c>
      <c r="B918" s="9" t="s">
        <v>52</v>
      </c>
      <c r="C918" s="9" t="s">
        <v>40132</v>
      </c>
      <c r="D918" s="9" t="s">
        <v>44210</v>
      </c>
      <c r="E918" s="61">
        <v>44853.0</v>
      </c>
      <c r="F918" s="9" t="b">
        <v>1</v>
      </c>
      <c r="G918" s="9" t="s">
        <v>38801</v>
      </c>
      <c r="H918" s="9" t="s">
        <v>42576</v>
      </c>
      <c r="I918" s="9" t="b">
        <v>1</v>
      </c>
    </row>
    <row r="919" ht="15.75" customHeight="1">
      <c r="A919" s="9" t="s">
        <v>44233</v>
      </c>
      <c r="B919" s="9" t="s">
        <v>52</v>
      </c>
      <c r="C919" s="9" t="s">
        <v>40134</v>
      </c>
      <c r="D919" s="9" t="s">
        <v>44234</v>
      </c>
      <c r="E919" s="61">
        <v>44854.0</v>
      </c>
      <c r="F919" s="9" t="b">
        <v>1</v>
      </c>
      <c r="G919" s="9" t="s">
        <v>38801</v>
      </c>
      <c r="H919" s="9" t="s">
        <v>42576</v>
      </c>
      <c r="I919" s="9" t="b">
        <v>1</v>
      </c>
    </row>
    <row r="920" ht="15.75" customHeight="1">
      <c r="A920" s="9" t="s">
        <v>44235</v>
      </c>
      <c r="B920" s="9" t="s">
        <v>52</v>
      </c>
      <c r="C920" s="9" t="s">
        <v>40063</v>
      </c>
      <c r="D920" s="9" t="s">
        <v>44236</v>
      </c>
      <c r="E920" s="61">
        <v>44858.0</v>
      </c>
      <c r="F920" s="9" t="b">
        <v>1</v>
      </c>
      <c r="G920" s="9" t="s">
        <v>42585</v>
      </c>
      <c r="H920" s="9" t="s">
        <v>42560</v>
      </c>
    </row>
    <row r="921" ht="15.75" customHeight="1">
      <c r="A921" s="9" t="s">
        <v>44237</v>
      </c>
      <c r="B921" s="9" t="s">
        <v>52</v>
      </c>
      <c r="C921" s="9" t="s">
        <v>40144</v>
      </c>
      <c r="D921" s="9" t="s">
        <v>44238</v>
      </c>
      <c r="E921" s="61">
        <v>44859.0</v>
      </c>
      <c r="F921" s="9" t="b">
        <v>1</v>
      </c>
      <c r="G921" s="9" t="s">
        <v>38801</v>
      </c>
      <c r="H921" s="9" t="s">
        <v>42576</v>
      </c>
      <c r="I921" s="9" t="b">
        <v>1</v>
      </c>
    </row>
    <row r="922" ht="15.75" customHeight="1">
      <c r="A922" s="9" t="s">
        <v>44239</v>
      </c>
      <c r="B922" s="9" t="s">
        <v>47</v>
      </c>
      <c r="C922" s="9" t="s">
        <v>40147</v>
      </c>
      <c r="D922" s="9" t="s">
        <v>44240</v>
      </c>
      <c r="E922" s="61">
        <v>44861.0</v>
      </c>
      <c r="F922" s="9" t="b">
        <v>1</v>
      </c>
      <c r="G922" s="9" t="s">
        <v>43228</v>
      </c>
      <c r="H922" s="9" t="s">
        <v>42576</v>
      </c>
    </row>
    <row r="923" ht="15.75" customHeight="1">
      <c r="A923" s="52" t="s">
        <v>44241</v>
      </c>
      <c r="B923" s="9" t="s">
        <v>47</v>
      </c>
      <c r="C923" s="9" t="s">
        <v>40149</v>
      </c>
      <c r="D923" s="9" t="s">
        <v>44242</v>
      </c>
      <c r="E923" s="61">
        <v>44861.0</v>
      </c>
      <c r="F923" s="9" t="b">
        <v>1</v>
      </c>
      <c r="G923" s="9" t="s">
        <v>38801</v>
      </c>
      <c r="H923" s="9" t="s">
        <v>42576</v>
      </c>
      <c r="I923" s="9" t="b">
        <v>1</v>
      </c>
    </row>
    <row r="924" ht="15.75" customHeight="1">
      <c r="A924" s="9" t="s">
        <v>44243</v>
      </c>
      <c r="B924" s="9" t="s">
        <v>47</v>
      </c>
      <c r="C924" s="9" t="s">
        <v>40140</v>
      </c>
      <c r="D924" s="9" t="s">
        <v>43948</v>
      </c>
      <c r="E924" s="61">
        <v>44861.0</v>
      </c>
      <c r="F924" s="9" t="b">
        <v>1</v>
      </c>
      <c r="G924" s="9" t="s">
        <v>38801</v>
      </c>
      <c r="H924" s="9" t="s">
        <v>42576</v>
      </c>
      <c r="I924" s="9" t="b">
        <v>1</v>
      </c>
    </row>
    <row r="925" ht="15.75" customHeight="1">
      <c r="A925" s="9" t="s">
        <v>44244</v>
      </c>
      <c r="B925" s="9" t="s">
        <v>47</v>
      </c>
      <c r="C925" s="9" t="s">
        <v>39894</v>
      </c>
      <c r="D925" s="9" t="s">
        <v>44245</v>
      </c>
      <c r="E925" s="61">
        <v>44861.0</v>
      </c>
      <c r="F925" s="9" t="b">
        <v>1</v>
      </c>
      <c r="G925" s="9" t="s">
        <v>43228</v>
      </c>
      <c r="H925" s="9" t="s">
        <v>42576</v>
      </c>
    </row>
    <row r="926" ht="15.75" customHeight="1">
      <c r="A926" s="9" t="s">
        <v>44246</v>
      </c>
      <c r="B926" s="9" t="s">
        <v>131</v>
      </c>
      <c r="C926" s="9" t="s">
        <v>40153</v>
      </c>
      <c r="D926" s="9" t="s">
        <v>44247</v>
      </c>
      <c r="E926" s="61">
        <v>44862.0</v>
      </c>
      <c r="F926" s="9" t="b">
        <v>1</v>
      </c>
      <c r="G926" s="9" t="s">
        <v>38801</v>
      </c>
      <c r="H926" s="9" t="s">
        <v>42576</v>
      </c>
      <c r="I926" s="9" t="b">
        <v>1</v>
      </c>
    </row>
    <row r="927" ht="15.75" customHeight="1">
      <c r="A927" s="9" t="s">
        <v>44248</v>
      </c>
      <c r="B927" s="9" t="s">
        <v>52</v>
      </c>
      <c r="C927" s="9" t="s">
        <v>40138</v>
      </c>
      <c r="D927" s="9" t="s">
        <v>44249</v>
      </c>
      <c r="E927" s="61">
        <v>44862.0</v>
      </c>
      <c r="F927" s="9" t="b">
        <v>1</v>
      </c>
      <c r="G927" s="9" t="s">
        <v>42573</v>
      </c>
      <c r="H927" s="9" t="s">
        <v>42576</v>
      </c>
    </row>
    <row r="928" ht="15.75" customHeight="1">
      <c r="A928" s="9" t="s">
        <v>44250</v>
      </c>
      <c r="B928" s="9" t="s">
        <v>76</v>
      </c>
      <c r="C928" s="9" t="s">
        <v>40063</v>
      </c>
      <c r="D928" s="9" t="s">
        <v>44251</v>
      </c>
      <c r="E928" s="61">
        <v>44863.0</v>
      </c>
      <c r="F928" s="9" t="b">
        <v>1</v>
      </c>
      <c r="G928" s="9" t="s">
        <v>38801</v>
      </c>
      <c r="H928" s="9" t="s">
        <v>42560</v>
      </c>
      <c r="I928" s="9" t="b">
        <v>1</v>
      </c>
    </row>
    <row r="929" ht="15.75" customHeight="1">
      <c r="A929" s="9" t="s">
        <v>44252</v>
      </c>
      <c r="B929" s="9" t="s">
        <v>52</v>
      </c>
      <c r="C929" s="9" t="s">
        <v>40138</v>
      </c>
      <c r="D929" s="9" t="s">
        <v>44253</v>
      </c>
      <c r="E929" s="61">
        <v>44865.0</v>
      </c>
      <c r="F929" s="9" t="b">
        <v>1</v>
      </c>
      <c r="G929" s="9" t="s">
        <v>43228</v>
      </c>
      <c r="H929" s="9" t="s">
        <v>42576</v>
      </c>
    </row>
    <row r="930" ht="15.75" customHeight="1">
      <c r="A930" s="9" t="s">
        <v>44254</v>
      </c>
      <c r="B930" s="9" t="s">
        <v>47</v>
      </c>
      <c r="C930" s="9" t="s">
        <v>40157</v>
      </c>
      <c r="D930" s="9" t="s">
        <v>44255</v>
      </c>
      <c r="E930" s="61">
        <v>44865.0</v>
      </c>
      <c r="F930" s="9" t="b">
        <v>1</v>
      </c>
      <c r="G930" s="9" t="s">
        <v>38801</v>
      </c>
      <c r="H930" s="9" t="s">
        <v>42576</v>
      </c>
      <c r="I930" s="9" t="b">
        <v>1</v>
      </c>
    </row>
    <row r="931" ht="15.75" customHeight="1">
      <c r="A931" s="9" t="s">
        <v>44256</v>
      </c>
      <c r="B931" s="9" t="s">
        <v>47</v>
      </c>
      <c r="C931" s="9" t="s">
        <v>40159</v>
      </c>
      <c r="D931" s="9" t="s">
        <v>42560</v>
      </c>
      <c r="E931" s="61">
        <v>44865.0</v>
      </c>
      <c r="F931" s="9" t="b">
        <v>1</v>
      </c>
      <c r="G931" s="9" t="s">
        <v>38801</v>
      </c>
      <c r="H931" s="9" t="s">
        <v>42576</v>
      </c>
      <c r="I931" s="9" t="b">
        <v>1</v>
      </c>
    </row>
    <row r="932" ht="15.75" customHeight="1">
      <c r="A932" s="9" t="s">
        <v>44257</v>
      </c>
      <c r="B932" s="9" t="s">
        <v>47</v>
      </c>
      <c r="C932" s="9" t="s">
        <v>40167</v>
      </c>
      <c r="D932" s="9" t="s">
        <v>44258</v>
      </c>
      <c r="E932" s="56">
        <v>44867.0</v>
      </c>
      <c r="F932" s="9" t="b">
        <v>1</v>
      </c>
      <c r="G932" s="9" t="s">
        <v>38801</v>
      </c>
      <c r="H932" s="9" t="s">
        <v>42576</v>
      </c>
      <c r="I932" s="9" t="b">
        <v>1</v>
      </c>
    </row>
    <row r="933" ht="15.75" customHeight="1">
      <c r="A933" s="9" t="s">
        <v>44259</v>
      </c>
      <c r="B933" s="9" t="s">
        <v>47</v>
      </c>
      <c r="C933" s="9" t="s">
        <v>40161</v>
      </c>
      <c r="D933" s="9" t="s">
        <v>44260</v>
      </c>
      <c r="E933" s="56">
        <v>44867.0</v>
      </c>
      <c r="F933" s="9" t="b">
        <v>1</v>
      </c>
      <c r="G933" s="9" t="s">
        <v>38801</v>
      </c>
      <c r="H933" s="9" t="s">
        <v>42576</v>
      </c>
      <c r="I933" s="9" t="b">
        <v>1</v>
      </c>
    </row>
    <row r="934" ht="15.75" customHeight="1">
      <c r="A934" s="9" t="s">
        <v>44261</v>
      </c>
      <c r="B934" s="9" t="s">
        <v>47</v>
      </c>
      <c r="C934" s="9" t="s">
        <v>40163</v>
      </c>
      <c r="D934" s="9" t="s">
        <v>44262</v>
      </c>
      <c r="E934" s="56">
        <v>44867.0</v>
      </c>
      <c r="F934" s="9" t="b">
        <v>1</v>
      </c>
      <c r="G934" s="9" t="s">
        <v>43228</v>
      </c>
      <c r="H934" s="9" t="s">
        <v>42560</v>
      </c>
    </row>
    <row r="935" ht="15.75" customHeight="1">
      <c r="A935" s="9" t="s">
        <v>44263</v>
      </c>
      <c r="B935" s="9" t="s">
        <v>52</v>
      </c>
      <c r="C935" s="9" t="s">
        <v>40088</v>
      </c>
      <c r="D935" s="9" t="s">
        <v>44264</v>
      </c>
      <c r="E935" s="56">
        <v>44867.0</v>
      </c>
      <c r="F935" s="9" t="b">
        <v>1</v>
      </c>
      <c r="G935" s="9" t="s">
        <v>43228</v>
      </c>
      <c r="H935" s="9" t="s">
        <v>42576</v>
      </c>
    </row>
    <row r="936" ht="15.75" customHeight="1">
      <c r="A936" s="9" t="s">
        <v>44265</v>
      </c>
      <c r="B936" s="9" t="s">
        <v>47</v>
      </c>
      <c r="C936" s="9" t="s">
        <v>40169</v>
      </c>
      <c r="D936" s="9" t="s">
        <v>44266</v>
      </c>
      <c r="E936" s="56">
        <v>44867.0</v>
      </c>
      <c r="F936" s="9" t="b">
        <v>1</v>
      </c>
      <c r="G936" s="9" t="s">
        <v>38801</v>
      </c>
      <c r="H936" s="9" t="s">
        <v>42576</v>
      </c>
      <c r="I936" s="9" t="b">
        <v>1</v>
      </c>
    </row>
    <row r="937" ht="15.75" customHeight="1">
      <c r="A937" s="9" t="s">
        <v>44267</v>
      </c>
      <c r="B937" s="9" t="s">
        <v>47</v>
      </c>
      <c r="C937" s="9" t="s">
        <v>40171</v>
      </c>
      <c r="D937" s="9" t="s">
        <v>43948</v>
      </c>
      <c r="E937" s="56">
        <v>44867.0</v>
      </c>
      <c r="F937" s="9" t="b">
        <v>1</v>
      </c>
      <c r="G937" s="9" t="s">
        <v>38801</v>
      </c>
      <c r="H937" s="9" t="s">
        <v>42576</v>
      </c>
      <c r="I937" s="9" t="b">
        <v>1</v>
      </c>
    </row>
    <row r="938" ht="15.75" customHeight="1">
      <c r="A938" s="9" t="s">
        <v>44268</v>
      </c>
      <c r="B938" s="9" t="s">
        <v>47</v>
      </c>
      <c r="C938" s="9" t="s">
        <v>40173</v>
      </c>
      <c r="D938" s="9" t="s">
        <v>44269</v>
      </c>
      <c r="E938" s="56">
        <v>44867.0</v>
      </c>
      <c r="F938" s="9" t="b">
        <v>1</v>
      </c>
      <c r="G938" s="9" t="s">
        <v>38801</v>
      </c>
      <c r="H938" s="9" t="s">
        <v>42576</v>
      </c>
      <c r="I938" s="9" t="b">
        <v>1</v>
      </c>
    </row>
    <row r="939" ht="15.75" customHeight="1">
      <c r="A939" s="9" t="s">
        <v>44270</v>
      </c>
      <c r="B939" s="9" t="s">
        <v>76</v>
      </c>
      <c r="C939" s="52" t="s">
        <v>40090</v>
      </c>
      <c r="D939" s="9" t="s">
        <v>44271</v>
      </c>
      <c r="E939" s="56">
        <v>44867.0</v>
      </c>
      <c r="F939" s="9" t="b">
        <v>1</v>
      </c>
      <c r="G939" s="9" t="s">
        <v>38801</v>
      </c>
      <c r="H939" s="9" t="s">
        <v>42576</v>
      </c>
      <c r="I939" s="9" t="b">
        <v>1</v>
      </c>
    </row>
    <row r="940" ht="15.75" customHeight="1">
      <c r="A940" s="9" t="s">
        <v>44272</v>
      </c>
      <c r="B940" s="9" t="s">
        <v>47</v>
      </c>
      <c r="C940" s="9" t="s">
        <v>40165</v>
      </c>
      <c r="D940" s="9" t="s">
        <v>44273</v>
      </c>
      <c r="E940" s="56">
        <v>44867.0</v>
      </c>
      <c r="F940" s="9" t="b">
        <v>1</v>
      </c>
      <c r="G940" s="9" t="s">
        <v>43228</v>
      </c>
      <c r="H940" s="9" t="s">
        <v>42560</v>
      </c>
    </row>
    <row r="941" ht="15.75" customHeight="1">
      <c r="A941" s="9" t="s">
        <v>44274</v>
      </c>
      <c r="B941" s="9" t="s">
        <v>47</v>
      </c>
      <c r="C941" s="9" t="s">
        <v>40146</v>
      </c>
      <c r="D941" s="9" t="s">
        <v>43948</v>
      </c>
      <c r="E941" s="56">
        <v>44867.0</v>
      </c>
      <c r="F941" s="9" t="b">
        <v>1</v>
      </c>
      <c r="G941" s="9" t="s">
        <v>38801</v>
      </c>
      <c r="H941" s="9" t="s">
        <v>42576</v>
      </c>
      <c r="I941" s="9" t="b">
        <v>1</v>
      </c>
    </row>
    <row r="942" ht="15.75" customHeight="1">
      <c r="A942" s="9" t="s">
        <v>44275</v>
      </c>
      <c r="B942" s="9" t="s">
        <v>47</v>
      </c>
      <c r="C942" s="9" t="s">
        <v>40177</v>
      </c>
      <c r="D942" s="9" t="s">
        <v>44276</v>
      </c>
      <c r="E942" s="56">
        <v>44869.0</v>
      </c>
      <c r="F942" s="9" t="b">
        <v>1</v>
      </c>
      <c r="G942" s="9" t="s">
        <v>38801</v>
      </c>
      <c r="H942" s="9" t="s">
        <v>42576</v>
      </c>
      <c r="I942" s="9" t="b">
        <v>1</v>
      </c>
    </row>
    <row r="943" ht="15.75" customHeight="1">
      <c r="A943" s="9" t="s">
        <v>44277</v>
      </c>
      <c r="B943" s="9" t="s">
        <v>47</v>
      </c>
      <c r="C943" s="9" t="s">
        <v>40147</v>
      </c>
      <c r="D943" s="9" t="s">
        <v>44278</v>
      </c>
      <c r="E943" s="56">
        <v>44869.0</v>
      </c>
      <c r="F943" s="9" t="b">
        <v>1</v>
      </c>
      <c r="G943" s="9" t="s">
        <v>38801</v>
      </c>
      <c r="H943" s="9" t="s">
        <v>42576</v>
      </c>
      <c r="I943" s="9" t="b">
        <v>1</v>
      </c>
    </row>
    <row r="944" ht="15.75" customHeight="1">
      <c r="A944" s="9" t="s">
        <v>44279</v>
      </c>
      <c r="B944" s="9" t="s">
        <v>47</v>
      </c>
      <c r="C944" s="9" t="s">
        <v>40178</v>
      </c>
      <c r="D944" s="9" t="s">
        <v>44280</v>
      </c>
      <c r="E944" s="56">
        <v>44869.0</v>
      </c>
      <c r="F944" s="9" t="b">
        <v>1</v>
      </c>
      <c r="G944" s="9" t="s">
        <v>38801</v>
      </c>
      <c r="H944" s="9" t="s">
        <v>42560</v>
      </c>
      <c r="I944" s="9" t="b">
        <v>1</v>
      </c>
    </row>
    <row r="945" ht="15.75" customHeight="1">
      <c r="A945" s="9" t="s">
        <v>44281</v>
      </c>
      <c r="B945" s="9" t="s">
        <v>131</v>
      </c>
      <c r="C945" s="9" t="s">
        <v>40180</v>
      </c>
      <c r="D945" s="9" t="s">
        <v>44282</v>
      </c>
      <c r="E945" s="56">
        <v>44872.0</v>
      </c>
      <c r="F945" s="9" t="b">
        <v>1</v>
      </c>
      <c r="G945" s="9" t="s">
        <v>38801</v>
      </c>
      <c r="H945" s="9" t="s">
        <v>42576</v>
      </c>
      <c r="I945" s="9" t="b">
        <v>1</v>
      </c>
    </row>
    <row r="946" ht="15.75" customHeight="1">
      <c r="A946" s="9" t="s">
        <v>44283</v>
      </c>
      <c r="B946" s="9" t="s">
        <v>26</v>
      </c>
      <c r="C946" s="9" t="s">
        <v>39634</v>
      </c>
      <c r="D946" s="9" t="s">
        <v>44284</v>
      </c>
      <c r="E946" s="56">
        <v>44874.0</v>
      </c>
      <c r="F946" s="9" t="b">
        <v>1</v>
      </c>
      <c r="G946" s="9" t="s">
        <v>38801</v>
      </c>
      <c r="H946" s="9" t="s">
        <v>42560</v>
      </c>
      <c r="I946" s="9" t="b">
        <v>1</v>
      </c>
    </row>
    <row r="947" ht="15.75" customHeight="1">
      <c r="A947" s="9" t="s">
        <v>44285</v>
      </c>
      <c r="B947" s="9" t="s">
        <v>26</v>
      </c>
      <c r="C947" s="9" t="s">
        <v>39347</v>
      </c>
      <c r="D947" s="9" t="s">
        <v>44286</v>
      </c>
      <c r="E947" s="56">
        <v>44874.0</v>
      </c>
      <c r="F947" s="9" t="b">
        <v>1</v>
      </c>
      <c r="G947" s="9" t="s">
        <v>38801</v>
      </c>
      <c r="H947" s="9" t="s">
        <v>42560</v>
      </c>
      <c r="I947" s="9" t="b">
        <v>1</v>
      </c>
    </row>
    <row r="948" ht="15.75" customHeight="1">
      <c r="A948" s="9" t="s">
        <v>44287</v>
      </c>
      <c r="B948" s="9" t="s">
        <v>26</v>
      </c>
      <c r="C948" s="9" t="s">
        <v>39345</v>
      </c>
      <c r="D948" s="9" t="s">
        <v>44288</v>
      </c>
      <c r="E948" s="56">
        <v>44874.0</v>
      </c>
      <c r="F948" s="9" t="b">
        <v>1</v>
      </c>
      <c r="G948" s="9" t="s">
        <v>38801</v>
      </c>
      <c r="H948" s="9" t="s">
        <v>42560</v>
      </c>
      <c r="I948" s="9" t="b">
        <v>1</v>
      </c>
    </row>
    <row r="949" ht="15.75" customHeight="1">
      <c r="A949" s="9" t="s">
        <v>44289</v>
      </c>
      <c r="B949" s="9" t="s">
        <v>26</v>
      </c>
      <c r="C949" s="9" t="s">
        <v>40021</v>
      </c>
      <c r="D949" s="9" t="s">
        <v>44290</v>
      </c>
      <c r="E949" s="56">
        <v>44874.0</v>
      </c>
      <c r="F949" s="9" t="b">
        <v>1</v>
      </c>
      <c r="G949" s="9" t="s">
        <v>38801</v>
      </c>
      <c r="H949" s="9" t="s">
        <v>42560</v>
      </c>
      <c r="I949" s="9" t="b">
        <v>1</v>
      </c>
    </row>
    <row r="950" ht="15.75" customHeight="1">
      <c r="A950" s="9" t="s">
        <v>44291</v>
      </c>
      <c r="B950" s="9" t="s">
        <v>26</v>
      </c>
      <c r="C950" s="9" t="s">
        <v>40039</v>
      </c>
      <c r="D950" s="9" t="s">
        <v>44292</v>
      </c>
      <c r="E950" s="56">
        <v>44874.0</v>
      </c>
      <c r="F950" s="9" t="b">
        <v>1</v>
      </c>
      <c r="G950" s="9" t="s">
        <v>42585</v>
      </c>
      <c r="H950" s="9" t="s">
        <v>42560</v>
      </c>
    </row>
    <row r="951" ht="15.75" customHeight="1">
      <c r="A951" s="9" t="s">
        <v>44293</v>
      </c>
      <c r="B951" s="9" t="s">
        <v>26</v>
      </c>
      <c r="C951" s="9" t="s">
        <v>40045</v>
      </c>
      <c r="D951" s="9" t="s">
        <v>44294</v>
      </c>
      <c r="E951" s="56">
        <v>44874.0</v>
      </c>
      <c r="F951" s="9" t="b">
        <v>1</v>
      </c>
      <c r="G951" s="9" t="s">
        <v>38801</v>
      </c>
      <c r="H951" s="9" t="s">
        <v>42560</v>
      </c>
      <c r="I951" s="9" t="b">
        <v>1</v>
      </c>
    </row>
    <row r="952" ht="15.75" customHeight="1">
      <c r="A952" s="9" t="s">
        <v>44295</v>
      </c>
      <c r="B952" s="9" t="s">
        <v>26</v>
      </c>
      <c r="C952" s="9" t="s">
        <v>40019</v>
      </c>
      <c r="D952" s="9" t="s">
        <v>44296</v>
      </c>
      <c r="E952" s="56">
        <v>44874.0</v>
      </c>
      <c r="F952" s="9" t="b">
        <v>1</v>
      </c>
      <c r="G952" s="9" t="s">
        <v>42573</v>
      </c>
      <c r="H952" s="9" t="s">
        <v>42560</v>
      </c>
    </row>
    <row r="953" ht="15.75" customHeight="1">
      <c r="A953" s="9" t="s">
        <v>44297</v>
      </c>
      <c r="B953" s="9" t="s">
        <v>131</v>
      </c>
      <c r="C953" s="9" t="s">
        <v>40043</v>
      </c>
      <c r="D953" s="9" t="s">
        <v>44298</v>
      </c>
      <c r="E953" s="56">
        <v>44874.0</v>
      </c>
      <c r="F953" s="9" t="b">
        <v>1</v>
      </c>
      <c r="G953" s="9" t="s">
        <v>43228</v>
      </c>
      <c r="H953" s="9" t="s">
        <v>42576</v>
      </c>
    </row>
    <row r="954" ht="15.75" customHeight="1">
      <c r="A954" s="9" t="s">
        <v>44299</v>
      </c>
      <c r="B954" s="9" t="s">
        <v>76</v>
      </c>
      <c r="C954" s="9" t="s">
        <v>40104</v>
      </c>
      <c r="D954" s="9" t="s">
        <v>44300</v>
      </c>
      <c r="E954" s="56">
        <v>44874.0</v>
      </c>
      <c r="F954" s="9" t="b">
        <v>1</v>
      </c>
      <c r="G954" s="9" t="s">
        <v>38801</v>
      </c>
      <c r="H954" s="9" t="s">
        <v>42576</v>
      </c>
      <c r="I954" s="9" t="b">
        <v>1</v>
      </c>
    </row>
    <row r="955" ht="15.75" customHeight="1">
      <c r="A955" s="52" t="s">
        <v>44301</v>
      </c>
      <c r="B955" s="9" t="s">
        <v>52</v>
      </c>
      <c r="C955" s="9" t="s">
        <v>40142</v>
      </c>
      <c r="D955" s="9" t="s">
        <v>44302</v>
      </c>
      <c r="E955" s="56">
        <v>44874.0</v>
      </c>
      <c r="F955" s="9" t="b">
        <v>1</v>
      </c>
      <c r="G955" s="9" t="s">
        <v>43228</v>
      </c>
      <c r="H955" s="9" t="s">
        <v>42576</v>
      </c>
    </row>
    <row r="956" ht="15.75" customHeight="1">
      <c r="A956" s="9" t="s">
        <v>44303</v>
      </c>
      <c r="B956" s="9" t="s">
        <v>76</v>
      </c>
      <c r="C956" s="9" t="s">
        <v>40033</v>
      </c>
      <c r="D956" s="9" t="s">
        <v>44304</v>
      </c>
      <c r="E956" s="56">
        <v>44874.0</v>
      </c>
      <c r="F956" s="9" t="b">
        <v>1</v>
      </c>
      <c r="G956" s="9" t="s">
        <v>38801</v>
      </c>
      <c r="H956" s="9" t="s">
        <v>42560</v>
      </c>
      <c r="I956" s="9" t="b">
        <v>1</v>
      </c>
    </row>
    <row r="957" ht="15.75" customHeight="1">
      <c r="A957" s="9" t="s">
        <v>44305</v>
      </c>
      <c r="B957" s="9" t="s">
        <v>26</v>
      </c>
      <c r="C957" s="9" t="s">
        <v>39751</v>
      </c>
      <c r="D957" s="9" t="s">
        <v>44306</v>
      </c>
      <c r="E957" s="61">
        <v>44875.0</v>
      </c>
      <c r="F957" s="9" t="b">
        <v>1</v>
      </c>
      <c r="G957" s="9" t="s">
        <v>38801</v>
      </c>
      <c r="H957" s="9" t="s">
        <v>42560</v>
      </c>
      <c r="I957" s="9" t="b">
        <v>1</v>
      </c>
    </row>
    <row r="958" ht="15.75" customHeight="1">
      <c r="A958" s="9" t="s">
        <v>44307</v>
      </c>
      <c r="B958" s="9" t="s">
        <v>26</v>
      </c>
      <c r="C958" s="9" t="s">
        <v>39632</v>
      </c>
      <c r="D958" s="9" t="s">
        <v>44308</v>
      </c>
      <c r="E958" s="61">
        <v>44875.0</v>
      </c>
      <c r="F958" s="9" t="b">
        <v>1</v>
      </c>
      <c r="G958" s="9" t="s">
        <v>38801</v>
      </c>
      <c r="H958" s="9" t="s">
        <v>42560</v>
      </c>
      <c r="I958" s="9" t="b">
        <v>1</v>
      </c>
    </row>
    <row r="959" ht="15.75" customHeight="1">
      <c r="A959" s="9" t="s">
        <v>44309</v>
      </c>
      <c r="B959" s="9" t="s">
        <v>26</v>
      </c>
      <c r="C959" s="9" t="s">
        <v>39919</v>
      </c>
      <c r="D959" s="9" t="s">
        <v>44310</v>
      </c>
      <c r="E959" s="61">
        <v>44875.0</v>
      </c>
      <c r="F959" s="9" t="b">
        <v>1</v>
      </c>
      <c r="G959" s="9" t="s">
        <v>38801</v>
      </c>
      <c r="H959" s="9" t="s">
        <v>42560</v>
      </c>
      <c r="I959" s="9" t="b">
        <v>1</v>
      </c>
    </row>
    <row r="960" ht="15.75" customHeight="1">
      <c r="A960" s="9" t="s">
        <v>44311</v>
      </c>
      <c r="B960" s="9" t="s">
        <v>26</v>
      </c>
      <c r="C960" s="9" t="s">
        <v>39594</v>
      </c>
      <c r="D960" s="9" t="s">
        <v>44312</v>
      </c>
      <c r="E960" s="61">
        <v>44875.0</v>
      </c>
      <c r="F960" s="9" t="b">
        <v>1</v>
      </c>
      <c r="G960" s="9" t="s">
        <v>38801</v>
      </c>
      <c r="H960" s="9" t="s">
        <v>42560</v>
      </c>
      <c r="I960" s="9" t="b">
        <v>1</v>
      </c>
    </row>
    <row r="961" ht="15.75" customHeight="1">
      <c r="A961" s="9" t="s">
        <v>44313</v>
      </c>
      <c r="B961" s="9" t="s">
        <v>26</v>
      </c>
      <c r="C961" s="9" t="s">
        <v>39982</v>
      </c>
      <c r="D961" s="9" t="s">
        <v>44314</v>
      </c>
      <c r="E961" s="61">
        <v>44875.0</v>
      </c>
      <c r="F961" s="9" t="b">
        <v>1</v>
      </c>
      <c r="G961" s="9" t="s">
        <v>38801</v>
      </c>
      <c r="H961" s="9" t="s">
        <v>42560</v>
      </c>
      <c r="I961" s="9" t="b">
        <v>1</v>
      </c>
    </row>
    <row r="962" ht="15.75" customHeight="1">
      <c r="A962" s="9" t="s">
        <v>44315</v>
      </c>
      <c r="B962" s="9" t="s">
        <v>26</v>
      </c>
      <c r="C962" s="9" t="s">
        <v>39984</v>
      </c>
      <c r="D962" s="9" t="s">
        <v>44316</v>
      </c>
      <c r="E962" s="61">
        <v>44875.0</v>
      </c>
      <c r="F962" s="9" t="b">
        <v>1</v>
      </c>
      <c r="G962" s="9" t="s">
        <v>38801</v>
      </c>
      <c r="H962" s="9" t="s">
        <v>42560</v>
      </c>
      <c r="I962" s="9" t="b">
        <v>1</v>
      </c>
    </row>
    <row r="963" ht="15.75" customHeight="1">
      <c r="A963" s="9" t="s">
        <v>44317</v>
      </c>
      <c r="B963" s="9" t="s">
        <v>26</v>
      </c>
      <c r="C963" s="9" t="s">
        <v>40076</v>
      </c>
      <c r="D963" s="9" t="s">
        <v>44318</v>
      </c>
      <c r="E963" s="61">
        <v>44875.0</v>
      </c>
      <c r="F963" s="9" t="b">
        <v>1</v>
      </c>
      <c r="G963" s="9" t="s">
        <v>38801</v>
      </c>
      <c r="H963" s="9" t="s">
        <v>42560</v>
      </c>
      <c r="I963" s="9" t="b">
        <v>1</v>
      </c>
    </row>
    <row r="964" ht="15.75" customHeight="1">
      <c r="A964" s="9" t="s">
        <v>44319</v>
      </c>
      <c r="B964" s="9" t="s">
        <v>26</v>
      </c>
      <c r="C964" s="9" t="s">
        <v>40019</v>
      </c>
      <c r="D964" s="9" t="s">
        <v>44320</v>
      </c>
      <c r="E964" s="61">
        <v>44875.0</v>
      </c>
      <c r="F964" s="9" t="b">
        <v>1</v>
      </c>
      <c r="G964" s="9" t="s">
        <v>38801</v>
      </c>
      <c r="H964" s="9" t="s">
        <v>42560</v>
      </c>
      <c r="I964" s="9" t="b">
        <v>1</v>
      </c>
    </row>
    <row r="965" ht="15.75" customHeight="1">
      <c r="A965" s="9" t="s">
        <v>44321</v>
      </c>
      <c r="B965" s="9" t="s">
        <v>26</v>
      </c>
      <c r="C965" s="9" t="s">
        <v>40189</v>
      </c>
      <c r="D965" s="9" t="s">
        <v>44322</v>
      </c>
      <c r="E965" s="61">
        <v>44875.0</v>
      </c>
      <c r="F965" s="9" t="b">
        <v>1</v>
      </c>
      <c r="G965" s="9" t="s">
        <v>38801</v>
      </c>
      <c r="H965" s="9" t="s">
        <v>42560</v>
      </c>
      <c r="I965" s="9" t="b">
        <v>1</v>
      </c>
    </row>
    <row r="966" ht="15.75" customHeight="1">
      <c r="A966" s="9" t="s">
        <v>44323</v>
      </c>
      <c r="B966" s="9" t="s">
        <v>26</v>
      </c>
      <c r="C966" s="9" t="s">
        <v>40039</v>
      </c>
      <c r="D966" s="9" t="s">
        <v>44324</v>
      </c>
      <c r="E966" s="61">
        <v>44875.0</v>
      </c>
      <c r="F966" s="9" t="b">
        <v>1</v>
      </c>
      <c r="G966" s="9" t="s">
        <v>38801</v>
      </c>
      <c r="H966" s="9" t="s">
        <v>42560</v>
      </c>
      <c r="I966" s="9" t="b">
        <v>1</v>
      </c>
    </row>
    <row r="967" ht="15.75" customHeight="1">
      <c r="A967" s="9" t="s">
        <v>44325</v>
      </c>
      <c r="B967" s="9" t="s">
        <v>26</v>
      </c>
      <c r="C967" s="9" t="s">
        <v>40043</v>
      </c>
      <c r="D967" s="9" t="s">
        <v>44326</v>
      </c>
      <c r="E967" s="61">
        <v>44875.0</v>
      </c>
      <c r="F967" s="9" t="b">
        <v>1</v>
      </c>
      <c r="G967" s="9" t="s">
        <v>38801</v>
      </c>
      <c r="H967" s="9" t="s">
        <v>42560</v>
      </c>
      <c r="I967" s="9" t="b">
        <v>1</v>
      </c>
    </row>
    <row r="968" ht="15.75" customHeight="1">
      <c r="A968" s="9" t="s">
        <v>44327</v>
      </c>
      <c r="B968" s="9" t="s">
        <v>26</v>
      </c>
      <c r="C968" s="9" t="s">
        <v>39974</v>
      </c>
      <c r="D968" s="9" t="s">
        <v>44328</v>
      </c>
      <c r="E968" s="61">
        <v>44875.0</v>
      </c>
      <c r="F968" s="9" t="b">
        <v>1</v>
      </c>
      <c r="G968" s="9" t="s">
        <v>38801</v>
      </c>
      <c r="H968" s="9" t="s">
        <v>42560</v>
      </c>
      <c r="I968" s="9" t="b">
        <v>1</v>
      </c>
    </row>
    <row r="969" ht="15.75" customHeight="1">
      <c r="A969" s="9" t="s">
        <v>44329</v>
      </c>
      <c r="B969" s="9" t="s">
        <v>26</v>
      </c>
      <c r="C969" s="9" t="s">
        <v>40187</v>
      </c>
      <c r="D969" s="9" t="s">
        <v>44330</v>
      </c>
      <c r="E969" s="61">
        <v>44875.0</v>
      </c>
      <c r="F969" s="9" t="b">
        <v>1</v>
      </c>
      <c r="G969" s="9" t="s">
        <v>38801</v>
      </c>
      <c r="H969" s="9" t="s">
        <v>42560</v>
      </c>
      <c r="I969" s="9" t="b">
        <v>1</v>
      </c>
    </row>
    <row r="970" ht="15.75" customHeight="1">
      <c r="A970" s="9" t="s">
        <v>44331</v>
      </c>
      <c r="B970" s="9" t="s">
        <v>26</v>
      </c>
      <c r="C970" s="9" t="s">
        <v>40041</v>
      </c>
      <c r="D970" s="9" t="s">
        <v>44332</v>
      </c>
      <c r="E970" s="61">
        <v>44875.0</v>
      </c>
      <c r="F970" s="9" t="b">
        <v>1</v>
      </c>
      <c r="G970" s="9" t="s">
        <v>38801</v>
      </c>
      <c r="H970" s="9" t="s">
        <v>42560</v>
      </c>
      <c r="I970" s="9" t="b">
        <v>1</v>
      </c>
    </row>
    <row r="971" ht="15.75" customHeight="1">
      <c r="A971" s="9" t="s">
        <v>44333</v>
      </c>
      <c r="B971" s="9" t="s">
        <v>26</v>
      </c>
      <c r="C971" s="9" t="s">
        <v>40096</v>
      </c>
      <c r="D971" s="9" t="s">
        <v>44334</v>
      </c>
      <c r="E971" s="61">
        <v>44875.0</v>
      </c>
      <c r="F971" s="9" t="b">
        <v>1</v>
      </c>
      <c r="G971" s="9" t="s">
        <v>38801</v>
      </c>
      <c r="H971" s="9" t="s">
        <v>42560</v>
      </c>
      <c r="I971" s="9" t="b">
        <v>1</v>
      </c>
    </row>
    <row r="972" ht="15.75" customHeight="1">
      <c r="A972" s="9" t="s">
        <v>44335</v>
      </c>
      <c r="B972" s="9" t="s">
        <v>26</v>
      </c>
      <c r="C972" s="9" t="s">
        <v>40131</v>
      </c>
      <c r="D972" s="9" t="s">
        <v>44336</v>
      </c>
      <c r="E972" s="61">
        <v>44875.0</v>
      </c>
      <c r="F972" s="9" t="b">
        <v>1</v>
      </c>
      <c r="G972" s="9" t="s">
        <v>38801</v>
      </c>
      <c r="H972" s="9" t="s">
        <v>42560</v>
      </c>
      <c r="I972" s="9" t="b">
        <v>1</v>
      </c>
    </row>
    <row r="973" ht="15.75" customHeight="1">
      <c r="A973" s="9" t="s">
        <v>44337</v>
      </c>
      <c r="B973" s="9" t="s">
        <v>26</v>
      </c>
      <c r="C973" s="9" t="s">
        <v>40136</v>
      </c>
      <c r="D973" s="9" t="s">
        <v>44338</v>
      </c>
      <c r="E973" s="61">
        <v>44875.0</v>
      </c>
      <c r="F973" s="9" t="b">
        <v>1</v>
      </c>
      <c r="G973" s="9" t="s">
        <v>38801</v>
      </c>
      <c r="H973" s="9" t="s">
        <v>42560</v>
      </c>
      <c r="I973" s="9" t="b">
        <v>1</v>
      </c>
    </row>
    <row r="974" ht="15.75" customHeight="1">
      <c r="A974" s="9" t="s">
        <v>44339</v>
      </c>
      <c r="B974" s="9" t="s">
        <v>26</v>
      </c>
      <c r="C974" s="9" t="s">
        <v>40017</v>
      </c>
      <c r="D974" s="9" t="s">
        <v>44340</v>
      </c>
      <c r="E974" s="61">
        <v>44875.0</v>
      </c>
      <c r="F974" s="9" t="b">
        <v>1</v>
      </c>
      <c r="G974" s="9" t="s">
        <v>38801</v>
      </c>
      <c r="H974" s="9" t="s">
        <v>42560</v>
      </c>
      <c r="I974" s="9" t="b">
        <v>1</v>
      </c>
    </row>
    <row r="975" ht="15.75" customHeight="1">
      <c r="A975" s="9" t="s">
        <v>44341</v>
      </c>
      <c r="B975" s="9" t="s">
        <v>26</v>
      </c>
      <c r="C975" s="9" t="s">
        <v>39621</v>
      </c>
      <c r="D975" s="9" t="s">
        <v>44342</v>
      </c>
      <c r="E975" s="61">
        <v>44875.0</v>
      </c>
      <c r="F975" s="9" t="b">
        <v>1</v>
      </c>
      <c r="G975" s="9" t="s">
        <v>38801</v>
      </c>
      <c r="H975" s="9" t="s">
        <v>42560</v>
      </c>
      <c r="I975" s="9" t="b">
        <v>1</v>
      </c>
    </row>
    <row r="976" ht="15.75" customHeight="1">
      <c r="A976" s="9" t="s">
        <v>44343</v>
      </c>
      <c r="B976" s="9" t="s">
        <v>26</v>
      </c>
      <c r="C976" s="9" t="s">
        <v>39941</v>
      </c>
      <c r="D976" s="9" t="s">
        <v>44344</v>
      </c>
      <c r="E976" s="61">
        <v>44875.0</v>
      </c>
      <c r="F976" s="9" t="b">
        <v>1</v>
      </c>
      <c r="G976" s="9" t="s">
        <v>38801</v>
      </c>
      <c r="H976" s="9" t="s">
        <v>42560</v>
      </c>
      <c r="I976" s="9" t="b">
        <v>1</v>
      </c>
    </row>
    <row r="977" ht="15.75" customHeight="1">
      <c r="A977" s="9" t="s">
        <v>44345</v>
      </c>
      <c r="B977" s="9" t="s">
        <v>26</v>
      </c>
      <c r="C977" s="9" t="s">
        <v>39374</v>
      </c>
      <c r="D977" s="9" t="s">
        <v>44346</v>
      </c>
      <c r="E977" s="61">
        <v>44875.0</v>
      </c>
      <c r="F977" s="9" t="b">
        <v>1</v>
      </c>
      <c r="G977" s="9" t="s">
        <v>38801</v>
      </c>
      <c r="H977" s="9" t="s">
        <v>42560</v>
      </c>
      <c r="I977" s="9" t="b">
        <v>1</v>
      </c>
    </row>
    <row r="978" ht="15.75" customHeight="1">
      <c r="A978" s="9" t="s">
        <v>44347</v>
      </c>
      <c r="B978" s="9" t="s">
        <v>26</v>
      </c>
      <c r="C978" s="9" t="s">
        <v>39707</v>
      </c>
      <c r="D978" s="9" t="s">
        <v>44348</v>
      </c>
      <c r="E978" s="61">
        <v>44875.0</v>
      </c>
      <c r="F978" s="9" t="b">
        <v>1</v>
      </c>
      <c r="G978" s="9" t="s">
        <v>38801</v>
      </c>
      <c r="H978" s="9" t="s">
        <v>42560</v>
      </c>
      <c r="I978" s="9" t="b">
        <v>1</v>
      </c>
    </row>
    <row r="979" ht="15.75" customHeight="1">
      <c r="A979" s="9" t="s">
        <v>44349</v>
      </c>
      <c r="B979" s="9" t="s">
        <v>26</v>
      </c>
      <c r="C979" s="9" t="s">
        <v>39376</v>
      </c>
      <c r="D979" s="9" t="s">
        <v>44350</v>
      </c>
      <c r="E979" s="61">
        <v>44875.0</v>
      </c>
      <c r="F979" s="9" t="b">
        <v>1</v>
      </c>
      <c r="G979" s="9" t="s">
        <v>38801</v>
      </c>
      <c r="H979" s="9" t="s">
        <v>42560</v>
      </c>
      <c r="I979" s="9" t="b">
        <v>1</v>
      </c>
    </row>
    <row r="980" ht="15.75" customHeight="1">
      <c r="A980" s="9" t="s">
        <v>44351</v>
      </c>
      <c r="B980" s="9" t="s">
        <v>26</v>
      </c>
      <c r="C980" s="9" t="s">
        <v>39922</v>
      </c>
      <c r="D980" s="9" t="s">
        <v>44352</v>
      </c>
      <c r="E980" s="61">
        <v>44875.0</v>
      </c>
      <c r="F980" s="9" t="b">
        <v>1</v>
      </c>
      <c r="G980" s="9" t="s">
        <v>38801</v>
      </c>
      <c r="H980" s="9" t="s">
        <v>42560</v>
      </c>
      <c r="I980" s="9" t="b">
        <v>1</v>
      </c>
    </row>
    <row r="981" ht="15.75" customHeight="1">
      <c r="A981" s="9" t="s">
        <v>44353</v>
      </c>
      <c r="B981" s="9" t="s">
        <v>131</v>
      </c>
      <c r="C981" s="9" t="s">
        <v>39988</v>
      </c>
      <c r="D981" s="9" t="s">
        <v>44354</v>
      </c>
      <c r="E981" s="61">
        <v>44875.0</v>
      </c>
      <c r="F981" s="9" t="b">
        <v>1</v>
      </c>
      <c r="G981" s="9" t="s">
        <v>38801</v>
      </c>
      <c r="H981" s="9" t="s">
        <v>42576</v>
      </c>
      <c r="I981" s="9" t="b">
        <v>1</v>
      </c>
    </row>
    <row r="982" ht="15.75" customHeight="1">
      <c r="A982" s="9" t="s">
        <v>44355</v>
      </c>
      <c r="B982" s="9" t="s">
        <v>26</v>
      </c>
      <c r="C982" s="9" t="s">
        <v>39179</v>
      </c>
      <c r="D982" s="9" t="s">
        <v>44356</v>
      </c>
      <c r="E982" s="61">
        <v>44875.0</v>
      </c>
      <c r="F982" s="9" t="b">
        <v>1</v>
      </c>
      <c r="G982" s="9" t="s">
        <v>38801</v>
      </c>
      <c r="H982" s="9" t="s">
        <v>42560</v>
      </c>
      <c r="I982" s="9" t="b">
        <v>1</v>
      </c>
    </row>
    <row r="983" ht="15.75" customHeight="1">
      <c r="A983" s="9" t="s">
        <v>44357</v>
      </c>
      <c r="B983" s="9" t="s">
        <v>131</v>
      </c>
      <c r="C983" s="9" t="s">
        <v>39990</v>
      </c>
      <c r="D983" s="9" t="s">
        <v>44358</v>
      </c>
      <c r="E983" s="61">
        <v>44875.0</v>
      </c>
      <c r="F983" s="9" t="b">
        <v>1</v>
      </c>
      <c r="G983" s="9" t="s">
        <v>38801</v>
      </c>
      <c r="H983" s="9" t="s">
        <v>42576</v>
      </c>
      <c r="I983" s="9" t="b">
        <v>1</v>
      </c>
    </row>
    <row r="984" ht="15.75" customHeight="1">
      <c r="A984" s="9" t="s">
        <v>44359</v>
      </c>
      <c r="B984" s="9" t="s">
        <v>26</v>
      </c>
      <c r="C984" s="9" t="s">
        <v>39056</v>
      </c>
      <c r="D984" s="9" t="s">
        <v>44360</v>
      </c>
      <c r="E984" s="61">
        <v>44875.0</v>
      </c>
      <c r="F984" s="9" t="b">
        <v>1</v>
      </c>
      <c r="G984" s="9" t="s">
        <v>38801</v>
      </c>
      <c r="H984" s="9" t="s">
        <v>42560</v>
      </c>
      <c r="I984" s="9" t="b">
        <v>1</v>
      </c>
    </row>
    <row r="985" ht="15.75" customHeight="1">
      <c r="A985" s="9" t="s">
        <v>44361</v>
      </c>
      <c r="B985" s="9" t="s">
        <v>26</v>
      </c>
      <c r="C985" s="9" t="s">
        <v>39118</v>
      </c>
      <c r="D985" s="9" t="s">
        <v>43414</v>
      </c>
      <c r="E985" s="61">
        <v>44875.0</v>
      </c>
      <c r="F985" s="9" t="b">
        <v>1</v>
      </c>
      <c r="G985" s="9" t="s">
        <v>38801</v>
      </c>
      <c r="H985" s="9" t="s">
        <v>42560</v>
      </c>
      <c r="I985" s="9" t="b">
        <v>1</v>
      </c>
    </row>
    <row r="986" ht="15.75" customHeight="1">
      <c r="A986" s="52" t="s">
        <v>44362</v>
      </c>
      <c r="B986" s="9" t="s">
        <v>131</v>
      </c>
      <c r="C986" s="9" t="s">
        <v>40185</v>
      </c>
      <c r="D986" s="9" t="s">
        <v>44363</v>
      </c>
      <c r="E986" s="61">
        <v>44875.0</v>
      </c>
      <c r="F986" s="9" t="b">
        <v>1</v>
      </c>
      <c r="G986" s="9" t="s">
        <v>38801</v>
      </c>
      <c r="H986" s="9" t="s">
        <v>42576</v>
      </c>
      <c r="I986" s="9" t="b">
        <v>1</v>
      </c>
    </row>
    <row r="987" ht="15.75" customHeight="1">
      <c r="A987" s="9" t="s">
        <v>44364</v>
      </c>
      <c r="B987" s="9" t="s">
        <v>131</v>
      </c>
      <c r="C987" s="9" t="s">
        <v>40175</v>
      </c>
      <c r="D987" s="9" t="s">
        <v>44365</v>
      </c>
      <c r="E987" s="61">
        <v>44875.0</v>
      </c>
      <c r="F987" s="9" t="b">
        <v>1</v>
      </c>
      <c r="G987" s="9" t="s">
        <v>38801</v>
      </c>
      <c r="H987" s="9" t="s">
        <v>42576</v>
      </c>
      <c r="I987" s="9" t="b">
        <v>1</v>
      </c>
    </row>
    <row r="988" ht="15.75" customHeight="1">
      <c r="A988" s="9" t="s">
        <v>44366</v>
      </c>
      <c r="B988" s="9" t="s">
        <v>26</v>
      </c>
      <c r="C988" s="9" t="s">
        <v>39241</v>
      </c>
      <c r="D988" s="9" t="s">
        <v>44367</v>
      </c>
      <c r="E988" s="61">
        <v>44875.0</v>
      </c>
      <c r="F988" s="9" t="b">
        <v>1</v>
      </c>
      <c r="G988" s="9" t="s">
        <v>38801</v>
      </c>
      <c r="H988" s="9" t="s">
        <v>42560</v>
      </c>
      <c r="I988" s="9" t="b">
        <v>1</v>
      </c>
    </row>
    <row r="989" ht="15.75" customHeight="1">
      <c r="A989" s="9" t="s">
        <v>44368</v>
      </c>
      <c r="B989" s="9" t="s">
        <v>131</v>
      </c>
      <c r="C989" s="9" t="s">
        <v>40129</v>
      </c>
      <c r="D989" s="9" t="s">
        <v>44369</v>
      </c>
      <c r="E989" s="61">
        <v>44875.0</v>
      </c>
      <c r="F989" s="9" t="b">
        <v>1</v>
      </c>
      <c r="G989" s="9" t="s">
        <v>38801</v>
      </c>
      <c r="H989" s="9" t="s">
        <v>42576</v>
      </c>
      <c r="I989" s="9" t="b">
        <v>1</v>
      </c>
    </row>
    <row r="990" ht="15.75" customHeight="1">
      <c r="A990" s="9" t="s">
        <v>44370</v>
      </c>
      <c r="B990" s="9" t="s">
        <v>26</v>
      </c>
      <c r="C990" s="9" t="s">
        <v>39275</v>
      </c>
      <c r="D990" s="9" t="s">
        <v>44371</v>
      </c>
      <c r="E990" s="61">
        <v>44875.0</v>
      </c>
      <c r="F990" s="9" t="b">
        <v>1</v>
      </c>
      <c r="G990" s="9" t="s">
        <v>38801</v>
      </c>
      <c r="H990" s="9" t="s">
        <v>42560</v>
      </c>
      <c r="I990" s="9" t="b">
        <v>1</v>
      </c>
    </row>
    <row r="991" ht="15.75" customHeight="1">
      <c r="A991" s="52" t="s">
        <v>44372</v>
      </c>
      <c r="B991" s="9" t="s">
        <v>26</v>
      </c>
      <c r="C991" s="9" t="s">
        <v>39137</v>
      </c>
      <c r="D991" s="9" t="s">
        <v>44373</v>
      </c>
      <c r="E991" s="61">
        <v>44875.0</v>
      </c>
      <c r="F991" s="9" t="b">
        <v>1</v>
      </c>
      <c r="G991" s="9" t="s">
        <v>38801</v>
      </c>
      <c r="H991" s="9" t="s">
        <v>42560</v>
      </c>
      <c r="I991" s="9" t="b">
        <v>1</v>
      </c>
    </row>
    <row r="992" ht="15.75" customHeight="1">
      <c r="A992" s="9" t="s">
        <v>44374</v>
      </c>
      <c r="B992" s="9" t="s">
        <v>26</v>
      </c>
      <c r="C992" s="9" t="s">
        <v>39136</v>
      </c>
      <c r="D992" s="9" t="s">
        <v>44371</v>
      </c>
      <c r="E992" s="61">
        <v>44875.0</v>
      </c>
      <c r="F992" s="9" t="b">
        <v>1</v>
      </c>
      <c r="G992" s="9" t="s">
        <v>38801</v>
      </c>
      <c r="H992" s="9" t="s">
        <v>42560</v>
      </c>
      <c r="I992" s="9" t="b">
        <v>1</v>
      </c>
    </row>
    <row r="993" ht="15.75" customHeight="1">
      <c r="A993" s="9" t="s">
        <v>44375</v>
      </c>
      <c r="B993" s="9" t="s">
        <v>52</v>
      </c>
      <c r="C993" s="9" t="s">
        <v>40193</v>
      </c>
      <c r="D993" s="9" t="s">
        <v>44376</v>
      </c>
      <c r="E993" s="61">
        <v>44875.0</v>
      </c>
      <c r="F993" s="9" t="b">
        <v>1</v>
      </c>
      <c r="G993" s="9" t="s">
        <v>38801</v>
      </c>
      <c r="H993" s="9" t="s">
        <v>42576</v>
      </c>
      <c r="I993" s="9" t="b">
        <v>1</v>
      </c>
    </row>
    <row r="994" ht="15.75" customHeight="1">
      <c r="A994" s="9" t="s">
        <v>44377</v>
      </c>
      <c r="B994" s="9" t="s">
        <v>52</v>
      </c>
      <c r="C994" s="9" t="s">
        <v>40142</v>
      </c>
      <c r="D994" s="9" t="s">
        <v>44376</v>
      </c>
      <c r="E994" s="61">
        <v>44875.0</v>
      </c>
      <c r="F994" s="9" t="b">
        <v>1</v>
      </c>
      <c r="G994" s="9" t="s">
        <v>38801</v>
      </c>
      <c r="H994" s="9" t="s">
        <v>42576</v>
      </c>
      <c r="I994" s="9" t="b">
        <v>1</v>
      </c>
    </row>
    <row r="995" ht="15.75" customHeight="1">
      <c r="A995" s="9" t="s">
        <v>44378</v>
      </c>
      <c r="B995" s="9" t="s">
        <v>52</v>
      </c>
      <c r="C995" s="9" t="s">
        <v>40138</v>
      </c>
      <c r="D995" s="9" t="s">
        <v>44376</v>
      </c>
      <c r="E995" s="61">
        <v>44875.0</v>
      </c>
      <c r="F995" s="9" t="b">
        <v>1</v>
      </c>
      <c r="G995" s="9" t="s">
        <v>38801</v>
      </c>
      <c r="H995" s="9" t="s">
        <v>42576</v>
      </c>
      <c r="I995" s="9" t="b">
        <v>1</v>
      </c>
    </row>
    <row r="996" ht="15.75" customHeight="1">
      <c r="A996" s="9" t="s">
        <v>44379</v>
      </c>
      <c r="B996" s="9" t="s">
        <v>52</v>
      </c>
      <c r="C996" s="9" t="s">
        <v>40151</v>
      </c>
      <c r="D996" s="9" t="s">
        <v>44376</v>
      </c>
      <c r="E996" s="61">
        <v>44875.0</v>
      </c>
      <c r="F996" s="9" t="b">
        <v>1</v>
      </c>
      <c r="G996" s="9" t="s">
        <v>38801</v>
      </c>
      <c r="H996" s="9" t="s">
        <v>42576</v>
      </c>
      <c r="I996" s="9" t="b">
        <v>1</v>
      </c>
    </row>
    <row r="997" ht="15.75" customHeight="1">
      <c r="A997" s="9" t="s">
        <v>44380</v>
      </c>
      <c r="B997" s="9" t="s">
        <v>52</v>
      </c>
      <c r="C997" s="9" t="s">
        <v>40122</v>
      </c>
      <c r="D997" s="9" t="s">
        <v>44376</v>
      </c>
      <c r="E997" s="61">
        <v>44875.0</v>
      </c>
      <c r="F997" s="9" t="b">
        <v>1</v>
      </c>
      <c r="G997" s="9" t="s">
        <v>38801</v>
      </c>
      <c r="H997" s="9" t="s">
        <v>42576</v>
      </c>
      <c r="I997" s="9" t="b">
        <v>1</v>
      </c>
    </row>
    <row r="998" ht="15.75" customHeight="1">
      <c r="A998" s="9" t="s">
        <v>44381</v>
      </c>
      <c r="B998" s="9" t="s">
        <v>52</v>
      </c>
      <c r="C998" s="9" t="s">
        <v>39777</v>
      </c>
      <c r="D998" s="9" t="s">
        <v>44376</v>
      </c>
      <c r="E998" s="61">
        <v>44875.0</v>
      </c>
      <c r="F998" s="9" t="b">
        <v>1</v>
      </c>
      <c r="G998" s="9" t="s">
        <v>38801</v>
      </c>
      <c r="H998" s="9" t="s">
        <v>42576</v>
      </c>
      <c r="I998" s="9" t="b">
        <v>1</v>
      </c>
    </row>
    <row r="999" ht="15.75" customHeight="1">
      <c r="A999" s="9" t="s">
        <v>44382</v>
      </c>
      <c r="B999" s="9" t="s">
        <v>131</v>
      </c>
      <c r="C999" s="9" t="s">
        <v>40184</v>
      </c>
      <c r="D999" s="9" t="s">
        <v>44383</v>
      </c>
      <c r="E999" s="61">
        <v>44879.0</v>
      </c>
      <c r="F999" s="9" t="b">
        <v>1</v>
      </c>
      <c r="G999" s="9" t="s">
        <v>38801</v>
      </c>
      <c r="H999" s="9" t="s">
        <v>42576</v>
      </c>
      <c r="I999" s="9" t="b">
        <v>1</v>
      </c>
    </row>
    <row r="1000" ht="15.75" customHeight="1">
      <c r="A1000" s="9" t="s">
        <v>44384</v>
      </c>
      <c r="B1000" s="9" t="s">
        <v>47</v>
      </c>
      <c r="C1000" s="9" t="s">
        <v>40094</v>
      </c>
      <c r="D1000" s="9" t="s">
        <v>43895</v>
      </c>
      <c r="E1000" s="61">
        <v>44879.0</v>
      </c>
      <c r="F1000" s="9" t="b">
        <v>1</v>
      </c>
      <c r="G1000" s="9" t="s">
        <v>38801</v>
      </c>
      <c r="H1000" s="9" t="s">
        <v>42576</v>
      </c>
      <c r="I1000" s="9" t="b">
        <v>1</v>
      </c>
    </row>
    <row r="1001" ht="15.75" customHeight="1">
      <c r="A1001" s="9" t="s">
        <v>44385</v>
      </c>
      <c r="B1001" s="9" t="s">
        <v>47</v>
      </c>
      <c r="C1001" s="9" t="s">
        <v>40191</v>
      </c>
      <c r="D1001" s="9" t="s">
        <v>44386</v>
      </c>
      <c r="E1001" s="61">
        <v>44879.0</v>
      </c>
      <c r="F1001" s="9" t="b">
        <v>1</v>
      </c>
      <c r="G1001" s="9" t="s">
        <v>38801</v>
      </c>
      <c r="H1001" s="9" t="s">
        <v>42560</v>
      </c>
      <c r="I1001" s="9" t="b">
        <v>1</v>
      </c>
    </row>
    <row r="1002" ht="15.75" customHeight="1">
      <c r="A1002" s="9" t="s">
        <v>44387</v>
      </c>
      <c r="B1002" s="9" t="s">
        <v>131</v>
      </c>
      <c r="C1002" s="9" t="s">
        <v>40197</v>
      </c>
      <c r="D1002" s="9" t="s">
        <v>44383</v>
      </c>
      <c r="E1002" s="61">
        <v>44880.0</v>
      </c>
      <c r="F1002" s="9" t="b">
        <v>1</v>
      </c>
      <c r="G1002" s="9" t="s">
        <v>38801</v>
      </c>
      <c r="H1002" s="9" t="s">
        <v>42576</v>
      </c>
      <c r="I1002" s="9" t="b">
        <v>1</v>
      </c>
    </row>
    <row r="1003" ht="15.75" customHeight="1">
      <c r="A1003" s="9" t="s">
        <v>44388</v>
      </c>
      <c r="B1003" s="9" t="s">
        <v>47</v>
      </c>
      <c r="C1003" s="9" t="s">
        <v>40209</v>
      </c>
      <c r="D1003" s="9" t="s">
        <v>43183</v>
      </c>
      <c r="E1003" s="61">
        <v>44881.0</v>
      </c>
      <c r="F1003" s="9" t="b">
        <v>1</v>
      </c>
      <c r="G1003" s="9" t="s">
        <v>38801</v>
      </c>
      <c r="H1003" s="9" t="s">
        <v>42560</v>
      </c>
      <c r="I1003" s="9" t="b">
        <v>1</v>
      </c>
    </row>
    <row r="1004" ht="15.75" customHeight="1">
      <c r="A1004" s="9" t="s">
        <v>44389</v>
      </c>
      <c r="B1004" s="9" t="s">
        <v>26</v>
      </c>
      <c r="C1004" s="9" t="s">
        <v>40205</v>
      </c>
      <c r="D1004" s="9" t="s">
        <v>44390</v>
      </c>
      <c r="E1004" s="61">
        <v>44881.0</v>
      </c>
      <c r="F1004" s="9" t="b">
        <v>1</v>
      </c>
      <c r="G1004" s="9" t="s">
        <v>42573</v>
      </c>
      <c r="H1004" s="9" t="s">
        <v>42560</v>
      </c>
      <c r="I1004" s="9"/>
    </row>
    <row r="1005" ht="15.75" customHeight="1">
      <c r="A1005" s="9" t="s">
        <v>44391</v>
      </c>
      <c r="B1005" s="9" t="s">
        <v>47</v>
      </c>
      <c r="C1005" s="9" t="s">
        <v>40210</v>
      </c>
      <c r="D1005" s="9" t="s">
        <v>44392</v>
      </c>
      <c r="E1005" s="61">
        <v>44881.0</v>
      </c>
      <c r="F1005" s="9" t="b">
        <v>1</v>
      </c>
      <c r="G1005" s="9" t="s">
        <v>38801</v>
      </c>
      <c r="H1005" s="9" t="s">
        <v>42576</v>
      </c>
      <c r="I1005" s="9" t="b">
        <v>1</v>
      </c>
    </row>
    <row r="1006" ht="15.75" customHeight="1">
      <c r="A1006" s="9" t="s">
        <v>44393</v>
      </c>
      <c r="B1006" s="9" t="s">
        <v>76</v>
      </c>
      <c r="C1006" s="9" t="s">
        <v>40211</v>
      </c>
      <c r="D1006" s="9" t="s">
        <v>44394</v>
      </c>
      <c r="E1006" s="61">
        <v>44881.0</v>
      </c>
      <c r="F1006" s="9" t="b">
        <v>1</v>
      </c>
      <c r="G1006" s="9" t="s">
        <v>42632</v>
      </c>
      <c r="H1006" s="9" t="s">
        <v>42560</v>
      </c>
      <c r="I1006" s="9"/>
    </row>
    <row r="1007" ht="15.75" customHeight="1">
      <c r="A1007" s="9" t="s">
        <v>44395</v>
      </c>
      <c r="B1007" s="9" t="s">
        <v>26</v>
      </c>
      <c r="C1007" s="9" t="s">
        <v>40211</v>
      </c>
      <c r="D1007" s="9" t="s">
        <v>44396</v>
      </c>
      <c r="E1007" s="61">
        <v>44881.0</v>
      </c>
      <c r="F1007" s="9" t="b">
        <v>1</v>
      </c>
      <c r="G1007" s="9" t="s">
        <v>38801</v>
      </c>
      <c r="H1007" s="9" t="s">
        <v>42560</v>
      </c>
      <c r="I1007" s="9" t="b">
        <v>1</v>
      </c>
    </row>
    <row r="1008" ht="15.75" customHeight="1">
      <c r="A1008" s="9" t="s">
        <v>44397</v>
      </c>
      <c r="B1008" s="9" t="s">
        <v>26</v>
      </c>
      <c r="C1008" s="9" t="s">
        <v>39547</v>
      </c>
      <c r="D1008" s="9" t="s">
        <v>44371</v>
      </c>
      <c r="E1008" s="61">
        <v>44881.0</v>
      </c>
      <c r="F1008" s="9" t="b">
        <v>1</v>
      </c>
      <c r="G1008" s="9" t="s">
        <v>38801</v>
      </c>
      <c r="H1008" s="9" t="s">
        <v>42560</v>
      </c>
      <c r="I1008" s="9" t="b">
        <v>1</v>
      </c>
    </row>
    <row r="1009" ht="15.75" customHeight="1">
      <c r="A1009" s="9" t="s">
        <v>44398</v>
      </c>
      <c r="B1009" s="9" t="s">
        <v>26</v>
      </c>
      <c r="C1009" s="52" t="s">
        <v>39565</v>
      </c>
      <c r="D1009" s="9" t="s">
        <v>44399</v>
      </c>
      <c r="E1009" s="61">
        <v>44881.0</v>
      </c>
      <c r="F1009" s="9" t="b">
        <v>1</v>
      </c>
      <c r="G1009" s="9" t="s">
        <v>38801</v>
      </c>
      <c r="H1009" s="9" t="s">
        <v>42560</v>
      </c>
      <c r="I1009" s="9" t="b">
        <v>1</v>
      </c>
    </row>
    <row r="1010" ht="15.75" customHeight="1">
      <c r="A1010" s="9" t="s">
        <v>44400</v>
      </c>
      <c r="B1010" s="9" t="s">
        <v>26</v>
      </c>
      <c r="C1010" s="9" t="s">
        <v>39734</v>
      </c>
      <c r="D1010" s="9" t="s">
        <v>44399</v>
      </c>
      <c r="E1010" s="61">
        <v>44881.0</v>
      </c>
      <c r="F1010" s="9" t="b">
        <v>1</v>
      </c>
      <c r="G1010" s="9" t="s">
        <v>38801</v>
      </c>
      <c r="H1010" s="9" t="s">
        <v>42560</v>
      </c>
      <c r="I1010" s="9" t="b">
        <v>1</v>
      </c>
    </row>
    <row r="1011" ht="15.75" customHeight="1">
      <c r="A1011" s="9" t="s">
        <v>44401</v>
      </c>
      <c r="B1011" s="9" t="s">
        <v>26</v>
      </c>
      <c r="C1011" s="9" t="s">
        <v>39757</v>
      </c>
      <c r="D1011" s="9" t="s">
        <v>44399</v>
      </c>
      <c r="E1011" s="61">
        <v>44881.0</v>
      </c>
      <c r="F1011" s="9" t="b">
        <v>1</v>
      </c>
      <c r="G1011" s="9" t="s">
        <v>38801</v>
      </c>
      <c r="H1011" s="9" t="s">
        <v>42560</v>
      </c>
      <c r="I1011" s="9" t="b">
        <v>1</v>
      </c>
    </row>
    <row r="1012" ht="15.75" customHeight="1">
      <c r="A1012" s="9" t="s">
        <v>44402</v>
      </c>
      <c r="B1012" s="9" t="s">
        <v>26</v>
      </c>
      <c r="C1012" s="9" t="s">
        <v>40102</v>
      </c>
      <c r="D1012" s="9" t="s">
        <v>44399</v>
      </c>
      <c r="E1012" s="61">
        <v>44881.0</v>
      </c>
      <c r="F1012" s="9" t="b">
        <v>1</v>
      </c>
      <c r="G1012" s="9" t="s">
        <v>38801</v>
      </c>
      <c r="H1012" s="9" t="s">
        <v>42560</v>
      </c>
      <c r="I1012" s="9" t="b">
        <v>1</v>
      </c>
    </row>
    <row r="1013" ht="15.75" customHeight="1">
      <c r="A1013" s="9" t="s">
        <v>44403</v>
      </c>
      <c r="B1013" s="9" t="s">
        <v>52</v>
      </c>
      <c r="C1013" s="9" t="s">
        <v>40037</v>
      </c>
      <c r="D1013" s="9" t="s">
        <v>44376</v>
      </c>
      <c r="E1013" s="61">
        <v>44882.0</v>
      </c>
      <c r="F1013" s="9" t="b">
        <v>1</v>
      </c>
      <c r="G1013" s="9" t="s">
        <v>38801</v>
      </c>
      <c r="H1013" s="9" t="s">
        <v>42560</v>
      </c>
      <c r="I1013" s="9" t="b">
        <v>1</v>
      </c>
    </row>
    <row r="1014" ht="15.75" customHeight="1">
      <c r="A1014" s="9" t="s">
        <v>44404</v>
      </c>
      <c r="B1014" s="9" t="s">
        <v>52</v>
      </c>
      <c r="C1014" s="9" t="s">
        <v>39972</v>
      </c>
      <c r="D1014" s="9" t="s">
        <v>44376</v>
      </c>
      <c r="E1014" s="61">
        <v>44882.0</v>
      </c>
      <c r="F1014" s="9" t="b">
        <v>1</v>
      </c>
      <c r="G1014" s="9" t="s">
        <v>38801</v>
      </c>
      <c r="H1014" s="9" t="s">
        <v>42576</v>
      </c>
      <c r="I1014" s="9" t="b">
        <v>1</v>
      </c>
    </row>
    <row r="1015" ht="15.75" customHeight="1">
      <c r="A1015" s="9" t="s">
        <v>44405</v>
      </c>
      <c r="B1015" s="9" t="s">
        <v>52</v>
      </c>
      <c r="C1015" s="9" t="s">
        <v>39674</v>
      </c>
      <c r="D1015" s="9" t="s">
        <v>44376</v>
      </c>
      <c r="E1015" s="61">
        <v>44882.0</v>
      </c>
      <c r="F1015" s="9" t="b">
        <v>1</v>
      </c>
      <c r="G1015" s="9" t="s">
        <v>38801</v>
      </c>
      <c r="H1015" s="9" t="s">
        <v>42576</v>
      </c>
      <c r="I1015" s="9" t="b">
        <v>1</v>
      </c>
    </row>
    <row r="1016" ht="15.75" customHeight="1">
      <c r="A1016" s="9" t="s">
        <v>44406</v>
      </c>
      <c r="B1016" s="9" t="s">
        <v>52</v>
      </c>
      <c r="C1016" s="52" t="s">
        <v>39299</v>
      </c>
      <c r="D1016" s="9" t="s">
        <v>44376</v>
      </c>
      <c r="E1016" s="61">
        <v>44882.0</v>
      </c>
      <c r="F1016" s="9" t="b">
        <v>1</v>
      </c>
      <c r="G1016" s="9" t="s">
        <v>38801</v>
      </c>
      <c r="H1016" s="9" t="s">
        <v>42576</v>
      </c>
      <c r="I1016" s="9" t="b">
        <v>1</v>
      </c>
    </row>
    <row r="1017" ht="15.75" customHeight="1">
      <c r="A1017" s="9" t="s">
        <v>44407</v>
      </c>
      <c r="B1017" s="9" t="s">
        <v>52</v>
      </c>
      <c r="C1017" s="9" t="s">
        <v>39902</v>
      </c>
      <c r="D1017" s="9" t="s">
        <v>44376</v>
      </c>
      <c r="E1017" s="61">
        <v>44882.0</v>
      </c>
      <c r="F1017" s="9" t="b">
        <v>1</v>
      </c>
      <c r="G1017" s="9" t="s">
        <v>38801</v>
      </c>
      <c r="H1017" s="9" t="s">
        <v>42576</v>
      </c>
      <c r="I1017" s="9" t="b">
        <v>1</v>
      </c>
    </row>
    <row r="1018" ht="15.75" customHeight="1">
      <c r="A1018" s="9" t="s">
        <v>44408</v>
      </c>
      <c r="B1018" s="9" t="s">
        <v>52</v>
      </c>
      <c r="C1018" s="9" t="s">
        <v>39697</v>
      </c>
      <c r="D1018" s="9" t="s">
        <v>44376</v>
      </c>
      <c r="E1018" s="61">
        <v>44882.0</v>
      </c>
      <c r="F1018" s="9" t="b">
        <v>1</v>
      </c>
      <c r="G1018" s="9" t="s">
        <v>38801</v>
      </c>
      <c r="H1018" s="9" t="s">
        <v>42576</v>
      </c>
      <c r="I1018" s="9" t="b">
        <v>1</v>
      </c>
    </row>
    <row r="1019" ht="15.75" customHeight="1">
      <c r="A1019" s="9" t="s">
        <v>44409</v>
      </c>
      <c r="B1019" s="9" t="s">
        <v>52</v>
      </c>
      <c r="C1019" s="9" t="s">
        <v>39650</v>
      </c>
      <c r="D1019" s="9" t="s">
        <v>44376</v>
      </c>
      <c r="E1019" s="61">
        <v>44882.0</v>
      </c>
      <c r="F1019" s="9" t="b">
        <v>1</v>
      </c>
      <c r="G1019" s="9" t="s">
        <v>38801</v>
      </c>
      <c r="H1019" s="9" t="s">
        <v>42576</v>
      </c>
      <c r="I1019" s="9" t="b">
        <v>1</v>
      </c>
    </row>
    <row r="1020" ht="15.75" customHeight="1">
      <c r="A1020" s="9" t="s">
        <v>44410</v>
      </c>
      <c r="B1020" s="9" t="s">
        <v>52</v>
      </c>
      <c r="C1020" s="9" t="s">
        <v>39631</v>
      </c>
      <c r="D1020" s="9" t="s">
        <v>44376</v>
      </c>
      <c r="E1020" s="61">
        <v>44882.0</v>
      </c>
      <c r="F1020" s="9" t="b">
        <v>1</v>
      </c>
      <c r="G1020" s="9" t="s">
        <v>38801</v>
      </c>
      <c r="H1020" s="9" t="s">
        <v>42576</v>
      </c>
      <c r="I1020" s="9" t="b">
        <v>1</v>
      </c>
    </row>
    <row r="1021" ht="15.75" customHeight="1">
      <c r="A1021" s="9" t="s">
        <v>44411</v>
      </c>
      <c r="B1021" s="9" t="s">
        <v>52</v>
      </c>
      <c r="C1021" s="9" t="s">
        <v>39616</v>
      </c>
      <c r="D1021" s="9" t="s">
        <v>44376</v>
      </c>
      <c r="E1021" s="61">
        <v>44882.0</v>
      </c>
      <c r="F1021" s="9" t="b">
        <v>1</v>
      </c>
      <c r="G1021" s="9" t="s">
        <v>38801</v>
      </c>
      <c r="H1021" s="9" t="s">
        <v>42576</v>
      </c>
      <c r="I1021" s="9" t="b">
        <v>1</v>
      </c>
    </row>
    <row r="1022" ht="15.75" customHeight="1">
      <c r="A1022" s="9" t="s">
        <v>44412</v>
      </c>
      <c r="B1022" s="9" t="s">
        <v>52</v>
      </c>
      <c r="C1022" s="9" t="s">
        <v>39496</v>
      </c>
      <c r="D1022" s="9" t="s">
        <v>44376</v>
      </c>
      <c r="E1022" s="61">
        <v>44882.0</v>
      </c>
      <c r="F1022" s="9" t="b">
        <v>1</v>
      </c>
      <c r="G1022" s="9" t="s">
        <v>38801</v>
      </c>
      <c r="H1022" s="9" t="s">
        <v>42576</v>
      </c>
      <c r="I1022" s="9" t="b">
        <v>1</v>
      </c>
    </row>
    <row r="1023" ht="15.75" customHeight="1">
      <c r="A1023" s="9" t="s">
        <v>44413</v>
      </c>
      <c r="B1023" s="9" t="s">
        <v>52</v>
      </c>
      <c r="C1023" s="9" t="s">
        <v>39593</v>
      </c>
      <c r="D1023" s="9" t="s">
        <v>44376</v>
      </c>
      <c r="E1023" s="61">
        <v>44882.0</v>
      </c>
      <c r="F1023" s="9" t="b">
        <v>1</v>
      </c>
      <c r="G1023" s="9" t="s">
        <v>38801</v>
      </c>
      <c r="H1023" s="9" t="s">
        <v>42576</v>
      </c>
      <c r="I1023" s="9" t="b">
        <v>1</v>
      </c>
    </row>
    <row r="1024" ht="15.75" customHeight="1">
      <c r="A1024" s="9" t="s">
        <v>44414</v>
      </c>
      <c r="B1024" s="9" t="s">
        <v>52</v>
      </c>
      <c r="C1024" s="9" t="s">
        <v>39573</v>
      </c>
      <c r="D1024" s="9" t="s">
        <v>44376</v>
      </c>
      <c r="E1024" s="61">
        <v>44882.0</v>
      </c>
      <c r="F1024" s="9" t="b">
        <v>1</v>
      </c>
      <c r="G1024" s="9" t="s">
        <v>38801</v>
      </c>
      <c r="H1024" s="9" t="s">
        <v>42576</v>
      </c>
      <c r="I1024" s="9" t="b">
        <v>1</v>
      </c>
    </row>
    <row r="1025" ht="15.75" customHeight="1">
      <c r="A1025" s="9" t="s">
        <v>44415</v>
      </c>
      <c r="B1025" s="9" t="s">
        <v>52</v>
      </c>
      <c r="C1025" s="9" t="s">
        <v>39199</v>
      </c>
      <c r="D1025" s="9" t="s">
        <v>44376</v>
      </c>
      <c r="E1025" s="61">
        <v>44882.0</v>
      </c>
      <c r="F1025" s="9" t="b">
        <v>1</v>
      </c>
      <c r="G1025" s="9" t="s">
        <v>38801</v>
      </c>
      <c r="H1025" s="9" t="s">
        <v>42576</v>
      </c>
      <c r="I1025" s="9" t="b">
        <v>1</v>
      </c>
    </row>
    <row r="1026" ht="15.75" customHeight="1">
      <c r="A1026" s="9" t="s">
        <v>44416</v>
      </c>
      <c r="B1026" s="9" t="s">
        <v>52</v>
      </c>
      <c r="C1026" s="9" t="s">
        <v>39860</v>
      </c>
      <c r="D1026" s="9" t="s">
        <v>44376</v>
      </c>
      <c r="E1026" s="61">
        <v>44882.0</v>
      </c>
      <c r="F1026" s="9" t="b">
        <v>1</v>
      </c>
      <c r="G1026" s="9" t="s">
        <v>38801</v>
      </c>
      <c r="H1026" s="9" t="s">
        <v>42576</v>
      </c>
      <c r="I1026" s="9" t="b">
        <v>1</v>
      </c>
    </row>
    <row r="1027" ht="15.75" customHeight="1">
      <c r="A1027" s="9" t="s">
        <v>44417</v>
      </c>
      <c r="B1027" s="9" t="s">
        <v>52</v>
      </c>
      <c r="C1027" s="9" t="s">
        <v>39581</v>
      </c>
      <c r="D1027" s="9" t="s">
        <v>44376</v>
      </c>
      <c r="E1027" s="61">
        <v>44882.0</v>
      </c>
      <c r="F1027" s="9" t="b">
        <v>1</v>
      </c>
      <c r="G1027" s="9" t="s">
        <v>38801</v>
      </c>
      <c r="H1027" s="9" t="s">
        <v>42576</v>
      </c>
      <c r="I1027" s="9" t="b">
        <v>1</v>
      </c>
    </row>
    <row r="1028" ht="15.75" customHeight="1">
      <c r="A1028" s="52" t="s">
        <v>44418</v>
      </c>
      <c r="B1028" s="9" t="s">
        <v>52</v>
      </c>
      <c r="C1028" s="9" t="s">
        <v>39861</v>
      </c>
      <c r="D1028" s="9" t="s">
        <v>44376</v>
      </c>
      <c r="E1028" s="61">
        <v>44882.0</v>
      </c>
      <c r="F1028" s="9" t="b">
        <v>1</v>
      </c>
      <c r="G1028" s="9" t="s">
        <v>38801</v>
      </c>
      <c r="H1028" s="9" t="s">
        <v>42576</v>
      </c>
      <c r="I1028" s="9" t="b">
        <v>1</v>
      </c>
    </row>
    <row r="1029" ht="15.75" customHeight="1">
      <c r="A1029" s="9" t="s">
        <v>44419</v>
      </c>
      <c r="B1029" s="9" t="s">
        <v>52</v>
      </c>
      <c r="C1029" s="9" t="s">
        <v>39701</v>
      </c>
      <c r="D1029" s="9" t="s">
        <v>44376</v>
      </c>
      <c r="E1029" s="61">
        <v>44882.0</v>
      </c>
      <c r="F1029" s="9" t="b">
        <v>1</v>
      </c>
      <c r="G1029" s="9" t="s">
        <v>38801</v>
      </c>
      <c r="H1029" s="9" t="s">
        <v>42576</v>
      </c>
      <c r="I1029" s="9" t="b">
        <v>1</v>
      </c>
    </row>
    <row r="1030" ht="15.75" customHeight="1">
      <c r="A1030" s="9" t="s">
        <v>44420</v>
      </c>
      <c r="B1030" s="9" t="s">
        <v>52</v>
      </c>
      <c r="C1030" s="9" t="s">
        <v>39700</v>
      </c>
      <c r="D1030" s="9" t="s">
        <v>44376</v>
      </c>
      <c r="E1030" s="61">
        <v>44882.0</v>
      </c>
      <c r="F1030" s="9" t="b">
        <v>1</v>
      </c>
      <c r="G1030" s="9" t="s">
        <v>38801</v>
      </c>
      <c r="H1030" s="9" t="s">
        <v>42576</v>
      </c>
      <c r="I1030" s="9" t="b">
        <v>1</v>
      </c>
    </row>
    <row r="1031" ht="15.75" customHeight="1">
      <c r="A1031" s="9" t="s">
        <v>44421</v>
      </c>
      <c r="B1031" s="9" t="s">
        <v>52</v>
      </c>
      <c r="C1031" s="9" t="s">
        <v>39215</v>
      </c>
      <c r="D1031" s="9" t="s">
        <v>44376</v>
      </c>
      <c r="E1031" s="61">
        <v>44882.0</v>
      </c>
      <c r="F1031" s="9" t="b">
        <v>1</v>
      </c>
      <c r="G1031" s="9" t="s">
        <v>38801</v>
      </c>
      <c r="H1031" s="9" t="s">
        <v>42576</v>
      </c>
      <c r="I1031" s="9" t="b">
        <v>1</v>
      </c>
    </row>
    <row r="1032" ht="15.75" customHeight="1">
      <c r="A1032" s="9" t="s">
        <v>44422</v>
      </c>
      <c r="B1032" s="9" t="s">
        <v>52</v>
      </c>
      <c r="C1032" s="9" t="s">
        <v>39695</v>
      </c>
      <c r="D1032" s="9" t="s">
        <v>44376</v>
      </c>
      <c r="E1032" s="61">
        <v>44882.0</v>
      </c>
      <c r="F1032" s="9" t="b">
        <v>1</v>
      </c>
      <c r="G1032" s="9" t="s">
        <v>38801</v>
      </c>
      <c r="H1032" s="9" t="s">
        <v>42576</v>
      </c>
      <c r="I1032" s="9" t="b">
        <v>1</v>
      </c>
    </row>
    <row r="1033" ht="15.75" customHeight="1">
      <c r="A1033" s="9" t="s">
        <v>44423</v>
      </c>
      <c r="B1033" s="9" t="s">
        <v>52</v>
      </c>
      <c r="C1033" s="9" t="s">
        <v>39685</v>
      </c>
      <c r="D1033" s="9" t="s">
        <v>44376</v>
      </c>
      <c r="E1033" s="61">
        <v>44882.0</v>
      </c>
      <c r="F1033" s="9" t="b">
        <v>1</v>
      </c>
      <c r="G1033" s="9" t="s">
        <v>38801</v>
      </c>
      <c r="H1033" s="9" t="s">
        <v>42576</v>
      </c>
      <c r="I1033" s="9" t="b">
        <v>1</v>
      </c>
    </row>
    <row r="1034" ht="15.75" customHeight="1">
      <c r="A1034" s="9" t="s">
        <v>44424</v>
      </c>
      <c r="B1034" s="9" t="s">
        <v>52</v>
      </c>
      <c r="C1034" s="9" t="s">
        <v>39661</v>
      </c>
      <c r="D1034" s="9" t="s">
        <v>44376</v>
      </c>
      <c r="E1034" s="61">
        <v>44882.0</v>
      </c>
      <c r="F1034" s="9" t="b">
        <v>1</v>
      </c>
      <c r="G1034" s="9" t="s">
        <v>38801</v>
      </c>
      <c r="H1034" s="9" t="s">
        <v>42576</v>
      </c>
      <c r="I1034" s="9" t="b">
        <v>1</v>
      </c>
    </row>
    <row r="1035" ht="15.75" customHeight="1">
      <c r="A1035" s="9" t="s">
        <v>44425</v>
      </c>
      <c r="B1035" s="9" t="s">
        <v>52</v>
      </c>
      <c r="C1035" s="9" t="s">
        <v>39646</v>
      </c>
      <c r="D1035" s="9" t="s">
        <v>44376</v>
      </c>
      <c r="E1035" s="61">
        <v>44882.0</v>
      </c>
      <c r="F1035" s="9" t="b">
        <v>1</v>
      </c>
      <c r="G1035" s="9" t="s">
        <v>38801</v>
      </c>
      <c r="H1035" s="9" t="s">
        <v>42576</v>
      </c>
      <c r="I1035" s="9" t="b">
        <v>1</v>
      </c>
    </row>
    <row r="1036" ht="15.75" customHeight="1">
      <c r="A1036" s="9" t="s">
        <v>44426</v>
      </c>
      <c r="B1036" s="9" t="s">
        <v>52</v>
      </c>
      <c r="C1036" s="9" t="s">
        <v>39568</v>
      </c>
      <c r="D1036" s="9" t="s">
        <v>44376</v>
      </c>
      <c r="E1036" s="61">
        <v>44882.0</v>
      </c>
      <c r="F1036" s="9" t="b">
        <v>1</v>
      </c>
      <c r="G1036" s="9" t="s">
        <v>38801</v>
      </c>
      <c r="H1036" s="9" t="s">
        <v>42576</v>
      </c>
      <c r="I1036" s="9" t="b">
        <v>1</v>
      </c>
    </row>
    <row r="1037" ht="15.75" customHeight="1">
      <c r="A1037" s="9" t="s">
        <v>44427</v>
      </c>
      <c r="B1037" s="9" t="s">
        <v>52</v>
      </c>
      <c r="C1037" s="9" t="s">
        <v>39177</v>
      </c>
      <c r="D1037" s="9" t="s">
        <v>44376</v>
      </c>
      <c r="E1037" s="61">
        <v>44882.0</v>
      </c>
      <c r="F1037" s="9" t="b">
        <v>1</v>
      </c>
      <c r="G1037" s="9" t="s">
        <v>38801</v>
      </c>
      <c r="H1037" s="9" t="s">
        <v>42576</v>
      </c>
      <c r="I1037" s="9" t="b">
        <v>1</v>
      </c>
    </row>
    <row r="1038" ht="15.75" customHeight="1">
      <c r="A1038" s="9" t="s">
        <v>44428</v>
      </c>
      <c r="B1038" s="9" t="s">
        <v>52</v>
      </c>
      <c r="C1038" s="9" t="s">
        <v>39343</v>
      </c>
      <c r="D1038" s="9" t="s">
        <v>44376</v>
      </c>
      <c r="E1038" s="61">
        <v>44882.0</v>
      </c>
      <c r="F1038" s="9" t="b">
        <v>1</v>
      </c>
      <c r="G1038" s="9" t="s">
        <v>38801</v>
      </c>
      <c r="H1038" s="9" t="s">
        <v>42576</v>
      </c>
      <c r="I1038" s="9" t="b">
        <v>1</v>
      </c>
    </row>
    <row r="1039" ht="15.75" customHeight="1">
      <c r="A1039" s="52" t="s">
        <v>44429</v>
      </c>
      <c r="B1039" s="9" t="s">
        <v>52</v>
      </c>
      <c r="C1039" s="9" t="s">
        <v>39253</v>
      </c>
      <c r="D1039" s="9" t="s">
        <v>44376</v>
      </c>
      <c r="E1039" s="61">
        <v>44882.0</v>
      </c>
      <c r="F1039" s="9" t="b">
        <v>1</v>
      </c>
      <c r="G1039" s="9" t="s">
        <v>38801</v>
      </c>
      <c r="H1039" s="9" t="s">
        <v>42576</v>
      </c>
      <c r="I1039" s="9" t="b">
        <v>1</v>
      </c>
    </row>
    <row r="1040" ht="15.75" customHeight="1">
      <c r="A1040" s="9" t="s">
        <v>44430</v>
      </c>
      <c r="B1040" s="9" t="s">
        <v>52</v>
      </c>
      <c r="C1040" s="9" t="s">
        <v>39255</v>
      </c>
      <c r="D1040" s="9" t="s">
        <v>44376</v>
      </c>
      <c r="E1040" s="61">
        <v>44882.0</v>
      </c>
      <c r="F1040" s="9" t="b">
        <v>1</v>
      </c>
      <c r="G1040" s="9" t="s">
        <v>38801</v>
      </c>
      <c r="H1040" s="9" t="s">
        <v>42576</v>
      </c>
      <c r="I1040" s="9" t="b">
        <v>1</v>
      </c>
    </row>
    <row r="1041" ht="15.75" customHeight="1">
      <c r="A1041" s="9" t="s">
        <v>44431</v>
      </c>
      <c r="B1041" s="9" t="s">
        <v>52</v>
      </c>
      <c r="C1041" s="9" t="s">
        <v>39153</v>
      </c>
      <c r="D1041" s="9" t="s">
        <v>44376</v>
      </c>
      <c r="E1041" s="61">
        <v>44882.0</v>
      </c>
      <c r="F1041" s="9" t="b">
        <v>1</v>
      </c>
      <c r="G1041" s="9" t="s">
        <v>38801</v>
      </c>
      <c r="H1041" s="9" t="s">
        <v>42576</v>
      </c>
      <c r="I1041" s="9" t="b">
        <v>1</v>
      </c>
    </row>
    <row r="1042" ht="15.75" customHeight="1">
      <c r="A1042" s="9" t="s">
        <v>44432</v>
      </c>
      <c r="B1042" s="9" t="s">
        <v>52</v>
      </c>
      <c r="C1042" s="9" t="s">
        <v>40061</v>
      </c>
      <c r="D1042" s="9" t="s">
        <v>44376</v>
      </c>
      <c r="E1042" s="61">
        <v>44882.0</v>
      </c>
      <c r="F1042" s="9" t="b">
        <v>1</v>
      </c>
      <c r="G1042" s="9" t="s">
        <v>38801</v>
      </c>
      <c r="H1042" s="9" t="s">
        <v>42576</v>
      </c>
      <c r="I1042" s="9" t="b">
        <v>1</v>
      </c>
    </row>
    <row r="1043" ht="15.75" customHeight="1">
      <c r="A1043" s="9" t="s">
        <v>44433</v>
      </c>
      <c r="B1043" s="9" t="s">
        <v>52</v>
      </c>
      <c r="C1043" s="9" t="s">
        <v>39273</v>
      </c>
      <c r="D1043" s="9" t="s">
        <v>44434</v>
      </c>
      <c r="E1043" s="61">
        <v>44882.0</v>
      </c>
      <c r="F1043" s="9" t="b">
        <v>1</v>
      </c>
      <c r="G1043" s="9" t="s">
        <v>38801</v>
      </c>
      <c r="H1043" s="9" t="s">
        <v>42576</v>
      </c>
      <c r="I1043" s="9" t="b">
        <v>1</v>
      </c>
    </row>
    <row r="1044" ht="15.75" customHeight="1">
      <c r="A1044" s="9" t="s">
        <v>44435</v>
      </c>
      <c r="B1044" s="9" t="s">
        <v>52</v>
      </c>
      <c r="C1044" s="9" t="s">
        <v>39826</v>
      </c>
      <c r="D1044" s="9" t="s">
        <v>44376</v>
      </c>
      <c r="E1044" s="61">
        <v>44882.0</v>
      </c>
      <c r="F1044" s="9" t="b">
        <v>1</v>
      </c>
      <c r="G1044" s="9" t="s">
        <v>38801</v>
      </c>
      <c r="H1044" s="9" t="s">
        <v>42576</v>
      </c>
      <c r="I1044" s="9" t="b">
        <v>1</v>
      </c>
    </row>
    <row r="1045" ht="15.75" customHeight="1">
      <c r="A1045" s="9" t="s">
        <v>44436</v>
      </c>
      <c r="B1045" s="9" t="s">
        <v>52</v>
      </c>
      <c r="C1045" s="9" t="s">
        <v>39696</v>
      </c>
      <c r="D1045" s="9" t="s">
        <v>44376</v>
      </c>
      <c r="E1045" s="61">
        <v>44882.0</v>
      </c>
      <c r="F1045" s="9" t="b">
        <v>1</v>
      </c>
      <c r="G1045" s="9" t="s">
        <v>38801</v>
      </c>
      <c r="H1045" s="9" t="s">
        <v>42576</v>
      </c>
      <c r="I1045" s="9" t="b">
        <v>1</v>
      </c>
    </row>
    <row r="1046" ht="15.75" customHeight="1">
      <c r="A1046" s="9" t="s">
        <v>44437</v>
      </c>
      <c r="B1046" s="9" t="s">
        <v>52</v>
      </c>
      <c r="C1046" s="9" t="s">
        <v>39654</v>
      </c>
      <c r="D1046" s="9" t="s">
        <v>44376</v>
      </c>
      <c r="E1046" s="61">
        <v>44882.0</v>
      </c>
      <c r="F1046" s="9" t="b">
        <v>1</v>
      </c>
      <c r="G1046" s="9" t="s">
        <v>38801</v>
      </c>
      <c r="H1046" s="9" t="s">
        <v>42576</v>
      </c>
      <c r="I1046" s="9" t="b">
        <v>1</v>
      </c>
    </row>
    <row r="1047" ht="15.75" customHeight="1">
      <c r="A1047" s="9" t="s">
        <v>44438</v>
      </c>
      <c r="B1047" s="9" t="s">
        <v>52</v>
      </c>
      <c r="C1047" s="52" t="s">
        <v>39533</v>
      </c>
      <c r="D1047" s="9" t="s">
        <v>44376</v>
      </c>
      <c r="E1047" s="61">
        <v>44882.0</v>
      </c>
      <c r="F1047" s="9" t="b">
        <v>1</v>
      </c>
      <c r="G1047" s="9" t="s">
        <v>38801</v>
      </c>
      <c r="H1047" s="9" t="s">
        <v>42576</v>
      </c>
      <c r="I1047" s="9" t="b">
        <v>1</v>
      </c>
    </row>
    <row r="1048" ht="15.75" customHeight="1">
      <c r="A1048" s="9" t="s">
        <v>44439</v>
      </c>
      <c r="B1048" s="9" t="s">
        <v>52</v>
      </c>
      <c r="C1048" s="9" t="s">
        <v>39169</v>
      </c>
      <c r="D1048" s="9" t="s">
        <v>44376</v>
      </c>
      <c r="E1048" s="61">
        <v>44882.0</v>
      </c>
      <c r="F1048" s="9" t="b">
        <v>1</v>
      </c>
      <c r="G1048" s="9" t="s">
        <v>38801</v>
      </c>
      <c r="H1048" s="9" t="s">
        <v>42576</v>
      </c>
      <c r="I1048" s="9" t="b">
        <v>1</v>
      </c>
    </row>
    <row r="1049" ht="15.75" customHeight="1">
      <c r="A1049" s="9" t="s">
        <v>44440</v>
      </c>
      <c r="B1049" s="9" t="s">
        <v>52</v>
      </c>
      <c r="C1049" s="9" t="s">
        <v>39653</v>
      </c>
      <c r="D1049" s="9" t="s">
        <v>44376</v>
      </c>
      <c r="E1049" s="61">
        <v>44882.0</v>
      </c>
      <c r="F1049" s="9" t="b">
        <v>1</v>
      </c>
      <c r="G1049" s="9" t="s">
        <v>38801</v>
      </c>
      <c r="H1049" s="9" t="s">
        <v>42576</v>
      </c>
      <c r="I1049" s="9" t="b">
        <v>1</v>
      </c>
    </row>
    <row r="1050" ht="15.75" customHeight="1">
      <c r="A1050" s="9" t="s">
        <v>44441</v>
      </c>
      <c r="B1050" s="9" t="s">
        <v>52</v>
      </c>
      <c r="C1050" s="9" t="s">
        <v>39257</v>
      </c>
      <c r="D1050" s="9" t="s">
        <v>44376</v>
      </c>
      <c r="E1050" s="61">
        <v>44882.0</v>
      </c>
      <c r="F1050" s="9" t="b">
        <v>1</v>
      </c>
      <c r="G1050" s="9" t="s">
        <v>38801</v>
      </c>
      <c r="H1050" s="9" t="s">
        <v>42576</v>
      </c>
      <c r="I1050" s="9" t="b">
        <v>1</v>
      </c>
    </row>
    <row r="1051" ht="15.75" customHeight="1">
      <c r="A1051" s="9" t="s">
        <v>44442</v>
      </c>
      <c r="B1051" s="9" t="s">
        <v>52</v>
      </c>
      <c r="C1051" s="9" t="s">
        <v>39444</v>
      </c>
      <c r="D1051" s="9" t="s">
        <v>44376</v>
      </c>
      <c r="E1051" s="61">
        <v>44882.0</v>
      </c>
      <c r="F1051" s="9" t="b">
        <v>1</v>
      </c>
      <c r="G1051" s="9" t="s">
        <v>38801</v>
      </c>
      <c r="H1051" s="9" t="s">
        <v>42576</v>
      </c>
      <c r="I1051" s="9" t="b">
        <v>1</v>
      </c>
    </row>
    <row r="1052" ht="15.75" customHeight="1">
      <c r="A1052" s="9" t="s">
        <v>44443</v>
      </c>
      <c r="B1052" s="9" t="s">
        <v>131</v>
      </c>
      <c r="C1052" s="9" t="s">
        <v>40200</v>
      </c>
      <c r="D1052" s="9" t="s">
        <v>44383</v>
      </c>
      <c r="E1052" s="61">
        <v>44883.0</v>
      </c>
      <c r="F1052" s="9" t="b">
        <v>1</v>
      </c>
      <c r="G1052" s="9" t="s">
        <v>38801</v>
      </c>
      <c r="H1052" s="9" t="s">
        <v>42576</v>
      </c>
      <c r="I1052" s="9" t="b">
        <v>1</v>
      </c>
    </row>
    <row r="1053" ht="15.75" customHeight="1">
      <c r="A1053" s="9" t="s">
        <v>44444</v>
      </c>
      <c r="B1053" s="9" t="s">
        <v>52</v>
      </c>
      <c r="C1053" s="9" t="s">
        <v>40205</v>
      </c>
      <c r="D1053" s="9" t="s">
        <v>44376</v>
      </c>
      <c r="E1053" s="61">
        <v>44883.0</v>
      </c>
      <c r="F1053" s="9" t="b">
        <v>1</v>
      </c>
      <c r="G1053" s="9" t="s">
        <v>38801</v>
      </c>
      <c r="H1053" s="9" t="s">
        <v>42576</v>
      </c>
      <c r="I1053" s="9" t="b">
        <v>1</v>
      </c>
    </row>
    <row r="1054" ht="15.75" customHeight="1">
      <c r="A1054" s="9" t="s">
        <v>44445</v>
      </c>
      <c r="B1054" s="9" t="s">
        <v>52</v>
      </c>
      <c r="C1054" s="9" t="s">
        <v>39134</v>
      </c>
      <c r="D1054" s="9" t="s">
        <v>44376</v>
      </c>
      <c r="E1054" s="61">
        <v>44883.0</v>
      </c>
      <c r="F1054" s="9" t="b">
        <v>1</v>
      </c>
      <c r="G1054" s="9" t="s">
        <v>38801</v>
      </c>
      <c r="H1054" s="9" t="s">
        <v>42576</v>
      </c>
      <c r="I1054" s="9" t="b">
        <v>1</v>
      </c>
    </row>
    <row r="1055" ht="15.75" customHeight="1">
      <c r="A1055" s="9" t="s">
        <v>44446</v>
      </c>
      <c r="B1055" s="9" t="s">
        <v>52</v>
      </c>
      <c r="C1055" s="9" t="s">
        <v>39145</v>
      </c>
      <c r="D1055" s="9" t="s">
        <v>44376</v>
      </c>
      <c r="E1055" s="61">
        <v>44883.0</v>
      </c>
      <c r="F1055" s="9" t="b">
        <v>1</v>
      </c>
      <c r="G1055" s="9" t="s">
        <v>38801</v>
      </c>
      <c r="H1055" s="9" t="s">
        <v>42576</v>
      </c>
      <c r="I1055" s="9" t="b">
        <v>1</v>
      </c>
    </row>
    <row r="1056" ht="15.75" customHeight="1">
      <c r="A1056" s="9" t="s">
        <v>44447</v>
      </c>
      <c r="B1056" s="9" t="s">
        <v>52</v>
      </c>
      <c r="C1056" s="52" t="s">
        <v>40207</v>
      </c>
      <c r="D1056" s="9" t="s">
        <v>44448</v>
      </c>
      <c r="E1056" s="61">
        <v>44883.0</v>
      </c>
      <c r="F1056" s="9" t="b">
        <v>1</v>
      </c>
      <c r="G1056" s="9" t="s">
        <v>38801</v>
      </c>
      <c r="H1056" s="9" t="s">
        <v>42576</v>
      </c>
      <c r="I1056" s="9" t="b">
        <v>1</v>
      </c>
    </row>
    <row r="1057" ht="15.75" customHeight="1">
      <c r="A1057" s="9" t="s">
        <v>44449</v>
      </c>
      <c r="B1057" s="9" t="s">
        <v>52</v>
      </c>
      <c r="C1057" s="9" t="s">
        <v>39307</v>
      </c>
      <c r="D1057" s="9" t="s">
        <v>44376</v>
      </c>
      <c r="E1057" s="61">
        <v>44883.0</v>
      </c>
      <c r="F1057" s="9" t="b">
        <v>1</v>
      </c>
      <c r="G1057" s="9" t="s">
        <v>38801</v>
      </c>
      <c r="H1057" s="9" t="s">
        <v>42576</v>
      </c>
      <c r="I1057" s="9" t="b">
        <v>1</v>
      </c>
    </row>
    <row r="1058" ht="15.75" customHeight="1">
      <c r="A1058" s="9" t="s">
        <v>44450</v>
      </c>
      <c r="B1058" s="9" t="s">
        <v>52</v>
      </c>
      <c r="C1058" s="9" t="s">
        <v>39217</v>
      </c>
      <c r="D1058" s="9" t="s">
        <v>44376</v>
      </c>
      <c r="E1058" s="61">
        <v>44883.0</v>
      </c>
      <c r="F1058" s="9" t="b">
        <v>1</v>
      </c>
      <c r="G1058" s="9" t="s">
        <v>38801</v>
      </c>
      <c r="H1058" s="9" t="s">
        <v>42576</v>
      </c>
      <c r="I1058" s="9" t="b">
        <v>1</v>
      </c>
    </row>
    <row r="1059" ht="15.75" customHeight="1">
      <c r="A1059" s="9" t="s">
        <v>44451</v>
      </c>
      <c r="B1059" s="9" t="s">
        <v>52</v>
      </c>
      <c r="C1059" s="9" t="s">
        <v>39676</v>
      </c>
      <c r="D1059" s="9" t="s">
        <v>44376</v>
      </c>
      <c r="E1059" s="61">
        <v>44883.0</v>
      </c>
      <c r="F1059" s="9" t="b">
        <v>1</v>
      </c>
      <c r="G1059" s="9" t="s">
        <v>38801</v>
      </c>
      <c r="H1059" s="9" t="s">
        <v>42576</v>
      </c>
      <c r="I1059" s="9" t="b">
        <v>1</v>
      </c>
    </row>
    <row r="1060" ht="15.75" customHeight="1">
      <c r="A1060" s="9" t="s">
        <v>44452</v>
      </c>
      <c r="B1060" s="9" t="s">
        <v>52</v>
      </c>
      <c r="C1060" s="9" t="s">
        <v>39372</v>
      </c>
      <c r="D1060" s="9" t="s">
        <v>44376</v>
      </c>
      <c r="E1060" s="61">
        <v>44883.0</v>
      </c>
      <c r="F1060" s="9" t="b">
        <v>1</v>
      </c>
      <c r="G1060" s="9" t="s">
        <v>38801</v>
      </c>
      <c r="H1060" s="9" t="s">
        <v>42576</v>
      </c>
      <c r="I1060" s="9" t="b">
        <v>1</v>
      </c>
    </row>
    <row r="1061" ht="15.75" customHeight="1">
      <c r="A1061" s="9" t="s">
        <v>44453</v>
      </c>
      <c r="B1061" s="9" t="s">
        <v>52</v>
      </c>
      <c r="C1061" s="9" t="s">
        <v>40088</v>
      </c>
      <c r="D1061" s="9" t="s">
        <v>44229</v>
      </c>
      <c r="E1061" s="61">
        <v>44883.0</v>
      </c>
      <c r="F1061" s="9" t="b">
        <v>1</v>
      </c>
      <c r="G1061" s="9" t="s">
        <v>38801</v>
      </c>
      <c r="H1061" s="9" t="s">
        <v>42576</v>
      </c>
      <c r="I1061" s="9" t="b">
        <v>1</v>
      </c>
    </row>
    <row r="1062" ht="15.75" customHeight="1">
      <c r="A1062" s="9" t="s">
        <v>44454</v>
      </c>
      <c r="B1062" s="9" t="s">
        <v>52</v>
      </c>
      <c r="C1062" s="9" t="s">
        <v>40182</v>
      </c>
      <c r="D1062" s="9" t="s">
        <v>44455</v>
      </c>
      <c r="E1062" s="61">
        <v>44883.0</v>
      </c>
      <c r="F1062" s="9" t="b">
        <v>1</v>
      </c>
      <c r="G1062" s="9" t="s">
        <v>38801</v>
      </c>
      <c r="H1062" s="9" t="s">
        <v>42576</v>
      </c>
      <c r="I1062" s="9" t="b">
        <v>1</v>
      </c>
    </row>
    <row r="1063" ht="15.75" customHeight="1">
      <c r="A1063" s="9" t="s">
        <v>44456</v>
      </c>
      <c r="B1063" s="9" t="s">
        <v>26</v>
      </c>
      <c r="C1063" s="9" t="s">
        <v>40223</v>
      </c>
      <c r="D1063" s="9" t="s">
        <v>44457</v>
      </c>
      <c r="E1063" s="61">
        <v>44886.0</v>
      </c>
      <c r="F1063" s="9" t="b">
        <v>1</v>
      </c>
      <c r="G1063" s="9" t="s">
        <v>38801</v>
      </c>
      <c r="H1063" s="9" t="s">
        <v>42560</v>
      </c>
      <c r="I1063" s="9" t="b">
        <v>1</v>
      </c>
    </row>
    <row r="1064" ht="15.75" customHeight="1">
      <c r="A1064" s="9" t="s">
        <v>44458</v>
      </c>
      <c r="B1064" s="9" t="s">
        <v>26</v>
      </c>
      <c r="C1064" s="9" t="s">
        <v>40221</v>
      </c>
      <c r="D1064" s="9" t="s">
        <v>44459</v>
      </c>
      <c r="E1064" s="61">
        <v>44886.0</v>
      </c>
      <c r="F1064" s="9" t="b">
        <v>1</v>
      </c>
      <c r="G1064" s="9" t="s">
        <v>38801</v>
      </c>
      <c r="H1064" s="9" t="s">
        <v>42560</v>
      </c>
      <c r="I1064" s="9" t="b">
        <v>1</v>
      </c>
    </row>
    <row r="1065" ht="15.75" customHeight="1">
      <c r="A1065" s="9" t="s">
        <v>44460</v>
      </c>
      <c r="B1065" s="9" t="s">
        <v>47</v>
      </c>
      <c r="C1065" s="9" t="s">
        <v>40229</v>
      </c>
      <c r="D1065" s="9" t="s">
        <v>43183</v>
      </c>
      <c r="E1065" s="61">
        <v>44886.0</v>
      </c>
      <c r="F1065" s="9" t="b">
        <v>1</v>
      </c>
      <c r="G1065" s="9" t="s">
        <v>38801</v>
      </c>
      <c r="H1065" s="9" t="s">
        <v>42576</v>
      </c>
      <c r="I1065" s="9" t="b">
        <v>1</v>
      </c>
    </row>
    <row r="1066" ht="15.75" customHeight="1">
      <c r="A1066" s="9" t="s">
        <v>44461</v>
      </c>
      <c r="B1066" s="9" t="s">
        <v>47</v>
      </c>
      <c r="C1066" s="9" t="s">
        <v>40231</v>
      </c>
      <c r="D1066" s="9" t="s">
        <v>44462</v>
      </c>
      <c r="E1066" s="61">
        <v>44886.0</v>
      </c>
      <c r="F1066" s="9" t="b">
        <v>1</v>
      </c>
      <c r="G1066" s="9" t="s">
        <v>38801</v>
      </c>
      <c r="H1066" s="9" t="s">
        <v>42576</v>
      </c>
      <c r="I1066" s="9" t="b">
        <v>1</v>
      </c>
    </row>
    <row r="1067" ht="15.75" customHeight="1">
      <c r="A1067" s="9" t="s">
        <v>44463</v>
      </c>
      <c r="B1067" s="9" t="s">
        <v>26</v>
      </c>
      <c r="C1067" s="9" t="s">
        <v>40233</v>
      </c>
      <c r="D1067" s="9" t="s">
        <v>44464</v>
      </c>
      <c r="E1067" s="61">
        <v>44886.0</v>
      </c>
      <c r="F1067" s="9" t="b">
        <v>1</v>
      </c>
      <c r="G1067" s="9" t="s">
        <v>38801</v>
      </c>
      <c r="H1067" s="9" t="s">
        <v>42560</v>
      </c>
      <c r="I1067" s="9" t="b">
        <v>1</v>
      </c>
    </row>
    <row r="1068" ht="15.75" customHeight="1">
      <c r="A1068" s="9" t="s">
        <v>44465</v>
      </c>
      <c r="B1068" s="9" t="s">
        <v>52</v>
      </c>
      <c r="C1068" s="9" t="s">
        <v>39297</v>
      </c>
      <c r="D1068" s="9" t="s">
        <v>44466</v>
      </c>
      <c r="E1068" s="61">
        <v>44887.0</v>
      </c>
      <c r="F1068" s="9" t="b">
        <v>1</v>
      </c>
      <c r="G1068" s="9" t="s">
        <v>42585</v>
      </c>
      <c r="H1068" s="9" t="s">
        <v>42560</v>
      </c>
      <c r="I1068" s="9"/>
    </row>
    <row r="1069" ht="15.75" customHeight="1">
      <c r="A1069" s="9" t="s">
        <v>44467</v>
      </c>
      <c r="B1069" s="9" t="s">
        <v>131</v>
      </c>
      <c r="C1069" s="9" t="s">
        <v>40237</v>
      </c>
      <c r="D1069" s="9" t="s">
        <v>44468</v>
      </c>
      <c r="E1069" s="61">
        <v>44889.0</v>
      </c>
      <c r="F1069" s="9" t="b">
        <v>1</v>
      </c>
      <c r="G1069" s="9" t="s">
        <v>38801</v>
      </c>
      <c r="H1069" s="9" t="s">
        <v>42560</v>
      </c>
      <c r="I1069" s="9" t="b">
        <v>1</v>
      </c>
    </row>
    <row r="1070" ht="15.75" customHeight="1">
      <c r="A1070" s="52" t="s">
        <v>44469</v>
      </c>
      <c r="B1070" s="9" t="s">
        <v>131</v>
      </c>
      <c r="C1070" s="9" t="s">
        <v>40239</v>
      </c>
      <c r="D1070" s="9" t="s">
        <v>44470</v>
      </c>
      <c r="E1070" s="61">
        <v>44889.0</v>
      </c>
      <c r="F1070" s="9" t="b">
        <v>1</v>
      </c>
      <c r="G1070" s="9" t="s">
        <v>38801</v>
      </c>
      <c r="H1070" s="9" t="s">
        <v>42576</v>
      </c>
      <c r="I1070" s="9" t="b">
        <v>1</v>
      </c>
    </row>
    <row r="1071" ht="15.75" customHeight="1">
      <c r="A1071" s="9" t="s">
        <v>44471</v>
      </c>
      <c r="B1071" s="9" t="s">
        <v>131</v>
      </c>
      <c r="C1071" s="9" t="s">
        <v>40241</v>
      </c>
      <c r="D1071" s="9" t="s">
        <v>44472</v>
      </c>
      <c r="E1071" s="61">
        <v>44889.0</v>
      </c>
      <c r="F1071" s="9" t="b">
        <v>1</v>
      </c>
      <c r="G1071" s="9" t="s">
        <v>42573</v>
      </c>
      <c r="H1071" s="9" t="s">
        <v>42576</v>
      </c>
      <c r="I1071" s="9"/>
    </row>
    <row r="1072" ht="15.75" customHeight="1">
      <c r="A1072" s="9" t="s">
        <v>44473</v>
      </c>
      <c r="B1072" s="9" t="s">
        <v>131</v>
      </c>
      <c r="C1072" s="9" t="s">
        <v>40245</v>
      </c>
      <c r="D1072" s="9" t="s">
        <v>44474</v>
      </c>
      <c r="E1072" s="61">
        <v>44889.0</v>
      </c>
      <c r="F1072" s="9" t="b">
        <v>1</v>
      </c>
      <c r="G1072" s="9" t="s">
        <v>38801</v>
      </c>
      <c r="H1072" s="9" t="s">
        <v>42576</v>
      </c>
      <c r="I1072" s="9" t="b">
        <v>1</v>
      </c>
    </row>
    <row r="1073" ht="15.75" customHeight="1">
      <c r="A1073" s="9" t="s">
        <v>44475</v>
      </c>
      <c r="B1073" s="9" t="s">
        <v>52</v>
      </c>
      <c r="C1073" s="9" t="s">
        <v>40235</v>
      </c>
      <c r="D1073" s="9" t="s">
        <v>44476</v>
      </c>
      <c r="E1073" s="61">
        <v>44890.0</v>
      </c>
      <c r="F1073" s="9" t="b">
        <v>1</v>
      </c>
      <c r="G1073" s="9" t="s">
        <v>38801</v>
      </c>
      <c r="H1073" s="9" t="s">
        <v>42576</v>
      </c>
      <c r="I1073" s="9" t="b">
        <v>1</v>
      </c>
    </row>
    <row r="1074" ht="15.75" customHeight="1">
      <c r="A1074" s="9" t="s">
        <v>44477</v>
      </c>
      <c r="B1074" s="9" t="s">
        <v>131</v>
      </c>
      <c r="C1074" s="9" t="s">
        <v>40241</v>
      </c>
      <c r="D1074" s="9" t="s">
        <v>44478</v>
      </c>
      <c r="E1074" s="61">
        <v>44890.0</v>
      </c>
      <c r="F1074" s="9" t="b">
        <v>1</v>
      </c>
      <c r="G1074" s="9" t="s">
        <v>38801</v>
      </c>
      <c r="H1074" s="9" t="s">
        <v>42576</v>
      </c>
      <c r="I1074" s="9" t="b">
        <v>1</v>
      </c>
    </row>
    <row r="1075" ht="15.75" customHeight="1">
      <c r="A1075" s="9" t="s">
        <v>44479</v>
      </c>
      <c r="B1075" s="9" t="s">
        <v>52</v>
      </c>
      <c r="C1075" s="9" t="s">
        <v>40243</v>
      </c>
      <c r="D1075" s="9" t="s">
        <v>44480</v>
      </c>
      <c r="E1075" s="61">
        <v>44890.0</v>
      </c>
      <c r="F1075" s="9" t="b">
        <v>1</v>
      </c>
      <c r="G1075" s="9" t="s">
        <v>38801</v>
      </c>
      <c r="H1075" s="9" t="s">
        <v>42576</v>
      </c>
      <c r="I1075" s="9" t="b">
        <v>1</v>
      </c>
    </row>
    <row r="1076" ht="15.75" customHeight="1">
      <c r="A1076" s="9" t="s">
        <v>44481</v>
      </c>
      <c r="B1076" s="9" t="s">
        <v>52</v>
      </c>
      <c r="C1076" s="9" t="s">
        <v>40247</v>
      </c>
      <c r="D1076" s="9" t="s">
        <v>44376</v>
      </c>
      <c r="E1076" s="61">
        <v>44890.0</v>
      </c>
      <c r="F1076" s="9" t="b">
        <v>1</v>
      </c>
      <c r="G1076" s="9" t="s">
        <v>38801</v>
      </c>
      <c r="H1076" s="9" t="s">
        <v>42576</v>
      </c>
      <c r="I1076" s="9" t="b">
        <v>1</v>
      </c>
    </row>
    <row r="1077" ht="15.75" customHeight="1">
      <c r="A1077" s="9" t="s">
        <v>44482</v>
      </c>
      <c r="B1077" s="9" t="s">
        <v>47</v>
      </c>
      <c r="C1077" s="9" t="s">
        <v>40215</v>
      </c>
      <c r="D1077" s="9" t="s">
        <v>44483</v>
      </c>
      <c r="E1077" s="61">
        <v>44894.0</v>
      </c>
      <c r="F1077" s="9" t="b">
        <v>1</v>
      </c>
      <c r="G1077" s="9" t="s">
        <v>38801</v>
      </c>
      <c r="H1077" s="9" t="s">
        <v>42576</v>
      </c>
      <c r="I1077" s="9" t="b">
        <v>1</v>
      </c>
    </row>
    <row r="1078" ht="15.75" customHeight="1">
      <c r="A1078" s="9" t="s">
        <v>44484</v>
      </c>
      <c r="B1078" s="9" t="s">
        <v>47</v>
      </c>
      <c r="C1078" s="9" t="s">
        <v>40165</v>
      </c>
      <c r="D1078" s="9" t="s">
        <v>42560</v>
      </c>
      <c r="E1078" s="61">
        <v>44894.0</v>
      </c>
      <c r="F1078" s="9" t="b">
        <v>1</v>
      </c>
      <c r="G1078" s="9" t="s">
        <v>38801</v>
      </c>
      <c r="H1078" s="9" t="s">
        <v>42576</v>
      </c>
      <c r="I1078" s="9" t="b">
        <v>1</v>
      </c>
    </row>
    <row r="1079" ht="15.75" customHeight="1">
      <c r="A1079" s="9" t="s">
        <v>44485</v>
      </c>
      <c r="B1079" s="9" t="s">
        <v>47</v>
      </c>
      <c r="C1079" s="9" t="s">
        <v>40249</v>
      </c>
      <c r="D1079" s="9" t="s">
        <v>44486</v>
      </c>
      <c r="E1079" s="61">
        <v>44894.0</v>
      </c>
      <c r="F1079" s="9" t="b">
        <v>1</v>
      </c>
      <c r="G1079" s="9" t="s">
        <v>38801</v>
      </c>
      <c r="H1079" s="9" t="s">
        <v>42576</v>
      </c>
      <c r="I1079" s="9" t="b">
        <v>1</v>
      </c>
    </row>
    <row r="1080" ht="15.75" customHeight="1">
      <c r="A1080" s="9" t="s">
        <v>44487</v>
      </c>
      <c r="B1080" s="9" t="s">
        <v>47</v>
      </c>
      <c r="C1080" s="9" t="s">
        <v>40163</v>
      </c>
      <c r="D1080" s="9" t="s">
        <v>44488</v>
      </c>
      <c r="E1080" s="61">
        <v>44894.0</v>
      </c>
      <c r="F1080" s="9" t="b">
        <v>1</v>
      </c>
      <c r="G1080" s="9" t="s">
        <v>38801</v>
      </c>
      <c r="H1080" s="9" t="s">
        <v>42576</v>
      </c>
      <c r="I1080" s="9" t="b">
        <v>1</v>
      </c>
    </row>
    <row r="1081" ht="15.75" customHeight="1">
      <c r="A1081" s="9" t="s">
        <v>44489</v>
      </c>
      <c r="B1081" s="9" t="s">
        <v>47</v>
      </c>
      <c r="C1081" s="9" t="s">
        <v>40251</v>
      </c>
      <c r="D1081" s="9" t="s">
        <v>44490</v>
      </c>
      <c r="E1081" s="61">
        <v>44894.0</v>
      </c>
      <c r="F1081" s="9" t="b">
        <v>1</v>
      </c>
      <c r="G1081" s="9" t="s">
        <v>38801</v>
      </c>
      <c r="H1081" s="9" t="s">
        <v>42576</v>
      </c>
      <c r="I1081" s="9" t="b">
        <v>1</v>
      </c>
    </row>
    <row r="1082" ht="15.75" customHeight="1">
      <c r="A1082" s="9" t="s">
        <v>44491</v>
      </c>
      <c r="B1082" s="9" t="s">
        <v>47</v>
      </c>
      <c r="C1082" s="9" t="s">
        <v>40253</v>
      </c>
      <c r="D1082" s="9" t="s">
        <v>44492</v>
      </c>
      <c r="E1082" s="61">
        <v>44895.0</v>
      </c>
      <c r="F1082" s="9" t="b">
        <v>1</v>
      </c>
      <c r="G1082" s="9" t="s">
        <v>38801</v>
      </c>
      <c r="H1082" s="9" t="s">
        <v>42560</v>
      </c>
      <c r="I1082" s="9" t="b">
        <v>1</v>
      </c>
    </row>
    <row r="1083" ht="15.75" customHeight="1">
      <c r="A1083" s="9" t="s">
        <v>44493</v>
      </c>
      <c r="B1083" s="9" t="s">
        <v>47</v>
      </c>
      <c r="C1083" s="9" t="s">
        <v>40255</v>
      </c>
      <c r="D1083" s="9" t="s">
        <v>44494</v>
      </c>
      <c r="E1083" s="61">
        <v>44895.0</v>
      </c>
      <c r="F1083" s="9" t="b">
        <v>1</v>
      </c>
      <c r="G1083" s="9" t="s">
        <v>38801</v>
      </c>
      <c r="H1083" s="9" t="s">
        <v>42576</v>
      </c>
      <c r="I1083" s="9" t="b">
        <v>1</v>
      </c>
    </row>
    <row r="1084" ht="15.75" customHeight="1">
      <c r="A1084" s="9" t="s">
        <v>44495</v>
      </c>
      <c r="B1084" s="9" t="s">
        <v>47</v>
      </c>
      <c r="C1084" s="9" t="s">
        <v>40257</v>
      </c>
      <c r="D1084" s="9" t="s">
        <v>42752</v>
      </c>
      <c r="E1084" s="61">
        <v>44895.0</v>
      </c>
      <c r="F1084" s="9" t="b">
        <v>1</v>
      </c>
      <c r="G1084" s="9" t="s">
        <v>38801</v>
      </c>
      <c r="H1084" s="9" t="s">
        <v>42576</v>
      </c>
      <c r="I1084" s="9" t="b">
        <v>1</v>
      </c>
    </row>
    <row r="1085" ht="15.75" customHeight="1">
      <c r="A1085" s="9" t="s">
        <v>44496</v>
      </c>
      <c r="B1085" s="9" t="s">
        <v>52</v>
      </c>
      <c r="C1085" s="9" t="s">
        <v>40225</v>
      </c>
      <c r="D1085" s="9" t="s">
        <v>44497</v>
      </c>
      <c r="E1085" s="61">
        <v>44895.0</v>
      </c>
      <c r="F1085" s="9" t="b">
        <v>1</v>
      </c>
      <c r="G1085" s="9" t="s">
        <v>38801</v>
      </c>
      <c r="H1085" s="9" t="s">
        <v>42576</v>
      </c>
      <c r="I1085" s="9" t="b">
        <v>1</v>
      </c>
    </row>
    <row r="1086" ht="15.75" customHeight="1">
      <c r="A1086" s="9" t="s">
        <v>44498</v>
      </c>
      <c r="B1086" s="9" t="s">
        <v>26</v>
      </c>
      <c r="C1086" s="9" t="s">
        <v>40263</v>
      </c>
      <c r="D1086" s="9" t="s">
        <v>44499</v>
      </c>
      <c r="E1086" s="61">
        <v>44896.0</v>
      </c>
      <c r="F1086" s="9" t="b">
        <v>1</v>
      </c>
      <c r="G1086" s="9" t="s">
        <v>38801</v>
      </c>
      <c r="H1086" s="9" t="s">
        <v>42560</v>
      </c>
      <c r="I1086" s="9" t="b">
        <v>1</v>
      </c>
    </row>
    <row r="1087" ht="15.75" customHeight="1">
      <c r="A1087" s="9" t="s">
        <v>44500</v>
      </c>
      <c r="B1087" s="9" t="s">
        <v>26</v>
      </c>
      <c r="C1087" s="9" t="s">
        <v>40261</v>
      </c>
      <c r="D1087" s="9" t="s">
        <v>44501</v>
      </c>
      <c r="E1087" s="61">
        <v>44896.0</v>
      </c>
      <c r="F1087" s="9" t="b">
        <v>1</v>
      </c>
      <c r="G1087" s="9" t="s">
        <v>42585</v>
      </c>
      <c r="H1087" s="9" t="s">
        <v>42560</v>
      </c>
      <c r="I1087" s="9"/>
    </row>
    <row r="1088" ht="15.75" customHeight="1">
      <c r="A1088" s="9" t="s">
        <v>44502</v>
      </c>
      <c r="B1088" s="9" t="s">
        <v>26</v>
      </c>
      <c r="C1088" s="9" t="s">
        <v>40227</v>
      </c>
      <c r="D1088" s="9" t="s">
        <v>44503</v>
      </c>
      <c r="E1088" s="61">
        <v>44897.0</v>
      </c>
      <c r="F1088" s="9" t="b">
        <v>1</v>
      </c>
      <c r="G1088" s="9" t="s">
        <v>38801</v>
      </c>
      <c r="H1088" s="9" t="s">
        <v>42560</v>
      </c>
      <c r="I1088" s="9" t="b">
        <v>1</v>
      </c>
    </row>
    <row r="1089" ht="15.75" customHeight="1">
      <c r="A1089" s="9" t="s">
        <v>44504</v>
      </c>
      <c r="B1089" s="9" t="s">
        <v>26</v>
      </c>
      <c r="C1089" s="9" t="s">
        <v>40217</v>
      </c>
      <c r="D1089" s="9" t="s">
        <v>44505</v>
      </c>
      <c r="E1089" s="61">
        <v>44897.0</v>
      </c>
      <c r="F1089" s="9" t="b">
        <v>1</v>
      </c>
      <c r="G1089" s="9" t="s">
        <v>38801</v>
      </c>
      <c r="H1089" s="9" t="s">
        <v>42560</v>
      </c>
      <c r="I1089" s="9" t="b">
        <v>1</v>
      </c>
    </row>
    <row r="1090" ht="15.75" customHeight="1">
      <c r="A1090" s="9" t="s">
        <v>44506</v>
      </c>
      <c r="B1090" s="9" t="s">
        <v>26</v>
      </c>
      <c r="C1090" s="9" t="s">
        <v>40219</v>
      </c>
      <c r="D1090" s="9" t="s">
        <v>44507</v>
      </c>
      <c r="E1090" s="61">
        <v>44897.0</v>
      </c>
      <c r="F1090" s="9" t="b">
        <v>1</v>
      </c>
      <c r="G1090" s="9" t="s">
        <v>38801</v>
      </c>
      <c r="H1090" s="9" t="s">
        <v>42560</v>
      </c>
      <c r="I1090" s="9" t="b">
        <v>1</v>
      </c>
    </row>
    <row r="1091" ht="15.75" customHeight="1">
      <c r="A1091" s="9" t="s">
        <v>44508</v>
      </c>
      <c r="B1091" s="9" t="s">
        <v>26</v>
      </c>
      <c r="C1091" s="9" t="s">
        <v>40201</v>
      </c>
      <c r="D1091" s="9" t="s">
        <v>44509</v>
      </c>
      <c r="E1091" s="61">
        <v>44897.0</v>
      </c>
      <c r="F1091" s="9" t="b">
        <v>1</v>
      </c>
      <c r="G1091" s="9" t="s">
        <v>38801</v>
      </c>
      <c r="H1091" s="9" t="s">
        <v>42560</v>
      </c>
      <c r="I1091" s="9" t="b">
        <v>1</v>
      </c>
    </row>
    <row r="1092" ht="15.75" customHeight="1">
      <c r="A1092" s="9" t="s">
        <v>44510</v>
      </c>
      <c r="B1092" s="9" t="s">
        <v>26</v>
      </c>
      <c r="C1092" s="9" t="s">
        <v>40259</v>
      </c>
      <c r="D1092" s="9" t="s">
        <v>44511</v>
      </c>
      <c r="E1092" s="61">
        <v>44897.0</v>
      </c>
      <c r="F1092" s="9" t="b">
        <v>1</v>
      </c>
      <c r="G1092" s="9" t="s">
        <v>38801</v>
      </c>
      <c r="H1092" s="9" t="s">
        <v>42560</v>
      </c>
      <c r="I1092" s="9" t="b">
        <v>1</v>
      </c>
    </row>
    <row r="1093" ht="15.75" customHeight="1">
      <c r="A1093" s="9" t="s">
        <v>44512</v>
      </c>
      <c r="B1093" s="9" t="s">
        <v>26</v>
      </c>
      <c r="C1093" s="9" t="s">
        <v>39321</v>
      </c>
      <c r="D1093" s="9" t="s">
        <v>44513</v>
      </c>
      <c r="E1093" s="61">
        <v>44897.0</v>
      </c>
      <c r="F1093" s="9" t="b">
        <v>1</v>
      </c>
      <c r="G1093" s="9" t="s">
        <v>38801</v>
      </c>
      <c r="H1093" s="9" t="s">
        <v>42560</v>
      </c>
      <c r="I1093" s="9" t="b">
        <v>1</v>
      </c>
    </row>
    <row r="1094" ht="15.75" customHeight="1">
      <c r="A1094" s="9" t="s">
        <v>44514</v>
      </c>
      <c r="B1094" s="9" t="s">
        <v>26</v>
      </c>
      <c r="C1094" s="52" t="s">
        <v>40203</v>
      </c>
      <c r="D1094" s="9" t="s">
        <v>44515</v>
      </c>
      <c r="E1094" s="61">
        <v>44897.0</v>
      </c>
      <c r="F1094" s="9" t="b">
        <v>1</v>
      </c>
      <c r="G1094" s="9" t="s">
        <v>38801</v>
      </c>
      <c r="H1094" s="9" t="s">
        <v>42560</v>
      </c>
      <c r="I1094" s="9" t="b">
        <v>1</v>
      </c>
    </row>
    <row r="1095" ht="15.75" customHeight="1">
      <c r="A1095" s="9" t="s">
        <v>44516</v>
      </c>
      <c r="B1095" s="9" t="s">
        <v>26</v>
      </c>
      <c r="C1095" s="9" t="s">
        <v>40261</v>
      </c>
      <c r="D1095" s="9" t="s">
        <v>44517</v>
      </c>
      <c r="E1095" s="61">
        <v>44897.0</v>
      </c>
      <c r="F1095" s="9" t="b">
        <v>1</v>
      </c>
      <c r="G1095" s="9" t="s">
        <v>38801</v>
      </c>
      <c r="H1095" s="9" t="s">
        <v>42560</v>
      </c>
      <c r="I1095" s="9" t="b">
        <v>1</v>
      </c>
    </row>
    <row r="1096" ht="15.75" customHeight="1">
      <c r="A1096" s="9" t="s">
        <v>44518</v>
      </c>
      <c r="B1096" s="9" t="s">
        <v>47</v>
      </c>
      <c r="C1096" s="9" t="s">
        <v>40198</v>
      </c>
      <c r="D1096" s="9" t="s">
        <v>44519</v>
      </c>
      <c r="E1096" s="61">
        <v>44897.0</v>
      </c>
      <c r="F1096" s="9" t="b">
        <v>1</v>
      </c>
      <c r="G1096" s="9" t="s">
        <v>42573</v>
      </c>
      <c r="H1096" s="9" t="s">
        <v>42576</v>
      </c>
      <c r="I1096" s="9"/>
    </row>
    <row r="1097" ht="15.75" customHeight="1">
      <c r="A1097" s="9" t="s">
        <v>44520</v>
      </c>
      <c r="B1097" s="9" t="s">
        <v>47</v>
      </c>
      <c r="C1097" s="9" t="s">
        <v>40267</v>
      </c>
      <c r="D1097" s="9" t="s">
        <v>42560</v>
      </c>
      <c r="E1097" s="61">
        <v>44897.0</v>
      </c>
      <c r="F1097" s="9" t="b">
        <v>1</v>
      </c>
      <c r="G1097" s="9" t="s">
        <v>38801</v>
      </c>
      <c r="H1097" s="9" t="s">
        <v>42576</v>
      </c>
      <c r="I1097" s="9" t="b">
        <v>1</v>
      </c>
    </row>
    <row r="1098" ht="15.75" customHeight="1">
      <c r="A1098" s="9" t="s">
        <v>44521</v>
      </c>
      <c r="B1098" s="9" t="s">
        <v>26</v>
      </c>
      <c r="C1098" s="9" t="s">
        <v>40275</v>
      </c>
      <c r="D1098" s="9" t="s">
        <v>44522</v>
      </c>
      <c r="E1098" s="61">
        <v>44901.0</v>
      </c>
      <c r="F1098" s="9" t="b">
        <v>1</v>
      </c>
      <c r="G1098" s="9" t="s">
        <v>42573</v>
      </c>
      <c r="H1098" s="9" t="s">
        <v>42560</v>
      </c>
      <c r="I1098" s="9"/>
    </row>
    <row r="1099" ht="15.75" customHeight="1">
      <c r="A1099" s="9" t="s">
        <v>44523</v>
      </c>
      <c r="B1099" s="9" t="s">
        <v>26</v>
      </c>
      <c r="C1099" s="9" t="s">
        <v>40277</v>
      </c>
      <c r="D1099" s="9" t="s">
        <v>44524</v>
      </c>
      <c r="E1099" s="61">
        <v>44901.0</v>
      </c>
      <c r="F1099" s="9" t="b">
        <v>1</v>
      </c>
      <c r="G1099" s="9" t="s">
        <v>38801</v>
      </c>
      <c r="H1099" s="9" t="s">
        <v>38800</v>
      </c>
      <c r="I1099" s="9" t="b">
        <v>1</v>
      </c>
    </row>
    <row r="1100" ht="15.75" customHeight="1">
      <c r="A1100" s="9" t="s">
        <v>44525</v>
      </c>
      <c r="B1100" s="9" t="s">
        <v>131</v>
      </c>
      <c r="C1100" s="9" t="s">
        <v>40289</v>
      </c>
      <c r="D1100" s="9" t="s">
        <v>44526</v>
      </c>
      <c r="E1100" s="61">
        <v>44903.0</v>
      </c>
      <c r="F1100" s="9" t="b">
        <v>1</v>
      </c>
      <c r="G1100" s="9" t="s">
        <v>38801</v>
      </c>
      <c r="H1100" s="9" t="s">
        <v>42576</v>
      </c>
      <c r="I1100" s="9" t="b">
        <v>1</v>
      </c>
    </row>
    <row r="1101" ht="15.75" customHeight="1">
      <c r="A1101" s="9" t="s">
        <v>44527</v>
      </c>
      <c r="B1101" s="9" t="s">
        <v>131</v>
      </c>
      <c r="C1101" s="9" t="s">
        <v>40291</v>
      </c>
      <c r="D1101" s="9" t="s">
        <v>44528</v>
      </c>
      <c r="E1101" s="61">
        <v>44903.0</v>
      </c>
      <c r="F1101" s="9" t="b">
        <v>1</v>
      </c>
      <c r="G1101" s="9" t="s">
        <v>38801</v>
      </c>
      <c r="H1101" s="9" t="s">
        <v>42576</v>
      </c>
      <c r="I1101" s="9" t="b">
        <v>1</v>
      </c>
    </row>
    <row r="1102" ht="15.75" customHeight="1">
      <c r="A1102" s="9" t="s">
        <v>44529</v>
      </c>
      <c r="B1102" s="9" t="s">
        <v>131</v>
      </c>
      <c r="C1102" s="9" t="s">
        <v>40281</v>
      </c>
      <c r="D1102" s="9" t="s">
        <v>44528</v>
      </c>
      <c r="E1102" s="61">
        <v>44903.0</v>
      </c>
      <c r="F1102" s="9" t="b">
        <v>1</v>
      </c>
      <c r="G1102" s="9" t="s">
        <v>38801</v>
      </c>
      <c r="H1102" s="9" t="s">
        <v>42576</v>
      </c>
      <c r="I1102" s="9" t="b">
        <v>1</v>
      </c>
    </row>
    <row r="1103" ht="15.75" customHeight="1">
      <c r="A1103" s="9" t="s">
        <v>44530</v>
      </c>
      <c r="B1103" s="9" t="s">
        <v>131</v>
      </c>
      <c r="C1103" s="9" t="s">
        <v>40281</v>
      </c>
      <c r="D1103" s="9" t="s">
        <v>44528</v>
      </c>
      <c r="E1103" s="61">
        <v>44903.0</v>
      </c>
      <c r="F1103" s="9" t="b">
        <v>1</v>
      </c>
      <c r="G1103" s="9" t="s">
        <v>38801</v>
      </c>
      <c r="H1103" s="9" t="s">
        <v>42576</v>
      </c>
      <c r="I1103" s="9" t="b">
        <v>1</v>
      </c>
    </row>
    <row r="1104" ht="15.75" customHeight="1">
      <c r="A1104" s="9" t="s">
        <v>44531</v>
      </c>
      <c r="B1104" s="9" t="s">
        <v>47</v>
      </c>
      <c r="C1104" s="9" t="s">
        <v>40155</v>
      </c>
      <c r="D1104" s="9" t="s">
        <v>44532</v>
      </c>
      <c r="E1104" s="61">
        <v>44903.0</v>
      </c>
      <c r="F1104" s="9" t="b">
        <v>1</v>
      </c>
      <c r="G1104" s="9" t="s">
        <v>42585</v>
      </c>
      <c r="H1104" s="9" t="s">
        <v>42560</v>
      </c>
      <c r="I1104" s="9"/>
    </row>
    <row r="1105" ht="15.75" customHeight="1">
      <c r="A1105" s="9" t="s">
        <v>44533</v>
      </c>
      <c r="B1105" s="9" t="s">
        <v>131</v>
      </c>
      <c r="C1105" s="9" t="s">
        <v>40295</v>
      </c>
      <c r="D1105" s="9" t="s">
        <v>44534</v>
      </c>
      <c r="E1105" s="61">
        <v>44908.0</v>
      </c>
      <c r="F1105" s="9" t="b">
        <v>1</v>
      </c>
      <c r="G1105" s="9" t="s">
        <v>38801</v>
      </c>
      <c r="H1105" s="9" t="s">
        <v>42576</v>
      </c>
      <c r="I1105" s="9" t="b">
        <v>1</v>
      </c>
    </row>
    <row r="1106" ht="15.75" customHeight="1">
      <c r="A1106" s="9" t="s">
        <v>44535</v>
      </c>
      <c r="B1106" s="9" t="s">
        <v>47</v>
      </c>
      <c r="C1106" s="9" t="s">
        <v>40296</v>
      </c>
      <c r="D1106" s="9" t="s">
        <v>44536</v>
      </c>
      <c r="E1106" s="61">
        <v>44908.0</v>
      </c>
      <c r="F1106" s="9" t="b">
        <v>1</v>
      </c>
      <c r="G1106" s="9" t="s">
        <v>38801</v>
      </c>
      <c r="H1106" s="9" t="s">
        <v>42576</v>
      </c>
      <c r="I1106" s="9" t="b">
        <v>1</v>
      </c>
    </row>
    <row r="1107" ht="15.75" customHeight="1">
      <c r="A1107" s="9" t="s">
        <v>44537</v>
      </c>
      <c r="B1107" s="9" t="s">
        <v>26</v>
      </c>
      <c r="C1107" s="9" t="s">
        <v>40283</v>
      </c>
      <c r="D1107" s="9" t="s">
        <v>44538</v>
      </c>
      <c r="E1107" s="61">
        <v>44909.0</v>
      </c>
      <c r="F1107" s="9" t="b">
        <v>1</v>
      </c>
      <c r="G1107" s="9" t="s">
        <v>38801</v>
      </c>
      <c r="H1107" s="9" t="s">
        <v>42560</v>
      </c>
      <c r="I1107" s="9" t="b">
        <v>1</v>
      </c>
    </row>
    <row r="1108" ht="15.75" customHeight="1">
      <c r="A1108" s="9" t="s">
        <v>44539</v>
      </c>
      <c r="B1108" s="9" t="s">
        <v>47</v>
      </c>
      <c r="C1108" s="9" t="s">
        <v>40298</v>
      </c>
      <c r="D1108" s="9" t="s">
        <v>44540</v>
      </c>
      <c r="E1108" s="61">
        <v>44909.0</v>
      </c>
      <c r="F1108" s="9" t="b">
        <v>1</v>
      </c>
      <c r="G1108" s="9" t="s">
        <v>38801</v>
      </c>
      <c r="H1108" s="9" t="s">
        <v>42576</v>
      </c>
      <c r="I1108" s="9" t="b">
        <v>1</v>
      </c>
    </row>
    <row r="1109" ht="15.75" customHeight="1">
      <c r="A1109" s="9" t="s">
        <v>44541</v>
      </c>
      <c r="B1109" s="9" t="s">
        <v>47</v>
      </c>
      <c r="C1109" s="9" t="s">
        <v>40300</v>
      </c>
      <c r="D1109" s="9" t="s">
        <v>44542</v>
      </c>
      <c r="E1109" s="61">
        <v>44909.0</v>
      </c>
      <c r="F1109" s="9" t="b">
        <v>1</v>
      </c>
      <c r="G1109" s="9" t="s">
        <v>38801</v>
      </c>
      <c r="H1109" s="9" t="s">
        <v>42576</v>
      </c>
      <c r="I1109" s="9" t="b">
        <v>1</v>
      </c>
    </row>
    <row r="1110" ht="15.75" customHeight="1">
      <c r="A1110" s="9" t="s">
        <v>44543</v>
      </c>
      <c r="B1110" s="9" t="s">
        <v>47</v>
      </c>
      <c r="C1110" s="9" t="s">
        <v>40302</v>
      </c>
      <c r="D1110" s="9" t="s">
        <v>43724</v>
      </c>
      <c r="E1110" s="61">
        <v>44909.0</v>
      </c>
      <c r="F1110" s="9" t="b">
        <v>1</v>
      </c>
      <c r="G1110" s="9" t="s">
        <v>38801</v>
      </c>
      <c r="H1110" s="9" t="s">
        <v>42576</v>
      </c>
      <c r="I1110" s="9" t="b">
        <v>1</v>
      </c>
    </row>
    <row r="1111" ht="15.75" customHeight="1">
      <c r="A1111" s="9" t="s">
        <v>44544</v>
      </c>
      <c r="B1111" s="9" t="s">
        <v>47</v>
      </c>
      <c r="C1111" s="9" t="s">
        <v>40304</v>
      </c>
      <c r="D1111" s="9" t="s">
        <v>44545</v>
      </c>
      <c r="E1111" s="61">
        <v>44909.0</v>
      </c>
      <c r="F1111" s="9" t="b">
        <v>1</v>
      </c>
      <c r="G1111" s="9" t="s">
        <v>38801</v>
      </c>
      <c r="H1111" s="9" t="s">
        <v>42576</v>
      </c>
      <c r="I1111" s="9" t="b">
        <v>1</v>
      </c>
    </row>
    <row r="1112" ht="15.75" customHeight="1">
      <c r="A1112" s="9" t="s">
        <v>44546</v>
      </c>
      <c r="B1112" s="9" t="s">
        <v>47</v>
      </c>
      <c r="C1112" s="9" t="s">
        <v>40306</v>
      </c>
      <c r="D1112" s="9" t="s">
        <v>44547</v>
      </c>
      <c r="E1112" s="61">
        <v>44909.0</v>
      </c>
      <c r="F1112" s="9" t="b">
        <v>1</v>
      </c>
      <c r="G1112" s="9" t="s">
        <v>38801</v>
      </c>
      <c r="H1112" s="9" t="s">
        <v>42576</v>
      </c>
      <c r="I1112" s="9" t="b">
        <v>1</v>
      </c>
    </row>
    <row r="1113" ht="15.75" customHeight="1">
      <c r="A1113" s="9" t="s">
        <v>44548</v>
      </c>
      <c r="B1113" s="9" t="s">
        <v>47</v>
      </c>
      <c r="C1113" s="9" t="s">
        <v>40308</v>
      </c>
      <c r="D1113" s="9" t="s">
        <v>44549</v>
      </c>
      <c r="E1113" s="61">
        <v>44909.0</v>
      </c>
      <c r="F1113" s="9" t="b">
        <v>1</v>
      </c>
      <c r="G1113" s="9" t="s">
        <v>38801</v>
      </c>
      <c r="H1113" s="9" t="s">
        <v>42576</v>
      </c>
      <c r="I1113" s="9" t="b">
        <v>1</v>
      </c>
    </row>
    <row r="1114" ht="15.75" customHeight="1">
      <c r="A1114" s="9" t="s">
        <v>44550</v>
      </c>
      <c r="B1114" s="9" t="s">
        <v>47</v>
      </c>
      <c r="C1114" s="9" t="s">
        <v>40310</v>
      </c>
      <c r="D1114" s="9" t="s">
        <v>43895</v>
      </c>
      <c r="E1114" s="61">
        <v>44909.0</v>
      </c>
      <c r="F1114" s="9" t="b">
        <v>1</v>
      </c>
      <c r="G1114" s="9" t="s">
        <v>38801</v>
      </c>
      <c r="H1114" s="9" t="s">
        <v>42576</v>
      </c>
      <c r="I1114" s="9" t="b">
        <v>1</v>
      </c>
    </row>
    <row r="1115" ht="15.75" customHeight="1">
      <c r="A1115" s="9" t="s">
        <v>44551</v>
      </c>
      <c r="B1115" s="9" t="s">
        <v>47</v>
      </c>
      <c r="C1115" s="9" t="s">
        <v>40316</v>
      </c>
      <c r="D1115" s="9" t="s">
        <v>43724</v>
      </c>
      <c r="E1115" s="61">
        <v>44910.0</v>
      </c>
      <c r="F1115" s="9" t="b">
        <v>1</v>
      </c>
      <c r="G1115" s="9" t="s">
        <v>38801</v>
      </c>
      <c r="H1115" s="9" t="s">
        <v>42560</v>
      </c>
      <c r="I1115" s="9" t="b">
        <v>1</v>
      </c>
    </row>
    <row r="1116" ht="15.75" customHeight="1">
      <c r="A1116" s="9" t="s">
        <v>44552</v>
      </c>
      <c r="B1116" s="9" t="s">
        <v>47</v>
      </c>
      <c r="C1116" s="9" t="s">
        <v>40318</v>
      </c>
      <c r="D1116" s="9" t="s">
        <v>43724</v>
      </c>
      <c r="E1116" s="61">
        <v>44910.0</v>
      </c>
      <c r="F1116" s="9" t="b">
        <v>1</v>
      </c>
      <c r="G1116" s="9" t="s">
        <v>38801</v>
      </c>
      <c r="H1116" s="9" t="s">
        <v>42576</v>
      </c>
      <c r="I1116" s="9" t="b">
        <v>1</v>
      </c>
    </row>
    <row r="1117" ht="15.75" customHeight="1">
      <c r="A1117" s="9" t="s">
        <v>44553</v>
      </c>
      <c r="B1117" s="9" t="s">
        <v>47</v>
      </c>
      <c r="C1117" s="9" t="s">
        <v>40314</v>
      </c>
      <c r="D1117" s="9" t="s">
        <v>44554</v>
      </c>
      <c r="E1117" s="61">
        <v>44910.0</v>
      </c>
      <c r="F1117" s="9" t="b">
        <v>1</v>
      </c>
      <c r="G1117" s="9" t="s">
        <v>43228</v>
      </c>
      <c r="H1117" s="9" t="s">
        <v>42576</v>
      </c>
      <c r="I1117" s="9"/>
    </row>
    <row r="1118" ht="15.75" customHeight="1">
      <c r="A1118" s="9" t="s">
        <v>44555</v>
      </c>
      <c r="B1118" s="9" t="s">
        <v>47</v>
      </c>
      <c r="C1118" s="9" t="s">
        <v>40320</v>
      </c>
      <c r="D1118" s="9" t="s">
        <v>44556</v>
      </c>
      <c r="E1118" s="61">
        <v>44910.0</v>
      </c>
      <c r="F1118" s="9" t="b">
        <v>1</v>
      </c>
      <c r="G1118" s="9" t="s">
        <v>38801</v>
      </c>
      <c r="H1118" s="9" t="s">
        <v>42576</v>
      </c>
      <c r="I1118" s="9" t="b">
        <v>1</v>
      </c>
    </row>
    <row r="1119" ht="15.75" customHeight="1">
      <c r="A1119" s="9" t="s">
        <v>44557</v>
      </c>
      <c r="B1119" s="9" t="s">
        <v>131</v>
      </c>
      <c r="C1119" s="9" t="s">
        <v>40287</v>
      </c>
      <c r="D1119" s="9" t="s">
        <v>44558</v>
      </c>
      <c r="E1119" s="61">
        <v>44910.0</v>
      </c>
      <c r="F1119" s="9" t="b">
        <v>1</v>
      </c>
      <c r="G1119" s="9" t="s">
        <v>38801</v>
      </c>
      <c r="H1119" s="9" t="s">
        <v>42576</v>
      </c>
      <c r="I1119" s="9" t="b">
        <v>1</v>
      </c>
    </row>
    <row r="1120" ht="15.75" customHeight="1">
      <c r="A1120" s="9" t="s">
        <v>44559</v>
      </c>
      <c r="B1120" s="9" t="s">
        <v>131</v>
      </c>
      <c r="C1120" s="9" t="s">
        <v>39507</v>
      </c>
      <c r="D1120" s="9" t="s">
        <v>42560</v>
      </c>
      <c r="E1120" s="61">
        <v>44911.0</v>
      </c>
      <c r="F1120" s="9" t="b">
        <v>1</v>
      </c>
      <c r="G1120" s="9" t="s">
        <v>38801</v>
      </c>
      <c r="H1120" s="9" t="s">
        <v>42576</v>
      </c>
      <c r="I1120" s="9" t="b">
        <v>1</v>
      </c>
    </row>
    <row r="1121" ht="15.75" customHeight="1">
      <c r="A1121" s="9" t="s">
        <v>44560</v>
      </c>
      <c r="B1121" s="9" t="s">
        <v>52</v>
      </c>
      <c r="C1121" s="9" t="s">
        <v>40275</v>
      </c>
      <c r="D1121" s="9" t="s">
        <v>44561</v>
      </c>
      <c r="E1121" s="61">
        <v>44916.0</v>
      </c>
      <c r="F1121" s="9" t="b">
        <v>1</v>
      </c>
      <c r="G1121" s="9" t="s">
        <v>38801</v>
      </c>
      <c r="H1121" s="9" t="s">
        <v>42576</v>
      </c>
      <c r="I1121" s="9" t="b">
        <v>1</v>
      </c>
    </row>
    <row r="1122" ht="15.75" customHeight="1">
      <c r="A1122" s="9" t="s">
        <v>44562</v>
      </c>
      <c r="B1122" s="9" t="s">
        <v>52</v>
      </c>
      <c r="C1122" s="9" t="s">
        <v>40279</v>
      </c>
      <c r="D1122" s="9" t="s">
        <v>44563</v>
      </c>
      <c r="E1122" s="61">
        <v>44916.0</v>
      </c>
      <c r="F1122" s="9" t="b">
        <v>1</v>
      </c>
      <c r="G1122" s="9" t="s">
        <v>38801</v>
      </c>
      <c r="H1122" s="9" t="s">
        <v>42576</v>
      </c>
      <c r="I1122" s="9" t="b">
        <v>1</v>
      </c>
    </row>
    <row r="1123" ht="15.75" customHeight="1">
      <c r="A1123" s="9" t="s">
        <v>44564</v>
      </c>
      <c r="B1123" s="9" t="s">
        <v>52</v>
      </c>
      <c r="C1123" s="9" t="s">
        <v>40340</v>
      </c>
      <c r="D1123" s="9" t="s">
        <v>44565</v>
      </c>
      <c r="E1123" s="61">
        <v>44916.0</v>
      </c>
      <c r="F1123" s="9" t="b">
        <v>1</v>
      </c>
      <c r="G1123" s="9" t="s">
        <v>38801</v>
      </c>
      <c r="H1123" s="9" t="s">
        <v>42576</v>
      </c>
      <c r="I1123" s="9" t="b">
        <v>1</v>
      </c>
    </row>
    <row r="1124" ht="15.75" customHeight="1">
      <c r="A1124" s="9" t="s">
        <v>44566</v>
      </c>
      <c r="B1124" s="9" t="s">
        <v>47</v>
      </c>
      <c r="C1124" s="9" t="s">
        <v>40344</v>
      </c>
      <c r="D1124" s="9" t="s">
        <v>44567</v>
      </c>
      <c r="E1124" s="61">
        <v>44917.0</v>
      </c>
      <c r="F1124" s="9" t="b">
        <v>1</v>
      </c>
      <c r="G1124" s="9" t="s">
        <v>43228</v>
      </c>
      <c r="H1124" s="9" t="s">
        <v>42576</v>
      </c>
      <c r="I1124" s="9"/>
    </row>
    <row r="1125" ht="15.75" customHeight="1">
      <c r="A1125" s="9" t="s">
        <v>44568</v>
      </c>
      <c r="B1125" s="9" t="s">
        <v>131</v>
      </c>
      <c r="C1125" s="9" t="s">
        <v>40337</v>
      </c>
      <c r="D1125" s="9" t="s">
        <v>44569</v>
      </c>
      <c r="E1125" s="61">
        <v>44917.0</v>
      </c>
      <c r="F1125" s="9" t="b">
        <v>1</v>
      </c>
      <c r="G1125" s="9" t="s">
        <v>38801</v>
      </c>
      <c r="H1125" s="9" t="s">
        <v>42576</v>
      </c>
      <c r="I1125" s="9" t="b">
        <v>1</v>
      </c>
    </row>
    <row r="1126" ht="15.75" customHeight="1">
      <c r="A1126" s="9" t="s">
        <v>44570</v>
      </c>
      <c r="B1126" s="9" t="s">
        <v>131</v>
      </c>
      <c r="C1126" s="9" t="s">
        <v>40338</v>
      </c>
      <c r="D1126" s="9" t="s">
        <v>44571</v>
      </c>
      <c r="E1126" s="61">
        <v>44917.0</v>
      </c>
      <c r="F1126" s="9" t="b">
        <v>1</v>
      </c>
      <c r="G1126" s="9" t="s">
        <v>38801</v>
      </c>
      <c r="H1126" s="9" t="s">
        <v>42576</v>
      </c>
      <c r="I1126" s="9" t="b">
        <v>1</v>
      </c>
    </row>
    <row r="1127" ht="15.75" customHeight="1">
      <c r="A1127" s="9" t="s">
        <v>44572</v>
      </c>
      <c r="B1127" s="9" t="s">
        <v>47</v>
      </c>
      <c r="C1127" s="9" t="s">
        <v>40346</v>
      </c>
      <c r="D1127" s="9" t="s">
        <v>43183</v>
      </c>
      <c r="E1127" s="61">
        <v>44917.0</v>
      </c>
      <c r="F1127" s="9" t="b">
        <v>1</v>
      </c>
      <c r="G1127" s="9" t="s">
        <v>38801</v>
      </c>
      <c r="H1127" s="9" t="s">
        <v>42576</v>
      </c>
      <c r="I1127" s="9" t="b">
        <v>1</v>
      </c>
    </row>
    <row r="1128" ht="15.75" customHeight="1">
      <c r="A1128" s="9" t="s">
        <v>44573</v>
      </c>
      <c r="B1128" s="9" t="s">
        <v>131</v>
      </c>
      <c r="C1128" s="9" t="s">
        <v>40198</v>
      </c>
      <c r="D1128" s="9" t="s">
        <v>44534</v>
      </c>
      <c r="E1128" s="61">
        <v>44918.0</v>
      </c>
      <c r="F1128" s="9" t="b">
        <v>1</v>
      </c>
      <c r="G1128" s="9" t="s">
        <v>38801</v>
      </c>
      <c r="H1128" s="9" t="s">
        <v>42576</v>
      </c>
      <c r="I1128" s="9" t="b">
        <v>1</v>
      </c>
    </row>
    <row r="1129" ht="15.75" customHeight="1">
      <c r="A1129" s="9" t="s">
        <v>44574</v>
      </c>
      <c r="B1129" s="9" t="s">
        <v>47</v>
      </c>
      <c r="C1129" s="9" t="s">
        <v>40265</v>
      </c>
      <c r="D1129" s="9" t="s">
        <v>42560</v>
      </c>
      <c r="E1129" s="61">
        <v>44921.0</v>
      </c>
      <c r="F1129" s="9" t="b">
        <v>1</v>
      </c>
      <c r="G1129" s="9" t="s">
        <v>38801</v>
      </c>
      <c r="H1129" s="9" t="s">
        <v>42576</v>
      </c>
      <c r="I1129" s="9" t="b">
        <v>1</v>
      </c>
    </row>
    <row r="1130" ht="15.75" customHeight="1">
      <c r="A1130" s="9" t="s">
        <v>44575</v>
      </c>
      <c r="B1130" s="9" t="s">
        <v>131</v>
      </c>
      <c r="C1130" s="9" t="s">
        <v>40352</v>
      </c>
      <c r="D1130" s="9" t="s">
        <v>44576</v>
      </c>
      <c r="E1130" s="61">
        <v>44928.0</v>
      </c>
      <c r="F1130" s="9" t="b">
        <v>1</v>
      </c>
      <c r="G1130" s="9" t="s">
        <v>38801</v>
      </c>
      <c r="H1130" s="9" t="s">
        <v>42560</v>
      </c>
      <c r="I1130" s="9" t="b">
        <v>1</v>
      </c>
    </row>
    <row r="1131" ht="15.75" customHeight="1">
      <c r="A1131" s="9" t="s">
        <v>44577</v>
      </c>
      <c r="B1131" s="9" t="s">
        <v>47</v>
      </c>
      <c r="C1131" s="9" t="s">
        <v>40344</v>
      </c>
      <c r="D1131" s="9" t="s">
        <v>42560</v>
      </c>
      <c r="E1131" s="61">
        <v>44929.0</v>
      </c>
      <c r="F1131" s="9" t="b">
        <v>1</v>
      </c>
      <c r="G1131" s="9" t="s">
        <v>38801</v>
      </c>
      <c r="H1131" s="9" t="s">
        <v>42576</v>
      </c>
      <c r="I1131" s="9" t="b">
        <v>1</v>
      </c>
    </row>
    <row r="1132" ht="15.75" customHeight="1">
      <c r="A1132" s="9" t="s">
        <v>44578</v>
      </c>
      <c r="B1132" s="9" t="s">
        <v>47</v>
      </c>
      <c r="C1132" s="9" t="s">
        <v>40314</v>
      </c>
      <c r="D1132" s="9" t="s">
        <v>44579</v>
      </c>
      <c r="E1132" s="61">
        <v>44929.0</v>
      </c>
      <c r="F1132" s="9" t="b">
        <v>1</v>
      </c>
      <c r="G1132" s="9" t="s">
        <v>38801</v>
      </c>
      <c r="H1132" s="9" t="s">
        <v>42576</v>
      </c>
      <c r="I1132" s="9" t="b">
        <v>1</v>
      </c>
    </row>
    <row r="1133" ht="15.75" customHeight="1">
      <c r="A1133" s="9" t="s">
        <v>44580</v>
      </c>
      <c r="B1133" s="9" t="s">
        <v>47</v>
      </c>
      <c r="C1133" s="9" t="s">
        <v>40350</v>
      </c>
      <c r="D1133" s="9" t="s">
        <v>44581</v>
      </c>
      <c r="E1133" s="61">
        <v>44930.0</v>
      </c>
      <c r="F1133" s="9" t="b">
        <v>1</v>
      </c>
      <c r="G1133" s="9" t="s">
        <v>42573</v>
      </c>
      <c r="H1133" s="9" t="s">
        <v>42560</v>
      </c>
      <c r="I1133" s="9"/>
    </row>
    <row r="1134" ht="15.75" customHeight="1">
      <c r="A1134" s="9" t="s">
        <v>44582</v>
      </c>
      <c r="B1134" s="9" t="s">
        <v>131</v>
      </c>
      <c r="C1134" s="9" t="s">
        <v>40360</v>
      </c>
      <c r="D1134" s="9" t="s">
        <v>44583</v>
      </c>
      <c r="E1134" s="61">
        <v>44931.0</v>
      </c>
      <c r="F1134" s="9" t="b">
        <v>1</v>
      </c>
      <c r="G1134" s="9" t="s">
        <v>38801</v>
      </c>
      <c r="H1134" s="9" t="s">
        <v>42560</v>
      </c>
      <c r="I1134" s="9" t="b">
        <v>1</v>
      </c>
    </row>
    <row r="1135" ht="15.75" customHeight="1">
      <c r="A1135" s="9" t="s">
        <v>44584</v>
      </c>
      <c r="B1135" s="9" t="s">
        <v>253</v>
      </c>
      <c r="C1135" s="9" t="s">
        <v>40312</v>
      </c>
      <c r="D1135" s="9" t="s">
        <v>44585</v>
      </c>
      <c r="E1135" s="61">
        <v>44931.0</v>
      </c>
      <c r="F1135" s="9" t="b">
        <v>1</v>
      </c>
      <c r="G1135" s="9" t="s">
        <v>38801</v>
      </c>
      <c r="H1135" s="9" t="s">
        <v>42576</v>
      </c>
      <c r="I1135" s="9" t="b">
        <v>1</v>
      </c>
    </row>
    <row r="1136" ht="15.75" customHeight="1">
      <c r="A1136" s="9" t="s">
        <v>44586</v>
      </c>
      <c r="B1136" s="9" t="s">
        <v>26</v>
      </c>
      <c r="C1136" s="9" t="s">
        <v>40312</v>
      </c>
      <c r="D1136" s="9" t="s">
        <v>44587</v>
      </c>
      <c r="E1136" s="61">
        <v>44931.0</v>
      </c>
      <c r="F1136" s="9" t="b">
        <v>1</v>
      </c>
      <c r="G1136" s="9" t="s">
        <v>38801</v>
      </c>
      <c r="H1136" s="9" t="s">
        <v>42576</v>
      </c>
      <c r="I1136" s="9" t="b">
        <v>1</v>
      </c>
    </row>
    <row r="1137" ht="15.75" customHeight="1">
      <c r="A1137" s="52" t="s">
        <v>44588</v>
      </c>
      <c r="B1137" s="9" t="s">
        <v>52</v>
      </c>
      <c r="C1137" s="9" t="s">
        <v>40364</v>
      </c>
      <c r="D1137" s="9" t="s">
        <v>44589</v>
      </c>
      <c r="E1137" s="61">
        <v>44931.0</v>
      </c>
      <c r="F1137" s="9" t="b">
        <v>1</v>
      </c>
      <c r="G1137" s="9" t="s">
        <v>42573</v>
      </c>
      <c r="H1137" s="9" t="s">
        <v>42576</v>
      </c>
      <c r="I1137" s="9"/>
    </row>
    <row r="1138" ht="15.75" customHeight="1">
      <c r="A1138" s="9" t="s">
        <v>44590</v>
      </c>
      <c r="B1138" s="9" t="s">
        <v>131</v>
      </c>
      <c r="C1138" s="9" t="s">
        <v>40362</v>
      </c>
      <c r="D1138" s="9" t="s">
        <v>44591</v>
      </c>
      <c r="E1138" s="61">
        <v>44932.0</v>
      </c>
      <c r="F1138" s="9" t="b">
        <v>1</v>
      </c>
      <c r="G1138" s="9" t="s">
        <v>38801</v>
      </c>
      <c r="H1138" s="9" t="s">
        <v>42576</v>
      </c>
      <c r="I1138" s="9" t="b">
        <v>1</v>
      </c>
    </row>
    <row r="1139" ht="15.75" customHeight="1">
      <c r="A1139" s="9" t="s">
        <v>44592</v>
      </c>
      <c r="B1139" s="9" t="s">
        <v>26</v>
      </c>
      <c r="C1139" s="9" t="s">
        <v>40285</v>
      </c>
      <c r="D1139" s="9" t="s">
        <v>44593</v>
      </c>
      <c r="E1139" s="61">
        <v>44932.0</v>
      </c>
      <c r="F1139" s="9" t="b">
        <v>1</v>
      </c>
      <c r="G1139" s="9" t="s">
        <v>42632</v>
      </c>
      <c r="H1139" s="9" t="s">
        <v>42576</v>
      </c>
      <c r="I1139" s="9"/>
    </row>
    <row r="1140" ht="15.75" customHeight="1">
      <c r="A1140" s="9" t="s">
        <v>44594</v>
      </c>
      <c r="B1140" s="9" t="s">
        <v>47</v>
      </c>
      <c r="C1140" s="9" t="s">
        <v>40370</v>
      </c>
      <c r="D1140" s="9" t="s">
        <v>44595</v>
      </c>
      <c r="E1140" s="61">
        <v>44935.0</v>
      </c>
      <c r="F1140" s="9" t="b">
        <v>1</v>
      </c>
      <c r="G1140" s="9" t="s">
        <v>38801</v>
      </c>
      <c r="H1140" s="9" t="s">
        <v>42576</v>
      </c>
      <c r="I1140" s="9" t="b">
        <v>1</v>
      </c>
    </row>
    <row r="1141" ht="15.75" customHeight="1">
      <c r="A1141" s="9" t="s">
        <v>44596</v>
      </c>
      <c r="B1141" s="9" t="s">
        <v>47</v>
      </c>
      <c r="C1141" s="9" t="s">
        <v>40358</v>
      </c>
      <c r="D1141" s="9" t="s">
        <v>44597</v>
      </c>
      <c r="E1141" s="61">
        <v>44935.0</v>
      </c>
      <c r="F1141" s="9" t="b">
        <v>1</v>
      </c>
      <c r="G1141" s="9" t="s">
        <v>38801</v>
      </c>
      <c r="H1141" s="9" t="s">
        <v>42560</v>
      </c>
      <c r="I1141" s="9" t="b">
        <v>1</v>
      </c>
    </row>
    <row r="1142" ht="15.75" customHeight="1">
      <c r="A1142" s="9" t="s">
        <v>44598</v>
      </c>
      <c r="B1142" s="9" t="s">
        <v>47</v>
      </c>
      <c r="C1142" s="9" t="s">
        <v>40381</v>
      </c>
      <c r="D1142" s="9" t="s">
        <v>44599</v>
      </c>
      <c r="E1142" s="61">
        <v>44936.0</v>
      </c>
      <c r="F1142" s="9" t="b">
        <v>1</v>
      </c>
      <c r="G1142" s="9" t="s">
        <v>38801</v>
      </c>
      <c r="H1142" s="9" t="s">
        <v>42576</v>
      </c>
      <c r="I1142" s="9" t="b">
        <v>1</v>
      </c>
    </row>
    <row r="1143" ht="15.75" customHeight="1">
      <c r="A1143" s="9" t="s">
        <v>44600</v>
      </c>
      <c r="B1143" s="9" t="s">
        <v>47</v>
      </c>
      <c r="C1143" s="9" t="s">
        <v>40356</v>
      </c>
      <c r="D1143" s="9" t="s">
        <v>44601</v>
      </c>
      <c r="E1143" s="61">
        <v>44936.0</v>
      </c>
      <c r="F1143" s="9" t="b">
        <v>1</v>
      </c>
      <c r="G1143" s="9" t="s">
        <v>42573</v>
      </c>
      <c r="H1143" s="9" t="s">
        <v>42576</v>
      </c>
      <c r="I1143" s="9"/>
    </row>
    <row r="1144" ht="15.75" customHeight="1">
      <c r="A1144" s="9" t="s">
        <v>44602</v>
      </c>
      <c r="B1144" s="9" t="s">
        <v>52</v>
      </c>
      <c r="C1144" s="9" t="s">
        <v>40383</v>
      </c>
      <c r="D1144" s="9" t="s">
        <v>44603</v>
      </c>
      <c r="E1144" s="61">
        <v>44936.0</v>
      </c>
      <c r="F1144" s="9" t="b">
        <v>1</v>
      </c>
      <c r="G1144" s="9" t="s">
        <v>38801</v>
      </c>
      <c r="H1144" s="9" t="s">
        <v>42576</v>
      </c>
      <c r="I1144" s="9" t="b">
        <v>1</v>
      </c>
    </row>
    <row r="1145" ht="15.75" customHeight="1">
      <c r="A1145" s="9" t="s">
        <v>44604</v>
      </c>
      <c r="B1145" s="9" t="s">
        <v>47</v>
      </c>
      <c r="C1145" s="9" t="s">
        <v>40356</v>
      </c>
      <c r="D1145" s="9" t="s">
        <v>44605</v>
      </c>
      <c r="E1145" s="61">
        <v>44936.0</v>
      </c>
      <c r="F1145" s="9" t="b">
        <v>1</v>
      </c>
      <c r="G1145" s="9" t="s">
        <v>38801</v>
      </c>
      <c r="H1145" s="9" t="s">
        <v>42576</v>
      </c>
      <c r="I1145" s="9" t="b">
        <v>1</v>
      </c>
    </row>
    <row r="1146" ht="15.75" customHeight="1">
      <c r="A1146" s="9" t="s">
        <v>44606</v>
      </c>
      <c r="B1146" s="9" t="s">
        <v>47</v>
      </c>
      <c r="C1146" s="9" t="s">
        <v>40375</v>
      </c>
      <c r="D1146" s="9" t="s">
        <v>43724</v>
      </c>
      <c r="E1146" s="61">
        <v>44937.0</v>
      </c>
      <c r="F1146" s="9" t="b">
        <v>1</v>
      </c>
      <c r="G1146" s="9" t="s">
        <v>38801</v>
      </c>
      <c r="H1146" s="9" t="s">
        <v>42576</v>
      </c>
      <c r="I1146" s="9" t="b">
        <v>1</v>
      </c>
    </row>
    <row r="1147" ht="15.75" customHeight="1">
      <c r="A1147" s="9" t="s">
        <v>44607</v>
      </c>
      <c r="B1147" s="9" t="s">
        <v>47</v>
      </c>
      <c r="C1147" s="9" t="s">
        <v>40377</v>
      </c>
      <c r="D1147" s="9" t="s">
        <v>43724</v>
      </c>
      <c r="E1147" s="61">
        <v>44937.0</v>
      </c>
      <c r="F1147" s="9" t="b">
        <v>1</v>
      </c>
      <c r="G1147" s="9" t="s">
        <v>38801</v>
      </c>
      <c r="H1147" s="9" t="s">
        <v>42576</v>
      </c>
      <c r="I1147" s="9" t="b">
        <v>1</v>
      </c>
    </row>
    <row r="1148" ht="15.75" customHeight="1">
      <c r="A1148" s="9" t="s">
        <v>44608</v>
      </c>
      <c r="B1148" s="9" t="s">
        <v>47</v>
      </c>
      <c r="C1148" s="9" t="s">
        <v>40379</v>
      </c>
      <c r="D1148" s="9" t="s">
        <v>43724</v>
      </c>
      <c r="E1148" s="61">
        <v>44937.0</v>
      </c>
      <c r="F1148" s="9" t="b">
        <v>1</v>
      </c>
      <c r="G1148" s="9" t="s">
        <v>38801</v>
      </c>
      <c r="H1148" s="9" t="s">
        <v>42576</v>
      </c>
      <c r="I1148" s="9" t="b">
        <v>1</v>
      </c>
    </row>
    <row r="1149" ht="15.75" customHeight="1">
      <c r="A1149" s="9" t="s">
        <v>44609</v>
      </c>
      <c r="B1149" s="9" t="s">
        <v>47</v>
      </c>
      <c r="C1149" s="9" t="s">
        <v>40373</v>
      </c>
      <c r="D1149" s="9" t="s">
        <v>44610</v>
      </c>
      <c r="E1149" s="61">
        <v>44937.0</v>
      </c>
      <c r="F1149" s="9" t="b">
        <v>1</v>
      </c>
      <c r="G1149" s="9" t="s">
        <v>38801</v>
      </c>
      <c r="H1149" s="9" t="s">
        <v>42576</v>
      </c>
      <c r="I1149" s="9" t="b">
        <v>1</v>
      </c>
    </row>
    <row r="1150" ht="15.75" customHeight="1">
      <c r="A1150" s="9" t="s">
        <v>44611</v>
      </c>
      <c r="B1150" s="9" t="s">
        <v>52</v>
      </c>
      <c r="C1150" s="9" t="s">
        <v>40364</v>
      </c>
      <c r="D1150" s="9" t="s">
        <v>44612</v>
      </c>
      <c r="E1150" s="61">
        <v>44937.0</v>
      </c>
      <c r="F1150" s="9" t="b">
        <v>1</v>
      </c>
      <c r="G1150" s="9" t="s">
        <v>38801</v>
      </c>
      <c r="H1150" s="9" t="s">
        <v>42576</v>
      </c>
      <c r="I1150" s="9" t="b">
        <v>1</v>
      </c>
    </row>
    <row r="1151" ht="15.75" customHeight="1">
      <c r="A1151" s="9" t="s">
        <v>44613</v>
      </c>
      <c r="B1151" s="9" t="s">
        <v>52</v>
      </c>
      <c r="C1151" s="9" t="s">
        <v>40389</v>
      </c>
      <c r="D1151" s="9" t="s">
        <v>44614</v>
      </c>
      <c r="E1151" s="61">
        <v>44938.0</v>
      </c>
      <c r="F1151" s="9" t="b">
        <v>1</v>
      </c>
      <c r="G1151" s="9" t="s">
        <v>38801</v>
      </c>
      <c r="H1151" s="9" t="s">
        <v>42576</v>
      </c>
      <c r="I1151" s="9" t="b">
        <v>1</v>
      </c>
    </row>
    <row r="1152" ht="15.75" customHeight="1">
      <c r="A1152" s="9" t="s">
        <v>44615</v>
      </c>
      <c r="B1152" s="9" t="s">
        <v>47</v>
      </c>
      <c r="C1152" s="9" t="s">
        <v>40390</v>
      </c>
      <c r="D1152" s="9" t="s">
        <v>44616</v>
      </c>
      <c r="E1152" s="61">
        <v>44938.0</v>
      </c>
      <c r="F1152" s="9" t="b">
        <v>1</v>
      </c>
      <c r="G1152" s="9" t="s">
        <v>38801</v>
      </c>
      <c r="H1152" s="9" t="s">
        <v>42576</v>
      </c>
      <c r="I1152" s="9" t="b">
        <v>1</v>
      </c>
    </row>
    <row r="1153" ht="15.75" customHeight="1">
      <c r="A1153" s="9" t="s">
        <v>44617</v>
      </c>
      <c r="B1153" s="9" t="s">
        <v>52</v>
      </c>
      <c r="C1153" s="9" t="s">
        <v>40393</v>
      </c>
      <c r="D1153" s="9" t="s">
        <v>44618</v>
      </c>
      <c r="E1153" s="61">
        <v>44939.0</v>
      </c>
      <c r="F1153" s="9" t="b">
        <v>1</v>
      </c>
      <c r="G1153" s="9" t="s">
        <v>38801</v>
      </c>
      <c r="H1153" s="9" t="s">
        <v>42576</v>
      </c>
      <c r="I1153" s="9" t="b">
        <v>1</v>
      </c>
    </row>
    <row r="1154" ht="15.75" customHeight="1">
      <c r="A1154" s="9" t="s">
        <v>44619</v>
      </c>
      <c r="B1154" s="9" t="s">
        <v>52</v>
      </c>
      <c r="C1154" s="9" t="s">
        <v>40372</v>
      </c>
      <c r="D1154" s="9" t="s">
        <v>44620</v>
      </c>
      <c r="E1154" s="61">
        <v>44943.0</v>
      </c>
      <c r="F1154" s="9" t="b">
        <v>1</v>
      </c>
      <c r="G1154" s="9" t="s">
        <v>38801</v>
      </c>
      <c r="H1154" s="9" t="s">
        <v>42576</v>
      </c>
      <c r="I1154" s="9" t="b">
        <v>1</v>
      </c>
    </row>
    <row r="1155" ht="15.75" customHeight="1">
      <c r="A1155" s="9" t="s">
        <v>44621</v>
      </c>
      <c r="B1155" s="9" t="s">
        <v>47</v>
      </c>
      <c r="C1155" s="9" t="s">
        <v>39269</v>
      </c>
      <c r="D1155" s="9" t="s">
        <v>44622</v>
      </c>
      <c r="E1155" s="61">
        <v>44944.0</v>
      </c>
      <c r="F1155" s="9" t="b">
        <v>1</v>
      </c>
      <c r="G1155" s="9" t="s">
        <v>42585</v>
      </c>
      <c r="H1155" s="9" t="s">
        <v>42576</v>
      </c>
      <c r="I1155" s="9"/>
    </row>
    <row r="1156" ht="15.75" customHeight="1">
      <c r="A1156" s="9" t="s">
        <v>44623</v>
      </c>
      <c r="B1156" s="9" t="s">
        <v>52</v>
      </c>
      <c r="C1156" s="9" t="s">
        <v>40385</v>
      </c>
      <c r="D1156" s="9" t="s">
        <v>44624</v>
      </c>
      <c r="E1156" s="61">
        <v>44945.0</v>
      </c>
      <c r="F1156" s="9" t="b">
        <v>1</v>
      </c>
      <c r="G1156" s="9" t="s">
        <v>38801</v>
      </c>
      <c r="H1156" s="9" t="s">
        <v>42576</v>
      </c>
      <c r="I1156" s="9" t="b">
        <v>1</v>
      </c>
    </row>
    <row r="1157" ht="15.75" customHeight="1">
      <c r="A1157" s="9" t="s">
        <v>44625</v>
      </c>
      <c r="B1157" s="9" t="s">
        <v>52</v>
      </c>
      <c r="C1157" s="9" t="s">
        <v>40386</v>
      </c>
      <c r="D1157" s="9" t="s">
        <v>44624</v>
      </c>
      <c r="E1157" s="61">
        <v>44945.0</v>
      </c>
      <c r="F1157" s="9" t="b">
        <v>1</v>
      </c>
      <c r="G1157" s="9" t="s">
        <v>38801</v>
      </c>
      <c r="H1157" s="9" t="s">
        <v>42576</v>
      </c>
      <c r="I1157" s="9" t="b">
        <v>1</v>
      </c>
    </row>
    <row r="1158" ht="15.75" customHeight="1">
      <c r="A1158" s="9" t="s">
        <v>44626</v>
      </c>
      <c r="B1158" s="9" t="s">
        <v>52</v>
      </c>
      <c r="C1158" s="52" t="s">
        <v>40404</v>
      </c>
      <c r="D1158" s="9" t="s">
        <v>44627</v>
      </c>
      <c r="E1158" s="61">
        <v>44945.0</v>
      </c>
      <c r="F1158" s="9" t="b">
        <v>1</v>
      </c>
      <c r="G1158" s="9" t="s">
        <v>43228</v>
      </c>
      <c r="H1158" s="9" t="s">
        <v>42576</v>
      </c>
      <c r="I1158" s="9"/>
    </row>
    <row r="1159" ht="15.75" customHeight="1">
      <c r="A1159" s="9" t="s">
        <v>44628</v>
      </c>
      <c r="B1159" s="9" t="s">
        <v>52</v>
      </c>
      <c r="C1159" s="9" t="s">
        <v>40412</v>
      </c>
      <c r="D1159" s="9" t="s">
        <v>44210</v>
      </c>
      <c r="E1159" s="61">
        <v>44949.0</v>
      </c>
      <c r="F1159" s="9" t="b">
        <v>1</v>
      </c>
      <c r="G1159" s="9" t="s">
        <v>38801</v>
      </c>
      <c r="H1159" s="9" t="s">
        <v>42576</v>
      </c>
      <c r="I1159" s="9" t="b">
        <v>1</v>
      </c>
    </row>
    <row r="1160" ht="15.75" customHeight="1">
      <c r="A1160" s="9" t="s">
        <v>44629</v>
      </c>
      <c r="B1160" s="9" t="s">
        <v>47</v>
      </c>
      <c r="C1160" s="9" t="s">
        <v>40417</v>
      </c>
      <c r="D1160" s="9" t="s">
        <v>43724</v>
      </c>
      <c r="E1160" s="61">
        <v>44949.0</v>
      </c>
      <c r="F1160" s="9" t="b">
        <v>1</v>
      </c>
      <c r="G1160" s="9" t="s">
        <v>38801</v>
      </c>
      <c r="H1160" s="9" t="s">
        <v>42576</v>
      </c>
      <c r="I1160" s="9" t="b">
        <v>1</v>
      </c>
    </row>
    <row r="1161" ht="15.75" customHeight="1">
      <c r="A1161" s="9" t="s">
        <v>44630</v>
      </c>
      <c r="B1161" s="9" t="s">
        <v>52</v>
      </c>
      <c r="C1161" s="9" t="s">
        <v>40400</v>
      </c>
      <c r="D1161" s="9" t="s">
        <v>44210</v>
      </c>
      <c r="E1161" s="61">
        <v>44949.0</v>
      </c>
      <c r="F1161" s="9" t="b">
        <v>1</v>
      </c>
      <c r="G1161" s="9" t="s">
        <v>38801</v>
      </c>
      <c r="H1161" s="9" t="s">
        <v>42576</v>
      </c>
      <c r="I1161" s="9" t="b">
        <v>1</v>
      </c>
    </row>
    <row r="1162" ht="15.75" customHeight="1">
      <c r="A1162" s="9" t="s">
        <v>44631</v>
      </c>
      <c r="B1162" s="9" t="s">
        <v>52</v>
      </c>
      <c r="C1162" s="9" t="s">
        <v>40419</v>
      </c>
      <c r="D1162" s="9" t="s">
        <v>44632</v>
      </c>
      <c r="E1162" s="61">
        <v>44949.0</v>
      </c>
      <c r="F1162" s="9" t="b">
        <v>1</v>
      </c>
      <c r="G1162" s="9" t="s">
        <v>38801</v>
      </c>
      <c r="H1162" s="9" t="s">
        <v>42576</v>
      </c>
      <c r="I1162" s="9" t="b">
        <v>1</v>
      </c>
    </row>
    <row r="1163" ht="15.75" customHeight="1">
      <c r="A1163" s="9" t="s">
        <v>44633</v>
      </c>
      <c r="B1163" s="9" t="s">
        <v>131</v>
      </c>
      <c r="C1163" s="9" t="s">
        <v>40420</v>
      </c>
      <c r="D1163" s="9" t="s">
        <v>44634</v>
      </c>
      <c r="E1163" s="61">
        <v>44950.0</v>
      </c>
      <c r="F1163" s="9" t="b">
        <v>1</v>
      </c>
      <c r="G1163" s="9" t="s">
        <v>43228</v>
      </c>
      <c r="H1163" s="9" t="s">
        <v>42576</v>
      </c>
      <c r="I1163" s="9"/>
    </row>
    <row r="1164" ht="15.75" customHeight="1">
      <c r="A1164" s="9" t="s">
        <v>44635</v>
      </c>
      <c r="B1164" s="9" t="s">
        <v>131</v>
      </c>
      <c r="C1164" s="9" t="s">
        <v>40430</v>
      </c>
      <c r="D1164" s="9" t="s">
        <v>44636</v>
      </c>
      <c r="E1164" s="61">
        <v>44951.0</v>
      </c>
      <c r="F1164" s="9" t="b">
        <v>1</v>
      </c>
      <c r="G1164" s="9" t="s">
        <v>38801</v>
      </c>
      <c r="H1164" s="9" t="s">
        <v>42576</v>
      </c>
      <c r="I1164" s="9" t="b">
        <v>1</v>
      </c>
    </row>
    <row r="1165" ht="15.75" customHeight="1">
      <c r="A1165" s="9" t="s">
        <v>44637</v>
      </c>
      <c r="B1165" s="9" t="s">
        <v>131</v>
      </c>
      <c r="C1165" s="9" t="s">
        <v>40429</v>
      </c>
      <c r="D1165" s="9" t="s">
        <v>44636</v>
      </c>
      <c r="E1165" s="61">
        <v>44951.0</v>
      </c>
      <c r="F1165" s="9" t="b">
        <v>1</v>
      </c>
      <c r="G1165" s="9" t="s">
        <v>38801</v>
      </c>
      <c r="H1165" s="9" t="s">
        <v>42576</v>
      </c>
      <c r="I1165" s="9" t="b">
        <v>1</v>
      </c>
    </row>
    <row r="1166" ht="15.75" customHeight="1">
      <c r="A1166" s="9" t="s">
        <v>44638</v>
      </c>
      <c r="B1166" s="9" t="s">
        <v>131</v>
      </c>
      <c r="C1166" s="9" t="s">
        <v>40414</v>
      </c>
      <c r="D1166" s="9" t="s">
        <v>44383</v>
      </c>
      <c r="E1166" s="61">
        <v>44951.0</v>
      </c>
      <c r="F1166" s="9" t="b">
        <v>1</v>
      </c>
      <c r="G1166" s="9" t="s">
        <v>38801</v>
      </c>
      <c r="H1166" s="9" t="s">
        <v>42576</v>
      </c>
      <c r="I1166" s="9" t="b">
        <v>1</v>
      </c>
    </row>
    <row r="1167" ht="15.75" customHeight="1">
      <c r="A1167" s="9" t="s">
        <v>44639</v>
      </c>
      <c r="B1167" s="9" t="s">
        <v>47</v>
      </c>
      <c r="C1167" s="9" t="s">
        <v>40415</v>
      </c>
      <c r="D1167" s="9" t="s">
        <v>44640</v>
      </c>
      <c r="E1167" s="61">
        <v>44951.0</v>
      </c>
      <c r="F1167" s="9" t="b">
        <v>1</v>
      </c>
      <c r="G1167" s="9" t="s">
        <v>38801</v>
      </c>
      <c r="H1167" s="9" t="s">
        <v>42576</v>
      </c>
      <c r="I1167" s="9" t="b">
        <v>1</v>
      </c>
    </row>
    <row r="1168" ht="15.75" customHeight="1">
      <c r="A1168" s="9" t="s">
        <v>44641</v>
      </c>
      <c r="B1168" s="9" t="s">
        <v>131</v>
      </c>
      <c r="C1168" s="9" t="s">
        <v>40395</v>
      </c>
      <c r="D1168" s="9" t="s">
        <v>44383</v>
      </c>
      <c r="E1168" s="61">
        <v>44951.0</v>
      </c>
      <c r="F1168" s="9" t="b">
        <v>1</v>
      </c>
      <c r="G1168" s="9" t="s">
        <v>38801</v>
      </c>
      <c r="H1168" s="9" t="s">
        <v>42576</v>
      </c>
      <c r="I1168" s="9" t="b">
        <v>1</v>
      </c>
    </row>
    <row r="1169" ht="15.75" customHeight="1">
      <c r="A1169" s="9" t="s">
        <v>44642</v>
      </c>
      <c r="B1169" s="9" t="s">
        <v>47</v>
      </c>
      <c r="C1169" s="9" t="s">
        <v>40434</v>
      </c>
      <c r="D1169" s="9" t="s">
        <v>44643</v>
      </c>
      <c r="E1169" s="61">
        <v>44953.0</v>
      </c>
      <c r="F1169" s="9" t="b">
        <v>1</v>
      </c>
      <c r="G1169" s="9" t="s">
        <v>43228</v>
      </c>
      <c r="H1169" s="9" t="s">
        <v>42576</v>
      </c>
      <c r="I1169" s="9"/>
    </row>
    <row r="1170" ht="15.75" customHeight="1">
      <c r="A1170" s="9" t="s">
        <v>44644</v>
      </c>
      <c r="B1170" s="9" t="s">
        <v>52</v>
      </c>
      <c r="C1170" s="9" t="s">
        <v>40387</v>
      </c>
      <c r="D1170" s="9" t="s">
        <v>44645</v>
      </c>
      <c r="E1170" s="61">
        <v>44956.0</v>
      </c>
      <c r="F1170" s="9" t="b">
        <v>1</v>
      </c>
      <c r="G1170" s="9" t="s">
        <v>38801</v>
      </c>
      <c r="H1170" s="9" t="s">
        <v>42576</v>
      </c>
      <c r="I1170" s="9" t="b">
        <v>1</v>
      </c>
    </row>
    <row r="1171" ht="15.75" customHeight="1">
      <c r="A1171" s="9" t="s">
        <v>44646</v>
      </c>
      <c r="B1171" s="9" t="s">
        <v>52</v>
      </c>
      <c r="C1171" s="9" t="s">
        <v>40427</v>
      </c>
      <c r="D1171" s="9" t="s">
        <v>44647</v>
      </c>
      <c r="E1171" s="61">
        <v>44957.0</v>
      </c>
      <c r="F1171" s="9" t="b">
        <v>1</v>
      </c>
      <c r="G1171" s="9" t="s">
        <v>38801</v>
      </c>
      <c r="H1171" s="9" t="s">
        <v>42576</v>
      </c>
      <c r="I1171" s="9" t="b">
        <v>1</v>
      </c>
    </row>
    <row r="1172" ht="15.75" customHeight="1">
      <c r="A1172" s="52" t="s">
        <v>44648</v>
      </c>
      <c r="B1172" s="9" t="s">
        <v>52</v>
      </c>
      <c r="C1172" s="9" t="s">
        <v>40426</v>
      </c>
      <c r="D1172" s="9" t="s">
        <v>44645</v>
      </c>
      <c r="E1172" s="61">
        <v>44958.0</v>
      </c>
      <c r="F1172" s="9" t="b">
        <v>1</v>
      </c>
      <c r="G1172" s="9" t="s">
        <v>38801</v>
      </c>
      <c r="H1172" s="9" t="s">
        <v>42576</v>
      </c>
      <c r="I1172" s="9" t="b">
        <v>1</v>
      </c>
    </row>
    <row r="1173" ht="15.75" customHeight="1">
      <c r="A1173" s="9" t="s">
        <v>44649</v>
      </c>
      <c r="B1173" s="9" t="s">
        <v>52</v>
      </c>
      <c r="C1173" s="9" t="s">
        <v>40398</v>
      </c>
      <c r="D1173" s="9" t="s">
        <v>44645</v>
      </c>
      <c r="E1173" s="61">
        <v>44958.0</v>
      </c>
      <c r="F1173" s="9" t="b">
        <v>1</v>
      </c>
      <c r="G1173" s="9" t="s">
        <v>38801</v>
      </c>
      <c r="H1173" s="9" t="s">
        <v>42576</v>
      </c>
      <c r="I1173" s="9" t="b">
        <v>1</v>
      </c>
    </row>
    <row r="1174" ht="15.75" customHeight="1">
      <c r="A1174" s="9" t="s">
        <v>44650</v>
      </c>
      <c r="B1174" s="9" t="s">
        <v>47</v>
      </c>
      <c r="C1174" s="9" t="s">
        <v>40420</v>
      </c>
      <c r="D1174" s="9" t="s">
        <v>44651</v>
      </c>
      <c r="E1174" s="61">
        <v>44959.0</v>
      </c>
      <c r="F1174" s="9" t="b">
        <v>1</v>
      </c>
      <c r="G1174" s="9" t="s">
        <v>43228</v>
      </c>
      <c r="H1174" s="9" t="s">
        <v>42576</v>
      </c>
      <c r="I1174" s="9"/>
    </row>
    <row r="1175" ht="15.75" customHeight="1">
      <c r="A1175" s="9" t="s">
        <v>44652</v>
      </c>
      <c r="B1175" s="9" t="s">
        <v>47</v>
      </c>
      <c r="C1175" s="9" t="s">
        <v>40485</v>
      </c>
      <c r="D1175" s="9" t="s">
        <v>44653</v>
      </c>
      <c r="E1175" s="61">
        <v>44964.0</v>
      </c>
      <c r="F1175" s="9" t="b">
        <v>1</v>
      </c>
      <c r="G1175" s="9" t="s">
        <v>38801</v>
      </c>
      <c r="H1175" s="9" t="s">
        <v>42576</v>
      </c>
      <c r="I1175" s="9" t="b">
        <v>1</v>
      </c>
    </row>
    <row r="1176" ht="15.75" customHeight="1">
      <c r="A1176" s="9" t="s">
        <v>44654</v>
      </c>
      <c r="B1176" s="9" t="s">
        <v>47</v>
      </c>
      <c r="C1176" s="9" t="s">
        <v>40483</v>
      </c>
      <c r="D1176" s="9" t="s">
        <v>44655</v>
      </c>
      <c r="E1176" s="61">
        <v>44964.0</v>
      </c>
      <c r="F1176" s="9" t="b">
        <v>1</v>
      </c>
      <c r="G1176" s="9" t="s">
        <v>43228</v>
      </c>
      <c r="H1176" s="9" t="s">
        <v>42576</v>
      </c>
      <c r="I1176" s="9"/>
    </row>
    <row r="1177" ht="15.75" customHeight="1">
      <c r="A1177" s="9" t="s">
        <v>44656</v>
      </c>
      <c r="B1177" s="9" t="s">
        <v>52</v>
      </c>
      <c r="C1177" s="9" t="s">
        <v>40447</v>
      </c>
      <c r="D1177" s="9" t="s">
        <v>44657</v>
      </c>
      <c r="E1177" s="61">
        <v>44964.0</v>
      </c>
      <c r="F1177" s="9" t="b">
        <v>1</v>
      </c>
      <c r="G1177" s="9" t="s">
        <v>43228</v>
      </c>
      <c r="H1177" s="9" t="s">
        <v>42576</v>
      </c>
      <c r="I1177" s="9"/>
    </row>
    <row r="1178" ht="15.75" customHeight="1">
      <c r="A1178" s="9" t="s">
        <v>44658</v>
      </c>
      <c r="B1178" s="9" t="s">
        <v>131</v>
      </c>
      <c r="C1178" s="9" t="s">
        <v>40480</v>
      </c>
      <c r="D1178" s="9" t="s">
        <v>44383</v>
      </c>
      <c r="E1178" s="61">
        <v>44965.0</v>
      </c>
      <c r="F1178" s="9" t="b">
        <v>1</v>
      </c>
      <c r="G1178" s="9" t="s">
        <v>38801</v>
      </c>
      <c r="H1178" s="9" t="s">
        <v>42576</v>
      </c>
      <c r="I1178" s="9" t="b">
        <v>1</v>
      </c>
    </row>
    <row r="1179" ht="15.75" customHeight="1">
      <c r="A1179" s="9" t="s">
        <v>44659</v>
      </c>
      <c r="B1179" s="9" t="s">
        <v>52</v>
      </c>
      <c r="C1179" s="9" t="s">
        <v>40499</v>
      </c>
      <c r="D1179" s="9" t="s">
        <v>44660</v>
      </c>
      <c r="E1179" s="61">
        <v>44965.0</v>
      </c>
      <c r="F1179" s="9" t="b">
        <v>1</v>
      </c>
      <c r="G1179" s="9" t="s">
        <v>42585</v>
      </c>
      <c r="H1179" s="9" t="s">
        <v>42576</v>
      </c>
      <c r="I1179" s="9"/>
    </row>
    <row r="1180" ht="15.75" customHeight="1">
      <c r="A1180" s="9" t="s">
        <v>44661</v>
      </c>
      <c r="B1180" s="9" t="s">
        <v>52</v>
      </c>
      <c r="C1180" s="9" t="s">
        <v>40481</v>
      </c>
      <c r="D1180" s="9" t="s">
        <v>44662</v>
      </c>
      <c r="E1180" s="61">
        <v>44965.0</v>
      </c>
      <c r="F1180" s="9" t="b">
        <v>1</v>
      </c>
      <c r="G1180" s="9" t="s">
        <v>38801</v>
      </c>
      <c r="H1180" s="9" t="s">
        <v>42576</v>
      </c>
      <c r="I1180" s="9" t="b">
        <v>1</v>
      </c>
    </row>
    <row r="1181" ht="15.75" customHeight="1">
      <c r="A1181" s="9" t="s">
        <v>44663</v>
      </c>
      <c r="B1181" s="9" t="s">
        <v>52</v>
      </c>
      <c r="C1181" s="9" t="s">
        <v>40499</v>
      </c>
      <c r="D1181" s="9" t="s">
        <v>44664</v>
      </c>
      <c r="E1181" s="61">
        <v>44966.0</v>
      </c>
      <c r="F1181" s="9" t="b">
        <v>1</v>
      </c>
      <c r="G1181" s="9" t="s">
        <v>38801</v>
      </c>
      <c r="H1181" s="9" t="s">
        <v>42576</v>
      </c>
      <c r="I1181" s="9" t="b">
        <v>1</v>
      </c>
    </row>
    <row r="1182" ht="15.75" customHeight="1">
      <c r="A1182" s="9" t="s">
        <v>44665</v>
      </c>
      <c r="B1182" s="9" t="s">
        <v>52</v>
      </c>
      <c r="C1182" s="9" t="s">
        <v>40432</v>
      </c>
      <c r="D1182" s="9" t="s">
        <v>44664</v>
      </c>
      <c r="E1182" s="61">
        <v>44966.0</v>
      </c>
      <c r="F1182" s="9" t="b">
        <v>1</v>
      </c>
      <c r="G1182" s="9" t="s">
        <v>38801</v>
      </c>
      <c r="H1182" s="9" t="s">
        <v>42576</v>
      </c>
      <c r="I1182" s="9" t="b">
        <v>1</v>
      </c>
    </row>
    <row r="1183" ht="15.75" customHeight="1">
      <c r="A1183" s="9" t="s">
        <v>44666</v>
      </c>
      <c r="B1183" s="9" t="s">
        <v>47</v>
      </c>
      <c r="C1183" s="9" t="s">
        <v>40503</v>
      </c>
      <c r="D1183" s="9" t="s">
        <v>44667</v>
      </c>
      <c r="E1183" s="61">
        <v>44966.0</v>
      </c>
      <c r="F1183" s="9" t="b">
        <v>1</v>
      </c>
      <c r="G1183" s="9" t="s">
        <v>43228</v>
      </c>
      <c r="H1183" s="9" t="s">
        <v>42576</v>
      </c>
      <c r="I1183" s="9"/>
    </row>
    <row r="1184" ht="15.75" customHeight="1">
      <c r="A1184" s="9" t="s">
        <v>44668</v>
      </c>
      <c r="B1184" s="9" t="s">
        <v>47</v>
      </c>
      <c r="C1184" s="9" t="s">
        <v>40215</v>
      </c>
      <c r="D1184" s="9" t="s">
        <v>44669</v>
      </c>
      <c r="E1184" s="61">
        <v>44966.0</v>
      </c>
      <c r="F1184" s="9" t="b">
        <v>1</v>
      </c>
      <c r="G1184" s="9" t="s">
        <v>38801</v>
      </c>
      <c r="H1184" s="9" t="s">
        <v>42560</v>
      </c>
      <c r="I1184" s="9" t="b">
        <v>1</v>
      </c>
    </row>
    <row r="1185" ht="15.75" customHeight="1">
      <c r="A1185" s="9" t="s">
        <v>44670</v>
      </c>
      <c r="B1185" s="9" t="s">
        <v>52</v>
      </c>
      <c r="C1185" s="9" t="s">
        <v>40497</v>
      </c>
      <c r="D1185" s="9" t="s">
        <v>44671</v>
      </c>
      <c r="E1185" s="61">
        <v>44967.0</v>
      </c>
      <c r="F1185" s="9" t="b">
        <v>1</v>
      </c>
      <c r="G1185" s="9" t="s">
        <v>38801</v>
      </c>
      <c r="H1185" s="9" t="s">
        <v>42576</v>
      </c>
      <c r="I1185" s="9" t="b">
        <v>1</v>
      </c>
    </row>
    <row r="1186" ht="15.75" customHeight="1">
      <c r="A1186" s="9" t="s">
        <v>44672</v>
      </c>
      <c r="B1186" s="9" t="s">
        <v>52</v>
      </c>
      <c r="C1186" s="9" t="s">
        <v>40507</v>
      </c>
      <c r="D1186" s="9" t="s">
        <v>44673</v>
      </c>
      <c r="E1186" s="61">
        <v>44970.0</v>
      </c>
      <c r="F1186" s="9" t="b">
        <v>1</v>
      </c>
      <c r="G1186" s="9" t="s">
        <v>38801</v>
      </c>
      <c r="H1186" s="9" t="s">
        <v>42576</v>
      </c>
      <c r="I1186" s="9" t="b">
        <v>1</v>
      </c>
    </row>
    <row r="1187" ht="15.75" customHeight="1">
      <c r="A1187" s="9" t="s">
        <v>44674</v>
      </c>
      <c r="B1187" s="9" t="s">
        <v>52</v>
      </c>
      <c r="C1187" s="9" t="s">
        <v>40506</v>
      </c>
      <c r="D1187" s="9" t="s">
        <v>44675</v>
      </c>
      <c r="E1187" s="61">
        <v>44970.0</v>
      </c>
      <c r="F1187" s="9" t="b">
        <v>1</v>
      </c>
      <c r="G1187" s="9" t="s">
        <v>38801</v>
      </c>
      <c r="H1187" s="9" t="s">
        <v>42576</v>
      </c>
      <c r="I1187" s="9" t="b">
        <v>1</v>
      </c>
    </row>
    <row r="1188" ht="15.75" customHeight="1">
      <c r="A1188" s="9" t="s">
        <v>44676</v>
      </c>
      <c r="B1188" s="9" t="s">
        <v>26</v>
      </c>
      <c r="C1188" s="9" t="s">
        <v>40434</v>
      </c>
      <c r="D1188" s="9" t="s">
        <v>44677</v>
      </c>
      <c r="E1188" s="61">
        <v>44972.0</v>
      </c>
      <c r="F1188" s="9" t="b">
        <v>1</v>
      </c>
      <c r="G1188" s="9" t="s">
        <v>38801</v>
      </c>
      <c r="H1188" s="9" t="s">
        <v>42576</v>
      </c>
      <c r="I1188" s="9" t="b">
        <v>1</v>
      </c>
    </row>
    <row r="1189" ht="15.75" customHeight="1">
      <c r="A1189" s="9" t="s">
        <v>44678</v>
      </c>
      <c r="B1189" s="9" t="s">
        <v>26</v>
      </c>
      <c r="C1189" s="9" t="s">
        <v>40441</v>
      </c>
      <c r="D1189" s="9" t="s">
        <v>44679</v>
      </c>
      <c r="E1189" s="61">
        <v>44972.0</v>
      </c>
      <c r="F1189" s="9" t="b">
        <v>1</v>
      </c>
      <c r="G1189" s="9" t="s">
        <v>38801</v>
      </c>
      <c r="H1189" s="9" t="s">
        <v>42560</v>
      </c>
      <c r="I1189" s="9" t="b">
        <v>1</v>
      </c>
    </row>
    <row r="1190" ht="15.75" customHeight="1">
      <c r="A1190" s="9" t="s">
        <v>44680</v>
      </c>
      <c r="B1190" s="9" t="s">
        <v>26</v>
      </c>
      <c r="C1190" s="9" t="s">
        <v>40493</v>
      </c>
      <c r="D1190" s="9" t="s">
        <v>44681</v>
      </c>
      <c r="E1190" s="61">
        <v>44972.0</v>
      </c>
      <c r="F1190" s="9" t="b">
        <v>1</v>
      </c>
      <c r="G1190" s="9" t="s">
        <v>38801</v>
      </c>
      <c r="H1190" s="9" t="s">
        <v>42560</v>
      </c>
      <c r="I1190" s="9" t="b">
        <v>1</v>
      </c>
    </row>
    <row r="1191" ht="15.75" customHeight="1">
      <c r="A1191" s="9" t="s">
        <v>44682</v>
      </c>
      <c r="B1191" s="9" t="s">
        <v>26</v>
      </c>
      <c r="C1191" s="9" t="s">
        <v>40474</v>
      </c>
      <c r="D1191" s="9" t="s">
        <v>44683</v>
      </c>
      <c r="E1191" s="61">
        <v>44972.0</v>
      </c>
      <c r="F1191" s="9" t="b">
        <v>1</v>
      </c>
      <c r="G1191" s="9" t="s">
        <v>38801</v>
      </c>
      <c r="H1191" s="9" t="s">
        <v>42560</v>
      </c>
      <c r="I1191" s="9" t="b">
        <v>1</v>
      </c>
    </row>
    <row r="1192" ht="15.75" customHeight="1">
      <c r="A1192" s="9" t="s">
        <v>44684</v>
      </c>
      <c r="B1192" s="9" t="s">
        <v>26</v>
      </c>
      <c r="C1192" s="9" t="s">
        <v>40476</v>
      </c>
      <c r="D1192" s="9" t="s">
        <v>44685</v>
      </c>
      <c r="E1192" s="61">
        <v>44972.0</v>
      </c>
      <c r="F1192" s="9" t="b">
        <v>1</v>
      </c>
      <c r="G1192" s="9" t="s">
        <v>38801</v>
      </c>
      <c r="H1192" s="9" t="s">
        <v>42560</v>
      </c>
      <c r="I1192" s="9" t="b">
        <v>1</v>
      </c>
    </row>
    <row r="1193" ht="15.75" customHeight="1">
      <c r="A1193" s="9" t="s">
        <v>44686</v>
      </c>
      <c r="B1193" s="9" t="s">
        <v>26</v>
      </c>
      <c r="C1193" s="9" t="s">
        <v>40478</v>
      </c>
      <c r="D1193" s="9" t="s">
        <v>44687</v>
      </c>
      <c r="E1193" s="61">
        <v>44972.0</v>
      </c>
      <c r="F1193" s="9" t="b">
        <v>1</v>
      </c>
      <c r="G1193" s="9" t="s">
        <v>38801</v>
      </c>
      <c r="H1193" s="9" t="s">
        <v>42560</v>
      </c>
      <c r="I1193" s="9" t="b">
        <v>1</v>
      </c>
    </row>
    <row r="1194" ht="15.75" customHeight="1">
      <c r="A1194" s="9" t="s">
        <v>44688</v>
      </c>
      <c r="B1194" s="9" t="s">
        <v>26</v>
      </c>
      <c r="C1194" s="9" t="s">
        <v>40410</v>
      </c>
      <c r="D1194" s="9" t="s">
        <v>44689</v>
      </c>
      <c r="E1194" s="61">
        <v>44972.0</v>
      </c>
      <c r="F1194" s="9" t="b">
        <v>1</v>
      </c>
      <c r="G1194" s="9" t="s">
        <v>38801</v>
      </c>
      <c r="H1194" s="9" t="s">
        <v>42560</v>
      </c>
      <c r="I1194" s="9" t="b">
        <v>1</v>
      </c>
    </row>
    <row r="1195" ht="15.75" customHeight="1">
      <c r="A1195" s="9" t="s">
        <v>44690</v>
      </c>
      <c r="B1195" s="9" t="s">
        <v>26</v>
      </c>
      <c r="C1195" s="9" t="s">
        <v>40335</v>
      </c>
      <c r="D1195" s="9" t="s">
        <v>44679</v>
      </c>
      <c r="E1195" s="61">
        <v>44972.0</v>
      </c>
      <c r="F1195" s="9" t="b">
        <v>1</v>
      </c>
      <c r="G1195" s="9" t="s">
        <v>38801</v>
      </c>
      <c r="H1195" s="9" t="s">
        <v>42560</v>
      </c>
      <c r="I1195" s="9" t="b">
        <v>1</v>
      </c>
    </row>
    <row r="1196" ht="15.75" customHeight="1">
      <c r="A1196" s="9" t="s">
        <v>44691</v>
      </c>
      <c r="B1196" s="9" t="s">
        <v>26</v>
      </c>
      <c r="C1196" s="9" t="s">
        <v>40402</v>
      </c>
      <c r="D1196" s="9" t="s">
        <v>44692</v>
      </c>
      <c r="E1196" s="61">
        <v>44972.0</v>
      </c>
      <c r="F1196" s="9" t="b">
        <v>1</v>
      </c>
      <c r="G1196" s="9" t="s">
        <v>42573</v>
      </c>
      <c r="H1196" s="9" t="s">
        <v>42560</v>
      </c>
      <c r="I1196" s="9"/>
    </row>
    <row r="1197" ht="15.75" customHeight="1">
      <c r="A1197" s="9" t="s">
        <v>44693</v>
      </c>
      <c r="B1197" s="9" t="s">
        <v>26</v>
      </c>
      <c r="C1197" s="9" t="s">
        <v>40439</v>
      </c>
      <c r="D1197" s="9" t="s">
        <v>44694</v>
      </c>
      <c r="E1197" s="61">
        <v>44972.0</v>
      </c>
      <c r="F1197" s="9" t="b">
        <v>1</v>
      </c>
      <c r="G1197" s="9" t="s">
        <v>38801</v>
      </c>
      <c r="H1197" s="9" t="s">
        <v>42560</v>
      </c>
      <c r="I1197" s="9" t="b">
        <v>1</v>
      </c>
    </row>
    <row r="1198" ht="15.75" customHeight="1">
      <c r="A1198" s="9" t="s">
        <v>44695</v>
      </c>
      <c r="B1198" s="9" t="s">
        <v>26</v>
      </c>
      <c r="C1198" s="9" t="s">
        <v>40514</v>
      </c>
      <c r="D1198" s="9" t="s">
        <v>44696</v>
      </c>
      <c r="E1198" s="61">
        <v>44972.0</v>
      </c>
      <c r="F1198" s="9" t="b">
        <v>1</v>
      </c>
      <c r="G1198" s="9" t="s">
        <v>38801</v>
      </c>
      <c r="H1198" s="9" t="s">
        <v>42560</v>
      </c>
      <c r="I1198" s="9" t="b">
        <v>1</v>
      </c>
    </row>
    <row r="1199" ht="15.75" customHeight="1">
      <c r="A1199" s="9" t="s">
        <v>44697</v>
      </c>
      <c r="B1199" s="9" t="s">
        <v>26</v>
      </c>
      <c r="C1199" s="9" t="s">
        <v>40391</v>
      </c>
      <c r="D1199" s="9" t="s">
        <v>44698</v>
      </c>
      <c r="E1199" s="61">
        <v>44972.0</v>
      </c>
      <c r="F1199" s="9" t="b">
        <v>1</v>
      </c>
      <c r="G1199" s="9" t="s">
        <v>38801</v>
      </c>
      <c r="H1199" s="9" t="s">
        <v>42560</v>
      </c>
      <c r="I1199" s="9" t="b">
        <v>1</v>
      </c>
    </row>
    <row r="1200" ht="15.75" customHeight="1">
      <c r="A1200" s="9" t="s">
        <v>44699</v>
      </c>
      <c r="B1200" s="9" t="s">
        <v>26</v>
      </c>
      <c r="C1200" s="9" t="s">
        <v>40501</v>
      </c>
      <c r="D1200" s="9" t="s">
        <v>44700</v>
      </c>
      <c r="E1200" s="61">
        <v>44972.0</v>
      </c>
      <c r="F1200" s="9" t="b">
        <v>1</v>
      </c>
      <c r="G1200" s="9" t="s">
        <v>38801</v>
      </c>
      <c r="H1200" s="9" t="s">
        <v>42560</v>
      </c>
      <c r="I1200" s="9" t="b">
        <v>1</v>
      </c>
    </row>
    <row r="1201" ht="15.75" customHeight="1">
      <c r="A1201" s="9" t="s">
        <v>44701</v>
      </c>
      <c r="B1201" s="9" t="s">
        <v>26</v>
      </c>
      <c r="C1201" s="9" t="s">
        <v>40424</v>
      </c>
      <c r="D1201" s="9" t="s">
        <v>44702</v>
      </c>
      <c r="E1201" s="61">
        <v>44972.0</v>
      </c>
      <c r="F1201" s="9" t="b">
        <v>1</v>
      </c>
      <c r="G1201" s="9" t="s">
        <v>38801</v>
      </c>
      <c r="H1201" s="9" t="s">
        <v>42560</v>
      </c>
      <c r="I1201" s="9" t="b">
        <v>1</v>
      </c>
    </row>
    <row r="1202" ht="15.75" customHeight="1">
      <c r="A1202" s="9" t="s">
        <v>44703</v>
      </c>
      <c r="B1202" s="9" t="s">
        <v>26</v>
      </c>
      <c r="C1202" s="9" t="s">
        <v>40436</v>
      </c>
      <c r="D1202" s="9" t="s">
        <v>44704</v>
      </c>
      <c r="E1202" s="61">
        <v>44972.0</v>
      </c>
      <c r="F1202" s="9" t="b">
        <v>1</v>
      </c>
      <c r="G1202" s="9" t="s">
        <v>38801</v>
      </c>
      <c r="H1202" s="9" t="s">
        <v>42560</v>
      </c>
      <c r="I1202" s="9" t="b">
        <v>1</v>
      </c>
    </row>
    <row r="1203" ht="15.75" customHeight="1">
      <c r="A1203" s="9" t="s">
        <v>44705</v>
      </c>
      <c r="B1203" s="9" t="s">
        <v>26</v>
      </c>
      <c r="C1203" s="9" t="s">
        <v>40438</v>
      </c>
      <c r="D1203" s="9" t="s">
        <v>44706</v>
      </c>
      <c r="E1203" s="61">
        <v>44972.0</v>
      </c>
      <c r="F1203" s="9" t="b">
        <v>1</v>
      </c>
      <c r="G1203" s="9" t="s">
        <v>38801</v>
      </c>
      <c r="H1203" s="9" t="s">
        <v>42560</v>
      </c>
      <c r="I1203" s="9" t="b">
        <v>1</v>
      </c>
    </row>
    <row r="1204" ht="15.75" customHeight="1">
      <c r="A1204" s="9" t="s">
        <v>44707</v>
      </c>
      <c r="B1204" s="9" t="s">
        <v>26</v>
      </c>
      <c r="C1204" s="9" t="s">
        <v>40495</v>
      </c>
      <c r="D1204" s="9" t="s">
        <v>44708</v>
      </c>
      <c r="E1204" s="61">
        <v>44972.0</v>
      </c>
      <c r="F1204" s="9" t="b">
        <v>1</v>
      </c>
      <c r="G1204" s="9" t="s">
        <v>38801</v>
      </c>
      <c r="H1204" s="9" t="s">
        <v>42560</v>
      </c>
      <c r="I1204" s="9" t="b">
        <v>1</v>
      </c>
    </row>
    <row r="1205" ht="15.75" customHeight="1">
      <c r="A1205" s="9" t="s">
        <v>44709</v>
      </c>
      <c r="B1205" s="9" t="s">
        <v>158</v>
      </c>
      <c r="C1205" s="9" t="s">
        <v>40473</v>
      </c>
      <c r="D1205" s="9" t="s">
        <v>44710</v>
      </c>
      <c r="E1205" s="61">
        <v>44974.0</v>
      </c>
      <c r="F1205" s="9" t="b">
        <v>1</v>
      </c>
      <c r="G1205" s="9" t="s">
        <v>38801</v>
      </c>
      <c r="H1205" s="9" t="s">
        <v>42560</v>
      </c>
      <c r="I1205" s="9" t="b">
        <v>1</v>
      </c>
    </row>
    <row r="1206" ht="15.75" customHeight="1">
      <c r="A1206" s="9" t="s">
        <v>44711</v>
      </c>
      <c r="B1206" s="9" t="s">
        <v>158</v>
      </c>
      <c r="C1206" s="9" t="s">
        <v>40472</v>
      </c>
      <c r="D1206" s="9" t="s">
        <v>44712</v>
      </c>
      <c r="E1206" s="61">
        <v>44974.0</v>
      </c>
      <c r="F1206" s="9" t="b">
        <v>1</v>
      </c>
      <c r="G1206" s="9" t="s">
        <v>38801</v>
      </c>
      <c r="H1206" s="9" t="s">
        <v>42560</v>
      </c>
      <c r="I1206" s="9" t="b">
        <v>1</v>
      </c>
    </row>
    <row r="1207" ht="15.75" customHeight="1">
      <c r="A1207" s="9" t="s">
        <v>44713</v>
      </c>
      <c r="B1207" s="9" t="s">
        <v>158</v>
      </c>
      <c r="C1207" s="9" t="s">
        <v>40471</v>
      </c>
      <c r="D1207" s="9" t="s">
        <v>44714</v>
      </c>
      <c r="E1207" s="61">
        <v>44974.0</v>
      </c>
      <c r="F1207" s="9" t="b">
        <v>1</v>
      </c>
      <c r="G1207" s="9" t="s">
        <v>38801</v>
      </c>
      <c r="H1207" s="9" t="s">
        <v>42560</v>
      </c>
      <c r="I1207" s="9" t="b">
        <v>1</v>
      </c>
    </row>
    <row r="1208" ht="15.75" customHeight="1">
      <c r="A1208" s="9" t="s">
        <v>44715</v>
      </c>
      <c r="B1208" s="9" t="s">
        <v>158</v>
      </c>
      <c r="C1208" s="9" t="s">
        <v>40470</v>
      </c>
      <c r="D1208" s="9" t="s">
        <v>44714</v>
      </c>
      <c r="E1208" s="61">
        <v>44974.0</v>
      </c>
      <c r="F1208" s="9" t="b">
        <v>1</v>
      </c>
      <c r="G1208" s="9" t="s">
        <v>38801</v>
      </c>
      <c r="H1208" s="9" t="s">
        <v>42560</v>
      </c>
      <c r="I1208" s="9" t="b">
        <v>1</v>
      </c>
    </row>
    <row r="1209" ht="15.75" customHeight="1">
      <c r="A1209" s="9" t="s">
        <v>44716</v>
      </c>
      <c r="B1209" s="9" t="s">
        <v>158</v>
      </c>
      <c r="C1209" s="9" t="s">
        <v>40469</v>
      </c>
      <c r="D1209" s="9" t="s">
        <v>44714</v>
      </c>
      <c r="E1209" s="61">
        <v>44974.0</v>
      </c>
      <c r="F1209" s="9" t="b">
        <v>1</v>
      </c>
      <c r="G1209" s="9" t="s">
        <v>38801</v>
      </c>
      <c r="H1209" s="9" t="s">
        <v>42560</v>
      </c>
      <c r="I1209" s="9" t="b">
        <v>1</v>
      </c>
    </row>
    <row r="1210" ht="15.75" customHeight="1">
      <c r="A1210" s="9" t="s">
        <v>44717</v>
      </c>
      <c r="B1210" s="9" t="s">
        <v>76</v>
      </c>
      <c r="C1210" s="9" t="s">
        <v>40491</v>
      </c>
      <c r="D1210" s="9" t="s">
        <v>44718</v>
      </c>
      <c r="E1210" s="61">
        <v>44974.0</v>
      </c>
      <c r="F1210" s="9" t="b">
        <v>1</v>
      </c>
      <c r="G1210" s="9" t="s">
        <v>38801</v>
      </c>
      <c r="H1210" s="9" t="s">
        <v>42560</v>
      </c>
      <c r="I1210" s="9" t="b">
        <v>1</v>
      </c>
    </row>
    <row r="1211" ht="15.75" customHeight="1">
      <c r="A1211" s="9" t="s">
        <v>44719</v>
      </c>
      <c r="B1211" s="9" t="s">
        <v>158</v>
      </c>
      <c r="C1211" s="9" t="s">
        <v>40449</v>
      </c>
      <c r="D1211" s="9" t="s">
        <v>44720</v>
      </c>
      <c r="E1211" s="61">
        <v>44974.0</v>
      </c>
      <c r="F1211" s="9" t="b">
        <v>1</v>
      </c>
      <c r="G1211" s="9" t="s">
        <v>38801</v>
      </c>
      <c r="H1211" s="9" t="s">
        <v>42560</v>
      </c>
      <c r="I1211" s="9" t="b">
        <v>1</v>
      </c>
    </row>
    <row r="1212" ht="15.75" customHeight="1">
      <c r="A1212" s="9" t="s">
        <v>44721</v>
      </c>
      <c r="B1212" s="9" t="s">
        <v>158</v>
      </c>
      <c r="C1212" s="9" t="s">
        <v>40468</v>
      </c>
      <c r="D1212" s="9" t="s">
        <v>44722</v>
      </c>
      <c r="E1212" s="61">
        <v>44974.0</v>
      </c>
      <c r="F1212" s="9" t="b">
        <v>1</v>
      </c>
      <c r="G1212" s="9" t="s">
        <v>38801</v>
      </c>
      <c r="H1212" s="9" t="s">
        <v>42576</v>
      </c>
      <c r="I1212" s="9" t="b">
        <v>1</v>
      </c>
    </row>
    <row r="1213" ht="15.75" customHeight="1">
      <c r="A1213" s="9" t="s">
        <v>44723</v>
      </c>
      <c r="B1213" s="9" t="s">
        <v>158</v>
      </c>
      <c r="C1213" s="9" t="s">
        <v>40467</v>
      </c>
      <c r="D1213" s="9" t="s">
        <v>44724</v>
      </c>
      <c r="E1213" s="61">
        <v>44974.0</v>
      </c>
      <c r="F1213" s="9" t="b">
        <v>1</v>
      </c>
      <c r="G1213" s="9" t="s">
        <v>38801</v>
      </c>
      <c r="H1213" s="9" t="s">
        <v>42560</v>
      </c>
      <c r="I1213" s="9" t="b">
        <v>1</v>
      </c>
    </row>
    <row r="1214" ht="15.75" customHeight="1">
      <c r="A1214" s="9" t="s">
        <v>44725</v>
      </c>
      <c r="B1214" s="9" t="s">
        <v>52</v>
      </c>
      <c r="C1214" s="9" t="s">
        <v>40491</v>
      </c>
      <c r="D1214" s="9" t="s">
        <v>44726</v>
      </c>
      <c r="E1214" s="61">
        <v>44974.0</v>
      </c>
      <c r="F1214" s="9" t="b">
        <v>1</v>
      </c>
      <c r="G1214" s="9" t="s">
        <v>38801</v>
      </c>
      <c r="H1214" s="9" t="s">
        <v>42576</v>
      </c>
      <c r="I1214" s="9" t="b">
        <v>1</v>
      </c>
    </row>
    <row r="1215" ht="15.75" customHeight="1">
      <c r="A1215" s="9" t="s">
        <v>44727</v>
      </c>
      <c r="B1215" s="9" t="s">
        <v>158</v>
      </c>
      <c r="C1215" s="9" t="s">
        <v>40466</v>
      </c>
      <c r="D1215" s="9" t="s">
        <v>44728</v>
      </c>
      <c r="E1215" s="61">
        <v>44974.0</v>
      </c>
      <c r="F1215" s="9" t="b">
        <v>1</v>
      </c>
      <c r="G1215" s="9" t="s">
        <v>38801</v>
      </c>
      <c r="H1215" s="9" t="s">
        <v>42576</v>
      </c>
      <c r="I1215" s="9" t="b">
        <v>1</v>
      </c>
    </row>
    <row r="1216" ht="15.75" customHeight="1">
      <c r="A1216" s="9" t="s">
        <v>44729</v>
      </c>
      <c r="B1216" s="9" t="s">
        <v>158</v>
      </c>
      <c r="C1216" s="9" t="s">
        <v>40463</v>
      </c>
      <c r="D1216" s="9" t="s">
        <v>44730</v>
      </c>
      <c r="E1216" s="61">
        <v>44974.0</v>
      </c>
      <c r="F1216" s="9" t="b">
        <v>1</v>
      </c>
      <c r="G1216" s="9" t="s">
        <v>42573</v>
      </c>
      <c r="H1216" s="9" t="s">
        <v>42576</v>
      </c>
      <c r="I1216" s="9"/>
    </row>
    <row r="1217" ht="15.75" customHeight="1">
      <c r="A1217" s="9" t="s">
        <v>44731</v>
      </c>
      <c r="B1217" s="9" t="s">
        <v>158</v>
      </c>
      <c r="C1217" s="9" t="s">
        <v>40465</v>
      </c>
      <c r="D1217" s="9" t="s">
        <v>44732</v>
      </c>
      <c r="E1217" s="61">
        <v>44974.0</v>
      </c>
      <c r="F1217" s="9" t="b">
        <v>1</v>
      </c>
      <c r="G1217" s="9" t="s">
        <v>38801</v>
      </c>
      <c r="H1217" s="9" t="s">
        <v>42560</v>
      </c>
      <c r="I1217" s="9" t="b">
        <v>1</v>
      </c>
    </row>
    <row r="1218" ht="15.75" customHeight="1">
      <c r="A1218" s="9" t="s">
        <v>44733</v>
      </c>
      <c r="B1218" s="9" t="s">
        <v>26</v>
      </c>
      <c r="C1218" s="9" t="s">
        <v>40402</v>
      </c>
      <c r="D1218" s="9" t="s">
        <v>44734</v>
      </c>
      <c r="E1218" s="61">
        <v>44974.0</v>
      </c>
      <c r="F1218" s="9" t="b">
        <v>1</v>
      </c>
      <c r="G1218" s="9" t="s">
        <v>42573</v>
      </c>
      <c r="H1218" s="9" t="s">
        <v>38800</v>
      </c>
      <c r="I1218" s="9"/>
    </row>
    <row r="1219" ht="15.75" customHeight="1">
      <c r="A1219" s="9" t="s">
        <v>44735</v>
      </c>
      <c r="B1219" s="9" t="s">
        <v>26</v>
      </c>
      <c r="C1219" s="9" t="s">
        <v>40408</v>
      </c>
      <c r="D1219" s="9" t="s">
        <v>44736</v>
      </c>
      <c r="E1219" s="61">
        <v>44974.0</v>
      </c>
      <c r="F1219" s="9" t="b">
        <v>1</v>
      </c>
      <c r="G1219" s="9" t="s">
        <v>42573</v>
      </c>
      <c r="H1219" s="9" t="s">
        <v>42560</v>
      </c>
      <c r="I1219" s="9"/>
    </row>
    <row r="1220" ht="15.75" customHeight="1">
      <c r="A1220" s="9" t="s">
        <v>44737</v>
      </c>
      <c r="B1220" s="9" t="s">
        <v>26</v>
      </c>
      <c r="C1220" s="9" t="s">
        <v>40408</v>
      </c>
      <c r="D1220" s="9" t="s">
        <v>44736</v>
      </c>
      <c r="E1220" s="61">
        <v>44974.0</v>
      </c>
      <c r="F1220" s="9" t="b">
        <v>1</v>
      </c>
      <c r="G1220" s="9" t="s">
        <v>38801</v>
      </c>
      <c r="H1220" s="9" t="s">
        <v>42560</v>
      </c>
      <c r="I1220" s="9" t="b">
        <v>1</v>
      </c>
    </row>
    <row r="1221" ht="15.75" customHeight="1">
      <c r="A1221" s="9" t="s">
        <v>44738</v>
      </c>
      <c r="B1221" s="9" t="s">
        <v>26</v>
      </c>
      <c r="C1221" s="9" t="s">
        <v>40406</v>
      </c>
      <c r="D1221" s="9" t="s">
        <v>44739</v>
      </c>
      <c r="E1221" s="61">
        <v>44974.0</v>
      </c>
      <c r="F1221" s="9" t="b">
        <v>1</v>
      </c>
      <c r="G1221" s="9" t="s">
        <v>42573</v>
      </c>
      <c r="H1221" s="9" t="s">
        <v>42560</v>
      </c>
      <c r="I1221" s="9"/>
    </row>
    <row r="1222" ht="15.75" customHeight="1">
      <c r="A1222" s="9" t="s">
        <v>44740</v>
      </c>
      <c r="B1222" s="9" t="s">
        <v>26</v>
      </c>
      <c r="C1222" s="9" t="s">
        <v>40285</v>
      </c>
      <c r="D1222" s="9" t="s">
        <v>44741</v>
      </c>
      <c r="E1222" s="61">
        <v>44974.0</v>
      </c>
      <c r="F1222" s="9" t="b">
        <v>1</v>
      </c>
      <c r="G1222" s="9" t="s">
        <v>38801</v>
      </c>
      <c r="H1222" s="9" t="s">
        <v>42560</v>
      </c>
      <c r="I1222" s="9" t="b">
        <v>1</v>
      </c>
    </row>
    <row r="1223" ht="15.75" customHeight="1">
      <c r="A1223" s="9" t="s">
        <v>44742</v>
      </c>
      <c r="B1223" s="9" t="s">
        <v>26</v>
      </c>
      <c r="C1223" s="9" t="s">
        <v>40354</v>
      </c>
      <c r="D1223" s="9" t="s">
        <v>44743</v>
      </c>
      <c r="E1223" s="61">
        <v>44974.0</v>
      </c>
      <c r="F1223" s="9" t="b">
        <v>1</v>
      </c>
      <c r="G1223" s="9" t="s">
        <v>38801</v>
      </c>
      <c r="H1223" s="9" t="s">
        <v>42560</v>
      </c>
      <c r="I1223" s="9" t="b">
        <v>1</v>
      </c>
    </row>
    <row r="1224" ht="15.75" customHeight="1">
      <c r="A1224" s="9" t="s">
        <v>44744</v>
      </c>
      <c r="B1224" s="9" t="s">
        <v>158</v>
      </c>
      <c r="C1224" s="9" t="s">
        <v>40464</v>
      </c>
      <c r="D1224" s="9" t="s">
        <v>44724</v>
      </c>
      <c r="E1224" s="61">
        <v>44974.0</v>
      </c>
      <c r="F1224" s="9" t="b">
        <v>1</v>
      </c>
      <c r="G1224" s="9" t="s">
        <v>38801</v>
      </c>
      <c r="H1224" s="9" t="s">
        <v>42560</v>
      </c>
      <c r="I1224" s="9" t="b">
        <v>1</v>
      </c>
    </row>
    <row r="1225" ht="15.75" customHeight="1">
      <c r="A1225" s="9" t="s">
        <v>44745</v>
      </c>
      <c r="B1225" s="9" t="s">
        <v>26</v>
      </c>
      <c r="C1225" s="9" t="s">
        <v>40342</v>
      </c>
      <c r="D1225" s="9" t="s">
        <v>44746</v>
      </c>
      <c r="E1225" s="61">
        <v>44974.0</v>
      </c>
      <c r="F1225" s="9" t="b">
        <v>1</v>
      </c>
      <c r="G1225" s="9" t="s">
        <v>42573</v>
      </c>
      <c r="H1225" s="9" t="s">
        <v>42560</v>
      </c>
      <c r="I1225" s="9"/>
    </row>
    <row r="1226" ht="15.75" customHeight="1">
      <c r="A1226" s="9" t="s">
        <v>44747</v>
      </c>
      <c r="B1226" s="9" t="s">
        <v>52</v>
      </c>
      <c r="C1226" s="9" t="s">
        <v>39040</v>
      </c>
      <c r="D1226" s="9" t="s">
        <v>44748</v>
      </c>
      <c r="E1226" s="61">
        <v>44974.0</v>
      </c>
      <c r="F1226" s="9" t="b">
        <v>1</v>
      </c>
      <c r="G1226" s="9" t="s">
        <v>42585</v>
      </c>
      <c r="H1226" s="9" t="s">
        <v>42576</v>
      </c>
      <c r="I1226" s="9"/>
    </row>
    <row r="1227" ht="15.75" customHeight="1">
      <c r="A1227" s="9" t="s">
        <v>44749</v>
      </c>
      <c r="B1227" s="9" t="s">
        <v>26</v>
      </c>
      <c r="C1227" s="9" t="s">
        <v>40342</v>
      </c>
      <c r="D1227" s="9" t="s">
        <v>44750</v>
      </c>
      <c r="E1227" s="61">
        <v>44975.0</v>
      </c>
      <c r="F1227" s="9" t="b">
        <v>1</v>
      </c>
      <c r="G1227" s="9" t="s">
        <v>42573</v>
      </c>
      <c r="H1227" s="9" t="s">
        <v>42560</v>
      </c>
      <c r="I1227" s="9"/>
    </row>
    <row r="1228" ht="15.75" customHeight="1">
      <c r="A1228" s="9" t="s">
        <v>44751</v>
      </c>
      <c r="B1228" s="9" t="s">
        <v>47</v>
      </c>
      <c r="C1228" s="9" t="s">
        <v>40522</v>
      </c>
      <c r="D1228" s="9" t="s">
        <v>44752</v>
      </c>
      <c r="E1228" s="61">
        <v>44977.0</v>
      </c>
      <c r="F1228" s="9" t="b">
        <v>1</v>
      </c>
      <c r="G1228" s="9" t="s">
        <v>38801</v>
      </c>
      <c r="H1228" s="9" t="s">
        <v>42576</v>
      </c>
      <c r="I1228" s="9" t="b">
        <v>1</v>
      </c>
    </row>
    <row r="1229" ht="15.75" customHeight="1">
      <c r="A1229" s="9" t="s">
        <v>44753</v>
      </c>
      <c r="B1229" s="9" t="s">
        <v>26</v>
      </c>
      <c r="C1229" s="9" t="s">
        <v>40342</v>
      </c>
      <c r="D1229" s="9" t="s">
        <v>44754</v>
      </c>
      <c r="E1229" s="61">
        <v>44978.0</v>
      </c>
      <c r="F1229" s="9" t="b">
        <v>1</v>
      </c>
      <c r="G1229" s="9" t="s">
        <v>43228</v>
      </c>
      <c r="H1229" s="9" t="s">
        <v>42576</v>
      </c>
      <c r="I1229" s="9"/>
    </row>
    <row r="1230" ht="15.75" customHeight="1">
      <c r="A1230" s="9" t="s">
        <v>44755</v>
      </c>
      <c r="B1230" s="9" t="s">
        <v>158</v>
      </c>
      <c r="C1230" s="9" t="s">
        <v>40463</v>
      </c>
      <c r="D1230" s="9" t="s">
        <v>44756</v>
      </c>
      <c r="E1230" s="61">
        <v>44978.0</v>
      </c>
      <c r="F1230" s="9" t="b">
        <v>1</v>
      </c>
      <c r="G1230" s="9" t="s">
        <v>38801</v>
      </c>
      <c r="H1230" s="9" t="s">
        <v>42576</v>
      </c>
      <c r="I1230" s="9" t="b">
        <v>1</v>
      </c>
    </row>
    <row r="1231" ht="15.75" customHeight="1">
      <c r="A1231" s="9" t="s">
        <v>44757</v>
      </c>
      <c r="B1231" s="9" t="s">
        <v>158</v>
      </c>
      <c r="C1231" s="9" t="s">
        <v>40462</v>
      </c>
      <c r="D1231" s="9" t="s">
        <v>44758</v>
      </c>
      <c r="E1231" s="61">
        <v>44978.0</v>
      </c>
      <c r="F1231" s="9" t="b">
        <v>1</v>
      </c>
      <c r="G1231" s="9" t="s">
        <v>38801</v>
      </c>
      <c r="H1231" s="9" t="s">
        <v>42560</v>
      </c>
      <c r="I1231" s="9" t="b">
        <v>1</v>
      </c>
    </row>
    <row r="1232" ht="15.75" customHeight="1">
      <c r="A1232" s="9" t="s">
        <v>44759</v>
      </c>
      <c r="B1232" s="9" t="s">
        <v>158</v>
      </c>
      <c r="C1232" s="9" t="s">
        <v>40461</v>
      </c>
      <c r="D1232" s="9" t="s">
        <v>44760</v>
      </c>
      <c r="E1232" s="61">
        <v>44978.0</v>
      </c>
      <c r="F1232" s="9" t="b">
        <v>1</v>
      </c>
      <c r="G1232" s="9" t="s">
        <v>38801</v>
      </c>
      <c r="H1232" s="9" t="s">
        <v>42560</v>
      </c>
      <c r="I1232" s="9" t="b">
        <v>1</v>
      </c>
    </row>
    <row r="1233" ht="15.75" customHeight="1">
      <c r="A1233" s="9" t="s">
        <v>44761</v>
      </c>
      <c r="B1233" s="9" t="s">
        <v>158</v>
      </c>
      <c r="C1233" s="9" t="s">
        <v>40459</v>
      </c>
      <c r="D1233" s="9" t="s">
        <v>44762</v>
      </c>
      <c r="E1233" s="61">
        <v>44978.0</v>
      </c>
      <c r="F1233" s="9" t="b">
        <v>1</v>
      </c>
      <c r="G1233" s="9" t="s">
        <v>38801</v>
      </c>
      <c r="H1233" s="9" t="s">
        <v>42576</v>
      </c>
      <c r="I1233" s="9" t="b">
        <v>1</v>
      </c>
    </row>
    <row r="1234" ht="15.75" customHeight="1">
      <c r="A1234" s="9" t="s">
        <v>44763</v>
      </c>
      <c r="B1234" s="9" t="s">
        <v>158</v>
      </c>
      <c r="C1234" s="9" t="s">
        <v>40458</v>
      </c>
      <c r="D1234" s="9" t="s">
        <v>44764</v>
      </c>
      <c r="E1234" s="61">
        <v>44978.0</v>
      </c>
      <c r="F1234" s="9" t="b">
        <v>1</v>
      </c>
      <c r="G1234" s="9" t="s">
        <v>38801</v>
      </c>
      <c r="H1234" s="9" t="s">
        <v>42576</v>
      </c>
      <c r="I1234" s="9" t="b">
        <v>1</v>
      </c>
    </row>
    <row r="1235" ht="15.75" customHeight="1">
      <c r="A1235" s="9" t="s">
        <v>44765</v>
      </c>
      <c r="B1235" s="9" t="s">
        <v>158</v>
      </c>
      <c r="C1235" s="9" t="s">
        <v>40457</v>
      </c>
      <c r="D1235" s="9" t="s">
        <v>44760</v>
      </c>
      <c r="E1235" s="61">
        <v>44978.0</v>
      </c>
      <c r="F1235" s="9" t="b">
        <v>1</v>
      </c>
      <c r="G1235" s="9" t="s">
        <v>38801</v>
      </c>
      <c r="H1235" s="9" t="s">
        <v>42560</v>
      </c>
      <c r="I1235" s="9" t="b">
        <v>1</v>
      </c>
    </row>
    <row r="1236" ht="15.75" customHeight="1">
      <c r="A1236" s="9" t="s">
        <v>44766</v>
      </c>
      <c r="B1236" s="9" t="s">
        <v>158</v>
      </c>
      <c r="C1236" s="9" t="s">
        <v>40456</v>
      </c>
      <c r="D1236" s="9" t="s">
        <v>44767</v>
      </c>
      <c r="E1236" s="61">
        <v>44978.0</v>
      </c>
      <c r="F1236" s="9" t="b">
        <v>1</v>
      </c>
      <c r="G1236" s="9" t="s">
        <v>38801</v>
      </c>
      <c r="H1236" s="9" t="s">
        <v>42576</v>
      </c>
      <c r="I1236" s="9" t="b">
        <v>1</v>
      </c>
    </row>
    <row r="1237" ht="15.75" customHeight="1">
      <c r="A1237" s="9" t="s">
        <v>44768</v>
      </c>
      <c r="B1237" s="9" t="s">
        <v>158</v>
      </c>
      <c r="C1237" s="9" t="s">
        <v>40455</v>
      </c>
      <c r="D1237" s="9" t="s">
        <v>44760</v>
      </c>
      <c r="E1237" s="61">
        <v>44978.0</v>
      </c>
      <c r="F1237" s="9" t="b">
        <v>1</v>
      </c>
      <c r="G1237" s="9" t="s">
        <v>38801</v>
      </c>
      <c r="H1237" s="9" t="s">
        <v>42560</v>
      </c>
      <c r="I1237" s="9" t="b">
        <v>1</v>
      </c>
    </row>
    <row r="1238" ht="15.75" customHeight="1">
      <c r="A1238" s="9" t="s">
        <v>44769</v>
      </c>
      <c r="B1238" s="9" t="s">
        <v>158</v>
      </c>
      <c r="C1238" s="9" t="s">
        <v>40453</v>
      </c>
      <c r="D1238" s="9" t="s">
        <v>44770</v>
      </c>
      <c r="E1238" s="61">
        <v>44978.0</v>
      </c>
      <c r="F1238" s="9" t="b">
        <v>1</v>
      </c>
      <c r="G1238" s="9" t="s">
        <v>38801</v>
      </c>
      <c r="H1238" s="9" t="s">
        <v>42560</v>
      </c>
      <c r="I1238" s="9" t="b">
        <v>1</v>
      </c>
    </row>
    <row r="1239" ht="15.75" customHeight="1">
      <c r="A1239" s="9" t="s">
        <v>44771</v>
      </c>
      <c r="B1239" s="9" t="s">
        <v>158</v>
      </c>
      <c r="C1239" s="9" t="s">
        <v>40451</v>
      </c>
      <c r="D1239" s="9" t="s">
        <v>44722</v>
      </c>
      <c r="E1239" s="61">
        <v>44978.0</v>
      </c>
      <c r="F1239" s="9" t="b">
        <v>1</v>
      </c>
      <c r="G1239" s="9" t="s">
        <v>38801</v>
      </c>
      <c r="H1239" s="9" t="s">
        <v>42560</v>
      </c>
      <c r="I1239" s="9" t="b">
        <v>1</v>
      </c>
    </row>
    <row r="1240" ht="15.75" customHeight="1">
      <c r="A1240" s="9" t="s">
        <v>44772</v>
      </c>
      <c r="B1240" s="9" t="s">
        <v>158</v>
      </c>
      <c r="C1240" s="9" t="s">
        <v>40490</v>
      </c>
      <c r="D1240" s="9" t="s">
        <v>44760</v>
      </c>
      <c r="E1240" s="61">
        <v>44978.0</v>
      </c>
      <c r="F1240" s="9" t="b">
        <v>1</v>
      </c>
      <c r="G1240" s="9" t="s">
        <v>38801</v>
      </c>
      <c r="H1240" s="9" t="s">
        <v>42560</v>
      </c>
      <c r="I1240" s="9" t="b">
        <v>1</v>
      </c>
    </row>
    <row r="1241" ht="15.75" customHeight="1">
      <c r="A1241" s="9" t="s">
        <v>44773</v>
      </c>
      <c r="B1241" s="9" t="s">
        <v>158</v>
      </c>
      <c r="C1241" s="9" t="s">
        <v>40489</v>
      </c>
      <c r="D1241" s="9" t="s">
        <v>44760</v>
      </c>
      <c r="E1241" s="61">
        <v>44978.0</v>
      </c>
      <c r="F1241" s="9" t="b">
        <v>1</v>
      </c>
      <c r="G1241" s="9" t="s">
        <v>38801</v>
      </c>
      <c r="H1241" s="9" t="s">
        <v>42560</v>
      </c>
      <c r="I1241" s="9" t="b">
        <v>1</v>
      </c>
    </row>
    <row r="1242" ht="15.75" customHeight="1">
      <c r="A1242" s="9" t="s">
        <v>44774</v>
      </c>
      <c r="B1242" s="9" t="s">
        <v>158</v>
      </c>
      <c r="C1242" s="9" t="s">
        <v>40488</v>
      </c>
      <c r="D1242" s="9" t="s">
        <v>44760</v>
      </c>
      <c r="E1242" s="61">
        <v>44978.0</v>
      </c>
      <c r="F1242" s="9" t="b">
        <v>1</v>
      </c>
      <c r="G1242" s="9" t="s">
        <v>38801</v>
      </c>
      <c r="H1242" s="9" t="s">
        <v>42560</v>
      </c>
      <c r="I1242" s="9" t="b">
        <v>1</v>
      </c>
    </row>
    <row r="1243" ht="15.75" customHeight="1">
      <c r="A1243" s="9" t="s">
        <v>44775</v>
      </c>
      <c r="B1243" s="9" t="s">
        <v>158</v>
      </c>
      <c r="C1243" s="9" t="s">
        <v>40487</v>
      </c>
      <c r="D1243" s="9" t="s">
        <v>44722</v>
      </c>
      <c r="E1243" s="61">
        <v>44978.0</v>
      </c>
      <c r="F1243" s="9" t="b">
        <v>1</v>
      </c>
      <c r="G1243" s="9" t="s">
        <v>38801</v>
      </c>
      <c r="H1243" s="9" t="s">
        <v>38800</v>
      </c>
      <c r="I1243" s="9" t="b">
        <v>1</v>
      </c>
    </row>
    <row r="1244" ht="15.75" customHeight="1">
      <c r="A1244" s="9" t="s">
        <v>44776</v>
      </c>
      <c r="B1244" s="9" t="s">
        <v>47</v>
      </c>
      <c r="C1244" s="9" t="s">
        <v>40434</v>
      </c>
      <c r="D1244" s="9" t="s">
        <v>44777</v>
      </c>
      <c r="E1244" s="61">
        <v>44978.0</v>
      </c>
      <c r="F1244" s="9" t="b">
        <v>1</v>
      </c>
      <c r="G1244" s="9" t="s">
        <v>38801</v>
      </c>
      <c r="H1244" s="9" t="s">
        <v>42576</v>
      </c>
      <c r="I1244" s="9" t="b">
        <v>1</v>
      </c>
    </row>
    <row r="1245" ht="15.75" customHeight="1">
      <c r="A1245" s="9" t="s">
        <v>44778</v>
      </c>
      <c r="B1245" s="9" t="s">
        <v>47</v>
      </c>
      <c r="C1245" s="9" t="s">
        <v>40513</v>
      </c>
      <c r="D1245" s="9" t="s">
        <v>44779</v>
      </c>
      <c r="E1245" s="61">
        <v>44978.0</v>
      </c>
      <c r="F1245" s="9" t="b">
        <v>1</v>
      </c>
      <c r="G1245" s="9" t="s">
        <v>38801</v>
      </c>
      <c r="H1245" s="9" t="s">
        <v>42576</v>
      </c>
      <c r="I1245" s="9" t="b">
        <v>1</v>
      </c>
    </row>
    <row r="1246" ht="15.75" customHeight="1">
      <c r="A1246" s="9" t="s">
        <v>44780</v>
      </c>
      <c r="B1246" s="9" t="s">
        <v>47</v>
      </c>
      <c r="C1246" s="9" t="s">
        <v>40511</v>
      </c>
      <c r="D1246" s="9" t="s">
        <v>44779</v>
      </c>
      <c r="E1246" s="61">
        <v>44978.0</v>
      </c>
      <c r="F1246" s="9" t="b">
        <v>1</v>
      </c>
      <c r="G1246" s="9" t="s">
        <v>38801</v>
      </c>
      <c r="H1246" s="9" t="s">
        <v>42576</v>
      </c>
      <c r="I1246" s="9" t="b">
        <v>1</v>
      </c>
    </row>
    <row r="1247" ht="15.75" customHeight="1">
      <c r="A1247" s="9" t="s">
        <v>44781</v>
      </c>
      <c r="B1247" s="9" t="s">
        <v>47</v>
      </c>
      <c r="C1247" s="9" t="s">
        <v>40518</v>
      </c>
      <c r="D1247" s="9" t="s">
        <v>44782</v>
      </c>
      <c r="E1247" s="61">
        <v>44978.0</v>
      </c>
      <c r="F1247" s="9" t="b">
        <v>1</v>
      </c>
      <c r="G1247" s="9" t="s">
        <v>38801</v>
      </c>
      <c r="H1247" s="9" t="s">
        <v>42576</v>
      </c>
      <c r="I1247" s="9" t="b">
        <v>1</v>
      </c>
    </row>
    <row r="1248" ht="15.75" customHeight="1">
      <c r="A1248" s="9" t="s">
        <v>44783</v>
      </c>
      <c r="B1248" s="9" t="s">
        <v>47</v>
      </c>
      <c r="C1248" s="9" t="s">
        <v>40520</v>
      </c>
      <c r="D1248" s="9" t="s">
        <v>44782</v>
      </c>
      <c r="E1248" s="61">
        <v>44978.0</v>
      </c>
      <c r="F1248" s="9" t="b">
        <v>1</v>
      </c>
      <c r="G1248" s="9" t="s">
        <v>38801</v>
      </c>
      <c r="H1248" s="9" t="s">
        <v>42576</v>
      </c>
      <c r="I1248" s="9" t="b">
        <v>1</v>
      </c>
    </row>
    <row r="1249" ht="15.75" customHeight="1">
      <c r="A1249" s="9" t="s">
        <v>44784</v>
      </c>
      <c r="B1249" s="9" t="s">
        <v>47</v>
      </c>
      <c r="C1249" s="9" t="s">
        <v>40509</v>
      </c>
      <c r="D1249" s="9" t="s">
        <v>43796</v>
      </c>
      <c r="E1249" s="61">
        <v>44978.0</v>
      </c>
      <c r="F1249" s="9" t="b">
        <v>1</v>
      </c>
      <c r="G1249" s="9" t="s">
        <v>38801</v>
      </c>
      <c r="H1249" s="9" t="s">
        <v>42576</v>
      </c>
      <c r="I1249" s="9" t="b">
        <v>1</v>
      </c>
    </row>
    <row r="1250" ht="15.75" customHeight="1">
      <c r="A1250" s="9" t="s">
        <v>44785</v>
      </c>
      <c r="B1250" s="9" t="s">
        <v>47</v>
      </c>
      <c r="C1250" s="9" t="s">
        <v>40526</v>
      </c>
      <c r="D1250" s="9" t="s">
        <v>44786</v>
      </c>
      <c r="E1250" s="61">
        <v>44978.0</v>
      </c>
      <c r="F1250" s="9" t="b">
        <v>1</v>
      </c>
      <c r="G1250" s="9" t="s">
        <v>38801</v>
      </c>
      <c r="H1250" s="9" t="s">
        <v>42576</v>
      </c>
      <c r="I1250" s="9" t="b">
        <v>1</v>
      </c>
    </row>
    <row r="1251" ht="15.75" customHeight="1">
      <c r="A1251" s="9" t="s">
        <v>44787</v>
      </c>
      <c r="B1251" s="9" t="s">
        <v>52</v>
      </c>
      <c r="C1251" s="9" t="s">
        <v>39271</v>
      </c>
      <c r="D1251" s="9" t="s">
        <v>19099</v>
      </c>
      <c r="E1251" s="61">
        <v>44978.0</v>
      </c>
      <c r="F1251" s="9" t="b">
        <v>1</v>
      </c>
      <c r="G1251" s="9" t="s">
        <v>38801</v>
      </c>
      <c r="H1251" s="9" t="s">
        <v>42560</v>
      </c>
      <c r="I1251" s="9" t="b">
        <v>1</v>
      </c>
    </row>
    <row r="1252" ht="15.75" customHeight="1">
      <c r="A1252" s="9" t="s">
        <v>44788</v>
      </c>
      <c r="B1252" s="9" t="s">
        <v>47</v>
      </c>
      <c r="C1252" s="9" t="s">
        <v>40528</v>
      </c>
      <c r="D1252" s="9" t="s">
        <v>44789</v>
      </c>
      <c r="E1252" s="61">
        <v>44978.0</v>
      </c>
      <c r="F1252" s="9" t="b">
        <v>1</v>
      </c>
      <c r="G1252" s="9" t="s">
        <v>38801</v>
      </c>
      <c r="H1252" s="9" t="s">
        <v>42576</v>
      </c>
      <c r="I1252" s="9" t="b">
        <v>1</v>
      </c>
    </row>
    <row r="1253" ht="15.75" customHeight="1">
      <c r="A1253" s="9" t="s">
        <v>44790</v>
      </c>
      <c r="B1253" s="9" t="s">
        <v>47</v>
      </c>
      <c r="C1253" s="9" t="s">
        <v>40532</v>
      </c>
      <c r="D1253" s="9" t="s">
        <v>43724</v>
      </c>
      <c r="E1253" s="61">
        <v>44979.0</v>
      </c>
      <c r="F1253" s="9" t="b">
        <v>1</v>
      </c>
      <c r="G1253" s="9" t="s">
        <v>38801</v>
      </c>
      <c r="H1253" s="9" t="s">
        <v>42576</v>
      </c>
      <c r="I1253" s="9" t="b">
        <v>1</v>
      </c>
    </row>
    <row r="1254" ht="15.75" customHeight="1">
      <c r="A1254" s="9" t="s">
        <v>44791</v>
      </c>
      <c r="B1254" s="9" t="s">
        <v>47</v>
      </c>
      <c r="C1254" s="9" t="s">
        <v>40530</v>
      </c>
      <c r="D1254" s="9" t="s">
        <v>44792</v>
      </c>
      <c r="E1254" s="61">
        <v>44979.0</v>
      </c>
      <c r="F1254" s="9" t="b">
        <v>1</v>
      </c>
      <c r="G1254" s="9" t="s">
        <v>43228</v>
      </c>
      <c r="H1254" s="9" t="s">
        <v>42576</v>
      </c>
      <c r="I1254" s="9"/>
    </row>
    <row r="1255" ht="15.75" customHeight="1">
      <c r="A1255" s="9" t="s">
        <v>44793</v>
      </c>
      <c r="B1255" s="9" t="s">
        <v>47</v>
      </c>
      <c r="C1255" s="9" t="s">
        <v>40516</v>
      </c>
      <c r="D1255" s="9" t="s">
        <v>43796</v>
      </c>
      <c r="E1255" s="61">
        <v>44979.0</v>
      </c>
      <c r="F1255" s="9" t="b">
        <v>1</v>
      </c>
      <c r="G1255" s="9" t="s">
        <v>38801</v>
      </c>
      <c r="H1255" s="9" t="s">
        <v>42576</v>
      </c>
      <c r="I1255" s="9" t="b">
        <v>1</v>
      </c>
    </row>
    <row r="1256" ht="15.75" customHeight="1">
      <c r="A1256" s="9" t="s">
        <v>44794</v>
      </c>
      <c r="B1256" s="9" t="s">
        <v>76</v>
      </c>
      <c r="C1256" s="9" t="s">
        <v>40422</v>
      </c>
      <c r="D1256" s="9" t="s">
        <v>44795</v>
      </c>
      <c r="E1256" s="61">
        <v>44979.0</v>
      </c>
      <c r="F1256" s="9" t="b">
        <v>1</v>
      </c>
      <c r="G1256" s="9" t="s">
        <v>38801</v>
      </c>
      <c r="H1256" s="9" t="s">
        <v>42560</v>
      </c>
      <c r="I1256" s="9" t="b">
        <v>1</v>
      </c>
    </row>
    <row r="1257" ht="15.75" customHeight="1">
      <c r="A1257" s="9" t="s">
        <v>44796</v>
      </c>
      <c r="B1257" s="9" t="s">
        <v>76</v>
      </c>
      <c r="C1257" s="9" t="s">
        <v>40368</v>
      </c>
      <c r="D1257" s="9" t="s">
        <v>44797</v>
      </c>
      <c r="E1257" s="61">
        <v>44979.0</v>
      </c>
      <c r="F1257" s="9" t="b">
        <v>1</v>
      </c>
      <c r="G1257" s="9" t="s">
        <v>38801</v>
      </c>
      <c r="H1257" s="9" t="s">
        <v>42560</v>
      </c>
      <c r="I1257" s="9" t="b">
        <v>1</v>
      </c>
    </row>
    <row r="1258" ht="15.75" customHeight="1">
      <c r="A1258" s="9" t="s">
        <v>44798</v>
      </c>
      <c r="B1258" s="9" t="s">
        <v>47</v>
      </c>
      <c r="C1258" s="9" t="s">
        <v>40350</v>
      </c>
      <c r="D1258" s="9" t="s">
        <v>44799</v>
      </c>
      <c r="E1258" s="61">
        <v>44980.0</v>
      </c>
      <c r="F1258" s="9" t="b">
        <v>1</v>
      </c>
      <c r="G1258" s="9" t="s">
        <v>42585</v>
      </c>
      <c r="H1258" s="9" t="s">
        <v>42576</v>
      </c>
      <c r="I1258" s="9"/>
    </row>
    <row r="1259" ht="15.75" customHeight="1">
      <c r="A1259" s="9" t="s">
        <v>44800</v>
      </c>
      <c r="B1259" s="9" t="s">
        <v>26</v>
      </c>
      <c r="C1259" s="9" t="s">
        <v>40342</v>
      </c>
      <c r="D1259" s="9" t="s">
        <v>44801</v>
      </c>
      <c r="E1259" s="61">
        <v>44984.0</v>
      </c>
      <c r="F1259" s="9" t="b">
        <v>1</v>
      </c>
      <c r="G1259" s="9" t="s">
        <v>42573</v>
      </c>
      <c r="H1259" s="9" t="s">
        <v>42560</v>
      </c>
      <c r="I1259" s="9"/>
    </row>
    <row r="1260" ht="15.75" customHeight="1">
      <c r="A1260" s="9" t="s">
        <v>44802</v>
      </c>
      <c r="B1260" s="9" t="s">
        <v>131</v>
      </c>
      <c r="C1260" s="9" t="s">
        <v>40505</v>
      </c>
      <c r="D1260" s="9" t="s">
        <v>44803</v>
      </c>
      <c r="E1260" s="61">
        <v>44985.0</v>
      </c>
      <c r="F1260" s="9" t="b">
        <v>1</v>
      </c>
      <c r="G1260" s="9" t="s">
        <v>38801</v>
      </c>
      <c r="H1260" s="9" t="s">
        <v>42576</v>
      </c>
      <c r="I1260" s="9" t="b">
        <v>1</v>
      </c>
    </row>
    <row r="1261" ht="15.75" customHeight="1">
      <c r="A1261" s="52" t="s">
        <v>44804</v>
      </c>
      <c r="B1261" s="9" t="s">
        <v>26</v>
      </c>
      <c r="C1261" s="9" t="s">
        <v>40546</v>
      </c>
      <c r="D1261" s="9" t="s">
        <v>44805</v>
      </c>
      <c r="E1261" s="61">
        <v>44985.0</v>
      </c>
      <c r="F1261" s="9" t="b">
        <v>1</v>
      </c>
      <c r="G1261" s="9" t="s">
        <v>38801</v>
      </c>
      <c r="H1261" s="9" t="s">
        <v>42560</v>
      </c>
      <c r="I1261" s="9" t="b">
        <v>1</v>
      </c>
    </row>
    <row r="1262" ht="15.75" customHeight="1">
      <c r="A1262" s="9" t="s">
        <v>44806</v>
      </c>
      <c r="B1262" s="9" t="s">
        <v>47</v>
      </c>
      <c r="C1262" s="9" t="s">
        <v>40544</v>
      </c>
      <c r="D1262" s="9" t="s">
        <v>44807</v>
      </c>
      <c r="E1262" s="61">
        <v>44985.0</v>
      </c>
      <c r="F1262" s="9" t="b">
        <v>1</v>
      </c>
      <c r="G1262" s="9" t="s">
        <v>38801</v>
      </c>
      <c r="H1262" s="9" t="s">
        <v>42576</v>
      </c>
      <c r="I1262" s="9" t="b">
        <v>1</v>
      </c>
    </row>
    <row r="1263" ht="15.75" customHeight="1">
      <c r="A1263" s="9" t="s">
        <v>44808</v>
      </c>
      <c r="B1263" s="9" t="s">
        <v>52</v>
      </c>
      <c r="C1263" s="9" t="s">
        <v>40524</v>
      </c>
      <c r="D1263" s="9" t="s">
        <v>44809</v>
      </c>
      <c r="E1263" s="61">
        <v>44985.0</v>
      </c>
      <c r="F1263" s="9" t="b">
        <v>1</v>
      </c>
      <c r="G1263" s="9" t="s">
        <v>38801</v>
      </c>
      <c r="H1263" s="9" t="s">
        <v>42576</v>
      </c>
      <c r="I1263" s="9" t="b">
        <v>1</v>
      </c>
    </row>
    <row r="1264" ht="15.75" customHeight="1">
      <c r="A1264" s="9" t="s">
        <v>44810</v>
      </c>
      <c r="B1264" s="9" t="s">
        <v>52</v>
      </c>
      <c r="C1264" s="9" t="s">
        <v>40538</v>
      </c>
      <c r="D1264" s="9" t="s">
        <v>44811</v>
      </c>
      <c r="E1264" s="61">
        <v>44985.0</v>
      </c>
      <c r="F1264" s="9" t="b">
        <v>1</v>
      </c>
      <c r="G1264" s="9" t="s">
        <v>42585</v>
      </c>
      <c r="H1264" s="9" t="s">
        <v>42560</v>
      </c>
      <c r="I1264" s="9"/>
    </row>
    <row r="1265" ht="15.75" customHeight="1">
      <c r="A1265" s="9" t="s">
        <v>44812</v>
      </c>
      <c r="B1265" s="9" t="s">
        <v>47</v>
      </c>
      <c r="C1265" s="9" t="s">
        <v>40551</v>
      </c>
      <c r="D1265" s="9" t="s">
        <v>44813</v>
      </c>
      <c r="E1265" s="61">
        <v>44986.0</v>
      </c>
      <c r="F1265" s="9" t="b">
        <v>1</v>
      </c>
      <c r="G1265" s="9" t="s">
        <v>38801</v>
      </c>
      <c r="H1265" s="9" t="s">
        <v>42576</v>
      </c>
      <c r="I1265" s="9" t="b">
        <v>1</v>
      </c>
    </row>
    <row r="1266" ht="15.75" customHeight="1">
      <c r="A1266" s="9" t="s">
        <v>44814</v>
      </c>
      <c r="B1266" s="9" t="s">
        <v>131</v>
      </c>
      <c r="C1266" s="9" t="s">
        <v>40539</v>
      </c>
      <c r="D1266" s="9" t="s">
        <v>44815</v>
      </c>
      <c r="E1266" s="61">
        <v>44986.0</v>
      </c>
      <c r="F1266" s="9" t="b">
        <v>1</v>
      </c>
      <c r="G1266" s="9" t="s">
        <v>42573</v>
      </c>
      <c r="H1266" s="9" t="s">
        <v>42560</v>
      </c>
      <c r="I1266" s="9"/>
    </row>
    <row r="1267" ht="15.75" customHeight="1">
      <c r="A1267" s="9" t="s">
        <v>44816</v>
      </c>
      <c r="B1267" s="9" t="s">
        <v>47</v>
      </c>
      <c r="C1267" s="9" t="s">
        <v>40534</v>
      </c>
      <c r="D1267" s="9" t="s">
        <v>44817</v>
      </c>
      <c r="E1267" s="61">
        <v>44986.0</v>
      </c>
      <c r="F1267" s="9" t="b">
        <v>1</v>
      </c>
      <c r="G1267" s="9" t="s">
        <v>38801</v>
      </c>
      <c r="H1267" s="9" t="s">
        <v>42576</v>
      </c>
      <c r="I1267" s="9" t="b">
        <v>1</v>
      </c>
    </row>
    <row r="1268" ht="15.75" customHeight="1">
      <c r="A1268" s="9" t="s">
        <v>44818</v>
      </c>
      <c r="B1268" s="9" t="s">
        <v>47</v>
      </c>
      <c r="C1268" s="9" t="s">
        <v>40548</v>
      </c>
      <c r="D1268" s="9" t="s">
        <v>44819</v>
      </c>
      <c r="E1268" s="61">
        <v>44986.0</v>
      </c>
      <c r="F1268" s="9" t="b">
        <v>1</v>
      </c>
      <c r="G1268" s="9" t="s">
        <v>43228</v>
      </c>
      <c r="H1268" s="9" t="s">
        <v>42576</v>
      </c>
      <c r="I1268" s="9"/>
    </row>
    <row r="1269" ht="15.75" customHeight="1">
      <c r="A1269" s="9" t="s">
        <v>44820</v>
      </c>
      <c r="B1269" s="9" t="s">
        <v>47</v>
      </c>
      <c r="C1269" s="9" t="s">
        <v>40541</v>
      </c>
      <c r="D1269" s="9" t="s">
        <v>44821</v>
      </c>
      <c r="E1269" s="61">
        <v>44986.0</v>
      </c>
      <c r="F1269" s="9" t="b">
        <v>1</v>
      </c>
      <c r="G1269" s="9" t="s">
        <v>42573</v>
      </c>
      <c r="H1269" s="9" t="s">
        <v>42560</v>
      </c>
      <c r="I1269" s="9"/>
    </row>
    <row r="1270" ht="15.75" customHeight="1">
      <c r="A1270" s="9" t="s">
        <v>44822</v>
      </c>
      <c r="B1270" s="9" t="s">
        <v>131</v>
      </c>
      <c r="C1270" s="9" t="s">
        <v>40350</v>
      </c>
      <c r="D1270" s="9" t="s">
        <v>44823</v>
      </c>
      <c r="E1270" s="61">
        <v>44986.0</v>
      </c>
      <c r="F1270" s="9" t="b">
        <v>1</v>
      </c>
      <c r="G1270" s="9" t="s">
        <v>42573</v>
      </c>
      <c r="H1270" s="9" t="s">
        <v>42560</v>
      </c>
      <c r="I1270" s="9"/>
    </row>
    <row r="1271" ht="15.75" customHeight="1">
      <c r="A1271" s="9" t="s">
        <v>44824</v>
      </c>
      <c r="B1271" s="9" t="s">
        <v>47</v>
      </c>
      <c r="C1271" s="9" t="s">
        <v>40350</v>
      </c>
      <c r="D1271" s="9" t="s">
        <v>44825</v>
      </c>
      <c r="E1271" s="61">
        <v>44986.0</v>
      </c>
      <c r="F1271" s="9" t="b">
        <v>1</v>
      </c>
      <c r="G1271" s="9" t="s">
        <v>42573</v>
      </c>
      <c r="H1271" s="9" t="s">
        <v>42576</v>
      </c>
      <c r="I1271" s="9"/>
    </row>
    <row r="1272" ht="15.75" customHeight="1">
      <c r="A1272" s="9" t="s">
        <v>44826</v>
      </c>
      <c r="B1272" s="9" t="s">
        <v>47</v>
      </c>
      <c r="C1272" s="9" t="s">
        <v>40553</v>
      </c>
      <c r="D1272" s="9" t="s">
        <v>44827</v>
      </c>
      <c r="E1272" s="61">
        <v>44986.0</v>
      </c>
      <c r="F1272" s="9" t="b">
        <v>1</v>
      </c>
      <c r="G1272" s="9" t="s">
        <v>38801</v>
      </c>
      <c r="H1272" s="9" t="s">
        <v>42560</v>
      </c>
      <c r="I1272" s="9" t="b">
        <v>1</v>
      </c>
    </row>
    <row r="1273" ht="15.75" customHeight="1">
      <c r="A1273" s="9" t="s">
        <v>44828</v>
      </c>
      <c r="B1273" s="9" t="s">
        <v>26</v>
      </c>
      <c r="C1273" s="9" t="s">
        <v>40548</v>
      </c>
      <c r="D1273" s="9" t="s">
        <v>44829</v>
      </c>
      <c r="E1273" s="61">
        <v>44987.0</v>
      </c>
      <c r="F1273" s="9" t="b">
        <v>1</v>
      </c>
      <c r="G1273" s="9" t="s">
        <v>38801</v>
      </c>
      <c r="H1273" s="9" t="s">
        <v>42576</v>
      </c>
      <c r="I1273" s="9" t="b">
        <v>1</v>
      </c>
    </row>
    <row r="1274" ht="15.75" customHeight="1">
      <c r="A1274" s="9" t="s">
        <v>44830</v>
      </c>
      <c r="B1274" s="9" t="s">
        <v>26</v>
      </c>
      <c r="C1274" s="9" t="s">
        <v>40548</v>
      </c>
      <c r="D1274" s="9" t="s">
        <v>44831</v>
      </c>
      <c r="E1274" s="61">
        <v>44987.0</v>
      </c>
      <c r="F1274" s="9" t="b">
        <v>1</v>
      </c>
      <c r="G1274" s="9" t="s">
        <v>38801</v>
      </c>
      <c r="H1274" s="9" t="s">
        <v>42560</v>
      </c>
      <c r="I1274" s="9" t="b">
        <v>1</v>
      </c>
    </row>
    <row r="1275" ht="15.75" customHeight="1">
      <c r="A1275" s="9" t="s">
        <v>44832</v>
      </c>
      <c r="B1275" s="9" t="s">
        <v>26</v>
      </c>
      <c r="C1275" s="9" t="s">
        <v>40566</v>
      </c>
      <c r="D1275" s="9" t="s">
        <v>44833</v>
      </c>
      <c r="E1275" s="61">
        <v>44987.0</v>
      </c>
      <c r="F1275" s="9" t="b">
        <v>1</v>
      </c>
      <c r="G1275" s="9" t="s">
        <v>38801</v>
      </c>
      <c r="H1275" s="9" t="s">
        <v>42576</v>
      </c>
      <c r="I1275" s="9" t="b">
        <v>1</v>
      </c>
    </row>
    <row r="1276" ht="15.75" customHeight="1">
      <c r="A1276" s="9" t="s">
        <v>44834</v>
      </c>
      <c r="B1276" s="9" t="s">
        <v>26</v>
      </c>
      <c r="C1276" s="9" t="s">
        <v>40402</v>
      </c>
      <c r="D1276" s="9" t="s">
        <v>44835</v>
      </c>
      <c r="E1276" s="61">
        <v>44987.0</v>
      </c>
      <c r="F1276" s="9" t="b">
        <v>1</v>
      </c>
      <c r="G1276" s="9" t="s">
        <v>42573</v>
      </c>
      <c r="H1276" s="9" t="s">
        <v>42560</v>
      </c>
      <c r="I1276" s="9"/>
    </row>
    <row r="1277" ht="15.75" customHeight="1">
      <c r="A1277" s="9" t="s">
        <v>44836</v>
      </c>
      <c r="B1277" s="9" t="s">
        <v>26</v>
      </c>
      <c r="C1277" s="9" t="s">
        <v>40555</v>
      </c>
      <c r="D1277" s="9" t="s">
        <v>44837</v>
      </c>
      <c r="E1277" s="61">
        <v>44987.0</v>
      </c>
      <c r="F1277" s="9" t="b">
        <v>1</v>
      </c>
      <c r="G1277" s="9" t="s">
        <v>38801</v>
      </c>
      <c r="H1277" s="9" t="s">
        <v>42576</v>
      </c>
      <c r="I1277" s="9" t="b">
        <v>1</v>
      </c>
    </row>
    <row r="1278" ht="15.75" customHeight="1">
      <c r="A1278" s="9" t="s">
        <v>44838</v>
      </c>
      <c r="B1278" s="9" t="s">
        <v>26</v>
      </c>
      <c r="C1278" s="52" t="s">
        <v>40404</v>
      </c>
      <c r="D1278" s="9" t="s">
        <v>44839</v>
      </c>
      <c r="E1278" s="61">
        <v>44987.0</v>
      </c>
      <c r="F1278" s="9" t="b">
        <v>1</v>
      </c>
      <c r="G1278" s="9" t="s">
        <v>42573</v>
      </c>
      <c r="H1278" s="9" t="s">
        <v>42560</v>
      </c>
      <c r="I1278" s="9"/>
    </row>
    <row r="1279" ht="15.75" customHeight="1">
      <c r="A1279" s="9" t="s">
        <v>44840</v>
      </c>
      <c r="B1279" s="9" t="s">
        <v>47</v>
      </c>
      <c r="C1279" s="9" t="s">
        <v>40568</v>
      </c>
      <c r="D1279" s="9" t="s">
        <v>44841</v>
      </c>
      <c r="E1279" s="61">
        <v>44988.0</v>
      </c>
      <c r="F1279" s="9" t="b">
        <v>1</v>
      </c>
      <c r="G1279" s="9" t="s">
        <v>43228</v>
      </c>
      <c r="H1279" s="9" t="s">
        <v>42576</v>
      </c>
      <c r="I1279" s="9"/>
    </row>
    <row r="1280" ht="15.75" customHeight="1">
      <c r="A1280" s="9" t="s">
        <v>44842</v>
      </c>
      <c r="B1280" s="9" t="s">
        <v>47</v>
      </c>
      <c r="C1280" s="9" t="s">
        <v>39915</v>
      </c>
      <c r="D1280" s="9" t="s">
        <v>44843</v>
      </c>
      <c r="E1280" s="61">
        <v>44988.0</v>
      </c>
      <c r="F1280" s="9" t="b">
        <v>1</v>
      </c>
      <c r="G1280" s="9" t="s">
        <v>38801</v>
      </c>
      <c r="H1280" s="9" t="s">
        <v>42560</v>
      </c>
      <c r="I1280" s="9" t="b">
        <v>1</v>
      </c>
    </row>
    <row r="1281" ht="15.75" customHeight="1">
      <c r="A1281" s="9" t="s">
        <v>44844</v>
      </c>
      <c r="B1281" s="9" t="s">
        <v>131</v>
      </c>
      <c r="C1281" s="9" t="s">
        <v>40530</v>
      </c>
      <c r="D1281" s="9" t="s">
        <v>44845</v>
      </c>
      <c r="E1281" s="61">
        <v>44988.0</v>
      </c>
      <c r="F1281" s="9" t="b">
        <v>1</v>
      </c>
      <c r="G1281" s="9" t="s">
        <v>38801</v>
      </c>
      <c r="H1281" s="9" t="s">
        <v>42576</v>
      </c>
      <c r="I1281" s="9" t="b">
        <v>1</v>
      </c>
    </row>
    <row r="1282" ht="15.75" customHeight="1">
      <c r="A1282" s="9" t="s">
        <v>44846</v>
      </c>
      <c r="B1282" s="9" t="s">
        <v>47</v>
      </c>
      <c r="C1282" s="9" t="s">
        <v>40538</v>
      </c>
      <c r="D1282" s="9" t="s">
        <v>44847</v>
      </c>
      <c r="E1282" s="61">
        <v>44988.0</v>
      </c>
      <c r="F1282" s="9" t="b">
        <v>1</v>
      </c>
      <c r="G1282" s="9" t="s">
        <v>38801</v>
      </c>
      <c r="H1282" s="9" t="s">
        <v>42576</v>
      </c>
      <c r="I1282" s="9" t="b">
        <v>1</v>
      </c>
    </row>
    <row r="1283" ht="15.75" customHeight="1">
      <c r="A1283" s="9" t="s">
        <v>44848</v>
      </c>
      <c r="B1283" s="9" t="s">
        <v>47</v>
      </c>
      <c r="C1283" s="9" t="s">
        <v>40557</v>
      </c>
      <c r="D1283" s="9" t="s">
        <v>44849</v>
      </c>
      <c r="E1283" s="61">
        <v>44991.0</v>
      </c>
      <c r="F1283" s="9" t="b">
        <v>1</v>
      </c>
      <c r="G1283" s="9" t="s">
        <v>43228</v>
      </c>
      <c r="H1283" s="9" t="s">
        <v>42560</v>
      </c>
      <c r="I1283" s="9"/>
    </row>
    <row r="1284" ht="15.75" customHeight="1">
      <c r="A1284" s="9" t="s">
        <v>44850</v>
      </c>
      <c r="B1284" s="9" t="s">
        <v>47</v>
      </c>
      <c r="C1284" s="9" t="s">
        <v>40574</v>
      </c>
      <c r="D1284" s="9" t="s">
        <v>44851</v>
      </c>
      <c r="E1284" s="61">
        <v>44991.0</v>
      </c>
      <c r="F1284" s="9" t="b">
        <v>1</v>
      </c>
      <c r="G1284" s="9" t="s">
        <v>38801</v>
      </c>
      <c r="H1284" s="9" t="s">
        <v>42560</v>
      </c>
      <c r="I1284" s="9" t="b">
        <v>1</v>
      </c>
    </row>
    <row r="1285" ht="15.75" customHeight="1">
      <c r="A1285" s="9" t="s">
        <v>44852</v>
      </c>
      <c r="B1285" s="9" t="s">
        <v>47</v>
      </c>
      <c r="C1285" s="9" t="s">
        <v>40572</v>
      </c>
      <c r="D1285" s="9" t="s">
        <v>44853</v>
      </c>
      <c r="E1285" s="61">
        <v>44991.0</v>
      </c>
      <c r="F1285" s="9" t="b">
        <v>1</v>
      </c>
      <c r="G1285" s="9" t="s">
        <v>38801</v>
      </c>
      <c r="H1285" s="9" t="s">
        <v>42576</v>
      </c>
      <c r="I1285" s="9" t="b">
        <v>1</v>
      </c>
    </row>
    <row r="1286" ht="15.75" customHeight="1">
      <c r="A1286" s="9" t="s">
        <v>44854</v>
      </c>
      <c r="B1286" s="9" t="s">
        <v>47</v>
      </c>
      <c r="C1286" s="9" t="s">
        <v>40570</v>
      </c>
      <c r="D1286" s="9" t="s">
        <v>44855</v>
      </c>
      <c r="E1286" s="61">
        <v>44991.0</v>
      </c>
      <c r="F1286" s="9" t="b">
        <v>1</v>
      </c>
      <c r="G1286" s="9" t="s">
        <v>38801</v>
      </c>
      <c r="H1286" s="9" t="s">
        <v>42576</v>
      </c>
      <c r="I1286" s="9" t="b">
        <v>1</v>
      </c>
    </row>
    <row r="1287" ht="15.75" customHeight="1">
      <c r="A1287" s="9" t="s">
        <v>44856</v>
      </c>
      <c r="B1287" s="9" t="s">
        <v>52</v>
      </c>
      <c r="C1287" s="9" t="s">
        <v>40542</v>
      </c>
      <c r="D1287" s="9" t="s">
        <v>44857</v>
      </c>
      <c r="E1287" s="61">
        <v>44992.0</v>
      </c>
      <c r="F1287" s="9" t="b">
        <v>1</v>
      </c>
      <c r="G1287" s="9" t="s">
        <v>38801</v>
      </c>
      <c r="H1287" s="9" t="s">
        <v>42576</v>
      </c>
      <c r="I1287" s="9" t="b">
        <v>1</v>
      </c>
    </row>
    <row r="1288" ht="15.75" customHeight="1">
      <c r="A1288" s="9" t="s">
        <v>44858</v>
      </c>
      <c r="B1288" s="9" t="s">
        <v>47</v>
      </c>
      <c r="C1288" s="9" t="s">
        <v>40576</v>
      </c>
      <c r="D1288" s="9" t="s">
        <v>44859</v>
      </c>
      <c r="E1288" s="61">
        <v>44992.0</v>
      </c>
      <c r="F1288" s="9" t="b">
        <v>1</v>
      </c>
      <c r="G1288" s="9" t="s">
        <v>43228</v>
      </c>
      <c r="H1288" s="9" t="s">
        <v>42576</v>
      </c>
      <c r="I1288" s="9"/>
    </row>
    <row r="1289" ht="15.75" customHeight="1">
      <c r="A1289" s="9" t="s">
        <v>44860</v>
      </c>
      <c r="B1289" s="9" t="s">
        <v>52</v>
      </c>
      <c r="C1289" s="9" t="s">
        <v>40578</v>
      </c>
      <c r="D1289" s="9" t="s">
        <v>44861</v>
      </c>
      <c r="E1289" s="61">
        <v>44992.0</v>
      </c>
      <c r="F1289" s="9" t="b">
        <v>1</v>
      </c>
      <c r="G1289" s="9" t="s">
        <v>38801</v>
      </c>
      <c r="H1289" s="9" t="s">
        <v>42576</v>
      </c>
      <c r="I1289" s="9" t="b">
        <v>1</v>
      </c>
    </row>
    <row r="1290" ht="15.75" customHeight="1">
      <c r="A1290" s="9" t="s">
        <v>44862</v>
      </c>
      <c r="B1290" s="9" t="s">
        <v>52</v>
      </c>
      <c r="C1290" s="9" t="s">
        <v>40445</v>
      </c>
      <c r="D1290" s="9" t="s">
        <v>44863</v>
      </c>
      <c r="E1290" s="61">
        <v>44992.0</v>
      </c>
      <c r="F1290" s="9" t="b">
        <v>1</v>
      </c>
      <c r="G1290" s="9" t="s">
        <v>38801</v>
      </c>
      <c r="H1290" s="9" t="s">
        <v>42576</v>
      </c>
      <c r="I1290" s="9" t="b">
        <v>1</v>
      </c>
    </row>
    <row r="1291" ht="15.75" customHeight="1">
      <c r="A1291" s="9" t="s">
        <v>44864</v>
      </c>
      <c r="B1291" s="9" t="s">
        <v>52</v>
      </c>
      <c r="C1291" s="9" t="s">
        <v>39517</v>
      </c>
      <c r="D1291" s="9" t="s">
        <v>44865</v>
      </c>
      <c r="E1291" s="61">
        <v>44993.0</v>
      </c>
      <c r="F1291" s="9" t="b">
        <v>1</v>
      </c>
      <c r="G1291" s="9" t="s">
        <v>42585</v>
      </c>
      <c r="H1291" s="9" t="s">
        <v>42560</v>
      </c>
      <c r="I1291" s="9"/>
    </row>
    <row r="1292" ht="15.75" customHeight="1">
      <c r="A1292" s="9" t="s">
        <v>44866</v>
      </c>
      <c r="B1292" s="9" t="s">
        <v>52</v>
      </c>
      <c r="C1292" s="9" t="s">
        <v>40583</v>
      </c>
      <c r="D1292" s="9" t="s">
        <v>44867</v>
      </c>
      <c r="E1292" s="61">
        <v>44993.0</v>
      </c>
      <c r="F1292" s="9" t="b">
        <v>1</v>
      </c>
      <c r="G1292" s="9" t="s">
        <v>38801</v>
      </c>
      <c r="H1292" s="9" t="s">
        <v>42576</v>
      </c>
      <c r="I1292" s="9" t="b">
        <v>1</v>
      </c>
    </row>
    <row r="1293" ht="15.75" customHeight="1">
      <c r="A1293" s="9" t="s">
        <v>44868</v>
      </c>
      <c r="B1293" s="9" t="s">
        <v>52</v>
      </c>
      <c r="C1293" s="9" t="s">
        <v>40225</v>
      </c>
      <c r="D1293" s="9" t="s">
        <v>44210</v>
      </c>
      <c r="E1293" s="61">
        <v>44993.0</v>
      </c>
      <c r="F1293" s="9" t="b">
        <v>1</v>
      </c>
      <c r="G1293" s="9" t="s">
        <v>38801</v>
      </c>
      <c r="H1293" s="9" t="s">
        <v>42576</v>
      </c>
      <c r="I1293" s="9" t="b">
        <v>1</v>
      </c>
    </row>
    <row r="1294" ht="15.75" customHeight="1">
      <c r="A1294" s="9" t="s">
        <v>44869</v>
      </c>
      <c r="B1294" s="9" t="s">
        <v>52</v>
      </c>
      <c r="C1294" s="9" t="s">
        <v>40564</v>
      </c>
      <c r="D1294" s="9" t="s">
        <v>44870</v>
      </c>
      <c r="E1294" s="61">
        <v>44993.0</v>
      </c>
      <c r="F1294" s="9" t="b">
        <v>1</v>
      </c>
      <c r="G1294" s="9" t="s">
        <v>38801</v>
      </c>
      <c r="H1294" s="9" t="s">
        <v>42576</v>
      </c>
      <c r="I1294" s="9" t="b">
        <v>1</v>
      </c>
    </row>
    <row r="1295" ht="15.75" customHeight="1">
      <c r="A1295" s="9" t="s">
        <v>44871</v>
      </c>
      <c r="B1295" s="9" t="s">
        <v>52</v>
      </c>
      <c r="C1295" s="9" t="s">
        <v>40584</v>
      </c>
      <c r="D1295" s="9" t="s">
        <v>44872</v>
      </c>
      <c r="E1295" s="61">
        <v>44993.0</v>
      </c>
      <c r="F1295" s="9" t="b">
        <v>1</v>
      </c>
      <c r="G1295" s="9" t="s">
        <v>38801</v>
      </c>
      <c r="H1295" s="9" t="s">
        <v>42576</v>
      </c>
      <c r="I1295" s="9" t="b">
        <v>1</v>
      </c>
    </row>
    <row r="1296" ht="15.75" customHeight="1">
      <c r="A1296" s="9" t="s">
        <v>44873</v>
      </c>
      <c r="B1296" s="9" t="s">
        <v>52</v>
      </c>
      <c r="C1296" s="52" t="s">
        <v>40404</v>
      </c>
      <c r="D1296" s="9" t="s">
        <v>44874</v>
      </c>
      <c r="E1296" s="61">
        <v>44993.0</v>
      </c>
      <c r="F1296" s="9" t="b">
        <v>1</v>
      </c>
      <c r="G1296" s="9" t="s">
        <v>43228</v>
      </c>
      <c r="H1296" s="9" t="s">
        <v>42576</v>
      </c>
      <c r="I1296" s="9"/>
    </row>
    <row r="1297" ht="15.75" customHeight="1">
      <c r="A1297" s="9" t="s">
        <v>44875</v>
      </c>
      <c r="B1297" s="9" t="s">
        <v>47</v>
      </c>
      <c r="C1297" s="9" t="s">
        <v>40350</v>
      </c>
      <c r="D1297" s="9" t="s">
        <v>44876</v>
      </c>
      <c r="E1297" s="61">
        <v>44994.0</v>
      </c>
      <c r="F1297" s="9" t="b">
        <v>1</v>
      </c>
      <c r="G1297" s="9" t="s">
        <v>42573</v>
      </c>
      <c r="H1297" s="9" t="s">
        <v>42576</v>
      </c>
      <c r="I1297" s="9"/>
    </row>
    <row r="1298" ht="15.75" customHeight="1">
      <c r="A1298" s="9" t="s">
        <v>44877</v>
      </c>
      <c r="B1298" s="9" t="s">
        <v>47</v>
      </c>
      <c r="C1298" s="9" t="s">
        <v>40585</v>
      </c>
      <c r="D1298" s="9" t="s">
        <v>44878</v>
      </c>
      <c r="E1298" s="61">
        <v>44994.0</v>
      </c>
      <c r="F1298" s="9" t="b">
        <v>1</v>
      </c>
      <c r="G1298" s="9" t="s">
        <v>43228</v>
      </c>
      <c r="H1298" s="9" t="s">
        <v>42576</v>
      </c>
      <c r="I1298" s="9"/>
    </row>
    <row r="1299" ht="15.75" customHeight="1">
      <c r="A1299" s="9" t="s">
        <v>44879</v>
      </c>
      <c r="B1299" s="9" t="s">
        <v>47</v>
      </c>
      <c r="C1299" s="9" t="s">
        <v>40579</v>
      </c>
      <c r="D1299" s="9" t="s">
        <v>44880</v>
      </c>
      <c r="E1299" s="61">
        <v>44994.0</v>
      </c>
      <c r="F1299" s="9" t="b">
        <v>1</v>
      </c>
      <c r="G1299" s="9" t="s">
        <v>43228</v>
      </c>
      <c r="H1299" s="9" t="s">
        <v>42576</v>
      </c>
      <c r="I1299" s="9"/>
    </row>
    <row r="1300" ht="15.75" customHeight="1">
      <c r="A1300" s="9" t="s">
        <v>44881</v>
      </c>
      <c r="B1300" s="9" t="s">
        <v>47</v>
      </c>
      <c r="C1300" s="9" t="s">
        <v>40587</v>
      </c>
      <c r="D1300" s="9" t="s">
        <v>44882</v>
      </c>
      <c r="E1300" s="61">
        <v>44995.0</v>
      </c>
      <c r="F1300" s="9" t="b">
        <v>1</v>
      </c>
      <c r="G1300" s="9" t="s">
        <v>43228</v>
      </c>
      <c r="H1300" s="9" t="s">
        <v>42576</v>
      </c>
      <c r="I1300" s="9"/>
    </row>
    <row r="1301" ht="15.75" customHeight="1">
      <c r="A1301" s="9" t="s">
        <v>44883</v>
      </c>
      <c r="B1301" s="9" t="s">
        <v>47</v>
      </c>
      <c r="C1301" s="9" t="s">
        <v>40589</v>
      </c>
      <c r="D1301" s="9" t="s">
        <v>44884</v>
      </c>
      <c r="E1301" s="61">
        <v>44995.0</v>
      </c>
      <c r="F1301" s="9" t="b">
        <v>1</v>
      </c>
      <c r="G1301" s="9" t="s">
        <v>38801</v>
      </c>
      <c r="H1301" s="9" t="s">
        <v>42576</v>
      </c>
      <c r="I1301" s="9" t="b">
        <v>1</v>
      </c>
    </row>
    <row r="1302" ht="15.75" customHeight="1">
      <c r="A1302" s="9" t="s">
        <v>44885</v>
      </c>
      <c r="B1302" s="9" t="s">
        <v>47</v>
      </c>
      <c r="C1302" s="9" t="s">
        <v>40587</v>
      </c>
      <c r="D1302" s="9" t="s">
        <v>44886</v>
      </c>
      <c r="E1302" s="61">
        <v>44995.0</v>
      </c>
      <c r="F1302" s="9" t="b">
        <v>1</v>
      </c>
      <c r="G1302" s="9" t="s">
        <v>38801</v>
      </c>
      <c r="H1302" s="9" t="s">
        <v>42576</v>
      </c>
      <c r="I1302" s="9" t="b">
        <v>1</v>
      </c>
    </row>
    <row r="1303" ht="15.75" customHeight="1">
      <c r="A1303" s="9" t="s">
        <v>44887</v>
      </c>
      <c r="B1303" s="9" t="s">
        <v>47</v>
      </c>
      <c r="C1303" s="9" t="s">
        <v>40579</v>
      </c>
      <c r="D1303" s="9" t="s">
        <v>43895</v>
      </c>
      <c r="E1303" s="61">
        <v>44995.0</v>
      </c>
      <c r="F1303" s="9" t="b">
        <v>1</v>
      </c>
      <c r="G1303" s="9" t="s">
        <v>38801</v>
      </c>
      <c r="H1303" s="9" t="s">
        <v>42576</v>
      </c>
      <c r="I1303" s="9" t="b">
        <v>1</v>
      </c>
    </row>
    <row r="1304" ht="15.75" customHeight="1">
      <c r="A1304" s="9" t="s">
        <v>44888</v>
      </c>
      <c r="B1304" s="9" t="s">
        <v>52</v>
      </c>
      <c r="C1304" s="9" t="s">
        <v>39269</v>
      </c>
      <c r="D1304" s="9" t="s">
        <v>44210</v>
      </c>
      <c r="E1304" s="61">
        <v>44995.0</v>
      </c>
      <c r="F1304" s="9" t="b">
        <v>1</v>
      </c>
      <c r="G1304" s="9" t="s">
        <v>38801</v>
      </c>
      <c r="H1304" s="9" t="s">
        <v>42576</v>
      </c>
      <c r="I1304" s="9" t="b">
        <v>1</v>
      </c>
    </row>
    <row r="1305" ht="15.75" customHeight="1">
      <c r="A1305" s="9" t="s">
        <v>44889</v>
      </c>
      <c r="B1305" s="9" t="s">
        <v>26</v>
      </c>
      <c r="C1305" s="9" t="s">
        <v>40562</v>
      </c>
      <c r="D1305" s="9" t="s">
        <v>44890</v>
      </c>
      <c r="E1305" s="61">
        <v>44998.0</v>
      </c>
      <c r="F1305" s="9" t="b">
        <v>1</v>
      </c>
      <c r="G1305" s="9" t="s">
        <v>38801</v>
      </c>
      <c r="H1305" s="9" t="s">
        <v>42560</v>
      </c>
      <c r="I1305" s="9" t="b">
        <v>1</v>
      </c>
    </row>
    <row r="1306" ht="15.75" customHeight="1">
      <c r="A1306" s="9" t="s">
        <v>44891</v>
      </c>
      <c r="B1306" s="9" t="s">
        <v>52</v>
      </c>
      <c r="C1306" s="9" t="s">
        <v>40590</v>
      </c>
      <c r="D1306" s="9" t="s">
        <v>44892</v>
      </c>
      <c r="E1306" s="61">
        <v>44998.0</v>
      </c>
      <c r="F1306" s="9" t="b">
        <v>1</v>
      </c>
      <c r="G1306" s="9" t="s">
        <v>38801</v>
      </c>
      <c r="H1306" s="9" t="s">
        <v>42576</v>
      </c>
      <c r="I1306" s="9" t="b">
        <v>1</v>
      </c>
    </row>
    <row r="1307" ht="15.75" customHeight="1">
      <c r="A1307" s="9" t="s">
        <v>44893</v>
      </c>
      <c r="B1307" s="9" t="s">
        <v>52</v>
      </c>
      <c r="C1307" s="9" t="s">
        <v>40591</v>
      </c>
      <c r="D1307" s="9" t="s">
        <v>44894</v>
      </c>
      <c r="E1307" s="61">
        <v>44998.0</v>
      </c>
      <c r="F1307" s="9" t="b">
        <v>1</v>
      </c>
      <c r="G1307" s="9" t="s">
        <v>38801</v>
      </c>
      <c r="H1307" s="9" t="s">
        <v>42576</v>
      </c>
      <c r="I1307" s="9" t="b">
        <v>1</v>
      </c>
    </row>
    <row r="1308" ht="15.75" customHeight="1">
      <c r="A1308" s="9" t="s">
        <v>44895</v>
      </c>
      <c r="B1308" s="9" t="s">
        <v>47</v>
      </c>
      <c r="C1308" s="9" t="s">
        <v>40568</v>
      </c>
      <c r="D1308" s="9" t="s">
        <v>44896</v>
      </c>
      <c r="E1308" s="61">
        <v>45000.0</v>
      </c>
      <c r="F1308" s="9" t="b">
        <v>1</v>
      </c>
      <c r="G1308" s="9" t="s">
        <v>38801</v>
      </c>
      <c r="H1308" s="9" t="s">
        <v>42576</v>
      </c>
      <c r="I1308" s="9" t="b">
        <v>1</v>
      </c>
    </row>
    <row r="1309" ht="15.75" customHeight="1">
      <c r="A1309" s="9" t="s">
        <v>44897</v>
      </c>
      <c r="B1309" s="9" t="s">
        <v>52</v>
      </c>
      <c r="C1309" s="9" t="s">
        <v>39151</v>
      </c>
      <c r="D1309" s="9" t="s">
        <v>44210</v>
      </c>
      <c r="E1309" s="61">
        <v>45001.0</v>
      </c>
      <c r="F1309" s="9" t="b">
        <v>1</v>
      </c>
      <c r="G1309" s="9" t="s">
        <v>38801</v>
      </c>
      <c r="H1309" s="9" t="s">
        <v>42576</v>
      </c>
      <c r="I1309" s="9" t="b">
        <v>1</v>
      </c>
    </row>
    <row r="1310" ht="15.75" customHeight="1">
      <c r="A1310" s="9" t="s">
        <v>44898</v>
      </c>
      <c r="B1310" s="9" t="s">
        <v>76</v>
      </c>
      <c r="C1310" s="9" t="s">
        <v>40350</v>
      </c>
      <c r="D1310" s="9" t="s">
        <v>44899</v>
      </c>
      <c r="E1310" s="61">
        <v>45002.0</v>
      </c>
      <c r="F1310" s="9" t="b">
        <v>1</v>
      </c>
      <c r="G1310" s="9" t="s">
        <v>38801</v>
      </c>
      <c r="H1310" s="9" t="s">
        <v>42560</v>
      </c>
      <c r="I1310" s="9" t="b">
        <v>1</v>
      </c>
    </row>
    <row r="1311" ht="15.75" customHeight="1">
      <c r="A1311" s="9" t="s">
        <v>44900</v>
      </c>
      <c r="B1311" s="9" t="s">
        <v>47</v>
      </c>
      <c r="C1311" s="9" t="s">
        <v>40539</v>
      </c>
      <c r="D1311" s="9" t="s">
        <v>44901</v>
      </c>
      <c r="E1311" s="61">
        <v>45002.0</v>
      </c>
      <c r="F1311" s="9" t="b">
        <v>1</v>
      </c>
      <c r="G1311" s="9" t="s">
        <v>42632</v>
      </c>
      <c r="H1311" s="9" t="s">
        <v>42560</v>
      </c>
      <c r="I1311" s="9"/>
    </row>
    <row r="1312" ht="15.75" customHeight="1">
      <c r="A1312" s="9" t="s">
        <v>44902</v>
      </c>
      <c r="B1312" s="9" t="s">
        <v>47</v>
      </c>
      <c r="C1312" s="9" t="s">
        <v>40420</v>
      </c>
      <c r="D1312" s="9" t="s">
        <v>44903</v>
      </c>
      <c r="E1312" s="61">
        <v>45002.0</v>
      </c>
      <c r="F1312" s="9" t="b">
        <v>1</v>
      </c>
      <c r="G1312" s="9" t="s">
        <v>42585</v>
      </c>
      <c r="H1312" s="9" t="s">
        <v>42576</v>
      </c>
      <c r="I1312" s="9"/>
    </row>
    <row r="1313" ht="15.75" customHeight="1">
      <c r="A1313" s="9" t="s">
        <v>44904</v>
      </c>
      <c r="B1313" s="9" t="s">
        <v>76</v>
      </c>
      <c r="C1313" s="9" t="s">
        <v>40541</v>
      </c>
      <c r="D1313" s="9" t="s">
        <v>44905</v>
      </c>
      <c r="E1313" s="61">
        <v>45002.0</v>
      </c>
      <c r="F1313" s="9" t="b">
        <v>1</v>
      </c>
      <c r="G1313" s="9" t="s">
        <v>38801</v>
      </c>
      <c r="H1313" s="9" t="s">
        <v>42560</v>
      </c>
      <c r="I1313" s="9" t="b">
        <v>1</v>
      </c>
    </row>
    <row r="1314" ht="15.75" customHeight="1">
      <c r="A1314" s="9" t="s">
        <v>44906</v>
      </c>
      <c r="B1314" s="9" t="s">
        <v>52</v>
      </c>
      <c r="C1314" s="9" t="s">
        <v>40604</v>
      </c>
      <c r="D1314" s="9" t="s">
        <v>44907</v>
      </c>
      <c r="E1314" s="61">
        <v>45002.0</v>
      </c>
      <c r="F1314" s="9" t="b">
        <v>1</v>
      </c>
      <c r="G1314" s="9" t="s">
        <v>38801</v>
      </c>
      <c r="H1314" s="9" t="s">
        <v>42576</v>
      </c>
      <c r="I1314" s="9" t="b">
        <v>1</v>
      </c>
    </row>
    <row r="1315" ht="15.75" customHeight="1">
      <c r="A1315" s="9" t="s">
        <v>44908</v>
      </c>
      <c r="B1315" s="9" t="s">
        <v>52</v>
      </c>
      <c r="C1315" s="9" t="s">
        <v>40602</v>
      </c>
      <c r="D1315" s="9" t="s">
        <v>44909</v>
      </c>
      <c r="E1315" s="61">
        <v>45002.0</v>
      </c>
      <c r="F1315" s="9" t="b">
        <v>1</v>
      </c>
      <c r="G1315" s="9" t="s">
        <v>38801</v>
      </c>
      <c r="H1315" s="9" t="s">
        <v>42576</v>
      </c>
      <c r="I1315" s="9" t="b">
        <v>1</v>
      </c>
    </row>
    <row r="1316" ht="15.75" customHeight="1">
      <c r="A1316" s="9" t="s">
        <v>44910</v>
      </c>
      <c r="B1316" s="9" t="s">
        <v>76</v>
      </c>
      <c r="C1316" s="9" t="s">
        <v>40560</v>
      </c>
      <c r="D1316" s="9" t="s">
        <v>44911</v>
      </c>
      <c r="E1316" s="61">
        <v>45002.0</v>
      </c>
      <c r="F1316" s="9" t="b">
        <v>1</v>
      </c>
      <c r="G1316" s="9" t="s">
        <v>38801</v>
      </c>
      <c r="H1316" s="9" t="s">
        <v>42560</v>
      </c>
      <c r="I1316" s="9" t="b">
        <v>1</v>
      </c>
    </row>
    <row r="1317" ht="15.75" customHeight="1">
      <c r="A1317" s="9" t="s">
        <v>44912</v>
      </c>
      <c r="B1317" s="9" t="s">
        <v>47</v>
      </c>
      <c r="C1317" s="9" t="s">
        <v>40560</v>
      </c>
      <c r="D1317" s="9" t="s">
        <v>44913</v>
      </c>
      <c r="E1317" s="61">
        <v>45002.0</v>
      </c>
      <c r="F1317" s="9" t="b">
        <v>1</v>
      </c>
      <c r="G1317" s="9" t="s">
        <v>42573</v>
      </c>
      <c r="H1317" s="9" t="s">
        <v>42576</v>
      </c>
      <c r="I1317" s="9"/>
    </row>
    <row r="1318" ht="15.75" customHeight="1">
      <c r="A1318" s="9" t="s">
        <v>44914</v>
      </c>
      <c r="B1318" s="9" t="s">
        <v>47</v>
      </c>
      <c r="C1318" s="9" t="s">
        <v>40598</v>
      </c>
      <c r="D1318" s="9" t="s">
        <v>44915</v>
      </c>
      <c r="E1318" s="61">
        <v>45002.0</v>
      </c>
      <c r="F1318" s="9" t="b">
        <v>1</v>
      </c>
      <c r="G1318" s="9" t="s">
        <v>42573</v>
      </c>
      <c r="H1318" s="9" t="s">
        <v>42576</v>
      </c>
      <c r="I1318" s="9"/>
    </row>
    <row r="1319" ht="15.75" customHeight="1">
      <c r="A1319" s="52" t="s">
        <v>44916</v>
      </c>
      <c r="B1319" s="9" t="s">
        <v>47</v>
      </c>
      <c r="C1319" s="9" t="s">
        <v>40600</v>
      </c>
      <c r="D1319" s="9" t="s">
        <v>44917</v>
      </c>
      <c r="E1319" s="61">
        <v>45002.0</v>
      </c>
      <c r="F1319" s="9" t="b">
        <v>1</v>
      </c>
      <c r="G1319" s="9" t="s">
        <v>42573</v>
      </c>
      <c r="H1319" s="9" t="s">
        <v>42576</v>
      </c>
      <c r="I1319" s="9"/>
    </row>
    <row r="1320" ht="15.75" customHeight="1">
      <c r="A1320" s="9" t="s">
        <v>44918</v>
      </c>
      <c r="B1320" s="9" t="s">
        <v>47</v>
      </c>
      <c r="C1320" s="9" t="s">
        <v>40581</v>
      </c>
      <c r="D1320" s="9" t="s">
        <v>44919</v>
      </c>
      <c r="E1320" s="61">
        <v>45005.0</v>
      </c>
      <c r="F1320" s="9" t="b">
        <v>1</v>
      </c>
      <c r="G1320" s="9" t="s">
        <v>38801</v>
      </c>
      <c r="H1320" s="9" t="s">
        <v>42560</v>
      </c>
      <c r="I1320" s="9" t="b">
        <v>1</v>
      </c>
    </row>
    <row r="1321" ht="15.75" customHeight="1">
      <c r="A1321" s="9" t="s">
        <v>44920</v>
      </c>
      <c r="B1321" s="9" t="s">
        <v>47</v>
      </c>
      <c r="C1321" s="9" t="s">
        <v>39517</v>
      </c>
      <c r="D1321" s="9" t="s">
        <v>44921</v>
      </c>
      <c r="E1321" s="61">
        <v>45005.0</v>
      </c>
      <c r="F1321" s="9" t="b">
        <v>1</v>
      </c>
      <c r="G1321" s="9" t="s">
        <v>42585</v>
      </c>
      <c r="H1321" s="9" t="s">
        <v>42560</v>
      </c>
      <c r="I1321" s="9"/>
    </row>
    <row r="1322" ht="15.75" customHeight="1">
      <c r="A1322" s="9" t="s">
        <v>44922</v>
      </c>
      <c r="B1322" s="9" t="s">
        <v>47</v>
      </c>
      <c r="C1322" s="9" t="s">
        <v>40550</v>
      </c>
      <c r="D1322" s="9" t="s">
        <v>44923</v>
      </c>
      <c r="E1322" s="61">
        <v>45005.0</v>
      </c>
      <c r="F1322" s="9" t="b">
        <v>1</v>
      </c>
      <c r="G1322" s="9" t="s">
        <v>38801</v>
      </c>
      <c r="H1322" s="9" t="s">
        <v>42576</v>
      </c>
      <c r="I1322" s="9" t="b">
        <v>1</v>
      </c>
    </row>
    <row r="1323" ht="15.75" customHeight="1">
      <c r="A1323" s="9" t="s">
        <v>44924</v>
      </c>
      <c r="B1323" s="9" t="s">
        <v>47</v>
      </c>
      <c r="C1323" s="9" t="s">
        <v>40559</v>
      </c>
      <c r="D1323" s="9" t="s">
        <v>44925</v>
      </c>
      <c r="E1323" s="61">
        <v>45005.0</v>
      </c>
      <c r="F1323" s="9" t="b">
        <v>1</v>
      </c>
      <c r="G1323" s="9" t="s">
        <v>38801</v>
      </c>
      <c r="H1323" s="9" t="s">
        <v>42576</v>
      </c>
      <c r="I1323" s="9" t="b">
        <v>1</v>
      </c>
    </row>
    <row r="1324" ht="15.75" customHeight="1">
      <c r="A1324" s="9" t="s">
        <v>44926</v>
      </c>
      <c r="B1324" s="9" t="s">
        <v>47</v>
      </c>
      <c r="C1324" s="9" t="s">
        <v>40536</v>
      </c>
      <c r="D1324" s="9" t="s">
        <v>44927</v>
      </c>
      <c r="E1324" s="61">
        <v>45005.0</v>
      </c>
      <c r="F1324" s="9" t="b">
        <v>1</v>
      </c>
      <c r="G1324" s="9" t="s">
        <v>38801</v>
      </c>
      <c r="H1324" s="9" t="s">
        <v>42560</v>
      </c>
      <c r="I1324" s="9" t="b">
        <v>1</v>
      </c>
    </row>
    <row r="1325" ht="15.75" customHeight="1">
      <c r="A1325" s="9" t="s">
        <v>44928</v>
      </c>
      <c r="B1325" s="9" t="s">
        <v>47</v>
      </c>
      <c r="C1325" s="9" t="s">
        <v>40608</v>
      </c>
      <c r="D1325" s="9" t="s">
        <v>44929</v>
      </c>
      <c r="E1325" s="61">
        <v>45006.0</v>
      </c>
      <c r="F1325" s="9" t="b">
        <v>1</v>
      </c>
      <c r="G1325" s="9" t="s">
        <v>38801</v>
      </c>
      <c r="H1325" s="9" t="s">
        <v>42576</v>
      </c>
      <c r="I1325" s="9" t="b">
        <v>1</v>
      </c>
    </row>
    <row r="1326" ht="15.75" customHeight="1">
      <c r="A1326" s="9" t="s">
        <v>44930</v>
      </c>
      <c r="B1326" s="9" t="s">
        <v>47</v>
      </c>
      <c r="C1326" s="9" t="s">
        <v>40610</v>
      </c>
      <c r="D1326" s="9" t="s">
        <v>44931</v>
      </c>
      <c r="E1326" s="61">
        <v>45006.0</v>
      </c>
      <c r="F1326" s="9" t="b">
        <v>1</v>
      </c>
      <c r="G1326" s="9" t="s">
        <v>38801</v>
      </c>
      <c r="H1326" s="9" t="s">
        <v>42576</v>
      </c>
      <c r="I1326" s="9" t="b">
        <v>1</v>
      </c>
    </row>
    <row r="1327" ht="15.75" customHeight="1">
      <c r="A1327" s="9" t="s">
        <v>44932</v>
      </c>
      <c r="B1327" s="9" t="s">
        <v>47</v>
      </c>
      <c r="C1327" s="9" t="s">
        <v>40617</v>
      </c>
      <c r="D1327" s="9" t="s">
        <v>44933</v>
      </c>
      <c r="E1327" s="61">
        <v>45007.0</v>
      </c>
      <c r="F1327" s="9" t="b">
        <v>1</v>
      </c>
      <c r="G1327" s="9" t="s">
        <v>38801</v>
      </c>
      <c r="H1327" s="9" t="s">
        <v>42576</v>
      </c>
      <c r="I1327" s="9" t="b">
        <v>1</v>
      </c>
    </row>
    <row r="1328" ht="15.75" customHeight="1">
      <c r="A1328" s="9" t="s">
        <v>44934</v>
      </c>
      <c r="B1328" s="9" t="s">
        <v>47</v>
      </c>
      <c r="C1328" s="9" t="s">
        <v>40619</v>
      </c>
      <c r="D1328" s="9" t="s">
        <v>44935</v>
      </c>
      <c r="E1328" s="61">
        <v>45007.0</v>
      </c>
      <c r="F1328" s="9" t="b">
        <v>1</v>
      </c>
      <c r="G1328" s="9" t="s">
        <v>38801</v>
      </c>
      <c r="H1328" s="9" t="s">
        <v>42576</v>
      </c>
      <c r="I1328" s="9" t="b">
        <v>1</v>
      </c>
    </row>
    <row r="1329" ht="15.75" customHeight="1">
      <c r="A1329" s="9" t="s">
        <v>44936</v>
      </c>
      <c r="B1329" s="9" t="s">
        <v>131</v>
      </c>
      <c r="C1329" s="9" t="s">
        <v>40594</v>
      </c>
      <c r="D1329" s="9" t="s">
        <v>44937</v>
      </c>
      <c r="E1329" s="61">
        <v>45007.0</v>
      </c>
      <c r="F1329" s="9" t="b">
        <v>1</v>
      </c>
      <c r="G1329" s="9" t="s">
        <v>42585</v>
      </c>
      <c r="H1329" s="9" t="s">
        <v>42576</v>
      </c>
      <c r="I1329" s="9"/>
    </row>
    <row r="1330" ht="15.75" customHeight="1">
      <c r="A1330" s="9" t="s">
        <v>44938</v>
      </c>
      <c r="B1330" s="9" t="s">
        <v>76</v>
      </c>
      <c r="C1330" s="9" t="s">
        <v>40594</v>
      </c>
      <c r="D1330" s="9" t="s">
        <v>44939</v>
      </c>
      <c r="E1330" s="61">
        <v>45008.0</v>
      </c>
      <c r="F1330" s="9" t="b">
        <v>1</v>
      </c>
      <c r="G1330" s="9" t="s">
        <v>38801</v>
      </c>
      <c r="H1330" s="9" t="s">
        <v>42576</v>
      </c>
      <c r="I1330" s="9" t="b">
        <v>1</v>
      </c>
    </row>
    <row r="1331" ht="15.75" customHeight="1">
      <c r="A1331" s="9" t="s">
        <v>44940</v>
      </c>
      <c r="B1331" s="9" t="s">
        <v>76</v>
      </c>
      <c r="C1331" s="9" t="s">
        <v>40539</v>
      </c>
      <c r="D1331" s="9" t="s">
        <v>44941</v>
      </c>
      <c r="E1331" s="61">
        <v>45008.0</v>
      </c>
      <c r="F1331" s="9" t="b">
        <v>1</v>
      </c>
      <c r="G1331" s="9" t="s">
        <v>42632</v>
      </c>
      <c r="H1331" s="9" t="s">
        <v>42560</v>
      </c>
      <c r="I1331" s="9"/>
    </row>
    <row r="1332" ht="15.75" customHeight="1">
      <c r="A1332" s="9" t="s">
        <v>44942</v>
      </c>
      <c r="B1332" s="9" t="s">
        <v>76</v>
      </c>
      <c r="C1332" s="9" t="s">
        <v>40420</v>
      </c>
      <c r="D1332" s="9" t="s">
        <v>44943</v>
      </c>
      <c r="E1332" s="61">
        <v>45008.0</v>
      </c>
      <c r="F1332" s="9" t="b">
        <v>1</v>
      </c>
      <c r="G1332" s="9" t="s">
        <v>42585</v>
      </c>
      <c r="H1332" s="9" t="s">
        <v>42560</v>
      </c>
      <c r="I1332" s="9"/>
    </row>
    <row r="1333" ht="15.75" customHeight="1">
      <c r="A1333" s="9" t="s">
        <v>44944</v>
      </c>
      <c r="B1333" s="9" t="s">
        <v>52</v>
      </c>
      <c r="C1333" s="9" t="s">
        <v>40612</v>
      </c>
      <c r="D1333" s="9" t="s">
        <v>44945</v>
      </c>
      <c r="E1333" s="61">
        <v>45008.0</v>
      </c>
      <c r="F1333" s="9" t="b">
        <v>1</v>
      </c>
      <c r="G1333" s="9" t="s">
        <v>38801</v>
      </c>
      <c r="H1333" s="9" t="s">
        <v>42576</v>
      </c>
      <c r="I1333" s="9" t="b">
        <v>1</v>
      </c>
    </row>
    <row r="1334" ht="15.75" customHeight="1">
      <c r="A1334" s="9" t="s">
        <v>44946</v>
      </c>
      <c r="B1334" s="9" t="s">
        <v>52</v>
      </c>
      <c r="C1334" s="52" t="s">
        <v>40404</v>
      </c>
      <c r="D1334" s="9" t="s">
        <v>44947</v>
      </c>
      <c r="E1334" s="61">
        <v>45008.0</v>
      </c>
      <c r="F1334" s="9" t="b">
        <v>1</v>
      </c>
      <c r="G1334" s="9" t="s">
        <v>42573</v>
      </c>
      <c r="H1334" s="9" t="s">
        <v>42576</v>
      </c>
      <c r="I1334" s="9"/>
    </row>
    <row r="1335" ht="15.75" customHeight="1">
      <c r="A1335" s="9" t="s">
        <v>44948</v>
      </c>
      <c r="B1335" s="9" t="s">
        <v>131</v>
      </c>
      <c r="C1335" s="9" t="s">
        <v>40592</v>
      </c>
      <c r="D1335" s="9" t="s">
        <v>44949</v>
      </c>
      <c r="E1335" s="61">
        <v>45009.0</v>
      </c>
      <c r="F1335" s="9" t="b">
        <v>1</v>
      </c>
      <c r="G1335" s="9" t="s">
        <v>38801</v>
      </c>
      <c r="H1335" s="9" t="s">
        <v>38800</v>
      </c>
      <c r="I1335" s="9" t="b">
        <v>1</v>
      </c>
    </row>
    <row r="1336" ht="15.75" customHeight="1">
      <c r="A1336" s="9" t="s">
        <v>44950</v>
      </c>
      <c r="B1336" s="9" t="s">
        <v>52</v>
      </c>
      <c r="C1336" s="52" t="s">
        <v>40404</v>
      </c>
      <c r="D1336" s="9" t="s">
        <v>44951</v>
      </c>
      <c r="E1336" s="61">
        <v>45012.0</v>
      </c>
      <c r="F1336" s="9" t="b">
        <v>1</v>
      </c>
      <c r="G1336" s="9" t="s">
        <v>38801</v>
      </c>
      <c r="H1336" s="9" t="s">
        <v>42576</v>
      </c>
      <c r="I1336" s="9" t="b">
        <v>1</v>
      </c>
    </row>
    <row r="1337" ht="15.75" customHeight="1">
      <c r="A1337" s="9" t="s">
        <v>44952</v>
      </c>
      <c r="B1337" s="9" t="s">
        <v>47</v>
      </c>
      <c r="C1337" s="9" t="s">
        <v>40632</v>
      </c>
      <c r="D1337" s="9" t="s">
        <v>44953</v>
      </c>
      <c r="E1337" s="61">
        <v>45012.0</v>
      </c>
      <c r="F1337" s="9" t="b">
        <v>1</v>
      </c>
      <c r="G1337" s="9" t="s">
        <v>38801</v>
      </c>
      <c r="H1337" s="9" t="s">
        <v>42576</v>
      </c>
      <c r="I1337" s="9" t="b">
        <v>1</v>
      </c>
    </row>
    <row r="1338" ht="15.75" customHeight="1">
      <c r="A1338" s="9" t="s">
        <v>44954</v>
      </c>
      <c r="B1338" s="9" t="s">
        <v>89</v>
      </c>
      <c r="C1338" s="9" t="s">
        <v>40629</v>
      </c>
      <c r="D1338" s="9" t="s">
        <v>44955</v>
      </c>
      <c r="E1338" s="61">
        <v>45012.0</v>
      </c>
      <c r="F1338" s="9" t="b">
        <v>1</v>
      </c>
      <c r="G1338" s="9" t="s">
        <v>38801</v>
      </c>
      <c r="H1338" s="9" t="s">
        <v>42576</v>
      </c>
      <c r="I1338" s="9" t="b">
        <v>1</v>
      </c>
    </row>
    <row r="1339" ht="15.75" customHeight="1">
      <c r="A1339" s="9" t="s">
        <v>44956</v>
      </c>
      <c r="B1339" s="9" t="s">
        <v>47</v>
      </c>
      <c r="C1339" s="9" t="s">
        <v>40650</v>
      </c>
      <c r="D1339" s="9" t="s">
        <v>43724</v>
      </c>
      <c r="E1339" s="61">
        <v>45014.0</v>
      </c>
      <c r="F1339" s="9" t="b">
        <v>1</v>
      </c>
      <c r="G1339" s="9" t="s">
        <v>38801</v>
      </c>
      <c r="H1339" s="9" t="s">
        <v>42576</v>
      </c>
      <c r="I1339" s="9" t="b">
        <v>1</v>
      </c>
    </row>
    <row r="1340" ht="15.75" customHeight="1">
      <c r="A1340" s="9" t="s">
        <v>44957</v>
      </c>
      <c r="B1340" s="9" t="s">
        <v>47</v>
      </c>
      <c r="C1340" s="9" t="s">
        <v>40644</v>
      </c>
      <c r="D1340" s="9" t="s">
        <v>44958</v>
      </c>
      <c r="E1340" s="61">
        <v>45014.0</v>
      </c>
      <c r="F1340" s="9" t="b">
        <v>1</v>
      </c>
      <c r="G1340" s="9" t="s">
        <v>38801</v>
      </c>
      <c r="H1340" s="9" t="s">
        <v>42576</v>
      </c>
      <c r="I1340" s="9" t="b">
        <v>1</v>
      </c>
    </row>
    <row r="1341" ht="15.75" customHeight="1">
      <c r="A1341" s="9" t="s">
        <v>44959</v>
      </c>
      <c r="B1341" s="9" t="s">
        <v>131</v>
      </c>
      <c r="C1341" s="52" t="s">
        <v>40636</v>
      </c>
      <c r="D1341" s="9" t="s">
        <v>44960</v>
      </c>
      <c r="E1341" s="61">
        <v>45014.0</v>
      </c>
      <c r="F1341" s="9" t="b">
        <v>1</v>
      </c>
      <c r="G1341" s="9" t="s">
        <v>42585</v>
      </c>
      <c r="H1341" s="9" t="s">
        <v>42560</v>
      </c>
      <c r="I1341" s="9"/>
    </row>
    <row r="1342" ht="15.75" customHeight="1">
      <c r="A1342" s="9" t="s">
        <v>44961</v>
      </c>
      <c r="B1342" s="9" t="s">
        <v>52</v>
      </c>
      <c r="C1342" s="9" t="s">
        <v>40648</v>
      </c>
      <c r="D1342" s="9" t="s">
        <v>44962</v>
      </c>
      <c r="E1342" s="61">
        <v>45014.0</v>
      </c>
      <c r="F1342" s="9" t="b">
        <v>1</v>
      </c>
      <c r="G1342" s="9" t="s">
        <v>38801</v>
      </c>
      <c r="H1342" s="9" t="s">
        <v>42576</v>
      </c>
      <c r="I1342" s="9" t="b">
        <v>1</v>
      </c>
    </row>
    <row r="1343" ht="15.75" customHeight="1">
      <c r="A1343" s="9" t="s">
        <v>44963</v>
      </c>
      <c r="B1343" s="9" t="s">
        <v>52</v>
      </c>
      <c r="C1343" s="52" t="s">
        <v>40636</v>
      </c>
      <c r="D1343" s="9" t="s">
        <v>44964</v>
      </c>
      <c r="E1343" s="61">
        <v>45014.0</v>
      </c>
      <c r="F1343" s="9" t="b">
        <v>1</v>
      </c>
      <c r="G1343" s="9" t="s">
        <v>43228</v>
      </c>
      <c r="H1343" s="9" t="s">
        <v>42576</v>
      </c>
      <c r="I1343" s="9"/>
    </row>
    <row r="1344" ht="15.75" customHeight="1">
      <c r="A1344" s="9" t="s">
        <v>44965</v>
      </c>
      <c r="B1344" s="9" t="s">
        <v>47</v>
      </c>
      <c r="C1344" s="9" t="s">
        <v>40655</v>
      </c>
      <c r="D1344" s="9" t="s">
        <v>44966</v>
      </c>
      <c r="E1344" s="61">
        <v>45015.0</v>
      </c>
      <c r="F1344" s="9" t="b">
        <v>1</v>
      </c>
      <c r="G1344" s="9" t="s">
        <v>38801</v>
      </c>
      <c r="H1344" s="9" t="s">
        <v>42576</v>
      </c>
      <c r="I1344" s="9" t="b">
        <v>1</v>
      </c>
    </row>
    <row r="1345" ht="15.75" customHeight="1">
      <c r="A1345" s="9" t="s">
        <v>44967</v>
      </c>
      <c r="B1345" s="9" t="s">
        <v>131</v>
      </c>
      <c r="C1345" s="9" t="s">
        <v>40659</v>
      </c>
      <c r="D1345" s="9" t="s">
        <v>44968</v>
      </c>
      <c r="E1345" s="61">
        <v>45016.0</v>
      </c>
      <c r="F1345" s="9" t="b">
        <v>1</v>
      </c>
      <c r="G1345" s="9" t="s">
        <v>38801</v>
      </c>
      <c r="H1345" s="9" t="s">
        <v>42576</v>
      </c>
      <c r="I1345" s="9" t="b">
        <v>1</v>
      </c>
    </row>
    <row r="1346" ht="15.75" customHeight="1">
      <c r="A1346" s="9" t="s">
        <v>44969</v>
      </c>
      <c r="B1346" s="9" t="s">
        <v>131</v>
      </c>
      <c r="C1346" s="9" t="s">
        <v>40660</v>
      </c>
      <c r="D1346" s="9" t="s">
        <v>44968</v>
      </c>
      <c r="E1346" s="61">
        <v>45016.0</v>
      </c>
      <c r="F1346" s="9" t="b">
        <v>1</v>
      </c>
      <c r="G1346" s="9" t="s">
        <v>38801</v>
      </c>
      <c r="H1346" s="9" t="s">
        <v>42576</v>
      </c>
      <c r="I1346" s="9" t="b">
        <v>1</v>
      </c>
    </row>
    <row r="1347" ht="15.75" customHeight="1">
      <c r="A1347" s="9" t="s">
        <v>44970</v>
      </c>
      <c r="B1347" s="9" t="s">
        <v>47</v>
      </c>
      <c r="C1347" s="9" t="s">
        <v>40663</v>
      </c>
      <c r="D1347" s="9" t="s">
        <v>44971</v>
      </c>
      <c r="E1347" s="61">
        <v>45023.0</v>
      </c>
      <c r="F1347" s="9" t="b">
        <v>1</v>
      </c>
      <c r="G1347" s="9" t="s">
        <v>38801</v>
      </c>
      <c r="H1347" s="9" t="s">
        <v>42576</v>
      </c>
      <c r="I1347" s="9" t="b">
        <v>1</v>
      </c>
    </row>
    <row r="1348" ht="15.75" customHeight="1">
      <c r="A1348" s="9" t="s">
        <v>44972</v>
      </c>
      <c r="B1348" s="9" t="s">
        <v>47</v>
      </c>
      <c r="C1348" s="9" t="s">
        <v>40665</v>
      </c>
      <c r="D1348" s="9" t="s">
        <v>44973</v>
      </c>
      <c r="E1348" s="61">
        <v>45023.0</v>
      </c>
      <c r="F1348" s="9" t="b">
        <v>1</v>
      </c>
      <c r="G1348" s="9" t="s">
        <v>38801</v>
      </c>
      <c r="H1348" s="9" t="s">
        <v>42576</v>
      </c>
      <c r="I1348" s="9" t="b">
        <v>1</v>
      </c>
    </row>
    <row r="1349" ht="15.75" customHeight="1">
      <c r="A1349" s="9" t="s">
        <v>44974</v>
      </c>
      <c r="B1349" s="9" t="s">
        <v>47</v>
      </c>
      <c r="C1349" s="9" t="s">
        <v>40667</v>
      </c>
      <c r="D1349" s="9" t="s">
        <v>44975</v>
      </c>
      <c r="E1349" s="61">
        <v>45023.0</v>
      </c>
      <c r="F1349" s="9" t="b">
        <v>1</v>
      </c>
      <c r="G1349" s="9" t="s">
        <v>38801</v>
      </c>
      <c r="H1349" s="9" t="s">
        <v>42576</v>
      </c>
      <c r="I1349" s="9" t="b">
        <v>1</v>
      </c>
    </row>
    <row r="1350" ht="15.75" customHeight="1">
      <c r="A1350" s="9" t="s">
        <v>44976</v>
      </c>
      <c r="B1350" s="9" t="s">
        <v>47</v>
      </c>
      <c r="C1350" s="9" t="s">
        <v>40661</v>
      </c>
      <c r="D1350" s="9" t="s">
        <v>44977</v>
      </c>
      <c r="E1350" s="61">
        <v>45023.0</v>
      </c>
      <c r="F1350" s="9" t="b">
        <v>1</v>
      </c>
      <c r="G1350" s="9" t="s">
        <v>38801</v>
      </c>
      <c r="H1350" s="9" t="s">
        <v>42576</v>
      </c>
      <c r="I1350" s="9" t="b">
        <v>1</v>
      </c>
    </row>
    <row r="1351" ht="15.75" customHeight="1">
      <c r="A1351" s="9" t="s">
        <v>44978</v>
      </c>
      <c r="B1351" s="9" t="s">
        <v>47</v>
      </c>
      <c r="C1351" s="9" t="s">
        <v>40669</v>
      </c>
      <c r="D1351" s="9" t="s">
        <v>44979</v>
      </c>
      <c r="E1351" s="61">
        <v>45028.0</v>
      </c>
      <c r="F1351" s="9" t="b">
        <v>1</v>
      </c>
      <c r="G1351" s="9" t="s">
        <v>38801</v>
      </c>
      <c r="H1351" s="9" t="s">
        <v>42576</v>
      </c>
      <c r="I1351" s="9" t="b">
        <v>1</v>
      </c>
    </row>
    <row r="1352" ht="15.75" customHeight="1">
      <c r="A1352" s="9" t="s">
        <v>44980</v>
      </c>
      <c r="B1352" s="9" t="s">
        <v>26</v>
      </c>
      <c r="C1352" s="9" t="s">
        <v>40640</v>
      </c>
      <c r="D1352" s="9" t="s">
        <v>44981</v>
      </c>
      <c r="E1352" s="61">
        <v>45029.0</v>
      </c>
      <c r="F1352" s="9" t="b">
        <v>1</v>
      </c>
      <c r="G1352" s="9" t="s">
        <v>38801</v>
      </c>
      <c r="H1352" s="9" t="s">
        <v>42560</v>
      </c>
      <c r="I1352" s="9" t="b">
        <v>1</v>
      </c>
    </row>
    <row r="1353" ht="15.75" customHeight="1">
      <c r="A1353" s="9" t="s">
        <v>44982</v>
      </c>
      <c r="B1353" s="9" t="s">
        <v>26</v>
      </c>
      <c r="C1353" s="9" t="s">
        <v>40596</v>
      </c>
      <c r="D1353" s="9" t="s">
        <v>44983</v>
      </c>
      <c r="E1353" s="61">
        <v>45029.0</v>
      </c>
      <c r="F1353" s="9" t="b">
        <v>1</v>
      </c>
      <c r="G1353" s="9" t="s">
        <v>38801</v>
      </c>
      <c r="H1353" s="9" t="s">
        <v>42560</v>
      </c>
      <c r="I1353" s="9" t="b">
        <v>1</v>
      </c>
    </row>
    <row r="1354" ht="15.75" customHeight="1">
      <c r="A1354" s="9" t="s">
        <v>44984</v>
      </c>
      <c r="B1354" s="9" t="s">
        <v>26</v>
      </c>
      <c r="C1354" s="9" t="s">
        <v>40402</v>
      </c>
      <c r="D1354" s="9" t="s">
        <v>44985</v>
      </c>
      <c r="E1354" s="61">
        <v>45029.0</v>
      </c>
      <c r="F1354" s="9" t="b">
        <v>1</v>
      </c>
      <c r="G1354" s="9" t="s">
        <v>38801</v>
      </c>
      <c r="H1354" s="9" t="s">
        <v>42560</v>
      </c>
      <c r="I1354" s="9" t="b">
        <v>1</v>
      </c>
    </row>
    <row r="1355" ht="15.75" customHeight="1">
      <c r="A1355" s="9" t="s">
        <v>44986</v>
      </c>
      <c r="B1355" s="9" t="s">
        <v>47</v>
      </c>
      <c r="C1355" s="9" t="s">
        <v>40673</v>
      </c>
      <c r="D1355" s="9" t="s">
        <v>44260</v>
      </c>
      <c r="E1355" s="61">
        <v>45029.0</v>
      </c>
      <c r="F1355" s="9" t="b">
        <v>1</v>
      </c>
      <c r="G1355" s="9" t="s">
        <v>38801</v>
      </c>
      <c r="H1355" s="9" t="s">
        <v>42576</v>
      </c>
      <c r="I1355" s="9" t="b">
        <v>1</v>
      </c>
    </row>
    <row r="1356" ht="15.75" customHeight="1">
      <c r="A1356" s="9" t="s">
        <v>44987</v>
      </c>
      <c r="B1356" s="9" t="s">
        <v>47</v>
      </c>
      <c r="C1356" s="9" t="s">
        <v>40675</v>
      </c>
      <c r="D1356" s="9" t="s">
        <v>43724</v>
      </c>
      <c r="E1356" s="61">
        <v>45029.0</v>
      </c>
      <c r="F1356" s="9" t="b">
        <v>1</v>
      </c>
      <c r="G1356" s="9" t="s">
        <v>38801</v>
      </c>
      <c r="H1356" s="9" t="s">
        <v>42576</v>
      </c>
      <c r="I1356" s="9" t="b">
        <v>1</v>
      </c>
    </row>
    <row r="1357" ht="15.75" customHeight="1">
      <c r="A1357" s="9" t="s">
        <v>44988</v>
      </c>
      <c r="B1357" s="9" t="s">
        <v>26</v>
      </c>
      <c r="C1357" s="9" t="s">
        <v>40271</v>
      </c>
      <c r="D1357" s="9" t="s">
        <v>44989</v>
      </c>
      <c r="E1357" s="61">
        <v>45030.0</v>
      </c>
      <c r="F1357" s="9" t="b">
        <v>1</v>
      </c>
      <c r="G1357" s="9" t="s">
        <v>38801</v>
      </c>
      <c r="H1357" s="9" t="s">
        <v>42560</v>
      </c>
      <c r="I1357" s="9" t="b">
        <v>1</v>
      </c>
    </row>
    <row r="1358" ht="15.75" customHeight="1">
      <c r="A1358" s="9" t="s">
        <v>44990</v>
      </c>
      <c r="B1358" s="9" t="s">
        <v>26</v>
      </c>
      <c r="C1358" s="9" t="s">
        <v>40273</v>
      </c>
      <c r="D1358" s="9" t="s">
        <v>44989</v>
      </c>
      <c r="E1358" s="61">
        <v>45030.0</v>
      </c>
      <c r="F1358" s="9" t="b">
        <v>1</v>
      </c>
      <c r="G1358" s="9" t="s">
        <v>38801</v>
      </c>
      <c r="H1358" s="9" t="s">
        <v>42560</v>
      </c>
      <c r="I1358" s="9" t="b">
        <v>1</v>
      </c>
    </row>
    <row r="1359" ht="15.75" customHeight="1">
      <c r="A1359" s="9" t="s">
        <v>44991</v>
      </c>
      <c r="B1359" s="9" t="s">
        <v>26</v>
      </c>
      <c r="C1359" s="9" t="s">
        <v>40269</v>
      </c>
      <c r="D1359" s="9" t="s">
        <v>44989</v>
      </c>
      <c r="E1359" s="61">
        <v>45030.0</v>
      </c>
      <c r="F1359" s="9" t="b">
        <v>1</v>
      </c>
      <c r="G1359" s="9" t="s">
        <v>38801</v>
      </c>
      <c r="H1359" s="9" t="s">
        <v>42560</v>
      </c>
      <c r="I1359" s="9" t="b">
        <v>1</v>
      </c>
    </row>
    <row r="1360" ht="15.75" customHeight="1">
      <c r="A1360" s="9" t="s">
        <v>44992</v>
      </c>
      <c r="B1360" s="9" t="s">
        <v>26</v>
      </c>
      <c r="C1360" s="9" t="s">
        <v>40293</v>
      </c>
      <c r="D1360" s="9" t="s">
        <v>44989</v>
      </c>
      <c r="E1360" s="61">
        <v>45030.0</v>
      </c>
      <c r="F1360" s="9" t="b">
        <v>1</v>
      </c>
      <c r="G1360" s="9" t="s">
        <v>38801</v>
      </c>
      <c r="H1360" s="9" t="s">
        <v>42560</v>
      </c>
      <c r="I1360" s="9" t="b">
        <v>1</v>
      </c>
    </row>
    <row r="1361" ht="15.75" customHeight="1">
      <c r="A1361" s="9" t="s">
        <v>44993</v>
      </c>
      <c r="B1361" s="9" t="s">
        <v>26</v>
      </c>
      <c r="C1361" s="9" t="s">
        <v>40321</v>
      </c>
      <c r="D1361" s="9" t="s">
        <v>44989</v>
      </c>
      <c r="E1361" s="61">
        <v>45030.0</v>
      </c>
      <c r="F1361" s="9" t="b">
        <v>1</v>
      </c>
      <c r="G1361" s="9" t="s">
        <v>38801</v>
      </c>
      <c r="H1361" s="9" t="s">
        <v>42560</v>
      </c>
      <c r="I1361" s="9" t="b">
        <v>1</v>
      </c>
    </row>
    <row r="1362" ht="15.75" customHeight="1">
      <c r="A1362" s="9" t="s">
        <v>44994</v>
      </c>
      <c r="B1362" s="9" t="s">
        <v>26</v>
      </c>
      <c r="C1362" s="9" t="s">
        <v>40342</v>
      </c>
      <c r="D1362" s="9" t="s">
        <v>44995</v>
      </c>
      <c r="E1362" s="61">
        <v>45030.0</v>
      </c>
      <c r="F1362" s="9" t="b">
        <v>1</v>
      </c>
      <c r="G1362" s="9" t="s">
        <v>38801</v>
      </c>
      <c r="H1362" s="9" t="s">
        <v>42560</v>
      </c>
      <c r="I1362" s="9" t="b">
        <v>1</v>
      </c>
    </row>
    <row r="1363" ht="15.75" customHeight="1">
      <c r="A1363" s="9" t="s">
        <v>44996</v>
      </c>
      <c r="B1363" s="9" t="s">
        <v>26</v>
      </c>
      <c r="C1363" s="9" t="s">
        <v>40325</v>
      </c>
      <c r="D1363" s="9" t="s">
        <v>44989</v>
      </c>
      <c r="E1363" s="61">
        <v>45030.0</v>
      </c>
      <c r="F1363" s="9" t="b">
        <v>1</v>
      </c>
      <c r="G1363" s="9" t="s">
        <v>38801</v>
      </c>
      <c r="H1363" s="9" t="s">
        <v>42560</v>
      </c>
      <c r="I1363" s="9" t="b">
        <v>1</v>
      </c>
    </row>
    <row r="1364" ht="15.75" customHeight="1">
      <c r="A1364" s="9" t="s">
        <v>44997</v>
      </c>
      <c r="B1364" s="9" t="s">
        <v>26</v>
      </c>
      <c r="C1364" s="9" t="s">
        <v>40323</v>
      </c>
      <c r="D1364" s="9" t="s">
        <v>44989</v>
      </c>
      <c r="E1364" s="61">
        <v>45030.0</v>
      </c>
      <c r="F1364" s="9" t="b">
        <v>1</v>
      </c>
      <c r="G1364" s="9" t="s">
        <v>38801</v>
      </c>
      <c r="H1364" s="9" t="s">
        <v>42560</v>
      </c>
      <c r="I1364" s="9" t="b">
        <v>1</v>
      </c>
    </row>
    <row r="1365" ht="15.75" customHeight="1">
      <c r="A1365" s="9" t="s">
        <v>44998</v>
      </c>
      <c r="B1365" s="9" t="s">
        <v>26</v>
      </c>
      <c r="C1365" s="9" t="s">
        <v>40333</v>
      </c>
      <c r="D1365" s="9" t="s">
        <v>44989</v>
      </c>
      <c r="E1365" s="61">
        <v>45030.0</v>
      </c>
      <c r="F1365" s="9" t="b">
        <v>1</v>
      </c>
      <c r="G1365" s="9" t="s">
        <v>38801</v>
      </c>
      <c r="H1365" s="9" t="s">
        <v>42560</v>
      </c>
      <c r="I1365" s="9" t="b">
        <v>1</v>
      </c>
    </row>
    <row r="1366" ht="15.75" customHeight="1">
      <c r="A1366" s="9" t="s">
        <v>44999</v>
      </c>
      <c r="B1366" s="9" t="s">
        <v>26</v>
      </c>
      <c r="C1366" s="9" t="s">
        <v>40331</v>
      </c>
      <c r="D1366" s="9" t="s">
        <v>44989</v>
      </c>
      <c r="E1366" s="61">
        <v>45030.0</v>
      </c>
      <c r="F1366" s="9" t="b">
        <v>1</v>
      </c>
      <c r="G1366" s="9" t="s">
        <v>38801</v>
      </c>
      <c r="H1366" s="9" t="s">
        <v>42560</v>
      </c>
      <c r="I1366" s="9" t="b">
        <v>1</v>
      </c>
    </row>
    <row r="1367" ht="15.75" customHeight="1">
      <c r="A1367" s="9" t="s">
        <v>45000</v>
      </c>
      <c r="B1367" s="9" t="s">
        <v>26</v>
      </c>
      <c r="C1367" s="9" t="s">
        <v>40329</v>
      </c>
      <c r="D1367" s="9" t="s">
        <v>44989</v>
      </c>
      <c r="E1367" s="61">
        <v>45030.0</v>
      </c>
      <c r="F1367" s="9" t="b">
        <v>1</v>
      </c>
      <c r="G1367" s="9" t="s">
        <v>38801</v>
      </c>
      <c r="H1367" s="9" t="s">
        <v>42560</v>
      </c>
      <c r="I1367" s="9" t="b">
        <v>1</v>
      </c>
    </row>
    <row r="1368" ht="15.75" customHeight="1">
      <c r="A1368" s="9" t="s">
        <v>45001</v>
      </c>
      <c r="B1368" s="9" t="s">
        <v>26</v>
      </c>
      <c r="C1368" s="9" t="s">
        <v>40327</v>
      </c>
      <c r="D1368" s="9" t="s">
        <v>44989</v>
      </c>
      <c r="E1368" s="61">
        <v>45030.0</v>
      </c>
      <c r="F1368" s="9" t="b">
        <v>1</v>
      </c>
      <c r="G1368" s="9" t="s">
        <v>38801</v>
      </c>
      <c r="H1368" s="9" t="s">
        <v>42560</v>
      </c>
      <c r="I1368" s="9" t="b">
        <v>1</v>
      </c>
    </row>
    <row r="1369" ht="15.75" customHeight="1">
      <c r="A1369" s="9" t="s">
        <v>45002</v>
      </c>
      <c r="B1369" s="9" t="s">
        <v>26</v>
      </c>
      <c r="C1369" s="9" t="s">
        <v>40366</v>
      </c>
      <c r="D1369" s="9" t="s">
        <v>44989</v>
      </c>
      <c r="E1369" s="61">
        <v>45030.0</v>
      </c>
      <c r="F1369" s="9" t="b">
        <v>1</v>
      </c>
      <c r="G1369" s="9" t="s">
        <v>38801</v>
      </c>
      <c r="H1369" s="9" t="s">
        <v>42560</v>
      </c>
      <c r="I1369" s="9" t="b">
        <v>1</v>
      </c>
    </row>
    <row r="1370" ht="15.75" customHeight="1">
      <c r="A1370" s="52" t="s">
        <v>45003</v>
      </c>
      <c r="B1370" s="9" t="s">
        <v>26</v>
      </c>
      <c r="C1370" s="9" t="s">
        <v>40623</v>
      </c>
      <c r="D1370" s="9" t="s">
        <v>44989</v>
      </c>
      <c r="E1370" s="61">
        <v>45030.0</v>
      </c>
      <c r="F1370" s="9" t="b">
        <v>1</v>
      </c>
      <c r="G1370" s="9" t="s">
        <v>38801</v>
      </c>
      <c r="H1370" s="9" t="s">
        <v>42560</v>
      </c>
      <c r="I1370" s="9" t="b">
        <v>1</v>
      </c>
    </row>
    <row r="1371" ht="15.75" customHeight="1">
      <c r="A1371" s="9" t="s">
        <v>45004</v>
      </c>
      <c r="B1371" s="9" t="s">
        <v>26</v>
      </c>
      <c r="C1371" s="9" t="s">
        <v>40406</v>
      </c>
      <c r="D1371" s="9" t="s">
        <v>44989</v>
      </c>
      <c r="E1371" s="61">
        <v>45030.0</v>
      </c>
      <c r="F1371" s="9" t="b">
        <v>1</v>
      </c>
      <c r="G1371" s="9" t="s">
        <v>38801</v>
      </c>
      <c r="H1371" s="9" t="s">
        <v>42560</v>
      </c>
      <c r="I1371" s="9" t="b">
        <v>1</v>
      </c>
    </row>
    <row r="1372" ht="15.75" customHeight="1">
      <c r="A1372" s="9" t="s">
        <v>45005</v>
      </c>
      <c r="B1372" s="9" t="s">
        <v>26</v>
      </c>
      <c r="C1372" s="9" t="s">
        <v>40606</v>
      </c>
      <c r="D1372" s="9" t="s">
        <v>45006</v>
      </c>
      <c r="E1372" s="61">
        <v>45030.0</v>
      </c>
      <c r="F1372" s="9" t="b">
        <v>1</v>
      </c>
      <c r="G1372" s="9" t="s">
        <v>38801</v>
      </c>
      <c r="H1372" s="9" t="s">
        <v>42560</v>
      </c>
      <c r="I1372" s="9" t="b">
        <v>1</v>
      </c>
    </row>
    <row r="1373" ht="15.75" customHeight="1">
      <c r="A1373" s="52" t="s">
        <v>45007</v>
      </c>
      <c r="B1373" s="9" t="s">
        <v>26</v>
      </c>
      <c r="C1373" s="9" t="s">
        <v>40657</v>
      </c>
      <c r="D1373" s="9" t="s">
        <v>45008</v>
      </c>
      <c r="E1373" s="61">
        <v>45036.0</v>
      </c>
      <c r="F1373" s="9" t="b">
        <v>1</v>
      </c>
      <c r="G1373" s="9" t="s">
        <v>38801</v>
      </c>
      <c r="H1373" s="9" t="s">
        <v>42560</v>
      </c>
      <c r="I1373" s="9" t="b">
        <v>1</v>
      </c>
    </row>
    <row r="1374" ht="15.75" customHeight="1">
      <c r="A1374" s="9" t="s">
        <v>45009</v>
      </c>
      <c r="B1374" s="9" t="s">
        <v>131</v>
      </c>
      <c r="C1374" s="9" t="s">
        <v>40605</v>
      </c>
      <c r="D1374" s="9" t="s">
        <v>42560</v>
      </c>
      <c r="E1374" s="61">
        <v>45036.0</v>
      </c>
      <c r="F1374" s="9" t="b">
        <v>1</v>
      </c>
      <c r="G1374" s="9" t="s">
        <v>38801</v>
      </c>
      <c r="H1374" s="9" t="s">
        <v>42576</v>
      </c>
      <c r="I1374" s="9" t="b">
        <v>1</v>
      </c>
    </row>
    <row r="1375" ht="15.75" customHeight="1">
      <c r="A1375" s="9" t="s">
        <v>45010</v>
      </c>
      <c r="B1375" s="9" t="s">
        <v>52</v>
      </c>
      <c r="C1375" s="9" t="s">
        <v>40695</v>
      </c>
      <c r="D1375" s="9" t="s">
        <v>44210</v>
      </c>
      <c r="E1375" s="61">
        <v>45037.0</v>
      </c>
      <c r="F1375" s="9" t="b">
        <v>1</v>
      </c>
      <c r="G1375" s="9" t="s">
        <v>38801</v>
      </c>
      <c r="H1375" s="9" t="s">
        <v>42576</v>
      </c>
      <c r="I1375" s="9" t="b">
        <v>1</v>
      </c>
    </row>
    <row r="1376" ht="15.75" customHeight="1">
      <c r="A1376" s="9" t="s">
        <v>45011</v>
      </c>
      <c r="B1376" s="9" t="s">
        <v>52</v>
      </c>
      <c r="C1376" s="9" t="s">
        <v>40679</v>
      </c>
      <c r="D1376" s="9" t="s">
        <v>45012</v>
      </c>
      <c r="E1376" s="61">
        <v>45037.0</v>
      </c>
      <c r="F1376" s="9" t="b">
        <v>1</v>
      </c>
      <c r="G1376" s="9" t="s">
        <v>42573</v>
      </c>
      <c r="H1376" s="9" t="s">
        <v>42576</v>
      </c>
      <c r="I1376" s="9"/>
    </row>
    <row r="1377" ht="15.75" customHeight="1">
      <c r="A1377" s="9" t="s">
        <v>45013</v>
      </c>
      <c r="B1377" s="9" t="s">
        <v>26</v>
      </c>
      <c r="C1377" s="9" t="s">
        <v>40679</v>
      </c>
      <c r="D1377" s="9" t="s">
        <v>45012</v>
      </c>
      <c r="E1377" s="61">
        <v>45037.0</v>
      </c>
      <c r="F1377" s="9" t="b">
        <v>1</v>
      </c>
      <c r="G1377" s="9" t="s">
        <v>42573</v>
      </c>
      <c r="H1377" s="9" t="s">
        <v>42560</v>
      </c>
      <c r="I1377" s="9"/>
    </row>
    <row r="1378" ht="15.75" customHeight="1">
      <c r="A1378" s="9" t="s">
        <v>45014</v>
      </c>
      <c r="B1378" s="9" t="s">
        <v>26</v>
      </c>
      <c r="C1378" s="9" t="s">
        <v>40696</v>
      </c>
      <c r="D1378" s="9" t="s">
        <v>45015</v>
      </c>
      <c r="E1378" s="61">
        <v>45037.0</v>
      </c>
      <c r="F1378" s="9" t="b">
        <v>1</v>
      </c>
      <c r="G1378" s="9" t="s">
        <v>38801</v>
      </c>
      <c r="H1378" s="9" t="s">
        <v>42560</v>
      </c>
      <c r="I1378" s="9" t="b">
        <v>1</v>
      </c>
    </row>
    <row r="1379" ht="15.75" customHeight="1">
      <c r="A1379" s="9" t="s">
        <v>45016</v>
      </c>
      <c r="B1379" s="9" t="s">
        <v>52</v>
      </c>
      <c r="C1379" s="9" t="s">
        <v>40693</v>
      </c>
      <c r="D1379" s="9" t="s">
        <v>45017</v>
      </c>
      <c r="E1379" s="61">
        <v>45037.0</v>
      </c>
      <c r="F1379" s="9" t="b">
        <v>1</v>
      </c>
      <c r="G1379" s="9" t="s">
        <v>38801</v>
      </c>
      <c r="H1379" s="9" t="s">
        <v>42576</v>
      </c>
      <c r="I1379" s="9" t="b">
        <v>1</v>
      </c>
    </row>
    <row r="1380" ht="15.75" customHeight="1">
      <c r="A1380" s="9" t="s">
        <v>45018</v>
      </c>
      <c r="B1380" s="9" t="s">
        <v>52</v>
      </c>
      <c r="C1380" s="52" t="s">
        <v>40636</v>
      </c>
      <c r="D1380" s="9" t="s">
        <v>45019</v>
      </c>
      <c r="E1380" s="61">
        <v>45037.0</v>
      </c>
      <c r="F1380" s="9" t="b">
        <v>1</v>
      </c>
      <c r="G1380" s="9" t="s">
        <v>43228</v>
      </c>
      <c r="H1380" s="9" t="s">
        <v>42576</v>
      </c>
      <c r="I1380" s="9"/>
    </row>
    <row r="1381" ht="15.75" customHeight="1">
      <c r="A1381" s="9" t="s">
        <v>45020</v>
      </c>
      <c r="B1381" s="9" t="s">
        <v>47</v>
      </c>
      <c r="C1381" s="9" t="s">
        <v>40698</v>
      </c>
      <c r="D1381" s="9" t="s">
        <v>45021</v>
      </c>
      <c r="E1381" s="61">
        <v>45040.0</v>
      </c>
      <c r="F1381" s="9" t="b">
        <v>1</v>
      </c>
      <c r="G1381" s="9" t="s">
        <v>42573</v>
      </c>
      <c r="H1381" s="9" t="s">
        <v>42576</v>
      </c>
      <c r="I1381" s="9"/>
    </row>
    <row r="1382" ht="15.75" customHeight="1">
      <c r="A1382" s="9" t="s">
        <v>45022</v>
      </c>
      <c r="B1382" s="9" t="s">
        <v>47</v>
      </c>
      <c r="C1382" s="9" t="s">
        <v>40700</v>
      </c>
      <c r="D1382" s="9" t="s">
        <v>42560</v>
      </c>
      <c r="E1382" s="61">
        <v>45041.0</v>
      </c>
      <c r="F1382" s="9" t="b">
        <v>1</v>
      </c>
      <c r="G1382" s="9" t="s">
        <v>38801</v>
      </c>
      <c r="H1382" s="9" t="s">
        <v>42576</v>
      </c>
      <c r="I1382" s="9" t="b">
        <v>1</v>
      </c>
    </row>
    <row r="1383" ht="15.75" customHeight="1">
      <c r="A1383" s="9" t="s">
        <v>45023</v>
      </c>
      <c r="B1383" s="9" t="s">
        <v>47</v>
      </c>
      <c r="C1383" s="9" t="s">
        <v>40702</v>
      </c>
      <c r="D1383" s="9" t="s">
        <v>45024</v>
      </c>
      <c r="E1383" s="61">
        <v>45041.0</v>
      </c>
      <c r="F1383" s="9" t="b">
        <v>1</v>
      </c>
      <c r="G1383" s="9" t="s">
        <v>38801</v>
      </c>
      <c r="H1383" s="9" t="s">
        <v>42576</v>
      </c>
      <c r="I1383" s="9" t="b">
        <v>1</v>
      </c>
    </row>
    <row r="1384" ht="15.75" customHeight="1">
      <c r="A1384" s="9" t="s">
        <v>45025</v>
      </c>
      <c r="B1384" s="9" t="s">
        <v>47</v>
      </c>
      <c r="C1384" s="9" t="s">
        <v>40713</v>
      </c>
      <c r="D1384" s="9" t="s">
        <v>45026</v>
      </c>
      <c r="E1384" s="61">
        <v>45041.0</v>
      </c>
      <c r="F1384" s="9" t="b">
        <v>1</v>
      </c>
      <c r="G1384" s="9" t="s">
        <v>38801</v>
      </c>
      <c r="H1384" s="9" t="s">
        <v>42576</v>
      </c>
      <c r="I1384" s="9" t="b">
        <v>1</v>
      </c>
    </row>
    <row r="1385" ht="15.75" customHeight="1">
      <c r="A1385" s="9" t="s">
        <v>45027</v>
      </c>
      <c r="B1385" s="9" t="s">
        <v>47</v>
      </c>
      <c r="C1385" s="9" t="s">
        <v>40715</v>
      </c>
      <c r="D1385" s="9" t="s">
        <v>43994</v>
      </c>
      <c r="E1385" s="61">
        <v>45041.0</v>
      </c>
      <c r="F1385" s="9" t="b">
        <v>1</v>
      </c>
      <c r="G1385" s="9" t="s">
        <v>38801</v>
      </c>
      <c r="H1385" s="9" t="s">
        <v>42576</v>
      </c>
      <c r="I1385" s="9" t="b">
        <v>1</v>
      </c>
    </row>
    <row r="1386" ht="15.75" customHeight="1">
      <c r="A1386" s="9" t="s">
        <v>45028</v>
      </c>
      <c r="B1386" s="9" t="s">
        <v>47</v>
      </c>
      <c r="C1386" s="9" t="s">
        <v>40705</v>
      </c>
      <c r="D1386" s="9" t="s">
        <v>45029</v>
      </c>
      <c r="E1386" s="61">
        <v>45041.0</v>
      </c>
      <c r="F1386" s="9" t="b">
        <v>1</v>
      </c>
      <c r="G1386" s="9" t="s">
        <v>43228</v>
      </c>
      <c r="H1386" s="9" t="s">
        <v>42560</v>
      </c>
      <c r="I1386" s="9"/>
    </row>
    <row r="1387" ht="15.75" customHeight="1">
      <c r="A1387" s="9" t="s">
        <v>45030</v>
      </c>
      <c r="B1387" s="9" t="s">
        <v>47</v>
      </c>
      <c r="C1387" s="9" t="s">
        <v>40709</v>
      </c>
      <c r="D1387" s="9" t="s">
        <v>45031</v>
      </c>
      <c r="E1387" s="61">
        <v>45041.0</v>
      </c>
      <c r="F1387" s="9" t="b">
        <v>1</v>
      </c>
      <c r="G1387" s="9" t="s">
        <v>43228</v>
      </c>
      <c r="H1387" s="9" t="s">
        <v>42576</v>
      </c>
      <c r="I1387" s="9"/>
    </row>
    <row r="1388" ht="15.75" customHeight="1">
      <c r="A1388" s="9" t="s">
        <v>45032</v>
      </c>
      <c r="B1388" s="9" t="s">
        <v>47</v>
      </c>
      <c r="C1388" s="9" t="s">
        <v>40719</v>
      </c>
      <c r="D1388" s="9" t="s">
        <v>45033</v>
      </c>
      <c r="E1388" s="61">
        <v>45042.0</v>
      </c>
      <c r="F1388" s="9" t="b">
        <v>1</v>
      </c>
      <c r="G1388" s="9" t="s">
        <v>38801</v>
      </c>
      <c r="H1388" s="9" t="s">
        <v>42576</v>
      </c>
      <c r="I1388" s="9" t="b">
        <v>1</v>
      </c>
    </row>
    <row r="1389" ht="15.75" customHeight="1">
      <c r="A1389" s="9" t="s">
        <v>45034</v>
      </c>
      <c r="B1389" s="9" t="s">
        <v>47</v>
      </c>
      <c r="C1389" s="9" t="s">
        <v>40721</v>
      </c>
      <c r="D1389" s="9" t="s">
        <v>45035</v>
      </c>
      <c r="E1389" s="61">
        <v>45042.0</v>
      </c>
      <c r="F1389" s="9" t="b">
        <v>1</v>
      </c>
      <c r="G1389" s="9" t="s">
        <v>38801</v>
      </c>
      <c r="H1389" s="9" t="s">
        <v>42576</v>
      </c>
      <c r="I1389" s="9" t="b">
        <v>1</v>
      </c>
    </row>
    <row r="1390" ht="15.75" customHeight="1">
      <c r="A1390" s="9" t="s">
        <v>45036</v>
      </c>
      <c r="B1390" s="9" t="s">
        <v>47</v>
      </c>
      <c r="C1390" s="9" t="s">
        <v>40723</v>
      </c>
      <c r="D1390" s="9" t="s">
        <v>45037</v>
      </c>
      <c r="E1390" s="61">
        <v>45042.0</v>
      </c>
      <c r="F1390" s="9" t="b">
        <v>1</v>
      </c>
      <c r="G1390" s="9" t="s">
        <v>38801</v>
      </c>
      <c r="H1390" s="9" t="s">
        <v>42576</v>
      </c>
      <c r="I1390" s="9" t="b">
        <v>1</v>
      </c>
    </row>
    <row r="1391" ht="15.75" customHeight="1">
      <c r="A1391" s="9" t="s">
        <v>45038</v>
      </c>
      <c r="B1391" s="9" t="s">
        <v>131</v>
      </c>
      <c r="C1391" s="9" t="s">
        <v>40698</v>
      </c>
      <c r="D1391" s="9" t="s">
        <v>45039</v>
      </c>
      <c r="E1391" s="61">
        <v>45042.0</v>
      </c>
      <c r="F1391" s="9" t="b">
        <v>1</v>
      </c>
      <c r="G1391" s="9" t="s">
        <v>38801</v>
      </c>
      <c r="H1391" s="9" t="s">
        <v>42576</v>
      </c>
      <c r="I1391" s="9" t="b">
        <v>1</v>
      </c>
    </row>
    <row r="1392" ht="15.75" customHeight="1">
      <c r="A1392" s="9" t="s">
        <v>45040</v>
      </c>
      <c r="B1392" s="9" t="s">
        <v>131</v>
      </c>
      <c r="C1392" s="9" t="s">
        <v>40691</v>
      </c>
      <c r="D1392" s="9" t="s">
        <v>45041</v>
      </c>
      <c r="E1392" s="61">
        <v>45042.0</v>
      </c>
      <c r="F1392" s="9" t="b">
        <v>1</v>
      </c>
      <c r="G1392" s="9" t="s">
        <v>38801</v>
      </c>
      <c r="H1392" s="9" t="s">
        <v>42576</v>
      </c>
      <c r="I1392" s="9" t="b">
        <v>1</v>
      </c>
    </row>
    <row r="1393" ht="15.75" customHeight="1">
      <c r="A1393" s="9" t="s">
        <v>45042</v>
      </c>
      <c r="B1393" s="9" t="s">
        <v>52</v>
      </c>
      <c r="C1393" s="9" t="s">
        <v>40717</v>
      </c>
      <c r="D1393" s="9" t="s">
        <v>45043</v>
      </c>
      <c r="E1393" s="61">
        <v>45043.0</v>
      </c>
      <c r="F1393" s="9" t="b">
        <v>1</v>
      </c>
      <c r="G1393" s="9" t="s">
        <v>38801</v>
      </c>
      <c r="H1393" s="9" t="s">
        <v>42576</v>
      </c>
      <c r="I1393" s="9" t="b">
        <v>1</v>
      </c>
    </row>
    <row r="1394" ht="15.75" customHeight="1">
      <c r="A1394" s="9" t="s">
        <v>45044</v>
      </c>
      <c r="B1394" s="9" t="s">
        <v>26</v>
      </c>
      <c r="C1394" s="9" t="s">
        <v>40681</v>
      </c>
      <c r="D1394" s="9" t="s">
        <v>45045</v>
      </c>
      <c r="E1394" s="61">
        <v>45043.0</v>
      </c>
      <c r="F1394" s="9" t="b">
        <v>1</v>
      </c>
      <c r="G1394" s="9" t="s">
        <v>38801</v>
      </c>
      <c r="H1394" s="9" t="s">
        <v>42560</v>
      </c>
      <c r="I1394" s="9" t="b">
        <v>1</v>
      </c>
    </row>
    <row r="1395" ht="15.75" customHeight="1">
      <c r="A1395" s="9" t="s">
        <v>45046</v>
      </c>
      <c r="B1395" s="9" t="s">
        <v>26</v>
      </c>
      <c r="C1395" s="9" t="s">
        <v>40689</v>
      </c>
      <c r="D1395" s="9" t="s">
        <v>45047</v>
      </c>
      <c r="E1395" s="61">
        <v>45043.0</v>
      </c>
      <c r="F1395" s="9" t="b">
        <v>1</v>
      </c>
      <c r="G1395" s="9" t="s">
        <v>38801</v>
      </c>
      <c r="H1395" s="9" t="s">
        <v>42560</v>
      </c>
      <c r="I1395" s="9" t="b">
        <v>1</v>
      </c>
    </row>
    <row r="1396" ht="15.75" customHeight="1">
      <c r="A1396" s="9" t="s">
        <v>45048</v>
      </c>
      <c r="B1396" s="9" t="s">
        <v>26</v>
      </c>
      <c r="C1396" s="52" t="s">
        <v>40680</v>
      </c>
      <c r="D1396" s="9" t="s">
        <v>45049</v>
      </c>
      <c r="E1396" s="61">
        <v>45043.0</v>
      </c>
      <c r="F1396" s="9" t="b">
        <v>1</v>
      </c>
      <c r="G1396" s="9" t="s">
        <v>38801</v>
      </c>
      <c r="H1396" s="9" t="s">
        <v>42560</v>
      </c>
      <c r="I1396" s="9" t="b">
        <v>1</v>
      </c>
    </row>
    <row r="1397" ht="15.75" customHeight="1">
      <c r="A1397" s="9" t="s">
        <v>45050</v>
      </c>
      <c r="B1397" s="9" t="s">
        <v>26</v>
      </c>
      <c r="C1397" s="9" t="s">
        <v>40283</v>
      </c>
      <c r="D1397" s="9" t="s">
        <v>45051</v>
      </c>
      <c r="E1397" s="61">
        <v>45043.0</v>
      </c>
      <c r="F1397" s="9" t="b">
        <v>1</v>
      </c>
      <c r="G1397" s="9" t="s">
        <v>38801</v>
      </c>
      <c r="H1397" s="9" t="s">
        <v>42560</v>
      </c>
      <c r="I1397" s="9" t="b">
        <v>1</v>
      </c>
    </row>
    <row r="1398" ht="15.75" customHeight="1">
      <c r="A1398" s="9" t="s">
        <v>45052</v>
      </c>
      <c r="B1398" s="9" t="s">
        <v>52</v>
      </c>
      <c r="C1398" s="9" t="s">
        <v>40725</v>
      </c>
      <c r="D1398" s="9" t="s">
        <v>45053</v>
      </c>
      <c r="E1398" s="61">
        <v>45043.0</v>
      </c>
      <c r="F1398" s="9" t="b">
        <v>1</v>
      </c>
      <c r="G1398" s="9" t="s">
        <v>38801</v>
      </c>
      <c r="H1398" s="9" t="s">
        <v>42576</v>
      </c>
      <c r="I1398" s="9" t="b">
        <v>1</v>
      </c>
    </row>
    <row r="1399" ht="15.75" customHeight="1">
      <c r="A1399" s="9" t="s">
        <v>45054</v>
      </c>
      <c r="B1399" s="9" t="s">
        <v>52</v>
      </c>
      <c r="C1399" s="9" t="s">
        <v>40726</v>
      </c>
      <c r="D1399" s="9" t="s">
        <v>45055</v>
      </c>
      <c r="E1399" s="61">
        <v>45043.0</v>
      </c>
      <c r="F1399" s="9" t="b">
        <v>1</v>
      </c>
      <c r="G1399" s="9" t="s">
        <v>38801</v>
      </c>
      <c r="H1399" s="9" t="s">
        <v>42576</v>
      </c>
      <c r="I1399" s="9" t="b">
        <v>1</v>
      </c>
    </row>
    <row r="1400" ht="15.75" customHeight="1">
      <c r="A1400" s="52" t="s">
        <v>45056</v>
      </c>
      <c r="B1400" s="9" t="s">
        <v>47</v>
      </c>
      <c r="C1400" s="9" t="s">
        <v>40728</v>
      </c>
      <c r="D1400" s="9" t="s">
        <v>45057</v>
      </c>
      <c r="E1400" s="61">
        <v>45044.0</v>
      </c>
      <c r="F1400" s="9" t="b">
        <v>1</v>
      </c>
      <c r="G1400" s="9" t="s">
        <v>38801</v>
      </c>
      <c r="H1400" s="9" t="s">
        <v>42576</v>
      </c>
      <c r="I1400" s="9" t="b">
        <v>1</v>
      </c>
    </row>
    <row r="1401" ht="15.75" customHeight="1">
      <c r="A1401" s="9" t="s">
        <v>45058</v>
      </c>
      <c r="B1401" s="9" t="s">
        <v>47</v>
      </c>
      <c r="C1401" s="9" t="s">
        <v>40730</v>
      </c>
      <c r="D1401" s="9" t="s">
        <v>45059</v>
      </c>
      <c r="E1401" s="61">
        <v>45044.0</v>
      </c>
      <c r="F1401" s="9" t="b">
        <v>1</v>
      </c>
      <c r="G1401" s="9" t="s">
        <v>38801</v>
      </c>
      <c r="H1401" s="9" t="s">
        <v>42576</v>
      </c>
      <c r="I1401" s="9" t="b">
        <v>1</v>
      </c>
    </row>
    <row r="1402" ht="15.75" customHeight="1">
      <c r="A1402" s="9" t="s">
        <v>45060</v>
      </c>
      <c r="B1402" s="9" t="s">
        <v>47</v>
      </c>
      <c r="C1402" s="9" t="s">
        <v>40732</v>
      </c>
      <c r="D1402" s="9" t="s">
        <v>45061</v>
      </c>
      <c r="E1402" s="61">
        <v>45044.0</v>
      </c>
      <c r="F1402" s="9" t="b">
        <v>1</v>
      </c>
      <c r="G1402" s="9" t="s">
        <v>42585</v>
      </c>
      <c r="H1402" s="9" t="s">
        <v>42576</v>
      </c>
      <c r="I1402" s="9"/>
    </row>
    <row r="1403" ht="15.75" customHeight="1">
      <c r="A1403" s="9" t="s">
        <v>45062</v>
      </c>
      <c r="B1403" s="9" t="s">
        <v>47</v>
      </c>
      <c r="C1403" s="9" t="s">
        <v>40733</v>
      </c>
      <c r="D1403" s="9" t="s">
        <v>45063</v>
      </c>
      <c r="E1403" s="61">
        <v>45044.0</v>
      </c>
      <c r="F1403" s="9" t="b">
        <v>1</v>
      </c>
      <c r="G1403" s="9" t="s">
        <v>38801</v>
      </c>
      <c r="H1403" s="9" t="s">
        <v>42576</v>
      </c>
      <c r="I1403" s="9" t="b">
        <v>1</v>
      </c>
    </row>
    <row r="1404" ht="15.75" customHeight="1">
      <c r="A1404" s="9" t="s">
        <v>45064</v>
      </c>
      <c r="B1404" s="9" t="s">
        <v>47</v>
      </c>
      <c r="C1404" s="9" t="s">
        <v>40631</v>
      </c>
      <c r="D1404" s="9" t="s">
        <v>43895</v>
      </c>
      <c r="E1404" s="61">
        <v>45044.0</v>
      </c>
      <c r="F1404" s="9" t="b">
        <v>1</v>
      </c>
      <c r="G1404" s="9" t="s">
        <v>38801</v>
      </c>
      <c r="H1404" s="9" t="s">
        <v>42576</v>
      </c>
      <c r="I1404" s="9" t="b">
        <v>1</v>
      </c>
    </row>
    <row r="1405" ht="15.75" customHeight="1">
      <c r="A1405" s="9" t="s">
        <v>45065</v>
      </c>
      <c r="B1405" s="9" t="s">
        <v>47</v>
      </c>
      <c r="C1405" s="9" t="s">
        <v>40671</v>
      </c>
      <c r="D1405" s="9" t="s">
        <v>45066</v>
      </c>
      <c r="E1405" s="61">
        <v>45044.0</v>
      </c>
      <c r="F1405" s="9" t="b">
        <v>1</v>
      </c>
      <c r="G1405" s="9" t="s">
        <v>38801</v>
      </c>
      <c r="H1405" s="9" t="s">
        <v>42576</v>
      </c>
      <c r="I1405" s="9" t="b">
        <v>1</v>
      </c>
    </row>
    <row r="1406" ht="15.75" customHeight="1">
      <c r="A1406" s="9" t="s">
        <v>45067</v>
      </c>
      <c r="B1406" s="9" t="s">
        <v>47</v>
      </c>
      <c r="C1406" s="9" t="s">
        <v>40704</v>
      </c>
      <c r="D1406" s="9" t="s">
        <v>43895</v>
      </c>
      <c r="E1406" s="61">
        <v>45044.0</v>
      </c>
      <c r="F1406" s="9" t="b">
        <v>1</v>
      </c>
      <c r="G1406" s="9" t="s">
        <v>38801</v>
      </c>
      <c r="H1406" s="9" t="s">
        <v>42576</v>
      </c>
      <c r="I1406" s="9" t="b">
        <v>1</v>
      </c>
    </row>
    <row r="1407" ht="15.75" customHeight="1">
      <c r="A1407" s="9" t="s">
        <v>45068</v>
      </c>
      <c r="B1407" s="9" t="s">
        <v>47</v>
      </c>
      <c r="C1407" s="9" t="s">
        <v>40711</v>
      </c>
      <c r="D1407" s="9" t="s">
        <v>43895</v>
      </c>
      <c r="E1407" s="61">
        <v>45044.0</v>
      </c>
      <c r="F1407" s="9" t="b">
        <v>1</v>
      </c>
      <c r="G1407" s="9" t="s">
        <v>38801</v>
      </c>
      <c r="H1407" s="9" t="s">
        <v>42576</v>
      </c>
      <c r="I1407" s="9" t="b">
        <v>1</v>
      </c>
    </row>
    <row r="1408" ht="15.75" customHeight="1">
      <c r="A1408" s="9" t="s">
        <v>45069</v>
      </c>
      <c r="B1408" s="9" t="s">
        <v>47</v>
      </c>
      <c r="C1408" s="9" t="s">
        <v>40712</v>
      </c>
      <c r="D1408" s="9" t="s">
        <v>43895</v>
      </c>
      <c r="E1408" s="61">
        <v>45044.0</v>
      </c>
      <c r="F1408" s="9" t="b">
        <v>1</v>
      </c>
      <c r="G1408" s="9" t="s">
        <v>38801</v>
      </c>
      <c r="H1408" s="9" t="s">
        <v>42576</v>
      </c>
      <c r="I1408" s="9" t="b">
        <v>1</v>
      </c>
    </row>
    <row r="1409" ht="15.75" customHeight="1">
      <c r="A1409" s="9" t="s">
        <v>45070</v>
      </c>
      <c r="B1409" s="9" t="s">
        <v>76</v>
      </c>
      <c r="C1409" s="9" t="s">
        <v>40600</v>
      </c>
      <c r="D1409" s="9" t="s">
        <v>45071</v>
      </c>
      <c r="E1409" s="61">
        <v>45044.0</v>
      </c>
      <c r="F1409" s="9" t="b">
        <v>1</v>
      </c>
      <c r="G1409" s="9" t="s">
        <v>38801</v>
      </c>
      <c r="H1409" s="9" t="s">
        <v>42576</v>
      </c>
      <c r="I1409" s="9" t="b">
        <v>1</v>
      </c>
    </row>
    <row r="1410" ht="15.75" customHeight="1">
      <c r="A1410" s="9" t="s">
        <v>45072</v>
      </c>
      <c r="B1410" s="9" t="s">
        <v>76</v>
      </c>
      <c r="C1410" s="9" t="s">
        <v>40598</v>
      </c>
      <c r="D1410" s="9" t="s">
        <v>45073</v>
      </c>
      <c r="E1410" s="61">
        <v>45044.0</v>
      </c>
      <c r="F1410" s="9" t="b">
        <v>1</v>
      </c>
      <c r="G1410" s="9" t="s">
        <v>38801</v>
      </c>
      <c r="H1410" s="9" t="s">
        <v>42576</v>
      </c>
      <c r="I1410" s="9" t="b">
        <v>1</v>
      </c>
    </row>
    <row r="1411" ht="15.75" customHeight="1">
      <c r="A1411" s="9" t="s">
        <v>45074</v>
      </c>
      <c r="B1411" s="9" t="s">
        <v>76</v>
      </c>
      <c r="C1411" s="9" t="s">
        <v>40621</v>
      </c>
      <c r="D1411" s="9" t="s">
        <v>45075</v>
      </c>
      <c r="E1411" s="61">
        <v>45044.0</v>
      </c>
      <c r="F1411" s="9" t="b">
        <v>1</v>
      </c>
      <c r="G1411" s="9" t="s">
        <v>42585</v>
      </c>
      <c r="H1411" s="9" t="s">
        <v>42560</v>
      </c>
      <c r="I1411" s="9"/>
    </row>
    <row r="1412" ht="15.75" customHeight="1">
      <c r="A1412" s="9" t="s">
        <v>45076</v>
      </c>
      <c r="B1412" s="9" t="s">
        <v>76</v>
      </c>
      <c r="C1412" s="9" t="s">
        <v>40627</v>
      </c>
      <c r="D1412" s="9" t="s">
        <v>45077</v>
      </c>
      <c r="E1412" s="61">
        <v>45044.0</v>
      </c>
      <c r="F1412" s="9" t="b">
        <v>1</v>
      </c>
      <c r="G1412" s="9" t="s">
        <v>38801</v>
      </c>
      <c r="H1412" s="9" t="s">
        <v>42576</v>
      </c>
      <c r="I1412" s="9" t="b">
        <v>1</v>
      </c>
    </row>
    <row r="1413" ht="15.75" customHeight="1">
      <c r="A1413" s="9" t="s">
        <v>45078</v>
      </c>
      <c r="B1413" s="9" t="s">
        <v>76</v>
      </c>
      <c r="C1413" s="9" t="s">
        <v>40687</v>
      </c>
      <c r="D1413" s="9" t="s">
        <v>45079</v>
      </c>
      <c r="E1413" s="61">
        <v>45044.0</v>
      </c>
      <c r="F1413" s="9" t="b">
        <v>1</v>
      </c>
      <c r="G1413" s="9" t="s">
        <v>42585</v>
      </c>
      <c r="H1413" s="9" t="s">
        <v>42560</v>
      </c>
      <c r="I1413" s="9"/>
    </row>
    <row r="1414" ht="15.75" customHeight="1">
      <c r="A1414" s="9" t="s">
        <v>45080</v>
      </c>
      <c r="B1414" s="9" t="s">
        <v>52</v>
      </c>
      <c r="C1414" s="9" t="s">
        <v>40732</v>
      </c>
      <c r="D1414" s="9" t="s">
        <v>45081</v>
      </c>
      <c r="E1414" s="61">
        <v>45044.0</v>
      </c>
      <c r="F1414" s="9" t="b">
        <v>1</v>
      </c>
      <c r="G1414" s="9" t="s">
        <v>38801</v>
      </c>
      <c r="H1414" s="9" t="s">
        <v>42576</v>
      </c>
      <c r="I1414" s="9" t="b">
        <v>1</v>
      </c>
    </row>
    <row r="1415" ht="15.75" customHeight="1">
      <c r="A1415" s="9" t="s">
        <v>45082</v>
      </c>
      <c r="B1415" s="9" t="s">
        <v>47</v>
      </c>
      <c r="C1415" s="9" t="s">
        <v>40739</v>
      </c>
      <c r="D1415" s="9" t="s">
        <v>45083</v>
      </c>
      <c r="E1415" s="61">
        <v>45048.0</v>
      </c>
      <c r="F1415" s="9" t="b">
        <v>1</v>
      </c>
      <c r="G1415" s="9" t="s">
        <v>38801</v>
      </c>
      <c r="H1415" s="9" t="s">
        <v>42576</v>
      </c>
      <c r="I1415" s="9" t="b">
        <v>1</v>
      </c>
    </row>
    <row r="1416" ht="15.75" customHeight="1">
      <c r="A1416" s="9" t="s">
        <v>45084</v>
      </c>
      <c r="B1416" s="9" t="s">
        <v>47</v>
      </c>
      <c r="C1416" s="9" t="s">
        <v>40740</v>
      </c>
      <c r="D1416" s="9" t="s">
        <v>45085</v>
      </c>
      <c r="E1416" s="61">
        <v>45048.0</v>
      </c>
      <c r="F1416" s="9" t="b">
        <v>1</v>
      </c>
      <c r="G1416" s="9" t="s">
        <v>38801</v>
      </c>
      <c r="H1416" s="9" t="s">
        <v>42576</v>
      </c>
      <c r="I1416" s="9" t="b">
        <v>1</v>
      </c>
    </row>
    <row r="1417" ht="15.75" customHeight="1">
      <c r="A1417" s="9" t="s">
        <v>45086</v>
      </c>
      <c r="B1417" s="9" t="s">
        <v>47</v>
      </c>
      <c r="C1417" s="9" t="s">
        <v>40737</v>
      </c>
      <c r="D1417" s="9" t="s">
        <v>45087</v>
      </c>
      <c r="E1417" s="61">
        <v>45048.0</v>
      </c>
      <c r="F1417" s="9" t="b">
        <v>1</v>
      </c>
      <c r="G1417" s="9" t="s">
        <v>38801</v>
      </c>
      <c r="H1417" s="9" t="s">
        <v>42576</v>
      </c>
      <c r="I1417" s="9" t="b">
        <v>1</v>
      </c>
    </row>
    <row r="1418" ht="15.75" customHeight="1">
      <c r="A1418" s="9" t="s">
        <v>45088</v>
      </c>
      <c r="B1418" s="9" t="s">
        <v>47</v>
      </c>
      <c r="C1418" s="9" t="s">
        <v>40742</v>
      </c>
      <c r="D1418" s="9" t="s">
        <v>45089</v>
      </c>
      <c r="E1418" s="61">
        <v>45048.0</v>
      </c>
      <c r="F1418" s="9" t="b">
        <v>1</v>
      </c>
      <c r="G1418" s="9" t="s">
        <v>38801</v>
      </c>
      <c r="H1418" s="9" t="s">
        <v>42576</v>
      </c>
      <c r="I1418" s="9" t="b">
        <v>1</v>
      </c>
    </row>
    <row r="1419" ht="15.75" customHeight="1">
      <c r="A1419" s="9" t="s">
        <v>45090</v>
      </c>
      <c r="B1419" s="9" t="s">
        <v>47</v>
      </c>
      <c r="C1419" s="52" t="s">
        <v>40744</v>
      </c>
      <c r="D1419" s="9" t="s">
        <v>43796</v>
      </c>
      <c r="E1419" s="61">
        <v>45048.0</v>
      </c>
      <c r="F1419" s="9" t="b">
        <v>1</v>
      </c>
      <c r="G1419" s="9" t="s">
        <v>38801</v>
      </c>
      <c r="H1419" s="9" t="s">
        <v>42576</v>
      </c>
      <c r="I1419" s="9" t="b">
        <v>1</v>
      </c>
    </row>
    <row r="1420" ht="15.75" customHeight="1">
      <c r="A1420" s="9" t="s">
        <v>45091</v>
      </c>
      <c r="B1420" s="9" t="s">
        <v>47</v>
      </c>
      <c r="C1420" s="9" t="s">
        <v>40750</v>
      </c>
      <c r="D1420" s="9" t="s">
        <v>45092</v>
      </c>
      <c r="E1420" s="61">
        <v>45049.0</v>
      </c>
      <c r="F1420" s="9" t="b">
        <v>1</v>
      </c>
      <c r="G1420" s="9" t="s">
        <v>38801</v>
      </c>
      <c r="H1420" s="9" t="s">
        <v>42576</v>
      </c>
      <c r="I1420" s="9" t="b">
        <v>1</v>
      </c>
    </row>
    <row r="1421" ht="15.75" customHeight="1">
      <c r="A1421" s="9" t="s">
        <v>45093</v>
      </c>
      <c r="B1421" s="9" t="s">
        <v>47</v>
      </c>
      <c r="C1421" s="9" t="s">
        <v>40752</v>
      </c>
      <c r="D1421" s="9" t="s">
        <v>45094</v>
      </c>
      <c r="E1421" s="61">
        <v>45049.0</v>
      </c>
      <c r="F1421" s="9" t="b">
        <v>1</v>
      </c>
      <c r="G1421" s="9" t="s">
        <v>38801</v>
      </c>
      <c r="H1421" s="9" t="s">
        <v>42576</v>
      </c>
      <c r="I1421" s="9" t="b">
        <v>1</v>
      </c>
    </row>
    <row r="1422" ht="15.75" customHeight="1">
      <c r="A1422" s="9" t="s">
        <v>45095</v>
      </c>
      <c r="B1422" s="9" t="s">
        <v>47</v>
      </c>
      <c r="C1422" s="9" t="s">
        <v>40709</v>
      </c>
      <c r="D1422" s="9" t="s">
        <v>45096</v>
      </c>
      <c r="E1422" s="61">
        <v>45049.0</v>
      </c>
      <c r="F1422" s="9" t="b">
        <v>1</v>
      </c>
      <c r="G1422" s="9" t="s">
        <v>38801</v>
      </c>
      <c r="H1422" s="9" t="s">
        <v>42576</v>
      </c>
      <c r="I1422" s="9" t="b">
        <v>1</v>
      </c>
    </row>
    <row r="1423" ht="15.75" customHeight="1">
      <c r="A1423" s="9" t="s">
        <v>45097</v>
      </c>
      <c r="B1423" s="9" t="s">
        <v>47</v>
      </c>
      <c r="C1423" s="9" t="s">
        <v>40754</v>
      </c>
      <c r="D1423" s="9" t="s">
        <v>45098</v>
      </c>
      <c r="E1423" s="61">
        <v>45049.0</v>
      </c>
      <c r="F1423" s="9" t="b">
        <v>1</v>
      </c>
      <c r="G1423" s="9" t="s">
        <v>38801</v>
      </c>
      <c r="H1423" s="9" t="s">
        <v>42576</v>
      </c>
      <c r="I1423" s="9" t="b">
        <v>1</v>
      </c>
    </row>
    <row r="1424" ht="15.75" customHeight="1">
      <c r="A1424" s="9" t="s">
        <v>45099</v>
      </c>
      <c r="B1424" s="9" t="s">
        <v>47</v>
      </c>
      <c r="C1424" s="9" t="s">
        <v>40746</v>
      </c>
      <c r="D1424" s="9" t="s">
        <v>45100</v>
      </c>
      <c r="E1424" s="61">
        <v>45049.0</v>
      </c>
      <c r="F1424" s="9" t="b">
        <v>1</v>
      </c>
      <c r="G1424" s="9" t="s">
        <v>43228</v>
      </c>
      <c r="H1424" s="9" t="s">
        <v>42576</v>
      </c>
      <c r="I1424" s="9"/>
    </row>
    <row r="1425" ht="15.75" customHeight="1">
      <c r="A1425" s="9" t="s">
        <v>45101</v>
      </c>
      <c r="B1425" s="9" t="s">
        <v>52</v>
      </c>
      <c r="C1425" s="9" t="s">
        <v>40736</v>
      </c>
      <c r="D1425" s="9" t="s">
        <v>45102</v>
      </c>
      <c r="E1425" s="61">
        <v>45049.0</v>
      </c>
      <c r="F1425" s="9" t="b">
        <v>1</v>
      </c>
      <c r="G1425" s="9" t="s">
        <v>38801</v>
      </c>
      <c r="H1425" s="9" t="s">
        <v>42576</v>
      </c>
      <c r="I1425" s="9" t="b">
        <v>1</v>
      </c>
    </row>
    <row r="1426" ht="15.75" customHeight="1">
      <c r="A1426" s="9" t="s">
        <v>45103</v>
      </c>
      <c r="B1426" s="9" t="s">
        <v>47</v>
      </c>
      <c r="C1426" s="9" t="s">
        <v>40705</v>
      </c>
      <c r="D1426" s="9" t="s">
        <v>45104</v>
      </c>
      <c r="E1426" s="61">
        <v>45051.0</v>
      </c>
      <c r="F1426" s="9" t="b">
        <v>1</v>
      </c>
      <c r="G1426" s="9" t="s">
        <v>38801</v>
      </c>
      <c r="H1426" s="9" t="s">
        <v>42576</v>
      </c>
      <c r="I1426" s="9" t="b">
        <v>1</v>
      </c>
    </row>
    <row r="1427" ht="15.75" customHeight="1">
      <c r="A1427" s="9" t="s">
        <v>45105</v>
      </c>
      <c r="B1427" s="9" t="s">
        <v>47</v>
      </c>
      <c r="C1427" s="9" t="s">
        <v>40707</v>
      </c>
      <c r="D1427" s="9" t="s">
        <v>45106</v>
      </c>
      <c r="E1427" s="61">
        <v>45051.0</v>
      </c>
      <c r="F1427" s="9" t="b">
        <v>1</v>
      </c>
      <c r="G1427" s="9" t="s">
        <v>43228</v>
      </c>
      <c r="H1427" s="9" t="s">
        <v>42576</v>
      </c>
      <c r="I1427" s="9"/>
    </row>
    <row r="1428" ht="15.75" customHeight="1">
      <c r="A1428" s="9" t="s">
        <v>45107</v>
      </c>
      <c r="B1428" s="9" t="s">
        <v>52</v>
      </c>
      <c r="C1428" s="9" t="s">
        <v>40757</v>
      </c>
      <c r="D1428" s="9" t="s">
        <v>45108</v>
      </c>
      <c r="E1428" s="61">
        <v>45051.0</v>
      </c>
      <c r="F1428" s="9" t="b">
        <v>1</v>
      </c>
      <c r="G1428" s="9" t="s">
        <v>38801</v>
      </c>
      <c r="H1428" s="9" t="s">
        <v>42576</v>
      </c>
      <c r="I1428" s="9" t="b">
        <v>1</v>
      </c>
    </row>
    <row r="1429" ht="15.75" customHeight="1">
      <c r="A1429" s="9" t="s">
        <v>45109</v>
      </c>
      <c r="B1429" s="9" t="s">
        <v>52</v>
      </c>
      <c r="C1429" s="9" t="s">
        <v>40756</v>
      </c>
      <c r="D1429" s="9" t="s">
        <v>45110</v>
      </c>
      <c r="E1429" s="61">
        <v>45055.0</v>
      </c>
      <c r="F1429" s="9" t="b">
        <v>1</v>
      </c>
      <c r="G1429" s="9" t="s">
        <v>38801</v>
      </c>
      <c r="H1429" s="9" t="s">
        <v>42576</v>
      </c>
      <c r="I1429" s="9" t="b">
        <v>1</v>
      </c>
    </row>
    <row r="1430" ht="15.75" customHeight="1">
      <c r="A1430" s="9" t="s">
        <v>45111</v>
      </c>
      <c r="B1430" s="9" t="s">
        <v>47</v>
      </c>
      <c r="C1430" s="9" t="s">
        <v>40685</v>
      </c>
      <c r="D1430" s="9" t="s">
        <v>45112</v>
      </c>
      <c r="E1430" s="61">
        <v>45056.0</v>
      </c>
      <c r="F1430" s="9" t="b">
        <v>1</v>
      </c>
      <c r="G1430" s="9" t="s">
        <v>42573</v>
      </c>
      <c r="H1430" s="9" t="s">
        <v>42576</v>
      </c>
      <c r="I1430" s="9"/>
    </row>
    <row r="1431" ht="15.75" customHeight="1">
      <c r="A1431" s="9" t="s">
        <v>45113</v>
      </c>
      <c r="B1431" s="9" t="s">
        <v>52</v>
      </c>
      <c r="C1431" s="9" t="s">
        <v>40748</v>
      </c>
      <c r="D1431" s="9" t="s">
        <v>44210</v>
      </c>
      <c r="E1431" s="61">
        <v>45057.0</v>
      </c>
      <c r="F1431" s="9" t="b">
        <v>1</v>
      </c>
      <c r="G1431" s="9" t="s">
        <v>38801</v>
      </c>
      <c r="H1431" s="9" t="s">
        <v>42576</v>
      </c>
      <c r="I1431" s="9" t="b">
        <v>1</v>
      </c>
    </row>
    <row r="1432" ht="15.75" customHeight="1">
      <c r="A1432" s="9" t="s">
        <v>45114</v>
      </c>
      <c r="B1432" s="9" t="s">
        <v>76</v>
      </c>
      <c r="C1432" s="9" t="s">
        <v>40621</v>
      </c>
      <c r="D1432" s="9" t="s">
        <v>45115</v>
      </c>
      <c r="E1432" s="61">
        <v>45057.0</v>
      </c>
      <c r="F1432" s="9" t="b">
        <v>1</v>
      </c>
      <c r="G1432" s="9" t="s">
        <v>38801</v>
      </c>
      <c r="H1432" s="9" t="s">
        <v>42576</v>
      </c>
      <c r="I1432" s="9" t="b">
        <v>1</v>
      </c>
    </row>
    <row r="1433" ht="15.75" customHeight="1">
      <c r="A1433" s="9" t="s">
        <v>45116</v>
      </c>
      <c r="B1433" s="9" t="s">
        <v>131</v>
      </c>
      <c r="C1433" s="9" t="s">
        <v>40350</v>
      </c>
      <c r="D1433" s="9" t="s">
        <v>45117</v>
      </c>
      <c r="E1433" s="61">
        <v>45057.0</v>
      </c>
      <c r="F1433" s="9" t="b">
        <v>1</v>
      </c>
      <c r="G1433" s="9" t="s">
        <v>42573</v>
      </c>
      <c r="H1433" s="9" t="s">
        <v>42560</v>
      </c>
      <c r="I1433" s="9"/>
    </row>
    <row r="1434" ht="15.75" customHeight="1">
      <c r="A1434" s="9" t="s">
        <v>45118</v>
      </c>
      <c r="B1434" s="9" t="s">
        <v>52</v>
      </c>
      <c r="C1434" s="9" t="s">
        <v>40762</v>
      </c>
      <c r="D1434" s="9" t="s">
        <v>45119</v>
      </c>
      <c r="E1434" s="61">
        <v>45058.0</v>
      </c>
      <c r="F1434" s="9" t="b">
        <v>1</v>
      </c>
      <c r="G1434" s="9" t="s">
        <v>38801</v>
      </c>
      <c r="H1434" s="9" t="s">
        <v>42576</v>
      </c>
      <c r="I1434" s="9" t="b">
        <v>1</v>
      </c>
    </row>
    <row r="1435" ht="15.75" customHeight="1">
      <c r="A1435" s="9" t="s">
        <v>45120</v>
      </c>
      <c r="B1435" s="9" t="s">
        <v>131</v>
      </c>
      <c r="C1435" s="9" t="s">
        <v>40760</v>
      </c>
      <c r="D1435" s="9" t="s">
        <v>45121</v>
      </c>
      <c r="E1435" s="61">
        <v>45058.0</v>
      </c>
      <c r="F1435" s="9" t="b">
        <v>1</v>
      </c>
      <c r="G1435" s="9" t="s">
        <v>38801</v>
      </c>
      <c r="H1435" s="9" t="s">
        <v>42576</v>
      </c>
      <c r="I1435" s="9" t="b">
        <v>1</v>
      </c>
    </row>
    <row r="1436" ht="15.75" customHeight="1">
      <c r="A1436" s="52" t="s">
        <v>45122</v>
      </c>
      <c r="B1436" s="9" t="s">
        <v>26</v>
      </c>
      <c r="C1436" s="9" t="s">
        <v>40764</v>
      </c>
      <c r="D1436" s="9" t="s">
        <v>45123</v>
      </c>
      <c r="E1436" s="61">
        <v>45060.0</v>
      </c>
      <c r="F1436" s="9" t="b">
        <v>1</v>
      </c>
      <c r="G1436" s="9" t="s">
        <v>38801</v>
      </c>
      <c r="H1436" s="9" t="s">
        <v>42560</v>
      </c>
      <c r="I1436" s="9" t="b">
        <v>1</v>
      </c>
    </row>
    <row r="1437" ht="15.75" customHeight="1">
      <c r="A1437" s="9" t="s">
        <v>45124</v>
      </c>
      <c r="B1437" s="9" t="s">
        <v>26</v>
      </c>
      <c r="C1437" s="9" t="s">
        <v>40766</v>
      </c>
      <c r="D1437" s="9" t="s">
        <v>45125</v>
      </c>
      <c r="E1437" s="61">
        <v>45060.0</v>
      </c>
      <c r="F1437" s="9" t="b">
        <v>1</v>
      </c>
      <c r="G1437" s="9" t="s">
        <v>38801</v>
      </c>
      <c r="H1437" s="9" t="s">
        <v>42560</v>
      </c>
      <c r="I1437" s="9" t="b">
        <v>1</v>
      </c>
    </row>
    <row r="1438" ht="15.75" customHeight="1">
      <c r="A1438" s="9" t="s">
        <v>45126</v>
      </c>
      <c r="B1438" s="9" t="s">
        <v>26</v>
      </c>
      <c r="C1438" s="9" t="s">
        <v>40767</v>
      </c>
      <c r="D1438" s="9" t="s">
        <v>45125</v>
      </c>
      <c r="E1438" s="61">
        <v>45060.0</v>
      </c>
      <c r="F1438" s="9" t="b">
        <v>1</v>
      </c>
      <c r="G1438" s="9" t="s">
        <v>38801</v>
      </c>
      <c r="H1438" s="9" t="s">
        <v>42560</v>
      </c>
      <c r="I1438" s="9" t="b">
        <v>1</v>
      </c>
    </row>
    <row r="1439" ht="15.75" customHeight="1">
      <c r="A1439" s="9" t="s">
        <v>45127</v>
      </c>
      <c r="B1439" s="9" t="s">
        <v>52</v>
      </c>
      <c r="C1439" s="9" t="s">
        <v>39459</v>
      </c>
      <c r="D1439" s="9" t="s">
        <v>45128</v>
      </c>
      <c r="E1439" s="61">
        <v>45061.0</v>
      </c>
      <c r="F1439" s="9" t="b">
        <v>1</v>
      </c>
      <c r="G1439" s="9" t="s">
        <v>38801</v>
      </c>
      <c r="H1439" s="9" t="s">
        <v>42576</v>
      </c>
      <c r="I1439" s="9" t="b">
        <v>1</v>
      </c>
    </row>
    <row r="1440" ht="15.75" customHeight="1">
      <c r="A1440" s="9" t="s">
        <v>45129</v>
      </c>
      <c r="B1440" s="9" t="s">
        <v>52</v>
      </c>
      <c r="C1440" s="9" t="s">
        <v>40736</v>
      </c>
      <c r="D1440" s="9" t="s">
        <v>45130</v>
      </c>
      <c r="E1440" s="61">
        <v>45061.0</v>
      </c>
      <c r="F1440" s="9" t="b">
        <v>1</v>
      </c>
      <c r="G1440" s="9" t="s">
        <v>38801</v>
      </c>
      <c r="H1440" s="9" t="s">
        <v>42576</v>
      </c>
      <c r="I1440" s="9" t="b">
        <v>1</v>
      </c>
    </row>
    <row r="1441" ht="15.75" customHeight="1">
      <c r="A1441" s="9" t="s">
        <v>45131</v>
      </c>
      <c r="B1441" s="9" t="s">
        <v>52</v>
      </c>
      <c r="C1441" s="9" t="s">
        <v>40770</v>
      </c>
      <c r="D1441" s="9" t="s">
        <v>45132</v>
      </c>
      <c r="E1441" s="61">
        <v>45065.0</v>
      </c>
      <c r="F1441" s="9" t="b">
        <v>1</v>
      </c>
      <c r="G1441" s="9" t="s">
        <v>42573</v>
      </c>
      <c r="H1441" s="9" t="s">
        <v>42576</v>
      </c>
      <c r="I1441" s="9"/>
    </row>
    <row r="1442" ht="15.75" customHeight="1">
      <c r="A1442" s="9" t="s">
        <v>45133</v>
      </c>
      <c r="B1442" s="9" t="s">
        <v>76</v>
      </c>
      <c r="C1442" s="9" t="s">
        <v>40770</v>
      </c>
      <c r="D1442" s="9" t="s">
        <v>45134</v>
      </c>
      <c r="E1442" s="61">
        <v>45065.0</v>
      </c>
      <c r="F1442" s="9" t="b">
        <v>1</v>
      </c>
      <c r="G1442" s="9" t="s">
        <v>38801</v>
      </c>
      <c r="H1442" s="9" t="s">
        <v>42576</v>
      </c>
      <c r="I1442" s="9" t="b">
        <v>1</v>
      </c>
    </row>
    <row r="1443" ht="15.75" customHeight="1">
      <c r="A1443" s="9" t="s">
        <v>45135</v>
      </c>
      <c r="B1443" s="9" t="s">
        <v>47</v>
      </c>
      <c r="C1443" s="9" t="s">
        <v>40771</v>
      </c>
      <c r="D1443" s="9" t="s">
        <v>43895</v>
      </c>
      <c r="E1443" s="61">
        <v>45065.0</v>
      </c>
      <c r="F1443" s="9" t="b">
        <v>1</v>
      </c>
      <c r="G1443" s="9" t="s">
        <v>38801</v>
      </c>
      <c r="H1443" s="9" t="s">
        <v>42576</v>
      </c>
      <c r="I1443" s="9" t="b">
        <v>1</v>
      </c>
    </row>
    <row r="1444" ht="15.75" customHeight="1">
      <c r="A1444" s="9" t="s">
        <v>45136</v>
      </c>
      <c r="B1444" s="9" t="s">
        <v>52</v>
      </c>
      <c r="C1444" s="9" t="s">
        <v>40772</v>
      </c>
      <c r="D1444" s="9" t="s">
        <v>45137</v>
      </c>
      <c r="E1444" s="61">
        <v>45065.0</v>
      </c>
      <c r="F1444" s="9" t="b">
        <v>1</v>
      </c>
      <c r="G1444" s="9" t="s">
        <v>38801</v>
      </c>
      <c r="H1444" s="9" t="s">
        <v>42576</v>
      </c>
      <c r="I1444" s="9" t="b">
        <v>1</v>
      </c>
    </row>
    <row r="1445" ht="15.75" customHeight="1">
      <c r="A1445" s="52" t="s">
        <v>45138</v>
      </c>
      <c r="B1445" s="9" t="s">
        <v>76</v>
      </c>
      <c r="C1445" s="9" t="s">
        <v>40616</v>
      </c>
      <c r="D1445" s="9" t="s">
        <v>45139</v>
      </c>
      <c r="E1445" s="61">
        <v>45066.0</v>
      </c>
      <c r="F1445" s="9" t="b">
        <v>1</v>
      </c>
      <c r="G1445" s="9" t="s">
        <v>38801</v>
      </c>
      <c r="H1445" s="9" t="s">
        <v>42576</v>
      </c>
      <c r="I1445" s="9" t="b">
        <v>1</v>
      </c>
    </row>
    <row r="1446" ht="15.75" customHeight="1">
      <c r="A1446" s="9" t="s">
        <v>45140</v>
      </c>
      <c r="B1446" s="9" t="s">
        <v>76</v>
      </c>
      <c r="C1446" s="9" t="s">
        <v>40687</v>
      </c>
      <c r="D1446" s="9" t="s">
        <v>45141</v>
      </c>
      <c r="E1446" s="61">
        <v>45066.0</v>
      </c>
      <c r="F1446" s="9" t="b">
        <v>1</v>
      </c>
      <c r="G1446" s="9" t="s">
        <v>38801</v>
      </c>
      <c r="H1446" s="9" t="s">
        <v>42576</v>
      </c>
      <c r="I1446" s="9" t="b">
        <v>1</v>
      </c>
    </row>
    <row r="1447" ht="15.75" customHeight="1">
      <c r="A1447" s="9" t="s">
        <v>45142</v>
      </c>
      <c r="B1447" s="9" t="s">
        <v>52</v>
      </c>
      <c r="C1447" s="9" t="s">
        <v>40778</v>
      </c>
      <c r="D1447" s="9" t="s">
        <v>45143</v>
      </c>
      <c r="E1447" s="61">
        <v>45070.0</v>
      </c>
      <c r="F1447" s="9" t="b">
        <v>1</v>
      </c>
      <c r="G1447" s="9" t="s">
        <v>38801</v>
      </c>
      <c r="H1447" s="9" t="s">
        <v>42576</v>
      </c>
      <c r="I1447" s="9" t="b">
        <v>1</v>
      </c>
    </row>
    <row r="1448" ht="15.75" customHeight="1">
      <c r="A1448" s="9" t="s">
        <v>45144</v>
      </c>
      <c r="B1448" s="9" t="s">
        <v>47</v>
      </c>
      <c r="C1448" s="9" t="s">
        <v>40779</v>
      </c>
      <c r="D1448" s="9" t="s">
        <v>43724</v>
      </c>
      <c r="E1448" s="61">
        <v>45070.0</v>
      </c>
      <c r="F1448" s="9" t="b">
        <v>1</v>
      </c>
      <c r="G1448" s="9" t="s">
        <v>38801</v>
      </c>
      <c r="H1448" s="9" t="s">
        <v>42576</v>
      </c>
      <c r="I1448" s="9" t="b">
        <v>1</v>
      </c>
    </row>
    <row r="1449" ht="15.75" customHeight="1">
      <c r="A1449" s="9" t="s">
        <v>45145</v>
      </c>
      <c r="B1449" s="9" t="s">
        <v>47</v>
      </c>
      <c r="C1449" s="9" t="s">
        <v>40780</v>
      </c>
      <c r="D1449" s="9" t="s">
        <v>43724</v>
      </c>
      <c r="E1449" s="61">
        <v>45070.0</v>
      </c>
      <c r="F1449" s="9" t="b">
        <v>1</v>
      </c>
      <c r="G1449" s="9" t="s">
        <v>38801</v>
      </c>
      <c r="H1449" s="9" t="s">
        <v>42576</v>
      </c>
      <c r="I1449" s="9" t="b">
        <v>1</v>
      </c>
    </row>
    <row r="1450" ht="15.75" customHeight="1">
      <c r="A1450" s="9" t="s">
        <v>45146</v>
      </c>
      <c r="B1450" s="9" t="s">
        <v>47</v>
      </c>
      <c r="C1450" s="9" t="s">
        <v>40789</v>
      </c>
      <c r="D1450" s="9" t="s">
        <v>43724</v>
      </c>
      <c r="E1450" s="61">
        <v>45070.0</v>
      </c>
      <c r="F1450" s="9" t="b">
        <v>1</v>
      </c>
      <c r="G1450" s="9" t="s">
        <v>38801</v>
      </c>
      <c r="H1450" s="9" t="s">
        <v>42576</v>
      </c>
      <c r="I1450" s="9" t="b">
        <v>1</v>
      </c>
    </row>
    <row r="1451" ht="15.75" customHeight="1">
      <c r="A1451" s="9" t="s">
        <v>45147</v>
      </c>
      <c r="B1451" s="9" t="s">
        <v>47</v>
      </c>
      <c r="C1451" s="9" t="s">
        <v>40801</v>
      </c>
      <c r="D1451" s="9" t="s">
        <v>45148</v>
      </c>
      <c r="E1451" s="61">
        <v>45075.0</v>
      </c>
      <c r="F1451" s="9" t="b">
        <v>1</v>
      </c>
      <c r="G1451" s="9" t="s">
        <v>43228</v>
      </c>
      <c r="H1451" s="9" t="s">
        <v>42576</v>
      </c>
      <c r="I1451" s="9"/>
    </row>
    <row r="1452" ht="15.75" customHeight="1">
      <c r="A1452" s="9" t="s">
        <v>45149</v>
      </c>
      <c r="B1452" s="9" t="s">
        <v>47</v>
      </c>
      <c r="C1452" s="9" t="s">
        <v>40803</v>
      </c>
      <c r="D1452" s="9" t="s">
        <v>42754</v>
      </c>
      <c r="E1452" s="61">
        <v>45076.0</v>
      </c>
      <c r="F1452" s="9" t="b">
        <v>1</v>
      </c>
      <c r="G1452" s="9" t="s">
        <v>38801</v>
      </c>
      <c r="H1452" s="9" t="s">
        <v>42576</v>
      </c>
      <c r="I1452" s="9" t="b">
        <v>1</v>
      </c>
    </row>
    <row r="1453" ht="15.75" customHeight="1">
      <c r="A1453" s="9" t="s">
        <v>45150</v>
      </c>
      <c r="B1453" s="9" t="s">
        <v>47</v>
      </c>
      <c r="C1453" s="9" t="s">
        <v>40707</v>
      </c>
      <c r="D1453" s="9" t="s">
        <v>43724</v>
      </c>
      <c r="E1453" s="61">
        <v>45076.0</v>
      </c>
      <c r="F1453" s="9" t="b">
        <v>1</v>
      </c>
      <c r="G1453" s="9" t="s">
        <v>38801</v>
      </c>
      <c r="H1453" s="9" t="s">
        <v>42576</v>
      </c>
      <c r="I1453" s="9" t="b">
        <v>1</v>
      </c>
    </row>
    <row r="1454" ht="15.75" customHeight="1">
      <c r="A1454" s="9" t="s">
        <v>45151</v>
      </c>
      <c r="B1454" s="9" t="s">
        <v>47</v>
      </c>
      <c r="C1454" s="9" t="s">
        <v>40776</v>
      </c>
      <c r="D1454" s="9" t="s">
        <v>45152</v>
      </c>
      <c r="E1454" s="61">
        <v>45076.0</v>
      </c>
      <c r="F1454" s="9" t="b">
        <v>1</v>
      </c>
      <c r="G1454" s="9" t="s">
        <v>43228</v>
      </c>
      <c r="H1454" s="9" t="s">
        <v>42576</v>
      </c>
      <c r="I1454" s="9"/>
    </row>
    <row r="1455" ht="15.75" customHeight="1">
      <c r="A1455" s="9" t="s">
        <v>45153</v>
      </c>
      <c r="B1455" s="9" t="s">
        <v>47</v>
      </c>
      <c r="C1455" s="9" t="s">
        <v>40735</v>
      </c>
      <c r="D1455" s="9" t="s">
        <v>42754</v>
      </c>
      <c r="E1455" s="61">
        <v>45077.0</v>
      </c>
      <c r="F1455" s="9" t="b">
        <v>1</v>
      </c>
      <c r="G1455" s="9" t="s">
        <v>38801</v>
      </c>
      <c r="H1455" s="9" t="s">
        <v>42576</v>
      </c>
      <c r="I1455" s="9" t="b">
        <v>1</v>
      </c>
    </row>
    <row r="1456" ht="15.75" customHeight="1">
      <c r="A1456" s="9" t="s">
        <v>45154</v>
      </c>
      <c r="B1456" s="9" t="s">
        <v>47</v>
      </c>
      <c r="C1456" s="9" t="s">
        <v>40811</v>
      </c>
      <c r="D1456" s="9" t="s">
        <v>45155</v>
      </c>
      <c r="E1456" s="61">
        <v>45077.0</v>
      </c>
      <c r="F1456" s="9" t="b">
        <v>1</v>
      </c>
      <c r="G1456" s="9" t="s">
        <v>38801</v>
      </c>
      <c r="H1456" s="9" t="s">
        <v>42576</v>
      </c>
      <c r="I1456" s="9" t="b">
        <v>1</v>
      </c>
    </row>
    <row r="1457" ht="15.75" customHeight="1">
      <c r="A1457" s="9" t="s">
        <v>45156</v>
      </c>
      <c r="B1457" s="9" t="s">
        <v>47</v>
      </c>
      <c r="C1457" s="9" t="s">
        <v>40813</v>
      </c>
      <c r="D1457" s="9" t="s">
        <v>43724</v>
      </c>
      <c r="E1457" s="61">
        <v>45077.0</v>
      </c>
      <c r="F1457" s="9" t="b">
        <v>1</v>
      </c>
      <c r="G1457" s="9" t="s">
        <v>38801</v>
      </c>
      <c r="H1457" s="9" t="s">
        <v>42576</v>
      </c>
      <c r="I1457" s="9" t="b">
        <v>1</v>
      </c>
    </row>
    <row r="1458" ht="15.75" customHeight="1">
      <c r="A1458" s="9" t="s">
        <v>45157</v>
      </c>
      <c r="B1458" s="9" t="s">
        <v>47</v>
      </c>
      <c r="C1458" s="9" t="s">
        <v>40805</v>
      </c>
      <c r="D1458" s="9" t="s">
        <v>45158</v>
      </c>
      <c r="E1458" s="61">
        <v>45077.0</v>
      </c>
      <c r="F1458" s="9" t="b">
        <v>1</v>
      </c>
      <c r="G1458" s="9" t="s">
        <v>38801</v>
      </c>
      <c r="H1458" s="9" t="s">
        <v>42576</v>
      </c>
      <c r="I1458" s="9" t="b">
        <v>1</v>
      </c>
    </row>
    <row r="1459" ht="15.75" customHeight="1">
      <c r="A1459" s="9" t="s">
        <v>45159</v>
      </c>
      <c r="B1459" s="9" t="s">
        <v>47</v>
      </c>
      <c r="C1459" s="9" t="s">
        <v>40807</v>
      </c>
      <c r="D1459" s="9" t="s">
        <v>45160</v>
      </c>
      <c r="E1459" s="61">
        <v>45077.0</v>
      </c>
      <c r="F1459" s="9" t="b">
        <v>1</v>
      </c>
      <c r="G1459" s="9" t="s">
        <v>38801</v>
      </c>
      <c r="H1459" s="9" t="s">
        <v>42576</v>
      </c>
      <c r="I1459" s="9" t="b">
        <v>1</v>
      </c>
    </row>
    <row r="1460" ht="15.75" customHeight="1">
      <c r="A1460" s="9" t="s">
        <v>45161</v>
      </c>
      <c r="B1460" s="9" t="s">
        <v>52</v>
      </c>
      <c r="C1460" s="9" t="s">
        <v>40827</v>
      </c>
      <c r="D1460" s="9" t="s">
        <v>45162</v>
      </c>
      <c r="E1460" s="61">
        <v>45078.0</v>
      </c>
      <c r="F1460" s="9" t="b">
        <v>1</v>
      </c>
      <c r="G1460" s="9" t="s">
        <v>38801</v>
      </c>
      <c r="H1460" s="9" t="s">
        <v>42576</v>
      </c>
      <c r="I1460" s="9" t="b">
        <v>1</v>
      </c>
    </row>
    <row r="1461" ht="15.75" customHeight="1">
      <c r="A1461" s="9" t="s">
        <v>45163</v>
      </c>
      <c r="B1461" s="9" t="s">
        <v>89</v>
      </c>
      <c r="C1461" s="9" t="s">
        <v>40828</v>
      </c>
      <c r="D1461" s="9" t="s">
        <v>45164</v>
      </c>
      <c r="E1461" s="61">
        <v>45078.0</v>
      </c>
      <c r="F1461" s="9" t="b">
        <v>1</v>
      </c>
      <c r="G1461" s="9" t="s">
        <v>38801</v>
      </c>
      <c r="H1461" s="9" t="s">
        <v>42576</v>
      </c>
      <c r="I1461" s="9" t="b">
        <v>1</v>
      </c>
    </row>
    <row r="1462" ht="15.75" customHeight="1">
      <c r="A1462" s="9" t="s">
        <v>45165</v>
      </c>
      <c r="B1462" s="9" t="s">
        <v>89</v>
      </c>
      <c r="C1462" s="9" t="s">
        <v>40830</v>
      </c>
      <c r="D1462" s="9" t="s">
        <v>45166</v>
      </c>
      <c r="E1462" s="61">
        <v>45078.0</v>
      </c>
      <c r="F1462" s="9" t="b">
        <v>1</v>
      </c>
      <c r="G1462" s="9" t="s">
        <v>38801</v>
      </c>
      <c r="H1462" s="9" t="s">
        <v>42576</v>
      </c>
      <c r="I1462" s="9" t="b">
        <v>1</v>
      </c>
    </row>
    <row r="1463" ht="15.75" customHeight="1">
      <c r="A1463" s="9" t="s">
        <v>45167</v>
      </c>
      <c r="B1463" s="9" t="s">
        <v>89</v>
      </c>
      <c r="C1463" s="9" t="s">
        <v>40832</v>
      </c>
      <c r="D1463" s="9" t="s">
        <v>45168</v>
      </c>
      <c r="E1463" s="61">
        <v>45078.0</v>
      </c>
      <c r="F1463" s="9" t="b">
        <v>1</v>
      </c>
      <c r="G1463" s="9" t="s">
        <v>38801</v>
      </c>
      <c r="H1463" s="9" t="s">
        <v>42576</v>
      </c>
      <c r="I1463" s="9" t="b">
        <v>1</v>
      </c>
    </row>
    <row r="1464" ht="15.75" customHeight="1">
      <c r="A1464" s="9" t="s">
        <v>45169</v>
      </c>
      <c r="B1464" s="9" t="s">
        <v>89</v>
      </c>
      <c r="C1464" s="9" t="s">
        <v>40834</v>
      </c>
      <c r="D1464" s="9" t="s">
        <v>45170</v>
      </c>
      <c r="E1464" s="61">
        <v>45078.0</v>
      </c>
      <c r="F1464" s="9" t="b">
        <v>1</v>
      </c>
      <c r="G1464" s="9" t="s">
        <v>38801</v>
      </c>
      <c r="H1464" s="9" t="s">
        <v>42576</v>
      </c>
      <c r="I1464" s="9" t="b">
        <v>1</v>
      </c>
    </row>
    <row r="1465" ht="15.75" customHeight="1">
      <c r="A1465" s="9" t="s">
        <v>45171</v>
      </c>
      <c r="B1465" s="9" t="s">
        <v>89</v>
      </c>
      <c r="C1465" s="9" t="s">
        <v>40836</v>
      </c>
      <c r="D1465" s="9" t="s">
        <v>45172</v>
      </c>
      <c r="E1465" s="61">
        <v>45078.0</v>
      </c>
      <c r="F1465" s="9" t="b">
        <v>1</v>
      </c>
      <c r="G1465" s="9" t="s">
        <v>38801</v>
      </c>
      <c r="H1465" s="9" t="s">
        <v>42576</v>
      </c>
      <c r="I1465" s="9" t="b">
        <v>1</v>
      </c>
    </row>
    <row r="1466" ht="15.75" customHeight="1">
      <c r="A1466" s="9" t="s">
        <v>45173</v>
      </c>
      <c r="B1466" s="9" t="s">
        <v>89</v>
      </c>
      <c r="C1466" s="9" t="s">
        <v>40838</v>
      </c>
      <c r="D1466" s="9" t="s">
        <v>45174</v>
      </c>
      <c r="E1466" s="61">
        <v>45078.0</v>
      </c>
      <c r="F1466" s="9" t="b">
        <v>1</v>
      </c>
      <c r="G1466" s="9" t="s">
        <v>38801</v>
      </c>
      <c r="H1466" s="9" t="s">
        <v>42560</v>
      </c>
      <c r="I1466" s="9" t="b">
        <v>1</v>
      </c>
    </row>
    <row r="1467" ht="15.75" customHeight="1">
      <c r="A1467" s="9" t="s">
        <v>45175</v>
      </c>
      <c r="B1467" s="9" t="s">
        <v>89</v>
      </c>
      <c r="C1467" s="9" t="s">
        <v>40840</v>
      </c>
      <c r="D1467" s="9" t="s">
        <v>45176</v>
      </c>
      <c r="E1467" s="61">
        <v>45078.0</v>
      </c>
      <c r="F1467" s="9" t="b">
        <v>1</v>
      </c>
      <c r="G1467" s="9" t="s">
        <v>38801</v>
      </c>
      <c r="H1467" s="9" t="s">
        <v>42576</v>
      </c>
      <c r="I1467" s="9" t="b">
        <v>1</v>
      </c>
    </row>
    <row r="1468" ht="15.75" customHeight="1">
      <c r="A1468" s="9" t="s">
        <v>45177</v>
      </c>
      <c r="B1468" s="9" t="s">
        <v>89</v>
      </c>
      <c r="C1468" s="9" t="s">
        <v>40842</v>
      </c>
      <c r="D1468" s="9" t="s">
        <v>45178</v>
      </c>
      <c r="E1468" s="61">
        <v>45078.0</v>
      </c>
      <c r="F1468" s="9" t="b">
        <v>1</v>
      </c>
      <c r="G1468" s="9" t="s">
        <v>38801</v>
      </c>
      <c r="H1468" s="9" t="s">
        <v>42576</v>
      </c>
      <c r="I1468" s="9" t="b">
        <v>1</v>
      </c>
    </row>
    <row r="1469" ht="15.75" customHeight="1">
      <c r="A1469" s="9" t="s">
        <v>45179</v>
      </c>
      <c r="B1469" s="9" t="s">
        <v>52</v>
      </c>
      <c r="C1469" s="9" t="s">
        <v>40844</v>
      </c>
      <c r="D1469" s="9" t="s">
        <v>45180</v>
      </c>
      <c r="E1469" s="61">
        <v>45079.0</v>
      </c>
      <c r="F1469" s="9" t="b">
        <v>1</v>
      </c>
      <c r="G1469" s="9" t="s">
        <v>43228</v>
      </c>
      <c r="H1469" s="9" t="s">
        <v>42560</v>
      </c>
      <c r="I1469" s="9"/>
    </row>
    <row r="1470" ht="15.75" customHeight="1">
      <c r="A1470" s="9" t="s">
        <v>45181</v>
      </c>
      <c r="B1470" s="9" t="s">
        <v>26</v>
      </c>
      <c r="C1470" s="9" t="s">
        <v>40654</v>
      </c>
      <c r="D1470" s="9" t="s">
        <v>45182</v>
      </c>
      <c r="E1470" s="61">
        <v>45082.0</v>
      </c>
      <c r="F1470" s="9" t="b">
        <v>1</v>
      </c>
      <c r="G1470" s="9" t="s">
        <v>42573</v>
      </c>
      <c r="H1470" s="9" t="s">
        <v>42560</v>
      </c>
      <c r="I1470" s="9"/>
    </row>
    <row r="1471" ht="15.75" customHeight="1">
      <c r="A1471" s="9" t="s">
        <v>45183</v>
      </c>
      <c r="B1471" s="9" t="s">
        <v>26</v>
      </c>
      <c r="C1471" s="9" t="s">
        <v>40638</v>
      </c>
      <c r="D1471" s="9" t="s">
        <v>45184</v>
      </c>
      <c r="E1471" s="61">
        <v>45082.0</v>
      </c>
      <c r="F1471" s="9" t="b">
        <v>1</v>
      </c>
      <c r="G1471" s="9" t="s">
        <v>42573</v>
      </c>
      <c r="H1471" s="9" t="s">
        <v>42560</v>
      </c>
      <c r="I1471" s="9"/>
    </row>
    <row r="1472" ht="15.75" customHeight="1">
      <c r="A1472" s="9" t="s">
        <v>45185</v>
      </c>
      <c r="B1472" s="9" t="s">
        <v>26</v>
      </c>
      <c r="C1472" s="9" t="s">
        <v>40614</v>
      </c>
      <c r="D1472" s="9" t="s">
        <v>45186</v>
      </c>
      <c r="E1472" s="61">
        <v>45082.0</v>
      </c>
      <c r="F1472" s="9" t="b">
        <v>1</v>
      </c>
      <c r="G1472" s="9" t="s">
        <v>42573</v>
      </c>
      <c r="H1472" s="9" t="s">
        <v>42560</v>
      </c>
      <c r="I1472" s="9"/>
    </row>
    <row r="1473" ht="15.75" customHeight="1">
      <c r="A1473" s="9" t="s">
        <v>45187</v>
      </c>
      <c r="B1473" s="9" t="s">
        <v>26</v>
      </c>
      <c r="C1473" s="9" t="s">
        <v>40852</v>
      </c>
      <c r="D1473" s="9" t="s">
        <v>45188</v>
      </c>
      <c r="E1473" s="61">
        <v>45082.0</v>
      </c>
      <c r="F1473" s="9" t="b">
        <v>1</v>
      </c>
      <c r="G1473" s="9" t="s">
        <v>38801</v>
      </c>
      <c r="H1473" s="9" t="s">
        <v>42560</v>
      </c>
      <c r="I1473" s="9" t="b">
        <v>1</v>
      </c>
    </row>
    <row r="1474" ht="15.75" customHeight="1">
      <c r="A1474" s="9" t="s">
        <v>45189</v>
      </c>
      <c r="B1474" s="9" t="s">
        <v>26</v>
      </c>
      <c r="C1474" s="9" t="s">
        <v>40854</v>
      </c>
      <c r="D1474" s="9" t="s">
        <v>45190</v>
      </c>
      <c r="E1474" s="61">
        <v>45082.0</v>
      </c>
      <c r="F1474" s="9" t="b">
        <v>1</v>
      </c>
      <c r="G1474" s="9" t="s">
        <v>38801</v>
      </c>
      <c r="H1474" s="9" t="s">
        <v>42560</v>
      </c>
      <c r="I1474" s="9" t="b">
        <v>1</v>
      </c>
    </row>
    <row r="1475" ht="15.75" customHeight="1">
      <c r="A1475" s="9" t="s">
        <v>45191</v>
      </c>
      <c r="B1475" s="9" t="s">
        <v>26</v>
      </c>
      <c r="C1475" s="52" t="s">
        <v>40856</v>
      </c>
      <c r="D1475" s="9" t="s">
        <v>45192</v>
      </c>
      <c r="E1475" s="61">
        <v>45082.0</v>
      </c>
      <c r="F1475" s="9" t="b">
        <v>1</v>
      </c>
      <c r="G1475" s="9" t="s">
        <v>38801</v>
      </c>
      <c r="H1475" s="9" t="s">
        <v>42560</v>
      </c>
      <c r="I1475" s="9" t="b">
        <v>1</v>
      </c>
    </row>
    <row r="1476" ht="15.75" customHeight="1">
      <c r="A1476" s="9" t="s">
        <v>45193</v>
      </c>
      <c r="B1476" s="9" t="s">
        <v>47</v>
      </c>
      <c r="C1476" s="9" t="s">
        <v>40858</v>
      </c>
      <c r="D1476" s="9" t="s">
        <v>45194</v>
      </c>
      <c r="E1476" s="61">
        <v>45084.0</v>
      </c>
      <c r="F1476" s="9" t="b">
        <v>1</v>
      </c>
      <c r="G1476" s="9" t="s">
        <v>43228</v>
      </c>
      <c r="H1476" s="9" t="s">
        <v>42576</v>
      </c>
      <c r="I1476" s="9"/>
    </row>
    <row r="1477" ht="15.75" customHeight="1">
      <c r="A1477" s="9" t="s">
        <v>45195</v>
      </c>
      <c r="B1477" s="9" t="s">
        <v>47</v>
      </c>
      <c r="C1477" s="9" t="s">
        <v>40858</v>
      </c>
      <c r="D1477" s="9" t="s">
        <v>45196</v>
      </c>
      <c r="E1477" s="61">
        <v>45084.0</v>
      </c>
      <c r="F1477" s="9" t="b">
        <v>1</v>
      </c>
      <c r="G1477" s="9" t="s">
        <v>38801</v>
      </c>
      <c r="H1477" s="9" t="s">
        <v>42576</v>
      </c>
      <c r="I1477" s="9" t="b">
        <v>1</v>
      </c>
    </row>
    <row r="1478" ht="15.75" customHeight="1">
      <c r="A1478" s="9" t="s">
        <v>45197</v>
      </c>
      <c r="B1478" s="9" t="s">
        <v>47</v>
      </c>
      <c r="C1478" s="9" t="s">
        <v>40859</v>
      </c>
      <c r="D1478" s="9" t="s">
        <v>43724</v>
      </c>
      <c r="E1478" s="61">
        <v>45084.0</v>
      </c>
      <c r="F1478" s="9" t="b">
        <v>1</v>
      </c>
      <c r="G1478" s="9" t="s">
        <v>38801</v>
      </c>
      <c r="H1478" s="9" t="s">
        <v>42576</v>
      </c>
      <c r="I1478" s="9" t="b">
        <v>1</v>
      </c>
    </row>
    <row r="1479" ht="15.75" customHeight="1">
      <c r="A1479" s="9" t="s">
        <v>45198</v>
      </c>
      <c r="B1479" s="9" t="s">
        <v>47</v>
      </c>
      <c r="C1479" s="9" t="s">
        <v>40585</v>
      </c>
      <c r="D1479" s="9" t="s">
        <v>45199</v>
      </c>
      <c r="E1479" s="61">
        <v>45085.0</v>
      </c>
      <c r="F1479" s="9" t="b">
        <v>1</v>
      </c>
      <c r="G1479" s="9" t="s">
        <v>43228</v>
      </c>
      <c r="H1479" s="9" t="s">
        <v>42560</v>
      </c>
      <c r="I1479" s="9"/>
    </row>
    <row r="1480" ht="15.75" customHeight="1">
      <c r="A1480" s="52" t="s">
        <v>45200</v>
      </c>
      <c r="B1480" s="9" t="s">
        <v>47</v>
      </c>
      <c r="C1480" s="9" t="s">
        <v>38853</v>
      </c>
      <c r="D1480" s="9" t="s">
        <v>45201</v>
      </c>
      <c r="E1480" s="61">
        <v>45085.0</v>
      </c>
      <c r="F1480" s="9" t="b">
        <v>1</v>
      </c>
      <c r="G1480" s="9" t="s">
        <v>38801</v>
      </c>
      <c r="H1480" s="9" t="s">
        <v>42560</v>
      </c>
      <c r="I1480" s="9" t="b">
        <v>1</v>
      </c>
    </row>
    <row r="1481" ht="15.75" customHeight="1">
      <c r="A1481" s="9" t="s">
        <v>45202</v>
      </c>
      <c r="B1481" s="9" t="s">
        <v>47</v>
      </c>
      <c r="C1481" s="9" t="s">
        <v>40867</v>
      </c>
      <c r="D1481" s="9" t="s">
        <v>45203</v>
      </c>
      <c r="E1481" s="61">
        <v>45085.0</v>
      </c>
      <c r="F1481" s="9" t="b">
        <v>1</v>
      </c>
      <c r="G1481" s="9" t="s">
        <v>38801</v>
      </c>
      <c r="H1481" s="9" t="s">
        <v>42576</v>
      </c>
      <c r="I1481" s="9" t="b">
        <v>1</v>
      </c>
    </row>
    <row r="1482" ht="15.75" customHeight="1">
      <c r="A1482" s="9" t="s">
        <v>45204</v>
      </c>
      <c r="B1482" s="9" t="s">
        <v>47</v>
      </c>
      <c r="C1482" s="9" t="s">
        <v>40869</v>
      </c>
      <c r="D1482" s="9" t="s">
        <v>43724</v>
      </c>
      <c r="E1482" s="61">
        <v>45085.0</v>
      </c>
      <c r="F1482" s="9" t="b">
        <v>1</v>
      </c>
      <c r="G1482" s="9" t="s">
        <v>38801</v>
      </c>
      <c r="H1482" s="9" t="s">
        <v>42576</v>
      </c>
      <c r="I1482" s="9" t="b">
        <v>1</v>
      </c>
    </row>
    <row r="1483" ht="15.75" customHeight="1">
      <c r="A1483" s="9" t="s">
        <v>45205</v>
      </c>
      <c r="B1483" s="9" t="s">
        <v>47</v>
      </c>
      <c r="C1483" s="9" t="s">
        <v>40787</v>
      </c>
      <c r="D1483" s="9" t="s">
        <v>42560</v>
      </c>
      <c r="E1483" s="61">
        <v>45085.0</v>
      </c>
      <c r="F1483" s="9" t="b">
        <v>1</v>
      </c>
      <c r="G1483" s="9" t="s">
        <v>38801</v>
      </c>
      <c r="H1483" s="9" t="s">
        <v>42576</v>
      </c>
      <c r="I1483" s="9" t="b">
        <v>1</v>
      </c>
    </row>
    <row r="1484" ht="15.75" customHeight="1">
      <c r="A1484" s="9" t="s">
        <v>45206</v>
      </c>
      <c r="B1484" s="9" t="s">
        <v>47</v>
      </c>
      <c r="C1484" s="9" t="s">
        <v>40819</v>
      </c>
      <c r="D1484" s="9" t="s">
        <v>42560</v>
      </c>
      <c r="E1484" s="61">
        <v>45085.0</v>
      </c>
      <c r="F1484" s="9" t="b">
        <v>1</v>
      </c>
      <c r="G1484" s="9" t="s">
        <v>38801</v>
      </c>
      <c r="H1484" s="9" t="s">
        <v>42576</v>
      </c>
      <c r="I1484" s="9" t="b">
        <v>1</v>
      </c>
    </row>
    <row r="1485" ht="15.75" customHeight="1">
      <c r="A1485" s="9" t="s">
        <v>45207</v>
      </c>
      <c r="B1485" s="9" t="s">
        <v>47</v>
      </c>
      <c r="C1485" s="9" t="s">
        <v>40821</v>
      </c>
      <c r="D1485" s="9" t="s">
        <v>42560</v>
      </c>
      <c r="E1485" s="61">
        <v>45085.0</v>
      </c>
      <c r="F1485" s="9" t="b">
        <v>1</v>
      </c>
      <c r="G1485" s="9" t="s">
        <v>38801</v>
      </c>
      <c r="H1485" s="9" t="s">
        <v>42576</v>
      </c>
      <c r="I1485" s="9" t="b">
        <v>1</v>
      </c>
    </row>
    <row r="1486" ht="15.75" customHeight="1">
      <c r="A1486" s="9" t="s">
        <v>45208</v>
      </c>
      <c r="B1486" s="9" t="s">
        <v>47</v>
      </c>
      <c r="C1486" s="9" t="s">
        <v>40823</v>
      </c>
      <c r="D1486" s="9" t="s">
        <v>42560</v>
      </c>
      <c r="E1486" s="61">
        <v>45085.0</v>
      </c>
      <c r="F1486" s="9" t="b">
        <v>1</v>
      </c>
      <c r="G1486" s="9" t="s">
        <v>38801</v>
      </c>
      <c r="H1486" s="9" t="s">
        <v>42576</v>
      </c>
      <c r="I1486" s="9" t="b">
        <v>1</v>
      </c>
    </row>
    <row r="1487" ht="15.75" customHeight="1">
      <c r="A1487" s="9" t="s">
        <v>45209</v>
      </c>
      <c r="B1487" s="9" t="s">
        <v>47</v>
      </c>
      <c r="C1487" s="9" t="s">
        <v>40825</v>
      </c>
      <c r="D1487" s="9" t="s">
        <v>42560</v>
      </c>
      <c r="E1487" s="61">
        <v>45085.0</v>
      </c>
      <c r="F1487" s="9" t="b">
        <v>1</v>
      </c>
      <c r="G1487" s="9" t="s">
        <v>38801</v>
      </c>
      <c r="H1487" s="9" t="s">
        <v>42576</v>
      </c>
      <c r="I1487" s="9" t="b">
        <v>1</v>
      </c>
    </row>
    <row r="1488" ht="15.75" customHeight="1">
      <c r="A1488" s="9" t="s">
        <v>45210</v>
      </c>
      <c r="B1488" s="9" t="s">
        <v>47</v>
      </c>
      <c r="C1488" s="9" t="s">
        <v>40863</v>
      </c>
      <c r="D1488" s="9" t="s">
        <v>42979</v>
      </c>
      <c r="E1488" s="61">
        <v>45085.0</v>
      </c>
      <c r="F1488" s="9" t="b">
        <v>1</v>
      </c>
      <c r="G1488" s="9" t="s">
        <v>38801</v>
      </c>
      <c r="H1488" s="9" t="s">
        <v>42576</v>
      </c>
      <c r="I1488" s="9" t="b">
        <v>1</v>
      </c>
    </row>
    <row r="1489" ht="15.75" customHeight="1">
      <c r="A1489" s="9" t="s">
        <v>45211</v>
      </c>
      <c r="B1489" s="9" t="s">
        <v>47</v>
      </c>
      <c r="C1489" s="9" t="s">
        <v>40809</v>
      </c>
      <c r="D1489" s="9" t="s">
        <v>45212</v>
      </c>
      <c r="E1489" s="61">
        <v>45085.0</v>
      </c>
      <c r="F1489" s="9" t="b">
        <v>1</v>
      </c>
      <c r="G1489" s="9" t="s">
        <v>43228</v>
      </c>
      <c r="H1489" s="9" t="s">
        <v>42576</v>
      </c>
      <c r="I1489" s="9"/>
    </row>
    <row r="1490" ht="15.75" customHeight="1">
      <c r="A1490" s="9" t="s">
        <v>45213</v>
      </c>
      <c r="B1490" s="9" t="s">
        <v>47</v>
      </c>
      <c r="C1490" s="9" t="s">
        <v>39579</v>
      </c>
      <c r="D1490" s="9" t="s">
        <v>42128</v>
      </c>
      <c r="E1490" s="61">
        <v>45085.0</v>
      </c>
      <c r="F1490" s="9" t="b">
        <v>1</v>
      </c>
      <c r="G1490" s="9" t="s">
        <v>38801</v>
      </c>
      <c r="H1490" s="9" t="s">
        <v>42560</v>
      </c>
      <c r="I1490" s="9" t="b">
        <v>1</v>
      </c>
    </row>
    <row r="1491" ht="15.75" customHeight="1">
      <c r="A1491" s="9" t="s">
        <v>45214</v>
      </c>
      <c r="B1491" s="9" t="s">
        <v>47</v>
      </c>
      <c r="C1491" s="9" t="s">
        <v>40865</v>
      </c>
      <c r="D1491" s="9" t="s">
        <v>45215</v>
      </c>
      <c r="E1491" s="61">
        <v>45085.0</v>
      </c>
      <c r="F1491" s="9" t="b">
        <v>1</v>
      </c>
      <c r="G1491" s="9" t="s">
        <v>43228</v>
      </c>
      <c r="H1491" s="9" t="s">
        <v>42560</v>
      </c>
      <c r="I1491" s="9"/>
    </row>
    <row r="1492" ht="15.75" customHeight="1">
      <c r="A1492" s="9" t="s">
        <v>45216</v>
      </c>
      <c r="B1492" s="9" t="s">
        <v>52</v>
      </c>
      <c r="C1492" s="9" t="s">
        <v>40877</v>
      </c>
      <c r="D1492" s="9" t="s">
        <v>45217</v>
      </c>
      <c r="E1492" s="61">
        <v>45086.0</v>
      </c>
      <c r="F1492" s="9" t="b">
        <v>1</v>
      </c>
      <c r="G1492" s="9" t="s">
        <v>38801</v>
      </c>
      <c r="H1492" s="9" t="s">
        <v>42560</v>
      </c>
      <c r="I1492" s="9" t="b">
        <v>1</v>
      </c>
    </row>
    <row r="1493" ht="15.75" customHeight="1">
      <c r="A1493" s="9" t="s">
        <v>45218</v>
      </c>
      <c r="B1493" s="9" t="s">
        <v>52</v>
      </c>
      <c r="C1493" s="9" t="s">
        <v>40846</v>
      </c>
      <c r="D1493" s="9" t="s">
        <v>45219</v>
      </c>
      <c r="E1493" s="61">
        <v>45086.0</v>
      </c>
      <c r="F1493" s="9" t="b">
        <v>1</v>
      </c>
      <c r="G1493" s="9" t="s">
        <v>38801</v>
      </c>
      <c r="H1493" s="9" t="s">
        <v>42576</v>
      </c>
      <c r="I1493" s="9" t="b">
        <v>1</v>
      </c>
    </row>
    <row r="1494" ht="15.75" customHeight="1">
      <c r="A1494" s="9" t="s">
        <v>45220</v>
      </c>
      <c r="B1494" s="9" t="s">
        <v>47</v>
      </c>
      <c r="C1494" s="9" t="s">
        <v>40878</v>
      </c>
      <c r="D1494" s="9" t="s">
        <v>45221</v>
      </c>
      <c r="E1494" s="61">
        <v>45086.0</v>
      </c>
      <c r="F1494" s="9" t="b">
        <v>1</v>
      </c>
      <c r="G1494" s="9" t="s">
        <v>38801</v>
      </c>
      <c r="H1494" s="9" t="s">
        <v>42576</v>
      </c>
      <c r="I1494" s="9" t="b">
        <v>1</v>
      </c>
    </row>
    <row r="1495" ht="15.75" customHeight="1">
      <c r="A1495" s="9" t="s">
        <v>45222</v>
      </c>
      <c r="B1495" s="9" t="s">
        <v>47</v>
      </c>
      <c r="C1495" s="9" t="s">
        <v>40895</v>
      </c>
      <c r="D1495" s="9" t="s">
        <v>43895</v>
      </c>
      <c r="E1495" s="61">
        <v>45089.0</v>
      </c>
      <c r="F1495" s="9" t="b">
        <v>1</v>
      </c>
      <c r="G1495" s="9" t="s">
        <v>38801</v>
      </c>
      <c r="H1495" s="9" t="s">
        <v>42576</v>
      </c>
      <c r="I1495" s="9" t="b">
        <v>1</v>
      </c>
    </row>
    <row r="1496" ht="15.75" customHeight="1">
      <c r="A1496" s="9" t="s">
        <v>45223</v>
      </c>
      <c r="B1496" s="9" t="s">
        <v>47</v>
      </c>
      <c r="C1496" s="9" t="s">
        <v>40865</v>
      </c>
      <c r="D1496" s="9" t="s">
        <v>45224</v>
      </c>
      <c r="E1496" s="61">
        <v>45090.0</v>
      </c>
      <c r="F1496" s="9" t="b">
        <v>1</v>
      </c>
      <c r="G1496" s="9" t="s">
        <v>43228</v>
      </c>
      <c r="H1496" s="9" t="s">
        <v>42576</v>
      </c>
      <c r="I1496" s="9"/>
    </row>
    <row r="1497" ht="15.75" customHeight="1">
      <c r="A1497" s="9" t="s">
        <v>45225</v>
      </c>
      <c r="B1497" s="9" t="s">
        <v>52</v>
      </c>
      <c r="C1497" s="9" t="s">
        <v>40844</v>
      </c>
      <c r="D1497" s="9" t="s">
        <v>45226</v>
      </c>
      <c r="E1497" s="61">
        <v>45090.0</v>
      </c>
      <c r="F1497" s="9" t="b">
        <v>1</v>
      </c>
      <c r="G1497" s="9" t="s">
        <v>42573</v>
      </c>
      <c r="H1497" s="9" t="s">
        <v>42576</v>
      </c>
      <c r="I1497" s="9"/>
    </row>
    <row r="1498" ht="15.75" customHeight="1">
      <c r="A1498" s="9" t="s">
        <v>45227</v>
      </c>
      <c r="B1498" s="9" t="s">
        <v>47</v>
      </c>
      <c r="C1498" s="9" t="s">
        <v>40903</v>
      </c>
      <c r="D1498" s="9" t="s">
        <v>44044</v>
      </c>
      <c r="E1498" s="61">
        <v>45091.0</v>
      </c>
      <c r="F1498" s="9" t="b">
        <v>1</v>
      </c>
      <c r="G1498" s="9" t="s">
        <v>38801</v>
      </c>
      <c r="H1498" s="9" t="s">
        <v>42576</v>
      </c>
      <c r="I1498" s="9" t="b">
        <v>1</v>
      </c>
    </row>
    <row r="1499" ht="15.75" customHeight="1">
      <c r="A1499" s="9" t="s">
        <v>45228</v>
      </c>
      <c r="B1499" s="9" t="s">
        <v>47</v>
      </c>
      <c r="C1499" s="9" t="s">
        <v>40905</v>
      </c>
      <c r="D1499" s="9" t="s">
        <v>42560</v>
      </c>
      <c r="E1499" s="61">
        <v>45091.0</v>
      </c>
      <c r="F1499" s="9" t="b">
        <v>1</v>
      </c>
      <c r="G1499" s="9" t="s">
        <v>38801</v>
      </c>
      <c r="H1499" s="9" t="s">
        <v>42576</v>
      </c>
      <c r="I1499" s="9" t="b">
        <v>1</v>
      </c>
    </row>
    <row r="1500" ht="15.75" customHeight="1">
      <c r="A1500" s="9" t="s">
        <v>45229</v>
      </c>
      <c r="B1500" s="9" t="s">
        <v>47</v>
      </c>
      <c r="C1500" s="9" t="s">
        <v>40907</v>
      </c>
      <c r="D1500" s="9" t="s">
        <v>42560</v>
      </c>
      <c r="E1500" s="61">
        <v>45091.0</v>
      </c>
      <c r="F1500" s="9" t="b">
        <v>1</v>
      </c>
      <c r="G1500" s="9" t="s">
        <v>38801</v>
      </c>
      <c r="H1500" s="9" t="s">
        <v>42576</v>
      </c>
      <c r="I1500" s="9" t="b">
        <v>1</v>
      </c>
    </row>
    <row r="1501" ht="15.75" customHeight="1">
      <c r="A1501" s="9" t="s">
        <v>45230</v>
      </c>
      <c r="B1501" s="9" t="s">
        <v>47</v>
      </c>
      <c r="C1501" s="9" t="s">
        <v>40909</v>
      </c>
      <c r="D1501" s="9" t="s">
        <v>43724</v>
      </c>
      <c r="E1501" s="61">
        <v>45091.0</v>
      </c>
      <c r="F1501" s="9" t="b">
        <v>1</v>
      </c>
      <c r="G1501" s="9" t="s">
        <v>38801</v>
      </c>
      <c r="H1501" s="9" t="s">
        <v>42576</v>
      </c>
      <c r="I1501" s="9" t="b">
        <v>1</v>
      </c>
    </row>
    <row r="1502" ht="15.75" customHeight="1">
      <c r="A1502" s="9" t="s">
        <v>45231</v>
      </c>
      <c r="B1502" s="9" t="s">
        <v>47</v>
      </c>
      <c r="C1502" s="9" t="s">
        <v>40646</v>
      </c>
      <c r="D1502" s="9" t="s">
        <v>45232</v>
      </c>
      <c r="E1502" s="61">
        <v>45091.0</v>
      </c>
      <c r="F1502" s="9" t="b">
        <v>1</v>
      </c>
      <c r="G1502" s="9" t="s">
        <v>38801</v>
      </c>
      <c r="H1502" s="9" t="s">
        <v>42576</v>
      </c>
      <c r="I1502" s="9" t="b">
        <v>1</v>
      </c>
    </row>
    <row r="1503" ht="15.75" customHeight="1">
      <c r="A1503" s="9" t="s">
        <v>45233</v>
      </c>
      <c r="B1503" s="9" t="s">
        <v>52</v>
      </c>
      <c r="C1503" s="9" t="s">
        <v>40897</v>
      </c>
      <c r="D1503" s="9" t="s">
        <v>45234</v>
      </c>
      <c r="E1503" s="61">
        <v>45091.0</v>
      </c>
      <c r="F1503" s="9" t="b">
        <v>1</v>
      </c>
      <c r="G1503" s="9" t="s">
        <v>38801</v>
      </c>
      <c r="H1503" s="9" t="s">
        <v>42576</v>
      </c>
      <c r="I1503" s="9" t="b">
        <v>1</v>
      </c>
    </row>
    <row r="1504" ht="15.75" customHeight="1">
      <c r="A1504" s="9" t="s">
        <v>45235</v>
      </c>
      <c r="B1504" s="9" t="s">
        <v>52</v>
      </c>
      <c r="C1504" s="9" t="s">
        <v>40882</v>
      </c>
      <c r="D1504" s="9" t="s">
        <v>45236</v>
      </c>
      <c r="E1504" s="61">
        <v>45091.0</v>
      </c>
      <c r="F1504" s="9" t="b">
        <v>1</v>
      </c>
      <c r="G1504" s="9" t="s">
        <v>38801</v>
      </c>
      <c r="H1504" s="9" t="s">
        <v>42576</v>
      </c>
      <c r="I1504" s="9" t="b">
        <v>1</v>
      </c>
    </row>
    <row r="1505" ht="15.75" customHeight="1">
      <c r="A1505" s="9" t="s">
        <v>45237</v>
      </c>
      <c r="B1505" s="9" t="s">
        <v>76</v>
      </c>
      <c r="C1505" s="9" t="s">
        <v>40639</v>
      </c>
      <c r="D1505" s="9" t="s">
        <v>45238</v>
      </c>
      <c r="E1505" s="61">
        <v>45093.0</v>
      </c>
      <c r="F1505" s="9" t="b">
        <v>1</v>
      </c>
      <c r="G1505" s="9" t="s">
        <v>38801</v>
      </c>
      <c r="H1505" s="9" t="s">
        <v>42560</v>
      </c>
      <c r="I1505" s="9" t="b">
        <v>1</v>
      </c>
    </row>
    <row r="1506" ht="15.75" customHeight="1">
      <c r="A1506" s="9" t="s">
        <v>45239</v>
      </c>
      <c r="B1506" s="9" t="s">
        <v>76</v>
      </c>
      <c r="C1506" s="9" t="s">
        <v>40625</v>
      </c>
      <c r="D1506" s="9" t="s">
        <v>45240</v>
      </c>
      <c r="E1506" s="61">
        <v>45093.0</v>
      </c>
      <c r="F1506" s="9" t="b">
        <v>1</v>
      </c>
      <c r="G1506" s="9" t="s">
        <v>42573</v>
      </c>
      <c r="H1506" s="9" t="s">
        <v>42560</v>
      </c>
      <c r="I1506" s="9"/>
    </row>
    <row r="1507" ht="15.75" customHeight="1">
      <c r="A1507" s="9" t="s">
        <v>45241</v>
      </c>
      <c r="B1507" s="9" t="s">
        <v>76</v>
      </c>
      <c r="C1507" s="9" t="s">
        <v>40652</v>
      </c>
      <c r="D1507" s="9" t="s">
        <v>45242</v>
      </c>
      <c r="E1507" s="61">
        <v>45093.0</v>
      </c>
      <c r="F1507" s="9" t="b">
        <v>1</v>
      </c>
      <c r="G1507" s="9" t="s">
        <v>42573</v>
      </c>
      <c r="H1507" s="9" t="s">
        <v>42560</v>
      </c>
      <c r="I1507" s="9"/>
    </row>
    <row r="1508" ht="15.75" customHeight="1">
      <c r="A1508" s="9" t="s">
        <v>45243</v>
      </c>
      <c r="B1508" s="9" t="s">
        <v>76</v>
      </c>
      <c r="C1508" s="9" t="s">
        <v>40625</v>
      </c>
      <c r="D1508" s="9" t="s">
        <v>45244</v>
      </c>
      <c r="E1508" s="61">
        <v>45093.0</v>
      </c>
      <c r="F1508" s="9" t="b">
        <v>1</v>
      </c>
      <c r="G1508" s="9" t="s">
        <v>42573</v>
      </c>
      <c r="H1508" s="9" t="s">
        <v>42560</v>
      </c>
      <c r="I1508" s="9"/>
    </row>
    <row r="1509" ht="15.75" customHeight="1">
      <c r="A1509" s="9" t="s">
        <v>45245</v>
      </c>
      <c r="B1509" s="9" t="s">
        <v>76</v>
      </c>
      <c r="C1509" s="9" t="s">
        <v>40652</v>
      </c>
      <c r="D1509" s="9" t="s">
        <v>45246</v>
      </c>
      <c r="E1509" s="61">
        <v>45094.0</v>
      </c>
      <c r="F1509" s="9" t="b">
        <v>1</v>
      </c>
      <c r="G1509" s="9" t="s">
        <v>42573</v>
      </c>
      <c r="H1509" s="9" t="s">
        <v>42560</v>
      </c>
      <c r="I1509" s="9"/>
    </row>
    <row r="1510" ht="15.75" customHeight="1">
      <c r="A1510" s="9" t="s">
        <v>45247</v>
      </c>
      <c r="B1510" s="9" t="s">
        <v>76</v>
      </c>
      <c r="C1510" s="9" t="s">
        <v>40677</v>
      </c>
      <c r="D1510" s="9" t="s">
        <v>45248</v>
      </c>
      <c r="E1510" s="61">
        <v>45094.0</v>
      </c>
      <c r="F1510" s="9" t="b">
        <v>1</v>
      </c>
      <c r="G1510" s="9" t="s">
        <v>42573</v>
      </c>
      <c r="H1510" s="9" t="s">
        <v>42560</v>
      </c>
      <c r="I1510" s="9"/>
    </row>
    <row r="1511" ht="15.75" customHeight="1">
      <c r="A1511" s="9" t="s">
        <v>45249</v>
      </c>
      <c r="B1511" s="9" t="s">
        <v>76</v>
      </c>
      <c r="C1511" s="9" t="s">
        <v>40679</v>
      </c>
      <c r="D1511" s="9" t="s">
        <v>45250</v>
      </c>
      <c r="E1511" s="61">
        <v>45094.0</v>
      </c>
      <c r="F1511" s="9" t="b">
        <v>1</v>
      </c>
      <c r="G1511" s="9" t="s">
        <v>42573</v>
      </c>
      <c r="H1511" s="9" t="s">
        <v>42560</v>
      </c>
      <c r="I1511" s="9"/>
    </row>
    <row r="1512" ht="15.75" customHeight="1">
      <c r="A1512" s="9" t="s">
        <v>45251</v>
      </c>
      <c r="B1512" s="9" t="s">
        <v>76</v>
      </c>
      <c r="C1512" s="9" t="s">
        <v>40727</v>
      </c>
      <c r="D1512" s="9" t="s">
        <v>45252</v>
      </c>
      <c r="E1512" s="61">
        <v>45094.0</v>
      </c>
      <c r="F1512" s="9" t="b">
        <v>1</v>
      </c>
      <c r="G1512" s="9" t="s">
        <v>42573</v>
      </c>
      <c r="H1512" s="9" t="s">
        <v>42560</v>
      </c>
      <c r="I1512" s="9"/>
    </row>
    <row r="1513" ht="15.75" customHeight="1">
      <c r="A1513" s="9" t="s">
        <v>45253</v>
      </c>
      <c r="B1513" s="9" t="s">
        <v>76</v>
      </c>
      <c r="C1513" s="9" t="s">
        <v>40685</v>
      </c>
      <c r="D1513" s="9" t="s">
        <v>45254</v>
      </c>
      <c r="E1513" s="61">
        <v>45094.0</v>
      </c>
      <c r="F1513" s="9" t="b">
        <v>1</v>
      </c>
      <c r="G1513" s="9" t="s">
        <v>42573</v>
      </c>
      <c r="H1513" s="9" t="s">
        <v>42560</v>
      </c>
      <c r="I1513" s="9"/>
    </row>
    <row r="1514" ht="15.75" customHeight="1">
      <c r="A1514" s="9" t="s">
        <v>45255</v>
      </c>
      <c r="B1514" s="9" t="s">
        <v>76</v>
      </c>
      <c r="C1514" s="9" t="s">
        <v>40758</v>
      </c>
      <c r="D1514" s="9" t="s">
        <v>45256</v>
      </c>
      <c r="E1514" s="61">
        <v>45094.0</v>
      </c>
      <c r="F1514" s="9" t="b">
        <v>1</v>
      </c>
      <c r="G1514" s="9" t="s">
        <v>42573</v>
      </c>
      <c r="H1514" s="9" t="s">
        <v>42560</v>
      </c>
      <c r="I1514" s="9"/>
    </row>
    <row r="1515" ht="15.75" customHeight="1">
      <c r="A1515" s="9" t="s">
        <v>45257</v>
      </c>
      <c r="B1515" s="9" t="s">
        <v>47</v>
      </c>
      <c r="C1515" s="9" t="s">
        <v>40927</v>
      </c>
      <c r="D1515" s="9" t="s">
        <v>45258</v>
      </c>
      <c r="E1515" s="61">
        <v>45098.0</v>
      </c>
      <c r="F1515" s="9" t="b">
        <v>1</v>
      </c>
      <c r="G1515" s="9" t="s">
        <v>38801</v>
      </c>
      <c r="H1515" s="9" t="s">
        <v>42576</v>
      </c>
      <c r="I1515" s="9" t="b">
        <v>1</v>
      </c>
    </row>
    <row r="1516" ht="15.75" customHeight="1">
      <c r="A1516" s="9" t="s">
        <v>45259</v>
      </c>
      <c r="B1516" s="9" t="s">
        <v>47</v>
      </c>
      <c r="C1516" s="9" t="s">
        <v>40929</v>
      </c>
      <c r="D1516" s="9" t="s">
        <v>42560</v>
      </c>
      <c r="E1516" s="61">
        <v>45098.0</v>
      </c>
      <c r="F1516" s="9" t="b">
        <v>1</v>
      </c>
      <c r="G1516" s="9" t="s">
        <v>38801</v>
      </c>
      <c r="H1516" s="9" t="s">
        <v>42576</v>
      </c>
      <c r="I1516" s="9" t="b">
        <v>1</v>
      </c>
    </row>
    <row r="1517" ht="15.75" customHeight="1">
      <c r="A1517" s="9" t="s">
        <v>45260</v>
      </c>
      <c r="B1517" s="9" t="s">
        <v>47</v>
      </c>
      <c r="C1517" s="9" t="s">
        <v>40931</v>
      </c>
      <c r="D1517" s="9" t="s">
        <v>45261</v>
      </c>
      <c r="E1517" s="61">
        <v>45098.0</v>
      </c>
      <c r="F1517" s="9" t="b">
        <v>1</v>
      </c>
      <c r="G1517" s="9" t="s">
        <v>38801</v>
      </c>
      <c r="H1517" s="9" t="s">
        <v>42576</v>
      </c>
      <c r="I1517" s="9" t="b">
        <v>1</v>
      </c>
    </row>
    <row r="1518" ht="15.75" customHeight="1">
      <c r="A1518" s="9" t="s">
        <v>45262</v>
      </c>
      <c r="B1518" s="9" t="s">
        <v>47</v>
      </c>
      <c r="C1518" s="9" t="s">
        <v>40902</v>
      </c>
      <c r="D1518" s="9" t="s">
        <v>42560</v>
      </c>
      <c r="E1518" s="61">
        <v>45098.0</v>
      </c>
      <c r="F1518" s="9" t="b">
        <v>1</v>
      </c>
      <c r="G1518" s="9" t="s">
        <v>38801</v>
      </c>
      <c r="H1518" s="9" t="s">
        <v>42576</v>
      </c>
      <c r="I1518" s="9" t="b">
        <v>1</v>
      </c>
    </row>
    <row r="1519" ht="15.75" customHeight="1">
      <c r="A1519" s="9" t="s">
        <v>45263</v>
      </c>
      <c r="B1519" s="9" t="s">
        <v>52</v>
      </c>
      <c r="C1519" s="9" t="s">
        <v>40846</v>
      </c>
      <c r="D1519" s="9" t="s">
        <v>45264</v>
      </c>
      <c r="E1519" s="61">
        <v>45098.0</v>
      </c>
      <c r="F1519" s="9" t="b">
        <v>1</v>
      </c>
      <c r="G1519" s="9" t="s">
        <v>43228</v>
      </c>
      <c r="H1519" s="9" t="s">
        <v>42576</v>
      </c>
      <c r="I1519" s="9"/>
    </row>
    <row r="1520" ht="15.75" customHeight="1">
      <c r="A1520" s="9" t="s">
        <v>45265</v>
      </c>
      <c r="B1520" s="9" t="s">
        <v>52</v>
      </c>
      <c r="C1520" s="9" t="s">
        <v>40893</v>
      </c>
      <c r="D1520" s="9" t="s">
        <v>45266</v>
      </c>
      <c r="E1520" s="61">
        <v>45100.0</v>
      </c>
      <c r="F1520" s="9" t="b">
        <v>1</v>
      </c>
      <c r="G1520" s="9" t="s">
        <v>43228</v>
      </c>
      <c r="H1520" s="9" t="s">
        <v>42576</v>
      </c>
      <c r="I1520" s="9"/>
    </row>
    <row r="1521" ht="15.75" customHeight="1">
      <c r="A1521" s="9" t="s">
        <v>45267</v>
      </c>
      <c r="B1521" s="9" t="s">
        <v>47</v>
      </c>
      <c r="C1521" s="9" t="s">
        <v>40924</v>
      </c>
      <c r="D1521" s="9" t="s">
        <v>42560</v>
      </c>
      <c r="E1521" s="61">
        <v>45100.0</v>
      </c>
      <c r="F1521" s="9" t="b">
        <v>1</v>
      </c>
      <c r="G1521" s="9" t="s">
        <v>38801</v>
      </c>
      <c r="H1521" s="9" t="s">
        <v>42576</v>
      </c>
      <c r="I1521" s="9" t="b">
        <v>1</v>
      </c>
    </row>
    <row r="1522" ht="15.75" customHeight="1">
      <c r="A1522" s="9" t="s">
        <v>45268</v>
      </c>
      <c r="B1522" s="9" t="s">
        <v>47</v>
      </c>
      <c r="C1522" s="9" t="s">
        <v>40926</v>
      </c>
      <c r="D1522" s="9" t="s">
        <v>42560</v>
      </c>
      <c r="E1522" s="61">
        <v>45100.0</v>
      </c>
      <c r="F1522" s="9" t="b">
        <v>1</v>
      </c>
      <c r="G1522" s="9" t="s">
        <v>38801</v>
      </c>
      <c r="H1522" s="9" t="s">
        <v>42576</v>
      </c>
      <c r="I1522" s="9" t="b">
        <v>1</v>
      </c>
    </row>
    <row r="1523" ht="15.75" customHeight="1">
      <c r="A1523" s="9" t="s">
        <v>45269</v>
      </c>
      <c r="B1523" s="9" t="s">
        <v>52</v>
      </c>
      <c r="C1523" s="9" t="s">
        <v>40844</v>
      </c>
      <c r="D1523" s="9" t="s">
        <v>45270</v>
      </c>
      <c r="E1523" s="61">
        <v>45100.0</v>
      </c>
      <c r="F1523" s="9" t="b">
        <v>1</v>
      </c>
      <c r="G1523" s="9" t="s">
        <v>38801</v>
      </c>
      <c r="H1523" s="9" t="s">
        <v>42576</v>
      </c>
      <c r="I1523" s="9" t="b">
        <v>1</v>
      </c>
    </row>
    <row r="1524" ht="15.75" customHeight="1">
      <c r="A1524" s="9" t="s">
        <v>45271</v>
      </c>
      <c r="B1524" s="9" t="s">
        <v>47</v>
      </c>
      <c r="C1524" s="9" t="s">
        <v>40937</v>
      </c>
      <c r="D1524" s="9" t="s">
        <v>45272</v>
      </c>
      <c r="E1524" s="61">
        <v>45103.0</v>
      </c>
      <c r="F1524" s="9" t="b">
        <v>1</v>
      </c>
      <c r="G1524" s="9" t="s">
        <v>38801</v>
      </c>
      <c r="H1524" s="9" t="s">
        <v>42576</v>
      </c>
      <c r="I1524" s="9" t="b">
        <v>1</v>
      </c>
    </row>
    <row r="1525" ht="15.75" customHeight="1">
      <c r="A1525" s="9" t="s">
        <v>45273</v>
      </c>
      <c r="B1525" s="9" t="s">
        <v>47</v>
      </c>
      <c r="C1525" s="9" t="s">
        <v>40939</v>
      </c>
      <c r="D1525" s="9" t="s">
        <v>45274</v>
      </c>
      <c r="E1525" s="61">
        <v>45103.0</v>
      </c>
      <c r="F1525" s="9" t="b">
        <v>1</v>
      </c>
      <c r="G1525" s="9" t="s">
        <v>38801</v>
      </c>
      <c r="H1525" s="9" t="s">
        <v>42576</v>
      </c>
      <c r="I1525" s="9" t="b">
        <v>1</v>
      </c>
    </row>
    <row r="1526" ht="15.75" customHeight="1">
      <c r="A1526" s="9" t="s">
        <v>45275</v>
      </c>
      <c r="B1526" s="9" t="s">
        <v>47</v>
      </c>
      <c r="C1526" s="9" t="s">
        <v>40880</v>
      </c>
      <c r="D1526" s="9" t="s">
        <v>42560</v>
      </c>
      <c r="E1526" s="61">
        <v>45103.0</v>
      </c>
      <c r="F1526" s="9" t="b">
        <v>1</v>
      </c>
      <c r="G1526" s="9" t="s">
        <v>38801</v>
      </c>
      <c r="H1526" s="9" t="s">
        <v>42560</v>
      </c>
      <c r="I1526" s="9" t="b">
        <v>1</v>
      </c>
    </row>
    <row r="1527" ht="15.75" customHeight="1">
      <c r="A1527" s="9" t="s">
        <v>45276</v>
      </c>
      <c r="B1527" s="9" t="s">
        <v>47</v>
      </c>
      <c r="C1527" s="9" t="s">
        <v>40941</v>
      </c>
      <c r="D1527" s="9" t="s">
        <v>45277</v>
      </c>
      <c r="E1527" s="61">
        <v>45103.0</v>
      </c>
      <c r="F1527" s="9" t="b">
        <v>1</v>
      </c>
      <c r="G1527" s="9" t="s">
        <v>38801</v>
      </c>
      <c r="H1527" s="9" t="s">
        <v>42576</v>
      </c>
      <c r="I1527" s="9" t="b">
        <v>1</v>
      </c>
    </row>
    <row r="1528" ht="15.75" customHeight="1">
      <c r="A1528" s="9" t="s">
        <v>45278</v>
      </c>
      <c r="B1528" s="9" t="s">
        <v>52</v>
      </c>
      <c r="C1528" s="9" t="s">
        <v>40943</v>
      </c>
      <c r="D1528" s="9" t="s">
        <v>45279</v>
      </c>
      <c r="E1528" s="61">
        <v>45106.0</v>
      </c>
      <c r="F1528" s="9" t="b">
        <v>1</v>
      </c>
      <c r="G1528" s="9" t="s">
        <v>38801</v>
      </c>
      <c r="H1528" s="9" t="s">
        <v>42576</v>
      </c>
      <c r="I1528" s="9" t="b">
        <v>1</v>
      </c>
    </row>
    <row r="1529" ht="15.75" customHeight="1">
      <c r="A1529" s="9" t="s">
        <v>45280</v>
      </c>
      <c r="B1529" s="9" t="s">
        <v>76</v>
      </c>
      <c r="C1529" s="9" t="s">
        <v>40679</v>
      </c>
      <c r="D1529" s="9" t="s">
        <v>45281</v>
      </c>
      <c r="E1529" s="61">
        <v>45106.0</v>
      </c>
      <c r="F1529" s="9" t="b">
        <v>1</v>
      </c>
      <c r="G1529" s="9" t="s">
        <v>38801</v>
      </c>
      <c r="H1529" s="9" t="s">
        <v>42560</v>
      </c>
      <c r="I1529" s="9" t="b">
        <v>1</v>
      </c>
    </row>
    <row r="1530" ht="15.75" customHeight="1">
      <c r="A1530" s="9" t="s">
        <v>45282</v>
      </c>
      <c r="B1530" s="9" t="s">
        <v>76</v>
      </c>
      <c r="C1530" s="9" t="s">
        <v>40727</v>
      </c>
      <c r="D1530" s="9" t="s">
        <v>45283</v>
      </c>
      <c r="E1530" s="61">
        <v>45106.0</v>
      </c>
      <c r="F1530" s="9" t="b">
        <v>1</v>
      </c>
      <c r="G1530" s="9" t="s">
        <v>38801</v>
      </c>
      <c r="H1530" s="9" t="s">
        <v>42560</v>
      </c>
      <c r="I1530" s="9" t="b">
        <v>1</v>
      </c>
    </row>
    <row r="1531" ht="15.75" customHeight="1">
      <c r="A1531" s="9" t="s">
        <v>45284</v>
      </c>
      <c r="B1531" s="9" t="s">
        <v>76</v>
      </c>
      <c r="C1531" s="9" t="s">
        <v>40677</v>
      </c>
      <c r="D1531" s="9" t="s">
        <v>45285</v>
      </c>
      <c r="E1531" s="61">
        <v>45107.0</v>
      </c>
      <c r="F1531" s="9" t="b">
        <v>1</v>
      </c>
      <c r="G1531" s="9" t="s">
        <v>38801</v>
      </c>
      <c r="H1531" s="9" t="s">
        <v>42560</v>
      </c>
      <c r="I1531" s="9" t="b">
        <v>1</v>
      </c>
    </row>
    <row r="1532" ht="15.75" customHeight="1">
      <c r="A1532" s="9" t="s">
        <v>45286</v>
      </c>
      <c r="B1532" s="9" t="s">
        <v>47</v>
      </c>
      <c r="C1532" s="9" t="s">
        <v>40935</v>
      </c>
      <c r="D1532" s="9" t="s">
        <v>42560</v>
      </c>
      <c r="E1532" s="61">
        <v>45107.0</v>
      </c>
      <c r="F1532" s="9" t="b">
        <v>1</v>
      </c>
      <c r="G1532" s="9" t="s">
        <v>38801</v>
      </c>
      <c r="H1532" s="9" t="s">
        <v>42576</v>
      </c>
      <c r="I1532" s="9" t="b">
        <v>1</v>
      </c>
    </row>
    <row r="1533" ht="15.75" customHeight="1">
      <c r="A1533" s="9" t="s">
        <v>45287</v>
      </c>
      <c r="B1533" s="9" t="s">
        <v>47</v>
      </c>
      <c r="C1533" s="9" t="s">
        <v>40933</v>
      </c>
      <c r="D1533" s="9" t="s">
        <v>42560</v>
      </c>
      <c r="E1533" s="61">
        <v>45107.0</v>
      </c>
      <c r="F1533" s="9" t="b">
        <v>1</v>
      </c>
      <c r="G1533" s="9" t="s">
        <v>38801</v>
      </c>
      <c r="H1533" s="9" t="s">
        <v>42576</v>
      </c>
      <c r="I1533" s="9" t="b">
        <v>1</v>
      </c>
    </row>
    <row r="1534" ht="15.75" customHeight="1">
      <c r="A1534" s="9" t="s">
        <v>45288</v>
      </c>
      <c r="B1534" s="9" t="s">
        <v>47</v>
      </c>
      <c r="C1534" s="9" t="s">
        <v>40947</v>
      </c>
      <c r="D1534" s="9" t="s">
        <v>42560</v>
      </c>
      <c r="E1534" s="61">
        <v>45110.0</v>
      </c>
      <c r="F1534" s="9" t="b">
        <v>1</v>
      </c>
      <c r="G1534" s="9" t="s">
        <v>38801</v>
      </c>
      <c r="H1534" s="9" t="s">
        <v>42576</v>
      </c>
      <c r="I1534" s="9" t="b">
        <v>1</v>
      </c>
    </row>
    <row r="1535" ht="15.75" customHeight="1">
      <c r="A1535" s="9" t="s">
        <v>45289</v>
      </c>
      <c r="B1535" s="9" t="s">
        <v>47</v>
      </c>
      <c r="C1535" s="9" t="s">
        <v>40952</v>
      </c>
      <c r="D1535" s="9" t="s">
        <v>45290</v>
      </c>
      <c r="E1535" s="61">
        <v>45111.0</v>
      </c>
      <c r="F1535" s="9" t="b">
        <v>1</v>
      </c>
      <c r="G1535" s="9" t="s">
        <v>38801</v>
      </c>
      <c r="H1535" s="9" t="s">
        <v>42576</v>
      </c>
      <c r="I1535" s="9" t="b">
        <v>1</v>
      </c>
    </row>
    <row r="1536" ht="15.75" customHeight="1">
      <c r="A1536" s="9" t="s">
        <v>45291</v>
      </c>
      <c r="B1536" s="9" t="s">
        <v>47</v>
      </c>
      <c r="C1536" s="9" t="s">
        <v>40950</v>
      </c>
      <c r="D1536" s="9" t="s">
        <v>45290</v>
      </c>
      <c r="E1536" s="61">
        <v>45111.0</v>
      </c>
      <c r="F1536" s="9" t="b">
        <v>1</v>
      </c>
      <c r="G1536" s="9" t="s">
        <v>38801</v>
      </c>
      <c r="H1536" s="9" t="s">
        <v>42576</v>
      </c>
      <c r="I1536" s="9" t="b">
        <v>1</v>
      </c>
    </row>
    <row r="1537" ht="15.75" customHeight="1">
      <c r="A1537" s="9" t="s">
        <v>45292</v>
      </c>
      <c r="B1537" s="9" t="s">
        <v>47</v>
      </c>
      <c r="C1537" s="9" t="s">
        <v>40923</v>
      </c>
      <c r="D1537" s="9" t="s">
        <v>42560</v>
      </c>
      <c r="E1537" s="61">
        <v>45111.0</v>
      </c>
      <c r="F1537" s="9" t="b">
        <v>1</v>
      </c>
      <c r="G1537" s="9" t="s">
        <v>38801</v>
      </c>
      <c r="H1537" s="9" t="s">
        <v>42576</v>
      </c>
      <c r="I1537" s="9" t="b">
        <v>1</v>
      </c>
    </row>
    <row r="1538" ht="15.75" customHeight="1">
      <c r="A1538" s="9" t="s">
        <v>45293</v>
      </c>
      <c r="B1538" s="9" t="s">
        <v>26</v>
      </c>
      <c r="C1538" s="9" t="s">
        <v>40614</v>
      </c>
      <c r="D1538" s="9" t="s">
        <v>45294</v>
      </c>
      <c r="E1538" s="61">
        <v>45113.0</v>
      </c>
      <c r="F1538" s="9" t="b">
        <v>1</v>
      </c>
      <c r="G1538" s="9" t="s">
        <v>38801</v>
      </c>
      <c r="H1538" s="9" t="s">
        <v>42560</v>
      </c>
      <c r="I1538" s="9" t="b">
        <v>1</v>
      </c>
    </row>
    <row r="1539" ht="15.75" customHeight="1">
      <c r="A1539" s="9" t="s">
        <v>45295</v>
      </c>
      <c r="B1539" s="9" t="s">
        <v>26</v>
      </c>
      <c r="C1539" s="9" t="s">
        <v>40638</v>
      </c>
      <c r="D1539" s="9" t="s">
        <v>45296</v>
      </c>
      <c r="E1539" s="61">
        <v>45113.0</v>
      </c>
      <c r="F1539" s="9" t="b">
        <v>1</v>
      </c>
      <c r="G1539" s="9" t="s">
        <v>38801</v>
      </c>
      <c r="H1539" s="9" t="s">
        <v>42560</v>
      </c>
      <c r="I1539" s="9" t="b">
        <v>1</v>
      </c>
    </row>
    <row r="1540" ht="15.75" customHeight="1">
      <c r="A1540" s="9" t="s">
        <v>45297</v>
      </c>
      <c r="B1540" s="9" t="s">
        <v>26</v>
      </c>
      <c r="C1540" s="9" t="s">
        <v>40654</v>
      </c>
      <c r="D1540" s="9" t="s">
        <v>45298</v>
      </c>
      <c r="E1540" s="61">
        <v>45113.0</v>
      </c>
      <c r="F1540" s="9" t="b">
        <v>1</v>
      </c>
      <c r="G1540" s="9" t="s">
        <v>38801</v>
      </c>
      <c r="H1540" s="9" t="s">
        <v>42560</v>
      </c>
      <c r="I1540" s="9" t="b">
        <v>1</v>
      </c>
    </row>
    <row r="1541" ht="15.75" customHeight="1">
      <c r="A1541" s="9" t="s">
        <v>45299</v>
      </c>
      <c r="B1541" s="9" t="s">
        <v>26</v>
      </c>
      <c r="C1541" s="9" t="s">
        <v>40850</v>
      </c>
      <c r="D1541" s="9" t="s">
        <v>45300</v>
      </c>
      <c r="E1541" s="61">
        <v>45113.0</v>
      </c>
      <c r="F1541" s="9" t="b">
        <v>1</v>
      </c>
      <c r="G1541" s="9" t="s">
        <v>38801</v>
      </c>
      <c r="H1541" s="9" t="s">
        <v>42560</v>
      </c>
      <c r="I1541" s="9" t="b">
        <v>1</v>
      </c>
    </row>
    <row r="1542" ht="15.75" customHeight="1">
      <c r="A1542" s="9" t="s">
        <v>45301</v>
      </c>
      <c r="B1542" s="9" t="s">
        <v>26</v>
      </c>
      <c r="C1542" s="9" t="s">
        <v>40865</v>
      </c>
      <c r="D1542" s="9" t="s">
        <v>45302</v>
      </c>
      <c r="E1542" s="61">
        <v>45113.0</v>
      </c>
      <c r="F1542" s="9" t="b">
        <v>1</v>
      </c>
      <c r="G1542" s="9" t="s">
        <v>38801</v>
      </c>
      <c r="H1542" s="9" t="s">
        <v>42560</v>
      </c>
      <c r="I1542" s="9" t="b">
        <v>1</v>
      </c>
    </row>
    <row r="1543" ht="15.75" customHeight="1">
      <c r="A1543" s="9" t="s">
        <v>45303</v>
      </c>
      <c r="B1543" s="9" t="s">
        <v>26</v>
      </c>
      <c r="C1543" s="9" t="s">
        <v>40875</v>
      </c>
      <c r="D1543" s="9" t="s">
        <v>45304</v>
      </c>
      <c r="E1543" s="61">
        <v>45113.0</v>
      </c>
      <c r="F1543" s="9" t="b">
        <v>1</v>
      </c>
      <c r="G1543" s="9" t="s">
        <v>38801</v>
      </c>
      <c r="H1543" s="9" t="s">
        <v>42560</v>
      </c>
      <c r="I1543" s="9" t="b">
        <v>1</v>
      </c>
    </row>
    <row r="1544" ht="15.75" customHeight="1">
      <c r="A1544" s="9" t="s">
        <v>45305</v>
      </c>
      <c r="B1544" s="9" t="s">
        <v>26</v>
      </c>
      <c r="C1544" s="9" t="s">
        <v>40873</v>
      </c>
      <c r="D1544" s="9" t="s">
        <v>45306</v>
      </c>
      <c r="E1544" s="61">
        <v>45113.0</v>
      </c>
      <c r="F1544" s="9" t="b">
        <v>1</v>
      </c>
      <c r="G1544" s="9" t="s">
        <v>42573</v>
      </c>
      <c r="H1544" s="9" t="s">
        <v>42560</v>
      </c>
      <c r="I1544" s="9"/>
    </row>
    <row r="1545" ht="15.75" customHeight="1">
      <c r="A1545" s="9" t="s">
        <v>45307</v>
      </c>
      <c r="B1545" s="9" t="s">
        <v>131</v>
      </c>
      <c r="C1545" s="9" t="s">
        <v>40873</v>
      </c>
      <c r="D1545" s="9" t="s">
        <v>45308</v>
      </c>
      <c r="E1545" s="61">
        <v>45114.0</v>
      </c>
      <c r="F1545" s="9" t="b">
        <v>1</v>
      </c>
      <c r="G1545" s="9" t="s">
        <v>38801</v>
      </c>
      <c r="H1545" s="9" t="s">
        <v>42576</v>
      </c>
      <c r="I1545" s="9" t="b">
        <v>1</v>
      </c>
    </row>
    <row r="1546" ht="15.75" customHeight="1">
      <c r="A1546" s="9" t="s">
        <v>45309</v>
      </c>
      <c r="B1546" s="9" t="s">
        <v>47</v>
      </c>
      <c r="C1546" s="9" t="s">
        <v>40961</v>
      </c>
      <c r="D1546" s="9" t="s">
        <v>45310</v>
      </c>
      <c r="E1546" s="61">
        <v>45114.0</v>
      </c>
      <c r="F1546" s="9" t="b">
        <v>1</v>
      </c>
      <c r="G1546" s="9" t="s">
        <v>43228</v>
      </c>
      <c r="H1546" s="9" t="s">
        <v>42576</v>
      </c>
      <c r="I1546" s="9"/>
    </row>
    <row r="1547" ht="15.75" customHeight="1">
      <c r="A1547" s="9" t="s">
        <v>45311</v>
      </c>
      <c r="B1547" s="9" t="s">
        <v>131</v>
      </c>
      <c r="C1547" s="9" t="s">
        <v>40959</v>
      </c>
      <c r="D1547" s="9" t="s">
        <v>45312</v>
      </c>
      <c r="E1547" s="61">
        <v>45114.0</v>
      </c>
      <c r="F1547" s="9" t="b">
        <v>1</v>
      </c>
      <c r="G1547" s="9" t="s">
        <v>38801</v>
      </c>
      <c r="H1547" s="9" t="s">
        <v>42576</v>
      </c>
      <c r="I1547" s="9" t="b">
        <v>1</v>
      </c>
    </row>
    <row r="1548" ht="15.75" customHeight="1">
      <c r="A1548" s="9" t="s">
        <v>45313</v>
      </c>
      <c r="B1548" s="9" t="s">
        <v>47</v>
      </c>
      <c r="C1548" s="9" t="s">
        <v>40963</v>
      </c>
      <c r="D1548" s="9" t="s">
        <v>45314</v>
      </c>
      <c r="E1548" s="61">
        <v>45114.0</v>
      </c>
      <c r="F1548" s="9" t="b">
        <v>1</v>
      </c>
      <c r="G1548" s="9" t="s">
        <v>38801</v>
      </c>
      <c r="H1548" s="9" t="s">
        <v>42576</v>
      </c>
      <c r="I1548" s="9" t="b">
        <v>1</v>
      </c>
    </row>
    <row r="1549" ht="15.75" customHeight="1">
      <c r="A1549" s="52" t="s">
        <v>45315</v>
      </c>
      <c r="B1549" s="9" t="s">
        <v>52</v>
      </c>
      <c r="C1549" s="9" t="s">
        <v>39251</v>
      </c>
      <c r="D1549" s="9" t="s">
        <v>44210</v>
      </c>
      <c r="E1549" s="61">
        <v>45117.0</v>
      </c>
      <c r="F1549" s="9" t="b">
        <v>1</v>
      </c>
      <c r="G1549" s="9" t="s">
        <v>38801</v>
      </c>
      <c r="H1549" s="9" t="s">
        <v>42576</v>
      </c>
      <c r="I1549" s="9" t="b">
        <v>1</v>
      </c>
    </row>
    <row r="1550" ht="15.75" customHeight="1">
      <c r="A1550" s="9" t="s">
        <v>45316</v>
      </c>
      <c r="B1550" s="9" t="s">
        <v>52</v>
      </c>
      <c r="C1550" s="9" t="s">
        <v>39267</v>
      </c>
      <c r="D1550" s="9" t="s">
        <v>45317</v>
      </c>
      <c r="E1550" s="61">
        <v>45117.0</v>
      </c>
      <c r="F1550" s="9" t="b">
        <v>1</v>
      </c>
      <c r="G1550" s="9" t="s">
        <v>38801</v>
      </c>
      <c r="H1550" s="9" t="s">
        <v>42576</v>
      </c>
      <c r="I1550" s="9" t="b">
        <v>1</v>
      </c>
    </row>
    <row r="1551" ht="15.75" customHeight="1">
      <c r="A1551" s="9" t="s">
        <v>45318</v>
      </c>
      <c r="B1551" s="9" t="s">
        <v>47</v>
      </c>
      <c r="C1551" s="9" t="s">
        <v>40936</v>
      </c>
      <c r="D1551" s="9" t="s">
        <v>45319</v>
      </c>
      <c r="E1551" s="61">
        <v>45118.0</v>
      </c>
      <c r="F1551" s="9" t="b">
        <v>1</v>
      </c>
      <c r="G1551" s="9" t="s">
        <v>38801</v>
      </c>
      <c r="H1551" s="9" t="s">
        <v>42576</v>
      </c>
      <c r="I1551" s="9" t="b">
        <v>1</v>
      </c>
    </row>
    <row r="1552" ht="15.75" customHeight="1">
      <c r="A1552" s="9" t="s">
        <v>45320</v>
      </c>
      <c r="B1552" s="9" t="s">
        <v>47</v>
      </c>
      <c r="C1552" s="9" t="s">
        <v>40965</v>
      </c>
      <c r="D1552" s="9" t="s">
        <v>42756</v>
      </c>
      <c r="E1552" s="61">
        <v>45118.0</v>
      </c>
      <c r="F1552" s="9" t="b">
        <v>1</v>
      </c>
      <c r="G1552" s="9" t="s">
        <v>38801</v>
      </c>
      <c r="H1552" s="9" t="s">
        <v>42560</v>
      </c>
      <c r="I1552" s="9" t="b">
        <v>1</v>
      </c>
    </row>
    <row r="1553" ht="15.75" customHeight="1">
      <c r="A1553" s="9" t="s">
        <v>45321</v>
      </c>
      <c r="B1553" s="9" t="s">
        <v>131</v>
      </c>
      <c r="C1553" s="9" t="s">
        <v>40967</v>
      </c>
      <c r="D1553" s="9" t="s">
        <v>45322</v>
      </c>
      <c r="E1553" s="61">
        <v>45118.0</v>
      </c>
      <c r="F1553" s="9" t="b">
        <v>1</v>
      </c>
      <c r="G1553" s="9" t="s">
        <v>38801</v>
      </c>
      <c r="H1553" s="9" t="s">
        <v>42576</v>
      </c>
      <c r="I1553" s="9" t="b">
        <v>1</v>
      </c>
    </row>
    <row r="1554" ht="15.75" customHeight="1">
      <c r="A1554" s="9" t="s">
        <v>45323</v>
      </c>
      <c r="B1554" s="9" t="s">
        <v>47</v>
      </c>
      <c r="C1554" s="9" t="s">
        <v>40961</v>
      </c>
      <c r="D1554" s="9" t="s">
        <v>45324</v>
      </c>
      <c r="E1554" s="61">
        <v>45119.0</v>
      </c>
      <c r="F1554" s="9" t="b">
        <v>1</v>
      </c>
      <c r="G1554" s="9" t="s">
        <v>42585</v>
      </c>
      <c r="H1554" s="9" t="s">
        <v>42576</v>
      </c>
      <c r="I1554" s="9"/>
    </row>
    <row r="1555" ht="15.75" customHeight="1">
      <c r="A1555" s="9" t="s">
        <v>45325</v>
      </c>
      <c r="B1555" s="9" t="s">
        <v>76</v>
      </c>
      <c r="C1555" s="9" t="s">
        <v>40949</v>
      </c>
      <c r="D1555" s="9" t="s">
        <v>45326</v>
      </c>
      <c r="E1555" s="61">
        <v>45119.0</v>
      </c>
      <c r="F1555" s="9" t="b">
        <v>1</v>
      </c>
      <c r="G1555" s="9" t="s">
        <v>42585</v>
      </c>
      <c r="H1555" s="9" t="s">
        <v>42560</v>
      </c>
      <c r="I1555" s="9"/>
    </row>
    <row r="1556" ht="15.75" customHeight="1">
      <c r="A1556" s="9" t="s">
        <v>45327</v>
      </c>
      <c r="B1556" s="9" t="s">
        <v>76</v>
      </c>
      <c r="C1556" s="9" t="s">
        <v>40954</v>
      </c>
      <c r="D1556" s="9" t="s">
        <v>45328</v>
      </c>
      <c r="E1556" s="61">
        <v>45119.0</v>
      </c>
      <c r="F1556" s="9" t="b">
        <v>1</v>
      </c>
      <c r="G1556" s="9" t="s">
        <v>42585</v>
      </c>
      <c r="H1556" s="9" t="s">
        <v>42560</v>
      </c>
      <c r="I1556" s="9"/>
    </row>
    <row r="1557" ht="15.75" customHeight="1">
      <c r="A1557" s="9" t="s">
        <v>45329</v>
      </c>
      <c r="B1557" s="9" t="s">
        <v>76</v>
      </c>
      <c r="C1557" s="9" t="s">
        <v>40957</v>
      </c>
      <c r="D1557" s="9" t="s">
        <v>45330</v>
      </c>
      <c r="E1557" s="61">
        <v>45119.0</v>
      </c>
      <c r="F1557" s="9" t="b">
        <v>1</v>
      </c>
      <c r="G1557" s="9" t="s">
        <v>42585</v>
      </c>
      <c r="H1557" s="9" t="s">
        <v>42560</v>
      </c>
      <c r="I1557" s="9"/>
    </row>
    <row r="1558" ht="15.75" customHeight="1">
      <c r="A1558" s="9" t="s">
        <v>45331</v>
      </c>
      <c r="B1558" s="9" t="s">
        <v>76</v>
      </c>
      <c r="C1558" s="9" t="s">
        <v>40964</v>
      </c>
      <c r="D1558" s="131">
        <v>45189.0</v>
      </c>
      <c r="E1558" s="61">
        <v>45119.0</v>
      </c>
      <c r="F1558" s="9" t="b">
        <v>1</v>
      </c>
      <c r="G1558" s="9" t="s">
        <v>42585</v>
      </c>
      <c r="H1558" s="9" t="s">
        <v>42560</v>
      </c>
      <c r="I1558" s="9"/>
    </row>
    <row r="1559" ht="15.75" customHeight="1">
      <c r="A1559" s="9" t="s">
        <v>45332</v>
      </c>
      <c r="B1559" s="9" t="s">
        <v>47</v>
      </c>
      <c r="C1559" s="9" t="s">
        <v>40971</v>
      </c>
      <c r="D1559" s="9" t="s">
        <v>45333</v>
      </c>
      <c r="E1559" s="61">
        <v>45119.0</v>
      </c>
      <c r="F1559" s="9" t="b">
        <v>1</v>
      </c>
      <c r="G1559" s="9" t="s">
        <v>43228</v>
      </c>
      <c r="H1559" s="9" t="s">
        <v>42560</v>
      </c>
      <c r="I1559" s="9"/>
    </row>
    <row r="1560" ht="15.75" customHeight="1">
      <c r="A1560" s="9" t="s">
        <v>45334</v>
      </c>
      <c r="B1560" s="9" t="s">
        <v>47</v>
      </c>
      <c r="C1560" s="9" t="s">
        <v>40971</v>
      </c>
      <c r="D1560" s="9" t="s">
        <v>45335</v>
      </c>
      <c r="E1560" s="61">
        <v>45119.0</v>
      </c>
      <c r="F1560" s="9" t="b">
        <v>1</v>
      </c>
      <c r="G1560" s="9" t="s">
        <v>38801</v>
      </c>
      <c r="H1560" s="9" t="s">
        <v>42576</v>
      </c>
      <c r="I1560" s="9" t="b">
        <v>1</v>
      </c>
    </row>
    <row r="1561" ht="15.75" customHeight="1">
      <c r="A1561" s="9" t="s">
        <v>45336</v>
      </c>
      <c r="B1561" s="9" t="s">
        <v>47</v>
      </c>
      <c r="C1561" s="9" t="s">
        <v>40979</v>
      </c>
      <c r="D1561" s="9" t="s">
        <v>45337</v>
      </c>
      <c r="E1561" s="61">
        <v>45119.0</v>
      </c>
      <c r="F1561" s="9" t="b">
        <v>1</v>
      </c>
      <c r="G1561" s="9" t="s">
        <v>38801</v>
      </c>
      <c r="H1561" s="9" t="s">
        <v>42576</v>
      </c>
      <c r="I1561" s="9" t="b">
        <v>1</v>
      </c>
    </row>
    <row r="1562" ht="15.75" customHeight="1">
      <c r="A1562" s="9" t="s">
        <v>45338</v>
      </c>
      <c r="B1562" s="9" t="s">
        <v>26</v>
      </c>
      <c r="C1562" s="9" t="s">
        <v>39209</v>
      </c>
      <c r="D1562" s="9" t="s">
        <v>45339</v>
      </c>
      <c r="E1562" s="61">
        <v>45120.0</v>
      </c>
      <c r="F1562" s="9" t="b">
        <v>1</v>
      </c>
      <c r="G1562" s="9" t="s">
        <v>38801</v>
      </c>
      <c r="H1562" s="9" t="s">
        <v>42560</v>
      </c>
      <c r="I1562" s="9" t="b">
        <v>1</v>
      </c>
    </row>
    <row r="1563" ht="15.75" customHeight="1">
      <c r="A1563" s="9" t="s">
        <v>45340</v>
      </c>
      <c r="B1563" s="9" t="s">
        <v>131</v>
      </c>
      <c r="C1563" s="9" t="s">
        <v>40758</v>
      </c>
      <c r="D1563" s="9" t="s">
        <v>45341</v>
      </c>
      <c r="E1563" s="61">
        <v>45120.0</v>
      </c>
      <c r="F1563" s="9" t="b">
        <v>1</v>
      </c>
      <c r="G1563" s="9" t="s">
        <v>42585</v>
      </c>
      <c r="H1563" s="9" t="s">
        <v>42576</v>
      </c>
      <c r="I1563" s="9"/>
    </row>
    <row r="1564" ht="15.75" customHeight="1">
      <c r="A1564" s="9" t="s">
        <v>45342</v>
      </c>
      <c r="B1564" s="9" t="s">
        <v>131</v>
      </c>
      <c r="C1564" s="9" t="s">
        <v>40850</v>
      </c>
      <c r="D1564" s="9" t="s">
        <v>45343</v>
      </c>
      <c r="E1564" s="61">
        <v>45120.0</v>
      </c>
      <c r="F1564" s="9" t="b">
        <v>1</v>
      </c>
      <c r="G1564" s="9" t="s">
        <v>38801</v>
      </c>
      <c r="H1564" s="9" t="s">
        <v>42576</v>
      </c>
      <c r="I1564" s="9" t="b">
        <v>1</v>
      </c>
    </row>
    <row r="1565" ht="15.75" customHeight="1">
      <c r="A1565" s="9" t="s">
        <v>45344</v>
      </c>
      <c r="B1565" s="9" t="s">
        <v>52</v>
      </c>
      <c r="C1565" s="9" t="s">
        <v>39209</v>
      </c>
      <c r="D1565" s="9" t="s">
        <v>45345</v>
      </c>
      <c r="E1565" s="61">
        <v>45120.0</v>
      </c>
      <c r="F1565" s="9" t="b">
        <v>1</v>
      </c>
      <c r="G1565" s="9" t="s">
        <v>38801</v>
      </c>
      <c r="H1565" s="9" t="s">
        <v>42576</v>
      </c>
      <c r="I1565" s="9" t="b">
        <v>1</v>
      </c>
    </row>
    <row r="1566" ht="15.75" customHeight="1">
      <c r="A1566" s="9" t="s">
        <v>45346</v>
      </c>
      <c r="B1566" s="9" t="s">
        <v>52</v>
      </c>
      <c r="C1566" s="9" t="s">
        <v>39209</v>
      </c>
      <c r="D1566" s="9" t="s">
        <v>45347</v>
      </c>
      <c r="E1566" s="61">
        <v>45120.0</v>
      </c>
      <c r="F1566" s="9" t="b">
        <v>1</v>
      </c>
      <c r="G1566" s="9" t="s">
        <v>38801</v>
      </c>
      <c r="H1566" s="9" t="s">
        <v>42560</v>
      </c>
      <c r="I1566" s="9" t="b">
        <v>1</v>
      </c>
    </row>
    <row r="1567" ht="15.75" customHeight="1">
      <c r="A1567" s="9" t="s">
        <v>45348</v>
      </c>
      <c r="B1567" s="9" t="s">
        <v>52</v>
      </c>
      <c r="C1567" s="9" t="s">
        <v>40893</v>
      </c>
      <c r="D1567" s="9" t="s">
        <v>45349</v>
      </c>
      <c r="E1567" s="61">
        <v>45120.0</v>
      </c>
      <c r="F1567" s="9" t="b">
        <v>1</v>
      </c>
      <c r="G1567" s="9" t="s">
        <v>38801</v>
      </c>
      <c r="H1567" s="9" t="s">
        <v>42576</v>
      </c>
      <c r="I1567" s="9" t="b">
        <v>1</v>
      </c>
    </row>
    <row r="1568" ht="15.75" customHeight="1">
      <c r="A1568" s="9" t="s">
        <v>45350</v>
      </c>
      <c r="B1568" s="9" t="s">
        <v>158</v>
      </c>
      <c r="C1568" s="9" t="s">
        <v>40915</v>
      </c>
      <c r="D1568" s="9" t="s">
        <v>45351</v>
      </c>
      <c r="E1568" s="61">
        <v>45124.0</v>
      </c>
      <c r="F1568" s="9" t="b">
        <v>1</v>
      </c>
      <c r="G1568" s="9" t="s">
        <v>38801</v>
      </c>
      <c r="H1568" s="9" t="s">
        <v>42576</v>
      </c>
      <c r="I1568" s="9" t="b">
        <v>1</v>
      </c>
    </row>
    <row r="1569" ht="15.75" customHeight="1">
      <c r="A1569" s="9" t="s">
        <v>45352</v>
      </c>
      <c r="B1569" s="9" t="s">
        <v>158</v>
      </c>
      <c r="C1569" s="9" t="s">
        <v>40912</v>
      </c>
      <c r="D1569" s="9" t="s">
        <v>45353</v>
      </c>
      <c r="E1569" s="61">
        <v>45124.0</v>
      </c>
      <c r="F1569" s="9" t="b">
        <v>1</v>
      </c>
      <c r="G1569" s="9" t="s">
        <v>38801</v>
      </c>
      <c r="H1569" s="9" t="s">
        <v>42560</v>
      </c>
      <c r="I1569" s="9" t="b">
        <v>1</v>
      </c>
    </row>
    <row r="1570" ht="15.75" customHeight="1">
      <c r="A1570" s="9" t="s">
        <v>45354</v>
      </c>
      <c r="B1570" s="9" t="s">
        <v>158</v>
      </c>
      <c r="C1570" s="9" t="s">
        <v>40914</v>
      </c>
      <c r="D1570" s="9" t="s">
        <v>45355</v>
      </c>
      <c r="E1570" s="61">
        <v>45124.0</v>
      </c>
      <c r="F1570" s="9" t="b">
        <v>1</v>
      </c>
      <c r="G1570" s="9" t="s">
        <v>38801</v>
      </c>
      <c r="H1570" s="9" t="s">
        <v>42560</v>
      </c>
      <c r="I1570" s="9" t="b">
        <v>1</v>
      </c>
    </row>
    <row r="1571" ht="15.75" customHeight="1">
      <c r="A1571" s="9" t="s">
        <v>45356</v>
      </c>
      <c r="B1571" s="9" t="s">
        <v>158</v>
      </c>
      <c r="C1571" s="9" t="s">
        <v>40916</v>
      </c>
      <c r="D1571" s="9" t="s">
        <v>45355</v>
      </c>
      <c r="E1571" s="61">
        <v>45124.0</v>
      </c>
      <c r="F1571" s="9" t="b">
        <v>1</v>
      </c>
      <c r="G1571" s="9" t="s">
        <v>38801</v>
      </c>
      <c r="H1571" s="9" t="s">
        <v>42560</v>
      </c>
      <c r="I1571" s="9" t="b">
        <v>1</v>
      </c>
    </row>
    <row r="1572" ht="15.75" customHeight="1">
      <c r="A1572" s="9" t="s">
        <v>45357</v>
      </c>
      <c r="B1572" s="9" t="s">
        <v>158</v>
      </c>
      <c r="C1572" s="9" t="s">
        <v>40918</v>
      </c>
      <c r="D1572" s="9" t="s">
        <v>45353</v>
      </c>
      <c r="E1572" s="61">
        <v>45124.0</v>
      </c>
      <c r="F1572" s="9" t="b">
        <v>1</v>
      </c>
      <c r="G1572" s="9" t="s">
        <v>38801</v>
      </c>
      <c r="H1572" s="9" t="s">
        <v>42560</v>
      </c>
      <c r="I1572" s="9" t="b">
        <v>1</v>
      </c>
    </row>
    <row r="1573" ht="15.75" customHeight="1">
      <c r="A1573" s="9" t="s">
        <v>45358</v>
      </c>
      <c r="B1573" s="9" t="s">
        <v>158</v>
      </c>
      <c r="C1573" s="9" t="s">
        <v>40919</v>
      </c>
      <c r="D1573" s="9" t="s">
        <v>45355</v>
      </c>
      <c r="E1573" s="61">
        <v>45124.0</v>
      </c>
      <c r="F1573" s="9" t="b">
        <v>1</v>
      </c>
      <c r="G1573" s="9" t="s">
        <v>38801</v>
      </c>
      <c r="H1573" s="9" t="s">
        <v>42560</v>
      </c>
      <c r="I1573" s="9" t="b">
        <v>1</v>
      </c>
    </row>
    <row r="1574" ht="15.75" customHeight="1">
      <c r="A1574" s="9" t="s">
        <v>45359</v>
      </c>
      <c r="B1574" s="9" t="s">
        <v>158</v>
      </c>
      <c r="C1574" s="9" t="s">
        <v>40920</v>
      </c>
      <c r="D1574" s="9" t="s">
        <v>45353</v>
      </c>
      <c r="E1574" s="61">
        <v>45124.0</v>
      </c>
      <c r="F1574" s="9" t="b">
        <v>1</v>
      </c>
      <c r="G1574" s="9" t="s">
        <v>38801</v>
      </c>
      <c r="H1574" s="9" t="s">
        <v>42560</v>
      </c>
      <c r="I1574" s="9" t="b">
        <v>1</v>
      </c>
    </row>
    <row r="1575" ht="15.75" customHeight="1">
      <c r="A1575" s="9" t="s">
        <v>45360</v>
      </c>
      <c r="B1575" s="9" t="s">
        <v>158</v>
      </c>
      <c r="C1575" s="9" t="s">
        <v>40922</v>
      </c>
      <c r="D1575" s="9" t="s">
        <v>45353</v>
      </c>
      <c r="E1575" s="61">
        <v>45124.0</v>
      </c>
      <c r="F1575" s="9" t="b">
        <v>1</v>
      </c>
      <c r="G1575" s="9" t="s">
        <v>38801</v>
      </c>
      <c r="H1575" s="9" t="s">
        <v>42560</v>
      </c>
      <c r="I1575" s="9" t="b">
        <v>1</v>
      </c>
    </row>
    <row r="1576" ht="15.75" customHeight="1">
      <c r="A1576" s="9" t="s">
        <v>45361</v>
      </c>
      <c r="B1576" s="9" t="s">
        <v>47</v>
      </c>
      <c r="C1576" s="9" t="s">
        <v>40986</v>
      </c>
      <c r="D1576" s="9" t="s">
        <v>45362</v>
      </c>
      <c r="E1576" s="61">
        <v>45124.0</v>
      </c>
      <c r="F1576" s="9" t="b">
        <v>1</v>
      </c>
      <c r="G1576" s="9" t="s">
        <v>38801</v>
      </c>
      <c r="H1576" s="9" t="s">
        <v>42576</v>
      </c>
      <c r="I1576" s="9" t="b">
        <v>1</v>
      </c>
    </row>
    <row r="1577" ht="15.75" customHeight="1">
      <c r="A1577" s="9" t="s">
        <v>45363</v>
      </c>
      <c r="B1577" s="9" t="s">
        <v>47</v>
      </c>
      <c r="C1577" s="9" t="s">
        <v>38929</v>
      </c>
      <c r="D1577" s="9" t="s">
        <v>45364</v>
      </c>
      <c r="E1577" s="61">
        <v>45124.0</v>
      </c>
      <c r="F1577" s="9" t="b">
        <v>1</v>
      </c>
      <c r="G1577" s="9" t="s">
        <v>42585</v>
      </c>
      <c r="H1577" s="9" t="s">
        <v>42576</v>
      </c>
      <c r="I1577" s="9"/>
    </row>
    <row r="1578" ht="15.75" customHeight="1">
      <c r="A1578" s="9" t="s">
        <v>45365</v>
      </c>
      <c r="B1578" s="9" t="s">
        <v>80</v>
      </c>
      <c r="C1578" s="9" t="s">
        <v>40910</v>
      </c>
      <c r="D1578" s="9" t="s">
        <v>42754</v>
      </c>
      <c r="E1578" s="61">
        <v>45125.0</v>
      </c>
      <c r="F1578" s="9" t="b">
        <v>1</v>
      </c>
      <c r="G1578" s="9" t="s">
        <v>38801</v>
      </c>
      <c r="H1578" s="9" t="s">
        <v>42576</v>
      </c>
      <c r="I1578" s="9" t="b">
        <v>1</v>
      </c>
    </row>
    <row r="1579" ht="15.75" customHeight="1">
      <c r="A1579" s="52" t="s">
        <v>45366</v>
      </c>
      <c r="B1579" s="9" t="s">
        <v>80</v>
      </c>
      <c r="C1579" s="9" t="s">
        <v>40774</v>
      </c>
      <c r="D1579" s="9" t="s">
        <v>42754</v>
      </c>
      <c r="E1579" s="61">
        <v>45125.0</v>
      </c>
      <c r="F1579" s="9" t="b">
        <v>1</v>
      </c>
      <c r="G1579" s="9" t="s">
        <v>38801</v>
      </c>
      <c r="H1579" s="9" t="s">
        <v>42576</v>
      </c>
      <c r="I1579" s="9" t="b">
        <v>1</v>
      </c>
    </row>
    <row r="1580" ht="15.75" customHeight="1">
      <c r="A1580" s="52" t="s">
        <v>45367</v>
      </c>
      <c r="B1580" s="9" t="s">
        <v>131</v>
      </c>
      <c r="C1580" s="9" t="s">
        <v>40585</v>
      </c>
      <c r="D1580" s="9" t="s">
        <v>45368</v>
      </c>
      <c r="E1580" s="61">
        <v>45126.0</v>
      </c>
      <c r="F1580" s="9" t="b">
        <v>1</v>
      </c>
      <c r="G1580" s="9" t="s">
        <v>38801</v>
      </c>
      <c r="H1580" s="9" t="s">
        <v>42576</v>
      </c>
      <c r="I1580" s="9" t="b">
        <v>1</v>
      </c>
    </row>
    <row r="1581" ht="15.75" customHeight="1">
      <c r="A1581" s="9" t="s">
        <v>45369</v>
      </c>
      <c r="B1581" s="9" t="s">
        <v>163</v>
      </c>
      <c r="C1581" s="9" t="s">
        <v>40781</v>
      </c>
      <c r="D1581" s="9" t="s">
        <v>45370</v>
      </c>
      <c r="E1581" s="61">
        <v>45126.0</v>
      </c>
      <c r="F1581" s="9" t="b">
        <v>1</v>
      </c>
      <c r="G1581" s="9" t="s">
        <v>38801</v>
      </c>
      <c r="H1581" s="9" t="s">
        <v>42560</v>
      </c>
      <c r="I1581" s="9" t="b">
        <v>1</v>
      </c>
    </row>
    <row r="1582" ht="15.75" customHeight="1">
      <c r="A1582" s="9" t="s">
        <v>45371</v>
      </c>
      <c r="B1582" s="9" t="s">
        <v>163</v>
      </c>
      <c r="C1582" s="9" t="s">
        <v>40785</v>
      </c>
      <c r="D1582" s="9" t="s">
        <v>45370</v>
      </c>
      <c r="E1582" s="61">
        <v>45126.0</v>
      </c>
      <c r="F1582" s="9" t="b">
        <v>1</v>
      </c>
      <c r="G1582" s="9" t="s">
        <v>38801</v>
      </c>
      <c r="H1582" s="9" t="s">
        <v>42560</v>
      </c>
      <c r="I1582" s="9" t="b">
        <v>1</v>
      </c>
    </row>
    <row r="1583" ht="15.75" customHeight="1">
      <c r="A1583" s="9" t="s">
        <v>45372</v>
      </c>
      <c r="B1583" s="9" t="s">
        <v>163</v>
      </c>
      <c r="C1583" s="9" t="s">
        <v>40783</v>
      </c>
      <c r="D1583" s="9" t="s">
        <v>45370</v>
      </c>
      <c r="E1583" s="61">
        <v>45126.0</v>
      </c>
      <c r="F1583" s="9" t="b">
        <v>1</v>
      </c>
      <c r="G1583" s="9" t="s">
        <v>38801</v>
      </c>
      <c r="H1583" s="9" t="s">
        <v>42560</v>
      </c>
      <c r="I1583" s="9" t="b">
        <v>1</v>
      </c>
    </row>
    <row r="1584" ht="15.75" customHeight="1">
      <c r="A1584" s="9" t="s">
        <v>45373</v>
      </c>
      <c r="B1584" s="9" t="s">
        <v>163</v>
      </c>
      <c r="C1584" s="9" t="s">
        <v>40795</v>
      </c>
      <c r="D1584" s="9" t="s">
        <v>45370</v>
      </c>
      <c r="E1584" s="61">
        <v>45126.0</v>
      </c>
      <c r="F1584" s="9" t="b">
        <v>1</v>
      </c>
      <c r="G1584" s="9" t="s">
        <v>38801</v>
      </c>
      <c r="H1584" s="9" t="s">
        <v>42560</v>
      </c>
      <c r="I1584" s="9" t="b">
        <v>1</v>
      </c>
    </row>
    <row r="1585" ht="15.75" customHeight="1">
      <c r="A1585" s="9" t="s">
        <v>45374</v>
      </c>
      <c r="B1585" s="9" t="s">
        <v>163</v>
      </c>
      <c r="C1585" s="9" t="s">
        <v>40793</v>
      </c>
      <c r="D1585" s="9" t="s">
        <v>45370</v>
      </c>
      <c r="E1585" s="61">
        <v>45126.0</v>
      </c>
      <c r="F1585" s="9" t="b">
        <v>1</v>
      </c>
      <c r="G1585" s="9" t="s">
        <v>38801</v>
      </c>
      <c r="H1585" s="9" t="s">
        <v>42560</v>
      </c>
      <c r="I1585" s="9" t="b">
        <v>1</v>
      </c>
    </row>
    <row r="1586" ht="15.75" customHeight="1">
      <c r="A1586" s="9" t="s">
        <v>45375</v>
      </c>
      <c r="B1586" s="9" t="s">
        <v>163</v>
      </c>
      <c r="C1586" s="9" t="s">
        <v>40791</v>
      </c>
      <c r="D1586" s="9" t="s">
        <v>45370</v>
      </c>
      <c r="E1586" s="61">
        <v>45126.0</v>
      </c>
      <c r="F1586" s="9" t="b">
        <v>1</v>
      </c>
      <c r="G1586" s="9" t="s">
        <v>38801</v>
      </c>
      <c r="H1586" s="9" t="s">
        <v>42560</v>
      </c>
      <c r="I1586" s="9" t="b">
        <v>1</v>
      </c>
    </row>
    <row r="1587" ht="15.75" customHeight="1">
      <c r="A1587" s="9" t="s">
        <v>45376</v>
      </c>
      <c r="B1587" s="9" t="s">
        <v>163</v>
      </c>
      <c r="C1587" s="9" t="s">
        <v>40799</v>
      </c>
      <c r="D1587" s="9" t="s">
        <v>45370</v>
      </c>
      <c r="E1587" s="61">
        <v>45126.0</v>
      </c>
      <c r="F1587" s="9" t="b">
        <v>1</v>
      </c>
      <c r="G1587" s="9" t="s">
        <v>38801</v>
      </c>
      <c r="H1587" s="9" t="s">
        <v>42560</v>
      </c>
      <c r="I1587" s="9" t="b">
        <v>1</v>
      </c>
    </row>
    <row r="1588" ht="15.75" customHeight="1">
      <c r="A1588" s="9" t="s">
        <v>45377</v>
      </c>
      <c r="B1588" s="9" t="s">
        <v>163</v>
      </c>
      <c r="C1588" s="9" t="s">
        <v>40797</v>
      </c>
      <c r="D1588" s="9" t="s">
        <v>45370</v>
      </c>
      <c r="E1588" s="61">
        <v>45126.0</v>
      </c>
      <c r="F1588" s="9" t="b">
        <v>1</v>
      </c>
      <c r="G1588" s="9" t="s">
        <v>38801</v>
      </c>
      <c r="H1588" s="9" t="s">
        <v>42560</v>
      </c>
      <c r="I1588" s="9" t="b">
        <v>1</v>
      </c>
    </row>
    <row r="1589" ht="15.75" customHeight="1">
      <c r="A1589" s="9" t="s">
        <v>45378</v>
      </c>
      <c r="B1589" s="9" t="s">
        <v>163</v>
      </c>
      <c r="C1589" s="9" t="s">
        <v>40815</v>
      </c>
      <c r="D1589" s="9" t="s">
        <v>45370</v>
      </c>
      <c r="E1589" s="61">
        <v>45126.0</v>
      </c>
      <c r="F1589" s="9" t="b">
        <v>1</v>
      </c>
      <c r="G1589" s="9" t="s">
        <v>38801</v>
      </c>
      <c r="H1589" s="9" t="s">
        <v>42560</v>
      </c>
      <c r="I1589" s="9" t="b">
        <v>1</v>
      </c>
    </row>
    <row r="1590" ht="15.75" customHeight="1">
      <c r="A1590" s="9" t="s">
        <v>45379</v>
      </c>
      <c r="B1590" s="9" t="s">
        <v>163</v>
      </c>
      <c r="C1590" s="9" t="s">
        <v>40817</v>
      </c>
      <c r="D1590" s="9" t="s">
        <v>45370</v>
      </c>
      <c r="E1590" s="61">
        <v>45126.0</v>
      </c>
      <c r="F1590" s="9" t="b">
        <v>1</v>
      </c>
      <c r="G1590" s="9" t="s">
        <v>38801</v>
      </c>
      <c r="H1590" s="9" t="s">
        <v>42560</v>
      </c>
      <c r="I1590" s="9" t="b">
        <v>1</v>
      </c>
    </row>
    <row r="1591" ht="15.75" customHeight="1">
      <c r="A1591" s="9" t="s">
        <v>45380</v>
      </c>
      <c r="B1591" s="9" t="s">
        <v>163</v>
      </c>
      <c r="C1591" s="9" t="s">
        <v>40861</v>
      </c>
      <c r="D1591" s="9" t="s">
        <v>45370</v>
      </c>
      <c r="E1591" s="61">
        <v>45126.0</v>
      </c>
      <c r="F1591" s="9" t="b">
        <v>1</v>
      </c>
      <c r="G1591" s="9" t="s">
        <v>38801</v>
      </c>
      <c r="H1591" s="9" t="s">
        <v>42560</v>
      </c>
      <c r="I1591" s="9" t="b">
        <v>1</v>
      </c>
    </row>
    <row r="1592" ht="15.75" customHeight="1">
      <c r="A1592" s="9" t="s">
        <v>45381</v>
      </c>
      <c r="B1592" s="9" t="s">
        <v>163</v>
      </c>
      <c r="C1592" s="9" t="s">
        <v>40887</v>
      </c>
      <c r="D1592" s="9" t="s">
        <v>45370</v>
      </c>
      <c r="E1592" s="61">
        <v>45126.0</v>
      </c>
      <c r="F1592" s="9" t="b">
        <v>1</v>
      </c>
      <c r="G1592" s="9" t="s">
        <v>38801</v>
      </c>
      <c r="H1592" s="9" t="s">
        <v>42560</v>
      </c>
      <c r="I1592" s="9" t="b">
        <v>1</v>
      </c>
    </row>
    <row r="1593" ht="15.75" customHeight="1">
      <c r="A1593" s="9" t="s">
        <v>45382</v>
      </c>
      <c r="B1593" s="9" t="s">
        <v>163</v>
      </c>
      <c r="C1593" s="9" t="s">
        <v>40891</v>
      </c>
      <c r="D1593" s="9" t="s">
        <v>45370</v>
      </c>
      <c r="E1593" s="61">
        <v>45126.0</v>
      </c>
      <c r="F1593" s="9" t="b">
        <v>1</v>
      </c>
      <c r="G1593" s="9" t="s">
        <v>38801</v>
      </c>
      <c r="H1593" s="9" t="s">
        <v>42560</v>
      </c>
      <c r="I1593" s="9" t="b">
        <v>1</v>
      </c>
    </row>
    <row r="1594" ht="15.75" customHeight="1">
      <c r="A1594" s="9" t="s">
        <v>45383</v>
      </c>
      <c r="B1594" s="9" t="s">
        <v>163</v>
      </c>
      <c r="C1594" s="9" t="s">
        <v>40888</v>
      </c>
      <c r="D1594" s="9" t="s">
        <v>45370</v>
      </c>
      <c r="E1594" s="61">
        <v>45126.0</v>
      </c>
      <c r="F1594" s="9" t="b">
        <v>1</v>
      </c>
      <c r="G1594" s="9" t="s">
        <v>38801</v>
      </c>
      <c r="H1594" s="9" t="s">
        <v>42560</v>
      </c>
      <c r="I1594" s="9" t="b">
        <v>1</v>
      </c>
    </row>
    <row r="1595" ht="15.75" customHeight="1">
      <c r="A1595" s="9" t="s">
        <v>45384</v>
      </c>
      <c r="B1595" s="9" t="s">
        <v>163</v>
      </c>
      <c r="C1595" s="9" t="s">
        <v>40886</v>
      </c>
      <c r="D1595" s="9" t="s">
        <v>45370</v>
      </c>
      <c r="E1595" s="61">
        <v>45126.0</v>
      </c>
      <c r="F1595" s="9" t="b">
        <v>1</v>
      </c>
      <c r="G1595" s="9" t="s">
        <v>38801</v>
      </c>
      <c r="H1595" s="9" t="s">
        <v>42560</v>
      </c>
      <c r="I1595" s="9" t="b">
        <v>1</v>
      </c>
    </row>
    <row r="1596" ht="15.75" customHeight="1">
      <c r="A1596" s="9" t="s">
        <v>45385</v>
      </c>
      <c r="B1596" s="9" t="s">
        <v>163</v>
      </c>
      <c r="C1596" s="9" t="s">
        <v>40884</v>
      </c>
      <c r="D1596" s="9" t="s">
        <v>45370</v>
      </c>
      <c r="E1596" s="61">
        <v>45126.0</v>
      </c>
      <c r="F1596" s="9" t="b">
        <v>1</v>
      </c>
      <c r="G1596" s="9" t="s">
        <v>38801</v>
      </c>
      <c r="H1596" s="9" t="s">
        <v>42560</v>
      </c>
      <c r="I1596" s="9" t="b">
        <v>1</v>
      </c>
    </row>
    <row r="1597" ht="15.75" customHeight="1">
      <c r="A1597" s="9" t="s">
        <v>45386</v>
      </c>
      <c r="B1597" s="9" t="s">
        <v>163</v>
      </c>
      <c r="C1597" s="9" t="s">
        <v>40889</v>
      </c>
      <c r="D1597" s="9" t="s">
        <v>45370</v>
      </c>
      <c r="E1597" s="61">
        <v>45126.0</v>
      </c>
      <c r="F1597" s="9" t="b">
        <v>1</v>
      </c>
      <c r="G1597" s="9" t="s">
        <v>38801</v>
      </c>
      <c r="H1597" s="9" t="s">
        <v>42560</v>
      </c>
      <c r="I1597" s="9" t="b">
        <v>1</v>
      </c>
    </row>
    <row r="1598" ht="15.75" customHeight="1">
      <c r="A1598" s="9" t="s">
        <v>45387</v>
      </c>
      <c r="B1598" s="9" t="s">
        <v>163</v>
      </c>
      <c r="C1598" s="9" t="s">
        <v>40871</v>
      </c>
      <c r="D1598" s="9" t="s">
        <v>45370</v>
      </c>
      <c r="E1598" s="61">
        <v>45126.0</v>
      </c>
      <c r="F1598" s="9" t="b">
        <v>1</v>
      </c>
      <c r="G1598" s="9" t="s">
        <v>38801</v>
      </c>
      <c r="H1598" s="9" t="s">
        <v>42560</v>
      </c>
      <c r="I1598" s="9" t="b">
        <v>1</v>
      </c>
    </row>
    <row r="1599" ht="15.75" customHeight="1">
      <c r="A1599" s="9" t="s">
        <v>45388</v>
      </c>
      <c r="B1599" s="9" t="s">
        <v>163</v>
      </c>
      <c r="C1599" s="9" t="s">
        <v>40900</v>
      </c>
      <c r="D1599" s="9" t="s">
        <v>45370</v>
      </c>
      <c r="E1599" s="61">
        <v>45126.0</v>
      </c>
      <c r="F1599" s="9" t="b">
        <v>1</v>
      </c>
      <c r="G1599" s="9" t="s">
        <v>38801</v>
      </c>
      <c r="H1599" s="9" t="s">
        <v>42560</v>
      </c>
      <c r="I1599" s="9" t="b">
        <v>1</v>
      </c>
    </row>
    <row r="1600" ht="15.75" customHeight="1">
      <c r="A1600" s="52" t="s">
        <v>45389</v>
      </c>
      <c r="B1600" s="9" t="s">
        <v>163</v>
      </c>
      <c r="C1600" s="9" t="s">
        <v>40898</v>
      </c>
      <c r="D1600" s="9" t="s">
        <v>45370</v>
      </c>
      <c r="E1600" s="61">
        <v>45126.0</v>
      </c>
      <c r="F1600" s="9" t="b">
        <v>1</v>
      </c>
      <c r="G1600" s="9" t="s">
        <v>38801</v>
      </c>
      <c r="H1600" s="9" t="s">
        <v>42560</v>
      </c>
      <c r="I1600" s="9" t="b">
        <v>1</v>
      </c>
    </row>
    <row r="1601" ht="15.75" customHeight="1">
      <c r="A1601" s="9" t="s">
        <v>45390</v>
      </c>
      <c r="B1601" s="9" t="s">
        <v>131</v>
      </c>
      <c r="C1601" s="9" t="s">
        <v>40548</v>
      </c>
      <c r="D1601" s="9" t="s">
        <v>45391</v>
      </c>
      <c r="E1601" s="61">
        <v>45126.0</v>
      </c>
      <c r="F1601" s="9" t="b">
        <v>1</v>
      </c>
      <c r="G1601" s="9" t="s">
        <v>38801</v>
      </c>
      <c r="H1601" s="9" t="s">
        <v>42576</v>
      </c>
      <c r="I1601" s="9" t="b">
        <v>1</v>
      </c>
    </row>
    <row r="1602" ht="15.75" customHeight="1">
      <c r="A1602" s="9" t="s">
        <v>45392</v>
      </c>
      <c r="B1602" s="9" t="s">
        <v>47</v>
      </c>
      <c r="C1602" s="9" t="s">
        <v>40977</v>
      </c>
      <c r="D1602" s="9" t="s">
        <v>45393</v>
      </c>
      <c r="E1602" s="61">
        <v>45126.0</v>
      </c>
      <c r="F1602" s="9" t="b">
        <v>1</v>
      </c>
      <c r="G1602" s="9" t="s">
        <v>38801</v>
      </c>
      <c r="H1602" s="9" t="s">
        <v>42560</v>
      </c>
      <c r="I1602" s="9" t="b">
        <v>1</v>
      </c>
    </row>
    <row r="1603" ht="15.75" customHeight="1">
      <c r="A1603" s="9" t="s">
        <v>45394</v>
      </c>
      <c r="B1603" s="9" t="s">
        <v>47</v>
      </c>
      <c r="C1603" s="9" t="s">
        <v>40975</v>
      </c>
      <c r="D1603" s="9" t="s">
        <v>45395</v>
      </c>
      <c r="E1603" s="61">
        <v>45126.0</v>
      </c>
      <c r="F1603" s="9" t="b">
        <v>1</v>
      </c>
      <c r="G1603" s="9" t="s">
        <v>38801</v>
      </c>
      <c r="H1603" s="9" t="s">
        <v>42576</v>
      </c>
      <c r="I1603" s="9" t="b">
        <v>1</v>
      </c>
    </row>
    <row r="1604" ht="15.75" customHeight="1">
      <c r="A1604" s="52" t="s">
        <v>45396</v>
      </c>
      <c r="B1604" s="9" t="s">
        <v>52</v>
      </c>
      <c r="C1604" s="9" t="s">
        <v>40984</v>
      </c>
      <c r="D1604" s="9" t="s">
        <v>45397</v>
      </c>
      <c r="E1604" s="61">
        <v>45126.0</v>
      </c>
      <c r="F1604" s="9" t="b">
        <v>1</v>
      </c>
      <c r="G1604" s="9" t="s">
        <v>43228</v>
      </c>
      <c r="H1604" s="9" t="s">
        <v>42560</v>
      </c>
      <c r="I1604" s="9"/>
    </row>
    <row r="1605" ht="15.75" customHeight="1">
      <c r="A1605" s="9" t="s">
        <v>45398</v>
      </c>
      <c r="B1605" s="9" t="s">
        <v>47</v>
      </c>
      <c r="C1605" s="9" t="s">
        <v>40809</v>
      </c>
      <c r="D1605" s="9" t="s">
        <v>45399</v>
      </c>
      <c r="E1605" s="61">
        <v>45127.0</v>
      </c>
      <c r="F1605" s="9" t="b">
        <v>1</v>
      </c>
      <c r="G1605" s="9" t="s">
        <v>38801</v>
      </c>
      <c r="H1605" s="9" t="s">
        <v>42560</v>
      </c>
      <c r="I1605" s="9" t="b">
        <v>1</v>
      </c>
    </row>
    <row r="1606" ht="15.75" customHeight="1">
      <c r="A1606" s="9" t="s">
        <v>45400</v>
      </c>
      <c r="B1606" s="9" t="s">
        <v>52</v>
      </c>
      <c r="C1606" s="9" t="s">
        <v>40973</v>
      </c>
      <c r="D1606" s="9" t="s">
        <v>45401</v>
      </c>
      <c r="E1606" s="61">
        <v>45128.0</v>
      </c>
      <c r="F1606" s="9" t="b">
        <v>1</v>
      </c>
      <c r="G1606" s="9" t="s">
        <v>38801</v>
      </c>
      <c r="H1606" s="9" t="s">
        <v>42560</v>
      </c>
      <c r="I1606" s="9" t="b">
        <v>1</v>
      </c>
    </row>
    <row r="1607" ht="15.75" customHeight="1">
      <c r="A1607" s="9" t="s">
        <v>45402</v>
      </c>
      <c r="B1607" s="9" t="s">
        <v>47</v>
      </c>
      <c r="C1607" s="9" t="s">
        <v>40997</v>
      </c>
      <c r="D1607" s="9" t="s">
        <v>43724</v>
      </c>
      <c r="E1607" s="61">
        <v>45128.0</v>
      </c>
      <c r="F1607" s="9" t="b">
        <v>1</v>
      </c>
      <c r="G1607" s="9" t="s">
        <v>38801</v>
      </c>
      <c r="H1607" s="9" t="s">
        <v>42576</v>
      </c>
      <c r="I1607" s="9" t="b">
        <v>1</v>
      </c>
    </row>
    <row r="1608" ht="15.75" customHeight="1">
      <c r="A1608" s="9" t="s">
        <v>45403</v>
      </c>
      <c r="B1608" s="9" t="s">
        <v>52</v>
      </c>
      <c r="C1608" s="9" t="s">
        <v>39143</v>
      </c>
      <c r="D1608" s="9" t="s">
        <v>45404</v>
      </c>
      <c r="E1608" s="61">
        <v>45131.0</v>
      </c>
      <c r="F1608" s="9" t="b">
        <v>1</v>
      </c>
      <c r="G1608" s="9" t="s">
        <v>38801</v>
      </c>
      <c r="H1608" s="9" t="s">
        <v>42576</v>
      </c>
      <c r="I1608" s="9" t="b">
        <v>1</v>
      </c>
    </row>
    <row r="1609" ht="15.75" customHeight="1">
      <c r="A1609" s="9" t="s">
        <v>45405</v>
      </c>
      <c r="B1609" s="9" t="s">
        <v>76</v>
      </c>
      <c r="C1609" s="9" t="s">
        <v>40982</v>
      </c>
      <c r="D1609" s="9" t="s">
        <v>45406</v>
      </c>
      <c r="E1609" s="61">
        <v>45132.0</v>
      </c>
      <c r="F1609" s="9" t="b">
        <v>1</v>
      </c>
      <c r="G1609" s="9" t="s">
        <v>38801</v>
      </c>
      <c r="H1609" s="9" t="s">
        <v>42576</v>
      </c>
      <c r="I1609" s="9" t="b">
        <v>1</v>
      </c>
    </row>
    <row r="1610" ht="15.75" customHeight="1">
      <c r="A1610" s="9" t="s">
        <v>45407</v>
      </c>
      <c r="B1610" s="9" t="s">
        <v>47</v>
      </c>
      <c r="C1610" s="9" t="s">
        <v>41000</v>
      </c>
      <c r="D1610" s="9" t="s">
        <v>45408</v>
      </c>
      <c r="E1610" s="61">
        <v>45132.0</v>
      </c>
      <c r="F1610" s="9" t="b">
        <v>1</v>
      </c>
      <c r="G1610" s="9" t="s">
        <v>38801</v>
      </c>
      <c r="H1610" s="9" t="s">
        <v>42576</v>
      </c>
      <c r="I1610" s="9" t="b">
        <v>1</v>
      </c>
    </row>
    <row r="1611" ht="15.75" customHeight="1">
      <c r="A1611" s="9" t="s">
        <v>45409</v>
      </c>
      <c r="B1611" s="9" t="s">
        <v>76</v>
      </c>
      <c r="C1611" s="9" t="s">
        <v>40420</v>
      </c>
      <c r="D1611" s="9" t="s">
        <v>45410</v>
      </c>
      <c r="E1611" s="61">
        <v>45132.0</v>
      </c>
      <c r="F1611" s="9" t="b">
        <v>1</v>
      </c>
      <c r="G1611" s="9" t="s">
        <v>38801</v>
      </c>
      <c r="H1611" s="9" t="s">
        <v>42560</v>
      </c>
      <c r="I1611" s="9" t="b">
        <v>1</v>
      </c>
    </row>
    <row r="1612" ht="15.75" customHeight="1">
      <c r="A1612" s="9" t="s">
        <v>45411</v>
      </c>
      <c r="B1612" s="9" t="s">
        <v>76</v>
      </c>
      <c r="C1612" s="9" t="s">
        <v>40652</v>
      </c>
      <c r="D1612" s="9" t="s">
        <v>45412</v>
      </c>
      <c r="E1612" s="61">
        <v>45132.0</v>
      </c>
      <c r="F1612" s="9" t="b">
        <v>1</v>
      </c>
      <c r="G1612" s="9" t="s">
        <v>38801</v>
      </c>
      <c r="H1612" s="9" t="s">
        <v>42560</v>
      </c>
      <c r="I1612" s="9" t="b">
        <v>1</v>
      </c>
    </row>
    <row r="1613" ht="15.75" customHeight="1">
      <c r="A1613" s="9" t="s">
        <v>45413</v>
      </c>
      <c r="B1613" s="9" t="s">
        <v>76</v>
      </c>
      <c r="C1613" s="9" t="s">
        <v>40685</v>
      </c>
      <c r="D1613" s="9" t="s">
        <v>45414</v>
      </c>
      <c r="E1613" s="61">
        <v>45133.0</v>
      </c>
      <c r="F1613" s="9" t="b">
        <v>1</v>
      </c>
      <c r="G1613" s="9" t="s">
        <v>38801</v>
      </c>
      <c r="H1613" s="9" t="s">
        <v>42560</v>
      </c>
      <c r="I1613" s="9" t="b">
        <v>1</v>
      </c>
    </row>
    <row r="1614" ht="15.75" customHeight="1">
      <c r="A1614" s="9" t="s">
        <v>45415</v>
      </c>
      <c r="B1614" s="9" t="s">
        <v>76</v>
      </c>
      <c r="C1614" s="9" t="s">
        <v>40758</v>
      </c>
      <c r="D1614" s="9" t="s">
        <v>45416</v>
      </c>
      <c r="E1614" s="61">
        <v>45133.0</v>
      </c>
      <c r="F1614" s="9" t="b">
        <v>1</v>
      </c>
      <c r="G1614" s="9" t="s">
        <v>42585</v>
      </c>
      <c r="H1614" s="9" t="s">
        <v>42560</v>
      </c>
      <c r="I1614" s="9"/>
    </row>
    <row r="1615" ht="15.75" customHeight="1">
      <c r="A1615" s="9" t="s">
        <v>45417</v>
      </c>
      <c r="B1615" s="9" t="s">
        <v>76</v>
      </c>
      <c r="C1615" s="9" t="s">
        <v>40949</v>
      </c>
      <c r="D1615" s="9" t="s">
        <v>45418</v>
      </c>
      <c r="E1615" s="61">
        <v>45133.0</v>
      </c>
      <c r="F1615" s="9" t="b">
        <v>1</v>
      </c>
      <c r="G1615" s="9" t="s">
        <v>38801</v>
      </c>
      <c r="H1615" s="9" t="s">
        <v>42576</v>
      </c>
      <c r="I1615" s="9" t="b">
        <v>1</v>
      </c>
    </row>
    <row r="1616" ht="15.75" customHeight="1">
      <c r="A1616" s="9" t="s">
        <v>45419</v>
      </c>
      <c r="B1616" s="9" t="s">
        <v>76</v>
      </c>
      <c r="C1616" s="9" t="s">
        <v>40981</v>
      </c>
      <c r="D1616" s="9" t="s">
        <v>45420</v>
      </c>
      <c r="E1616" s="61">
        <v>45133.0</v>
      </c>
      <c r="F1616" s="9" t="b">
        <v>1</v>
      </c>
      <c r="G1616" s="9" t="s">
        <v>38801</v>
      </c>
      <c r="H1616" s="9" t="s">
        <v>42576</v>
      </c>
      <c r="I1616" s="9" t="b">
        <v>1</v>
      </c>
    </row>
    <row r="1617" ht="15.75" customHeight="1">
      <c r="A1617" s="9" t="s">
        <v>45421</v>
      </c>
      <c r="B1617" s="9" t="s">
        <v>76</v>
      </c>
      <c r="C1617" s="9" t="s">
        <v>40954</v>
      </c>
      <c r="D1617" s="9" t="s">
        <v>45422</v>
      </c>
      <c r="E1617" s="61">
        <v>45133.0</v>
      </c>
      <c r="F1617" s="9" t="b">
        <v>1</v>
      </c>
      <c r="G1617" s="9" t="s">
        <v>38801</v>
      </c>
      <c r="H1617" s="9" t="s">
        <v>42576</v>
      </c>
      <c r="I1617" s="9" t="b">
        <v>1</v>
      </c>
    </row>
    <row r="1618" ht="15.75" customHeight="1">
      <c r="A1618" s="9" t="s">
        <v>45423</v>
      </c>
      <c r="B1618" s="9" t="s">
        <v>52</v>
      </c>
      <c r="C1618" s="9" t="s">
        <v>41002</v>
      </c>
      <c r="D1618" s="9" t="s">
        <v>45424</v>
      </c>
      <c r="E1618" s="61">
        <v>45133.0</v>
      </c>
      <c r="F1618" s="9" t="b">
        <v>1</v>
      </c>
      <c r="G1618" s="9" t="s">
        <v>43228</v>
      </c>
      <c r="H1618" s="9" t="s">
        <v>42576</v>
      </c>
      <c r="I1618" s="9"/>
    </row>
    <row r="1619" ht="15.75" customHeight="1">
      <c r="A1619" s="9" t="s">
        <v>45425</v>
      </c>
      <c r="B1619" s="9" t="s">
        <v>52</v>
      </c>
      <c r="C1619" s="9" t="s">
        <v>41003</v>
      </c>
      <c r="D1619" s="9" t="s">
        <v>45426</v>
      </c>
      <c r="E1619" s="61">
        <v>45135.0</v>
      </c>
      <c r="F1619" s="9" t="b">
        <v>1</v>
      </c>
      <c r="G1619" s="9" t="s">
        <v>38801</v>
      </c>
      <c r="H1619" s="9" t="s">
        <v>42576</v>
      </c>
      <c r="I1619" s="9" t="b">
        <v>1</v>
      </c>
    </row>
    <row r="1620" ht="15.75" customHeight="1">
      <c r="A1620" s="9" t="s">
        <v>45427</v>
      </c>
      <c r="B1620" s="9" t="s">
        <v>52</v>
      </c>
      <c r="C1620" s="9" t="s">
        <v>40954</v>
      </c>
      <c r="D1620" s="9" t="s">
        <v>45428</v>
      </c>
      <c r="E1620" s="61">
        <v>45135.0</v>
      </c>
      <c r="F1620" s="9" t="b">
        <v>1</v>
      </c>
      <c r="G1620" s="9" t="s">
        <v>38801</v>
      </c>
      <c r="H1620" s="9" t="s">
        <v>42576</v>
      </c>
      <c r="I1620" s="9" t="b">
        <v>1</v>
      </c>
    </row>
    <row r="1621" ht="15.75" customHeight="1">
      <c r="A1621" s="9" t="s">
        <v>45429</v>
      </c>
      <c r="B1621" s="9" t="s">
        <v>52</v>
      </c>
      <c r="C1621" s="9" t="s">
        <v>41005</v>
      </c>
      <c r="D1621" s="9" t="s">
        <v>45430</v>
      </c>
      <c r="E1621" s="61">
        <v>45135.0</v>
      </c>
      <c r="F1621" s="9" t="b">
        <v>1</v>
      </c>
      <c r="G1621" s="9" t="s">
        <v>38801</v>
      </c>
      <c r="H1621" s="9" t="s">
        <v>42576</v>
      </c>
      <c r="I1621" s="9" t="b">
        <v>1</v>
      </c>
    </row>
    <row r="1622" ht="15.75" customHeight="1">
      <c r="A1622" s="9" t="s">
        <v>45431</v>
      </c>
      <c r="B1622" s="9" t="s">
        <v>52</v>
      </c>
      <c r="C1622" s="9" t="s">
        <v>41002</v>
      </c>
      <c r="D1622" s="9" t="s">
        <v>45432</v>
      </c>
      <c r="E1622" s="61">
        <v>45139.0</v>
      </c>
      <c r="F1622" s="9" t="b">
        <v>1</v>
      </c>
      <c r="G1622" s="9" t="s">
        <v>38801</v>
      </c>
      <c r="H1622" s="9" t="s">
        <v>42576</v>
      </c>
      <c r="I1622" s="9" t="b">
        <v>1</v>
      </c>
    </row>
    <row r="1623" ht="15.75" customHeight="1">
      <c r="A1623" s="9" t="s">
        <v>45433</v>
      </c>
      <c r="B1623" s="9" t="s">
        <v>47</v>
      </c>
      <c r="C1623" s="9" t="s">
        <v>41007</v>
      </c>
      <c r="D1623" s="9" t="s">
        <v>45434</v>
      </c>
      <c r="E1623" s="61">
        <v>45142.0</v>
      </c>
      <c r="F1623" s="9" t="b">
        <v>1</v>
      </c>
      <c r="G1623" s="9" t="s">
        <v>38801</v>
      </c>
      <c r="H1623" s="9" t="s">
        <v>42576</v>
      </c>
      <c r="I1623" s="9" t="b">
        <v>1</v>
      </c>
    </row>
    <row r="1624" ht="15.75" customHeight="1">
      <c r="A1624" s="9" t="s">
        <v>45435</v>
      </c>
      <c r="B1624" s="9" t="s">
        <v>131</v>
      </c>
      <c r="C1624" s="9" t="s">
        <v>40945</v>
      </c>
      <c r="D1624" s="9" t="s">
        <v>45436</v>
      </c>
      <c r="E1624" s="61">
        <v>45142.0</v>
      </c>
      <c r="F1624" s="9" t="b">
        <v>1</v>
      </c>
      <c r="G1624" s="9" t="s">
        <v>43228</v>
      </c>
      <c r="H1624" s="9" t="s">
        <v>42560</v>
      </c>
      <c r="I1624" s="9"/>
    </row>
    <row r="1625" ht="15.75" customHeight="1">
      <c r="A1625" s="9" t="s">
        <v>45437</v>
      </c>
      <c r="B1625" s="9" t="s">
        <v>26</v>
      </c>
      <c r="C1625" s="9" t="s">
        <v>40984</v>
      </c>
      <c r="D1625" s="9" t="s">
        <v>45438</v>
      </c>
      <c r="E1625" s="61">
        <v>45146.0</v>
      </c>
      <c r="F1625" s="9" t="b">
        <v>1</v>
      </c>
      <c r="G1625" s="9" t="s">
        <v>42573</v>
      </c>
      <c r="H1625" s="9" t="s">
        <v>42560</v>
      </c>
      <c r="I1625" s="9"/>
    </row>
    <row r="1626" ht="15.75" customHeight="1">
      <c r="A1626" s="9" t="s">
        <v>45439</v>
      </c>
      <c r="B1626" s="9" t="s">
        <v>26</v>
      </c>
      <c r="C1626" s="9" t="s">
        <v>39765</v>
      </c>
      <c r="D1626" s="9" t="s">
        <v>45440</v>
      </c>
      <c r="E1626" s="61">
        <v>45146.0</v>
      </c>
      <c r="F1626" s="9" t="b">
        <v>1</v>
      </c>
      <c r="G1626" s="9" t="s">
        <v>43228</v>
      </c>
      <c r="H1626" s="9" t="s">
        <v>42560</v>
      </c>
      <c r="I1626" s="9"/>
    </row>
    <row r="1627" ht="15.75" customHeight="1">
      <c r="A1627" s="9" t="s">
        <v>45441</v>
      </c>
      <c r="B1627" s="9" t="s">
        <v>26</v>
      </c>
      <c r="C1627" s="9" t="s">
        <v>40994</v>
      </c>
      <c r="D1627" s="9" t="s">
        <v>45442</v>
      </c>
      <c r="E1627" s="61">
        <v>45146.0</v>
      </c>
      <c r="F1627" s="9" t="b">
        <v>1</v>
      </c>
      <c r="G1627" s="9" t="s">
        <v>42573</v>
      </c>
      <c r="H1627" s="9" t="s">
        <v>42560</v>
      </c>
      <c r="I1627" s="9"/>
    </row>
    <row r="1628" ht="15.75" customHeight="1">
      <c r="A1628" s="9" t="s">
        <v>45443</v>
      </c>
      <c r="B1628" s="9" t="s">
        <v>76</v>
      </c>
      <c r="C1628" s="9" t="s">
        <v>40625</v>
      </c>
      <c r="D1628" s="9" t="s">
        <v>45444</v>
      </c>
      <c r="E1628" s="61">
        <v>45148.0</v>
      </c>
      <c r="F1628" s="9" t="b">
        <v>1</v>
      </c>
      <c r="G1628" s="9" t="s">
        <v>38801</v>
      </c>
      <c r="H1628" s="9" t="s">
        <v>42576</v>
      </c>
      <c r="I1628" s="9" t="b">
        <v>1</v>
      </c>
    </row>
    <row r="1629" ht="15.75" customHeight="1">
      <c r="A1629" s="9" t="s">
        <v>45445</v>
      </c>
      <c r="B1629" s="9" t="s">
        <v>131</v>
      </c>
      <c r="C1629" s="9" t="s">
        <v>41011</v>
      </c>
      <c r="D1629" s="9" t="s">
        <v>45446</v>
      </c>
      <c r="E1629" s="61">
        <v>45148.0</v>
      </c>
      <c r="F1629" s="9" t="b">
        <v>1</v>
      </c>
      <c r="G1629" s="9" t="s">
        <v>38801</v>
      </c>
      <c r="H1629" s="9" t="s">
        <v>42576</v>
      </c>
      <c r="I1629" s="9" t="b">
        <v>1</v>
      </c>
    </row>
    <row r="1630" ht="15.75" customHeight="1">
      <c r="A1630" s="9" t="s">
        <v>45447</v>
      </c>
      <c r="B1630" s="9" t="s">
        <v>47</v>
      </c>
      <c r="C1630" s="9" t="s">
        <v>40576</v>
      </c>
      <c r="D1630" s="9" t="s">
        <v>45448</v>
      </c>
      <c r="E1630" s="61">
        <v>45149.0</v>
      </c>
      <c r="F1630" s="9" t="b">
        <v>1</v>
      </c>
      <c r="G1630" s="9" t="s">
        <v>43228</v>
      </c>
      <c r="H1630" s="9" t="s">
        <v>42576</v>
      </c>
      <c r="I1630" s="9"/>
    </row>
    <row r="1631" ht="15.75" customHeight="1">
      <c r="A1631" s="9" t="s">
        <v>45449</v>
      </c>
      <c r="B1631" s="9" t="s">
        <v>47</v>
      </c>
      <c r="C1631" s="9" t="s">
        <v>41013</v>
      </c>
      <c r="D1631" s="9" t="s">
        <v>45450</v>
      </c>
      <c r="E1631" s="61">
        <v>45149.0</v>
      </c>
      <c r="F1631" s="9" t="b">
        <v>1</v>
      </c>
      <c r="G1631" s="9" t="s">
        <v>43228</v>
      </c>
      <c r="H1631" s="9" t="s">
        <v>42560</v>
      </c>
      <c r="I1631" s="9"/>
    </row>
    <row r="1632" ht="15.75" customHeight="1">
      <c r="A1632" s="9" t="s">
        <v>45451</v>
      </c>
      <c r="B1632" s="9" t="s">
        <v>131</v>
      </c>
      <c r="C1632" s="9" t="s">
        <v>40576</v>
      </c>
      <c r="D1632" s="9" t="s">
        <v>45452</v>
      </c>
      <c r="E1632" s="61">
        <v>45152.0</v>
      </c>
      <c r="F1632" s="9" t="b">
        <v>1</v>
      </c>
      <c r="G1632" s="9" t="s">
        <v>42573</v>
      </c>
      <c r="H1632" s="9" t="s">
        <v>42560</v>
      </c>
      <c r="I1632" s="9"/>
    </row>
    <row r="1633" ht="15.75" customHeight="1">
      <c r="A1633" s="9" t="s">
        <v>45453</v>
      </c>
      <c r="B1633" s="9" t="s">
        <v>131</v>
      </c>
      <c r="C1633" s="9" t="s">
        <v>41017</v>
      </c>
      <c r="D1633" s="9" t="s">
        <v>45454</v>
      </c>
      <c r="E1633" s="61">
        <v>45152.0</v>
      </c>
      <c r="F1633" s="9" t="b">
        <v>1</v>
      </c>
      <c r="G1633" s="9" t="s">
        <v>38801</v>
      </c>
      <c r="H1633" s="9" t="s">
        <v>42576</v>
      </c>
      <c r="I1633" s="9" t="b">
        <v>1</v>
      </c>
    </row>
    <row r="1634" ht="15.75" customHeight="1">
      <c r="A1634" s="9" t="s">
        <v>45455</v>
      </c>
      <c r="B1634" s="9" t="s">
        <v>52</v>
      </c>
      <c r="C1634" s="9" t="s">
        <v>39693</v>
      </c>
      <c r="D1634" s="9" t="s">
        <v>45456</v>
      </c>
      <c r="E1634" s="61">
        <v>45152.0</v>
      </c>
      <c r="F1634" s="9" t="b">
        <v>1</v>
      </c>
      <c r="G1634" s="9" t="s">
        <v>38801</v>
      </c>
      <c r="H1634" s="9" t="s">
        <v>42576</v>
      </c>
      <c r="I1634" s="9" t="b">
        <v>1</v>
      </c>
    </row>
    <row r="1635" ht="15.75" customHeight="1">
      <c r="A1635" s="9" t="s">
        <v>45457</v>
      </c>
      <c r="B1635" s="9" t="s">
        <v>131</v>
      </c>
      <c r="C1635" s="9" t="s">
        <v>40945</v>
      </c>
      <c r="D1635" s="9" t="s">
        <v>45458</v>
      </c>
      <c r="E1635" s="61">
        <v>45152.0</v>
      </c>
      <c r="F1635" s="9" t="b">
        <v>1</v>
      </c>
      <c r="G1635" s="9" t="s">
        <v>38801</v>
      </c>
      <c r="H1635" s="9" t="s">
        <v>42576</v>
      </c>
      <c r="I1635" s="9" t="b">
        <v>1</v>
      </c>
    </row>
    <row r="1636" ht="15.75" customHeight="1">
      <c r="A1636" s="9" t="s">
        <v>45459</v>
      </c>
      <c r="B1636" s="9" t="s">
        <v>52</v>
      </c>
      <c r="C1636" s="9" t="s">
        <v>39457</v>
      </c>
      <c r="D1636" s="9" t="s">
        <v>45460</v>
      </c>
      <c r="E1636" s="61">
        <v>45152.0</v>
      </c>
      <c r="F1636" s="9" t="b">
        <v>1</v>
      </c>
      <c r="G1636" s="9" t="s">
        <v>38801</v>
      </c>
      <c r="H1636" s="9" t="s">
        <v>42560</v>
      </c>
      <c r="I1636" s="9" t="b">
        <v>1</v>
      </c>
    </row>
    <row r="1637" ht="15.75" customHeight="1">
      <c r="A1637" s="9" t="s">
        <v>45461</v>
      </c>
      <c r="B1637" s="9" t="s">
        <v>52</v>
      </c>
      <c r="C1637" s="9" t="s">
        <v>39705</v>
      </c>
      <c r="D1637" s="9" t="s">
        <v>44210</v>
      </c>
      <c r="E1637" s="61">
        <v>45154.0</v>
      </c>
      <c r="F1637" s="9" t="b">
        <v>1</v>
      </c>
      <c r="G1637" s="9" t="s">
        <v>38801</v>
      </c>
      <c r="H1637" s="9" t="s">
        <v>42576</v>
      </c>
      <c r="I1637" s="9" t="b">
        <v>1</v>
      </c>
    </row>
    <row r="1638" ht="15.75" customHeight="1">
      <c r="A1638" s="9" t="s">
        <v>45462</v>
      </c>
      <c r="B1638" s="9" t="s">
        <v>52</v>
      </c>
      <c r="C1638" s="9" t="s">
        <v>39281</v>
      </c>
      <c r="D1638" s="9" t="s">
        <v>45463</v>
      </c>
      <c r="E1638" s="61">
        <v>45154.0</v>
      </c>
      <c r="F1638" s="9" t="b">
        <v>1</v>
      </c>
      <c r="G1638" s="9" t="s">
        <v>38801</v>
      </c>
      <c r="H1638" s="9" t="s">
        <v>42576</v>
      </c>
      <c r="I1638" s="9" t="b">
        <v>1</v>
      </c>
    </row>
    <row r="1639" ht="15.75" customHeight="1">
      <c r="A1639" s="9" t="s">
        <v>45464</v>
      </c>
      <c r="B1639" s="9" t="s">
        <v>52</v>
      </c>
      <c r="C1639" s="9" t="s">
        <v>39167</v>
      </c>
      <c r="D1639" s="9" t="s">
        <v>44210</v>
      </c>
      <c r="E1639" s="61">
        <v>45154.0</v>
      </c>
      <c r="F1639" s="9" t="b">
        <v>1</v>
      </c>
      <c r="G1639" s="9" t="s">
        <v>38801</v>
      </c>
      <c r="H1639" s="9" t="s">
        <v>42576</v>
      </c>
      <c r="I1639" s="9" t="b">
        <v>1</v>
      </c>
    </row>
    <row r="1640" ht="15.75" customHeight="1">
      <c r="A1640" s="9" t="s">
        <v>45465</v>
      </c>
      <c r="B1640" s="9" t="s">
        <v>26</v>
      </c>
      <c r="C1640" s="9" t="s">
        <v>41015</v>
      </c>
      <c r="D1640" s="9" t="s">
        <v>45466</v>
      </c>
      <c r="E1640" s="61">
        <v>45154.0</v>
      </c>
      <c r="F1640" s="9" t="b">
        <v>1</v>
      </c>
      <c r="G1640" s="9" t="s">
        <v>38801</v>
      </c>
      <c r="H1640" s="9" t="s">
        <v>42560</v>
      </c>
      <c r="I1640" s="9" t="b">
        <v>1</v>
      </c>
    </row>
    <row r="1641" ht="15.75" customHeight="1">
      <c r="A1641" s="9" t="s">
        <v>45467</v>
      </c>
      <c r="B1641" s="9" t="s">
        <v>26</v>
      </c>
      <c r="C1641" s="52" t="s">
        <v>40636</v>
      </c>
      <c r="D1641" s="9" t="s">
        <v>45468</v>
      </c>
      <c r="E1641" s="61">
        <v>45154.0</v>
      </c>
      <c r="F1641" s="9" t="b">
        <v>1</v>
      </c>
      <c r="G1641" s="9" t="s">
        <v>38801</v>
      </c>
      <c r="H1641" s="9" t="s">
        <v>42560</v>
      </c>
      <c r="I1641" s="9" t="b">
        <v>1</v>
      </c>
    </row>
    <row r="1642" ht="15.75" customHeight="1">
      <c r="A1642" s="9" t="s">
        <v>45469</v>
      </c>
      <c r="B1642" s="9" t="s">
        <v>26</v>
      </c>
      <c r="C1642" s="9" t="s">
        <v>40984</v>
      </c>
      <c r="D1642" s="9" t="s">
        <v>45470</v>
      </c>
      <c r="E1642" s="61">
        <v>45154.0</v>
      </c>
      <c r="F1642" s="9" t="b">
        <v>1</v>
      </c>
      <c r="G1642" s="9" t="s">
        <v>43228</v>
      </c>
      <c r="H1642" s="9" t="s">
        <v>42560</v>
      </c>
      <c r="I1642" s="9"/>
    </row>
    <row r="1643" ht="15.75" customHeight="1">
      <c r="A1643" s="9" t="s">
        <v>45471</v>
      </c>
      <c r="B1643" s="9" t="s">
        <v>76</v>
      </c>
      <c r="C1643" s="9" t="s">
        <v>41019</v>
      </c>
      <c r="D1643" s="9" t="s">
        <v>45472</v>
      </c>
      <c r="E1643" s="61">
        <v>45155.0</v>
      </c>
      <c r="F1643" s="9" t="b">
        <v>1</v>
      </c>
      <c r="G1643" s="9" t="s">
        <v>42573</v>
      </c>
      <c r="H1643" s="9" t="s">
        <v>42576</v>
      </c>
      <c r="I1643" s="9"/>
    </row>
    <row r="1644" ht="15.75" customHeight="1">
      <c r="A1644" s="9" t="s">
        <v>45473</v>
      </c>
      <c r="B1644" s="9" t="s">
        <v>52</v>
      </c>
      <c r="C1644" s="9" t="s">
        <v>39648</v>
      </c>
      <c r="D1644" s="9" t="s">
        <v>45474</v>
      </c>
      <c r="E1644" s="61">
        <v>45156.0</v>
      </c>
      <c r="F1644" s="9" t="b">
        <v>1</v>
      </c>
      <c r="G1644" s="9" t="s">
        <v>38801</v>
      </c>
      <c r="H1644" s="9" t="s">
        <v>42576</v>
      </c>
      <c r="I1644" s="9" t="b">
        <v>1</v>
      </c>
    </row>
    <row r="1645" ht="15.75" customHeight="1">
      <c r="A1645" s="9" t="s">
        <v>45475</v>
      </c>
      <c r="B1645" s="9" t="s">
        <v>47</v>
      </c>
      <c r="C1645" s="9" t="s">
        <v>38815</v>
      </c>
      <c r="D1645" s="9" t="s">
        <v>42843</v>
      </c>
      <c r="E1645" s="61">
        <v>45156.0</v>
      </c>
      <c r="F1645" s="9" t="b">
        <v>1</v>
      </c>
      <c r="G1645" s="9" t="s">
        <v>38801</v>
      </c>
      <c r="H1645" s="9" t="s">
        <v>42560</v>
      </c>
      <c r="I1645" s="9" t="b">
        <v>1</v>
      </c>
    </row>
    <row r="1646" ht="15.75" customHeight="1">
      <c r="A1646" s="9" t="s">
        <v>45476</v>
      </c>
      <c r="B1646" s="9" t="s">
        <v>47</v>
      </c>
      <c r="C1646" s="9" t="s">
        <v>41025</v>
      </c>
      <c r="D1646" s="9" t="s">
        <v>43724</v>
      </c>
      <c r="E1646" s="61">
        <v>45156.0</v>
      </c>
      <c r="F1646" s="9" t="b">
        <v>1</v>
      </c>
      <c r="G1646" s="9" t="s">
        <v>38801</v>
      </c>
      <c r="H1646" s="9" t="s">
        <v>42576</v>
      </c>
      <c r="I1646" s="9" t="b">
        <v>1</v>
      </c>
    </row>
    <row r="1647" ht="15.75" customHeight="1">
      <c r="A1647" s="9" t="s">
        <v>45477</v>
      </c>
      <c r="B1647" s="9" t="s">
        <v>47</v>
      </c>
      <c r="C1647" s="9" t="s">
        <v>40576</v>
      </c>
      <c r="D1647" s="9" t="s">
        <v>45478</v>
      </c>
      <c r="E1647" s="61">
        <v>45156.0</v>
      </c>
      <c r="F1647" s="9" t="b">
        <v>1</v>
      </c>
      <c r="G1647" s="9" t="s">
        <v>38801</v>
      </c>
      <c r="H1647" s="9" t="s">
        <v>42560</v>
      </c>
      <c r="I1647" s="9" t="b">
        <v>1</v>
      </c>
    </row>
    <row r="1648" ht="15.75" customHeight="1">
      <c r="A1648" s="9" t="s">
        <v>45479</v>
      </c>
      <c r="B1648" s="9" t="s">
        <v>52</v>
      </c>
      <c r="C1648" s="9" t="s">
        <v>41031</v>
      </c>
      <c r="D1648" s="9" t="s">
        <v>45480</v>
      </c>
      <c r="E1648" s="61">
        <v>45156.0</v>
      </c>
      <c r="F1648" s="9" t="b">
        <v>1</v>
      </c>
      <c r="G1648" s="9" t="s">
        <v>38801</v>
      </c>
      <c r="H1648" s="9" t="s">
        <v>42576</v>
      </c>
      <c r="I1648" s="9" t="b">
        <v>1</v>
      </c>
    </row>
    <row r="1649" ht="15.75" customHeight="1">
      <c r="A1649" s="9" t="s">
        <v>45481</v>
      </c>
      <c r="B1649" s="9" t="s">
        <v>52</v>
      </c>
      <c r="C1649" s="9" t="s">
        <v>41030</v>
      </c>
      <c r="D1649" s="9" t="s">
        <v>45482</v>
      </c>
      <c r="E1649" s="61">
        <v>45156.0</v>
      </c>
      <c r="F1649" s="9" t="b">
        <v>1</v>
      </c>
      <c r="G1649" s="9" t="s">
        <v>38801</v>
      </c>
      <c r="H1649" s="9" t="s">
        <v>42560</v>
      </c>
      <c r="I1649" s="9" t="b">
        <v>1</v>
      </c>
    </row>
    <row r="1650" ht="15.75" customHeight="1">
      <c r="A1650" s="9" t="s">
        <v>45483</v>
      </c>
      <c r="B1650" s="9" t="s">
        <v>47</v>
      </c>
      <c r="C1650" s="9" t="s">
        <v>41037</v>
      </c>
      <c r="D1650" s="9" t="s">
        <v>43724</v>
      </c>
      <c r="E1650" s="61">
        <v>45163.0</v>
      </c>
      <c r="F1650" s="9" t="b">
        <v>1</v>
      </c>
      <c r="G1650" s="9" t="s">
        <v>38801</v>
      </c>
      <c r="H1650" s="9" t="s">
        <v>42576</v>
      </c>
      <c r="I1650" s="9" t="b">
        <v>1</v>
      </c>
    </row>
    <row r="1651" ht="15.75" customHeight="1">
      <c r="A1651" s="9" t="s">
        <v>45484</v>
      </c>
      <c r="B1651" s="9" t="s">
        <v>47</v>
      </c>
      <c r="C1651" s="9" t="s">
        <v>41039</v>
      </c>
      <c r="D1651" s="9" t="s">
        <v>45485</v>
      </c>
      <c r="E1651" s="61">
        <v>45163.0</v>
      </c>
      <c r="F1651" s="9" t="b">
        <v>1</v>
      </c>
      <c r="G1651" s="9" t="s">
        <v>38801</v>
      </c>
      <c r="H1651" s="9" t="s">
        <v>42576</v>
      </c>
      <c r="I1651" s="9" t="b">
        <v>1</v>
      </c>
    </row>
    <row r="1652" ht="15.75" customHeight="1">
      <c r="A1652" s="9" t="s">
        <v>45486</v>
      </c>
      <c r="B1652" s="9" t="s">
        <v>47</v>
      </c>
      <c r="C1652" s="9" t="s">
        <v>40988</v>
      </c>
      <c r="D1652" s="9" t="s">
        <v>45487</v>
      </c>
      <c r="E1652" s="61">
        <v>45168.0</v>
      </c>
      <c r="F1652" s="9" t="b">
        <v>1</v>
      </c>
      <c r="G1652" s="9" t="s">
        <v>38801</v>
      </c>
      <c r="H1652" s="9" t="s">
        <v>42576</v>
      </c>
      <c r="I1652" s="9" t="b">
        <v>1</v>
      </c>
    </row>
    <row r="1653" ht="15.75" customHeight="1">
      <c r="A1653" s="9" t="s">
        <v>45488</v>
      </c>
      <c r="B1653" s="9" t="s">
        <v>131</v>
      </c>
      <c r="C1653" s="9" t="s">
        <v>40996</v>
      </c>
      <c r="D1653" s="9" t="s">
        <v>45489</v>
      </c>
      <c r="E1653" s="61">
        <v>45168.0</v>
      </c>
      <c r="F1653" s="9" t="b">
        <v>1</v>
      </c>
      <c r="G1653" s="9" t="s">
        <v>38801</v>
      </c>
      <c r="H1653" s="9" t="s">
        <v>42576</v>
      </c>
      <c r="I1653" s="9" t="b">
        <v>1</v>
      </c>
    </row>
    <row r="1654" ht="15.75" customHeight="1">
      <c r="A1654" s="9" t="s">
        <v>45490</v>
      </c>
      <c r="B1654" s="9" t="s">
        <v>131</v>
      </c>
      <c r="C1654" s="9" t="s">
        <v>40768</v>
      </c>
      <c r="D1654" s="9" t="s">
        <v>45491</v>
      </c>
      <c r="E1654" s="61">
        <v>45168.0</v>
      </c>
      <c r="F1654" s="9" t="b">
        <v>1</v>
      </c>
      <c r="G1654" s="9" t="s">
        <v>42585</v>
      </c>
      <c r="H1654" s="9" t="s">
        <v>42576</v>
      </c>
      <c r="I1654" s="9"/>
    </row>
    <row r="1655" ht="15.75" customHeight="1">
      <c r="A1655" s="9" t="s">
        <v>45492</v>
      </c>
      <c r="B1655" s="9" t="s">
        <v>131</v>
      </c>
      <c r="C1655" s="9" t="s">
        <v>41035</v>
      </c>
      <c r="D1655" s="9" t="s">
        <v>45493</v>
      </c>
      <c r="E1655" s="61">
        <v>45168.0</v>
      </c>
      <c r="F1655" s="9" t="b">
        <v>1</v>
      </c>
      <c r="G1655" s="9" t="s">
        <v>38801</v>
      </c>
      <c r="H1655" s="9" t="s">
        <v>42576</v>
      </c>
      <c r="I1655" s="9" t="b">
        <v>1</v>
      </c>
    </row>
    <row r="1656" ht="15.75" customHeight="1">
      <c r="A1656" s="9" t="s">
        <v>45494</v>
      </c>
      <c r="B1656" s="9" t="s">
        <v>47</v>
      </c>
      <c r="C1656" s="9" t="s">
        <v>41049</v>
      </c>
      <c r="D1656" s="9" t="s">
        <v>45495</v>
      </c>
      <c r="E1656" s="61">
        <v>45173.0</v>
      </c>
      <c r="F1656" s="9" t="b">
        <v>1</v>
      </c>
      <c r="G1656" s="9" t="s">
        <v>38801</v>
      </c>
      <c r="H1656" s="9" t="s">
        <v>42576</v>
      </c>
      <c r="I1656" s="9" t="b">
        <v>1</v>
      </c>
    </row>
    <row r="1657" ht="15.75" customHeight="1">
      <c r="A1657" s="9" t="s">
        <v>45496</v>
      </c>
      <c r="B1657" s="9" t="s">
        <v>47</v>
      </c>
      <c r="C1657" s="9" t="s">
        <v>41033</v>
      </c>
      <c r="D1657" s="9" t="s">
        <v>43724</v>
      </c>
      <c r="E1657" s="61">
        <v>45173.0</v>
      </c>
      <c r="F1657" s="9" t="b">
        <v>1</v>
      </c>
      <c r="G1657" s="9" t="s">
        <v>38801</v>
      </c>
      <c r="H1657" s="9" t="s">
        <v>42560</v>
      </c>
      <c r="I1657" s="9" t="b">
        <v>1</v>
      </c>
    </row>
    <row r="1658" ht="15.75" customHeight="1">
      <c r="A1658" s="9" t="s">
        <v>45497</v>
      </c>
      <c r="B1658" s="9" t="s">
        <v>47</v>
      </c>
      <c r="C1658" s="52" t="s">
        <v>41034</v>
      </c>
      <c r="D1658" s="9" t="s">
        <v>43724</v>
      </c>
      <c r="E1658" s="61">
        <v>45173.0</v>
      </c>
      <c r="F1658" s="9" t="b">
        <v>1</v>
      </c>
      <c r="G1658" s="9" t="s">
        <v>38801</v>
      </c>
      <c r="H1658" s="9" t="s">
        <v>42576</v>
      </c>
      <c r="I1658" s="9" t="b">
        <v>1</v>
      </c>
    </row>
    <row r="1659" ht="15.75" customHeight="1">
      <c r="A1659" s="9" t="s">
        <v>45498</v>
      </c>
      <c r="B1659" s="9" t="s">
        <v>26</v>
      </c>
      <c r="C1659" s="52" t="s">
        <v>41041</v>
      </c>
      <c r="D1659" s="9" t="s">
        <v>45499</v>
      </c>
      <c r="E1659" s="61">
        <v>45174.0</v>
      </c>
      <c r="F1659" s="9" t="b">
        <v>1</v>
      </c>
      <c r="G1659" s="9" t="s">
        <v>38801</v>
      </c>
      <c r="H1659" s="9" t="s">
        <v>42576</v>
      </c>
      <c r="I1659" s="9" t="b">
        <v>1</v>
      </c>
    </row>
    <row r="1660" ht="15.75" customHeight="1">
      <c r="A1660" s="9" t="s">
        <v>45500</v>
      </c>
      <c r="B1660" s="9" t="s">
        <v>26</v>
      </c>
      <c r="C1660" s="9" t="s">
        <v>41021</v>
      </c>
      <c r="D1660" s="9" t="s">
        <v>45501</v>
      </c>
      <c r="E1660" s="61">
        <v>45174.0</v>
      </c>
      <c r="F1660" s="9" t="b">
        <v>1</v>
      </c>
      <c r="G1660" s="9" t="s">
        <v>38801</v>
      </c>
      <c r="H1660" s="9" t="s">
        <v>42560</v>
      </c>
      <c r="I1660" s="9" t="b">
        <v>1</v>
      </c>
    </row>
    <row r="1661" ht="15.75" customHeight="1">
      <c r="A1661" s="9" t="s">
        <v>45502</v>
      </c>
      <c r="B1661" s="9" t="s">
        <v>26</v>
      </c>
      <c r="C1661" s="9" t="s">
        <v>41043</v>
      </c>
      <c r="D1661" s="9" t="s">
        <v>45503</v>
      </c>
      <c r="E1661" s="61">
        <v>45174.0</v>
      </c>
      <c r="F1661" s="9" t="b">
        <v>1</v>
      </c>
      <c r="G1661" s="9" t="s">
        <v>38801</v>
      </c>
      <c r="H1661" s="9" t="s">
        <v>42560</v>
      </c>
      <c r="I1661" s="9" t="b">
        <v>1</v>
      </c>
    </row>
    <row r="1662" ht="15.75" customHeight="1">
      <c r="A1662" s="9" t="s">
        <v>45504</v>
      </c>
      <c r="B1662" s="9" t="s">
        <v>26</v>
      </c>
      <c r="C1662" s="9" t="s">
        <v>40994</v>
      </c>
      <c r="D1662" s="9" t="s">
        <v>45503</v>
      </c>
      <c r="E1662" s="61">
        <v>45174.0</v>
      </c>
      <c r="F1662" s="9" t="b">
        <v>1</v>
      </c>
      <c r="G1662" s="9" t="s">
        <v>38801</v>
      </c>
      <c r="H1662" s="9" t="s">
        <v>42560</v>
      </c>
      <c r="I1662" s="9" t="b">
        <v>1</v>
      </c>
    </row>
    <row r="1663" ht="15.75" customHeight="1">
      <c r="A1663" s="9" t="s">
        <v>45505</v>
      </c>
      <c r="B1663" s="9" t="s">
        <v>26</v>
      </c>
      <c r="C1663" s="9" t="s">
        <v>41023</v>
      </c>
      <c r="D1663" s="9" t="s">
        <v>45503</v>
      </c>
      <c r="E1663" s="61">
        <v>45174.0</v>
      </c>
      <c r="F1663" s="9" t="b">
        <v>1</v>
      </c>
      <c r="G1663" s="9" t="s">
        <v>38801</v>
      </c>
      <c r="H1663" s="9" t="s">
        <v>42560</v>
      </c>
      <c r="I1663" s="9" t="b">
        <v>1</v>
      </c>
    </row>
    <row r="1664" ht="15.75" customHeight="1">
      <c r="A1664" s="9" t="s">
        <v>45506</v>
      </c>
      <c r="B1664" s="9" t="s">
        <v>131</v>
      </c>
      <c r="C1664" s="9" t="s">
        <v>41051</v>
      </c>
      <c r="D1664" s="9" t="s">
        <v>45507</v>
      </c>
      <c r="E1664" s="61">
        <v>45175.0</v>
      </c>
      <c r="F1664" s="9" t="b">
        <v>1</v>
      </c>
      <c r="G1664" s="9" t="s">
        <v>38801</v>
      </c>
      <c r="H1664" s="9" t="s">
        <v>42576</v>
      </c>
      <c r="I1664" s="9" t="b">
        <v>1</v>
      </c>
    </row>
    <row r="1665" ht="15.75" customHeight="1">
      <c r="A1665" s="52" t="s">
        <v>45508</v>
      </c>
      <c r="B1665" s="9" t="s">
        <v>131</v>
      </c>
      <c r="C1665" s="9" t="s">
        <v>41047</v>
      </c>
      <c r="D1665" s="9" t="s">
        <v>45509</v>
      </c>
      <c r="E1665" s="61">
        <v>45175.0</v>
      </c>
      <c r="F1665" s="9" t="b">
        <v>1</v>
      </c>
      <c r="G1665" s="9" t="s">
        <v>38801</v>
      </c>
      <c r="H1665" s="9" t="s">
        <v>42576</v>
      </c>
      <c r="I1665" s="9" t="b">
        <v>1</v>
      </c>
    </row>
    <row r="1666" ht="15.75" customHeight="1">
      <c r="A1666" s="9" t="s">
        <v>45510</v>
      </c>
      <c r="B1666" s="9" t="s">
        <v>131</v>
      </c>
      <c r="C1666" s="9" t="s">
        <v>41089</v>
      </c>
      <c r="D1666" s="9" t="s">
        <v>45511</v>
      </c>
      <c r="E1666" s="61">
        <v>45180.0</v>
      </c>
      <c r="F1666" s="9" t="b">
        <v>1</v>
      </c>
      <c r="G1666" s="9" t="s">
        <v>38801</v>
      </c>
      <c r="H1666" s="9" t="s">
        <v>42576</v>
      </c>
      <c r="I1666" s="9" t="b">
        <v>1</v>
      </c>
    </row>
    <row r="1667" ht="15.75" customHeight="1">
      <c r="A1667" s="9" t="s">
        <v>45512</v>
      </c>
      <c r="B1667" s="9" t="s">
        <v>26</v>
      </c>
      <c r="C1667" s="9" t="s">
        <v>41081</v>
      </c>
      <c r="D1667" s="9" t="s">
        <v>45513</v>
      </c>
      <c r="E1667" s="61">
        <v>45180.0</v>
      </c>
      <c r="F1667" s="9" t="b">
        <v>1</v>
      </c>
      <c r="G1667" s="9" t="s">
        <v>38801</v>
      </c>
      <c r="H1667" s="9" t="s">
        <v>42560</v>
      </c>
      <c r="I1667" s="9" t="b">
        <v>1</v>
      </c>
    </row>
    <row r="1668" ht="15.75" customHeight="1">
      <c r="A1668" s="9" t="s">
        <v>45514</v>
      </c>
      <c r="B1668" s="9" t="s">
        <v>26</v>
      </c>
      <c r="C1668" s="9" t="s">
        <v>41091</v>
      </c>
      <c r="D1668" s="9" t="s">
        <v>45515</v>
      </c>
      <c r="E1668" s="61">
        <v>45180.0</v>
      </c>
      <c r="F1668" s="9" t="b">
        <v>1</v>
      </c>
      <c r="G1668" s="9" t="s">
        <v>38801</v>
      </c>
      <c r="H1668" s="9" t="s">
        <v>42560</v>
      </c>
      <c r="I1668" s="9" t="b">
        <v>1</v>
      </c>
    </row>
    <row r="1669" ht="15.75" customHeight="1">
      <c r="A1669" s="9" t="s">
        <v>45516</v>
      </c>
      <c r="B1669" s="9" t="s">
        <v>26</v>
      </c>
      <c r="C1669" s="9" t="s">
        <v>41083</v>
      </c>
      <c r="D1669" s="9" t="s">
        <v>45517</v>
      </c>
      <c r="E1669" s="61">
        <v>45180.0</v>
      </c>
      <c r="F1669" s="9" t="b">
        <v>1</v>
      </c>
      <c r="G1669" s="9" t="s">
        <v>38801</v>
      </c>
      <c r="H1669" s="9" t="s">
        <v>42560</v>
      </c>
      <c r="I1669" s="9" t="b">
        <v>1</v>
      </c>
    </row>
    <row r="1670" ht="15.75" customHeight="1">
      <c r="A1670" s="9" t="s">
        <v>45518</v>
      </c>
      <c r="B1670" s="9" t="s">
        <v>26</v>
      </c>
      <c r="C1670" s="9" t="s">
        <v>41097</v>
      </c>
      <c r="D1670" s="9" t="s">
        <v>45519</v>
      </c>
      <c r="E1670" s="61">
        <v>45181.0</v>
      </c>
      <c r="F1670" s="9" t="b">
        <v>1</v>
      </c>
      <c r="G1670" s="9" t="s">
        <v>38801</v>
      </c>
      <c r="H1670" s="9" t="s">
        <v>42576</v>
      </c>
      <c r="I1670" s="9" t="b">
        <v>1</v>
      </c>
    </row>
    <row r="1671" ht="15.75" customHeight="1">
      <c r="A1671" s="9" t="s">
        <v>45520</v>
      </c>
      <c r="B1671" s="9" t="s">
        <v>26</v>
      </c>
      <c r="C1671" s="9" t="s">
        <v>41099</v>
      </c>
      <c r="D1671" s="9" t="s">
        <v>45521</v>
      </c>
      <c r="E1671" s="61">
        <v>45181.0</v>
      </c>
      <c r="F1671" s="9" t="b">
        <v>1</v>
      </c>
      <c r="G1671" s="9" t="s">
        <v>38801</v>
      </c>
      <c r="H1671" s="9" t="s">
        <v>42560</v>
      </c>
      <c r="I1671" s="9" t="b">
        <v>1</v>
      </c>
    </row>
    <row r="1672" ht="15.75" customHeight="1">
      <c r="A1672" s="9" t="s">
        <v>45522</v>
      </c>
      <c r="B1672" s="9" t="s">
        <v>26</v>
      </c>
      <c r="C1672" s="9" t="s">
        <v>41093</v>
      </c>
      <c r="D1672" s="9" t="s">
        <v>45523</v>
      </c>
      <c r="E1672" s="61">
        <v>45181.0</v>
      </c>
      <c r="F1672" s="9" t="b">
        <v>1</v>
      </c>
      <c r="G1672" s="9" t="s">
        <v>43228</v>
      </c>
      <c r="H1672" s="9" t="s">
        <v>42560</v>
      </c>
      <c r="I1672" s="9"/>
    </row>
    <row r="1673" ht="15.75" customHeight="1">
      <c r="A1673" s="9" t="s">
        <v>45524</v>
      </c>
      <c r="B1673" s="9" t="s">
        <v>47</v>
      </c>
      <c r="C1673" s="9" t="s">
        <v>41101</v>
      </c>
      <c r="D1673" s="9" t="s">
        <v>45525</v>
      </c>
      <c r="E1673" s="61">
        <v>45181.0</v>
      </c>
      <c r="F1673" s="9" t="b">
        <v>1</v>
      </c>
      <c r="G1673" s="9" t="s">
        <v>38801</v>
      </c>
      <c r="H1673" s="9" t="s">
        <v>42576</v>
      </c>
      <c r="I1673" s="9" t="b">
        <v>1</v>
      </c>
    </row>
    <row r="1674" ht="15.75" customHeight="1">
      <c r="A1674" s="9" t="s">
        <v>45526</v>
      </c>
      <c r="B1674" s="9" t="s">
        <v>47</v>
      </c>
      <c r="C1674" s="9" t="s">
        <v>41108</v>
      </c>
      <c r="D1674" s="9" t="s">
        <v>42560</v>
      </c>
      <c r="E1674" s="61">
        <v>45182.0</v>
      </c>
      <c r="F1674" s="9" t="b">
        <v>1</v>
      </c>
      <c r="G1674" s="9" t="s">
        <v>38801</v>
      </c>
      <c r="H1674" s="9" t="s">
        <v>42576</v>
      </c>
      <c r="I1674" s="9" t="b">
        <v>1</v>
      </c>
    </row>
    <row r="1675" ht="15.75" customHeight="1">
      <c r="A1675" s="9" t="s">
        <v>45527</v>
      </c>
      <c r="B1675" s="9" t="s">
        <v>47</v>
      </c>
      <c r="C1675" s="9" t="s">
        <v>41106</v>
      </c>
      <c r="D1675" s="9" t="s">
        <v>42560</v>
      </c>
      <c r="E1675" s="61">
        <v>45182.0</v>
      </c>
      <c r="F1675" s="9" t="b">
        <v>1</v>
      </c>
      <c r="G1675" s="9" t="s">
        <v>38801</v>
      </c>
      <c r="H1675" s="9" t="s">
        <v>42576</v>
      </c>
      <c r="I1675" s="9" t="b">
        <v>1</v>
      </c>
    </row>
    <row r="1676" ht="15.75" customHeight="1">
      <c r="A1676" s="9" t="s">
        <v>45528</v>
      </c>
      <c r="B1676" s="9" t="s">
        <v>47</v>
      </c>
      <c r="C1676" s="9" t="s">
        <v>41110</v>
      </c>
      <c r="D1676" s="9" t="s">
        <v>44884</v>
      </c>
      <c r="E1676" s="61">
        <v>45182.0</v>
      </c>
      <c r="F1676" s="9" t="b">
        <v>1</v>
      </c>
      <c r="G1676" s="9" t="s">
        <v>38801</v>
      </c>
      <c r="H1676" s="9" t="s">
        <v>42576</v>
      </c>
      <c r="I1676" s="9" t="b">
        <v>1</v>
      </c>
    </row>
    <row r="1677" ht="15.75" customHeight="1">
      <c r="A1677" s="9" t="s">
        <v>45529</v>
      </c>
      <c r="B1677" s="9" t="s">
        <v>47</v>
      </c>
      <c r="C1677" s="9" t="s">
        <v>41112</v>
      </c>
      <c r="D1677" s="9" t="s">
        <v>45530</v>
      </c>
      <c r="E1677" s="61">
        <v>45182.0</v>
      </c>
      <c r="F1677" s="9" t="b">
        <v>1</v>
      </c>
      <c r="G1677" s="9" t="s">
        <v>38801</v>
      </c>
      <c r="H1677" s="9" t="s">
        <v>42576</v>
      </c>
      <c r="I1677" s="9" t="b">
        <v>1</v>
      </c>
    </row>
    <row r="1678" ht="15.75" customHeight="1">
      <c r="A1678" s="9" t="s">
        <v>45531</v>
      </c>
      <c r="B1678" s="9" t="s">
        <v>131</v>
      </c>
      <c r="C1678" s="9" t="s">
        <v>41114</v>
      </c>
      <c r="D1678" s="9" t="s">
        <v>45532</v>
      </c>
      <c r="E1678" s="61">
        <v>45182.0</v>
      </c>
      <c r="F1678" s="9" t="b">
        <v>1</v>
      </c>
      <c r="G1678" s="9" t="s">
        <v>38801</v>
      </c>
      <c r="H1678" s="9" t="s">
        <v>42576</v>
      </c>
      <c r="I1678" s="9" t="b">
        <v>1</v>
      </c>
    </row>
    <row r="1679" ht="15.75" customHeight="1">
      <c r="A1679" s="9" t="s">
        <v>45533</v>
      </c>
      <c r="B1679" s="9" t="s">
        <v>47</v>
      </c>
      <c r="C1679" s="9" t="s">
        <v>41117</v>
      </c>
      <c r="D1679" s="9" t="s">
        <v>42560</v>
      </c>
      <c r="E1679" s="61">
        <v>45183.0</v>
      </c>
      <c r="F1679" s="9" t="b">
        <v>1</v>
      </c>
      <c r="G1679" s="9" t="s">
        <v>38801</v>
      </c>
      <c r="H1679" s="9" t="s">
        <v>42576</v>
      </c>
      <c r="I1679" s="9" t="b">
        <v>1</v>
      </c>
    </row>
    <row r="1680" ht="15.75" customHeight="1">
      <c r="A1680" s="9" t="s">
        <v>45534</v>
      </c>
      <c r="B1680" s="9" t="s">
        <v>76</v>
      </c>
      <c r="C1680" s="9" t="s">
        <v>40957</v>
      </c>
      <c r="D1680" s="9" t="s">
        <v>45535</v>
      </c>
      <c r="E1680" s="61">
        <v>45184.0</v>
      </c>
      <c r="F1680" s="9" t="b">
        <v>1</v>
      </c>
      <c r="G1680" s="9" t="s">
        <v>38801</v>
      </c>
      <c r="H1680" s="9" t="s">
        <v>42576</v>
      </c>
      <c r="I1680" s="9" t="b">
        <v>1</v>
      </c>
    </row>
    <row r="1681" ht="15.75" customHeight="1">
      <c r="A1681" s="9" t="s">
        <v>45536</v>
      </c>
      <c r="B1681" s="9" t="s">
        <v>47</v>
      </c>
      <c r="C1681" s="9" t="s">
        <v>41105</v>
      </c>
      <c r="D1681" s="9" t="s">
        <v>42560</v>
      </c>
      <c r="E1681" s="61">
        <v>45184.0</v>
      </c>
      <c r="F1681" s="9" t="b">
        <v>1</v>
      </c>
      <c r="G1681" s="9" t="s">
        <v>38801</v>
      </c>
      <c r="H1681" s="9" t="s">
        <v>42576</v>
      </c>
      <c r="I1681" s="9" t="b">
        <v>1</v>
      </c>
    </row>
    <row r="1682" ht="15.75" customHeight="1">
      <c r="A1682" s="9" t="s">
        <v>45537</v>
      </c>
      <c r="B1682" s="9" t="s">
        <v>47</v>
      </c>
      <c r="C1682" s="9" t="s">
        <v>41103</v>
      </c>
      <c r="D1682" s="9" t="s">
        <v>45538</v>
      </c>
      <c r="E1682" s="61">
        <v>45184.0</v>
      </c>
      <c r="F1682" s="9" t="b">
        <v>1</v>
      </c>
      <c r="G1682" s="9" t="s">
        <v>43228</v>
      </c>
      <c r="H1682" s="9" t="s">
        <v>42576</v>
      </c>
      <c r="I1682" s="9"/>
    </row>
    <row r="1683" ht="15.75" customHeight="1">
      <c r="A1683" s="9" t="s">
        <v>45539</v>
      </c>
      <c r="B1683" s="9" t="s">
        <v>47</v>
      </c>
      <c r="C1683" s="9" t="s">
        <v>41080</v>
      </c>
      <c r="D1683" s="9" t="s">
        <v>45540</v>
      </c>
      <c r="E1683" s="61">
        <v>45184.0</v>
      </c>
      <c r="F1683" s="9" t="b">
        <v>1</v>
      </c>
      <c r="G1683" s="9" t="s">
        <v>43228</v>
      </c>
      <c r="H1683" s="9" t="s">
        <v>42576</v>
      </c>
      <c r="I1683" s="9"/>
    </row>
    <row r="1684" ht="15.75" customHeight="1">
      <c r="A1684" s="9" t="s">
        <v>45541</v>
      </c>
      <c r="B1684" s="9" t="s">
        <v>47</v>
      </c>
      <c r="C1684" s="9" t="s">
        <v>41096</v>
      </c>
      <c r="D1684" s="9" t="s">
        <v>43724</v>
      </c>
      <c r="E1684" s="61">
        <v>45184.0</v>
      </c>
      <c r="F1684" s="9" t="b">
        <v>1</v>
      </c>
      <c r="G1684" s="9" t="s">
        <v>38801</v>
      </c>
      <c r="H1684" s="9" t="s">
        <v>42576</v>
      </c>
      <c r="I1684" s="9" t="b">
        <v>1</v>
      </c>
    </row>
    <row r="1685" ht="15.75" customHeight="1">
      <c r="A1685" s="9" t="s">
        <v>45542</v>
      </c>
      <c r="B1685" s="9" t="s">
        <v>47</v>
      </c>
      <c r="C1685" s="9" t="s">
        <v>40801</v>
      </c>
      <c r="D1685" s="9" t="s">
        <v>42560</v>
      </c>
      <c r="E1685" s="61">
        <v>45184.0</v>
      </c>
      <c r="F1685" s="9" t="b">
        <v>1</v>
      </c>
      <c r="G1685" s="9" t="s">
        <v>38801</v>
      </c>
      <c r="H1685" s="9" t="s">
        <v>42576</v>
      </c>
      <c r="I1685" s="9" t="b">
        <v>1</v>
      </c>
    </row>
    <row r="1686" ht="15.75" customHeight="1">
      <c r="A1686" s="9" t="s">
        <v>45543</v>
      </c>
      <c r="B1686" s="9" t="s">
        <v>47</v>
      </c>
      <c r="C1686" s="9" t="s">
        <v>41120</v>
      </c>
      <c r="D1686" s="9" t="s">
        <v>45544</v>
      </c>
      <c r="E1686" s="61">
        <v>45187.0</v>
      </c>
      <c r="F1686" s="9" t="b">
        <v>1</v>
      </c>
      <c r="G1686" s="9" t="s">
        <v>38801</v>
      </c>
      <c r="H1686" s="9" t="s">
        <v>42576</v>
      </c>
      <c r="I1686" s="9" t="b">
        <v>1</v>
      </c>
    </row>
    <row r="1687" ht="15.75" customHeight="1">
      <c r="A1687" s="9" t="s">
        <v>45545</v>
      </c>
      <c r="B1687" s="9" t="s">
        <v>47</v>
      </c>
      <c r="C1687" s="9" t="s">
        <v>41122</v>
      </c>
      <c r="D1687" s="9" t="s">
        <v>45546</v>
      </c>
      <c r="E1687" s="61">
        <v>45189.0</v>
      </c>
      <c r="F1687" s="9" t="b">
        <v>1</v>
      </c>
      <c r="G1687" s="9" t="s">
        <v>43228</v>
      </c>
      <c r="H1687" s="9" t="s">
        <v>42576</v>
      </c>
      <c r="I1687" s="9"/>
    </row>
    <row r="1688" ht="15.75" customHeight="1">
      <c r="A1688" s="9" t="s">
        <v>45547</v>
      </c>
      <c r="B1688" s="9" t="s">
        <v>26</v>
      </c>
      <c r="C1688" s="9" t="s">
        <v>41093</v>
      </c>
      <c r="D1688" s="9" t="s">
        <v>45548</v>
      </c>
      <c r="E1688" s="61">
        <v>45194.0</v>
      </c>
      <c r="F1688" s="9" t="b">
        <v>1</v>
      </c>
      <c r="G1688" s="9" t="s">
        <v>42573</v>
      </c>
      <c r="H1688" s="9" t="s">
        <v>42576</v>
      </c>
      <c r="I1688" s="9"/>
    </row>
    <row r="1689" ht="15.75" customHeight="1">
      <c r="A1689" s="9" t="s">
        <v>45549</v>
      </c>
      <c r="B1689" s="9" t="s">
        <v>26</v>
      </c>
      <c r="C1689" s="9" t="s">
        <v>41093</v>
      </c>
      <c r="D1689" s="9" t="s">
        <v>45550</v>
      </c>
      <c r="E1689" s="61">
        <v>45194.0</v>
      </c>
      <c r="F1689" s="9" t="b">
        <v>1</v>
      </c>
      <c r="G1689" s="9" t="s">
        <v>42573</v>
      </c>
      <c r="H1689" s="9" t="s">
        <v>42560</v>
      </c>
      <c r="I1689" s="9"/>
    </row>
    <row r="1690" ht="15.75" customHeight="1">
      <c r="A1690" s="9" t="s">
        <v>45551</v>
      </c>
      <c r="B1690" s="9" t="s">
        <v>131</v>
      </c>
      <c r="C1690" s="9" t="s">
        <v>41122</v>
      </c>
      <c r="D1690" s="9" t="s">
        <v>45552</v>
      </c>
      <c r="E1690" s="61">
        <v>45194.0</v>
      </c>
      <c r="F1690" s="9" t="b">
        <v>1</v>
      </c>
      <c r="G1690" s="9" t="s">
        <v>38801</v>
      </c>
      <c r="H1690" s="9" t="s">
        <v>42576</v>
      </c>
      <c r="I1690" s="9" t="b">
        <v>1</v>
      </c>
    </row>
    <row r="1691" ht="15.75" customHeight="1">
      <c r="A1691" s="9" t="s">
        <v>45553</v>
      </c>
      <c r="B1691" s="9" t="s">
        <v>131</v>
      </c>
      <c r="C1691" s="9" t="s">
        <v>41095</v>
      </c>
      <c r="D1691" s="9" t="s">
        <v>45554</v>
      </c>
      <c r="E1691" s="61">
        <v>45194.0</v>
      </c>
      <c r="F1691" s="9" t="b">
        <v>1</v>
      </c>
      <c r="G1691" s="9" t="s">
        <v>38801</v>
      </c>
      <c r="H1691" s="9" t="s">
        <v>42576</v>
      </c>
      <c r="I1691" s="9" t="b">
        <v>1</v>
      </c>
    </row>
    <row r="1692" ht="15.75" customHeight="1">
      <c r="A1692" s="9" t="s">
        <v>45555</v>
      </c>
      <c r="B1692" s="9" t="s">
        <v>76</v>
      </c>
      <c r="C1692" s="9" t="s">
        <v>40758</v>
      </c>
      <c r="D1692" s="9" t="s">
        <v>45556</v>
      </c>
      <c r="E1692" s="61">
        <v>45197.0</v>
      </c>
      <c r="F1692" s="9" t="b">
        <v>1</v>
      </c>
      <c r="G1692" s="9" t="s">
        <v>38801</v>
      </c>
      <c r="H1692" s="9" t="s">
        <v>42576</v>
      </c>
      <c r="I1692" s="9" t="b">
        <v>1</v>
      </c>
    </row>
    <row r="1693" ht="15.75" customHeight="1">
      <c r="A1693" s="9" t="s">
        <v>45557</v>
      </c>
      <c r="B1693" s="9" t="s">
        <v>76</v>
      </c>
      <c r="C1693" s="9" t="s">
        <v>40964</v>
      </c>
      <c r="D1693" s="9" t="s">
        <v>45558</v>
      </c>
      <c r="E1693" s="61">
        <v>45197.0</v>
      </c>
      <c r="F1693" s="9" t="b">
        <v>1</v>
      </c>
      <c r="G1693" s="9" t="s">
        <v>38801</v>
      </c>
      <c r="H1693" s="9" t="s">
        <v>42576</v>
      </c>
      <c r="I1693" s="9" t="b">
        <v>1</v>
      </c>
    </row>
    <row r="1694" ht="15.75" customHeight="1">
      <c r="A1694" s="9" t="s">
        <v>45559</v>
      </c>
      <c r="B1694" s="9" t="s">
        <v>131</v>
      </c>
      <c r="C1694" s="9" t="s">
        <v>41103</v>
      </c>
      <c r="D1694" s="9" t="s">
        <v>45560</v>
      </c>
      <c r="E1694" s="61">
        <v>45198.0</v>
      </c>
      <c r="F1694" s="9" t="b">
        <v>1</v>
      </c>
      <c r="G1694" s="9" t="s">
        <v>38801</v>
      </c>
      <c r="H1694" s="9" t="s">
        <v>42576</v>
      </c>
      <c r="I1694" s="9" t="b">
        <v>1</v>
      </c>
    </row>
    <row r="1695" ht="15.75" customHeight="1">
      <c r="A1695" s="9" t="s">
        <v>45561</v>
      </c>
      <c r="B1695" s="9" t="s">
        <v>131</v>
      </c>
      <c r="C1695" s="9" t="s">
        <v>41127</v>
      </c>
      <c r="D1695" s="9" t="s">
        <v>45562</v>
      </c>
      <c r="E1695" s="61">
        <v>45198.0</v>
      </c>
      <c r="F1695" s="9" t="b">
        <v>1</v>
      </c>
      <c r="G1695" s="9" t="s">
        <v>38801</v>
      </c>
      <c r="H1695" s="9" t="s">
        <v>42576</v>
      </c>
      <c r="I1695" s="9" t="b">
        <v>1</v>
      </c>
    </row>
    <row r="1696" ht="15.75" customHeight="1">
      <c r="A1696" s="9" t="s">
        <v>45563</v>
      </c>
      <c r="B1696" s="9" t="s">
        <v>131</v>
      </c>
      <c r="C1696" s="9" t="s">
        <v>41129</v>
      </c>
      <c r="D1696" s="9" t="s">
        <v>45564</v>
      </c>
      <c r="E1696" s="61">
        <v>45198.0</v>
      </c>
      <c r="F1696" s="9" t="b">
        <v>1</v>
      </c>
      <c r="G1696" s="9" t="s">
        <v>38801</v>
      </c>
      <c r="H1696" s="9" t="s">
        <v>42576</v>
      </c>
      <c r="I1696" s="9" t="b">
        <v>1</v>
      </c>
    </row>
    <row r="1697" ht="15.75" customHeight="1">
      <c r="A1697" s="9" t="s">
        <v>45565</v>
      </c>
      <c r="B1697" s="9" t="s">
        <v>131</v>
      </c>
      <c r="C1697" s="9" t="s">
        <v>41080</v>
      </c>
      <c r="D1697" s="9" t="s">
        <v>45566</v>
      </c>
      <c r="E1697" s="61">
        <v>45201.0</v>
      </c>
      <c r="F1697" s="9" t="b">
        <v>1</v>
      </c>
      <c r="G1697" s="9" t="s">
        <v>42573</v>
      </c>
      <c r="H1697" s="9" t="s">
        <v>42576</v>
      </c>
      <c r="I1697" s="9"/>
    </row>
    <row r="1698" ht="15.75" customHeight="1">
      <c r="A1698" s="9" t="s">
        <v>45567</v>
      </c>
      <c r="B1698" s="9" t="s">
        <v>47</v>
      </c>
      <c r="C1698" s="9" t="s">
        <v>41132</v>
      </c>
      <c r="D1698" s="9" t="s">
        <v>45568</v>
      </c>
      <c r="E1698" s="61">
        <v>45202.0</v>
      </c>
      <c r="F1698" s="9" t="b">
        <v>1</v>
      </c>
      <c r="G1698" s="9" t="s">
        <v>38801</v>
      </c>
      <c r="H1698" s="9" t="s">
        <v>42576</v>
      </c>
      <c r="I1698" s="9" t="b">
        <v>1</v>
      </c>
    </row>
    <row r="1699" ht="15.75" customHeight="1">
      <c r="A1699" s="9" t="s">
        <v>45569</v>
      </c>
      <c r="B1699" s="9" t="s">
        <v>131</v>
      </c>
      <c r="C1699" s="9" t="s">
        <v>41133</v>
      </c>
      <c r="D1699" s="9" t="s">
        <v>45570</v>
      </c>
      <c r="E1699" s="61">
        <v>45203.0</v>
      </c>
      <c r="F1699" s="9" t="b">
        <v>1</v>
      </c>
      <c r="G1699" s="9" t="s">
        <v>38801</v>
      </c>
      <c r="H1699" s="9" t="s">
        <v>42576</v>
      </c>
      <c r="I1699" s="9" t="b">
        <v>1</v>
      </c>
    </row>
    <row r="1700" ht="15.75" customHeight="1">
      <c r="A1700" s="9" t="s">
        <v>45571</v>
      </c>
      <c r="B1700" s="9" t="s">
        <v>26</v>
      </c>
      <c r="C1700" s="9" t="s">
        <v>41135</v>
      </c>
      <c r="D1700" s="9" t="s">
        <v>45572</v>
      </c>
      <c r="E1700" s="61">
        <v>45203.0</v>
      </c>
      <c r="F1700" s="9" t="b">
        <v>1</v>
      </c>
      <c r="G1700" s="9" t="s">
        <v>42573</v>
      </c>
      <c r="H1700" s="9" t="s">
        <v>42560</v>
      </c>
      <c r="I1700" s="9"/>
    </row>
    <row r="1701" ht="15.75" customHeight="1">
      <c r="A1701" s="9" t="s">
        <v>45573</v>
      </c>
      <c r="B1701" s="9" t="s">
        <v>131</v>
      </c>
      <c r="C1701" s="9" t="s">
        <v>41140</v>
      </c>
      <c r="D1701" s="9" t="s">
        <v>45574</v>
      </c>
      <c r="E1701" s="61">
        <v>45205.0</v>
      </c>
      <c r="F1701" s="9" t="b">
        <v>1</v>
      </c>
      <c r="G1701" s="9" t="s">
        <v>38801</v>
      </c>
      <c r="H1701" s="9" t="s">
        <v>42576</v>
      </c>
      <c r="I1701" s="9" t="b">
        <v>1</v>
      </c>
    </row>
    <row r="1702" ht="15.75" customHeight="1">
      <c r="A1702" s="9" t="s">
        <v>45575</v>
      </c>
      <c r="B1702" s="9" t="s">
        <v>47</v>
      </c>
      <c r="C1702" s="9" t="s">
        <v>41138</v>
      </c>
      <c r="D1702" s="9" t="s">
        <v>45576</v>
      </c>
      <c r="E1702" s="61">
        <v>45205.0</v>
      </c>
      <c r="F1702" s="9" t="b">
        <v>1</v>
      </c>
      <c r="G1702" s="9" t="s">
        <v>43228</v>
      </c>
      <c r="H1702" s="9" t="s">
        <v>42576</v>
      </c>
      <c r="I1702" s="9"/>
    </row>
    <row r="1703" ht="15.75" customHeight="1">
      <c r="A1703" s="9" t="s">
        <v>45577</v>
      </c>
      <c r="B1703" s="9" t="s">
        <v>76</v>
      </c>
      <c r="C1703" s="9" t="s">
        <v>41019</v>
      </c>
      <c r="D1703" s="9" t="s">
        <v>45578</v>
      </c>
      <c r="E1703" s="61">
        <v>45210.0</v>
      </c>
      <c r="F1703" s="9" t="b">
        <v>1</v>
      </c>
      <c r="G1703" s="9" t="s">
        <v>38801</v>
      </c>
      <c r="H1703" s="9" t="s">
        <v>42576</v>
      </c>
      <c r="I1703" s="9" t="b">
        <v>1</v>
      </c>
    </row>
    <row r="1704" ht="15.75" customHeight="1">
      <c r="A1704" s="9" t="s">
        <v>45579</v>
      </c>
      <c r="B1704" s="9" t="s">
        <v>76</v>
      </c>
      <c r="C1704" s="9" t="s">
        <v>41046</v>
      </c>
      <c r="D1704" s="9" t="s">
        <v>45580</v>
      </c>
      <c r="E1704" s="61">
        <v>45210.0</v>
      </c>
      <c r="F1704" s="9" t="b">
        <v>1</v>
      </c>
      <c r="G1704" s="9" t="s">
        <v>38801</v>
      </c>
      <c r="H1704" s="9" t="s">
        <v>42576</v>
      </c>
      <c r="I1704" s="9" t="b">
        <v>1</v>
      </c>
    </row>
    <row r="1705" ht="15.75" customHeight="1">
      <c r="A1705" s="9" t="s">
        <v>45581</v>
      </c>
      <c r="B1705" s="9" t="s">
        <v>131</v>
      </c>
      <c r="C1705" s="9" t="s">
        <v>41145</v>
      </c>
      <c r="D1705" s="9" t="s">
        <v>45582</v>
      </c>
      <c r="E1705" s="61">
        <v>45215.0</v>
      </c>
      <c r="F1705" s="9" t="b">
        <v>1</v>
      </c>
      <c r="G1705" s="9" t="s">
        <v>38801</v>
      </c>
      <c r="H1705" s="9" t="s">
        <v>42576</v>
      </c>
      <c r="I1705" s="9" t="b">
        <v>1</v>
      </c>
    </row>
    <row r="1706" ht="15.75" customHeight="1">
      <c r="A1706" s="9" t="s">
        <v>45583</v>
      </c>
      <c r="B1706" s="9" t="s">
        <v>131</v>
      </c>
      <c r="C1706" s="9" t="s">
        <v>40534</v>
      </c>
      <c r="D1706" s="9" t="s">
        <v>45584</v>
      </c>
      <c r="E1706" s="61">
        <v>45215.0</v>
      </c>
      <c r="F1706" s="9" t="b">
        <v>1</v>
      </c>
      <c r="G1706" s="9" t="s">
        <v>38801</v>
      </c>
      <c r="H1706" s="9" t="s">
        <v>42576</v>
      </c>
      <c r="I1706" s="9" t="b">
        <v>1</v>
      </c>
    </row>
    <row r="1707" ht="15.75" customHeight="1">
      <c r="A1707" s="9" t="s">
        <v>45585</v>
      </c>
      <c r="B1707" s="9" t="s">
        <v>47</v>
      </c>
      <c r="C1707" s="9" t="s">
        <v>41147</v>
      </c>
      <c r="D1707" s="9" t="s">
        <v>45586</v>
      </c>
      <c r="E1707" s="61">
        <v>45217.0</v>
      </c>
      <c r="F1707" s="9" t="b">
        <v>1</v>
      </c>
      <c r="G1707" s="9" t="s">
        <v>38801</v>
      </c>
      <c r="H1707" s="9" t="s">
        <v>42576</v>
      </c>
      <c r="I1707" s="9" t="b">
        <v>1</v>
      </c>
    </row>
    <row r="1708" ht="15.75" customHeight="1">
      <c r="A1708" s="9" t="s">
        <v>45587</v>
      </c>
      <c r="B1708" s="9" t="s">
        <v>47</v>
      </c>
      <c r="C1708" s="9" t="s">
        <v>41149</v>
      </c>
      <c r="D1708" s="9" t="s">
        <v>45588</v>
      </c>
      <c r="E1708" s="61">
        <v>45218.0</v>
      </c>
      <c r="F1708" s="9" t="b">
        <v>1</v>
      </c>
      <c r="G1708" s="9" t="s">
        <v>38801</v>
      </c>
      <c r="H1708" s="9" t="s">
        <v>42576</v>
      </c>
      <c r="I1708" s="9" t="b">
        <v>1</v>
      </c>
    </row>
    <row r="1709" ht="15.75" customHeight="1">
      <c r="A1709" s="9" t="s">
        <v>45589</v>
      </c>
      <c r="B1709" s="9" t="s">
        <v>47</v>
      </c>
      <c r="C1709" s="9" t="s">
        <v>41150</v>
      </c>
      <c r="D1709" s="9" t="s">
        <v>42560</v>
      </c>
      <c r="E1709" s="61">
        <v>45218.0</v>
      </c>
      <c r="F1709" s="9" t="b">
        <v>1</v>
      </c>
      <c r="G1709" s="9" t="s">
        <v>38801</v>
      </c>
      <c r="H1709" s="9" t="s">
        <v>42576</v>
      </c>
      <c r="I1709" s="9" t="b">
        <v>1</v>
      </c>
    </row>
    <row r="1710" ht="15.75" customHeight="1">
      <c r="A1710" s="9" t="s">
        <v>45590</v>
      </c>
      <c r="B1710" s="9" t="s">
        <v>47</v>
      </c>
      <c r="C1710" s="9" t="s">
        <v>41152</v>
      </c>
      <c r="D1710" s="9" t="s">
        <v>42560</v>
      </c>
      <c r="E1710" s="61">
        <v>45218.0</v>
      </c>
      <c r="F1710" s="9" t="b">
        <v>1</v>
      </c>
      <c r="G1710" s="9" t="s">
        <v>38801</v>
      </c>
      <c r="H1710" s="9" t="s">
        <v>42576</v>
      </c>
      <c r="I1710" s="9" t="b">
        <v>1</v>
      </c>
    </row>
    <row r="1711" ht="15.75" customHeight="1">
      <c r="A1711" s="9" t="s">
        <v>45591</v>
      </c>
      <c r="B1711" s="9" t="s">
        <v>47</v>
      </c>
      <c r="C1711" s="9" t="s">
        <v>41153</v>
      </c>
      <c r="D1711" s="9" t="s">
        <v>45592</v>
      </c>
      <c r="E1711" s="61">
        <v>45218.0</v>
      </c>
      <c r="F1711" s="9" t="b">
        <v>1</v>
      </c>
      <c r="G1711" s="9" t="s">
        <v>38801</v>
      </c>
      <c r="H1711" s="9" t="s">
        <v>42576</v>
      </c>
      <c r="I1711" s="9" t="b">
        <v>1</v>
      </c>
    </row>
    <row r="1712" ht="15.75" customHeight="1">
      <c r="A1712" s="9" t="s">
        <v>45593</v>
      </c>
      <c r="B1712" s="9" t="s">
        <v>76</v>
      </c>
      <c r="C1712" s="9" t="s">
        <v>41080</v>
      </c>
      <c r="D1712" s="9" t="s">
        <v>45594</v>
      </c>
      <c r="E1712" s="61">
        <v>45218.0</v>
      </c>
      <c r="F1712" s="9" t="b">
        <v>1</v>
      </c>
      <c r="G1712" s="9" t="s">
        <v>38801</v>
      </c>
      <c r="H1712" s="9" t="s">
        <v>42576</v>
      </c>
      <c r="I1712" s="9" t="b">
        <v>1</v>
      </c>
    </row>
    <row r="1713" ht="15.75" customHeight="1">
      <c r="A1713" s="9" t="s">
        <v>45595</v>
      </c>
      <c r="B1713" s="9" t="s">
        <v>131</v>
      </c>
      <c r="C1713" s="9" t="s">
        <v>41159</v>
      </c>
      <c r="D1713" s="9" t="s">
        <v>45596</v>
      </c>
      <c r="E1713" s="61">
        <v>45222.0</v>
      </c>
      <c r="F1713" s="9" t="b">
        <v>1</v>
      </c>
      <c r="G1713" s="9" t="s">
        <v>38801</v>
      </c>
      <c r="H1713" s="9" t="s">
        <v>42576</v>
      </c>
      <c r="I1713" s="9" t="b">
        <v>1</v>
      </c>
    </row>
    <row r="1714" ht="15.75" customHeight="1">
      <c r="A1714" s="9" t="s">
        <v>45597</v>
      </c>
      <c r="B1714" s="9" t="s">
        <v>131</v>
      </c>
      <c r="C1714" s="9" t="s">
        <v>41045</v>
      </c>
      <c r="D1714" s="9" t="s">
        <v>45598</v>
      </c>
      <c r="E1714" s="61">
        <v>45222.0</v>
      </c>
      <c r="F1714" s="9" t="b">
        <v>1</v>
      </c>
      <c r="G1714" s="9" t="s">
        <v>38801</v>
      </c>
      <c r="H1714" s="9" t="s">
        <v>42576</v>
      </c>
      <c r="I1714" s="9" t="b">
        <v>1</v>
      </c>
    </row>
    <row r="1715" ht="15.75" customHeight="1">
      <c r="A1715" s="9" t="s">
        <v>45599</v>
      </c>
      <c r="B1715" s="9" t="s">
        <v>26</v>
      </c>
      <c r="C1715" s="9" t="s">
        <v>40342</v>
      </c>
      <c r="D1715" s="9" t="s">
        <v>45600</v>
      </c>
      <c r="E1715" s="61">
        <v>45223.0</v>
      </c>
      <c r="F1715" s="9" t="b">
        <v>1</v>
      </c>
      <c r="G1715" s="9" t="s">
        <v>42573</v>
      </c>
      <c r="H1715" s="9" t="s">
        <v>38800</v>
      </c>
      <c r="I1715" s="9"/>
    </row>
    <row r="1716" ht="15.75" customHeight="1">
      <c r="A1716" s="9" t="s">
        <v>45601</v>
      </c>
      <c r="B1716" s="9" t="s">
        <v>47</v>
      </c>
      <c r="C1716" s="9" t="s">
        <v>41160</v>
      </c>
      <c r="D1716" s="9" t="s">
        <v>45602</v>
      </c>
      <c r="E1716" s="61">
        <v>45223.0</v>
      </c>
      <c r="F1716" s="9" t="b">
        <v>1</v>
      </c>
      <c r="G1716" s="9" t="s">
        <v>38801</v>
      </c>
      <c r="H1716" s="9" t="s">
        <v>42576</v>
      </c>
      <c r="I1716" s="9" t="b">
        <v>1</v>
      </c>
    </row>
    <row r="1717" ht="15.75" customHeight="1">
      <c r="A1717" s="9" t="s">
        <v>45603</v>
      </c>
      <c r="B1717" s="9" t="s">
        <v>76</v>
      </c>
      <c r="C1717" s="9" t="s">
        <v>41137</v>
      </c>
      <c r="D1717" s="9" t="s">
        <v>45604</v>
      </c>
      <c r="E1717" s="61">
        <v>45225.0</v>
      </c>
      <c r="F1717" s="9" t="b">
        <v>1</v>
      </c>
      <c r="G1717" s="9" t="s">
        <v>38801</v>
      </c>
      <c r="H1717" s="9" t="s">
        <v>42576</v>
      </c>
      <c r="I1717" s="9" t="b">
        <v>1</v>
      </c>
    </row>
    <row r="1718" ht="15.75" customHeight="1">
      <c r="A1718" s="9" t="s">
        <v>45605</v>
      </c>
      <c r="B1718" s="9" t="s">
        <v>131</v>
      </c>
      <c r="C1718" s="9" t="s">
        <v>41162</v>
      </c>
      <c r="D1718" s="9" t="s">
        <v>45606</v>
      </c>
      <c r="E1718" s="61">
        <v>45225.0</v>
      </c>
      <c r="F1718" s="9" t="b">
        <v>1</v>
      </c>
      <c r="G1718" s="9" t="s">
        <v>38801</v>
      </c>
      <c r="H1718" s="9" t="s">
        <v>42576</v>
      </c>
      <c r="I1718" s="9" t="b">
        <v>1</v>
      </c>
    </row>
    <row r="1719" ht="15.75" customHeight="1">
      <c r="A1719" s="9" t="s">
        <v>45607</v>
      </c>
      <c r="B1719" s="9" t="s">
        <v>131</v>
      </c>
      <c r="C1719" s="9" t="s">
        <v>41166</v>
      </c>
      <c r="D1719" s="9" t="s">
        <v>45608</v>
      </c>
      <c r="E1719" s="61">
        <v>45225.0</v>
      </c>
      <c r="F1719" s="9" t="b">
        <v>1</v>
      </c>
      <c r="G1719" s="9" t="s">
        <v>38801</v>
      </c>
      <c r="H1719" s="9" t="s">
        <v>42576</v>
      </c>
      <c r="I1719" s="9" t="b">
        <v>1</v>
      </c>
    </row>
    <row r="1720" ht="15.75" customHeight="1">
      <c r="A1720" s="9" t="s">
        <v>45609</v>
      </c>
      <c r="B1720" s="9" t="s">
        <v>47</v>
      </c>
      <c r="C1720" s="9" t="s">
        <v>41168</v>
      </c>
      <c r="D1720" s="9" t="s">
        <v>45610</v>
      </c>
      <c r="E1720" s="61">
        <v>45225.0</v>
      </c>
      <c r="F1720" s="9" t="b">
        <v>1</v>
      </c>
      <c r="G1720" s="9" t="s">
        <v>38801</v>
      </c>
      <c r="H1720" s="9" t="s">
        <v>42576</v>
      </c>
      <c r="I1720" s="9" t="b">
        <v>1</v>
      </c>
    </row>
    <row r="1721" ht="15.75" customHeight="1">
      <c r="A1721" s="9" t="s">
        <v>45611</v>
      </c>
      <c r="B1721" s="9" t="s">
        <v>47</v>
      </c>
      <c r="C1721" s="9" t="s">
        <v>41170</v>
      </c>
      <c r="D1721" s="9" t="s">
        <v>45612</v>
      </c>
      <c r="E1721" s="61">
        <v>45225.0</v>
      </c>
      <c r="F1721" s="9" t="b">
        <v>1</v>
      </c>
      <c r="G1721" s="9" t="s">
        <v>38801</v>
      </c>
      <c r="H1721" s="9" t="s">
        <v>42576</v>
      </c>
      <c r="I1721" s="9" t="b">
        <v>1</v>
      </c>
    </row>
    <row r="1722" ht="15.75" customHeight="1">
      <c r="A1722" s="9" t="s">
        <v>45613</v>
      </c>
      <c r="B1722" s="9" t="s">
        <v>26</v>
      </c>
      <c r="C1722" s="9" t="s">
        <v>41115</v>
      </c>
      <c r="D1722" s="9" t="s">
        <v>45614</v>
      </c>
      <c r="E1722" s="61">
        <v>45226.0</v>
      </c>
      <c r="F1722" s="9" t="b">
        <v>1</v>
      </c>
      <c r="G1722" s="9" t="s">
        <v>38801</v>
      </c>
      <c r="H1722" s="9" t="s">
        <v>38800</v>
      </c>
      <c r="I1722" s="9" t="b">
        <v>1</v>
      </c>
    </row>
    <row r="1723" ht="15.75" customHeight="1">
      <c r="A1723" s="9" t="s">
        <v>45615</v>
      </c>
      <c r="B1723" s="9" t="s">
        <v>26</v>
      </c>
      <c r="C1723" s="9" t="s">
        <v>40998</v>
      </c>
      <c r="D1723" s="9" t="s">
        <v>45616</v>
      </c>
      <c r="E1723" s="61">
        <v>45226.0</v>
      </c>
      <c r="F1723" s="9" t="b">
        <v>1</v>
      </c>
      <c r="G1723" s="9" t="s">
        <v>38801</v>
      </c>
      <c r="H1723" s="9" t="s">
        <v>42560</v>
      </c>
      <c r="I1723" s="9" t="b">
        <v>1</v>
      </c>
    </row>
    <row r="1724" ht="15.75" customHeight="1">
      <c r="A1724" s="9" t="s">
        <v>45617</v>
      </c>
      <c r="B1724" s="9" t="s">
        <v>76</v>
      </c>
      <c r="C1724" s="9" t="s">
        <v>41142</v>
      </c>
      <c r="D1724" s="9" t="s">
        <v>45618</v>
      </c>
      <c r="E1724" s="61">
        <v>45226.0</v>
      </c>
      <c r="F1724" s="9" t="b">
        <v>1</v>
      </c>
      <c r="G1724" s="9" t="s">
        <v>38801</v>
      </c>
      <c r="H1724" s="9" t="s">
        <v>42576</v>
      </c>
      <c r="I1724" s="9" t="b">
        <v>1</v>
      </c>
    </row>
    <row r="1725" ht="15.75" customHeight="1">
      <c r="A1725" s="9" t="s">
        <v>45619</v>
      </c>
      <c r="B1725" s="9" t="s">
        <v>131</v>
      </c>
      <c r="C1725" s="9" t="s">
        <v>41093</v>
      </c>
      <c r="D1725" s="9" t="s">
        <v>45620</v>
      </c>
      <c r="E1725" s="61">
        <v>45226.0</v>
      </c>
      <c r="F1725" s="9" t="b">
        <v>1</v>
      </c>
      <c r="G1725" s="9" t="s">
        <v>38801</v>
      </c>
      <c r="H1725" s="9" t="s">
        <v>38800</v>
      </c>
      <c r="I1725" s="9" t="b">
        <v>1</v>
      </c>
    </row>
    <row r="1726" ht="15.75" customHeight="1">
      <c r="A1726" s="9" t="s">
        <v>45621</v>
      </c>
      <c r="B1726" s="9" t="s">
        <v>131</v>
      </c>
      <c r="C1726" s="9" t="s">
        <v>40992</v>
      </c>
      <c r="D1726" s="9" t="s">
        <v>45622</v>
      </c>
      <c r="E1726" s="61">
        <v>45226.0</v>
      </c>
      <c r="F1726" s="9" t="b">
        <v>1</v>
      </c>
      <c r="G1726" s="9" t="s">
        <v>38801</v>
      </c>
      <c r="H1726" s="9" t="s">
        <v>42576</v>
      </c>
      <c r="I1726" s="9" t="b">
        <v>1</v>
      </c>
    </row>
    <row r="1727" ht="15.75" customHeight="1">
      <c r="A1727" s="9" t="s">
        <v>45623</v>
      </c>
      <c r="B1727" s="9" t="s">
        <v>80</v>
      </c>
      <c r="C1727" s="9" t="s">
        <v>41176</v>
      </c>
      <c r="D1727" s="9" t="s">
        <v>45624</v>
      </c>
      <c r="E1727" s="61">
        <v>45229.0</v>
      </c>
      <c r="F1727" s="9" t="b">
        <v>1</v>
      </c>
      <c r="G1727" s="9" t="s">
        <v>38801</v>
      </c>
      <c r="H1727" s="9" t="s">
        <v>42576</v>
      </c>
      <c r="I1727" s="9" t="b">
        <v>1</v>
      </c>
    </row>
    <row r="1728" ht="15.75" customHeight="1">
      <c r="A1728" s="9" t="s">
        <v>45625</v>
      </c>
      <c r="B1728" s="9" t="s">
        <v>131</v>
      </c>
      <c r="C1728" s="9" t="s">
        <v>41174</v>
      </c>
      <c r="D1728" s="9" t="s">
        <v>45626</v>
      </c>
      <c r="E1728" s="61">
        <v>45230.0</v>
      </c>
      <c r="F1728" s="9" t="b">
        <v>1</v>
      </c>
      <c r="G1728" s="9" t="s">
        <v>38801</v>
      </c>
      <c r="H1728" s="9" t="s">
        <v>42576</v>
      </c>
      <c r="I1728" s="9" t="b">
        <v>1</v>
      </c>
    </row>
    <row r="1729" ht="15.75" customHeight="1">
      <c r="A1729" s="9" t="s">
        <v>45627</v>
      </c>
      <c r="B1729" s="9" t="s">
        <v>26</v>
      </c>
      <c r="C1729" s="9" t="s">
        <v>41124</v>
      </c>
      <c r="D1729" s="132">
        <v>45224.0</v>
      </c>
      <c r="E1729" s="61">
        <v>45232.0</v>
      </c>
      <c r="F1729" s="9" t="b">
        <v>1</v>
      </c>
      <c r="G1729" s="9" t="s">
        <v>38801</v>
      </c>
      <c r="H1729" s="9" t="s">
        <v>42560</v>
      </c>
      <c r="I1729" s="9" t="b">
        <v>1</v>
      </c>
    </row>
    <row r="1730" ht="15.75" customHeight="1">
      <c r="A1730" s="9" t="s">
        <v>45628</v>
      </c>
      <c r="B1730" s="9" t="s">
        <v>26</v>
      </c>
      <c r="C1730" s="9" t="s">
        <v>41125</v>
      </c>
      <c r="D1730" s="9" t="s">
        <v>45298</v>
      </c>
      <c r="E1730" s="61">
        <v>45232.0</v>
      </c>
      <c r="F1730" s="9" t="b">
        <v>1</v>
      </c>
      <c r="G1730" s="9" t="s">
        <v>38801</v>
      </c>
      <c r="H1730" s="9" t="s">
        <v>42560</v>
      </c>
      <c r="I1730" s="9" t="b">
        <v>1</v>
      </c>
    </row>
    <row r="1731" ht="15.75" customHeight="1">
      <c r="A1731" s="9" t="s">
        <v>45629</v>
      </c>
      <c r="B1731" s="9" t="s">
        <v>26</v>
      </c>
      <c r="C1731" s="9" t="s">
        <v>41157</v>
      </c>
      <c r="D1731" s="9" t="s">
        <v>45630</v>
      </c>
      <c r="E1731" s="61">
        <v>45232.0</v>
      </c>
      <c r="F1731" s="9" t="b">
        <v>1</v>
      </c>
      <c r="G1731" s="9" t="s">
        <v>42573</v>
      </c>
      <c r="H1731" s="9" t="s">
        <v>42560</v>
      </c>
      <c r="I1731" s="9"/>
    </row>
    <row r="1732" ht="15.75" customHeight="1">
      <c r="A1732" s="9" t="s">
        <v>45631</v>
      </c>
      <c r="B1732" s="9" t="s">
        <v>26</v>
      </c>
      <c r="C1732" s="9" t="s">
        <v>41157</v>
      </c>
      <c r="D1732" s="9" t="s">
        <v>45632</v>
      </c>
      <c r="E1732" s="61">
        <v>45232.0</v>
      </c>
      <c r="F1732" s="9" t="b">
        <v>1</v>
      </c>
      <c r="G1732" s="9" t="s">
        <v>42573</v>
      </c>
      <c r="H1732" s="9" t="s">
        <v>42576</v>
      </c>
      <c r="I1732" s="9"/>
    </row>
    <row r="1733" ht="15.75" customHeight="1">
      <c r="A1733" s="9" t="s">
        <v>45633</v>
      </c>
      <c r="B1733" s="9" t="s">
        <v>47</v>
      </c>
      <c r="C1733" s="9" t="s">
        <v>41178</v>
      </c>
      <c r="D1733" s="9" t="s">
        <v>45634</v>
      </c>
      <c r="E1733" s="61">
        <v>45232.0</v>
      </c>
      <c r="F1733" s="9" t="b">
        <v>1</v>
      </c>
      <c r="G1733" s="9" t="s">
        <v>38801</v>
      </c>
      <c r="H1733" s="9" t="s">
        <v>42576</v>
      </c>
      <c r="I1733" s="9" t="b">
        <v>1</v>
      </c>
    </row>
    <row r="1734" ht="15.75" customHeight="1">
      <c r="A1734" s="9" t="s">
        <v>45635</v>
      </c>
      <c r="B1734" s="9" t="s">
        <v>131</v>
      </c>
      <c r="C1734" s="9" t="s">
        <v>41180</v>
      </c>
      <c r="D1734" s="9" t="s">
        <v>45636</v>
      </c>
      <c r="E1734" s="61">
        <v>45233.0</v>
      </c>
      <c r="F1734" s="9" t="b">
        <v>1</v>
      </c>
      <c r="G1734" s="9" t="s">
        <v>38801</v>
      </c>
      <c r="H1734" s="9" t="s">
        <v>42576</v>
      </c>
      <c r="I1734" s="9" t="b">
        <v>1</v>
      </c>
    </row>
    <row r="1735" ht="15.75" customHeight="1">
      <c r="A1735" s="9" t="s">
        <v>45637</v>
      </c>
      <c r="B1735" s="9" t="s">
        <v>131</v>
      </c>
      <c r="C1735" s="9" t="s">
        <v>41189</v>
      </c>
      <c r="D1735" s="9" t="s">
        <v>45638</v>
      </c>
      <c r="E1735" s="61">
        <v>45236.0</v>
      </c>
      <c r="F1735" s="9" t="b">
        <v>1</v>
      </c>
      <c r="G1735" s="9" t="s">
        <v>38801</v>
      </c>
      <c r="H1735" s="9" t="s">
        <v>42576</v>
      </c>
      <c r="I1735" s="9" t="b">
        <v>1</v>
      </c>
    </row>
    <row r="1736" ht="15.75" customHeight="1">
      <c r="A1736" s="9" t="s">
        <v>45639</v>
      </c>
      <c r="B1736" s="9" t="s">
        <v>76</v>
      </c>
      <c r="C1736" s="9" t="s">
        <v>41164</v>
      </c>
      <c r="D1736" s="9" t="s">
        <v>45640</v>
      </c>
      <c r="E1736" s="61">
        <v>45237.0</v>
      </c>
      <c r="F1736" s="9" t="b">
        <v>1</v>
      </c>
      <c r="G1736" s="9" t="s">
        <v>38801</v>
      </c>
      <c r="H1736" s="9" t="s">
        <v>42576</v>
      </c>
      <c r="I1736" s="9" t="b">
        <v>1</v>
      </c>
    </row>
    <row r="1737" ht="15.75" customHeight="1">
      <c r="A1737" s="9" t="s">
        <v>45641</v>
      </c>
      <c r="B1737" s="9" t="s">
        <v>131</v>
      </c>
      <c r="C1737" s="9" t="s">
        <v>41188</v>
      </c>
      <c r="D1737" s="9" t="s">
        <v>45642</v>
      </c>
      <c r="E1737" s="61">
        <v>45237.0</v>
      </c>
      <c r="F1737" s="9" t="b">
        <v>1</v>
      </c>
      <c r="G1737" s="9" t="s">
        <v>38801</v>
      </c>
      <c r="H1737" s="9" t="s">
        <v>42576</v>
      </c>
      <c r="I1737" s="9" t="b">
        <v>1</v>
      </c>
    </row>
    <row r="1738" ht="15.75" customHeight="1">
      <c r="A1738" s="9" t="s">
        <v>45643</v>
      </c>
      <c r="B1738" s="9" t="s">
        <v>47</v>
      </c>
      <c r="C1738" s="9" t="s">
        <v>41013</v>
      </c>
      <c r="D1738" s="9" t="s">
        <v>45644</v>
      </c>
      <c r="E1738" s="61">
        <v>45237.0</v>
      </c>
      <c r="F1738" s="9" t="b">
        <v>1</v>
      </c>
      <c r="G1738" s="9" t="s">
        <v>38801</v>
      </c>
      <c r="H1738" s="9" t="s">
        <v>42576</v>
      </c>
      <c r="I1738" s="9" t="b">
        <v>1</v>
      </c>
    </row>
    <row r="1739" ht="15.75" customHeight="1">
      <c r="A1739" s="9" t="s">
        <v>45645</v>
      </c>
      <c r="B1739" s="9" t="s">
        <v>47</v>
      </c>
      <c r="C1739" s="9" t="s">
        <v>41190</v>
      </c>
      <c r="D1739" s="9" t="s">
        <v>43724</v>
      </c>
      <c r="E1739" s="61">
        <v>45237.0</v>
      </c>
      <c r="F1739" s="9" t="b">
        <v>1</v>
      </c>
      <c r="G1739" s="9" t="s">
        <v>38801</v>
      </c>
      <c r="H1739" s="9" t="s">
        <v>42576</v>
      </c>
      <c r="I1739" s="9" t="b">
        <v>1</v>
      </c>
    </row>
    <row r="1740" ht="15.75" customHeight="1">
      <c r="A1740" s="9" t="s">
        <v>45646</v>
      </c>
      <c r="B1740" s="9" t="s">
        <v>76</v>
      </c>
      <c r="C1740" s="9" t="s">
        <v>41187</v>
      </c>
      <c r="D1740" s="9" t="s">
        <v>45647</v>
      </c>
      <c r="E1740" s="61">
        <v>45237.0</v>
      </c>
      <c r="F1740" s="9" t="b">
        <v>1</v>
      </c>
      <c r="G1740" s="9" t="s">
        <v>38801</v>
      </c>
      <c r="H1740" s="9" t="s">
        <v>42576</v>
      </c>
      <c r="I1740" s="9" t="b">
        <v>1</v>
      </c>
    </row>
    <row r="1741" ht="15.75" customHeight="1">
      <c r="A1741" s="9" t="s">
        <v>45648</v>
      </c>
      <c r="B1741" s="9" t="s">
        <v>131</v>
      </c>
      <c r="C1741" s="9" t="s">
        <v>41192</v>
      </c>
      <c r="D1741" s="9" t="s">
        <v>45649</v>
      </c>
      <c r="E1741" s="61">
        <v>45237.0</v>
      </c>
      <c r="F1741" s="9" t="b">
        <v>1</v>
      </c>
      <c r="G1741" s="9" t="s">
        <v>38801</v>
      </c>
      <c r="H1741" s="9" t="s">
        <v>42576</v>
      </c>
      <c r="I1741" s="9" t="b">
        <v>1</v>
      </c>
    </row>
    <row r="1742" ht="15.75" customHeight="1">
      <c r="A1742" s="52" t="s">
        <v>45650</v>
      </c>
      <c r="B1742" s="9" t="s">
        <v>26</v>
      </c>
      <c r="C1742" s="9" t="s">
        <v>41157</v>
      </c>
      <c r="D1742" s="9" t="s">
        <v>45651</v>
      </c>
      <c r="E1742" s="61">
        <v>45239.0</v>
      </c>
      <c r="F1742" s="9" t="b">
        <v>1</v>
      </c>
      <c r="G1742" s="9" t="s">
        <v>38801</v>
      </c>
      <c r="H1742" s="9" t="s">
        <v>42560</v>
      </c>
      <c r="I1742" s="9" t="b">
        <v>1</v>
      </c>
    </row>
    <row r="1743" ht="15.75" customHeight="1">
      <c r="A1743" s="9" t="s">
        <v>45652</v>
      </c>
      <c r="B1743" s="9" t="s">
        <v>26</v>
      </c>
      <c r="C1743" s="9" t="s">
        <v>41182</v>
      </c>
      <c r="D1743" s="9" t="s">
        <v>45653</v>
      </c>
      <c r="E1743" s="61">
        <v>45239.0</v>
      </c>
      <c r="F1743" s="9" t="b">
        <v>1</v>
      </c>
      <c r="G1743" s="9" t="s">
        <v>38801</v>
      </c>
      <c r="H1743" s="9" t="s">
        <v>42560</v>
      </c>
      <c r="I1743" s="9" t="b">
        <v>1</v>
      </c>
    </row>
    <row r="1744" ht="15.75" customHeight="1">
      <c r="A1744" s="9" t="s">
        <v>45654</v>
      </c>
      <c r="B1744" s="9" t="s">
        <v>26</v>
      </c>
      <c r="C1744" s="9" t="s">
        <v>41194</v>
      </c>
      <c r="D1744" s="9" t="s">
        <v>45655</v>
      </c>
      <c r="E1744" s="61">
        <v>45239.0</v>
      </c>
      <c r="F1744" s="9" t="b">
        <v>1</v>
      </c>
      <c r="G1744" s="9" t="s">
        <v>38801</v>
      </c>
      <c r="H1744" s="9" t="s">
        <v>42560</v>
      </c>
      <c r="I1744" s="9" t="b">
        <v>1</v>
      </c>
    </row>
    <row r="1745" ht="15.75" customHeight="1">
      <c r="A1745" s="9" t="s">
        <v>45656</v>
      </c>
      <c r="B1745" s="9" t="s">
        <v>131</v>
      </c>
      <c r="C1745" s="9" t="s">
        <v>41185</v>
      </c>
      <c r="D1745" s="9" t="s">
        <v>45657</v>
      </c>
      <c r="E1745" s="61">
        <v>45240.0</v>
      </c>
      <c r="F1745" s="9" t="b">
        <v>1</v>
      </c>
      <c r="G1745" s="9" t="s">
        <v>38801</v>
      </c>
      <c r="H1745" s="9" t="s">
        <v>42576</v>
      </c>
      <c r="I1745" s="9" t="b">
        <v>1</v>
      </c>
    </row>
    <row r="1746" ht="15.75" customHeight="1">
      <c r="A1746" s="9" t="s">
        <v>45658</v>
      </c>
      <c r="B1746" s="9" t="s">
        <v>131</v>
      </c>
      <c r="C1746" s="9" t="s">
        <v>41172</v>
      </c>
      <c r="D1746" s="9" t="s">
        <v>45659</v>
      </c>
      <c r="E1746" s="61">
        <v>45240.0</v>
      </c>
      <c r="F1746" s="9" t="b">
        <v>1</v>
      </c>
      <c r="G1746" s="9" t="s">
        <v>42573</v>
      </c>
      <c r="H1746" s="9" t="s">
        <v>42576</v>
      </c>
      <c r="I1746" s="9"/>
    </row>
    <row r="1747" ht="15.75" customHeight="1">
      <c r="A1747" s="9" t="s">
        <v>45660</v>
      </c>
      <c r="B1747" s="9" t="s">
        <v>131</v>
      </c>
      <c r="C1747" s="9" t="s">
        <v>41143</v>
      </c>
      <c r="D1747" s="9" t="s">
        <v>45661</v>
      </c>
      <c r="E1747" s="61">
        <v>45240.0</v>
      </c>
      <c r="F1747" s="9" t="b">
        <v>1</v>
      </c>
      <c r="G1747" s="9" t="s">
        <v>42573</v>
      </c>
      <c r="H1747" s="9" t="s">
        <v>42576</v>
      </c>
      <c r="I1747" s="9"/>
    </row>
    <row r="1748" ht="15.75" customHeight="1">
      <c r="A1748" s="9" t="s">
        <v>45662</v>
      </c>
      <c r="B1748" s="9" t="s">
        <v>131</v>
      </c>
      <c r="C1748" s="9" t="s">
        <v>41144</v>
      </c>
      <c r="D1748" s="9" t="s">
        <v>45663</v>
      </c>
      <c r="E1748" s="61">
        <v>45240.0</v>
      </c>
      <c r="F1748" s="9" t="b">
        <v>1</v>
      </c>
      <c r="G1748" s="9" t="s">
        <v>42573</v>
      </c>
      <c r="H1748" s="9" t="s">
        <v>42576</v>
      </c>
      <c r="I1748" s="9"/>
    </row>
    <row r="1749" ht="15.75" customHeight="1">
      <c r="A1749" s="9" t="s">
        <v>45664</v>
      </c>
      <c r="B1749" s="9" t="s">
        <v>47</v>
      </c>
      <c r="C1749" s="9" t="s">
        <v>41197</v>
      </c>
      <c r="D1749" s="9" t="s">
        <v>45665</v>
      </c>
      <c r="E1749" s="61">
        <v>45240.0</v>
      </c>
      <c r="F1749" s="9" t="b">
        <v>1</v>
      </c>
      <c r="G1749" s="9" t="s">
        <v>38801</v>
      </c>
      <c r="H1749" s="9" t="s">
        <v>42576</v>
      </c>
      <c r="I1749" s="9" t="b">
        <v>1</v>
      </c>
    </row>
    <row r="1750" ht="15.75" customHeight="1">
      <c r="A1750" s="9" t="s">
        <v>45666</v>
      </c>
      <c r="B1750" s="9" t="s">
        <v>47</v>
      </c>
      <c r="C1750" s="9" t="s">
        <v>41199</v>
      </c>
      <c r="D1750" s="9" t="s">
        <v>45667</v>
      </c>
      <c r="E1750" s="61">
        <v>45240.0</v>
      </c>
      <c r="F1750" s="9" t="b">
        <v>1</v>
      </c>
      <c r="G1750" s="9" t="s">
        <v>38801</v>
      </c>
      <c r="H1750" s="9" t="s">
        <v>42576</v>
      </c>
      <c r="I1750" s="9" t="b">
        <v>1</v>
      </c>
    </row>
    <row r="1751" ht="15.75" customHeight="1">
      <c r="A1751" s="9" t="s">
        <v>45668</v>
      </c>
      <c r="B1751" s="9" t="s">
        <v>131</v>
      </c>
      <c r="C1751" s="9" t="s">
        <v>41182</v>
      </c>
      <c r="D1751" s="9" t="s">
        <v>45669</v>
      </c>
      <c r="E1751" s="61">
        <v>45243.0</v>
      </c>
      <c r="F1751" s="9" t="b">
        <v>1</v>
      </c>
      <c r="G1751" s="9" t="s">
        <v>38801</v>
      </c>
      <c r="H1751" s="9" t="s">
        <v>42576</v>
      </c>
      <c r="I1751" s="9" t="b">
        <v>1</v>
      </c>
    </row>
    <row r="1752" ht="15.75" customHeight="1">
      <c r="A1752" s="9" t="s">
        <v>45670</v>
      </c>
      <c r="B1752" s="9" t="s">
        <v>131</v>
      </c>
      <c r="C1752" s="9" t="s">
        <v>41213</v>
      </c>
      <c r="D1752" s="9" t="s">
        <v>45671</v>
      </c>
      <c r="E1752" s="61">
        <v>45245.0</v>
      </c>
      <c r="F1752" s="9" t="b">
        <v>1</v>
      </c>
      <c r="G1752" s="9" t="s">
        <v>38801</v>
      </c>
      <c r="H1752" s="9" t="s">
        <v>42576</v>
      </c>
      <c r="I1752" s="9" t="b">
        <v>1</v>
      </c>
    </row>
    <row r="1753" ht="15.75" customHeight="1">
      <c r="A1753" s="9" t="s">
        <v>45672</v>
      </c>
      <c r="B1753" s="9" t="s">
        <v>52</v>
      </c>
      <c r="C1753" s="9" t="s">
        <v>41215</v>
      </c>
      <c r="D1753" s="9" t="s">
        <v>45673</v>
      </c>
      <c r="E1753" s="61">
        <v>45245.0</v>
      </c>
      <c r="F1753" s="9" t="b">
        <v>1</v>
      </c>
      <c r="G1753" s="9" t="s">
        <v>38801</v>
      </c>
      <c r="H1753" s="9" t="s">
        <v>42576</v>
      </c>
      <c r="I1753" s="9" t="b">
        <v>1</v>
      </c>
    </row>
    <row r="1754" ht="15.75" customHeight="1">
      <c r="A1754" s="9" t="s">
        <v>45674</v>
      </c>
      <c r="B1754" s="9" t="s">
        <v>26</v>
      </c>
      <c r="C1754" s="9" t="s">
        <v>41208</v>
      </c>
      <c r="D1754" s="9" t="s">
        <v>45675</v>
      </c>
      <c r="E1754" s="61">
        <v>45245.0</v>
      </c>
      <c r="F1754" s="9" t="b">
        <v>1</v>
      </c>
      <c r="G1754" s="9" t="s">
        <v>38801</v>
      </c>
      <c r="H1754" s="9" t="s">
        <v>42576</v>
      </c>
      <c r="I1754" s="9" t="b">
        <v>1</v>
      </c>
    </row>
    <row r="1755" ht="15.75" customHeight="1">
      <c r="A1755" s="52" t="s">
        <v>45676</v>
      </c>
      <c r="B1755" s="9" t="s">
        <v>26</v>
      </c>
      <c r="C1755" s="9" t="s">
        <v>41130</v>
      </c>
      <c r="D1755" s="9" t="s">
        <v>45677</v>
      </c>
      <c r="E1755" s="61">
        <v>45245.0</v>
      </c>
      <c r="F1755" s="9" t="b">
        <v>1</v>
      </c>
      <c r="G1755" s="9" t="s">
        <v>38801</v>
      </c>
      <c r="H1755" s="9" t="s">
        <v>42560</v>
      </c>
      <c r="I1755" s="9" t="b">
        <v>1</v>
      </c>
    </row>
    <row r="1756" ht="15.75" customHeight="1">
      <c r="A1756" s="9" t="s">
        <v>45678</v>
      </c>
      <c r="B1756" s="9" t="s">
        <v>26</v>
      </c>
      <c r="C1756" s="9" t="s">
        <v>41212</v>
      </c>
      <c r="D1756" s="9" t="s">
        <v>45679</v>
      </c>
      <c r="E1756" s="61">
        <v>45245.0</v>
      </c>
      <c r="F1756" s="9" t="b">
        <v>1</v>
      </c>
      <c r="G1756" s="9" t="s">
        <v>42573</v>
      </c>
      <c r="H1756" s="9" t="s">
        <v>42560</v>
      </c>
      <c r="I1756" s="9"/>
    </row>
    <row r="1757" ht="15.75" customHeight="1">
      <c r="A1757" s="9" t="s">
        <v>45680</v>
      </c>
      <c r="B1757" s="9" t="s">
        <v>26</v>
      </c>
      <c r="C1757" s="9" t="s">
        <v>40768</v>
      </c>
      <c r="D1757" s="9" t="s">
        <v>45681</v>
      </c>
      <c r="E1757" s="61">
        <v>45245.0</v>
      </c>
      <c r="F1757" s="9" t="b">
        <v>1</v>
      </c>
      <c r="G1757" s="9" t="s">
        <v>38801</v>
      </c>
      <c r="H1757" s="9" t="s">
        <v>42560</v>
      </c>
      <c r="I1757" s="9" t="b">
        <v>1</v>
      </c>
    </row>
    <row r="1758" ht="15.75" customHeight="1">
      <c r="A1758" s="9" t="s">
        <v>45682</v>
      </c>
      <c r="B1758" s="9" t="s">
        <v>131</v>
      </c>
      <c r="C1758" s="9" t="s">
        <v>41210</v>
      </c>
      <c r="D1758" s="9" t="s">
        <v>45683</v>
      </c>
      <c r="E1758" s="61">
        <v>45245.0</v>
      </c>
      <c r="F1758" s="9" t="b">
        <v>1</v>
      </c>
      <c r="G1758" s="9" t="s">
        <v>38801</v>
      </c>
      <c r="H1758" s="9" t="s">
        <v>42576</v>
      </c>
      <c r="I1758" s="9" t="b">
        <v>1</v>
      </c>
    </row>
    <row r="1759" ht="15.75" customHeight="1">
      <c r="A1759" s="9" t="s">
        <v>45684</v>
      </c>
      <c r="B1759" s="9" t="s">
        <v>26</v>
      </c>
      <c r="C1759" s="9" t="s">
        <v>40955</v>
      </c>
      <c r="D1759" s="9" t="s">
        <v>45685</v>
      </c>
      <c r="E1759" s="61">
        <v>45245.0</v>
      </c>
      <c r="F1759" s="9" t="b">
        <v>1</v>
      </c>
      <c r="G1759" s="9" t="s">
        <v>38801</v>
      </c>
      <c r="H1759" s="9" t="s">
        <v>42560</v>
      </c>
      <c r="I1759" s="9" t="b">
        <v>1</v>
      </c>
    </row>
    <row r="1760" ht="15.75" customHeight="1">
      <c r="A1760" s="9" t="s">
        <v>45686</v>
      </c>
      <c r="B1760" s="9" t="s">
        <v>26</v>
      </c>
      <c r="C1760" s="9" t="s">
        <v>41195</v>
      </c>
      <c r="D1760" s="9" t="s">
        <v>45687</v>
      </c>
      <c r="E1760" s="61">
        <v>45245.0</v>
      </c>
      <c r="F1760" s="9" t="b">
        <v>1</v>
      </c>
      <c r="G1760" s="9" t="s">
        <v>38801</v>
      </c>
      <c r="H1760" s="9" t="s">
        <v>42560</v>
      </c>
      <c r="I1760" s="9" t="b">
        <v>1</v>
      </c>
    </row>
    <row r="1761" ht="15.75" customHeight="1">
      <c r="A1761" s="9" t="s">
        <v>45688</v>
      </c>
      <c r="B1761" s="9" t="s">
        <v>26</v>
      </c>
      <c r="C1761" s="9" t="s">
        <v>41138</v>
      </c>
      <c r="D1761" s="9" t="s">
        <v>45689</v>
      </c>
      <c r="E1761" s="61">
        <v>45247.0</v>
      </c>
      <c r="F1761" s="9" t="b">
        <v>1</v>
      </c>
      <c r="G1761" s="9" t="s">
        <v>38801</v>
      </c>
      <c r="H1761" s="9" t="s">
        <v>42576</v>
      </c>
      <c r="I1761" s="9" t="b">
        <v>1</v>
      </c>
    </row>
    <row r="1762" ht="15.75" customHeight="1">
      <c r="A1762" s="9" t="s">
        <v>45690</v>
      </c>
      <c r="B1762" s="9" t="s">
        <v>26</v>
      </c>
      <c r="C1762" s="9" t="s">
        <v>39619</v>
      </c>
      <c r="D1762" s="9" t="s">
        <v>45691</v>
      </c>
      <c r="E1762" s="61">
        <v>45247.0</v>
      </c>
      <c r="F1762" s="9" t="b">
        <v>1</v>
      </c>
      <c r="G1762" s="9" t="s">
        <v>38801</v>
      </c>
      <c r="H1762" s="9" t="s">
        <v>42560</v>
      </c>
      <c r="I1762" s="9" t="b">
        <v>1</v>
      </c>
    </row>
    <row r="1763" ht="15.75" customHeight="1">
      <c r="A1763" s="9" t="s">
        <v>45692</v>
      </c>
      <c r="B1763" s="9" t="s">
        <v>131</v>
      </c>
      <c r="C1763" s="9" t="s">
        <v>41144</v>
      </c>
      <c r="D1763" s="9" t="s">
        <v>45693</v>
      </c>
      <c r="E1763" s="61">
        <v>45250.0</v>
      </c>
      <c r="F1763" s="9" t="b">
        <v>1</v>
      </c>
      <c r="G1763" s="9" t="s">
        <v>38801</v>
      </c>
      <c r="H1763" s="9" t="s">
        <v>42576</v>
      </c>
      <c r="I1763" s="9" t="b">
        <v>1</v>
      </c>
    </row>
    <row r="1764" ht="15.75" customHeight="1">
      <c r="A1764" s="9" t="s">
        <v>45694</v>
      </c>
      <c r="B1764" s="9" t="s">
        <v>52</v>
      </c>
      <c r="C1764" s="9" t="s">
        <v>38882</v>
      </c>
      <c r="D1764" s="9" t="s">
        <v>45695</v>
      </c>
      <c r="E1764" s="61">
        <v>45250.0</v>
      </c>
      <c r="F1764" s="9" t="b">
        <v>1</v>
      </c>
      <c r="G1764" s="9" t="s">
        <v>42585</v>
      </c>
      <c r="H1764" s="9" t="s">
        <v>42576</v>
      </c>
      <c r="I1764" s="9"/>
    </row>
    <row r="1765" ht="15.75" customHeight="1">
      <c r="A1765" s="9" t="s">
        <v>45696</v>
      </c>
      <c r="B1765" s="9" t="s">
        <v>131</v>
      </c>
      <c r="C1765" s="9" t="s">
        <v>41216</v>
      </c>
      <c r="D1765" s="9" t="s">
        <v>45697</v>
      </c>
      <c r="E1765" s="61">
        <v>45250.0</v>
      </c>
      <c r="F1765" s="9" t="b">
        <v>1</v>
      </c>
      <c r="G1765" s="9" t="s">
        <v>38801</v>
      </c>
      <c r="H1765" s="9" t="s">
        <v>42576</v>
      </c>
      <c r="I1765" s="9" t="b">
        <v>1</v>
      </c>
    </row>
    <row r="1766" ht="15.75" customHeight="1">
      <c r="A1766" s="9" t="s">
        <v>45698</v>
      </c>
      <c r="B1766" s="9" t="s">
        <v>26</v>
      </c>
      <c r="C1766" s="9" t="s">
        <v>40961</v>
      </c>
      <c r="D1766" s="9" t="s">
        <v>45699</v>
      </c>
      <c r="E1766" s="61">
        <v>45250.0</v>
      </c>
      <c r="F1766" s="9" t="b">
        <v>1</v>
      </c>
      <c r="G1766" s="9" t="s">
        <v>38801</v>
      </c>
      <c r="H1766" s="9" t="s">
        <v>42560</v>
      </c>
      <c r="I1766" s="9" t="b">
        <v>1</v>
      </c>
    </row>
    <row r="1767" ht="15.75" customHeight="1">
      <c r="A1767" s="9" t="s">
        <v>45700</v>
      </c>
      <c r="B1767" s="9" t="s">
        <v>26</v>
      </c>
      <c r="C1767" s="9" t="s">
        <v>40746</v>
      </c>
      <c r="D1767" s="9" t="s">
        <v>45701</v>
      </c>
      <c r="E1767" s="61">
        <v>45250.0</v>
      </c>
      <c r="F1767" s="9" t="b">
        <v>1</v>
      </c>
      <c r="G1767" s="9" t="s">
        <v>38801</v>
      </c>
      <c r="H1767" s="9" t="s">
        <v>42560</v>
      </c>
      <c r="I1767" s="9" t="b">
        <v>1</v>
      </c>
    </row>
    <row r="1768" ht="15.75" customHeight="1">
      <c r="A1768" s="9" t="s">
        <v>45702</v>
      </c>
      <c r="B1768" s="9" t="s">
        <v>26</v>
      </c>
      <c r="C1768" s="9" t="s">
        <v>40984</v>
      </c>
      <c r="D1768" s="9" t="s">
        <v>45703</v>
      </c>
      <c r="E1768" s="61">
        <v>45250.0</v>
      </c>
      <c r="F1768" s="9" t="b">
        <v>1</v>
      </c>
      <c r="G1768" s="9" t="s">
        <v>38801</v>
      </c>
      <c r="H1768" s="9" t="s">
        <v>42560</v>
      </c>
      <c r="I1768" s="9" t="b">
        <v>1</v>
      </c>
    </row>
    <row r="1769" ht="15.75" customHeight="1">
      <c r="A1769" s="9" t="s">
        <v>45704</v>
      </c>
      <c r="B1769" s="9" t="s">
        <v>26</v>
      </c>
      <c r="C1769" s="9" t="s">
        <v>39765</v>
      </c>
      <c r="D1769" s="9" t="s">
        <v>45705</v>
      </c>
      <c r="E1769" s="61">
        <v>45250.0</v>
      </c>
      <c r="F1769" s="9" t="b">
        <v>1</v>
      </c>
      <c r="G1769" s="9" t="s">
        <v>38801</v>
      </c>
      <c r="H1769" s="9" t="s">
        <v>42560</v>
      </c>
      <c r="I1769" s="9" t="b">
        <v>1</v>
      </c>
    </row>
    <row r="1770" ht="15.75" customHeight="1">
      <c r="A1770" s="9" t="s">
        <v>45706</v>
      </c>
      <c r="B1770" s="9" t="s">
        <v>26</v>
      </c>
      <c r="C1770" s="9" t="s">
        <v>39325</v>
      </c>
      <c r="D1770" s="9" t="s">
        <v>45705</v>
      </c>
      <c r="E1770" s="61">
        <v>45250.0</v>
      </c>
      <c r="F1770" s="9" t="b">
        <v>1</v>
      </c>
      <c r="G1770" s="9" t="s">
        <v>38801</v>
      </c>
      <c r="H1770" s="9" t="s">
        <v>42560</v>
      </c>
      <c r="I1770" s="9" t="b">
        <v>1</v>
      </c>
    </row>
    <row r="1771" ht="15.75" customHeight="1">
      <c r="A1771" s="9" t="s">
        <v>45707</v>
      </c>
      <c r="B1771" s="9" t="s">
        <v>26</v>
      </c>
      <c r="C1771" s="9" t="s">
        <v>39657</v>
      </c>
      <c r="D1771" s="9" t="s">
        <v>45705</v>
      </c>
      <c r="E1771" s="61">
        <v>45250.0</v>
      </c>
      <c r="F1771" s="9" t="b">
        <v>1</v>
      </c>
      <c r="G1771" s="9" t="s">
        <v>38801</v>
      </c>
      <c r="H1771" s="9" t="s">
        <v>42560</v>
      </c>
      <c r="I1771" s="9" t="b">
        <v>1</v>
      </c>
    </row>
    <row r="1772" ht="15.75" customHeight="1">
      <c r="A1772" s="9" t="s">
        <v>45708</v>
      </c>
      <c r="B1772" s="9" t="s">
        <v>26</v>
      </c>
      <c r="C1772" s="9" t="s">
        <v>39689</v>
      </c>
      <c r="D1772" s="9" t="s">
        <v>45705</v>
      </c>
      <c r="E1772" s="61">
        <v>45250.0</v>
      </c>
      <c r="F1772" s="9" t="b">
        <v>1</v>
      </c>
      <c r="G1772" s="9" t="s">
        <v>38801</v>
      </c>
      <c r="H1772" s="9" t="s">
        <v>42560</v>
      </c>
      <c r="I1772" s="9" t="b">
        <v>1</v>
      </c>
    </row>
    <row r="1773" ht="15.75" customHeight="1">
      <c r="A1773" s="9" t="s">
        <v>45709</v>
      </c>
      <c r="B1773" s="9" t="s">
        <v>26</v>
      </c>
      <c r="C1773" s="9" t="s">
        <v>40447</v>
      </c>
      <c r="D1773" s="9" t="s">
        <v>45705</v>
      </c>
      <c r="E1773" s="61">
        <v>45250.0</v>
      </c>
      <c r="F1773" s="9" t="b">
        <v>1</v>
      </c>
      <c r="G1773" s="9" t="s">
        <v>38801</v>
      </c>
      <c r="H1773" s="9" t="s">
        <v>42560</v>
      </c>
      <c r="I1773" s="9" t="b">
        <v>1</v>
      </c>
    </row>
    <row r="1774" ht="15.75" customHeight="1">
      <c r="A1774" s="9" t="s">
        <v>45710</v>
      </c>
      <c r="B1774" s="9" t="s">
        <v>26</v>
      </c>
      <c r="C1774" s="9" t="s">
        <v>39662</v>
      </c>
      <c r="D1774" s="9" t="s">
        <v>45705</v>
      </c>
      <c r="E1774" s="61">
        <v>45250.0</v>
      </c>
      <c r="F1774" s="9" t="b">
        <v>1</v>
      </c>
      <c r="G1774" s="9" t="s">
        <v>38801</v>
      </c>
      <c r="H1774" s="9" t="s">
        <v>42560</v>
      </c>
      <c r="I1774" s="9" t="b">
        <v>1</v>
      </c>
    </row>
    <row r="1775" ht="15.75" customHeight="1">
      <c r="A1775" s="9" t="s">
        <v>45711</v>
      </c>
      <c r="B1775" s="9" t="s">
        <v>26</v>
      </c>
      <c r="C1775" s="9" t="s">
        <v>39627</v>
      </c>
      <c r="D1775" s="9" t="s">
        <v>45705</v>
      </c>
      <c r="E1775" s="61">
        <v>45250.0</v>
      </c>
      <c r="F1775" s="9" t="b">
        <v>1</v>
      </c>
      <c r="G1775" s="9" t="s">
        <v>38801</v>
      </c>
      <c r="H1775" s="9" t="s">
        <v>42560</v>
      </c>
      <c r="I1775" s="9" t="b">
        <v>1</v>
      </c>
    </row>
    <row r="1776" ht="15.75" customHeight="1">
      <c r="A1776" s="9" t="s">
        <v>45712</v>
      </c>
      <c r="B1776" s="9" t="s">
        <v>26</v>
      </c>
      <c r="C1776" s="9" t="s">
        <v>39175</v>
      </c>
      <c r="D1776" s="9" t="s">
        <v>45705</v>
      </c>
      <c r="E1776" s="61">
        <v>45250.0</v>
      </c>
      <c r="F1776" s="9" t="b">
        <v>1</v>
      </c>
      <c r="G1776" s="9" t="s">
        <v>38801</v>
      </c>
      <c r="H1776" s="9" t="s">
        <v>42560</v>
      </c>
      <c r="I1776" s="9" t="b">
        <v>1</v>
      </c>
    </row>
    <row r="1777" ht="15.75" customHeight="1">
      <c r="A1777" s="9" t="s">
        <v>45713</v>
      </c>
      <c r="B1777" s="9" t="s">
        <v>26</v>
      </c>
      <c r="C1777" s="9" t="s">
        <v>39225</v>
      </c>
      <c r="D1777" s="9" t="s">
        <v>45705</v>
      </c>
      <c r="E1777" s="61">
        <v>45250.0</v>
      </c>
      <c r="F1777" s="9" t="b">
        <v>1</v>
      </c>
      <c r="G1777" s="9" t="s">
        <v>38801</v>
      </c>
      <c r="H1777" s="9" t="s">
        <v>42560</v>
      </c>
      <c r="I1777" s="9" t="b">
        <v>1</v>
      </c>
    </row>
    <row r="1778" ht="15.75" customHeight="1">
      <c r="A1778" s="9" t="s">
        <v>45714</v>
      </c>
      <c r="B1778" s="9" t="s">
        <v>26</v>
      </c>
      <c r="C1778" s="9" t="s">
        <v>39279</v>
      </c>
      <c r="D1778" s="9" t="s">
        <v>45705</v>
      </c>
      <c r="E1778" s="61">
        <v>45250.0</v>
      </c>
      <c r="F1778" s="9" t="b">
        <v>1</v>
      </c>
      <c r="G1778" s="9" t="s">
        <v>38801</v>
      </c>
      <c r="H1778" s="9" t="s">
        <v>42560</v>
      </c>
      <c r="I1778" s="9" t="b">
        <v>1</v>
      </c>
    </row>
    <row r="1779" ht="15.75" customHeight="1">
      <c r="A1779" s="9" t="s">
        <v>45715</v>
      </c>
      <c r="B1779" s="9" t="s">
        <v>26</v>
      </c>
      <c r="C1779" s="9" t="s">
        <v>39358</v>
      </c>
      <c r="D1779" s="9" t="s">
        <v>45705</v>
      </c>
      <c r="E1779" s="61">
        <v>45250.0</v>
      </c>
      <c r="F1779" s="9" t="b">
        <v>1</v>
      </c>
      <c r="G1779" s="9" t="s">
        <v>38801</v>
      </c>
      <c r="H1779" s="9" t="s">
        <v>42560</v>
      </c>
      <c r="I1779" s="9" t="b">
        <v>1</v>
      </c>
    </row>
    <row r="1780" ht="15.75" customHeight="1">
      <c r="A1780" s="9" t="s">
        <v>45716</v>
      </c>
      <c r="B1780" s="9" t="s">
        <v>26</v>
      </c>
      <c r="C1780" s="9" t="s">
        <v>39521</v>
      </c>
      <c r="D1780" s="9" t="s">
        <v>45705</v>
      </c>
      <c r="E1780" s="61">
        <v>45250.0</v>
      </c>
      <c r="F1780" s="9" t="b">
        <v>1</v>
      </c>
      <c r="G1780" s="9" t="s">
        <v>38801</v>
      </c>
      <c r="H1780" s="9" t="s">
        <v>42560</v>
      </c>
      <c r="I1780" s="9" t="b">
        <v>1</v>
      </c>
    </row>
    <row r="1781" ht="15.75" customHeight="1">
      <c r="A1781" s="9" t="s">
        <v>45717</v>
      </c>
      <c r="B1781" s="9" t="s">
        <v>26</v>
      </c>
      <c r="C1781" s="9" t="s">
        <v>41206</v>
      </c>
      <c r="D1781" s="9" t="s">
        <v>45718</v>
      </c>
      <c r="E1781" s="61">
        <v>45250.0</v>
      </c>
      <c r="F1781" s="9" t="b">
        <v>1</v>
      </c>
      <c r="G1781" s="9" t="s">
        <v>38801</v>
      </c>
      <c r="H1781" s="9" t="s">
        <v>42560</v>
      </c>
      <c r="I1781" s="9" t="b">
        <v>1</v>
      </c>
    </row>
    <row r="1782" ht="15.75" customHeight="1">
      <c r="A1782" s="9" t="s">
        <v>45719</v>
      </c>
      <c r="B1782" s="9" t="s">
        <v>131</v>
      </c>
      <c r="C1782" s="9" t="s">
        <v>41219</v>
      </c>
      <c r="D1782" s="9" t="s">
        <v>45720</v>
      </c>
      <c r="E1782" s="61">
        <v>45250.0</v>
      </c>
      <c r="F1782" s="9" t="b">
        <v>1</v>
      </c>
      <c r="G1782" s="9" t="s">
        <v>38801</v>
      </c>
      <c r="H1782" s="9" t="s">
        <v>42576</v>
      </c>
      <c r="I1782" s="9" t="b">
        <v>1</v>
      </c>
    </row>
    <row r="1783" ht="15.75" customHeight="1">
      <c r="A1783" s="9" t="s">
        <v>45721</v>
      </c>
      <c r="B1783" s="9" t="s">
        <v>26</v>
      </c>
      <c r="C1783" s="9" t="s">
        <v>40342</v>
      </c>
      <c r="D1783" s="9" t="s">
        <v>45722</v>
      </c>
      <c r="E1783" s="61">
        <v>45251.0</v>
      </c>
      <c r="F1783" s="9" t="b">
        <v>1</v>
      </c>
      <c r="G1783" s="9" t="s">
        <v>38801</v>
      </c>
      <c r="H1783" s="9" t="s">
        <v>42560</v>
      </c>
      <c r="I1783" s="9" t="b">
        <v>1</v>
      </c>
    </row>
    <row r="1784" ht="15.75" customHeight="1">
      <c r="A1784" s="9" t="s">
        <v>45723</v>
      </c>
      <c r="B1784" s="9" t="s">
        <v>26</v>
      </c>
      <c r="C1784" s="9" t="s">
        <v>41087</v>
      </c>
      <c r="D1784" s="9" t="s">
        <v>45724</v>
      </c>
      <c r="E1784" s="61">
        <v>45251.0</v>
      </c>
      <c r="F1784" s="9" t="b">
        <v>1</v>
      </c>
      <c r="G1784" s="9" t="s">
        <v>38801</v>
      </c>
      <c r="H1784" s="9" t="s">
        <v>42560</v>
      </c>
      <c r="I1784" s="9" t="b">
        <v>1</v>
      </c>
    </row>
    <row r="1785" ht="15.75" customHeight="1">
      <c r="A1785" s="9" t="s">
        <v>45725</v>
      </c>
      <c r="B1785" s="9" t="s">
        <v>26</v>
      </c>
      <c r="C1785" s="9" t="s">
        <v>41072</v>
      </c>
      <c r="D1785" s="9" t="s">
        <v>45724</v>
      </c>
      <c r="E1785" s="61">
        <v>45251.0</v>
      </c>
      <c r="F1785" s="9" t="b">
        <v>1</v>
      </c>
      <c r="G1785" s="9" t="s">
        <v>38801</v>
      </c>
      <c r="H1785" s="9" t="s">
        <v>42560</v>
      </c>
      <c r="I1785" s="9" t="b">
        <v>1</v>
      </c>
    </row>
    <row r="1786" ht="15.75" customHeight="1">
      <c r="A1786" s="9" t="s">
        <v>45726</v>
      </c>
      <c r="B1786" s="9" t="s">
        <v>26</v>
      </c>
      <c r="C1786" s="9" t="s">
        <v>41060</v>
      </c>
      <c r="D1786" s="9" t="s">
        <v>45724</v>
      </c>
      <c r="E1786" s="61">
        <v>45251.0</v>
      </c>
      <c r="F1786" s="9" t="b">
        <v>1</v>
      </c>
      <c r="G1786" s="9" t="s">
        <v>38801</v>
      </c>
      <c r="H1786" s="9" t="s">
        <v>42560</v>
      </c>
      <c r="I1786" s="9" t="b">
        <v>1</v>
      </c>
    </row>
    <row r="1787" ht="15.75" customHeight="1">
      <c r="A1787" s="9" t="s">
        <v>45727</v>
      </c>
      <c r="B1787" s="9" t="s">
        <v>26</v>
      </c>
      <c r="C1787" s="9" t="s">
        <v>41070</v>
      </c>
      <c r="D1787" s="9" t="s">
        <v>45724</v>
      </c>
      <c r="E1787" s="61">
        <v>45251.0</v>
      </c>
      <c r="F1787" s="9" t="b">
        <v>1</v>
      </c>
      <c r="G1787" s="9" t="s">
        <v>38801</v>
      </c>
      <c r="H1787" s="9" t="s">
        <v>42560</v>
      </c>
      <c r="I1787" s="9" t="b">
        <v>1</v>
      </c>
    </row>
    <row r="1788" ht="15.75" customHeight="1">
      <c r="A1788" s="9" t="s">
        <v>45728</v>
      </c>
      <c r="B1788" s="9" t="s">
        <v>26</v>
      </c>
      <c r="C1788" s="9" t="s">
        <v>41052</v>
      </c>
      <c r="D1788" s="9" t="s">
        <v>45724</v>
      </c>
      <c r="E1788" s="61">
        <v>45251.0</v>
      </c>
      <c r="F1788" s="9" t="b">
        <v>1</v>
      </c>
      <c r="G1788" s="9" t="s">
        <v>38801</v>
      </c>
      <c r="H1788" s="9" t="s">
        <v>42560</v>
      </c>
      <c r="I1788" s="9" t="b">
        <v>1</v>
      </c>
    </row>
    <row r="1789" ht="15.75" customHeight="1">
      <c r="A1789" s="9" t="s">
        <v>45729</v>
      </c>
      <c r="B1789" s="9" t="s">
        <v>26</v>
      </c>
      <c r="C1789" s="9" t="s">
        <v>41054</v>
      </c>
      <c r="D1789" s="9" t="s">
        <v>45724</v>
      </c>
      <c r="E1789" s="61">
        <v>45251.0</v>
      </c>
      <c r="F1789" s="9" t="b">
        <v>1</v>
      </c>
      <c r="G1789" s="9" t="s">
        <v>38801</v>
      </c>
      <c r="H1789" s="9" t="s">
        <v>42560</v>
      </c>
      <c r="I1789" s="9" t="b">
        <v>1</v>
      </c>
    </row>
    <row r="1790" ht="15.75" customHeight="1">
      <c r="A1790" s="9" t="s">
        <v>45730</v>
      </c>
      <c r="B1790" s="9" t="s">
        <v>26</v>
      </c>
      <c r="C1790" s="9" t="s">
        <v>41064</v>
      </c>
      <c r="D1790" s="9" t="s">
        <v>45724</v>
      </c>
      <c r="E1790" s="61">
        <v>45251.0</v>
      </c>
      <c r="F1790" s="9" t="b">
        <v>1</v>
      </c>
      <c r="G1790" s="9" t="s">
        <v>38801</v>
      </c>
      <c r="H1790" s="9" t="s">
        <v>42560</v>
      </c>
      <c r="I1790" s="9" t="b">
        <v>1</v>
      </c>
    </row>
    <row r="1791" ht="15.75" customHeight="1">
      <c r="A1791" s="9" t="s">
        <v>45731</v>
      </c>
      <c r="B1791" s="9" t="s">
        <v>26</v>
      </c>
      <c r="C1791" s="9" t="s">
        <v>41056</v>
      </c>
      <c r="D1791" s="9" t="s">
        <v>45724</v>
      </c>
      <c r="E1791" s="61">
        <v>45251.0</v>
      </c>
      <c r="F1791" s="9" t="b">
        <v>1</v>
      </c>
      <c r="G1791" s="9" t="s">
        <v>38801</v>
      </c>
      <c r="H1791" s="9" t="s">
        <v>42560</v>
      </c>
      <c r="I1791" s="9" t="b">
        <v>1</v>
      </c>
    </row>
    <row r="1792" ht="15.75" customHeight="1">
      <c r="A1792" s="9" t="s">
        <v>45732</v>
      </c>
      <c r="B1792" s="9" t="s">
        <v>26</v>
      </c>
      <c r="C1792" s="9" t="s">
        <v>41058</v>
      </c>
      <c r="D1792" s="9" t="s">
        <v>45724</v>
      </c>
      <c r="E1792" s="61">
        <v>45251.0</v>
      </c>
      <c r="F1792" s="9" t="b">
        <v>1</v>
      </c>
      <c r="G1792" s="9" t="s">
        <v>38801</v>
      </c>
      <c r="H1792" s="9" t="s">
        <v>42560</v>
      </c>
      <c r="I1792" s="9" t="b">
        <v>1</v>
      </c>
    </row>
    <row r="1793" ht="15.75" customHeight="1">
      <c r="A1793" s="9" t="s">
        <v>45733</v>
      </c>
      <c r="B1793" s="9" t="s">
        <v>26</v>
      </c>
      <c r="C1793" s="9" t="s">
        <v>41068</v>
      </c>
      <c r="D1793" s="9" t="s">
        <v>45724</v>
      </c>
      <c r="E1793" s="61">
        <v>45251.0</v>
      </c>
      <c r="F1793" s="9" t="b">
        <v>1</v>
      </c>
      <c r="G1793" s="9" t="s">
        <v>38801</v>
      </c>
      <c r="H1793" s="9" t="s">
        <v>42560</v>
      </c>
      <c r="I1793" s="9" t="b">
        <v>1</v>
      </c>
    </row>
    <row r="1794" ht="15.75" customHeight="1">
      <c r="A1794" s="9" t="s">
        <v>45734</v>
      </c>
      <c r="B1794" s="9" t="s">
        <v>26</v>
      </c>
      <c r="C1794" s="9" t="s">
        <v>41076</v>
      </c>
      <c r="D1794" s="9" t="s">
        <v>45724</v>
      </c>
      <c r="E1794" s="61">
        <v>45251.0</v>
      </c>
      <c r="F1794" s="9" t="b">
        <v>1</v>
      </c>
      <c r="G1794" s="9" t="s">
        <v>38801</v>
      </c>
      <c r="H1794" s="9" t="s">
        <v>42560</v>
      </c>
      <c r="I1794" s="9" t="b">
        <v>1</v>
      </c>
    </row>
    <row r="1795" ht="15.75" customHeight="1">
      <c r="A1795" s="9" t="s">
        <v>45735</v>
      </c>
      <c r="B1795" s="9" t="s">
        <v>26</v>
      </c>
      <c r="C1795" s="9" t="s">
        <v>41078</v>
      </c>
      <c r="D1795" s="9" t="s">
        <v>45724</v>
      </c>
      <c r="E1795" s="61">
        <v>45251.0</v>
      </c>
      <c r="F1795" s="9" t="b">
        <v>1</v>
      </c>
      <c r="G1795" s="9" t="s">
        <v>38801</v>
      </c>
      <c r="H1795" s="9" t="s">
        <v>42560</v>
      </c>
      <c r="I1795" s="9" t="b">
        <v>1</v>
      </c>
    </row>
    <row r="1796" ht="15.75" customHeight="1">
      <c r="A1796" s="52" t="s">
        <v>45736</v>
      </c>
      <c r="B1796" s="9" t="s">
        <v>26</v>
      </c>
      <c r="C1796" s="9" t="s">
        <v>41074</v>
      </c>
      <c r="D1796" s="9" t="s">
        <v>45724</v>
      </c>
      <c r="E1796" s="61">
        <v>45251.0</v>
      </c>
      <c r="F1796" s="9" t="b">
        <v>1</v>
      </c>
      <c r="G1796" s="9" t="s">
        <v>38801</v>
      </c>
      <c r="H1796" s="9" t="s">
        <v>42560</v>
      </c>
      <c r="I1796" s="9" t="b">
        <v>1</v>
      </c>
    </row>
    <row r="1797" ht="15.75" customHeight="1">
      <c r="A1797" s="9" t="s">
        <v>45737</v>
      </c>
      <c r="B1797" s="9" t="s">
        <v>26</v>
      </c>
      <c r="C1797" s="52" t="s">
        <v>41066</v>
      </c>
      <c r="D1797" s="9" t="s">
        <v>45724</v>
      </c>
      <c r="E1797" s="61">
        <v>45251.0</v>
      </c>
      <c r="F1797" s="9" t="b">
        <v>1</v>
      </c>
      <c r="G1797" s="9" t="s">
        <v>38801</v>
      </c>
      <c r="H1797" s="9" t="s">
        <v>42560</v>
      </c>
      <c r="I1797" s="9" t="b">
        <v>1</v>
      </c>
    </row>
    <row r="1798" ht="15.75" customHeight="1">
      <c r="A1798" s="9" t="s">
        <v>45738</v>
      </c>
      <c r="B1798" s="9" t="s">
        <v>26</v>
      </c>
      <c r="C1798" s="9" t="s">
        <v>41062</v>
      </c>
      <c r="D1798" s="9" t="s">
        <v>45724</v>
      </c>
      <c r="E1798" s="61">
        <v>45251.0</v>
      </c>
      <c r="F1798" s="9" t="b">
        <v>1</v>
      </c>
      <c r="G1798" s="9" t="s">
        <v>38801</v>
      </c>
      <c r="H1798" s="9" t="s">
        <v>42560</v>
      </c>
      <c r="I1798" s="9" t="b">
        <v>1</v>
      </c>
    </row>
    <row r="1799" ht="15.75" customHeight="1">
      <c r="A1799" s="9" t="s">
        <v>45739</v>
      </c>
      <c r="B1799" s="9" t="s">
        <v>26</v>
      </c>
      <c r="C1799" s="9" t="s">
        <v>40539</v>
      </c>
      <c r="D1799" s="9" t="s">
        <v>45740</v>
      </c>
      <c r="E1799" s="61">
        <v>45251.0</v>
      </c>
      <c r="F1799" s="9" t="b">
        <v>1</v>
      </c>
      <c r="G1799" s="9" t="s">
        <v>38801</v>
      </c>
      <c r="H1799" s="9" t="s">
        <v>42560</v>
      </c>
      <c r="I1799" s="9" t="b">
        <v>1</v>
      </c>
    </row>
    <row r="1800" ht="15.75" customHeight="1">
      <c r="A1800" s="9" t="s">
        <v>45741</v>
      </c>
      <c r="B1800" s="9" t="s">
        <v>26</v>
      </c>
      <c r="C1800" s="9" t="s">
        <v>41118</v>
      </c>
      <c r="D1800" s="9" t="s">
        <v>45742</v>
      </c>
      <c r="E1800" s="61">
        <v>45251.0</v>
      </c>
      <c r="F1800" s="9" t="b">
        <v>1</v>
      </c>
      <c r="G1800" s="9" t="s">
        <v>38801</v>
      </c>
      <c r="H1800" s="9" t="s">
        <v>42560</v>
      </c>
      <c r="I1800" s="9" t="b">
        <v>1</v>
      </c>
    </row>
    <row r="1801" ht="15.75" customHeight="1">
      <c r="A1801" s="9" t="s">
        <v>45743</v>
      </c>
      <c r="B1801" s="9" t="s">
        <v>26</v>
      </c>
      <c r="C1801" s="9" t="s">
        <v>41155</v>
      </c>
      <c r="D1801" s="9" t="s">
        <v>45744</v>
      </c>
      <c r="E1801" s="61">
        <v>45251.0</v>
      </c>
      <c r="F1801" s="9" t="b">
        <v>1</v>
      </c>
      <c r="G1801" s="9" t="s">
        <v>38801</v>
      </c>
      <c r="H1801" s="9" t="s">
        <v>42560</v>
      </c>
      <c r="I1801" s="9" t="b">
        <v>1</v>
      </c>
    </row>
    <row r="1802" ht="15.75" customHeight="1">
      <c r="A1802" s="9" t="s">
        <v>45745</v>
      </c>
      <c r="B1802" s="9" t="s">
        <v>26</v>
      </c>
      <c r="C1802" s="52" t="s">
        <v>41204</v>
      </c>
      <c r="D1802" s="9" t="s">
        <v>45746</v>
      </c>
      <c r="E1802" s="61">
        <v>45251.0</v>
      </c>
      <c r="F1802" s="9" t="b">
        <v>1</v>
      </c>
      <c r="G1802" s="9" t="s">
        <v>38801</v>
      </c>
      <c r="H1802" s="9" t="s">
        <v>42560</v>
      </c>
      <c r="I1802" s="9" t="b">
        <v>1</v>
      </c>
    </row>
    <row r="1803" ht="15.75" customHeight="1">
      <c r="A1803" s="9" t="s">
        <v>45747</v>
      </c>
      <c r="B1803" s="9" t="s">
        <v>76</v>
      </c>
      <c r="C1803" s="9" t="s">
        <v>41181</v>
      </c>
      <c r="D1803" s="9" t="s">
        <v>45748</v>
      </c>
      <c r="E1803" s="61">
        <v>45251.0</v>
      </c>
      <c r="F1803" s="9" t="b">
        <v>1</v>
      </c>
      <c r="G1803" s="9" t="s">
        <v>42585</v>
      </c>
      <c r="H1803" s="9" t="s">
        <v>42560</v>
      </c>
      <c r="I1803" s="9"/>
    </row>
    <row r="1804" ht="15.75" customHeight="1">
      <c r="A1804" s="9" t="s">
        <v>45749</v>
      </c>
      <c r="B1804" s="9" t="s">
        <v>76</v>
      </c>
      <c r="C1804" s="9" t="s">
        <v>41184</v>
      </c>
      <c r="D1804" s="9" t="s">
        <v>45750</v>
      </c>
      <c r="E1804" s="61">
        <v>45251.0</v>
      </c>
      <c r="F1804" s="9" t="b">
        <v>1</v>
      </c>
      <c r="G1804" s="9" t="s">
        <v>42585</v>
      </c>
      <c r="H1804" s="9" t="s">
        <v>42560</v>
      </c>
      <c r="I1804" s="9"/>
    </row>
    <row r="1805" ht="15.75" customHeight="1">
      <c r="A1805" s="9" t="s">
        <v>45751</v>
      </c>
      <c r="B1805" s="9" t="s">
        <v>76</v>
      </c>
      <c r="C1805" s="9" t="s">
        <v>41212</v>
      </c>
      <c r="D1805" s="9" t="s">
        <v>45752</v>
      </c>
      <c r="E1805" s="61">
        <v>45251.0</v>
      </c>
      <c r="F1805" s="9" t="b">
        <v>1</v>
      </c>
      <c r="G1805" s="9" t="s">
        <v>42585</v>
      </c>
      <c r="H1805" s="9" t="s">
        <v>42560</v>
      </c>
      <c r="I1805" s="9"/>
    </row>
    <row r="1806" ht="15.75" customHeight="1">
      <c r="A1806" s="9" t="s">
        <v>45753</v>
      </c>
      <c r="B1806" s="9" t="s">
        <v>76</v>
      </c>
      <c r="C1806" s="9" t="s">
        <v>41218</v>
      </c>
      <c r="D1806" s="9" t="s">
        <v>45754</v>
      </c>
      <c r="E1806" s="61">
        <v>45251.0</v>
      </c>
      <c r="F1806" s="9" t="b">
        <v>1</v>
      </c>
      <c r="G1806" s="9" t="s">
        <v>42585</v>
      </c>
      <c r="H1806" s="9" t="s">
        <v>42560</v>
      </c>
      <c r="I1806" s="9"/>
    </row>
    <row r="1807" ht="15.75" customHeight="1">
      <c r="A1807" s="9" t="s">
        <v>45755</v>
      </c>
      <c r="B1807" s="9" t="s">
        <v>131</v>
      </c>
      <c r="C1807" s="9" t="s">
        <v>41224</v>
      </c>
      <c r="D1807" s="9" t="s">
        <v>45756</v>
      </c>
      <c r="E1807" s="61">
        <v>45251.0</v>
      </c>
      <c r="F1807" s="9" t="b">
        <v>1</v>
      </c>
      <c r="G1807" s="9" t="s">
        <v>38801</v>
      </c>
      <c r="H1807" s="9" t="s">
        <v>42576</v>
      </c>
      <c r="I1807" s="9" t="b">
        <v>1</v>
      </c>
    </row>
    <row r="1808" ht="15.75" customHeight="1">
      <c r="A1808" s="9" t="s">
        <v>45757</v>
      </c>
      <c r="B1808" s="9" t="s">
        <v>131</v>
      </c>
      <c r="C1808" s="9" t="s">
        <v>41201</v>
      </c>
      <c r="D1808" s="9" t="s">
        <v>45758</v>
      </c>
      <c r="E1808" s="61">
        <v>45252.0</v>
      </c>
      <c r="F1808" s="9" t="b">
        <v>1</v>
      </c>
      <c r="G1808" s="9" t="s">
        <v>38801</v>
      </c>
      <c r="H1808" s="9" t="s">
        <v>42576</v>
      </c>
      <c r="I1808" s="9" t="b">
        <v>1</v>
      </c>
    </row>
    <row r="1809" ht="15.75" customHeight="1">
      <c r="A1809" s="9" t="s">
        <v>45759</v>
      </c>
      <c r="B1809" s="9" t="s">
        <v>76</v>
      </c>
      <c r="C1809" s="9" t="s">
        <v>41181</v>
      </c>
      <c r="D1809" s="9" t="s">
        <v>45760</v>
      </c>
      <c r="E1809" s="61">
        <v>45252.0</v>
      </c>
      <c r="F1809" s="9" t="b">
        <v>1</v>
      </c>
      <c r="G1809" s="9" t="s">
        <v>38801</v>
      </c>
      <c r="H1809" s="9" t="s">
        <v>42576</v>
      </c>
      <c r="I1809" s="9" t="b">
        <v>1</v>
      </c>
    </row>
    <row r="1810" ht="15.75" customHeight="1">
      <c r="A1810" s="9" t="s">
        <v>45761</v>
      </c>
      <c r="B1810" s="9" t="s">
        <v>131</v>
      </c>
      <c r="C1810" s="9" t="s">
        <v>41226</v>
      </c>
      <c r="D1810" s="9" t="s">
        <v>45762</v>
      </c>
      <c r="E1810" s="61">
        <v>45253.0</v>
      </c>
      <c r="F1810" s="9" t="b">
        <v>1</v>
      </c>
      <c r="G1810" s="9" t="s">
        <v>38801</v>
      </c>
      <c r="H1810" s="9" t="s">
        <v>42576</v>
      </c>
      <c r="I1810" s="9" t="b">
        <v>1</v>
      </c>
    </row>
    <row r="1811" ht="15.75" customHeight="1">
      <c r="A1811" s="9" t="s">
        <v>45763</v>
      </c>
      <c r="B1811" s="9" t="s">
        <v>76</v>
      </c>
      <c r="C1811" s="9" t="s">
        <v>41218</v>
      </c>
      <c r="D1811" s="9" t="s">
        <v>45764</v>
      </c>
      <c r="E1811" s="61">
        <v>45254.0</v>
      </c>
      <c r="F1811" s="9" t="b">
        <v>1</v>
      </c>
      <c r="G1811" s="9" t="s">
        <v>38801</v>
      </c>
      <c r="H1811" s="9" t="s">
        <v>42576</v>
      </c>
      <c r="I1811" s="9" t="b">
        <v>1</v>
      </c>
    </row>
    <row r="1812" ht="15.75" customHeight="1">
      <c r="A1812" s="9" t="s">
        <v>45765</v>
      </c>
      <c r="B1812" s="9" t="s">
        <v>26</v>
      </c>
      <c r="C1812" s="9" t="s">
        <v>41233</v>
      </c>
      <c r="D1812" s="9" t="s">
        <v>45766</v>
      </c>
      <c r="E1812" s="61">
        <v>45258.0</v>
      </c>
      <c r="F1812" s="9" t="b">
        <v>1</v>
      </c>
      <c r="G1812" s="9" t="s">
        <v>42632</v>
      </c>
      <c r="H1812" s="9" t="s">
        <v>42576</v>
      </c>
      <c r="I1812" s="9"/>
    </row>
    <row r="1813" ht="15.75" customHeight="1">
      <c r="A1813" s="9" t="s">
        <v>45767</v>
      </c>
      <c r="B1813" s="9" t="s">
        <v>131</v>
      </c>
      <c r="C1813" s="9" t="s">
        <v>41228</v>
      </c>
      <c r="D1813" s="9" t="s">
        <v>45768</v>
      </c>
      <c r="E1813" s="61">
        <v>45259.0</v>
      </c>
      <c r="F1813" s="9" t="b">
        <v>1</v>
      </c>
      <c r="G1813" s="9" t="s">
        <v>42573</v>
      </c>
      <c r="H1813" s="9" t="s">
        <v>42576</v>
      </c>
      <c r="I1813" s="9"/>
    </row>
    <row r="1814" ht="15.75" customHeight="1">
      <c r="A1814" s="52" t="s">
        <v>45769</v>
      </c>
      <c r="B1814" s="9" t="s">
        <v>76</v>
      </c>
      <c r="C1814" s="9" t="s">
        <v>41184</v>
      </c>
      <c r="D1814" s="9" t="s">
        <v>45770</v>
      </c>
      <c r="E1814" s="61">
        <v>45259.0</v>
      </c>
      <c r="F1814" s="9" t="b">
        <v>1</v>
      </c>
      <c r="G1814" s="9" t="s">
        <v>38801</v>
      </c>
      <c r="H1814" s="9" t="s">
        <v>42560</v>
      </c>
      <c r="I1814" s="9" t="b">
        <v>1</v>
      </c>
    </row>
    <row r="1815" ht="15.75" customHeight="1">
      <c r="A1815" s="9" t="s">
        <v>45771</v>
      </c>
      <c r="B1815" s="9" t="s">
        <v>76</v>
      </c>
      <c r="C1815" s="9" t="s">
        <v>41212</v>
      </c>
      <c r="D1815" s="9" t="s">
        <v>45772</v>
      </c>
      <c r="E1815" s="61">
        <v>45259.0</v>
      </c>
      <c r="F1815" s="9" t="b">
        <v>1</v>
      </c>
      <c r="G1815" s="9" t="s">
        <v>38801</v>
      </c>
      <c r="H1815" s="9" t="s">
        <v>42560</v>
      </c>
      <c r="I1815" s="9" t="b">
        <v>1</v>
      </c>
    </row>
    <row r="1816" ht="15.75" customHeight="1">
      <c r="A1816" s="9" t="s">
        <v>45773</v>
      </c>
      <c r="B1816" s="9" t="s">
        <v>131</v>
      </c>
      <c r="C1816" s="9" t="s">
        <v>41230</v>
      </c>
      <c r="D1816" s="9" t="s">
        <v>45774</v>
      </c>
      <c r="E1816" s="61">
        <v>45259.0</v>
      </c>
      <c r="F1816" s="9" t="b">
        <v>1</v>
      </c>
      <c r="G1816" s="9" t="s">
        <v>42573</v>
      </c>
      <c r="H1816" s="9" t="s">
        <v>42576</v>
      </c>
      <c r="I1816" s="9"/>
    </row>
    <row r="1817" ht="15.75" customHeight="1">
      <c r="A1817" s="9" t="s">
        <v>45775</v>
      </c>
      <c r="B1817" s="9" t="s">
        <v>131</v>
      </c>
      <c r="C1817" s="9" t="s">
        <v>41236</v>
      </c>
      <c r="D1817" s="9" t="s">
        <v>45776</v>
      </c>
      <c r="E1817" s="61">
        <v>45261.0</v>
      </c>
      <c r="F1817" s="9" t="b">
        <v>1</v>
      </c>
      <c r="G1817" s="9" t="s">
        <v>38801</v>
      </c>
      <c r="H1817" s="9" t="s">
        <v>42576</v>
      </c>
      <c r="I1817" s="9" t="b">
        <v>1</v>
      </c>
    </row>
    <row r="1818" ht="15.75" customHeight="1">
      <c r="A1818" s="9" t="s">
        <v>45777</v>
      </c>
      <c r="B1818" s="9" t="s">
        <v>131</v>
      </c>
      <c r="C1818" s="9" t="s">
        <v>41240</v>
      </c>
      <c r="D1818" s="9" t="s">
        <v>45778</v>
      </c>
      <c r="E1818" s="61">
        <v>45264.0</v>
      </c>
      <c r="F1818" s="9" t="b">
        <v>1</v>
      </c>
      <c r="G1818" s="9" t="s">
        <v>42573</v>
      </c>
      <c r="H1818" s="9" t="s">
        <v>42576</v>
      </c>
      <c r="I1818" s="9"/>
    </row>
    <row r="1819" ht="15.75" customHeight="1">
      <c r="A1819" s="9" t="s">
        <v>45779</v>
      </c>
      <c r="B1819" s="9" t="s">
        <v>131</v>
      </c>
      <c r="C1819" s="9" t="s">
        <v>41235</v>
      </c>
      <c r="D1819" s="9" t="s">
        <v>45780</v>
      </c>
      <c r="E1819" s="61">
        <v>45266.0</v>
      </c>
      <c r="F1819" s="9" t="b">
        <v>1</v>
      </c>
      <c r="G1819" s="9" t="s">
        <v>38801</v>
      </c>
      <c r="H1819" s="9" t="s">
        <v>42576</v>
      </c>
      <c r="I1819" s="9" t="b">
        <v>1</v>
      </c>
    </row>
    <row r="1820" ht="15.75" customHeight="1">
      <c r="A1820" s="9" t="s">
        <v>45781</v>
      </c>
      <c r="B1820" s="9" t="s">
        <v>26</v>
      </c>
      <c r="C1820" s="9" t="s">
        <v>41240</v>
      </c>
      <c r="D1820" s="9" t="s">
        <v>45782</v>
      </c>
      <c r="E1820" s="61">
        <v>45266.0</v>
      </c>
      <c r="F1820" s="9" t="b">
        <v>1</v>
      </c>
      <c r="G1820" s="9" t="s">
        <v>38801</v>
      </c>
      <c r="H1820" s="9" t="s">
        <v>42576</v>
      </c>
      <c r="I1820" s="9" t="b">
        <v>1</v>
      </c>
    </row>
    <row r="1821" ht="15.75" customHeight="1">
      <c r="A1821" s="9" t="s">
        <v>45783</v>
      </c>
      <c r="B1821" s="9" t="s">
        <v>26</v>
      </c>
      <c r="C1821" s="9" t="s">
        <v>41232</v>
      </c>
      <c r="D1821" s="9" t="s">
        <v>45784</v>
      </c>
      <c r="E1821" s="61">
        <v>45266.0</v>
      </c>
      <c r="F1821" s="9" t="b">
        <v>1</v>
      </c>
      <c r="G1821" s="9" t="s">
        <v>38801</v>
      </c>
      <c r="H1821" s="9" t="s">
        <v>42560</v>
      </c>
      <c r="I1821" s="9" t="b">
        <v>1</v>
      </c>
    </row>
    <row r="1822" ht="15.75" customHeight="1">
      <c r="A1822" s="9" t="s">
        <v>45785</v>
      </c>
      <c r="B1822" s="9" t="s">
        <v>131</v>
      </c>
      <c r="C1822" s="9" t="s">
        <v>41172</v>
      </c>
      <c r="D1822" s="9" t="s">
        <v>42560</v>
      </c>
      <c r="E1822" s="61">
        <v>45268.0</v>
      </c>
      <c r="F1822" s="9" t="b">
        <v>1</v>
      </c>
      <c r="G1822" s="9" t="s">
        <v>38801</v>
      </c>
      <c r="H1822" s="9" t="s">
        <v>42576</v>
      </c>
      <c r="I1822" s="9" t="b">
        <v>1</v>
      </c>
    </row>
    <row r="1823" ht="15.75" customHeight="1">
      <c r="A1823" s="9" t="s">
        <v>45786</v>
      </c>
      <c r="B1823" s="9" t="s">
        <v>131</v>
      </c>
      <c r="C1823" s="9" t="s">
        <v>41248</v>
      </c>
      <c r="D1823" s="9" t="s">
        <v>45787</v>
      </c>
      <c r="E1823" s="61">
        <v>45268.0</v>
      </c>
      <c r="F1823" s="9" t="b">
        <v>1</v>
      </c>
      <c r="G1823" s="9" t="s">
        <v>38801</v>
      </c>
      <c r="H1823" s="9" t="s">
        <v>42576</v>
      </c>
      <c r="I1823" s="9" t="b">
        <v>1</v>
      </c>
    </row>
    <row r="1824" ht="15.75" customHeight="1">
      <c r="A1824" s="9" t="s">
        <v>45788</v>
      </c>
      <c r="B1824" s="9" t="s">
        <v>47</v>
      </c>
      <c r="C1824" s="9" t="s">
        <v>41250</v>
      </c>
      <c r="D1824" s="9" t="s">
        <v>45789</v>
      </c>
      <c r="E1824" s="61">
        <v>45271.0</v>
      </c>
      <c r="F1824" s="9" t="b">
        <v>1</v>
      </c>
      <c r="G1824" s="9" t="s">
        <v>43228</v>
      </c>
      <c r="H1824" s="9" t="s">
        <v>42560</v>
      </c>
      <c r="I1824" s="9"/>
    </row>
    <row r="1825" ht="15.75" customHeight="1">
      <c r="A1825" s="9" t="s">
        <v>45790</v>
      </c>
      <c r="B1825" s="9" t="s">
        <v>131</v>
      </c>
      <c r="C1825" s="9" t="s">
        <v>41257</v>
      </c>
      <c r="D1825" s="9" t="s">
        <v>45791</v>
      </c>
      <c r="E1825" s="61">
        <v>45271.0</v>
      </c>
      <c r="F1825" s="9" t="b">
        <v>1</v>
      </c>
      <c r="G1825" s="9" t="s">
        <v>38801</v>
      </c>
      <c r="H1825" s="9" t="s">
        <v>42576</v>
      </c>
      <c r="I1825" s="9" t="b">
        <v>1</v>
      </c>
    </row>
    <row r="1826" ht="15.75" customHeight="1">
      <c r="A1826" s="9" t="s">
        <v>45792</v>
      </c>
      <c r="B1826" s="9" t="s">
        <v>47</v>
      </c>
      <c r="C1826" s="9" t="s">
        <v>41252</v>
      </c>
      <c r="D1826" s="9" t="s">
        <v>44929</v>
      </c>
      <c r="E1826" s="61">
        <v>45271.0</v>
      </c>
      <c r="F1826" s="9" t="b">
        <v>1</v>
      </c>
      <c r="G1826" s="9" t="s">
        <v>38801</v>
      </c>
      <c r="H1826" s="9" t="s">
        <v>42560</v>
      </c>
      <c r="I1826" s="9" t="b">
        <v>1</v>
      </c>
    </row>
    <row r="1827" ht="15.75" customHeight="1">
      <c r="A1827" s="9" t="s">
        <v>45793</v>
      </c>
      <c r="B1827" s="9" t="s">
        <v>131</v>
      </c>
      <c r="C1827" s="9" t="s">
        <v>41259</v>
      </c>
      <c r="D1827" s="9" t="s">
        <v>45794</v>
      </c>
      <c r="E1827" s="61">
        <v>45271.0</v>
      </c>
      <c r="F1827" s="9" t="b">
        <v>1</v>
      </c>
      <c r="G1827" s="9" t="s">
        <v>38801</v>
      </c>
      <c r="H1827" s="9" t="s">
        <v>42576</v>
      </c>
      <c r="I1827" s="9" t="b">
        <v>1</v>
      </c>
    </row>
    <row r="1828" ht="15.75" customHeight="1">
      <c r="A1828" s="9" t="s">
        <v>45795</v>
      </c>
      <c r="B1828" s="9" t="s">
        <v>47</v>
      </c>
      <c r="C1828" s="9" t="s">
        <v>41261</v>
      </c>
      <c r="D1828" s="9" t="s">
        <v>45796</v>
      </c>
      <c r="E1828" s="61">
        <v>45271.0</v>
      </c>
      <c r="F1828" s="9" t="b">
        <v>1</v>
      </c>
      <c r="G1828" s="9" t="s">
        <v>38801</v>
      </c>
      <c r="H1828" s="9" t="s">
        <v>42576</v>
      </c>
      <c r="I1828" s="9" t="b">
        <v>1</v>
      </c>
    </row>
    <row r="1829" ht="15.75" customHeight="1">
      <c r="A1829" s="9" t="s">
        <v>45797</v>
      </c>
      <c r="B1829" s="9" t="s">
        <v>131</v>
      </c>
      <c r="C1829" s="9" t="s">
        <v>41255</v>
      </c>
      <c r="D1829" s="9" t="s">
        <v>45798</v>
      </c>
      <c r="E1829" s="61">
        <v>45272.0</v>
      </c>
      <c r="F1829" s="9" t="b">
        <v>1</v>
      </c>
      <c r="G1829" s="9" t="s">
        <v>38801</v>
      </c>
      <c r="H1829" s="9" t="s">
        <v>42576</v>
      </c>
      <c r="I1829" s="9" t="b">
        <v>1</v>
      </c>
    </row>
    <row r="1830" ht="15.75" customHeight="1">
      <c r="A1830" s="9" t="s">
        <v>45799</v>
      </c>
      <c r="B1830" s="9" t="s">
        <v>131</v>
      </c>
      <c r="C1830" s="9" t="s">
        <v>41250</v>
      </c>
      <c r="D1830" s="9" t="s">
        <v>45800</v>
      </c>
      <c r="E1830" s="61">
        <v>45272.0</v>
      </c>
      <c r="F1830" s="9" t="b">
        <v>1</v>
      </c>
      <c r="G1830" s="9" t="s">
        <v>38801</v>
      </c>
      <c r="H1830" s="9" t="s">
        <v>42576</v>
      </c>
      <c r="I1830" s="9" t="b">
        <v>1</v>
      </c>
    </row>
    <row r="1831" ht="15.75" customHeight="1">
      <c r="A1831" s="9" t="s">
        <v>45801</v>
      </c>
      <c r="B1831" s="9" t="s">
        <v>131</v>
      </c>
      <c r="C1831" s="9" t="s">
        <v>41242</v>
      </c>
      <c r="D1831" s="9" t="s">
        <v>45802</v>
      </c>
      <c r="E1831" s="61">
        <v>45272.0</v>
      </c>
      <c r="F1831" s="9" t="b">
        <v>1</v>
      </c>
      <c r="G1831" s="9" t="s">
        <v>38801</v>
      </c>
      <c r="H1831" s="9" t="s">
        <v>42576</v>
      </c>
      <c r="I1831" s="9" t="b">
        <v>1</v>
      </c>
    </row>
    <row r="1832" ht="15.75" customHeight="1">
      <c r="A1832" s="9" t="s">
        <v>45803</v>
      </c>
      <c r="B1832" s="9" t="s">
        <v>131</v>
      </c>
      <c r="C1832" s="9" t="s">
        <v>41259</v>
      </c>
      <c r="D1832" s="9" t="s">
        <v>45804</v>
      </c>
      <c r="E1832" s="61">
        <v>45272.0</v>
      </c>
      <c r="F1832" s="9" t="b">
        <v>1</v>
      </c>
      <c r="G1832" s="9" t="s">
        <v>42585</v>
      </c>
      <c r="H1832" s="9" t="s">
        <v>42576</v>
      </c>
      <c r="I1832" s="9"/>
    </row>
    <row r="1833" ht="15.75" customHeight="1">
      <c r="A1833" s="9" t="s">
        <v>45805</v>
      </c>
      <c r="B1833" s="9" t="s">
        <v>131</v>
      </c>
      <c r="C1833" s="9" t="s">
        <v>41259</v>
      </c>
      <c r="D1833" s="52" t="s">
        <v>3725</v>
      </c>
      <c r="E1833" s="61">
        <v>45272.0</v>
      </c>
      <c r="F1833" s="9" t="b">
        <v>1</v>
      </c>
      <c r="G1833" s="9" t="s">
        <v>43228</v>
      </c>
      <c r="H1833" s="9" t="s">
        <v>42576</v>
      </c>
      <c r="I1833" s="9"/>
    </row>
    <row r="1834" ht="15.75" customHeight="1">
      <c r="A1834" s="9" t="s">
        <v>45806</v>
      </c>
      <c r="B1834" s="9" t="s">
        <v>131</v>
      </c>
      <c r="C1834" s="9" t="s">
        <v>41270</v>
      </c>
      <c r="D1834" s="9" t="s">
        <v>45807</v>
      </c>
      <c r="E1834" s="61">
        <v>45275.0</v>
      </c>
      <c r="F1834" s="9" t="b">
        <v>1</v>
      </c>
      <c r="G1834" s="9" t="s">
        <v>38801</v>
      </c>
      <c r="H1834" s="9" t="s">
        <v>42576</v>
      </c>
      <c r="I1834" s="9" t="b">
        <v>1</v>
      </c>
    </row>
    <row r="1835" ht="15.75" customHeight="1">
      <c r="A1835" s="9" t="s">
        <v>45808</v>
      </c>
      <c r="B1835" s="9" t="s">
        <v>47</v>
      </c>
      <c r="C1835" s="9" t="s">
        <v>41266</v>
      </c>
      <c r="D1835" s="9" t="s">
        <v>44884</v>
      </c>
      <c r="E1835" s="61">
        <v>45278.0</v>
      </c>
      <c r="F1835" s="9" t="b">
        <v>1</v>
      </c>
      <c r="G1835" s="9" t="s">
        <v>38801</v>
      </c>
      <c r="H1835" s="9" t="s">
        <v>42576</v>
      </c>
      <c r="I1835" s="9" t="b">
        <v>1</v>
      </c>
    </row>
    <row r="1836" ht="15.75" customHeight="1">
      <c r="A1836" s="9" t="s">
        <v>45809</v>
      </c>
      <c r="B1836" s="9" t="s">
        <v>47</v>
      </c>
      <c r="C1836" s="9" t="s">
        <v>41267</v>
      </c>
      <c r="D1836" s="9" t="s">
        <v>43895</v>
      </c>
      <c r="E1836" s="61">
        <v>45278.0</v>
      </c>
      <c r="F1836" s="9" t="b">
        <v>1</v>
      </c>
      <c r="G1836" s="9" t="s">
        <v>38801</v>
      </c>
      <c r="H1836" s="9" t="s">
        <v>42576</v>
      </c>
      <c r="I1836" s="9" t="b">
        <v>1</v>
      </c>
    </row>
    <row r="1837" ht="15.75" customHeight="1">
      <c r="A1837" s="9" t="s">
        <v>45810</v>
      </c>
      <c r="B1837" s="9" t="s">
        <v>47</v>
      </c>
      <c r="C1837" s="9" t="s">
        <v>41275</v>
      </c>
      <c r="D1837" s="9" t="s">
        <v>45811</v>
      </c>
      <c r="E1837" s="61">
        <v>45278.0</v>
      </c>
      <c r="F1837" s="9" t="b">
        <v>1</v>
      </c>
      <c r="G1837" s="9" t="s">
        <v>38801</v>
      </c>
      <c r="H1837" s="9" t="s">
        <v>42576</v>
      </c>
      <c r="I1837" s="9" t="b">
        <v>1</v>
      </c>
    </row>
    <row r="1838" ht="15.75" customHeight="1">
      <c r="A1838" s="9" t="s">
        <v>45812</v>
      </c>
      <c r="B1838" s="9" t="s">
        <v>47</v>
      </c>
      <c r="C1838" s="9" t="s">
        <v>41273</v>
      </c>
      <c r="D1838" s="9" t="s">
        <v>45813</v>
      </c>
      <c r="E1838" s="61">
        <v>45278.0</v>
      </c>
      <c r="F1838" s="9" t="b">
        <v>1</v>
      </c>
      <c r="G1838" s="9" t="s">
        <v>38801</v>
      </c>
      <c r="H1838" s="9" t="s">
        <v>42576</v>
      </c>
      <c r="I1838" s="9" t="b">
        <v>1</v>
      </c>
    </row>
    <row r="1839" ht="15.75" customHeight="1">
      <c r="A1839" s="9" t="s">
        <v>45814</v>
      </c>
      <c r="B1839" s="9" t="s">
        <v>76</v>
      </c>
      <c r="C1839" s="9" t="s">
        <v>41247</v>
      </c>
      <c r="D1839" s="9" t="s">
        <v>45815</v>
      </c>
      <c r="E1839" s="61">
        <v>45281.0</v>
      </c>
      <c r="F1839" s="9" t="b">
        <v>1</v>
      </c>
      <c r="G1839" s="9" t="s">
        <v>38801</v>
      </c>
      <c r="H1839" s="9" t="s">
        <v>42560</v>
      </c>
      <c r="I1839" s="9" t="b">
        <v>1</v>
      </c>
    </row>
    <row r="1840" ht="15.75" customHeight="1">
      <c r="A1840" s="52" t="s">
        <v>45816</v>
      </c>
      <c r="B1840" s="9" t="s">
        <v>47</v>
      </c>
      <c r="C1840" s="9" t="s">
        <v>41278</v>
      </c>
      <c r="D1840" s="9" t="s">
        <v>45817</v>
      </c>
      <c r="E1840" s="61">
        <v>45282.0</v>
      </c>
      <c r="F1840" s="9" t="b">
        <v>1</v>
      </c>
      <c r="G1840" s="9" t="s">
        <v>43228</v>
      </c>
      <c r="H1840" s="9" t="s">
        <v>42560</v>
      </c>
      <c r="I1840" s="9"/>
    </row>
    <row r="1841" ht="15.75" customHeight="1">
      <c r="A1841" s="9" t="s">
        <v>45818</v>
      </c>
      <c r="B1841" s="9" t="s">
        <v>47</v>
      </c>
      <c r="C1841" s="9" t="s">
        <v>41278</v>
      </c>
      <c r="D1841" s="9" t="s">
        <v>45819</v>
      </c>
      <c r="E1841" s="61">
        <v>45282.0</v>
      </c>
      <c r="F1841" s="9" t="b">
        <v>1</v>
      </c>
      <c r="G1841" s="9" t="s">
        <v>38801</v>
      </c>
      <c r="H1841" s="9" t="s">
        <v>42576</v>
      </c>
      <c r="I1841" s="9" t="b">
        <v>1</v>
      </c>
    </row>
    <row r="1842" ht="15.75" customHeight="1">
      <c r="A1842" s="9" t="s">
        <v>45820</v>
      </c>
      <c r="B1842" s="9" t="s">
        <v>76</v>
      </c>
      <c r="C1842" s="9" t="s">
        <v>41269</v>
      </c>
      <c r="D1842" s="9" t="s">
        <v>45821</v>
      </c>
      <c r="E1842" s="61">
        <v>45282.0</v>
      </c>
      <c r="F1842" s="9" t="b">
        <v>1</v>
      </c>
      <c r="G1842" s="9" t="s">
        <v>38801</v>
      </c>
      <c r="H1842" s="9" t="s">
        <v>42576</v>
      </c>
      <c r="I1842" s="9" t="b">
        <v>1</v>
      </c>
    </row>
    <row r="1843" ht="15.75" customHeight="1">
      <c r="A1843" s="9" t="s">
        <v>45822</v>
      </c>
      <c r="B1843" s="9" t="s">
        <v>131</v>
      </c>
      <c r="C1843" s="9" t="s">
        <v>41280</v>
      </c>
      <c r="D1843" s="9" t="s">
        <v>45823</v>
      </c>
      <c r="E1843" s="61">
        <v>45288.0</v>
      </c>
      <c r="F1843" s="9" t="b">
        <v>1</v>
      </c>
      <c r="G1843" s="9" t="s">
        <v>38801</v>
      </c>
      <c r="H1843" s="9" t="s">
        <v>42576</v>
      </c>
      <c r="I1843" s="9" t="b">
        <v>1</v>
      </c>
    </row>
    <row r="1844" ht="15.75" customHeight="1">
      <c r="A1844" s="9" t="s">
        <v>45824</v>
      </c>
      <c r="B1844" s="9" t="s">
        <v>47</v>
      </c>
      <c r="C1844" s="9" t="s">
        <v>41282</v>
      </c>
      <c r="D1844" s="9" t="s">
        <v>43724</v>
      </c>
      <c r="E1844" s="61">
        <v>45294.0</v>
      </c>
      <c r="F1844" s="9" t="b">
        <v>1</v>
      </c>
      <c r="G1844" s="9" t="s">
        <v>38801</v>
      </c>
      <c r="H1844" s="9" t="s">
        <v>42560</v>
      </c>
      <c r="I1844" s="9" t="b">
        <v>1</v>
      </c>
    </row>
    <row r="1845" ht="15.75" customHeight="1">
      <c r="A1845" s="9" t="s">
        <v>45825</v>
      </c>
      <c r="B1845" s="9" t="s">
        <v>47</v>
      </c>
      <c r="C1845" s="9" t="s">
        <v>39211</v>
      </c>
      <c r="D1845" s="9" t="s">
        <v>45826</v>
      </c>
      <c r="E1845" s="61">
        <v>45294.0</v>
      </c>
      <c r="F1845" s="9" t="b">
        <v>1</v>
      </c>
      <c r="G1845" s="9" t="s">
        <v>42632</v>
      </c>
      <c r="H1845" s="9" t="s">
        <v>42560</v>
      </c>
      <c r="I1845" s="9"/>
    </row>
    <row r="1846" ht="15.75" customHeight="1">
      <c r="A1846" s="9" t="s">
        <v>45827</v>
      </c>
      <c r="B1846" s="9" t="s">
        <v>47</v>
      </c>
      <c r="C1846" s="9" t="s">
        <v>41284</v>
      </c>
      <c r="D1846" s="9" t="s">
        <v>45828</v>
      </c>
      <c r="E1846" s="61">
        <v>45294.0</v>
      </c>
      <c r="F1846" s="9" t="b">
        <v>1</v>
      </c>
      <c r="G1846" s="9" t="s">
        <v>38801</v>
      </c>
      <c r="H1846" s="9" t="s">
        <v>42560</v>
      </c>
      <c r="I1846" s="9" t="b">
        <v>1</v>
      </c>
    </row>
    <row r="1847" ht="15.75" customHeight="1">
      <c r="A1847" s="9" t="s">
        <v>45829</v>
      </c>
      <c r="B1847" s="9" t="s">
        <v>47</v>
      </c>
      <c r="C1847" s="9" t="s">
        <v>41285</v>
      </c>
      <c r="D1847" s="9" t="s">
        <v>42560</v>
      </c>
      <c r="E1847" s="61">
        <v>45294.0</v>
      </c>
      <c r="F1847" s="9" t="b">
        <v>1</v>
      </c>
      <c r="G1847" s="9" t="s">
        <v>38801</v>
      </c>
      <c r="H1847" s="9" t="s">
        <v>42576</v>
      </c>
      <c r="I1847" s="9" t="b">
        <v>1</v>
      </c>
    </row>
    <row r="1848" ht="15.75" customHeight="1">
      <c r="A1848" s="9" t="s">
        <v>45830</v>
      </c>
      <c r="B1848" s="9" t="s">
        <v>47</v>
      </c>
      <c r="C1848" s="9" t="s">
        <v>41287</v>
      </c>
      <c r="D1848" s="9" t="s">
        <v>45831</v>
      </c>
      <c r="E1848" s="61">
        <v>45294.0</v>
      </c>
      <c r="F1848" s="9" t="b">
        <v>1</v>
      </c>
      <c r="G1848" s="9" t="s">
        <v>38801</v>
      </c>
      <c r="H1848" s="9" t="s">
        <v>42576</v>
      </c>
      <c r="I1848" s="9" t="b">
        <v>1</v>
      </c>
    </row>
    <row r="1849" ht="15.75" customHeight="1">
      <c r="A1849" s="9" t="s">
        <v>45832</v>
      </c>
      <c r="B1849" s="9" t="s">
        <v>47</v>
      </c>
      <c r="C1849" s="9" t="s">
        <v>41289</v>
      </c>
      <c r="D1849" s="9" t="s">
        <v>45833</v>
      </c>
      <c r="E1849" s="61">
        <v>45296.0</v>
      </c>
      <c r="F1849" s="9" t="b">
        <v>1</v>
      </c>
      <c r="G1849" s="9" t="s">
        <v>38801</v>
      </c>
      <c r="H1849" s="9" t="s">
        <v>42576</v>
      </c>
      <c r="I1849" s="9" t="b">
        <v>1</v>
      </c>
    </row>
    <row r="1850" ht="15.75" customHeight="1">
      <c r="A1850" s="9" t="s">
        <v>45834</v>
      </c>
      <c r="B1850" s="9" t="s">
        <v>131</v>
      </c>
      <c r="C1850" s="9" t="s">
        <v>41277</v>
      </c>
      <c r="D1850" s="9" t="s">
        <v>45835</v>
      </c>
      <c r="E1850" s="61">
        <v>45296.0</v>
      </c>
      <c r="F1850" s="9" t="b">
        <v>1</v>
      </c>
      <c r="G1850" s="9" t="s">
        <v>38801</v>
      </c>
      <c r="H1850" s="9" t="s">
        <v>42576</v>
      </c>
      <c r="I1850" s="9" t="b">
        <v>1</v>
      </c>
    </row>
    <row r="1851" ht="15.75" customHeight="1">
      <c r="A1851" s="9" t="s">
        <v>45836</v>
      </c>
      <c r="B1851" s="9" t="s">
        <v>47</v>
      </c>
      <c r="C1851" s="9" t="s">
        <v>41293</v>
      </c>
      <c r="D1851" s="9" t="s">
        <v>45837</v>
      </c>
      <c r="E1851" s="61">
        <v>45299.0</v>
      </c>
      <c r="F1851" s="9" t="b">
        <v>1</v>
      </c>
      <c r="G1851" s="9" t="s">
        <v>38801</v>
      </c>
      <c r="H1851" s="9" t="s">
        <v>42576</v>
      </c>
      <c r="I1851" s="9" t="b">
        <v>1</v>
      </c>
    </row>
    <row r="1852" ht="15.75" customHeight="1">
      <c r="A1852" s="9" t="s">
        <v>45838</v>
      </c>
      <c r="B1852" s="9" t="s">
        <v>47</v>
      </c>
      <c r="C1852" s="9" t="s">
        <v>41291</v>
      </c>
      <c r="D1852" s="9" t="s">
        <v>43724</v>
      </c>
      <c r="E1852" s="61">
        <v>45300.0</v>
      </c>
      <c r="F1852" s="9" t="b">
        <v>1</v>
      </c>
      <c r="G1852" s="9" t="s">
        <v>38801</v>
      </c>
      <c r="H1852" s="9" t="s">
        <v>42576</v>
      </c>
      <c r="I1852" s="9" t="b">
        <v>1</v>
      </c>
    </row>
    <row r="1853" ht="15.75" customHeight="1">
      <c r="A1853" s="9" t="s">
        <v>45839</v>
      </c>
      <c r="B1853" s="9" t="s">
        <v>131</v>
      </c>
      <c r="C1853" s="9" t="s">
        <v>41301</v>
      </c>
      <c r="D1853" s="9" t="s">
        <v>45840</v>
      </c>
      <c r="E1853" s="61">
        <v>45300.0</v>
      </c>
      <c r="F1853" s="9" t="b">
        <v>1</v>
      </c>
      <c r="G1853" s="9" t="s">
        <v>38801</v>
      </c>
      <c r="H1853" s="9" t="s">
        <v>42576</v>
      </c>
      <c r="I1853" s="9" t="b">
        <v>1</v>
      </c>
    </row>
    <row r="1854" ht="15.75" customHeight="1">
      <c r="A1854" s="9" t="s">
        <v>45841</v>
      </c>
      <c r="B1854" s="9" t="s">
        <v>47</v>
      </c>
      <c r="C1854" s="9" t="s">
        <v>41303</v>
      </c>
      <c r="D1854" s="9" t="s">
        <v>43724</v>
      </c>
      <c r="E1854" s="61">
        <v>45300.0</v>
      </c>
      <c r="F1854" s="9" t="b">
        <v>1</v>
      </c>
      <c r="G1854" s="9" t="s">
        <v>38801</v>
      </c>
      <c r="H1854" s="9" t="s">
        <v>42576</v>
      </c>
      <c r="I1854" s="9" t="b">
        <v>1</v>
      </c>
    </row>
    <row r="1855" ht="15.75" customHeight="1">
      <c r="A1855" s="9" t="s">
        <v>45842</v>
      </c>
      <c r="B1855" s="9" t="s">
        <v>47</v>
      </c>
      <c r="C1855" s="9" t="s">
        <v>41295</v>
      </c>
      <c r="D1855" s="9" t="s">
        <v>45843</v>
      </c>
      <c r="E1855" s="61">
        <v>45300.0</v>
      </c>
      <c r="F1855" s="9" t="b">
        <v>1</v>
      </c>
      <c r="G1855" s="9" t="s">
        <v>43228</v>
      </c>
      <c r="H1855" s="9" t="s">
        <v>42576</v>
      </c>
      <c r="I1855" s="9"/>
    </row>
    <row r="1856" ht="15.75" customHeight="1">
      <c r="A1856" s="9" t="s">
        <v>45844</v>
      </c>
      <c r="B1856" s="9" t="s">
        <v>47</v>
      </c>
      <c r="C1856" s="9" t="s">
        <v>41305</v>
      </c>
      <c r="D1856" s="9" t="s">
        <v>45845</v>
      </c>
      <c r="E1856" s="61">
        <v>45301.0</v>
      </c>
      <c r="F1856" s="9" t="b">
        <v>1</v>
      </c>
      <c r="G1856" s="9" t="s">
        <v>38801</v>
      </c>
      <c r="H1856" s="9" t="s">
        <v>42576</v>
      </c>
      <c r="I1856" s="9" t="b">
        <v>1</v>
      </c>
    </row>
    <row r="1857" ht="15.75" customHeight="1">
      <c r="A1857" s="9" t="s">
        <v>45846</v>
      </c>
      <c r="B1857" s="9" t="s">
        <v>26</v>
      </c>
      <c r="C1857" s="9" t="s">
        <v>41271</v>
      </c>
      <c r="D1857" s="9" t="s">
        <v>45847</v>
      </c>
      <c r="E1857" s="61">
        <v>45301.0</v>
      </c>
      <c r="F1857" s="9" t="b">
        <v>1</v>
      </c>
      <c r="G1857" s="9" t="s">
        <v>42573</v>
      </c>
      <c r="H1857" s="9" t="s">
        <v>42560</v>
      </c>
      <c r="I1857" s="9"/>
    </row>
    <row r="1858" ht="15.75" customHeight="1">
      <c r="A1858" s="9" t="s">
        <v>45848</v>
      </c>
      <c r="B1858" s="9" t="s">
        <v>47</v>
      </c>
      <c r="C1858" s="9" t="s">
        <v>41310</v>
      </c>
      <c r="D1858" s="9" t="s">
        <v>45849</v>
      </c>
      <c r="E1858" s="61">
        <v>45302.0</v>
      </c>
      <c r="F1858" s="9" t="b">
        <v>1</v>
      </c>
      <c r="G1858" s="9" t="s">
        <v>38801</v>
      </c>
      <c r="H1858" s="9" t="s">
        <v>42576</v>
      </c>
      <c r="I1858" s="9" t="b">
        <v>1</v>
      </c>
    </row>
    <row r="1859" ht="15.75" customHeight="1">
      <c r="A1859" s="9" t="s">
        <v>45850</v>
      </c>
      <c r="B1859" s="9" t="s">
        <v>131</v>
      </c>
      <c r="C1859" s="9" t="s">
        <v>41307</v>
      </c>
      <c r="D1859" s="9" t="s">
        <v>45851</v>
      </c>
      <c r="E1859" s="61">
        <v>45302.0</v>
      </c>
      <c r="F1859" s="9" t="b">
        <v>1</v>
      </c>
      <c r="G1859" s="9" t="s">
        <v>38801</v>
      </c>
      <c r="H1859" s="9" t="s">
        <v>42576</v>
      </c>
      <c r="I1859" s="9" t="b">
        <v>1</v>
      </c>
    </row>
    <row r="1860" ht="15.75" customHeight="1">
      <c r="A1860" s="9" t="s">
        <v>45852</v>
      </c>
      <c r="B1860" s="9" t="s">
        <v>76</v>
      </c>
      <c r="C1860" s="9" t="s">
        <v>41312</v>
      </c>
      <c r="D1860" s="9" t="s">
        <v>45853</v>
      </c>
      <c r="E1860" s="61">
        <v>45303.0</v>
      </c>
      <c r="F1860" s="9" t="b">
        <v>1</v>
      </c>
      <c r="G1860" s="9" t="s">
        <v>38801</v>
      </c>
      <c r="H1860" s="9" t="s">
        <v>42576</v>
      </c>
      <c r="I1860" s="9" t="b">
        <v>1</v>
      </c>
    </row>
    <row r="1861" ht="15.75" customHeight="1">
      <c r="A1861" s="9" t="s">
        <v>45854</v>
      </c>
      <c r="B1861" s="9" t="s">
        <v>131</v>
      </c>
      <c r="C1861" s="9" t="s">
        <v>41309</v>
      </c>
      <c r="D1861" s="9" t="s">
        <v>45855</v>
      </c>
      <c r="E1861" s="61">
        <v>45309.0</v>
      </c>
      <c r="F1861" s="9" t="b">
        <v>1</v>
      </c>
      <c r="G1861" s="9" t="s">
        <v>38801</v>
      </c>
      <c r="H1861" s="9" t="s">
        <v>42576</v>
      </c>
      <c r="I1861" s="9" t="b">
        <v>1</v>
      </c>
    </row>
    <row r="1862" ht="15.75" customHeight="1">
      <c r="A1862" s="9" t="s">
        <v>45856</v>
      </c>
      <c r="B1862" s="9" t="s">
        <v>131</v>
      </c>
      <c r="C1862" s="9" t="s">
        <v>41316</v>
      </c>
      <c r="D1862" s="9" t="s">
        <v>45857</v>
      </c>
      <c r="E1862" s="61">
        <v>45310.0</v>
      </c>
      <c r="F1862" s="9" t="b">
        <v>1</v>
      </c>
      <c r="G1862" s="9" t="s">
        <v>42585</v>
      </c>
      <c r="H1862" s="9" t="s">
        <v>42576</v>
      </c>
      <c r="I1862" s="9"/>
    </row>
    <row r="1863" ht="15.75" customHeight="1">
      <c r="A1863" s="9" t="s">
        <v>45858</v>
      </c>
      <c r="B1863" s="9" t="s">
        <v>76</v>
      </c>
      <c r="C1863" s="9" t="s">
        <v>41319</v>
      </c>
      <c r="D1863" s="9" t="s">
        <v>45859</v>
      </c>
      <c r="E1863" s="61">
        <v>45316.0</v>
      </c>
      <c r="F1863" s="9" t="b">
        <v>1</v>
      </c>
      <c r="G1863" s="9" t="s">
        <v>38801</v>
      </c>
      <c r="H1863" s="9" t="s">
        <v>42576</v>
      </c>
      <c r="I1863" s="9" t="b">
        <v>1</v>
      </c>
    </row>
    <row r="1864" ht="15.75" customHeight="1">
      <c r="A1864" s="9" t="s">
        <v>45860</v>
      </c>
      <c r="B1864" s="9" t="s">
        <v>47</v>
      </c>
      <c r="C1864" s="9" t="s">
        <v>41324</v>
      </c>
      <c r="D1864" s="9" t="s">
        <v>45861</v>
      </c>
      <c r="E1864" s="61">
        <v>45316.0</v>
      </c>
      <c r="F1864" s="9" t="b">
        <v>1</v>
      </c>
      <c r="G1864" s="9" t="s">
        <v>38801</v>
      </c>
      <c r="H1864" s="9" t="s">
        <v>42576</v>
      </c>
      <c r="I1864" s="9" t="b">
        <v>1</v>
      </c>
    </row>
    <row r="1865" ht="15.75" customHeight="1">
      <c r="A1865" s="9" t="s">
        <v>45862</v>
      </c>
      <c r="B1865" s="9" t="s">
        <v>52</v>
      </c>
      <c r="C1865" s="9" t="s">
        <v>41271</v>
      </c>
      <c r="D1865" s="9" t="s">
        <v>45863</v>
      </c>
      <c r="E1865" s="61">
        <v>45316.0</v>
      </c>
      <c r="F1865" s="9" t="b">
        <v>1</v>
      </c>
      <c r="G1865" s="9" t="s">
        <v>42573</v>
      </c>
      <c r="H1865" s="9" t="s">
        <v>42560</v>
      </c>
      <c r="I1865" s="9"/>
    </row>
    <row r="1866" ht="15.75" customHeight="1">
      <c r="A1866" s="9" t="s">
        <v>45864</v>
      </c>
      <c r="B1866" s="9" t="s">
        <v>131</v>
      </c>
      <c r="C1866" s="9" t="s">
        <v>41322</v>
      </c>
      <c r="D1866" s="9" t="s">
        <v>45865</v>
      </c>
      <c r="E1866" s="61">
        <v>45322.0</v>
      </c>
      <c r="F1866" s="9" t="b">
        <v>1</v>
      </c>
      <c r="G1866" s="9" t="s">
        <v>38801</v>
      </c>
      <c r="H1866" s="9" t="s">
        <v>42576</v>
      </c>
      <c r="I1866" s="9" t="b">
        <v>1</v>
      </c>
    </row>
    <row r="1867" ht="15.75" customHeight="1">
      <c r="A1867" s="9" t="s">
        <v>45866</v>
      </c>
      <c r="B1867" s="9" t="s">
        <v>131</v>
      </c>
      <c r="C1867" s="9" t="s">
        <v>41321</v>
      </c>
      <c r="D1867" s="9" t="s">
        <v>45867</v>
      </c>
      <c r="E1867" s="61">
        <v>45322.0</v>
      </c>
      <c r="F1867" s="9" t="b">
        <v>1</v>
      </c>
      <c r="G1867" s="9" t="s">
        <v>38801</v>
      </c>
      <c r="H1867" s="9" t="s">
        <v>42576</v>
      </c>
      <c r="I1867" s="9" t="b">
        <v>1</v>
      </c>
    </row>
    <row r="1868" ht="15.75" customHeight="1">
      <c r="A1868" s="9" t="s">
        <v>45868</v>
      </c>
      <c r="B1868" s="9" t="s">
        <v>26</v>
      </c>
      <c r="C1868" s="9" t="s">
        <v>41246</v>
      </c>
      <c r="D1868" s="9" t="s">
        <v>45869</v>
      </c>
      <c r="E1868" s="61">
        <v>45322.0</v>
      </c>
      <c r="F1868" s="9" t="b">
        <v>1</v>
      </c>
      <c r="G1868" s="9" t="s">
        <v>38801</v>
      </c>
      <c r="H1868" s="9" t="s">
        <v>42576</v>
      </c>
      <c r="I1868" s="9" t="b">
        <v>1</v>
      </c>
    </row>
    <row r="1869" ht="15.75" customHeight="1">
      <c r="A1869" s="9" t="s">
        <v>45870</v>
      </c>
      <c r="B1869" s="9" t="s">
        <v>26</v>
      </c>
      <c r="C1869" s="9" t="s">
        <v>41253</v>
      </c>
      <c r="D1869" s="9" t="s">
        <v>45869</v>
      </c>
      <c r="E1869" s="61">
        <v>45322.0</v>
      </c>
      <c r="F1869" s="9" t="b">
        <v>1</v>
      </c>
      <c r="G1869" s="9" t="s">
        <v>38801</v>
      </c>
      <c r="H1869" s="9" t="s">
        <v>42560</v>
      </c>
      <c r="I1869" s="9" t="b">
        <v>1</v>
      </c>
    </row>
    <row r="1870" ht="15.75" customHeight="1">
      <c r="A1870" s="9" t="s">
        <v>45871</v>
      </c>
      <c r="B1870" s="9" t="s">
        <v>26</v>
      </c>
      <c r="C1870" s="9" t="s">
        <v>41268</v>
      </c>
      <c r="D1870" s="9" t="s">
        <v>45872</v>
      </c>
      <c r="E1870" s="61">
        <v>45322.0</v>
      </c>
      <c r="F1870" s="9" t="b">
        <v>1</v>
      </c>
      <c r="G1870" s="9" t="s">
        <v>38801</v>
      </c>
      <c r="H1870" s="9" t="s">
        <v>42560</v>
      </c>
      <c r="I1870" s="9" t="b">
        <v>1</v>
      </c>
    </row>
    <row r="1871" ht="15.75" customHeight="1">
      <c r="A1871" s="9" t="s">
        <v>45873</v>
      </c>
      <c r="B1871" s="9" t="s">
        <v>26</v>
      </c>
      <c r="C1871" s="9" t="s">
        <v>41317</v>
      </c>
      <c r="D1871" s="9" t="s">
        <v>45874</v>
      </c>
      <c r="E1871" s="61">
        <v>45322.0</v>
      </c>
      <c r="F1871" s="9" t="b">
        <v>1</v>
      </c>
      <c r="G1871" s="9" t="s">
        <v>38801</v>
      </c>
      <c r="H1871" s="9" t="s">
        <v>42576</v>
      </c>
      <c r="I1871" s="9" t="b">
        <v>1</v>
      </c>
    </row>
    <row r="1872" ht="15.75" customHeight="1">
      <c r="A1872" s="9" t="s">
        <v>45875</v>
      </c>
      <c r="B1872" s="9" t="s">
        <v>26</v>
      </c>
      <c r="C1872" s="9" t="s">
        <v>41228</v>
      </c>
      <c r="D1872" s="9" t="s">
        <v>45876</v>
      </c>
      <c r="E1872" s="61">
        <v>45322.0</v>
      </c>
      <c r="F1872" s="9" t="b">
        <v>1</v>
      </c>
      <c r="G1872" s="9" t="s">
        <v>38801</v>
      </c>
      <c r="H1872" s="9" t="s">
        <v>42560</v>
      </c>
      <c r="I1872" s="9" t="b">
        <v>1</v>
      </c>
    </row>
    <row r="1873" ht="15.75" customHeight="1">
      <c r="A1873" s="9" t="s">
        <v>45877</v>
      </c>
      <c r="B1873" s="9" t="s">
        <v>26</v>
      </c>
      <c r="C1873" s="9" t="s">
        <v>41262</v>
      </c>
      <c r="D1873" s="9" t="s">
        <v>45878</v>
      </c>
      <c r="E1873" s="61">
        <v>45322.0</v>
      </c>
      <c r="F1873" s="9" t="b">
        <v>1</v>
      </c>
      <c r="G1873" s="9" t="s">
        <v>38801</v>
      </c>
      <c r="H1873" s="9" t="s">
        <v>42576</v>
      </c>
      <c r="I1873" s="9" t="b">
        <v>1</v>
      </c>
    </row>
    <row r="1874" ht="15.75" customHeight="1">
      <c r="A1874" s="9" t="s">
        <v>45879</v>
      </c>
      <c r="B1874" s="9" t="s">
        <v>26</v>
      </c>
      <c r="C1874" s="9" t="s">
        <v>41262</v>
      </c>
      <c r="D1874" s="9" t="s">
        <v>45880</v>
      </c>
      <c r="E1874" s="61">
        <v>45322.0</v>
      </c>
      <c r="F1874" s="9" t="b">
        <v>1</v>
      </c>
      <c r="G1874" s="9" t="s">
        <v>38801</v>
      </c>
      <c r="H1874" s="9" t="s">
        <v>42560</v>
      </c>
      <c r="I1874" s="9" t="b">
        <v>1</v>
      </c>
    </row>
    <row r="1875" ht="15.75" customHeight="1">
      <c r="A1875" s="9" t="s">
        <v>45881</v>
      </c>
      <c r="B1875" s="9" t="s">
        <v>26</v>
      </c>
      <c r="C1875" s="9" t="s">
        <v>41271</v>
      </c>
      <c r="D1875" s="9" t="s">
        <v>45882</v>
      </c>
      <c r="E1875" s="61">
        <v>45322.0</v>
      </c>
      <c r="F1875" s="9" t="b">
        <v>1</v>
      </c>
      <c r="G1875" s="9" t="s">
        <v>38801</v>
      </c>
      <c r="H1875" s="9" t="s">
        <v>42560</v>
      </c>
      <c r="I1875" s="9" t="b">
        <v>1</v>
      </c>
    </row>
    <row r="1876" ht="15.75" customHeight="1">
      <c r="A1876" s="9" t="s">
        <v>45883</v>
      </c>
      <c r="B1876" s="9" t="s">
        <v>26</v>
      </c>
      <c r="C1876" s="9" t="s">
        <v>41299</v>
      </c>
      <c r="D1876" s="9" t="s">
        <v>45884</v>
      </c>
      <c r="E1876" s="61">
        <v>45322.0</v>
      </c>
      <c r="F1876" s="9" t="b">
        <v>1</v>
      </c>
      <c r="G1876" s="9" t="s">
        <v>38801</v>
      </c>
      <c r="H1876" s="9" t="s">
        <v>42560</v>
      </c>
      <c r="I1876" s="9" t="b">
        <v>1</v>
      </c>
    </row>
    <row r="1877" ht="15.75" customHeight="1">
      <c r="A1877" s="9" t="s">
        <v>45885</v>
      </c>
      <c r="B1877" s="9" t="s">
        <v>52</v>
      </c>
      <c r="C1877" s="9" t="s">
        <v>38929</v>
      </c>
      <c r="D1877" s="9" t="s">
        <v>45886</v>
      </c>
      <c r="E1877" s="61">
        <v>45322.0</v>
      </c>
      <c r="F1877" s="9" t="b">
        <v>1</v>
      </c>
      <c r="G1877" s="9" t="s">
        <v>42585</v>
      </c>
      <c r="H1877" s="9" t="s">
        <v>42560</v>
      </c>
      <c r="I1877" s="9"/>
    </row>
    <row r="1878" ht="15.75" customHeight="1">
      <c r="A1878" s="9" t="s">
        <v>45887</v>
      </c>
      <c r="B1878" s="9" t="s">
        <v>131</v>
      </c>
      <c r="C1878" s="9" t="s">
        <v>41328</v>
      </c>
      <c r="D1878" s="9" t="s">
        <v>45888</v>
      </c>
      <c r="E1878" s="61">
        <v>45323.0</v>
      </c>
      <c r="F1878" s="9" t="b">
        <v>1</v>
      </c>
      <c r="G1878" s="9" t="s">
        <v>38801</v>
      </c>
      <c r="H1878" s="9" t="s">
        <v>42576</v>
      </c>
      <c r="I1878" s="9" t="b">
        <v>1</v>
      </c>
    </row>
    <row r="1879" ht="15.75" customHeight="1">
      <c r="A1879" s="9" t="s">
        <v>45889</v>
      </c>
      <c r="B1879" s="9" t="s">
        <v>26</v>
      </c>
      <c r="C1879" s="9" t="s">
        <v>41330</v>
      </c>
      <c r="D1879" s="9" t="s">
        <v>45890</v>
      </c>
      <c r="E1879" s="61">
        <v>45328.0</v>
      </c>
      <c r="F1879" s="9" t="b">
        <v>1</v>
      </c>
      <c r="G1879" s="9" t="s">
        <v>38801</v>
      </c>
      <c r="H1879" s="9" t="s">
        <v>42560</v>
      </c>
      <c r="I1879" s="9" t="b">
        <v>1</v>
      </c>
    </row>
    <row r="1880" ht="15.75" customHeight="1">
      <c r="A1880" s="9" t="s">
        <v>45891</v>
      </c>
      <c r="B1880" s="9" t="s">
        <v>26</v>
      </c>
      <c r="C1880" s="9" t="s">
        <v>41230</v>
      </c>
      <c r="D1880" s="9" t="s">
        <v>45892</v>
      </c>
      <c r="E1880" s="61">
        <v>45328.0</v>
      </c>
      <c r="F1880" s="9" t="b">
        <v>1</v>
      </c>
      <c r="G1880" s="9" t="s">
        <v>38801</v>
      </c>
      <c r="H1880" s="9" t="s">
        <v>42560</v>
      </c>
      <c r="I1880" s="9" t="b">
        <v>1</v>
      </c>
    </row>
    <row r="1881" ht="15.75" customHeight="1">
      <c r="A1881" s="9" t="s">
        <v>45893</v>
      </c>
      <c r="B1881" s="9" t="s">
        <v>26</v>
      </c>
      <c r="C1881" s="9" t="s">
        <v>41264</v>
      </c>
      <c r="D1881" s="9" t="s">
        <v>45894</v>
      </c>
      <c r="E1881" s="61">
        <v>45328.0</v>
      </c>
      <c r="F1881" s="9" t="b">
        <v>1</v>
      </c>
      <c r="G1881" s="9" t="s">
        <v>43228</v>
      </c>
      <c r="H1881" s="9" t="s">
        <v>42560</v>
      </c>
      <c r="I1881" s="9"/>
    </row>
    <row r="1882" ht="15.75" customHeight="1">
      <c r="A1882" s="9" t="s">
        <v>45895</v>
      </c>
      <c r="B1882" s="9" t="s">
        <v>26</v>
      </c>
      <c r="C1882" s="9" t="s">
        <v>41264</v>
      </c>
      <c r="D1882" s="9" t="s">
        <v>45896</v>
      </c>
      <c r="E1882" s="61">
        <v>45328.0</v>
      </c>
      <c r="F1882" s="9" t="b">
        <v>1</v>
      </c>
      <c r="G1882" s="9" t="s">
        <v>38801</v>
      </c>
      <c r="H1882" s="9" t="s">
        <v>42560</v>
      </c>
      <c r="I1882" s="9" t="b">
        <v>1</v>
      </c>
    </row>
    <row r="1883" ht="15.75" customHeight="1">
      <c r="A1883" s="9" t="s">
        <v>45897</v>
      </c>
      <c r="B1883" s="9" t="s">
        <v>131</v>
      </c>
      <c r="C1883" s="9" t="s">
        <v>41326</v>
      </c>
      <c r="D1883" s="9" t="s">
        <v>45898</v>
      </c>
      <c r="E1883" s="61">
        <v>45329.0</v>
      </c>
      <c r="F1883" s="9" t="b">
        <v>1</v>
      </c>
      <c r="G1883" s="9" t="s">
        <v>38801</v>
      </c>
      <c r="H1883" s="9" t="s">
        <v>42576</v>
      </c>
      <c r="I1883" s="9" t="b">
        <v>1</v>
      </c>
    </row>
    <row r="1884" ht="15.75" customHeight="1">
      <c r="A1884" s="9" t="s">
        <v>45899</v>
      </c>
      <c r="B1884" s="9" t="s">
        <v>131</v>
      </c>
      <c r="C1884" s="9" t="s">
        <v>41332</v>
      </c>
      <c r="D1884" s="9" t="s">
        <v>45900</v>
      </c>
      <c r="E1884" s="61">
        <v>45330.0</v>
      </c>
      <c r="F1884" s="9" t="b">
        <v>1</v>
      </c>
      <c r="G1884" s="9" t="s">
        <v>38801</v>
      </c>
      <c r="H1884" s="9" t="s">
        <v>42576</v>
      </c>
      <c r="I1884" s="9" t="b">
        <v>1</v>
      </c>
    </row>
    <row r="1885" ht="15.75" customHeight="1">
      <c r="A1885" s="9" t="s">
        <v>45901</v>
      </c>
      <c r="B1885" s="9" t="s">
        <v>47</v>
      </c>
      <c r="C1885" s="9" t="s">
        <v>41334</v>
      </c>
      <c r="D1885" s="9" t="s">
        <v>45902</v>
      </c>
      <c r="E1885" s="61">
        <v>45331.0</v>
      </c>
      <c r="F1885" s="9" t="b">
        <v>1</v>
      </c>
      <c r="G1885" s="9" t="s">
        <v>38801</v>
      </c>
      <c r="H1885" s="9" t="s">
        <v>42576</v>
      </c>
      <c r="I1885" s="9" t="b">
        <v>1</v>
      </c>
    </row>
    <row r="1886" ht="15.75" customHeight="1">
      <c r="A1886" s="9" t="s">
        <v>45903</v>
      </c>
      <c r="B1886" s="9" t="s">
        <v>131</v>
      </c>
      <c r="C1886" s="9" t="s">
        <v>41339</v>
      </c>
      <c r="D1886" s="9" t="s">
        <v>45904</v>
      </c>
      <c r="E1886" s="61">
        <v>45338.0</v>
      </c>
      <c r="F1886" s="9" t="b">
        <v>1</v>
      </c>
      <c r="G1886" s="9" t="s">
        <v>38801</v>
      </c>
      <c r="H1886" s="9" t="s">
        <v>42576</v>
      </c>
      <c r="I1886" s="9" t="b">
        <v>1</v>
      </c>
    </row>
    <row r="1887" ht="15.75" customHeight="1">
      <c r="A1887" s="9" t="s">
        <v>45905</v>
      </c>
      <c r="B1887" s="9" t="s">
        <v>76</v>
      </c>
      <c r="C1887" s="9" t="s">
        <v>41316</v>
      </c>
      <c r="D1887" s="9" t="s">
        <v>45906</v>
      </c>
      <c r="E1887" s="61">
        <v>45342.0</v>
      </c>
      <c r="F1887" s="9" t="b">
        <v>1</v>
      </c>
      <c r="G1887" s="9" t="s">
        <v>38801</v>
      </c>
      <c r="H1887" s="9" t="s">
        <v>42560</v>
      </c>
      <c r="I1887" s="9" t="b">
        <v>1</v>
      </c>
    </row>
    <row r="1888" ht="15.75" customHeight="1">
      <c r="A1888" s="9" t="s">
        <v>45907</v>
      </c>
      <c r="B1888" s="9" t="s">
        <v>76</v>
      </c>
      <c r="C1888" s="9" t="s">
        <v>41338</v>
      </c>
      <c r="D1888" s="9" t="s">
        <v>45908</v>
      </c>
      <c r="E1888" s="61">
        <v>45342.0</v>
      </c>
      <c r="F1888" s="9" t="b">
        <v>1</v>
      </c>
      <c r="G1888" s="9" t="s">
        <v>38801</v>
      </c>
      <c r="H1888" s="9" t="s">
        <v>42560</v>
      </c>
      <c r="I1888" s="9" t="b">
        <v>1</v>
      </c>
    </row>
    <row r="1889" ht="15.75" customHeight="1">
      <c r="A1889" s="9" t="s">
        <v>45909</v>
      </c>
      <c r="B1889" s="9" t="s">
        <v>76</v>
      </c>
      <c r="C1889" s="9" t="s">
        <v>41342</v>
      </c>
      <c r="D1889" s="9" t="s">
        <v>45910</v>
      </c>
      <c r="E1889" s="61">
        <v>45342.0</v>
      </c>
      <c r="F1889" s="9" t="b">
        <v>1</v>
      </c>
      <c r="G1889" s="9" t="s">
        <v>38801</v>
      </c>
      <c r="H1889" s="9" t="s">
        <v>42560</v>
      </c>
      <c r="I1889" s="9" t="b">
        <v>1</v>
      </c>
    </row>
    <row r="1890" ht="15.75" customHeight="1">
      <c r="A1890" s="9" t="s">
        <v>45911</v>
      </c>
      <c r="B1890" s="9" t="s">
        <v>131</v>
      </c>
      <c r="C1890" s="9" t="s">
        <v>41297</v>
      </c>
      <c r="D1890" s="9" t="s">
        <v>45912</v>
      </c>
      <c r="E1890" s="61">
        <v>45342.0</v>
      </c>
      <c r="F1890" s="9" t="b">
        <v>1</v>
      </c>
      <c r="G1890" s="9" t="s">
        <v>38801</v>
      </c>
      <c r="H1890" s="9" t="s">
        <v>42576</v>
      </c>
      <c r="I1890" s="9" t="b">
        <v>1</v>
      </c>
    </row>
    <row r="1891" ht="15.75" customHeight="1">
      <c r="A1891" s="9" t="s">
        <v>45913</v>
      </c>
      <c r="B1891" s="9" t="s">
        <v>131</v>
      </c>
      <c r="C1891" s="9" t="s">
        <v>41340</v>
      </c>
      <c r="D1891" s="9" t="s">
        <v>45914</v>
      </c>
      <c r="E1891" s="61">
        <v>45342.0</v>
      </c>
      <c r="F1891" s="9" t="b">
        <v>1</v>
      </c>
      <c r="G1891" s="9" t="s">
        <v>38801</v>
      </c>
      <c r="H1891" s="9" t="s">
        <v>42576</v>
      </c>
      <c r="I1891" s="9" t="b">
        <v>1</v>
      </c>
    </row>
    <row r="1892" ht="15.75" customHeight="1">
      <c r="A1892" s="9" t="s">
        <v>45915</v>
      </c>
      <c r="B1892" s="9" t="s">
        <v>131</v>
      </c>
      <c r="C1892" s="9" t="s">
        <v>41349</v>
      </c>
      <c r="D1892" s="9" t="s">
        <v>45916</v>
      </c>
      <c r="E1892" s="61">
        <v>45342.0</v>
      </c>
      <c r="F1892" s="9" t="b">
        <v>1</v>
      </c>
      <c r="G1892" s="9" t="s">
        <v>38801</v>
      </c>
      <c r="H1892" s="9" t="s">
        <v>38800</v>
      </c>
      <c r="I1892" s="9" t="b">
        <v>1</v>
      </c>
    </row>
    <row r="1893" ht="15.75" customHeight="1">
      <c r="A1893" s="9" t="s">
        <v>45917</v>
      </c>
      <c r="B1893" s="9" t="s">
        <v>26</v>
      </c>
      <c r="C1893" s="9" t="s">
        <v>41238</v>
      </c>
      <c r="D1893" s="9" t="s">
        <v>45918</v>
      </c>
      <c r="E1893" s="61">
        <v>45343.0</v>
      </c>
      <c r="F1893" s="9" t="b">
        <v>1</v>
      </c>
      <c r="G1893" s="9" t="s">
        <v>38801</v>
      </c>
      <c r="H1893" s="9" t="s">
        <v>42576</v>
      </c>
      <c r="I1893" s="9" t="b">
        <v>1</v>
      </c>
    </row>
    <row r="1894" ht="15.75" customHeight="1">
      <c r="A1894" s="9" t="s">
        <v>45919</v>
      </c>
      <c r="B1894" s="9" t="s">
        <v>26</v>
      </c>
      <c r="C1894" s="9" t="s">
        <v>41345</v>
      </c>
      <c r="D1894" s="9" t="s">
        <v>45920</v>
      </c>
      <c r="E1894" s="61">
        <v>45343.0</v>
      </c>
      <c r="F1894" s="9" t="b">
        <v>1</v>
      </c>
      <c r="G1894" s="9" t="s">
        <v>38801</v>
      </c>
      <c r="H1894" s="9" t="s">
        <v>42560</v>
      </c>
      <c r="I1894" s="9" t="b">
        <v>1</v>
      </c>
    </row>
    <row r="1895" ht="15.75" customHeight="1">
      <c r="A1895" s="9" t="s">
        <v>45921</v>
      </c>
      <c r="B1895" s="9" t="s">
        <v>26</v>
      </c>
      <c r="C1895" s="9" t="s">
        <v>41347</v>
      </c>
      <c r="D1895" s="9" t="s">
        <v>45922</v>
      </c>
      <c r="E1895" s="61">
        <v>45343.0</v>
      </c>
      <c r="F1895" s="9" t="b">
        <v>1</v>
      </c>
      <c r="G1895" s="9" t="s">
        <v>38801</v>
      </c>
      <c r="H1895" s="9" t="s">
        <v>42560</v>
      </c>
      <c r="I1895" s="9" t="b">
        <v>1</v>
      </c>
    </row>
    <row r="1896" ht="15.75" customHeight="1">
      <c r="A1896" s="9" t="s">
        <v>45923</v>
      </c>
      <c r="B1896" s="9" t="s">
        <v>26</v>
      </c>
      <c r="C1896" s="9" t="s">
        <v>41336</v>
      </c>
      <c r="D1896" s="9" t="s">
        <v>45924</v>
      </c>
      <c r="E1896" s="61">
        <v>45343.0</v>
      </c>
      <c r="F1896" s="9" t="b">
        <v>1</v>
      </c>
      <c r="G1896" s="9" t="s">
        <v>38801</v>
      </c>
      <c r="H1896" s="9" t="s">
        <v>42560</v>
      </c>
      <c r="I1896" s="9" t="b">
        <v>1</v>
      </c>
    </row>
    <row r="1897" ht="15.75" customHeight="1">
      <c r="A1897" s="9" t="s">
        <v>45925</v>
      </c>
      <c r="B1897" s="9" t="s">
        <v>26</v>
      </c>
      <c r="C1897" s="9" t="s">
        <v>41343</v>
      </c>
      <c r="D1897" s="9" t="s">
        <v>45926</v>
      </c>
      <c r="E1897" s="61">
        <v>45344.0</v>
      </c>
      <c r="F1897" s="9" t="b">
        <v>1</v>
      </c>
      <c r="G1897" s="9" t="s">
        <v>42573</v>
      </c>
      <c r="H1897" s="9" t="s">
        <v>42560</v>
      </c>
      <c r="I1897" s="9"/>
    </row>
    <row r="1898" ht="15.75" customHeight="1">
      <c r="A1898" s="9" t="s">
        <v>45927</v>
      </c>
      <c r="B1898" s="9" t="s">
        <v>26</v>
      </c>
      <c r="C1898" s="9" t="s">
        <v>41343</v>
      </c>
      <c r="D1898" s="9" t="s">
        <v>45928</v>
      </c>
      <c r="E1898" s="61">
        <v>45345.0</v>
      </c>
      <c r="F1898" s="9" t="b">
        <v>1</v>
      </c>
      <c r="G1898" s="9" t="s">
        <v>38801</v>
      </c>
      <c r="H1898" s="9" t="s">
        <v>42560</v>
      </c>
      <c r="I1898" s="9" t="b">
        <v>1</v>
      </c>
    </row>
    <row r="1899" ht="15.75" customHeight="1">
      <c r="A1899" s="9" t="s">
        <v>45929</v>
      </c>
      <c r="B1899" s="9" t="s">
        <v>131</v>
      </c>
      <c r="C1899" s="9" t="s">
        <v>41356</v>
      </c>
      <c r="D1899" s="9" t="s">
        <v>42560</v>
      </c>
      <c r="E1899" s="61">
        <v>45348.0</v>
      </c>
      <c r="F1899" s="9" t="b">
        <v>1</v>
      </c>
      <c r="G1899" s="9" t="s">
        <v>38801</v>
      </c>
      <c r="H1899" s="9" t="s">
        <v>42576</v>
      </c>
      <c r="I1899" s="9" t="b">
        <v>1</v>
      </c>
    </row>
    <row r="1900" ht="15.75" customHeight="1">
      <c r="A1900" s="9" t="s">
        <v>45930</v>
      </c>
      <c r="B1900" s="9" t="s">
        <v>47</v>
      </c>
      <c r="C1900" s="9" t="s">
        <v>41357</v>
      </c>
      <c r="D1900" s="9" t="s">
        <v>42560</v>
      </c>
      <c r="E1900" s="61">
        <v>45348.0</v>
      </c>
      <c r="F1900" s="9" t="b">
        <v>1</v>
      </c>
      <c r="G1900" s="9" t="s">
        <v>38801</v>
      </c>
      <c r="H1900" s="9" t="s">
        <v>42576</v>
      </c>
      <c r="I1900" s="9" t="b">
        <v>1</v>
      </c>
    </row>
    <row r="1901" ht="15.75" customHeight="1">
      <c r="A1901" s="9" t="s">
        <v>45931</v>
      </c>
      <c r="B1901" s="9" t="s">
        <v>47</v>
      </c>
      <c r="C1901" s="9" t="s">
        <v>41358</v>
      </c>
      <c r="D1901" s="9" t="s">
        <v>42560</v>
      </c>
      <c r="E1901" s="61">
        <v>45348.0</v>
      </c>
      <c r="F1901" s="9" t="b">
        <v>1</v>
      </c>
      <c r="G1901" s="9" t="s">
        <v>38801</v>
      </c>
      <c r="H1901" s="9" t="s">
        <v>42576</v>
      </c>
      <c r="I1901" s="9" t="b">
        <v>1</v>
      </c>
    </row>
    <row r="1902" ht="15.75" customHeight="1">
      <c r="A1902" s="9" t="s">
        <v>45932</v>
      </c>
      <c r="B1902" s="9" t="s">
        <v>47</v>
      </c>
      <c r="C1902" s="9" t="s">
        <v>41353</v>
      </c>
      <c r="D1902" s="9" t="s">
        <v>45933</v>
      </c>
      <c r="E1902" s="61">
        <v>45348.0</v>
      </c>
      <c r="F1902" s="9" t="b">
        <v>1</v>
      </c>
      <c r="G1902" s="9" t="s">
        <v>43228</v>
      </c>
      <c r="H1902" s="9" t="s">
        <v>42560</v>
      </c>
      <c r="I1902" s="9"/>
    </row>
    <row r="1903" ht="15.75" customHeight="1">
      <c r="A1903" s="9" t="s">
        <v>45934</v>
      </c>
      <c r="B1903" s="9" t="s">
        <v>47</v>
      </c>
      <c r="C1903" s="9" t="s">
        <v>41359</v>
      </c>
      <c r="D1903" s="9" t="s">
        <v>45935</v>
      </c>
      <c r="E1903" s="61">
        <v>45349.0</v>
      </c>
      <c r="F1903" s="9" t="b">
        <v>1</v>
      </c>
      <c r="G1903" s="9" t="s">
        <v>43228</v>
      </c>
      <c r="H1903" s="9" t="s">
        <v>42576</v>
      </c>
      <c r="I1903" s="9"/>
    </row>
    <row r="1904" ht="15.75" customHeight="1">
      <c r="A1904" s="9" t="s">
        <v>45936</v>
      </c>
      <c r="B1904" s="9" t="s">
        <v>47</v>
      </c>
      <c r="C1904" s="9" t="s">
        <v>38837</v>
      </c>
      <c r="D1904" s="9" t="s">
        <v>45937</v>
      </c>
      <c r="E1904" s="61">
        <v>45349.0</v>
      </c>
      <c r="F1904" s="9" t="b">
        <v>1</v>
      </c>
      <c r="G1904" s="9" t="s">
        <v>38801</v>
      </c>
      <c r="H1904" s="9" t="s">
        <v>42560</v>
      </c>
      <c r="I1904" s="9" t="b">
        <v>1</v>
      </c>
    </row>
    <row r="1905" ht="15.75" customHeight="1">
      <c r="A1905" s="9" t="s">
        <v>45938</v>
      </c>
      <c r="B1905" s="9" t="s">
        <v>47</v>
      </c>
      <c r="C1905" s="9" t="s">
        <v>41361</v>
      </c>
      <c r="D1905" s="9" t="s">
        <v>45939</v>
      </c>
      <c r="E1905" s="61">
        <v>45349.0</v>
      </c>
      <c r="F1905" s="9" t="b">
        <v>1</v>
      </c>
      <c r="G1905" s="9" t="s">
        <v>38801</v>
      </c>
      <c r="H1905" s="9" t="s">
        <v>42560</v>
      </c>
      <c r="I1905" s="9" t="b">
        <v>1</v>
      </c>
    </row>
    <row r="1906" ht="15.75" customHeight="1">
      <c r="A1906" s="9" t="s">
        <v>45940</v>
      </c>
      <c r="B1906" s="9" t="s">
        <v>131</v>
      </c>
      <c r="C1906" s="9" t="s">
        <v>41365</v>
      </c>
      <c r="D1906" s="9" t="s">
        <v>45941</v>
      </c>
      <c r="E1906" s="61">
        <v>45349.0</v>
      </c>
      <c r="F1906" s="9" t="b">
        <v>1</v>
      </c>
      <c r="G1906" s="9" t="s">
        <v>38801</v>
      </c>
      <c r="H1906" s="9" t="s">
        <v>42576</v>
      </c>
      <c r="I1906" s="9" t="b">
        <v>1</v>
      </c>
    </row>
    <row r="1907" ht="15.75" customHeight="1">
      <c r="A1907" s="9" t="s">
        <v>45942</v>
      </c>
      <c r="B1907" s="9" t="s">
        <v>47</v>
      </c>
      <c r="C1907" s="9" t="s">
        <v>41359</v>
      </c>
      <c r="D1907" s="9" t="s">
        <v>45943</v>
      </c>
      <c r="E1907" s="61">
        <v>45349.0</v>
      </c>
      <c r="F1907" s="9" t="b">
        <v>1</v>
      </c>
      <c r="G1907" s="9" t="s">
        <v>38801</v>
      </c>
      <c r="H1907" s="9" t="s">
        <v>42576</v>
      </c>
      <c r="I1907" s="9" t="b">
        <v>1</v>
      </c>
    </row>
    <row r="1908" ht="15.75" customHeight="1">
      <c r="A1908" s="9" t="s">
        <v>45944</v>
      </c>
      <c r="B1908" s="9" t="s">
        <v>47</v>
      </c>
      <c r="C1908" s="9" t="s">
        <v>41367</v>
      </c>
      <c r="D1908" s="9" t="s">
        <v>42560</v>
      </c>
      <c r="E1908" s="61">
        <v>45350.0</v>
      </c>
      <c r="F1908" s="9" t="b">
        <v>1</v>
      </c>
      <c r="G1908" s="9" t="s">
        <v>38801</v>
      </c>
      <c r="H1908" s="9" t="s">
        <v>42576</v>
      </c>
      <c r="I1908" s="9" t="b">
        <v>1</v>
      </c>
    </row>
    <row r="1909" ht="15.75" customHeight="1">
      <c r="A1909" s="9" t="s">
        <v>45945</v>
      </c>
      <c r="B1909" s="9" t="s">
        <v>131</v>
      </c>
      <c r="C1909" s="9" t="s">
        <v>41370</v>
      </c>
      <c r="D1909" s="9" t="s">
        <v>45946</v>
      </c>
      <c r="E1909" s="61">
        <v>45351.0</v>
      </c>
      <c r="F1909" s="9" t="b">
        <v>1</v>
      </c>
      <c r="G1909" s="9" t="s">
        <v>38801</v>
      </c>
      <c r="H1909" s="9" t="s">
        <v>42576</v>
      </c>
      <c r="I1909" s="9" t="b">
        <v>1</v>
      </c>
    </row>
    <row r="1910" ht="15.75" customHeight="1">
      <c r="A1910" s="9" t="s">
        <v>45947</v>
      </c>
      <c r="B1910" s="9" t="s">
        <v>47</v>
      </c>
      <c r="C1910" s="9" t="s">
        <v>41372</v>
      </c>
      <c r="D1910" s="9" t="s">
        <v>45948</v>
      </c>
      <c r="E1910" s="61">
        <v>45352.0</v>
      </c>
      <c r="F1910" s="9" t="b">
        <v>1</v>
      </c>
      <c r="G1910" s="9" t="s">
        <v>43228</v>
      </c>
      <c r="H1910" s="9" t="s">
        <v>42576</v>
      </c>
      <c r="I1910" s="9"/>
    </row>
    <row r="1911" ht="15.75" customHeight="1">
      <c r="A1911" s="9" t="s">
        <v>45949</v>
      </c>
      <c r="B1911" s="9" t="s">
        <v>131</v>
      </c>
      <c r="C1911" s="9" t="s">
        <v>41369</v>
      </c>
      <c r="D1911" s="52" t="s">
        <v>45950</v>
      </c>
      <c r="E1911" s="61">
        <v>45355.0</v>
      </c>
      <c r="F1911" s="9" t="b">
        <v>1</v>
      </c>
      <c r="G1911" s="9" t="s">
        <v>38801</v>
      </c>
      <c r="H1911" s="9" t="s">
        <v>42560</v>
      </c>
      <c r="I1911" s="9" t="b">
        <v>1</v>
      </c>
    </row>
    <row r="1912" ht="15.75" customHeight="1">
      <c r="A1912" s="9" t="s">
        <v>45951</v>
      </c>
      <c r="B1912" s="9" t="s">
        <v>131</v>
      </c>
      <c r="C1912" s="9" t="s">
        <v>41374</v>
      </c>
      <c r="D1912" s="9" t="s">
        <v>45952</v>
      </c>
      <c r="E1912" s="61">
        <v>45357.0</v>
      </c>
      <c r="F1912" s="9" t="b">
        <v>1</v>
      </c>
      <c r="G1912" s="9" t="s">
        <v>38801</v>
      </c>
      <c r="H1912" s="9" t="s">
        <v>42576</v>
      </c>
      <c r="I1912" s="9" t="b">
        <v>1</v>
      </c>
    </row>
    <row r="1913" ht="15.75" customHeight="1">
      <c r="A1913" s="9" t="s">
        <v>45953</v>
      </c>
      <c r="B1913" s="9" t="s">
        <v>47</v>
      </c>
      <c r="C1913" s="9" t="s">
        <v>41383</v>
      </c>
      <c r="D1913" s="9" t="s">
        <v>45954</v>
      </c>
      <c r="E1913" s="61">
        <v>45362.0</v>
      </c>
      <c r="F1913" s="9" t="b">
        <v>1</v>
      </c>
      <c r="G1913" s="9" t="s">
        <v>38801</v>
      </c>
      <c r="H1913" s="9" t="s">
        <v>42576</v>
      </c>
      <c r="I1913" s="9" t="b">
        <v>1</v>
      </c>
    </row>
    <row r="1914" ht="15.75" customHeight="1">
      <c r="A1914" s="9" t="s">
        <v>45955</v>
      </c>
      <c r="B1914" s="9" t="s">
        <v>47</v>
      </c>
      <c r="C1914" s="9" t="s">
        <v>41385</v>
      </c>
      <c r="D1914" s="9" t="s">
        <v>45956</v>
      </c>
      <c r="E1914" s="61">
        <v>45363.0</v>
      </c>
      <c r="F1914" s="9" t="b">
        <v>1</v>
      </c>
      <c r="G1914" s="9" t="s">
        <v>38801</v>
      </c>
      <c r="H1914" s="9" t="s">
        <v>42576</v>
      </c>
      <c r="I1914" s="9" t="b">
        <v>1</v>
      </c>
    </row>
    <row r="1915" ht="15.75" customHeight="1">
      <c r="A1915" s="9" t="s">
        <v>45957</v>
      </c>
      <c r="B1915" s="9" t="s">
        <v>47</v>
      </c>
      <c r="C1915" s="9" t="s">
        <v>41389</v>
      </c>
      <c r="D1915" s="9" t="s">
        <v>43948</v>
      </c>
      <c r="E1915" s="61">
        <v>45363.0</v>
      </c>
      <c r="F1915" s="9" t="b">
        <v>1</v>
      </c>
      <c r="G1915" s="9" t="s">
        <v>38801</v>
      </c>
      <c r="H1915" s="9" t="s">
        <v>42576</v>
      </c>
      <c r="I1915" s="9" t="b">
        <v>1</v>
      </c>
    </row>
    <row r="1916" ht="15.75" customHeight="1">
      <c r="A1916" s="9" t="s">
        <v>45958</v>
      </c>
      <c r="B1916" s="9" t="s">
        <v>47</v>
      </c>
      <c r="C1916" s="9" t="s">
        <v>41387</v>
      </c>
      <c r="D1916" s="9" t="s">
        <v>44260</v>
      </c>
      <c r="E1916" s="61">
        <v>45363.0</v>
      </c>
      <c r="F1916" s="9" t="b">
        <v>1</v>
      </c>
      <c r="G1916" s="9" t="s">
        <v>38801</v>
      </c>
      <c r="H1916" s="9" t="s">
        <v>42576</v>
      </c>
      <c r="I1916" s="9" t="b">
        <v>1</v>
      </c>
    </row>
    <row r="1917" ht="15.75" customHeight="1">
      <c r="A1917" s="9" t="s">
        <v>45959</v>
      </c>
      <c r="B1917" s="9" t="s">
        <v>131</v>
      </c>
      <c r="C1917" s="9" t="s">
        <v>41380</v>
      </c>
      <c r="D1917" s="9" t="s">
        <v>45960</v>
      </c>
      <c r="E1917" s="61">
        <v>45364.0</v>
      </c>
      <c r="F1917" s="9" t="b">
        <v>1</v>
      </c>
      <c r="G1917" s="9" t="s">
        <v>38801</v>
      </c>
      <c r="H1917" s="9" t="s">
        <v>42576</v>
      </c>
      <c r="I1917" s="9" t="b">
        <v>1</v>
      </c>
    </row>
    <row r="1918" ht="15.75" customHeight="1">
      <c r="A1918" s="9" t="s">
        <v>45961</v>
      </c>
      <c r="B1918" s="9" t="s">
        <v>131</v>
      </c>
      <c r="C1918" s="9" t="s">
        <v>41393</v>
      </c>
      <c r="D1918" s="9" t="s">
        <v>45960</v>
      </c>
      <c r="E1918" s="61">
        <v>45365.0</v>
      </c>
      <c r="F1918" s="9" t="b">
        <v>1</v>
      </c>
      <c r="G1918" s="9" t="s">
        <v>38801</v>
      </c>
      <c r="H1918" s="9" t="s">
        <v>42576</v>
      </c>
      <c r="I1918" s="9" t="b">
        <v>1</v>
      </c>
    </row>
    <row r="1919" ht="15.75" customHeight="1">
      <c r="A1919" s="9" t="s">
        <v>45962</v>
      </c>
      <c r="B1919" s="9" t="s">
        <v>131</v>
      </c>
      <c r="C1919" s="9" t="s">
        <v>41394</v>
      </c>
      <c r="D1919" s="9" t="s">
        <v>45963</v>
      </c>
      <c r="E1919" s="61">
        <v>45365.0</v>
      </c>
      <c r="F1919" s="9" t="b">
        <v>1</v>
      </c>
      <c r="G1919" s="9" t="s">
        <v>38801</v>
      </c>
      <c r="H1919" s="9" t="s">
        <v>42576</v>
      </c>
      <c r="I1919" s="9" t="b">
        <v>1</v>
      </c>
    </row>
    <row r="1920" ht="15.75" customHeight="1">
      <c r="A1920" s="9" t="s">
        <v>45964</v>
      </c>
      <c r="B1920" s="9" t="s">
        <v>131</v>
      </c>
      <c r="C1920" s="9" t="s">
        <v>41372</v>
      </c>
      <c r="D1920" s="9" t="s">
        <v>42560</v>
      </c>
      <c r="E1920" s="61">
        <v>45366.0</v>
      </c>
      <c r="F1920" s="9" t="b">
        <v>1</v>
      </c>
      <c r="G1920" s="9" t="s">
        <v>38801</v>
      </c>
      <c r="H1920" s="9" t="s">
        <v>42576</v>
      </c>
      <c r="I1920" s="9" t="b">
        <v>1</v>
      </c>
    </row>
    <row r="1921" ht="15.75" customHeight="1">
      <c r="A1921" s="9" t="s">
        <v>45965</v>
      </c>
      <c r="B1921" s="9" t="s">
        <v>131</v>
      </c>
      <c r="C1921" s="9" t="s">
        <v>41401</v>
      </c>
      <c r="D1921" s="9" t="s">
        <v>44346</v>
      </c>
      <c r="E1921" s="61">
        <v>45370.0</v>
      </c>
      <c r="F1921" s="9" t="b">
        <v>1</v>
      </c>
      <c r="G1921" s="9" t="s">
        <v>38801</v>
      </c>
      <c r="H1921" s="9" t="s">
        <v>42576</v>
      </c>
      <c r="I1921" s="9" t="b">
        <v>1</v>
      </c>
    </row>
    <row r="1922" ht="15.75" customHeight="1">
      <c r="A1922" s="9" t="s">
        <v>45966</v>
      </c>
      <c r="B1922" s="9" t="s">
        <v>47</v>
      </c>
      <c r="C1922" s="9" t="s">
        <v>41396</v>
      </c>
      <c r="D1922" s="9" t="s">
        <v>45967</v>
      </c>
      <c r="E1922" s="61">
        <v>45370.0</v>
      </c>
      <c r="F1922" s="9" t="b">
        <v>1</v>
      </c>
      <c r="G1922" s="9" t="s">
        <v>38801</v>
      </c>
      <c r="H1922" s="9" t="s">
        <v>42576</v>
      </c>
      <c r="I1922" s="9" t="b">
        <v>1</v>
      </c>
    </row>
    <row r="1923" ht="15.75" customHeight="1">
      <c r="A1923" s="9" t="s">
        <v>45968</v>
      </c>
      <c r="B1923" s="9" t="s">
        <v>47</v>
      </c>
      <c r="C1923" s="9" t="s">
        <v>41398</v>
      </c>
      <c r="D1923" s="9" t="s">
        <v>45969</v>
      </c>
      <c r="E1923" s="61">
        <v>45370.0</v>
      </c>
      <c r="F1923" s="9" t="b">
        <v>1</v>
      </c>
      <c r="G1923" s="9" t="s">
        <v>38801</v>
      </c>
      <c r="H1923" s="9" t="s">
        <v>42576</v>
      </c>
      <c r="I1923" s="9" t="b">
        <v>1</v>
      </c>
    </row>
    <row r="1924" ht="15.75" customHeight="1">
      <c r="A1924" s="9" t="s">
        <v>45970</v>
      </c>
      <c r="B1924" s="9" t="s">
        <v>131</v>
      </c>
      <c r="C1924" s="9" t="s">
        <v>41395</v>
      </c>
      <c r="D1924" s="9" t="s">
        <v>45971</v>
      </c>
      <c r="E1924" s="61">
        <v>45371.0</v>
      </c>
      <c r="F1924" s="9" t="b">
        <v>1</v>
      </c>
      <c r="G1924" s="9" t="s">
        <v>38801</v>
      </c>
      <c r="H1924" s="9" t="s">
        <v>42576</v>
      </c>
      <c r="I1924" s="9" t="b">
        <v>1</v>
      </c>
    </row>
    <row r="1925" ht="15.75" customHeight="1">
      <c r="A1925" s="9" t="s">
        <v>45972</v>
      </c>
      <c r="B1925" s="9" t="s">
        <v>26</v>
      </c>
      <c r="C1925" s="9" t="s">
        <v>41363</v>
      </c>
      <c r="D1925" s="9" t="s">
        <v>45973</v>
      </c>
      <c r="E1925" s="61">
        <v>45372.0</v>
      </c>
      <c r="F1925" s="9" t="b">
        <v>1</v>
      </c>
      <c r="G1925" s="9" t="s">
        <v>38801</v>
      </c>
      <c r="H1925" s="9" t="s">
        <v>42560</v>
      </c>
      <c r="I1925" s="9" t="b">
        <v>1</v>
      </c>
    </row>
    <row r="1926" ht="15.75" customHeight="1">
      <c r="A1926" s="9" t="s">
        <v>45974</v>
      </c>
      <c r="B1926" s="9" t="s">
        <v>131</v>
      </c>
      <c r="C1926" s="9" t="s">
        <v>41407</v>
      </c>
      <c r="D1926" s="9" t="s">
        <v>45975</v>
      </c>
      <c r="E1926" s="61">
        <v>45372.0</v>
      </c>
      <c r="F1926" s="9" t="b">
        <v>1</v>
      </c>
      <c r="G1926" s="9" t="s">
        <v>38801</v>
      </c>
      <c r="H1926" s="9" t="s">
        <v>42576</v>
      </c>
      <c r="I1926" s="9" t="b">
        <v>1</v>
      </c>
    </row>
    <row r="1927" ht="15.75" customHeight="1">
      <c r="A1927" s="9" t="s">
        <v>45976</v>
      </c>
      <c r="B1927" s="9" t="s">
        <v>131</v>
      </c>
      <c r="C1927" s="9" t="s">
        <v>41409</v>
      </c>
      <c r="D1927" s="9" t="s">
        <v>45977</v>
      </c>
      <c r="E1927" s="61">
        <v>45373.0</v>
      </c>
      <c r="F1927" s="9" t="b">
        <v>1</v>
      </c>
      <c r="G1927" s="9" t="s">
        <v>38801</v>
      </c>
      <c r="H1927" s="9" t="s">
        <v>42576</v>
      </c>
      <c r="I1927" s="9" t="b">
        <v>1</v>
      </c>
    </row>
    <row r="1928" ht="15.75" customHeight="1">
      <c r="A1928" s="9" t="s">
        <v>45978</v>
      </c>
      <c r="B1928" s="9" t="s">
        <v>131</v>
      </c>
      <c r="C1928" s="9" t="s">
        <v>41411</v>
      </c>
      <c r="D1928" s="9" t="s">
        <v>45979</v>
      </c>
      <c r="E1928" s="61">
        <v>45373.0</v>
      </c>
      <c r="F1928" s="9" t="b">
        <v>1</v>
      </c>
      <c r="G1928" s="9" t="s">
        <v>38801</v>
      </c>
      <c r="H1928" s="9" t="s">
        <v>42576</v>
      </c>
      <c r="I1928" s="9" t="b">
        <v>1</v>
      </c>
    </row>
    <row r="1929" ht="15.75" customHeight="1">
      <c r="A1929" s="9" t="s">
        <v>45980</v>
      </c>
      <c r="B1929" s="9" t="s">
        <v>26</v>
      </c>
      <c r="C1929" s="9" t="s">
        <v>41413</v>
      </c>
      <c r="D1929" s="9" t="s">
        <v>45981</v>
      </c>
      <c r="E1929" s="61">
        <v>45377.0</v>
      </c>
      <c r="F1929" s="9" t="b">
        <v>1</v>
      </c>
      <c r="G1929" s="9" t="s">
        <v>43228</v>
      </c>
      <c r="H1929" s="9" t="s">
        <v>42560</v>
      </c>
      <c r="I1929" s="9"/>
    </row>
    <row r="1930" ht="15.75" customHeight="1">
      <c r="A1930" s="9" t="s">
        <v>45982</v>
      </c>
      <c r="B1930" s="9" t="s">
        <v>131</v>
      </c>
      <c r="C1930" s="9" t="s">
        <v>41416</v>
      </c>
      <c r="D1930" s="9" t="s">
        <v>45983</v>
      </c>
      <c r="E1930" s="61">
        <v>45377.0</v>
      </c>
      <c r="F1930" s="9" t="b">
        <v>1</v>
      </c>
      <c r="G1930" s="9" t="s">
        <v>38801</v>
      </c>
      <c r="H1930" s="9" t="s">
        <v>42576</v>
      </c>
      <c r="I1930" s="9" t="b">
        <v>1</v>
      </c>
    </row>
    <row r="1931" ht="15.75" customHeight="1">
      <c r="A1931" s="9" t="s">
        <v>45984</v>
      </c>
      <c r="B1931" s="9" t="s">
        <v>131</v>
      </c>
      <c r="C1931" s="9" t="s">
        <v>41355</v>
      </c>
      <c r="D1931" s="9" t="s">
        <v>42560</v>
      </c>
      <c r="E1931" s="61">
        <v>45378.0</v>
      </c>
      <c r="F1931" s="9" t="b">
        <v>1</v>
      </c>
      <c r="G1931" s="9" t="s">
        <v>38801</v>
      </c>
      <c r="H1931" s="9" t="s">
        <v>42576</v>
      </c>
      <c r="I1931" s="9" t="b">
        <v>1</v>
      </c>
    </row>
    <row r="1932" ht="15.75" customHeight="1">
      <c r="A1932" s="9" t="s">
        <v>45985</v>
      </c>
      <c r="B1932" s="9" t="s">
        <v>131</v>
      </c>
      <c r="C1932" s="9" t="s">
        <v>41400</v>
      </c>
      <c r="D1932" s="9" t="s">
        <v>42560</v>
      </c>
      <c r="E1932" s="61">
        <v>45379.0</v>
      </c>
      <c r="F1932" s="9" t="b">
        <v>1</v>
      </c>
      <c r="G1932" s="9" t="s">
        <v>38801</v>
      </c>
      <c r="H1932" s="9" t="s">
        <v>42576</v>
      </c>
      <c r="I1932" s="9" t="b">
        <v>1</v>
      </c>
    </row>
    <row r="1933" ht="15.75" customHeight="1">
      <c r="A1933" s="9" t="s">
        <v>45986</v>
      </c>
      <c r="B1933" s="9" t="s">
        <v>131</v>
      </c>
      <c r="C1933" s="9" t="s">
        <v>41421</v>
      </c>
      <c r="D1933" s="9" t="s">
        <v>45987</v>
      </c>
      <c r="E1933" s="61">
        <v>45385.0</v>
      </c>
      <c r="F1933" s="9" t="b">
        <v>1</v>
      </c>
      <c r="G1933" s="9" t="s">
        <v>38801</v>
      </c>
      <c r="H1933" s="9" t="s">
        <v>42576</v>
      </c>
      <c r="I1933" s="9" t="b">
        <v>1</v>
      </c>
    </row>
    <row r="1934" ht="15.75" customHeight="1">
      <c r="A1934" s="9" t="s">
        <v>45988</v>
      </c>
      <c r="B1934" s="9" t="s">
        <v>131</v>
      </c>
      <c r="C1934" s="9" t="s">
        <v>41425</v>
      </c>
      <c r="D1934" s="9" t="s">
        <v>45989</v>
      </c>
      <c r="E1934" s="61">
        <v>45387.0</v>
      </c>
      <c r="F1934" s="9" t="b">
        <v>1</v>
      </c>
      <c r="G1934" s="9" t="s">
        <v>38801</v>
      </c>
      <c r="H1934" s="9" t="s">
        <v>42576</v>
      </c>
      <c r="I1934" s="9" t="b">
        <v>1</v>
      </c>
    </row>
    <row r="1935" ht="15.75" customHeight="1">
      <c r="A1935" s="9" t="s">
        <v>45990</v>
      </c>
      <c r="B1935" s="9" t="s">
        <v>131</v>
      </c>
      <c r="C1935" s="9" t="s">
        <v>41415</v>
      </c>
      <c r="D1935" s="9" t="s">
        <v>42560</v>
      </c>
      <c r="E1935" s="61">
        <v>45390.0</v>
      </c>
      <c r="F1935" s="9" t="b">
        <v>1</v>
      </c>
      <c r="G1935" s="9" t="s">
        <v>38801</v>
      </c>
      <c r="H1935" s="9" t="s">
        <v>42576</v>
      </c>
      <c r="I1935" s="9" t="b">
        <v>1</v>
      </c>
    </row>
    <row r="1936" ht="15.75" customHeight="1">
      <c r="A1936" s="9" t="s">
        <v>45991</v>
      </c>
      <c r="B1936" s="9" t="s">
        <v>131</v>
      </c>
      <c r="C1936" s="9" t="s">
        <v>41427</v>
      </c>
      <c r="D1936" s="9" t="s">
        <v>42560</v>
      </c>
      <c r="E1936" s="61">
        <v>45390.0</v>
      </c>
      <c r="F1936" s="9" t="b">
        <v>1</v>
      </c>
      <c r="G1936" s="9" t="s">
        <v>38801</v>
      </c>
      <c r="H1936" s="9" t="s">
        <v>42576</v>
      </c>
      <c r="I1936" s="9" t="b">
        <v>1</v>
      </c>
    </row>
    <row r="1937" ht="15.75" customHeight="1">
      <c r="A1937" s="9" t="s">
        <v>45992</v>
      </c>
      <c r="B1937" s="9" t="s">
        <v>26</v>
      </c>
      <c r="C1937" s="9" t="s">
        <v>41379</v>
      </c>
      <c r="D1937" s="9" t="s">
        <v>45993</v>
      </c>
      <c r="E1937" s="61">
        <v>45392.0</v>
      </c>
      <c r="F1937" s="9" t="b">
        <v>1</v>
      </c>
      <c r="G1937" s="9" t="s">
        <v>38801</v>
      </c>
      <c r="H1937" s="9" t="s">
        <v>42560</v>
      </c>
      <c r="I1937" s="9" t="b">
        <v>1</v>
      </c>
    </row>
    <row r="1938" ht="15.75" customHeight="1">
      <c r="A1938" s="9" t="s">
        <v>45994</v>
      </c>
      <c r="B1938" s="9" t="s">
        <v>131</v>
      </c>
      <c r="C1938" s="9" t="s">
        <v>41424</v>
      </c>
      <c r="D1938" s="9" t="s">
        <v>42560</v>
      </c>
      <c r="E1938" s="61">
        <v>45393.0</v>
      </c>
      <c r="F1938" s="9" t="b">
        <v>1</v>
      </c>
      <c r="G1938" s="9" t="s">
        <v>38801</v>
      </c>
      <c r="H1938" s="9" t="s">
        <v>42576</v>
      </c>
      <c r="I1938" s="9" t="b">
        <v>1</v>
      </c>
    </row>
    <row r="1939" ht="15.75" customHeight="1">
      <c r="A1939" s="9" t="s">
        <v>45995</v>
      </c>
      <c r="B1939" s="9" t="s">
        <v>26</v>
      </c>
      <c r="C1939" s="9" t="s">
        <v>41433</v>
      </c>
      <c r="D1939" s="9" t="s">
        <v>45996</v>
      </c>
      <c r="E1939" s="61">
        <v>45394.0</v>
      </c>
      <c r="F1939" s="9" t="b">
        <v>1</v>
      </c>
      <c r="G1939" s="9" t="s">
        <v>42573</v>
      </c>
      <c r="H1939" s="9" t="s">
        <v>42560</v>
      </c>
      <c r="I1939" s="9"/>
    </row>
    <row r="1940" ht="15.75" customHeight="1">
      <c r="A1940" s="9" t="s">
        <v>45997</v>
      </c>
      <c r="B1940" s="9" t="s">
        <v>26</v>
      </c>
      <c r="C1940" s="9" t="s">
        <v>41433</v>
      </c>
      <c r="D1940" s="9" t="s">
        <v>45998</v>
      </c>
      <c r="E1940" s="61">
        <v>45394.0</v>
      </c>
      <c r="F1940" s="9" t="b">
        <v>1</v>
      </c>
      <c r="G1940" s="9" t="s">
        <v>38801</v>
      </c>
      <c r="H1940" s="9" t="s">
        <v>42560</v>
      </c>
      <c r="I1940" s="9" t="b">
        <v>1</v>
      </c>
    </row>
    <row r="1941" ht="15.75" customHeight="1">
      <c r="A1941" s="9" t="s">
        <v>45999</v>
      </c>
      <c r="B1941" s="9" t="s">
        <v>131</v>
      </c>
      <c r="C1941" s="9" t="s">
        <v>41423</v>
      </c>
      <c r="D1941" s="9" t="s">
        <v>46000</v>
      </c>
      <c r="E1941" s="61">
        <v>45397.0</v>
      </c>
      <c r="F1941" s="9" t="b">
        <v>1</v>
      </c>
      <c r="G1941" s="9" t="s">
        <v>38801</v>
      </c>
      <c r="H1941" s="9" t="s">
        <v>42576</v>
      </c>
      <c r="I1941" s="9" t="b">
        <v>1</v>
      </c>
    </row>
    <row r="1942" ht="15.75" customHeight="1">
      <c r="A1942" s="9" t="s">
        <v>46001</v>
      </c>
      <c r="B1942" s="9" t="s">
        <v>131</v>
      </c>
      <c r="C1942" s="9" t="s">
        <v>41435</v>
      </c>
      <c r="D1942" s="9" t="s">
        <v>42560</v>
      </c>
      <c r="E1942" s="61">
        <v>45397.0</v>
      </c>
      <c r="F1942" s="9" t="b">
        <v>1</v>
      </c>
      <c r="G1942" s="9" t="s">
        <v>38801</v>
      </c>
      <c r="H1942" s="9" t="s">
        <v>42576</v>
      </c>
      <c r="I1942" s="9" t="b">
        <v>1</v>
      </c>
    </row>
    <row r="1943" ht="15.75" customHeight="1">
      <c r="A1943" s="9" t="s">
        <v>46002</v>
      </c>
      <c r="B1943" s="9" t="s">
        <v>76</v>
      </c>
      <c r="C1943" s="9" t="s">
        <v>41378</v>
      </c>
      <c r="D1943" s="9" t="s">
        <v>46003</v>
      </c>
      <c r="E1943" s="61">
        <v>45398.0</v>
      </c>
      <c r="F1943" s="9" t="b">
        <v>1</v>
      </c>
      <c r="G1943" s="9" t="s">
        <v>38801</v>
      </c>
      <c r="H1943" s="9" t="s">
        <v>42576</v>
      </c>
      <c r="I1943" s="9" t="b">
        <v>1</v>
      </c>
    </row>
    <row r="1944" ht="15.75" customHeight="1">
      <c r="A1944" s="9" t="s">
        <v>46004</v>
      </c>
      <c r="B1944" s="9" t="s">
        <v>76</v>
      </c>
      <c r="C1944" s="9" t="s">
        <v>41381</v>
      </c>
      <c r="D1944" s="9" t="s">
        <v>46005</v>
      </c>
      <c r="E1944" s="61">
        <v>45398.0</v>
      </c>
      <c r="F1944" s="9" t="b">
        <v>1</v>
      </c>
      <c r="G1944" s="9" t="s">
        <v>38801</v>
      </c>
      <c r="H1944" s="9" t="s">
        <v>42560</v>
      </c>
      <c r="I1944" s="9" t="b">
        <v>1</v>
      </c>
    </row>
    <row r="1945" ht="15.75" customHeight="1">
      <c r="A1945" s="9" t="s">
        <v>46006</v>
      </c>
      <c r="B1945" s="9" t="s">
        <v>76</v>
      </c>
      <c r="C1945" s="9" t="s">
        <v>41392</v>
      </c>
      <c r="D1945" s="9" t="s">
        <v>46007</v>
      </c>
      <c r="E1945" s="61">
        <v>45398.0</v>
      </c>
      <c r="F1945" s="9" t="b">
        <v>1</v>
      </c>
      <c r="G1945" s="9" t="s">
        <v>38801</v>
      </c>
      <c r="H1945" s="9" t="s">
        <v>42576</v>
      </c>
      <c r="I1945" s="9" t="b">
        <v>1</v>
      </c>
    </row>
    <row r="1946" ht="15.75" customHeight="1">
      <c r="A1946" s="9" t="s">
        <v>46008</v>
      </c>
      <c r="B1946" s="9" t="s">
        <v>76</v>
      </c>
      <c r="C1946" s="9" t="s">
        <v>41406</v>
      </c>
      <c r="D1946" s="9" t="s">
        <v>46009</v>
      </c>
      <c r="E1946" s="61">
        <v>45398.0</v>
      </c>
      <c r="F1946" s="9" t="b">
        <v>1</v>
      </c>
      <c r="G1946" s="9" t="s">
        <v>38801</v>
      </c>
      <c r="H1946" s="9" t="s">
        <v>42560</v>
      </c>
      <c r="I1946" s="9" t="b">
        <v>1</v>
      </c>
    </row>
    <row r="1947" ht="15.75" customHeight="1">
      <c r="A1947" s="9" t="s">
        <v>46010</v>
      </c>
      <c r="B1947" s="9" t="s">
        <v>76</v>
      </c>
      <c r="C1947" s="9" t="s">
        <v>41404</v>
      </c>
      <c r="D1947" s="9" t="s">
        <v>46011</v>
      </c>
      <c r="E1947" s="61">
        <v>45398.0</v>
      </c>
      <c r="F1947" s="9" t="b">
        <v>1</v>
      </c>
      <c r="G1947" s="9" t="s">
        <v>38801</v>
      </c>
      <c r="H1947" s="9" t="s">
        <v>42576</v>
      </c>
      <c r="I1947" s="9" t="b">
        <v>1</v>
      </c>
    </row>
    <row r="1948" ht="15.75" customHeight="1">
      <c r="A1948" s="9" t="s">
        <v>46012</v>
      </c>
      <c r="B1948" s="9" t="s">
        <v>76</v>
      </c>
      <c r="C1948" s="9" t="s">
        <v>41428</v>
      </c>
      <c r="D1948" s="9" t="s">
        <v>46013</v>
      </c>
      <c r="E1948" s="61">
        <v>45398.0</v>
      </c>
      <c r="F1948" s="9" t="b">
        <v>1</v>
      </c>
      <c r="G1948" s="9" t="s">
        <v>38801</v>
      </c>
      <c r="H1948" s="9" t="s">
        <v>42576</v>
      </c>
      <c r="I1948" s="9" t="b">
        <v>1</v>
      </c>
    </row>
    <row r="1949" ht="15.75" customHeight="1">
      <c r="A1949" s="9" t="s">
        <v>46014</v>
      </c>
      <c r="B1949" s="9" t="s">
        <v>26</v>
      </c>
      <c r="C1949" s="9" t="s">
        <v>41402</v>
      </c>
      <c r="D1949" s="9" t="s">
        <v>46015</v>
      </c>
      <c r="E1949" s="61">
        <v>45400.0</v>
      </c>
      <c r="F1949" s="9" t="b">
        <v>1</v>
      </c>
      <c r="G1949" s="9" t="s">
        <v>38801</v>
      </c>
      <c r="H1949" s="9" t="s">
        <v>42560</v>
      </c>
      <c r="I1949" s="9" t="b">
        <v>1</v>
      </c>
    </row>
    <row r="1950" ht="15.75" customHeight="1">
      <c r="A1950" s="9" t="s">
        <v>46016</v>
      </c>
      <c r="B1950" s="9" t="s">
        <v>26</v>
      </c>
      <c r="C1950" s="9" t="s">
        <v>41391</v>
      </c>
      <c r="D1950" s="9" t="s">
        <v>46017</v>
      </c>
      <c r="E1950" s="61">
        <v>45400.0</v>
      </c>
      <c r="F1950" s="9" t="b">
        <v>1</v>
      </c>
      <c r="G1950" s="9" t="s">
        <v>38801</v>
      </c>
      <c r="H1950" s="9" t="s">
        <v>42560</v>
      </c>
      <c r="I1950" s="9" t="b">
        <v>1</v>
      </c>
    </row>
    <row r="1951" ht="15.75" customHeight="1">
      <c r="A1951" s="9" t="s">
        <v>46018</v>
      </c>
      <c r="B1951" s="9" t="s">
        <v>26</v>
      </c>
      <c r="C1951" s="9" t="s">
        <v>41413</v>
      </c>
      <c r="D1951" s="9" t="s">
        <v>46019</v>
      </c>
      <c r="E1951" s="61">
        <v>45400.0</v>
      </c>
      <c r="F1951" s="9" t="b">
        <v>1</v>
      </c>
      <c r="G1951" s="9" t="s">
        <v>38801</v>
      </c>
      <c r="H1951" s="9" t="s">
        <v>42560</v>
      </c>
      <c r="I1951" s="9" t="b">
        <v>1</v>
      </c>
    </row>
    <row r="1952" ht="15.75" customHeight="1">
      <c r="A1952" s="9" t="s">
        <v>46020</v>
      </c>
      <c r="B1952" s="9" t="s">
        <v>26</v>
      </c>
      <c r="C1952" s="9" t="s">
        <v>41351</v>
      </c>
      <c r="D1952" s="9" t="s">
        <v>46021</v>
      </c>
      <c r="E1952" s="61">
        <v>45400.0</v>
      </c>
      <c r="F1952" s="9" t="b">
        <v>1</v>
      </c>
      <c r="G1952" s="9" t="s">
        <v>38801</v>
      </c>
      <c r="H1952" s="9" t="s">
        <v>42560</v>
      </c>
      <c r="I1952" s="9" t="b">
        <v>1</v>
      </c>
    </row>
    <row r="1953" ht="15.75" customHeight="1">
      <c r="A1953" s="9" t="s">
        <v>46022</v>
      </c>
      <c r="B1953" s="9" t="s">
        <v>163</v>
      </c>
      <c r="C1953" s="9" t="s">
        <v>41446</v>
      </c>
      <c r="D1953" s="9" t="s">
        <v>42560</v>
      </c>
      <c r="E1953" s="61">
        <v>45401.0</v>
      </c>
      <c r="F1953" s="9" t="b">
        <v>1</v>
      </c>
      <c r="G1953" s="9" t="s">
        <v>38801</v>
      </c>
      <c r="H1953" s="9" t="s">
        <v>42560</v>
      </c>
      <c r="I1953" s="9" t="b">
        <v>1</v>
      </c>
    </row>
    <row r="1954" ht="15.75" customHeight="1">
      <c r="A1954" s="9" t="s">
        <v>46023</v>
      </c>
      <c r="B1954" s="9" t="s">
        <v>47</v>
      </c>
      <c r="C1954" s="9" t="s">
        <v>41444</v>
      </c>
      <c r="D1954" s="9" t="s">
        <v>46024</v>
      </c>
      <c r="E1954" s="61">
        <v>45401.0</v>
      </c>
      <c r="F1954" s="9" t="b">
        <v>1</v>
      </c>
      <c r="G1954" s="9" t="s">
        <v>38801</v>
      </c>
      <c r="H1954" s="9" t="s">
        <v>42576</v>
      </c>
      <c r="I1954" s="9" t="b">
        <v>1</v>
      </c>
    </row>
    <row r="1955" ht="15.75" customHeight="1">
      <c r="A1955" s="9" t="s">
        <v>46025</v>
      </c>
      <c r="B1955" s="9" t="s">
        <v>47</v>
      </c>
      <c r="C1955" s="9" t="s">
        <v>41448</v>
      </c>
      <c r="D1955" s="9" t="s">
        <v>46026</v>
      </c>
      <c r="E1955" s="61">
        <v>45401.0</v>
      </c>
      <c r="F1955" s="9" t="b">
        <v>1</v>
      </c>
      <c r="G1955" s="9" t="s">
        <v>38801</v>
      </c>
      <c r="H1955" s="9" t="s">
        <v>42576</v>
      </c>
      <c r="I1955" s="9" t="b">
        <v>1</v>
      </c>
    </row>
    <row r="1956" ht="15.75" customHeight="1">
      <c r="A1956" s="9" t="s">
        <v>46027</v>
      </c>
      <c r="B1956" s="9" t="s">
        <v>47</v>
      </c>
      <c r="C1956" s="9" t="s">
        <v>41450</v>
      </c>
      <c r="D1956" s="9" t="s">
        <v>46028</v>
      </c>
      <c r="E1956" s="61">
        <v>45401.0</v>
      </c>
      <c r="F1956" s="9" t="b">
        <v>1</v>
      </c>
      <c r="G1956" s="9" t="s">
        <v>38801</v>
      </c>
      <c r="H1956" s="9" t="s">
        <v>42576</v>
      </c>
      <c r="I1956" s="9" t="b">
        <v>1</v>
      </c>
    </row>
    <row r="1957" ht="15.75" customHeight="1">
      <c r="A1957" s="9" t="s">
        <v>46029</v>
      </c>
      <c r="B1957" s="9" t="s">
        <v>47</v>
      </c>
      <c r="C1957" s="9" t="s">
        <v>41452</v>
      </c>
      <c r="D1957" s="9" t="s">
        <v>46030</v>
      </c>
      <c r="E1957" s="61">
        <v>45401.0</v>
      </c>
      <c r="F1957" s="9" t="b">
        <v>1</v>
      </c>
      <c r="G1957" s="9" t="s">
        <v>38801</v>
      </c>
      <c r="H1957" s="9" t="s">
        <v>42576</v>
      </c>
      <c r="I1957" s="9" t="b">
        <v>1</v>
      </c>
    </row>
    <row r="1958" ht="15.75" customHeight="1">
      <c r="A1958" s="52" t="s">
        <v>46031</v>
      </c>
      <c r="B1958" s="9" t="s">
        <v>47</v>
      </c>
      <c r="C1958" s="9" t="s">
        <v>41454</v>
      </c>
      <c r="D1958" s="9" t="s">
        <v>46030</v>
      </c>
      <c r="E1958" s="61">
        <v>45401.0</v>
      </c>
      <c r="F1958" s="9" t="b">
        <v>1</v>
      </c>
      <c r="G1958" s="9" t="s">
        <v>38801</v>
      </c>
      <c r="H1958" s="9" t="s">
        <v>42576</v>
      </c>
      <c r="I1958" s="9" t="b">
        <v>1</v>
      </c>
    </row>
    <row r="1959" ht="15.75" customHeight="1">
      <c r="A1959" s="9" t="s">
        <v>46032</v>
      </c>
      <c r="B1959" s="9" t="s">
        <v>47</v>
      </c>
      <c r="C1959" s="9" t="s">
        <v>41455</v>
      </c>
      <c r="D1959" s="9" t="s">
        <v>46033</v>
      </c>
      <c r="E1959" s="61">
        <v>45401.0</v>
      </c>
      <c r="F1959" s="9" t="b">
        <v>1</v>
      </c>
      <c r="G1959" s="9" t="s">
        <v>38801</v>
      </c>
      <c r="H1959" s="9" t="s">
        <v>42576</v>
      </c>
      <c r="I1959" s="9" t="b">
        <v>1</v>
      </c>
    </row>
    <row r="1960" ht="15.75" customHeight="1">
      <c r="A1960" s="9" t="s">
        <v>46034</v>
      </c>
      <c r="B1960" s="9" t="s">
        <v>47</v>
      </c>
      <c r="C1960" s="9" t="s">
        <v>41457</v>
      </c>
      <c r="D1960" s="9" t="s">
        <v>43724</v>
      </c>
      <c r="E1960" s="61">
        <v>45405.0</v>
      </c>
      <c r="F1960" s="9" t="b">
        <v>1</v>
      </c>
      <c r="G1960" s="9" t="s">
        <v>38801</v>
      </c>
      <c r="H1960" s="9" t="s">
        <v>42576</v>
      </c>
      <c r="I1960" s="9" t="b">
        <v>1</v>
      </c>
    </row>
    <row r="1961" ht="15.75" customHeight="1">
      <c r="A1961" s="9" t="s">
        <v>46035</v>
      </c>
      <c r="B1961" s="9" t="s">
        <v>76</v>
      </c>
      <c r="C1961" s="9" t="s">
        <v>41437</v>
      </c>
      <c r="D1961" s="9" t="s">
        <v>46036</v>
      </c>
      <c r="E1961" s="61">
        <v>45406.0</v>
      </c>
      <c r="F1961" s="9" t="b">
        <v>1</v>
      </c>
      <c r="G1961" s="9" t="s">
        <v>38801</v>
      </c>
      <c r="H1961" s="9" t="s">
        <v>42576</v>
      </c>
      <c r="I1961" s="9" t="b">
        <v>1</v>
      </c>
    </row>
    <row r="1962" ht="15.75" customHeight="1">
      <c r="A1962" s="9" t="s">
        <v>46037</v>
      </c>
      <c r="B1962" s="9" t="s">
        <v>131</v>
      </c>
      <c r="C1962" s="9" t="s">
        <v>41459</v>
      </c>
      <c r="D1962" s="9" t="s">
        <v>42560</v>
      </c>
      <c r="E1962" s="61">
        <v>45406.0</v>
      </c>
      <c r="F1962" s="9" t="b">
        <v>1</v>
      </c>
      <c r="G1962" s="9" t="s">
        <v>38801</v>
      </c>
      <c r="H1962" s="9" t="s">
        <v>42576</v>
      </c>
      <c r="I1962" s="9" t="b">
        <v>1</v>
      </c>
    </row>
    <row r="1963" ht="15.75" customHeight="1">
      <c r="A1963" s="9" t="s">
        <v>46038</v>
      </c>
      <c r="B1963" s="9" t="s">
        <v>47</v>
      </c>
      <c r="C1963" s="9" t="s">
        <v>41463</v>
      </c>
      <c r="D1963" s="9" t="s">
        <v>46039</v>
      </c>
      <c r="E1963" s="61">
        <v>45407.0</v>
      </c>
      <c r="F1963" s="9" t="b">
        <v>1</v>
      </c>
      <c r="G1963" s="9" t="s">
        <v>43228</v>
      </c>
      <c r="H1963" s="9" t="s">
        <v>42576</v>
      </c>
      <c r="I1963" s="9"/>
    </row>
    <row r="1964" ht="15.75" customHeight="1">
      <c r="A1964" s="9" t="s">
        <v>46040</v>
      </c>
      <c r="B1964" s="9" t="s">
        <v>47</v>
      </c>
      <c r="C1964" s="9" t="s">
        <v>41461</v>
      </c>
      <c r="D1964" s="9" t="s">
        <v>46041</v>
      </c>
      <c r="E1964" s="61">
        <v>45407.0</v>
      </c>
      <c r="F1964" s="9" t="b">
        <v>1</v>
      </c>
      <c r="G1964" s="9" t="s">
        <v>38801</v>
      </c>
      <c r="H1964" s="9" t="s">
        <v>42576</v>
      </c>
      <c r="I1964" s="9" t="b">
        <v>1</v>
      </c>
    </row>
    <row r="1965" ht="15.75" customHeight="1">
      <c r="A1965" s="9" t="s">
        <v>46042</v>
      </c>
      <c r="B1965" s="9" t="s">
        <v>47</v>
      </c>
      <c r="C1965" s="9" t="s">
        <v>41466</v>
      </c>
      <c r="D1965" s="9" t="s">
        <v>46043</v>
      </c>
      <c r="E1965" s="61">
        <v>45412.0</v>
      </c>
      <c r="F1965" s="9" t="b">
        <v>1</v>
      </c>
      <c r="G1965" s="9" t="s">
        <v>38801</v>
      </c>
      <c r="H1965" s="9" t="s">
        <v>42576</v>
      </c>
      <c r="I1965" s="9" t="b">
        <v>1</v>
      </c>
    </row>
    <row r="1966" ht="15.75" customHeight="1">
      <c r="A1966" s="9" t="s">
        <v>46044</v>
      </c>
      <c r="B1966" s="9" t="s">
        <v>47</v>
      </c>
      <c r="C1966" s="9" t="s">
        <v>41460</v>
      </c>
      <c r="D1966" s="9" t="s">
        <v>46045</v>
      </c>
      <c r="E1966" s="61">
        <v>45414.0</v>
      </c>
      <c r="F1966" s="9" t="b">
        <v>1</v>
      </c>
      <c r="G1966" s="9" t="s">
        <v>42573</v>
      </c>
      <c r="H1966" s="9" t="s">
        <v>42576</v>
      </c>
      <c r="I1966" s="9"/>
    </row>
    <row r="1967" ht="15.75" customHeight="1">
      <c r="A1967" s="9" t="s">
        <v>46046</v>
      </c>
      <c r="B1967" s="9" t="s">
        <v>47</v>
      </c>
      <c r="C1967" s="9" t="s">
        <v>41460</v>
      </c>
      <c r="D1967" s="9" t="s">
        <v>42560</v>
      </c>
      <c r="E1967" s="61">
        <v>45415.0</v>
      </c>
      <c r="F1967" s="9" t="b">
        <v>1</v>
      </c>
      <c r="G1967" s="9" t="s">
        <v>38801</v>
      </c>
      <c r="H1967" s="9" t="s">
        <v>42576</v>
      </c>
      <c r="I1967" s="9" t="b">
        <v>1</v>
      </c>
    </row>
    <row r="1968" ht="15.75" customHeight="1">
      <c r="A1968" s="9" t="s">
        <v>46047</v>
      </c>
      <c r="B1968" s="9" t="s">
        <v>47</v>
      </c>
      <c r="C1968" s="9" t="s">
        <v>41468</v>
      </c>
      <c r="D1968" s="9" t="s">
        <v>42560</v>
      </c>
      <c r="E1968" s="61">
        <v>45415.0</v>
      </c>
      <c r="F1968" s="9" t="b">
        <v>1</v>
      </c>
      <c r="G1968" s="9" t="s">
        <v>38801</v>
      </c>
      <c r="H1968" s="9" t="s">
        <v>42576</v>
      </c>
      <c r="I1968" s="9" t="b">
        <v>1</v>
      </c>
    </row>
    <row r="1969" ht="15.75" customHeight="1">
      <c r="A1969" s="9" t="s">
        <v>46048</v>
      </c>
      <c r="B1969" s="9" t="s">
        <v>47</v>
      </c>
      <c r="C1969" s="9" t="s">
        <v>41470</v>
      </c>
      <c r="D1969" s="9" t="s">
        <v>46049</v>
      </c>
      <c r="E1969" s="61">
        <v>45415.0</v>
      </c>
      <c r="F1969" s="9" t="b">
        <v>1</v>
      </c>
      <c r="G1969" s="9" t="s">
        <v>42632</v>
      </c>
      <c r="H1969" s="9" t="s">
        <v>38800</v>
      </c>
      <c r="I1969" s="9"/>
    </row>
    <row r="1970" ht="15.75" customHeight="1">
      <c r="A1970" s="9" t="s">
        <v>46050</v>
      </c>
      <c r="B1970" s="9" t="s">
        <v>47</v>
      </c>
      <c r="C1970" s="9" t="s">
        <v>38839</v>
      </c>
      <c r="D1970" s="9" t="s">
        <v>46051</v>
      </c>
      <c r="E1970" s="61">
        <v>45418.0</v>
      </c>
      <c r="F1970" s="9" t="b">
        <v>1</v>
      </c>
      <c r="G1970" s="9" t="s">
        <v>38801</v>
      </c>
      <c r="H1970" s="9" t="s">
        <v>42560</v>
      </c>
      <c r="I1970" s="9" t="b">
        <v>1</v>
      </c>
    </row>
    <row r="1971" ht="15.75" customHeight="1">
      <c r="A1971" s="9" t="s">
        <v>46052</v>
      </c>
      <c r="B1971" s="9" t="s">
        <v>47</v>
      </c>
      <c r="C1971" s="9" t="s">
        <v>41425</v>
      </c>
      <c r="D1971" s="9" t="s">
        <v>46053</v>
      </c>
      <c r="E1971" s="61">
        <v>45418.0</v>
      </c>
      <c r="F1971" s="9" t="b">
        <v>1</v>
      </c>
      <c r="G1971" s="9" t="s">
        <v>43228</v>
      </c>
      <c r="H1971" s="9" t="s">
        <v>42560</v>
      </c>
      <c r="I1971" s="9"/>
    </row>
    <row r="1972" ht="15.75" customHeight="1">
      <c r="A1972" s="9" t="s">
        <v>46054</v>
      </c>
      <c r="B1972" s="9" t="s">
        <v>47</v>
      </c>
      <c r="C1972" s="9" t="s">
        <v>41472</v>
      </c>
      <c r="D1972" s="9" t="s">
        <v>45592</v>
      </c>
      <c r="E1972" s="61">
        <v>45418.0</v>
      </c>
      <c r="F1972" s="9" t="b">
        <v>1</v>
      </c>
      <c r="G1972" s="9" t="s">
        <v>38801</v>
      </c>
      <c r="H1972" s="9" t="s">
        <v>42576</v>
      </c>
      <c r="I1972" s="9" t="b">
        <v>1</v>
      </c>
    </row>
    <row r="1973" ht="15.75" customHeight="1">
      <c r="A1973" s="52" t="s">
        <v>46055</v>
      </c>
      <c r="B1973" s="9" t="s">
        <v>47</v>
      </c>
      <c r="C1973" s="9" t="s">
        <v>41474</v>
      </c>
      <c r="D1973" s="9" t="s">
        <v>46056</v>
      </c>
      <c r="E1973" s="61">
        <v>45418.0</v>
      </c>
      <c r="F1973" s="9" t="b">
        <v>1</v>
      </c>
      <c r="G1973" s="9" t="s">
        <v>38801</v>
      </c>
      <c r="H1973" s="9" t="s">
        <v>42576</v>
      </c>
      <c r="I1973" s="9" t="b">
        <v>1</v>
      </c>
    </row>
    <row r="1974" ht="15.75" customHeight="1">
      <c r="A1974" s="9" t="s">
        <v>46057</v>
      </c>
      <c r="B1974" s="9" t="s">
        <v>47</v>
      </c>
      <c r="C1974" s="9" t="s">
        <v>41466</v>
      </c>
      <c r="D1974" s="9" t="s">
        <v>46058</v>
      </c>
      <c r="E1974" s="61">
        <v>45418.0</v>
      </c>
      <c r="F1974" s="9" t="b">
        <v>1</v>
      </c>
      <c r="G1974" s="9" t="s">
        <v>38801</v>
      </c>
      <c r="H1974" s="9" t="s">
        <v>42576</v>
      </c>
      <c r="I1974" s="9" t="b">
        <v>1</v>
      </c>
    </row>
    <row r="1975" ht="15.75" customHeight="1">
      <c r="A1975" s="9" t="s">
        <v>46059</v>
      </c>
      <c r="B1975" s="9" t="s">
        <v>47</v>
      </c>
      <c r="C1975" s="9" t="s">
        <v>41476</v>
      </c>
      <c r="D1975" s="9" t="s">
        <v>46060</v>
      </c>
      <c r="E1975" s="61">
        <v>45418.0</v>
      </c>
      <c r="F1975" s="9" t="b">
        <v>1</v>
      </c>
      <c r="G1975" s="9" t="s">
        <v>43228</v>
      </c>
      <c r="H1975" s="9" t="s">
        <v>42576</v>
      </c>
      <c r="I1975" s="9"/>
    </row>
    <row r="1976" ht="15.75" customHeight="1">
      <c r="A1976" s="9" t="s">
        <v>46061</v>
      </c>
      <c r="B1976" s="9" t="s">
        <v>47</v>
      </c>
      <c r="C1976" s="9" t="s">
        <v>41478</v>
      </c>
      <c r="D1976" s="9" t="s">
        <v>46062</v>
      </c>
      <c r="E1976" s="61">
        <v>45419.0</v>
      </c>
      <c r="F1976" s="9" t="b">
        <v>1</v>
      </c>
      <c r="G1976" s="9" t="s">
        <v>43228</v>
      </c>
      <c r="H1976" s="9" t="s">
        <v>42576</v>
      </c>
      <c r="I1976" s="9"/>
    </row>
    <row r="1977" ht="15.75" customHeight="1">
      <c r="A1977" s="9" t="s">
        <v>46063</v>
      </c>
      <c r="B1977" s="9" t="s">
        <v>131</v>
      </c>
      <c r="C1977" s="9" t="s">
        <v>41465</v>
      </c>
      <c r="D1977" s="9" t="s">
        <v>46064</v>
      </c>
      <c r="E1977" s="61">
        <v>45425.0</v>
      </c>
      <c r="F1977" s="9" t="b">
        <v>1</v>
      </c>
      <c r="G1977" s="9" t="s">
        <v>38801</v>
      </c>
      <c r="H1977" s="9" t="s">
        <v>42576</v>
      </c>
      <c r="I1977" s="9" t="b">
        <v>1</v>
      </c>
    </row>
    <row r="1978" ht="15.75" customHeight="1">
      <c r="A1978" s="9" t="s">
        <v>46065</v>
      </c>
      <c r="B1978" s="9" t="s">
        <v>26</v>
      </c>
      <c r="C1978" s="9" t="s">
        <v>41443</v>
      </c>
      <c r="D1978" s="9" t="s">
        <v>46066</v>
      </c>
      <c r="E1978" s="61">
        <v>45425.0</v>
      </c>
      <c r="F1978" s="9" t="b">
        <v>1</v>
      </c>
      <c r="G1978" s="9" t="s">
        <v>38801</v>
      </c>
      <c r="H1978" s="9" t="s">
        <v>42560</v>
      </c>
      <c r="I1978" s="9" t="b">
        <v>1</v>
      </c>
    </row>
    <row r="1979" ht="15.75" customHeight="1">
      <c r="A1979" s="9" t="s">
        <v>46067</v>
      </c>
      <c r="B1979" s="9" t="s">
        <v>131</v>
      </c>
      <c r="C1979" s="9" t="s">
        <v>41376</v>
      </c>
      <c r="D1979" s="9" t="s">
        <v>42560</v>
      </c>
      <c r="E1979" s="61">
        <v>45426.0</v>
      </c>
      <c r="F1979" s="9" t="b">
        <v>1</v>
      </c>
      <c r="G1979" s="9" t="s">
        <v>38801</v>
      </c>
      <c r="H1979" s="9" t="s">
        <v>42560</v>
      </c>
      <c r="I1979" s="9" t="b">
        <v>1</v>
      </c>
    </row>
    <row r="1980" ht="15.75" customHeight="1">
      <c r="A1980" s="9" t="s">
        <v>46068</v>
      </c>
      <c r="B1980" s="9" t="s">
        <v>26</v>
      </c>
      <c r="C1980" s="9" t="s">
        <v>41431</v>
      </c>
      <c r="D1980" s="9" t="s">
        <v>46069</v>
      </c>
      <c r="E1980" s="61">
        <v>45426.0</v>
      </c>
      <c r="F1980" s="9" t="b">
        <v>1</v>
      </c>
      <c r="G1980" s="9" t="s">
        <v>38801</v>
      </c>
      <c r="H1980" s="9" t="s">
        <v>42560</v>
      </c>
      <c r="I1980" s="9" t="b">
        <v>1</v>
      </c>
    </row>
    <row r="1981" ht="15.75" customHeight="1">
      <c r="A1981" s="9" t="s">
        <v>46070</v>
      </c>
      <c r="B1981" s="9" t="s">
        <v>131</v>
      </c>
      <c r="C1981" s="9" t="s">
        <v>41143</v>
      </c>
      <c r="D1981" s="9" t="s">
        <v>42560</v>
      </c>
      <c r="E1981" s="61">
        <v>45426.0</v>
      </c>
      <c r="F1981" s="9" t="b">
        <v>1</v>
      </c>
      <c r="G1981" s="9" t="s">
        <v>38801</v>
      </c>
      <c r="H1981" s="9" t="s">
        <v>42576</v>
      </c>
      <c r="I1981" s="9" t="b">
        <v>1</v>
      </c>
    </row>
    <row r="1982" ht="15.75" customHeight="1">
      <c r="A1982" s="9" t="s">
        <v>46071</v>
      </c>
      <c r="B1982" s="9" t="s">
        <v>131</v>
      </c>
      <c r="C1982" s="9" t="s">
        <v>41441</v>
      </c>
      <c r="D1982" s="9" t="s">
        <v>46072</v>
      </c>
      <c r="E1982" s="61">
        <v>45426.0</v>
      </c>
      <c r="F1982" s="9" t="b">
        <v>1</v>
      </c>
      <c r="G1982" s="9" t="s">
        <v>38801</v>
      </c>
      <c r="H1982" s="9" t="s">
        <v>42576</v>
      </c>
      <c r="I1982" s="9" t="b">
        <v>1</v>
      </c>
    </row>
    <row r="1983" ht="15.75" customHeight="1">
      <c r="A1983" s="9" t="s">
        <v>46073</v>
      </c>
      <c r="B1983" s="9" t="s">
        <v>131</v>
      </c>
      <c r="C1983" s="9" t="s">
        <v>41430</v>
      </c>
      <c r="D1983" s="9" t="s">
        <v>46074</v>
      </c>
      <c r="E1983" s="61">
        <v>45427.0</v>
      </c>
      <c r="F1983" s="9" t="b">
        <v>1</v>
      </c>
      <c r="G1983" s="9" t="s">
        <v>38801</v>
      </c>
      <c r="H1983" s="9" t="s">
        <v>42576</v>
      </c>
      <c r="I1983" s="9" t="b">
        <v>1</v>
      </c>
    </row>
    <row r="1984" ht="15.75" customHeight="1">
      <c r="A1984" s="9" t="s">
        <v>46075</v>
      </c>
      <c r="B1984" s="9" t="s">
        <v>131</v>
      </c>
      <c r="C1984" s="9" t="s">
        <v>41420</v>
      </c>
      <c r="D1984" s="9" t="s">
        <v>46076</v>
      </c>
      <c r="E1984" s="61">
        <v>45427.0</v>
      </c>
      <c r="F1984" s="9" t="b">
        <v>1</v>
      </c>
      <c r="G1984" s="9" t="s">
        <v>38801</v>
      </c>
      <c r="H1984" s="9" t="s">
        <v>42576</v>
      </c>
      <c r="I1984" s="9" t="b">
        <v>1</v>
      </c>
    </row>
    <row r="1985" ht="15.75" customHeight="1">
      <c r="A1985" s="9" t="s">
        <v>46077</v>
      </c>
      <c r="B1985" s="9" t="s">
        <v>131</v>
      </c>
      <c r="C1985" s="9" t="s">
        <v>41484</v>
      </c>
      <c r="D1985" s="9" t="s">
        <v>46078</v>
      </c>
      <c r="E1985" s="61">
        <v>45427.0</v>
      </c>
      <c r="F1985" s="9" t="b">
        <v>1</v>
      </c>
      <c r="G1985" s="9" t="s">
        <v>38801</v>
      </c>
      <c r="H1985" s="9" t="s">
        <v>42576</v>
      </c>
      <c r="I1985" s="9" t="b">
        <v>1</v>
      </c>
    </row>
    <row r="1986" ht="15.75" customHeight="1">
      <c r="A1986" s="9" t="s">
        <v>46079</v>
      </c>
      <c r="B1986" s="9" t="s">
        <v>131</v>
      </c>
      <c r="C1986" s="9" t="s">
        <v>41485</v>
      </c>
      <c r="D1986" s="9" t="s">
        <v>46080</v>
      </c>
      <c r="E1986" s="61">
        <v>45427.0</v>
      </c>
      <c r="F1986" s="9" t="b">
        <v>1</v>
      </c>
      <c r="G1986" s="9" t="s">
        <v>38801</v>
      </c>
      <c r="H1986" s="9" t="s">
        <v>42576</v>
      </c>
      <c r="I1986" s="9" t="b">
        <v>1</v>
      </c>
    </row>
    <row r="1987" ht="15.75" customHeight="1">
      <c r="A1987" s="9" t="s">
        <v>46081</v>
      </c>
      <c r="B1987" s="9" t="s">
        <v>163</v>
      </c>
      <c r="C1987" s="9" t="s">
        <v>41489</v>
      </c>
      <c r="D1987" s="9" t="s">
        <v>42560</v>
      </c>
      <c r="E1987" s="61">
        <v>45428.0</v>
      </c>
      <c r="F1987" s="9" t="b">
        <v>1</v>
      </c>
      <c r="G1987" s="9" t="s">
        <v>38801</v>
      </c>
      <c r="H1987" s="9" t="s">
        <v>42560</v>
      </c>
      <c r="I1987" s="9" t="b">
        <v>1</v>
      </c>
    </row>
    <row r="1988" ht="15.75" customHeight="1">
      <c r="A1988" s="9" t="s">
        <v>46082</v>
      </c>
      <c r="B1988" s="9" t="s">
        <v>47</v>
      </c>
      <c r="C1988" s="9" t="s">
        <v>41482</v>
      </c>
      <c r="D1988" s="9" t="s">
        <v>44884</v>
      </c>
      <c r="E1988" s="61">
        <v>45432.0</v>
      </c>
      <c r="F1988" s="9" t="b">
        <v>1</v>
      </c>
      <c r="G1988" s="9" t="s">
        <v>38801</v>
      </c>
      <c r="H1988" s="9" t="s">
        <v>42576</v>
      </c>
      <c r="I1988" s="9" t="b">
        <v>1</v>
      </c>
    </row>
    <row r="1989" ht="15.75" customHeight="1">
      <c r="A1989" s="9" t="s">
        <v>46083</v>
      </c>
      <c r="B1989" s="9" t="s">
        <v>47</v>
      </c>
      <c r="C1989" s="9" t="s">
        <v>40557</v>
      </c>
      <c r="D1989" s="9" t="s">
        <v>46084</v>
      </c>
      <c r="E1989" s="61">
        <v>45433.0</v>
      </c>
      <c r="F1989" s="9" t="b">
        <v>1</v>
      </c>
      <c r="G1989" s="9" t="s">
        <v>38801</v>
      </c>
      <c r="H1989" s="9" t="s">
        <v>42560</v>
      </c>
      <c r="I1989" s="9" t="b">
        <v>1</v>
      </c>
    </row>
    <row r="1990" ht="15.75" customHeight="1">
      <c r="A1990" s="9" t="s">
        <v>46085</v>
      </c>
      <c r="B1990" s="9" t="s">
        <v>47</v>
      </c>
      <c r="C1990" s="9" t="s">
        <v>40483</v>
      </c>
      <c r="D1990" s="9" t="s">
        <v>46086</v>
      </c>
      <c r="E1990" s="61">
        <v>45433.0</v>
      </c>
      <c r="F1990" s="9" t="b">
        <v>1</v>
      </c>
      <c r="G1990" s="9" t="s">
        <v>38801</v>
      </c>
      <c r="H1990" s="9" t="s">
        <v>42560</v>
      </c>
      <c r="I1990" s="9" t="b">
        <v>1</v>
      </c>
    </row>
    <row r="1991" ht="15.75" customHeight="1">
      <c r="A1991" s="9" t="s">
        <v>46087</v>
      </c>
      <c r="B1991" s="9" t="s">
        <v>47</v>
      </c>
      <c r="C1991" s="9" t="s">
        <v>41295</v>
      </c>
      <c r="D1991" s="9" t="s">
        <v>46088</v>
      </c>
      <c r="E1991" s="61">
        <v>45433.0</v>
      </c>
      <c r="F1991" s="9" t="b">
        <v>1</v>
      </c>
      <c r="G1991" s="9" t="s">
        <v>38801</v>
      </c>
      <c r="H1991" s="9" t="s">
        <v>42576</v>
      </c>
      <c r="I1991" s="9" t="b">
        <v>1</v>
      </c>
    </row>
    <row r="1992" ht="15.75" customHeight="1">
      <c r="A1992" s="9" t="s">
        <v>46089</v>
      </c>
      <c r="B1992" s="9" t="s">
        <v>47</v>
      </c>
      <c r="C1992" s="9" t="s">
        <v>41439</v>
      </c>
      <c r="D1992" s="9" t="s">
        <v>46090</v>
      </c>
      <c r="E1992" s="61">
        <v>45433.0</v>
      </c>
      <c r="F1992" s="9" t="b">
        <v>1</v>
      </c>
      <c r="G1992" s="9" t="s">
        <v>43228</v>
      </c>
      <c r="H1992" s="9" t="s">
        <v>42576</v>
      </c>
      <c r="I1992" s="9"/>
    </row>
    <row r="1993" ht="15.75" customHeight="1">
      <c r="A1993" s="9" t="s">
        <v>46091</v>
      </c>
      <c r="B1993" s="9" t="s">
        <v>253</v>
      </c>
      <c r="C1993" s="9" t="s">
        <v>41487</v>
      </c>
      <c r="D1993" s="9" t="s">
        <v>46092</v>
      </c>
      <c r="E1993" s="61">
        <v>45433.0</v>
      </c>
      <c r="F1993" s="9" t="b">
        <v>1</v>
      </c>
      <c r="G1993" s="9" t="s">
        <v>38801</v>
      </c>
      <c r="H1993" s="9" t="s">
        <v>42576</v>
      </c>
      <c r="I1993" s="9" t="b">
        <v>1</v>
      </c>
    </row>
    <row r="1994" ht="15.75" customHeight="1">
      <c r="A1994" s="9" t="s">
        <v>46093</v>
      </c>
      <c r="B1994" s="9" t="s">
        <v>253</v>
      </c>
      <c r="C1994" s="9" t="s">
        <v>41501</v>
      </c>
      <c r="D1994" s="9" t="s">
        <v>46094</v>
      </c>
      <c r="E1994" s="61">
        <v>45433.0</v>
      </c>
      <c r="F1994" s="9" t="b">
        <v>1</v>
      </c>
      <c r="G1994" s="9" t="s">
        <v>38801</v>
      </c>
      <c r="H1994" s="9" t="s">
        <v>42576</v>
      </c>
      <c r="I1994" s="9" t="b">
        <v>1</v>
      </c>
    </row>
    <row r="1995" ht="15.75" customHeight="1">
      <c r="A1995" s="9" t="s">
        <v>46095</v>
      </c>
      <c r="B1995" s="9" t="s">
        <v>253</v>
      </c>
      <c r="C1995" s="9" t="s">
        <v>41505</v>
      </c>
      <c r="D1995" s="9" t="s">
        <v>46096</v>
      </c>
      <c r="E1995" s="61">
        <v>45433.0</v>
      </c>
      <c r="F1995" s="9" t="b">
        <v>1</v>
      </c>
      <c r="G1995" s="9" t="s">
        <v>38801</v>
      </c>
      <c r="H1995" s="9" t="s">
        <v>42576</v>
      </c>
      <c r="I1995" s="9" t="b">
        <v>1</v>
      </c>
    </row>
    <row r="1996" ht="15.75" customHeight="1">
      <c r="A1996" s="9" t="s">
        <v>46097</v>
      </c>
      <c r="B1996" s="9" t="s">
        <v>253</v>
      </c>
      <c r="C1996" s="9" t="s">
        <v>41496</v>
      </c>
      <c r="D1996" s="9" t="s">
        <v>46098</v>
      </c>
      <c r="E1996" s="61">
        <v>45433.0</v>
      </c>
      <c r="F1996" s="9" t="b">
        <v>1</v>
      </c>
      <c r="G1996" s="9" t="s">
        <v>38801</v>
      </c>
      <c r="H1996" s="9" t="s">
        <v>42576</v>
      </c>
      <c r="I1996" s="9" t="b">
        <v>1</v>
      </c>
    </row>
    <row r="1997" ht="15.75" customHeight="1">
      <c r="A1997" s="9" t="s">
        <v>46099</v>
      </c>
      <c r="B1997" s="9" t="s">
        <v>253</v>
      </c>
      <c r="C1997" s="9" t="s">
        <v>41511</v>
      </c>
      <c r="D1997" s="9" t="s">
        <v>46100</v>
      </c>
      <c r="E1997" s="61">
        <v>45433.0</v>
      </c>
      <c r="F1997" s="9" t="b">
        <v>1</v>
      </c>
      <c r="G1997" s="9" t="s">
        <v>38801</v>
      </c>
      <c r="H1997" s="9" t="s">
        <v>42560</v>
      </c>
      <c r="I1997" s="9" t="b">
        <v>1</v>
      </c>
    </row>
    <row r="1998" ht="15.75" customHeight="1">
      <c r="A1998" s="9" t="s">
        <v>46101</v>
      </c>
      <c r="B1998" s="9" t="s">
        <v>253</v>
      </c>
      <c r="C1998" s="9" t="s">
        <v>41500</v>
      </c>
      <c r="D1998" s="9" t="s">
        <v>46102</v>
      </c>
      <c r="E1998" s="61">
        <v>45433.0</v>
      </c>
      <c r="F1998" s="9" t="b">
        <v>1</v>
      </c>
      <c r="G1998" s="9" t="s">
        <v>38801</v>
      </c>
      <c r="H1998" s="9" t="s">
        <v>42576</v>
      </c>
      <c r="I1998" s="9" t="b">
        <v>1</v>
      </c>
    </row>
    <row r="1999" ht="15.75" customHeight="1">
      <c r="A1999" s="9" t="s">
        <v>46103</v>
      </c>
      <c r="B1999" s="9" t="s">
        <v>253</v>
      </c>
      <c r="C1999" s="9" t="s">
        <v>41515</v>
      </c>
      <c r="D1999" s="9" t="s">
        <v>46104</v>
      </c>
      <c r="E1999" s="61">
        <v>45433.0</v>
      </c>
      <c r="F1999" s="9" t="b">
        <v>1</v>
      </c>
      <c r="G1999" s="9" t="s">
        <v>38801</v>
      </c>
      <c r="H1999" s="9" t="s">
        <v>42576</v>
      </c>
      <c r="I1999" s="9" t="b">
        <v>1</v>
      </c>
    </row>
    <row r="2000" ht="15.75" customHeight="1">
      <c r="A2000" s="9" t="s">
        <v>46105</v>
      </c>
      <c r="B2000" s="9" t="s">
        <v>253</v>
      </c>
      <c r="C2000" s="9" t="s">
        <v>41495</v>
      </c>
      <c r="D2000" s="9" t="s">
        <v>46106</v>
      </c>
      <c r="E2000" s="61">
        <v>45433.0</v>
      </c>
      <c r="F2000" s="9" t="b">
        <v>1</v>
      </c>
      <c r="G2000" s="9" t="s">
        <v>38801</v>
      </c>
      <c r="H2000" s="9" t="s">
        <v>42576</v>
      </c>
      <c r="I2000" s="9" t="b">
        <v>1</v>
      </c>
    </row>
    <row r="2001" ht="15.75" customHeight="1">
      <c r="A2001" s="9" t="s">
        <v>46107</v>
      </c>
      <c r="B2001" s="9" t="s">
        <v>253</v>
      </c>
      <c r="C2001" s="9" t="s">
        <v>41491</v>
      </c>
      <c r="D2001" s="52" t="s">
        <v>3725</v>
      </c>
      <c r="E2001" s="61">
        <v>45433.0</v>
      </c>
      <c r="F2001" s="9" t="b">
        <v>1</v>
      </c>
      <c r="G2001" s="9" t="s">
        <v>38801</v>
      </c>
      <c r="H2001" s="9" t="s">
        <v>42576</v>
      </c>
      <c r="I2001" s="9" t="b">
        <v>1</v>
      </c>
    </row>
    <row r="2002" ht="15.75" customHeight="1">
      <c r="A2002" s="9" t="s">
        <v>46108</v>
      </c>
      <c r="B2002" s="9" t="s">
        <v>253</v>
      </c>
      <c r="C2002" s="9" t="s">
        <v>41493</v>
      </c>
      <c r="D2002" s="52" t="s">
        <v>3725</v>
      </c>
      <c r="E2002" s="61">
        <v>45433.0</v>
      </c>
      <c r="F2002" s="9" t="b">
        <v>1</v>
      </c>
      <c r="G2002" s="9" t="s">
        <v>38801</v>
      </c>
      <c r="H2002" s="9" t="s">
        <v>42576</v>
      </c>
      <c r="I2002" s="9" t="b">
        <v>1</v>
      </c>
    </row>
    <row r="2003" ht="15.75" customHeight="1">
      <c r="A2003" s="9" t="s">
        <v>46109</v>
      </c>
      <c r="B2003" s="9" t="s">
        <v>253</v>
      </c>
      <c r="C2003" s="9" t="s">
        <v>41516</v>
      </c>
      <c r="D2003" s="52" t="s">
        <v>3725</v>
      </c>
      <c r="E2003" s="61">
        <v>45433.0</v>
      </c>
      <c r="F2003" s="9" t="b">
        <v>1</v>
      </c>
      <c r="G2003" s="9" t="s">
        <v>38801</v>
      </c>
      <c r="H2003" s="9" t="s">
        <v>42576</v>
      </c>
      <c r="I2003" s="9" t="b">
        <v>1</v>
      </c>
    </row>
    <row r="2004" ht="15.75" customHeight="1">
      <c r="A2004" s="9" t="s">
        <v>46110</v>
      </c>
      <c r="B2004" s="9" t="s">
        <v>253</v>
      </c>
      <c r="C2004" s="9" t="s">
        <v>41497</v>
      </c>
      <c r="D2004" s="9" t="s">
        <v>45174</v>
      </c>
      <c r="E2004" s="61">
        <v>45433.0</v>
      </c>
      <c r="F2004" s="9" t="b">
        <v>1</v>
      </c>
      <c r="G2004" s="9" t="s">
        <v>38801</v>
      </c>
      <c r="H2004" s="9" t="s">
        <v>42576</v>
      </c>
      <c r="I2004" s="9" t="b">
        <v>1</v>
      </c>
    </row>
    <row r="2005" ht="15.75" customHeight="1">
      <c r="A2005" s="9" t="s">
        <v>46111</v>
      </c>
      <c r="B2005" s="9" t="s">
        <v>253</v>
      </c>
      <c r="C2005" s="9" t="s">
        <v>41503</v>
      </c>
      <c r="D2005" s="9" t="s">
        <v>46112</v>
      </c>
      <c r="E2005" s="61">
        <v>45433.0</v>
      </c>
      <c r="F2005" s="9" t="b">
        <v>1</v>
      </c>
      <c r="G2005" s="9" t="s">
        <v>38801</v>
      </c>
      <c r="H2005" s="9" t="s">
        <v>38800</v>
      </c>
      <c r="I2005" s="9" t="b">
        <v>1</v>
      </c>
    </row>
    <row r="2006" ht="15.75" customHeight="1">
      <c r="A2006" s="9" t="s">
        <v>46113</v>
      </c>
      <c r="B2006" s="9" t="s">
        <v>253</v>
      </c>
      <c r="C2006" s="9" t="s">
        <v>41498</v>
      </c>
      <c r="D2006" s="9" t="s">
        <v>46112</v>
      </c>
      <c r="E2006" s="61">
        <v>45433.0</v>
      </c>
      <c r="F2006" s="9" t="b">
        <v>1</v>
      </c>
      <c r="G2006" s="9" t="s">
        <v>38801</v>
      </c>
      <c r="H2006" s="9" t="s">
        <v>38800</v>
      </c>
      <c r="I2006" s="9" t="b">
        <v>1</v>
      </c>
    </row>
    <row r="2007" ht="15.75" customHeight="1">
      <c r="A2007" s="9" t="s">
        <v>46114</v>
      </c>
      <c r="B2007" s="9" t="s">
        <v>253</v>
      </c>
      <c r="C2007" s="9" t="s">
        <v>41499</v>
      </c>
      <c r="D2007" s="9" t="s">
        <v>46112</v>
      </c>
      <c r="E2007" s="61">
        <v>45433.0</v>
      </c>
      <c r="F2007" s="9" t="b">
        <v>1</v>
      </c>
      <c r="G2007" s="9" t="s">
        <v>38801</v>
      </c>
      <c r="H2007" s="9" t="s">
        <v>38800</v>
      </c>
      <c r="I2007" s="9" t="b">
        <v>1</v>
      </c>
    </row>
    <row r="2008" ht="15.75" customHeight="1">
      <c r="A2008" s="9" t="s">
        <v>46115</v>
      </c>
      <c r="B2008" s="9" t="s">
        <v>253</v>
      </c>
      <c r="C2008" s="9" t="s">
        <v>41502</v>
      </c>
      <c r="D2008" s="9" t="s">
        <v>45174</v>
      </c>
      <c r="E2008" s="61">
        <v>45433.0</v>
      </c>
      <c r="F2008" s="9" t="b">
        <v>1</v>
      </c>
      <c r="G2008" s="9" t="s">
        <v>38801</v>
      </c>
      <c r="H2008" s="9" t="s">
        <v>42576</v>
      </c>
      <c r="I2008" s="9" t="b">
        <v>1</v>
      </c>
    </row>
    <row r="2009" ht="15.75" customHeight="1">
      <c r="A2009" s="9" t="s">
        <v>46116</v>
      </c>
      <c r="B2009" s="9" t="s">
        <v>253</v>
      </c>
      <c r="C2009" s="9" t="s">
        <v>41504</v>
      </c>
      <c r="D2009" s="9" t="s">
        <v>45174</v>
      </c>
      <c r="E2009" s="61">
        <v>45433.0</v>
      </c>
      <c r="F2009" s="9" t="b">
        <v>1</v>
      </c>
      <c r="G2009" s="9" t="s">
        <v>38801</v>
      </c>
      <c r="H2009" s="9" t="s">
        <v>42576</v>
      </c>
      <c r="I2009" s="9" t="b">
        <v>1</v>
      </c>
    </row>
    <row r="2010" ht="15.75" customHeight="1">
      <c r="A2010" s="9" t="s">
        <v>46117</v>
      </c>
      <c r="B2010" s="9" t="s">
        <v>253</v>
      </c>
      <c r="C2010" s="9" t="s">
        <v>41506</v>
      </c>
      <c r="D2010" s="9" t="s">
        <v>45174</v>
      </c>
      <c r="E2010" s="61">
        <v>45433.0</v>
      </c>
      <c r="F2010" s="9" t="b">
        <v>1</v>
      </c>
      <c r="G2010" s="9" t="s">
        <v>38801</v>
      </c>
      <c r="H2010" s="9" t="s">
        <v>42576</v>
      </c>
      <c r="I2010" s="9" t="b">
        <v>1</v>
      </c>
    </row>
    <row r="2011" ht="15.75" customHeight="1">
      <c r="A2011" s="9" t="s">
        <v>46118</v>
      </c>
      <c r="B2011" s="9" t="s">
        <v>253</v>
      </c>
      <c r="C2011" s="9" t="s">
        <v>41508</v>
      </c>
      <c r="D2011" s="9" t="s">
        <v>45174</v>
      </c>
      <c r="E2011" s="61">
        <v>45433.0</v>
      </c>
      <c r="F2011" s="9" t="b">
        <v>1</v>
      </c>
      <c r="G2011" s="9" t="s">
        <v>38801</v>
      </c>
      <c r="H2011" s="9" t="s">
        <v>42576</v>
      </c>
      <c r="I2011" s="9" t="b">
        <v>1</v>
      </c>
    </row>
    <row r="2012" ht="15.75" customHeight="1">
      <c r="A2012" s="9" t="s">
        <v>46119</v>
      </c>
      <c r="B2012" s="9" t="s">
        <v>253</v>
      </c>
      <c r="C2012" s="9" t="s">
        <v>41509</v>
      </c>
      <c r="D2012" s="9" t="s">
        <v>45174</v>
      </c>
      <c r="E2012" s="61">
        <v>45433.0</v>
      </c>
      <c r="F2012" s="9" t="b">
        <v>1</v>
      </c>
      <c r="G2012" s="9" t="s">
        <v>38801</v>
      </c>
      <c r="H2012" s="9" t="s">
        <v>42576</v>
      </c>
      <c r="I2012" s="9" t="b">
        <v>1</v>
      </c>
    </row>
    <row r="2013" ht="15.75" customHeight="1">
      <c r="A2013" s="9" t="s">
        <v>46120</v>
      </c>
      <c r="B2013" s="9" t="s">
        <v>253</v>
      </c>
      <c r="C2013" s="9" t="s">
        <v>41510</v>
      </c>
      <c r="D2013" s="9" t="s">
        <v>45174</v>
      </c>
      <c r="E2013" s="61">
        <v>45433.0</v>
      </c>
      <c r="F2013" s="9" t="b">
        <v>1</v>
      </c>
      <c r="G2013" s="9" t="s">
        <v>38801</v>
      </c>
      <c r="H2013" s="9" t="s">
        <v>42576</v>
      </c>
      <c r="I2013" s="9" t="b">
        <v>1</v>
      </c>
    </row>
    <row r="2014" ht="15.75" customHeight="1">
      <c r="A2014" s="9" t="s">
        <v>46121</v>
      </c>
      <c r="B2014" s="9" t="s">
        <v>253</v>
      </c>
      <c r="C2014" s="9" t="s">
        <v>41512</v>
      </c>
      <c r="D2014" s="9" t="s">
        <v>45174</v>
      </c>
      <c r="E2014" s="61">
        <v>45433.0</v>
      </c>
      <c r="F2014" s="9" t="b">
        <v>1</v>
      </c>
      <c r="G2014" s="9" t="s">
        <v>38801</v>
      </c>
      <c r="H2014" s="9" t="s">
        <v>42576</v>
      </c>
      <c r="I2014" s="9" t="b">
        <v>1</v>
      </c>
    </row>
    <row r="2015" ht="15.75" customHeight="1">
      <c r="A2015" s="9" t="s">
        <v>46122</v>
      </c>
      <c r="B2015" s="9" t="s">
        <v>253</v>
      </c>
      <c r="C2015" s="9" t="s">
        <v>41513</v>
      </c>
      <c r="D2015" s="9" t="s">
        <v>45174</v>
      </c>
      <c r="E2015" s="61">
        <v>45433.0</v>
      </c>
      <c r="F2015" s="9" t="b">
        <v>1</v>
      </c>
      <c r="G2015" s="9" t="s">
        <v>38801</v>
      </c>
      <c r="H2015" s="9" t="s">
        <v>42576</v>
      </c>
      <c r="I2015" s="9" t="b">
        <v>1</v>
      </c>
    </row>
    <row r="2016" ht="15.75" customHeight="1">
      <c r="A2016" s="9" t="s">
        <v>46123</v>
      </c>
      <c r="B2016" s="9" t="s">
        <v>253</v>
      </c>
      <c r="C2016" s="9" t="s">
        <v>41514</v>
      </c>
      <c r="D2016" s="9" t="s">
        <v>45174</v>
      </c>
      <c r="E2016" s="61">
        <v>45433.0</v>
      </c>
      <c r="F2016" s="9" t="b">
        <v>1</v>
      </c>
      <c r="G2016" s="9" t="s">
        <v>38801</v>
      </c>
      <c r="H2016" s="9" t="s">
        <v>42576</v>
      </c>
      <c r="I2016" s="9" t="b">
        <v>1</v>
      </c>
    </row>
    <row r="2017" ht="15.75" customHeight="1">
      <c r="A2017" s="9" t="s">
        <v>46124</v>
      </c>
      <c r="B2017" s="9" t="s">
        <v>47</v>
      </c>
      <c r="C2017" s="9" t="s">
        <v>41517</v>
      </c>
      <c r="D2017" s="9" t="s">
        <v>42560</v>
      </c>
      <c r="E2017" s="61">
        <v>45433.0</v>
      </c>
      <c r="F2017" s="9" t="b">
        <v>1</v>
      </c>
      <c r="G2017" s="9" t="s">
        <v>38801</v>
      </c>
      <c r="H2017" s="9" t="s">
        <v>42576</v>
      </c>
      <c r="I2017" s="9" t="b">
        <v>1</v>
      </c>
    </row>
    <row r="2018" ht="15.75" customHeight="1">
      <c r="A2018" s="9" t="s">
        <v>46125</v>
      </c>
      <c r="B2018" s="9" t="s">
        <v>47</v>
      </c>
      <c r="C2018" s="9" t="s">
        <v>41519</v>
      </c>
      <c r="D2018" s="9" t="s">
        <v>42756</v>
      </c>
      <c r="E2018" s="61">
        <v>45433.0</v>
      </c>
      <c r="F2018" s="9" t="b">
        <v>1</v>
      </c>
      <c r="G2018" s="9" t="s">
        <v>38801</v>
      </c>
      <c r="H2018" s="9" t="s">
        <v>42576</v>
      </c>
      <c r="I2018" s="9" t="b">
        <v>1</v>
      </c>
    </row>
    <row r="2019" ht="15.75" customHeight="1">
      <c r="A2019" s="9" t="s">
        <v>46126</v>
      </c>
      <c r="B2019" s="9" t="s">
        <v>47</v>
      </c>
      <c r="C2019" s="9" t="s">
        <v>41529</v>
      </c>
      <c r="D2019" s="9" t="s">
        <v>46127</v>
      </c>
      <c r="E2019" s="61">
        <v>45434.0</v>
      </c>
      <c r="F2019" s="9" t="b">
        <v>1</v>
      </c>
      <c r="G2019" s="9" t="s">
        <v>38801</v>
      </c>
      <c r="H2019" s="9" t="s">
        <v>42560</v>
      </c>
      <c r="I2019" s="9" t="b">
        <v>1</v>
      </c>
    </row>
    <row r="2020" ht="15.75" customHeight="1">
      <c r="A2020" s="9" t="s">
        <v>46128</v>
      </c>
      <c r="B2020" s="9" t="s">
        <v>47</v>
      </c>
      <c r="C2020" s="52" t="s">
        <v>41533</v>
      </c>
      <c r="D2020" s="9" t="s">
        <v>46129</v>
      </c>
      <c r="E2020" s="61">
        <v>45434.0</v>
      </c>
      <c r="F2020" s="9" t="b">
        <v>1</v>
      </c>
      <c r="G2020" s="9" t="s">
        <v>43228</v>
      </c>
      <c r="H2020" s="9" t="s">
        <v>42560</v>
      </c>
      <c r="I2020" s="9"/>
    </row>
    <row r="2021" ht="15.75" customHeight="1">
      <c r="A2021" s="9" t="s">
        <v>46130</v>
      </c>
      <c r="B2021" s="9" t="s">
        <v>47</v>
      </c>
      <c r="C2021" s="9" t="s">
        <v>41535</v>
      </c>
      <c r="D2021" s="9" t="s">
        <v>46131</v>
      </c>
      <c r="E2021" s="61">
        <v>45434.0</v>
      </c>
      <c r="F2021" s="9" t="b">
        <v>1</v>
      </c>
      <c r="G2021" s="9" t="s">
        <v>43228</v>
      </c>
      <c r="H2021" s="9" t="s">
        <v>42560</v>
      </c>
      <c r="I2021" s="9"/>
    </row>
    <row r="2022" ht="15.75" customHeight="1">
      <c r="A2022" s="9" t="s">
        <v>46132</v>
      </c>
      <c r="B2022" s="9" t="s">
        <v>47</v>
      </c>
      <c r="C2022" s="9" t="s">
        <v>41521</v>
      </c>
      <c r="D2022" s="9" t="s">
        <v>46133</v>
      </c>
      <c r="E2022" s="61">
        <v>45434.0</v>
      </c>
      <c r="F2022" s="9" t="b">
        <v>1</v>
      </c>
      <c r="G2022" s="9" t="s">
        <v>43228</v>
      </c>
      <c r="H2022" s="9" t="s">
        <v>42576</v>
      </c>
      <c r="I2022" s="9"/>
    </row>
    <row r="2023" ht="15.75" customHeight="1">
      <c r="A2023" s="9" t="s">
        <v>46134</v>
      </c>
      <c r="B2023" s="9" t="s">
        <v>47</v>
      </c>
      <c r="C2023" s="9" t="s">
        <v>41523</v>
      </c>
      <c r="D2023" s="9" t="s">
        <v>46135</v>
      </c>
      <c r="E2023" s="61">
        <v>45434.0</v>
      </c>
      <c r="F2023" s="9" t="b">
        <v>1</v>
      </c>
      <c r="G2023" s="9" t="s">
        <v>43228</v>
      </c>
      <c r="H2023" s="9" t="s">
        <v>42560</v>
      </c>
      <c r="I2023" s="9"/>
    </row>
    <row r="2024" ht="15.75" customHeight="1">
      <c r="A2024" s="9" t="s">
        <v>46136</v>
      </c>
      <c r="B2024" s="9" t="s">
        <v>47</v>
      </c>
      <c r="C2024" s="9" t="s">
        <v>41531</v>
      </c>
      <c r="D2024" s="9" t="s">
        <v>46137</v>
      </c>
      <c r="E2024" s="61">
        <v>45434.0</v>
      </c>
      <c r="F2024" s="9" t="b">
        <v>1</v>
      </c>
      <c r="G2024" s="9" t="s">
        <v>43228</v>
      </c>
      <c r="H2024" s="9" t="s">
        <v>42560</v>
      </c>
      <c r="I2024" s="9"/>
    </row>
    <row r="2025" ht="15.75" customHeight="1">
      <c r="A2025" s="9" t="s">
        <v>46138</v>
      </c>
      <c r="B2025" s="9" t="s">
        <v>47</v>
      </c>
      <c r="C2025" s="9" t="s">
        <v>41525</v>
      </c>
      <c r="D2025" s="9" t="s">
        <v>46139</v>
      </c>
      <c r="E2025" s="61">
        <v>45434.0</v>
      </c>
      <c r="F2025" s="9" t="b">
        <v>1</v>
      </c>
      <c r="G2025" s="9" t="s">
        <v>43228</v>
      </c>
      <c r="H2025" s="9" t="s">
        <v>42560</v>
      </c>
      <c r="I2025" s="9"/>
    </row>
    <row r="2026" ht="15.75" customHeight="1">
      <c r="A2026" s="9" t="s">
        <v>46140</v>
      </c>
      <c r="B2026" s="9" t="s">
        <v>47</v>
      </c>
      <c r="C2026" s="9" t="s">
        <v>41527</v>
      </c>
      <c r="D2026" s="9" t="s">
        <v>42560</v>
      </c>
      <c r="E2026" s="61">
        <v>45434.0</v>
      </c>
      <c r="F2026" s="9" t="b">
        <v>1</v>
      </c>
      <c r="G2026" s="9" t="s">
        <v>38801</v>
      </c>
      <c r="H2026" s="9" t="s">
        <v>42560</v>
      </c>
      <c r="I2026" s="9" t="b">
        <v>1</v>
      </c>
    </row>
    <row r="2027" ht="15.75" customHeight="1">
      <c r="A2027" s="9" t="s">
        <v>46141</v>
      </c>
      <c r="B2027" s="9" t="s">
        <v>47</v>
      </c>
      <c r="C2027" s="9" t="s">
        <v>41523</v>
      </c>
      <c r="D2027" s="9" t="s">
        <v>46142</v>
      </c>
      <c r="E2027" s="61">
        <v>45434.0</v>
      </c>
      <c r="F2027" s="9" t="b">
        <v>1</v>
      </c>
      <c r="G2027" s="9" t="s">
        <v>38801</v>
      </c>
      <c r="H2027" s="9" t="s">
        <v>42576</v>
      </c>
      <c r="I2027" s="9" t="b">
        <v>1</v>
      </c>
    </row>
    <row r="2028" ht="15.75" customHeight="1">
      <c r="A2028" s="9" t="s">
        <v>46143</v>
      </c>
      <c r="B2028" s="9" t="s">
        <v>47</v>
      </c>
      <c r="C2028" s="9" t="s">
        <v>41531</v>
      </c>
      <c r="D2028" s="9" t="s">
        <v>46144</v>
      </c>
      <c r="E2028" s="61">
        <v>45434.0</v>
      </c>
      <c r="F2028" s="9" t="b">
        <v>1</v>
      </c>
      <c r="G2028" s="9" t="s">
        <v>38801</v>
      </c>
      <c r="H2028" s="9" t="s">
        <v>42576</v>
      </c>
      <c r="I2028" s="9" t="b">
        <v>1</v>
      </c>
    </row>
    <row r="2029" ht="15.75" customHeight="1">
      <c r="A2029" s="9" t="s">
        <v>46145</v>
      </c>
      <c r="B2029" s="9" t="s">
        <v>47</v>
      </c>
      <c r="C2029" s="9" t="s">
        <v>41537</v>
      </c>
      <c r="D2029" s="9" t="s">
        <v>46146</v>
      </c>
      <c r="E2029" s="61">
        <v>45434.0</v>
      </c>
      <c r="F2029" s="9" t="b">
        <v>1</v>
      </c>
      <c r="G2029" s="9" t="s">
        <v>42573</v>
      </c>
      <c r="H2029" s="9" t="s">
        <v>42576</v>
      </c>
      <c r="I2029" s="9"/>
    </row>
    <row r="2030" ht="15.75" customHeight="1">
      <c r="A2030" s="9" t="s">
        <v>46147</v>
      </c>
      <c r="B2030" s="9" t="s">
        <v>26</v>
      </c>
      <c r="C2030" s="9" t="s">
        <v>41439</v>
      </c>
      <c r="D2030" s="9" t="s">
        <v>46148</v>
      </c>
      <c r="E2030" s="61">
        <v>45434.0</v>
      </c>
      <c r="F2030" s="9" t="b">
        <v>1</v>
      </c>
      <c r="G2030" s="9" t="s">
        <v>38801</v>
      </c>
      <c r="H2030" s="9" t="s">
        <v>42560</v>
      </c>
      <c r="I2030" s="9" t="b">
        <v>1</v>
      </c>
    </row>
    <row r="2031" ht="15.75" customHeight="1">
      <c r="A2031" s="9" t="s">
        <v>46149</v>
      </c>
      <c r="B2031" s="9" t="s">
        <v>26</v>
      </c>
      <c r="C2031" s="9" t="s">
        <v>41538</v>
      </c>
      <c r="D2031" s="9" t="s">
        <v>46150</v>
      </c>
      <c r="E2031" s="61">
        <v>45435.0</v>
      </c>
      <c r="F2031" s="9" t="b">
        <v>1</v>
      </c>
      <c r="G2031" s="9" t="s">
        <v>38801</v>
      </c>
      <c r="H2031" s="9" t="s">
        <v>42560</v>
      </c>
      <c r="I2031" s="9" t="b">
        <v>1</v>
      </c>
    </row>
    <row r="2032" ht="15.75" customHeight="1">
      <c r="A2032" s="9" t="s">
        <v>46151</v>
      </c>
      <c r="B2032" s="9" t="s">
        <v>26</v>
      </c>
      <c r="C2032" s="9" t="s">
        <v>41480</v>
      </c>
      <c r="D2032" s="9" t="s">
        <v>46152</v>
      </c>
      <c r="E2032" s="61">
        <v>45435.0</v>
      </c>
      <c r="F2032" s="9" t="b">
        <v>1</v>
      </c>
      <c r="G2032" s="9" t="s">
        <v>38801</v>
      </c>
      <c r="H2032" s="9" t="s">
        <v>42560</v>
      </c>
      <c r="I2032" s="9" t="b">
        <v>1</v>
      </c>
    </row>
    <row r="2033" ht="15.75" customHeight="1">
      <c r="A2033" s="9" t="s">
        <v>46153</v>
      </c>
      <c r="B2033" s="9" t="s">
        <v>26</v>
      </c>
      <c r="C2033" s="9" t="s">
        <v>41540</v>
      </c>
      <c r="D2033" s="9" t="s">
        <v>46154</v>
      </c>
      <c r="E2033" s="61">
        <v>45435.0</v>
      </c>
      <c r="F2033" s="9" t="b">
        <v>1</v>
      </c>
      <c r="G2033" s="9" t="s">
        <v>38801</v>
      </c>
      <c r="H2033" s="9" t="s">
        <v>42560</v>
      </c>
      <c r="I2033" s="9" t="b">
        <v>1</v>
      </c>
    </row>
    <row r="2034" ht="15.75" customHeight="1">
      <c r="A2034" s="9" t="s">
        <v>46155</v>
      </c>
      <c r="B2034" s="9" t="s">
        <v>47</v>
      </c>
      <c r="C2034" s="9" t="s">
        <v>41478</v>
      </c>
      <c r="D2034" s="9" t="s">
        <v>46156</v>
      </c>
      <c r="E2034" s="61">
        <v>45436.0</v>
      </c>
      <c r="F2034" s="9" t="b">
        <v>1</v>
      </c>
      <c r="G2034" s="9" t="s">
        <v>38801</v>
      </c>
      <c r="H2034" s="9" t="s">
        <v>42576</v>
      </c>
      <c r="I2034" s="9" t="b">
        <v>1</v>
      </c>
    </row>
    <row r="2035" ht="15.75" customHeight="1">
      <c r="A2035" s="9" t="s">
        <v>46157</v>
      </c>
      <c r="B2035" s="9" t="s">
        <v>26</v>
      </c>
      <c r="C2035" s="9" t="s">
        <v>41543</v>
      </c>
      <c r="D2035" s="9" t="s">
        <v>46158</v>
      </c>
      <c r="E2035" s="61">
        <v>45436.0</v>
      </c>
      <c r="F2035" s="9" t="b">
        <v>1</v>
      </c>
      <c r="G2035" s="9" t="s">
        <v>38801</v>
      </c>
      <c r="H2035" s="9" t="s">
        <v>42560</v>
      </c>
      <c r="I2035" s="9" t="b">
        <v>1</v>
      </c>
    </row>
    <row r="2036" ht="15.75" customHeight="1">
      <c r="A2036" s="9" t="s">
        <v>46159</v>
      </c>
      <c r="B2036" s="9" t="s">
        <v>26</v>
      </c>
      <c r="C2036" s="9" t="s">
        <v>41545</v>
      </c>
      <c r="D2036" s="9" t="s">
        <v>46160</v>
      </c>
      <c r="E2036" s="61">
        <v>45436.0</v>
      </c>
      <c r="F2036" s="9" t="b">
        <v>1</v>
      </c>
      <c r="G2036" s="9" t="s">
        <v>43228</v>
      </c>
      <c r="H2036" s="9" t="s">
        <v>42560</v>
      </c>
      <c r="I2036" s="9"/>
    </row>
    <row r="2037" ht="15.75" customHeight="1">
      <c r="A2037" s="9" t="s">
        <v>46161</v>
      </c>
      <c r="B2037" s="9" t="s">
        <v>47</v>
      </c>
      <c r="C2037" s="9" t="s">
        <v>41537</v>
      </c>
      <c r="D2037" s="9" t="s">
        <v>46162</v>
      </c>
      <c r="E2037" s="61">
        <v>45436.0</v>
      </c>
      <c r="F2037" s="9" t="b">
        <v>1</v>
      </c>
      <c r="G2037" s="9" t="s">
        <v>42573</v>
      </c>
      <c r="H2037" s="9" t="s">
        <v>42576</v>
      </c>
      <c r="I2037" s="9"/>
    </row>
    <row r="2038" ht="15.75" customHeight="1">
      <c r="A2038" s="9" t="s">
        <v>46163</v>
      </c>
      <c r="B2038" s="9" t="s">
        <v>26</v>
      </c>
      <c r="C2038" s="9" t="s">
        <v>41545</v>
      </c>
      <c r="D2038" s="9" t="s">
        <v>46164</v>
      </c>
      <c r="E2038" s="61">
        <v>45436.0</v>
      </c>
      <c r="F2038" s="9" t="b">
        <v>1</v>
      </c>
      <c r="G2038" s="9" t="s">
        <v>38801</v>
      </c>
      <c r="H2038" s="9" t="s">
        <v>42560</v>
      </c>
      <c r="I2038" s="9" t="b">
        <v>1</v>
      </c>
    </row>
    <row r="2039" ht="15.75" customHeight="1">
      <c r="A2039" s="9" t="s">
        <v>46165</v>
      </c>
      <c r="B2039" s="9" t="s">
        <v>26</v>
      </c>
      <c r="C2039" s="9" t="s">
        <v>41547</v>
      </c>
      <c r="D2039" s="9" t="s">
        <v>46166</v>
      </c>
      <c r="E2039" s="61">
        <v>45436.0</v>
      </c>
      <c r="F2039" s="9" t="b">
        <v>1</v>
      </c>
      <c r="G2039" s="9" t="s">
        <v>38801</v>
      </c>
      <c r="H2039" s="9" t="s">
        <v>42560</v>
      </c>
      <c r="I2039" s="9" t="b">
        <v>1</v>
      </c>
    </row>
    <row r="2040" ht="15.75" customHeight="1">
      <c r="A2040" s="9" t="s">
        <v>46167</v>
      </c>
      <c r="B2040" s="9" t="s">
        <v>26</v>
      </c>
      <c r="C2040" s="9" t="s">
        <v>41549</v>
      </c>
      <c r="D2040" s="9" t="s">
        <v>46168</v>
      </c>
      <c r="E2040" s="61">
        <v>45436.0</v>
      </c>
      <c r="F2040" s="9" t="b">
        <v>1</v>
      </c>
      <c r="G2040" s="9" t="s">
        <v>38801</v>
      </c>
      <c r="H2040" s="9" t="s">
        <v>42560</v>
      </c>
      <c r="I2040" s="9" t="b">
        <v>1</v>
      </c>
    </row>
    <row r="2041" ht="15.75" customHeight="1">
      <c r="A2041" s="9" t="s">
        <v>46169</v>
      </c>
      <c r="B2041" s="9" t="s">
        <v>26</v>
      </c>
      <c r="C2041" s="9" t="s">
        <v>41562</v>
      </c>
      <c r="D2041" s="9" t="s">
        <v>46170</v>
      </c>
      <c r="E2041" s="61">
        <v>45436.0</v>
      </c>
      <c r="F2041" s="9" t="b">
        <v>1</v>
      </c>
      <c r="G2041" s="9" t="s">
        <v>38801</v>
      </c>
      <c r="H2041" s="9" t="s">
        <v>42560</v>
      </c>
      <c r="I2041" s="9" t="b">
        <v>1</v>
      </c>
    </row>
    <row r="2042" ht="15.75" customHeight="1">
      <c r="A2042" s="9" t="s">
        <v>46171</v>
      </c>
      <c r="B2042" s="9" t="s">
        <v>26</v>
      </c>
      <c r="C2042" s="9" t="s">
        <v>41564</v>
      </c>
      <c r="D2042" s="9" t="s">
        <v>46172</v>
      </c>
      <c r="E2042" s="61">
        <v>45436.0</v>
      </c>
      <c r="F2042" s="9" t="b">
        <v>1</v>
      </c>
      <c r="G2042" s="9" t="s">
        <v>38801</v>
      </c>
      <c r="H2042" s="9" t="s">
        <v>42560</v>
      </c>
      <c r="I2042" s="9" t="b">
        <v>1</v>
      </c>
    </row>
    <row r="2043" ht="15.75" customHeight="1">
      <c r="A2043" s="9" t="s">
        <v>46173</v>
      </c>
      <c r="B2043" s="9" t="s">
        <v>26</v>
      </c>
      <c r="C2043" s="9" t="s">
        <v>41551</v>
      </c>
      <c r="D2043" s="9" t="s">
        <v>46174</v>
      </c>
      <c r="E2043" s="61">
        <v>45436.0</v>
      </c>
      <c r="F2043" s="9" t="b">
        <v>1</v>
      </c>
      <c r="G2043" s="9" t="s">
        <v>38801</v>
      </c>
      <c r="H2043" s="9" t="s">
        <v>42560</v>
      </c>
      <c r="I2043" s="9" t="b">
        <v>1</v>
      </c>
    </row>
    <row r="2044" ht="15.75" customHeight="1">
      <c r="A2044" s="9" t="s">
        <v>46175</v>
      </c>
      <c r="B2044" s="9" t="s">
        <v>26</v>
      </c>
      <c r="C2044" s="9" t="s">
        <v>41553</v>
      </c>
      <c r="D2044" s="9" t="s">
        <v>46176</v>
      </c>
      <c r="E2044" s="61">
        <v>45436.0</v>
      </c>
      <c r="F2044" s="9" t="b">
        <v>1</v>
      </c>
      <c r="G2044" s="9" t="s">
        <v>38801</v>
      </c>
      <c r="H2044" s="9" t="s">
        <v>42560</v>
      </c>
      <c r="I2044" s="9" t="b">
        <v>1</v>
      </c>
    </row>
    <row r="2045" ht="15.75" customHeight="1">
      <c r="A2045" s="9" t="s">
        <v>46177</v>
      </c>
      <c r="B2045" s="9" t="s">
        <v>26</v>
      </c>
      <c r="C2045" s="9" t="s">
        <v>41555</v>
      </c>
      <c r="D2045" s="9" t="s">
        <v>46178</v>
      </c>
      <c r="E2045" s="61">
        <v>45436.0</v>
      </c>
      <c r="F2045" s="9" t="b">
        <v>1</v>
      </c>
      <c r="G2045" s="9" t="s">
        <v>38801</v>
      </c>
      <c r="H2045" s="9" t="s">
        <v>42560</v>
      </c>
      <c r="I2045" s="9" t="b">
        <v>1</v>
      </c>
    </row>
    <row r="2046" ht="15.75" customHeight="1">
      <c r="A2046" s="9" t="s">
        <v>46179</v>
      </c>
      <c r="B2046" s="9" t="s">
        <v>26</v>
      </c>
      <c r="C2046" s="9" t="s">
        <v>41566</v>
      </c>
      <c r="D2046" s="9" t="s">
        <v>46180</v>
      </c>
      <c r="E2046" s="61">
        <v>45436.0</v>
      </c>
      <c r="F2046" s="9" t="b">
        <v>1</v>
      </c>
      <c r="G2046" s="9" t="s">
        <v>38801</v>
      </c>
      <c r="H2046" s="9" t="s">
        <v>42560</v>
      </c>
      <c r="I2046" s="9" t="b">
        <v>1</v>
      </c>
    </row>
    <row r="2047" ht="15.75" customHeight="1">
      <c r="A2047" s="9" t="s">
        <v>46181</v>
      </c>
      <c r="B2047" s="9" t="s">
        <v>26</v>
      </c>
      <c r="C2047" s="9" t="s">
        <v>41554</v>
      </c>
      <c r="D2047" s="9" t="s">
        <v>46182</v>
      </c>
      <c r="E2047" s="61">
        <v>45436.0</v>
      </c>
      <c r="F2047" s="9" t="b">
        <v>1</v>
      </c>
      <c r="G2047" s="9" t="s">
        <v>38801</v>
      </c>
      <c r="H2047" s="9" t="s">
        <v>42560</v>
      </c>
      <c r="I2047" s="9" t="b">
        <v>1</v>
      </c>
    </row>
    <row r="2048" ht="15.75" customHeight="1">
      <c r="A2048" s="9" t="s">
        <v>46183</v>
      </c>
      <c r="B2048" s="9" t="s">
        <v>26</v>
      </c>
      <c r="C2048" s="9" t="s">
        <v>41556</v>
      </c>
      <c r="D2048" s="9" t="s">
        <v>46184</v>
      </c>
      <c r="E2048" s="61">
        <v>45436.0</v>
      </c>
      <c r="F2048" s="9" t="b">
        <v>1</v>
      </c>
      <c r="G2048" s="9" t="s">
        <v>38801</v>
      </c>
      <c r="H2048" s="9" t="s">
        <v>42560</v>
      </c>
      <c r="I2048" s="9" t="b">
        <v>1</v>
      </c>
    </row>
    <row r="2049" ht="15.75" customHeight="1">
      <c r="A2049" s="9" t="s">
        <v>46185</v>
      </c>
      <c r="B2049" s="9" t="s">
        <v>26</v>
      </c>
      <c r="C2049" s="9" t="s">
        <v>41557</v>
      </c>
      <c r="D2049" s="9" t="s">
        <v>46186</v>
      </c>
      <c r="E2049" s="61">
        <v>45436.0</v>
      </c>
      <c r="F2049" s="9" t="b">
        <v>1</v>
      </c>
      <c r="G2049" s="9" t="s">
        <v>38801</v>
      </c>
      <c r="H2049" s="9" t="s">
        <v>42560</v>
      </c>
      <c r="I2049" s="9" t="b">
        <v>1</v>
      </c>
    </row>
    <row r="2050" ht="15.75" customHeight="1">
      <c r="A2050" s="9" t="s">
        <v>46187</v>
      </c>
      <c r="B2050" s="9" t="s">
        <v>26</v>
      </c>
      <c r="C2050" s="9" t="s">
        <v>41558</v>
      </c>
      <c r="D2050" s="9" t="s">
        <v>46188</v>
      </c>
      <c r="E2050" s="61">
        <v>45436.0</v>
      </c>
      <c r="F2050" s="9" t="b">
        <v>1</v>
      </c>
      <c r="G2050" s="9" t="s">
        <v>38801</v>
      </c>
      <c r="H2050" s="9" t="s">
        <v>42560</v>
      </c>
      <c r="I2050" s="9" t="b">
        <v>1</v>
      </c>
    </row>
    <row r="2051" ht="15.75" customHeight="1">
      <c r="A2051" s="9" t="s">
        <v>46189</v>
      </c>
      <c r="B2051" s="9" t="s">
        <v>26</v>
      </c>
      <c r="C2051" s="9" t="s">
        <v>41563</v>
      </c>
      <c r="D2051" s="9" t="s">
        <v>46190</v>
      </c>
      <c r="E2051" s="61">
        <v>45436.0</v>
      </c>
      <c r="F2051" s="9" t="b">
        <v>1</v>
      </c>
      <c r="G2051" s="9" t="s">
        <v>38801</v>
      </c>
      <c r="H2051" s="9" t="s">
        <v>42560</v>
      </c>
      <c r="I2051" s="9" t="b">
        <v>1</v>
      </c>
    </row>
    <row r="2052" ht="15.75" customHeight="1">
      <c r="A2052" s="9" t="s">
        <v>46191</v>
      </c>
      <c r="B2052" s="9" t="s">
        <v>26</v>
      </c>
      <c r="C2052" s="9" t="s">
        <v>41559</v>
      </c>
      <c r="D2052" s="9" t="s">
        <v>46192</v>
      </c>
      <c r="E2052" s="61">
        <v>45436.0</v>
      </c>
      <c r="F2052" s="9" t="b">
        <v>1</v>
      </c>
      <c r="G2052" s="9" t="s">
        <v>38801</v>
      </c>
      <c r="H2052" s="9" t="s">
        <v>42560</v>
      </c>
      <c r="I2052" s="9" t="b">
        <v>1</v>
      </c>
    </row>
    <row r="2053" ht="15.75" customHeight="1">
      <c r="A2053" s="9" t="s">
        <v>46193</v>
      </c>
      <c r="B2053" s="9" t="s">
        <v>26</v>
      </c>
      <c r="C2053" s="9" t="s">
        <v>41560</v>
      </c>
      <c r="D2053" s="9" t="s">
        <v>46194</v>
      </c>
      <c r="E2053" s="61">
        <v>45436.0</v>
      </c>
      <c r="F2053" s="9" t="b">
        <v>1</v>
      </c>
      <c r="G2053" s="9" t="s">
        <v>38801</v>
      </c>
      <c r="H2053" s="9" t="s">
        <v>42560</v>
      </c>
      <c r="I2053" s="9" t="b">
        <v>1</v>
      </c>
    </row>
    <row r="2054" ht="15.75" customHeight="1">
      <c r="A2054" s="9" t="s">
        <v>46195</v>
      </c>
      <c r="B2054" s="9" t="s">
        <v>26</v>
      </c>
      <c r="C2054" s="9" t="s">
        <v>41561</v>
      </c>
      <c r="D2054" s="9" t="s">
        <v>46194</v>
      </c>
      <c r="E2054" s="61">
        <v>45436.0</v>
      </c>
      <c r="F2054" s="9" t="b">
        <v>1</v>
      </c>
      <c r="G2054" s="9" t="s">
        <v>38801</v>
      </c>
      <c r="H2054" s="9" t="s">
        <v>42560</v>
      </c>
      <c r="I2054" s="9" t="b">
        <v>1</v>
      </c>
    </row>
    <row r="2055" ht="15.75" customHeight="1">
      <c r="A2055" s="9" t="s">
        <v>46196</v>
      </c>
      <c r="B2055" s="9" t="s">
        <v>26</v>
      </c>
      <c r="C2055" s="9" t="s">
        <v>41568</v>
      </c>
      <c r="D2055" s="9" t="s">
        <v>46194</v>
      </c>
      <c r="E2055" s="61">
        <v>45436.0</v>
      </c>
      <c r="F2055" s="9" t="b">
        <v>1</v>
      </c>
      <c r="G2055" s="9" t="s">
        <v>38801</v>
      </c>
      <c r="H2055" s="9" t="s">
        <v>42560</v>
      </c>
      <c r="I2055" s="9" t="b">
        <v>1</v>
      </c>
    </row>
    <row r="2056" ht="15.75" customHeight="1">
      <c r="A2056" s="9" t="s">
        <v>46197</v>
      </c>
      <c r="B2056" s="9" t="s">
        <v>26</v>
      </c>
      <c r="C2056" s="9" t="s">
        <v>41572</v>
      </c>
      <c r="D2056" s="9" t="s">
        <v>46198</v>
      </c>
      <c r="E2056" s="61">
        <v>45439.0</v>
      </c>
      <c r="F2056" s="9" t="b">
        <v>1</v>
      </c>
      <c r="G2056" s="9" t="s">
        <v>38801</v>
      </c>
      <c r="H2056" s="9" t="s">
        <v>42560</v>
      </c>
      <c r="I2056" s="9" t="b">
        <v>1</v>
      </c>
    </row>
    <row r="2057" ht="15.75" customHeight="1">
      <c r="A2057" s="9" t="s">
        <v>46199</v>
      </c>
      <c r="B2057" s="9" t="s">
        <v>26</v>
      </c>
      <c r="C2057" s="9" t="s">
        <v>41574</v>
      </c>
      <c r="D2057" s="9" t="s">
        <v>46200</v>
      </c>
      <c r="E2057" s="61">
        <v>45439.0</v>
      </c>
      <c r="F2057" s="9" t="b">
        <v>1</v>
      </c>
      <c r="G2057" s="9" t="s">
        <v>42585</v>
      </c>
      <c r="H2057" s="9" t="s">
        <v>42560</v>
      </c>
      <c r="I2057" s="9"/>
    </row>
    <row r="2058" ht="15.75" customHeight="1">
      <c r="A2058" s="9" t="s">
        <v>46201</v>
      </c>
      <c r="B2058" s="9" t="s">
        <v>131</v>
      </c>
      <c r="C2058" s="9" t="s">
        <v>41576</v>
      </c>
      <c r="D2058" s="9" t="s">
        <v>46202</v>
      </c>
      <c r="E2058" s="61">
        <v>45439.0</v>
      </c>
      <c r="F2058" s="9" t="b">
        <v>1</v>
      </c>
      <c r="G2058" s="9" t="s">
        <v>38801</v>
      </c>
      <c r="H2058" s="9" t="s">
        <v>42576</v>
      </c>
      <c r="I2058" s="9" t="b">
        <v>1</v>
      </c>
    </row>
    <row r="2059" ht="15.75" customHeight="1">
      <c r="A2059" s="9" t="s">
        <v>46203</v>
      </c>
      <c r="B2059" s="9" t="s">
        <v>131</v>
      </c>
      <c r="C2059" s="9" t="s">
        <v>41537</v>
      </c>
      <c r="D2059" s="9" t="s">
        <v>42560</v>
      </c>
      <c r="E2059" s="61">
        <v>45439.0</v>
      </c>
      <c r="F2059" s="9" t="b">
        <v>1</v>
      </c>
      <c r="G2059" s="9" t="s">
        <v>38801</v>
      </c>
      <c r="H2059" s="9" t="s">
        <v>42576</v>
      </c>
      <c r="I2059" s="9" t="b">
        <v>1</v>
      </c>
    </row>
    <row r="2060" ht="15.75" customHeight="1">
      <c r="A2060" s="9" t="s">
        <v>46204</v>
      </c>
      <c r="B2060" s="9" t="s">
        <v>131</v>
      </c>
      <c r="C2060" s="9" t="s">
        <v>41578</v>
      </c>
      <c r="D2060" s="9" t="s">
        <v>42560</v>
      </c>
      <c r="E2060" s="61">
        <v>45439.0</v>
      </c>
      <c r="F2060" s="9" t="b">
        <v>1</v>
      </c>
      <c r="G2060" s="9" t="s">
        <v>38801</v>
      </c>
      <c r="H2060" s="9" t="s">
        <v>42576</v>
      </c>
      <c r="I2060" s="9" t="b">
        <v>1</v>
      </c>
    </row>
    <row r="2061" ht="15.75" customHeight="1">
      <c r="A2061" s="9" t="s">
        <v>46205</v>
      </c>
      <c r="B2061" s="9" t="s">
        <v>131</v>
      </c>
      <c r="C2061" s="9" t="s">
        <v>41580</v>
      </c>
      <c r="D2061" s="9" t="s">
        <v>42560</v>
      </c>
      <c r="E2061" s="61">
        <v>45439.0</v>
      </c>
      <c r="F2061" s="9" t="b">
        <v>1</v>
      </c>
      <c r="G2061" s="9" t="s">
        <v>38801</v>
      </c>
      <c r="H2061" s="9" t="s">
        <v>42576</v>
      </c>
      <c r="I2061" s="9" t="b">
        <v>1</v>
      </c>
    </row>
    <row r="2062" ht="15.75" customHeight="1">
      <c r="A2062" s="9" t="s">
        <v>46206</v>
      </c>
      <c r="B2062" s="9" t="s">
        <v>131</v>
      </c>
      <c r="C2062" s="9" t="s">
        <v>41582</v>
      </c>
      <c r="D2062" s="9" t="s">
        <v>42560</v>
      </c>
      <c r="E2062" s="61">
        <v>45439.0</v>
      </c>
      <c r="F2062" s="9" t="b">
        <v>1</v>
      </c>
      <c r="G2062" s="9" t="s">
        <v>38801</v>
      </c>
      <c r="H2062" s="9" t="s">
        <v>42576</v>
      </c>
      <c r="I2062" s="9" t="b">
        <v>1</v>
      </c>
    </row>
    <row r="2063" ht="15.75" customHeight="1">
      <c r="A2063" s="9" t="s">
        <v>46207</v>
      </c>
      <c r="B2063" s="9" t="s">
        <v>131</v>
      </c>
      <c r="C2063" s="9" t="s">
        <v>41583</v>
      </c>
      <c r="D2063" s="9" t="s">
        <v>42560</v>
      </c>
      <c r="E2063" s="61">
        <v>45439.0</v>
      </c>
      <c r="F2063" s="9" t="b">
        <v>1</v>
      </c>
      <c r="G2063" s="9" t="s">
        <v>38801</v>
      </c>
      <c r="H2063" s="9" t="s">
        <v>42576</v>
      </c>
      <c r="I2063" s="9" t="b">
        <v>1</v>
      </c>
    </row>
    <row r="2064" ht="15.75" customHeight="1">
      <c r="A2064" s="9" t="s">
        <v>46208</v>
      </c>
      <c r="B2064" s="9" t="s">
        <v>131</v>
      </c>
      <c r="C2064" s="9" t="s">
        <v>41584</v>
      </c>
      <c r="D2064" s="9" t="s">
        <v>42560</v>
      </c>
      <c r="E2064" s="61">
        <v>45439.0</v>
      </c>
      <c r="F2064" s="9" t="b">
        <v>1</v>
      </c>
      <c r="G2064" s="9" t="s">
        <v>38801</v>
      </c>
      <c r="H2064" s="9" t="s">
        <v>42576</v>
      </c>
      <c r="I2064" s="9" t="b">
        <v>1</v>
      </c>
    </row>
    <row r="2065" ht="15.75" customHeight="1">
      <c r="A2065" s="9" t="s">
        <v>46209</v>
      </c>
      <c r="B2065" s="9" t="s">
        <v>131</v>
      </c>
      <c r="C2065" s="9" t="s">
        <v>41585</v>
      </c>
      <c r="D2065" s="9" t="s">
        <v>42560</v>
      </c>
      <c r="E2065" s="61">
        <v>45439.0</v>
      </c>
      <c r="F2065" s="9" t="b">
        <v>1</v>
      </c>
      <c r="G2065" s="9" t="s">
        <v>38801</v>
      </c>
      <c r="H2065" s="9" t="s">
        <v>42576</v>
      </c>
      <c r="I2065" s="9" t="b">
        <v>1</v>
      </c>
    </row>
    <row r="2066" ht="15.75" customHeight="1">
      <c r="A2066" s="9" t="s">
        <v>46210</v>
      </c>
      <c r="B2066" s="9" t="s">
        <v>131</v>
      </c>
      <c r="C2066" s="9" t="s">
        <v>41587</v>
      </c>
      <c r="D2066" s="9" t="s">
        <v>42560</v>
      </c>
      <c r="E2066" s="61">
        <v>45439.0</v>
      </c>
      <c r="F2066" s="9" t="b">
        <v>1</v>
      </c>
      <c r="G2066" s="9" t="s">
        <v>38801</v>
      </c>
      <c r="H2066" s="9" t="s">
        <v>42576</v>
      </c>
      <c r="I2066" s="9" t="b">
        <v>1</v>
      </c>
    </row>
    <row r="2067" ht="15.75" customHeight="1">
      <c r="A2067" s="9" t="s">
        <v>46211</v>
      </c>
      <c r="B2067" s="9" t="s">
        <v>131</v>
      </c>
      <c r="C2067" s="9" t="s">
        <v>41589</v>
      </c>
      <c r="D2067" s="9" t="s">
        <v>42560</v>
      </c>
      <c r="E2067" s="61">
        <v>45439.0</v>
      </c>
      <c r="F2067" s="9" t="b">
        <v>1</v>
      </c>
      <c r="G2067" s="9" t="s">
        <v>38801</v>
      </c>
      <c r="H2067" s="9" t="s">
        <v>42576</v>
      </c>
      <c r="I2067" s="9" t="b">
        <v>1</v>
      </c>
    </row>
    <row r="2068" ht="15.75" customHeight="1">
      <c r="A2068" s="9" t="s">
        <v>46212</v>
      </c>
      <c r="B2068" s="9" t="s">
        <v>131</v>
      </c>
      <c r="C2068" s="9" t="s">
        <v>41590</v>
      </c>
      <c r="D2068" s="9" t="s">
        <v>42560</v>
      </c>
      <c r="E2068" s="61">
        <v>45439.0</v>
      </c>
      <c r="F2068" s="9" t="b">
        <v>1</v>
      </c>
      <c r="G2068" s="9" t="s">
        <v>38801</v>
      </c>
      <c r="H2068" s="9" t="s">
        <v>42576</v>
      </c>
      <c r="I2068" s="9" t="b">
        <v>1</v>
      </c>
    </row>
    <row r="2069" ht="15.75" customHeight="1">
      <c r="A2069" s="9" t="s">
        <v>46213</v>
      </c>
      <c r="B2069" s="9" t="s">
        <v>131</v>
      </c>
      <c r="C2069" s="9" t="s">
        <v>41591</v>
      </c>
      <c r="D2069" s="9" t="s">
        <v>42560</v>
      </c>
      <c r="E2069" s="61">
        <v>45439.0</v>
      </c>
      <c r="F2069" s="9" t="b">
        <v>1</v>
      </c>
      <c r="G2069" s="9" t="s">
        <v>38801</v>
      </c>
      <c r="H2069" s="9" t="s">
        <v>42576</v>
      </c>
      <c r="I2069" s="9" t="b">
        <v>1</v>
      </c>
    </row>
    <row r="2070" ht="15.75" customHeight="1">
      <c r="A2070" s="9" t="s">
        <v>46214</v>
      </c>
      <c r="B2070" s="9" t="s">
        <v>131</v>
      </c>
      <c r="C2070" s="9" t="s">
        <v>41592</v>
      </c>
      <c r="D2070" s="9" t="s">
        <v>42560</v>
      </c>
      <c r="E2070" s="61">
        <v>45439.0</v>
      </c>
      <c r="F2070" s="9" t="b">
        <v>1</v>
      </c>
      <c r="G2070" s="9" t="s">
        <v>38801</v>
      </c>
      <c r="H2070" s="9" t="s">
        <v>42576</v>
      </c>
      <c r="I2070" s="9" t="b">
        <v>1</v>
      </c>
    </row>
    <row r="2071" ht="15.75" customHeight="1">
      <c r="A2071" s="9" t="s">
        <v>46215</v>
      </c>
      <c r="B2071" s="9" t="s">
        <v>131</v>
      </c>
      <c r="C2071" s="9" t="s">
        <v>41593</v>
      </c>
      <c r="D2071" s="9" t="s">
        <v>42560</v>
      </c>
      <c r="E2071" s="61">
        <v>45439.0</v>
      </c>
      <c r="F2071" s="9" t="b">
        <v>1</v>
      </c>
      <c r="G2071" s="9" t="s">
        <v>38801</v>
      </c>
      <c r="H2071" s="9" t="s">
        <v>42576</v>
      </c>
      <c r="I2071" s="9" t="b">
        <v>1</v>
      </c>
    </row>
    <row r="2072" ht="15.75" customHeight="1">
      <c r="A2072" s="9" t="s">
        <v>46216</v>
      </c>
      <c r="B2072" s="9" t="s">
        <v>131</v>
      </c>
      <c r="C2072" s="9" t="s">
        <v>41594</v>
      </c>
      <c r="D2072" s="9" t="s">
        <v>42560</v>
      </c>
      <c r="E2072" s="61">
        <v>45439.0</v>
      </c>
      <c r="F2072" s="9" t="b">
        <v>1</v>
      </c>
      <c r="G2072" s="9" t="s">
        <v>38801</v>
      </c>
      <c r="H2072" s="9" t="s">
        <v>42576</v>
      </c>
      <c r="I2072" s="9" t="b">
        <v>1</v>
      </c>
    </row>
    <row r="2073" ht="15.75" customHeight="1">
      <c r="A2073" s="9" t="s">
        <v>46217</v>
      </c>
      <c r="B2073" s="9" t="s">
        <v>131</v>
      </c>
      <c r="C2073" s="9" t="s">
        <v>41596</v>
      </c>
      <c r="D2073" s="9" t="s">
        <v>42560</v>
      </c>
      <c r="E2073" s="61">
        <v>45439.0</v>
      </c>
      <c r="F2073" s="9" t="b">
        <v>1</v>
      </c>
      <c r="G2073" s="9" t="s">
        <v>38801</v>
      </c>
      <c r="H2073" s="9" t="s">
        <v>42576</v>
      </c>
      <c r="I2073" s="9" t="b">
        <v>1</v>
      </c>
    </row>
    <row r="2074" ht="15.75" customHeight="1">
      <c r="A2074" s="52" t="s">
        <v>46218</v>
      </c>
      <c r="B2074" s="9" t="s">
        <v>131</v>
      </c>
      <c r="C2074" s="9" t="s">
        <v>41597</v>
      </c>
      <c r="D2074" s="9" t="s">
        <v>42560</v>
      </c>
      <c r="E2074" s="61">
        <v>45439.0</v>
      </c>
      <c r="F2074" s="9" t="b">
        <v>1</v>
      </c>
      <c r="G2074" s="9" t="s">
        <v>38801</v>
      </c>
      <c r="H2074" s="9" t="s">
        <v>42576</v>
      </c>
      <c r="I2074" s="9" t="b">
        <v>1</v>
      </c>
    </row>
    <row r="2075" ht="15.75" customHeight="1">
      <c r="A2075" s="9" t="s">
        <v>46219</v>
      </c>
      <c r="B2075" s="9" t="s">
        <v>131</v>
      </c>
      <c r="C2075" s="9" t="s">
        <v>41598</v>
      </c>
      <c r="D2075" s="9" t="s">
        <v>46220</v>
      </c>
      <c r="E2075" s="61">
        <v>45441.0</v>
      </c>
      <c r="F2075" s="9" t="b">
        <v>1</v>
      </c>
      <c r="G2075" s="9" t="s">
        <v>38801</v>
      </c>
      <c r="H2075" s="9" t="s">
        <v>42576</v>
      </c>
      <c r="I2075" s="9" t="b">
        <v>1</v>
      </c>
    </row>
    <row r="2076" ht="15.75" customHeight="1">
      <c r="A2076" s="9" t="s">
        <v>46221</v>
      </c>
      <c r="B2076" s="9" t="s">
        <v>47</v>
      </c>
      <c r="C2076" s="9" t="s">
        <v>41600</v>
      </c>
      <c r="D2076" s="9" t="s">
        <v>46222</v>
      </c>
      <c r="E2076" s="61">
        <v>45442.0</v>
      </c>
      <c r="F2076" s="9" t="b">
        <v>1</v>
      </c>
      <c r="G2076" s="9" t="s">
        <v>42573</v>
      </c>
      <c r="H2076" s="9" t="s">
        <v>42576</v>
      </c>
      <c r="I2076" s="9"/>
    </row>
    <row r="2077" ht="15.75" customHeight="1">
      <c r="A2077" s="9" t="s">
        <v>46223</v>
      </c>
      <c r="B2077" s="9" t="s">
        <v>131</v>
      </c>
      <c r="C2077" s="9" t="s">
        <v>41602</v>
      </c>
      <c r="D2077" s="9" t="s">
        <v>46224</v>
      </c>
      <c r="E2077" s="61">
        <v>45442.0</v>
      </c>
      <c r="F2077" s="9" t="b">
        <v>1</v>
      </c>
      <c r="G2077" s="9" t="s">
        <v>38801</v>
      </c>
      <c r="H2077" s="9" t="s">
        <v>42576</v>
      </c>
      <c r="I2077" s="9" t="b">
        <v>1</v>
      </c>
    </row>
    <row r="2078" ht="15.75" customHeight="1">
      <c r="A2078" s="9" t="s">
        <v>46225</v>
      </c>
      <c r="B2078" s="9" t="s">
        <v>47</v>
      </c>
      <c r="C2078" s="9" t="s">
        <v>41606</v>
      </c>
      <c r="D2078" s="9" t="s">
        <v>46226</v>
      </c>
      <c r="E2078" s="61">
        <v>45446.0</v>
      </c>
      <c r="F2078" s="9" t="b">
        <v>1</v>
      </c>
      <c r="G2078" s="9" t="s">
        <v>43228</v>
      </c>
      <c r="H2078" s="9" t="s">
        <v>42560</v>
      </c>
      <c r="I2078" s="9"/>
    </row>
    <row r="2079" ht="15.75" customHeight="1">
      <c r="A2079" s="9" t="s">
        <v>46227</v>
      </c>
      <c r="B2079" s="9" t="s">
        <v>47</v>
      </c>
      <c r="C2079" s="9" t="s">
        <v>41609</v>
      </c>
      <c r="D2079" s="9" t="s">
        <v>46228</v>
      </c>
      <c r="E2079" s="61">
        <v>45448.0</v>
      </c>
      <c r="F2079" s="9" t="b">
        <v>1</v>
      </c>
      <c r="G2079" s="9" t="s">
        <v>38801</v>
      </c>
      <c r="H2079" s="9" t="s">
        <v>42576</v>
      </c>
      <c r="I2079" s="9" t="b">
        <v>1</v>
      </c>
    </row>
    <row r="2080" ht="15.75" customHeight="1">
      <c r="A2080" s="9" t="s">
        <v>46229</v>
      </c>
      <c r="B2080" s="9" t="s">
        <v>131</v>
      </c>
      <c r="C2080" s="9" t="s">
        <v>41611</v>
      </c>
      <c r="D2080" s="9" t="s">
        <v>44195</v>
      </c>
      <c r="E2080" s="61">
        <v>45448.0</v>
      </c>
      <c r="F2080" s="9" t="b">
        <v>1</v>
      </c>
      <c r="G2080" s="9" t="s">
        <v>38801</v>
      </c>
      <c r="H2080" s="9" t="s">
        <v>42576</v>
      </c>
      <c r="I2080" s="9" t="b">
        <v>1</v>
      </c>
    </row>
    <row r="2081" ht="15.75" customHeight="1">
      <c r="A2081" s="9" t="s">
        <v>46230</v>
      </c>
      <c r="B2081" s="9" t="s">
        <v>131</v>
      </c>
      <c r="C2081" s="9" t="s">
        <v>41618</v>
      </c>
      <c r="D2081" s="9" t="s">
        <v>42560</v>
      </c>
      <c r="E2081" s="61">
        <v>45448.0</v>
      </c>
      <c r="F2081" s="9" t="b">
        <v>1</v>
      </c>
      <c r="G2081" s="9" t="s">
        <v>38801</v>
      </c>
      <c r="H2081" s="9" t="s">
        <v>42560</v>
      </c>
      <c r="I2081" s="9" t="b">
        <v>1</v>
      </c>
    </row>
    <row r="2082" ht="15.75" customHeight="1">
      <c r="A2082" s="9" t="s">
        <v>46231</v>
      </c>
      <c r="B2082" s="9" t="s">
        <v>131</v>
      </c>
      <c r="C2082" s="9" t="s">
        <v>41615</v>
      </c>
      <c r="D2082" s="9" t="s">
        <v>42560</v>
      </c>
      <c r="E2082" s="61">
        <v>45448.0</v>
      </c>
      <c r="F2082" s="9" t="b">
        <v>1</v>
      </c>
      <c r="G2082" s="9" t="s">
        <v>38801</v>
      </c>
      <c r="H2082" s="9" t="s">
        <v>42560</v>
      </c>
      <c r="I2082" s="9" t="b">
        <v>1</v>
      </c>
    </row>
    <row r="2083" ht="15.75" customHeight="1">
      <c r="A2083" s="9" t="s">
        <v>46232</v>
      </c>
      <c r="B2083" s="9" t="s">
        <v>131</v>
      </c>
      <c r="C2083" s="9" t="s">
        <v>41619</v>
      </c>
      <c r="D2083" s="9" t="s">
        <v>42560</v>
      </c>
      <c r="E2083" s="61">
        <v>45448.0</v>
      </c>
      <c r="F2083" s="9" t="b">
        <v>1</v>
      </c>
      <c r="G2083" s="9" t="s">
        <v>38801</v>
      </c>
      <c r="H2083" s="9" t="s">
        <v>42560</v>
      </c>
      <c r="I2083" s="9" t="b">
        <v>1</v>
      </c>
    </row>
    <row r="2084" ht="15.75" customHeight="1">
      <c r="A2084" s="9" t="s">
        <v>46233</v>
      </c>
      <c r="B2084" s="9" t="s">
        <v>131</v>
      </c>
      <c r="C2084" s="9" t="s">
        <v>41620</v>
      </c>
      <c r="D2084" s="9" t="s">
        <v>42560</v>
      </c>
      <c r="E2084" s="61">
        <v>45448.0</v>
      </c>
      <c r="F2084" s="9" t="b">
        <v>1</v>
      </c>
      <c r="G2084" s="9" t="s">
        <v>38801</v>
      </c>
      <c r="H2084" s="9" t="s">
        <v>42560</v>
      </c>
      <c r="I2084" s="9" t="b">
        <v>1</v>
      </c>
    </row>
    <row r="2085" ht="15.75" customHeight="1">
      <c r="A2085" s="9" t="s">
        <v>46234</v>
      </c>
      <c r="B2085" s="9" t="s">
        <v>131</v>
      </c>
      <c r="C2085" s="9" t="s">
        <v>41622</v>
      </c>
      <c r="D2085" s="9" t="s">
        <v>42560</v>
      </c>
      <c r="E2085" s="61">
        <v>45448.0</v>
      </c>
      <c r="F2085" s="9" t="b">
        <v>1</v>
      </c>
      <c r="G2085" s="9" t="s">
        <v>38801</v>
      </c>
      <c r="H2085" s="9" t="s">
        <v>42560</v>
      </c>
      <c r="I2085" s="9" t="b">
        <v>1</v>
      </c>
    </row>
    <row r="2086" ht="15.75" customHeight="1">
      <c r="A2086" s="9" t="s">
        <v>46235</v>
      </c>
      <c r="B2086" s="9" t="s">
        <v>131</v>
      </c>
      <c r="C2086" s="9" t="s">
        <v>41623</v>
      </c>
      <c r="D2086" s="9" t="s">
        <v>42560</v>
      </c>
      <c r="E2086" s="61">
        <v>45448.0</v>
      </c>
      <c r="F2086" s="9" t="b">
        <v>1</v>
      </c>
      <c r="G2086" s="9" t="s">
        <v>38801</v>
      </c>
      <c r="H2086" s="9" t="s">
        <v>42560</v>
      </c>
      <c r="I2086" s="9" t="b">
        <v>1</v>
      </c>
    </row>
    <row r="2087" ht="15.75" customHeight="1">
      <c r="A2087" s="9" t="s">
        <v>46236</v>
      </c>
      <c r="B2087" s="9" t="s">
        <v>131</v>
      </c>
      <c r="C2087" s="9" t="s">
        <v>41624</v>
      </c>
      <c r="D2087" s="9" t="s">
        <v>42560</v>
      </c>
      <c r="E2087" s="61">
        <v>45448.0</v>
      </c>
      <c r="F2087" s="9" t="b">
        <v>1</v>
      </c>
      <c r="G2087" s="9" t="s">
        <v>38801</v>
      </c>
      <c r="H2087" s="9" t="s">
        <v>42560</v>
      </c>
      <c r="I2087" s="9" t="b">
        <v>1</v>
      </c>
    </row>
    <row r="2088" ht="15.75" customHeight="1">
      <c r="A2088" s="9" t="s">
        <v>46237</v>
      </c>
      <c r="B2088" s="9" t="s">
        <v>131</v>
      </c>
      <c r="C2088" s="9" t="s">
        <v>41625</v>
      </c>
      <c r="D2088" s="9" t="s">
        <v>42560</v>
      </c>
      <c r="E2088" s="61">
        <v>45448.0</v>
      </c>
      <c r="F2088" s="9" t="b">
        <v>1</v>
      </c>
      <c r="G2088" s="9" t="s">
        <v>38801</v>
      </c>
      <c r="H2088" s="9" t="s">
        <v>42560</v>
      </c>
      <c r="I2088" s="9" t="b">
        <v>1</v>
      </c>
    </row>
    <row r="2089" ht="15.75" customHeight="1">
      <c r="A2089" s="9" t="s">
        <v>46238</v>
      </c>
      <c r="B2089" s="9" t="s">
        <v>47</v>
      </c>
      <c r="C2089" s="9" t="s">
        <v>41439</v>
      </c>
      <c r="D2089" s="9" t="s">
        <v>46239</v>
      </c>
      <c r="E2089" s="61">
        <v>45448.0</v>
      </c>
      <c r="F2089" s="9" t="b">
        <v>1</v>
      </c>
      <c r="G2089" s="9" t="s">
        <v>38801</v>
      </c>
      <c r="H2089" s="9" t="s">
        <v>42576</v>
      </c>
      <c r="I2089" s="9" t="b">
        <v>1</v>
      </c>
    </row>
    <row r="2090" ht="15.75" customHeight="1">
      <c r="A2090" s="9" t="s">
        <v>46240</v>
      </c>
      <c r="B2090" s="9" t="s">
        <v>131</v>
      </c>
      <c r="C2090" s="9" t="s">
        <v>41624</v>
      </c>
      <c r="D2090" s="9" t="s">
        <v>46241</v>
      </c>
      <c r="E2090" s="61">
        <v>45448.0</v>
      </c>
      <c r="F2090" s="9" t="b">
        <v>1</v>
      </c>
      <c r="G2090" s="9" t="s">
        <v>38801</v>
      </c>
      <c r="H2090" s="9" t="s">
        <v>42560</v>
      </c>
      <c r="I2090" s="9" t="b">
        <v>1</v>
      </c>
    </row>
    <row r="2091" ht="15.75" customHeight="1">
      <c r="A2091" s="9" t="s">
        <v>46242</v>
      </c>
      <c r="B2091" s="9" t="s">
        <v>131</v>
      </c>
      <c r="C2091" s="9" t="s">
        <v>41625</v>
      </c>
      <c r="D2091" s="9" t="s">
        <v>46241</v>
      </c>
      <c r="E2091" s="61">
        <v>45448.0</v>
      </c>
      <c r="F2091" s="9" t="b">
        <v>1</v>
      </c>
      <c r="G2091" s="9" t="s">
        <v>38801</v>
      </c>
      <c r="H2091" s="9" t="s">
        <v>42560</v>
      </c>
      <c r="I2091" s="9" t="b">
        <v>1</v>
      </c>
    </row>
    <row r="2092" ht="15.75" customHeight="1">
      <c r="A2092" s="9" t="s">
        <v>46243</v>
      </c>
      <c r="B2092" s="9" t="s">
        <v>131</v>
      </c>
      <c r="C2092" s="9" t="s">
        <v>41628</v>
      </c>
      <c r="D2092" s="9" t="s">
        <v>42560</v>
      </c>
      <c r="E2092" s="61">
        <v>45448.0</v>
      </c>
      <c r="F2092" s="9" t="b">
        <v>1</v>
      </c>
      <c r="G2092" s="9" t="s">
        <v>38801</v>
      </c>
      <c r="H2092" s="9" t="s">
        <v>42560</v>
      </c>
      <c r="I2092" s="9" t="b">
        <v>1</v>
      </c>
    </row>
    <row r="2093" ht="15.75" customHeight="1">
      <c r="A2093" s="9" t="s">
        <v>46244</v>
      </c>
      <c r="B2093" s="9" t="s">
        <v>131</v>
      </c>
      <c r="C2093" s="9" t="s">
        <v>41629</v>
      </c>
      <c r="D2093" s="9" t="s">
        <v>46245</v>
      </c>
      <c r="E2093" s="61">
        <v>45448.0</v>
      </c>
      <c r="F2093" s="9" t="b">
        <v>1</v>
      </c>
      <c r="G2093" s="9" t="s">
        <v>38801</v>
      </c>
      <c r="H2093" s="9" t="s">
        <v>42560</v>
      </c>
      <c r="I2093" s="9" t="b">
        <v>1</v>
      </c>
    </row>
    <row r="2094" ht="15.75" customHeight="1">
      <c r="A2094" s="9" t="s">
        <v>46246</v>
      </c>
      <c r="B2094" s="9" t="s">
        <v>131</v>
      </c>
      <c r="C2094" s="9" t="s">
        <v>41630</v>
      </c>
      <c r="D2094" s="9" t="s">
        <v>42560</v>
      </c>
      <c r="E2094" s="61">
        <v>45448.0</v>
      </c>
      <c r="F2094" s="9" t="b">
        <v>1</v>
      </c>
      <c r="G2094" s="9" t="s">
        <v>38801</v>
      </c>
      <c r="H2094" s="9" t="s">
        <v>42560</v>
      </c>
      <c r="I2094" s="9" t="b">
        <v>1</v>
      </c>
    </row>
    <row r="2095" ht="15.75" customHeight="1">
      <c r="A2095" s="9" t="s">
        <v>46247</v>
      </c>
      <c r="B2095" s="9" t="s">
        <v>131</v>
      </c>
      <c r="C2095" s="9" t="s">
        <v>41632</v>
      </c>
      <c r="D2095" s="9" t="s">
        <v>42560</v>
      </c>
      <c r="E2095" s="61">
        <v>45448.0</v>
      </c>
      <c r="F2095" s="9" t="b">
        <v>1</v>
      </c>
      <c r="G2095" s="9" t="s">
        <v>38801</v>
      </c>
      <c r="H2095" s="9" t="s">
        <v>42560</v>
      </c>
      <c r="I2095" s="9" t="b">
        <v>1</v>
      </c>
    </row>
    <row r="2096" ht="15.75" customHeight="1">
      <c r="A2096" s="9" t="s">
        <v>46248</v>
      </c>
      <c r="B2096" s="9" t="s">
        <v>131</v>
      </c>
      <c r="C2096" s="9" t="s">
        <v>41617</v>
      </c>
      <c r="D2096" s="9" t="s">
        <v>42560</v>
      </c>
      <c r="E2096" s="61">
        <v>45448.0</v>
      </c>
      <c r="F2096" s="9" t="b">
        <v>1</v>
      </c>
      <c r="G2096" s="9" t="s">
        <v>38801</v>
      </c>
      <c r="H2096" s="9" t="s">
        <v>42560</v>
      </c>
      <c r="I2096" s="9" t="b">
        <v>1</v>
      </c>
    </row>
    <row r="2097" ht="15.75" customHeight="1">
      <c r="A2097" s="9" t="s">
        <v>46249</v>
      </c>
      <c r="B2097" s="9" t="s">
        <v>131</v>
      </c>
      <c r="C2097" s="9" t="s">
        <v>41626</v>
      </c>
      <c r="D2097" s="9" t="s">
        <v>46245</v>
      </c>
      <c r="E2097" s="61">
        <v>45448.0</v>
      </c>
      <c r="F2097" s="9" t="b">
        <v>1</v>
      </c>
      <c r="G2097" s="9" t="s">
        <v>38801</v>
      </c>
      <c r="H2097" s="9" t="s">
        <v>42560</v>
      </c>
      <c r="I2097" s="9" t="b">
        <v>1</v>
      </c>
    </row>
    <row r="2098" ht="15.75" customHeight="1">
      <c r="A2098" s="9" t="s">
        <v>46250</v>
      </c>
      <c r="B2098" s="9" t="s">
        <v>47</v>
      </c>
      <c r="C2098" s="9" t="s">
        <v>41639</v>
      </c>
      <c r="D2098" s="9" t="s">
        <v>46251</v>
      </c>
      <c r="E2098" s="61">
        <v>45453.0</v>
      </c>
      <c r="F2098" s="9" t="b">
        <v>1</v>
      </c>
      <c r="G2098" s="9" t="s">
        <v>38801</v>
      </c>
      <c r="H2098" s="9" t="s">
        <v>42576</v>
      </c>
      <c r="I2098" s="9" t="b">
        <v>1</v>
      </c>
    </row>
    <row r="2099" ht="15.75" customHeight="1">
      <c r="A2099" s="9" t="s">
        <v>46252</v>
      </c>
      <c r="B2099" s="9" t="s">
        <v>131</v>
      </c>
      <c r="C2099" s="9" t="s">
        <v>41635</v>
      </c>
      <c r="D2099" s="9" t="s">
        <v>42560</v>
      </c>
      <c r="E2099" s="61">
        <v>45453.0</v>
      </c>
      <c r="F2099" s="9" t="b">
        <v>1</v>
      </c>
      <c r="G2099" s="9" t="s">
        <v>38801</v>
      </c>
      <c r="H2099" s="9" t="s">
        <v>42576</v>
      </c>
      <c r="I2099" s="9" t="b">
        <v>1</v>
      </c>
    </row>
    <row r="2100" ht="15.75" customHeight="1">
      <c r="A2100" s="9" t="s">
        <v>46253</v>
      </c>
      <c r="B2100" s="9" t="s">
        <v>131</v>
      </c>
      <c r="C2100" s="9" t="s">
        <v>41641</v>
      </c>
      <c r="D2100" s="9" t="s">
        <v>46254</v>
      </c>
      <c r="E2100" s="61">
        <v>45453.0</v>
      </c>
      <c r="F2100" s="9" t="b">
        <v>1</v>
      </c>
      <c r="G2100" s="9" t="s">
        <v>38801</v>
      </c>
      <c r="H2100" s="9" t="s">
        <v>38800</v>
      </c>
      <c r="I2100" s="9" t="b">
        <v>1</v>
      </c>
    </row>
    <row r="2101" ht="15.75" customHeight="1">
      <c r="A2101" s="9" t="s">
        <v>46255</v>
      </c>
      <c r="B2101" s="9" t="s">
        <v>131</v>
      </c>
      <c r="C2101" s="9" t="s">
        <v>41643</v>
      </c>
      <c r="D2101" s="9" t="s">
        <v>42560</v>
      </c>
      <c r="E2101" s="61">
        <v>45453.0</v>
      </c>
      <c r="F2101" s="9" t="b">
        <v>1</v>
      </c>
      <c r="G2101" s="9" t="s">
        <v>38801</v>
      </c>
      <c r="H2101" s="9" t="s">
        <v>42576</v>
      </c>
      <c r="I2101" s="9" t="b">
        <v>1</v>
      </c>
    </row>
    <row r="2102" ht="15.75" customHeight="1">
      <c r="A2102" s="9" t="s">
        <v>46256</v>
      </c>
      <c r="B2102" s="9" t="s">
        <v>131</v>
      </c>
      <c r="C2102" s="9" t="s">
        <v>41645</v>
      </c>
      <c r="D2102" s="9" t="s">
        <v>42560</v>
      </c>
      <c r="E2102" s="61">
        <v>45453.0</v>
      </c>
      <c r="F2102" s="9" t="b">
        <v>1</v>
      </c>
      <c r="G2102" s="9" t="s">
        <v>38801</v>
      </c>
      <c r="H2102" s="9" t="s">
        <v>42576</v>
      </c>
      <c r="I2102" s="9" t="b">
        <v>1</v>
      </c>
    </row>
    <row r="2103" ht="15.75" customHeight="1">
      <c r="A2103" s="9" t="s">
        <v>46257</v>
      </c>
      <c r="B2103" s="9" t="s">
        <v>131</v>
      </c>
      <c r="C2103" s="9" t="s">
        <v>41646</v>
      </c>
      <c r="D2103" s="9" t="s">
        <v>42560</v>
      </c>
      <c r="E2103" s="61">
        <v>45453.0</v>
      </c>
      <c r="F2103" s="9" t="b">
        <v>1</v>
      </c>
      <c r="G2103" s="9" t="s">
        <v>38801</v>
      </c>
      <c r="H2103" s="9" t="s">
        <v>42576</v>
      </c>
      <c r="I2103" s="9" t="b">
        <v>1</v>
      </c>
    </row>
    <row r="2104" ht="15.75" customHeight="1">
      <c r="A2104" s="9" t="s">
        <v>46258</v>
      </c>
      <c r="B2104" s="9" t="s">
        <v>131</v>
      </c>
      <c r="C2104" s="9" t="s">
        <v>41648</v>
      </c>
      <c r="D2104" s="9" t="s">
        <v>42560</v>
      </c>
      <c r="E2104" s="61">
        <v>45453.0</v>
      </c>
      <c r="F2104" s="9" t="b">
        <v>1</v>
      </c>
      <c r="G2104" s="9" t="s">
        <v>38801</v>
      </c>
      <c r="H2104" s="9" t="s">
        <v>42576</v>
      </c>
      <c r="I2104" s="9" t="b">
        <v>1</v>
      </c>
    </row>
    <row r="2105" ht="15.75" customHeight="1">
      <c r="A2105" s="9" t="s">
        <v>46259</v>
      </c>
      <c r="B2105" s="9" t="s">
        <v>131</v>
      </c>
      <c r="C2105" s="9" t="s">
        <v>41650</v>
      </c>
      <c r="D2105" s="9" t="s">
        <v>42560</v>
      </c>
      <c r="E2105" s="61">
        <v>45453.0</v>
      </c>
      <c r="F2105" s="9" t="b">
        <v>1</v>
      </c>
      <c r="G2105" s="9" t="s">
        <v>38801</v>
      </c>
      <c r="H2105" s="9" t="s">
        <v>42576</v>
      </c>
      <c r="I2105" s="9" t="b">
        <v>1</v>
      </c>
    </row>
    <row r="2106" ht="15.75" customHeight="1">
      <c r="A2106" s="9" t="s">
        <v>46260</v>
      </c>
      <c r="B2106" s="9" t="s">
        <v>131</v>
      </c>
      <c r="C2106" s="9" t="s">
        <v>41652</v>
      </c>
      <c r="D2106" s="9" t="s">
        <v>42560</v>
      </c>
      <c r="E2106" s="61">
        <v>45453.0</v>
      </c>
      <c r="F2106" s="9" t="b">
        <v>1</v>
      </c>
      <c r="G2106" s="9" t="s">
        <v>38801</v>
      </c>
      <c r="H2106" s="9" t="s">
        <v>42576</v>
      </c>
      <c r="I2106" s="9" t="b">
        <v>1</v>
      </c>
    </row>
    <row r="2107" ht="15.75" customHeight="1">
      <c r="A2107" s="9" t="s">
        <v>46261</v>
      </c>
      <c r="B2107" s="9" t="s">
        <v>131</v>
      </c>
      <c r="C2107" s="9" t="s">
        <v>41653</v>
      </c>
      <c r="D2107" s="9" t="s">
        <v>42560</v>
      </c>
      <c r="E2107" s="61">
        <v>45453.0</v>
      </c>
      <c r="F2107" s="9" t="b">
        <v>1</v>
      </c>
      <c r="G2107" s="9" t="s">
        <v>38801</v>
      </c>
      <c r="H2107" s="9" t="s">
        <v>42576</v>
      </c>
      <c r="I2107" s="9" t="b">
        <v>1</v>
      </c>
    </row>
    <row r="2108" ht="15.75" customHeight="1">
      <c r="A2108" s="9" t="s">
        <v>46262</v>
      </c>
      <c r="B2108" s="9" t="s">
        <v>131</v>
      </c>
      <c r="C2108" s="9" t="s">
        <v>41655</v>
      </c>
      <c r="D2108" s="9" t="s">
        <v>42560</v>
      </c>
      <c r="E2108" s="61">
        <v>45453.0</v>
      </c>
      <c r="F2108" s="9" t="b">
        <v>1</v>
      </c>
      <c r="G2108" s="9" t="s">
        <v>38801</v>
      </c>
      <c r="H2108" s="9" t="s">
        <v>42576</v>
      </c>
      <c r="I2108" s="9" t="b">
        <v>1</v>
      </c>
    </row>
    <row r="2109" ht="15.75" customHeight="1">
      <c r="A2109" s="9" t="s">
        <v>46263</v>
      </c>
      <c r="B2109" s="9" t="s">
        <v>131</v>
      </c>
      <c r="C2109" s="9" t="s">
        <v>41656</v>
      </c>
      <c r="D2109" s="9" t="s">
        <v>42560</v>
      </c>
      <c r="E2109" s="61">
        <v>45453.0</v>
      </c>
      <c r="F2109" s="9" t="b">
        <v>1</v>
      </c>
      <c r="G2109" s="9" t="s">
        <v>38801</v>
      </c>
      <c r="H2109" s="9" t="s">
        <v>42576</v>
      </c>
      <c r="I2109" s="9" t="b">
        <v>1</v>
      </c>
    </row>
    <row r="2110" ht="15.75" customHeight="1">
      <c r="A2110" s="9" t="s">
        <v>46264</v>
      </c>
      <c r="B2110" s="9" t="s">
        <v>131</v>
      </c>
      <c r="C2110" s="9" t="s">
        <v>41657</v>
      </c>
      <c r="D2110" s="9" t="s">
        <v>42560</v>
      </c>
      <c r="E2110" s="61">
        <v>45453.0</v>
      </c>
      <c r="F2110" s="9" t="b">
        <v>1</v>
      </c>
      <c r="G2110" s="9" t="s">
        <v>38801</v>
      </c>
      <c r="H2110" s="9" t="s">
        <v>42576</v>
      </c>
      <c r="I2110" s="9" t="b">
        <v>1</v>
      </c>
    </row>
    <row r="2111" ht="15.75" customHeight="1">
      <c r="A2111" s="9" t="s">
        <v>46265</v>
      </c>
      <c r="B2111" s="9" t="s">
        <v>131</v>
      </c>
      <c r="C2111" s="9" t="s">
        <v>41658</v>
      </c>
      <c r="D2111" s="9" t="s">
        <v>42560</v>
      </c>
      <c r="E2111" s="61">
        <v>45453.0</v>
      </c>
      <c r="F2111" s="9" t="b">
        <v>1</v>
      </c>
      <c r="G2111" s="9" t="s">
        <v>38801</v>
      </c>
      <c r="H2111" s="9" t="s">
        <v>42576</v>
      </c>
      <c r="I2111" s="9" t="b">
        <v>1</v>
      </c>
    </row>
    <row r="2112" ht="15.75" customHeight="1">
      <c r="A2112" s="9" t="s">
        <v>46266</v>
      </c>
      <c r="B2112" s="9" t="s">
        <v>131</v>
      </c>
      <c r="C2112" s="9" t="s">
        <v>41660</v>
      </c>
      <c r="D2112" s="9" t="s">
        <v>42560</v>
      </c>
      <c r="E2112" s="61">
        <v>45453.0</v>
      </c>
      <c r="F2112" s="9" t="b">
        <v>1</v>
      </c>
      <c r="G2112" s="9" t="s">
        <v>38801</v>
      </c>
      <c r="H2112" s="9" t="s">
        <v>42576</v>
      </c>
      <c r="I2112" s="9" t="b">
        <v>1</v>
      </c>
    </row>
    <row r="2113" ht="15.75" customHeight="1">
      <c r="A2113" s="9" t="s">
        <v>46267</v>
      </c>
      <c r="B2113" s="9" t="s">
        <v>131</v>
      </c>
      <c r="C2113" s="9" t="s">
        <v>41662</v>
      </c>
      <c r="D2113" s="9" t="s">
        <v>42560</v>
      </c>
      <c r="E2113" s="61">
        <v>45453.0</v>
      </c>
      <c r="F2113" s="9" t="b">
        <v>1</v>
      </c>
      <c r="G2113" s="9" t="s">
        <v>38801</v>
      </c>
      <c r="H2113" s="9" t="s">
        <v>42576</v>
      </c>
      <c r="I2113" s="9" t="b">
        <v>1</v>
      </c>
    </row>
    <row r="2114" ht="15.75" customHeight="1">
      <c r="A2114" s="9" t="s">
        <v>46268</v>
      </c>
      <c r="B2114" s="9" t="s">
        <v>131</v>
      </c>
      <c r="C2114" s="9" t="s">
        <v>41663</v>
      </c>
      <c r="D2114" s="9" t="s">
        <v>42560</v>
      </c>
      <c r="E2114" s="61">
        <v>45453.0</v>
      </c>
      <c r="F2114" s="9" t="b">
        <v>1</v>
      </c>
      <c r="G2114" s="9" t="s">
        <v>38801</v>
      </c>
      <c r="H2114" s="9" t="s">
        <v>42576</v>
      </c>
      <c r="I2114" s="9" t="b">
        <v>1</v>
      </c>
    </row>
    <row r="2115" ht="15.75" customHeight="1">
      <c r="A2115" s="52" t="s">
        <v>46269</v>
      </c>
      <c r="B2115" s="9" t="s">
        <v>131</v>
      </c>
      <c r="C2115" s="9" t="s">
        <v>41665</v>
      </c>
      <c r="D2115" s="9" t="s">
        <v>42560</v>
      </c>
      <c r="E2115" s="61">
        <v>45453.0</v>
      </c>
      <c r="F2115" s="9" t="b">
        <v>1</v>
      </c>
      <c r="G2115" s="9" t="s">
        <v>38801</v>
      </c>
      <c r="H2115" s="9" t="s">
        <v>42576</v>
      </c>
      <c r="I2115" s="9" t="b">
        <v>1</v>
      </c>
    </row>
    <row r="2116" ht="15.75" customHeight="1">
      <c r="A2116" s="9" t="s">
        <v>46270</v>
      </c>
      <c r="B2116" s="9" t="s">
        <v>131</v>
      </c>
      <c r="C2116" s="9" t="s">
        <v>41666</v>
      </c>
      <c r="D2116" s="9" t="s">
        <v>42560</v>
      </c>
      <c r="E2116" s="61">
        <v>45453.0</v>
      </c>
      <c r="F2116" s="9" t="b">
        <v>1</v>
      </c>
      <c r="G2116" s="9" t="s">
        <v>38801</v>
      </c>
      <c r="H2116" s="9" t="s">
        <v>42576</v>
      </c>
      <c r="I2116" s="9" t="b">
        <v>1</v>
      </c>
    </row>
    <row r="2117" ht="15.75" customHeight="1">
      <c r="A2117" s="9" t="s">
        <v>46271</v>
      </c>
      <c r="B2117" s="9" t="s">
        <v>131</v>
      </c>
      <c r="C2117" s="9" t="s">
        <v>41668</v>
      </c>
      <c r="D2117" s="9" t="s">
        <v>42560</v>
      </c>
      <c r="E2117" s="61">
        <v>45453.0</v>
      </c>
      <c r="F2117" s="9" t="b">
        <v>1</v>
      </c>
      <c r="G2117" s="9" t="s">
        <v>38801</v>
      </c>
      <c r="H2117" s="9" t="s">
        <v>42576</v>
      </c>
      <c r="I2117" s="9" t="b">
        <v>1</v>
      </c>
    </row>
    <row r="2118" ht="15.75" customHeight="1">
      <c r="A2118" s="9" t="s">
        <v>46272</v>
      </c>
      <c r="B2118" s="9" t="s">
        <v>131</v>
      </c>
      <c r="C2118" s="9" t="s">
        <v>41670</v>
      </c>
      <c r="D2118" s="9" t="s">
        <v>42560</v>
      </c>
      <c r="E2118" s="61">
        <v>45453.0</v>
      </c>
      <c r="F2118" s="9" t="b">
        <v>1</v>
      </c>
      <c r="G2118" s="9" t="s">
        <v>38801</v>
      </c>
      <c r="H2118" s="9" t="s">
        <v>42576</v>
      </c>
      <c r="I2118" s="9" t="b">
        <v>1</v>
      </c>
    </row>
    <row r="2119" ht="15.75" customHeight="1">
      <c r="A2119" s="9" t="s">
        <v>46273</v>
      </c>
      <c r="B2119" s="9" t="s">
        <v>131</v>
      </c>
      <c r="C2119" s="9" t="s">
        <v>41673</v>
      </c>
      <c r="D2119" s="9" t="s">
        <v>42560</v>
      </c>
      <c r="E2119" s="61">
        <v>45454.0</v>
      </c>
      <c r="F2119" s="9" t="b">
        <v>1</v>
      </c>
      <c r="G2119" s="9" t="s">
        <v>38801</v>
      </c>
      <c r="H2119" s="9" t="s">
        <v>42576</v>
      </c>
      <c r="I2119" s="9" t="b">
        <v>1</v>
      </c>
    </row>
    <row r="2120" ht="15.75" customHeight="1">
      <c r="A2120" s="9" t="s">
        <v>46274</v>
      </c>
      <c r="B2120" s="9" t="s">
        <v>47</v>
      </c>
      <c r="C2120" s="9" t="s">
        <v>41675</v>
      </c>
      <c r="D2120" s="9" t="s">
        <v>43724</v>
      </c>
      <c r="E2120" s="61">
        <v>45454.0</v>
      </c>
      <c r="F2120" s="9" t="b">
        <v>1</v>
      </c>
      <c r="G2120" s="9" t="s">
        <v>38801</v>
      </c>
      <c r="H2120" s="9" t="s">
        <v>42576</v>
      </c>
      <c r="I2120" s="9" t="b">
        <v>1</v>
      </c>
    </row>
    <row r="2121" ht="15.75" customHeight="1">
      <c r="A2121" s="9" t="s">
        <v>46275</v>
      </c>
      <c r="B2121" s="9" t="s">
        <v>47</v>
      </c>
      <c r="C2121" s="9" t="s">
        <v>41676</v>
      </c>
      <c r="D2121" s="9" t="s">
        <v>45158</v>
      </c>
      <c r="E2121" s="61">
        <v>45454.0</v>
      </c>
      <c r="F2121" s="9" t="b">
        <v>1</v>
      </c>
      <c r="G2121" s="9" t="s">
        <v>38801</v>
      </c>
      <c r="H2121" s="9" t="s">
        <v>42576</v>
      </c>
      <c r="I2121" s="9" t="b">
        <v>1</v>
      </c>
    </row>
    <row r="2122" ht="15.75" customHeight="1">
      <c r="A2122" s="9" t="s">
        <v>46276</v>
      </c>
      <c r="B2122" s="9" t="s">
        <v>47</v>
      </c>
      <c r="C2122" s="9" t="s">
        <v>41678</v>
      </c>
      <c r="D2122" s="9" t="s">
        <v>43724</v>
      </c>
      <c r="E2122" s="61">
        <v>45454.0</v>
      </c>
      <c r="F2122" s="9" t="b">
        <v>1</v>
      </c>
      <c r="G2122" s="9" t="s">
        <v>38801</v>
      </c>
      <c r="H2122" s="9" t="s">
        <v>42576</v>
      </c>
      <c r="I2122" s="9" t="b">
        <v>1</v>
      </c>
    </row>
    <row r="2123" ht="15.75" customHeight="1">
      <c r="A2123" s="9" t="s">
        <v>46277</v>
      </c>
      <c r="B2123" s="9" t="s">
        <v>47</v>
      </c>
      <c r="C2123" s="9" t="s">
        <v>41604</v>
      </c>
      <c r="D2123" s="9" t="s">
        <v>46278</v>
      </c>
      <c r="E2123" s="61">
        <v>45457.0</v>
      </c>
      <c r="F2123" s="9" t="b">
        <v>1</v>
      </c>
      <c r="G2123" s="9" t="s">
        <v>42573</v>
      </c>
      <c r="H2123" s="9" t="s">
        <v>42560</v>
      </c>
      <c r="I2123" s="9"/>
    </row>
    <row r="2124" ht="15.75" customHeight="1">
      <c r="A2124" s="9" t="s">
        <v>46279</v>
      </c>
      <c r="B2124" s="9" t="s">
        <v>131</v>
      </c>
      <c r="C2124" s="9" t="s">
        <v>41680</v>
      </c>
      <c r="D2124" s="9" t="s">
        <v>42560</v>
      </c>
      <c r="E2124" s="61">
        <v>45457.0</v>
      </c>
      <c r="F2124" s="9" t="b">
        <v>1</v>
      </c>
      <c r="G2124" s="9" t="s">
        <v>38801</v>
      </c>
      <c r="H2124" s="9" t="s">
        <v>42576</v>
      </c>
      <c r="I2124" s="9" t="b">
        <v>1</v>
      </c>
    </row>
    <row r="2125" ht="15.75" customHeight="1">
      <c r="A2125" s="9" t="s">
        <v>46280</v>
      </c>
      <c r="B2125" s="9" t="s">
        <v>47</v>
      </c>
      <c r="C2125" s="52" t="s">
        <v>41685</v>
      </c>
      <c r="D2125" s="9" t="s">
        <v>46281</v>
      </c>
      <c r="E2125" s="61">
        <v>45460.0</v>
      </c>
      <c r="F2125" s="9" t="b">
        <v>1</v>
      </c>
      <c r="G2125" s="9" t="s">
        <v>38801</v>
      </c>
      <c r="H2125" s="9" t="s">
        <v>42576</v>
      </c>
      <c r="I2125" s="9" t="b">
        <v>1</v>
      </c>
    </row>
    <row r="2126" ht="15.75" customHeight="1">
      <c r="A2126" s="9" t="s">
        <v>46282</v>
      </c>
      <c r="B2126" s="9" t="s">
        <v>131</v>
      </c>
      <c r="C2126" s="9" t="s">
        <v>41681</v>
      </c>
      <c r="D2126" s="9" t="s">
        <v>42560</v>
      </c>
      <c r="E2126" s="61">
        <v>45460.0</v>
      </c>
      <c r="F2126" s="9" t="b">
        <v>1</v>
      </c>
      <c r="G2126" s="9" t="s">
        <v>38801</v>
      </c>
      <c r="H2126" s="9" t="s">
        <v>42576</v>
      </c>
      <c r="I2126" s="9" t="b">
        <v>1</v>
      </c>
    </row>
    <row r="2127" ht="15.75" customHeight="1">
      <c r="A2127" s="9" t="s">
        <v>46283</v>
      </c>
      <c r="B2127" s="9" t="s">
        <v>131</v>
      </c>
      <c r="C2127" s="9" t="s">
        <v>41604</v>
      </c>
      <c r="D2127" s="9" t="s">
        <v>46284</v>
      </c>
      <c r="E2127" s="61">
        <v>45460.0</v>
      </c>
      <c r="F2127" s="9" t="b">
        <v>1</v>
      </c>
      <c r="G2127" s="9" t="s">
        <v>38801</v>
      </c>
      <c r="H2127" s="9" t="s">
        <v>42576</v>
      </c>
      <c r="I2127" s="9" t="b">
        <v>1</v>
      </c>
    </row>
    <row r="2128" ht="15.75" customHeight="1">
      <c r="A2128" s="9" t="s">
        <v>46285</v>
      </c>
      <c r="B2128" s="9" t="s">
        <v>47</v>
      </c>
      <c r="C2128" s="9" t="s">
        <v>41687</v>
      </c>
      <c r="D2128" s="9" t="s">
        <v>46286</v>
      </c>
      <c r="E2128" s="61">
        <v>45460.0</v>
      </c>
      <c r="F2128" s="9" t="b">
        <v>1</v>
      </c>
      <c r="G2128" s="9" t="s">
        <v>38801</v>
      </c>
      <c r="H2128" s="9" t="s">
        <v>42576</v>
      </c>
      <c r="I2128" s="9" t="b">
        <v>1</v>
      </c>
    </row>
    <row r="2129" ht="15.75" customHeight="1">
      <c r="A2129" s="9" t="s">
        <v>46287</v>
      </c>
      <c r="B2129" s="9" t="s">
        <v>47</v>
      </c>
      <c r="C2129" s="52" t="s">
        <v>41689</v>
      </c>
      <c r="D2129" s="9" t="s">
        <v>46288</v>
      </c>
      <c r="E2129" s="61">
        <v>45460.0</v>
      </c>
      <c r="F2129" s="9" t="b">
        <v>1</v>
      </c>
      <c r="G2129" s="9" t="s">
        <v>43228</v>
      </c>
      <c r="H2129" s="9" t="s">
        <v>42560</v>
      </c>
      <c r="I2129" s="9"/>
    </row>
    <row r="2130" ht="15.75" customHeight="1">
      <c r="A2130" s="9" t="s">
        <v>46289</v>
      </c>
      <c r="B2130" s="9" t="s">
        <v>47</v>
      </c>
      <c r="C2130" s="52" t="s">
        <v>41689</v>
      </c>
      <c r="D2130" s="9" t="s">
        <v>43724</v>
      </c>
      <c r="E2130" s="61">
        <v>45461.0</v>
      </c>
      <c r="F2130" s="9" t="b">
        <v>1</v>
      </c>
      <c r="G2130" s="9" t="s">
        <v>38801</v>
      </c>
      <c r="H2130" s="9" t="s">
        <v>42576</v>
      </c>
      <c r="I2130" s="9" t="b">
        <v>1</v>
      </c>
    </row>
    <row r="2131" ht="15.75" customHeight="1">
      <c r="A2131" s="9" t="s">
        <v>46290</v>
      </c>
      <c r="B2131" s="9" t="s">
        <v>26</v>
      </c>
      <c r="C2131" s="9" t="s">
        <v>41542</v>
      </c>
      <c r="D2131" s="9" t="s">
        <v>46291</v>
      </c>
      <c r="E2131" s="61">
        <v>45463.0</v>
      </c>
      <c r="F2131" s="9" t="b">
        <v>1</v>
      </c>
      <c r="G2131" s="9" t="s">
        <v>43228</v>
      </c>
      <c r="H2131" s="9" t="s">
        <v>42560</v>
      </c>
      <c r="I2131" s="9"/>
    </row>
    <row r="2132" ht="15.75" customHeight="1">
      <c r="A2132" s="9" t="s">
        <v>46292</v>
      </c>
      <c r="B2132" s="9" t="s">
        <v>26</v>
      </c>
      <c r="C2132" s="9" t="s">
        <v>41606</v>
      </c>
      <c r="D2132" s="9" t="s">
        <v>46293</v>
      </c>
      <c r="E2132" s="61">
        <v>45463.0</v>
      </c>
      <c r="F2132" s="9" t="b">
        <v>1</v>
      </c>
      <c r="G2132" s="9" t="s">
        <v>38801</v>
      </c>
      <c r="H2132" s="9" t="s">
        <v>42560</v>
      </c>
      <c r="I2132" s="9" t="b">
        <v>1</v>
      </c>
    </row>
    <row r="2133" ht="15.75" customHeight="1">
      <c r="A2133" s="9" t="s">
        <v>46294</v>
      </c>
      <c r="B2133" s="9" t="s">
        <v>26</v>
      </c>
      <c r="C2133" s="9" t="s">
        <v>41621</v>
      </c>
      <c r="D2133" s="9" t="s">
        <v>46295</v>
      </c>
      <c r="E2133" s="61">
        <v>45463.0</v>
      </c>
      <c r="F2133" s="9" t="b">
        <v>1</v>
      </c>
      <c r="G2133" s="9" t="s">
        <v>38801</v>
      </c>
      <c r="H2133" s="9" t="s">
        <v>42560</v>
      </c>
      <c r="I2133" s="9" t="b">
        <v>1</v>
      </c>
    </row>
    <row r="2134" ht="15.75" customHeight="1">
      <c r="A2134" s="9" t="s">
        <v>46296</v>
      </c>
      <c r="B2134" s="9" t="s">
        <v>26</v>
      </c>
      <c r="C2134" s="9" t="s">
        <v>41613</v>
      </c>
      <c r="D2134" s="9" t="s">
        <v>46297</v>
      </c>
      <c r="E2134" s="61">
        <v>45463.0</v>
      </c>
      <c r="F2134" s="9" t="b">
        <v>1</v>
      </c>
      <c r="G2134" s="9" t="s">
        <v>38801</v>
      </c>
      <c r="H2134" s="9" t="s">
        <v>42560</v>
      </c>
      <c r="I2134" s="9" t="b">
        <v>1</v>
      </c>
    </row>
    <row r="2135" ht="15.75" customHeight="1">
      <c r="A2135" s="9" t="s">
        <v>46298</v>
      </c>
      <c r="B2135" s="9" t="s">
        <v>26</v>
      </c>
      <c r="C2135" s="9" t="s">
        <v>41633</v>
      </c>
      <c r="D2135" s="9" t="s">
        <v>46299</v>
      </c>
      <c r="E2135" s="61">
        <v>45463.0</v>
      </c>
      <c r="F2135" s="9" t="b">
        <v>1</v>
      </c>
      <c r="G2135" s="9" t="s">
        <v>38801</v>
      </c>
      <c r="H2135" s="9" t="s">
        <v>42560</v>
      </c>
      <c r="I2135" s="9" t="b">
        <v>1</v>
      </c>
    </row>
    <row r="2136" ht="15.75" customHeight="1">
      <c r="A2136" s="9" t="s">
        <v>46300</v>
      </c>
      <c r="B2136" s="9" t="s">
        <v>131</v>
      </c>
      <c r="C2136" s="9" t="s">
        <v>41691</v>
      </c>
      <c r="D2136" s="9" t="s">
        <v>46301</v>
      </c>
      <c r="E2136" s="61">
        <v>45464.0</v>
      </c>
      <c r="F2136" s="9" t="b">
        <v>1</v>
      </c>
      <c r="G2136" s="9" t="s">
        <v>38801</v>
      </c>
      <c r="H2136" s="9" t="s">
        <v>42576</v>
      </c>
      <c r="I2136" s="9" t="b">
        <v>1</v>
      </c>
    </row>
    <row r="2137" ht="15.75" customHeight="1">
      <c r="A2137" s="9" t="s">
        <v>46302</v>
      </c>
      <c r="B2137" s="9" t="s">
        <v>47</v>
      </c>
      <c r="C2137" s="9" t="s">
        <v>41693</v>
      </c>
      <c r="D2137" s="9" t="s">
        <v>46303</v>
      </c>
      <c r="E2137" s="61">
        <v>45464.0</v>
      </c>
      <c r="F2137" s="9" t="b">
        <v>1</v>
      </c>
      <c r="G2137" s="9" t="s">
        <v>43228</v>
      </c>
      <c r="H2137" s="9" t="s">
        <v>42576</v>
      </c>
      <c r="I2137" s="9"/>
    </row>
    <row r="2138" ht="15.75" customHeight="1">
      <c r="A2138" s="9" t="s">
        <v>46304</v>
      </c>
      <c r="B2138" s="9" t="s">
        <v>47</v>
      </c>
      <c r="C2138" s="9" t="s">
        <v>41695</v>
      </c>
      <c r="D2138" s="9" t="s">
        <v>46305</v>
      </c>
      <c r="E2138" s="61">
        <v>45464.0</v>
      </c>
      <c r="F2138" s="9" t="b">
        <v>1</v>
      </c>
      <c r="G2138" s="9" t="s">
        <v>43228</v>
      </c>
      <c r="H2138" s="9" t="s">
        <v>42576</v>
      </c>
      <c r="I2138" s="9"/>
    </row>
    <row r="2139" ht="15.75" customHeight="1">
      <c r="A2139" s="9" t="s">
        <v>46306</v>
      </c>
      <c r="B2139" s="9" t="s">
        <v>47</v>
      </c>
      <c r="C2139" s="9" t="s">
        <v>41697</v>
      </c>
      <c r="D2139" s="9" t="s">
        <v>45495</v>
      </c>
      <c r="E2139" s="61">
        <v>45464.0</v>
      </c>
      <c r="F2139" s="9" t="b">
        <v>1</v>
      </c>
      <c r="G2139" s="9" t="s">
        <v>38801</v>
      </c>
      <c r="H2139" s="9" t="s">
        <v>42576</v>
      </c>
      <c r="I2139" s="9" t="b">
        <v>1</v>
      </c>
    </row>
    <row r="2140" ht="15.75" customHeight="1">
      <c r="A2140" s="9" t="s">
        <v>46307</v>
      </c>
      <c r="B2140" s="9" t="s">
        <v>47</v>
      </c>
      <c r="C2140" s="9" t="s">
        <v>41699</v>
      </c>
      <c r="D2140" s="9" t="s">
        <v>46308</v>
      </c>
      <c r="E2140" s="61">
        <v>45464.0</v>
      </c>
      <c r="F2140" s="9" t="b">
        <v>1</v>
      </c>
      <c r="G2140" s="9" t="s">
        <v>38801</v>
      </c>
      <c r="H2140" s="9" t="s">
        <v>42576</v>
      </c>
      <c r="I2140" s="9" t="b">
        <v>1</v>
      </c>
    </row>
    <row r="2141" ht="15.75" customHeight="1">
      <c r="A2141" s="9" t="s">
        <v>46309</v>
      </c>
      <c r="B2141" s="9" t="s">
        <v>101</v>
      </c>
      <c r="C2141" s="9" t="s">
        <v>41701</v>
      </c>
      <c r="D2141" s="9" t="s">
        <v>42560</v>
      </c>
      <c r="E2141" s="61">
        <v>45467.0</v>
      </c>
      <c r="F2141" s="9" t="b">
        <v>1</v>
      </c>
      <c r="G2141" s="9" t="s">
        <v>38801</v>
      </c>
      <c r="H2141" s="9" t="s">
        <v>42560</v>
      </c>
      <c r="I2141" s="9" t="b">
        <v>1</v>
      </c>
    </row>
    <row r="2142" ht="15.75" customHeight="1">
      <c r="A2142" s="9" t="s">
        <v>46310</v>
      </c>
      <c r="B2142" s="9" t="s">
        <v>101</v>
      </c>
      <c r="C2142" s="9" t="s">
        <v>41703</v>
      </c>
      <c r="D2142" s="9" t="s">
        <v>42560</v>
      </c>
      <c r="E2142" s="61">
        <v>45467.0</v>
      </c>
      <c r="F2142" s="9" t="b">
        <v>1</v>
      </c>
      <c r="G2142" s="9" t="s">
        <v>38801</v>
      </c>
      <c r="H2142" s="9" t="s">
        <v>42560</v>
      </c>
      <c r="I2142" s="9" t="b">
        <v>1</v>
      </c>
    </row>
    <row r="2143" ht="15.75" customHeight="1">
      <c r="A2143" s="9" t="s">
        <v>46311</v>
      </c>
      <c r="B2143" s="9" t="s">
        <v>101</v>
      </c>
      <c r="C2143" s="9" t="s">
        <v>41705</v>
      </c>
      <c r="D2143" s="9" t="s">
        <v>42560</v>
      </c>
      <c r="E2143" s="61">
        <v>45467.0</v>
      </c>
      <c r="F2143" s="9" t="b">
        <v>1</v>
      </c>
      <c r="G2143" s="9" t="s">
        <v>38801</v>
      </c>
      <c r="H2143" s="9" t="s">
        <v>42560</v>
      </c>
      <c r="I2143" s="9" t="b">
        <v>1</v>
      </c>
    </row>
    <row r="2144" ht="15.75" customHeight="1">
      <c r="A2144" s="9" t="s">
        <v>46312</v>
      </c>
      <c r="B2144" s="9" t="s">
        <v>47</v>
      </c>
      <c r="C2144" s="9" t="s">
        <v>41707</v>
      </c>
      <c r="D2144" s="9" t="s">
        <v>46313</v>
      </c>
      <c r="E2144" s="61">
        <v>45468.0</v>
      </c>
      <c r="F2144" s="9" t="b">
        <v>1</v>
      </c>
      <c r="G2144" s="9" t="s">
        <v>38801</v>
      </c>
      <c r="H2144" s="9" t="s">
        <v>42576</v>
      </c>
      <c r="I2144" s="9" t="b">
        <v>1</v>
      </c>
    </row>
    <row r="2145" ht="15.75" customHeight="1">
      <c r="A2145" s="9" t="s">
        <v>46314</v>
      </c>
      <c r="B2145" s="9" t="s">
        <v>47</v>
      </c>
      <c r="C2145" s="9" t="s">
        <v>41683</v>
      </c>
      <c r="D2145" s="9" t="s">
        <v>43724</v>
      </c>
      <c r="E2145" s="61">
        <v>45468.0</v>
      </c>
      <c r="F2145" s="9" t="b">
        <v>1</v>
      </c>
      <c r="G2145" s="9" t="s">
        <v>38801</v>
      </c>
      <c r="H2145" s="9" t="s">
        <v>42576</v>
      </c>
      <c r="I2145" s="9" t="b">
        <v>1</v>
      </c>
    </row>
    <row r="2146" ht="15.75" customHeight="1">
      <c r="A2146" s="9" t="s">
        <v>46315</v>
      </c>
      <c r="B2146" s="9" t="s">
        <v>47</v>
      </c>
      <c r="C2146" s="9" t="s">
        <v>41709</v>
      </c>
      <c r="D2146" s="9" t="s">
        <v>46316</v>
      </c>
      <c r="E2146" s="61">
        <v>45468.0</v>
      </c>
      <c r="F2146" s="9" t="b">
        <v>1</v>
      </c>
      <c r="G2146" s="9" t="s">
        <v>38801</v>
      </c>
      <c r="H2146" s="9" t="s">
        <v>42576</v>
      </c>
      <c r="I2146" s="9" t="b">
        <v>1</v>
      </c>
    </row>
    <row r="2147" ht="15.75" customHeight="1">
      <c r="A2147" s="9" t="s">
        <v>46317</v>
      </c>
      <c r="B2147" s="9" t="s">
        <v>47</v>
      </c>
      <c r="C2147" s="9" t="s">
        <v>41711</v>
      </c>
      <c r="D2147" s="9" t="s">
        <v>46318</v>
      </c>
      <c r="E2147" s="61">
        <v>45468.0</v>
      </c>
      <c r="F2147" s="9" t="b">
        <v>1</v>
      </c>
      <c r="G2147" s="9" t="s">
        <v>38801</v>
      </c>
      <c r="H2147" s="9" t="s">
        <v>42576</v>
      </c>
      <c r="I2147" s="9" t="b">
        <v>1</v>
      </c>
    </row>
    <row r="2148" ht="15.75" customHeight="1">
      <c r="A2148" s="9" t="s">
        <v>46319</v>
      </c>
      <c r="B2148" s="9" t="s">
        <v>131</v>
      </c>
      <c r="C2148" s="9" t="s">
        <v>41713</v>
      </c>
      <c r="D2148" s="9" t="s">
        <v>46320</v>
      </c>
      <c r="E2148" s="61">
        <v>45469.0</v>
      </c>
      <c r="F2148" s="9" t="b">
        <v>1</v>
      </c>
      <c r="G2148" s="9" t="s">
        <v>38801</v>
      </c>
      <c r="H2148" s="9" t="s">
        <v>42576</v>
      </c>
      <c r="I2148" s="9" t="b">
        <v>1</v>
      </c>
    </row>
    <row r="2149" ht="15.75" customHeight="1">
      <c r="A2149" s="9" t="s">
        <v>46321</v>
      </c>
      <c r="B2149" s="9" t="s">
        <v>26</v>
      </c>
      <c r="C2149" s="9" t="s">
        <v>41715</v>
      </c>
      <c r="D2149" s="9" t="s">
        <v>46322</v>
      </c>
      <c r="E2149" s="61">
        <v>45470.0</v>
      </c>
      <c r="F2149" s="9" t="b">
        <v>1</v>
      </c>
      <c r="G2149" s="9" t="s">
        <v>38801</v>
      </c>
      <c r="H2149" s="9" t="s">
        <v>42560</v>
      </c>
      <c r="I2149" s="9" t="b">
        <v>1</v>
      </c>
    </row>
    <row r="2150" ht="15.75" customHeight="1">
      <c r="A2150" s="9" t="s">
        <v>46323</v>
      </c>
      <c r="B2150" s="9" t="s">
        <v>26</v>
      </c>
      <c r="C2150" s="9" t="s">
        <v>41695</v>
      </c>
      <c r="D2150" s="9" t="s">
        <v>46324</v>
      </c>
      <c r="E2150" s="61">
        <v>45470.0</v>
      </c>
      <c r="F2150" s="9" t="b">
        <v>1</v>
      </c>
      <c r="G2150" s="9" t="s">
        <v>38801</v>
      </c>
      <c r="H2150" s="9" t="s">
        <v>42560</v>
      </c>
      <c r="I2150" s="9" t="b">
        <v>1</v>
      </c>
    </row>
    <row r="2151" ht="15.75" customHeight="1">
      <c r="A2151" s="9" t="s">
        <v>46325</v>
      </c>
      <c r="B2151" s="9" t="s">
        <v>26</v>
      </c>
      <c r="C2151" s="9" t="s">
        <v>41693</v>
      </c>
      <c r="D2151" s="9" t="s">
        <v>46326</v>
      </c>
      <c r="E2151" s="61">
        <v>45470.0</v>
      </c>
      <c r="F2151" s="9" t="b">
        <v>1</v>
      </c>
      <c r="G2151" s="9" t="s">
        <v>38801</v>
      </c>
      <c r="H2151" s="9" t="s">
        <v>42560</v>
      </c>
      <c r="I2151" s="9" t="b">
        <v>1</v>
      </c>
    </row>
    <row r="2152" ht="15.75" customHeight="1">
      <c r="A2152" s="9" t="s">
        <v>46327</v>
      </c>
      <c r="B2152" s="9" t="s">
        <v>26</v>
      </c>
      <c r="C2152" s="9" t="s">
        <v>41716</v>
      </c>
      <c r="D2152" s="9" t="s">
        <v>46328</v>
      </c>
      <c r="E2152" s="61">
        <v>45470.0</v>
      </c>
      <c r="F2152" s="9" t="b">
        <v>1</v>
      </c>
      <c r="G2152" s="9" t="s">
        <v>38801</v>
      </c>
      <c r="H2152" s="9" t="s">
        <v>42560</v>
      </c>
      <c r="I2152" s="9" t="b">
        <v>1</v>
      </c>
    </row>
    <row r="2153" ht="15.75" customHeight="1">
      <c r="A2153" s="9" t="s">
        <v>46329</v>
      </c>
      <c r="B2153" s="9" t="s">
        <v>131</v>
      </c>
      <c r="C2153" s="9" t="s">
        <v>41672</v>
      </c>
      <c r="D2153" s="9" t="s">
        <v>46330</v>
      </c>
      <c r="E2153" s="61">
        <v>45470.0</v>
      </c>
      <c r="F2153" s="9" t="b">
        <v>1</v>
      </c>
      <c r="G2153" s="9" t="s">
        <v>38801</v>
      </c>
      <c r="H2153" s="9" t="s">
        <v>42576</v>
      </c>
      <c r="I2153" s="9" t="b">
        <v>1</v>
      </c>
    </row>
    <row r="2154" ht="15.75" customHeight="1">
      <c r="A2154" s="9" t="s">
        <v>46331</v>
      </c>
      <c r="B2154" s="9" t="s">
        <v>131</v>
      </c>
      <c r="C2154" s="9" t="s">
        <v>41637</v>
      </c>
      <c r="D2154" s="9" t="s">
        <v>46332</v>
      </c>
      <c r="E2154" s="61">
        <v>45470.0</v>
      </c>
      <c r="F2154" s="9" t="b">
        <v>1</v>
      </c>
      <c r="G2154" s="9" t="s">
        <v>38801</v>
      </c>
      <c r="H2154" s="9" t="s">
        <v>42576</v>
      </c>
      <c r="I2154" s="9" t="b">
        <v>1</v>
      </c>
    </row>
    <row r="2155" ht="15.75" customHeight="1">
      <c r="A2155" s="9" t="s">
        <v>46333</v>
      </c>
      <c r="B2155" s="9" t="s">
        <v>26</v>
      </c>
      <c r="C2155" s="9" t="s">
        <v>41723</v>
      </c>
      <c r="D2155" s="9" t="s">
        <v>46334</v>
      </c>
      <c r="E2155" s="61">
        <v>45474.0</v>
      </c>
      <c r="F2155" s="9" t="b">
        <v>1</v>
      </c>
      <c r="G2155" s="9" t="s">
        <v>38801</v>
      </c>
      <c r="H2155" s="9" t="s">
        <v>42560</v>
      </c>
      <c r="I2155" s="9" t="b">
        <v>1</v>
      </c>
    </row>
    <row r="2156" ht="15.75" customHeight="1">
      <c r="A2156" s="9" t="s">
        <v>46335</v>
      </c>
      <c r="B2156" s="9" t="s">
        <v>26</v>
      </c>
      <c r="C2156" s="52" t="s">
        <v>41721</v>
      </c>
      <c r="D2156" s="9" t="s">
        <v>46334</v>
      </c>
      <c r="E2156" s="61">
        <v>45474.0</v>
      </c>
      <c r="F2156" s="9" t="b">
        <v>1</v>
      </c>
      <c r="G2156" s="9" t="s">
        <v>38801</v>
      </c>
      <c r="H2156" s="9" t="s">
        <v>42560</v>
      </c>
      <c r="I2156" s="9" t="b">
        <v>1</v>
      </c>
    </row>
    <row r="2157" ht="15.75" customHeight="1">
      <c r="A2157" s="9" t="s">
        <v>46336</v>
      </c>
      <c r="B2157" s="9" t="s">
        <v>26</v>
      </c>
      <c r="C2157" s="9" t="s">
        <v>41719</v>
      </c>
      <c r="D2157" s="9" t="s">
        <v>46334</v>
      </c>
      <c r="E2157" s="61">
        <v>45474.0</v>
      </c>
      <c r="F2157" s="9" t="b">
        <v>1</v>
      </c>
      <c r="G2157" s="9" t="s">
        <v>38801</v>
      </c>
      <c r="H2157" s="9" t="s">
        <v>42560</v>
      </c>
      <c r="I2157" s="9" t="b">
        <v>1</v>
      </c>
    </row>
    <row r="2158" ht="15.75" customHeight="1">
      <c r="A2158" s="9" t="s">
        <v>46337</v>
      </c>
      <c r="B2158" s="9" t="s">
        <v>47</v>
      </c>
      <c r="C2158" s="9" t="s">
        <v>41725</v>
      </c>
      <c r="D2158" s="9" t="s">
        <v>46338</v>
      </c>
      <c r="E2158" s="61">
        <v>45474.0</v>
      </c>
      <c r="F2158" s="9" t="b">
        <v>1</v>
      </c>
      <c r="G2158" s="9" t="s">
        <v>38801</v>
      </c>
      <c r="H2158" s="9" t="s">
        <v>42576</v>
      </c>
      <c r="I2158" s="9" t="b">
        <v>1</v>
      </c>
    </row>
    <row r="2159" ht="15.75" customHeight="1">
      <c r="A2159" s="9" t="s">
        <v>46339</v>
      </c>
      <c r="B2159" s="9" t="s">
        <v>47</v>
      </c>
      <c r="C2159" s="9" t="s">
        <v>41727</v>
      </c>
      <c r="D2159" s="9" t="s">
        <v>46340</v>
      </c>
      <c r="E2159" s="61">
        <v>45474.0</v>
      </c>
      <c r="F2159" s="9" t="b">
        <v>1</v>
      </c>
      <c r="G2159" s="9" t="s">
        <v>43228</v>
      </c>
      <c r="H2159" s="9" t="s">
        <v>42560</v>
      </c>
      <c r="I2159" s="9"/>
    </row>
    <row r="2160" ht="15.75" customHeight="1">
      <c r="A2160" s="9" t="s">
        <v>46341</v>
      </c>
      <c r="B2160" s="9" t="s">
        <v>47</v>
      </c>
      <c r="C2160" s="9" t="s">
        <v>41709</v>
      </c>
      <c r="D2160" s="9" t="s">
        <v>46342</v>
      </c>
      <c r="E2160" s="61">
        <v>45481.0</v>
      </c>
      <c r="F2160" s="9" t="b">
        <v>1</v>
      </c>
      <c r="G2160" s="9" t="s">
        <v>38801</v>
      </c>
      <c r="H2160" s="9" t="s">
        <v>42576</v>
      </c>
      <c r="I2160" s="9" t="b">
        <v>1</v>
      </c>
    </row>
    <row r="2161" ht="15.75" customHeight="1">
      <c r="A2161" s="9" t="s">
        <v>46343</v>
      </c>
      <c r="B2161" s="9" t="s">
        <v>47</v>
      </c>
      <c r="C2161" s="9" t="s">
        <v>41737</v>
      </c>
      <c r="D2161" s="9" t="s">
        <v>46344</v>
      </c>
      <c r="E2161" s="61">
        <v>45481.0</v>
      </c>
      <c r="F2161" s="9" t="b">
        <v>1</v>
      </c>
      <c r="G2161" s="9" t="s">
        <v>38801</v>
      </c>
      <c r="H2161" s="9" t="s">
        <v>42576</v>
      </c>
      <c r="I2161" s="9" t="b">
        <v>1</v>
      </c>
    </row>
    <row r="2162" ht="15.75" customHeight="1">
      <c r="A2162" s="9" t="s">
        <v>46345</v>
      </c>
      <c r="B2162" s="9" t="s">
        <v>47</v>
      </c>
      <c r="C2162" s="9" t="s">
        <v>41739</v>
      </c>
      <c r="D2162" s="9" t="s">
        <v>46346</v>
      </c>
      <c r="E2162" s="61">
        <v>45481.0</v>
      </c>
      <c r="F2162" s="9" t="b">
        <v>1</v>
      </c>
      <c r="G2162" s="9" t="s">
        <v>43228</v>
      </c>
      <c r="H2162" s="9" t="s">
        <v>42576</v>
      </c>
      <c r="I2162" s="9"/>
    </row>
    <row r="2163" ht="15.75" customHeight="1">
      <c r="A2163" s="9" t="s">
        <v>46347</v>
      </c>
      <c r="B2163" s="9" t="s">
        <v>89</v>
      </c>
      <c r="C2163" s="9" t="s">
        <v>41741</v>
      </c>
      <c r="D2163" s="9" t="s">
        <v>46348</v>
      </c>
      <c r="E2163" s="61">
        <v>45481.0</v>
      </c>
      <c r="F2163" s="9" t="b">
        <v>1</v>
      </c>
      <c r="G2163" s="9" t="s">
        <v>38801</v>
      </c>
      <c r="H2163" s="9" t="s">
        <v>42560</v>
      </c>
      <c r="I2163" s="9" t="b">
        <v>1</v>
      </c>
    </row>
    <row r="2164" ht="15.75" customHeight="1">
      <c r="A2164" s="9" t="s">
        <v>46349</v>
      </c>
      <c r="B2164" s="9" t="s">
        <v>89</v>
      </c>
      <c r="C2164" s="9" t="s">
        <v>41743</v>
      </c>
      <c r="D2164" s="9" t="s">
        <v>46350</v>
      </c>
      <c r="E2164" s="61">
        <v>45481.0</v>
      </c>
      <c r="F2164" s="9" t="b">
        <v>1</v>
      </c>
      <c r="G2164" s="9" t="s">
        <v>38801</v>
      </c>
      <c r="H2164" s="9" t="s">
        <v>42560</v>
      </c>
      <c r="I2164" s="9" t="b">
        <v>1</v>
      </c>
    </row>
    <row r="2165" ht="15.75" customHeight="1">
      <c r="A2165" s="9" t="s">
        <v>46351</v>
      </c>
      <c r="B2165" s="9" t="s">
        <v>76</v>
      </c>
      <c r="C2165" s="9" t="s">
        <v>41731</v>
      </c>
      <c r="D2165" s="9" t="s">
        <v>46352</v>
      </c>
      <c r="E2165" s="61">
        <v>45482.0</v>
      </c>
      <c r="F2165" s="9" t="b">
        <v>1</v>
      </c>
      <c r="G2165" s="9" t="s">
        <v>38801</v>
      </c>
      <c r="H2165" s="9" t="s">
        <v>42560</v>
      </c>
      <c r="I2165" s="9" t="b">
        <v>1</v>
      </c>
    </row>
    <row r="2166" ht="15.75" customHeight="1">
      <c r="A2166" s="9" t="s">
        <v>46353</v>
      </c>
      <c r="B2166" s="9" t="s">
        <v>131</v>
      </c>
      <c r="C2166" s="9" t="s">
        <v>41764</v>
      </c>
      <c r="D2166" s="9" t="s">
        <v>42560</v>
      </c>
      <c r="E2166" s="61">
        <v>45482.0</v>
      </c>
      <c r="F2166" s="9" t="b">
        <v>1</v>
      </c>
      <c r="G2166" s="9" t="s">
        <v>38801</v>
      </c>
      <c r="H2166" s="9" t="s">
        <v>42576</v>
      </c>
      <c r="I2166" s="9" t="b">
        <v>1</v>
      </c>
    </row>
    <row r="2167" ht="15.75" customHeight="1">
      <c r="A2167" s="9" t="s">
        <v>46354</v>
      </c>
      <c r="B2167" s="9" t="s">
        <v>131</v>
      </c>
      <c r="C2167" s="9" t="s">
        <v>41762</v>
      </c>
      <c r="D2167" s="9" t="s">
        <v>42560</v>
      </c>
      <c r="E2167" s="61">
        <v>45482.0</v>
      </c>
      <c r="F2167" s="9" t="b">
        <v>1</v>
      </c>
      <c r="G2167" s="9" t="s">
        <v>38801</v>
      </c>
      <c r="H2167" s="9" t="s">
        <v>42576</v>
      </c>
      <c r="I2167" s="9" t="b">
        <v>1</v>
      </c>
    </row>
    <row r="2168" ht="15.75" customHeight="1">
      <c r="A2168" s="9" t="s">
        <v>46355</v>
      </c>
      <c r="B2168" s="9" t="s">
        <v>131</v>
      </c>
      <c r="C2168" s="9" t="s">
        <v>41748</v>
      </c>
      <c r="D2168" s="9" t="s">
        <v>42560</v>
      </c>
      <c r="E2168" s="61">
        <v>45482.0</v>
      </c>
      <c r="F2168" s="9" t="b">
        <v>1</v>
      </c>
      <c r="G2168" s="9" t="s">
        <v>38801</v>
      </c>
      <c r="H2168" s="9" t="s">
        <v>42576</v>
      </c>
      <c r="I2168" s="9" t="b">
        <v>1</v>
      </c>
    </row>
    <row r="2169" ht="15.75" customHeight="1">
      <c r="A2169" s="9" t="s">
        <v>46356</v>
      </c>
      <c r="B2169" s="9" t="s">
        <v>131</v>
      </c>
      <c r="C2169" s="9" t="s">
        <v>41752</v>
      </c>
      <c r="D2169" s="9" t="s">
        <v>42560</v>
      </c>
      <c r="E2169" s="61">
        <v>45482.0</v>
      </c>
      <c r="F2169" s="9" t="b">
        <v>1</v>
      </c>
      <c r="G2169" s="9" t="s">
        <v>38801</v>
      </c>
      <c r="H2169" s="9" t="s">
        <v>42576</v>
      </c>
      <c r="I2169" s="9" t="b">
        <v>1</v>
      </c>
    </row>
    <row r="2170" ht="15.75" customHeight="1">
      <c r="A2170" s="9" t="s">
        <v>46357</v>
      </c>
      <c r="B2170" s="9" t="s">
        <v>131</v>
      </c>
      <c r="C2170" s="9" t="s">
        <v>41755</v>
      </c>
      <c r="D2170" s="9" t="s">
        <v>42560</v>
      </c>
      <c r="E2170" s="61">
        <v>45482.0</v>
      </c>
      <c r="F2170" s="9" t="b">
        <v>1</v>
      </c>
      <c r="G2170" s="9" t="s">
        <v>38801</v>
      </c>
      <c r="H2170" s="9" t="s">
        <v>42576</v>
      </c>
      <c r="I2170" s="9" t="b">
        <v>1</v>
      </c>
    </row>
    <row r="2171" ht="15.75" customHeight="1">
      <c r="A2171" s="9" t="s">
        <v>46358</v>
      </c>
      <c r="B2171" s="9" t="s">
        <v>131</v>
      </c>
      <c r="C2171" s="9" t="s">
        <v>41758</v>
      </c>
      <c r="D2171" s="9" t="s">
        <v>42560</v>
      </c>
      <c r="E2171" s="61">
        <v>45482.0</v>
      </c>
      <c r="F2171" s="9" t="b">
        <v>1</v>
      </c>
      <c r="G2171" s="9" t="s">
        <v>38801</v>
      </c>
      <c r="H2171" s="9" t="s">
        <v>42576</v>
      </c>
      <c r="I2171" s="9" t="b">
        <v>1</v>
      </c>
    </row>
    <row r="2172" ht="15.75" customHeight="1">
      <c r="A2172" s="52" t="s">
        <v>46359</v>
      </c>
      <c r="B2172" s="9" t="s">
        <v>131</v>
      </c>
      <c r="C2172" s="9" t="s">
        <v>41760</v>
      </c>
      <c r="D2172" s="9" t="s">
        <v>42560</v>
      </c>
      <c r="E2172" s="61">
        <v>45482.0</v>
      </c>
      <c r="F2172" s="9" t="b">
        <v>1</v>
      </c>
      <c r="G2172" s="9" t="s">
        <v>38801</v>
      </c>
      <c r="H2172" s="9" t="s">
        <v>42576</v>
      </c>
      <c r="I2172" s="9" t="b">
        <v>1</v>
      </c>
    </row>
    <row r="2173" ht="15.75" customHeight="1">
      <c r="A2173" s="9" t="s">
        <v>46360</v>
      </c>
      <c r="B2173" s="9" t="s">
        <v>131</v>
      </c>
      <c r="C2173" s="9" t="s">
        <v>41766</v>
      </c>
      <c r="D2173" s="9" t="s">
        <v>42560</v>
      </c>
      <c r="E2173" s="61">
        <v>45482.0</v>
      </c>
      <c r="F2173" s="9" t="b">
        <v>1</v>
      </c>
      <c r="G2173" s="9" t="s">
        <v>38801</v>
      </c>
      <c r="H2173" s="9" t="s">
        <v>42576</v>
      </c>
      <c r="I2173" s="9" t="b">
        <v>1</v>
      </c>
    </row>
    <row r="2174" ht="15.75" customHeight="1">
      <c r="A2174" s="9" t="s">
        <v>46361</v>
      </c>
      <c r="B2174" s="9" t="s">
        <v>131</v>
      </c>
      <c r="C2174" s="9" t="s">
        <v>41768</v>
      </c>
      <c r="D2174" s="9" t="s">
        <v>42560</v>
      </c>
      <c r="E2174" s="61">
        <v>45482.0</v>
      </c>
      <c r="F2174" s="9" t="b">
        <v>1</v>
      </c>
      <c r="G2174" s="9" t="s">
        <v>38801</v>
      </c>
      <c r="H2174" s="9" t="s">
        <v>42576</v>
      </c>
      <c r="I2174" s="9" t="b">
        <v>1</v>
      </c>
    </row>
    <row r="2175" ht="15.75" customHeight="1">
      <c r="A2175" s="9" t="s">
        <v>46362</v>
      </c>
      <c r="B2175" s="9" t="s">
        <v>131</v>
      </c>
      <c r="C2175" s="9" t="s">
        <v>41745</v>
      </c>
      <c r="D2175" s="9" t="s">
        <v>42560</v>
      </c>
      <c r="E2175" s="61">
        <v>45482.0</v>
      </c>
      <c r="F2175" s="9" t="b">
        <v>1</v>
      </c>
      <c r="G2175" s="9" t="s">
        <v>38801</v>
      </c>
      <c r="H2175" s="9" t="s">
        <v>42576</v>
      </c>
      <c r="I2175" s="9" t="b">
        <v>1</v>
      </c>
    </row>
    <row r="2176" ht="15.75" customHeight="1">
      <c r="A2176" s="9" t="s">
        <v>46363</v>
      </c>
      <c r="B2176" s="9" t="s">
        <v>131</v>
      </c>
      <c r="C2176" s="9" t="s">
        <v>41753</v>
      </c>
      <c r="D2176" s="9" t="s">
        <v>42560</v>
      </c>
      <c r="E2176" s="61">
        <v>45482.0</v>
      </c>
      <c r="F2176" s="9" t="b">
        <v>1</v>
      </c>
      <c r="G2176" s="9" t="s">
        <v>38801</v>
      </c>
      <c r="H2176" s="9" t="s">
        <v>42576</v>
      </c>
      <c r="I2176" s="9" t="b">
        <v>1</v>
      </c>
    </row>
    <row r="2177" ht="15.75" customHeight="1">
      <c r="A2177" s="9" t="s">
        <v>46364</v>
      </c>
      <c r="B2177" s="9" t="s">
        <v>131</v>
      </c>
      <c r="C2177" s="9" t="s">
        <v>41765</v>
      </c>
      <c r="D2177" s="9" t="s">
        <v>42560</v>
      </c>
      <c r="E2177" s="61">
        <v>45482.0</v>
      </c>
      <c r="F2177" s="9" t="b">
        <v>1</v>
      </c>
      <c r="G2177" s="9" t="s">
        <v>38801</v>
      </c>
      <c r="H2177" s="9" t="s">
        <v>42576</v>
      </c>
      <c r="I2177" s="9" t="b">
        <v>1</v>
      </c>
    </row>
    <row r="2178" ht="15.75" customHeight="1">
      <c r="A2178" s="9" t="s">
        <v>46365</v>
      </c>
      <c r="B2178" s="9" t="s">
        <v>131</v>
      </c>
      <c r="C2178" s="9" t="s">
        <v>41767</v>
      </c>
      <c r="D2178" s="9" t="s">
        <v>42560</v>
      </c>
      <c r="E2178" s="61">
        <v>45482.0</v>
      </c>
      <c r="F2178" s="9" t="b">
        <v>1</v>
      </c>
      <c r="G2178" s="9" t="s">
        <v>38801</v>
      </c>
      <c r="H2178" s="9" t="s">
        <v>42576</v>
      </c>
      <c r="I2178" s="9" t="b">
        <v>1</v>
      </c>
    </row>
    <row r="2179" ht="15.75" customHeight="1">
      <c r="A2179" s="9" t="s">
        <v>46366</v>
      </c>
      <c r="B2179" s="9" t="s">
        <v>131</v>
      </c>
      <c r="C2179" s="9" t="s">
        <v>41770</v>
      </c>
      <c r="D2179" s="9" t="s">
        <v>42560</v>
      </c>
      <c r="E2179" s="61">
        <v>45483.0</v>
      </c>
      <c r="F2179" s="9" t="b">
        <v>1</v>
      </c>
      <c r="G2179" s="9" t="s">
        <v>38801</v>
      </c>
      <c r="H2179" s="9" t="s">
        <v>42576</v>
      </c>
      <c r="I2179" s="9" t="b">
        <v>1</v>
      </c>
    </row>
    <row r="2180" ht="15.75" customHeight="1">
      <c r="A2180" s="9" t="s">
        <v>46367</v>
      </c>
      <c r="B2180" s="9" t="s">
        <v>131</v>
      </c>
      <c r="C2180" s="9" t="s">
        <v>41772</v>
      </c>
      <c r="D2180" s="9" t="s">
        <v>42560</v>
      </c>
      <c r="E2180" s="61">
        <v>45483.0</v>
      </c>
      <c r="F2180" s="9" t="b">
        <v>1</v>
      </c>
      <c r="G2180" s="9" t="s">
        <v>38801</v>
      </c>
      <c r="H2180" s="9" t="s">
        <v>42576</v>
      </c>
      <c r="I2180" s="9" t="b">
        <v>1</v>
      </c>
    </row>
    <row r="2181" ht="15.75" customHeight="1">
      <c r="A2181" s="9" t="s">
        <v>46368</v>
      </c>
      <c r="B2181" s="9" t="s">
        <v>131</v>
      </c>
      <c r="C2181" s="9" t="s">
        <v>41773</v>
      </c>
      <c r="D2181" s="9" t="s">
        <v>46369</v>
      </c>
      <c r="E2181" s="61">
        <v>45483.0</v>
      </c>
      <c r="F2181" s="9" t="b">
        <v>1</v>
      </c>
      <c r="G2181" s="9" t="s">
        <v>38801</v>
      </c>
      <c r="H2181" s="9" t="s">
        <v>42576</v>
      </c>
      <c r="I2181" s="9" t="b">
        <v>1</v>
      </c>
    </row>
    <row r="2182" ht="15.75" customHeight="1">
      <c r="A2182" s="9" t="s">
        <v>46370</v>
      </c>
      <c r="B2182" s="9" t="s">
        <v>131</v>
      </c>
      <c r="C2182" s="9" t="s">
        <v>41775</v>
      </c>
      <c r="D2182" s="9" t="s">
        <v>42560</v>
      </c>
      <c r="E2182" s="61">
        <v>45483.0</v>
      </c>
      <c r="F2182" s="9" t="b">
        <v>1</v>
      </c>
      <c r="G2182" s="9" t="s">
        <v>38801</v>
      </c>
      <c r="H2182" s="9" t="s">
        <v>42576</v>
      </c>
      <c r="I2182" s="9" t="b">
        <v>1</v>
      </c>
    </row>
    <row r="2183" ht="15.75" customHeight="1">
      <c r="A2183" s="9" t="s">
        <v>46371</v>
      </c>
      <c r="B2183" s="9" t="s">
        <v>47</v>
      </c>
      <c r="C2183" s="9" t="s">
        <v>41777</v>
      </c>
      <c r="D2183" s="9" t="s">
        <v>46372</v>
      </c>
      <c r="E2183" s="61">
        <v>45483.0</v>
      </c>
      <c r="F2183" s="9" t="b">
        <v>1</v>
      </c>
      <c r="G2183" s="9" t="s">
        <v>38801</v>
      </c>
      <c r="H2183" s="9" t="s">
        <v>42576</v>
      </c>
      <c r="I2183" s="9" t="b">
        <v>1</v>
      </c>
    </row>
    <row r="2184" ht="15.75" customHeight="1">
      <c r="A2184" s="9" t="s">
        <v>46373</v>
      </c>
      <c r="B2184" s="9" t="s">
        <v>47</v>
      </c>
      <c r="C2184" s="9" t="s">
        <v>41779</v>
      </c>
      <c r="D2184" s="9" t="s">
        <v>46374</v>
      </c>
      <c r="E2184" s="61">
        <v>45484.0</v>
      </c>
      <c r="F2184" s="9" t="b">
        <v>1</v>
      </c>
      <c r="G2184" s="9" t="s">
        <v>38801</v>
      </c>
      <c r="H2184" s="9" t="s">
        <v>42576</v>
      </c>
      <c r="I2184" s="9" t="b">
        <v>1</v>
      </c>
    </row>
    <row r="2185" ht="15.75" customHeight="1">
      <c r="A2185" s="9" t="s">
        <v>46375</v>
      </c>
      <c r="B2185" s="9" t="s">
        <v>47</v>
      </c>
      <c r="C2185" s="9" t="s">
        <v>41781</v>
      </c>
      <c r="D2185" s="9" t="s">
        <v>46376</v>
      </c>
      <c r="E2185" s="61">
        <v>45484.0</v>
      </c>
      <c r="F2185" s="9" t="b">
        <v>1</v>
      </c>
      <c r="G2185" s="9" t="s">
        <v>38801</v>
      </c>
      <c r="H2185" s="9" t="s">
        <v>42576</v>
      </c>
      <c r="I2185" s="9" t="b">
        <v>1</v>
      </c>
    </row>
    <row r="2186" ht="15.75" customHeight="1">
      <c r="A2186" s="9" t="s">
        <v>46377</v>
      </c>
      <c r="B2186" s="9" t="s">
        <v>26</v>
      </c>
      <c r="C2186" s="9" t="s">
        <v>41733</v>
      </c>
      <c r="D2186" s="9" t="s">
        <v>46378</v>
      </c>
      <c r="E2186" s="61">
        <v>45488.0</v>
      </c>
      <c r="F2186" s="9" t="b">
        <v>1</v>
      </c>
      <c r="G2186" s="9" t="s">
        <v>38801</v>
      </c>
      <c r="H2186" s="9" t="s">
        <v>42560</v>
      </c>
      <c r="I2186" s="9" t="b">
        <v>1</v>
      </c>
    </row>
    <row r="2187" ht="15.75" customHeight="1">
      <c r="A2187" s="9" t="s">
        <v>46379</v>
      </c>
      <c r="B2187" s="9" t="s">
        <v>26</v>
      </c>
      <c r="C2187" s="9" t="s">
        <v>41750</v>
      </c>
      <c r="D2187" s="9" t="s">
        <v>42720</v>
      </c>
      <c r="E2187" s="61">
        <v>45488.0</v>
      </c>
      <c r="F2187" s="9" t="b">
        <v>1</v>
      </c>
      <c r="G2187" s="9" t="s">
        <v>38801</v>
      </c>
      <c r="H2187" s="9" t="s">
        <v>42560</v>
      </c>
      <c r="I2187" s="9" t="b">
        <v>1</v>
      </c>
    </row>
    <row r="2188" ht="15.75" customHeight="1">
      <c r="A2188" s="9" t="s">
        <v>46380</v>
      </c>
      <c r="B2188" s="9" t="s">
        <v>26</v>
      </c>
      <c r="C2188" s="9" t="s">
        <v>41757</v>
      </c>
      <c r="D2188" s="9" t="s">
        <v>42720</v>
      </c>
      <c r="E2188" s="61">
        <v>45488.0</v>
      </c>
      <c r="F2188" s="9" t="b">
        <v>1</v>
      </c>
      <c r="G2188" s="9" t="s">
        <v>38801</v>
      </c>
      <c r="H2188" s="9" t="s">
        <v>42560</v>
      </c>
      <c r="I2188" s="9" t="b">
        <v>1</v>
      </c>
    </row>
    <row r="2189" ht="15.75" customHeight="1">
      <c r="A2189" s="9" t="s">
        <v>46381</v>
      </c>
      <c r="B2189" s="9" t="s">
        <v>26</v>
      </c>
      <c r="C2189" s="9" t="s">
        <v>41747</v>
      </c>
      <c r="D2189" s="9" t="s">
        <v>42720</v>
      </c>
      <c r="E2189" s="61">
        <v>45488.0</v>
      </c>
      <c r="F2189" s="9" t="b">
        <v>1</v>
      </c>
      <c r="G2189" s="9" t="s">
        <v>38801</v>
      </c>
      <c r="H2189" s="9" t="s">
        <v>42560</v>
      </c>
      <c r="I2189" s="9" t="b">
        <v>1</v>
      </c>
    </row>
    <row r="2190" ht="15.75" customHeight="1">
      <c r="A2190" s="9" t="s">
        <v>46382</v>
      </c>
      <c r="B2190" s="9" t="s">
        <v>26</v>
      </c>
      <c r="C2190" s="9" t="s">
        <v>41735</v>
      </c>
      <c r="D2190" s="9" t="s">
        <v>46383</v>
      </c>
      <c r="E2190" s="61">
        <v>45488.0</v>
      </c>
      <c r="F2190" s="9" t="b">
        <v>1</v>
      </c>
      <c r="G2190" s="9" t="s">
        <v>38801</v>
      </c>
      <c r="H2190" s="9" t="s">
        <v>42560</v>
      </c>
      <c r="I2190" s="9" t="b">
        <v>1</v>
      </c>
    </row>
    <row r="2191" ht="15.75" customHeight="1">
      <c r="A2191" s="9" t="s">
        <v>46384</v>
      </c>
      <c r="B2191" s="9" t="s">
        <v>26</v>
      </c>
      <c r="C2191" s="9" t="s">
        <v>41739</v>
      </c>
      <c r="D2191" s="9" t="s">
        <v>46385</v>
      </c>
      <c r="E2191" s="61">
        <v>45488.0</v>
      </c>
      <c r="F2191" s="9" t="b">
        <v>1</v>
      </c>
      <c r="G2191" s="9" t="s">
        <v>38801</v>
      </c>
      <c r="H2191" s="9" t="s">
        <v>42560</v>
      </c>
      <c r="I2191" s="9" t="b">
        <v>1</v>
      </c>
    </row>
    <row r="2192" ht="15.75" customHeight="1">
      <c r="A2192" s="9" t="s">
        <v>46386</v>
      </c>
      <c r="B2192" s="9" t="s">
        <v>131</v>
      </c>
      <c r="C2192" s="9" t="s">
        <v>41785</v>
      </c>
      <c r="D2192" s="9" t="s">
        <v>42560</v>
      </c>
      <c r="E2192" s="61">
        <v>45488.0</v>
      </c>
      <c r="F2192" s="9" t="b">
        <v>1</v>
      </c>
      <c r="G2192" s="9" t="s">
        <v>38801</v>
      </c>
      <c r="H2192" s="9" t="s">
        <v>42576</v>
      </c>
      <c r="I2192" s="9" t="b">
        <v>1</v>
      </c>
    </row>
    <row r="2193" ht="15.75" customHeight="1">
      <c r="A2193" s="9" t="s">
        <v>46387</v>
      </c>
      <c r="B2193" s="9" t="s">
        <v>131</v>
      </c>
      <c r="C2193" s="9" t="s">
        <v>41790</v>
      </c>
      <c r="D2193" s="9" t="s">
        <v>46388</v>
      </c>
      <c r="E2193" s="61">
        <v>45489.0</v>
      </c>
      <c r="F2193" s="9" t="b">
        <v>1</v>
      </c>
      <c r="G2193" s="9" t="s">
        <v>42585</v>
      </c>
      <c r="H2193" s="9" t="s">
        <v>42576</v>
      </c>
      <c r="I2193" s="9"/>
    </row>
    <row r="2194" ht="15.75" customHeight="1">
      <c r="A2194" s="9" t="s">
        <v>46389</v>
      </c>
      <c r="B2194" s="9" t="s">
        <v>26</v>
      </c>
      <c r="C2194" s="9" t="s">
        <v>41729</v>
      </c>
      <c r="D2194" s="9" t="s">
        <v>46390</v>
      </c>
      <c r="E2194" s="61">
        <v>45490.0</v>
      </c>
      <c r="F2194" s="9" t="b">
        <v>1</v>
      </c>
      <c r="G2194" s="9" t="s">
        <v>38801</v>
      </c>
      <c r="H2194" s="9" t="s">
        <v>42560</v>
      </c>
      <c r="I2194" s="9" t="b">
        <v>1</v>
      </c>
    </row>
    <row r="2195" ht="15.75" customHeight="1">
      <c r="A2195" s="9" t="s">
        <v>46391</v>
      </c>
      <c r="B2195" s="9" t="s">
        <v>26</v>
      </c>
      <c r="C2195" s="9" t="s">
        <v>41542</v>
      </c>
      <c r="D2195" s="9" t="s">
        <v>46392</v>
      </c>
      <c r="E2195" s="61">
        <v>45490.0</v>
      </c>
      <c r="F2195" s="9" t="b">
        <v>1</v>
      </c>
      <c r="G2195" s="9" t="s">
        <v>38801</v>
      </c>
      <c r="H2195" s="9" t="s">
        <v>42560</v>
      </c>
      <c r="I2195" s="9" t="b">
        <v>1</v>
      </c>
    </row>
    <row r="2196" ht="15.75" customHeight="1">
      <c r="A2196" s="9" t="s">
        <v>46393</v>
      </c>
      <c r="B2196" s="9" t="s">
        <v>26</v>
      </c>
      <c r="C2196" s="9" t="s">
        <v>41718</v>
      </c>
      <c r="D2196" s="9" t="s">
        <v>46394</v>
      </c>
      <c r="E2196" s="61">
        <v>45490.0</v>
      </c>
      <c r="F2196" s="9" t="b">
        <v>1</v>
      </c>
      <c r="G2196" s="9" t="s">
        <v>43228</v>
      </c>
      <c r="H2196" s="9" t="s">
        <v>42560</v>
      </c>
      <c r="I2196" s="9"/>
    </row>
    <row r="2197" ht="15.75" customHeight="1">
      <c r="A2197" s="9" t="s">
        <v>46395</v>
      </c>
      <c r="B2197" s="9" t="s">
        <v>26</v>
      </c>
      <c r="C2197" s="9" t="s">
        <v>41732</v>
      </c>
      <c r="D2197" s="9" t="s">
        <v>46396</v>
      </c>
      <c r="E2197" s="61">
        <v>45490.0</v>
      </c>
      <c r="F2197" s="9" t="b">
        <v>1</v>
      </c>
      <c r="G2197" s="9" t="s">
        <v>43228</v>
      </c>
      <c r="H2197" s="9" t="s">
        <v>42560</v>
      </c>
      <c r="I2197" s="9"/>
    </row>
    <row r="2198" ht="15.75" customHeight="1">
      <c r="A2198" s="9" t="s">
        <v>46397</v>
      </c>
      <c r="B2198" s="9" t="s">
        <v>26</v>
      </c>
      <c r="C2198" s="9" t="s">
        <v>41790</v>
      </c>
      <c r="D2198" s="9" t="s">
        <v>46394</v>
      </c>
      <c r="E2198" s="61">
        <v>45490.0</v>
      </c>
      <c r="F2198" s="9" t="b">
        <v>1</v>
      </c>
      <c r="G2198" s="9" t="s">
        <v>43228</v>
      </c>
      <c r="H2198" s="9" t="s">
        <v>42560</v>
      </c>
      <c r="I2198" s="9"/>
    </row>
    <row r="2199" ht="15.75" customHeight="1">
      <c r="A2199" s="9" t="s">
        <v>46398</v>
      </c>
      <c r="B2199" s="9" t="s">
        <v>131</v>
      </c>
      <c r="C2199" s="9" t="s">
        <v>41791</v>
      </c>
      <c r="D2199" s="9" t="s">
        <v>46399</v>
      </c>
      <c r="E2199" s="61">
        <v>45490.0</v>
      </c>
      <c r="F2199" s="9" t="b">
        <v>1</v>
      </c>
      <c r="G2199" s="9" t="s">
        <v>38801</v>
      </c>
      <c r="H2199" s="9" t="s">
        <v>42576</v>
      </c>
      <c r="I2199" s="9" t="b">
        <v>1</v>
      </c>
    </row>
    <row r="2200" ht="15.75" customHeight="1">
      <c r="A2200" s="9" t="s">
        <v>46400</v>
      </c>
      <c r="B2200" s="9" t="s">
        <v>131</v>
      </c>
      <c r="C2200" s="9" t="s">
        <v>41793</v>
      </c>
      <c r="D2200" s="9" t="s">
        <v>42019</v>
      </c>
      <c r="E2200" s="61">
        <v>45490.0</v>
      </c>
      <c r="F2200" s="9" t="b">
        <v>1</v>
      </c>
      <c r="G2200" s="9" t="s">
        <v>38801</v>
      </c>
      <c r="H2200" s="9" t="s">
        <v>42576</v>
      </c>
      <c r="I2200" s="9" t="b">
        <v>1</v>
      </c>
    </row>
    <row r="2201" ht="15.75" customHeight="1">
      <c r="A2201" s="9" t="s">
        <v>46401</v>
      </c>
      <c r="B2201" s="9" t="s">
        <v>26</v>
      </c>
      <c r="C2201" s="9" t="s">
        <v>41570</v>
      </c>
      <c r="D2201" s="9" t="s">
        <v>46402</v>
      </c>
      <c r="E2201" s="61">
        <v>45490.0</v>
      </c>
      <c r="F2201" s="9" t="b">
        <v>1</v>
      </c>
      <c r="G2201" s="9" t="s">
        <v>38801</v>
      </c>
      <c r="H2201" s="9" t="s">
        <v>42560</v>
      </c>
      <c r="I2201" s="9" t="b">
        <v>1</v>
      </c>
    </row>
    <row r="2202" ht="15.75" customHeight="1">
      <c r="A2202" s="9" t="s">
        <v>46403</v>
      </c>
      <c r="B2202" s="9" t="s">
        <v>26</v>
      </c>
      <c r="C2202" s="9" t="s">
        <v>41600</v>
      </c>
      <c r="D2202" s="9" t="s">
        <v>46404</v>
      </c>
      <c r="E2202" s="61">
        <v>45490.0</v>
      </c>
      <c r="F2202" s="9" t="b">
        <v>1</v>
      </c>
      <c r="G2202" s="9" t="s">
        <v>38801</v>
      </c>
      <c r="H2202" s="9" t="s">
        <v>42560</v>
      </c>
      <c r="I2202" s="9" t="b">
        <v>1</v>
      </c>
    </row>
    <row r="2203" ht="15.75" customHeight="1">
      <c r="A2203" s="9" t="s">
        <v>46405</v>
      </c>
      <c r="B2203" s="9" t="s">
        <v>89</v>
      </c>
      <c r="C2203" s="9" t="s">
        <v>41797</v>
      </c>
      <c r="D2203" s="9" t="s">
        <v>46406</v>
      </c>
      <c r="E2203" s="61">
        <v>45492.0</v>
      </c>
      <c r="F2203" s="9" t="b">
        <v>1</v>
      </c>
      <c r="G2203" s="9" t="s">
        <v>38801</v>
      </c>
      <c r="H2203" s="9" t="s">
        <v>42560</v>
      </c>
      <c r="I2203" s="9" t="b">
        <v>1</v>
      </c>
    </row>
    <row r="2204" ht="15.75" customHeight="1">
      <c r="A2204" s="9" t="s">
        <v>46407</v>
      </c>
      <c r="B2204" s="9" t="s">
        <v>47</v>
      </c>
      <c r="C2204" s="9" t="s">
        <v>41783</v>
      </c>
      <c r="D2204" s="9" t="s">
        <v>46408</v>
      </c>
      <c r="E2204" s="61">
        <v>45492.0</v>
      </c>
      <c r="F2204" s="9" t="b">
        <v>1</v>
      </c>
      <c r="G2204" s="9" t="s">
        <v>38801</v>
      </c>
      <c r="H2204" s="9" t="s">
        <v>42576</v>
      </c>
      <c r="I2204" s="9" t="b">
        <v>1</v>
      </c>
    </row>
    <row r="2205" ht="15.75" customHeight="1">
      <c r="A2205" s="9" t="s">
        <v>46409</v>
      </c>
      <c r="B2205" s="9" t="s">
        <v>131</v>
      </c>
      <c r="C2205" s="9" t="s">
        <v>41794</v>
      </c>
      <c r="D2205" s="9" t="s">
        <v>42560</v>
      </c>
      <c r="E2205" s="61">
        <v>45492.0</v>
      </c>
      <c r="F2205" s="9" t="b">
        <v>1</v>
      </c>
      <c r="G2205" s="9" t="s">
        <v>38801</v>
      </c>
      <c r="H2205" s="9" t="s">
        <v>42576</v>
      </c>
      <c r="I2205" s="9" t="b">
        <v>1</v>
      </c>
    </row>
    <row r="2206" ht="15.75" customHeight="1">
      <c r="A2206" s="9" t="s">
        <v>46410</v>
      </c>
      <c r="B2206" s="9" t="s">
        <v>26</v>
      </c>
      <c r="C2206" s="9" t="s">
        <v>41799</v>
      </c>
      <c r="D2206" s="9" t="s">
        <v>46411</v>
      </c>
      <c r="E2206" s="61">
        <v>45502.0</v>
      </c>
      <c r="F2206" s="9" t="b">
        <v>1</v>
      </c>
      <c r="G2206" s="9" t="s">
        <v>43228</v>
      </c>
      <c r="H2206" s="9" t="s">
        <v>42560</v>
      </c>
      <c r="I2206" s="9"/>
    </row>
    <row r="2207" ht="15.75" customHeight="1">
      <c r="A2207" s="9" t="s">
        <v>46412</v>
      </c>
      <c r="B2207" s="9" t="s">
        <v>26</v>
      </c>
      <c r="C2207" s="9" t="s">
        <v>41799</v>
      </c>
      <c r="D2207" s="9" t="s">
        <v>46413</v>
      </c>
      <c r="E2207" s="61">
        <v>45502.0</v>
      </c>
      <c r="F2207" s="9" t="b">
        <v>1</v>
      </c>
      <c r="G2207" s="9" t="s">
        <v>38801</v>
      </c>
      <c r="H2207" s="9" t="s">
        <v>42560</v>
      </c>
      <c r="I2207" s="9" t="b">
        <v>1</v>
      </c>
    </row>
    <row r="2208" ht="15.75" customHeight="1">
      <c r="A2208" s="9" t="s">
        <v>46414</v>
      </c>
      <c r="B2208" s="9" t="s">
        <v>26</v>
      </c>
      <c r="C2208" s="9" t="s">
        <v>41801</v>
      </c>
      <c r="D2208" s="9" t="s">
        <v>46415</v>
      </c>
      <c r="E2208" s="61">
        <v>45502.0</v>
      </c>
      <c r="F2208" s="9" t="b">
        <v>1</v>
      </c>
      <c r="G2208" s="9" t="s">
        <v>38801</v>
      </c>
      <c r="H2208" s="9" t="s">
        <v>42560</v>
      </c>
      <c r="I2208" s="9" t="b">
        <v>1</v>
      </c>
    </row>
    <row r="2209" ht="15.75" customHeight="1">
      <c r="A2209" s="9" t="s">
        <v>46416</v>
      </c>
      <c r="B2209" s="9" t="s">
        <v>47</v>
      </c>
      <c r="C2209" s="9" t="s">
        <v>41803</v>
      </c>
      <c r="D2209" s="9" t="s">
        <v>42560</v>
      </c>
      <c r="E2209" s="61">
        <v>45504.0</v>
      </c>
      <c r="F2209" s="9" t="b">
        <v>1</v>
      </c>
      <c r="G2209" s="9" t="s">
        <v>38801</v>
      </c>
      <c r="H2209" s="9" t="s">
        <v>42576</v>
      </c>
      <c r="I2209" s="9" t="b">
        <v>1</v>
      </c>
    </row>
    <row r="2210" ht="15.75" customHeight="1">
      <c r="A2210" s="9" t="s">
        <v>46417</v>
      </c>
      <c r="B2210" s="9" t="s">
        <v>131</v>
      </c>
      <c r="C2210" s="9" t="s">
        <v>41807</v>
      </c>
      <c r="D2210" s="9" t="s">
        <v>42560</v>
      </c>
      <c r="E2210" s="61">
        <v>45505.0</v>
      </c>
      <c r="F2210" s="9" t="b">
        <v>1</v>
      </c>
      <c r="G2210" s="9" t="s">
        <v>38801</v>
      </c>
      <c r="H2210" s="9" t="s">
        <v>42576</v>
      </c>
      <c r="I2210" s="9" t="b">
        <v>1</v>
      </c>
    </row>
    <row r="2211" ht="15.75" customHeight="1">
      <c r="A2211" s="9" t="s">
        <v>46418</v>
      </c>
      <c r="B2211" s="9" t="s">
        <v>47</v>
      </c>
      <c r="C2211" s="9" t="s">
        <v>41809</v>
      </c>
      <c r="D2211" s="9" t="s">
        <v>44260</v>
      </c>
      <c r="E2211" s="61">
        <v>45505.0</v>
      </c>
      <c r="F2211" s="9" t="b">
        <v>1</v>
      </c>
      <c r="G2211" s="9" t="s">
        <v>38801</v>
      </c>
      <c r="H2211" s="9" t="s">
        <v>42576</v>
      </c>
      <c r="I2211" s="9" t="b">
        <v>1</v>
      </c>
    </row>
    <row r="2212" ht="15.75" customHeight="1">
      <c r="A2212" s="9" t="s">
        <v>46419</v>
      </c>
      <c r="B2212" s="9" t="s">
        <v>47</v>
      </c>
      <c r="C2212" s="52" t="s">
        <v>41811</v>
      </c>
      <c r="D2212" s="9" t="s">
        <v>46420</v>
      </c>
      <c r="E2212" s="61">
        <v>45509.0</v>
      </c>
      <c r="F2212" s="9" t="b">
        <v>1</v>
      </c>
      <c r="G2212" s="9" t="s">
        <v>38801</v>
      </c>
      <c r="H2212" s="9" t="s">
        <v>42576</v>
      </c>
      <c r="I2212" s="9" t="b">
        <v>1</v>
      </c>
    </row>
    <row r="2213" ht="15.75" customHeight="1">
      <c r="A2213" s="9" t="s">
        <v>46421</v>
      </c>
      <c r="B2213" s="9" t="s">
        <v>47</v>
      </c>
      <c r="C2213" s="9" t="s">
        <v>41813</v>
      </c>
      <c r="D2213" s="9" t="s">
        <v>46422</v>
      </c>
      <c r="E2213" s="61">
        <v>45509.0</v>
      </c>
      <c r="F2213" s="9" t="b">
        <v>1</v>
      </c>
      <c r="G2213" s="9" t="s">
        <v>43228</v>
      </c>
      <c r="H2213" s="9" t="s">
        <v>38800</v>
      </c>
      <c r="I2213" s="9"/>
    </row>
    <row r="2214" ht="15.75" customHeight="1">
      <c r="A2214" s="9" t="s">
        <v>46423</v>
      </c>
      <c r="B2214" s="9" t="s">
        <v>47</v>
      </c>
      <c r="C2214" s="9" t="s">
        <v>41815</v>
      </c>
      <c r="D2214" s="9" t="s">
        <v>46424</v>
      </c>
      <c r="E2214" s="61">
        <v>45509.0</v>
      </c>
      <c r="F2214" s="9" t="b">
        <v>1</v>
      </c>
      <c r="G2214" s="9" t="s">
        <v>38801</v>
      </c>
      <c r="H2214" s="9" t="s">
        <v>42560</v>
      </c>
      <c r="I2214" s="9" t="b">
        <v>1</v>
      </c>
    </row>
    <row r="2215" ht="15.75" customHeight="1">
      <c r="A2215" s="9" t="s">
        <v>46425</v>
      </c>
      <c r="B2215" s="9" t="s">
        <v>47</v>
      </c>
      <c r="C2215" s="9" t="s">
        <v>41817</v>
      </c>
      <c r="D2215" s="9" t="s">
        <v>46426</v>
      </c>
      <c r="E2215" s="61">
        <v>45509.0</v>
      </c>
      <c r="F2215" s="9" t="b">
        <v>1</v>
      </c>
      <c r="G2215" s="9" t="s">
        <v>38801</v>
      </c>
      <c r="H2215" s="9" t="s">
        <v>42576</v>
      </c>
      <c r="I2215" s="9" t="b">
        <v>1</v>
      </c>
    </row>
    <row r="2216" ht="15.75" customHeight="1">
      <c r="A2216" s="9" t="s">
        <v>46427</v>
      </c>
      <c r="B2216" s="9" t="s">
        <v>47</v>
      </c>
      <c r="C2216" s="9" t="s">
        <v>41819</v>
      </c>
      <c r="D2216" s="9" t="s">
        <v>46428</v>
      </c>
      <c r="E2216" s="61">
        <v>45509.0</v>
      </c>
      <c r="F2216" s="9" t="b">
        <v>1</v>
      </c>
      <c r="G2216" s="9" t="s">
        <v>43228</v>
      </c>
      <c r="H2216" s="9" t="s">
        <v>42576</v>
      </c>
      <c r="I2216" s="9"/>
    </row>
    <row r="2217" ht="15.75" customHeight="1">
      <c r="A2217" s="9" t="s">
        <v>46429</v>
      </c>
      <c r="B2217" s="9" t="s">
        <v>47</v>
      </c>
      <c r="C2217" s="9" t="s">
        <v>41821</v>
      </c>
      <c r="D2217" s="9" t="s">
        <v>46430</v>
      </c>
      <c r="E2217" s="61">
        <v>45509.0</v>
      </c>
      <c r="F2217" s="9" t="b">
        <v>1</v>
      </c>
      <c r="G2217" s="9" t="s">
        <v>38801</v>
      </c>
      <c r="H2217" s="9" t="s">
        <v>42560</v>
      </c>
      <c r="I2217" s="9" t="b">
        <v>1</v>
      </c>
    </row>
    <row r="2218" ht="15.75" customHeight="1">
      <c r="A2218" s="9" t="s">
        <v>46431</v>
      </c>
      <c r="B2218" s="9" t="s">
        <v>47</v>
      </c>
      <c r="C2218" s="9" t="s">
        <v>41823</v>
      </c>
      <c r="D2218" s="9" t="s">
        <v>46432</v>
      </c>
      <c r="E2218" s="61">
        <v>45509.0</v>
      </c>
      <c r="F2218" s="9" t="b">
        <v>1</v>
      </c>
      <c r="G2218" s="9" t="s">
        <v>43228</v>
      </c>
      <c r="H2218" s="9" t="s">
        <v>42560</v>
      </c>
      <c r="I2218" s="9"/>
    </row>
    <row r="2219" ht="15.75" customHeight="1">
      <c r="A2219" s="9" t="s">
        <v>46433</v>
      </c>
      <c r="B2219" s="9" t="s">
        <v>47</v>
      </c>
      <c r="C2219" s="9" t="s">
        <v>41823</v>
      </c>
      <c r="D2219" s="9" t="s">
        <v>46434</v>
      </c>
      <c r="E2219" s="61">
        <v>45509.0</v>
      </c>
      <c r="F2219" s="9" t="b">
        <v>1</v>
      </c>
      <c r="G2219" s="9" t="s">
        <v>43228</v>
      </c>
      <c r="H2219" s="9" t="s">
        <v>42576</v>
      </c>
      <c r="I2219" s="9"/>
    </row>
    <row r="2220" ht="15.75" customHeight="1">
      <c r="A2220" s="9" t="s">
        <v>46435</v>
      </c>
      <c r="B2220" s="9" t="s">
        <v>131</v>
      </c>
      <c r="C2220" s="9" t="s">
        <v>41824</v>
      </c>
      <c r="D2220" s="9" t="s">
        <v>42560</v>
      </c>
      <c r="E2220" s="61">
        <v>45509.0</v>
      </c>
      <c r="F2220" s="9" t="b">
        <v>1</v>
      </c>
      <c r="G2220" s="9" t="s">
        <v>38801</v>
      </c>
      <c r="H2220" s="9" t="s">
        <v>42560</v>
      </c>
      <c r="I2220" s="9" t="b">
        <v>1</v>
      </c>
    </row>
    <row r="2221" ht="15.75" customHeight="1">
      <c r="A2221" s="9" t="s">
        <v>46436</v>
      </c>
      <c r="B2221" s="9" t="s">
        <v>131</v>
      </c>
      <c r="C2221" s="9" t="s">
        <v>41787</v>
      </c>
      <c r="D2221" s="9" t="s">
        <v>42560</v>
      </c>
      <c r="E2221" s="61">
        <v>45510.0</v>
      </c>
      <c r="F2221" s="9" t="b">
        <v>1</v>
      </c>
      <c r="G2221" s="9" t="s">
        <v>38801</v>
      </c>
      <c r="H2221" s="9" t="s">
        <v>42576</v>
      </c>
      <c r="I2221" s="9" t="b">
        <v>1</v>
      </c>
    </row>
    <row r="2222" ht="15.75" customHeight="1">
      <c r="A2222" s="9" t="s">
        <v>46437</v>
      </c>
      <c r="B2222" s="9" t="s">
        <v>47</v>
      </c>
      <c r="C2222" s="9" t="s">
        <v>41825</v>
      </c>
      <c r="D2222" s="9" t="s">
        <v>46438</v>
      </c>
      <c r="E2222" s="61">
        <v>45510.0</v>
      </c>
      <c r="F2222" s="9" t="b">
        <v>1</v>
      </c>
      <c r="G2222" s="9" t="s">
        <v>38801</v>
      </c>
      <c r="H2222" s="9" t="s">
        <v>42576</v>
      </c>
      <c r="I2222" s="9" t="b">
        <v>1</v>
      </c>
    </row>
    <row r="2223" ht="15.75" customHeight="1">
      <c r="A2223" s="9" t="s">
        <v>46439</v>
      </c>
      <c r="B2223" s="9" t="s">
        <v>47</v>
      </c>
      <c r="C2223" s="9" t="s">
        <v>41827</v>
      </c>
      <c r="D2223" s="9" t="s">
        <v>46440</v>
      </c>
      <c r="E2223" s="61">
        <v>45510.0</v>
      </c>
      <c r="F2223" s="9" t="b">
        <v>1</v>
      </c>
      <c r="G2223" s="9" t="s">
        <v>38801</v>
      </c>
      <c r="H2223" s="9" t="s">
        <v>42576</v>
      </c>
      <c r="I2223" s="9" t="b">
        <v>1</v>
      </c>
    </row>
    <row r="2224" ht="15.75" customHeight="1">
      <c r="A2224" s="9" t="s">
        <v>46441</v>
      </c>
      <c r="B2224" s="9" t="s">
        <v>47</v>
      </c>
      <c r="C2224" s="9" t="s">
        <v>41829</v>
      </c>
      <c r="D2224" s="9" t="s">
        <v>46442</v>
      </c>
      <c r="E2224" s="61">
        <v>45510.0</v>
      </c>
      <c r="F2224" s="9" t="b">
        <v>1</v>
      </c>
      <c r="G2224" s="9" t="s">
        <v>38801</v>
      </c>
      <c r="H2224" s="9" t="s">
        <v>42576</v>
      </c>
      <c r="I2224" s="9" t="b">
        <v>1</v>
      </c>
    </row>
    <row r="2225" ht="15.75" customHeight="1">
      <c r="A2225" s="52" t="s">
        <v>46443</v>
      </c>
      <c r="B2225" s="9" t="s">
        <v>26</v>
      </c>
      <c r="C2225" s="9" t="s">
        <v>41570</v>
      </c>
      <c r="D2225" s="9" t="s">
        <v>46444</v>
      </c>
      <c r="E2225" s="61">
        <v>45511.0</v>
      </c>
      <c r="F2225" s="9" t="b">
        <v>1</v>
      </c>
      <c r="G2225" s="9" t="s">
        <v>38801</v>
      </c>
      <c r="H2225" s="9" t="s">
        <v>42560</v>
      </c>
      <c r="I2225" s="9" t="b">
        <v>1</v>
      </c>
    </row>
    <row r="2226" ht="15.75" customHeight="1">
      <c r="A2226" s="9" t="s">
        <v>46445</v>
      </c>
      <c r="B2226" s="9" t="s">
        <v>47</v>
      </c>
      <c r="C2226" s="9" t="s">
        <v>41831</v>
      </c>
      <c r="D2226" s="9" t="s">
        <v>46446</v>
      </c>
      <c r="E2226" s="61">
        <v>45512.0</v>
      </c>
      <c r="F2226" s="9" t="b">
        <v>1</v>
      </c>
      <c r="G2226" s="9" t="s">
        <v>43228</v>
      </c>
      <c r="H2226" s="9" t="s">
        <v>42576</v>
      </c>
      <c r="I2226" s="9"/>
    </row>
    <row r="2227" ht="15.75" customHeight="1">
      <c r="A2227" s="9" t="s">
        <v>46447</v>
      </c>
      <c r="B2227" s="9" t="s">
        <v>47</v>
      </c>
      <c r="C2227" s="9" t="s">
        <v>41813</v>
      </c>
      <c r="D2227" s="9" t="s">
        <v>46448</v>
      </c>
      <c r="E2227" s="61">
        <v>45512.0</v>
      </c>
      <c r="F2227" s="9" t="b">
        <v>1</v>
      </c>
      <c r="G2227" s="9" t="s">
        <v>38801</v>
      </c>
      <c r="H2227" s="9" t="s">
        <v>42576</v>
      </c>
      <c r="I2227" s="9" t="b">
        <v>1</v>
      </c>
    </row>
    <row r="2228" ht="15.75" customHeight="1">
      <c r="A2228" s="9" t="s">
        <v>46449</v>
      </c>
      <c r="B2228" s="9" t="s">
        <v>131</v>
      </c>
      <c r="C2228" s="9" t="s">
        <v>41833</v>
      </c>
      <c r="D2228" s="9" t="s">
        <v>42560</v>
      </c>
      <c r="E2228" s="61">
        <v>45513.0</v>
      </c>
      <c r="F2228" s="9" t="b">
        <v>1</v>
      </c>
      <c r="G2228" s="9" t="s">
        <v>38801</v>
      </c>
      <c r="H2228" s="9" t="s">
        <v>42576</v>
      </c>
      <c r="I2228" s="9" t="b">
        <v>1</v>
      </c>
    </row>
    <row r="2229" ht="15.75" customHeight="1">
      <c r="A2229" s="52" t="s">
        <v>46450</v>
      </c>
      <c r="B2229" s="9" t="s">
        <v>131</v>
      </c>
      <c r="C2229" s="9" t="s">
        <v>41842</v>
      </c>
      <c r="D2229" s="9" t="s">
        <v>42560</v>
      </c>
      <c r="E2229" s="61">
        <v>45513.0</v>
      </c>
      <c r="F2229" s="9" t="b">
        <v>1</v>
      </c>
      <c r="G2229" s="9" t="s">
        <v>38801</v>
      </c>
      <c r="H2229" s="9" t="s">
        <v>42576</v>
      </c>
      <c r="I2229" s="9" t="b">
        <v>1</v>
      </c>
    </row>
    <row r="2230" ht="15.75" customHeight="1">
      <c r="A2230" s="9" t="s">
        <v>46451</v>
      </c>
      <c r="B2230" s="9" t="s">
        <v>131</v>
      </c>
      <c r="C2230" s="9" t="s">
        <v>41847</v>
      </c>
      <c r="D2230" s="9" t="s">
        <v>42560</v>
      </c>
      <c r="E2230" s="61">
        <v>45513.0</v>
      </c>
      <c r="F2230" s="9" t="b">
        <v>1</v>
      </c>
      <c r="G2230" s="9" t="s">
        <v>38801</v>
      </c>
      <c r="H2230" s="9" t="s">
        <v>42576</v>
      </c>
      <c r="I2230" s="9" t="b">
        <v>1</v>
      </c>
    </row>
    <row r="2231" ht="15.75" customHeight="1">
      <c r="A2231" s="9" t="s">
        <v>46452</v>
      </c>
      <c r="B2231" s="9" t="s">
        <v>131</v>
      </c>
      <c r="C2231" s="9" t="s">
        <v>41851</v>
      </c>
      <c r="D2231" s="9" t="s">
        <v>42560</v>
      </c>
      <c r="E2231" s="61">
        <v>45513.0</v>
      </c>
      <c r="F2231" s="9" t="b">
        <v>1</v>
      </c>
      <c r="G2231" s="9" t="s">
        <v>38801</v>
      </c>
      <c r="H2231" s="9" t="s">
        <v>42576</v>
      </c>
      <c r="I2231" s="9" t="b">
        <v>1</v>
      </c>
    </row>
    <row r="2232" ht="15.75" customHeight="1">
      <c r="A2232" s="9" t="s">
        <v>46453</v>
      </c>
      <c r="B2232" s="9" t="s">
        <v>131</v>
      </c>
      <c r="C2232" s="9" t="s">
        <v>41852</v>
      </c>
      <c r="D2232" s="9" t="s">
        <v>42560</v>
      </c>
      <c r="E2232" s="61">
        <v>45513.0</v>
      </c>
      <c r="F2232" s="9" t="b">
        <v>1</v>
      </c>
      <c r="G2232" s="9" t="s">
        <v>38801</v>
      </c>
      <c r="H2232" s="9" t="s">
        <v>42576</v>
      </c>
      <c r="I2232" s="9" t="b">
        <v>1</v>
      </c>
    </row>
    <row r="2233" ht="15.75" customHeight="1">
      <c r="A2233" s="9" t="s">
        <v>46454</v>
      </c>
      <c r="B2233" s="9" t="s">
        <v>131</v>
      </c>
      <c r="C2233" s="9" t="s">
        <v>41840</v>
      </c>
      <c r="D2233" s="9" t="s">
        <v>42560</v>
      </c>
      <c r="E2233" s="61">
        <v>45513.0</v>
      </c>
      <c r="F2233" s="9" t="b">
        <v>1</v>
      </c>
      <c r="G2233" s="9" t="s">
        <v>38801</v>
      </c>
      <c r="H2233" s="9" t="s">
        <v>42576</v>
      </c>
      <c r="I2233" s="9" t="b">
        <v>1</v>
      </c>
    </row>
    <row r="2234" ht="15.75" customHeight="1">
      <c r="A2234" s="9" t="s">
        <v>46455</v>
      </c>
      <c r="B2234" s="9" t="s">
        <v>131</v>
      </c>
      <c r="C2234" s="9" t="s">
        <v>41844</v>
      </c>
      <c r="D2234" s="9" t="s">
        <v>42560</v>
      </c>
      <c r="E2234" s="61">
        <v>45513.0</v>
      </c>
      <c r="F2234" s="9" t="b">
        <v>1</v>
      </c>
      <c r="G2234" s="9" t="s">
        <v>38801</v>
      </c>
      <c r="H2234" s="9" t="s">
        <v>42576</v>
      </c>
      <c r="I2234" s="9" t="b">
        <v>1</v>
      </c>
    </row>
    <row r="2235" ht="15.75" customHeight="1">
      <c r="A2235" s="9" t="s">
        <v>46456</v>
      </c>
      <c r="B2235" s="9" t="s">
        <v>131</v>
      </c>
      <c r="C2235" s="9" t="s">
        <v>41845</v>
      </c>
      <c r="D2235" s="9" t="s">
        <v>42560</v>
      </c>
      <c r="E2235" s="61">
        <v>45513.0</v>
      </c>
      <c r="F2235" s="9" t="b">
        <v>1</v>
      </c>
      <c r="G2235" s="9" t="s">
        <v>38801</v>
      </c>
      <c r="H2235" s="9" t="s">
        <v>42576</v>
      </c>
      <c r="I2235" s="9" t="b">
        <v>1</v>
      </c>
    </row>
    <row r="2236" ht="15.75" customHeight="1">
      <c r="A2236" s="9" t="s">
        <v>46457</v>
      </c>
      <c r="B2236" s="9" t="s">
        <v>131</v>
      </c>
      <c r="C2236" s="9" t="s">
        <v>41848</v>
      </c>
      <c r="D2236" s="9" t="s">
        <v>42560</v>
      </c>
      <c r="E2236" s="61">
        <v>45513.0</v>
      </c>
      <c r="F2236" s="9" t="b">
        <v>1</v>
      </c>
      <c r="G2236" s="9" t="s">
        <v>38801</v>
      </c>
      <c r="H2236" s="9" t="s">
        <v>42576</v>
      </c>
      <c r="I2236" s="9" t="b">
        <v>1</v>
      </c>
    </row>
    <row r="2237" ht="15.75" customHeight="1">
      <c r="A2237" s="9" t="s">
        <v>46458</v>
      </c>
      <c r="B2237" s="9" t="s">
        <v>131</v>
      </c>
      <c r="C2237" s="9" t="s">
        <v>41849</v>
      </c>
      <c r="D2237" s="9" t="s">
        <v>42560</v>
      </c>
      <c r="E2237" s="61">
        <v>45513.0</v>
      </c>
      <c r="F2237" s="9" t="b">
        <v>1</v>
      </c>
      <c r="G2237" s="9" t="s">
        <v>38801</v>
      </c>
      <c r="H2237" s="9" t="s">
        <v>42576</v>
      </c>
      <c r="I2237" s="9" t="b">
        <v>1</v>
      </c>
    </row>
    <row r="2238" ht="15.75" customHeight="1">
      <c r="A2238" s="9" t="s">
        <v>46459</v>
      </c>
      <c r="B2238" s="9" t="s">
        <v>131</v>
      </c>
      <c r="C2238" s="9" t="s">
        <v>41834</v>
      </c>
      <c r="D2238" s="9" t="s">
        <v>42560</v>
      </c>
      <c r="E2238" s="61">
        <v>45513.0</v>
      </c>
      <c r="F2238" s="9" t="b">
        <v>1</v>
      </c>
      <c r="G2238" s="9" t="s">
        <v>38801</v>
      </c>
      <c r="H2238" s="9" t="s">
        <v>42576</v>
      </c>
      <c r="I2238" s="9" t="b">
        <v>1</v>
      </c>
    </row>
    <row r="2239" ht="15.75" customHeight="1">
      <c r="A2239" s="9" t="s">
        <v>46460</v>
      </c>
      <c r="B2239" s="9" t="s">
        <v>131</v>
      </c>
      <c r="C2239" s="9" t="s">
        <v>41836</v>
      </c>
      <c r="D2239" s="9" t="s">
        <v>42560</v>
      </c>
      <c r="E2239" s="61">
        <v>45513.0</v>
      </c>
      <c r="F2239" s="9" t="b">
        <v>1</v>
      </c>
      <c r="G2239" s="9" t="s">
        <v>38801</v>
      </c>
      <c r="H2239" s="9" t="s">
        <v>42576</v>
      </c>
      <c r="I2239" s="9" t="b">
        <v>1</v>
      </c>
    </row>
    <row r="2240" ht="15.75" customHeight="1">
      <c r="A2240" s="9" t="s">
        <v>46461</v>
      </c>
      <c r="B2240" s="9" t="s">
        <v>131</v>
      </c>
      <c r="C2240" s="52" t="s">
        <v>41837</v>
      </c>
      <c r="D2240" s="9" t="s">
        <v>42560</v>
      </c>
      <c r="E2240" s="61">
        <v>45513.0</v>
      </c>
      <c r="F2240" s="9" t="b">
        <v>1</v>
      </c>
      <c r="G2240" s="9" t="s">
        <v>38801</v>
      </c>
      <c r="H2240" s="9" t="s">
        <v>42576</v>
      </c>
      <c r="I2240" s="9" t="b">
        <v>1</v>
      </c>
    </row>
    <row r="2241" ht="15.75" customHeight="1">
      <c r="A2241" s="9" t="s">
        <v>46462</v>
      </c>
      <c r="B2241" s="9" t="s">
        <v>131</v>
      </c>
      <c r="C2241" s="9" t="s">
        <v>41838</v>
      </c>
      <c r="D2241" s="9" t="s">
        <v>42560</v>
      </c>
      <c r="E2241" s="61">
        <v>45513.0</v>
      </c>
      <c r="F2241" s="9" t="b">
        <v>1</v>
      </c>
      <c r="G2241" s="9" t="s">
        <v>38801</v>
      </c>
      <c r="H2241" s="9" t="s">
        <v>42576</v>
      </c>
      <c r="I2241" s="9" t="b">
        <v>1</v>
      </c>
    </row>
    <row r="2242" ht="15.75" customHeight="1">
      <c r="A2242" s="9" t="s">
        <v>46463</v>
      </c>
      <c r="B2242" s="9" t="s">
        <v>131</v>
      </c>
      <c r="C2242" s="9" t="s">
        <v>41839</v>
      </c>
      <c r="D2242" s="9" t="s">
        <v>42560</v>
      </c>
      <c r="E2242" s="61">
        <v>45513.0</v>
      </c>
      <c r="F2242" s="9" t="b">
        <v>1</v>
      </c>
      <c r="G2242" s="9" t="s">
        <v>38801</v>
      </c>
      <c r="H2242" s="9" t="s">
        <v>42576</v>
      </c>
      <c r="I2242" s="9" t="b">
        <v>1</v>
      </c>
    </row>
    <row r="2243" ht="15.75" customHeight="1">
      <c r="A2243" s="9" t="s">
        <v>46464</v>
      </c>
      <c r="B2243" s="9" t="s">
        <v>131</v>
      </c>
      <c r="C2243" s="9" t="s">
        <v>41819</v>
      </c>
      <c r="D2243" s="9" t="s">
        <v>42560</v>
      </c>
      <c r="E2243" s="61">
        <v>45513.0</v>
      </c>
      <c r="F2243" s="9" t="b">
        <v>1</v>
      </c>
      <c r="G2243" s="9" t="s">
        <v>38801</v>
      </c>
      <c r="H2243" s="9" t="s">
        <v>42576</v>
      </c>
      <c r="I2243" s="9" t="b">
        <v>1</v>
      </c>
    </row>
    <row r="2244" ht="15.75" customHeight="1">
      <c r="A2244" s="9" t="s">
        <v>46465</v>
      </c>
      <c r="B2244" s="9" t="s">
        <v>47</v>
      </c>
      <c r="C2244" s="9" t="s">
        <v>41853</v>
      </c>
      <c r="D2244" s="9" t="s">
        <v>46466</v>
      </c>
      <c r="E2244" s="61">
        <v>45516.0</v>
      </c>
      <c r="F2244" s="9" t="b">
        <v>1</v>
      </c>
      <c r="G2244" s="9" t="s">
        <v>38801</v>
      </c>
      <c r="H2244" s="9" t="s">
        <v>42576</v>
      </c>
      <c r="I2244" s="9" t="b">
        <v>1</v>
      </c>
    </row>
    <row r="2245" ht="15.75" customHeight="1">
      <c r="A2245" s="9" t="s">
        <v>46467</v>
      </c>
      <c r="B2245" s="9" t="s">
        <v>47</v>
      </c>
      <c r="C2245" s="9" t="s">
        <v>41856</v>
      </c>
      <c r="D2245" s="9" t="s">
        <v>46468</v>
      </c>
      <c r="E2245" s="61">
        <v>45518.0</v>
      </c>
      <c r="F2245" s="9" t="b">
        <v>1</v>
      </c>
      <c r="G2245" s="9" t="s">
        <v>38801</v>
      </c>
      <c r="H2245" s="9" t="s">
        <v>42576</v>
      </c>
      <c r="I2245" s="9" t="b">
        <v>1</v>
      </c>
    </row>
    <row r="2246" ht="15.75" customHeight="1">
      <c r="A2246" s="9" t="s">
        <v>46469</v>
      </c>
      <c r="B2246" s="9" t="s">
        <v>26</v>
      </c>
      <c r="C2246" s="9" t="s">
        <v>41855</v>
      </c>
      <c r="D2246" s="9" t="s">
        <v>46470</v>
      </c>
      <c r="E2246" s="61">
        <v>45520.0</v>
      </c>
      <c r="F2246" s="9" t="b">
        <v>1</v>
      </c>
      <c r="G2246" s="9" t="s">
        <v>42573</v>
      </c>
      <c r="H2246" s="9" t="s">
        <v>42560</v>
      </c>
      <c r="I2246" s="9"/>
    </row>
    <row r="2247" ht="15.75" customHeight="1">
      <c r="A2247" s="9" t="s">
        <v>46471</v>
      </c>
      <c r="B2247" s="9" t="s">
        <v>26</v>
      </c>
      <c r="C2247" s="9" t="s">
        <v>41805</v>
      </c>
      <c r="D2247" s="9" t="s">
        <v>44044</v>
      </c>
      <c r="E2247" s="61">
        <v>45523.0</v>
      </c>
      <c r="F2247" s="9" t="b">
        <v>1</v>
      </c>
      <c r="G2247" s="9" t="s">
        <v>38801</v>
      </c>
      <c r="H2247" s="9" t="s">
        <v>42560</v>
      </c>
      <c r="I2247" s="9" t="b">
        <v>1</v>
      </c>
    </row>
    <row r="2248" ht="15.75" customHeight="1">
      <c r="A2248" s="9" t="s">
        <v>46472</v>
      </c>
      <c r="B2248" s="9" t="s">
        <v>26</v>
      </c>
      <c r="C2248" s="9" t="s">
        <v>41855</v>
      </c>
      <c r="D2248" s="9" t="s">
        <v>46473</v>
      </c>
      <c r="E2248" s="61">
        <v>45523.0</v>
      </c>
      <c r="F2248" s="9" t="b">
        <v>1</v>
      </c>
      <c r="G2248" s="9" t="s">
        <v>43228</v>
      </c>
      <c r="H2248" s="9" t="s">
        <v>42560</v>
      </c>
      <c r="I2248" s="9"/>
    </row>
    <row r="2249" ht="15.75" customHeight="1">
      <c r="A2249" s="9" t="s">
        <v>46474</v>
      </c>
      <c r="B2249" s="9" t="s">
        <v>26</v>
      </c>
      <c r="C2249" s="9" t="s">
        <v>41862</v>
      </c>
      <c r="D2249" s="9" t="s">
        <v>46475</v>
      </c>
      <c r="E2249" s="61">
        <v>45523.0</v>
      </c>
      <c r="F2249" s="9" t="b">
        <v>1</v>
      </c>
      <c r="G2249" s="9" t="s">
        <v>38801</v>
      </c>
      <c r="H2249" s="9" t="s">
        <v>42560</v>
      </c>
      <c r="I2249" s="9" t="b">
        <v>1</v>
      </c>
    </row>
    <row r="2250" ht="15.75" customHeight="1">
      <c r="A2250" s="9" t="s">
        <v>46476</v>
      </c>
      <c r="B2250" s="9" t="s">
        <v>26</v>
      </c>
      <c r="C2250" s="9" t="s">
        <v>41861</v>
      </c>
      <c r="D2250" s="9" t="s">
        <v>45300</v>
      </c>
      <c r="E2250" s="61">
        <v>45523.0</v>
      </c>
      <c r="F2250" s="9" t="b">
        <v>1</v>
      </c>
      <c r="G2250" s="9" t="s">
        <v>38801</v>
      </c>
      <c r="H2250" s="9" t="s">
        <v>42560</v>
      </c>
      <c r="I2250" s="9" t="b">
        <v>1</v>
      </c>
    </row>
    <row r="2251" ht="15.75" customHeight="1">
      <c r="A2251" s="9" t="s">
        <v>46477</v>
      </c>
      <c r="B2251" s="9" t="s">
        <v>26</v>
      </c>
      <c r="C2251" s="9" t="s">
        <v>41863</v>
      </c>
      <c r="D2251" s="9" t="s">
        <v>45300</v>
      </c>
      <c r="E2251" s="61">
        <v>45523.0</v>
      </c>
      <c r="F2251" s="9" t="b">
        <v>1</v>
      </c>
      <c r="G2251" s="9" t="s">
        <v>38801</v>
      </c>
      <c r="H2251" s="9" t="s">
        <v>42560</v>
      </c>
      <c r="I2251" s="9" t="b">
        <v>1</v>
      </c>
    </row>
    <row r="2252" ht="15.75" customHeight="1">
      <c r="A2252" s="9" t="s">
        <v>46478</v>
      </c>
      <c r="B2252" s="9" t="s">
        <v>26</v>
      </c>
      <c r="C2252" s="9" t="s">
        <v>41859</v>
      </c>
      <c r="D2252" s="9" t="s">
        <v>45300</v>
      </c>
      <c r="E2252" s="61">
        <v>45523.0</v>
      </c>
      <c r="F2252" s="9" t="b">
        <v>1</v>
      </c>
      <c r="G2252" s="9" t="s">
        <v>38801</v>
      </c>
      <c r="H2252" s="9" t="s">
        <v>42560</v>
      </c>
      <c r="I2252" s="9" t="b">
        <v>1</v>
      </c>
    </row>
    <row r="2253" ht="15.75" customHeight="1">
      <c r="A2253" s="9" t="s">
        <v>46479</v>
      </c>
      <c r="B2253" s="9" t="s">
        <v>26</v>
      </c>
      <c r="C2253" s="9" t="s">
        <v>41864</v>
      </c>
      <c r="D2253" s="9" t="s">
        <v>46480</v>
      </c>
      <c r="E2253" s="61">
        <v>45524.0</v>
      </c>
      <c r="F2253" s="9" t="b">
        <v>1</v>
      </c>
      <c r="G2253" s="9" t="s">
        <v>42632</v>
      </c>
      <c r="H2253" s="9" t="s">
        <v>42560</v>
      </c>
      <c r="I2253" s="9"/>
    </row>
    <row r="2254" ht="15.75" customHeight="1">
      <c r="A2254" s="9" t="s">
        <v>46481</v>
      </c>
      <c r="B2254" s="9" t="s">
        <v>131</v>
      </c>
      <c r="C2254" s="9" t="s">
        <v>41866</v>
      </c>
      <c r="D2254" s="9" t="s">
        <v>46482</v>
      </c>
      <c r="E2254" s="61">
        <v>45524.0</v>
      </c>
      <c r="F2254" s="9" t="b">
        <v>1</v>
      </c>
      <c r="G2254" s="9" t="s">
        <v>38801</v>
      </c>
      <c r="H2254" s="9" t="s">
        <v>42576</v>
      </c>
      <c r="I2254" s="9" t="b">
        <v>1</v>
      </c>
    </row>
    <row r="2255" ht="15.75" customHeight="1">
      <c r="A2255" s="9" t="s">
        <v>46483</v>
      </c>
      <c r="B2255" s="9" t="s">
        <v>131</v>
      </c>
      <c r="C2255" s="9" t="s">
        <v>41858</v>
      </c>
      <c r="D2255" s="9" t="s">
        <v>42560</v>
      </c>
      <c r="E2255" s="61">
        <v>45525.0</v>
      </c>
      <c r="F2255" s="9" t="b">
        <v>1</v>
      </c>
      <c r="G2255" s="9" t="s">
        <v>38801</v>
      </c>
      <c r="H2255" s="9" t="s">
        <v>42576</v>
      </c>
      <c r="I2255" s="9" t="b">
        <v>1</v>
      </c>
    </row>
    <row r="2256" ht="15.75" customHeight="1">
      <c r="A2256" s="9" t="s">
        <v>46484</v>
      </c>
      <c r="B2256" s="9" t="s">
        <v>47</v>
      </c>
      <c r="C2256" s="9" t="s">
        <v>41868</v>
      </c>
      <c r="D2256" s="9" t="s">
        <v>42560</v>
      </c>
      <c r="E2256" s="61">
        <v>45527.0</v>
      </c>
      <c r="F2256" s="9" t="b">
        <v>1</v>
      </c>
      <c r="G2256" s="9" t="s">
        <v>38801</v>
      </c>
      <c r="H2256" s="9" t="s">
        <v>42576</v>
      </c>
      <c r="I2256" s="9" t="b">
        <v>1</v>
      </c>
    </row>
    <row r="2257" ht="15.75" customHeight="1">
      <c r="A2257" s="9" t="s">
        <v>46485</v>
      </c>
      <c r="B2257" s="9" t="s">
        <v>47</v>
      </c>
      <c r="C2257" s="9" t="s">
        <v>41869</v>
      </c>
      <c r="D2257" s="9" t="s">
        <v>46486</v>
      </c>
      <c r="E2257" s="61">
        <v>45527.0</v>
      </c>
      <c r="F2257" s="9" t="b">
        <v>1</v>
      </c>
      <c r="G2257" s="9" t="s">
        <v>38801</v>
      </c>
      <c r="H2257" s="9" t="s">
        <v>42576</v>
      </c>
      <c r="I2257" s="9" t="b">
        <v>1</v>
      </c>
    </row>
    <row r="2258" ht="15.75" customHeight="1">
      <c r="A2258" s="9" t="s">
        <v>46487</v>
      </c>
      <c r="B2258" s="9" t="s">
        <v>47</v>
      </c>
      <c r="C2258" s="9" t="s">
        <v>41869</v>
      </c>
      <c r="D2258" s="9" t="s">
        <v>46488</v>
      </c>
      <c r="E2258" s="61">
        <v>45527.0</v>
      </c>
      <c r="F2258" s="9" t="b">
        <v>1</v>
      </c>
      <c r="G2258" s="9" t="s">
        <v>38801</v>
      </c>
      <c r="H2258" s="9" t="s">
        <v>42576</v>
      </c>
      <c r="I2258" s="9" t="b">
        <v>1</v>
      </c>
    </row>
    <row r="2259" ht="15.75" customHeight="1">
      <c r="A2259" s="9" t="s">
        <v>46489</v>
      </c>
      <c r="B2259" s="9" t="s">
        <v>131</v>
      </c>
      <c r="C2259" s="9" t="s">
        <v>41871</v>
      </c>
      <c r="D2259" s="9" t="s">
        <v>42560</v>
      </c>
      <c r="E2259" s="61">
        <v>45530.0</v>
      </c>
      <c r="F2259" s="9" t="b">
        <v>1</v>
      </c>
      <c r="G2259" s="9" t="s">
        <v>38801</v>
      </c>
      <c r="H2259" s="9" t="s">
        <v>42576</v>
      </c>
      <c r="I2259" s="9" t="b">
        <v>1</v>
      </c>
    </row>
    <row r="2260" ht="15.75" customHeight="1">
      <c r="A2260" s="9" t="s">
        <v>46490</v>
      </c>
      <c r="B2260" s="9" t="s">
        <v>131</v>
      </c>
      <c r="C2260" s="9" t="s">
        <v>41872</v>
      </c>
      <c r="D2260" s="9" t="s">
        <v>42560</v>
      </c>
      <c r="E2260" s="61">
        <v>45530.0</v>
      </c>
      <c r="F2260" s="9" t="b">
        <v>1</v>
      </c>
      <c r="G2260" s="9" t="s">
        <v>38801</v>
      </c>
      <c r="H2260" s="9" t="s">
        <v>42576</v>
      </c>
      <c r="I2260" s="9" t="b">
        <v>1</v>
      </c>
    </row>
    <row r="2261" ht="15.75" customHeight="1">
      <c r="A2261" s="9" t="s">
        <v>46491</v>
      </c>
      <c r="B2261" s="9" t="s">
        <v>131</v>
      </c>
      <c r="C2261" s="9" t="s">
        <v>41874</v>
      </c>
      <c r="D2261" s="9" t="s">
        <v>42560</v>
      </c>
      <c r="E2261" s="61">
        <v>45530.0</v>
      </c>
      <c r="F2261" s="9" t="b">
        <v>1</v>
      </c>
      <c r="G2261" s="9" t="s">
        <v>38801</v>
      </c>
      <c r="H2261" s="9" t="s">
        <v>42576</v>
      </c>
      <c r="I2261" s="9" t="b">
        <v>1</v>
      </c>
    </row>
    <row r="2262" ht="15.75" customHeight="1">
      <c r="A2262" s="9" t="s">
        <v>46492</v>
      </c>
      <c r="B2262" s="9" t="s">
        <v>131</v>
      </c>
      <c r="C2262" s="9" t="s">
        <v>41876</v>
      </c>
      <c r="D2262" s="9" t="s">
        <v>46493</v>
      </c>
      <c r="E2262" s="61">
        <v>45530.0</v>
      </c>
      <c r="F2262" s="9" t="b">
        <v>1</v>
      </c>
      <c r="G2262" s="9" t="s">
        <v>43228</v>
      </c>
      <c r="H2262" s="9" t="s">
        <v>42560</v>
      </c>
      <c r="I2262" s="9"/>
    </row>
    <row r="2263" ht="15.75" customHeight="1">
      <c r="A2263" s="9" t="s">
        <v>46494</v>
      </c>
      <c r="B2263" s="9" t="s">
        <v>26</v>
      </c>
      <c r="C2263" s="9" t="s">
        <v>41877</v>
      </c>
      <c r="D2263" s="9" t="s">
        <v>46495</v>
      </c>
      <c r="E2263" s="61">
        <v>45532.0</v>
      </c>
      <c r="F2263" s="9" t="b">
        <v>1</v>
      </c>
      <c r="G2263" s="9" t="s">
        <v>38801</v>
      </c>
      <c r="H2263" s="9" t="s">
        <v>42560</v>
      </c>
      <c r="I2263" s="9" t="b">
        <v>1</v>
      </c>
    </row>
    <row r="2264" ht="15.75" customHeight="1">
      <c r="A2264" s="9" t="s">
        <v>46496</v>
      </c>
      <c r="B2264" s="9" t="s">
        <v>47</v>
      </c>
      <c r="C2264" s="9" t="s">
        <v>41879</v>
      </c>
      <c r="D2264" s="9" t="s">
        <v>46497</v>
      </c>
      <c r="E2264" s="61">
        <v>45532.0</v>
      </c>
      <c r="F2264" s="9" t="b">
        <v>1</v>
      </c>
      <c r="G2264" s="9" t="s">
        <v>38801</v>
      </c>
      <c r="H2264" s="9" t="s">
        <v>42576</v>
      </c>
      <c r="I2264" s="9" t="b">
        <v>1</v>
      </c>
    </row>
    <row r="2265" ht="15.75" customHeight="1">
      <c r="A2265" s="9" t="s">
        <v>46498</v>
      </c>
      <c r="B2265" s="9" t="s">
        <v>47</v>
      </c>
      <c r="C2265" s="9" t="s">
        <v>41881</v>
      </c>
      <c r="D2265" s="9" t="s">
        <v>46499</v>
      </c>
      <c r="E2265" s="61">
        <v>45532.0</v>
      </c>
      <c r="F2265" s="9" t="b">
        <v>1</v>
      </c>
      <c r="G2265" s="9" t="s">
        <v>38801</v>
      </c>
      <c r="H2265" s="9" t="s">
        <v>42576</v>
      </c>
      <c r="I2265" s="9" t="b">
        <v>1</v>
      </c>
    </row>
    <row r="2266" ht="15.75" customHeight="1">
      <c r="A2266" s="9" t="s">
        <v>46500</v>
      </c>
      <c r="B2266" s="9" t="s">
        <v>131</v>
      </c>
      <c r="C2266" s="9" t="s">
        <v>41883</v>
      </c>
      <c r="D2266" s="9" t="s">
        <v>42560</v>
      </c>
      <c r="E2266" s="61">
        <v>45533.0</v>
      </c>
      <c r="F2266" s="9" t="b">
        <v>1</v>
      </c>
      <c r="G2266" s="9" t="s">
        <v>38801</v>
      </c>
      <c r="H2266" s="9" t="s">
        <v>42576</v>
      </c>
      <c r="I2266" s="9" t="b">
        <v>1</v>
      </c>
    </row>
    <row r="2267" ht="15.75" customHeight="1">
      <c r="A2267" s="9" t="s">
        <v>46501</v>
      </c>
      <c r="B2267" s="9" t="s">
        <v>47</v>
      </c>
      <c r="C2267" s="9" t="s">
        <v>41885</v>
      </c>
      <c r="D2267" s="9" t="s">
        <v>46502</v>
      </c>
      <c r="E2267" s="61">
        <v>45533.0</v>
      </c>
      <c r="F2267" s="9" t="b">
        <v>1</v>
      </c>
      <c r="G2267" s="9" t="s">
        <v>38801</v>
      </c>
      <c r="H2267" s="9" t="s">
        <v>42576</v>
      </c>
      <c r="I2267" s="9" t="b">
        <v>1</v>
      </c>
    </row>
    <row r="2268" ht="15.75" customHeight="1">
      <c r="A2268" s="9" t="s">
        <v>46503</v>
      </c>
      <c r="B2268" s="9" t="s">
        <v>131</v>
      </c>
      <c r="C2268" s="9" t="s">
        <v>41887</v>
      </c>
      <c r="D2268" s="9" t="s">
        <v>46504</v>
      </c>
      <c r="E2268" s="61">
        <v>45534.0</v>
      </c>
      <c r="F2268" s="9" t="b">
        <v>1</v>
      </c>
      <c r="G2268" s="9" t="s">
        <v>38801</v>
      </c>
      <c r="H2268" s="9" t="s">
        <v>42576</v>
      </c>
      <c r="I2268" s="9" t="b">
        <v>1</v>
      </c>
    </row>
    <row r="2269" ht="15.75" customHeight="1">
      <c r="A2269" s="9" t="s">
        <v>46505</v>
      </c>
      <c r="B2269" s="9" t="s">
        <v>131</v>
      </c>
      <c r="C2269" s="9" t="s">
        <v>41888</v>
      </c>
      <c r="D2269" s="9" t="s">
        <v>46506</v>
      </c>
      <c r="E2269" s="61">
        <v>45534.0</v>
      </c>
      <c r="F2269" s="9" t="b">
        <v>1</v>
      </c>
      <c r="G2269" s="9" t="s">
        <v>38801</v>
      </c>
      <c r="H2269" s="9" t="s">
        <v>42576</v>
      </c>
      <c r="I2269" s="9" t="b">
        <v>1</v>
      </c>
    </row>
    <row r="2270" ht="15.75" customHeight="1">
      <c r="A2270" s="9" t="s">
        <v>46507</v>
      </c>
      <c r="B2270" s="9" t="s">
        <v>47</v>
      </c>
      <c r="C2270" s="9" t="s">
        <v>41889</v>
      </c>
      <c r="D2270" s="9" t="s">
        <v>46508</v>
      </c>
      <c r="E2270" s="61">
        <v>45537.0</v>
      </c>
      <c r="F2270" s="9" t="b">
        <v>1</v>
      </c>
      <c r="G2270" s="9" t="s">
        <v>38801</v>
      </c>
      <c r="H2270" s="9" t="s">
        <v>42576</v>
      </c>
      <c r="I2270" s="9" t="b">
        <v>1</v>
      </c>
    </row>
    <row r="2271" ht="15.75" customHeight="1">
      <c r="A2271" s="9" t="s">
        <v>46509</v>
      </c>
      <c r="B2271" s="9" t="s">
        <v>47</v>
      </c>
      <c r="C2271" s="9" t="s">
        <v>41891</v>
      </c>
      <c r="D2271" s="9" t="s">
        <v>46510</v>
      </c>
      <c r="E2271" s="61">
        <v>45537.0</v>
      </c>
      <c r="F2271" s="9" t="b">
        <v>1</v>
      </c>
      <c r="G2271" s="9" t="s">
        <v>38801</v>
      </c>
      <c r="H2271" s="9" t="s">
        <v>42576</v>
      </c>
      <c r="I2271" s="9" t="b">
        <v>1</v>
      </c>
    </row>
    <row r="2272" ht="15.75" customHeight="1">
      <c r="A2272" s="9" t="s">
        <v>46511</v>
      </c>
      <c r="B2272" s="9" t="s">
        <v>47</v>
      </c>
      <c r="C2272" s="9" t="s">
        <v>41893</v>
      </c>
      <c r="D2272" s="9" t="s">
        <v>46512</v>
      </c>
      <c r="E2272" s="61">
        <v>45539.0</v>
      </c>
      <c r="F2272" s="9" t="b">
        <v>1</v>
      </c>
      <c r="G2272" s="9" t="s">
        <v>43228</v>
      </c>
      <c r="H2272" s="9" t="s">
        <v>42576</v>
      </c>
      <c r="I2272" s="9"/>
    </row>
    <row r="2273" ht="15.75" customHeight="1">
      <c r="A2273" s="9" t="s">
        <v>46513</v>
      </c>
      <c r="B2273" s="9" t="s">
        <v>47</v>
      </c>
      <c r="C2273" s="9" t="s">
        <v>41895</v>
      </c>
      <c r="D2273" s="9" t="s">
        <v>46514</v>
      </c>
      <c r="E2273" s="61">
        <v>45539.0</v>
      </c>
      <c r="F2273" s="9" t="b">
        <v>1</v>
      </c>
      <c r="G2273" s="9" t="s">
        <v>43228</v>
      </c>
      <c r="H2273" s="9" t="s">
        <v>42576</v>
      </c>
      <c r="I2273" s="9"/>
    </row>
    <row r="2274" ht="15.75" customHeight="1">
      <c r="A2274" s="9" t="s">
        <v>46515</v>
      </c>
      <c r="B2274" s="9" t="s">
        <v>47</v>
      </c>
      <c r="C2274" s="9" t="s">
        <v>41897</v>
      </c>
      <c r="D2274" s="9" t="s">
        <v>43724</v>
      </c>
      <c r="E2274" s="61">
        <v>45539.0</v>
      </c>
      <c r="F2274" s="9" t="b">
        <v>1</v>
      </c>
      <c r="G2274" s="9" t="s">
        <v>38801</v>
      </c>
      <c r="H2274" s="9" t="s">
        <v>42576</v>
      </c>
      <c r="I2274" s="9" t="b">
        <v>1</v>
      </c>
    </row>
    <row r="2275" ht="15.75" customHeight="1">
      <c r="A2275" s="9" t="s">
        <v>46516</v>
      </c>
      <c r="B2275" s="9" t="s">
        <v>47</v>
      </c>
      <c r="C2275" s="9" t="s">
        <v>41899</v>
      </c>
      <c r="D2275" s="9" t="s">
        <v>46517</v>
      </c>
      <c r="E2275" s="61">
        <v>45539.0</v>
      </c>
      <c r="F2275" s="9" t="b">
        <v>1</v>
      </c>
      <c r="G2275" s="9" t="s">
        <v>38801</v>
      </c>
      <c r="H2275" s="9" t="s">
        <v>42576</v>
      </c>
      <c r="I2275" s="9" t="b">
        <v>1</v>
      </c>
    </row>
    <row r="2276" ht="15.75" customHeight="1">
      <c r="A2276" s="9" t="s">
        <v>46518</v>
      </c>
      <c r="B2276" s="9" t="s">
        <v>76</v>
      </c>
      <c r="C2276" s="9" t="s">
        <v>41732</v>
      </c>
      <c r="D2276" s="9" t="s">
        <v>46519</v>
      </c>
      <c r="E2276" s="61">
        <v>45541.0</v>
      </c>
      <c r="F2276" s="9" t="b">
        <v>1</v>
      </c>
      <c r="G2276" s="9" t="s">
        <v>38801</v>
      </c>
      <c r="H2276" s="9" t="s">
        <v>42560</v>
      </c>
      <c r="I2276" s="9" t="b">
        <v>1</v>
      </c>
    </row>
    <row r="2277" ht="15.75" customHeight="1">
      <c r="A2277" s="9" t="s">
        <v>46520</v>
      </c>
      <c r="B2277" s="9" t="s">
        <v>76</v>
      </c>
      <c r="C2277" s="9" t="s">
        <v>41718</v>
      </c>
      <c r="D2277" s="9" t="s">
        <v>46521</v>
      </c>
      <c r="E2277" s="61">
        <v>45541.0</v>
      </c>
      <c r="F2277" s="9" t="b">
        <v>1</v>
      </c>
      <c r="G2277" s="9" t="s">
        <v>38801</v>
      </c>
      <c r="H2277" s="9" t="s">
        <v>42576</v>
      </c>
      <c r="I2277" s="9" t="b">
        <v>1</v>
      </c>
    </row>
    <row r="2278" ht="15.75" customHeight="1">
      <c r="A2278" s="9" t="s">
        <v>46522</v>
      </c>
      <c r="B2278" s="9" t="s">
        <v>131</v>
      </c>
      <c r="C2278" s="9" t="s">
        <v>41902</v>
      </c>
      <c r="D2278" s="9" t="s">
        <v>46523</v>
      </c>
      <c r="E2278" s="61">
        <v>45544.0</v>
      </c>
      <c r="F2278" s="9" t="b">
        <v>1</v>
      </c>
      <c r="G2278" s="9" t="s">
        <v>43228</v>
      </c>
      <c r="H2278" s="9" t="s">
        <v>42576</v>
      </c>
      <c r="I2278" s="9"/>
    </row>
    <row r="2279" ht="15.75" customHeight="1">
      <c r="A2279" s="9" t="s">
        <v>46524</v>
      </c>
      <c r="B2279" s="9" t="s">
        <v>131</v>
      </c>
      <c r="C2279" s="9" t="s">
        <v>41903</v>
      </c>
      <c r="D2279" s="9" t="s">
        <v>45568</v>
      </c>
      <c r="E2279" s="61">
        <v>45544.0</v>
      </c>
      <c r="F2279" s="9" t="b">
        <v>1</v>
      </c>
      <c r="G2279" s="9" t="s">
        <v>38801</v>
      </c>
      <c r="H2279" s="9" t="s">
        <v>42576</v>
      </c>
      <c r="I2279" s="9" t="b">
        <v>1</v>
      </c>
    </row>
    <row r="2280" ht="15.75" customHeight="1">
      <c r="A2280" s="9" t="s">
        <v>46525</v>
      </c>
      <c r="B2280" s="9" t="s">
        <v>131</v>
      </c>
      <c r="C2280" s="9" t="s">
        <v>41905</v>
      </c>
      <c r="D2280" s="9" t="s">
        <v>42560</v>
      </c>
      <c r="E2280" s="61">
        <v>45544.0</v>
      </c>
      <c r="F2280" s="9" t="b">
        <v>1</v>
      </c>
      <c r="G2280" s="9" t="s">
        <v>38801</v>
      </c>
      <c r="H2280" s="9" t="s">
        <v>42576</v>
      </c>
      <c r="I2280" s="9" t="b">
        <v>1</v>
      </c>
    </row>
    <row r="2281" ht="15.75" customHeight="1">
      <c r="A2281" s="52" t="s">
        <v>46526</v>
      </c>
      <c r="B2281" s="9" t="s">
        <v>89</v>
      </c>
      <c r="C2281" s="9" t="s">
        <v>41906</v>
      </c>
      <c r="D2281" s="9" t="s">
        <v>46527</v>
      </c>
      <c r="E2281" s="61">
        <v>45545.0</v>
      </c>
      <c r="F2281" s="9" t="b">
        <v>1</v>
      </c>
      <c r="G2281" s="9" t="s">
        <v>38801</v>
      </c>
      <c r="H2281" s="9" t="s">
        <v>42576</v>
      </c>
      <c r="I2281" s="9" t="b">
        <v>1</v>
      </c>
    </row>
    <row r="2282" ht="15.75" customHeight="1">
      <c r="A2282" s="9" t="s">
        <v>46528</v>
      </c>
      <c r="B2282" s="9" t="s">
        <v>89</v>
      </c>
      <c r="C2282" s="9" t="s">
        <v>41908</v>
      </c>
      <c r="D2282" s="9" t="s">
        <v>46529</v>
      </c>
      <c r="E2282" s="61">
        <v>45545.0</v>
      </c>
      <c r="F2282" s="9" t="b">
        <v>1</v>
      </c>
      <c r="G2282" s="9" t="s">
        <v>38801</v>
      </c>
      <c r="H2282" s="9" t="s">
        <v>42560</v>
      </c>
      <c r="I2282" s="9" t="b">
        <v>1</v>
      </c>
    </row>
    <row r="2283" ht="15.75" customHeight="1">
      <c r="A2283" s="9" t="s">
        <v>46530</v>
      </c>
      <c r="B2283" s="9" t="s">
        <v>89</v>
      </c>
      <c r="C2283" s="9" t="s">
        <v>41910</v>
      </c>
      <c r="D2283" s="9" t="s">
        <v>46531</v>
      </c>
      <c r="E2283" s="61">
        <v>45545.0</v>
      </c>
      <c r="F2283" s="9" t="b">
        <v>1</v>
      </c>
      <c r="G2283" s="9" t="s">
        <v>38801</v>
      </c>
      <c r="H2283" s="9" t="s">
        <v>42560</v>
      </c>
      <c r="I2283" s="9" t="b">
        <v>1</v>
      </c>
    </row>
    <row r="2284" ht="15.75" customHeight="1">
      <c r="A2284" s="9" t="s">
        <v>46532</v>
      </c>
      <c r="B2284" s="9" t="s">
        <v>89</v>
      </c>
      <c r="C2284" s="9" t="s">
        <v>41912</v>
      </c>
      <c r="D2284" s="9" t="s">
        <v>46533</v>
      </c>
      <c r="E2284" s="61">
        <v>45545.0</v>
      </c>
      <c r="F2284" s="9" t="b">
        <v>1</v>
      </c>
      <c r="G2284" s="9" t="s">
        <v>38801</v>
      </c>
      <c r="H2284" s="9" t="s">
        <v>42560</v>
      </c>
      <c r="I2284" s="9" t="b">
        <v>1</v>
      </c>
    </row>
    <row r="2285" ht="15.75" customHeight="1">
      <c r="A2285" s="9" t="s">
        <v>46534</v>
      </c>
      <c r="B2285" s="9" t="s">
        <v>89</v>
      </c>
      <c r="C2285" s="9" t="s">
        <v>41914</v>
      </c>
      <c r="D2285" s="9" t="s">
        <v>46535</v>
      </c>
      <c r="E2285" s="61">
        <v>45545.0</v>
      </c>
      <c r="F2285" s="9" t="b">
        <v>1</v>
      </c>
      <c r="G2285" s="9" t="s">
        <v>38801</v>
      </c>
      <c r="H2285" s="9" t="s">
        <v>42560</v>
      </c>
      <c r="I2285" s="9" t="b">
        <v>1</v>
      </c>
    </row>
    <row r="2286" ht="15.75" customHeight="1">
      <c r="A2286" s="9" t="s">
        <v>46536</v>
      </c>
      <c r="B2286" s="9" t="s">
        <v>47</v>
      </c>
      <c r="C2286" s="9" t="s">
        <v>41916</v>
      </c>
      <c r="D2286" s="9" t="s">
        <v>46537</v>
      </c>
      <c r="E2286" s="61">
        <v>45545.0</v>
      </c>
      <c r="F2286" s="9" t="b">
        <v>1</v>
      </c>
      <c r="G2286" s="9" t="s">
        <v>38801</v>
      </c>
      <c r="H2286" s="9" t="s">
        <v>42576</v>
      </c>
      <c r="I2286" s="9" t="b">
        <v>1</v>
      </c>
    </row>
    <row r="2287" ht="15.75" customHeight="1">
      <c r="A2287" s="9" t="s">
        <v>46538</v>
      </c>
      <c r="B2287" s="9" t="s">
        <v>47</v>
      </c>
      <c r="C2287" s="9" t="s">
        <v>41895</v>
      </c>
      <c r="D2287" s="9" t="s">
        <v>46539</v>
      </c>
      <c r="E2287" s="61">
        <v>45545.0</v>
      </c>
      <c r="F2287" s="9" t="b">
        <v>1</v>
      </c>
      <c r="G2287" s="9" t="s">
        <v>38801</v>
      </c>
      <c r="H2287" s="9" t="s">
        <v>42576</v>
      </c>
      <c r="I2287" s="9" t="b">
        <v>1</v>
      </c>
    </row>
    <row r="2288" ht="15.75" customHeight="1">
      <c r="A2288" s="9" t="s">
        <v>46540</v>
      </c>
      <c r="B2288" s="9" t="s">
        <v>47</v>
      </c>
      <c r="C2288" s="9" t="s">
        <v>41893</v>
      </c>
      <c r="D2288" s="9" t="s">
        <v>43895</v>
      </c>
      <c r="E2288" s="61">
        <v>45545.0</v>
      </c>
      <c r="F2288" s="9" t="b">
        <v>1</v>
      </c>
      <c r="G2288" s="9" t="s">
        <v>38801</v>
      </c>
      <c r="H2288" s="9" t="s">
        <v>42576</v>
      </c>
      <c r="I2288" s="9" t="b">
        <v>1</v>
      </c>
    </row>
    <row r="2289" ht="15.75" customHeight="1">
      <c r="A2289" s="9" t="s">
        <v>46541</v>
      </c>
      <c r="B2289" s="9" t="s">
        <v>76</v>
      </c>
      <c r="C2289" s="9" t="s">
        <v>41876</v>
      </c>
      <c r="D2289" s="9" t="s">
        <v>46542</v>
      </c>
      <c r="E2289" s="61">
        <v>45547.0</v>
      </c>
      <c r="F2289" s="9" t="b">
        <v>1</v>
      </c>
      <c r="G2289" s="9" t="s">
        <v>38801</v>
      </c>
      <c r="H2289" s="9" t="s">
        <v>42576</v>
      </c>
      <c r="I2289" s="9" t="b">
        <v>1</v>
      </c>
    </row>
    <row r="2290" ht="15.75" customHeight="1">
      <c r="A2290" s="9" t="s">
        <v>46543</v>
      </c>
      <c r="B2290" s="9" t="s">
        <v>76</v>
      </c>
      <c r="C2290" s="9" t="s">
        <v>41855</v>
      </c>
      <c r="D2290" s="9" t="s">
        <v>46544</v>
      </c>
      <c r="E2290" s="61">
        <v>45547.0</v>
      </c>
      <c r="F2290" s="9" t="b">
        <v>1</v>
      </c>
      <c r="G2290" s="9" t="s">
        <v>38801</v>
      </c>
      <c r="H2290" s="9" t="s">
        <v>42576</v>
      </c>
      <c r="I2290" s="9" t="b">
        <v>1</v>
      </c>
    </row>
    <row r="2291" ht="15.75" customHeight="1">
      <c r="A2291" s="9" t="s">
        <v>46545</v>
      </c>
      <c r="B2291" s="9" t="s">
        <v>47</v>
      </c>
      <c r="C2291" s="9" t="s">
        <v>41233</v>
      </c>
      <c r="D2291" s="9" t="s">
        <v>46546</v>
      </c>
      <c r="E2291" s="61">
        <v>45548.0</v>
      </c>
      <c r="F2291" s="9" t="b">
        <v>1</v>
      </c>
      <c r="G2291" s="9" t="s">
        <v>42585</v>
      </c>
      <c r="H2291" s="9" t="s">
        <v>38800</v>
      </c>
      <c r="I2291" s="9"/>
    </row>
    <row r="2292" ht="15.75" customHeight="1">
      <c r="A2292" s="9" t="s">
        <v>46547</v>
      </c>
      <c r="B2292" s="9" t="s">
        <v>47</v>
      </c>
      <c r="C2292" s="9" t="s">
        <v>41919</v>
      </c>
      <c r="D2292" s="9" t="s">
        <v>46548</v>
      </c>
      <c r="E2292" s="61">
        <v>45551.0</v>
      </c>
      <c r="F2292" s="9" t="b">
        <v>1</v>
      </c>
      <c r="G2292" s="9" t="s">
        <v>38801</v>
      </c>
      <c r="H2292" s="9" t="s">
        <v>42576</v>
      </c>
      <c r="I2292" s="9" t="b">
        <v>1</v>
      </c>
    </row>
    <row r="2293" ht="15.75" customHeight="1">
      <c r="A2293" s="9" t="s">
        <v>46549</v>
      </c>
      <c r="B2293" s="9" t="s">
        <v>89</v>
      </c>
      <c r="C2293" s="9" t="s">
        <v>41914</v>
      </c>
      <c r="D2293" s="9" t="s">
        <v>46550</v>
      </c>
      <c r="E2293" s="61">
        <v>45551.0</v>
      </c>
      <c r="F2293" s="9" t="b">
        <v>1</v>
      </c>
      <c r="G2293" s="9" t="s">
        <v>38801</v>
      </c>
      <c r="H2293" s="9" t="s">
        <v>42560</v>
      </c>
      <c r="I2293" s="9" t="b">
        <v>1</v>
      </c>
    </row>
    <row r="2294" ht="15.75" customHeight="1">
      <c r="A2294" s="9" t="s">
        <v>46551</v>
      </c>
      <c r="B2294" s="9" t="s">
        <v>131</v>
      </c>
      <c r="C2294" s="9" t="s">
        <v>41902</v>
      </c>
      <c r="D2294" s="9" t="s">
        <v>42560</v>
      </c>
      <c r="E2294" s="61">
        <v>45555.0</v>
      </c>
      <c r="F2294" s="9" t="b">
        <v>1</v>
      </c>
      <c r="G2294" s="9" t="s">
        <v>38801</v>
      </c>
      <c r="H2294" s="9" t="s">
        <v>42576</v>
      </c>
      <c r="I2294" s="9" t="b">
        <v>1</v>
      </c>
    </row>
    <row r="2295" ht="15.75" customHeight="1">
      <c r="A2295" s="9" t="s">
        <v>46552</v>
      </c>
      <c r="B2295" s="9" t="s">
        <v>131</v>
      </c>
      <c r="C2295" s="9" t="s">
        <v>41587</v>
      </c>
      <c r="D2295" s="9" t="s">
        <v>41922</v>
      </c>
      <c r="E2295" s="61">
        <v>45555.0</v>
      </c>
      <c r="F2295" s="9" t="b">
        <v>1</v>
      </c>
      <c r="G2295" s="9" t="s">
        <v>38801</v>
      </c>
      <c r="H2295" s="9" t="s">
        <v>42576</v>
      </c>
      <c r="I2295" s="9" t="b">
        <v>1</v>
      </c>
    </row>
    <row r="2296" ht="15.75" customHeight="1">
      <c r="A2296" s="9" t="s">
        <v>46553</v>
      </c>
      <c r="B2296" s="9" t="s">
        <v>131</v>
      </c>
      <c r="C2296" s="9" t="s">
        <v>41646</v>
      </c>
      <c r="D2296" s="9" t="s">
        <v>46554</v>
      </c>
      <c r="E2296" s="61">
        <v>45555.0</v>
      </c>
      <c r="F2296" s="9" t="b">
        <v>1</v>
      </c>
      <c r="G2296" s="9" t="s">
        <v>38801</v>
      </c>
      <c r="H2296" s="9" t="s">
        <v>42576</v>
      </c>
      <c r="I2296" s="9" t="b">
        <v>1</v>
      </c>
    </row>
    <row r="2297" ht="15.75" customHeight="1">
      <c r="A2297" s="9" t="s">
        <v>46555</v>
      </c>
      <c r="B2297" s="9" t="s">
        <v>131</v>
      </c>
      <c r="C2297" s="9" t="s">
        <v>41648</v>
      </c>
      <c r="D2297" s="9" t="s">
        <v>41922</v>
      </c>
      <c r="E2297" s="61">
        <v>45555.0</v>
      </c>
      <c r="F2297" s="9" t="b">
        <v>1</v>
      </c>
      <c r="G2297" s="9" t="s">
        <v>38801</v>
      </c>
      <c r="H2297" s="9" t="s">
        <v>42576</v>
      </c>
      <c r="I2297" s="9" t="b">
        <v>1</v>
      </c>
    </row>
    <row r="2298" ht="15.75" customHeight="1">
      <c r="A2298" s="9" t="s">
        <v>46556</v>
      </c>
      <c r="B2298" s="9" t="s">
        <v>131</v>
      </c>
      <c r="C2298" s="9" t="s">
        <v>41655</v>
      </c>
      <c r="D2298" s="9" t="s">
        <v>41922</v>
      </c>
      <c r="E2298" s="61">
        <v>45555.0</v>
      </c>
      <c r="F2298" s="9" t="b">
        <v>1</v>
      </c>
      <c r="G2298" s="9" t="s">
        <v>38801</v>
      </c>
      <c r="H2298" s="9" t="s">
        <v>42576</v>
      </c>
      <c r="I2298" s="9" t="b">
        <v>1</v>
      </c>
    </row>
    <row r="2299" ht="15.75" customHeight="1">
      <c r="A2299" s="9" t="s">
        <v>46557</v>
      </c>
      <c r="B2299" s="9" t="s">
        <v>131</v>
      </c>
      <c r="C2299" s="9" t="s">
        <v>41666</v>
      </c>
      <c r="D2299" s="9" t="s">
        <v>41922</v>
      </c>
      <c r="E2299" s="61">
        <v>45555.0</v>
      </c>
      <c r="F2299" s="9" t="b">
        <v>1</v>
      </c>
      <c r="G2299" s="9" t="s">
        <v>38801</v>
      </c>
      <c r="H2299" s="9" t="s">
        <v>42576</v>
      </c>
      <c r="I2299" s="9" t="b">
        <v>1</v>
      </c>
    </row>
    <row r="2300" ht="15.75" customHeight="1">
      <c r="A2300" s="9" t="s">
        <v>46558</v>
      </c>
      <c r="B2300" s="9" t="s">
        <v>131</v>
      </c>
      <c r="C2300" s="9" t="s">
        <v>41921</v>
      </c>
      <c r="D2300" s="9" t="s">
        <v>42560</v>
      </c>
      <c r="E2300" s="61">
        <v>45555.0</v>
      </c>
      <c r="F2300" s="9" t="b">
        <v>1</v>
      </c>
      <c r="G2300" s="9" t="s">
        <v>38801</v>
      </c>
      <c r="H2300" s="9" t="s">
        <v>42576</v>
      </c>
      <c r="I2300" s="9" t="b">
        <v>1</v>
      </c>
    </row>
    <row r="2301" ht="15.75" customHeight="1">
      <c r="A2301" s="9" t="s">
        <v>46559</v>
      </c>
      <c r="B2301" s="9" t="s">
        <v>131</v>
      </c>
      <c r="C2301" s="9" t="s">
        <v>41923</v>
      </c>
      <c r="D2301" s="9" t="s">
        <v>42560</v>
      </c>
      <c r="E2301" s="61">
        <v>45555.0</v>
      </c>
      <c r="F2301" s="9" t="b">
        <v>1</v>
      </c>
      <c r="G2301" s="9" t="s">
        <v>38801</v>
      </c>
      <c r="H2301" s="9" t="s">
        <v>42576</v>
      </c>
      <c r="I2301" s="9" t="b">
        <v>1</v>
      </c>
    </row>
    <row r="2302" ht="15.75" customHeight="1">
      <c r="A2302" s="9" t="s">
        <v>46560</v>
      </c>
      <c r="B2302" s="9" t="s">
        <v>131</v>
      </c>
      <c r="C2302" s="52" t="s">
        <v>41924</v>
      </c>
      <c r="D2302" s="9" t="s">
        <v>42560</v>
      </c>
      <c r="E2302" s="61">
        <v>45555.0</v>
      </c>
      <c r="F2302" s="9" t="b">
        <v>1</v>
      </c>
      <c r="G2302" s="9" t="s">
        <v>38801</v>
      </c>
      <c r="H2302" s="9" t="s">
        <v>42576</v>
      </c>
      <c r="I2302" s="9" t="b">
        <v>1</v>
      </c>
    </row>
    <row r="2303" ht="15.75" customHeight="1">
      <c r="A2303" s="9" t="s">
        <v>46561</v>
      </c>
      <c r="B2303" s="9" t="s">
        <v>131</v>
      </c>
      <c r="C2303" s="9" t="s">
        <v>41925</v>
      </c>
      <c r="D2303" s="9" t="s">
        <v>42560</v>
      </c>
      <c r="E2303" s="61">
        <v>45555.0</v>
      </c>
      <c r="F2303" s="9" t="b">
        <v>1</v>
      </c>
      <c r="G2303" s="9" t="s">
        <v>38801</v>
      </c>
      <c r="H2303" s="9" t="s">
        <v>42576</v>
      </c>
      <c r="I2303" s="9" t="b">
        <v>1</v>
      </c>
    </row>
    <row r="2304" ht="15.75" customHeight="1">
      <c r="A2304" s="9" t="s">
        <v>46562</v>
      </c>
      <c r="B2304" s="9" t="s">
        <v>131</v>
      </c>
      <c r="C2304" s="9" t="s">
        <v>41926</v>
      </c>
      <c r="D2304" s="9" t="s">
        <v>42560</v>
      </c>
      <c r="E2304" s="61">
        <v>45555.0</v>
      </c>
      <c r="F2304" s="9" t="b">
        <v>1</v>
      </c>
      <c r="G2304" s="9" t="s">
        <v>38801</v>
      </c>
      <c r="H2304" s="9" t="s">
        <v>42576</v>
      </c>
      <c r="I2304" s="9" t="b">
        <v>1</v>
      </c>
    </row>
    <row r="2305" ht="15.75" customHeight="1">
      <c r="A2305" s="9" t="s">
        <v>46563</v>
      </c>
      <c r="B2305" s="9" t="s">
        <v>131</v>
      </c>
      <c r="C2305" s="9" t="s">
        <v>41927</v>
      </c>
      <c r="D2305" s="9" t="s">
        <v>42560</v>
      </c>
      <c r="E2305" s="61">
        <v>45555.0</v>
      </c>
      <c r="F2305" s="9" t="b">
        <v>1</v>
      </c>
      <c r="G2305" s="9" t="s">
        <v>38801</v>
      </c>
      <c r="H2305" s="9" t="s">
        <v>42576</v>
      </c>
      <c r="I2305" s="9" t="b">
        <v>1</v>
      </c>
    </row>
    <row r="2306" ht="15.75" customHeight="1">
      <c r="A2306" s="9" t="s">
        <v>46564</v>
      </c>
      <c r="B2306" s="9" t="s">
        <v>131</v>
      </c>
      <c r="C2306" s="9" t="s">
        <v>41928</v>
      </c>
      <c r="D2306" s="9" t="s">
        <v>42560</v>
      </c>
      <c r="E2306" s="61">
        <v>45555.0</v>
      </c>
      <c r="F2306" s="9" t="b">
        <v>1</v>
      </c>
      <c r="G2306" s="9" t="s">
        <v>38801</v>
      </c>
      <c r="H2306" s="9" t="s">
        <v>42576</v>
      </c>
      <c r="I2306" s="9" t="b">
        <v>1</v>
      </c>
    </row>
    <row r="2307" ht="15.75" customHeight="1">
      <c r="A2307" s="9" t="s">
        <v>46565</v>
      </c>
      <c r="B2307" s="9" t="s">
        <v>131</v>
      </c>
      <c r="C2307" s="9" t="s">
        <v>41930</v>
      </c>
      <c r="D2307" s="9" t="s">
        <v>42560</v>
      </c>
      <c r="E2307" s="61">
        <v>45555.0</v>
      </c>
      <c r="F2307" s="9" t="b">
        <v>1</v>
      </c>
      <c r="G2307" s="9" t="s">
        <v>38801</v>
      </c>
      <c r="H2307" s="9" t="s">
        <v>42576</v>
      </c>
      <c r="I2307" s="9" t="b">
        <v>1</v>
      </c>
    </row>
    <row r="2308" ht="15.75" customHeight="1">
      <c r="A2308" s="9" t="s">
        <v>46566</v>
      </c>
      <c r="B2308" s="9" t="s">
        <v>131</v>
      </c>
      <c r="C2308" s="9" t="s">
        <v>41929</v>
      </c>
      <c r="D2308" s="9" t="s">
        <v>42560</v>
      </c>
      <c r="E2308" s="61">
        <v>45555.0</v>
      </c>
      <c r="F2308" s="9" t="b">
        <v>1</v>
      </c>
      <c r="G2308" s="9" t="s">
        <v>38801</v>
      </c>
      <c r="H2308" s="9" t="s">
        <v>42576</v>
      </c>
      <c r="I2308" s="9" t="b">
        <v>1</v>
      </c>
    </row>
    <row r="2309" ht="15.75" customHeight="1">
      <c r="A2309" s="9" t="s">
        <v>46567</v>
      </c>
      <c r="B2309" s="9" t="s">
        <v>47</v>
      </c>
      <c r="C2309" s="9" t="s">
        <v>39505</v>
      </c>
      <c r="D2309" s="9" t="s">
        <v>46568</v>
      </c>
      <c r="E2309" s="61">
        <v>45555.0</v>
      </c>
      <c r="F2309" s="9" t="b">
        <v>1</v>
      </c>
      <c r="G2309" s="9" t="s">
        <v>42632</v>
      </c>
      <c r="H2309" s="9" t="s">
        <v>38800</v>
      </c>
      <c r="I2309" s="9"/>
    </row>
    <row r="2310" ht="15.75" customHeight="1">
      <c r="A2310" s="9" t="s">
        <v>46569</v>
      </c>
      <c r="B2310" s="9" t="s">
        <v>131</v>
      </c>
      <c r="C2310" s="9" t="s">
        <v>41934</v>
      </c>
      <c r="D2310" s="9" t="s">
        <v>42560</v>
      </c>
      <c r="E2310" s="61">
        <v>45562.0</v>
      </c>
      <c r="F2310" s="9" t="b">
        <v>1</v>
      </c>
      <c r="G2310" s="9" t="s">
        <v>38801</v>
      </c>
      <c r="H2310" s="9" t="s">
        <v>42560</v>
      </c>
      <c r="I2310" s="9" t="b">
        <v>1</v>
      </c>
    </row>
    <row r="2311" ht="15.75" customHeight="1">
      <c r="A2311" s="9" t="s">
        <v>46570</v>
      </c>
      <c r="B2311" s="9" t="s">
        <v>131</v>
      </c>
      <c r="C2311" s="9" t="s">
        <v>41918</v>
      </c>
      <c r="D2311" s="9" t="s">
        <v>46571</v>
      </c>
      <c r="E2311" s="61">
        <v>45562.0</v>
      </c>
      <c r="F2311" s="9" t="b">
        <v>1</v>
      </c>
      <c r="G2311" s="9" t="s">
        <v>43228</v>
      </c>
      <c r="H2311" s="9" t="s">
        <v>42576</v>
      </c>
      <c r="I2311" s="9"/>
    </row>
    <row r="2312" ht="15.75" customHeight="1">
      <c r="A2312" s="9" t="s">
        <v>46572</v>
      </c>
      <c r="B2312" s="9" t="s">
        <v>131</v>
      </c>
      <c r="C2312" s="9" t="s">
        <v>41935</v>
      </c>
      <c r="D2312" s="9" t="s">
        <v>42560</v>
      </c>
      <c r="E2312" s="61">
        <v>45562.0</v>
      </c>
      <c r="F2312" s="9" t="b">
        <v>1</v>
      </c>
      <c r="G2312" s="9" t="s">
        <v>38801</v>
      </c>
      <c r="H2312" s="9" t="s">
        <v>42576</v>
      </c>
      <c r="I2312" s="9" t="b">
        <v>1</v>
      </c>
    </row>
    <row r="2313" ht="15.75" customHeight="1">
      <c r="A2313" s="9" t="s">
        <v>46573</v>
      </c>
      <c r="B2313" s="9" t="s">
        <v>131</v>
      </c>
      <c r="C2313" s="9" t="s">
        <v>41937</v>
      </c>
      <c r="D2313" s="9" t="s">
        <v>42560</v>
      </c>
      <c r="E2313" s="61">
        <v>45565.0</v>
      </c>
      <c r="F2313" s="9" t="b">
        <v>1</v>
      </c>
      <c r="G2313" s="9" t="s">
        <v>38801</v>
      </c>
      <c r="H2313" s="9" t="s">
        <v>42576</v>
      </c>
      <c r="I2313" s="9" t="b">
        <v>1</v>
      </c>
    </row>
    <row r="2314" ht="15.75" customHeight="1">
      <c r="A2314" s="9" t="s">
        <v>46574</v>
      </c>
      <c r="B2314" s="9" t="s">
        <v>47</v>
      </c>
      <c r="C2314" s="9" t="s">
        <v>41939</v>
      </c>
      <c r="D2314" s="9" t="s">
        <v>46575</v>
      </c>
      <c r="E2314" s="61">
        <v>45566.0</v>
      </c>
      <c r="F2314" s="9" t="b">
        <v>1</v>
      </c>
      <c r="G2314" s="9" t="s">
        <v>43228</v>
      </c>
      <c r="H2314" s="9" t="s">
        <v>42576</v>
      </c>
      <c r="I2314" s="9"/>
    </row>
    <row r="2315" ht="15.75" customHeight="1">
      <c r="A2315" s="9" t="s">
        <v>46576</v>
      </c>
      <c r="B2315" s="9" t="s">
        <v>131</v>
      </c>
      <c r="C2315" s="9" t="s">
        <v>41941</v>
      </c>
      <c r="D2315" s="9" t="s">
        <v>42560</v>
      </c>
      <c r="E2315" s="61">
        <v>45573.0</v>
      </c>
      <c r="F2315" s="9" t="b">
        <v>1</v>
      </c>
      <c r="G2315" s="9" t="s">
        <v>38801</v>
      </c>
      <c r="H2315" s="9" t="s">
        <v>42576</v>
      </c>
      <c r="I2315" s="9" t="b">
        <v>1</v>
      </c>
    </row>
    <row r="2316" ht="15.75" customHeight="1">
      <c r="A2316" s="9" t="s">
        <v>46577</v>
      </c>
      <c r="B2316" s="9" t="s">
        <v>47</v>
      </c>
      <c r="C2316" s="9" t="s">
        <v>41943</v>
      </c>
      <c r="D2316" s="9" t="s">
        <v>46578</v>
      </c>
      <c r="E2316" s="61">
        <v>45576.0</v>
      </c>
      <c r="F2316" s="9" t="b">
        <v>1</v>
      </c>
      <c r="G2316" s="9" t="s">
        <v>38801</v>
      </c>
      <c r="H2316" s="9" t="s">
        <v>42576</v>
      </c>
      <c r="I2316" s="9" t="b">
        <v>1</v>
      </c>
    </row>
    <row r="2317" ht="15.75" customHeight="1">
      <c r="A2317" s="9" t="s">
        <v>46579</v>
      </c>
      <c r="B2317" s="9" t="s">
        <v>131</v>
      </c>
      <c r="C2317" s="9" t="s">
        <v>41945</v>
      </c>
      <c r="D2317" s="9" t="s">
        <v>42019</v>
      </c>
      <c r="E2317" s="61">
        <v>45579.0</v>
      </c>
      <c r="F2317" s="9" t="b">
        <v>1</v>
      </c>
      <c r="G2317" s="9" t="s">
        <v>38801</v>
      </c>
      <c r="H2317" s="9" t="s">
        <v>42576</v>
      </c>
      <c r="I2317" s="9" t="b">
        <v>1</v>
      </c>
    </row>
    <row r="2318" ht="15.75" customHeight="1">
      <c r="A2318" s="9" t="s">
        <v>46580</v>
      </c>
      <c r="B2318" s="9" t="s">
        <v>131</v>
      </c>
      <c r="C2318" s="9" t="s">
        <v>41947</v>
      </c>
      <c r="D2318" s="9" t="s">
        <v>46581</v>
      </c>
      <c r="E2318" s="61">
        <v>45579.0</v>
      </c>
      <c r="F2318" s="9" t="b">
        <v>1</v>
      </c>
      <c r="G2318" s="9" t="s">
        <v>38801</v>
      </c>
      <c r="H2318" s="9" t="s">
        <v>42576</v>
      </c>
      <c r="I2318" s="9" t="b">
        <v>1</v>
      </c>
    </row>
    <row r="2319" ht="15.75" customHeight="1">
      <c r="A2319" s="9" t="s">
        <v>46582</v>
      </c>
      <c r="B2319" s="9" t="s">
        <v>131</v>
      </c>
      <c r="C2319" s="9" t="s">
        <v>41935</v>
      </c>
      <c r="D2319" s="9" t="s">
        <v>46583</v>
      </c>
      <c r="E2319" s="61">
        <v>45580.0</v>
      </c>
      <c r="F2319" s="9" t="b">
        <v>1</v>
      </c>
      <c r="G2319" s="9" t="s">
        <v>38801</v>
      </c>
      <c r="H2319" s="9" t="s">
        <v>42576</v>
      </c>
      <c r="I2319" s="9" t="b">
        <v>1</v>
      </c>
    </row>
    <row r="2320" ht="15.75" customHeight="1">
      <c r="A2320" s="9" t="s">
        <v>46584</v>
      </c>
      <c r="B2320" s="9" t="s">
        <v>89</v>
      </c>
      <c r="C2320" s="9" t="s">
        <v>41949</v>
      </c>
      <c r="D2320" s="9" t="s">
        <v>46585</v>
      </c>
      <c r="E2320" s="61">
        <v>45580.0</v>
      </c>
      <c r="F2320" s="9" t="b">
        <v>1</v>
      </c>
      <c r="G2320" s="9" t="s">
        <v>38801</v>
      </c>
      <c r="H2320" s="9" t="s">
        <v>42560</v>
      </c>
      <c r="I2320" s="9" t="b">
        <v>1</v>
      </c>
    </row>
    <row r="2321" ht="15.75" customHeight="1">
      <c r="A2321" s="9" t="s">
        <v>46586</v>
      </c>
      <c r="B2321" s="9" t="s">
        <v>89</v>
      </c>
      <c r="C2321" s="9" t="s">
        <v>41951</v>
      </c>
      <c r="D2321" s="9" t="s">
        <v>46587</v>
      </c>
      <c r="E2321" s="61">
        <v>45580.0</v>
      </c>
      <c r="F2321" s="9" t="b">
        <v>1</v>
      </c>
      <c r="G2321" s="9" t="s">
        <v>38801</v>
      </c>
      <c r="H2321" s="9" t="s">
        <v>42576</v>
      </c>
      <c r="I2321" s="9" t="b">
        <v>1</v>
      </c>
    </row>
    <row r="2322" ht="15.75" customHeight="1">
      <c r="A2322" s="9" t="s">
        <v>46588</v>
      </c>
      <c r="B2322" s="9" t="s">
        <v>89</v>
      </c>
      <c r="C2322" s="9" t="s">
        <v>41952</v>
      </c>
      <c r="D2322" s="9" t="s">
        <v>46587</v>
      </c>
      <c r="E2322" s="61">
        <v>45580.0</v>
      </c>
      <c r="F2322" s="9" t="b">
        <v>1</v>
      </c>
      <c r="G2322" s="9" t="s">
        <v>38801</v>
      </c>
      <c r="H2322" s="9" t="s">
        <v>42576</v>
      </c>
      <c r="I2322" s="9" t="b">
        <v>1</v>
      </c>
    </row>
    <row r="2323" ht="15.75" customHeight="1">
      <c r="A2323" s="9" t="s">
        <v>46589</v>
      </c>
      <c r="B2323" s="9" t="s">
        <v>47</v>
      </c>
      <c r="C2323" s="9" t="s">
        <v>41955</v>
      </c>
      <c r="D2323" s="9" t="s">
        <v>43895</v>
      </c>
      <c r="E2323" s="61">
        <v>45588.0</v>
      </c>
      <c r="F2323" s="9" t="b">
        <v>1</v>
      </c>
      <c r="G2323" s="9" t="s">
        <v>38801</v>
      </c>
      <c r="H2323" s="9" t="s">
        <v>42576</v>
      </c>
      <c r="I2323" s="9" t="b">
        <v>1</v>
      </c>
    </row>
    <row r="2324" ht="15.75" customHeight="1">
      <c r="A2324" s="9" t="s">
        <v>46590</v>
      </c>
      <c r="B2324" s="9" t="s">
        <v>47</v>
      </c>
      <c r="C2324" s="9" t="s">
        <v>41957</v>
      </c>
      <c r="D2324" s="9" t="s">
        <v>43724</v>
      </c>
      <c r="E2324" s="61">
        <v>45589.0</v>
      </c>
      <c r="F2324" s="9" t="b">
        <v>1</v>
      </c>
      <c r="G2324" s="9" t="s">
        <v>38801</v>
      </c>
      <c r="H2324" s="9" t="s">
        <v>42576</v>
      </c>
      <c r="I2324" s="9" t="b">
        <v>1</v>
      </c>
    </row>
    <row r="2325" ht="15.75" customHeight="1">
      <c r="A2325" s="9" t="s">
        <v>46591</v>
      </c>
      <c r="B2325" s="9" t="s">
        <v>47</v>
      </c>
      <c r="C2325" s="9" t="s">
        <v>41959</v>
      </c>
      <c r="D2325" s="9" t="s">
        <v>43724</v>
      </c>
      <c r="E2325" s="61">
        <v>45589.0</v>
      </c>
      <c r="F2325" s="9" t="b">
        <v>1</v>
      </c>
      <c r="G2325" s="9" t="s">
        <v>38801</v>
      </c>
      <c r="H2325" s="9" t="s">
        <v>42576</v>
      </c>
      <c r="I2325" s="9" t="b">
        <v>1</v>
      </c>
    </row>
    <row r="2326" ht="15.75" customHeight="1">
      <c r="A2326" s="9" t="s">
        <v>46592</v>
      </c>
      <c r="B2326" s="9" t="s">
        <v>131</v>
      </c>
      <c r="C2326" s="9" t="s">
        <v>41962</v>
      </c>
      <c r="D2326" s="9" t="s">
        <v>42560</v>
      </c>
      <c r="E2326" s="61">
        <v>45594.0</v>
      </c>
      <c r="F2326" s="9" t="b">
        <v>1</v>
      </c>
      <c r="G2326" s="9" t="s">
        <v>38801</v>
      </c>
      <c r="H2326" s="9" t="s">
        <v>42576</v>
      </c>
      <c r="I2326" s="9" t="b">
        <v>1</v>
      </c>
    </row>
    <row r="2327" ht="15.75" customHeight="1">
      <c r="A2327" s="9" t="s">
        <v>46593</v>
      </c>
      <c r="B2327" s="9" t="s">
        <v>131</v>
      </c>
      <c r="C2327" s="9" t="s">
        <v>41964</v>
      </c>
      <c r="D2327" s="9" t="s">
        <v>42560</v>
      </c>
      <c r="E2327" s="61">
        <v>45594.0</v>
      </c>
      <c r="F2327" s="9" t="b">
        <v>1</v>
      </c>
      <c r="G2327" s="9" t="s">
        <v>38801</v>
      </c>
      <c r="H2327" s="9" t="s">
        <v>42576</v>
      </c>
      <c r="I2327" s="9" t="b">
        <v>1</v>
      </c>
    </row>
    <row r="2328" ht="15.75" customHeight="1">
      <c r="A2328" s="9" t="s">
        <v>46594</v>
      </c>
      <c r="B2328" s="9" t="s">
        <v>26</v>
      </c>
      <c r="C2328" s="52" t="s">
        <v>41960</v>
      </c>
      <c r="D2328" s="9" t="s">
        <v>46595</v>
      </c>
      <c r="E2328" s="61">
        <v>45595.0</v>
      </c>
      <c r="F2328" s="9" t="b">
        <v>1</v>
      </c>
      <c r="G2328" s="9" t="s">
        <v>38801</v>
      </c>
      <c r="H2328" s="9" t="s">
        <v>42560</v>
      </c>
      <c r="I2328" s="9" t="b">
        <v>1</v>
      </c>
    </row>
    <row r="2329" ht="15.75" customHeight="1">
      <c r="A2329" s="9" t="s">
        <v>46596</v>
      </c>
      <c r="B2329" s="9" t="s">
        <v>26</v>
      </c>
      <c r="C2329" s="9" t="s">
        <v>41954</v>
      </c>
      <c r="D2329" s="9" t="s">
        <v>46597</v>
      </c>
      <c r="E2329" s="61">
        <v>45595.0</v>
      </c>
      <c r="F2329" s="9" t="b">
        <v>1</v>
      </c>
      <c r="G2329" s="9" t="s">
        <v>38801</v>
      </c>
      <c r="H2329" s="9" t="s">
        <v>42560</v>
      </c>
      <c r="I2329" s="9" t="b">
        <v>1</v>
      </c>
    </row>
    <row r="2330" ht="15.75" customHeight="1">
      <c r="A2330" s="9" t="s">
        <v>46598</v>
      </c>
      <c r="B2330" s="9" t="s">
        <v>26</v>
      </c>
      <c r="C2330" s="9" t="s">
        <v>41932</v>
      </c>
      <c r="D2330" s="9" t="s">
        <v>46599</v>
      </c>
      <c r="E2330" s="61">
        <v>45595.0</v>
      </c>
      <c r="F2330" s="9" t="b">
        <v>1</v>
      </c>
      <c r="G2330" s="9" t="s">
        <v>43228</v>
      </c>
      <c r="H2330" s="9" t="s">
        <v>42560</v>
      </c>
      <c r="I2330" s="9"/>
    </row>
    <row r="2331" ht="15.75" customHeight="1">
      <c r="A2331" s="9" t="s">
        <v>46600</v>
      </c>
      <c r="B2331" s="9" t="s">
        <v>131</v>
      </c>
      <c r="C2331" s="9" t="s">
        <v>41966</v>
      </c>
      <c r="D2331" s="9" t="s">
        <v>42560</v>
      </c>
      <c r="E2331" s="61">
        <v>45596.0</v>
      </c>
      <c r="F2331" s="9" t="b">
        <v>1</v>
      </c>
      <c r="G2331" s="9" t="s">
        <v>38801</v>
      </c>
      <c r="H2331" s="9" t="s">
        <v>42576</v>
      </c>
      <c r="I2331" s="9" t="b">
        <v>1</v>
      </c>
    </row>
    <row r="2332" ht="15.75" customHeight="1">
      <c r="A2332" s="9" t="s">
        <v>46601</v>
      </c>
      <c r="B2332" s="9" t="s">
        <v>131</v>
      </c>
      <c r="C2332" s="9" t="s">
        <v>41969</v>
      </c>
      <c r="D2332" s="9" t="s">
        <v>42019</v>
      </c>
      <c r="E2332" s="61">
        <v>45600.0</v>
      </c>
      <c r="F2332" s="9" t="b">
        <v>1</v>
      </c>
      <c r="G2332" s="9" t="s">
        <v>38801</v>
      </c>
      <c r="H2332" s="9" t="s">
        <v>42576</v>
      </c>
      <c r="I2332" s="9" t="b">
        <v>1</v>
      </c>
    </row>
    <row r="2333" ht="15.75" customHeight="1">
      <c r="A2333" s="9" t="s">
        <v>46602</v>
      </c>
      <c r="B2333" s="9" t="s">
        <v>47</v>
      </c>
      <c r="C2333" s="9" t="s">
        <v>41387</v>
      </c>
      <c r="D2333" s="9" t="s">
        <v>46603</v>
      </c>
      <c r="E2333" s="61">
        <v>45600.0</v>
      </c>
      <c r="F2333" s="9" t="b">
        <v>1</v>
      </c>
      <c r="G2333" s="9" t="s">
        <v>38801</v>
      </c>
      <c r="H2333" s="9" t="s">
        <v>42576</v>
      </c>
      <c r="I2333" s="9" t="b">
        <v>1</v>
      </c>
    </row>
    <row r="2334" ht="15.75" customHeight="1">
      <c r="A2334" s="9" t="s">
        <v>46604</v>
      </c>
      <c r="B2334" s="9" t="s">
        <v>47</v>
      </c>
      <c r="C2334" s="9" t="s">
        <v>41389</v>
      </c>
      <c r="D2334" s="9" t="s">
        <v>46605</v>
      </c>
      <c r="E2334" s="61">
        <v>45600.0</v>
      </c>
      <c r="F2334" s="9" t="b">
        <v>1</v>
      </c>
      <c r="G2334" s="9" t="s">
        <v>38801</v>
      </c>
      <c r="H2334" s="9" t="s">
        <v>42576</v>
      </c>
      <c r="I2334" s="9" t="b">
        <v>1</v>
      </c>
    </row>
    <row r="2335" ht="15.75" customHeight="1">
      <c r="A2335" s="9" t="s">
        <v>46606</v>
      </c>
      <c r="B2335" s="9" t="s">
        <v>131</v>
      </c>
      <c r="C2335" s="9" t="s">
        <v>41973</v>
      </c>
      <c r="D2335" s="9" t="s">
        <v>42560</v>
      </c>
      <c r="E2335" s="61">
        <v>45602.0</v>
      </c>
      <c r="F2335" s="9" t="b">
        <v>1</v>
      </c>
      <c r="G2335" s="9" t="s">
        <v>38801</v>
      </c>
      <c r="H2335" s="9" t="s">
        <v>42576</v>
      </c>
      <c r="I2335" s="9" t="b">
        <v>1</v>
      </c>
    </row>
    <row r="2336" ht="15.75" customHeight="1">
      <c r="A2336" s="9" t="s">
        <v>46607</v>
      </c>
      <c r="B2336" s="9" t="s">
        <v>47</v>
      </c>
      <c r="C2336" s="9" t="s">
        <v>41975</v>
      </c>
      <c r="D2336" s="9" t="s">
        <v>42560</v>
      </c>
      <c r="E2336" s="61">
        <v>45609.0</v>
      </c>
      <c r="F2336" s="9" t="b">
        <v>1</v>
      </c>
      <c r="G2336" s="9" t="s">
        <v>38801</v>
      </c>
      <c r="H2336" s="9" t="s">
        <v>42576</v>
      </c>
      <c r="I2336" s="9" t="b">
        <v>1</v>
      </c>
    </row>
    <row r="2337" ht="15.75" customHeight="1">
      <c r="A2337" s="9" t="s">
        <v>46608</v>
      </c>
      <c r="B2337" s="9" t="s">
        <v>131</v>
      </c>
      <c r="C2337" s="9" t="s">
        <v>41976</v>
      </c>
      <c r="D2337" s="9" t="s">
        <v>46609</v>
      </c>
      <c r="E2337" s="61">
        <v>45610.0</v>
      </c>
      <c r="F2337" s="9" t="b">
        <v>1</v>
      </c>
      <c r="G2337" s="9" t="s">
        <v>38801</v>
      </c>
      <c r="H2337" s="9" t="s">
        <v>42576</v>
      </c>
      <c r="I2337" s="9" t="b">
        <v>1</v>
      </c>
    </row>
    <row r="2338" ht="15.75" customHeight="1">
      <c r="A2338" s="9" t="s">
        <v>46610</v>
      </c>
      <c r="B2338" s="9" t="s">
        <v>47</v>
      </c>
      <c r="C2338" s="9" t="s">
        <v>41978</v>
      </c>
      <c r="D2338" s="9" t="s">
        <v>43895</v>
      </c>
      <c r="E2338" s="61">
        <v>45614.0</v>
      </c>
      <c r="F2338" s="9" t="b">
        <v>1</v>
      </c>
      <c r="G2338" s="9" t="s">
        <v>38801</v>
      </c>
      <c r="H2338" s="9" t="s">
        <v>42576</v>
      </c>
      <c r="I2338" s="9" t="b">
        <v>1</v>
      </c>
    </row>
    <row r="2339" ht="15.75" customHeight="1">
      <c r="A2339" s="9" t="s">
        <v>46611</v>
      </c>
      <c r="B2339" s="9" t="s">
        <v>47</v>
      </c>
      <c r="C2339" s="9" t="s">
        <v>41979</v>
      </c>
      <c r="D2339" s="9" t="s">
        <v>46612</v>
      </c>
      <c r="E2339" s="61">
        <v>45614.0</v>
      </c>
      <c r="F2339" s="9" t="b">
        <v>1</v>
      </c>
      <c r="G2339" s="9" t="s">
        <v>43228</v>
      </c>
      <c r="H2339" s="9" t="s">
        <v>42576</v>
      </c>
      <c r="I2339" s="9"/>
    </row>
    <row r="2340" ht="15.75" customHeight="1">
      <c r="A2340" s="9" t="s">
        <v>46613</v>
      </c>
      <c r="B2340" s="9" t="s">
        <v>131</v>
      </c>
      <c r="C2340" s="9" t="s">
        <v>41987</v>
      </c>
      <c r="D2340" s="9" t="s">
        <v>42560</v>
      </c>
      <c r="E2340" s="61">
        <v>45614.0</v>
      </c>
      <c r="F2340" s="9" t="b">
        <v>1</v>
      </c>
      <c r="G2340" s="9" t="s">
        <v>38801</v>
      </c>
      <c r="H2340" s="9" t="s">
        <v>42576</v>
      </c>
      <c r="I2340" s="9" t="b">
        <v>1</v>
      </c>
    </row>
    <row r="2341" ht="15.75" customHeight="1">
      <c r="A2341" s="9" t="s">
        <v>46614</v>
      </c>
      <c r="B2341" s="9" t="s">
        <v>47</v>
      </c>
      <c r="C2341" s="9" t="s">
        <v>41990</v>
      </c>
      <c r="D2341" s="9" t="s">
        <v>42560</v>
      </c>
      <c r="E2341" s="61">
        <v>45614.0</v>
      </c>
      <c r="F2341" s="9" t="b">
        <v>1</v>
      </c>
      <c r="G2341" s="9" t="s">
        <v>38801</v>
      </c>
      <c r="H2341" s="9" t="s">
        <v>42576</v>
      </c>
      <c r="I2341" s="9" t="b">
        <v>1</v>
      </c>
    </row>
    <row r="2342" ht="15.75" customHeight="1">
      <c r="A2342" s="9" t="s">
        <v>46615</v>
      </c>
      <c r="B2342" s="9" t="s">
        <v>47</v>
      </c>
      <c r="C2342" s="9" t="s">
        <v>41992</v>
      </c>
      <c r="D2342" s="9" t="s">
        <v>42560</v>
      </c>
      <c r="E2342" s="61">
        <v>45614.0</v>
      </c>
      <c r="F2342" s="9" t="b">
        <v>1</v>
      </c>
      <c r="G2342" s="9" t="s">
        <v>38801</v>
      </c>
      <c r="H2342" s="9" t="s">
        <v>42576</v>
      </c>
      <c r="I2342" s="9" t="b">
        <v>1</v>
      </c>
    </row>
    <row r="2343" ht="15.75" customHeight="1">
      <c r="A2343" s="9" t="s">
        <v>46616</v>
      </c>
      <c r="B2343" s="9" t="s">
        <v>47</v>
      </c>
      <c r="C2343" s="9" t="s">
        <v>41994</v>
      </c>
      <c r="D2343" s="9" t="s">
        <v>46617</v>
      </c>
      <c r="E2343" s="61">
        <v>45614.0</v>
      </c>
      <c r="F2343" s="9" t="b">
        <v>1</v>
      </c>
      <c r="G2343" s="9" t="s">
        <v>38801</v>
      </c>
      <c r="H2343" s="9" t="s">
        <v>42576</v>
      </c>
      <c r="I2343" s="9" t="b">
        <v>1</v>
      </c>
    </row>
    <row r="2344" ht="15.75" customHeight="1">
      <c r="A2344" s="9" t="s">
        <v>46618</v>
      </c>
      <c r="B2344" s="9" t="s">
        <v>26</v>
      </c>
      <c r="C2344" s="9" t="s">
        <v>41985</v>
      </c>
      <c r="D2344" s="9" t="s">
        <v>46619</v>
      </c>
      <c r="E2344" s="61">
        <v>45615.0</v>
      </c>
      <c r="F2344" s="9" t="b">
        <v>1</v>
      </c>
      <c r="G2344" s="9" t="s">
        <v>38801</v>
      </c>
      <c r="H2344" s="9" t="s">
        <v>42576</v>
      </c>
      <c r="I2344" s="9" t="b">
        <v>1</v>
      </c>
    </row>
    <row r="2345" ht="15.75" customHeight="1">
      <c r="A2345" s="9" t="s">
        <v>46620</v>
      </c>
      <c r="B2345" s="9" t="s">
        <v>131</v>
      </c>
      <c r="C2345" s="9" t="s">
        <v>41989</v>
      </c>
      <c r="D2345" s="9" t="s">
        <v>42560</v>
      </c>
      <c r="E2345" s="61">
        <v>45615.0</v>
      </c>
      <c r="F2345" s="9" t="b">
        <v>1</v>
      </c>
      <c r="G2345" s="9" t="s">
        <v>38801</v>
      </c>
      <c r="H2345" s="9" t="s">
        <v>42576</v>
      </c>
      <c r="I2345" s="9" t="b">
        <v>1</v>
      </c>
    </row>
    <row r="2346" ht="15.75" customHeight="1">
      <c r="A2346" s="9" t="s">
        <v>46621</v>
      </c>
      <c r="B2346" s="9" t="s">
        <v>131</v>
      </c>
      <c r="C2346" s="9" t="s">
        <v>41996</v>
      </c>
      <c r="D2346" s="9" t="s">
        <v>42560</v>
      </c>
      <c r="E2346" s="61">
        <v>45615.0</v>
      </c>
      <c r="F2346" s="9" t="b">
        <v>1</v>
      </c>
      <c r="G2346" s="9" t="s">
        <v>38801</v>
      </c>
      <c r="H2346" s="9" t="s">
        <v>42576</v>
      </c>
      <c r="I2346" s="9" t="b">
        <v>1</v>
      </c>
    </row>
    <row r="2347" ht="15.75" customHeight="1">
      <c r="A2347" s="9" t="s">
        <v>46622</v>
      </c>
      <c r="B2347" s="9" t="s">
        <v>26</v>
      </c>
      <c r="C2347" s="9" t="s">
        <v>41968</v>
      </c>
      <c r="D2347" s="9" t="s">
        <v>46623</v>
      </c>
      <c r="E2347" s="61">
        <v>45615.0</v>
      </c>
      <c r="F2347" s="9" t="b">
        <v>1</v>
      </c>
      <c r="G2347" s="9" t="s">
        <v>43228</v>
      </c>
      <c r="H2347" s="9" t="s">
        <v>42560</v>
      </c>
      <c r="I2347" s="9"/>
    </row>
    <row r="2348" ht="15.75" customHeight="1">
      <c r="A2348" s="9" t="s">
        <v>46624</v>
      </c>
      <c r="B2348" s="9" t="s">
        <v>131</v>
      </c>
      <c r="C2348" s="9" t="s">
        <v>41997</v>
      </c>
      <c r="D2348" s="9" t="s">
        <v>46625</v>
      </c>
      <c r="E2348" s="61">
        <v>45616.0</v>
      </c>
      <c r="F2348" s="9" t="b">
        <v>1</v>
      </c>
      <c r="G2348" s="9" t="s">
        <v>38801</v>
      </c>
      <c r="H2348" s="9" t="s">
        <v>42576</v>
      </c>
      <c r="I2348" s="9" t="b">
        <v>1</v>
      </c>
    </row>
    <row r="2349" ht="15.75" customHeight="1">
      <c r="A2349" s="9" t="s">
        <v>46626</v>
      </c>
      <c r="B2349" s="9" t="s">
        <v>131</v>
      </c>
      <c r="C2349" s="9" t="s">
        <v>41999</v>
      </c>
      <c r="D2349" s="9" t="s">
        <v>46625</v>
      </c>
      <c r="E2349" s="61">
        <v>45616.0</v>
      </c>
      <c r="F2349" s="9" t="b">
        <v>1</v>
      </c>
      <c r="G2349" s="9" t="s">
        <v>38801</v>
      </c>
      <c r="H2349" s="9" t="s">
        <v>42576</v>
      </c>
      <c r="I2349" s="9" t="b">
        <v>1</v>
      </c>
    </row>
    <row r="2350" ht="15.75" customHeight="1">
      <c r="A2350" s="9" t="s">
        <v>46627</v>
      </c>
      <c r="B2350" s="9" t="s">
        <v>131</v>
      </c>
      <c r="C2350" s="9" t="s">
        <v>42000</v>
      </c>
      <c r="D2350" s="9" t="s">
        <v>46625</v>
      </c>
      <c r="E2350" s="61">
        <v>45616.0</v>
      </c>
      <c r="F2350" s="9" t="b">
        <v>1</v>
      </c>
      <c r="G2350" s="9" t="s">
        <v>38801</v>
      </c>
      <c r="H2350" s="9" t="s">
        <v>42576</v>
      </c>
      <c r="I2350" s="9" t="b">
        <v>1</v>
      </c>
    </row>
    <row r="2351" ht="15.75" customHeight="1">
      <c r="A2351" s="9" t="s">
        <v>46628</v>
      </c>
      <c r="B2351" s="9" t="s">
        <v>131</v>
      </c>
      <c r="C2351" s="9" t="s">
        <v>42001</v>
      </c>
      <c r="D2351" s="9" t="s">
        <v>46629</v>
      </c>
      <c r="E2351" s="61">
        <v>45616.0</v>
      </c>
      <c r="F2351" s="9" t="b">
        <v>1</v>
      </c>
      <c r="G2351" s="9" t="s">
        <v>38801</v>
      </c>
      <c r="H2351" s="9" t="s">
        <v>42576</v>
      </c>
      <c r="I2351" s="9" t="b">
        <v>1</v>
      </c>
    </row>
    <row r="2352" ht="15.75" customHeight="1">
      <c r="A2352" s="9" t="s">
        <v>46630</v>
      </c>
      <c r="B2352" s="9" t="s">
        <v>131</v>
      </c>
      <c r="C2352" s="9" t="s">
        <v>42003</v>
      </c>
      <c r="D2352" s="9" t="s">
        <v>42019</v>
      </c>
      <c r="E2352" s="61">
        <v>45628.0</v>
      </c>
      <c r="F2352" s="9" t="b">
        <v>1</v>
      </c>
      <c r="G2352" s="9" t="s">
        <v>38801</v>
      </c>
      <c r="H2352" s="9" t="s">
        <v>42576</v>
      </c>
      <c r="I2352" s="9" t="b">
        <v>1</v>
      </c>
    </row>
    <row r="2353" ht="15.75" customHeight="1">
      <c r="A2353" s="9" t="s">
        <v>46631</v>
      </c>
      <c r="B2353" s="9" t="s">
        <v>131</v>
      </c>
      <c r="C2353" s="9" t="s">
        <v>42005</v>
      </c>
      <c r="D2353" s="9" t="s">
        <v>46632</v>
      </c>
      <c r="E2353" s="61">
        <v>45628.0</v>
      </c>
      <c r="F2353" s="9" t="b">
        <v>1</v>
      </c>
      <c r="G2353" s="9" t="s">
        <v>38801</v>
      </c>
      <c r="H2353" s="9" t="s">
        <v>42576</v>
      </c>
      <c r="I2353" s="9" t="b">
        <v>1</v>
      </c>
    </row>
    <row r="2354" ht="15.75" customHeight="1">
      <c r="A2354" s="9" t="s">
        <v>46633</v>
      </c>
      <c r="B2354" s="9" t="s">
        <v>131</v>
      </c>
      <c r="C2354" s="9" t="s">
        <v>42007</v>
      </c>
      <c r="D2354" s="9" t="s">
        <v>44044</v>
      </c>
      <c r="E2354" s="61">
        <v>45628.0</v>
      </c>
      <c r="F2354" s="9" t="b">
        <v>1</v>
      </c>
      <c r="G2354" s="9" t="s">
        <v>38801</v>
      </c>
      <c r="H2354" s="9" t="s">
        <v>42576</v>
      </c>
      <c r="I2354" s="9" t="b">
        <v>1</v>
      </c>
    </row>
    <row r="2355" ht="15.75" customHeight="1">
      <c r="A2355" s="9" t="s">
        <v>46634</v>
      </c>
      <c r="B2355" s="9" t="s">
        <v>26</v>
      </c>
      <c r="C2355" s="9" t="s">
        <v>41981</v>
      </c>
      <c r="D2355" s="9" t="s">
        <v>46635</v>
      </c>
      <c r="E2355" s="61">
        <v>45630.0</v>
      </c>
      <c r="F2355" s="9" t="b">
        <v>1</v>
      </c>
      <c r="G2355" s="9" t="s">
        <v>43228</v>
      </c>
      <c r="H2355" s="9" t="s">
        <v>42576</v>
      </c>
      <c r="I2355" s="9"/>
    </row>
    <row r="2356" ht="15.75" customHeight="1">
      <c r="A2356" s="9" t="s">
        <v>46636</v>
      </c>
      <c r="B2356" s="9" t="s">
        <v>26</v>
      </c>
      <c r="C2356" s="9" t="s">
        <v>41983</v>
      </c>
      <c r="D2356" s="9" t="s">
        <v>46637</v>
      </c>
      <c r="E2356" s="61">
        <v>45630.0</v>
      </c>
      <c r="F2356" s="9" t="b">
        <v>1</v>
      </c>
      <c r="G2356" s="9" t="s">
        <v>43228</v>
      </c>
      <c r="H2356" s="9" t="s">
        <v>42560</v>
      </c>
      <c r="I2356" s="9"/>
    </row>
    <row r="2357" ht="15.75" customHeight="1">
      <c r="A2357" s="9" t="s">
        <v>46638</v>
      </c>
      <c r="B2357" s="9" t="s">
        <v>47</v>
      </c>
      <c r="C2357" s="9" t="s">
        <v>42008</v>
      </c>
      <c r="D2357" s="9" t="s">
        <v>46639</v>
      </c>
      <c r="E2357" s="61">
        <v>45631.0</v>
      </c>
      <c r="F2357" s="9" t="b">
        <v>1</v>
      </c>
      <c r="G2357" s="9" t="s">
        <v>38801</v>
      </c>
      <c r="H2357" s="9" t="s">
        <v>42576</v>
      </c>
      <c r="I2357" s="9" t="b">
        <v>1</v>
      </c>
    </row>
    <row r="2358" ht="15.75" customHeight="1">
      <c r="A2358" s="9" t="s">
        <v>46640</v>
      </c>
      <c r="B2358" s="9" t="s">
        <v>131</v>
      </c>
      <c r="C2358" s="9" t="s">
        <v>42007</v>
      </c>
      <c r="D2358" s="9" t="s">
        <v>42560</v>
      </c>
      <c r="E2358" s="61">
        <v>45631.0</v>
      </c>
      <c r="F2358" s="9" t="b">
        <v>1</v>
      </c>
      <c r="G2358" s="9" t="s">
        <v>38801</v>
      </c>
      <c r="H2358" s="9" t="s">
        <v>42576</v>
      </c>
      <c r="I2358" s="9" t="b">
        <v>1</v>
      </c>
    </row>
    <row r="2359" ht="15.75" customHeight="1">
      <c r="A2359" s="9" t="s">
        <v>46641</v>
      </c>
      <c r="B2359" s="9" t="s">
        <v>131</v>
      </c>
      <c r="C2359" s="9" t="s">
        <v>41971</v>
      </c>
      <c r="D2359" s="9" t="s">
        <v>42560</v>
      </c>
      <c r="E2359" s="61">
        <v>45631.0</v>
      </c>
      <c r="F2359" s="9" t="b">
        <v>1</v>
      </c>
      <c r="G2359" s="9" t="s">
        <v>38801</v>
      </c>
      <c r="H2359" s="9" t="s">
        <v>42576</v>
      </c>
      <c r="I2359" s="9" t="b">
        <v>1</v>
      </c>
    </row>
    <row r="2360" ht="15.75" customHeight="1">
      <c r="A2360" s="9" t="s">
        <v>46642</v>
      </c>
      <c r="B2360" s="9" t="s">
        <v>47</v>
      </c>
      <c r="C2360" s="9" t="s">
        <v>42010</v>
      </c>
      <c r="D2360" s="9" t="s">
        <v>42560</v>
      </c>
      <c r="E2360" s="61">
        <v>45631.0</v>
      </c>
      <c r="F2360" s="9" t="b">
        <v>1</v>
      </c>
      <c r="G2360" s="9" t="s">
        <v>38801</v>
      </c>
      <c r="H2360" s="9" t="s">
        <v>42576</v>
      </c>
      <c r="I2360" s="9" t="b">
        <v>1</v>
      </c>
    </row>
    <row r="2361" ht="15.75" customHeight="1">
      <c r="A2361" s="9" t="s">
        <v>46643</v>
      </c>
      <c r="B2361" s="9" t="s">
        <v>47</v>
      </c>
      <c r="C2361" s="9" t="s">
        <v>42012</v>
      </c>
      <c r="D2361" s="9" t="s">
        <v>43948</v>
      </c>
      <c r="E2361" s="61">
        <v>45631.0</v>
      </c>
      <c r="F2361" s="9" t="b">
        <v>1</v>
      </c>
      <c r="G2361" s="9" t="s">
        <v>38801</v>
      </c>
      <c r="H2361" s="9" t="s">
        <v>42576</v>
      </c>
      <c r="I2361" s="9" t="b">
        <v>1</v>
      </c>
    </row>
    <row r="2362" ht="15.75" customHeight="1">
      <c r="A2362" s="9" t="s">
        <v>46644</v>
      </c>
      <c r="B2362" s="9" t="s">
        <v>131</v>
      </c>
      <c r="C2362" s="9" t="s">
        <v>42016</v>
      </c>
      <c r="D2362" s="9" t="s">
        <v>42560</v>
      </c>
      <c r="E2362" s="61">
        <v>45631.0</v>
      </c>
      <c r="F2362" s="9" t="b">
        <v>1</v>
      </c>
      <c r="G2362" s="9" t="s">
        <v>38801</v>
      </c>
      <c r="H2362" s="9" t="s">
        <v>42576</v>
      </c>
      <c r="I2362" s="9" t="b">
        <v>1</v>
      </c>
    </row>
    <row r="2363" ht="15.75" customHeight="1">
      <c r="A2363" s="9" t="s">
        <v>46645</v>
      </c>
      <c r="B2363" s="9" t="s">
        <v>47</v>
      </c>
      <c r="C2363" s="9" t="s">
        <v>42020</v>
      </c>
      <c r="D2363" s="9" t="s">
        <v>46646</v>
      </c>
      <c r="E2363" s="61">
        <v>45632.0</v>
      </c>
      <c r="F2363" s="9" t="b">
        <v>1</v>
      </c>
      <c r="G2363" s="9" t="s">
        <v>38801</v>
      </c>
      <c r="H2363" s="9" t="s">
        <v>42576</v>
      </c>
      <c r="I2363" s="9" t="b">
        <v>1</v>
      </c>
    </row>
    <row r="2364" ht="15.75" customHeight="1">
      <c r="A2364" s="9" t="s">
        <v>46647</v>
      </c>
      <c r="B2364" s="9" t="s">
        <v>47</v>
      </c>
      <c r="C2364" s="9" t="s">
        <v>42022</v>
      </c>
      <c r="D2364" s="9" t="s">
        <v>46648</v>
      </c>
      <c r="E2364" s="61">
        <v>45632.0</v>
      </c>
      <c r="F2364" s="9" t="b">
        <v>1</v>
      </c>
      <c r="G2364" s="9" t="s">
        <v>43228</v>
      </c>
      <c r="H2364" s="9" t="s">
        <v>42576</v>
      </c>
      <c r="I2364" s="9"/>
    </row>
    <row r="2365" ht="15.75" customHeight="1">
      <c r="A2365" s="9" t="s">
        <v>46649</v>
      </c>
      <c r="B2365" s="9" t="s">
        <v>131</v>
      </c>
      <c r="C2365" s="9" t="s">
        <v>42028</v>
      </c>
      <c r="D2365" s="9" t="s">
        <v>42560</v>
      </c>
      <c r="E2365" s="61">
        <v>45635.0</v>
      </c>
      <c r="F2365" s="9" t="b">
        <v>1</v>
      </c>
      <c r="G2365" s="9" t="s">
        <v>38801</v>
      </c>
      <c r="H2365" s="9" t="s">
        <v>42576</v>
      </c>
      <c r="I2365" s="9" t="b">
        <v>1</v>
      </c>
    </row>
    <row r="2366" ht="15.75" customHeight="1">
      <c r="A2366" s="9" t="s">
        <v>46650</v>
      </c>
      <c r="B2366" s="9" t="s">
        <v>131</v>
      </c>
      <c r="C2366" s="9" t="s">
        <v>42014</v>
      </c>
      <c r="D2366" s="9" t="s">
        <v>42560</v>
      </c>
      <c r="E2366" s="61">
        <v>45637.0</v>
      </c>
      <c r="F2366" s="9" t="b">
        <v>1</v>
      </c>
      <c r="G2366" s="9" t="s">
        <v>38801</v>
      </c>
      <c r="H2366" s="9" t="s">
        <v>42576</v>
      </c>
      <c r="I2366" s="9" t="b">
        <v>1</v>
      </c>
    </row>
    <row r="2367" ht="15.75" customHeight="1">
      <c r="A2367" s="9" t="s">
        <v>46651</v>
      </c>
      <c r="B2367" s="9" t="s">
        <v>131</v>
      </c>
      <c r="C2367" s="52" t="s">
        <v>42030</v>
      </c>
      <c r="D2367" s="9" t="s">
        <v>42560</v>
      </c>
      <c r="E2367" s="61">
        <v>45637.0</v>
      </c>
      <c r="F2367" s="9" t="b">
        <v>1</v>
      </c>
      <c r="G2367" s="9" t="s">
        <v>38801</v>
      </c>
      <c r="H2367" s="9" t="s">
        <v>42576</v>
      </c>
      <c r="I2367" s="9" t="b">
        <v>1</v>
      </c>
    </row>
    <row r="2368" ht="15.75" customHeight="1">
      <c r="A2368" s="9" t="s">
        <v>46652</v>
      </c>
      <c r="B2368" s="9" t="s">
        <v>131</v>
      </c>
      <c r="C2368" s="9" t="s">
        <v>42031</v>
      </c>
      <c r="D2368" s="9" t="s">
        <v>42560</v>
      </c>
      <c r="E2368" s="61">
        <v>45637.0</v>
      </c>
      <c r="F2368" s="9" t="b">
        <v>1</v>
      </c>
      <c r="G2368" s="9" t="s">
        <v>38801</v>
      </c>
      <c r="H2368" s="9" t="s">
        <v>42576</v>
      </c>
      <c r="I2368" s="9" t="b">
        <v>1</v>
      </c>
    </row>
    <row r="2369" ht="15.75" customHeight="1">
      <c r="A2369" s="9" t="s">
        <v>46653</v>
      </c>
      <c r="B2369" s="9" t="s">
        <v>131</v>
      </c>
      <c r="C2369" s="9" t="s">
        <v>41463</v>
      </c>
      <c r="D2369" s="9" t="s">
        <v>46654</v>
      </c>
      <c r="E2369" s="61">
        <v>45638.0</v>
      </c>
      <c r="F2369" s="9" t="b">
        <v>1</v>
      </c>
      <c r="G2369" s="9" t="s">
        <v>38801</v>
      </c>
      <c r="H2369" s="9" t="s">
        <v>42576</v>
      </c>
      <c r="I2369" s="9" t="b">
        <v>1</v>
      </c>
    </row>
    <row r="2370" ht="15.75" customHeight="1">
      <c r="A2370" s="9" t="s">
        <v>46655</v>
      </c>
      <c r="B2370" s="9" t="s">
        <v>131</v>
      </c>
      <c r="C2370" s="9" t="s">
        <v>42032</v>
      </c>
      <c r="D2370" s="9" t="s">
        <v>42019</v>
      </c>
      <c r="E2370" s="61">
        <v>45638.0</v>
      </c>
      <c r="F2370" s="9" t="b">
        <v>1</v>
      </c>
      <c r="G2370" s="9" t="s">
        <v>38801</v>
      </c>
      <c r="H2370" s="9" t="s">
        <v>42576</v>
      </c>
      <c r="I2370" s="9" t="b">
        <v>1</v>
      </c>
    </row>
    <row r="2371" ht="15.75" customHeight="1">
      <c r="A2371" s="9" t="s">
        <v>46656</v>
      </c>
      <c r="B2371" s="9" t="s">
        <v>131</v>
      </c>
      <c r="C2371" s="9" t="s">
        <v>42034</v>
      </c>
      <c r="D2371" s="9" t="s">
        <v>42560</v>
      </c>
      <c r="E2371" s="61">
        <v>45638.0</v>
      </c>
      <c r="F2371" s="9" t="b">
        <v>1</v>
      </c>
      <c r="G2371" s="9" t="s">
        <v>38801</v>
      </c>
      <c r="H2371" s="9" t="s">
        <v>42576</v>
      </c>
      <c r="I2371" s="9" t="b">
        <v>1</v>
      </c>
    </row>
    <row r="2372" ht="15.75" customHeight="1">
      <c r="A2372" s="9" t="s">
        <v>46657</v>
      </c>
      <c r="B2372" s="9" t="s">
        <v>131</v>
      </c>
      <c r="C2372" s="9" t="s">
        <v>42035</v>
      </c>
      <c r="D2372" s="9" t="s">
        <v>42019</v>
      </c>
      <c r="E2372" s="61">
        <v>45639.0</v>
      </c>
      <c r="F2372" s="9" t="b">
        <v>1</v>
      </c>
      <c r="G2372" s="9" t="s">
        <v>38801</v>
      </c>
      <c r="H2372" s="9" t="s">
        <v>42576</v>
      </c>
      <c r="I2372" s="9" t="b">
        <v>1</v>
      </c>
    </row>
    <row r="2373" ht="15.75" customHeight="1">
      <c r="A2373" s="9" t="s">
        <v>46658</v>
      </c>
      <c r="B2373" s="9" t="s">
        <v>131</v>
      </c>
      <c r="C2373" s="9" t="s">
        <v>42018</v>
      </c>
      <c r="D2373" s="9" t="s">
        <v>42560</v>
      </c>
      <c r="E2373" s="61">
        <v>45644.0</v>
      </c>
      <c r="F2373" s="9" t="b">
        <v>1</v>
      </c>
      <c r="G2373" s="9" t="s">
        <v>38801</v>
      </c>
      <c r="H2373" s="9" t="s">
        <v>42576</v>
      </c>
      <c r="I2373" s="9" t="b">
        <v>1</v>
      </c>
    </row>
    <row r="2374" ht="15.75" customHeight="1">
      <c r="A2374" s="9" t="s">
        <v>46659</v>
      </c>
      <c r="B2374" s="9" t="s">
        <v>47</v>
      </c>
      <c r="C2374" s="9" t="s">
        <v>42037</v>
      </c>
      <c r="D2374" s="9" t="s">
        <v>44260</v>
      </c>
      <c r="E2374" s="61">
        <v>45644.0</v>
      </c>
      <c r="F2374" s="9" t="b">
        <v>1</v>
      </c>
      <c r="G2374" s="9" t="s">
        <v>38801</v>
      </c>
      <c r="H2374" s="9" t="s">
        <v>42576</v>
      </c>
      <c r="I2374" s="9" t="b">
        <v>1</v>
      </c>
    </row>
    <row r="2375" ht="15.75" customHeight="1">
      <c r="A2375" s="9" t="s">
        <v>46660</v>
      </c>
      <c r="B2375" s="9" t="s">
        <v>47</v>
      </c>
      <c r="C2375" s="9" t="s">
        <v>42039</v>
      </c>
      <c r="D2375" s="9" t="s">
        <v>43895</v>
      </c>
      <c r="E2375" s="61">
        <v>45644.0</v>
      </c>
      <c r="F2375" s="9" t="b">
        <v>1</v>
      </c>
      <c r="G2375" s="9" t="s">
        <v>38801</v>
      </c>
      <c r="H2375" s="9" t="s">
        <v>42576</v>
      </c>
      <c r="I2375" s="9" t="b">
        <v>1</v>
      </c>
    </row>
    <row r="2376" ht="15.75" customHeight="1">
      <c r="A2376" s="9" t="s">
        <v>46661</v>
      </c>
      <c r="B2376" s="9" t="s">
        <v>47</v>
      </c>
      <c r="C2376" s="9" t="s">
        <v>42044</v>
      </c>
      <c r="D2376" s="9" t="s">
        <v>46662</v>
      </c>
      <c r="E2376" s="61">
        <v>45649.0</v>
      </c>
      <c r="F2376" s="9" t="b">
        <v>1</v>
      </c>
      <c r="G2376" s="9" t="s">
        <v>38801</v>
      </c>
      <c r="H2376" s="9" t="s">
        <v>42576</v>
      </c>
      <c r="I2376" s="9" t="b">
        <v>1</v>
      </c>
    </row>
    <row r="2377" ht="15.75" customHeight="1">
      <c r="A2377" s="9" t="s">
        <v>46663</v>
      </c>
      <c r="B2377" s="9" t="s">
        <v>47</v>
      </c>
      <c r="C2377" s="9" t="s">
        <v>42046</v>
      </c>
      <c r="D2377" s="9" t="s">
        <v>46664</v>
      </c>
      <c r="E2377" s="61">
        <v>45649.0</v>
      </c>
      <c r="F2377" s="9" t="b">
        <v>1</v>
      </c>
      <c r="G2377" s="9" t="s">
        <v>43228</v>
      </c>
      <c r="H2377" s="9" t="s">
        <v>42576</v>
      </c>
      <c r="I2377" s="9"/>
    </row>
    <row r="2378" ht="15.75" customHeight="1">
      <c r="A2378" s="9" t="s">
        <v>46665</v>
      </c>
      <c r="B2378" s="9" t="s">
        <v>47</v>
      </c>
      <c r="C2378" s="9" t="s">
        <v>42048</v>
      </c>
      <c r="D2378" s="9" t="s">
        <v>46666</v>
      </c>
      <c r="E2378" s="61">
        <v>45649.0</v>
      </c>
      <c r="F2378" s="9" t="b">
        <v>1</v>
      </c>
      <c r="G2378" s="9" t="s">
        <v>38801</v>
      </c>
      <c r="H2378" s="9" t="s">
        <v>42576</v>
      </c>
      <c r="I2378" s="9" t="b">
        <v>1</v>
      </c>
    </row>
    <row r="2379" ht="15.75" customHeight="1">
      <c r="A2379" s="9" t="s">
        <v>46667</v>
      </c>
      <c r="B2379" s="9" t="s">
        <v>47</v>
      </c>
      <c r="C2379" s="9" t="s">
        <v>42050</v>
      </c>
      <c r="D2379" s="9" t="s">
        <v>46668</v>
      </c>
      <c r="E2379" s="61">
        <v>45649.0</v>
      </c>
      <c r="F2379" s="9" t="b">
        <v>1</v>
      </c>
      <c r="G2379" s="9" t="s">
        <v>43228</v>
      </c>
      <c r="H2379" s="9" t="s">
        <v>42576</v>
      </c>
      <c r="I2379" s="9"/>
    </row>
    <row r="2380" ht="15.75" customHeight="1">
      <c r="A2380" s="9" t="s">
        <v>46669</v>
      </c>
      <c r="B2380" s="9" t="s">
        <v>47</v>
      </c>
      <c r="C2380" s="9" t="s">
        <v>42046</v>
      </c>
      <c r="D2380" s="9" t="s">
        <v>46670</v>
      </c>
      <c r="E2380" s="61">
        <v>45649.0</v>
      </c>
      <c r="F2380" s="9" t="b">
        <v>1</v>
      </c>
      <c r="G2380" s="9" t="s">
        <v>38801</v>
      </c>
      <c r="H2380" s="9" t="s">
        <v>42576</v>
      </c>
      <c r="I2380" s="9" t="b">
        <v>1</v>
      </c>
    </row>
    <row r="2381" ht="15.75" customHeight="1">
      <c r="A2381" s="9" t="s">
        <v>46671</v>
      </c>
      <c r="B2381" s="9" t="s">
        <v>47</v>
      </c>
      <c r="C2381" s="9" t="s">
        <v>42052</v>
      </c>
      <c r="D2381" s="9" t="s">
        <v>46672</v>
      </c>
      <c r="E2381" s="61">
        <v>45650.0</v>
      </c>
      <c r="F2381" s="9" t="b">
        <v>1</v>
      </c>
      <c r="G2381" s="9" t="s">
        <v>43228</v>
      </c>
      <c r="H2381" s="9" t="s">
        <v>42576</v>
      </c>
      <c r="I2381" s="9"/>
    </row>
    <row r="2382" ht="15.75" customHeight="1">
      <c r="A2382" s="9" t="s">
        <v>46673</v>
      </c>
      <c r="B2382" s="9" t="s">
        <v>47</v>
      </c>
      <c r="C2382" s="9" t="s">
        <v>42054</v>
      </c>
      <c r="D2382" s="9" t="s">
        <v>46674</v>
      </c>
      <c r="E2382" s="61">
        <v>45650.0</v>
      </c>
      <c r="F2382" s="9" t="b">
        <v>1</v>
      </c>
      <c r="G2382" s="9" t="s">
        <v>43228</v>
      </c>
      <c r="H2382" s="9" t="s">
        <v>42576</v>
      </c>
      <c r="I2382" s="9"/>
    </row>
    <row r="2383" ht="15.75" customHeight="1">
      <c r="A2383" s="9" t="s">
        <v>46675</v>
      </c>
      <c r="B2383" s="9" t="s">
        <v>47</v>
      </c>
      <c r="C2383" s="9" t="s">
        <v>42056</v>
      </c>
      <c r="D2383" s="9" t="s">
        <v>46676</v>
      </c>
      <c r="E2383" s="61">
        <v>45650.0</v>
      </c>
      <c r="F2383" s="9" t="b">
        <v>1</v>
      </c>
      <c r="G2383" s="9" t="s">
        <v>43228</v>
      </c>
      <c r="H2383" s="9" t="s">
        <v>42576</v>
      </c>
      <c r="I2383" s="9"/>
    </row>
    <row r="2384" ht="15.75" customHeight="1">
      <c r="A2384" s="9" t="s">
        <v>46677</v>
      </c>
      <c r="B2384" s="9" t="s">
        <v>131</v>
      </c>
      <c r="C2384" s="9" t="s">
        <v>42058</v>
      </c>
      <c r="D2384" s="9" t="s">
        <v>46678</v>
      </c>
      <c r="E2384" s="61">
        <v>45653.0</v>
      </c>
      <c r="F2384" s="9" t="b">
        <v>1</v>
      </c>
      <c r="G2384" s="9" t="s">
        <v>38801</v>
      </c>
      <c r="H2384" s="9" t="s">
        <v>42576</v>
      </c>
      <c r="I2384" s="9" t="b">
        <v>1</v>
      </c>
    </row>
    <row r="2385" ht="15.75" customHeight="1">
      <c r="A2385" s="9" t="s">
        <v>46679</v>
      </c>
      <c r="B2385" s="9" t="s">
        <v>131</v>
      </c>
      <c r="C2385" s="9" t="s">
        <v>42060</v>
      </c>
      <c r="D2385" s="9" t="s">
        <v>44044</v>
      </c>
      <c r="E2385" s="61">
        <v>45653.0</v>
      </c>
      <c r="F2385" s="9" t="b">
        <v>1</v>
      </c>
      <c r="G2385" s="9" t="s">
        <v>38801</v>
      </c>
      <c r="H2385" s="9" t="s">
        <v>42576</v>
      </c>
      <c r="I2385" s="9" t="b">
        <v>1</v>
      </c>
    </row>
    <row r="2386" ht="15.75" customHeight="1">
      <c r="A2386" s="9" t="s">
        <v>46680</v>
      </c>
      <c r="B2386" s="9" t="s">
        <v>131</v>
      </c>
      <c r="C2386" s="9" t="s">
        <v>42054</v>
      </c>
      <c r="D2386" s="9" t="s">
        <v>42560</v>
      </c>
      <c r="E2386" s="61">
        <v>45659.0</v>
      </c>
      <c r="F2386" s="9" t="b">
        <v>1</v>
      </c>
      <c r="G2386" s="9" t="s">
        <v>38801</v>
      </c>
      <c r="H2386" s="9" t="s">
        <v>42576</v>
      </c>
      <c r="I2386" s="9" t="b">
        <v>1</v>
      </c>
    </row>
    <row r="2387" ht="15.75" customHeight="1">
      <c r="A2387" s="9" t="s">
        <v>46681</v>
      </c>
      <c r="B2387" s="9" t="s">
        <v>131</v>
      </c>
      <c r="C2387" s="9" t="s">
        <v>42052</v>
      </c>
      <c r="D2387" s="9" t="s">
        <v>42560</v>
      </c>
      <c r="E2387" s="61">
        <v>45659.0</v>
      </c>
      <c r="F2387" s="9" t="b">
        <v>1</v>
      </c>
      <c r="G2387" s="9" t="s">
        <v>38801</v>
      </c>
      <c r="H2387" s="9" t="s">
        <v>42576</v>
      </c>
      <c r="I2387" s="9" t="b">
        <v>1</v>
      </c>
    </row>
    <row r="2388" ht="15.75" customHeight="1">
      <c r="A2388" s="9" t="s">
        <v>46682</v>
      </c>
      <c r="B2388" s="9" t="s">
        <v>131</v>
      </c>
      <c r="C2388" s="9" t="s">
        <v>42061</v>
      </c>
      <c r="D2388" s="9" t="s">
        <v>42560</v>
      </c>
      <c r="E2388" s="61">
        <v>45659.0</v>
      </c>
      <c r="F2388" s="9" t="b">
        <v>1</v>
      </c>
      <c r="G2388" s="9" t="s">
        <v>38801</v>
      </c>
      <c r="H2388" s="9" t="s">
        <v>42576</v>
      </c>
      <c r="I2388" s="9" t="b">
        <v>1</v>
      </c>
    </row>
    <row r="2389" ht="15.75" customHeight="1">
      <c r="A2389" s="9" t="s">
        <v>46683</v>
      </c>
      <c r="B2389" s="9" t="s">
        <v>26</v>
      </c>
      <c r="C2389" s="9" t="s">
        <v>42024</v>
      </c>
      <c r="D2389" s="9" t="s">
        <v>46684</v>
      </c>
      <c r="E2389" s="61">
        <v>45663.0</v>
      </c>
      <c r="F2389" s="9" t="b">
        <v>1</v>
      </c>
      <c r="G2389" s="9" t="s">
        <v>38801</v>
      </c>
      <c r="H2389" s="9" t="s">
        <v>42560</v>
      </c>
      <c r="I2389" s="9" t="b">
        <v>1</v>
      </c>
    </row>
    <row r="2390" ht="15.75" customHeight="1">
      <c r="A2390" s="9" t="s">
        <v>46685</v>
      </c>
      <c r="B2390" s="9" t="s">
        <v>26</v>
      </c>
      <c r="C2390" s="9" t="s">
        <v>42043</v>
      </c>
      <c r="D2390" s="9" t="s">
        <v>46686</v>
      </c>
      <c r="E2390" s="61">
        <v>45663.0</v>
      </c>
      <c r="F2390" s="9" t="b">
        <v>1</v>
      </c>
      <c r="G2390" s="9" t="s">
        <v>38801</v>
      </c>
      <c r="H2390" s="9" t="s">
        <v>42560</v>
      </c>
      <c r="I2390" s="9" t="b">
        <v>1</v>
      </c>
    </row>
    <row r="2391" ht="15.75" customHeight="1">
      <c r="A2391" s="9" t="s">
        <v>46687</v>
      </c>
      <c r="B2391" s="9" t="s">
        <v>47</v>
      </c>
      <c r="C2391" s="9" t="s">
        <v>42072</v>
      </c>
      <c r="D2391" s="9" t="s">
        <v>46688</v>
      </c>
      <c r="E2391" s="61">
        <v>45665.0</v>
      </c>
      <c r="F2391" s="9" t="b">
        <v>1</v>
      </c>
      <c r="G2391" s="9" t="s">
        <v>38801</v>
      </c>
      <c r="H2391" s="9" t="s">
        <v>42576</v>
      </c>
      <c r="I2391" s="9" t="b">
        <v>1</v>
      </c>
    </row>
    <row r="2392" ht="15.75" customHeight="1">
      <c r="A2392" s="9" t="s">
        <v>46689</v>
      </c>
      <c r="B2392" s="9" t="s">
        <v>47</v>
      </c>
      <c r="C2392" s="9" t="s">
        <v>42074</v>
      </c>
      <c r="D2392" s="9" t="s">
        <v>42560</v>
      </c>
      <c r="E2392" s="61">
        <v>45665.0</v>
      </c>
      <c r="F2392" s="9" t="b">
        <v>1</v>
      </c>
      <c r="G2392" s="9" t="s">
        <v>38801</v>
      </c>
      <c r="H2392" s="9" t="s">
        <v>42576</v>
      </c>
      <c r="I2392" s="9" t="b">
        <v>1</v>
      </c>
    </row>
    <row r="2393" ht="15.75" customHeight="1">
      <c r="A2393" s="52" t="s">
        <v>46690</v>
      </c>
      <c r="B2393" s="9" t="s">
        <v>47</v>
      </c>
      <c r="C2393" s="9" t="s">
        <v>42076</v>
      </c>
      <c r="D2393" s="9" t="s">
        <v>42560</v>
      </c>
      <c r="E2393" s="61">
        <v>45665.0</v>
      </c>
      <c r="F2393" s="9" t="b">
        <v>1</v>
      </c>
      <c r="G2393" s="9" t="s">
        <v>38801</v>
      </c>
      <c r="H2393" s="9" t="s">
        <v>42576</v>
      </c>
      <c r="I2393" s="9" t="b">
        <v>1</v>
      </c>
    </row>
    <row r="2394" ht="15.75" customHeight="1">
      <c r="A2394" s="9" t="s">
        <v>46691</v>
      </c>
      <c r="B2394" s="9" t="s">
        <v>47</v>
      </c>
      <c r="C2394" s="9" t="s">
        <v>42078</v>
      </c>
      <c r="D2394" s="9" t="s">
        <v>46692</v>
      </c>
      <c r="E2394" s="61">
        <v>45665.0</v>
      </c>
      <c r="F2394" s="9" t="b">
        <v>1</v>
      </c>
      <c r="G2394" s="9" t="s">
        <v>38801</v>
      </c>
      <c r="H2394" s="9" t="s">
        <v>42576</v>
      </c>
      <c r="I2394" s="9" t="b">
        <v>1</v>
      </c>
    </row>
    <row r="2395" ht="15.75" customHeight="1">
      <c r="A2395" s="9" t="s">
        <v>46693</v>
      </c>
      <c r="B2395" s="9" t="s">
        <v>131</v>
      </c>
      <c r="C2395" s="9" t="s">
        <v>41918</v>
      </c>
      <c r="D2395" s="9" t="s">
        <v>46694</v>
      </c>
      <c r="E2395" s="61">
        <v>45667.0</v>
      </c>
      <c r="F2395" s="9" t="b">
        <v>1</v>
      </c>
      <c r="G2395" s="9" t="s">
        <v>38801</v>
      </c>
      <c r="H2395" s="9" t="s">
        <v>42576</v>
      </c>
      <c r="I2395" s="9" t="b">
        <v>1</v>
      </c>
    </row>
    <row r="2396" ht="15.75" customHeight="1">
      <c r="A2396" s="9" t="s">
        <v>46695</v>
      </c>
      <c r="B2396" s="9" t="s">
        <v>131</v>
      </c>
      <c r="C2396" s="9" t="s">
        <v>41790</v>
      </c>
      <c r="D2396" s="9" t="s">
        <v>46696</v>
      </c>
      <c r="E2396" s="61">
        <v>45667.0</v>
      </c>
      <c r="F2396" s="9" t="b">
        <v>1</v>
      </c>
      <c r="G2396" s="9" t="s">
        <v>43228</v>
      </c>
      <c r="H2396" s="9" t="s">
        <v>42576</v>
      </c>
      <c r="I2396" s="9"/>
    </row>
    <row r="2397" ht="15.75" customHeight="1">
      <c r="A2397" s="9" t="s">
        <v>46697</v>
      </c>
      <c r="B2397" s="9" t="s">
        <v>131</v>
      </c>
      <c r="C2397" s="9" t="s">
        <v>41968</v>
      </c>
      <c r="D2397" s="9" t="s">
        <v>46698</v>
      </c>
      <c r="E2397" s="61">
        <v>45667.0</v>
      </c>
      <c r="F2397" s="9" t="b">
        <v>1</v>
      </c>
      <c r="G2397" s="9" t="s">
        <v>42585</v>
      </c>
      <c r="H2397" s="9" t="s">
        <v>42576</v>
      </c>
      <c r="I2397" s="9"/>
    </row>
    <row r="2398" ht="15.75" customHeight="1">
      <c r="A2398" s="9" t="s">
        <v>46699</v>
      </c>
      <c r="B2398" s="9" t="s">
        <v>131</v>
      </c>
      <c r="C2398" s="9" t="s">
        <v>41981</v>
      </c>
      <c r="D2398" s="9" t="s">
        <v>46700</v>
      </c>
      <c r="E2398" s="61">
        <v>45667.0</v>
      </c>
      <c r="F2398" s="9" t="b">
        <v>1</v>
      </c>
      <c r="G2398" s="9" t="s">
        <v>38801</v>
      </c>
      <c r="H2398" s="9" t="s">
        <v>42576</v>
      </c>
      <c r="I2398" s="9" t="b">
        <v>1</v>
      </c>
    </row>
    <row r="2399" ht="15.75" customHeight="1">
      <c r="A2399" s="9" t="s">
        <v>46701</v>
      </c>
      <c r="B2399" s="9" t="s">
        <v>131</v>
      </c>
      <c r="C2399" s="9" t="s">
        <v>41983</v>
      </c>
      <c r="D2399" s="9" t="s">
        <v>46702</v>
      </c>
      <c r="E2399" s="61">
        <v>45667.0</v>
      </c>
      <c r="F2399" s="9" t="b">
        <v>1</v>
      </c>
      <c r="G2399" s="9" t="s">
        <v>38801</v>
      </c>
      <c r="H2399" s="9" t="s">
        <v>38800</v>
      </c>
      <c r="I2399" s="9" t="b">
        <v>1</v>
      </c>
    </row>
    <row r="2400" ht="15.75" customHeight="1">
      <c r="A2400" s="9" t="s">
        <v>46703</v>
      </c>
      <c r="B2400" s="9" t="s">
        <v>47</v>
      </c>
      <c r="C2400" s="9" t="s">
        <v>42082</v>
      </c>
      <c r="D2400" s="9" t="s">
        <v>42560</v>
      </c>
      <c r="E2400" s="61">
        <v>45667.0</v>
      </c>
      <c r="F2400" s="9" t="b">
        <v>1</v>
      </c>
      <c r="G2400" s="9" t="s">
        <v>38801</v>
      </c>
      <c r="H2400" s="9" t="s">
        <v>42576</v>
      </c>
      <c r="I2400" s="9" t="b">
        <v>1</v>
      </c>
    </row>
    <row r="2401" ht="15.75" customHeight="1">
      <c r="A2401" s="9" t="s">
        <v>46704</v>
      </c>
      <c r="B2401" s="9" t="s">
        <v>47</v>
      </c>
      <c r="C2401" s="9" t="s">
        <v>42084</v>
      </c>
      <c r="D2401" s="9" t="s">
        <v>46705</v>
      </c>
      <c r="E2401" s="61">
        <v>45667.0</v>
      </c>
      <c r="F2401" s="9" t="b">
        <v>1</v>
      </c>
      <c r="G2401" s="9" t="s">
        <v>43228</v>
      </c>
      <c r="H2401" s="9" t="s">
        <v>42576</v>
      </c>
      <c r="I2401" s="9"/>
    </row>
    <row r="2402" ht="15.75" customHeight="1">
      <c r="A2402" s="9" t="s">
        <v>46706</v>
      </c>
      <c r="B2402" s="9" t="s">
        <v>131</v>
      </c>
      <c r="C2402" s="9" t="s">
        <v>42089</v>
      </c>
      <c r="D2402" s="9" t="s">
        <v>42162</v>
      </c>
      <c r="E2402" s="61">
        <v>45670.0</v>
      </c>
      <c r="F2402" s="9" t="b">
        <v>1</v>
      </c>
      <c r="G2402" s="9" t="s">
        <v>38801</v>
      </c>
      <c r="H2402" s="9" t="s">
        <v>42576</v>
      </c>
      <c r="I2402" s="9" t="b">
        <v>1</v>
      </c>
    </row>
    <row r="2403" ht="15.75" customHeight="1">
      <c r="A2403" s="9" t="s">
        <v>46707</v>
      </c>
      <c r="B2403" s="9" t="s">
        <v>131</v>
      </c>
      <c r="C2403" s="9" t="s">
        <v>42091</v>
      </c>
      <c r="D2403" s="9" t="s">
        <v>46708</v>
      </c>
      <c r="E2403" s="61">
        <v>45670.0</v>
      </c>
      <c r="F2403" s="9" t="b">
        <v>1</v>
      </c>
      <c r="G2403" s="9" t="s">
        <v>38801</v>
      </c>
      <c r="H2403" s="9" t="s">
        <v>42576</v>
      </c>
      <c r="I2403" s="9" t="b">
        <v>1</v>
      </c>
    </row>
    <row r="2404" ht="15.75" customHeight="1">
      <c r="A2404" s="9" t="s">
        <v>46709</v>
      </c>
      <c r="B2404" s="9" t="s">
        <v>131</v>
      </c>
      <c r="C2404" s="9" t="s">
        <v>42092</v>
      </c>
      <c r="D2404" s="9" t="s">
        <v>46710</v>
      </c>
      <c r="E2404" s="61">
        <v>45670.0</v>
      </c>
      <c r="F2404" s="9" t="b">
        <v>1</v>
      </c>
      <c r="G2404" s="9" t="s">
        <v>38801</v>
      </c>
      <c r="H2404" s="9" t="s">
        <v>42576</v>
      </c>
      <c r="I2404" s="9" t="b">
        <v>1</v>
      </c>
    </row>
    <row r="2405" ht="15.75" customHeight="1">
      <c r="A2405" s="9" t="s">
        <v>46711</v>
      </c>
      <c r="B2405" s="9" t="s">
        <v>131</v>
      </c>
      <c r="C2405" s="9" t="s">
        <v>42093</v>
      </c>
      <c r="D2405" s="9" t="s">
        <v>46712</v>
      </c>
      <c r="E2405" s="61">
        <v>45670.0</v>
      </c>
      <c r="F2405" s="9" t="b">
        <v>1</v>
      </c>
      <c r="G2405" s="9" t="s">
        <v>38801</v>
      </c>
      <c r="H2405" s="9" t="s">
        <v>42576</v>
      </c>
      <c r="I2405" s="9" t="b">
        <v>1</v>
      </c>
    </row>
    <row r="2406" ht="15.75" customHeight="1">
      <c r="A2406" s="9" t="s">
        <v>46713</v>
      </c>
      <c r="B2406" s="9" t="s">
        <v>131</v>
      </c>
      <c r="C2406" s="9" t="s">
        <v>42094</v>
      </c>
      <c r="D2406" s="9" t="s">
        <v>46712</v>
      </c>
      <c r="E2406" s="61">
        <v>45670.0</v>
      </c>
      <c r="F2406" s="9" t="b">
        <v>1</v>
      </c>
      <c r="G2406" s="9" t="s">
        <v>38801</v>
      </c>
      <c r="H2406" s="9" t="s">
        <v>42576</v>
      </c>
      <c r="I2406" s="9" t="b">
        <v>1</v>
      </c>
    </row>
    <row r="2407" ht="15.75" customHeight="1">
      <c r="A2407" s="9" t="s">
        <v>46714</v>
      </c>
      <c r="B2407" s="9" t="s">
        <v>131</v>
      </c>
      <c r="C2407" s="9" t="s">
        <v>42095</v>
      </c>
      <c r="D2407" s="9" t="s">
        <v>46715</v>
      </c>
      <c r="E2407" s="61">
        <v>45670.0</v>
      </c>
      <c r="F2407" s="9" t="b">
        <v>1</v>
      </c>
      <c r="G2407" s="9" t="s">
        <v>38801</v>
      </c>
      <c r="H2407" s="9" t="s">
        <v>42576</v>
      </c>
      <c r="I2407" s="9" t="b">
        <v>1</v>
      </c>
    </row>
    <row r="2408" ht="15.75" customHeight="1">
      <c r="A2408" s="9" t="s">
        <v>46716</v>
      </c>
      <c r="B2408" s="9" t="s">
        <v>47</v>
      </c>
      <c r="C2408" s="9" t="s">
        <v>42096</v>
      </c>
      <c r="D2408" s="9" t="s">
        <v>44260</v>
      </c>
      <c r="E2408" s="61">
        <v>45671.0</v>
      </c>
      <c r="F2408" s="9" t="b">
        <v>1</v>
      </c>
      <c r="G2408" s="9" t="s">
        <v>38801</v>
      </c>
      <c r="H2408" s="9" t="s">
        <v>42576</v>
      </c>
      <c r="I2408" s="9" t="b">
        <v>1</v>
      </c>
    </row>
    <row r="2409" ht="15.75" customHeight="1">
      <c r="A2409" s="9" t="s">
        <v>46717</v>
      </c>
      <c r="B2409" s="9" t="s">
        <v>47</v>
      </c>
      <c r="C2409" s="9" t="s">
        <v>42098</v>
      </c>
      <c r="D2409" s="9" t="s">
        <v>43948</v>
      </c>
      <c r="E2409" s="61">
        <v>45671.0</v>
      </c>
      <c r="F2409" s="9" t="b">
        <v>1</v>
      </c>
      <c r="G2409" s="9" t="s">
        <v>38801</v>
      </c>
      <c r="H2409" s="9" t="s">
        <v>42576</v>
      </c>
      <c r="I2409" s="9" t="b">
        <v>1</v>
      </c>
    </row>
    <row r="2410" ht="15.75" customHeight="1">
      <c r="A2410" s="9" t="s">
        <v>46718</v>
      </c>
      <c r="B2410" s="9" t="s">
        <v>47</v>
      </c>
      <c r="C2410" s="9" t="s">
        <v>42088</v>
      </c>
      <c r="D2410" s="9" t="s">
        <v>43948</v>
      </c>
      <c r="E2410" s="61">
        <v>45671.0</v>
      </c>
      <c r="F2410" s="9" t="b">
        <v>1</v>
      </c>
      <c r="G2410" s="9" t="s">
        <v>38801</v>
      </c>
      <c r="H2410" s="9" t="s">
        <v>42576</v>
      </c>
      <c r="I2410" s="9" t="b">
        <v>1</v>
      </c>
    </row>
    <row r="2411" ht="15.75" customHeight="1">
      <c r="A2411" s="9" t="s">
        <v>46719</v>
      </c>
      <c r="B2411" s="9" t="s">
        <v>47</v>
      </c>
      <c r="C2411" s="9" t="s">
        <v>42086</v>
      </c>
      <c r="D2411" s="9" t="s">
        <v>46720</v>
      </c>
      <c r="E2411" s="61">
        <v>45671.0</v>
      </c>
      <c r="F2411" s="9" t="b">
        <v>1</v>
      </c>
      <c r="G2411" s="9" t="s">
        <v>38801</v>
      </c>
      <c r="H2411" s="9" t="s">
        <v>42576</v>
      </c>
      <c r="I2411" s="9" t="b">
        <v>1</v>
      </c>
    </row>
    <row r="2412" ht="15.75" customHeight="1">
      <c r="A2412" s="9" t="s">
        <v>46721</v>
      </c>
      <c r="B2412" s="9" t="s">
        <v>47</v>
      </c>
      <c r="C2412" s="9" t="s">
        <v>41320</v>
      </c>
      <c r="D2412" s="9" t="s">
        <v>46722</v>
      </c>
      <c r="E2412" s="61">
        <v>45671.0</v>
      </c>
      <c r="F2412" s="9" t="b">
        <v>1</v>
      </c>
      <c r="G2412" s="9" t="s">
        <v>42585</v>
      </c>
      <c r="H2412" s="9" t="s">
        <v>38800</v>
      </c>
      <c r="I2412" s="9"/>
    </row>
    <row r="2413" ht="15.75" customHeight="1">
      <c r="A2413" s="9" t="s">
        <v>46723</v>
      </c>
      <c r="B2413" s="9" t="s">
        <v>208</v>
      </c>
      <c r="C2413" s="9" t="s">
        <v>41753</v>
      </c>
      <c r="D2413" s="9" t="s">
        <v>46724</v>
      </c>
      <c r="E2413" s="61">
        <v>45671.0</v>
      </c>
      <c r="F2413" s="9" t="b">
        <v>1</v>
      </c>
      <c r="G2413" s="9" t="s">
        <v>38801</v>
      </c>
      <c r="H2413" s="9" t="s">
        <v>42576</v>
      </c>
      <c r="I2413" s="9" t="b">
        <v>1</v>
      </c>
    </row>
    <row r="2414" ht="15.75" customHeight="1">
      <c r="A2414" s="9" t="s">
        <v>46725</v>
      </c>
      <c r="B2414" s="9" t="s">
        <v>208</v>
      </c>
      <c r="C2414" s="9" t="s">
        <v>42102</v>
      </c>
      <c r="D2414" s="9" t="s">
        <v>42103</v>
      </c>
      <c r="E2414" s="61">
        <v>45671.0</v>
      </c>
      <c r="F2414" s="9" t="b">
        <v>1</v>
      </c>
      <c r="G2414" s="9" t="s">
        <v>38801</v>
      </c>
      <c r="H2414" s="9" t="s">
        <v>42560</v>
      </c>
      <c r="I2414" s="9" t="b">
        <v>1</v>
      </c>
    </row>
    <row r="2415" ht="15.75" customHeight="1">
      <c r="A2415" s="9" t="s">
        <v>46726</v>
      </c>
      <c r="B2415" s="9" t="s">
        <v>208</v>
      </c>
      <c r="C2415" s="9" t="s">
        <v>42104</v>
      </c>
      <c r="D2415" s="9" t="s">
        <v>42103</v>
      </c>
      <c r="E2415" s="61">
        <v>45671.0</v>
      </c>
      <c r="F2415" s="9" t="b">
        <v>1</v>
      </c>
      <c r="G2415" s="9" t="s">
        <v>38801</v>
      </c>
      <c r="H2415" s="9" t="s">
        <v>42576</v>
      </c>
      <c r="I2415" s="9" t="b">
        <v>1</v>
      </c>
    </row>
    <row r="2416" ht="15.75" customHeight="1">
      <c r="A2416" s="9" t="s">
        <v>46727</v>
      </c>
      <c r="B2416" s="9" t="s">
        <v>208</v>
      </c>
      <c r="C2416" s="9" t="s">
        <v>42105</v>
      </c>
      <c r="D2416" s="9" t="s">
        <v>42103</v>
      </c>
      <c r="E2416" s="61">
        <v>45671.0</v>
      </c>
      <c r="F2416" s="9" t="b">
        <v>1</v>
      </c>
      <c r="G2416" s="9" t="s">
        <v>38801</v>
      </c>
      <c r="H2416" s="9" t="s">
        <v>42576</v>
      </c>
      <c r="I2416" s="9" t="b">
        <v>1</v>
      </c>
    </row>
    <row r="2417" ht="15.75" customHeight="1">
      <c r="A2417" s="9" t="s">
        <v>46728</v>
      </c>
      <c r="B2417" s="9" t="s">
        <v>47</v>
      </c>
      <c r="C2417" s="9" t="s">
        <v>42112</v>
      </c>
      <c r="D2417" s="9" t="s">
        <v>46729</v>
      </c>
      <c r="E2417" s="61">
        <v>45673.0</v>
      </c>
      <c r="F2417" s="9" t="b">
        <v>1</v>
      </c>
      <c r="G2417" s="9" t="s">
        <v>38801</v>
      </c>
      <c r="H2417" s="9" t="s">
        <v>42576</v>
      </c>
      <c r="I2417" s="9" t="b">
        <v>1</v>
      </c>
    </row>
    <row r="2418" ht="15.75" customHeight="1">
      <c r="A2418" s="9" t="s">
        <v>46730</v>
      </c>
      <c r="B2418" s="9" t="s">
        <v>47</v>
      </c>
      <c r="C2418" s="9" t="s">
        <v>42114</v>
      </c>
      <c r="D2418" s="9" t="s">
        <v>46731</v>
      </c>
      <c r="E2418" s="61">
        <v>45673.0</v>
      </c>
      <c r="F2418" s="9" t="b">
        <v>1</v>
      </c>
      <c r="G2418" s="9" t="s">
        <v>38801</v>
      </c>
      <c r="H2418" s="9" t="s">
        <v>42560</v>
      </c>
      <c r="I2418" s="9" t="b">
        <v>1</v>
      </c>
    </row>
    <row r="2419" ht="15.75" customHeight="1">
      <c r="A2419" s="9" t="s">
        <v>46732</v>
      </c>
      <c r="B2419" s="9" t="s">
        <v>47</v>
      </c>
      <c r="C2419" s="9" t="s">
        <v>42116</v>
      </c>
      <c r="D2419" s="9" t="s">
        <v>46733</v>
      </c>
      <c r="E2419" s="61">
        <v>45673.0</v>
      </c>
      <c r="F2419" s="9" t="b">
        <v>1</v>
      </c>
      <c r="G2419" s="9" t="s">
        <v>42573</v>
      </c>
      <c r="H2419" s="9" t="s">
        <v>42576</v>
      </c>
      <c r="I2419" s="9"/>
    </row>
    <row r="2420" ht="15.75" customHeight="1">
      <c r="A2420" s="9" t="s">
        <v>46734</v>
      </c>
      <c r="B2420" s="9" t="s">
        <v>47</v>
      </c>
      <c r="C2420" s="9" t="s">
        <v>41407</v>
      </c>
      <c r="D2420" s="9" t="s">
        <v>46735</v>
      </c>
      <c r="E2420" s="61">
        <v>45673.0</v>
      </c>
      <c r="F2420" s="9" t="b">
        <v>1</v>
      </c>
      <c r="G2420" s="9" t="s">
        <v>43228</v>
      </c>
      <c r="H2420" s="9" t="s">
        <v>42560</v>
      </c>
      <c r="I2420" s="9"/>
    </row>
    <row r="2421" ht="15.75" customHeight="1">
      <c r="A2421" s="9" t="s">
        <v>46736</v>
      </c>
      <c r="B2421" s="9" t="s">
        <v>131</v>
      </c>
      <c r="C2421" s="9" t="s">
        <v>42120</v>
      </c>
      <c r="D2421" s="9" t="s">
        <v>44195</v>
      </c>
      <c r="E2421" s="61">
        <v>45673.0</v>
      </c>
      <c r="F2421" s="9" t="b">
        <v>1</v>
      </c>
      <c r="G2421" s="9" t="s">
        <v>38801</v>
      </c>
      <c r="H2421" s="9" t="s">
        <v>42576</v>
      </c>
      <c r="I2421" s="9" t="b">
        <v>1</v>
      </c>
    </row>
    <row r="2422" ht="15.75" customHeight="1">
      <c r="A2422" s="9" t="s">
        <v>46737</v>
      </c>
      <c r="B2422" s="9" t="s">
        <v>131</v>
      </c>
      <c r="C2422" s="9" t="s">
        <v>42122</v>
      </c>
      <c r="D2422" s="9" t="s">
        <v>46738</v>
      </c>
      <c r="E2422" s="61">
        <v>45677.0</v>
      </c>
      <c r="F2422" s="9" t="b">
        <v>1</v>
      </c>
      <c r="G2422" s="9" t="s">
        <v>38801</v>
      </c>
      <c r="H2422" s="9" t="s">
        <v>42576</v>
      </c>
      <c r="I2422" s="9" t="b">
        <v>1</v>
      </c>
    </row>
    <row r="2423" ht="15.75" customHeight="1">
      <c r="A2423" s="9" t="s">
        <v>46739</v>
      </c>
      <c r="B2423" s="9" t="s">
        <v>47</v>
      </c>
      <c r="C2423" s="9" t="s">
        <v>40348</v>
      </c>
      <c r="D2423" s="9" t="s">
        <v>42843</v>
      </c>
      <c r="E2423" s="61">
        <v>45678.0</v>
      </c>
      <c r="F2423" s="9" t="b">
        <v>1</v>
      </c>
      <c r="G2423" s="9" t="s">
        <v>38801</v>
      </c>
      <c r="H2423" s="9" t="s">
        <v>42560</v>
      </c>
      <c r="I2423" s="9" t="b">
        <v>1</v>
      </c>
    </row>
    <row r="2424" ht="15.75" customHeight="1">
      <c r="A2424" s="9" t="s">
        <v>46740</v>
      </c>
      <c r="B2424" s="9" t="s">
        <v>47</v>
      </c>
      <c r="C2424" s="9" t="s">
        <v>42022</v>
      </c>
      <c r="D2424" s="9" t="s">
        <v>46741</v>
      </c>
      <c r="E2424" s="61">
        <v>45678.0</v>
      </c>
      <c r="F2424" s="9" t="b">
        <v>1</v>
      </c>
      <c r="G2424" s="9" t="s">
        <v>38801</v>
      </c>
      <c r="H2424" s="9" t="s">
        <v>42576</v>
      </c>
      <c r="I2424" s="9" t="b">
        <v>1</v>
      </c>
    </row>
    <row r="2425" ht="15.75" customHeight="1">
      <c r="A2425" s="9" t="s">
        <v>46742</v>
      </c>
      <c r="B2425" s="9" t="s">
        <v>47</v>
      </c>
      <c r="C2425" s="9" t="s">
        <v>42063</v>
      </c>
      <c r="D2425" s="9" t="s">
        <v>46064</v>
      </c>
      <c r="E2425" s="61">
        <v>45679.0</v>
      </c>
      <c r="F2425" s="9" t="b">
        <v>1</v>
      </c>
      <c r="G2425" s="9" t="s">
        <v>38801</v>
      </c>
      <c r="H2425" s="9" t="s">
        <v>42576</v>
      </c>
      <c r="I2425" s="9" t="b">
        <v>1</v>
      </c>
    </row>
    <row r="2426" ht="15.75" customHeight="1">
      <c r="A2426" s="9" t="s">
        <v>46743</v>
      </c>
      <c r="B2426" s="9" t="s">
        <v>47</v>
      </c>
      <c r="C2426" s="9" t="s">
        <v>42066</v>
      </c>
      <c r="D2426" s="9" t="s">
        <v>46744</v>
      </c>
      <c r="E2426" s="61">
        <v>45679.0</v>
      </c>
      <c r="F2426" s="9" t="b">
        <v>1</v>
      </c>
      <c r="G2426" s="9" t="s">
        <v>38801</v>
      </c>
      <c r="H2426" s="9" t="s">
        <v>42576</v>
      </c>
      <c r="I2426" s="9" t="b">
        <v>1</v>
      </c>
    </row>
    <row r="2427" ht="15.75" customHeight="1">
      <c r="A2427" s="9" t="s">
        <v>46745</v>
      </c>
      <c r="B2427" s="9" t="s">
        <v>47</v>
      </c>
      <c r="C2427" s="9" t="s">
        <v>42127</v>
      </c>
      <c r="D2427" s="9" t="s">
        <v>46746</v>
      </c>
      <c r="E2427" s="61">
        <v>45679.0</v>
      </c>
      <c r="F2427" s="9" t="b">
        <v>1</v>
      </c>
      <c r="G2427" s="9" t="s">
        <v>38801</v>
      </c>
      <c r="H2427" s="9" t="s">
        <v>42576</v>
      </c>
      <c r="I2427" s="9" t="b">
        <v>1</v>
      </c>
    </row>
    <row r="2428" ht="15.75" customHeight="1">
      <c r="A2428" s="9" t="s">
        <v>46747</v>
      </c>
      <c r="B2428" s="9" t="s">
        <v>47</v>
      </c>
      <c r="C2428" s="9" t="s">
        <v>42129</v>
      </c>
      <c r="D2428" s="9" t="s">
        <v>44172</v>
      </c>
      <c r="E2428" s="61">
        <v>45679.0</v>
      </c>
      <c r="F2428" s="9" t="b">
        <v>1</v>
      </c>
      <c r="G2428" s="9" t="s">
        <v>38801</v>
      </c>
      <c r="H2428" s="9" t="s">
        <v>42576</v>
      </c>
      <c r="I2428" s="9" t="b">
        <v>1</v>
      </c>
    </row>
    <row r="2429" ht="15.75" customHeight="1">
      <c r="A2429" s="9" t="s">
        <v>46748</v>
      </c>
      <c r="B2429" s="9" t="s">
        <v>47</v>
      </c>
      <c r="C2429" s="9" t="s">
        <v>42137</v>
      </c>
      <c r="D2429" s="9" t="s">
        <v>46749</v>
      </c>
      <c r="E2429" s="61">
        <v>45680.0</v>
      </c>
      <c r="F2429" s="9" t="b">
        <v>1</v>
      </c>
      <c r="G2429" s="9" t="s">
        <v>43228</v>
      </c>
      <c r="H2429" s="9" t="s">
        <v>42576</v>
      </c>
      <c r="I2429" s="9"/>
    </row>
    <row r="2430" ht="15.75" customHeight="1">
      <c r="A2430" s="9" t="s">
        <v>46750</v>
      </c>
      <c r="B2430" s="9" t="s">
        <v>47</v>
      </c>
      <c r="C2430" s="9" t="s">
        <v>42139</v>
      </c>
      <c r="D2430" s="9" t="s">
        <v>46751</v>
      </c>
      <c r="E2430" s="61">
        <v>45680.0</v>
      </c>
      <c r="F2430" s="9" t="b">
        <v>1</v>
      </c>
      <c r="G2430" s="9" t="s">
        <v>38801</v>
      </c>
      <c r="H2430" s="9" t="s">
        <v>42576</v>
      </c>
      <c r="I2430" s="9" t="b">
        <v>1</v>
      </c>
    </row>
    <row r="2431" ht="15.75" customHeight="1">
      <c r="A2431" s="9" t="s">
        <v>46752</v>
      </c>
      <c r="B2431" s="9" t="s">
        <v>47</v>
      </c>
      <c r="C2431" s="9" t="s">
        <v>42141</v>
      </c>
      <c r="D2431" s="9" t="s">
        <v>46753</v>
      </c>
      <c r="E2431" s="61">
        <v>45681.0</v>
      </c>
      <c r="F2431" s="9" t="b">
        <v>1</v>
      </c>
      <c r="G2431" s="9" t="s">
        <v>38801</v>
      </c>
      <c r="H2431" s="9" t="s">
        <v>42576</v>
      </c>
      <c r="I2431" s="9" t="b">
        <v>1</v>
      </c>
    </row>
    <row r="2432" ht="15.75" customHeight="1">
      <c r="A2432" s="9" t="s">
        <v>46754</v>
      </c>
      <c r="B2432" s="9" t="s">
        <v>47</v>
      </c>
      <c r="C2432" s="9" t="s">
        <v>42143</v>
      </c>
      <c r="D2432" s="9" t="s">
        <v>46755</v>
      </c>
      <c r="E2432" s="61">
        <v>45681.0</v>
      </c>
      <c r="F2432" s="9" t="b">
        <v>1</v>
      </c>
      <c r="G2432" s="9" t="s">
        <v>38801</v>
      </c>
      <c r="H2432" s="9" t="s">
        <v>42576</v>
      </c>
      <c r="I2432" s="9" t="b">
        <v>1</v>
      </c>
    </row>
    <row r="2433" ht="15.75" customHeight="1">
      <c r="A2433" s="9" t="s">
        <v>46756</v>
      </c>
      <c r="B2433" s="9" t="s">
        <v>47</v>
      </c>
      <c r="C2433" s="9" t="s">
        <v>42147</v>
      </c>
      <c r="D2433" s="9" t="s">
        <v>46757</v>
      </c>
      <c r="E2433" s="61">
        <v>45684.0</v>
      </c>
      <c r="F2433" s="9" t="b">
        <v>1</v>
      </c>
      <c r="G2433" s="9" t="s">
        <v>38801</v>
      </c>
      <c r="H2433" s="9" t="s">
        <v>42576</v>
      </c>
      <c r="I2433" s="9" t="b">
        <v>1</v>
      </c>
    </row>
    <row r="2434" ht="15.75" customHeight="1">
      <c r="A2434" s="9" t="s">
        <v>46758</v>
      </c>
      <c r="B2434" s="9" t="s">
        <v>47</v>
      </c>
      <c r="C2434" s="9" t="s">
        <v>42149</v>
      </c>
      <c r="D2434" s="9" t="s">
        <v>42560</v>
      </c>
      <c r="E2434" s="61">
        <v>45685.0</v>
      </c>
      <c r="F2434" s="9" t="b">
        <v>1</v>
      </c>
      <c r="G2434" s="9" t="s">
        <v>38801</v>
      </c>
      <c r="H2434" s="9" t="s">
        <v>42576</v>
      </c>
      <c r="I2434" s="9" t="b">
        <v>1</v>
      </c>
    </row>
    <row r="2435" ht="15.75" customHeight="1">
      <c r="A2435" s="9" t="s">
        <v>46759</v>
      </c>
      <c r="B2435" s="9" t="s">
        <v>47</v>
      </c>
      <c r="C2435" s="9" t="s">
        <v>42151</v>
      </c>
      <c r="D2435" s="9" t="s">
        <v>43895</v>
      </c>
      <c r="E2435" s="61">
        <v>45685.0</v>
      </c>
      <c r="F2435" s="9" t="b">
        <v>1</v>
      </c>
      <c r="G2435" s="9" t="s">
        <v>38801</v>
      </c>
      <c r="H2435" s="9" t="s">
        <v>42576</v>
      </c>
      <c r="I2435" s="9" t="b">
        <v>1</v>
      </c>
    </row>
    <row r="2436" ht="15.75" customHeight="1">
      <c r="A2436" s="9" t="s">
        <v>46760</v>
      </c>
      <c r="B2436" s="9" t="s">
        <v>131</v>
      </c>
      <c r="C2436" s="9" t="s">
        <v>42157</v>
      </c>
      <c r="D2436" s="9" t="s">
        <v>42560</v>
      </c>
      <c r="E2436" s="61">
        <v>45687.0</v>
      </c>
      <c r="F2436" s="9" t="b">
        <v>1</v>
      </c>
      <c r="G2436" s="9" t="s">
        <v>38801</v>
      </c>
      <c r="H2436" s="9" t="s">
        <v>42576</v>
      </c>
      <c r="I2436" s="9" t="b">
        <v>1</v>
      </c>
    </row>
    <row r="2437" ht="15.75" customHeight="1">
      <c r="A2437" s="9" t="s">
        <v>46761</v>
      </c>
      <c r="B2437" s="9" t="s">
        <v>131</v>
      </c>
      <c r="C2437" s="9" t="s">
        <v>42161</v>
      </c>
      <c r="D2437" s="9" t="s">
        <v>42560</v>
      </c>
      <c r="E2437" s="61">
        <v>45688.0</v>
      </c>
      <c r="F2437" s="9" t="b">
        <v>1</v>
      </c>
      <c r="G2437" s="9" t="s">
        <v>38801</v>
      </c>
      <c r="H2437" s="9" t="s">
        <v>42576</v>
      </c>
      <c r="I2437" s="9" t="b">
        <v>1</v>
      </c>
    </row>
    <row r="2438" ht="15.75" customHeight="1">
      <c r="A2438" s="9" t="s">
        <v>46762</v>
      </c>
      <c r="B2438" s="9" t="s">
        <v>131</v>
      </c>
      <c r="C2438" s="9" t="s">
        <v>42163</v>
      </c>
      <c r="D2438" s="9" t="s">
        <v>46763</v>
      </c>
      <c r="E2438" s="61">
        <v>45688.0</v>
      </c>
      <c r="F2438" s="9" t="b">
        <v>1</v>
      </c>
      <c r="G2438" s="9" t="s">
        <v>38801</v>
      </c>
      <c r="H2438" s="9" t="s">
        <v>42576</v>
      </c>
      <c r="I2438" s="9" t="b">
        <v>1</v>
      </c>
    </row>
    <row r="2439" ht="15.75" customHeight="1">
      <c r="A2439" s="9" t="s">
        <v>46764</v>
      </c>
      <c r="B2439" s="9" t="s">
        <v>131</v>
      </c>
      <c r="C2439" s="9" t="s">
        <v>42167</v>
      </c>
      <c r="D2439" s="9" t="s">
        <v>46763</v>
      </c>
      <c r="E2439" s="61">
        <v>45688.0</v>
      </c>
      <c r="F2439" s="9" t="b">
        <v>1</v>
      </c>
      <c r="G2439" s="9" t="s">
        <v>38801</v>
      </c>
      <c r="H2439" s="9" t="s">
        <v>42576</v>
      </c>
      <c r="I2439" s="9" t="b">
        <v>1</v>
      </c>
    </row>
    <row r="2440" ht="15.75" customHeight="1">
      <c r="A2440" s="9" t="s">
        <v>46765</v>
      </c>
      <c r="B2440" s="9" t="s">
        <v>131</v>
      </c>
      <c r="C2440" s="9" t="s">
        <v>42168</v>
      </c>
      <c r="D2440" s="9" t="s">
        <v>46763</v>
      </c>
      <c r="E2440" s="61">
        <v>45688.0</v>
      </c>
      <c r="F2440" s="9" t="b">
        <v>1</v>
      </c>
      <c r="G2440" s="9" t="s">
        <v>38801</v>
      </c>
      <c r="H2440" s="9" t="s">
        <v>42576</v>
      </c>
      <c r="I2440" s="9" t="b">
        <v>1</v>
      </c>
    </row>
    <row r="2441" ht="15.75" customHeight="1">
      <c r="A2441" s="9" t="s">
        <v>46766</v>
      </c>
      <c r="B2441" s="9" t="s">
        <v>131</v>
      </c>
      <c r="C2441" s="9" t="s">
        <v>42169</v>
      </c>
      <c r="D2441" s="9" t="s">
        <v>46763</v>
      </c>
      <c r="E2441" s="61">
        <v>45688.0</v>
      </c>
      <c r="F2441" s="9" t="b">
        <v>1</v>
      </c>
      <c r="G2441" s="9" t="s">
        <v>38801</v>
      </c>
      <c r="H2441" s="9" t="s">
        <v>42576</v>
      </c>
      <c r="I2441" s="9" t="b">
        <v>1</v>
      </c>
    </row>
    <row r="2442" ht="15.75" customHeight="1">
      <c r="A2442" s="9" t="s">
        <v>46767</v>
      </c>
      <c r="B2442" s="9" t="s">
        <v>131</v>
      </c>
      <c r="C2442" s="9" t="s">
        <v>42170</v>
      </c>
      <c r="D2442" s="9" t="s">
        <v>46763</v>
      </c>
      <c r="E2442" s="61">
        <v>45688.0</v>
      </c>
      <c r="F2442" s="9" t="b">
        <v>1</v>
      </c>
      <c r="G2442" s="9" t="s">
        <v>38801</v>
      </c>
      <c r="H2442" s="9" t="s">
        <v>42576</v>
      </c>
      <c r="I2442" s="9" t="b">
        <v>1</v>
      </c>
    </row>
    <row r="2443" ht="15.75" customHeight="1">
      <c r="A2443" s="9" t="s">
        <v>46768</v>
      </c>
      <c r="B2443" s="9" t="s">
        <v>131</v>
      </c>
      <c r="C2443" s="9" t="s">
        <v>42171</v>
      </c>
      <c r="D2443" s="9" t="s">
        <v>46763</v>
      </c>
      <c r="E2443" s="61">
        <v>45688.0</v>
      </c>
      <c r="F2443" s="9" t="b">
        <v>1</v>
      </c>
      <c r="G2443" s="9" t="s">
        <v>38801</v>
      </c>
      <c r="H2443" s="9" t="s">
        <v>42576</v>
      </c>
      <c r="I2443" s="9" t="b">
        <v>1</v>
      </c>
    </row>
    <row r="2444" ht="15.75" customHeight="1">
      <c r="A2444" s="9" t="s">
        <v>46769</v>
      </c>
      <c r="B2444" s="9" t="s">
        <v>131</v>
      </c>
      <c r="C2444" s="9" t="s">
        <v>42173</v>
      </c>
      <c r="D2444" s="9" t="s">
        <v>46763</v>
      </c>
      <c r="E2444" s="61">
        <v>45688.0</v>
      </c>
      <c r="F2444" s="9" t="b">
        <v>1</v>
      </c>
      <c r="G2444" s="9" t="s">
        <v>38801</v>
      </c>
      <c r="H2444" s="9" t="s">
        <v>42576</v>
      </c>
      <c r="I2444" s="9" t="b">
        <v>1</v>
      </c>
    </row>
    <row r="2445" ht="15.75" customHeight="1">
      <c r="A2445" s="9" t="s">
        <v>46770</v>
      </c>
      <c r="B2445" s="9" t="s">
        <v>131</v>
      </c>
      <c r="C2445" s="9" t="s">
        <v>42174</v>
      </c>
      <c r="D2445" s="9" t="s">
        <v>46763</v>
      </c>
      <c r="E2445" s="61">
        <v>45688.0</v>
      </c>
      <c r="F2445" s="9" t="b">
        <v>1</v>
      </c>
      <c r="G2445" s="9" t="s">
        <v>38801</v>
      </c>
      <c r="H2445" s="9" t="s">
        <v>42576</v>
      </c>
      <c r="I2445" s="9" t="b">
        <v>1</v>
      </c>
    </row>
    <row r="2446" ht="15.75" customHeight="1">
      <c r="A2446" s="9" t="s">
        <v>46771</v>
      </c>
      <c r="B2446" s="9" t="s">
        <v>131</v>
      </c>
      <c r="C2446" s="9" t="s">
        <v>42175</v>
      </c>
      <c r="D2446" s="9" t="s">
        <v>46763</v>
      </c>
      <c r="E2446" s="61">
        <v>45688.0</v>
      </c>
      <c r="F2446" s="9" t="b">
        <v>1</v>
      </c>
      <c r="G2446" s="9" t="s">
        <v>38801</v>
      </c>
      <c r="H2446" s="9" t="s">
        <v>42576</v>
      </c>
      <c r="I2446" s="9" t="b">
        <v>1</v>
      </c>
    </row>
    <row r="2447" ht="15.75" customHeight="1">
      <c r="A2447" s="9" t="s">
        <v>46772</v>
      </c>
      <c r="B2447" s="9" t="s">
        <v>47</v>
      </c>
      <c r="C2447" s="9" t="s">
        <v>42084</v>
      </c>
      <c r="D2447" s="9" t="s">
        <v>42560</v>
      </c>
      <c r="E2447" s="61">
        <v>45692.0</v>
      </c>
      <c r="F2447" s="9" t="b">
        <v>1</v>
      </c>
      <c r="G2447" s="9" t="s">
        <v>38801</v>
      </c>
      <c r="H2447" s="9" t="s">
        <v>42560</v>
      </c>
      <c r="I2447" s="9" t="b">
        <v>1</v>
      </c>
    </row>
    <row r="2448" ht="15.75" customHeight="1">
      <c r="A2448" s="9" t="s">
        <v>46773</v>
      </c>
      <c r="B2448" s="9" t="s">
        <v>47</v>
      </c>
      <c r="C2448" s="9" t="s">
        <v>42179</v>
      </c>
      <c r="D2448" s="9" t="s">
        <v>46774</v>
      </c>
      <c r="E2448" s="61">
        <v>45692.0</v>
      </c>
      <c r="F2448" s="9" t="b">
        <v>1</v>
      </c>
      <c r="G2448" s="9" t="s">
        <v>43228</v>
      </c>
      <c r="H2448" s="9" t="s">
        <v>42576</v>
      </c>
      <c r="I2448" s="9"/>
    </row>
    <row r="2449" ht="15.75" customHeight="1">
      <c r="A2449" s="9" t="s">
        <v>46775</v>
      </c>
      <c r="B2449" s="9" t="s">
        <v>47</v>
      </c>
      <c r="C2449" s="9" t="s">
        <v>42176</v>
      </c>
      <c r="D2449" s="9" t="s">
        <v>43895</v>
      </c>
      <c r="E2449" s="61">
        <v>45692.0</v>
      </c>
      <c r="F2449" s="9" t="b">
        <v>1</v>
      </c>
      <c r="G2449" s="9" t="s">
        <v>38801</v>
      </c>
      <c r="H2449" s="9" t="s">
        <v>42576</v>
      </c>
      <c r="I2449" s="9" t="b">
        <v>1</v>
      </c>
    </row>
    <row r="2450" ht="15.75" customHeight="1">
      <c r="A2450" s="9" t="s">
        <v>46776</v>
      </c>
      <c r="B2450" s="9" t="s">
        <v>208</v>
      </c>
      <c r="C2450" s="9" t="s">
        <v>42145</v>
      </c>
      <c r="D2450" s="9" t="s">
        <v>46777</v>
      </c>
      <c r="E2450" s="61">
        <v>45694.0</v>
      </c>
      <c r="F2450" s="9" t="b">
        <v>1</v>
      </c>
      <c r="G2450" s="9" t="s">
        <v>38801</v>
      </c>
      <c r="H2450" s="9" t="s">
        <v>42576</v>
      </c>
      <c r="I2450" s="9" t="b">
        <v>1</v>
      </c>
    </row>
    <row r="2451" ht="15.75" customHeight="1">
      <c r="A2451" s="9" t="s">
        <v>46778</v>
      </c>
      <c r="B2451" s="9" t="s">
        <v>131</v>
      </c>
      <c r="C2451" s="9" t="s">
        <v>42185</v>
      </c>
      <c r="D2451" s="9" t="s">
        <v>42560</v>
      </c>
      <c r="E2451" s="61">
        <v>45698.0</v>
      </c>
      <c r="F2451" s="9" t="b">
        <v>1</v>
      </c>
      <c r="G2451" s="9" t="s">
        <v>38801</v>
      </c>
      <c r="H2451" s="9" t="s">
        <v>42576</v>
      </c>
      <c r="I2451" s="9" t="b">
        <v>1</v>
      </c>
    </row>
    <row r="2452" ht="15.75" customHeight="1">
      <c r="A2452" s="9" t="s">
        <v>46779</v>
      </c>
      <c r="B2452" s="9" t="s">
        <v>47</v>
      </c>
      <c r="C2452" s="9" t="s">
        <v>42189</v>
      </c>
      <c r="D2452" s="9" t="s">
        <v>46780</v>
      </c>
      <c r="E2452" s="61">
        <v>45698.0</v>
      </c>
      <c r="F2452" s="9" t="b">
        <v>1</v>
      </c>
      <c r="G2452" s="9" t="s">
        <v>43228</v>
      </c>
      <c r="H2452" s="9" t="s">
        <v>42576</v>
      </c>
      <c r="I2452" s="9"/>
    </row>
    <row r="2453" ht="15.75" customHeight="1">
      <c r="A2453" s="9" t="s">
        <v>46781</v>
      </c>
      <c r="B2453" s="9" t="s">
        <v>47</v>
      </c>
      <c r="C2453" s="9" t="s">
        <v>42191</v>
      </c>
      <c r="D2453" s="9" t="s">
        <v>43895</v>
      </c>
      <c r="E2453" s="61">
        <v>45698.0</v>
      </c>
      <c r="F2453" s="9" t="b">
        <v>1</v>
      </c>
      <c r="G2453" s="9" t="s">
        <v>38801</v>
      </c>
      <c r="H2453" s="9" t="s">
        <v>42576</v>
      </c>
      <c r="I2453" s="9" t="b">
        <v>1</v>
      </c>
    </row>
    <row r="2454" ht="15.75" customHeight="1">
      <c r="A2454" s="9" t="s">
        <v>46782</v>
      </c>
      <c r="B2454" s="9" t="s">
        <v>47</v>
      </c>
      <c r="C2454" s="9" t="s">
        <v>42193</v>
      </c>
      <c r="D2454" s="9" t="s">
        <v>46783</v>
      </c>
      <c r="E2454" s="61">
        <v>45698.0</v>
      </c>
      <c r="F2454" s="9" t="b">
        <v>1</v>
      </c>
      <c r="G2454" s="9" t="s">
        <v>38801</v>
      </c>
      <c r="H2454" s="9" t="s">
        <v>42576</v>
      </c>
      <c r="I2454" s="9" t="b">
        <v>1</v>
      </c>
    </row>
    <row r="2455" ht="15.75" customHeight="1">
      <c r="A2455" s="9" t="s">
        <v>46784</v>
      </c>
      <c r="B2455" s="9" t="s">
        <v>76</v>
      </c>
      <c r="C2455" s="9" t="s">
        <v>42026</v>
      </c>
      <c r="D2455" s="9" t="s">
        <v>46785</v>
      </c>
      <c r="E2455" s="61">
        <v>45699.0</v>
      </c>
      <c r="F2455" s="9" t="b">
        <v>1</v>
      </c>
      <c r="G2455" s="9" t="s">
        <v>38801</v>
      </c>
      <c r="H2455" s="9" t="s">
        <v>42576</v>
      </c>
      <c r="I2455" s="9" t="b">
        <v>1</v>
      </c>
    </row>
    <row r="2456" ht="15.75" customHeight="1">
      <c r="A2456" s="9" t="s">
        <v>46786</v>
      </c>
      <c r="B2456" s="9" t="s">
        <v>76</v>
      </c>
      <c r="C2456" s="9" t="s">
        <v>42070</v>
      </c>
      <c r="D2456" s="9" t="s">
        <v>46787</v>
      </c>
      <c r="E2456" s="61">
        <v>45699.0</v>
      </c>
      <c r="F2456" s="9" t="b">
        <v>1</v>
      </c>
      <c r="G2456" s="9" t="s">
        <v>38801</v>
      </c>
      <c r="H2456" s="9" t="s">
        <v>42576</v>
      </c>
      <c r="I2456" s="9" t="b">
        <v>1</v>
      </c>
    </row>
    <row r="2457" ht="15.75" customHeight="1">
      <c r="A2457" s="9" t="s">
        <v>46788</v>
      </c>
      <c r="B2457" s="9" t="s">
        <v>47</v>
      </c>
      <c r="C2457" s="9" t="s">
        <v>41793</v>
      </c>
      <c r="D2457" s="9" t="s">
        <v>46789</v>
      </c>
      <c r="E2457" s="61">
        <v>45699.0</v>
      </c>
      <c r="F2457" s="9" t="b">
        <v>1</v>
      </c>
      <c r="G2457" s="9" t="s">
        <v>38801</v>
      </c>
      <c r="H2457" s="9" t="s">
        <v>42576</v>
      </c>
      <c r="I2457" s="9" t="b">
        <v>1</v>
      </c>
    </row>
    <row r="2458" ht="15.75" customHeight="1">
      <c r="A2458" s="9" t="s">
        <v>46790</v>
      </c>
      <c r="B2458" s="9" t="s">
        <v>26</v>
      </c>
      <c r="C2458" s="9" t="s">
        <v>42100</v>
      </c>
      <c r="D2458" s="9" t="s">
        <v>42560</v>
      </c>
      <c r="E2458" s="61">
        <v>45701.0</v>
      </c>
      <c r="F2458" s="9" t="b">
        <v>1</v>
      </c>
      <c r="G2458" s="9" t="s">
        <v>38801</v>
      </c>
      <c r="H2458" s="9" t="s">
        <v>42560</v>
      </c>
      <c r="I2458" s="9" t="b">
        <v>1</v>
      </c>
    </row>
    <row r="2459" ht="15.75" customHeight="1">
      <c r="A2459" s="9" t="s">
        <v>46791</v>
      </c>
      <c r="B2459" s="9" t="s">
        <v>26</v>
      </c>
      <c r="C2459" s="9" t="s">
        <v>42135</v>
      </c>
      <c r="D2459" s="9" t="s">
        <v>42560</v>
      </c>
      <c r="E2459" s="61">
        <v>45701.0</v>
      </c>
      <c r="F2459" s="9" t="b">
        <v>1</v>
      </c>
      <c r="G2459" s="9" t="s">
        <v>38801</v>
      </c>
      <c r="H2459" s="9" t="s">
        <v>42576</v>
      </c>
      <c r="I2459" s="9" t="b">
        <v>1</v>
      </c>
    </row>
    <row r="2460" ht="15.75" customHeight="1">
      <c r="A2460" s="9" t="s">
        <v>46792</v>
      </c>
      <c r="B2460" s="9" t="s">
        <v>26</v>
      </c>
      <c r="C2460" s="9" t="s">
        <v>42136</v>
      </c>
      <c r="D2460" s="9" t="s">
        <v>42560</v>
      </c>
      <c r="E2460" s="61">
        <v>45701.0</v>
      </c>
      <c r="F2460" s="9" t="b">
        <v>1</v>
      </c>
      <c r="G2460" s="9" t="s">
        <v>38801</v>
      </c>
      <c r="H2460" s="9" t="s">
        <v>42576</v>
      </c>
      <c r="I2460" s="9" t="b">
        <v>1</v>
      </c>
    </row>
    <row r="2461" ht="15.75" customHeight="1">
      <c r="A2461" s="9" t="s">
        <v>46793</v>
      </c>
      <c r="B2461" s="9" t="s">
        <v>26</v>
      </c>
      <c r="C2461" s="9" t="s">
        <v>42130</v>
      </c>
      <c r="D2461" s="9" t="s">
        <v>42560</v>
      </c>
      <c r="E2461" s="61">
        <v>45701.0</v>
      </c>
      <c r="F2461" s="9" t="b">
        <v>1</v>
      </c>
      <c r="G2461" s="9" t="s">
        <v>38801</v>
      </c>
      <c r="H2461" s="9" t="s">
        <v>42576</v>
      </c>
      <c r="I2461" s="9" t="b">
        <v>1</v>
      </c>
    </row>
    <row r="2462" ht="15.75" customHeight="1">
      <c r="A2462" s="9" t="s">
        <v>46794</v>
      </c>
      <c r="B2462" s="9" t="s">
        <v>26</v>
      </c>
      <c r="C2462" s="9" t="s">
        <v>42133</v>
      </c>
      <c r="D2462" s="9" t="s">
        <v>42560</v>
      </c>
      <c r="E2462" s="61">
        <v>45701.0</v>
      </c>
      <c r="F2462" s="9" t="b">
        <v>1</v>
      </c>
      <c r="G2462" s="9" t="s">
        <v>38801</v>
      </c>
      <c r="H2462" s="9" t="s">
        <v>42576</v>
      </c>
      <c r="I2462" s="9" t="b">
        <v>1</v>
      </c>
    </row>
    <row r="2463" ht="15.75" customHeight="1">
      <c r="A2463" s="9" t="s">
        <v>46795</v>
      </c>
      <c r="B2463" s="9" t="s">
        <v>26</v>
      </c>
      <c r="C2463" s="9" t="s">
        <v>42132</v>
      </c>
      <c r="D2463" s="9" t="s">
        <v>42560</v>
      </c>
      <c r="E2463" s="61">
        <v>45701.0</v>
      </c>
      <c r="F2463" s="9" t="b">
        <v>1</v>
      </c>
      <c r="G2463" s="9" t="s">
        <v>38801</v>
      </c>
      <c r="H2463" s="9" t="s">
        <v>42576</v>
      </c>
      <c r="I2463" s="9" t="b">
        <v>1</v>
      </c>
    </row>
    <row r="2464" ht="15.75" customHeight="1">
      <c r="A2464" s="9" t="s">
        <v>46796</v>
      </c>
      <c r="B2464" s="9" t="s">
        <v>26</v>
      </c>
      <c r="C2464" s="9" t="s">
        <v>42160</v>
      </c>
      <c r="D2464" s="9" t="s">
        <v>46797</v>
      </c>
      <c r="E2464" s="61">
        <v>45701.0</v>
      </c>
      <c r="F2464" s="9" t="b">
        <v>1</v>
      </c>
      <c r="G2464" s="9" t="s">
        <v>38801</v>
      </c>
      <c r="H2464" s="9" t="s">
        <v>42576</v>
      </c>
      <c r="I2464" s="9" t="b">
        <v>1</v>
      </c>
    </row>
    <row r="2465" ht="15.75" customHeight="1">
      <c r="A2465" s="9" t="s">
        <v>46798</v>
      </c>
      <c r="B2465" s="9" t="s">
        <v>26</v>
      </c>
      <c r="C2465" s="9" t="s">
        <v>42183</v>
      </c>
      <c r="D2465" s="9" t="s">
        <v>46799</v>
      </c>
      <c r="E2465" s="61">
        <v>45701.0</v>
      </c>
      <c r="F2465" s="9" t="b">
        <v>1</v>
      </c>
      <c r="G2465" s="9" t="s">
        <v>38801</v>
      </c>
      <c r="H2465" s="9" t="s">
        <v>42576</v>
      </c>
      <c r="I2465" s="9" t="b">
        <v>1</v>
      </c>
    </row>
    <row r="2466" ht="15.75" customHeight="1">
      <c r="A2466" s="9" t="s">
        <v>46800</v>
      </c>
      <c r="B2466" s="9" t="s">
        <v>26</v>
      </c>
      <c r="C2466" s="9" t="s">
        <v>42187</v>
      </c>
      <c r="D2466" s="9" t="s">
        <v>46801</v>
      </c>
      <c r="E2466" s="61">
        <v>45701.0</v>
      </c>
      <c r="F2466" s="9" t="b">
        <v>1</v>
      </c>
      <c r="G2466" s="9" t="s">
        <v>38801</v>
      </c>
      <c r="H2466" s="9" t="s">
        <v>42576</v>
      </c>
      <c r="I2466" s="9" t="b">
        <v>1</v>
      </c>
    </row>
    <row r="2467" ht="15.75" customHeight="1">
      <c r="A2467" s="9" t="s">
        <v>46802</v>
      </c>
      <c r="B2467" s="9" t="s">
        <v>26</v>
      </c>
      <c r="C2467" s="9" t="s">
        <v>42196</v>
      </c>
      <c r="D2467" s="9" t="s">
        <v>46803</v>
      </c>
      <c r="E2467" s="61">
        <v>45701.0</v>
      </c>
      <c r="F2467" s="9" t="b">
        <v>1</v>
      </c>
      <c r="G2467" s="9" t="s">
        <v>38801</v>
      </c>
      <c r="H2467" s="9" t="s">
        <v>42576</v>
      </c>
      <c r="I2467" s="9" t="b">
        <v>1</v>
      </c>
    </row>
    <row r="2468" ht="15.75" customHeight="1">
      <c r="A2468" s="9" t="s">
        <v>46804</v>
      </c>
      <c r="B2468" s="9" t="s">
        <v>26</v>
      </c>
      <c r="C2468" s="9" t="s">
        <v>42199</v>
      </c>
      <c r="D2468" s="9" t="s">
        <v>46805</v>
      </c>
      <c r="E2468" s="61">
        <v>45701.0</v>
      </c>
      <c r="F2468" s="9" t="b">
        <v>1</v>
      </c>
      <c r="G2468" s="9" t="s">
        <v>38801</v>
      </c>
      <c r="H2468" s="9" t="s">
        <v>42576</v>
      </c>
      <c r="I2468" s="9" t="b">
        <v>1</v>
      </c>
    </row>
    <row r="2469" ht="15.75" customHeight="1">
      <c r="A2469" s="9" t="s">
        <v>46806</v>
      </c>
      <c r="B2469" s="9" t="s">
        <v>47</v>
      </c>
      <c r="C2469" s="9" t="s">
        <v>42201</v>
      </c>
      <c r="D2469" s="9" t="s">
        <v>46807</v>
      </c>
      <c r="E2469" s="61">
        <v>45702.0</v>
      </c>
      <c r="F2469" s="9" t="b">
        <v>1</v>
      </c>
      <c r="G2469" s="9" t="s">
        <v>43228</v>
      </c>
      <c r="H2469" s="9" t="s">
        <v>42576</v>
      </c>
      <c r="I2469" s="9"/>
    </row>
    <row r="2470" ht="15.75" customHeight="1">
      <c r="A2470" s="52" t="s">
        <v>46808</v>
      </c>
      <c r="B2470" s="9" t="s">
        <v>47</v>
      </c>
      <c r="C2470" s="9" t="s">
        <v>42201</v>
      </c>
      <c r="D2470" s="9" t="s">
        <v>46809</v>
      </c>
      <c r="E2470" s="61">
        <v>45705.0</v>
      </c>
      <c r="F2470" s="9" t="b">
        <v>1</v>
      </c>
      <c r="G2470" s="9" t="s">
        <v>38801</v>
      </c>
      <c r="H2470" s="9" t="s">
        <v>42576</v>
      </c>
      <c r="I2470" s="9" t="b">
        <v>1</v>
      </c>
    </row>
    <row r="2471" ht="15.75" customHeight="1">
      <c r="A2471" s="9" t="s">
        <v>46810</v>
      </c>
      <c r="B2471" s="9" t="s">
        <v>47</v>
      </c>
      <c r="C2471" s="9" t="s">
        <v>42203</v>
      </c>
      <c r="D2471" s="9" t="s">
        <v>43895</v>
      </c>
      <c r="E2471" s="61">
        <v>45705.0</v>
      </c>
      <c r="F2471" s="9" t="b">
        <v>1</v>
      </c>
      <c r="G2471" s="9" t="s">
        <v>38801</v>
      </c>
      <c r="H2471" s="9" t="s">
        <v>42560</v>
      </c>
      <c r="I2471" s="9" t="b">
        <v>1</v>
      </c>
    </row>
    <row r="2472" ht="15.75" customHeight="1">
      <c r="A2472" s="9" t="s">
        <v>46811</v>
      </c>
      <c r="B2472" s="9" t="s">
        <v>131</v>
      </c>
      <c r="C2472" s="9" t="s">
        <v>42205</v>
      </c>
      <c r="D2472" s="9" t="s">
        <v>46812</v>
      </c>
      <c r="E2472" s="61">
        <v>45705.0</v>
      </c>
      <c r="F2472" s="9" t="b">
        <v>1</v>
      </c>
      <c r="G2472" s="9" t="s">
        <v>38801</v>
      </c>
      <c r="H2472" s="9" t="s">
        <v>42576</v>
      </c>
      <c r="I2472" s="9" t="b">
        <v>1</v>
      </c>
    </row>
    <row r="2473" ht="15.75" customHeight="1">
      <c r="A2473" s="9" t="s">
        <v>46813</v>
      </c>
      <c r="B2473" s="9" t="s">
        <v>47</v>
      </c>
      <c r="C2473" s="9" t="s">
        <v>38890</v>
      </c>
      <c r="D2473" s="9" t="s">
        <v>45201</v>
      </c>
      <c r="E2473" s="61">
        <v>45705.0</v>
      </c>
      <c r="F2473" s="9" t="b">
        <v>1</v>
      </c>
      <c r="G2473" s="9" t="s">
        <v>38801</v>
      </c>
      <c r="H2473" s="9" t="s">
        <v>42576</v>
      </c>
      <c r="I2473" s="9" t="b">
        <v>1</v>
      </c>
    </row>
    <row r="2474" ht="15.75" customHeight="1">
      <c r="A2474" s="9" t="s">
        <v>46814</v>
      </c>
      <c r="B2474" s="9" t="s">
        <v>47</v>
      </c>
      <c r="C2474" s="9" t="s">
        <v>42124</v>
      </c>
      <c r="D2474" s="9" t="s">
        <v>46815</v>
      </c>
      <c r="E2474" s="61">
        <v>45705.0</v>
      </c>
      <c r="F2474" s="9" t="b">
        <v>1</v>
      </c>
      <c r="G2474" s="9" t="s">
        <v>43228</v>
      </c>
      <c r="H2474" s="9" t="s">
        <v>42576</v>
      </c>
      <c r="I2474" s="9"/>
    </row>
    <row r="2475" ht="15.75" customHeight="1">
      <c r="A2475" s="9" t="s">
        <v>46816</v>
      </c>
      <c r="B2475" s="9" t="s">
        <v>26</v>
      </c>
      <c r="C2475" s="9" t="s">
        <v>42206</v>
      </c>
      <c r="D2475" s="9" t="s">
        <v>46817</v>
      </c>
      <c r="E2475" s="61">
        <v>45706.0</v>
      </c>
      <c r="F2475" s="9" t="b">
        <v>1</v>
      </c>
      <c r="G2475" s="9" t="s">
        <v>38801</v>
      </c>
      <c r="H2475" s="9" t="s">
        <v>42560</v>
      </c>
      <c r="I2475" s="9" t="b">
        <v>1</v>
      </c>
    </row>
    <row r="2476" ht="15.75" customHeight="1">
      <c r="A2476" s="9" t="s">
        <v>46818</v>
      </c>
      <c r="B2476" s="9" t="s">
        <v>47</v>
      </c>
      <c r="C2476" s="9" t="s">
        <v>42189</v>
      </c>
      <c r="D2476" s="9" t="s">
        <v>46819</v>
      </c>
      <c r="E2476" s="61">
        <v>45712.0</v>
      </c>
      <c r="F2476" s="9" t="b">
        <v>1</v>
      </c>
      <c r="G2476" s="9" t="s">
        <v>38801</v>
      </c>
      <c r="H2476" s="9" t="s">
        <v>42560</v>
      </c>
      <c r="I2476" s="9" t="b">
        <v>1</v>
      </c>
    </row>
    <row r="2477" ht="15.75" customHeight="1">
      <c r="A2477" s="9" t="s">
        <v>46820</v>
      </c>
      <c r="B2477" s="9" t="s">
        <v>47</v>
      </c>
      <c r="C2477" s="9" t="s">
        <v>42214</v>
      </c>
      <c r="D2477" s="9" t="s">
        <v>46821</v>
      </c>
      <c r="E2477" s="61">
        <v>45712.0</v>
      </c>
      <c r="F2477" s="9" t="b">
        <v>1</v>
      </c>
      <c r="G2477" s="9" t="s">
        <v>43228</v>
      </c>
      <c r="H2477" s="9" t="s">
        <v>42576</v>
      </c>
      <c r="I2477" s="9"/>
    </row>
    <row r="2478" ht="15.75" customHeight="1">
      <c r="A2478" s="9" t="s">
        <v>46822</v>
      </c>
      <c r="B2478" s="9" t="s">
        <v>131</v>
      </c>
      <c r="C2478" s="9" t="s">
        <v>42216</v>
      </c>
      <c r="D2478" s="9" t="s">
        <v>46823</v>
      </c>
      <c r="E2478" s="61">
        <v>45719.0</v>
      </c>
      <c r="F2478" s="9" t="b">
        <v>1</v>
      </c>
      <c r="G2478" s="9" t="s">
        <v>38801</v>
      </c>
      <c r="H2478" s="9" t="s">
        <v>42576</v>
      </c>
      <c r="I2478" s="9" t="b">
        <v>1</v>
      </c>
    </row>
    <row r="2479" ht="15.75" customHeight="1">
      <c r="A2479" s="9" t="s">
        <v>46824</v>
      </c>
      <c r="B2479" s="9" t="s">
        <v>76</v>
      </c>
      <c r="C2479" s="9" t="s">
        <v>42041</v>
      </c>
      <c r="D2479" s="9" t="s">
        <v>46825</v>
      </c>
      <c r="E2479" s="61">
        <v>45720.0</v>
      </c>
      <c r="F2479" s="9" t="b">
        <v>1</v>
      </c>
      <c r="G2479" s="9" t="s">
        <v>38801</v>
      </c>
      <c r="H2479" s="9" t="s">
        <v>42576</v>
      </c>
      <c r="I2479" s="9" t="b">
        <v>1</v>
      </c>
    </row>
    <row r="2480" ht="15.75" customHeight="1">
      <c r="A2480" s="9" t="s">
        <v>46826</v>
      </c>
      <c r="B2480" s="9" t="s">
        <v>76</v>
      </c>
      <c r="C2480" s="9" t="s">
        <v>42106</v>
      </c>
      <c r="D2480" s="9" t="s">
        <v>46827</v>
      </c>
      <c r="E2480" s="61">
        <v>45720.0</v>
      </c>
      <c r="F2480" s="9" t="b">
        <v>1</v>
      </c>
      <c r="G2480" s="9" t="s">
        <v>38801</v>
      </c>
      <c r="H2480" s="9" t="s">
        <v>42576</v>
      </c>
      <c r="I2480" s="9" t="b">
        <v>1</v>
      </c>
    </row>
    <row r="2481" ht="15.75" customHeight="1">
      <c r="A2481" s="9" t="s">
        <v>46828</v>
      </c>
      <c r="B2481" s="9" t="s">
        <v>76</v>
      </c>
      <c r="C2481" s="9" t="s">
        <v>42125</v>
      </c>
      <c r="D2481" s="9" t="s">
        <v>46829</v>
      </c>
      <c r="E2481" s="61">
        <v>45720.0</v>
      </c>
      <c r="F2481" s="9" t="b">
        <v>1</v>
      </c>
      <c r="G2481" s="9" t="s">
        <v>38801</v>
      </c>
      <c r="H2481" s="9" t="s">
        <v>42576</v>
      </c>
      <c r="I2481" s="9" t="b">
        <v>1</v>
      </c>
    </row>
    <row r="2482" ht="15.75" customHeight="1">
      <c r="A2482" s="9" t="s">
        <v>46830</v>
      </c>
      <c r="B2482" s="9" t="s">
        <v>76</v>
      </c>
      <c r="C2482" s="9" t="s">
        <v>42152</v>
      </c>
      <c r="D2482" s="9" t="s">
        <v>46831</v>
      </c>
      <c r="E2482" s="61">
        <v>45720.0</v>
      </c>
      <c r="F2482" s="9" t="b">
        <v>1</v>
      </c>
      <c r="G2482" s="9" t="s">
        <v>38801</v>
      </c>
      <c r="H2482" s="9" t="s">
        <v>42576</v>
      </c>
      <c r="I2482" s="9" t="b">
        <v>1</v>
      </c>
    </row>
    <row r="2483" ht="15.75" customHeight="1">
      <c r="A2483" s="9" t="s">
        <v>46832</v>
      </c>
      <c r="B2483" s="9" t="s">
        <v>76</v>
      </c>
      <c r="C2483" s="9" t="s">
        <v>42159</v>
      </c>
      <c r="D2483" s="9" t="s">
        <v>46833</v>
      </c>
      <c r="E2483" s="61">
        <v>45720.0</v>
      </c>
      <c r="F2483" s="9" t="b">
        <v>1</v>
      </c>
      <c r="G2483" s="9" t="s">
        <v>38801</v>
      </c>
      <c r="H2483" s="9" t="s">
        <v>42576</v>
      </c>
      <c r="I2483" s="9" t="b">
        <v>1</v>
      </c>
    </row>
    <row r="2484" ht="15.75" customHeight="1">
      <c r="A2484" s="9" t="s">
        <v>46834</v>
      </c>
      <c r="B2484" s="9" t="s">
        <v>76</v>
      </c>
      <c r="C2484" s="9" t="s">
        <v>42181</v>
      </c>
      <c r="D2484" s="9" t="s">
        <v>46835</v>
      </c>
      <c r="E2484" s="61">
        <v>45720.0</v>
      </c>
      <c r="F2484" s="9" t="b">
        <v>1</v>
      </c>
      <c r="G2484" s="9" t="s">
        <v>38801</v>
      </c>
      <c r="H2484" s="9" t="s">
        <v>42576</v>
      </c>
      <c r="I2484" s="9" t="b">
        <v>1</v>
      </c>
    </row>
    <row r="2485" ht="15.75" customHeight="1">
      <c r="A2485" s="9" t="s">
        <v>46836</v>
      </c>
      <c r="B2485" s="9" t="s">
        <v>47</v>
      </c>
      <c r="C2485" s="9" t="s">
        <v>42219</v>
      </c>
      <c r="D2485" s="9" t="s">
        <v>46837</v>
      </c>
      <c r="E2485" s="61">
        <v>45721.0</v>
      </c>
      <c r="F2485" s="9" t="b">
        <v>1</v>
      </c>
      <c r="G2485" s="9" t="s">
        <v>43228</v>
      </c>
      <c r="H2485" s="9" t="s">
        <v>42576</v>
      </c>
      <c r="I2485" s="9"/>
    </row>
    <row r="2486" ht="15.75" customHeight="1">
      <c r="A2486" s="9" t="s">
        <v>46838</v>
      </c>
      <c r="B2486" s="9" t="s">
        <v>47</v>
      </c>
      <c r="C2486" s="9" t="s">
        <v>42219</v>
      </c>
      <c r="D2486" s="9" t="s">
        <v>46839</v>
      </c>
      <c r="E2486" s="61">
        <v>45722.0</v>
      </c>
      <c r="F2486" s="9" t="b">
        <v>1</v>
      </c>
      <c r="G2486" s="9" t="s">
        <v>38801</v>
      </c>
      <c r="H2486" s="9" t="s">
        <v>42576</v>
      </c>
      <c r="I2486" s="9" t="b">
        <v>1</v>
      </c>
    </row>
    <row r="2487" ht="15.75" customHeight="1">
      <c r="A2487" s="9" t="s">
        <v>46840</v>
      </c>
      <c r="B2487" s="9" t="s">
        <v>47</v>
      </c>
      <c r="C2487" s="9" t="s">
        <v>42220</v>
      </c>
      <c r="D2487" s="9" t="s">
        <v>46841</v>
      </c>
      <c r="E2487" s="61">
        <v>45722.0</v>
      </c>
      <c r="F2487" s="9" t="b">
        <v>1</v>
      </c>
      <c r="G2487" s="9" t="s">
        <v>38801</v>
      </c>
      <c r="H2487" s="9" t="s">
        <v>42576</v>
      </c>
      <c r="I2487" s="9" t="b">
        <v>1</v>
      </c>
    </row>
    <row r="2488" ht="15.75" customHeight="1">
      <c r="A2488" s="9" t="s">
        <v>46842</v>
      </c>
      <c r="B2488" s="9" t="s">
        <v>47</v>
      </c>
      <c r="C2488" s="9" t="s">
        <v>42222</v>
      </c>
      <c r="D2488" s="9" t="s">
        <v>46843</v>
      </c>
      <c r="E2488" s="61">
        <v>45722.0</v>
      </c>
      <c r="F2488" s="9" t="b">
        <v>1</v>
      </c>
      <c r="G2488" s="9" t="s">
        <v>43228</v>
      </c>
      <c r="H2488" s="9" t="s">
        <v>42576</v>
      </c>
      <c r="I2488" s="9"/>
    </row>
    <row r="2489" ht="15.75" customHeight="1">
      <c r="A2489" s="9" t="s">
        <v>46844</v>
      </c>
      <c r="B2489" s="9" t="s">
        <v>47</v>
      </c>
      <c r="C2489" s="9" t="s">
        <v>42177</v>
      </c>
      <c r="D2489" s="9" t="s">
        <v>46845</v>
      </c>
      <c r="E2489" s="61">
        <v>45722.0</v>
      </c>
      <c r="F2489" s="9" t="b">
        <v>1</v>
      </c>
      <c r="G2489" s="9" t="s">
        <v>38801</v>
      </c>
      <c r="H2489" s="9" t="s">
        <v>42576</v>
      </c>
      <c r="I2489" s="9" t="b">
        <v>1</v>
      </c>
    </row>
    <row r="2490" ht="15.75" customHeight="1">
      <c r="A2490" s="9" t="s">
        <v>46846</v>
      </c>
      <c r="B2490" s="9" t="s">
        <v>131</v>
      </c>
      <c r="C2490" s="9" t="s">
        <v>42137</v>
      </c>
      <c r="D2490" s="9" t="s">
        <v>46847</v>
      </c>
      <c r="E2490" s="61">
        <v>45723.0</v>
      </c>
      <c r="F2490" s="9" t="b">
        <v>1</v>
      </c>
      <c r="G2490" s="9" t="s">
        <v>38801</v>
      </c>
      <c r="H2490" s="9" t="s">
        <v>42576</v>
      </c>
      <c r="I2490" s="9" t="b">
        <v>1</v>
      </c>
    </row>
    <row r="2491" ht="15.75" customHeight="1">
      <c r="A2491" s="9" t="s">
        <v>46848</v>
      </c>
      <c r="B2491" s="9" t="s">
        <v>131</v>
      </c>
      <c r="C2491" s="9" t="s">
        <v>41727</v>
      </c>
      <c r="D2491" s="9" t="s">
        <v>46849</v>
      </c>
      <c r="E2491" s="61">
        <v>45723.0</v>
      </c>
      <c r="F2491" s="9" t="b">
        <v>1</v>
      </c>
      <c r="G2491" s="9" t="s">
        <v>42573</v>
      </c>
      <c r="H2491" s="9" t="s">
        <v>42576</v>
      </c>
      <c r="I2491" s="9"/>
    </row>
    <row r="2492" ht="15.75" customHeight="1">
      <c r="A2492" s="9" t="s">
        <v>46850</v>
      </c>
      <c r="B2492" s="9" t="s">
        <v>131</v>
      </c>
      <c r="C2492" s="9" t="s">
        <v>42226</v>
      </c>
      <c r="D2492" s="9" t="s">
        <v>46851</v>
      </c>
      <c r="E2492" s="61">
        <v>45723.0</v>
      </c>
      <c r="F2492" s="9" t="b">
        <v>1</v>
      </c>
      <c r="G2492" s="9" t="s">
        <v>42573</v>
      </c>
      <c r="H2492" s="9" t="s">
        <v>42560</v>
      </c>
      <c r="I2492" s="9"/>
    </row>
    <row r="2493" ht="15.75" customHeight="1">
      <c r="A2493" s="9" t="s">
        <v>46852</v>
      </c>
      <c r="B2493" s="9" t="s">
        <v>131</v>
      </c>
      <c r="C2493" s="9" t="s">
        <v>42227</v>
      </c>
      <c r="D2493" s="9" t="s">
        <v>46853</v>
      </c>
      <c r="E2493" s="61">
        <v>45723.0</v>
      </c>
      <c r="F2493" s="9" t="b">
        <v>1</v>
      </c>
      <c r="G2493" s="9" t="s">
        <v>42573</v>
      </c>
      <c r="H2493" s="9" t="s">
        <v>42560</v>
      </c>
      <c r="I2493" s="9"/>
    </row>
    <row r="2494" ht="15.75" customHeight="1">
      <c r="A2494" s="9" t="s">
        <v>46854</v>
      </c>
      <c r="B2494" s="9" t="s">
        <v>47</v>
      </c>
      <c r="C2494" s="9" t="s">
        <v>42235</v>
      </c>
      <c r="D2494" s="9" t="s">
        <v>46855</v>
      </c>
      <c r="E2494" s="61">
        <v>45727.0</v>
      </c>
      <c r="F2494" s="9" t="b">
        <v>1</v>
      </c>
      <c r="G2494" s="9" t="s">
        <v>38801</v>
      </c>
      <c r="H2494" s="9" t="s">
        <v>42576</v>
      </c>
      <c r="I2494" s="9" t="b">
        <v>1</v>
      </c>
    </row>
    <row r="2495" ht="15.75" customHeight="1">
      <c r="A2495" s="9" t="s">
        <v>46856</v>
      </c>
      <c r="B2495" s="9" t="s">
        <v>47</v>
      </c>
      <c r="C2495" s="9" t="s">
        <v>42239</v>
      </c>
      <c r="D2495" s="9" t="s">
        <v>46857</v>
      </c>
      <c r="E2495" s="61">
        <v>45728.0</v>
      </c>
      <c r="F2495" s="9" t="b">
        <v>1</v>
      </c>
      <c r="G2495" s="9" t="s">
        <v>43228</v>
      </c>
      <c r="H2495" s="9" t="s">
        <v>42560</v>
      </c>
      <c r="I2495" s="9"/>
    </row>
    <row r="2496" ht="15.75" customHeight="1">
      <c r="A2496" s="9" t="s">
        <v>46858</v>
      </c>
      <c r="B2496" s="9" t="s">
        <v>76</v>
      </c>
      <c r="C2496" s="9" t="s">
        <v>42195</v>
      </c>
      <c r="D2496" s="9" t="s">
        <v>46859</v>
      </c>
      <c r="E2496" s="61">
        <v>45731.0</v>
      </c>
      <c r="F2496" s="9" t="b">
        <v>1</v>
      </c>
      <c r="G2496" s="9" t="s">
        <v>38801</v>
      </c>
      <c r="H2496" s="9" t="s">
        <v>42576</v>
      </c>
      <c r="I2496" s="9" t="b">
        <v>1</v>
      </c>
    </row>
    <row r="2497" ht="15.75" customHeight="1">
      <c r="A2497" s="9" t="s">
        <v>46860</v>
      </c>
      <c r="B2497" s="9" t="s">
        <v>131</v>
      </c>
      <c r="C2497" s="9" t="s">
        <v>42211</v>
      </c>
      <c r="D2497" s="9" t="s">
        <v>46861</v>
      </c>
      <c r="E2497" s="61">
        <v>45733.0</v>
      </c>
      <c r="F2497" s="9" t="b">
        <v>1</v>
      </c>
      <c r="G2497" s="9" t="s">
        <v>38801</v>
      </c>
      <c r="H2497" s="9" t="s">
        <v>42576</v>
      </c>
      <c r="I2497" s="9" t="b">
        <v>1</v>
      </c>
    </row>
    <row r="2498" ht="15.75" customHeight="1">
      <c r="A2498" s="9" t="s">
        <v>46862</v>
      </c>
      <c r="B2498" s="9" t="s">
        <v>131</v>
      </c>
      <c r="C2498" s="9" t="s">
        <v>42225</v>
      </c>
      <c r="D2498" s="9" t="s">
        <v>46863</v>
      </c>
      <c r="E2498" s="61">
        <v>45733.0</v>
      </c>
      <c r="F2498" s="9" t="b">
        <v>1</v>
      </c>
      <c r="G2498" s="9" t="s">
        <v>38801</v>
      </c>
      <c r="H2498" s="9" t="s">
        <v>42576</v>
      </c>
      <c r="I2498" s="9" t="b">
        <v>1</v>
      </c>
    </row>
    <row r="2499" ht="15.75" customHeight="1">
      <c r="A2499" s="9" t="s">
        <v>46864</v>
      </c>
      <c r="B2499" s="9" t="s">
        <v>131</v>
      </c>
      <c r="C2499" s="9" t="s">
        <v>42241</v>
      </c>
      <c r="D2499" s="9" t="s">
        <v>42560</v>
      </c>
      <c r="E2499" s="61">
        <v>45733.0</v>
      </c>
      <c r="F2499" s="9" t="b">
        <v>1</v>
      </c>
      <c r="G2499" s="9" t="s">
        <v>38801</v>
      </c>
      <c r="H2499" s="9" t="s">
        <v>42576</v>
      </c>
      <c r="I2499" s="9" t="b">
        <v>1</v>
      </c>
    </row>
    <row r="2500" ht="15.75" customHeight="1">
      <c r="A2500" s="9" t="s">
        <v>46865</v>
      </c>
      <c r="B2500" s="9" t="s">
        <v>131</v>
      </c>
      <c r="C2500" s="9" t="s">
        <v>42243</v>
      </c>
      <c r="D2500" s="9" t="s">
        <v>42560</v>
      </c>
      <c r="E2500" s="61">
        <v>45733.0</v>
      </c>
      <c r="F2500" s="9" t="b">
        <v>1</v>
      </c>
      <c r="G2500" s="9" t="s">
        <v>38801</v>
      </c>
      <c r="H2500" s="9" t="s">
        <v>42576</v>
      </c>
      <c r="I2500" s="9" t="b">
        <v>1</v>
      </c>
    </row>
    <row r="2501" ht="15.75" customHeight="1">
      <c r="A2501" s="9" t="s">
        <v>46866</v>
      </c>
      <c r="B2501" s="9" t="s">
        <v>131</v>
      </c>
      <c r="C2501" s="9" t="s">
        <v>42245</v>
      </c>
      <c r="D2501" s="9" t="s">
        <v>42560</v>
      </c>
      <c r="E2501" s="61">
        <v>45733.0</v>
      </c>
      <c r="F2501" s="9" t="b">
        <v>1</v>
      </c>
      <c r="G2501" s="9" t="s">
        <v>38801</v>
      </c>
      <c r="H2501" s="9" t="s">
        <v>42576</v>
      </c>
      <c r="I2501" s="9" t="b">
        <v>1</v>
      </c>
    </row>
    <row r="2502" ht="15.75" customHeight="1">
      <c r="A2502" s="9" t="s">
        <v>46867</v>
      </c>
      <c r="B2502" s="9" t="s">
        <v>47</v>
      </c>
      <c r="C2502" s="9" t="s">
        <v>42247</v>
      </c>
      <c r="D2502" s="9" t="s">
        <v>46868</v>
      </c>
      <c r="E2502" s="61">
        <v>45733.0</v>
      </c>
      <c r="F2502" s="9" t="b">
        <v>1</v>
      </c>
      <c r="G2502" s="9" t="s">
        <v>38801</v>
      </c>
      <c r="H2502" s="9" t="s">
        <v>42576</v>
      </c>
      <c r="I2502" s="9" t="b">
        <v>1</v>
      </c>
    </row>
    <row r="2503" ht="15.75" customHeight="1">
      <c r="A2503" s="9" t="s">
        <v>46869</v>
      </c>
      <c r="B2503" s="9" t="s">
        <v>201</v>
      </c>
      <c r="C2503" s="9" t="s">
        <v>42249</v>
      </c>
      <c r="D2503" s="9" t="s">
        <v>341</v>
      </c>
      <c r="E2503" s="61">
        <v>45733.0</v>
      </c>
      <c r="F2503" s="9" t="b">
        <v>1</v>
      </c>
      <c r="G2503" s="9" t="s">
        <v>38801</v>
      </c>
      <c r="H2503" s="9" t="s">
        <v>42560</v>
      </c>
      <c r="I2503" s="9" t="b">
        <v>1</v>
      </c>
    </row>
    <row r="2504" ht="15.75" customHeight="1">
      <c r="A2504" s="9" t="s">
        <v>46870</v>
      </c>
      <c r="B2504" s="9" t="s">
        <v>131</v>
      </c>
      <c r="C2504" s="9" t="s">
        <v>42239</v>
      </c>
      <c r="D2504" s="9" t="s">
        <v>46871</v>
      </c>
      <c r="E2504" s="61">
        <v>45733.0</v>
      </c>
      <c r="F2504" s="9" t="b">
        <v>1</v>
      </c>
      <c r="G2504" s="9" t="s">
        <v>38801</v>
      </c>
      <c r="H2504" s="9" t="s">
        <v>42576</v>
      </c>
      <c r="I2504" s="9" t="b">
        <v>1</v>
      </c>
    </row>
    <row r="2505" ht="15.75" customHeight="1">
      <c r="A2505" s="9" t="s">
        <v>46872</v>
      </c>
      <c r="B2505" s="9" t="s">
        <v>131</v>
      </c>
      <c r="C2505" s="9" t="s">
        <v>42251</v>
      </c>
      <c r="D2505" s="9" t="s">
        <v>42560</v>
      </c>
      <c r="E2505" s="61">
        <v>45734.0</v>
      </c>
      <c r="F2505" s="9" t="b">
        <v>1</v>
      </c>
      <c r="G2505" s="9" t="s">
        <v>38801</v>
      </c>
      <c r="H2505" s="9" t="s">
        <v>42576</v>
      </c>
      <c r="I2505" s="9" t="b">
        <v>1</v>
      </c>
    </row>
    <row r="2506" ht="15.75" customHeight="1">
      <c r="A2506" s="9" t="s">
        <v>46873</v>
      </c>
      <c r="B2506" s="9" t="s">
        <v>76</v>
      </c>
      <c r="C2506" s="9" t="s">
        <v>42186</v>
      </c>
      <c r="D2506" s="9" t="s">
        <v>46874</v>
      </c>
      <c r="E2506" s="61">
        <v>45735.0</v>
      </c>
      <c r="F2506" s="9" t="b">
        <v>1</v>
      </c>
      <c r="G2506" s="9" t="s">
        <v>38801</v>
      </c>
      <c r="H2506" s="9" t="s">
        <v>42576</v>
      </c>
      <c r="I2506" s="9" t="b">
        <v>1</v>
      </c>
    </row>
    <row r="2507" ht="15.75" customHeight="1">
      <c r="A2507" s="9" t="s">
        <v>46875</v>
      </c>
      <c r="B2507" s="9" t="s">
        <v>76</v>
      </c>
      <c r="C2507" s="9" t="s">
        <v>42064</v>
      </c>
      <c r="D2507" s="9" t="s">
        <v>46876</v>
      </c>
      <c r="E2507" s="61">
        <v>45735.0</v>
      </c>
      <c r="F2507" s="9" t="b">
        <v>1</v>
      </c>
      <c r="G2507" s="9" t="s">
        <v>38801</v>
      </c>
      <c r="H2507" s="9" t="s">
        <v>42576</v>
      </c>
      <c r="I2507" s="9" t="b">
        <v>1</v>
      </c>
    </row>
    <row r="2508" ht="15.75" customHeight="1">
      <c r="A2508" s="9" t="s">
        <v>46877</v>
      </c>
      <c r="B2508" s="9" t="s">
        <v>76</v>
      </c>
      <c r="C2508" s="9" t="s">
        <v>42198</v>
      </c>
      <c r="D2508" s="9" t="s">
        <v>46878</v>
      </c>
      <c r="E2508" s="61">
        <v>45735.0</v>
      </c>
      <c r="F2508" s="9" t="b">
        <v>1</v>
      </c>
      <c r="G2508" s="9" t="s">
        <v>38801</v>
      </c>
      <c r="H2508" s="9" t="s">
        <v>42576</v>
      </c>
      <c r="I2508" s="9" t="b">
        <v>1</v>
      </c>
    </row>
    <row r="2509" ht="15.75" customHeight="1">
      <c r="A2509" s="9" t="s">
        <v>46879</v>
      </c>
      <c r="B2509" s="9" t="s">
        <v>76</v>
      </c>
      <c r="C2509" s="9" t="s">
        <v>42210</v>
      </c>
      <c r="D2509" s="9" t="s">
        <v>46880</v>
      </c>
      <c r="E2509" s="61">
        <v>45735.0</v>
      </c>
      <c r="F2509" s="9" t="b">
        <v>1</v>
      </c>
      <c r="G2509" s="9" t="s">
        <v>38801</v>
      </c>
      <c r="H2509" s="9" t="s">
        <v>42576</v>
      </c>
      <c r="I2509" s="9" t="b">
        <v>1</v>
      </c>
    </row>
    <row r="2510" ht="15.75" customHeight="1">
      <c r="A2510" s="9" t="s">
        <v>46881</v>
      </c>
      <c r="B2510" s="9" t="s">
        <v>131</v>
      </c>
      <c r="C2510" s="9" t="s">
        <v>42233</v>
      </c>
      <c r="D2510" s="9" t="s">
        <v>46882</v>
      </c>
      <c r="E2510" s="61">
        <v>45736.0</v>
      </c>
      <c r="F2510" s="9" t="b">
        <v>1</v>
      </c>
      <c r="G2510" s="9" t="s">
        <v>38801</v>
      </c>
      <c r="H2510" s="9" t="s">
        <v>42576</v>
      </c>
      <c r="I2510" s="9" t="b">
        <v>1</v>
      </c>
    </row>
    <row r="2511" ht="15.75" customHeight="1">
      <c r="A2511" s="9" t="s">
        <v>46883</v>
      </c>
      <c r="B2511" s="9" t="s">
        <v>131</v>
      </c>
      <c r="C2511" s="9" t="s">
        <v>42254</v>
      </c>
      <c r="D2511" s="9" t="s">
        <v>42560</v>
      </c>
      <c r="E2511" s="61">
        <v>45736.0</v>
      </c>
      <c r="F2511" s="9" t="b">
        <v>1</v>
      </c>
      <c r="G2511" s="9" t="s">
        <v>38801</v>
      </c>
      <c r="H2511" s="9" t="s">
        <v>42576</v>
      </c>
      <c r="I2511" s="9" t="b">
        <v>1</v>
      </c>
    </row>
    <row r="2512" ht="15.75" customHeight="1">
      <c r="A2512" s="9" t="s">
        <v>46884</v>
      </c>
      <c r="B2512" s="9" t="s">
        <v>131</v>
      </c>
      <c r="C2512" s="9" t="s">
        <v>42255</v>
      </c>
      <c r="D2512" s="9" t="s">
        <v>42560</v>
      </c>
      <c r="E2512" s="61">
        <v>45740.0</v>
      </c>
      <c r="F2512" s="9" t="b">
        <v>1</v>
      </c>
      <c r="G2512" s="9" t="s">
        <v>38801</v>
      </c>
      <c r="H2512" s="9" t="s">
        <v>42576</v>
      </c>
      <c r="I2512" s="9" t="b">
        <v>1</v>
      </c>
    </row>
    <row r="2513" ht="15.75" customHeight="1">
      <c r="A2513" s="9" t="s">
        <v>46885</v>
      </c>
      <c r="B2513" s="9" t="s">
        <v>131</v>
      </c>
      <c r="C2513" s="9" t="s">
        <v>42256</v>
      </c>
      <c r="D2513" s="9" t="s">
        <v>45987</v>
      </c>
      <c r="E2513" s="61">
        <v>45740.0</v>
      </c>
      <c r="F2513" s="9" t="b">
        <v>1</v>
      </c>
      <c r="G2513" s="9" t="s">
        <v>38801</v>
      </c>
      <c r="H2513" s="9" t="s">
        <v>42576</v>
      </c>
      <c r="I2513" s="9" t="b">
        <v>1</v>
      </c>
    </row>
    <row r="2514" ht="15.75" customHeight="1">
      <c r="A2514" s="9" t="s">
        <v>46886</v>
      </c>
      <c r="B2514" s="9" t="s">
        <v>26</v>
      </c>
      <c r="C2514" s="9" t="s">
        <v>42237</v>
      </c>
      <c r="D2514" s="9" t="s">
        <v>46887</v>
      </c>
      <c r="E2514" s="61">
        <v>45740.0</v>
      </c>
      <c r="F2514" s="9" t="b">
        <v>1</v>
      </c>
      <c r="G2514" s="9" t="s">
        <v>38801</v>
      </c>
      <c r="H2514" s="9" t="s">
        <v>42560</v>
      </c>
      <c r="I2514" s="9" t="b">
        <v>1</v>
      </c>
    </row>
    <row r="2515" ht="15.75" customHeight="1">
      <c r="A2515" s="9" t="s">
        <v>46888</v>
      </c>
      <c r="B2515" s="9" t="s">
        <v>131</v>
      </c>
      <c r="C2515" s="9" t="s">
        <v>42257</v>
      </c>
      <c r="D2515" s="9" t="s">
        <v>46889</v>
      </c>
      <c r="E2515" s="61">
        <v>45741.0</v>
      </c>
      <c r="F2515" s="9" t="b">
        <v>1</v>
      </c>
      <c r="G2515" s="9" t="s">
        <v>38801</v>
      </c>
      <c r="H2515" s="9" t="s">
        <v>42576</v>
      </c>
      <c r="I2515" s="9" t="b">
        <v>1</v>
      </c>
    </row>
    <row r="2516" ht="15.75" customHeight="1">
      <c r="A2516" s="9" t="s">
        <v>46890</v>
      </c>
      <c r="B2516" s="9" t="s">
        <v>47</v>
      </c>
      <c r="C2516" s="9" t="s">
        <v>42261</v>
      </c>
      <c r="D2516" s="9" t="s">
        <v>46891</v>
      </c>
      <c r="E2516" s="61">
        <v>45748.0</v>
      </c>
      <c r="F2516" s="9" t="b">
        <v>1</v>
      </c>
      <c r="G2516" s="9" t="s">
        <v>43228</v>
      </c>
      <c r="H2516" s="9" t="s">
        <v>42560</v>
      </c>
      <c r="I2516" s="9"/>
    </row>
    <row r="2517" ht="15.75" customHeight="1">
      <c r="A2517" s="9" t="s">
        <v>46892</v>
      </c>
      <c r="B2517" s="9" t="s">
        <v>47</v>
      </c>
      <c r="C2517" s="9" t="s">
        <v>42179</v>
      </c>
      <c r="D2517" s="9" t="s">
        <v>46893</v>
      </c>
      <c r="E2517" s="61">
        <v>45748.0</v>
      </c>
      <c r="F2517" s="9" t="b">
        <v>1</v>
      </c>
      <c r="G2517" s="9" t="s">
        <v>43228</v>
      </c>
      <c r="H2517" s="9" t="s">
        <v>42560</v>
      </c>
      <c r="I2517" s="9"/>
    </row>
    <row r="2518" ht="15.75" customHeight="1">
      <c r="A2518" s="9" t="s">
        <v>46894</v>
      </c>
      <c r="B2518" s="9" t="s">
        <v>47</v>
      </c>
      <c r="C2518" s="9" t="s">
        <v>42179</v>
      </c>
      <c r="D2518" s="9" t="s">
        <v>46895</v>
      </c>
      <c r="E2518" s="61">
        <v>45749.0</v>
      </c>
      <c r="F2518" s="9" t="b">
        <v>1</v>
      </c>
      <c r="G2518" s="9" t="s">
        <v>38801</v>
      </c>
      <c r="H2518" s="9" t="s">
        <v>42576</v>
      </c>
      <c r="I2518" s="9" t="b">
        <v>1</v>
      </c>
    </row>
    <row r="2519" ht="15.75" customHeight="1">
      <c r="A2519" s="9" t="s">
        <v>46896</v>
      </c>
      <c r="B2519" s="9" t="s">
        <v>47</v>
      </c>
      <c r="C2519" s="9" t="s">
        <v>39805</v>
      </c>
      <c r="D2519" s="9" t="s">
        <v>45201</v>
      </c>
      <c r="E2519" s="61">
        <v>45750.0</v>
      </c>
      <c r="F2519" s="9" t="b">
        <v>1</v>
      </c>
      <c r="G2519" s="9" t="s">
        <v>38801</v>
      </c>
      <c r="H2519" s="9" t="s">
        <v>42560</v>
      </c>
      <c r="I2519" s="9" t="b">
        <v>1</v>
      </c>
    </row>
    <row r="2520" ht="15.75" customHeight="1">
      <c r="A2520" s="9" t="s">
        <v>46897</v>
      </c>
      <c r="B2520" s="9" t="s">
        <v>47</v>
      </c>
      <c r="C2520" s="9" t="s">
        <v>42263</v>
      </c>
      <c r="D2520" s="9" t="s">
        <v>46898</v>
      </c>
      <c r="E2520" s="61">
        <v>45750.0</v>
      </c>
      <c r="F2520" s="9" t="b">
        <v>1</v>
      </c>
      <c r="G2520" s="9" t="s">
        <v>38801</v>
      </c>
      <c r="H2520" s="9" t="s">
        <v>42560</v>
      </c>
      <c r="I2520" s="9" t="b">
        <v>1</v>
      </c>
    </row>
    <row r="2521" ht="15.75" customHeight="1">
      <c r="A2521" s="9" t="s">
        <v>46899</v>
      </c>
      <c r="B2521" s="9" t="s">
        <v>47</v>
      </c>
      <c r="C2521" s="9" t="s">
        <v>42265</v>
      </c>
      <c r="D2521" s="9" t="s">
        <v>43895</v>
      </c>
      <c r="E2521" s="61">
        <v>45750.0</v>
      </c>
      <c r="F2521" s="9" t="b">
        <v>1</v>
      </c>
      <c r="G2521" s="9" t="s">
        <v>38801</v>
      </c>
      <c r="H2521" s="9" t="s">
        <v>42576</v>
      </c>
      <c r="I2521" s="9" t="b">
        <v>1</v>
      </c>
    </row>
    <row r="2522" ht="15.75" customHeight="1">
      <c r="A2522" s="9" t="s">
        <v>46900</v>
      </c>
      <c r="B2522" s="9" t="s">
        <v>47</v>
      </c>
      <c r="C2522" s="9" t="s">
        <v>42268</v>
      </c>
      <c r="D2522" s="9" t="s">
        <v>46901</v>
      </c>
      <c r="E2522" s="61">
        <v>45750.0</v>
      </c>
      <c r="F2522" s="9" t="b">
        <v>1</v>
      </c>
      <c r="G2522" s="9" t="s">
        <v>38801</v>
      </c>
      <c r="H2522" s="9" t="s">
        <v>42576</v>
      </c>
      <c r="I2522" s="9" t="b">
        <v>1</v>
      </c>
    </row>
    <row r="2523" ht="15.75" customHeight="1">
      <c r="A2523" s="9" t="s">
        <v>46902</v>
      </c>
      <c r="B2523" s="9" t="s">
        <v>131</v>
      </c>
      <c r="C2523" s="9" t="s">
        <v>42270</v>
      </c>
      <c r="D2523" s="9" t="s">
        <v>44346</v>
      </c>
      <c r="E2523" s="61">
        <v>45754.0</v>
      </c>
      <c r="F2523" s="9" t="b">
        <v>1</v>
      </c>
      <c r="G2523" s="9" t="s">
        <v>38801</v>
      </c>
      <c r="H2523" s="9" t="s">
        <v>42576</v>
      </c>
      <c r="I2523" s="9" t="b">
        <v>1</v>
      </c>
    </row>
    <row r="2524" ht="15.75" customHeight="1">
      <c r="A2524" s="9" t="s">
        <v>46903</v>
      </c>
      <c r="B2524" s="9" t="s">
        <v>47</v>
      </c>
      <c r="C2524" s="9" t="s">
        <v>40683</v>
      </c>
      <c r="D2524" s="9" t="s">
        <v>46904</v>
      </c>
      <c r="E2524" s="61">
        <v>45755.0</v>
      </c>
      <c r="F2524" s="9" t="b">
        <v>1</v>
      </c>
      <c r="G2524" s="9" t="s">
        <v>42632</v>
      </c>
      <c r="H2524" s="9" t="s">
        <v>38800</v>
      </c>
      <c r="I2524" s="9"/>
    </row>
    <row r="2525" ht="15.75" customHeight="1">
      <c r="A2525" s="9" t="s">
        <v>46905</v>
      </c>
      <c r="B2525" s="9" t="s">
        <v>47</v>
      </c>
      <c r="C2525" s="9" t="s">
        <v>42267</v>
      </c>
      <c r="D2525" s="9" t="s">
        <v>42560</v>
      </c>
      <c r="E2525" s="61">
        <v>45755.0</v>
      </c>
      <c r="F2525" s="9" t="b">
        <v>1</v>
      </c>
      <c r="G2525" s="9" t="s">
        <v>38801</v>
      </c>
      <c r="H2525" s="9" t="s">
        <v>42576</v>
      </c>
      <c r="I2525" s="9" t="b">
        <v>1</v>
      </c>
    </row>
    <row r="2526" ht="15.75" customHeight="1">
      <c r="A2526" s="9" t="s">
        <v>46906</v>
      </c>
      <c r="B2526" s="9" t="s">
        <v>47</v>
      </c>
      <c r="C2526" s="9" t="s">
        <v>42253</v>
      </c>
      <c r="D2526" s="9" t="s">
        <v>42560</v>
      </c>
      <c r="E2526" s="61">
        <v>45755.0</v>
      </c>
      <c r="F2526" s="9" t="b">
        <v>1</v>
      </c>
      <c r="G2526" s="9" t="s">
        <v>38801</v>
      </c>
      <c r="H2526" s="9" t="s">
        <v>42560</v>
      </c>
      <c r="I2526" s="9" t="b">
        <v>1</v>
      </c>
    </row>
    <row r="2527" ht="15.75" customHeight="1">
      <c r="A2527" s="9" t="s">
        <v>46907</v>
      </c>
      <c r="B2527" s="9" t="s">
        <v>131</v>
      </c>
      <c r="C2527" s="9" t="s">
        <v>42274</v>
      </c>
      <c r="D2527" s="9" t="s">
        <v>46908</v>
      </c>
      <c r="E2527" s="61">
        <v>45757.0</v>
      </c>
      <c r="F2527" s="9" t="b">
        <v>1</v>
      </c>
      <c r="G2527" s="9" t="s">
        <v>38801</v>
      </c>
      <c r="H2527" s="9" t="s">
        <v>42576</v>
      </c>
      <c r="I2527" s="9" t="b">
        <v>1</v>
      </c>
    </row>
    <row r="2528" ht="15.75" customHeight="1">
      <c r="A2528" s="9" t="s">
        <v>46909</v>
      </c>
      <c r="B2528" s="9" t="s">
        <v>131</v>
      </c>
      <c r="C2528" s="9" t="s">
        <v>42154</v>
      </c>
      <c r="D2528" s="9" t="s">
        <v>46910</v>
      </c>
      <c r="E2528" s="61">
        <v>45769.0</v>
      </c>
      <c r="F2528" s="9" t="b">
        <v>1</v>
      </c>
      <c r="G2528" s="9" t="s">
        <v>38801</v>
      </c>
      <c r="H2528" s="9" t="s">
        <v>42576</v>
      </c>
      <c r="I2528" s="9" t="b">
        <v>1</v>
      </c>
    </row>
    <row r="2529" ht="15.75" customHeight="1">
      <c r="A2529" s="9" t="s">
        <v>46911</v>
      </c>
      <c r="B2529" s="9" t="s">
        <v>131</v>
      </c>
      <c r="C2529" s="9" t="s">
        <v>42212</v>
      </c>
      <c r="D2529" s="9" t="s">
        <v>46912</v>
      </c>
      <c r="E2529" s="61">
        <v>45769.0</v>
      </c>
      <c r="F2529" s="9" t="b">
        <v>1</v>
      </c>
      <c r="G2529" s="9" t="s">
        <v>38801</v>
      </c>
      <c r="H2529" s="9" t="s">
        <v>42576</v>
      </c>
      <c r="I2529" s="9" t="b">
        <v>1</v>
      </c>
    </row>
    <row r="2530" ht="15.75" customHeight="1">
      <c r="A2530" s="9" t="s">
        <v>46913</v>
      </c>
      <c r="B2530" s="9" t="s">
        <v>131</v>
      </c>
      <c r="C2530" s="9" t="s">
        <v>41233</v>
      </c>
      <c r="D2530" s="9" t="s">
        <v>46914</v>
      </c>
      <c r="E2530" s="61">
        <v>45779.0</v>
      </c>
      <c r="F2530" s="9" t="b">
        <v>1</v>
      </c>
      <c r="G2530" s="9" t="s">
        <v>42573</v>
      </c>
      <c r="H2530" s="9" t="s">
        <v>42576</v>
      </c>
      <c r="I2530" s="9"/>
    </row>
    <row r="2531" ht="15.75" customHeight="1">
      <c r="A2531" s="9" t="s">
        <v>46915</v>
      </c>
      <c r="B2531" s="9" t="s">
        <v>131</v>
      </c>
      <c r="C2531" s="9" t="s">
        <v>39612</v>
      </c>
      <c r="D2531" s="9" t="s">
        <v>46916</v>
      </c>
      <c r="E2531" s="61">
        <v>45779.0</v>
      </c>
      <c r="F2531" s="9" t="b">
        <v>1</v>
      </c>
      <c r="G2531" s="9" t="s">
        <v>42573</v>
      </c>
      <c r="H2531" s="9" t="s">
        <v>38800</v>
      </c>
      <c r="I2531" s="9"/>
    </row>
    <row r="2532" ht="15.75" customHeight="1">
      <c r="A2532" s="9" t="s">
        <v>46917</v>
      </c>
      <c r="B2532" s="9" t="s">
        <v>131</v>
      </c>
      <c r="C2532" s="9" t="s">
        <v>42285</v>
      </c>
      <c r="D2532" s="9" t="s">
        <v>42560</v>
      </c>
      <c r="E2532" s="61">
        <v>45783.0</v>
      </c>
      <c r="F2532" s="9" t="b">
        <v>1</v>
      </c>
      <c r="G2532" s="9" t="s">
        <v>38801</v>
      </c>
      <c r="H2532" s="9" t="s">
        <v>42576</v>
      </c>
      <c r="I2532" s="9" t="b">
        <v>1</v>
      </c>
    </row>
    <row r="2533" ht="15.75" customHeight="1">
      <c r="A2533" s="9" t="s">
        <v>46918</v>
      </c>
      <c r="B2533" s="9" t="s">
        <v>47</v>
      </c>
      <c r="C2533" s="9" t="s">
        <v>42282</v>
      </c>
      <c r="D2533" s="9" t="s">
        <v>46919</v>
      </c>
      <c r="E2533" s="61">
        <v>45790.0</v>
      </c>
      <c r="F2533" s="9" t="b">
        <v>1</v>
      </c>
      <c r="G2533" s="9" t="s">
        <v>38801</v>
      </c>
      <c r="H2533" s="9" t="s">
        <v>42576</v>
      </c>
      <c r="I2533" s="9" t="b">
        <v>1</v>
      </c>
    </row>
    <row r="2534" ht="15.75" customHeight="1">
      <c r="A2534" s="9" t="s">
        <v>46920</v>
      </c>
      <c r="B2534" s="9" t="s">
        <v>47</v>
      </c>
      <c r="C2534" s="9" t="s">
        <v>42291</v>
      </c>
      <c r="D2534" s="9" t="s">
        <v>46921</v>
      </c>
      <c r="E2534" s="61">
        <v>45791.0</v>
      </c>
      <c r="F2534" s="9" t="b">
        <v>1</v>
      </c>
      <c r="G2534" s="9" t="s">
        <v>43228</v>
      </c>
      <c r="H2534" s="9" t="s">
        <v>42560</v>
      </c>
      <c r="I2534" s="9"/>
    </row>
    <row r="2535" ht="15.75" customHeight="1">
      <c r="A2535" s="9" t="s">
        <v>46922</v>
      </c>
      <c r="B2535" s="9" t="s">
        <v>47</v>
      </c>
      <c r="C2535" s="9" t="s">
        <v>42284</v>
      </c>
      <c r="D2535" s="9" t="s">
        <v>44605</v>
      </c>
      <c r="E2535" s="61">
        <v>45791.0</v>
      </c>
      <c r="F2535" s="9" t="b">
        <v>1</v>
      </c>
      <c r="G2535" s="9" t="s">
        <v>38801</v>
      </c>
      <c r="H2535" s="9" t="s">
        <v>42576</v>
      </c>
      <c r="I2535" s="9" t="b">
        <v>1</v>
      </c>
    </row>
    <row r="2536" ht="15.75" customHeight="1">
      <c r="A2536" s="9" t="s">
        <v>46923</v>
      </c>
      <c r="B2536" s="9" t="s">
        <v>47</v>
      </c>
      <c r="C2536" s="9" t="s">
        <v>42286</v>
      </c>
      <c r="D2536" s="9" t="s">
        <v>43895</v>
      </c>
      <c r="E2536" s="61">
        <v>45791.0</v>
      </c>
      <c r="F2536" s="9" t="b">
        <v>1</v>
      </c>
      <c r="G2536" s="9" t="s">
        <v>38801</v>
      </c>
      <c r="H2536" s="9" t="s">
        <v>42560</v>
      </c>
      <c r="I2536" s="9" t="b">
        <v>1</v>
      </c>
    </row>
    <row r="2537" ht="15.75" customHeight="1">
      <c r="A2537" s="9" t="s">
        <v>46924</v>
      </c>
      <c r="B2537" s="9" t="s">
        <v>131</v>
      </c>
      <c r="C2537" s="9" t="s">
        <v>42293</v>
      </c>
      <c r="D2537" s="9" t="s">
        <v>46925</v>
      </c>
      <c r="E2537" s="61">
        <v>45791.0</v>
      </c>
      <c r="F2537" s="9" t="b">
        <v>1</v>
      </c>
      <c r="G2537" s="9" t="s">
        <v>38801</v>
      </c>
      <c r="H2537" s="9" t="s">
        <v>42576</v>
      </c>
      <c r="I2537" s="9" t="b">
        <v>1</v>
      </c>
    </row>
    <row r="2538" ht="15.75" customHeight="1">
      <c r="A2538" s="9" t="s">
        <v>46926</v>
      </c>
      <c r="B2538" s="9" t="s">
        <v>76</v>
      </c>
      <c r="C2538" s="9" t="s">
        <v>42224</v>
      </c>
      <c r="D2538" s="9" t="s">
        <v>46927</v>
      </c>
      <c r="E2538" s="61">
        <v>45792.0</v>
      </c>
      <c r="F2538" s="9" t="b">
        <v>1</v>
      </c>
      <c r="G2538" s="9" t="s">
        <v>38801</v>
      </c>
      <c r="H2538" s="9" t="s">
        <v>42576</v>
      </c>
      <c r="I2538" s="9" t="b">
        <v>1</v>
      </c>
    </row>
    <row r="2539" ht="15.75" customHeight="1">
      <c r="A2539" s="9" t="s">
        <v>46928</v>
      </c>
      <c r="B2539" s="9" t="s">
        <v>76</v>
      </c>
      <c r="C2539" s="9" t="s">
        <v>42271</v>
      </c>
      <c r="D2539" s="9" t="s">
        <v>46929</v>
      </c>
      <c r="E2539" s="61">
        <v>45792.0</v>
      </c>
      <c r="F2539" s="9" t="b">
        <v>1</v>
      </c>
      <c r="G2539" s="9" t="s">
        <v>38801</v>
      </c>
      <c r="H2539" s="9" t="s">
        <v>42576</v>
      </c>
      <c r="I2539" s="9" t="b">
        <v>1</v>
      </c>
    </row>
    <row r="2540" ht="15.75" customHeight="1">
      <c r="A2540" s="9" t="s">
        <v>46930</v>
      </c>
      <c r="B2540" s="9" t="s">
        <v>47</v>
      </c>
      <c r="C2540" s="9" t="s">
        <v>42291</v>
      </c>
      <c r="D2540" s="9" t="s">
        <v>46931</v>
      </c>
      <c r="E2540" s="61">
        <v>45796.0</v>
      </c>
      <c r="F2540" s="9" t="b">
        <v>1</v>
      </c>
      <c r="G2540" s="9" t="s">
        <v>38801</v>
      </c>
      <c r="H2540" s="9" t="s">
        <v>42576</v>
      </c>
      <c r="I2540" s="9" t="b">
        <v>1</v>
      </c>
    </row>
    <row r="2541" ht="15.75" customHeight="1">
      <c r="A2541" s="9" t="s">
        <v>46932</v>
      </c>
      <c r="B2541" s="9" t="s">
        <v>47</v>
      </c>
      <c r="C2541" s="9" t="s">
        <v>42296</v>
      </c>
      <c r="D2541" s="9" t="s">
        <v>46933</v>
      </c>
      <c r="E2541" s="61">
        <v>45796.0</v>
      </c>
      <c r="F2541" s="9" t="b">
        <v>1</v>
      </c>
      <c r="G2541" s="9" t="s">
        <v>38801</v>
      </c>
      <c r="H2541" s="9" t="s">
        <v>42576</v>
      </c>
      <c r="I2541" s="9" t="b">
        <v>1</v>
      </c>
    </row>
    <row r="2542" ht="15.75" customHeight="1">
      <c r="A2542" s="9" t="s">
        <v>46934</v>
      </c>
      <c r="B2542" s="9" t="s">
        <v>47</v>
      </c>
      <c r="C2542" s="9" t="s">
        <v>42298</v>
      </c>
      <c r="D2542" s="9" t="s">
        <v>46935</v>
      </c>
      <c r="E2542" s="61">
        <v>45796.0</v>
      </c>
      <c r="F2542" s="9" t="b">
        <v>1</v>
      </c>
      <c r="G2542" s="9" t="s">
        <v>43228</v>
      </c>
      <c r="H2542" s="9" t="s">
        <v>42576</v>
      </c>
      <c r="I2542" s="9"/>
    </row>
    <row r="2543" ht="15.75" customHeight="1">
      <c r="A2543" s="9" t="s">
        <v>46936</v>
      </c>
      <c r="B2543" s="9" t="s">
        <v>131</v>
      </c>
      <c r="C2543" s="9" t="s">
        <v>42300</v>
      </c>
      <c r="D2543" s="9" t="s">
        <v>45201</v>
      </c>
      <c r="E2543" s="61">
        <v>45810.0</v>
      </c>
      <c r="F2543" s="9" t="b">
        <v>1</v>
      </c>
      <c r="G2543" s="9" t="s">
        <v>38801</v>
      </c>
      <c r="H2543" s="9" t="s">
        <v>42576</v>
      </c>
      <c r="I2543" s="9" t="b">
        <v>1</v>
      </c>
    </row>
    <row r="2544" ht="15.75" customHeight="1">
      <c r="A2544" s="9" t="s">
        <v>46937</v>
      </c>
      <c r="B2544" s="9" t="s">
        <v>47</v>
      </c>
      <c r="C2544" s="9" t="s">
        <v>42222</v>
      </c>
      <c r="D2544" s="9" t="s">
        <v>46938</v>
      </c>
      <c r="E2544" s="61">
        <v>45810.0</v>
      </c>
      <c r="F2544" s="9" t="b">
        <v>1</v>
      </c>
      <c r="G2544" s="9" t="s">
        <v>43228</v>
      </c>
      <c r="H2544" s="9" t="s">
        <v>42560</v>
      </c>
      <c r="I2544" s="9"/>
    </row>
    <row r="2545" ht="15.75" customHeight="1">
      <c r="A2545" s="9" t="s">
        <v>46939</v>
      </c>
      <c r="B2545" s="9" t="s">
        <v>47</v>
      </c>
      <c r="C2545" s="9" t="s">
        <v>42302</v>
      </c>
      <c r="D2545" s="9" t="s">
        <v>44884</v>
      </c>
      <c r="E2545" s="61">
        <v>45810.0</v>
      </c>
      <c r="F2545" s="9" t="b">
        <v>1</v>
      </c>
      <c r="G2545" s="9" t="s">
        <v>38801</v>
      </c>
      <c r="H2545" s="9" t="s">
        <v>42576</v>
      </c>
      <c r="I2545" s="9" t="b">
        <v>1</v>
      </c>
    </row>
    <row r="2546" ht="15.75" customHeight="1">
      <c r="A2546" s="9" t="s">
        <v>46940</v>
      </c>
      <c r="B2546" s="9" t="s">
        <v>47</v>
      </c>
      <c r="C2546" s="9" t="s">
        <v>42208</v>
      </c>
      <c r="D2546" s="9" t="s">
        <v>46941</v>
      </c>
      <c r="E2546" s="61">
        <v>45811.0</v>
      </c>
      <c r="F2546" s="9" t="b">
        <v>1</v>
      </c>
      <c r="G2546" s="9" t="s">
        <v>38801</v>
      </c>
      <c r="H2546" s="9" t="s">
        <v>38800</v>
      </c>
      <c r="I2546" s="9" t="b">
        <v>1</v>
      </c>
    </row>
    <row r="2547" ht="15.75" customHeight="1">
      <c r="A2547" s="9" t="s">
        <v>46942</v>
      </c>
      <c r="B2547" s="9" t="s">
        <v>47</v>
      </c>
      <c r="C2547" s="9" t="s">
        <v>42306</v>
      </c>
      <c r="D2547" s="9" t="s">
        <v>46943</v>
      </c>
      <c r="E2547" s="61">
        <v>45814.0</v>
      </c>
      <c r="F2547" s="9" t="b">
        <v>1</v>
      </c>
      <c r="G2547" s="9" t="s">
        <v>43228</v>
      </c>
      <c r="H2547" s="9" t="s">
        <v>42576</v>
      </c>
      <c r="I2547" s="9"/>
    </row>
    <row r="2548" ht="15.75" customHeight="1">
      <c r="A2548" s="52" t="s">
        <v>46944</v>
      </c>
      <c r="B2548" s="9" t="s">
        <v>47</v>
      </c>
      <c r="C2548" s="9" t="s">
        <v>42308</v>
      </c>
      <c r="D2548" s="9" t="s">
        <v>43852</v>
      </c>
      <c r="E2548" s="61">
        <v>45814.0</v>
      </c>
      <c r="F2548" s="9" t="b">
        <v>1</v>
      </c>
      <c r="G2548" s="9" t="s">
        <v>38801</v>
      </c>
      <c r="H2548" s="9" t="s">
        <v>42576</v>
      </c>
      <c r="I2548" s="9" t="b">
        <v>1</v>
      </c>
    </row>
    <row r="2549" ht="15.75" customHeight="1">
      <c r="A2549" s="9" t="s">
        <v>46945</v>
      </c>
      <c r="B2549" s="9" t="s">
        <v>47</v>
      </c>
      <c r="C2549" s="9" t="s">
        <v>42304</v>
      </c>
      <c r="D2549" s="9" t="s">
        <v>42754</v>
      </c>
      <c r="E2549" s="61">
        <v>45818.0</v>
      </c>
      <c r="F2549" s="9" t="b">
        <v>1</v>
      </c>
      <c r="G2549" s="9" t="s">
        <v>38801</v>
      </c>
      <c r="H2549" s="9" t="s">
        <v>42576</v>
      </c>
      <c r="I2549" s="9" t="b">
        <v>1</v>
      </c>
    </row>
    <row r="2550" ht="15.75" customHeight="1">
      <c r="A2550" s="9" t="s">
        <v>46946</v>
      </c>
      <c r="B2550" s="9" t="s">
        <v>47</v>
      </c>
      <c r="C2550" s="9" t="s">
        <v>42305</v>
      </c>
      <c r="D2550" s="9" t="s">
        <v>42560</v>
      </c>
      <c r="E2550" s="61">
        <v>45818.0</v>
      </c>
      <c r="F2550" s="9" t="b">
        <v>1</v>
      </c>
      <c r="G2550" s="9" t="s">
        <v>38801</v>
      </c>
      <c r="H2550" s="9" t="s">
        <v>42576</v>
      </c>
      <c r="I2550" s="9" t="b">
        <v>1</v>
      </c>
    </row>
    <row r="2551" ht="15.75" customHeight="1">
      <c r="A2551" s="9" t="s">
        <v>46947</v>
      </c>
      <c r="B2551" s="9" t="s">
        <v>47</v>
      </c>
      <c r="C2551" s="9" t="s">
        <v>41727</v>
      </c>
      <c r="D2551" s="9" t="s">
        <v>46948</v>
      </c>
      <c r="E2551" s="61">
        <v>45818.0</v>
      </c>
      <c r="F2551" s="9" t="b">
        <v>1</v>
      </c>
      <c r="G2551" s="9" t="s">
        <v>38801</v>
      </c>
      <c r="H2551" s="9" t="s">
        <v>42576</v>
      </c>
      <c r="I2551" s="9" t="b">
        <v>1</v>
      </c>
    </row>
    <row r="2552" ht="15.75" customHeight="1">
      <c r="A2552" s="9" t="s">
        <v>46949</v>
      </c>
      <c r="B2552" s="9" t="s">
        <v>208</v>
      </c>
      <c r="C2552" s="9" t="s">
        <v>42311</v>
      </c>
      <c r="D2552" s="9" t="s">
        <v>44989</v>
      </c>
      <c r="E2552" s="61">
        <v>45819.0</v>
      </c>
      <c r="F2552" s="9" t="b">
        <v>1</v>
      </c>
      <c r="G2552" s="9" t="s">
        <v>38801</v>
      </c>
      <c r="H2552" s="9" t="s">
        <v>42560</v>
      </c>
      <c r="I2552" s="9" t="b">
        <v>1</v>
      </c>
    </row>
    <row r="2553" ht="15.75" customHeight="1">
      <c r="A2553" s="9" t="s">
        <v>46950</v>
      </c>
      <c r="B2553" s="9" t="s">
        <v>47</v>
      </c>
      <c r="C2553" s="9" t="s">
        <v>42313</v>
      </c>
      <c r="D2553" s="9" t="s">
        <v>42560</v>
      </c>
      <c r="E2553" s="61">
        <v>45820.0</v>
      </c>
      <c r="F2553" s="9" t="b">
        <v>1</v>
      </c>
      <c r="G2553" s="9" t="s">
        <v>38801</v>
      </c>
      <c r="H2553" s="9" t="s">
        <v>42576</v>
      </c>
      <c r="I2553" s="9" t="b">
        <v>1</v>
      </c>
    </row>
    <row r="2554" ht="15.75" customHeight="1">
      <c r="A2554" s="9" t="s">
        <v>46951</v>
      </c>
      <c r="B2554" s="9" t="s">
        <v>47</v>
      </c>
      <c r="C2554" s="9" t="s">
        <v>42315</v>
      </c>
      <c r="D2554" s="9" t="s">
        <v>46952</v>
      </c>
      <c r="E2554" s="61">
        <v>45824.0</v>
      </c>
      <c r="F2554" s="9" t="b">
        <v>1</v>
      </c>
      <c r="G2554" s="9" t="s">
        <v>38801</v>
      </c>
      <c r="H2554" s="9" t="s">
        <v>42576</v>
      </c>
      <c r="I2554" s="9" t="b">
        <v>1</v>
      </c>
    </row>
    <row r="2555" ht="15.75" customHeight="1">
      <c r="A2555" s="9" t="s">
        <v>46953</v>
      </c>
      <c r="B2555" s="9" t="s">
        <v>47</v>
      </c>
      <c r="C2555" s="9" t="s">
        <v>42324</v>
      </c>
      <c r="D2555" s="9" t="s">
        <v>46954</v>
      </c>
      <c r="E2555" s="61">
        <v>45845.0</v>
      </c>
      <c r="F2555" s="9" t="b">
        <v>1</v>
      </c>
      <c r="G2555" s="9" t="s">
        <v>43228</v>
      </c>
      <c r="H2555" s="9" t="s">
        <v>42560</v>
      </c>
      <c r="I2555" s="9"/>
    </row>
    <row r="2556" ht="15.75" customHeight="1">
      <c r="A2556" s="9" t="s">
        <v>46955</v>
      </c>
      <c r="B2556" s="9" t="s">
        <v>47</v>
      </c>
      <c r="C2556" s="9" t="s">
        <v>42322</v>
      </c>
      <c r="D2556" s="9" t="s">
        <v>46956</v>
      </c>
      <c r="E2556" s="61">
        <v>45845.0</v>
      </c>
      <c r="F2556" s="9" t="b">
        <v>1</v>
      </c>
      <c r="G2556" s="9" t="s">
        <v>43228</v>
      </c>
      <c r="H2556" s="9" t="s">
        <v>42560</v>
      </c>
      <c r="I2556" s="9"/>
    </row>
    <row r="2557" ht="15.75" customHeight="1">
      <c r="A2557" s="9" t="s">
        <v>46957</v>
      </c>
      <c r="B2557" s="9" t="s">
        <v>47</v>
      </c>
      <c r="C2557" s="9" t="s">
        <v>42328</v>
      </c>
      <c r="D2557" s="9" t="s">
        <v>46958</v>
      </c>
      <c r="E2557" s="61">
        <v>45846.0</v>
      </c>
      <c r="F2557" s="9" t="b">
        <v>1</v>
      </c>
      <c r="G2557" s="9" t="s">
        <v>43228</v>
      </c>
      <c r="H2557" s="9" t="s">
        <v>42576</v>
      </c>
      <c r="I2557" s="9"/>
    </row>
    <row r="2558" ht="15.75" customHeight="1">
      <c r="A2558" s="9" t="s">
        <v>46959</v>
      </c>
      <c r="B2558" s="9" t="s">
        <v>47</v>
      </c>
      <c r="C2558" s="9" t="s">
        <v>42332</v>
      </c>
      <c r="D2558" s="9" t="s">
        <v>46960</v>
      </c>
      <c r="E2558" s="61">
        <v>45847.0</v>
      </c>
      <c r="F2558" s="9" t="b">
        <v>1</v>
      </c>
      <c r="G2558" s="9" t="s">
        <v>38801</v>
      </c>
      <c r="H2558" s="9" t="s">
        <v>42576</v>
      </c>
      <c r="I2558" s="9" t="b">
        <v>1</v>
      </c>
    </row>
    <row r="2559" ht="15.75" customHeight="1">
      <c r="A2559" s="9" t="s">
        <v>46961</v>
      </c>
      <c r="B2559" s="9" t="s">
        <v>47</v>
      </c>
      <c r="C2559" s="9" t="s">
        <v>42328</v>
      </c>
      <c r="D2559" s="9" t="s">
        <v>46962</v>
      </c>
      <c r="E2559" s="61">
        <v>45847.0</v>
      </c>
      <c r="F2559" s="9" t="b">
        <v>1</v>
      </c>
      <c r="G2559" s="9" t="s">
        <v>38801</v>
      </c>
      <c r="H2559" s="9" t="s">
        <v>42576</v>
      </c>
      <c r="I2559" s="9" t="b">
        <v>1</v>
      </c>
    </row>
    <row r="2560" ht="15.75" customHeight="1">
      <c r="A2560" s="9" t="s">
        <v>46963</v>
      </c>
      <c r="B2560" s="9" t="s">
        <v>47</v>
      </c>
      <c r="C2560" s="9" t="s">
        <v>42326</v>
      </c>
      <c r="D2560" s="9" t="s">
        <v>42560</v>
      </c>
      <c r="E2560" s="61">
        <v>45847.0</v>
      </c>
      <c r="F2560" s="9" t="b">
        <v>1</v>
      </c>
      <c r="G2560" s="9" t="s">
        <v>38801</v>
      </c>
      <c r="H2560" s="9" t="s">
        <v>42576</v>
      </c>
      <c r="I2560" s="9" t="b">
        <v>1</v>
      </c>
    </row>
    <row r="2561" ht="15.75" customHeight="1">
      <c r="A2561" s="9" t="s">
        <v>46964</v>
      </c>
      <c r="B2561" s="9" t="s">
        <v>47</v>
      </c>
      <c r="C2561" s="9" t="s">
        <v>42336</v>
      </c>
      <c r="D2561" s="9" t="s">
        <v>44813</v>
      </c>
      <c r="E2561" s="61">
        <v>45847.0</v>
      </c>
      <c r="F2561" s="9" t="b">
        <v>1</v>
      </c>
      <c r="G2561" s="9" t="s">
        <v>38801</v>
      </c>
      <c r="H2561" s="9" t="s">
        <v>42576</v>
      </c>
      <c r="I2561" s="9" t="b">
        <v>1</v>
      </c>
    </row>
    <row r="2562" ht="15.75" customHeight="1">
      <c r="A2562" s="9" t="s">
        <v>46965</v>
      </c>
      <c r="B2562" s="9" t="s">
        <v>131</v>
      </c>
      <c r="C2562" s="9" t="s">
        <v>42339</v>
      </c>
      <c r="D2562" s="9" t="s">
        <v>42560</v>
      </c>
      <c r="E2562" s="61">
        <v>45855.0</v>
      </c>
      <c r="F2562" s="9" t="b">
        <v>1</v>
      </c>
      <c r="G2562" s="9" t="s">
        <v>38801</v>
      </c>
      <c r="H2562" s="9" t="s">
        <v>42576</v>
      </c>
      <c r="I2562" s="9" t="b">
        <v>1</v>
      </c>
    </row>
    <row r="2563" ht="15.75" customHeight="1">
      <c r="A2563" s="52" t="s">
        <v>46966</v>
      </c>
      <c r="B2563" s="9" t="s">
        <v>131</v>
      </c>
      <c r="C2563" s="9" t="s">
        <v>42341</v>
      </c>
      <c r="D2563" s="9" t="s">
        <v>46967</v>
      </c>
      <c r="E2563" s="61">
        <v>45855.0</v>
      </c>
      <c r="F2563" s="9" t="b">
        <v>1</v>
      </c>
      <c r="G2563" s="9" t="s">
        <v>38801</v>
      </c>
      <c r="H2563" s="9" t="s">
        <v>42576</v>
      </c>
      <c r="I2563" s="9" t="b">
        <v>1</v>
      </c>
    </row>
    <row r="2564" ht="15.75" customHeight="1">
      <c r="A2564" s="9" t="s">
        <v>46968</v>
      </c>
      <c r="B2564" s="9" t="s">
        <v>47</v>
      </c>
      <c r="C2564" s="9" t="s">
        <v>42343</v>
      </c>
      <c r="D2564" s="9" t="s">
        <v>46969</v>
      </c>
      <c r="E2564" s="61">
        <v>45863.0</v>
      </c>
      <c r="F2564" s="9" t="b">
        <v>1</v>
      </c>
      <c r="G2564" s="9" t="s">
        <v>43228</v>
      </c>
      <c r="H2564" s="9" t="s">
        <v>42576</v>
      </c>
      <c r="I2564" s="9"/>
    </row>
    <row r="2565" ht="15.75" customHeight="1">
      <c r="A2565" s="9" t="s">
        <v>46970</v>
      </c>
      <c r="B2565" s="9" t="s">
        <v>131</v>
      </c>
      <c r="C2565" s="9" t="s">
        <v>42345</v>
      </c>
      <c r="D2565" s="9" t="s">
        <v>42560</v>
      </c>
      <c r="E2565" s="61">
        <v>45868.0</v>
      </c>
      <c r="F2565" s="9" t="b">
        <v>1</v>
      </c>
      <c r="G2565" s="9" t="s">
        <v>38801</v>
      </c>
      <c r="H2565" s="9" t="s">
        <v>42560</v>
      </c>
      <c r="I2565" s="9" t="b">
        <v>1</v>
      </c>
    </row>
    <row r="2566" ht="15.75" customHeight="1">
      <c r="A2566" s="9" t="s">
        <v>46971</v>
      </c>
      <c r="B2566" s="9" t="s">
        <v>47</v>
      </c>
      <c r="C2566" s="9" t="s">
        <v>42317</v>
      </c>
      <c r="D2566" s="9" t="s">
        <v>43895</v>
      </c>
      <c r="E2566" s="61">
        <v>45875.0</v>
      </c>
      <c r="F2566" s="9" t="b">
        <v>1</v>
      </c>
      <c r="G2566" s="9" t="s">
        <v>38801</v>
      </c>
      <c r="H2566" s="9" t="s">
        <v>42576</v>
      </c>
      <c r="I2566" s="9" t="b">
        <v>1</v>
      </c>
    </row>
    <row r="2567" ht="15.75" customHeight="1">
      <c r="A2567" s="9" t="s">
        <v>46972</v>
      </c>
      <c r="B2567" s="9" t="s">
        <v>47</v>
      </c>
      <c r="C2567" s="9" t="s">
        <v>42319</v>
      </c>
      <c r="D2567" s="9" t="s">
        <v>43895</v>
      </c>
      <c r="E2567" s="61">
        <v>45875.0</v>
      </c>
      <c r="F2567" s="9" t="b">
        <v>1</v>
      </c>
      <c r="G2567" s="9" t="s">
        <v>38801</v>
      </c>
      <c r="H2567" s="9" t="s">
        <v>42576</v>
      </c>
      <c r="I2567" s="9" t="b">
        <v>1</v>
      </c>
    </row>
    <row r="2568" ht="15.75" customHeight="1">
      <c r="A2568" s="9" t="s">
        <v>46973</v>
      </c>
      <c r="B2568" s="9" t="s">
        <v>131</v>
      </c>
      <c r="C2568" s="9" t="s">
        <v>42349</v>
      </c>
      <c r="D2568" s="9" t="s">
        <v>42560</v>
      </c>
      <c r="E2568" s="61">
        <v>45876.0</v>
      </c>
      <c r="F2568" s="9" t="b">
        <v>1</v>
      </c>
      <c r="G2568" s="9" t="s">
        <v>38801</v>
      </c>
      <c r="H2568" s="9" t="s">
        <v>42576</v>
      </c>
      <c r="I2568" s="9" t="b">
        <v>1</v>
      </c>
    </row>
    <row r="2569" ht="15.75" customHeight="1">
      <c r="A2569" s="9" t="s">
        <v>46974</v>
      </c>
      <c r="B2569" s="9" t="s">
        <v>47</v>
      </c>
      <c r="C2569" s="9" t="s">
        <v>42281</v>
      </c>
      <c r="D2569" s="9" t="s">
        <v>46975</v>
      </c>
      <c r="E2569" s="61">
        <v>45877.0</v>
      </c>
      <c r="F2569" s="9" t="b">
        <v>1</v>
      </c>
      <c r="G2569" s="9" t="s">
        <v>42573</v>
      </c>
      <c r="H2569" s="9" t="s">
        <v>42576</v>
      </c>
      <c r="I2569" s="9"/>
    </row>
    <row r="2570" ht="15.75" customHeight="1">
      <c r="A2570" s="9" t="s">
        <v>46976</v>
      </c>
      <c r="B2570" s="9" t="s">
        <v>47</v>
      </c>
      <c r="C2570" s="9" t="s">
        <v>42338</v>
      </c>
      <c r="D2570" s="9" t="s">
        <v>46919</v>
      </c>
      <c r="E2570" s="61">
        <v>45877.0</v>
      </c>
      <c r="F2570" s="9" t="b">
        <v>1</v>
      </c>
      <c r="G2570" s="9" t="s">
        <v>38801</v>
      </c>
      <c r="H2570" s="9" t="s">
        <v>42576</v>
      </c>
      <c r="I2570" s="9" t="b">
        <v>1</v>
      </c>
    </row>
    <row r="2571" ht="15.75" customHeight="1">
      <c r="A2571" s="9" t="s">
        <v>46977</v>
      </c>
      <c r="B2571" s="9" t="s">
        <v>131</v>
      </c>
      <c r="C2571" s="9" t="s">
        <v>42351</v>
      </c>
      <c r="D2571" s="9" t="s">
        <v>46978</v>
      </c>
      <c r="E2571" s="61">
        <v>45880.0</v>
      </c>
      <c r="F2571" s="9" t="b">
        <v>1</v>
      </c>
      <c r="G2571" s="9" t="s">
        <v>38801</v>
      </c>
      <c r="H2571" s="9" t="s">
        <v>42576</v>
      </c>
      <c r="I2571" s="9" t="b">
        <v>1</v>
      </c>
    </row>
    <row r="2572" ht="15.75" customHeight="1">
      <c r="A2572" s="9" t="s">
        <v>46979</v>
      </c>
      <c r="B2572" s="9" t="s">
        <v>211</v>
      </c>
      <c r="C2572" s="9" t="s">
        <v>42355</v>
      </c>
      <c r="D2572" s="9" t="s">
        <v>46980</v>
      </c>
      <c r="E2572" s="61">
        <v>45882.0</v>
      </c>
      <c r="F2572" s="9" t="b">
        <v>1</v>
      </c>
      <c r="G2572" s="9" t="s">
        <v>38801</v>
      </c>
      <c r="H2572" s="9" t="s">
        <v>42576</v>
      </c>
      <c r="I2572" s="9" t="b">
        <v>1</v>
      </c>
    </row>
    <row r="2573" ht="15.75" customHeight="1">
      <c r="A2573" s="9" t="s">
        <v>46981</v>
      </c>
      <c r="B2573" s="9" t="s">
        <v>131</v>
      </c>
      <c r="C2573" s="9" t="s">
        <v>42357</v>
      </c>
      <c r="D2573" s="9" t="s">
        <v>42560</v>
      </c>
      <c r="E2573" s="61">
        <v>45883.0</v>
      </c>
      <c r="F2573" s="9" t="b">
        <v>1</v>
      </c>
      <c r="G2573" s="9" t="s">
        <v>38801</v>
      </c>
      <c r="H2573" s="9" t="s">
        <v>42576</v>
      </c>
      <c r="I2573" s="9" t="b">
        <v>1</v>
      </c>
    </row>
    <row r="2574" ht="15.75" customHeight="1">
      <c r="A2574" s="9" t="s">
        <v>46982</v>
      </c>
      <c r="B2574" s="9" t="s">
        <v>131</v>
      </c>
      <c r="C2574" s="9" t="s">
        <v>42361</v>
      </c>
      <c r="D2574" s="9" t="s">
        <v>42560</v>
      </c>
      <c r="E2574" s="61">
        <v>45887.0</v>
      </c>
      <c r="F2574" s="9" t="b">
        <v>1</v>
      </c>
      <c r="G2574" s="9" t="s">
        <v>38801</v>
      </c>
      <c r="H2574" s="9" t="s">
        <v>42576</v>
      </c>
      <c r="I2574" s="9" t="b">
        <v>1</v>
      </c>
    </row>
    <row r="2575" ht="15.75" customHeight="1">
      <c r="A2575" s="9" t="s">
        <v>46983</v>
      </c>
      <c r="B2575" s="9" t="s">
        <v>131</v>
      </c>
      <c r="C2575" s="9" t="s">
        <v>42320</v>
      </c>
      <c r="D2575" s="9" t="s">
        <v>46984</v>
      </c>
      <c r="E2575" s="61">
        <v>45888.0</v>
      </c>
      <c r="F2575" s="9" t="b">
        <v>1</v>
      </c>
      <c r="G2575" s="9" t="s">
        <v>38801</v>
      </c>
      <c r="H2575" s="9" t="s">
        <v>42576</v>
      </c>
      <c r="I2575" s="9" t="b">
        <v>1</v>
      </c>
    </row>
    <row r="2576" ht="15.75" customHeight="1">
      <c r="A2576" s="9" t="s">
        <v>46985</v>
      </c>
      <c r="B2576" s="9" t="s">
        <v>211</v>
      </c>
      <c r="C2576" s="9" t="s">
        <v>42298</v>
      </c>
      <c r="D2576" s="9" t="s">
        <v>46986</v>
      </c>
      <c r="E2576" s="61">
        <v>45889.0</v>
      </c>
      <c r="F2576" s="9" t="b">
        <v>1</v>
      </c>
      <c r="G2576" s="9" t="s">
        <v>38801</v>
      </c>
      <c r="H2576" s="9" t="s">
        <v>42576</v>
      </c>
      <c r="I2576" s="9" t="b">
        <v>1</v>
      </c>
    </row>
    <row r="2577" ht="15.75" customHeight="1">
      <c r="A2577" s="9" t="s">
        <v>46987</v>
      </c>
      <c r="B2577" s="9" t="s">
        <v>211</v>
      </c>
      <c r="C2577" s="9" t="s">
        <v>42298</v>
      </c>
      <c r="D2577" s="9" t="s">
        <v>46988</v>
      </c>
      <c r="E2577" s="61">
        <v>45889.0</v>
      </c>
      <c r="F2577" s="9" t="b">
        <v>1</v>
      </c>
      <c r="G2577" s="9" t="s">
        <v>38801</v>
      </c>
      <c r="H2577" s="9" t="s">
        <v>42576</v>
      </c>
      <c r="I2577" s="9" t="b">
        <v>1</v>
      </c>
    </row>
    <row r="2578" ht="15.75" customHeight="1">
      <c r="A2578" s="9" t="s">
        <v>46989</v>
      </c>
      <c r="B2578" s="9" t="s">
        <v>131</v>
      </c>
      <c r="C2578" s="52" t="s">
        <v>42372</v>
      </c>
      <c r="D2578" s="9" t="s">
        <v>46990</v>
      </c>
      <c r="E2578" s="61">
        <v>45890.0</v>
      </c>
      <c r="F2578" s="9" t="b">
        <v>1</v>
      </c>
      <c r="G2578" s="9" t="s">
        <v>38801</v>
      </c>
      <c r="H2578" s="9" t="s">
        <v>42576</v>
      </c>
      <c r="I2578" s="9" t="b">
        <v>1</v>
      </c>
    </row>
    <row r="2579" ht="15.75" customHeight="1">
      <c r="A2579" s="9" t="s">
        <v>46991</v>
      </c>
      <c r="B2579" s="9" t="s">
        <v>131</v>
      </c>
      <c r="C2579" s="9" t="s">
        <v>42374</v>
      </c>
      <c r="D2579" s="9" t="s">
        <v>43724</v>
      </c>
      <c r="E2579" s="61">
        <v>45894.0</v>
      </c>
      <c r="F2579" s="9" t="b">
        <v>1</v>
      </c>
      <c r="G2579" s="9" t="s">
        <v>38801</v>
      </c>
      <c r="H2579" s="9" t="s">
        <v>42576</v>
      </c>
      <c r="I2579" s="9" t="b">
        <v>1</v>
      </c>
    </row>
    <row r="2580" ht="15.75" customHeight="1">
      <c r="A2580" s="9" t="s">
        <v>46992</v>
      </c>
      <c r="B2580" s="9" t="s">
        <v>131</v>
      </c>
      <c r="C2580" s="9" t="s">
        <v>42376</v>
      </c>
      <c r="D2580" s="9" t="s">
        <v>46993</v>
      </c>
      <c r="E2580" s="61">
        <v>45894.0</v>
      </c>
      <c r="F2580" s="9" t="b">
        <v>1</v>
      </c>
      <c r="G2580" s="9" t="s">
        <v>38801</v>
      </c>
      <c r="H2580" s="9" t="s">
        <v>42576</v>
      </c>
      <c r="I2580" s="9" t="b">
        <v>1</v>
      </c>
    </row>
    <row r="2581" ht="15.75" customHeight="1">
      <c r="A2581" s="9" t="s">
        <v>46994</v>
      </c>
      <c r="B2581" s="9" t="s">
        <v>131</v>
      </c>
      <c r="C2581" s="9" t="s">
        <v>42306</v>
      </c>
      <c r="D2581" s="9" t="s">
        <v>42560</v>
      </c>
      <c r="E2581" s="61">
        <v>45901.0</v>
      </c>
      <c r="F2581" s="9" t="b">
        <v>1</v>
      </c>
      <c r="G2581" s="9" t="s">
        <v>38801</v>
      </c>
      <c r="H2581" s="9" t="s">
        <v>42576</v>
      </c>
      <c r="I2581" s="9" t="b">
        <v>1</v>
      </c>
    </row>
    <row r="2582" ht="15.75" customHeight="1">
      <c r="A2582" s="9" t="s">
        <v>46995</v>
      </c>
      <c r="B2582" s="9" t="s">
        <v>47</v>
      </c>
      <c r="C2582" s="9" t="s">
        <v>42382</v>
      </c>
      <c r="D2582" s="9" t="s">
        <v>46996</v>
      </c>
      <c r="E2582" s="61">
        <v>45904.0</v>
      </c>
      <c r="F2582" s="9" t="b">
        <v>1</v>
      </c>
      <c r="G2582" s="9" t="s">
        <v>38801</v>
      </c>
      <c r="H2582" s="9" t="s">
        <v>42560</v>
      </c>
      <c r="I2582" s="9" t="b">
        <v>1</v>
      </c>
    </row>
    <row r="2583" ht="15.75" customHeight="1">
      <c r="A2583" s="9" t="s">
        <v>46997</v>
      </c>
      <c r="B2583" s="9" t="s">
        <v>47</v>
      </c>
      <c r="C2583" s="9" t="s">
        <v>42384</v>
      </c>
      <c r="D2583" s="9" t="s">
        <v>42560</v>
      </c>
      <c r="E2583" s="61">
        <v>45908.0</v>
      </c>
      <c r="F2583" s="9" t="b">
        <v>1</v>
      </c>
      <c r="G2583" s="9" t="s">
        <v>38801</v>
      </c>
      <c r="H2583" s="9" t="s">
        <v>42576</v>
      </c>
      <c r="I2583" s="9" t="b">
        <v>1</v>
      </c>
    </row>
    <row r="2584" ht="15.75" customHeight="1">
      <c r="A2584" s="9" t="s">
        <v>46998</v>
      </c>
      <c r="B2584" s="9" t="s">
        <v>47</v>
      </c>
      <c r="C2584" s="9" t="s">
        <v>40396</v>
      </c>
      <c r="D2584" s="9" t="s">
        <v>45201</v>
      </c>
      <c r="E2584" s="61">
        <v>45910.0</v>
      </c>
      <c r="F2584" s="9" t="b">
        <v>1</v>
      </c>
      <c r="G2584" s="9" t="s">
        <v>38801</v>
      </c>
      <c r="H2584" s="9" t="s">
        <v>42560</v>
      </c>
      <c r="I2584" s="9" t="b">
        <v>1</v>
      </c>
    </row>
    <row r="2585" ht="15.75" customHeight="1">
      <c r="A2585" s="9" t="s">
        <v>46999</v>
      </c>
      <c r="B2585" s="9" t="s">
        <v>47</v>
      </c>
      <c r="C2585" s="9" t="s">
        <v>42388</v>
      </c>
      <c r="D2585" s="9" t="s">
        <v>42560</v>
      </c>
      <c r="E2585" s="61">
        <v>45910.0</v>
      </c>
      <c r="F2585" s="9" t="b">
        <v>1</v>
      </c>
      <c r="G2585" s="9" t="s">
        <v>38801</v>
      </c>
      <c r="H2585" s="9" t="s">
        <v>42576</v>
      </c>
      <c r="I2585" s="9" t="b">
        <v>1</v>
      </c>
    </row>
    <row r="2586" ht="15.75" customHeight="1">
      <c r="A2586" s="9" t="s">
        <v>47000</v>
      </c>
      <c r="B2586" s="9" t="s">
        <v>47</v>
      </c>
      <c r="C2586" s="9" t="s">
        <v>42394</v>
      </c>
      <c r="D2586" s="9" t="s">
        <v>47001</v>
      </c>
      <c r="E2586" s="61">
        <v>45915.0</v>
      </c>
      <c r="F2586" s="9" t="b">
        <v>1</v>
      </c>
      <c r="G2586" s="9" t="s">
        <v>38801</v>
      </c>
      <c r="H2586" s="9" t="s">
        <v>42576</v>
      </c>
      <c r="I2586" s="9" t="b">
        <v>1</v>
      </c>
    </row>
    <row r="2587" ht="15.75" customHeight="1">
      <c r="A2587" s="9" t="s">
        <v>47002</v>
      </c>
      <c r="B2587" s="9" t="s">
        <v>47</v>
      </c>
      <c r="C2587" s="9" t="s">
        <v>42396</v>
      </c>
      <c r="D2587" s="9" t="s">
        <v>43948</v>
      </c>
      <c r="E2587" s="61">
        <v>45915.0</v>
      </c>
      <c r="F2587" s="9" t="b">
        <v>1</v>
      </c>
      <c r="G2587" s="9" t="s">
        <v>38801</v>
      </c>
      <c r="H2587" s="9" t="s">
        <v>42576</v>
      </c>
      <c r="I2587" s="9" t="b">
        <v>1</v>
      </c>
    </row>
    <row r="2588" ht="15.75" customHeight="1">
      <c r="A2588" s="9" t="s">
        <v>47003</v>
      </c>
      <c r="B2588" s="9" t="s">
        <v>47</v>
      </c>
      <c r="C2588" s="9" t="s">
        <v>42391</v>
      </c>
      <c r="D2588" s="9" t="s">
        <v>43948</v>
      </c>
      <c r="E2588" s="61">
        <v>45915.0</v>
      </c>
      <c r="F2588" s="9" t="b">
        <v>1</v>
      </c>
      <c r="G2588" s="9" t="s">
        <v>38801</v>
      </c>
      <c r="H2588" s="9" t="s">
        <v>42576</v>
      </c>
      <c r="I2588" s="9" t="b">
        <v>1</v>
      </c>
    </row>
    <row r="2589" ht="15.75" customHeight="1">
      <c r="A2589" s="9" t="s">
        <v>47004</v>
      </c>
      <c r="B2589" s="9" t="s">
        <v>47</v>
      </c>
      <c r="C2589" s="9" t="s">
        <v>42398</v>
      </c>
      <c r="D2589" s="9" t="s">
        <v>42560</v>
      </c>
      <c r="E2589" s="61">
        <v>45918.0</v>
      </c>
      <c r="F2589" s="9" t="b">
        <v>1</v>
      </c>
      <c r="G2589" s="9" t="s">
        <v>38801</v>
      </c>
      <c r="H2589" s="9" t="s">
        <v>42560</v>
      </c>
      <c r="I2589" s="9" t="b">
        <v>1</v>
      </c>
    </row>
    <row r="2590" ht="15.75" customHeight="1">
      <c r="A2590" s="9" t="s">
        <v>47005</v>
      </c>
      <c r="B2590" s="9" t="s">
        <v>47</v>
      </c>
      <c r="C2590" s="9" t="s">
        <v>42400</v>
      </c>
      <c r="D2590" s="9" t="s">
        <v>47006</v>
      </c>
      <c r="E2590" s="61">
        <v>45919.0</v>
      </c>
      <c r="F2590" s="9" t="b">
        <v>1</v>
      </c>
      <c r="G2590" s="9" t="s">
        <v>43228</v>
      </c>
      <c r="H2590" s="9" t="s">
        <v>42576</v>
      </c>
      <c r="I2590" s="9"/>
    </row>
    <row r="2591" ht="15.75" customHeight="1">
      <c r="A2591" s="9" t="s">
        <v>47007</v>
      </c>
      <c r="B2591" s="9" t="s">
        <v>47</v>
      </c>
      <c r="C2591" s="9" t="s">
        <v>42397</v>
      </c>
      <c r="D2591" s="9" t="s">
        <v>42560</v>
      </c>
      <c r="E2591" s="61">
        <v>45932.0</v>
      </c>
      <c r="F2591" s="9" t="b">
        <v>1</v>
      </c>
      <c r="G2591" s="9" t="s">
        <v>38801</v>
      </c>
      <c r="H2591" s="9" t="s">
        <v>42576</v>
      </c>
      <c r="I2591" s="9" t="b">
        <v>1</v>
      </c>
    </row>
    <row r="2592" ht="15.75" customHeight="1">
      <c r="A2592" s="9" t="s">
        <v>47008</v>
      </c>
      <c r="B2592" s="9" t="s">
        <v>47</v>
      </c>
      <c r="C2592" s="9" t="s">
        <v>42404</v>
      </c>
      <c r="D2592" s="9" t="s">
        <v>42560</v>
      </c>
      <c r="E2592" s="61">
        <v>45933.0</v>
      </c>
      <c r="F2592" s="9" t="b">
        <v>1</v>
      </c>
      <c r="G2592" s="9" t="s">
        <v>38801</v>
      </c>
      <c r="H2592" s="9" t="s">
        <v>42576</v>
      </c>
      <c r="I2592" s="9" t="b">
        <v>1</v>
      </c>
    </row>
    <row r="2593" ht="15.75" customHeight="1">
      <c r="A2593" s="9" t="s">
        <v>47009</v>
      </c>
      <c r="B2593" s="9" t="s">
        <v>47</v>
      </c>
      <c r="C2593" s="9" t="s">
        <v>42407</v>
      </c>
      <c r="D2593" s="9" t="s">
        <v>42560</v>
      </c>
      <c r="E2593" s="61">
        <v>45933.0</v>
      </c>
      <c r="F2593" s="9" t="b">
        <v>1</v>
      </c>
      <c r="G2593" s="9" t="s">
        <v>38801</v>
      </c>
      <c r="H2593" s="9" t="s">
        <v>42576</v>
      </c>
      <c r="I2593" s="9" t="b">
        <v>1</v>
      </c>
    </row>
    <row r="2594" ht="15.75" customHeight="1">
      <c r="A2594" s="9" t="s">
        <v>47010</v>
      </c>
      <c r="B2594" s="9" t="s">
        <v>47</v>
      </c>
      <c r="C2594" s="9" t="s">
        <v>42409</v>
      </c>
      <c r="D2594" s="9" t="s">
        <v>42560</v>
      </c>
      <c r="E2594" s="61">
        <v>45947.0</v>
      </c>
      <c r="F2594" s="9" t="b">
        <v>1</v>
      </c>
      <c r="G2594" s="9" t="s">
        <v>38801</v>
      </c>
      <c r="H2594" s="9" t="s">
        <v>42576</v>
      </c>
      <c r="I2594" s="9" t="b">
        <v>1</v>
      </c>
    </row>
    <row r="2595" ht="15.75" customHeight="1">
      <c r="A2595" s="9" t="s">
        <v>47011</v>
      </c>
      <c r="B2595" s="9" t="s">
        <v>218</v>
      </c>
      <c r="C2595" s="9" t="s">
        <v>42343</v>
      </c>
      <c r="D2595" s="9" t="s">
        <v>47012</v>
      </c>
      <c r="E2595" s="61">
        <v>45950.0</v>
      </c>
      <c r="F2595" s="9" t="b">
        <v>1</v>
      </c>
      <c r="G2595" s="9" t="s">
        <v>38801</v>
      </c>
      <c r="H2595" s="9" t="s">
        <v>42560</v>
      </c>
      <c r="I2595" s="9" t="b">
        <v>1</v>
      </c>
    </row>
    <row r="2596" ht="15.75" customHeight="1">
      <c r="A2596" s="9" t="s">
        <v>47013</v>
      </c>
      <c r="B2596" s="9" t="s">
        <v>131</v>
      </c>
      <c r="C2596" s="9" t="s">
        <v>42415</v>
      </c>
      <c r="D2596" s="9" t="s">
        <v>47014</v>
      </c>
      <c r="E2596" s="61">
        <v>45964.0</v>
      </c>
      <c r="F2596" s="9" t="b">
        <v>1</v>
      </c>
      <c r="G2596" s="9" t="s">
        <v>38801</v>
      </c>
      <c r="H2596" s="9" t="s">
        <v>42576</v>
      </c>
      <c r="I2596" s="9" t="b">
        <v>1</v>
      </c>
    </row>
    <row r="2597" ht="15.75" customHeight="1">
      <c r="A2597" s="9" t="s">
        <v>47015</v>
      </c>
      <c r="B2597" s="9" t="s">
        <v>218</v>
      </c>
      <c r="C2597" s="9" t="s">
        <v>42420</v>
      </c>
      <c r="D2597" s="9" t="s">
        <v>47016</v>
      </c>
      <c r="E2597" s="61">
        <v>45971.0</v>
      </c>
      <c r="F2597" s="9" t="b">
        <v>1</v>
      </c>
      <c r="G2597" s="9" t="s">
        <v>43228</v>
      </c>
      <c r="H2597" s="9" t="s">
        <v>42560</v>
      </c>
      <c r="I2597" s="9"/>
    </row>
    <row r="2598" ht="15.75" customHeight="1">
      <c r="A2598" s="9" t="s">
        <v>47017</v>
      </c>
      <c r="B2598" s="9" t="s">
        <v>47</v>
      </c>
      <c r="C2598" s="9" t="s">
        <v>42408</v>
      </c>
      <c r="D2598" s="9" t="s">
        <v>43895</v>
      </c>
      <c r="E2598" s="61">
        <v>45973.0</v>
      </c>
      <c r="F2598" s="9" t="b">
        <v>1</v>
      </c>
      <c r="G2598" s="9" t="s">
        <v>38801</v>
      </c>
      <c r="H2598" s="9" t="s">
        <v>42576</v>
      </c>
      <c r="I2598" s="9" t="b">
        <v>1</v>
      </c>
    </row>
    <row r="2599" ht="15.75" customHeight="1">
      <c r="A2599" s="9" t="s">
        <v>47018</v>
      </c>
      <c r="B2599" s="9" t="s">
        <v>47</v>
      </c>
      <c r="C2599" s="9" t="s">
        <v>42412</v>
      </c>
      <c r="D2599" s="9" t="s">
        <v>47019</v>
      </c>
      <c r="E2599" s="61">
        <v>45973.0</v>
      </c>
      <c r="F2599" s="9" t="b">
        <v>1</v>
      </c>
      <c r="G2599" s="9" t="s">
        <v>38801</v>
      </c>
      <c r="H2599" s="9" t="s">
        <v>42576</v>
      </c>
      <c r="I2599" s="9" t="b">
        <v>1</v>
      </c>
    </row>
    <row r="2600" ht="15.75" customHeight="1">
      <c r="A2600" s="9" t="s">
        <v>47020</v>
      </c>
      <c r="B2600" s="9" t="s">
        <v>47</v>
      </c>
      <c r="C2600" s="9" t="s">
        <v>42419</v>
      </c>
      <c r="D2600" s="9" t="s">
        <v>47021</v>
      </c>
      <c r="E2600" s="61">
        <v>45973.0</v>
      </c>
      <c r="F2600" s="9" t="b">
        <v>1</v>
      </c>
      <c r="G2600" s="9" t="s">
        <v>43228</v>
      </c>
      <c r="H2600" s="9" t="s">
        <v>38800</v>
      </c>
      <c r="I2600" s="9"/>
    </row>
    <row r="2601" ht="15.75" customHeight="1">
      <c r="A2601" s="9" t="s">
        <v>47022</v>
      </c>
      <c r="B2601" s="9" t="s">
        <v>47</v>
      </c>
      <c r="C2601" s="9" t="s">
        <v>42419</v>
      </c>
      <c r="D2601" s="9" t="s">
        <v>47023</v>
      </c>
      <c r="E2601" s="61">
        <v>45973.0</v>
      </c>
      <c r="F2601" s="9" t="b">
        <v>1</v>
      </c>
      <c r="G2601" s="9" t="s">
        <v>43228</v>
      </c>
      <c r="H2601" s="9" t="s">
        <v>38800</v>
      </c>
      <c r="I2601" s="9"/>
    </row>
    <row r="2602" ht="15.75" customHeight="1">
      <c r="A2602" s="9" t="s">
        <v>47024</v>
      </c>
      <c r="B2602" s="9" t="s">
        <v>47</v>
      </c>
      <c r="C2602" s="9" t="s">
        <v>42418</v>
      </c>
      <c r="D2602" s="9" t="s">
        <v>47025</v>
      </c>
      <c r="E2602" s="61">
        <v>45973.0</v>
      </c>
      <c r="F2602" s="9" t="b">
        <v>1</v>
      </c>
      <c r="G2602" s="9" t="s">
        <v>38801</v>
      </c>
      <c r="H2602" s="9" t="s">
        <v>42576</v>
      </c>
      <c r="I2602" s="9" t="b">
        <v>1</v>
      </c>
    </row>
    <row r="2603" ht="15.75" customHeight="1">
      <c r="A2603" s="9" t="s">
        <v>47026</v>
      </c>
      <c r="B2603" s="9" t="s">
        <v>47</v>
      </c>
      <c r="C2603" s="9" t="s">
        <v>42417</v>
      </c>
      <c r="D2603" s="9" t="s">
        <v>42560</v>
      </c>
      <c r="E2603" s="61">
        <v>45979.0</v>
      </c>
      <c r="F2603" s="9" t="b">
        <v>1</v>
      </c>
      <c r="G2603" s="9" t="s">
        <v>38801</v>
      </c>
      <c r="H2603" s="9" t="s">
        <v>42560</v>
      </c>
      <c r="I2603" s="9" t="b">
        <v>1</v>
      </c>
    </row>
    <row r="2604" ht="15.75" customHeight="1">
      <c r="A2604" s="9" t="s">
        <v>47027</v>
      </c>
      <c r="B2604" s="9" t="s">
        <v>218</v>
      </c>
      <c r="C2604" s="9" t="s">
        <v>42432</v>
      </c>
      <c r="D2604" s="9" t="s">
        <v>47028</v>
      </c>
      <c r="E2604" s="61">
        <v>45981.0</v>
      </c>
      <c r="F2604" s="9" t="b">
        <v>1</v>
      </c>
      <c r="G2604" s="9" t="s">
        <v>43228</v>
      </c>
      <c r="H2604" s="9" t="s">
        <v>42576</v>
      </c>
      <c r="I2604" s="9"/>
    </row>
    <row r="2605" ht="15.75" customHeight="1">
      <c r="A2605" s="9" t="s">
        <v>47029</v>
      </c>
      <c r="B2605" s="9" t="s">
        <v>218</v>
      </c>
      <c r="C2605" s="9" t="s">
        <v>42432</v>
      </c>
      <c r="D2605" s="9" t="s">
        <v>47030</v>
      </c>
      <c r="E2605" s="61">
        <v>45981.0</v>
      </c>
      <c r="F2605" s="9" t="b">
        <v>1</v>
      </c>
      <c r="G2605" s="9" t="s">
        <v>43228</v>
      </c>
      <c r="H2605" s="9" t="s">
        <v>42576</v>
      </c>
      <c r="I2605" s="9"/>
    </row>
    <row r="2606" ht="15.75" customHeight="1">
      <c r="A2606" s="9" t="s">
        <v>47031</v>
      </c>
      <c r="B2606" s="9" t="s">
        <v>47</v>
      </c>
      <c r="C2606" s="9" t="s">
        <v>42422</v>
      </c>
      <c r="D2606" s="9" t="s">
        <v>43895</v>
      </c>
      <c r="E2606" s="61">
        <v>45981.0</v>
      </c>
      <c r="F2606" s="9" t="b">
        <v>1</v>
      </c>
      <c r="G2606" s="9" t="s">
        <v>38801</v>
      </c>
      <c r="H2606" s="9" t="s">
        <v>42576</v>
      </c>
      <c r="I2606" s="9" t="b">
        <v>1</v>
      </c>
    </row>
    <row r="2607" ht="15.75" customHeight="1">
      <c r="A2607" s="9" t="s">
        <v>47032</v>
      </c>
      <c r="B2607" s="9" t="s">
        <v>47</v>
      </c>
      <c r="C2607" s="9" t="s">
        <v>42423</v>
      </c>
      <c r="D2607" s="9" t="s">
        <v>42560</v>
      </c>
      <c r="E2607" s="61">
        <v>45981.0</v>
      </c>
      <c r="F2607" s="9" t="b">
        <v>1</v>
      </c>
      <c r="G2607" s="9" t="s">
        <v>38801</v>
      </c>
      <c r="H2607" s="9" t="s">
        <v>42576</v>
      </c>
      <c r="I2607" s="9" t="b">
        <v>1</v>
      </c>
    </row>
    <row r="2608" ht="15.75" customHeight="1">
      <c r="A2608" s="9" t="s">
        <v>47033</v>
      </c>
      <c r="B2608" s="9" t="s">
        <v>47</v>
      </c>
      <c r="C2608" s="9" t="s">
        <v>42431</v>
      </c>
      <c r="D2608" s="9" t="s">
        <v>42560</v>
      </c>
      <c r="E2608" s="61">
        <v>45981.0</v>
      </c>
      <c r="F2608" s="9" t="b">
        <v>1</v>
      </c>
      <c r="G2608" s="9" t="s">
        <v>38801</v>
      </c>
      <c r="H2608" s="9" t="s">
        <v>42576</v>
      </c>
      <c r="I2608" s="9" t="b">
        <v>1</v>
      </c>
    </row>
    <row r="2609" ht="15.75" customHeight="1">
      <c r="A2609" s="9" t="s">
        <v>47034</v>
      </c>
      <c r="B2609" s="9" t="s">
        <v>218</v>
      </c>
      <c r="C2609" s="9" t="s">
        <v>42432</v>
      </c>
      <c r="D2609" s="9" t="s">
        <v>42575</v>
      </c>
      <c r="E2609" s="61">
        <v>45992.0</v>
      </c>
      <c r="F2609" s="9" t="b">
        <v>1</v>
      </c>
      <c r="G2609" s="9" t="s">
        <v>38801</v>
      </c>
      <c r="H2609" s="9" t="s">
        <v>42576</v>
      </c>
      <c r="I2609" s="9" t="b">
        <v>1</v>
      </c>
    </row>
    <row r="2610" ht="15.75" customHeight="1">
      <c r="A2610" s="9" t="s">
        <v>47035</v>
      </c>
      <c r="B2610" s="9" t="s">
        <v>131</v>
      </c>
      <c r="C2610" s="9" t="s">
        <v>42440</v>
      </c>
      <c r="D2610" s="9" t="s">
        <v>47036</v>
      </c>
      <c r="E2610" s="61">
        <v>46003.0</v>
      </c>
      <c r="F2610" s="9" t="b">
        <v>1</v>
      </c>
      <c r="G2610" s="9" t="s">
        <v>38801</v>
      </c>
      <c r="H2610" s="9" t="s">
        <v>42576</v>
      </c>
      <c r="I2610" s="9" t="b">
        <v>1</v>
      </c>
    </row>
    <row r="2611" ht="15.75" customHeight="1">
      <c r="A2611" s="9" t="s">
        <v>47037</v>
      </c>
      <c r="B2611" s="9" t="s">
        <v>131</v>
      </c>
      <c r="C2611" s="9" t="s">
        <v>42438</v>
      </c>
      <c r="D2611" s="9" t="s">
        <v>47038</v>
      </c>
      <c r="E2611" s="61">
        <v>46003.0</v>
      </c>
      <c r="F2611" s="9" t="b">
        <v>1</v>
      </c>
      <c r="G2611" s="9" t="s">
        <v>38801</v>
      </c>
      <c r="H2611" s="9" t="s">
        <v>42560</v>
      </c>
      <c r="I2611" s="9" t="b">
        <v>1</v>
      </c>
    </row>
    <row r="2612" ht="15.75" customHeight="1">
      <c r="A2612" s="9" t="s">
        <v>47039</v>
      </c>
      <c r="B2612" s="9" t="s">
        <v>218</v>
      </c>
      <c r="C2612" s="9" t="s">
        <v>42445</v>
      </c>
      <c r="D2612" s="9" t="s">
        <v>43380</v>
      </c>
      <c r="E2612" s="61">
        <v>46009.0</v>
      </c>
      <c r="F2612" s="9" t="b">
        <v>1</v>
      </c>
      <c r="G2612" s="9" t="s">
        <v>38801</v>
      </c>
      <c r="H2612" s="9" t="s">
        <v>42560</v>
      </c>
      <c r="I2612" s="9" t="b">
        <v>1</v>
      </c>
    </row>
    <row r="2613" ht="15.75" customHeight="1">
      <c r="A2613" s="9" t="s">
        <v>47040</v>
      </c>
      <c r="B2613" s="9" t="s">
        <v>47</v>
      </c>
      <c r="C2613" s="52" t="s">
        <v>42434</v>
      </c>
      <c r="D2613" s="9" t="s">
        <v>42560</v>
      </c>
      <c r="E2613" s="61">
        <v>46015.0</v>
      </c>
      <c r="F2613" s="9" t="b">
        <v>1</v>
      </c>
      <c r="G2613" s="9" t="s">
        <v>38801</v>
      </c>
      <c r="H2613" s="9" t="s">
        <v>42576</v>
      </c>
      <c r="I2613" s="9" t="b">
        <v>1</v>
      </c>
    </row>
    <row r="2614" ht="15.75" customHeight="1">
      <c r="A2614" s="9" t="s">
        <v>47041</v>
      </c>
      <c r="B2614" s="9" t="s">
        <v>218</v>
      </c>
      <c r="C2614" s="9" t="s">
        <v>42448</v>
      </c>
      <c r="D2614" s="9" t="s">
        <v>47042</v>
      </c>
      <c r="E2614" s="61">
        <v>46017.0</v>
      </c>
      <c r="F2614" s="9" t="b">
        <v>1</v>
      </c>
      <c r="G2614" s="9" t="s">
        <v>43228</v>
      </c>
      <c r="H2614" s="9" t="s">
        <v>42576</v>
      </c>
      <c r="I2614" s="9"/>
    </row>
    <row r="2615" ht="15.75" customHeight="1">
      <c r="A2615" s="9" t="s">
        <v>47043</v>
      </c>
      <c r="B2615" s="9" t="s">
        <v>47</v>
      </c>
      <c r="C2615" s="9" t="s">
        <v>42450</v>
      </c>
      <c r="D2615" s="9" t="s">
        <v>47044</v>
      </c>
      <c r="E2615" s="61">
        <v>46017.0</v>
      </c>
      <c r="F2615" s="9" t="b">
        <v>1</v>
      </c>
      <c r="G2615" s="9" t="s">
        <v>43228</v>
      </c>
      <c r="H2615" s="9" t="s">
        <v>42576</v>
      </c>
      <c r="I2615" s="9"/>
    </row>
    <row r="2616" ht="15.75" customHeight="1">
      <c r="A2616" s="9" t="s">
        <v>47045</v>
      </c>
      <c r="B2616" s="9" t="s">
        <v>47</v>
      </c>
      <c r="C2616" s="9" t="s">
        <v>42452</v>
      </c>
      <c r="D2616" s="9" t="s">
        <v>47046</v>
      </c>
      <c r="E2616" s="61">
        <v>46017.0</v>
      </c>
      <c r="F2616" s="9" t="b">
        <v>1</v>
      </c>
      <c r="G2616" s="9" t="s">
        <v>43228</v>
      </c>
      <c r="H2616" s="9" t="s">
        <v>42576</v>
      </c>
      <c r="I2616" s="9"/>
    </row>
    <row r="2617" ht="15.75" customHeight="1">
      <c r="A2617" s="9" t="s">
        <v>47047</v>
      </c>
      <c r="B2617" s="9" t="s">
        <v>47</v>
      </c>
      <c r="C2617" s="9" t="s">
        <v>42453</v>
      </c>
      <c r="D2617" s="9" t="s">
        <v>44884</v>
      </c>
      <c r="E2617" s="61">
        <v>46031.0</v>
      </c>
      <c r="F2617" s="9" t="b">
        <v>1</v>
      </c>
      <c r="G2617" s="9" t="s">
        <v>38801</v>
      </c>
      <c r="H2617" s="9" t="s">
        <v>42576</v>
      </c>
      <c r="I2617" s="9" t="b">
        <v>1</v>
      </c>
    </row>
    <row r="2618" ht="15.75" customHeight="1">
      <c r="A2618" s="9" t="s">
        <v>47048</v>
      </c>
      <c r="B2618" s="9" t="s">
        <v>218</v>
      </c>
      <c r="C2618" s="9" t="s">
        <v>42441</v>
      </c>
      <c r="D2618" s="9" t="s">
        <v>47049</v>
      </c>
      <c r="E2618" s="61">
        <v>46041.0</v>
      </c>
      <c r="F2618" s="9" t="b">
        <v>1</v>
      </c>
      <c r="G2618" s="9" t="s">
        <v>38801</v>
      </c>
      <c r="H2618" s="9" t="s">
        <v>42576</v>
      </c>
      <c r="I2618" s="9" t="b">
        <v>1</v>
      </c>
    </row>
    <row r="2619" ht="15.75" customHeight="1">
      <c r="A2619" s="9" t="s">
        <v>47050</v>
      </c>
      <c r="B2619" s="9" t="s">
        <v>47</v>
      </c>
      <c r="C2619" s="9" t="s">
        <v>42458</v>
      </c>
      <c r="D2619" s="9" t="s">
        <v>47051</v>
      </c>
      <c r="E2619" s="61">
        <v>46041.0</v>
      </c>
      <c r="F2619" s="9" t="b">
        <v>1</v>
      </c>
      <c r="G2619" s="9" t="s">
        <v>43228</v>
      </c>
      <c r="H2619" s="9" t="s">
        <v>42576</v>
      </c>
      <c r="I2619" s="9"/>
    </row>
    <row r="2620" ht="15.75" customHeight="1">
      <c r="A2620" s="9" t="s">
        <v>47052</v>
      </c>
      <c r="B2620" s="9" t="s">
        <v>218</v>
      </c>
      <c r="C2620" s="9" t="s">
        <v>42460</v>
      </c>
      <c r="D2620" s="9" t="s">
        <v>47053</v>
      </c>
      <c r="E2620" s="61">
        <v>46041.0</v>
      </c>
      <c r="F2620" s="9" t="b">
        <v>1</v>
      </c>
      <c r="G2620" s="9" t="s">
        <v>38801</v>
      </c>
      <c r="H2620" s="9" t="s">
        <v>42576</v>
      </c>
      <c r="I2620" s="9" t="b">
        <v>1</v>
      </c>
    </row>
    <row r="2621" ht="15.75" customHeight="1">
      <c r="A2621" s="9" t="s">
        <v>47054</v>
      </c>
      <c r="B2621" s="9" t="s">
        <v>218</v>
      </c>
      <c r="C2621" s="9" t="s">
        <v>42462</v>
      </c>
      <c r="D2621" s="9" t="s">
        <v>47055</v>
      </c>
      <c r="E2621" s="61">
        <v>46041.0</v>
      </c>
      <c r="F2621" s="9" t="b">
        <v>1</v>
      </c>
      <c r="G2621" s="9" t="s">
        <v>38801</v>
      </c>
      <c r="H2621" s="9" t="s">
        <v>42576</v>
      </c>
      <c r="I2621" s="9" t="b">
        <v>1</v>
      </c>
    </row>
    <row r="2622" ht="15.75" customHeight="1">
      <c r="A2622" s="9" t="s">
        <v>47056</v>
      </c>
      <c r="B2622" s="9" t="s">
        <v>218</v>
      </c>
      <c r="C2622" s="9" t="s">
        <v>42458</v>
      </c>
      <c r="D2622" s="9" t="s">
        <v>47057</v>
      </c>
      <c r="E2622" s="61">
        <v>46043.0</v>
      </c>
      <c r="F2622" s="9" t="b">
        <v>1</v>
      </c>
      <c r="G2622" s="9" t="s">
        <v>38801</v>
      </c>
      <c r="H2622" s="9" t="s">
        <v>42576</v>
      </c>
      <c r="I2622" s="9" t="b">
        <v>1</v>
      </c>
    </row>
    <row r="2623" ht="15.75" customHeight="1">
      <c r="A2623" s="9" t="s">
        <v>47058</v>
      </c>
      <c r="B2623" s="9" t="s">
        <v>47</v>
      </c>
      <c r="C2623" s="52" t="s">
        <v>42464</v>
      </c>
      <c r="D2623" s="9" t="s">
        <v>47059</v>
      </c>
      <c r="E2623" s="61">
        <v>46043.0</v>
      </c>
      <c r="F2623" s="9" t="b">
        <v>1</v>
      </c>
      <c r="G2623" s="9" t="s">
        <v>43228</v>
      </c>
      <c r="H2623" s="9" t="s">
        <v>42576</v>
      </c>
      <c r="I2623" s="9"/>
    </row>
    <row r="2624" ht="15.75" customHeight="1">
      <c r="A2624" s="9" t="s">
        <v>47060</v>
      </c>
      <c r="B2624" s="9" t="s">
        <v>47</v>
      </c>
      <c r="C2624" s="9" t="s">
        <v>42419</v>
      </c>
      <c r="D2624" s="9" t="s">
        <v>47061</v>
      </c>
      <c r="E2624" s="61">
        <v>46044.0</v>
      </c>
      <c r="F2624" s="9" t="b">
        <v>1</v>
      </c>
      <c r="G2624" s="9" t="s">
        <v>38801</v>
      </c>
      <c r="H2624" s="9" t="s">
        <v>42576</v>
      </c>
      <c r="I2624" s="9" t="b">
        <v>1</v>
      </c>
    </row>
    <row r="2625" ht="15.75" customHeight="1">
      <c r="A2625" s="9" t="s">
        <v>47062</v>
      </c>
      <c r="B2625" s="9" t="s">
        <v>47</v>
      </c>
      <c r="C2625" s="9" t="s">
        <v>41476</v>
      </c>
      <c r="D2625" s="9" t="s">
        <v>47063</v>
      </c>
      <c r="E2625" s="61">
        <v>46045.0</v>
      </c>
      <c r="F2625" s="9" t="b">
        <v>1</v>
      </c>
      <c r="G2625" s="9" t="s">
        <v>38801</v>
      </c>
      <c r="H2625" s="9" t="s">
        <v>42576</v>
      </c>
      <c r="I2625" s="9" t="b">
        <v>1</v>
      </c>
    </row>
    <row r="2626" ht="15.75" customHeight="1">
      <c r="A2626" s="9" t="s">
        <v>47064</v>
      </c>
      <c r="B2626" s="9" t="s">
        <v>47</v>
      </c>
      <c r="C2626" s="9" t="s">
        <v>42443</v>
      </c>
      <c r="D2626" s="9" t="s">
        <v>47065</v>
      </c>
      <c r="E2626" s="61">
        <v>46045.0</v>
      </c>
      <c r="F2626" s="9" t="b">
        <v>1</v>
      </c>
      <c r="G2626" s="9" t="s">
        <v>43228</v>
      </c>
      <c r="H2626" s="9" t="s">
        <v>42576</v>
      </c>
      <c r="I2626" s="9"/>
    </row>
    <row r="2627" ht="15.75" customHeight="1">
      <c r="A2627" s="9" t="s">
        <v>47066</v>
      </c>
      <c r="B2627" s="9" t="s">
        <v>47</v>
      </c>
      <c r="C2627" s="9" t="s">
        <v>42454</v>
      </c>
      <c r="D2627" s="9" t="s">
        <v>47067</v>
      </c>
      <c r="E2627" s="61">
        <v>46045.0</v>
      </c>
      <c r="F2627" s="9" t="b">
        <v>1</v>
      </c>
      <c r="G2627" s="9" t="s">
        <v>42632</v>
      </c>
      <c r="H2627" s="9" t="s">
        <v>42576</v>
      </c>
      <c r="I2627" s="9"/>
    </row>
    <row r="2628" ht="15.75" customHeight="1">
      <c r="A2628" s="9" t="s">
        <v>47068</v>
      </c>
      <c r="B2628" s="9" t="s">
        <v>131</v>
      </c>
      <c r="C2628" s="9" t="s">
        <v>42443</v>
      </c>
      <c r="D2628" s="9" t="s">
        <v>47069</v>
      </c>
      <c r="E2628" s="61">
        <v>46055.0</v>
      </c>
      <c r="F2628" s="9" t="b">
        <v>1</v>
      </c>
      <c r="G2628" s="9" t="s">
        <v>38801</v>
      </c>
      <c r="H2628" s="9" t="s">
        <v>42576</v>
      </c>
      <c r="I2628" s="9" t="b">
        <v>1</v>
      </c>
    </row>
    <row r="2629" ht="15.75" customHeight="1">
      <c r="A2629" s="9" t="s">
        <v>47070</v>
      </c>
      <c r="B2629" s="9" t="s">
        <v>47</v>
      </c>
      <c r="C2629" s="9" t="s">
        <v>42455</v>
      </c>
      <c r="D2629" s="9" t="s">
        <v>46064</v>
      </c>
      <c r="E2629" s="61">
        <v>46055.0</v>
      </c>
      <c r="F2629" s="9" t="b">
        <v>1</v>
      </c>
      <c r="G2629" s="9" t="s">
        <v>38801</v>
      </c>
      <c r="H2629" s="9" t="s">
        <v>42576</v>
      </c>
      <c r="I2629" s="9" t="b">
        <v>1</v>
      </c>
    </row>
    <row r="2630" ht="15.75" customHeight="1">
      <c r="A2630" s="9" t="s">
        <v>47071</v>
      </c>
      <c r="B2630" s="9" t="s">
        <v>218</v>
      </c>
      <c r="C2630" s="9" t="s">
        <v>42456</v>
      </c>
      <c r="D2630" s="9" t="s">
        <v>47072</v>
      </c>
      <c r="E2630" s="61">
        <v>46056.0</v>
      </c>
      <c r="F2630" s="9" t="b">
        <v>1</v>
      </c>
      <c r="G2630" s="9" t="s">
        <v>38801</v>
      </c>
      <c r="H2630" s="9" t="s">
        <v>42576</v>
      </c>
      <c r="I2630" s="9" t="b">
        <v>1</v>
      </c>
    </row>
    <row r="2631" ht="15.75" customHeight="1">
      <c r="A2631" s="9" t="s">
        <v>47073</v>
      </c>
      <c r="B2631" s="9" t="s">
        <v>218</v>
      </c>
      <c r="C2631" s="9" t="s">
        <v>42466</v>
      </c>
      <c r="D2631" s="9" t="s">
        <v>47074</v>
      </c>
      <c r="E2631" s="61">
        <v>46056.0</v>
      </c>
      <c r="F2631" s="9" t="b">
        <v>1</v>
      </c>
      <c r="G2631" s="9" t="s">
        <v>38801</v>
      </c>
      <c r="H2631" s="9" t="s">
        <v>42576</v>
      </c>
      <c r="I2631" s="9" t="b">
        <v>1</v>
      </c>
    </row>
    <row r="2632" ht="15.75" customHeight="1">
      <c r="A2632" s="9" t="s">
        <v>47075</v>
      </c>
      <c r="B2632" s="9" t="s">
        <v>218</v>
      </c>
      <c r="C2632" s="9" t="s">
        <v>42437</v>
      </c>
      <c r="D2632" s="9" t="s">
        <v>47076</v>
      </c>
      <c r="E2632" s="61">
        <v>46058.0</v>
      </c>
      <c r="F2632" s="9" t="b">
        <v>1</v>
      </c>
      <c r="G2632" s="9" t="s">
        <v>38801</v>
      </c>
      <c r="H2632" s="9" t="s">
        <v>42576</v>
      </c>
      <c r="I2632" s="9" t="b">
        <v>1</v>
      </c>
    </row>
    <row r="2633" ht="15.75" customHeight="1">
      <c r="A2633" s="9" t="s">
        <v>47077</v>
      </c>
      <c r="B2633" s="9" t="s">
        <v>218</v>
      </c>
      <c r="C2633" s="9" t="s">
        <v>42454</v>
      </c>
      <c r="D2633" s="9" t="s">
        <v>47078</v>
      </c>
      <c r="E2633" s="61">
        <v>46058.0</v>
      </c>
      <c r="F2633" s="9" t="b">
        <v>1</v>
      </c>
      <c r="G2633" s="9" t="s">
        <v>38801</v>
      </c>
      <c r="H2633" s="9" t="s">
        <v>42576</v>
      </c>
      <c r="I2633" s="9" t="b">
        <v>1</v>
      </c>
    </row>
    <row r="2634" ht="15.75" customHeight="1">
      <c r="A2634" s="9" t="s">
        <v>47079</v>
      </c>
      <c r="B2634" s="9" t="s">
        <v>47</v>
      </c>
      <c r="C2634" s="9" t="s">
        <v>42467</v>
      </c>
      <c r="D2634" s="9" t="s">
        <v>44884</v>
      </c>
      <c r="E2634" s="61">
        <v>46058.0</v>
      </c>
      <c r="F2634" s="9" t="b">
        <v>1</v>
      </c>
      <c r="G2634" s="9" t="s">
        <v>38801</v>
      </c>
      <c r="H2634" s="9" t="s">
        <v>42576</v>
      </c>
      <c r="I2634" s="9" t="b">
        <v>1</v>
      </c>
    </row>
    <row r="2635" ht="15.75" customHeight="1">
      <c r="A2635" s="9" t="s">
        <v>47080</v>
      </c>
      <c r="B2635" s="9" t="s">
        <v>47</v>
      </c>
      <c r="C2635" s="9" t="s">
        <v>42470</v>
      </c>
      <c r="D2635" s="9" t="s">
        <v>44884</v>
      </c>
      <c r="E2635" s="61">
        <v>46058.0</v>
      </c>
      <c r="F2635" s="9" t="b">
        <v>1</v>
      </c>
      <c r="G2635" s="9" t="s">
        <v>38801</v>
      </c>
      <c r="H2635" s="9" t="s">
        <v>42560</v>
      </c>
      <c r="I2635" s="9" t="b">
        <v>1</v>
      </c>
    </row>
    <row r="2636" ht="15.75" customHeight="1">
      <c r="A2636" s="9" t="s">
        <v>47081</v>
      </c>
      <c r="B2636" s="9" t="s">
        <v>218</v>
      </c>
      <c r="C2636" s="9" t="s">
        <v>42475</v>
      </c>
      <c r="D2636" s="9" t="s">
        <v>47082</v>
      </c>
      <c r="E2636" s="61">
        <v>46062.0</v>
      </c>
      <c r="F2636" s="9" t="b">
        <v>1</v>
      </c>
      <c r="G2636" s="9" t="s">
        <v>43228</v>
      </c>
      <c r="H2636" s="9" t="s">
        <v>42576</v>
      </c>
      <c r="I2636" s="9"/>
    </row>
    <row r="2637" ht="15.75" customHeight="1">
      <c r="A2637" s="9" t="s">
        <v>47083</v>
      </c>
      <c r="B2637" s="9" t="s">
        <v>47</v>
      </c>
      <c r="C2637" s="9" t="s">
        <v>42474</v>
      </c>
      <c r="D2637" s="9" t="s">
        <v>42560</v>
      </c>
      <c r="E2637" s="61">
        <v>46062.0</v>
      </c>
      <c r="F2637" s="9" t="b">
        <v>1</v>
      </c>
      <c r="G2637" s="9" t="s">
        <v>38801</v>
      </c>
      <c r="H2637" s="9" t="s">
        <v>42576</v>
      </c>
      <c r="I2637" s="9" t="b">
        <v>1</v>
      </c>
    </row>
    <row r="2638" ht="15.75" customHeight="1">
      <c r="A2638" s="9" t="s">
        <v>47084</v>
      </c>
      <c r="B2638" s="9" t="s">
        <v>47</v>
      </c>
      <c r="C2638" s="52" t="s">
        <v>42480</v>
      </c>
      <c r="D2638" s="9" t="s">
        <v>42560</v>
      </c>
      <c r="E2638" s="61">
        <v>46064.0</v>
      </c>
      <c r="F2638" s="9" t="b">
        <v>1</v>
      </c>
      <c r="G2638" s="9" t="s">
        <v>38801</v>
      </c>
      <c r="H2638" s="9" t="s">
        <v>42576</v>
      </c>
      <c r="I2638" s="9" t="b">
        <v>1</v>
      </c>
    </row>
    <row r="2639" ht="15.75" customHeight="1">
      <c r="A2639" s="9" t="s">
        <v>47085</v>
      </c>
      <c r="B2639" s="9" t="s">
        <v>218</v>
      </c>
      <c r="C2639" s="9" t="s">
        <v>42477</v>
      </c>
      <c r="D2639" s="9" t="s">
        <v>47086</v>
      </c>
      <c r="E2639" s="61">
        <v>46064.0</v>
      </c>
      <c r="F2639" s="9" t="b">
        <v>1</v>
      </c>
      <c r="G2639" s="9" t="s">
        <v>42573</v>
      </c>
      <c r="H2639" s="9" t="s">
        <v>42560</v>
      </c>
      <c r="I2639" s="9"/>
    </row>
    <row r="2640" ht="15.75" customHeight="1">
      <c r="A2640" s="9" t="s">
        <v>47087</v>
      </c>
      <c r="B2640" s="9" t="s">
        <v>47</v>
      </c>
      <c r="C2640" s="9" t="s">
        <v>42378</v>
      </c>
      <c r="D2640" s="9" t="s">
        <v>47088</v>
      </c>
      <c r="E2640" s="61">
        <v>46071.0</v>
      </c>
      <c r="F2640" s="9" t="b">
        <v>1</v>
      </c>
      <c r="G2640" s="9" t="s">
        <v>38801</v>
      </c>
      <c r="H2640" s="9" t="s">
        <v>42576</v>
      </c>
      <c r="I2640" s="9" t="b">
        <v>1</v>
      </c>
    </row>
    <row r="2641" ht="15.75" customHeight="1">
      <c r="A2641" s="9" t="s">
        <v>47089</v>
      </c>
      <c r="B2641" s="9" t="s">
        <v>47</v>
      </c>
      <c r="C2641" s="9" t="s">
        <v>42486</v>
      </c>
      <c r="D2641" s="9" t="s">
        <v>47090</v>
      </c>
      <c r="E2641" s="61">
        <v>46072.0</v>
      </c>
      <c r="F2641" s="9" t="b">
        <v>1</v>
      </c>
      <c r="G2641" s="9" t="s">
        <v>43228</v>
      </c>
      <c r="H2641" s="9" t="s">
        <v>42576</v>
      </c>
      <c r="I2641" s="9"/>
    </row>
    <row r="2642" ht="15.75" customHeight="1">
      <c r="A2642" s="9" t="s">
        <v>47091</v>
      </c>
      <c r="B2642" s="9" t="s">
        <v>218</v>
      </c>
      <c r="C2642" s="9" t="s">
        <v>42488</v>
      </c>
      <c r="D2642" s="9" t="s">
        <v>47092</v>
      </c>
      <c r="E2642" s="61">
        <v>46072.0</v>
      </c>
      <c r="F2642" s="9" t="b">
        <v>1</v>
      </c>
      <c r="G2642" s="9" t="s">
        <v>43228</v>
      </c>
      <c r="H2642" s="9" t="s">
        <v>42576</v>
      </c>
      <c r="I2642" s="9"/>
    </row>
    <row r="2643" ht="15.75" customHeight="1">
      <c r="A2643" s="9" t="s">
        <v>47093</v>
      </c>
      <c r="B2643" s="9" t="s">
        <v>218</v>
      </c>
      <c r="C2643" s="9" t="s">
        <v>42478</v>
      </c>
      <c r="D2643" s="9" t="s">
        <v>47094</v>
      </c>
      <c r="E2643" s="61">
        <v>46072.0</v>
      </c>
      <c r="F2643" s="9" t="b">
        <v>1</v>
      </c>
      <c r="G2643" s="9" t="s">
        <v>38801</v>
      </c>
      <c r="H2643" s="9" t="s">
        <v>42576</v>
      </c>
      <c r="I2643" s="9" t="b">
        <v>1</v>
      </c>
    </row>
    <row r="2644" ht="15.75" customHeight="1">
      <c r="A2644" s="9" t="s">
        <v>47095</v>
      </c>
      <c r="B2644" s="9" t="s">
        <v>218</v>
      </c>
      <c r="C2644" s="9" t="s">
        <v>42468</v>
      </c>
      <c r="D2644" s="9" t="s">
        <v>47094</v>
      </c>
      <c r="E2644" s="61">
        <v>46072.0</v>
      </c>
      <c r="F2644" s="9" t="b">
        <v>1</v>
      </c>
      <c r="G2644" s="9" t="s">
        <v>38801</v>
      </c>
      <c r="H2644" s="9" t="s">
        <v>42576</v>
      </c>
      <c r="I2644" s="9" t="b">
        <v>1</v>
      </c>
    </row>
    <row r="2645" ht="15.75" customHeight="1">
      <c r="A2645" s="9" t="s">
        <v>47096</v>
      </c>
      <c r="B2645" s="9" t="s">
        <v>47</v>
      </c>
      <c r="C2645" s="9" t="s">
        <v>42479</v>
      </c>
      <c r="D2645" s="9" t="s">
        <v>42560</v>
      </c>
      <c r="E2645" s="61">
        <v>46092.0</v>
      </c>
      <c r="F2645" s="9" t="b">
        <v>1</v>
      </c>
      <c r="G2645" s="9" t="s">
        <v>38801</v>
      </c>
      <c r="H2645" s="9" t="s">
        <v>42576</v>
      </c>
      <c r="I2645" s="9" t="b">
        <v>1</v>
      </c>
    </row>
    <row r="2646" ht="15.75" customHeight="1">
      <c r="A2646" s="9" t="s">
        <v>47097</v>
      </c>
      <c r="B2646" s="9" t="s">
        <v>47</v>
      </c>
      <c r="C2646" s="9" t="s">
        <v>42482</v>
      </c>
      <c r="D2646" s="9" t="s">
        <v>42560</v>
      </c>
      <c r="E2646" s="61">
        <v>46092.0</v>
      </c>
      <c r="F2646" s="9" t="b">
        <v>1</v>
      </c>
      <c r="G2646" s="9" t="s">
        <v>38801</v>
      </c>
      <c r="H2646" s="9" t="s">
        <v>42576</v>
      </c>
      <c r="I2646" s="9" t="b">
        <v>1</v>
      </c>
    </row>
    <row r="2647" ht="15.75" customHeight="1">
      <c r="A2647" s="9" t="s">
        <v>47098</v>
      </c>
      <c r="B2647" s="9" t="s">
        <v>47</v>
      </c>
      <c r="C2647" s="9" t="s">
        <v>42490</v>
      </c>
      <c r="D2647" s="9" t="s">
        <v>42560</v>
      </c>
      <c r="E2647" s="61">
        <v>46092.0</v>
      </c>
      <c r="F2647" s="9" t="b">
        <v>1</v>
      </c>
      <c r="G2647" s="9" t="s">
        <v>38801</v>
      </c>
      <c r="H2647" s="9" t="s">
        <v>42576</v>
      </c>
      <c r="I2647" s="9" t="b">
        <v>1</v>
      </c>
    </row>
    <row r="2648" ht="15.75" customHeight="1">
      <c r="A2648" s="9" t="s">
        <v>47099</v>
      </c>
      <c r="B2648" s="9" t="s">
        <v>218</v>
      </c>
      <c r="C2648" s="9" t="s">
        <v>42495</v>
      </c>
      <c r="D2648" s="9" t="s">
        <v>43724</v>
      </c>
      <c r="E2648" s="61">
        <v>46098.0</v>
      </c>
      <c r="F2648" s="9" t="b">
        <v>1</v>
      </c>
      <c r="G2648" s="9" t="s">
        <v>38801</v>
      </c>
      <c r="H2648" s="9" t="s">
        <v>42576</v>
      </c>
      <c r="I2648" s="9" t="b">
        <v>1</v>
      </c>
    </row>
    <row r="2649" ht="15.75" customHeight="1">
      <c r="A2649" s="9" t="s">
        <v>47100</v>
      </c>
      <c r="B2649" s="9" t="s">
        <v>218</v>
      </c>
      <c r="C2649" s="9" t="s">
        <v>42488</v>
      </c>
      <c r="D2649" s="9" t="s">
        <v>47101</v>
      </c>
      <c r="E2649" s="61">
        <v>46101.0</v>
      </c>
      <c r="F2649" s="9" t="b">
        <v>1</v>
      </c>
      <c r="G2649" s="9" t="s">
        <v>38801</v>
      </c>
      <c r="H2649" s="9" t="s">
        <v>42576</v>
      </c>
      <c r="I2649" s="9" t="b">
        <v>1</v>
      </c>
    </row>
    <row r="2650" ht="15.75" customHeight="1">
      <c r="A2650" s="9" t="s">
        <v>47102</v>
      </c>
      <c r="B2650" s="9" t="s">
        <v>47</v>
      </c>
      <c r="C2650" s="9" t="s">
        <v>42496</v>
      </c>
      <c r="D2650" s="9" t="s">
        <v>47103</v>
      </c>
      <c r="E2650" s="61">
        <v>46101.0</v>
      </c>
      <c r="F2650" s="9" t="b">
        <v>1</v>
      </c>
      <c r="G2650" s="9" t="s">
        <v>43228</v>
      </c>
      <c r="H2650" s="9" t="s">
        <v>42560</v>
      </c>
      <c r="I2650" s="9"/>
    </row>
  </sheetData>
  <autoFilter ref="$A$1:$AB$2252"/>
  <hyperlinks>
    <hyperlink r:id="rId1" ref="D105"/>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c r="A1" s="133" t="s">
        <v>47104</v>
      </c>
      <c r="B1" s="134" t="s">
        <v>12271</v>
      </c>
      <c r="C1" s="135" t="s">
        <v>12275</v>
      </c>
      <c r="D1" s="133" t="s">
        <v>47105</v>
      </c>
      <c r="E1" s="133" t="s">
        <v>47106</v>
      </c>
      <c r="F1" s="133" t="s">
        <v>286</v>
      </c>
      <c r="G1" s="133" t="s">
        <v>24348</v>
      </c>
      <c r="H1" s="136" t="s">
        <v>9</v>
      </c>
      <c r="I1" s="136" t="s">
        <v>10</v>
      </c>
      <c r="J1" s="136" t="s">
        <v>13</v>
      </c>
      <c r="K1" s="136" t="s">
        <v>42555</v>
      </c>
      <c r="L1" s="136" t="s">
        <v>47107</v>
      </c>
      <c r="M1" s="133"/>
      <c r="N1" s="133"/>
      <c r="O1" s="133"/>
      <c r="P1" s="133"/>
      <c r="Q1" s="133"/>
      <c r="R1" s="133"/>
      <c r="S1" s="133"/>
      <c r="T1" s="133"/>
      <c r="U1" s="133"/>
      <c r="V1" s="133"/>
      <c r="W1" s="133"/>
      <c r="X1" s="133"/>
      <c r="Y1" s="133"/>
      <c r="Z1" s="133"/>
    </row>
    <row r="2">
      <c r="A2" s="5" t="s">
        <v>47108</v>
      </c>
      <c r="C2" s="5" t="s">
        <v>388</v>
      </c>
      <c r="D2" s="5" t="s">
        <v>47106</v>
      </c>
      <c r="E2" s="137" t="s">
        <v>47109</v>
      </c>
      <c r="G2" s="5" t="b">
        <v>1</v>
      </c>
    </row>
    <row r="3">
      <c r="A3" s="9" t="s">
        <v>47110</v>
      </c>
      <c r="C3" s="9" t="s">
        <v>3515</v>
      </c>
      <c r="D3" s="9" t="s">
        <v>286</v>
      </c>
      <c r="F3" s="8" t="s">
        <v>19103</v>
      </c>
    </row>
    <row r="4">
      <c r="A4" s="9" t="s">
        <v>47111</v>
      </c>
      <c r="C4" s="52" t="s">
        <v>20037</v>
      </c>
      <c r="D4" s="9" t="s">
        <v>286</v>
      </c>
      <c r="F4" s="37" t="str">
        <f>HYPERLINK("https://www.airbnb.fr/rooms/41158693?source_impression_id=p3_1627640969_yX8r490QHZTEozC7", "Airbnb")</f>
        <v>Airbnb</v>
      </c>
    </row>
    <row r="5">
      <c r="A5" s="9" t="s">
        <v>47112</v>
      </c>
      <c r="C5" s="9" t="s">
        <v>11887</v>
      </c>
      <c r="D5" s="9" t="s">
        <v>286</v>
      </c>
      <c r="F5" s="37" t="str">
        <f>HYPERLINK("https://www.booking.com/hotel/re/les-alizes.fr.html", "Booking")</f>
        <v>Booking</v>
      </c>
    </row>
    <row r="6">
      <c r="A6" s="9" t="s">
        <v>47113</v>
      </c>
      <c r="C6" s="9" t="s">
        <v>11633</v>
      </c>
      <c r="D6" s="9" t="s">
        <v>47106</v>
      </c>
      <c r="E6" s="52" t="s">
        <v>47114</v>
      </c>
      <c r="F6" s="36" t="str">
        <f>HYPERLINK("", "")</f>
        <v/>
      </c>
    </row>
    <row r="7">
      <c r="A7" s="9" t="s">
        <v>47115</v>
      </c>
      <c r="C7" s="9" t="s">
        <v>5067</v>
      </c>
      <c r="D7" s="9" t="s">
        <v>286</v>
      </c>
      <c r="F7" s="37" t="str">
        <f>HYPERLINK("https://www.kokapatrando-reunion.com/fr/", "https://www.kokapatrando-reunion.com/fr/")</f>
        <v>https://www.kokapatrando-reunion.com/fr/</v>
      </c>
      <c r="G7" s="9" t="b">
        <v>0</v>
      </c>
    </row>
    <row r="8">
      <c r="A8" s="9" t="s">
        <v>47116</v>
      </c>
      <c r="C8" s="9" t="s">
        <v>5067</v>
      </c>
      <c r="D8" s="9" t="s">
        <v>47106</v>
      </c>
      <c r="E8" s="52" t="s">
        <v>25323</v>
      </c>
      <c r="F8" s="36" t="str">
        <f t="shared" ref="F8:F9" si="1">HYPERLINK("", "")</f>
        <v/>
      </c>
    </row>
    <row r="9">
      <c r="A9" s="9" t="s">
        <v>47117</v>
      </c>
      <c r="C9" s="9" t="s">
        <v>5300</v>
      </c>
      <c r="D9" s="9" t="s">
        <v>47106</v>
      </c>
      <c r="E9" s="52" t="s">
        <v>47118</v>
      </c>
      <c r="F9" s="36" t="str">
        <f t="shared" si="1"/>
        <v/>
      </c>
      <c r="G9" s="9" t="b">
        <v>0</v>
      </c>
    </row>
    <row r="10">
      <c r="A10" s="9" t="s">
        <v>47119</v>
      </c>
      <c r="C10" s="9" t="s">
        <v>234</v>
      </c>
      <c r="D10" s="9" t="s">
        <v>286</v>
      </c>
      <c r="F10" s="37" t="str">
        <f>HYPERLINK("https://www.lakazanou-reunion.fr/fr", "https://www.lakazanou-reunion.fr/fr")</f>
        <v>https://www.lakazanou-reunion.fr/fr</v>
      </c>
    </row>
    <row r="11">
      <c r="A11" s="9" t="s">
        <v>47120</v>
      </c>
      <c r="C11" s="9" t="s">
        <v>6269</v>
      </c>
      <c r="D11" s="9" t="s">
        <v>47106</v>
      </c>
      <c r="E11" s="52" t="s">
        <v>20335</v>
      </c>
      <c r="F11" s="36" t="str">
        <f t="shared" ref="F11:F12" si="2">HYPERLINK("", "")</f>
        <v/>
      </c>
      <c r="G11" s="9" t="b">
        <v>1</v>
      </c>
    </row>
    <row r="12">
      <c r="A12" s="9" t="s">
        <v>47121</v>
      </c>
      <c r="C12" s="9" t="s">
        <v>5586</v>
      </c>
      <c r="D12" s="9" t="s">
        <v>47106</v>
      </c>
      <c r="E12" s="52" t="s">
        <v>17531</v>
      </c>
      <c r="F12" s="36" t="str">
        <f t="shared" si="2"/>
        <v/>
      </c>
    </row>
    <row r="13">
      <c r="A13" s="9" t="s">
        <v>47122</v>
      </c>
      <c r="C13" s="9" t="s">
        <v>2029</v>
      </c>
      <c r="D13" s="9" t="s">
        <v>286</v>
      </c>
      <c r="F13" s="37" t="str">
        <f>HYPERLINK("https://book.reunion.fr/fr/hebergements/1205681/case-cardinale-la/details", "reunion.fr")</f>
        <v>reunion.fr</v>
      </c>
    </row>
    <row r="14">
      <c r="A14" s="9" t="s">
        <v>47123</v>
      </c>
      <c r="C14" s="9" t="s">
        <v>565</v>
      </c>
      <c r="D14" s="9" t="s">
        <v>47106</v>
      </c>
      <c r="E14" s="52" t="s">
        <v>19463</v>
      </c>
      <c r="F14" s="36" t="str">
        <f t="shared" ref="F14:F43" si="3">HYPERLINK("", "")</f>
        <v/>
      </c>
      <c r="G14" s="9" t="b">
        <v>1</v>
      </c>
    </row>
    <row r="15">
      <c r="A15" s="9" t="s">
        <v>47124</v>
      </c>
      <c r="C15" s="9" t="s">
        <v>5604</v>
      </c>
      <c r="D15" s="9" t="s">
        <v>47106</v>
      </c>
      <c r="E15" s="52" t="s">
        <v>47125</v>
      </c>
      <c r="F15" s="36" t="str">
        <f t="shared" si="3"/>
        <v/>
      </c>
      <c r="G15" s="9" t="b">
        <v>0</v>
      </c>
    </row>
    <row r="16">
      <c r="A16" s="52" t="s">
        <v>47126</v>
      </c>
      <c r="C16" s="9" t="s">
        <v>10552</v>
      </c>
      <c r="D16" s="9" t="s">
        <v>47106</v>
      </c>
      <c r="E16" s="52" t="s">
        <v>47127</v>
      </c>
      <c r="F16" s="36" t="str">
        <f t="shared" si="3"/>
        <v/>
      </c>
      <c r="G16" s="9" t="b">
        <v>0</v>
      </c>
    </row>
    <row r="17">
      <c r="A17" s="9" t="s">
        <v>47128</v>
      </c>
      <c r="C17" s="9" t="s">
        <v>4193</v>
      </c>
      <c r="D17" s="9" t="s">
        <v>47106</v>
      </c>
      <c r="E17" s="52" t="s">
        <v>16111</v>
      </c>
      <c r="F17" s="36" t="str">
        <f t="shared" si="3"/>
        <v/>
      </c>
      <c r="G17" s="9" t="b">
        <v>0</v>
      </c>
    </row>
    <row r="18">
      <c r="A18" s="9" t="s">
        <v>47129</v>
      </c>
      <c r="C18" s="9" t="s">
        <v>5446</v>
      </c>
      <c r="D18" s="9" t="s">
        <v>47106</v>
      </c>
      <c r="E18" s="52" t="s">
        <v>16111</v>
      </c>
      <c r="F18" s="36" t="str">
        <f t="shared" si="3"/>
        <v/>
      </c>
      <c r="G18" s="9" t="b">
        <v>0</v>
      </c>
    </row>
    <row r="19">
      <c r="A19" s="9" t="s">
        <v>47130</v>
      </c>
      <c r="C19" s="9" t="s">
        <v>7640</v>
      </c>
      <c r="D19" s="9" t="s">
        <v>47106</v>
      </c>
      <c r="E19" s="52" t="s">
        <v>13742</v>
      </c>
      <c r="F19" s="36" t="str">
        <f t="shared" si="3"/>
        <v/>
      </c>
      <c r="G19" s="9" t="b">
        <v>0</v>
      </c>
    </row>
    <row r="20">
      <c r="A20" s="9" t="s">
        <v>47131</v>
      </c>
      <c r="C20" s="9" t="s">
        <v>9583</v>
      </c>
      <c r="D20" s="9" t="s">
        <v>47106</v>
      </c>
      <c r="E20" s="52" t="s">
        <v>47132</v>
      </c>
      <c r="F20" s="36" t="str">
        <f t="shared" si="3"/>
        <v/>
      </c>
      <c r="G20" s="9" t="b">
        <v>1</v>
      </c>
    </row>
    <row r="21" ht="15.75" customHeight="1">
      <c r="A21" s="9" t="s">
        <v>47133</v>
      </c>
      <c r="C21" s="9" t="s">
        <v>10238</v>
      </c>
      <c r="D21" s="9" t="s">
        <v>47106</v>
      </c>
      <c r="E21" s="52" t="s">
        <v>47134</v>
      </c>
      <c r="F21" s="36" t="str">
        <f t="shared" si="3"/>
        <v/>
      </c>
    </row>
    <row r="22" ht="15.75" customHeight="1">
      <c r="A22" s="9" t="s">
        <v>47135</v>
      </c>
      <c r="C22" s="9" t="s">
        <v>10432</v>
      </c>
      <c r="D22" s="9" t="s">
        <v>47106</v>
      </c>
      <c r="E22" s="52" t="s">
        <v>47136</v>
      </c>
      <c r="F22" s="36" t="str">
        <f t="shared" si="3"/>
        <v/>
      </c>
      <c r="G22" s="9" t="b">
        <v>0</v>
      </c>
    </row>
    <row r="23" ht="15.75" customHeight="1">
      <c r="A23" s="9" t="s">
        <v>47137</v>
      </c>
      <c r="C23" s="9" t="s">
        <v>254</v>
      </c>
      <c r="D23" s="9" t="s">
        <v>47106</v>
      </c>
      <c r="E23" s="52" t="s">
        <v>47138</v>
      </c>
      <c r="F23" s="36" t="str">
        <f t="shared" si="3"/>
        <v/>
      </c>
      <c r="G23" s="9" t="b">
        <v>0</v>
      </c>
    </row>
    <row r="24" ht="15.75" customHeight="1">
      <c r="A24" s="9" t="s">
        <v>47139</v>
      </c>
      <c r="C24" s="9" t="s">
        <v>6411</v>
      </c>
      <c r="D24" s="9" t="s">
        <v>47106</v>
      </c>
      <c r="E24" s="52" t="s">
        <v>47140</v>
      </c>
      <c r="F24" s="36" t="str">
        <f t="shared" si="3"/>
        <v/>
      </c>
      <c r="G24" s="9" t="b">
        <v>1</v>
      </c>
    </row>
    <row r="25" ht="15.75" customHeight="1">
      <c r="A25" s="9" t="s">
        <v>47141</v>
      </c>
      <c r="C25" s="9" t="s">
        <v>4176</v>
      </c>
      <c r="D25" s="9" t="s">
        <v>47106</v>
      </c>
      <c r="E25" s="52" t="s">
        <v>47142</v>
      </c>
      <c r="F25" s="36" t="str">
        <f t="shared" si="3"/>
        <v/>
      </c>
      <c r="G25" s="9" t="b">
        <v>0</v>
      </c>
    </row>
    <row r="26" ht="15.75" customHeight="1">
      <c r="A26" s="9" t="s">
        <v>47143</v>
      </c>
      <c r="C26" s="9" t="s">
        <v>266</v>
      </c>
      <c r="D26" s="9" t="s">
        <v>47106</v>
      </c>
      <c r="E26" s="52" t="s">
        <v>47144</v>
      </c>
      <c r="F26" s="36" t="str">
        <f t="shared" si="3"/>
        <v/>
      </c>
      <c r="G26" s="9" t="b">
        <v>0</v>
      </c>
    </row>
    <row r="27" ht="15.75" customHeight="1">
      <c r="A27" s="9" t="s">
        <v>47145</v>
      </c>
      <c r="C27" s="9" t="s">
        <v>266</v>
      </c>
      <c r="D27" s="9" t="s">
        <v>47106</v>
      </c>
      <c r="E27" s="52" t="s">
        <v>47146</v>
      </c>
      <c r="F27" s="36" t="str">
        <f t="shared" si="3"/>
        <v/>
      </c>
      <c r="G27" s="9" t="b">
        <v>0</v>
      </c>
    </row>
    <row r="28" ht="15.75" customHeight="1">
      <c r="A28" s="9" t="s">
        <v>47147</v>
      </c>
      <c r="C28" s="9" t="s">
        <v>8502</v>
      </c>
      <c r="D28" s="9" t="s">
        <v>47106</v>
      </c>
      <c r="E28" s="52" t="s">
        <v>47148</v>
      </c>
      <c r="F28" s="36" t="str">
        <f t="shared" si="3"/>
        <v/>
      </c>
      <c r="G28" s="9" t="b">
        <v>1</v>
      </c>
      <c r="H28" s="9" t="s">
        <v>27127</v>
      </c>
      <c r="I28" s="9" t="s">
        <v>26714</v>
      </c>
      <c r="K28" s="9" t="s">
        <v>47149</v>
      </c>
    </row>
    <row r="29" ht="15.75" customHeight="1">
      <c r="A29" s="9" t="s">
        <v>47150</v>
      </c>
      <c r="C29" s="9" t="s">
        <v>10141</v>
      </c>
      <c r="D29" s="9" t="s">
        <v>47106</v>
      </c>
      <c r="E29" s="52" t="s">
        <v>25380</v>
      </c>
      <c r="F29" s="36" t="str">
        <f t="shared" si="3"/>
        <v/>
      </c>
      <c r="G29" s="9" t="b">
        <v>0</v>
      </c>
    </row>
    <row r="30" ht="15.75" customHeight="1">
      <c r="A30" s="9" t="s">
        <v>47151</v>
      </c>
      <c r="C30" s="9" t="s">
        <v>249</v>
      </c>
      <c r="D30" s="9" t="s">
        <v>47106</v>
      </c>
      <c r="E30" s="52" t="s">
        <v>14684</v>
      </c>
      <c r="F30" s="36" t="str">
        <f t="shared" si="3"/>
        <v/>
      </c>
      <c r="G30" s="9" t="b">
        <v>1</v>
      </c>
    </row>
    <row r="31" ht="15.75" customHeight="1">
      <c r="A31" s="9" t="s">
        <v>47152</v>
      </c>
      <c r="C31" s="9" t="s">
        <v>7145</v>
      </c>
      <c r="D31" s="9" t="s">
        <v>47106</v>
      </c>
      <c r="E31" s="52" t="s">
        <v>47153</v>
      </c>
      <c r="F31" s="36" t="str">
        <f t="shared" si="3"/>
        <v/>
      </c>
    </row>
    <row r="32" ht="15.75" customHeight="1">
      <c r="A32" s="9" t="s">
        <v>47154</v>
      </c>
      <c r="C32" s="9" t="s">
        <v>862</v>
      </c>
      <c r="D32" s="9" t="s">
        <v>47106</v>
      </c>
      <c r="E32" s="52" t="s">
        <v>47155</v>
      </c>
      <c r="F32" s="36" t="str">
        <f t="shared" si="3"/>
        <v/>
      </c>
    </row>
    <row r="33" ht="15.75" customHeight="1">
      <c r="A33" s="9" t="s">
        <v>47156</v>
      </c>
      <c r="C33" s="9" t="s">
        <v>9329</v>
      </c>
      <c r="D33" s="9" t="s">
        <v>47106</v>
      </c>
      <c r="E33" s="52" t="s">
        <v>47157</v>
      </c>
      <c r="F33" s="36" t="str">
        <f t="shared" si="3"/>
        <v/>
      </c>
    </row>
    <row r="34" ht="15.75" customHeight="1">
      <c r="A34" s="9" t="s">
        <v>47158</v>
      </c>
      <c r="C34" s="9" t="s">
        <v>6908</v>
      </c>
      <c r="D34" s="9" t="s">
        <v>47106</v>
      </c>
      <c r="E34" s="52" t="s">
        <v>47159</v>
      </c>
      <c r="F34" s="36" t="str">
        <f t="shared" si="3"/>
        <v/>
      </c>
    </row>
    <row r="35" ht="15.75" customHeight="1">
      <c r="A35" s="9" t="s">
        <v>47160</v>
      </c>
      <c r="C35" s="9" t="s">
        <v>2181</v>
      </c>
      <c r="D35" s="9" t="s">
        <v>47106</v>
      </c>
      <c r="E35" s="52" t="s">
        <v>17819</v>
      </c>
      <c r="F35" s="36" t="str">
        <f t="shared" si="3"/>
        <v/>
      </c>
    </row>
    <row r="36" ht="15.75" customHeight="1">
      <c r="A36" s="9" t="s">
        <v>47161</v>
      </c>
      <c r="C36" s="9" t="s">
        <v>2568</v>
      </c>
      <c r="D36" s="9" t="s">
        <v>47106</v>
      </c>
      <c r="E36" s="52" t="s">
        <v>17735</v>
      </c>
      <c r="F36" s="36" t="str">
        <f t="shared" si="3"/>
        <v/>
      </c>
    </row>
    <row r="37" ht="15.75" customHeight="1">
      <c r="A37" s="9" t="s">
        <v>47162</v>
      </c>
      <c r="C37" s="9" t="s">
        <v>7001</v>
      </c>
      <c r="D37" s="9" t="s">
        <v>47106</v>
      </c>
      <c r="E37" s="52" t="s">
        <v>47163</v>
      </c>
      <c r="F37" s="36" t="str">
        <f t="shared" si="3"/>
        <v/>
      </c>
    </row>
    <row r="38" ht="15.75" customHeight="1">
      <c r="A38" s="9" t="s">
        <v>47164</v>
      </c>
      <c r="C38" s="9" t="s">
        <v>7001</v>
      </c>
      <c r="D38" s="9" t="s">
        <v>47106</v>
      </c>
      <c r="E38" s="52" t="s">
        <v>18676</v>
      </c>
      <c r="F38" s="36" t="str">
        <f t="shared" si="3"/>
        <v/>
      </c>
    </row>
    <row r="39" ht="15.75" customHeight="1">
      <c r="A39" s="9" t="s">
        <v>47165</v>
      </c>
      <c r="C39" s="9" t="s">
        <v>3079</v>
      </c>
      <c r="D39" s="9" t="s">
        <v>47106</v>
      </c>
      <c r="E39" s="52" t="s">
        <v>47166</v>
      </c>
      <c r="F39" s="36" t="str">
        <f t="shared" si="3"/>
        <v/>
      </c>
    </row>
    <row r="40" ht="15.75" customHeight="1">
      <c r="A40" s="9" t="s">
        <v>47167</v>
      </c>
      <c r="C40" s="9" t="s">
        <v>2736</v>
      </c>
      <c r="D40" s="9" t="s">
        <v>47106</v>
      </c>
      <c r="E40" s="52" t="s">
        <v>47168</v>
      </c>
      <c r="F40" s="36" t="str">
        <f t="shared" si="3"/>
        <v/>
      </c>
    </row>
    <row r="41" ht="15.75" customHeight="1">
      <c r="A41" s="9" t="s">
        <v>47169</v>
      </c>
      <c r="C41" s="9" t="s">
        <v>246</v>
      </c>
      <c r="D41" s="9" t="s">
        <v>47106</v>
      </c>
      <c r="E41" s="52" t="s">
        <v>17020</v>
      </c>
      <c r="F41" s="36" t="str">
        <f t="shared" si="3"/>
        <v/>
      </c>
    </row>
    <row r="42" ht="15.75" customHeight="1">
      <c r="A42" s="9" t="s">
        <v>47170</v>
      </c>
      <c r="C42" s="9" t="s">
        <v>3963</v>
      </c>
      <c r="D42" s="9" t="s">
        <v>47106</v>
      </c>
      <c r="E42" s="52" t="s">
        <v>17020</v>
      </c>
      <c r="F42" s="36" t="str">
        <f t="shared" si="3"/>
        <v/>
      </c>
    </row>
    <row r="43" ht="15.75" customHeight="1">
      <c r="A43" s="9" t="s">
        <v>47171</v>
      </c>
      <c r="C43" s="9" t="s">
        <v>3129</v>
      </c>
      <c r="D43" s="9" t="s">
        <v>47106</v>
      </c>
      <c r="E43" s="52" t="s">
        <v>47172</v>
      </c>
      <c r="F43" s="36" t="str">
        <f t="shared" si="3"/>
        <v/>
      </c>
      <c r="H43" s="9" t="s">
        <v>47173</v>
      </c>
      <c r="I43" s="9" t="s">
        <v>26751</v>
      </c>
      <c r="J43" s="9" t="s">
        <v>24390</v>
      </c>
    </row>
    <row r="44" ht="15.75" customHeight="1">
      <c r="A44" s="9"/>
      <c r="C44" s="9"/>
      <c r="D44" s="9"/>
      <c r="E44" s="9"/>
      <c r="G44" s="9"/>
      <c r="H44" s="9"/>
      <c r="I44" s="9"/>
      <c r="J44" s="9"/>
      <c r="K44" s="9"/>
    </row>
    <row r="45" ht="15.75" customHeight="1">
      <c r="A45" s="9"/>
      <c r="C45" s="9"/>
      <c r="D45" s="9"/>
      <c r="E45" s="9"/>
      <c r="G45" s="9"/>
      <c r="H45" s="9"/>
      <c r="I45" s="9"/>
      <c r="J45" s="9"/>
      <c r="K45" s="9"/>
    </row>
    <row r="46" ht="15.75" customHeight="1">
      <c r="A46" s="9"/>
      <c r="C46" s="9"/>
      <c r="D46" s="9"/>
      <c r="H46" s="9"/>
      <c r="I46" s="9"/>
      <c r="J46" s="9"/>
      <c r="L46" s="9"/>
    </row>
    <row r="47" ht="15.75" customHeight="1">
      <c r="A47" s="9" t="s">
        <v>47174</v>
      </c>
      <c r="C47" s="9" t="s">
        <v>11861</v>
      </c>
      <c r="D47" s="9" t="s">
        <v>47106</v>
      </c>
      <c r="E47" s="52" t="s">
        <v>47175</v>
      </c>
      <c r="F47" s="36" t="str">
        <f t="shared" ref="F47:F48" si="4">HYPERLINK("", "")</f>
        <v/>
      </c>
      <c r="G47" s="9" t="b">
        <v>0</v>
      </c>
      <c r="H47" s="9" t="s">
        <v>47176</v>
      </c>
      <c r="I47" s="9" t="s">
        <v>47177</v>
      </c>
      <c r="J47" s="9" t="s">
        <v>24335</v>
      </c>
      <c r="K47" s="9" t="s">
        <v>47178</v>
      </c>
    </row>
    <row r="48" ht="15.75" customHeight="1">
      <c r="A48" s="9" t="s">
        <v>47179</v>
      </c>
      <c r="C48" s="9" t="s">
        <v>11866</v>
      </c>
      <c r="D48" s="9" t="s">
        <v>47106</v>
      </c>
      <c r="E48" s="52" t="s">
        <v>47180</v>
      </c>
      <c r="F48" s="36" t="str">
        <f t="shared" si="4"/>
        <v/>
      </c>
      <c r="G48" s="9" t="b">
        <v>0</v>
      </c>
      <c r="H48" s="9" t="s">
        <v>47181</v>
      </c>
      <c r="I48" s="9" t="s">
        <v>47182</v>
      </c>
      <c r="J48" s="9" t="s">
        <v>47183</v>
      </c>
      <c r="K48" s="9" t="s">
        <v>47184</v>
      </c>
    </row>
    <row r="49" ht="15.75" customHeight="1">
      <c r="A49" s="9"/>
      <c r="C49" s="9"/>
      <c r="D49" s="9"/>
      <c r="E49" s="9"/>
      <c r="G49" s="9"/>
      <c r="H49" s="9"/>
      <c r="I49" s="9"/>
      <c r="J49" s="9"/>
      <c r="K49" s="9"/>
    </row>
    <row r="50" ht="15.75" customHeight="1">
      <c r="A50" s="9"/>
      <c r="C50" s="9"/>
      <c r="D50" s="9"/>
      <c r="H50" s="9"/>
      <c r="I50" s="9"/>
      <c r="J50" s="9"/>
      <c r="L50" s="9"/>
    </row>
    <row r="51" ht="15.75" customHeight="1">
      <c r="A51" s="9" t="s">
        <v>47185</v>
      </c>
      <c r="C51" s="9" t="s">
        <v>9237</v>
      </c>
      <c r="D51" s="9" t="s">
        <v>47106</v>
      </c>
      <c r="E51" s="52" t="s">
        <v>47186</v>
      </c>
      <c r="F51" s="36" t="str">
        <f t="shared" ref="F51:F92" si="5">HYPERLINK("", "")</f>
        <v/>
      </c>
      <c r="G51" s="9" t="b">
        <v>0</v>
      </c>
      <c r="H51" s="9" t="s">
        <v>47187</v>
      </c>
      <c r="I51" s="9" t="s">
        <v>27367</v>
      </c>
      <c r="J51" s="9" t="s">
        <v>24335</v>
      </c>
    </row>
    <row r="52" ht="15.75" customHeight="1">
      <c r="A52" s="9" t="s">
        <v>47188</v>
      </c>
      <c r="C52" s="9" t="s">
        <v>9054</v>
      </c>
      <c r="D52" s="9" t="s">
        <v>47106</v>
      </c>
      <c r="E52" s="52" t="s">
        <v>47186</v>
      </c>
      <c r="F52" s="36" t="str">
        <f t="shared" si="5"/>
        <v/>
      </c>
      <c r="G52" s="9" t="b">
        <v>0</v>
      </c>
      <c r="H52" s="9" t="s">
        <v>47187</v>
      </c>
      <c r="I52" s="9" t="s">
        <v>27367</v>
      </c>
      <c r="J52" s="9" t="s">
        <v>24335</v>
      </c>
    </row>
    <row r="53" ht="15.75" customHeight="1">
      <c r="A53" s="9" t="s">
        <v>47189</v>
      </c>
      <c r="C53" s="9" t="s">
        <v>8993</v>
      </c>
      <c r="D53" s="9" t="s">
        <v>47107</v>
      </c>
      <c r="F53" s="36" t="str">
        <f t="shared" si="5"/>
        <v/>
      </c>
      <c r="L53" s="9" t="s">
        <v>47190</v>
      </c>
    </row>
    <row r="54" ht="15.75" customHeight="1">
      <c r="A54" s="9" t="s">
        <v>47191</v>
      </c>
      <c r="C54" s="9" t="s">
        <v>11864</v>
      </c>
      <c r="D54" s="9" t="s">
        <v>47107</v>
      </c>
      <c r="F54" s="36" t="str">
        <f t="shared" si="5"/>
        <v/>
      </c>
      <c r="L54" s="9" t="s">
        <v>26161</v>
      </c>
    </row>
    <row r="55" ht="15.75" customHeight="1">
      <c r="A55" s="9" t="s">
        <v>47192</v>
      </c>
      <c r="C55" s="9" t="s">
        <v>11992</v>
      </c>
      <c r="D55" s="9" t="s">
        <v>47106</v>
      </c>
      <c r="E55" s="52" t="s">
        <v>47186</v>
      </c>
      <c r="F55" s="36" t="str">
        <f t="shared" si="5"/>
        <v/>
      </c>
      <c r="G55" s="9" t="b">
        <v>1</v>
      </c>
      <c r="H55" s="9" t="s">
        <v>47187</v>
      </c>
      <c r="I55" s="9" t="s">
        <v>27367</v>
      </c>
      <c r="J55" s="9" t="s">
        <v>24335</v>
      </c>
    </row>
    <row r="56" ht="15.75" customHeight="1">
      <c r="A56" s="9" t="s">
        <v>47193</v>
      </c>
      <c r="C56" s="9" t="s">
        <v>1919</v>
      </c>
      <c r="D56" s="9" t="s">
        <v>47107</v>
      </c>
      <c r="F56" s="36" t="str">
        <f t="shared" si="5"/>
        <v/>
      </c>
      <c r="L56" s="9" t="s">
        <v>47194</v>
      </c>
    </row>
    <row r="57" ht="15.75" customHeight="1">
      <c r="A57" s="9" t="s">
        <v>47195</v>
      </c>
      <c r="C57" s="9" t="s">
        <v>5728</v>
      </c>
      <c r="D57" s="9" t="s">
        <v>47107</v>
      </c>
      <c r="F57" s="36" t="str">
        <f t="shared" si="5"/>
        <v/>
      </c>
      <c r="L57" s="9" t="s">
        <v>47196</v>
      </c>
    </row>
    <row r="58" ht="15.75" customHeight="1">
      <c r="A58" s="9" t="s">
        <v>47197</v>
      </c>
      <c r="C58" s="9" t="s">
        <v>11979</v>
      </c>
      <c r="D58" s="9" t="s">
        <v>47107</v>
      </c>
      <c r="F58" s="36" t="str">
        <f t="shared" si="5"/>
        <v/>
      </c>
      <c r="H58" s="9" t="s">
        <v>47198</v>
      </c>
      <c r="I58" s="9" t="s">
        <v>47199</v>
      </c>
      <c r="L58" s="9" t="s">
        <v>17790</v>
      </c>
    </row>
    <row r="59" ht="15.75" customHeight="1">
      <c r="A59" s="9" t="s">
        <v>47200</v>
      </c>
      <c r="C59" s="9" t="s">
        <v>11979</v>
      </c>
      <c r="D59" s="9" t="s">
        <v>47106</v>
      </c>
      <c r="E59" s="52" t="s">
        <v>47201</v>
      </c>
      <c r="F59" s="36" t="str">
        <f t="shared" si="5"/>
        <v/>
      </c>
      <c r="G59" s="9" t="b">
        <v>0</v>
      </c>
      <c r="H59" s="9" t="s">
        <v>47198</v>
      </c>
      <c r="I59" s="9" t="s">
        <v>47199</v>
      </c>
    </row>
    <row r="60" ht="15.75" customHeight="1">
      <c r="A60" s="9" t="s">
        <v>47202</v>
      </c>
      <c r="C60" s="9" t="s">
        <v>4821</v>
      </c>
      <c r="D60" s="9" t="s">
        <v>47106</v>
      </c>
      <c r="E60" s="52" t="s">
        <v>47203</v>
      </c>
      <c r="F60" s="36" t="str">
        <f t="shared" si="5"/>
        <v/>
      </c>
      <c r="G60" s="9" t="b">
        <v>1</v>
      </c>
    </row>
    <row r="61" ht="15.75" customHeight="1">
      <c r="A61" s="9" t="s">
        <v>47204</v>
      </c>
      <c r="C61" s="9" t="s">
        <v>10664</v>
      </c>
      <c r="D61" s="9" t="s">
        <v>47106</v>
      </c>
      <c r="E61" s="52" t="s">
        <v>47205</v>
      </c>
      <c r="F61" s="36" t="str">
        <f t="shared" si="5"/>
        <v/>
      </c>
      <c r="G61" s="9" t="b">
        <v>0</v>
      </c>
      <c r="H61" s="9" t="s">
        <v>26132</v>
      </c>
      <c r="I61" s="9" t="s">
        <v>24640</v>
      </c>
    </row>
    <row r="62" ht="15.75" customHeight="1">
      <c r="A62" s="9" t="s">
        <v>47206</v>
      </c>
      <c r="C62" s="9" t="s">
        <v>12207</v>
      </c>
      <c r="D62" s="9" t="s">
        <v>47107</v>
      </c>
      <c r="F62" s="36" t="str">
        <f t="shared" si="5"/>
        <v/>
      </c>
      <c r="K62" s="9" t="s">
        <v>47207</v>
      </c>
      <c r="L62" s="9" t="s">
        <v>47208</v>
      </c>
    </row>
    <row r="63" ht="15.75" customHeight="1">
      <c r="A63" s="9" t="s">
        <v>47209</v>
      </c>
      <c r="C63" s="9" t="s">
        <v>9703</v>
      </c>
      <c r="D63" s="9" t="s">
        <v>47106</v>
      </c>
      <c r="E63" s="52" t="s">
        <v>13527</v>
      </c>
      <c r="F63" s="36" t="str">
        <f t="shared" si="5"/>
        <v/>
      </c>
      <c r="G63" s="9" t="b">
        <v>0</v>
      </c>
    </row>
    <row r="64" ht="15.75" customHeight="1">
      <c r="A64" s="9" t="s">
        <v>47210</v>
      </c>
      <c r="C64" s="9" t="s">
        <v>3638</v>
      </c>
      <c r="D64" s="9" t="s">
        <v>47106</v>
      </c>
      <c r="E64" s="52" t="s">
        <v>47211</v>
      </c>
      <c r="F64" s="36" t="str">
        <f t="shared" si="5"/>
        <v/>
      </c>
      <c r="G64" s="9" t="b">
        <v>0</v>
      </c>
      <c r="H64" s="9" t="s">
        <v>47212</v>
      </c>
    </row>
    <row r="65" ht="15.75" customHeight="1">
      <c r="A65" s="9" t="s">
        <v>47213</v>
      </c>
      <c r="C65" s="9" t="s">
        <v>942</v>
      </c>
      <c r="D65" s="9" t="s">
        <v>47106</v>
      </c>
      <c r="E65" s="52" t="s">
        <v>47214</v>
      </c>
      <c r="F65" s="36" t="str">
        <f t="shared" si="5"/>
        <v/>
      </c>
      <c r="G65" s="9" t="b">
        <v>0</v>
      </c>
      <c r="H65" s="9" t="s">
        <v>24395</v>
      </c>
      <c r="I65" s="9" t="s">
        <v>25139</v>
      </c>
    </row>
    <row r="66" ht="15.75" customHeight="1">
      <c r="A66" s="9" t="s">
        <v>47215</v>
      </c>
      <c r="C66" s="9" t="s">
        <v>6433</v>
      </c>
      <c r="D66" s="9" t="s">
        <v>47106</v>
      </c>
      <c r="E66" s="52" t="s">
        <v>17428</v>
      </c>
      <c r="F66" s="36" t="str">
        <f t="shared" si="5"/>
        <v/>
      </c>
    </row>
    <row r="67" ht="15.75" customHeight="1">
      <c r="A67" s="9" t="s">
        <v>47216</v>
      </c>
      <c r="C67" s="9" t="s">
        <v>942</v>
      </c>
      <c r="D67" s="9" t="s">
        <v>47107</v>
      </c>
      <c r="F67" s="36" t="str">
        <f t="shared" si="5"/>
        <v/>
      </c>
      <c r="H67" s="9" t="s">
        <v>24395</v>
      </c>
      <c r="I67" s="9" t="s">
        <v>47217</v>
      </c>
      <c r="J67" s="9" t="s">
        <v>47218</v>
      </c>
      <c r="K67" s="9" t="s">
        <v>47219</v>
      </c>
      <c r="L67" s="9" t="s">
        <v>47220</v>
      </c>
    </row>
    <row r="68" ht="15.75" customHeight="1">
      <c r="A68" s="9" t="s">
        <v>47221</v>
      </c>
      <c r="C68" s="9" t="s">
        <v>11731</v>
      </c>
      <c r="D68" s="9" t="s">
        <v>47107</v>
      </c>
      <c r="F68" s="36" t="str">
        <f t="shared" si="5"/>
        <v/>
      </c>
      <c r="L68" s="9" t="s">
        <v>47222</v>
      </c>
    </row>
    <row r="69" ht="15.75" customHeight="1">
      <c r="A69" s="9" t="s">
        <v>47223</v>
      </c>
      <c r="C69" s="9" t="s">
        <v>3810</v>
      </c>
      <c r="D69" s="9" t="s">
        <v>47107</v>
      </c>
      <c r="F69" s="36" t="str">
        <f t="shared" si="5"/>
        <v/>
      </c>
      <c r="K69" s="9" t="s">
        <v>47224</v>
      </c>
      <c r="L69" s="9" t="s">
        <v>47225</v>
      </c>
    </row>
    <row r="70" ht="15.75" customHeight="1">
      <c r="A70" s="9" t="s">
        <v>47226</v>
      </c>
      <c r="C70" s="9" t="s">
        <v>8439</v>
      </c>
      <c r="D70" s="9" t="s">
        <v>47106</v>
      </c>
      <c r="E70" s="52" t="s">
        <v>16495</v>
      </c>
      <c r="F70" s="36" t="str">
        <f t="shared" si="5"/>
        <v/>
      </c>
      <c r="H70" s="9" t="s">
        <v>47227</v>
      </c>
    </row>
    <row r="71" ht="15.75" customHeight="1">
      <c r="A71" s="9" t="s">
        <v>47228</v>
      </c>
      <c r="C71" s="9" t="s">
        <v>11621</v>
      </c>
      <c r="D71" s="9" t="s">
        <v>47106</v>
      </c>
      <c r="E71" s="52" t="s">
        <v>47229</v>
      </c>
      <c r="F71" s="36" t="str">
        <f t="shared" si="5"/>
        <v/>
      </c>
      <c r="G71" s="9" t="b">
        <v>0</v>
      </c>
      <c r="H71" s="9" t="s">
        <v>47230</v>
      </c>
      <c r="J71" s="9" t="s">
        <v>47231</v>
      </c>
    </row>
    <row r="72" ht="15.75" customHeight="1">
      <c r="A72" s="9" t="s">
        <v>47232</v>
      </c>
      <c r="C72" s="9" t="s">
        <v>10679</v>
      </c>
      <c r="D72" s="9" t="s">
        <v>47106</v>
      </c>
      <c r="E72" s="52" t="s">
        <v>47233</v>
      </c>
      <c r="F72" s="36" t="str">
        <f t="shared" si="5"/>
        <v/>
      </c>
      <c r="G72" s="9" t="b">
        <v>0</v>
      </c>
      <c r="H72" s="9" t="s">
        <v>47234</v>
      </c>
      <c r="I72" s="9" t="s">
        <v>25264</v>
      </c>
    </row>
    <row r="73" ht="15.75" customHeight="1">
      <c r="A73" s="9" t="s">
        <v>47235</v>
      </c>
      <c r="C73" s="9" t="s">
        <v>10518</v>
      </c>
      <c r="D73" s="9" t="s">
        <v>47106</v>
      </c>
      <c r="E73" s="52" t="s">
        <v>47236</v>
      </c>
      <c r="F73" s="36" t="str">
        <f t="shared" si="5"/>
        <v/>
      </c>
      <c r="G73" s="9" t="b">
        <v>0</v>
      </c>
      <c r="H73" s="9" t="s">
        <v>47237</v>
      </c>
    </row>
    <row r="74" ht="15.75" customHeight="1">
      <c r="A74" s="9" t="s">
        <v>47238</v>
      </c>
      <c r="C74" s="9" t="s">
        <v>10488</v>
      </c>
      <c r="D74" s="9" t="s">
        <v>47106</v>
      </c>
      <c r="E74" s="52" t="s">
        <v>47239</v>
      </c>
      <c r="F74" s="36" t="str">
        <f t="shared" si="5"/>
        <v/>
      </c>
      <c r="G74" s="9" t="b">
        <v>0</v>
      </c>
      <c r="H74" s="9" t="s">
        <v>47176</v>
      </c>
      <c r="I74" s="9" t="s">
        <v>25010</v>
      </c>
      <c r="J74" s="9" t="s">
        <v>47240</v>
      </c>
    </row>
    <row r="75" ht="15.75" customHeight="1">
      <c r="A75" s="9" t="s">
        <v>47241</v>
      </c>
      <c r="C75" s="9" t="s">
        <v>10709</v>
      </c>
      <c r="D75" s="9" t="s">
        <v>47106</v>
      </c>
      <c r="E75" s="52" t="s">
        <v>47242</v>
      </c>
      <c r="F75" s="36" t="str">
        <f t="shared" si="5"/>
        <v/>
      </c>
    </row>
    <row r="76" ht="15.75" customHeight="1">
      <c r="A76" s="9" t="s">
        <v>47243</v>
      </c>
      <c r="C76" s="9" t="s">
        <v>10475</v>
      </c>
      <c r="D76" s="9" t="s">
        <v>47106</v>
      </c>
      <c r="E76" s="52" t="s">
        <v>47244</v>
      </c>
      <c r="F76" s="36" t="str">
        <f t="shared" si="5"/>
        <v/>
      </c>
    </row>
    <row r="77" ht="15.75" customHeight="1">
      <c r="A77" s="9" t="s">
        <v>47245</v>
      </c>
      <c r="C77" s="9" t="s">
        <v>11921</v>
      </c>
      <c r="D77" s="9" t="s">
        <v>47106</v>
      </c>
      <c r="E77" s="52" t="s">
        <v>47244</v>
      </c>
      <c r="F77" s="36" t="str">
        <f t="shared" si="5"/>
        <v/>
      </c>
    </row>
    <row r="78" ht="15.75" customHeight="1">
      <c r="A78" s="9" t="s">
        <v>47246</v>
      </c>
      <c r="C78" s="9" t="s">
        <v>8502</v>
      </c>
      <c r="D78" s="9" t="s">
        <v>47106</v>
      </c>
      <c r="E78" s="52" t="s">
        <v>25553</v>
      </c>
      <c r="F78" s="36" t="str">
        <f t="shared" si="5"/>
        <v/>
      </c>
      <c r="H78" s="9" t="s">
        <v>27127</v>
      </c>
      <c r="I78" s="9" t="s">
        <v>24514</v>
      </c>
      <c r="K78" s="9" t="s">
        <v>47247</v>
      </c>
    </row>
    <row r="79" ht="15.75" customHeight="1">
      <c r="A79" s="9" t="s">
        <v>47248</v>
      </c>
      <c r="C79" s="9" t="s">
        <v>8578</v>
      </c>
      <c r="D79" s="9" t="s">
        <v>47107</v>
      </c>
      <c r="F79" s="36" t="str">
        <f t="shared" si="5"/>
        <v/>
      </c>
      <c r="H79" s="9" t="s">
        <v>47249</v>
      </c>
      <c r="I79" s="9" t="s">
        <v>25226</v>
      </c>
      <c r="J79" s="9" t="s">
        <v>47240</v>
      </c>
      <c r="K79" s="9" t="s">
        <v>47250</v>
      </c>
      <c r="L79" s="9" t="s">
        <v>47251</v>
      </c>
    </row>
    <row r="80" ht="15.75" customHeight="1">
      <c r="A80" s="9" t="s">
        <v>47252</v>
      </c>
      <c r="C80" s="9" t="s">
        <v>8578</v>
      </c>
      <c r="D80" s="9" t="s">
        <v>47106</v>
      </c>
      <c r="E80" s="52" t="s">
        <v>47253</v>
      </c>
      <c r="F80" s="36" t="str">
        <f t="shared" si="5"/>
        <v/>
      </c>
      <c r="G80" s="9" t="b">
        <v>0</v>
      </c>
      <c r="H80" s="9" t="s">
        <v>47249</v>
      </c>
      <c r="I80" s="9" t="s">
        <v>24593</v>
      </c>
      <c r="J80" s="9" t="s">
        <v>47254</v>
      </c>
    </row>
    <row r="81" ht="15.75" customHeight="1">
      <c r="A81" s="9" t="s">
        <v>47255</v>
      </c>
      <c r="C81" s="9" t="s">
        <v>11963</v>
      </c>
      <c r="D81" s="9" t="s">
        <v>47107</v>
      </c>
      <c r="F81" s="36" t="str">
        <f t="shared" si="5"/>
        <v/>
      </c>
      <c r="H81" s="9" t="s">
        <v>215</v>
      </c>
      <c r="I81" s="9" t="s">
        <v>26813</v>
      </c>
      <c r="L81" s="9" t="s">
        <v>47256</v>
      </c>
    </row>
    <row r="82" ht="15.75" customHeight="1">
      <c r="A82" s="9" t="s">
        <v>47257</v>
      </c>
      <c r="C82" s="9" t="s">
        <v>11800</v>
      </c>
      <c r="D82" s="9" t="s">
        <v>47107</v>
      </c>
      <c r="F82" s="36" t="str">
        <f t="shared" si="5"/>
        <v/>
      </c>
      <c r="H82" s="9" t="s">
        <v>47258</v>
      </c>
      <c r="I82" s="9" t="s">
        <v>21</v>
      </c>
      <c r="J82" s="9" t="s">
        <v>47259</v>
      </c>
      <c r="L82" s="9" t="s">
        <v>47260</v>
      </c>
    </row>
    <row r="83" ht="15.75" customHeight="1">
      <c r="A83" s="9" t="s">
        <v>47261</v>
      </c>
      <c r="C83" s="9" t="s">
        <v>231</v>
      </c>
      <c r="D83" s="9" t="s">
        <v>47106</v>
      </c>
      <c r="E83" s="52" t="s">
        <v>13483</v>
      </c>
      <c r="F83" s="36" t="str">
        <f t="shared" si="5"/>
        <v/>
      </c>
      <c r="H83" s="9" t="s">
        <v>26134</v>
      </c>
      <c r="I83" s="9" t="s">
        <v>47262</v>
      </c>
    </row>
    <row r="84" ht="15.75" customHeight="1">
      <c r="A84" s="9" t="s">
        <v>47263</v>
      </c>
      <c r="C84" s="9" t="s">
        <v>9892</v>
      </c>
      <c r="D84" s="9" t="s">
        <v>47106</v>
      </c>
      <c r="E84" s="52" t="s">
        <v>47264</v>
      </c>
      <c r="F84" s="36" t="str">
        <f t="shared" si="5"/>
        <v/>
      </c>
      <c r="G84" s="9" t="b">
        <v>1</v>
      </c>
      <c r="H84" s="9" t="s">
        <v>25695</v>
      </c>
      <c r="I84" s="9" t="s">
        <v>47265</v>
      </c>
      <c r="J84" s="9" t="s">
        <v>47266</v>
      </c>
    </row>
    <row r="85" ht="15.75" customHeight="1">
      <c r="A85" s="9" t="s">
        <v>47267</v>
      </c>
      <c r="C85" s="9" t="s">
        <v>9537</v>
      </c>
      <c r="D85" s="9" t="s">
        <v>47106</v>
      </c>
      <c r="E85" s="52" t="s">
        <v>47268</v>
      </c>
      <c r="F85" s="36" t="str">
        <f t="shared" si="5"/>
        <v/>
      </c>
      <c r="G85" s="9" t="b">
        <v>1</v>
      </c>
      <c r="H85" s="9" t="s">
        <v>25385</v>
      </c>
      <c r="I85" s="9" t="s">
        <v>25946</v>
      </c>
      <c r="J85" s="9" t="s">
        <v>47231</v>
      </c>
      <c r="L85" s="9"/>
    </row>
    <row r="86" ht="15.75" customHeight="1">
      <c r="A86" s="9" t="s">
        <v>47269</v>
      </c>
      <c r="C86" s="9" t="s">
        <v>264</v>
      </c>
      <c r="D86" s="9" t="s">
        <v>47106</v>
      </c>
      <c r="E86" s="52" t="s">
        <v>47270</v>
      </c>
      <c r="F86" s="36" t="str">
        <f t="shared" si="5"/>
        <v/>
      </c>
      <c r="G86" s="9" t="b">
        <v>1</v>
      </c>
      <c r="H86" s="9" t="s">
        <v>25695</v>
      </c>
      <c r="I86" s="9" t="s">
        <v>47271</v>
      </c>
      <c r="J86" s="9" t="s">
        <v>47272</v>
      </c>
      <c r="K86" s="9" t="s">
        <v>47273</v>
      </c>
    </row>
    <row r="87" ht="15.75" customHeight="1">
      <c r="A87" s="9" t="s">
        <v>47274</v>
      </c>
      <c r="C87" s="9" t="s">
        <v>10303</v>
      </c>
      <c r="D87" s="9" t="s">
        <v>47106</v>
      </c>
      <c r="E87" s="52" t="s">
        <v>12956</v>
      </c>
      <c r="F87" s="36" t="str">
        <f t="shared" si="5"/>
        <v/>
      </c>
      <c r="G87" s="9" t="b">
        <v>1</v>
      </c>
    </row>
    <row r="88" ht="15.75" customHeight="1">
      <c r="A88" s="9" t="s">
        <v>47275</v>
      </c>
      <c r="C88" s="9" t="s">
        <v>1966</v>
      </c>
      <c r="D88" s="9" t="s">
        <v>47106</v>
      </c>
      <c r="E88" s="52" t="s">
        <v>12687</v>
      </c>
      <c r="F88" s="36" t="str">
        <f t="shared" si="5"/>
        <v/>
      </c>
      <c r="G88" s="9" t="b">
        <v>1</v>
      </c>
      <c r="H88" s="9" t="s">
        <v>26847</v>
      </c>
      <c r="I88" s="9" t="s">
        <v>24671</v>
      </c>
      <c r="J88" s="9" t="s">
        <v>47276</v>
      </c>
      <c r="K88" s="9" t="s">
        <v>47277</v>
      </c>
    </row>
    <row r="89" ht="15.75" customHeight="1">
      <c r="A89" s="9" t="s">
        <v>47278</v>
      </c>
      <c r="C89" s="9" t="s">
        <v>5563</v>
      </c>
      <c r="D89" s="9" t="s">
        <v>47106</v>
      </c>
      <c r="E89" s="52" t="s">
        <v>47279</v>
      </c>
      <c r="F89" s="36" t="str">
        <f t="shared" si="5"/>
        <v/>
      </c>
    </row>
    <row r="90" ht="15.75" customHeight="1">
      <c r="A90" s="9" t="s">
        <v>47280</v>
      </c>
      <c r="C90" s="9" t="s">
        <v>3765</v>
      </c>
      <c r="D90" s="9" t="s">
        <v>47106</v>
      </c>
      <c r="E90" s="52" t="s">
        <v>47281</v>
      </c>
      <c r="F90" s="36" t="str">
        <f t="shared" si="5"/>
        <v/>
      </c>
    </row>
    <row r="91" ht="15.75" customHeight="1">
      <c r="A91" s="9" t="s">
        <v>47282</v>
      </c>
      <c r="C91" s="9" t="s">
        <v>11748</v>
      </c>
      <c r="D91" s="9" t="s">
        <v>47107</v>
      </c>
      <c r="F91" s="36" t="str">
        <f t="shared" si="5"/>
        <v/>
      </c>
      <c r="L91" s="9" t="s">
        <v>47283</v>
      </c>
    </row>
    <row r="92" ht="15.75" customHeight="1">
      <c r="A92" s="9" t="s">
        <v>47284</v>
      </c>
      <c r="C92" s="9" t="s">
        <v>12071</v>
      </c>
      <c r="D92" s="9" t="s">
        <v>47106</v>
      </c>
      <c r="E92" s="52" t="s">
        <v>47285</v>
      </c>
      <c r="F92" s="36" t="str">
        <f t="shared" si="5"/>
        <v/>
      </c>
    </row>
    <row r="93" ht="15.75" customHeight="1">
      <c r="A93" s="9" t="s">
        <v>47286</v>
      </c>
      <c r="C93" s="9" t="s">
        <v>5823</v>
      </c>
      <c r="D93" s="9" t="s">
        <v>286</v>
      </c>
      <c r="F93" s="37" t="str">
        <f>HYPERLINK("http://www.mimosas.re/fr/index.html", "http://www.mimosas.re/fr/index.html")</f>
        <v>http://www.mimosas.re/fr/index.html</v>
      </c>
    </row>
    <row r="94" ht="15.75" customHeight="1">
      <c r="A94" s="9" t="s">
        <v>47287</v>
      </c>
      <c r="C94" s="9" t="s">
        <v>12100</v>
      </c>
      <c r="D94" s="9" t="s">
        <v>286</v>
      </c>
      <c r="F94" s="37" t="str">
        <f>HYPERLINK("https://www.abacard.net/fr/page/abacard-home-a-la-reunion", "https://www.abacard.net/fr/page/abacard-home-a-la-reunion")</f>
        <v>https://www.abacard.net/fr/page/abacard-home-a-la-reunion</v>
      </c>
    </row>
    <row r="95" ht="15.75" customHeight="1">
      <c r="A95" s="9"/>
      <c r="C95" s="9"/>
      <c r="D95" s="9"/>
      <c r="K95" s="9"/>
    </row>
    <row r="96" ht="15.75" customHeight="1">
      <c r="A96" s="9" t="s">
        <v>47288</v>
      </c>
      <c r="C96" s="9" t="s">
        <v>4545</v>
      </c>
      <c r="D96" s="9" t="s">
        <v>286</v>
      </c>
      <c r="F96" s="37" t="str">
        <f>HYPERLINK("http://www.grevilaire.com/", "http://www.grevilaire.com/")</f>
        <v>http://www.grevilaire.com/</v>
      </c>
    </row>
    <row r="97" ht="15.75" customHeight="1">
      <c r="A97" s="9" t="s">
        <v>47289</v>
      </c>
      <c r="C97" s="9" t="s">
        <v>10262</v>
      </c>
      <c r="D97" s="9" t="s">
        <v>286</v>
      </c>
      <c r="F97" s="37" t="str">
        <f>HYPERLINK("https://naturaissance.re/?fbclid=IwAR3jHlUIacQXAYKtUOS2thU_TcRoM7Z4f7mH56ZFyO_3n99-ztqyTIchhds_aem_AR5-lYVaw4itP9jXOUbkMRUikV-RoV3-LLFCAE_VMEG9b6VzePHlFek_HXue4plPWLYDHzrz-U1ZN422wIDZbL7q", "https://naturaissance.re/?fbclid=IwAR3jHlUIacQXAYKtUOS2thU_TcRoM7Z4f7mH56ZFyO_3n99-ztqyTIchhds_aem_AR5-lYVaw4itP9jXOUbkMRUikV-RoV3-LLFCAE_VMEG9b6VzePHlFek_HXue4plPWLYDHzrz-U1ZN422wIDZbL7q")</f>
        <v>https://naturaissance.re/?fbclid=IwAR3jHlUIacQXAYKtUOS2thU_TcRoM7Z4f7mH56ZFyO_3n99-ztqyTIchhds_aem_AR5-lYVaw4itP9jXOUbkMRUikV-RoV3-LLFCAE_VMEG9b6VzePHlFek_HXue4plPWLYDHzrz-U1ZN422wIDZbL7q</v>
      </c>
    </row>
    <row r="98" ht="15.75" customHeight="1">
      <c r="A98" s="9" t="s">
        <v>47290</v>
      </c>
      <c r="C98" s="9" t="s">
        <v>9099</v>
      </c>
      <c r="D98" s="9" t="s">
        <v>47106</v>
      </c>
      <c r="E98" s="52" t="s">
        <v>47291</v>
      </c>
      <c r="F98" s="36" t="str">
        <f>HYPERLINK("", "")</f>
        <v/>
      </c>
    </row>
    <row r="99" ht="15.75" customHeight="1">
      <c r="A99" s="9" t="s">
        <v>47292</v>
      </c>
      <c r="C99" s="9" t="s">
        <v>11381</v>
      </c>
      <c r="D99" s="9" t="s">
        <v>286</v>
      </c>
      <c r="F99" s="37" t="str">
        <f>HYPERLINK("https://9a703982.smoobu.net/fr/apartment/PeaceLodgeIIaucurdelaverdureetdtentedanslejacuzzi/1907696", "https://9a703982.smoobu.net/fr/apartment/PeaceLodgeIIaucurdelaverdureetdtentedanslejacuzzi/1907696")</f>
        <v>https://9a703982.smoobu.net/fr/apartment/PeaceLodgeIIaucurdelaverdureetdtentedanslejacuzzi/1907696</v>
      </c>
    </row>
    <row r="100" ht="15.75" customHeight="1">
      <c r="A100" s="9" t="s">
        <v>47293</v>
      </c>
      <c r="C100" s="9" t="s">
        <v>11383</v>
      </c>
      <c r="D100" s="9" t="s">
        <v>286</v>
      </c>
      <c r="F100" s="37" t="str">
        <f>HYPERLINK("https://9a703982.smoobu.net/fr/apartment/PeaceLodgeIaucurdelaverdure/1907693", "https://9a703982.smoobu.net/fr/apartment/PeaceLodgeIaucurdelaverdure/1907693")</f>
        <v>https://9a703982.smoobu.net/fr/apartment/PeaceLodgeIaucurdelaverdure/1907693</v>
      </c>
    </row>
    <row r="101" ht="15.75" customHeight="1">
      <c r="A101" s="9" t="s">
        <v>47294</v>
      </c>
      <c r="C101" s="9" t="s">
        <v>6444</v>
      </c>
      <c r="D101" s="9" t="s">
        <v>47106</v>
      </c>
      <c r="E101" s="52" t="s">
        <v>47295</v>
      </c>
      <c r="F101" s="36" t="str">
        <f t="shared" ref="F101:F108" si="6">HYPERLINK("", "")</f>
        <v/>
      </c>
    </row>
    <row r="102" ht="15.75" customHeight="1">
      <c r="A102" s="9" t="s">
        <v>47296</v>
      </c>
      <c r="C102" s="9" t="s">
        <v>5633</v>
      </c>
      <c r="D102" s="9" t="s">
        <v>47106</v>
      </c>
      <c r="E102" s="52" t="s">
        <v>47297</v>
      </c>
      <c r="F102" s="36" t="str">
        <f t="shared" si="6"/>
        <v/>
      </c>
    </row>
    <row r="103" ht="15.75" customHeight="1">
      <c r="A103" s="9" t="s">
        <v>47298</v>
      </c>
      <c r="C103" s="9" t="s">
        <v>6989</v>
      </c>
      <c r="D103" s="9" t="s">
        <v>47106</v>
      </c>
      <c r="E103" s="52" t="s">
        <v>47299</v>
      </c>
      <c r="F103" s="36" t="str">
        <f t="shared" si="6"/>
        <v/>
      </c>
    </row>
    <row r="104" ht="15.75" customHeight="1">
      <c r="A104" s="9" t="s">
        <v>47300</v>
      </c>
      <c r="C104" s="9" t="s">
        <v>11979</v>
      </c>
      <c r="D104" s="9" t="s">
        <v>47106</v>
      </c>
      <c r="E104" s="52" t="s">
        <v>47301</v>
      </c>
      <c r="F104" s="36" t="str">
        <f t="shared" si="6"/>
        <v/>
      </c>
    </row>
    <row r="105" ht="15.75" customHeight="1">
      <c r="A105" s="9" t="s">
        <v>47302</v>
      </c>
      <c r="C105" s="9" t="s">
        <v>1919</v>
      </c>
      <c r="D105" s="9" t="s">
        <v>47106</v>
      </c>
      <c r="E105" s="52" t="s">
        <v>47303</v>
      </c>
      <c r="F105" s="36" t="str">
        <f t="shared" si="6"/>
        <v/>
      </c>
    </row>
    <row r="106" ht="15.75" customHeight="1">
      <c r="A106" s="9" t="s">
        <v>47304</v>
      </c>
      <c r="C106" s="9" t="s">
        <v>3663</v>
      </c>
      <c r="D106" s="9" t="s">
        <v>47106</v>
      </c>
      <c r="E106" s="52" t="s">
        <v>47305</v>
      </c>
      <c r="F106" s="36" t="str">
        <f t="shared" si="6"/>
        <v/>
      </c>
    </row>
    <row r="107" ht="15.75" customHeight="1">
      <c r="A107" s="9" t="s">
        <v>47306</v>
      </c>
      <c r="C107" s="9" t="s">
        <v>5249</v>
      </c>
      <c r="D107" s="9" t="s">
        <v>47106</v>
      </c>
      <c r="E107" s="52" t="s">
        <v>47307</v>
      </c>
      <c r="F107" s="36" t="str">
        <f t="shared" si="6"/>
        <v/>
      </c>
    </row>
    <row r="108" ht="15.75" customHeight="1">
      <c r="A108" s="9" t="s">
        <v>47308</v>
      </c>
      <c r="C108" s="9" t="s">
        <v>6620</v>
      </c>
      <c r="D108" s="9" t="s">
        <v>47106</v>
      </c>
      <c r="E108" s="52" t="s">
        <v>47309</v>
      </c>
      <c r="F108" s="36" t="str">
        <f t="shared" si="6"/>
        <v/>
      </c>
      <c r="K108" s="52" t="s">
        <v>47309</v>
      </c>
    </row>
    <row r="109" ht="15.75" customHeight="1">
      <c r="A109" s="9" t="s">
        <v>47310</v>
      </c>
      <c r="C109" s="9" t="s">
        <v>4269</v>
      </c>
      <c r="D109" s="9" t="s">
        <v>286</v>
      </c>
      <c r="F109" s="37" t="str">
        <f>HYPERLINK("https://gitedelafournaise.re/", "https://gitedelafournaise.re/")</f>
        <v>https://gitedelafournaise.re/</v>
      </c>
    </row>
    <row r="110" ht="15.75" customHeight="1">
      <c r="A110" s="9" t="s">
        <v>47311</v>
      </c>
      <c r="C110" s="9" t="s">
        <v>1150</v>
      </c>
      <c r="D110" s="9" t="s">
        <v>286</v>
      </c>
      <c r="F110" s="37" t="str">
        <f t="shared" ref="F110:F111" si="7">HYPERLINK("https://aubergeduvolcan.re/", "https://aubergeduvolcan.re/")</f>
        <v>https://aubergeduvolcan.re/</v>
      </c>
    </row>
    <row r="111" ht="15.75" customHeight="1">
      <c r="A111" s="9" t="s">
        <v>47312</v>
      </c>
      <c r="C111" s="9" t="s">
        <v>1166</v>
      </c>
      <c r="D111" s="9" t="s">
        <v>286</v>
      </c>
      <c r="F111" s="37" t="str">
        <f t="shared" si="7"/>
        <v>https://aubergeduvolcan.re/</v>
      </c>
    </row>
    <row r="112" ht="15.75" customHeight="1">
      <c r="A112" s="9" t="s">
        <v>47313</v>
      </c>
      <c r="C112" s="9" t="s">
        <v>9491</v>
      </c>
      <c r="D112" s="9" t="s">
        <v>286</v>
      </c>
      <c r="F112" s="37" t="str">
        <f>HYPERLINK("https://ticazloc.wixsite.com/volcan-reunion?fbclid=IwZXh0bgNhZW0CMTAAAR0euRYrFwnBzQe2tCAx20hnWTlxhBoDyZSve9TysGZC-ED8gHWqY8X60HM_aem_AYq_dfwiEC2psf1HjKedDKq2_c0EuBVCbzGDqgoxK_cvaAg2LPhwHwVAzKnVMtnPavExgfO-_c_zN5UM4E1BwSP7", "https://ticazloc.wixsite.com/volcan-reunion?fbclid=IwZXh0bgNhZW0CMTAAAR0euRYrFwnBzQe2tCAx20hnWTlxhBoDyZSve9TysGZC-ED8gHWqY8X60HM_aem_AYq_dfwiEC2psf1HjKedDKq2_c0EuBVCbzGDqgoxK_cvaAg2LPhwHwVAzKnVMtnPavExgfO-_c_zN5UM4E1BwSP7")</f>
        <v>https://ticazloc.wixsite.com/volcan-reunion?fbclid=IwZXh0bgNhZW0CMTAAAR0euRYrFwnBzQe2tCAx20hnWTlxhBoDyZSve9TysGZC-ED8gHWqY8X60HM_aem_AYq_dfwiEC2psf1HjKedDKq2_c0EuBVCbzGDqgoxK_cvaAg2LPhwHwVAzKnVMtnPavExgfO-_c_zN5UM4E1BwSP7</v>
      </c>
    </row>
    <row r="113" ht="15.75" customHeight="1">
      <c r="A113" s="52" t="s">
        <v>47314</v>
      </c>
      <c r="C113" s="9" t="s">
        <v>10535</v>
      </c>
      <c r="D113" s="9" t="s">
        <v>47107</v>
      </c>
      <c r="F113" s="36" t="str">
        <f t="shared" ref="F113:F117" si="8">HYPERLINK("", "")</f>
        <v/>
      </c>
      <c r="L113" s="9" t="s">
        <v>47315</v>
      </c>
    </row>
    <row r="114" ht="15.75" customHeight="1">
      <c r="A114" s="9" t="s">
        <v>47316</v>
      </c>
      <c r="C114" s="9" t="s">
        <v>10535</v>
      </c>
      <c r="D114" s="9" t="s">
        <v>47106</v>
      </c>
      <c r="E114" s="52" t="s">
        <v>47317</v>
      </c>
      <c r="F114" s="36" t="str">
        <f t="shared" si="8"/>
        <v/>
      </c>
      <c r="K114" s="9" t="s">
        <v>47318</v>
      </c>
    </row>
    <row r="115" ht="15.75" customHeight="1">
      <c r="A115" s="9" t="s">
        <v>47319</v>
      </c>
      <c r="C115" s="9" t="s">
        <v>11949</v>
      </c>
      <c r="D115" s="9" t="s">
        <v>47107</v>
      </c>
      <c r="F115" s="36" t="str">
        <f t="shared" si="8"/>
        <v/>
      </c>
      <c r="L115" s="9" t="s">
        <v>47315</v>
      </c>
    </row>
    <row r="116" ht="15.75" customHeight="1">
      <c r="A116" s="9" t="s">
        <v>47320</v>
      </c>
      <c r="C116" s="9" t="s">
        <v>11949</v>
      </c>
      <c r="D116" s="9" t="s">
        <v>47106</v>
      </c>
      <c r="E116" s="52" t="s">
        <v>47317</v>
      </c>
      <c r="F116" s="36" t="str">
        <f t="shared" si="8"/>
        <v/>
      </c>
    </row>
    <row r="117" ht="15.75" customHeight="1">
      <c r="A117" s="9" t="s">
        <v>47321</v>
      </c>
      <c r="C117" s="9" t="s">
        <v>11400</v>
      </c>
      <c r="D117" s="9" t="s">
        <v>47106</v>
      </c>
      <c r="E117" s="52" t="s">
        <v>22096</v>
      </c>
      <c r="F117" s="36" t="str">
        <f t="shared" si="8"/>
        <v/>
      </c>
    </row>
    <row r="118" ht="15.75" customHeight="1">
      <c r="A118" s="9" t="s">
        <v>47322</v>
      </c>
      <c r="C118" s="9" t="s">
        <v>11990</v>
      </c>
      <c r="D118" s="9" t="s">
        <v>286</v>
      </c>
      <c r="F118" s="37" t="str">
        <f>HYPERLINK("https://vtc-alp.com/contact/", "https://vtc-alp.com/contact/")</f>
        <v>https://vtc-alp.com/contact/</v>
      </c>
    </row>
    <row r="119" ht="15.75" customHeight="1">
      <c r="A119" s="9" t="s">
        <v>47323</v>
      </c>
      <c r="C119" s="9" t="s">
        <v>11400</v>
      </c>
      <c r="D119" s="9" t="s">
        <v>47107</v>
      </c>
      <c r="F119" s="36" t="str">
        <f>HYPERLINK("", "")</f>
        <v/>
      </c>
      <c r="L119" s="9" t="s">
        <v>22095</v>
      </c>
    </row>
    <row r="120" ht="15.75" customHeight="1">
      <c r="A120" s="9" t="s">
        <v>47324</v>
      </c>
      <c r="C120" s="9" t="s">
        <v>8211</v>
      </c>
      <c r="D120" s="9" t="s">
        <v>286</v>
      </c>
      <c r="F120" s="37" t="str">
        <f>HYPERLINK("https://aar-reunion.jimdofree.com/", "https://aar-reunion.jimdofree.com/")</f>
        <v>https://aar-reunion.jimdofree.com/</v>
      </c>
    </row>
    <row r="121" ht="15.75" customHeight="1">
      <c r="A121" s="9" t="s">
        <v>47325</v>
      </c>
      <c r="C121" s="52" t="s">
        <v>19895</v>
      </c>
      <c r="D121" s="9" t="s">
        <v>286</v>
      </c>
      <c r="F121" s="37" t="str">
        <f>HYPERLINK("https://www.etsy.com/fr/shop/Margozboutik?fbclid=IwZXh0bgNhZW0CMTAAAR1Gu-zxuvNJYjoHxjMlIeIWIBfGZkCFARbgZK46dkRekUVIAVYLmNIKM0Y_aem_AZIgFbj1DrHkqYK72Edoi3eu7U9bMF-yQ1n6DVd8aRhLYzVpbT9HEzxMXHpfAZN76w9ZGlEBQyxYnd0MQ9It8Lzk", "https://www.etsy.com/fr/shop/Margozboutik?fbclid=IwZXh0bgNhZW0CMTAAAR1Gu-zxuvNJYjoHxjMlIeIWIBfGZkCFARbgZK46dkRekUVIAVYLmNIKM0Y_aem_AZIgFbj1DrHkqYK72Edoi3eu7U9bMF-yQ1n6DVd8aRhLYzVpbT9HEzxMXHpfAZN76w9ZGlEBQyxYnd0MQ9It8Lzk")</f>
        <v>https://www.etsy.com/fr/shop/Margozboutik?fbclid=IwZXh0bgNhZW0CMTAAAR1Gu-zxuvNJYjoHxjMlIeIWIBfGZkCFARbgZK46dkRekUVIAVYLmNIKM0Y_aem_AZIgFbj1DrHkqYK72Edoi3eu7U9bMF-yQ1n6DVd8aRhLYzVpbT9HEzxMXHpfAZN76w9ZGlEBQyxYnd0MQ9It8Lzk</v>
      </c>
    </row>
    <row r="122" ht="15.75" customHeight="1">
      <c r="A122" s="9" t="s">
        <v>47326</v>
      </c>
      <c r="C122" s="9" t="s">
        <v>10459</v>
      </c>
      <c r="D122" s="9" t="s">
        <v>47106</v>
      </c>
      <c r="E122" s="52" t="s">
        <v>47327</v>
      </c>
      <c r="F122" s="36" t="str">
        <f t="shared" ref="F122:F125" si="9">HYPERLINK("", "")</f>
        <v/>
      </c>
    </row>
    <row r="123" ht="15.75" customHeight="1">
      <c r="A123" s="9" t="s">
        <v>47328</v>
      </c>
      <c r="C123" s="9" t="s">
        <v>8987</v>
      </c>
      <c r="D123" s="9" t="s">
        <v>47106</v>
      </c>
      <c r="E123" s="52" t="s">
        <v>47329</v>
      </c>
      <c r="F123" s="36" t="str">
        <f t="shared" si="9"/>
        <v/>
      </c>
    </row>
    <row r="124" ht="15.75" customHeight="1">
      <c r="A124" s="9" t="s">
        <v>47330</v>
      </c>
      <c r="C124" s="9" t="s">
        <v>9448</v>
      </c>
      <c r="D124" s="9" t="s">
        <v>47106</v>
      </c>
      <c r="E124" s="52" t="s">
        <v>47331</v>
      </c>
      <c r="F124" s="36" t="str">
        <f t="shared" si="9"/>
        <v/>
      </c>
      <c r="K124" s="52" t="s">
        <v>47331</v>
      </c>
    </row>
    <row r="125" ht="15.75" customHeight="1">
      <c r="A125" s="9" t="s">
        <v>47332</v>
      </c>
      <c r="C125" s="9" t="s">
        <v>11392</v>
      </c>
      <c r="D125" s="9" t="s">
        <v>47107</v>
      </c>
      <c r="F125" s="36" t="str">
        <f t="shared" si="9"/>
        <v/>
      </c>
      <c r="L125" s="9" t="s">
        <v>47333</v>
      </c>
    </row>
    <row r="126" ht="15.75" customHeight="1">
      <c r="A126" s="9" t="s">
        <v>47334</v>
      </c>
      <c r="C126" s="9" t="s">
        <v>11423</v>
      </c>
      <c r="D126" s="9" t="s">
        <v>286</v>
      </c>
      <c r="F126" s="37" t="str">
        <f>HYPERLINK("https://www.mobilboard.com/fr/la-reunion", "https://www.mobilboard.com/fr/la-reunion")</f>
        <v>https://www.mobilboard.com/fr/la-reunion</v>
      </c>
    </row>
    <row r="127" ht="15.75" customHeight="1">
      <c r="A127" s="9" t="s">
        <v>47335</v>
      </c>
      <c r="C127" s="9" t="s">
        <v>3497</v>
      </c>
      <c r="D127" s="9" t="s">
        <v>286</v>
      </c>
      <c r="F127" s="37" t="str">
        <f t="shared" ref="F127:F129" si="10">HYPERLINK("http://meuble-tampon.fr/?fbclid=IwZXh0bgNhZW0CMTAAAR113aEkdwMLO1X8jGcWz1AjPvEBBHDlctk-R1tmKrLC5qMqu_LiAxx0cV8_aem_ZmFrZWR1bW15MTZieXRlcw", "http://meuble-tampon.fr/?fbclid=IwZXh0bgNhZW0CMTAAAR113aEkdwMLO1X8jGcWz1AjPvEBBHDlctk-R1tmKrLC5qMqu_LiAxx0cV8_aem_ZmFrZWR1bW15MTZieXRlcw")</f>
        <v>http://meuble-tampon.fr/?fbclid=IwZXh0bgNhZW0CMTAAAR113aEkdwMLO1X8jGcWz1AjPvEBBHDlctk-R1tmKrLC5qMqu_LiAxx0cV8_aem_ZmFrZWR1bW15MTZieXRlcw</v>
      </c>
    </row>
    <row r="128" ht="15.75" customHeight="1">
      <c r="A128" s="9" t="s">
        <v>47336</v>
      </c>
      <c r="C128" s="9" t="s">
        <v>9375</v>
      </c>
      <c r="D128" s="9" t="s">
        <v>286</v>
      </c>
      <c r="F128" s="37" t="str">
        <f t="shared" si="10"/>
        <v>http://meuble-tampon.fr/?fbclid=IwZXh0bgNhZW0CMTAAAR113aEkdwMLO1X8jGcWz1AjPvEBBHDlctk-R1tmKrLC5qMqu_LiAxx0cV8_aem_ZmFrZWR1bW15MTZieXRlcw</v>
      </c>
    </row>
    <row r="129" ht="15.75" customHeight="1">
      <c r="A129" s="9" t="s">
        <v>47337</v>
      </c>
      <c r="C129" s="9" t="s">
        <v>11425</v>
      </c>
      <c r="D129" s="9" t="s">
        <v>286</v>
      </c>
      <c r="F129" s="37" t="str">
        <f t="shared" si="10"/>
        <v>http://meuble-tampon.fr/?fbclid=IwZXh0bgNhZW0CMTAAAR113aEkdwMLO1X8jGcWz1AjPvEBBHDlctk-R1tmKrLC5qMqu_LiAxx0cV8_aem_ZmFrZWR1bW15MTZieXRlcw</v>
      </c>
    </row>
    <row r="130" ht="15.75" customHeight="1">
      <c r="A130" s="9" t="s">
        <v>47338</v>
      </c>
      <c r="C130" s="9" t="s">
        <v>3158</v>
      </c>
      <c r="D130" s="9" t="s">
        <v>47107</v>
      </c>
      <c r="F130" s="36" t="str">
        <f>HYPERLINK("", "")</f>
        <v/>
      </c>
      <c r="H130" s="9" t="s">
        <v>47339</v>
      </c>
      <c r="I130" s="9" t="s">
        <v>47340</v>
      </c>
      <c r="J130" s="9" t="s">
        <v>47341</v>
      </c>
      <c r="L130" s="9" t="s">
        <v>47342</v>
      </c>
    </row>
    <row r="131" ht="15.75" customHeight="1">
      <c r="A131" s="9" t="s">
        <v>47343</v>
      </c>
      <c r="C131" s="9" t="s">
        <v>11657</v>
      </c>
      <c r="D131" s="9" t="s">
        <v>286</v>
      </c>
      <c r="F131" s="37" t="str">
        <f>HYPERLINK("https://fabien480.alwaysdata.net/?fbclid=IwZXh0bgNhZW0CMTAAAR1brUUor2jN9rnCFGYuIDHNZ7mk-JVpsCTKquQxlcVNeG_B3yl9GpA-43Y_aem_ZmFrZWR1bW15MTZieXRlcw", "https://fabien480.alwaysdata.net/?fbclid=IwZXh0bgNhZW0CMTAAAR1brUUor2jN9rnCFGYuIDHNZ7mk-JVpsCTKquQxlcVNeG_B3yl9GpA-43Y_aem_ZmFrZWR1bW15MTZieXRlcw")</f>
        <v>https://fabien480.alwaysdata.net/?fbclid=IwZXh0bgNhZW0CMTAAAR1brUUor2jN9rnCFGYuIDHNZ7mk-JVpsCTKquQxlcVNeG_B3yl9GpA-43Y_aem_ZmFrZWR1bW15MTZieXRlcw</v>
      </c>
    </row>
    <row r="132" ht="15.75" customHeight="1">
      <c r="A132" s="9" t="s">
        <v>47344</v>
      </c>
      <c r="C132" s="9" t="s">
        <v>11664</v>
      </c>
      <c r="D132" s="9" t="s">
        <v>47106</v>
      </c>
      <c r="E132" s="52" t="s">
        <v>47345</v>
      </c>
      <c r="F132" s="36" t="str">
        <f>HYPERLINK("", "")</f>
        <v/>
      </c>
      <c r="H132" s="9" t="s">
        <v>26997</v>
      </c>
      <c r="I132" s="9" t="s">
        <v>25420</v>
      </c>
      <c r="J132" s="9" t="s">
        <v>47254</v>
      </c>
    </row>
    <row r="133" ht="15.75" customHeight="1">
      <c r="A133" s="9" t="s">
        <v>47346</v>
      </c>
      <c r="C133" s="9" t="s">
        <v>9708</v>
      </c>
      <c r="D133" s="9" t="s">
        <v>286</v>
      </c>
      <c r="F133" s="37" t="str">
        <f>HYPERLINK("https://reunionboutik.com/index.php?fbclid=IwZXh0bgNhZW0CMTAAAR1OrT396G5v-fKgGK-hpyPvisuuFmA-Wsnvi2iZLrIyi1TEIuWh1Gyx8hU_aem_ZmFrZWR1bW15MTZieXRlcw", "https://reunionboutik.com/index.php?fbclid=IwZXh0bgNhZW0CMTAAAR1OrT396G5v-fKgGK-hpyPvisuuFmA-Wsnvi2iZLrIyi1TEIuWh1Gyx8hU_aem_ZmFrZWR1bW15MTZieXRlcw")</f>
        <v>https://reunionboutik.com/index.php?fbclid=IwZXh0bgNhZW0CMTAAAR1OrT396G5v-fKgGK-hpyPvisuuFmA-Wsnvi2iZLrIyi1TEIuWh1Gyx8hU_aem_ZmFrZWR1bW15MTZieXRlcw</v>
      </c>
    </row>
    <row r="134" ht="15.75" customHeight="1">
      <c r="A134" s="9" t="s">
        <v>47347</v>
      </c>
      <c r="C134" s="9" t="s">
        <v>6209</v>
      </c>
      <c r="D134" s="9" t="s">
        <v>47106</v>
      </c>
      <c r="E134" s="52" t="s">
        <v>17758</v>
      </c>
      <c r="F134" s="36" t="str">
        <f t="shared" ref="F134:F136" si="11">HYPERLINK("", "")</f>
        <v/>
      </c>
      <c r="H134" s="9" t="s">
        <v>47348</v>
      </c>
    </row>
    <row r="135" ht="15.75" customHeight="1">
      <c r="A135" s="9" t="s">
        <v>47349</v>
      </c>
      <c r="C135" s="9" t="s">
        <v>11429</v>
      </c>
      <c r="D135" s="9" t="s">
        <v>47107</v>
      </c>
      <c r="F135" s="36" t="str">
        <f t="shared" si="11"/>
        <v/>
      </c>
      <c r="H135" s="9" t="s">
        <v>47350</v>
      </c>
      <c r="I135" s="9" t="s">
        <v>47340</v>
      </c>
      <c r="J135" s="9" t="s">
        <v>47351</v>
      </c>
      <c r="L135" s="9" t="s">
        <v>47352</v>
      </c>
    </row>
    <row r="136" ht="15.75" customHeight="1">
      <c r="A136" s="9" t="s">
        <v>47353</v>
      </c>
      <c r="C136" s="9" t="s">
        <v>4674</v>
      </c>
      <c r="D136" s="9" t="s">
        <v>47107</v>
      </c>
      <c r="F136" s="36" t="str">
        <f t="shared" si="11"/>
        <v/>
      </c>
      <c r="H136" s="9" t="s">
        <v>25541</v>
      </c>
      <c r="I136" s="9" t="s">
        <v>24339</v>
      </c>
      <c r="J136" s="9" t="s">
        <v>47231</v>
      </c>
      <c r="K136" s="9" t="s">
        <v>47354</v>
      </c>
      <c r="L136" s="9" t="s">
        <v>47355</v>
      </c>
    </row>
    <row r="137" ht="15.75" customHeight="1">
      <c r="A137" s="9" t="s">
        <v>47356</v>
      </c>
      <c r="C137" s="9" t="s">
        <v>4224</v>
      </c>
      <c r="D137" s="9" t="s">
        <v>286</v>
      </c>
      <c r="F137" s="37" t="str">
        <f>HYPERLINK("https://lesgeraniums.re/", "https://lesgeraniums.re/")</f>
        <v>https://lesgeraniums.re/</v>
      </c>
    </row>
    <row r="138" ht="15.75" customHeight="1">
      <c r="A138" s="9" t="s">
        <v>47357</v>
      </c>
      <c r="C138" s="9" t="s">
        <v>4674</v>
      </c>
      <c r="D138" s="9" t="s">
        <v>286</v>
      </c>
      <c r="F138" s="37" t="str">
        <f>HYPERLINK("https://www.lesembrunsdubarilbysoraya.com/", "https://www.lesembrunsdubarilbysoraya.com/")</f>
        <v>https://www.lesembrunsdubarilbysoraya.com/</v>
      </c>
    </row>
    <row r="139" ht="15.75" customHeight="1">
      <c r="A139" s="9" t="s">
        <v>47358</v>
      </c>
      <c r="C139" s="9" t="s">
        <v>3314</v>
      </c>
      <c r="D139" s="9" t="s">
        <v>286</v>
      </c>
      <c r="F139" s="37" t="str">
        <f>HYPERLINK("https://www.hotel-ecrin.re/", "https://www.hotel-ecrin.re/")</f>
        <v>https://www.hotel-ecrin.re/</v>
      </c>
    </row>
    <row r="140" ht="15.75" customHeight="1">
      <c r="A140" s="9" t="s">
        <v>47359</v>
      </c>
      <c r="C140" s="9" t="s">
        <v>10297</v>
      </c>
      <c r="D140" s="9" t="s">
        <v>286</v>
      </c>
      <c r="F140" s="37" t="str">
        <f>HYPERLINK("https://tikazenboi.com/", "https://tikazenboi.com/")</f>
        <v>https://tikazenboi.com/</v>
      </c>
    </row>
    <row r="141" ht="15.75" customHeight="1">
      <c r="A141" s="9" t="s">
        <v>47360</v>
      </c>
      <c r="C141" s="9" t="s">
        <v>12144</v>
      </c>
      <c r="D141" s="9" t="s">
        <v>47107</v>
      </c>
      <c r="F141" s="36" t="str">
        <f>HYPERLINK("", "")</f>
        <v/>
      </c>
      <c r="I141" s="9" t="s">
        <v>47361</v>
      </c>
      <c r="L141" s="9" t="s">
        <v>47362</v>
      </c>
    </row>
    <row r="142" ht="15.75" customHeight="1">
      <c r="A142" s="9" t="s">
        <v>47363</v>
      </c>
      <c r="C142" s="9" t="s">
        <v>1291</v>
      </c>
      <c r="D142" s="9" t="s">
        <v>286</v>
      </c>
      <c r="F142" s="37" t="str">
        <f>HYPERLINK("https://speleolave.fr/", "https://speleolave.fr/")</f>
        <v>https://speleolave.fr/</v>
      </c>
    </row>
    <row r="143" ht="15.75" customHeight="1">
      <c r="A143" s="9" t="s">
        <v>47364</v>
      </c>
      <c r="C143" s="9" t="s">
        <v>11433</v>
      </c>
      <c r="D143" s="9" t="s">
        <v>286</v>
      </c>
      <c r="F143" s="37" t="str">
        <f>HYPERLINK("https://prenezsoindevousbycg.fr/?product_cat=bougies-simples", "https://prenezsoindevousbycg.fr/?product_cat=bougies-simples")</f>
        <v>https://prenezsoindevousbycg.fr/?product_cat=bougies-simples</v>
      </c>
    </row>
    <row r="144" ht="15.75" customHeight="1">
      <c r="A144" s="9" t="s">
        <v>47365</v>
      </c>
      <c r="C144" s="9" t="s">
        <v>8060</v>
      </c>
      <c r="D144" s="9" t="s">
        <v>286</v>
      </c>
      <c r="F144" s="37" t="str">
        <f>HYPERLINK("http://www.villa-volcan.re/", "http://www.villa-volcan.re/")</f>
        <v>http://www.villa-volcan.re/</v>
      </c>
    </row>
    <row r="145" ht="15.75" customHeight="1">
      <c r="A145" s="9" t="s">
        <v>47366</v>
      </c>
      <c r="C145" s="9" t="s">
        <v>2902</v>
      </c>
      <c r="D145" s="9" t="s">
        <v>286</v>
      </c>
      <c r="F145" s="37" t="str">
        <f>HYPERLINK("https://www.cote-volcan.fr/?fbclid=IwZXh0bgNhZW0CMTAAAR0fdOfgbuI1irPkDwX5SIsNf3qSb4uHPPVOf_YgKnXKeJZG5pgCGSQyeFk_aem_N6g_9QN2l51454Gp0wApFA", "https://www.cote-volcan.fr/?fbclid=IwZXh0bgNhZW0CMTAAAR0fdOfgbuI1irPkDwX5SIsNf3qSb4uHPPVOf_YgKnXKeJZG5pgCGSQyeFk_aem_N6g_9QN2l51454Gp0wApFA")</f>
        <v>https://www.cote-volcan.fr/?fbclid=IwZXh0bgNhZW0CMTAAAR0fdOfgbuI1irPkDwX5SIsNf3qSb4uHPPVOf_YgKnXKeJZG5pgCGSQyeFk_aem_N6g_9QN2l51454Gp0wApFA</v>
      </c>
    </row>
    <row r="146" ht="15.75" customHeight="1">
      <c r="A146" s="9" t="s">
        <v>47367</v>
      </c>
      <c r="C146" s="9" t="s">
        <v>11362</v>
      </c>
      <c r="D146" s="9" t="s">
        <v>47106</v>
      </c>
      <c r="E146" s="52" t="s">
        <v>26100</v>
      </c>
      <c r="F146" s="36" t="str">
        <f>HYPERLINK("", "")</f>
        <v/>
      </c>
      <c r="G146" s="9" t="b">
        <v>0</v>
      </c>
      <c r="H146" s="9" t="s">
        <v>47368</v>
      </c>
      <c r="I146" s="9" t="s">
        <v>24824</v>
      </c>
      <c r="J146" s="9" t="s">
        <v>47369</v>
      </c>
    </row>
    <row r="147" ht="15.75" customHeight="1">
      <c r="A147" s="9" t="s">
        <v>47370</v>
      </c>
      <c r="C147" s="9" t="s">
        <v>11435</v>
      </c>
      <c r="D147" s="9" t="s">
        <v>286</v>
      </c>
      <c r="F147" s="37" t="str">
        <f>HYPERLINK("https://travel.homerez.com/fr/book/55785696/property?place=Saint-Joseph%2C+R%C3%A9union&amp;placeId=ChIJgbyDVzEMeCERbTlrymJUs2Q&amp;policy=STRICT&amp;adults=2&amp;children=0&amp;babies=0&amp;numberOfGuests=2", "https://travel.homerez.com/fr/book/55785696/property?place=Saint-Joseph%2C+R%C3%A9union&amp;placeId=ChIJgbyDVzEMeCERbTlrymJUs2Q&amp;policy=STRICT&amp;adults=2&amp;children=0&amp;babies=0&amp;numberOfGuests=2")</f>
        <v>https://travel.homerez.com/fr/book/55785696/property?place=Saint-Joseph%2C+R%C3%A9union&amp;placeId=ChIJgbyDVzEMeCERbTlrymJUs2Q&amp;policy=STRICT&amp;adults=2&amp;children=0&amp;babies=0&amp;numberOfGuests=2</v>
      </c>
    </row>
    <row r="148" ht="15.75" customHeight="1">
      <c r="A148" s="9" t="s">
        <v>47371</v>
      </c>
      <c r="C148" s="9" t="s">
        <v>11392</v>
      </c>
      <c r="D148" s="9" t="s">
        <v>47106</v>
      </c>
      <c r="E148" s="52" t="s">
        <v>47372</v>
      </c>
      <c r="F148" s="36" t="str">
        <f>HYPERLINK("", "")</f>
        <v/>
      </c>
      <c r="G148" s="9" t="b">
        <v>0</v>
      </c>
      <c r="H148" s="9" t="s">
        <v>26225</v>
      </c>
      <c r="I148" s="9" t="s">
        <v>47373</v>
      </c>
      <c r="J148" s="9" t="s">
        <v>47219</v>
      </c>
      <c r="K148" s="9" t="s">
        <v>47374</v>
      </c>
    </row>
    <row r="149" ht="15.75" customHeight="1">
      <c r="A149" s="9" t="s">
        <v>47375</v>
      </c>
      <c r="C149" s="9" t="s">
        <v>12148</v>
      </c>
      <c r="D149" s="9" t="s">
        <v>286</v>
      </c>
      <c r="F149" s="37" t="str">
        <f>HYPERLINK("https://www.lodgebelair.com/", "https://www.lodgebelair.com/")</f>
        <v>https://www.lodgebelair.com/</v>
      </c>
    </row>
    <row r="150" ht="15.75" customHeight="1">
      <c r="A150" s="9" t="s">
        <v>47376</v>
      </c>
      <c r="C150" s="9" t="s">
        <v>11385</v>
      </c>
      <c r="D150" s="9" t="s">
        <v>286</v>
      </c>
      <c r="F150" s="37" t="str">
        <f>HYPERLINK("https://heritage-ecolodge.fr/", "https://heritage-ecolodge.fr/")</f>
        <v>https://heritage-ecolodge.fr/</v>
      </c>
    </row>
    <row r="151" ht="15.75" customHeight="1">
      <c r="A151" s="9" t="s">
        <v>47377</v>
      </c>
      <c r="C151" s="9" t="s">
        <v>11429</v>
      </c>
      <c r="D151" s="9" t="s">
        <v>286</v>
      </c>
      <c r="F151" s="37" t="str">
        <f>HYPERLINK("https://hotel-ledimitile.com/hotel-spa-entre-deux/", "https://hotel-ledimitile.com/hotel-spa-entre-deux/")</f>
        <v>https://hotel-ledimitile.com/hotel-spa-entre-deux/</v>
      </c>
    </row>
    <row r="152" ht="15.75" customHeight="1">
      <c r="A152" s="9" t="s">
        <v>47378</v>
      </c>
      <c r="C152" s="9" t="s">
        <v>11460</v>
      </c>
      <c r="D152" s="9" t="s">
        <v>47107</v>
      </c>
      <c r="F152" s="36" t="str">
        <f t="shared" ref="F152:F153" si="12">HYPERLINK("", "")</f>
        <v/>
      </c>
      <c r="H152" s="9" t="s">
        <v>47379</v>
      </c>
      <c r="I152" s="9" t="s">
        <v>47380</v>
      </c>
      <c r="J152" s="9" t="s">
        <v>24744</v>
      </c>
      <c r="L152" s="9" t="s">
        <v>47381</v>
      </c>
    </row>
    <row r="153" ht="15.75" customHeight="1">
      <c r="A153" s="9" t="s">
        <v>47382</v>
      </c>
      <c r="C153" s="9" t="s">
        <v>11460</v>
      </c>
      <c r="D153" s="9" t="s">
        <v>47106</v>
      </c>
      <c r="E153" s="52" t="s">
        <v>47383</v>
      </c>
      <c r="F153" s="36" t="str">
        <f t="shared" si="12"/>
        <v/>
      </c>
      <c r="G153" s="9" t="b">
        <v>0</v>
      </c>
      <c r="H153" s="9" t="s">
        <v>47379</v>
      </c>
      <c r="I153" s="9" t="s">
        <v>47380</v>
      </c>
      <c r="J153" s="9" t="s">
        <v>24744</v>
      </c>
    </row>
    <row r="154" ht="15.75" customHeight="1">
      <c r="A154" s="9" t="s">
        <v>47384</v>
      </c>
      <c r="C154" s="9" t="s">
        <v>10531</v>
      </c>
      <c r="D154" s="9" t="s">
        <v>286</v>
      </c>
      <c r="F154" s="37" t="str">
        <f>HYPERLINK("https://www.tikrater.com/fr", "https://www.tikrater.com/fr")</f>
        <v>https://www.tikrater.com/fr</v>
      </c>
    </row>
    <row r="155" ht="15.75" customHeight="1">
      <c r="A155" s="9" t="s">
        <v>47385</v>
      </c>
      <c r="C155" s="9" t="s">
        <v>11476</v>
      </c>
      <c r="D155" s="9" t="s">
        <v>286</v>
      </c>
      <c r="F155" s="37" t="str">
        <f>HYPERLINK("https://gitebraslontan.re/", "https://gitebraslontan.re/")</f>
        <v>https://gitebraslontan.re/</v>
      </c>
    </row>
    <row r="156" ht="15.75" customHeight="1">
      <c r="A156" s="9" t="s">
        <v>47386</v>
      </c>
      <c r="C156" s="9" t="s">
        <v>11482</v>
      </c>
      <c r="D156" s="9" t="s">
        <v>47107</v>
      </c>
      <c r="F156" s="36" t="str">
        <f t="shared" ref="F156:F157" si="13">HYPERLINK("", "")</f>
        <v/>
      </c>
      <c r="L156" s="9" t="s">
        <v>47387</v>
      </c>
    </row>
    <row r="157" ht="15.75" customHeight="1">
      <c r="A157" s="9" t="s">
        <v>47388</v>
      </c>
      <c r="C157" s="9" t="s">
        <v>252</v>
      </c>
      <c r="D157" s="9" t="s">
        <v>47107</v>
      </c>
      <c r="F157" s="36" t="str">
        <f t="shared" si="13"/>
        <v/>
      </c>
      <c r="L157" s="9" t="s">
        <v>47389</v>
      </c>
    </row>
    <row r="158" ht="15.75" customHeight="1">
      <c r="A158" s="9" t="s">
        <v>47390</v>
      </c>
      <c r="C158" s="9" t="s">
        <v>9922</v>
      </c>
      <c r="D158" s="9" t="s">
        <v>286</v>
      </c>
      <c r="F158" s="37" t="str">
        <f>HYPERLINK("https://mumucedric.wixsite.com/letiloryo", "https://mumucedric.wixsite.com/letiloryo")</f>
        <v>https://mumucedric.wixsite.com/letiloryo</v>
      </c>
    </row>
    <row r="159" ht="15.75" customHeight="1">
      <c r="A159" s="9" t="s">
        <v>47391</v>
      </c>
      <c r="C159" s="9" t="s">
        <v>5808</v>
      </c>
      <c r="D159" s="9" t="s">
        <v>286</v>
      </c>
      <c r="F159" s="37" t="str">
        <f>HYPERLINK("https://www.lemillepertuis.fr/", "https://www.lemillepertuis.fr/")</f>
        <v>https://www.lemillepertuis.fr/</v>
      </c>
    </row>
    <row r="160" ht="15.75" customHeight="1">
      <c r="A160" s="9" t="s">
        <v>47392</v>
      </c>
      <c r="C160" s="9" t="s">
        <v>11464</v>
      </c>
      <c r="D160" s="9" t="s">
        <v>286</v>
      </c>
      <c r="F160" s="37" t="str">
        <f>HYPERLINK("https://www.visitemonile.re/", "https://www.visitemonile.re/")</f>
        <v>https://www.visitemonile.re/</v>
      </c>
    </row>
    <row r="161" ht="15.75" customHeight="1">
      <c r="A161" s="9" t="s">
        <v>47393</v>
      </c>
      <c r="C161" s="9" t="s">
        <v>11489</v>
      </c>
      <c r="D161" s="9" t="s">
        <v>47107</v>
      </c>
      <c r="F161" s="36" t="str">
        <f>HYPERLINK("", "")</f>
        <v/>
      </c>
      <c r="L161" s="9" t="s">
        <v>22699</v>
      </c>
    </row>
    <row r="162" ht="15.75" customHeight="1">
      <c r="A162" s="9" t="s">
        <v>47394</v>
      </c>
      <c r="C162" s="9" t="s">
        <v>5461</v>
      </c>
      <c r="D162" s="9" t="s">
        <v>286</v>
      </c>
      <c r="F162" s="37" t="str">
        <f>HYPERLINK("https://www.la-maison-du-curcuma.fr/votre-producteur-depices-la-maison-du-curcuma", "https://www.la-maison-du-curcuma.fr/votre-producteur-depices-la-maison-du-curcuma")</f>
        <v>https://www.la-maison-du-curcuma.fr/votre-producteur-depices-la-maison-du-curcuma</v>
      </c>
    </row>
    <row r="163" ht="15.75" customHeight="1">
      <c r="A163" s="9" t="s">
        <v>47395</v>
      </c>
      <c r="C163" s="9" t="s">
        <v>11501</v>
      </c>
      <c r="D163" s="9" t="s">
        <v>286</v>
      </c>
      <c r="F163" s="37" t="str">
        <f>HYPERLINK("https://100pour100reunion.fr/portfolio/la-gourmandises-des-moches/", "https://100pour100reunion.fr/portfolio/la-gourmandises-des-moches/")</f>
        <v>https://100pour100reunion.fr/portfolio/la-gourmandises-des-moches/</v>
      </c>
    </row>
    <row r="164" ht="15.75" customHeight="1">
      <c r="A164" s="9" t="s">
        <v>47396</v>
      </c>
      <c r="C164" s="9" t="s">
        <v>11503</v>
      </c>
      <c r="D164" s="9" t="s">
        <v>286</v>
      </c>
      <c r="F164" s="37" t="str">
        <f>HYPERLINK("https://synergiesdamandine.com/", "https://synergiesdamandine.com/")</f>
        <v>https://synergiesdamandine.com/</v>
      </c>
    </row>
    <row r="165" ht="15.75" customHeight="1">
      <c r="A165" s="9" t="s">
        <v>47397</v>
      </c>
      <c r="C165" s="9" t="s">
        <v>276</v>
      </c>
      <c r="D165" s="9" t="s">
        <v>286</v>
      </c>
      <c r="F165" s="37" t="str">
        <f>HYPERLINK("http://www.kreolie4x4.com/", "http://www.kreolie4x4.com/")</f>
        <v>http://www.kreolie4x4.com/</v>
      </c>
    </row>
    <row r="166" ht="15.75" customHeight="1">
      <c r="A166" s="9" t="s">
        <v>47398</v>
      </c>
      <c r="C166" s="9" t="s">
        <v>10679</v>
      </c>
      <c r="D166" s="9" t="s">
        <v>47107</v>
      </c>
      <c r="F166" s="36" t="str">
        <f>HYPERLINK("", "")</f>
        <v/>
      </c>
      <c r="H166" s="9" t="s">
        <v>26184</v>
      </c>
      <c r="J166" s="9" t="s">
        <v>47399</v>
      </c>
      <c r="L166" s="9" t="s">
        <v>13154</v>
      </c>
    </row>
    <row r="167" ht="15.75" customHeight="1">
      <c r="A167" s="9" t="s">
        <v>47400</v>
      </c>
      <c r="C167" s="9" t="s">
        <v>11505</v>
      </c>
      <c r="D167" s="9" t="s">
        <v>286</v>
      </c>
      <c r="F167" s="37" t="str">
        <f>HYPERLINK("https://coeurdeville-tampon.re/reservation/", "https://coeurdeville-tampon.re/reservation/")</f>
        <v>https://coeurdeville-tampon.re/reservation/</v>
      </c>
    </row>
    <row r="168" ht="15.75" customHeight="1">
      <c r="A168" s="9" t="s">
        <v>47401</v>
      </c>
      <c r="C168" s="9" t="s">
        <v>11462</v>
      </c>
      <c r="D168" s="9" t="s">
        <v>286</v>
      </c>
      <c r="F168" s="37" t="str">
        <f>HYPERLINK("https://app.superhote.com/#/rental/propertyKeywiTQsjwItHkHhkdGIrYml9gRk?startDate=&amp;endDate=&amp;adultsNumber=1&amp;childrenNumber=0&amp;lang=fr", "https://app.superhote.com/#/rental/propertyKeywiTQsjwItHkHhkdGIrYml9gRk?startDate=&amp;endDate=&amp;adultsNumber=1&amp;childrenNumber=0&amp;lang=fr")</f>
        <v>https://app.superhote.com/#/rental/propertyKeywiTQsjwItHkHhkdGIrYml9gRk?startDate=&amp;endDate=&amp;adultsNumber=1&amp;childrenNumber=0&amp;lang=fr</v>
      </c>
    </row>
    <row r="169" ht="15.75" customHeight="1">
      <c r="A169" s="9" t="s">
        <v>47402</v>
      </c>
      <c r="C169" s="9" t="s">
        <v>11520</v>
      </c>
      <c r="D169" s="9" t="s">
        <v>286</v>
      </c>
      <c r="F169" s="37" t="str">
        <f>HYPERLINK("https://www.change-ecorce.fr/", "https://www.change-ecorce.fr/")</f>
        <v>https://www.change-ecorce.fr/</v>
      </c>
    </row>
    <row r="170" ht="15.75" customHeight="1">
      <c r="A170" s="9" t="s">
        <v>47403</v>
      </c>
      <c r="C170" s="9" t="s">
        <v>741</v>
      </c>
      <c r="D170" s="9" t="s">
        <v>286</v>
      </c>
      <c r="F170" s="37" t="str">
        <f>HYPERLINK("https://www.arbreduvoyageur.re/", "https://www.arbreduvoyageur.re/")</f>
        <v>https://www.arbreduvoyageur.re/</v>
      </c>
    </row>
    <row r="171" ht="15.75" customHeight="1">
      <c r="A171" s="9" t="s">
        <v>47404</v>
      </c>
      <c r="C171" s="9" t="s">
        <v>11518</v>
      </c>
      <c r="D171" s="9" t="s">
        <v>286</v>
      </c>
      <c r="F171" s="37" t="str">
        <f>HYPERLINK("https://sites.google.com/view/isdrawing974/accueil?fbclid=IwY2xjawH-vMBleHRuA2FlbQIxMAABHfixki-7sUnWh0M9zb07Bm6VYeG5ep58ce_6KxSj1thkIROs0eFVpCv8rQ_aem_C3i5tu70f-W1lDgOB4oOag", "Le site internet")</f>
        <v>Le site internet</v>
      </c>
      <c r="K171" s="9" t="s">
        <v>47405</v>
      </c>
    </row>
    <row r="172" ht="15.75" customHeight="1">
      <c r="A172" s="9" t="s">
        <v>47406</v>
      </c>
      <c r="C172" s="9" t="s">
        <v>11518</v>
      </c>
      <c r="D172" s="9" t="s">
        <v>286</v>
      </c>
      <c r="F172" s="37" t="str">
        <f>HYPERLINK("https://isdrawing974.sumupstore.com/", "https://isdrawing974.sumupstore.com/")</f>
        <v>https://isdrawing974.sumupstore.com/</v>
      </c>
    </row>
    <row r="173" ht="15.75" customHeight="1">
      <c r="A173" s="9" t="s">
        <v>47407</v>
      </c>
      <c r="C173" s="9" t="s">
        <v>237</v>
      </c>
      <c r="D173" s="9" t="s">
        <v>286</v>
      </c>
      <c r="F173" s="37" t="str">
        <f>HYPERLINK("https://www.igesa.fr/igesa/qui-sommes-nous", "https://www.igesa.fr/igesa/qui-sommes-nous")</f>
        <v>https://www.igesa.fr/igesa/qui-sommes-nous</v>
      </c>
      <c r="H173" s="9"/>
      <c r="I173" s="9"/>
      <c r="L173" s="9"/>
    </row>
    <row r="174" ht="15.75" customHeight="1">
      <c r="A174" s="9" t="s">
        <v>47408</v>
      </c>
      <c r="C174" s="52" t="s">
        <v>22842</v>
      </c>
      <c r="D174" s="9" t="s">
        <v>286</v>
      </c>
      <c r="F174" s="37" t="str">
        <f t="shared" ref="F174:F175" si="14">HYPERLINK("https://allonslareunion.com/hebergement-reunion/bungalows--chalets/g-komo/index.html", "https://allonslareunion.com/hebergement-reunion/bungalows--chalets/g-komo/index.html")</f>
        <v>https://allonslareunion.com/hebergement-reunion/bungalows--chalets/g-komo/index.html</v>
      </c>
    </row>
    <row r="175" ht="15.75" customHeight="1">
      <c r="A175" s="9" t="s">
        <v>47409</v>
      </c>
      <c r="C175" s="9" t="s">
        <v>11528</v>
      </c>
      <c r="D175" s="9" t="s">
        <v>286</v>
      </c>
      <c r="F175" s="37" t="str">
        <f t="shared" si="14"/>
        <v>https://allonslareunion.com/hebergement-reunion/bungalows--chalets/g-komo/index.html</v>
      </c>
    </row>
    <row r="176" ht="15.75" customHeight="1">
      <c r="A176" s="9" t="s">
        <v>47410</v>
      </c>
      <c r="C176" s="9" t="s">
        <v>605</v>
      </c>
      <c r="D176" s="9" t="s">
        <v>286</v>
      </c>
      <c r="F176" s="37" t="str">
        <f>HYPERLINK("https://www.scealesplatanes.com/", "https://www.scealesplatanes.com/")</f>
        <v>https://www.scealesplatanes.com/</v>
      </c>
    </row>
    <row r="177" ht="15.75" customHeight="1">
      <c r="A177" s="9" t="s">
        <v>47411</v>
      </c>
      <c r="C177" s="9" t="s">
        <v>11740</v>
      </c>
      <c r="D177" s="9" t="s">
        <v>286</v>
      </c>
      <c r="F177" s="37" t="str">
        <f>HYPERLINK("https://le-muguet-sauvage.lodgify.com/", "https://le-muguet-sauvage.lodgify.com/")</f>
        <v>https://le-muguet-sauvage.lodgify.com/</v>
      </c>
    </row>
    <row r="178" ht="15.75" customHeight="1">
      <c r="A178" s="9" t="s">
        <v>47412</v>
      </c>
      <c r="C178" s="9" t="s">
        <v>8549</v>
      </c>
      <c r="D178" s="9" t="s">
        <v>286</v>
      </c>
      <c r="F178" s="37" t="str">
        <f>HYPERLINK("https://buggsbuggy974.re/", "https://buggsbuggy974.re/")</f>
        <v>https://buggsbuggy974.re/</v>
      </c>
    </row>
    <row r="179" ht="15.75" customHeight="1">
      <c r="A179" s="9" t="s">
        <v>47413</v>
      </c>
      <c r="C179" s="9" t="s">
        <v>11498</v>
      </c>
      <c r="D179" s="9" t="s">
        <v>286</v>
      </c>
      <c r="F179" s="37" t="str">
        <f>HYPERLINK("https://www.domaine-kmzero.com/", "https://www.domaine-kmzero.com/")</f>
        <v>https://www.domaine-kmzero.com/</v>
      </c>
    </row>
    <row r="180" ht="15.75" customHeight="1">
      <c r="A180" s="9" t="s">
        <v>47414</v>
      </c>
      <c r="C180" s="9" t="s">
        <v>11537</v>
      </c>
      <c r="D180" s="9" t="s">
        <v>286</v>
      </c>
      <c r="F180" s="37" t="str">
        <f>HYPERLINK("https://www.location-velo-electrique-974.fr/?fbclid=IwY2xjawIWszJleHRuA2FlbQIxMAABHaRK_IDn0KrND5qHC3g10zn90005eC-X9ypG6ofxQKdqe4trxYvnZX3HAg_aem_MjnPlW49oSczhMfMbHNH4w", "https://www.location-velo-electrique-974.fr/?fbclid=IwY2xjawIWszJleHRuA2FlbQIxMAABHaRK_IDn0KrND5qHC3g10zn90005eC-X9ypG6ofxQKdqe4trxYvnZX3HAg_aem_MjnPlW49oSczhMfMbHNH4w")</f>
        <v>https://www.location-velo-electrique-974.fr/?fbclid=IwY2xjawIWszJleHRuA2FlbQIxMAABHaRK_IDn0KrND5qHC3g10zn90005eC-X9ypG6ofxQKdqe4trxYvnZX3HAg_aem_MjnPlW49oSczhMfMbHNH4w</v>
      </c>
    </row>
    <row r="181" ht="15.75" customHeight="1">
      <c r="A181" s="9" t="s">
        <v>47415</v>
      </c>
      <c r="C181" s="9" t="s">
        <v>10370</v>
      </c>
      <c r="D181" s="9" t="s">
        <v>286</v>
      </c>
      <c r="F181" s="37" t="str">
        <f>HYPERLINK("https://tisaneduvolcan.com/", "https://tisaneduvolcan.com/")</f>
        <v>https://tisaneduvolcan.com/</v>
      </c>
    </row>
    <row r="182" ht="15.75" customHeight="1">
      <c r="A182" s="9" t="s">
        <v>47416</v>
      </c>
      <c r="C182" s="9" t="s">
        <v>11509</v>
      </c>
      <c r="D182" s="9" t="s">
        <v>286</v>
      </c>
      <c r="F182" s="37" t="str">
        <f>HYPERLINK("https://contacttropicalede.wixsite.com/monsite-1?fbclid=IwY2xjawIZVwlleHRuA2FlbQIxMAABHTDG8qAJjbhcnOs1u_DH1HxrKd7d15wPcZxjVKWv4FsQiII6WkRNNebDXA_aem_8Rkh2rjpyweTCHSO9_7u1w", "https://contacttropicalede.wixsite.com/monsite-1?fbclid=IwY2xjawIZVwlleHRuA2FlbQIxMAABHTDG8qAJjbhcnOs1u_DH1HxrKd7d15wPcZxjVKWv4FsQiII6WkRNNebDXA_aem_8Rkh2rjpyweTCHSO9_7u1w")</f>
        <v>https://contacttropicalede.wixsite.com/monsite-1?fbclid=IwY2xjawIZVwlleHRuA2FlbQIxMAABHTDG8qAJjbhcnOs1u_DH1HxrKd7d15wPcZxjVKWv4FsQiII6WkRNNebDXA_aem_8Rkh2rjpyweTCHSO9_7u1w</v>
      </c>
    </row>
    <row r="183" ht="15.75" customHeight="1">
      <c r="A183" s="9" t="s">
        <v>47417</v>
      </c>
      <c r="C183" s="9" t="s">
        <v>6554</v>
      </c>
      <c r="D183" s="9" t="s">
        <v>286</v>
      </c>
      <c r="F183" s="37" t="str">
        <f>HYPERLINK("https://leplatgarni.re/", "https://leplatgarni.re/")</f>
        <v>https://leplatgarni.re/</v>
      </c>
    </row>
    <row r="184" ht="15.75" customHeight="1">
      <c r="A184" s="9" t="s">
        <v>47418</v>
      </c>
      <c r="C184" s="9" t="s">
        <v>11539</v>
      </c>
      <c r="D184" s="9" t="s">
        <v>286</v>
      </c>
      <c r="F184" s="37" t="str">
        <f>HYPERLINK("https://lechaletdesecuries.re", "https://lechaletdesecuries.re")</f>
        <v>https://lechaletdesecuries.re</v>
      </c>
    </row>
    <row r="185" ht="15.75" customHeight="1">
      <c r="A185" s="9" t="s">
        <v>47419</v>
      </c>
      <c r="C185" s="9" t="s">
        <v>11541</v>
      </c>
      <c r="D185" s="9" t="s">
        <v>286</v>
      </c>
      <c r="F185" s="37" t="str">
        <f>HYPERLINK("https://5a-transports.fr/prestations/#circuits", "https://5a-transports.fr/prestations/#circuits")</f>
        <v>https://5a-transports.fr/prestations/#circuits</v>
      </c>
    </row>
    <row r="186" ht="15.75" customHeight="1">
      <c r="A186" s="9" t="s">
        <v>47420</v>
      </c>
      <c r="C186" s="9" t="s">
        <v>10498</v>
      </c>
      <c r="D186" s="9" t="s">
        <v>286</v>
      </c>
      <c r="F186" s="37" t="str">
        <f>HYPERLINK("https://lileovertsaunabienetremeubletouristique.bookinbeautiful.fr/", "https://lileovertsaunabienetremeubletouristique.bookinbeautiful.fr/")</f>
        <v>https://lileovertsaunabienetremeubletouristique.bookinbeautiful.fr/</v>
      </c>
    </row>
    <row r="187" ht="15.75" customHeight="1">
      <c r="A187" s="9" t="s">
        <v>47421</v>
      </c>
      <c r="C187" s="9" t="s">
        <v>8114</v>
      </c>
      <c r="D187" s="9" t="s">
        <v>286</v>
      </c>
      <c r="F187" s="37" t="str">
        <f>HYPERLINK("https://www.allseasonreunion.com/location/villa-entre-deux-les-villas-mandarines-463561.html", "https://www.allseasonreunion.com/location/villa-entre-deux-les-villas-mandarines-463561.html")</f>
        <v>https://www.allseasonreunion.com/location/villa-entre-deux-les-villas-mandarines-463561.html</v>
      </c>
    </row>
    <row r="188" ht="15.75" customHeight="1">
      <c r="A188" s="9" t="s">
        <v>47422</v>
      </c>
      <c r="C188" s="9" t="s">
        <v>11547</v>
      </c>
      <c r="D188" s="9" t="s">
        <v>286</v>
      </c>
      <c r="F188" s="37" t="str">
        <f>HYPERLINK("https://paa.ge/villavetiver/fr?fbclid=IwY2xjawJNxU9leHRuA2FlbQIxMAABHcA2f1f6YwE-XzUm3Q4ENMhDpWiAYKf3I4Onz5qvwKp0CJP60E-edgEqoA_aem_9vchK6mL9UWcSuiPaLImeA", "https://paa.ge/villavetiver/fr?fbclid=IwY2xjawJNxU9leHRuA2FlbQIxMAABHcA2f1f6YwE-XzUm3Q4ENMhDpWiAYKf3I4Onz5qvwKp0CJP60E-edgEqoA_aem_9vchK6mL9UWcSuiPaLImeA")</f>
        <v>https://paa.ge/villavetiver/fr?fbclid=IwY2xjawJNxU9leHRuA2FlbQIxMAABHcA2f1f6YwE-XzUm3Q4ENMhDpWiAYKf3I4Onz5qvwKp0CJP60E-edgEqoA_aem_9vchK6mL9UWcSuiPaLImeA</v>
      </c>
    </row>
    <row r="189" ht="15.75" customHeight="1">
      <c r="A189" s="9" t="s">
        <v>47423</v>
      </c>
      <c r="C189" s="9" t="s">
        <v>267</v>
      </c>
      <c r="D189" s="9" t="s">
        <v>286</v>
      </c>
      <c r="F189" s="37" t="str">
        <f>HYPERLINK("https://book.reunion.fr/fr/voir-faire/1596536/de-la-feuille-%C3%A0-la-racine-visite-guid%C3%A9e/afficher-les-details", "Réservation visites city break ")</f>
        <v>Réservation visites city break </v>
      </c>
    </row>
    <row r="190" ht="15.75" customHeight="1">
      <c r="A190" s="9" t="s">
        <v>47424</v>
      </c>
      <c r="C190" s="9" t="s">
        <v>11558</v>
      </c>
      <c r="D190" s="9" t="s">
        <v>286</v>
      </c>
      <c r="F190" s="37" t="str">
        <f>HYPERLINK(" www.timacaronpei.re", " www.timacaronpei.re")</f>
        <v> www.timacaronpei.re</v>
      </c>
    </row>
    <row r="191" ht="15.75" customHeight="1">
      <c r="A191" s="9" t="s">
        <v>47425</v>
      </c>
      <c r="C191" s="9" t="s">
        <v>11560</v>
      </c>
      <c r="D191" s="9" t="s">
        <v>286</v>
      </c>
      <c r="F191" s="37" t="str">
        <f>HYPERLINK("https://www.leszaventuriers.com/", "https://www.leszaventuriers.com/")</f>
        <v>https://www.leszaventuriers.com/</v>
      </c>
    </row>
    <row r="192" ht="15.75" customHeight="1">
      <c r="A192" s="9" t="s">
        <v>47426</v>
      </c>
      <c r="C192" s="9" t="s">
        <v>11562</v>
      </c>
      <c r="D192" s="9" t="s">
        <v>286</v>
      </c>
      <c r="F192" s="37" t="str">
        <f>HYPERLINK("https://labib.re/", "https://labib.re/")</f>
        <v>https://labib.re/</v>
      </c>
    </row>
    <row r="193" ht="15.75" customHeight="1">
      <c r="A193" s="9" t="s">
        <v>47427</v>
      </c>
      <c r="C193" s="9" t="s">
        <v>11567</v>
      </c>
      <c r="D193" s="9" t="s">
        <v>286</v>
      </c>
      <c r="F193" s="37" t="str">
        <f>HYPERLINK("https://www.gites-de-france.com/fr/reunion/reunion/gite-mont-nature-h97g029449#location", "https://www.gites-de-france.com/fr/reunion/reunion/gite-mont-nature-h97g029449#location")</f>
        <v>https://www.gites-de-france.com/fr/reunion/reunion/gite-mont-nature-h97g029449#location</v>
      </c>
    </row>
    <row r="194" ht="15.75" customHeight="1">
      <c r="A194" s="9" t="s">
        <v>47428</v>
      </c>
      <c r="C194" s="9" t="s">
        <v>8644</v>
      </c>
      <c r="D194" s="9" t="s">
        <v>286</v>
      </c>
      <c r="F194" s="37" t="str">
        <f>HYPERLINK("https://www.caseaupiedduvolcan.com/", "https://www.caseaupiedduvolcan.com/")</f>
        <v>https://www.caseaupiedduvolcan.com/</v>
      </c>
    </row>
    <row r="195" ht="15.75" customHeight="1">
      <c r="A195" s="9" t="s">
        <v>47429</v>
      </c>
      <c r="C195" s="9" t="s">
        <v>11578</v>
      </c>
      <c r="D195" s="9" t="s">
        <v>286</v>
      </c>
      <c r="F195" s="37" t="str">
        <f>HYPERLINK("https://tioasis-manapany.fr/", "https://tioasis-manapany.fr/")</f>
        <v>https://tioasis-manapany.fr/</v>
      </c>
    </row>
    <row r="196" ht="15.75" customHeight="1">
      <c r="A196" s="9" t="s">
        <v>47430</v>
      </c>
      <c r="C196" s="9" t="s">
        <v>10440</v>
      </c>
      <c r="D196" s="9" t="s">
        <v>286</v>
      </c>
      <c r="F196" s="37" t="str">
        <f>HYPERLINK("https://www.casevido.com/fr", "https://www.casevido.com/fr")</f>
        <v>https://www.casevido.com/fr</v>
      </c>
    </row>
    <row r="197" ht="15.75" customHeight="1">
      <c r="A197" s="9" t="s">
        <v>47431</v>
      </c>
      <c r="C197" s="9" t="s">
        <v>12027</v>
      </c>
      <c r="D197" s="9" t="s">
        <v>286</v>
      </c>
      <c r="F197" s="37" t="str">
        <f>HYPERLINK("https://beds24.com/booking2.php?propid=151283&amp;fbclid=IwY2xjawKg2ZxleHRuA2FlbQIxMABicmlkETFhdlFIUVprdDNnQXhxVXVSAR4BIgGznwGVXY-8lfn7F70Inwne8Ax3yqvmN243hOUiYF71NU1juE_4xj0W2g_aem_lFxuQFjKUK_Cw73Acr7BCg", "https://beds24.com/booking2.php?propid=151283&amp;fbclid=IwY2xjawKg2ZxleHRuA2FlbQIxMABicmlkETFhdlFIUVprdDNnQXhxVXVSAR4BIgGznwGVXY-8lfn7F70Inwne8Ax3yqvmN243hOUiYF71NU1juE_4xj0W2g_aem_lFxuQFjKUK_Cw73Acr7BCg")</f>
        <v>https://beds24.com/booking2.php?propid=151283&amp;fbclid=IwY2xjawKg2ZxleHRuA2FlbQIxMABicmlkETFhdlFIUVprdDNnQXhxVXVSAR4BIgGznwGVXY-8lfn7F70Inwne8Ax3yqvmN243hOUiYF71NU1juE_4xj0W2g_aem_lFxuQFjKUK_Cw73Acr7BCg</v>
      </c>
    </row>
    <row r="198" ht="15.75" customHeight="1">
      <c r="A198" s="9" t="s">
        <v>47432</v>
      </c>
      <c r="C198" s="9" t="s">
        <v>1787</v>
      </c>
      <c r="D198" s="9" t="s">
        <v>286</v>
      </c>
      <c r="F198" s="37" t="str">
        <f>HYPERLINK("https://patjaune.com/", "https://patjaune.com/")</f>
        <v>https://patjaune.com/</v>
      </c>
    </row>
    <row r="199" ht="15.75" customHeight="1">
      <c r="A199" s="9" t="s">
        <v>47433</v>
      </c>
      <c r="C199" s="9" t="s">
        <v>23262</v>
      </c>
      <c r="D199" s="9" t="s">
        <v>286</v>
      </c>
      <c r="F199" s="37" t="str">
        <f>HYPERLINK("https://sucette-evenement-974.fr/", "https://sucette-evenement-974.fr/")</f>
        <v>https://sucette-evenement-974.fr/</v>
      </c>
    </row>
    <row r="200" ht="15.75" customHeight="1">
      <c r="A200" s="9" t="s">
        <v>47434</v>
      </c>
      <c r="C200" s="9" t="s">
        <v>7631</v>
      </c>
      <c r="D200" s="9" t="s">
        <v>286</v>
      </c>
      <c r="F200" s="37" t="str">
        <f>HYPERLINK("https://www.les-gites-de-signole.re/suite-chatet-de-charme-toi_moi-plaine-des-cafres.H.htm", "https://www.les-gites-de-signole.re/suite-chatet-de-charme-toi_moi-plaine-des-cafres.H.htm")</f>
        <v>https://www.les-gites-de-signole.re/suite-chatet-de-charme-toi_moi-plaine-des-cafres.H.htm</v>
      </c>
    </row>
    <row r="201" ht="15.75" customHeight="1">
      <c r="A201" s="9" t="s">
        <v>47435</v>
      </c>
      <c r="C201" s="9" t="s">
        <v>271</v>
      </c>
      <c r="D201" s="9" t="s">
        <v>286</v>
      </c>
      <c r="F201" s="37" t="str">
        <f>HYPERLINK("https://www.la-plantation.re/fr/", "https://www.la-plantation.re/fr/")</f>
        <v>https://www.la-plantation.re/fr/</v>
      </c>
    </row>
    <row r="202" ht="15.75" customHeight="1">
      <c r="A202" s="9" t="s">
        <v>47436</v>
      </c>
      <c r="C202" s="9" t="s">
        <v>1854</v>
      </c>
      <c r="D202" s="9" t="s">
        <v>286</v>
      </c>
      <c r="F202" s="37" t="str">
        <f>HYPERLINK("https://entre2songes.re/index.php/fr/", "https://entre2songes.re/index.php/fr/")</f>
        <v>https://entre2songes.re/index.php/fr/</v>
      </c>
    </row>
    <row r="203" ht="15.75" customHeight="1">
      <c r="A203" s="9" t="s">
        <v>47437</v>
      </c>
      <c r="C203" s="9" t="s">
        <v>2736</v>
      </c>
      <c r="D203" s="9" t="s">
        <v>286</v>
      </c>
      <c r="F203" s="37" t="str">
        <f>HYPERLINK("https://www.coco-vanille.com/reserver.html?fbclid=IwY2xjawLwEEpleHRuA2FlbQIxMABicmlkETFrN3ZiREpsV3VySm51TGdLAR7lxHvLQPxDaaiIGO0o2FBiLO16ndY96LLgTiB-5fXWcr3c_t3cCqOl9GpwOg_aem_Vuk37joh4HRyLwliB_syDA", "https://www.coco-vanille.com/reserver.html?fbclid=IwY2xjawLwEEpleHRuA2FlbQIxMABicmlkETFrN3ZiREpsV3VySm51TGdLAR7lxHvLQPxDaaiIGO0o2FBiLO16ndY96LLgTiB-5fXWcr3c_t3cCqOl9GpwOg_aem_Vuk37joh4HRyLwliB_syDA")</f>
        <v>https://www.coco-vanille.com/reserver.html?fbclid=IwY2xjawLwEEpleHRuA2FlbQIxMABicmlkETFrN3ZiREpsV3VySm51TGdLAR7lxHvLQPxDaaiIGO0o2FBiLO16ndY96LLgTiB-5fXWcr3c_t3cCqOl9GpwOg_aem_Vuk37joh4HRyLwliB_syDA</v>
      </c>
    </row>
    <row r="204" ht="15.75" customHeight="1">
      <c r="A204" s="9" t="s">
        <v>47438</v>
      </c>
      <c r="C204" s="9" t="s">
        <v>9039</v>
      </c>
      <c r="D204" s="9" t="s">
        <v>286</v>
      </c>
      <c r="F204" s="37" t="str">
        <f>HYPERLINK("https://www.bienvenue-a-la-ferme.com/dom-tom/reunion/st-philippe/ferme/ti-planteur/630994?fbclid=IwY2xjawLwLrRleHRuA2FlbQIxMABicmlkETFrN3ZiREpsV3VySm51TGdLAR6azS5XtGnoxgF1SZGpX06O4W6b9GJZYd6HDOAbFEFsC93DmSrLzMshPtO1cQ_aem_qJMCmWj6m17f_kVO6-lRxg", "https://www.bienvenue-a-la-ferme.com/dom-tom/reunion/st-philippe/ferme/ti-planteur/630994?fbclid=IwY2xjawLwLrRleHRuA2FlbQIxMABicmlkETFrN3ZiREpsV3VySm51TGdLAR6azS5XtGnoxgF1SZGpX06O4W6b9GJZYd6HDOAbFEFsC93DmSrLzMshPtO1cQ_aem_qJMCmWj6m17f_kVO6-lRxg")</f>
        <v>https://www.bienvenue-a-la-ferme.com/dom-tom/reunion/st-philippe/ferme/ti-planteur/630994?fbclid=IwY2xjawLwLrRleHRuA2FlbQIxMABicmlkETFrN3ZiREpsV3VySm51TGdLAR6azS5XtGnoxgF1SZGpX06O4W6b9GJZYd6HDOAbFEFsC93DmSrLzMshPtO1cQ_aem_qJMCmWj6m17f_kVO6-lRxg</v>
      </c>
    </row>
    <row r="205" ht="15.75" customHeight="1">
      <c r="A205" s="9" t="s">
        <v>47439</v>
      </c>
      <c r="C205" s="9" t="s">
        <v>4045</v>
      </c>
      <c r="D205" s="9" t="s">
        <v>286</v>
      </c>
      <c r="F205" s="37" t="str">
        <f>HYPERLINK("https://www.gites-de-france.com/fr/reunion/reunion/four-pain-h97h011627", "https://www.gites-de-france.com/fr/reunion/reunion/four-pain-h97h011627")</f>
        <v>https://www.gites-de-france.com/fr/reunion/reunion/four-pain-h97h011627</v>
      </c>
    </row>
    <row r="206" ht="15.75" customHeight="1">
      <c r="A206" s="9" t="s">
        <v>47440</v>
      </c>
      <c r="C206" s="9" t="s">
        <v>23342</v>
      </c>
      <c r="D206" s="9" t="s">
        <v>286</v>
      </c>
      <c r="F206" s="37" t="str">
        <f>HYPERLINK("https://www.kreol-tours-reunion.com/", "https://www.kreol-tours-reunion.com/")</f>
        <v>https://www.kreol-tours-reunion.com/</v>
      </c>
    </row>
    <row r="207" ht="15.75" customHeight="1">
      <c r="A207" s="9" t="s">
        <v>47441</v>
      </c>
      <c r="C207" s="9" t="s">
        <v>11621</v>
      </c>
      <c r="D207" s="9" t="s">
        <v>47107</v>
      </c>
      <c r="F207" s="36" t="str">
        <f>HYPERLINK("", "")</f>
        <v/>
      </c>
      <c r="H207" s="9" t="s">
        <v>26660</v>
      </c>
      <c r="I207" s="9" t="s">
        <v>47442</v>
      </c>
      <c r="J207" s="9" t="s">
        <v>47443</v>
      </c>
      <c r="L207" s="9" t="s">
        <v>47444</v>
      </c>
    </row>
    <row r="208" ht="15.75" customHeight="1">
      <c r="A208" s="9" t="s">
        <v>47445</v>
      </c>
      <c r="C208" s="9" t="s">
        <v>23394</v>
      </c>
      <c r="D208" s="9" t="s">
        <v>286</v>
      </c>
      <c r="F208" s="37" t="str">
        <f>HYPERLINK("https://www.gites-de-france-reunion.com/fr/location/gites-groupe-le-tampon-gite-d-etape-l-hydrangea-h97p030836", "https://www.gites-de-france-reunion.com/fr/location/gites-groupe-le-tampon-gite-d-etape-l-hydrangea-h97p030836")</f>
        <v>https://www.gites-de-france-reunion.com/fr/location/gites-groupe-le-tampon-gite-d-etape-l-hydrangea-h97p030836</v>
      </c>
    </row>
    <row r="209" ht="15.75" customHeight="1">
      <c r="A209" s="9" t="s">
        <v>47446</v>
      </c>
      <c r="C209" s="9" t="s">
        <v>23373</v>
      </c>
      <c r="D209" s="9" t="s">
        <v>286</v>
      </c>
      <c r="F209" s="37" t="str">
        <f>HYPERLINK("https://www.gites-de-france-reunion.com/fr/location/location-gite-le-tampon-gite-le-dahlia-hydrangea-h97g029989?capacity=2", "https://www.gites-de-france-reunion.com/fr/location/location-gite-le-tampon-gite-le-dahlia-hydrangea-h97g029989?capacity=2")</f>
        <v>https://www.gites-de-france-reunion.com/fr/location/location-gite-le-tampon-gite-le-dahlia-hydrangea-h97g029989?capacity=2</v>
      </c>
    </row>
    <row r="210" ht="15.75" customHeight="1">
      <c r="A210" s="9" t="s">
        <v>47447</v>
      </c>
      <c r="C210" s="9" t="s">
        <v>23387</v>
      </c>
      <c r="D210" s="9" t="s">
        <v>286</v>
      </c>
      <c r="F210" s="37" t="str">
        <f>HYPERLINK("https://www.gites-de-france-reunion.com/fr/location/location-gite-le-tampon-gite-le-prunier-hydrangea-h97g029998", "https://www.gites-de-france-reunion.com/fr/location/location-gite-le-tampon-gite-le-prunier-hydrangea-h97g029998")</f>
        <v>https://www.gites-de-france-reunion.com/fr/location/location-gite-le-tampon-gite-le-prunier-hydrangea-h97g029998</v>
      </c>
    </row>
    <row r="211" ht="15.75" customHeight="1">
      <c r="A211" s="9" t="s">
        <v>47448</v>
      </c>
      <c r="C211" s="9" t="s">
        <v>11621</v>
      </c>
      <c r="D211" s="9" t="s">
        <v>47107</v>
      </c>
      <c r="F211" s="36" t="str">
        <f>HYPERLINK("", "")</f>
        <v/>
      </c>
      <c r="H211" s="9" t="s">
        <v>26660</v>
      </c>
      <c r="I211" s="9" t="s">
        <v>24443</v>
      </c>
      <c r="J211" s="9" t="s">
        <v>24390</v>
      </c>
      <c r="K211" s="9" t="s">
        <v>47449</v>
      </c>
      <c r="L211" s="9" t="s">
        <v>47450</v>
      </c>
    </row>
    <row r="212" ht="15.75" customHeight="1">
      <c r="A212" s="9" t="s">
        <v>47451</v>
      </c>
      <c r="C212" s="9" t="s">
        <v>23430</v>
      </c>
      <c r="D212" s="9" t="s">
        <v>286</v>
      </c>
      <c r="F212" s="37" t="str">
        <f>HYPERLINK("https://www.pagesjaunes.fr/pros/63959356", "https://www.pagesjaunes.fr/pros/63959356")</f>
        <v>https://www.pagesjaunes.fr/pros/63959356</v>
      </c>
    </row>
    <row r="213" ht="15.75" customHeight="1">
      <c r="A213" s="9" t="s">
        <v>47452</v>
      </c>
      <c r="C213" s="9" t="s">
        <v>8858</v>
      </c>
      <c r="D213" s="9" t="s">
        <v>286</v>
      </c>
      <c r="F213" s="37" t="str">
        <f>HYPERLINK("https://www.locationdevacancealareunionsudsauvage.fr/nos-logements", "https://www.locationdevacancealareunionsudsauvage.fr/nos-logements")</f>
        <v>https://www.locationdevacancealareunionsudsauvage.fr/nos-logements</v>
      </c>
    </row>
    <row r="214" ht="15.75" customHeight="1">
      <c r="A214" s="9" t="s">
        <v>47453</v>
      </c>
      <c r="C214" s="9" t="s">
        <v>11633</v>
      </c>
      <c r="D214" s="9" t="s">
        <v>47107</v>
      </c>
      <c r="F214" s="36" t="str">
        <f>HYPERLINK("", "")</f>
        <v/>
      </c>
      <c r="H214" s="9" t="s">
        <v>47454</v>
      </c>
      <c r="I214" s="9" t="s">
        <v>47455</v>
      </c>
      <c r="J214" s="9" t="s">
        <v>47456</v>
      </c>
      <c r="L214" s="9" t="s">
        <v>47457</v>
      </c>
    </row>
    <row r="215" ht="15.75" customHeight="1">
      <c r="A215" s="9" t="s">
        <v>47458</v>
      </c>
      <c r="C215" s="9" t="s">
        <v>23463</v>
      </c>
      <c r="D215" s="9" t="s">
        <v>286</v>
      </c>
      <c r="F215" s="37" t="str">
        <f>HYPERLINK("https://www.gites.fr/gites_la-tit-kaz-begonia-vue-montagne_saint-philippe_h7598901.htm", "https://www.gites.fr/gites_la-tit-kaz-begonia-vue-montagne_saint-philippe_h7598901.htm")</f>
        <v>https://www.gites.fr/gites_la-tit-kaz-begonia-vue-montagne_saint-philippe_h7598901.htm</v>
      </c>
    </row>
    <row r="216" ht="15.75" customHeight="1">
      <c r="A216" s="9" t="s">
        <v>47459</v>
      </c>
      <c r="C216" s="9" t="s">
        <v>255</v>
      </c>
      <c r="D216" s="9" t="s">
        <v>47107</v>
      </c>
      <c r="F216" s="36" t="str">
        <f>HYPERLINK("", "")</f>
        <v/>
      </c>
      <c r="H216" s="9" t="s">
        <v>85</v>
      </c>
      <c r="I216" s="9" t="s">
        <v>26541</v>
      </c>
      <c r="J216" s="9" t="s">
        <v>47460</v>
      </c>
      <c r="L216" s="9" t="s">
        <v>47461</v>
      </c>
    </row>
    <row r="217" ht="15.75" customHeight="1">
      <c r="A217" s="9" t="s">
        <v>47462</v>
      </c>
      <c r="C217" s="9" t="s">
        <v>248</v>
      </c>
      <c r="D217" s="9" t="s">
        <v>286</v>
      </c>
      <c r="F217" s="37" t="str">
        <f t="shared" ref="F217:F220" si="15">HYPERLINK("http://www.couleursdusudsauvage.com/", "http://www.couleursdusudsauvage.com/")</f>
        <v>http://www.couleursdusudsauvage.com/</v>
      </c>
    </row>
    <row r="218" ht="15.75" customHeight="1">
      <c r="A218" s="9" t="s">
        <v>47463</v>
      </c>
      <c r="C218" s="9" t="s">
        <v>10363</v>
      </c>
      <c r="D218" s="9" t="s">
        <v>286</v>
      </c>
      <c r="F218" s="37" t="str">
        <f t="shared" si="15"/>
        <v>http://www.couleursdusudsauvage.com/</v>
      </c>
    </row>
    <row r="219" ht="15.75" customHeight="1">
      <c r="A219" s="9" t="s">
        <v>47464</v>
      </c>
      <c r="C219" s="9" t="s">
        <v>11600</v>
      </c>
      <c r="D219" s="9" t="s">
        <v>286</v>
      </c>
      <c r="F219" s="37" t="str">
        <f t="shared" si="15"/>
        <v>http://www.couleursdusudsauvage.com/</v>
      </c>
    </row>
    <row r="220" ht="15.75" customHeight="1">
      <c r="A220" s="9" t="s">
        <v>47465</v>
      </c>
      <c r="C220" s="9" t="s">
        <v>11368</v>
      </c>
      <c r="D220" s="9" t="s">
        <v>286</v>
      </c>
      <c r="F220" s="37" t="str">
        <f t="shared" si="15"/>
        <v>http://www.couleursdusudsauvage.com/</v>
      </c>
    </row>
    <row r="221" ht="15.75" customHeight="1">
      <c r="A221" s="9" t="s">
        <v>47466</v>
      </c>
      <c r="C221" s="9" t="s">
        <v>23531</v>
      </c>
      <c r="D221" s="9" t="s">
        <v>47107</v>
      </c>
      <c r="F221" s="36" t="str">
        <f t="shared" ref="F221:F224" si="16">HYPERLINK("", "")</f>
        <v/>
      </c>
      <c r="H221" s="9" t="s">
        <v>27370</v>
      </c>
      <c r="I221" s="9" t="s">
        <v>25264</v>
      </c>
      <c r="J221" s="9" t="s">
        <v>47240</v>
      </c>
      <c r="L221" s="9" t="s">
        <v>47467</v>
      </c>
    </row>
    <row r="222" ht="15.75" customHeight="1">
      <c r="A222" s="9" t="s">
        <v>47468</v>
      </c>
      <c r="C222" s="9" t="s">
        <v>23531</v>
      </c>
      <c r="D222" s="9" t="s">
        <v>47107</v>
      </c>
      <c r="F222" s="36" t="str">
        <f t="shared" si="16"/>
        <v/>
      </c>
      <c r="H222" s="9" t="s">
        <v>47469</v>
      </c>
      <c r="I222" s="9" t="s">
        <v>61</v>
      </c>
      <c r="J222" s="9" t="s">
        <v>47231</v>
      </c>
      <c r="L222" s="9" t="s">
        <v>47470</v>
      </c>
    </row>
    <row r="223" ht="15.75" customHeight="1">
      <c r="A223" s="9" t="s">
        <v>47471</v>
      </c>
      <c r="C223" s="9" t="s">
        <v>23515</v>
      </c>
      <c r="D223" s="9" t="s">
        <v>47107</v>
      </c>
      <c r="F223" s="36" t="str">
        <f t="shared" si="16"/>
        <v/>
      </c>
      <c r="H223" s="9" t="s">
        <v>47469</v>
      </c>
      <c r="I223" s="9" t="s">
        <v>61</v>
      </c>
      <c r="J223" s="9" t="s">
        <v>47231</v>
      </c>
      <c r="L223" s="9" t="s">
        <v>47470</v>
      </c>
    </row>
    <row r="224" ht="15.75" customHeight="1">
      <c r="A224" s="9" t="s">
        <v>47472</v>
      </c>
      <c r="C224" s="9" t="s">
        <v>23515</v>
      </c>
      <c r="D224" s="9" t="s">
        <v>47107</v>
      </c>
      <c r="F224" s="36" t="str">
        <f t="shared" si="16"/>
        <v/>
      </c>
      <c r="H224" s="9" t="s">
        <v>27370</v>
      </c>
      <c r="I224" s="9" t="s">
        <v>25264</v>
      </c>
      <c r="J224" s="9" t="s">
        <v>47240</v>
      </c>
      <c r="L224" s="9" t="s">
        <v>47467</v>
      </c>
    </row>
    <row r="225" ht="15.75" customHeight="1">
      <c r="A225" s="9" t="s">
        <v>47473</v>
      </c>
      <c r="C225" s="9" t="s">
        <v>23555</v>
      </c>
      <c r="D225" s="9" t="s">
        <v>286</v>
      </c>
      <c r="F225" s="37" t="str">
        <f>HYPERLINK("https://lenclosduvolcan.fr/", "https://lenclosduvolcan.fr/")</f>
        <v>https://lenclosduvolcan.fr/</v>
      </c>
    </row>
    <row r="226" ht="15.75" customHeight="1">
      <c r="A226" s="9" t="s">
        <v>47474</v>
      </c>
      <c r="C226" s="9" t="s">
        <v>23573</v>
      </c>
      <c r="D226" s="9" t="s">
        <v>286</v>
      </c>
      <c r="F226" s="37" t="str">
        <f>HYPERLINK("https://www.auxchaletsdutourneur.re/", "https://www.auxchaletsdutourneur.re/")</f>
        <v>https://www.auxchaletsdutourneur.re/</v>
      </c>
    </row>
    <row r="227" ht="15.75" customHeight="1">
      <c r="A227" s="9" t="s">
        <v>47475</v>
      </c>
      <c r="C227" s="9" t="s">
        <v>12120</v>
      </c>
      <c r="D227" s="9" t="s">
        <v>47107</v>
      </c>
      <c r="F227" s="36" t="str">
        <f>HYPERLINK("", "")</f>
        <v/>
      </c>
      <c r="H227" s="9" t="s">
        <v>25481</v>
      </c>
      <c r="I227" s="9" t="s">
        <v>25010</v>
      </c>
      <c r="J227" s="9" t="s">
        <v>47476</v>
      </c>
      <c r="L227" s="9" t="s">
        <v>47477</v>
      </c>
    </row>
    <row r="228" ht="15.75" customHeight="1">
      <c r="A228" s="9" t="s">
        <v>47478</v>
      </c>
      <c r="C228" s="9" t="s">
        <v>23515</v>
      </c>
      <c r="D228" s="9" t="s">
        <v>286</v>
      </c>
      <c r="F228" s="37" t="str">
        <f>HYPERLINK("https://www.lamaisoncouleurvolcan.fr/", "https://www.lamaisoncouleurvolcan.fr/")</f>
        <v>https://www.lamaisoncouleurvolcan.fr/</v>
      </c>
    </row>
    <row r="229" ht="15.75" customHeight="1">
      <c r="A229" s="9" t="s">
        <v>47479</v>
      </c>
      <c r="C229" s="9" t="s">
        <v>3129</v>
      </c>
      <c r="D229" s="9" t="s">
        <v>286</v>
      </c>
      <c r="F229" s="37" t="str">
        <f>HYPERLINK("https://detentecreole.e-monsite.com/", "https://detentecreole.e-monsite.com/")</f>
        <v>https://detentecreole.e-monsite.com/</v>
      </c>
    </row>
    <row r="230" ht="15.75" customHeight="1">
      <c r="A230" s="9" t="s">
        <v>47480</v>
      </c>
      <c r="C230" s="9" t="s">
        <v>5924</v>
      </c>
      <c r="D230" s="9" t="s">
        <v>286</v>
      </c>
      <c r="F230" s="37" t="str">
        <f>HYPERLINK("http://www.naturev.re", "http://www.naturev.re")</f>
        <v>http://www.naturev.re</v>
      </c>
    </row>
    <row r="231" ht="15.75" customHeight="1">
      <c r="A231" s="9" t="s">
        <v>47481</v>
      </c>
      <c r="C231" s="9" t="s">
        <v>23615</v>
      </c>
      <c r="D231" s="9" t="s">
        <v>286</v>
      </c>
      <c r="F231" s="37" t="str">
        <f>HYPERLINK("https://www.villades4sens.com/fr?start_date=2025-10-30&amp;end_date=2025-11-03&amp;adults=2&amp;children=0#", "https://www.villades4sens.com/fr?start_date=2025-10-30&amp;end_date=2025-11-03&amp;adults=2&amp;children=0#")</f>
        <v>https://www.villades4sens.com/fr?start_date=2025-10-30&amp;end_date=2025-11-03&amp;adults=2&amp;children=0#</v>
      </c>
    </row>
    <row r="232" ht="15.75" customHeight="1">
      <c r="A232" s="9" t="s">
        <v>47482</v>
      </c>
      <c r="C232" s="9" t="s">
        <v>23665</v>
      </c>
      <c r="D232" s="9" t="s">
        <v>286</v>
      </c>
      <c r="F232" s="37" t="str">
        <f>HYPERLINK("https://vakoadistillerie.com/", "https://vakoadistillerie.com/")</f>
        <v>https://vakoadistillerie.com/</v>
      </c>
    </row>
    <row r="233" ht="15.75" customHeight="1">
      <c r="A233" s="9" t="s">
        <v>47483</v>
      </c>
      <c r="C233" s="9" t="s">
        <v>3606</v>
      </c>
      <c r="D233" s="9" t="s">
        <v>286</v>
      </c>
      <c r="F233" s="37" t="str">
        <f>HYPERLINK("https://shop.escale-bleue.fr/", "https://shop.escale-bleue.fr/")</f>
        <v>https://shop.escale-bleue.fr/</v>
      </c>
    </row>
    <row r="234" ht="15.75" customHeight="1">
      <c r="A234" s="9" t="s">
        <v>47484</v>
      </c>
      <c r="C234" s="9" t="s">
        <v>23804</v>
      </c>
      <c r="D234" s="9" t="s">
        <v>286</v>
      </c>
      <c r="F234" s="37" t="str">
        <f>HYPERLINK("https://www.labelledusud.re/", "https://www.labelledusud.re/")</f>
        <v>https://www.labelledusud.re/</v>
      </c>
    </row>
    <row r="235" ht="15.75" customHeight="1">
      <c r="A235" s="9" t="s">
        <v>47485</v>
      </c>
      <c r="C235" s="9" t="s">
        <v>23816</v>
      </c>
      <c r="D235" s="9" t="s">
        <v>286</v>
      </c>
      <c r="F235" s="37" t="str">
        <f>HYPERLINK("https://kolibriz.com/", "https://kolibriz.com/")</f>
        <v>https://kolibriz.com/</v>
      </c>
    </row>
    <row r="236" ht="15.75" customHeight="1">
      <c r="A236" s="9" t="s">
        <v>47486</v>
      </c>
      <c r="C236" s="9" t="s">
        <v>23830</v>
      </c>
      <c r="D236" s="9" t="s">
        <v>286</v>
      </c>
      <c r="F236" s="37" t="str">
        <f>HYPERLINK("https://www.gites-de-france.com/fr/reunion/reunion/villa-rosat-h97g030872", "https://www.gites-de-france.com/fr/reunion/reunion/villa-rosat-h97g030872")</f>
        <v>https://www.gites-de-france.com/fr/reunion/reunion/villa-rosat-h97g030872</v>
      </c>
      <c r="K236" s="9" t="s">
        <v>47487</v>
      </c>
    </row>
    <row r="237" ht="15.75" customHeight="1">
      <c r="A237" s="9" t="s">
        <v>47488</v>
      </c>
      <c r="C237" s="9" t="s">
        <v>23734</v>
      </c>
      <c r="D237" s="9" t="s">
        <v>47107</v>
      </c>
      <c r="F237" s="36" t="str">
        <f>HYPERLINK("", "")</f>
        <v/>
      </c>
      <c r="G237" s="9" t="b">
        <v>0</v>
      </c>
      <c r="H237" s="9" t="s">
        <v>25695</v>
      </c>
      <c r="I237" s="9" t="s">
        <v>25097</v>
      </c>
      <c r="L237" s="9" t="s">
        <v>23738</v>
      </c>
    </row>
    <row r="238" ht="15.75" customHeight="1">
      <c r="A238" s="9" t="s">
        <v>47489</v>
      </c>
      <c r="C238" s="9" t="s">
        <v>249</v>
      </c>
      <c r="D238" s="9" t="s">
        <v>286</v>
      </c>
      <c r="F238" s="37" t="str">
        <f>HYPERLINK("https://chaletcogite.re/?utm_source=ig&amp;utm_medium=social&amp;utm_content=link_in_bio&amp;fbclid=PAZXh0bgNhZW0CMTEAc3J0YwZhcHBfaWQMMjU2MjgxMDQwNTU4AAGnXs27NZWHMIJg_E4k6_LYfRys3yDf0zzfyDjMgECXLkp2rcetB-ofGhwYtXE_aem_yctaEjUJHpgf4npkONW7Cw", "https://chaletcogite.re/?utm_source=ig&amp;utm_medium=social&amp;utm_content=link_in_bio&amp;fbclid=PAZXh0bgNhZW0CMTEAc3J0YwZhcHBfaWQMMjU2MjgxMDQwNTU4AAGnXs27NZWHMIJg_E4k6_LYfRys3yDf0zzfyDjMgECXLkp2rcetB-ofGhwYtXE_aem_yctaEjUJHpgf4npkONW7Cw")</f>
        <v>https://chaletcogite.re/?utm_source=ig&amp;utm_medium=social&amp;utm_content=link_in_bio&amp;fbclid=PAZXh0bgNhZW0CMTEAc3J0YwZhcHBfaWQMMjU2MjgxMDQwNTU4AAGnXs27NZWHMIJg_E4k6_LYfRys3yDf0zzfyDjMgECXLkp2rcetB-ofGhwYtXE_aem_yctaEjUJHpgf4npkONW7Cw</v>
      </c>
    </row>
    <row r="239" ht="15.75" customHeight="1">
      <c r="A239" s="9" t="s">
        <v>47490</v>
      </c>
      <c r="C239" s="9" t="s">
        <v>9778</v>
      </c>
      <c r="D239" s="9" t="s">
        <v>47106</v>
      </c>
      <c r="E239" s="52" t="s">
        <v>47491</v>
      </c>
      <c r="F239" s="36" t="str">
        <f>HYPERLINK("", "")</f>
        <v/>
      </c>
      <c r="G239" s="9" t="b">
        <v>0</v>
      </c>
      <c r="H239" s="9" t="s">
        <v>27441</v>
      </c>
      <c r="I239" s="9" t="s">
        <v>24784</v>
      </c>
    </row>
    <row r="240" ht="15.75" customHeight="1">
      <c r="A240" s="9" t="s">
        <v>47492</v>
      </c>
      <c r="C240" s="9" t="s">
        <v>23913</v>
      </c>
      <c r="D240" s="9" t="s">
        <v>286</v>
      </c>
      <c r="F240" s="37" t="str">
        <f>HYPERLINK("https://www.eilaroc.fr/", "https://www.eilaroc.fr/")</f>
        <v>https://www.eilaroc.fr/</v>
      </c>
    </row>
    <row r="241" ht="15.75" customHeight="1">
      <c r="A241" s="9" t="s">
        <v>47493</v>
      </c>
      <c r="C241" s="9" t="s">
        <v>11945</v>
      </c>
      <c r="D241" s="9" t="s">
        <v>286</v>
      </c>
      <c r="F241" s="37" t="str">
        <f t="shared" ref="F241:F242" si="17">HYPERLINK("https://linstantdevasion.re/?fbclid=IwY2xjawPUKWlleHRuA2FlbQIxMABicmlkETBFWFZPM1c1Zzg3VU54UnhNc3J0YwZhcHBfaWQQMjIyMDM5MTc4ODIwMDg5MgABHghBFdCThiq1lux8Oz1osfn2Q-cEG_TKTV6DcYzL-63HTyPAisL-I4mqwpUo_aem_PwUokjtCj8J6fHp1ghPsCA", "https://linstantdevasion.re/?fbclid=IwY2xjawPUKWlleHRuA2FlbQIxMABicmlkETBFWFZPM1c1Zzg3VU54UnhNc3J0YwZhcHBfaWQQMjIyMDM5MTc4ODIwMDg5MgABHghBFdCThiq1lux8Oz1osfn2Q-cEG_TKTV6DcYzL-63HTyPAisL-I4mqwpUo_aem_PwUokjtCj8J6fHp1ghPsCA")</f>
        <v>https://linstantdevasion.re/?fbclid=IwY2xjawPUKWlleHRuA2FlbQIxMABicmlkETBFWFZPM1c1Zzg3VU54UnhNc3J0YwZhcHBfaWQQMjIyMDM5MTc4ODIwMDg5MgABHghBFdCThiq1lux8Oz1osfn2Q-cEG_TKTV6DcYzL-63HTyPAisL-I4mqwpUo_aem_PwUokjtCj8J6fHp1ghPsCA</v>
      </c>
    </row>
    <row r="242" ht="15.75" customHeight="1">
      <c r="A242" s="9" t="s">
        <v>47494</v>
      </c>
      <c r="C242" s="9" t="s">
        <v>10322</v>
      </c>
      <c r="D242" s="9" t="s">
        <v>286</v>
      </c>
      <c r="F242" s="37" t="str">
        <f t="shared" si="17"/>
        <v>https://linstantdevasion.re/?fbclid=IwY2xjawPUKWlleHRuA2FlbQIxMABicmlkETBFWFZPM1c1Zzg3VU54UnhNc3J0YwZhcHBfaWQQMjIyMDM5MTc4ODIwMDg5MgABHghBFdCThiq1lux8Oz1osfn2Q-cEG_TKTV6DcYzL-63HTyPAisL-I4mqwpUo_aem_PwUokjtCj8J6fHp1ghPsCA</v>
      </c>
    </row>
    <row r="243" ht="15.75" customHeight="1">
      <c r="A243" s="9" t="s">
        <v>47495</v>
      </c>
      <c r="C243" s="9" t="s">
        <v>9868</v>
      </c>
      <c r="D243" s="9" t="s">
        <v>286</v>
      </c>
      <c r="F243" s="37" t="str">
        <f>HYPERLINK("https://ticasemetyss.bedsandhotels.com/#rooms", "https://ticasemetyss.bedsandhotels.com/#rooms")</f>
        <v>https://ticasemetyss.bedsandhotels.com/#rooms</v>
      </c>
    </row>
    <row r="244" ht="15.75" customHeight="1">
      <c r="A244" s="9" t="s">
        <v>47496</v>
      </c>
      <c r="C244" s="9" t="s">
        <v>12071</v>
      </c>
      <c r="D244" s="9" t="s">
        <v>286</v>
      </c>
      <c r="F244" s="37" t="str">
        <f>HYPERLINK("mira-ceramique.re", "mira-ceramique.re")</f>
        <v>mira-ceramique.re</v>
      </c>
    </row>
    <row r="245" ht="15.75" customHeight="1">
      <c r="A245" s="9" t="s">
        <v>47497</v>
      </c>
      <c r="C245" s="9" t="s">
        <v>24006</v>
      </c>
      <c r="D245" s="9" t="s">
        <v>47107</v>
      </c>
      <c r="F245" s="36" t="str">
        <f>HYPERLINK("", "")</f>
        <v/>
      </c>
      <c r="H245" s="9" t="s">
        <v>26378</v>
      </c>
      <c r="I245" s="9" t="s">
        <v>27484</v>
      </c>
      <c r="L245" s="9" t="s">
        <v>47498</v>
      </c>
    </row>
    <row r="246" ht="15.75" customHeight="1">
      <c r="A246" s="9" t="s">
        <v>47499</v>
      </c>
      <c r="C246" s="9" t="s">
        <v>24021</v>
      </c>
      <c r="D246" s="9" t="s">
        <v>286</v>
      </c>
      <c r="F246" s="37" t="str">
        <f>HYPERLINK("https://emy.re/", "https://emy.re/")</f>
        <v>https://emy.re/</v>
      </c>
    </row>
    <row r="247" ht="15.75" customHeight="1">
      <c r="A247" s="9" t="s">
        <v>47500</v>
      </c>
      <c r="C247" s="9" t="s">
        <v>24084</v>
      </c>
      <c r="D247" s="9" t="s">
        <v>286</v>
      </c>
      <c r="F247" s="37" t="str">
        <f>HYPERLINK("https://www.aupaysdumoutonblanc.re/", "https://www.aupaysdumoutonblanc.re/")</f>
        <v>https://www.aupaysdumoutonblanc.re/</v>
      </c>
    </row>
    <row r="248" ht="15.75" customHeight="1">
      <c r="A248" s="9" t="s">
        <v>47501</v>
      </c>
      <c r="C248" s="9" t="s">
        <v>24111</v>
      </c>
      <c r="D248" s="9" t="s">
        <v>286</v>
      </c>
      <c r="F248" s="37" t="str">
        <f>HYPERLINK("https://www.saisonnier-reunion.re/", "https://www.saisonnier-reunion.re/")</f>
        <v>https://www.saisonnier-reunion.re/</v>
      </c>
    </row>
    <row r="249" ht="15.75" customHeight="1">
      <c r="A249" s="9" t="s">
        <v>47502</v>
      </c>
      <c r="C249" s="9" t="s">
        <v>24178</v>
      </c>
      <c r="D249" s="9" t="s">
        <v>286</v>
      </c>
      <c r="F249" s="37" t="str">
        <f>HYPERLINK("https://www.rando-peizaj-974.fr/", "https://www.rando-peizaj-974.fr/")</f>
        <v>https://www.rando-peizaj-974.fr/</v>
      </c>
    </row>
    <row r="250" ht="15.75" customHeight="1">
      <c r="A250" s="52" t="s">
        <v>47503</v>
      </c>
      <c r="C250" s="9" t="s">
        <v>24189</v>
      </c>
      <c r="D250" s="9" t="s">
        <v>286</v>
      </c>
      <c r="F250" s="37" t="str">
        <f>HYPERLINK("http://www.lafficheduneile.re", "www.lafficheduneile.re")</f>
        <v>www.lafficheduneile.re</v>
      </c>
    </row>
    <row r="251" ht="15.75" customHeight="1">
      <c r="A251" s="9" t="s">
        <v>47504</v>
      </c>
      <c r="C251" s="9" t="s">
        <v>24254</v>
      </c>
      <c r="D251" s="9" t="s">
        <v>47107</v>
      </c>
      <c r="F251" s="36" t="str">
        <f>HYPERLINK("", "")</f>
        <v/>
      </c>
      <c r="H251" s="9" t="s">
        <v>47505</v>
      </c>
      <c r="I251" s="9" t="s">
        <v>26334</v>
      </c>
      <c r="L251" s="9" t="s">
        <v>47506</v>
      </c>
    </row>
    <row r="252" ht="15.75" customHeight="1">
      <c r="A252" s="9" t="s">
        <v>47507</v>
      </c>
      <c r="C252" s="9" t="s">
        <v>24254</v>
      </c>
      <c r="D252" s="9" t="s">
        <v>286</v>
      </c>
      <c r="F252" s="37" t="str">
        <f>HYPERLINK("https://laforetdenuages.com/", "https://laforetdenuages.com/")</f>
        <v>https://laforetdenuages.com/</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2.5"/>
    <col customWidth="1" min="3" max="3" width="28.25"/>
    <col customWidth="1" min="4" max="6" width="12.63"/>
  </cols>
  <sheetData>
    <row r="1">
      <c r="A1" s="2" t="s">
        <v>47508</v>
      </c>
      <c r="B1" s="2" t="s">
        <v>12275</v>
      </c>
      <c r="C1" s="2" t="s">
        <v>28424</v>
      </c>
      <c r="D1" s="3" t="s">
        <v>325</v>
      </c>
      <c r="E1" s="3" t="s">
        <v>326</v>
      </c>
      <c r="F1" s="138"/>
      <c r="G1" s="139" t="s">
        <v>47509</v>
      </c>
      <c r="H1" s="138"/>
      <c r="I1" s="138"/>
      <c r="J1" s="138"/>
      <c r="K1" s="138"/>
      <c r="L1" s="138"/>
      <c r="M1" s="138"/>
      <c r="N1" s="138"/>
      <c r="O1" s="138"/>
      <c r="P1" s="138"/>
      <c r="Q1" s="138"/>
      <c r="R1" s="138"/>
      <c r="S1" s="138"/>
      <c r="T1" s="138"/>
      <c r="U1" s="138"/>
      <c r="V1" s="138"/>
      <c r="W1" s="138"/>
      <c r="X1" s="138"/>
      <c r="Y1" s="138"/>
      <c r="Z1" s="138"/>
    </row>
    <row r="2">
      <c r="A2" s="5" t="s">
        <v>47510</v>
      </c>
      <c r="B2" s="137" t="s">
        <v>15642</v>
      </c>
      <c r="C2" s="5" t="s">
        <v>47511</v>
      </c>
      <c r="D2" s="5">
        <v>170.0</v>
      </c>
      <c r="E2" s="5" t="s">
        <v>47512</v>
      </c>
    </row>
    <row r="3">
      <c r="A3" s="5" t="s">
        <v>47513</v>
      </c>
      <c r="B3" s="137" t="s">
        <v>15642</v>
      </c>
      <c r="C3" s="5" t="s">
        <v>47511</v>
      </c>
      <c r="D3" s="5">
        <v>1020.0</v>
      </c>
      <c r="E3" s="5" t="s">
        <v>47514</v>
      </c>
    </row>
    <row r="4">
      <c r="A4" s="9" t="s">
        <v>47515</v>
      </c>
      <c r="B4" s="9" t="s">
        <v>12185</v>
      </c>
      <c r="D4" s="9">
        <v>35.0</v>
      </c>
      <c r="E4" s="9" t="s">
        <v>47516</v>
      </c>
    </row>
    <row r="5">
      <c r="A5" s="9" t="s">
        <v>47517</v>
      </c>
      <c r="B5" s="9" t="s">
        <v>11919</v>
      </c>
      <c r="D5" s="9">
        <v>27.0</v>
      </c>
      <c r="E5" s="9" t="s">
        <v>47516</v>
      </c>
    </row>
    <row r="6">
      <c r="A6" s="9" t="s">
        <v>47518</v>
      </c>
      <c r="B6" s="9" t="s">
        <v>11633</v>
      </c>
      <c r="D6" s="9">
        <v>390.0</v>
      </c>
      <c r="E6" s="9" t="s">
        <v>12241</v>
      </c>
    </row>
    <row r="7">
      <c r="A7" s="9"/>
      <c r="B7" s="9"/>
      <c r="D7" s="9"/>
      <c r="E7" s="9"/>
    </row>
    <row r="8">
      <c r="A8" s="9"/>
      <c r="B8" s="9"/>
      <c r="D8" s="9"/>
      <c r="E8" s="9"/>
      <c r="G8" s="9"/>
    </row>
    <row r="9">
      <c r="A9" s="52" t="s">
        <v>47519</v>
      </c>
      <c r="B9" s="9" t="s">
        <v>7773</v>
      </c>
      <c r="D9" s="9">
        <v>5.0</v>
      </c>
    </row>
    <row r="10">
      <c r="A10" s="9"/>
      <c r="B10" s="9"/>
      <c r="D10" s="9"/>
    </row>
    <row r="11">
      <c r="A11" s="9" t="s">
        <v>47520</v>
      </c>
      <c r="B11" s="9" t="s">
        <v>5249</v>
      </c>
      <c r="D11" s="9">
        <v>8.0</v>
      </c>
      <c r="E11" s="9" t="s">
        <v>12225</v>
      </c>
      <c r="G11" s="9" t="s">
        <v>47521</v>
      </c>
    </row>
    <row r="12">
      <c r="A12" s="9" t="s">
        <v>47522</v>
      </c>
      <c r="B12" s="9" t="s">
        <v>8011</v>
      </c>
      <c r="C12" s="9" t="s">
        <v>47511</v>
      </c>
      <c r="D12" s="9">
        <v>175.0</v>
      </c>
      <c r="E12" s="9" t="s">
        <v>12245</v>
      </c>
      <c r="G12" s="9" t="s">
        <v>47521</v>
      </c>
    </row>
    <row r="13">
      <c r="A13" s="9" t="s">
        <v>47523</v>
      </c>
      <c r="B13" s="9" t="s">
        <v>3368</v>
      </c>
      <c r="C13" s="9" t="s">
        <v>47524</v>
      </c>
      <c r="D13" s="9">
        <v>0.75</v>
      </c>
      <c r="E13" s="9" t="s">
        <v>12225</v>
      </c>
      <c r="G13" s="9" t="s">
        <v>47521</v>
      </c>
    </row>
    <row r="14">
      <c r="A14" s="9" t="s">
        <v>47525</v>
      </c>
      <c r="B14" s="9" t="s">
        <v>8568</v>
      </c>
      <c r="D14" s="9">
        <v>42.0</v>
      </c>
      <c r="E14" s="9" t="s">
        <v>12245</v>
      </c>
      <c r="G14" s="9" t="s">
        <v>47521</v>
      </c>
    </row>
    <row r="15">
      <c r="A15" s="9" t="s">
        <v>47526</v>
      </c>
      <c r="B15" s="9" t="s">
        <v>1966</v>
      </c>
      <c r="D15" s="9">
        <v>55.0</v>
      </c>
      <c r="E15" s="9" t="s">
        <v>47527</v>
      </c>
    </row>
    <row r="16">
      <c r="A16" s="9" t="s">
        <v>47528</v>
      </c>
      <c r="B16" s="9" t="s">
        <v>1966</v>
      </c>
      <c r="D16" s="9">
        <v>50.0</v>
      </c>
      <c r="E16" s="9" t="s">
        <v>47529</v>
      </c>
    </row>
    <row r="17">
      <c r="A17" s="9" t="s">
        <v>47530</v>
      </c>
      <c r="B17" s="9" t="s">
        <v>1966</v>
      </c>
      <c r="D17" s="9">
        <v>45.0</v>
      </c>
      <c r="E17" s="9" t="s">
        <v>47531</v>
      </c>
    </row>
    <row r="18">
      <c r="A18" s="9" t="s">
        <v>47532</v>
      </c>
      <c r="B18" s="9" t="s">
        <v>1966</v>
      </c>
      <c r="D18" s="9">
        <v>30.0</v>
      </c>
      <c r="E18" s="9" t="s">
        <v>47531</v>
      </c>
      <c r="G18" s="9" t="s">
        <v>47521</v>
      </c>
    </row>
    <row r="19">
      <c r="A19" s="9" t="s">
        <v>47533</v>
      </c>
      <c r="B19" s="9" t="s">
        <v>12120</v>
      </c>
      <c r="C19" s="9" t="s">
        <v>47511</v>
      </c>
      <c r="D19" s="9">
        <v>55.0</v>
      </c>
      <c r="E19" s="9" t="s">
        <v>47516</v>
      </c>
      <c r="G19" s="9" t="s">
        <v>47521</v>
      </c>
    </row>
    <row r="20" ht="15.75" customHeight="1">
      <c r="A20" s="9" t="s">
        <v>47534</v>
      </c>
      <c r="B20" s="9" t="s">
        <v>2385</v>
      </c>
      <c r="D20" s="9">
        <v>70.0</v>
      </c>
      <c r="E20" s="9" t="s">
        <v>12232</v>
      </c>
      <c r="G20" s="9" t="s">
        <v>47521</v>
      </c>
    </row>
    <row r="21" ht="15.75" customHeight="1">
      <c r="A21" s="9" t="s">
        <v>47535</v>
      </c>
      <c r="B21" s="9" t="s">
        <v>9835</v>
      </c>
      <c r="C21" s="9" t="s">
        <v>47536</v>
      </c>
      <c r="D21" s="9">
        <v>15.0</v>
      </c>
      <c r="E21" s="9" t="s">
        <v>12225</v>
      </c>
    </row>
    <row r="22" ht="15.75" customHeight="1">
      <c r="A22" s="9" t="s">
        <v>47537</v>
      </c>
      <c r="B22" s="9" t="s">
        <v>9835</v>
      </c>
      <c r="C22" s="9" t="s">
        <v>47538</v>
      </c>
      <c r="D22" s="9">
        <v>29.0</v>
      </c>
      <c r="E22" s="9" t="s">
        <v>12225</v>
      </c>
    </row>
    <row r="23" ht="15.75" customHeight="1">
      <c r="A23" s="9" t="s">
        <v>47539</v>
      </c>
      <c r="B23" s="9" t="s">
        <v>2029</v>
      </c>
      <c r="D23" s="9">
        <v>500.0</v>
      </c>
      <c r="E23" s="9" t="s">
        <v>12241</v>
      </c>
    </row>
    <row r="24" ht="15.75" customHeight="1">
      <c r="A24" s="9" t="s">
        <v>47540</v>
      </c>
      <c r="B24" s="9" t="s">
        <v>2029</v>
      </c>
      <c r="C24" s="9" t="s">
        <v>47511</v>
      </c>
      <c r="D24" s="9">
        <v>300.0</v>
      </c>
      <c r="E24" s="9" t="s">
        <v>12247</v>
      </c>
    </row>
    <row r="25" ht="15.75" customHeight="1">
      <c r="A25" s="9" t="s">
        <v>47541</v>
      </c>
      <c r="B25" s="9" t="s">
        <v>7585</v>
      </c>
      <c r="D25" s="9">
        <v>135.0</v>
      </c>
      <c r="E25" s="9" t="s">
        <v>47542</v>
      </c>
    </row>
    <row r="26" ht="15.75" customHeight="1">
      <c r="A26" s="9" t="s">
        <v>47543</v>
      </c>
      <c r="B26" s="9" t="s">
        <v>565</v>
      </c>
      <c r="D26" s="9">
        <v>50.0</v>
      </c>
      <c r="E26" s="9" t="s">
        <v>12223</v>
      </c>
    </row>
    <row r="27" ht="15.75" customHeight="1">
      <c r="A27" s="52" t="s">
        <v>47544</v>
      </c>
      <c r="B27" s="9" t="s">
        <v>565</v>
      </c>
      <c r="D27" s="9">
        <v>50.0</v>
      </c>
      <c r="E27" s="9" t="s">
        <v>12226</v>
      </c>
    </row>
    <row r="28" ht="15.75" customHeight="1">
      <c r="A28" s="9" t="s">
        <v>47545</v>
      </c>
      <c r="B28" s="9" t="s">
        <v>565</v>
      </c>
      <c r="C28" s="9" t="s">
        <v>47546</v>
      </c>
      <c r="D28" s="9">
        <v>25.0</v>
      </c>
      <c r="E28" s="9" t="s">
        <v>12234</v>
      </c>
    </row>
    <row r="29" ht="15.75" customHeight="1">
      <c r="A29" s="9" t="s">
        <v>47547</v>
      </c>
      <c r="B29" s="9" t="s">
        <v>266</v>
      </c>
      <c r="D29" s="9">
        <v>85.0</v>
      </c>
      <c r="E29" s="9" t="s">
        <v>12232</v>
      </c>
    </row>
    <row r="30" ht="15.75" customHeight="1">
      <c r="A30" s="9" t="s">
        <v>47548</v>
      </c>
      <c r="B30" s="9" t="s">
        <v>5037</v>
      </c>
      <c r="C30" s="9" t="s">
        <v>47549</v>
      </c>
      <c r="D30" s="9">
        <v>5.0</v>
      </c>
      <c r="E30" s="9" t="s">
        <v>47516</v>
      </c>
    </row>
    <row r="31" ht="15.75" customHeight="1">
      <c r="A31" s="9" t="s">
        <v>47550</v>
      </c>
      <c r="B31" s="9" t="s">
        <v>5037</v>
      </c>
      <c r="C31" s="9" t="s">
        <v>47551</v>
      </c>
      <c r="D31" s="9">
        <v>120.0</v>
      </c>
      <c r="E31" s="9" t="s">
        <v>12245</v>
      </c>
      <c r="G31" s="9" t="s">
        <v>47521</v>
      </c>
    </row>
    <row r="32" ht="15.75" customHeight="1">
      <c r="A32" s="52" t="s">
        <v>47552</v>
      </c>
      <c r="B32" s="9" t="s">
        <v>5037</v>
      </c>
      <c r="C32" s="9" t="s">
        <v>47551</v>
      </c>
      <c r="D32" s="9">
        <v>450.0</v>
      </c>
      <c r="E32" s="9" t="s">
        <v>12241</v>
      </c>
      <c r="G32" s="9" t="s">
        <v>47521</v>
      </c>
    </row>
    <row r="33" ht="15.75" customHeight="1">
      <c r="A33" s="9" t="s">
        <v>47553</v>
      </c>
      <c r="B33" s="9" t="s">
        <v>5037</v>
      </c>
      <c r="C33" s="9" t="s">
        <v>47551</v>
      </c>
      <c r="D33" s="9">
        <v>200.0</v>
      </c>
      <c r="E33" s="9" t="s">
        <v>12243</v>
      </c>
      <c r="G33" s="9" t="s">
        <v>47521</v>
      </c>
    </row>
    <row r="34" ht="15.75" customHeight="1">
      <c r="A34" s="9" t="s">
        <v>47554</v>
      </c>
      <c r="B34" s="9" t="s">
        <v>7526</v>
      </c>
      <c r="C34" s="9" t="s">
        <v>47549</v>
      </c>
      <c r="D34" s="9">
        <v>5.0</v>
      </c>
      <c r="E34" s="9" t="s">
        <v>47516</v>
      </c>
    </row>
    <row r="35" ht="15.75" customHeight="1">
      <c r="A35" s="9" t="s">
        <v>47555</v>
      </c>
      <c r="B35" s="9" t="s">
        <v>7526</v>
      </c>
      <c r="C35" s="9" t="s">
        <v>47551</v>
      </c>
      <c r="D35" s="9">
        <v>450.0</v>
      </c>
      <c r="E35" s="9" t="s">
        <v>12241</v>
      </c>
      <c r="G35" s="9" t="s">
        <v>47521</v>
      </c>
    </row>
    <row r="36" ht="15.75" customHeight="1">
      <c r="A36" s="9" t="s">
        <v>47556</v>
      </c>
      <c r="B36" s="9" t="s">
        <v>7526</v>
      </c>
      <c r="C36" s="9" t="s">
        <v>47551</v>
      </c>
      <c r="D36" s="9">
        <v>200.0</v>
      </c>
      <c r="E36" s="9" t="s">
        <v>12243</v>
      </c>
      <c r="G36" s="9" t="s">
        <v>47521</v>
      </c>
    </row>
    <row r="37" ht="15.75" customHeight="1">
      <c r="A37" s="9" t="s">
        <v>47557</v>
      </c>
      <c r="B37" s="9" t="s">
        <v>7526</v>
      </c>
      <c r="C37" s="9" t="s">
        <v>47551</v>
      </c>
      <c r="D37" s="9">
        <v>120.0</v>
      </c>
      <c r="E37" s="9" t="s">
        <v>12245</v>
      </c>
      <c r="G37" s="9" t="s">
        <v>47521</v>
      </c>
    </row>
    <row r="38" ht="15.75" customHeight="1">
      <c r="A38" s="9" t="s">
        <v>47558</v>
      </c>
      <c r="B38" s="9" t="s">
        <v>10023</v>
      </c>
      <c r="C38" s="9" t="s">
        <v>47511</v>
      </c>
      <c r="D38" s="9">
        <v>35.0</v>
      </c>
      <c r="E38" s="9" t="s">
        <v>47516</v>
      </c>
    </row>
    <row r="39" ht="15.75" customHeight="1">
      <c r="A39" s="9" t="s">
        <v>47559</v>
      </c>
      <c r="B39" s="9" t="s">
        <v>10079</v>
      </c>
      <c r="C39" s="9" t="s">
        <v>47511</v>
      </c>
      <c r="D39" s="9">
        <v>35.0</v>
      </c>
      <c r="E39" s="9" t="s">
        <v>47516</v>
      </c>
    </row>
    <row r="40" ht="15.75" customHeight="1">
      <c r="A40" s="9" t="s">
        <v>47560</v>
      </c>
      <c r="B40" s="9" t="s">
        <v>5604</v>
      </c>
      <c r="D40" s="9">
        <v>85.0</v>
      </c>
      <c r="E40" s="9" t="s">
        <v>47561</v>
      </c>
    </row>
    <row r="41" ht="15.75" customHeight="1">
      <c r="A41" s="9" t="s">
        <v>47562</v>
      </c>
      <c r="B41" s="9" t="s">
        <v>4121</v>
      </c>
      <c r="C41" s="9" t="s">
        <v>47511</v>
      </c>
      <c r="D41" s="9">
        <v>120.0</v>
      </c>
      <c r="E41" s="9" t="s">
        <v>12245</v>
      </c>
      <c r="G41" s="9" t="s">
        <v>47521</v>
      </c>
    </row>
    <row r="42" ht="15.75" customHeight="1">
      <c r="A42" s="9" t="s">
        <v>47563</v>
      </c>
      <c r="B42" s="9" t="s">
        <v>1904</v>
      </c>
      <c r="D42" s="9">
        <v>55.0</v>
      </c>
      <c r="E42" s="9" t="s">
        <v>12234</v>
      </c>
    </row>
    <row r="43" ht="15.75" customHeight="1">
      <c r="A43" s="9" t="s">
        <v>47564</v>
      </c>
      <c r="B43" s="9" t="s">
        <v>808</v>
      </c>
      <c r="D43" s="9">
        <v>1.0</v>
      </c>
      <c r="E43" s="9" t="s">
        <v>12234</v>
      </c>
      <c r="G43" s="9" t="s">
        <v>47521</v>
      </c>
    </row>
    <row r="44" ht="15.75" customHeight="1">
      <c r="A44" s="9" t="s">
        <v>47565</v>
      </c>
      <c r="B44" s="9" t="s">
        <v>8224</v>
      </c>
      <c r="D44" s="9">
        <v>4.0</v>
      </c>
      <c r="E44" s="9" t="s">
        <v>12231</v>
      </c>
    </row>
    <row r="45" ht="15.75" customHeight="1">
      <c r="A45" s="9" t="s">
        <v>47566</v>
      </c>
      <c r="B45" s="9" t="s">
        <v>11914</v>
      </c>
      <c r="C45" s="9" t="s">
        <v>47511</v>
      </c>
      <c r="D45" s="9">
        <v>85.0</v>
      </c>
      <c r="E45" s="9" t="s">
        <v>47567</v>
      </c>
    </row>
    <row r="46" ht="15.75" customHeight="1">
      <c r="A46" s="9" t="s">
        <v>47568</v>
      </c>
      <c r="B46" s="9" t="s">
        <v>11763</v>
      </c>
      <c r="C46" s="9" t="s">
        <v>47511</v>
      </c>
      <c r="D46" s="9">
        <v>125.0</v>
      </c>
      <c r="E46" s="9" t="s">
        <v>47569</v>
      </c>
      <c r="G46" s="9" t="s">
        <v>47521</v>
      </c>
    </row>
    <row r="47" ht="15.75" customHeight="1">
      <c r="A47" s="9" t="s">
        <v>47570</v>
      </c>
      <c r="B47" s="9" t="s">
        <v>8608</v>
      </c>
      <c r="C47" s="9"/>
      <c r="D47" s="9">
        <v>80.0</v>
      </c>
      <c r="E47" s="9" t="s">
        <v>47569</v>
      </c>
      <c r="G47" s="9"/>
    </row>
    <row r="48" ht="15.75" customHeight="1">
      <c r="A48" s="9"/>
      <c r="B48" s="9"/>
      <c r="C48" s="9"/>
      <c r="D48" s="9"/>
      <c r="E48" s="9"/>
    </row>
    <row r="49" ht="15.75" customHeight="1">
      <c r="A49" s="9" t="s">
        <v>47571</v>
      </c>
      <c r="B49" s="9" t="s">
        <v>10701</v>
      </c>
      <c r="C49" s="9" t="s">
        <v>47511</v>
      </c>
      <c r="D49" s="9">
        <v>140.0</v>
      </c>
      <c r="E49" s="9" t="s">
        <v>12245</v>
      </c>
    </row>
    <row r="50" ht="15.75" customHeight="1">
      <c r="A50" s="9"/>
      <c r="B50" s="9"/>
      <c r="C50" s="9"/>
      <c r="D50" s="9"/>
      <c r="E50" s="9"/>
    </row>
    <row r="51" ht="15.75" customHeight="1">
      <c r="A51" s="9" t="s">
        <v>47572</v>
      </c>
      <c r="B51" s="9" t="s">
        <v>10691</v>
      </c>
      <c r="C51" s="9" t="s">
        <v>47573</v>
      </c>
      <c r="D51" s="9">
        <v>35.0</v>
      </c>
      <c r="E51" s="9" t="s">
        <v>12234</v>
      </c>
    </row>
    <row r="52" ht="15.75" customHeight="1">
      <c r="A52" s="9" t="s">
        <v>47574</v>
      </c>
      <c r="B52" s="9" t="s">
        <v>244</v>
      </c>
      <c r="D52" s="9">
        <v>40.0</v>
      </c>
      <c r="E52" s="9" t="s">
        <v>47516</v>
      </c>
    </row>
    <row r="53" ht="15.75" customHeight="1">
      <c r="A53" s="9" t="s">
        <v>47575</v>
      </c>
      <c r="B53" s="9" t="s">
        <v>11750</v>
      </c>
      <c r="D53" s="9">
        <v>4.0</v>
      </c>
      <c r="E53" s="9" t="s">
        <v>12231</v>
      </c>
    </row>
    <row r="54" ht="15.75" customHeight="1">
      <c r="A54" s="52" t="s">
        <v>47576</v>
      </c>
      <c r="B54" s="9" t="s">
        <v>10130</v>
      </c>
      <c r="D54" s="9">
        <v>80.0</v>
      </c>
      <c r="E54" s="9" t="s">
        <v>47561</v>
      </c>
    </row>
    <row r="55" ht="15.75" customHeight="1">
      <c r="A55" s="9" t="s">
        <v>47577</v>
      </c>
      <c r="B55" s="9" t="s">
        <v>9949</v>
      </c>
      <c r="D55" s="9">
        <v>25.0</v>
      </c>
      <c r="E55" s="9" t="s">
        <v>47516</v>
      </c>
    </row>
    <row r="56" ht="15.75" customHeight="1">
      <c r="A56" s="9" t="s">
        <v>47578</v>
      </c>
      <c r="B56" s="9" t="s">
        <v>4253</v>
      </c>
      <c r="D56" s="9">
        <v>20.0</v>
      </c>
      <c r="E56" s="9" t="s">
        <v>47516</v>
      </c>
    </row>
    <row r="57" ht="15.75" customHeight="1">
      <c r="A57" s="9" t="s">
        <v>47579</v>
      </c>
      <c r="B57" s="9" t="s">
        <v>688</v>
      </c>
      <c r="D57" s="9">
        <v>55.0</v>
      </c>
      <c r="E57" s="9" t="s">
        <v>12234</v>
      </c>
    </row>
    <row r="58" ht="15.75" customHeight="1">
      <c r="A58" s="9" t="s">
        <v>47580</v>
      </c>
      <c r="B58" s="9" t="s">
        <v>12118</v>
      </c>
      <c r="C58" s="9" t="s">
        <v>47581</v>
      </c>
      <c r="D58" s="9">
        <v>30.0</v>
      </c>
      <c r="E58" s="9" t="s">
        <v>47582</v>
      </c>
      <c r="G58" s="9" t="s">
        <v>47521</v>
      </c>
    </row>
    <row r="59" ht="15.75" customHeight="1">
      <c r="A59" s="9" t="s">
        <v>47583</v>
      </c>
      <c r="B59" s="9" t="s">
        <v>8341</v>
      </c>
      <c r="D59" s="9">
        <v>80.0</v>
      </c>
      <c r="E59" s="9" t="s">
        <v>47542</v>
      </c>
    </row>
    <row r="60" ht="15.75" customHeight="1">
      <c r="A60" s="9" t="s">
        <v>47584</v>
      </c>
      <c r="B60" s="9" t="s">
        <v>11999</v>
      </c>
      <c r="D60" s="9">
        <v>140.0</v>
      </c>
      <c r="E60" s="9" t="s">
        <v>47542</v>
      </c>
      <c r="G60" s="9" t="s">
        <v>47521</v>
      </c>
    </row>
    <row r="61" ht="15.75" customHeight="1">
      <c r="A61" s="9" t="s">
        <v>47585</v>
      </c>
      <c r="B61" s="9" t="s">
        <v>10285</v>
      </c>
      <c r="C61" s="9" t="s">
        <v>47581</v>
      </c>
      <c r="D61" s="9">
        <v>35.0</v>
      </c>
      <c r="E61" s="9" t="s">
        <v>47582</v>
      </c>
      <c r="G61" s="9" t="s">
        <v>47521</v>
      </c>
    </row>
    <row r="62" ht="15.75" customHeight="1">
      <c r="A62" s="9" t="s">
        <v>47586</v>
      </c>
      <c r="B62" s="9" t="s">
        <v>4193</v>
      </c>
      <c r="D62" s="9">
        <v>80.0</v>
      </c>
      <c r="E62" s="9" t="s">
        <v>12245</v>
      </c>
    </row>
    <row r="63" ht="15.75" customHeight="1">
      <c r="A63" s="9" t="s">
        <v>47587</v>
      </c>
      <c r="B63" s="9" t="s">
        <v>5446</v>
      </c>
      <c r="D63" s="9">
        <v>55.0</v>
      </c>
      <c r="E63" s="9" t="s">
        <v>12245</v>
      </c>
    </row>
    <row r="64" ht="15.75" customHeight="1">
      <c r="A64" s="9" t="s">
        <v>47588</v>
      </c>
      <c r="B64" s="9" t="s">
        <v>2136</v>
      </c>
      <c r="D64" s="9">
        <v>90.0</v>
      </c>
      <c r="E64" s="9" t="s">
        <v>47561</v>
      </c>
    </row>
    <row r="65" ht="15.75" customHeight="1">
      <c r="A65" s="9" t="s">
        <v>47589</v>
      </c>
      <c r="B65" s="9" t="s">
        <v>10289</v>
      </c>
      <c r="C65" s="9" t="s">
        <v>47511</v>
      </c>
      <c r="D65" s="9">
        <v>59.0</v>
      </c>
      <c r="E65" s="9" t="s">
        <v>47569</v>
      </c>
      <c r="G65" s="9" t="s">
        <v>47521</v>
      </c>
    </row>
    <row r="66" ht="15.75" customHeight="1">
      <c r="A66" s="9" t="s">
        <v>47590</v>
      </c>
      <c r="B66" s="9" t="s">
        <v>7640</v>
      </c>
      <c r="C66" s="9" t="s">
        <v>47511</v>
      </c>
      <c r="D66" s="9">
        <v>195.0</v>
      </c>
      <c r="E66" s="9" t="s">
        <v>12245</v>
      </c>
      <c r="G66" s="9" t="s">
        <v>47521</v>
      </c>
    </row>
    <row r="67" ht="15.75" customHeight="1">
      <c r="A67" s="9" t="s">
        <v>47591</v>
      </c>
      <c r="B67" s="9" t="s">
        <v>9514</v>
      </c>
      <c r="C67" s="9" t="s">
        <v>47511</v>
      </c>
      <c r="D67" s="9">
        <v>89.0</v>
      </c>
      <c r="E67" s="9" t="s">
        <v>12245</v>
      </c>
    </row>
    <row r="68" ht="15.75" customHeight="1">
      <c r="A68" s="9" t="s">
        <v>47592</v>
      </c>
      <c r="B68" s="9" t="s">
        <v>2219</v>
      </c>
      <c r="C68" s="9" t="s">
        <v>47573</v>
      </c>
      <c r="D68" s="9">
        <v>75.0</v>
      </c>
      <c r="E68" s="9" t="s">
        <v>12226</v>
      </c>
    </row>
    <row r="69" ht="15.75" customHeight="1">
      <c r="A69" s="9" t="s">
        <v>47593</v>
      </c>
      <c r="B69" s="9" t="s">
        <v>9639</v>
      </c>
      <c r="C69" s="9" t="s">
        <v>47594</v>
      </c>
      <c r="D69" s="9">
        <v>500.0</v>
      </c>
      <c r="E69" s="9" t="s">
        <v>12241</v>
      </c>
      <c r="G69" s="9" t="s">
        <v>47521</v>
      </c>
    </row>
    <row r="70" ht="15.75" customHeight="1">
      <c r="A70" s="9" t="s">
        <v>47595</v>
      </c>
      <c r="B70" s="9" t="s">
        <v>6239</v>
      </c>
      <c r="D70" s="9">
        <v>230.0</v>
      </c>
      <c r="E70" s="9" t="s">
        <v>12241</v>
      </c>
    </row>
    <row r="71" ht="15.75" customHeight="1">
      <c r="A71" s="9" t="s">
        <v>47596</v>
      </c>
      <c r="B71" s="9" t="s">
        <v>11975</v>
      </c>
      <c r="C71" s="9" t="s">
        <v>47573</v>
      </c>
      <c r="D71" s="9">
        <v>70.0</v>
      </c>
      <c r="E71" s="9" t="s">
        <v>12226</v>
      </c>
    </row>
    <row r="72" ht="15.75" customHeight="1">
      <c r="A72" s="9"/>
      <c r="B72" s="9"/>
      <c r="D72" s="9"/>
      <c r="E72" s="9"/>
    </row>
    <row r="73" ht="15.75" customHeight="1">
      <c r="A73" s="9" t="s">
        <v>47597</v>
      </c>
      <c r="B73" s="9" t="s">
        <v>11491</v>
      </c>
      <c r="D73" s="9">
        <v>700.0</v>
      </c>
      <c r="E73" s="9" t="s">
        <v>12241</v>
      </c>
    </row>
    <row r="74" ht="15.75" customHeight="1">
      <c r="A74" s="9" t="s">
        <v>47598</v>
      </c>
      <c r="B74" s="9" t="s">
        <v>9583</v>
      </c>
      <c r="D74" s="9">
        <v>35.0</v>
      </c>
      <c r="E74" s="9" t="s">
        <v>12234</v>
      </c>
    </row>
    <row r="75" ht="15.75" customHeight="1">
      <c r="A75" s="9" t="s">
        <v>47599</v>
      </c>
      <c r="B75" s="9" t="s">
        <v>9639</v>
      </c>
      <c r="C75" s="9" t="s">
        <v>47600</v>
      </c>
      <c r="D75" s="9">
        <v>700.0</v>
      </c>
      <c r="E75" s="9" t="s">
        <v>12241</v>
      </c>
      <c r="G75" s="9" t="s">
        <v>47521</v>
      </c>
    </row>
    <row r="76" ht="15.75" customHeight="1">
      <c r="A76" s="9" t="s">
        <v>47601</v>
      </c>
      <c r="B76" s="9" t="s">
        <v>9639</v>
      </c>
      <c r="C76" s="9" t="s">
        <v>47600</v>
      </c>
      <c r="D76" s="9">
        <v>400.0</v>
      </c>
      <c r="E76" s="9" t="s">
        <v>12243</v>
      </c>
      <c r="G76" s="9" t="s">
        <v>47521</v>
      </c>
    </row>
    <row r="77" ht="15.75" customHeight="1">
      <c r="A77" s="9" t="s">
        <v>47602</v>
      </c>
      <c r="B77" s="9" t="s">
        <v>9639</v>
      </c>
      <c r="C77" s="9" t="s">
        <v>47594</v>
      </c>
      <c r="D77" s="9">
        <v>250.0</v>
      </c>
      <c r="E77" s="9" t="s">
        <v>12243</v>
      </c>
      <c r="G77" s="9" t="s">
        <v>47521</v>
      </c>
    </row>
    <row r="78" ht="15.75" customHeight="1">
      <c r="A78" s="9" t="s">
        <v>47603</v>
      </c>
      <c r="B78" s="9" t="s">
        <v>255</v>
      </c>
      <c r="C78" s="9" t="s">
        <v>47604</v>
      </c>
      <c r="D78" s="9">
        <v>5.5</v>
      </c>
      <c r="E78" s="9" t="s">
        <v>12234</v>
      </c>
    </row>
    <row r="79" ht="15.75" customHeight="1">
      <c r="A79" s="9" t="s">
        <v>47605</v>
      </c>
      <c r="B79" s="9" t="s">
        <v>255</v>
      </c>
      <c r="C79" s="9" t="s">
        <v>1806</v>
      </c>
      <c r="D79" s="9">
        <v>8.5</v>
      </c>
      <c r="E79" s="9" t="s">
        <v>12234</v>
      </c>
    </row>
    <row r="80" ht="15.75" customHeight="1">
      <c r="A80" s="9" t="s">
        <v>47606</v>
      </c>
      <c r="B80" s="9" t="s">
        <v>10658</v>
      </c>
      <c r="C80" s="9" t="s">
        <v>47594</v>
      </c>
      <c r="D80" s="9">
        <v>250.0</v>
      </c>
      <c r="E80" s="9" t="s">
        <v>12245</v>
      </c>
      <c r="G80" s="9" t="s">
        <v>47521</v>
      </c>
    </row>
    <row r="81" ht="15.75" customHeight="1">
      <c r="A81" s="9" t="s">
        <v>47607</v>
      </c>
      <c r="B81" s="9" t="s">
        <v>255</v>
      </c>
      <c r="D81" s="9">
        <v>4.5</v>
      </c>
      <c r="E81" s="9" t="s">
        <v>12237</v>
      </c>
    </row>
    <row r="82" ht="15.75" customHeight="1">
      <c r="A82" s="9" t="s">
        <v>47608</v>
      </c>
      <c r="B82" s="9" t="s">
        <v>11849</v>
      </c>
      <c r="D82" s="9">
        <v>12.0</v>
      </c>
      <c r="E82" s="9" t="s">
        <v>12225</v>
      </c>
    </row>
    <row r="83" ht="15.75" customHeight="1">
      <c r="A83" s="9" t="s">
        <v>47609</v>
      </c>
      <c r="B83" s="9" t="s">
        <v>6224</v>
      </c>
      <c r="C83" s="9" t="s">
        <v>47546</v>
      </c>
      <c r="D83" s="9">
        <v>20.0</v>
      </c>
    </row>
    <row r="84" ht="15.75" customHeight="1">
      <c r="A84" s="9" t="s">
        <v>47610</v>
      </c>
      <c r="B84" s="9" t="s">
        <v>10378</v>
      </c>
      <c r="D84" s="9">
        <v>55.0</v>
      </c>
      <c r="E84" s="9" t="s">
        <v>12234</v>
      </c>
    </row>
    <row r="85" ht="15.75" customHeight="1">
      <c r="A85" s="9" t="s">
        <v>47611</v>
      </c>
      <c r="B85" s="9" t="s">
        <v>11917</v>
      </c>
      <c r="D85" s="9">
        <v>60.0</v>
      </c>
      <c r="E85" s="9" t="s">
        <v>12245</v>
      </c>
    </row>
    <row r="86" ht="15.75" customHeight="1">
      <c r="A86" s="9" t="s">
        <v>47612</v>
      </c>
      <c r="B86" s="9" t="s">
        <v>12102</v>
      </c>
      <c r="C86" s="9"/>
      <c r="D86" s="9">
        <v>110.0</v>
      </c>
      <c r="E86" s="9" t="s">
        <v>12226</v>
      </c>
    </row>
    <row r="87" ht="15.75" customHeight="1">
      <c r="A87" s="9" t="s">
        <v>47613</v>
      </c>
      <c r="B87" s="9" t="s">
        <v>9594</v>
      </c>
    </row>
    <row r="88" ht="15.75" customHeight="1">
      <c r="A88" s="9" t="s">
        <v>47614</v>
      </c>
      <c r="B88" s="9" t="s">
        <v>10603</v>
      </c>
      <c r="C88" s="9" t="s">
        <v>47615</v>
      </c>
      <c r="D88" s="9">
        <v>60.0</v>
      </c>
      <c r="E88" s="9" t="s">
        <v>12245</v>
      </c>
    </row>
    <row r="89" ht="15.75" customHeight="1">
      <c r="A89" s="9" t="s">
        <v>47616</v>
      </c>
      <c r="B89" s="9" t="s">
        <v>9868</v>
      </c>
      <c r="C89" s="9" t="s">
        <v>47573</v>
      </c>
      <c r="D89" s="9">
        <v>150.0</v>
      </c>
      <c r="E89" s="9" t="s">
        <v>12238</v>
      </c>
    </row>
    <row r="90" ht="15.75" customHeight="1">
      <c r="A90" s="9" t="s">
        <v>47617</v>
      </c>
      <c r="B90" s="9" t="s">
        <v>10562</v>
      </c>
      <c r="C90" s="9" t="s">
        <v>47573</v>
      </c>
      <c r="D90" s="9">
        <v>84.0</v>
      </c>
      <c r="E90" s="9" t="s">
        <v>12232</v>
      </c>
    </row>
    <row r="91" ht="15.75" customHeight="1">
      <c r="A91" s="9" t="s">
        <v>47618</v>
      </c>
      <c r="B91" s="9" t="s">
        <v>11780</v>
      </c>
      <c r="C91" s="9" t="s">
        <v>47511</v>
      </c>
      <c r="D91" s="9">
        <v>400.0</v>
      </c>
      <c r="E91" s="9" t="s">
        <v>47619</v>
      </c>
    </row>
    <row r="92" ht="15.75" customHeight="1">
      <c r="A92" s="9" t="s">
        <v>47620</v>
      </c>
      <c r="B92" s="9" t="s">
        <v>11875</v>
      </c>
      <c r="C92" s="9" t="s">
        <v>47594</v>
      </c>
      <c r="D92" s="9">
        <v>546.0</v>
      </c>
      <c r="E92" s="9" t="s">
        <v>12241</v>
      </c>
      <c r="G92" s="9" t="s">
        <v>47521</v>
      </c>
    </row>
    <row r="93" ht="15.75" customHeight="1">
      <c r="A93" s="9" t="s">
        <v>47621</v>
      </c>
      <c r="B93" s="9" t="s">
        <v>10432</v>
      </c>
      <c r="D93" s="9">
        <v>39.0</v>
      </c>
      <c r="E93" s="9" t="s">
        <v>47622</v>
      </c>
    </row>
    <row r="94" ht="15.75" customHeight="1">
      <c r="A94" s="9" t="s">
        <v>47623</v>
      </c>
      <c r="B94" s="9" t="s">
        <v>5718</v>
      </c>
      <c r="D94" s="9"/>
    </row>
    <row r="95" ht="15.75" customHeight="1">
      <c r="A95" s="9" t="s">
        <v>47624</v>
      </c>
      <c r="B95" s="9" t="s">
        <v>11657</v>
      </c>
      <c r="D95" s="9">
        <v>29.0</v>
      </c>
      <c r="E95" s="9" t="s">
        <v>12231</v>
      </c>
      <c r="G95" s="9" t="s">
        <v>47521</v>
      </c>
    </row>
    <row r="96" ht="15.75" customHeight="1">
      <c r="A96" s="9" t="s">
        <v>47625</v>
      </c>
      <c r="B96" s="9" t="s">
        <v>12144</v>
      </c>
      <c r="D96" s="9">
        <v>30.0</v>
      </c>
      <c r="E96" s="9" t="s">
        <v>47516</v>
      </c>
      <c r="G96" s="9" t="s">
        <v>47521</v>
      </c>
    </row>
    <row r="97" ht="15.75" customHeight="1">
      <c r="A97" s="9" t="s">
        <v>47626</v>
      </c>
      <c r="B97" s="9" t="s">
        <v>10477</v>
      </c>
      <c r="C97" s="9" t="s">
        <v>47627</v>
      </c>
      <c r="D97" s="9">
        <v>550.0</v>
      </c>
      <c r="E97" s="9" t="s">
        <v>12243</v>
      </c>
      <c r="G97" s="9" t="s">
        <v>47521</v>
      </c>
    </row>
    <row r="98" ht="15.75" customHeight="1">
      <c r="A98" s="9" t="s">
        <v>47628</v>
      </c>
      <c r="B98" s="9" t="s">
        <v>11592</v>
      </c>
      <c r="C98" s="9" t="s">
        <v>1806</v>
      </c>
      <c r="D98" s="9">
        <v>3.0</v>
      </c>
      <c r="E98" s="9" t="s">
        <v>12234</v>
      </c>
    </row>
    <row r="99" ht="15.75" customHeight="1">
      <c r="A99" s="9" t="s">
        <v>47629</v>
      </c>
      <c r="B99" s="9" t="s">
        <v>11851</v>
      </c>
      <c r="C99" s="9" t="s">
        <v>47630</v>
      </c>
      <c r="D99" s="9">
        <v>250.0</v>
      </c>
      <c r="E99" s="9" t="s">
        <v>12245</v>
      </c>
    </row>
    <row r="100" ht="15.75" customHeight="1">
      <c r="A100" s="9" t="s">
        <v>47631</v>
      </c>
      <c r="B100" s="9" t="s">
        <v>10763</v>
      </c>
      <c r="D100" s="9">
        <v>12.0</v>
      </c>
      <c r="E100" s="9" t="s">
        <v>47622</v>
      </c>
    </row>
    <row r="101" ht="15.75" customHeight="1">
      <c r="A101" s="9" t="s">
        <v>47632</v>
      </c>
      <c r="B101" s="9" t="s">
        <v>10740</v>
      </c>
      <c r="D101" s="9">
        <v>30.0</v>
      </c>
      <c r="E101" s="9" t="s">
        <v>47622</v>
      </c>
    </row>
    <row r="102" ht="15.75" customHeight="1">
      <c r="A102" s="9" t="s">
        <v>47633</v>
      </c>
      <c r="B102" s="9" t="s">
        <v>10322</v>
      </c>
      <c r="C102" s="9" t="s">
        <v>47634</v>
      </c>
      <c r="D102" s="9">
        <v>150.0</v>
      </c>
      <c r="E102" s="9" t="s">
        <v>12238</v>
      </c>
    </row>
    <row r="103" ht="15.75" customHeight="1">
      <c r="A103" s="9" t="s">
        <v>47635</v>
      </c>
      <c r="B103" s="9" t="s">
        <v>9801</v>
      </c>
      <c r="C103" s="9" t="s">
        <v>47636</v>
      </c>
      <c r="D103" s="9">
        <v>45.0</v>
      </c>
      <c r="E103" s="9" t="s">
        <v>12245</v>
      </c>
    </row>
    <row r="104" ht="15.75" customHeight="1">
      <c r="A104" s="9" t="s">
        <v>47637</v>
      </c>
      <c r="B104" s="9" t="s">
        <v>1814</v>
      </c>
      <c r="D104" s="9">
        <v>90.0</v>
      </c>
      <c r="E104" s="9" t="s">
        <v>47561</v>
      </c>
    </row>
    <row r="105" ht="15.75" customHeight="1">
      <c r="A105" s="9" t="s">
        <v>47638</v>
      </c>
      <c r="B105" s="9" t="s">
        <v>9030</v>
      </c>
      <c r="C105" s="9" t="s">
        <v>47639</v>
      </c>
      <c r="D105" s="9">
        <v>180.0</v>
      </c>
      <c r="G105" s="9" t="s">
        <v>47521</v>
      </c>
    </row>
    <row r="106" ht="15.75" customHeight="1">
      <c r="A106" s="9" t="s">
        <v>47640</v>
      </c>
      <c r="B106" s="9" t="s">
        <v>11847</v>
      </c>
      <c r="D106" s="9">
        <v>980.0</v>
      </c>
      <c r="E106" s="9" t="s">
        <v>12241</v>
      </c>
    </row>
    <row r="107" ht="15.75" customHeight="1">
      <c r="A107" s="9" t="s">
        <v>47641</v>
      </c>
      <c r="B107" s="9" t="s">
        <v>10437</v>
      </c>
      <c r="C107" s="9" t="s">
        <v>47594</v>
      </c>
      <c r="D107" s="9">
        <v>18.0</v>
      </c>
    </row>
    <row r="108" ht="15.75" customHeight="1">
      <c r="A108" s="9" t="s">
        <v>47642</v>
      </c>
      <c r="B108" s="9" t="s">
        <v>11637</v>
      </c>
      <c r="C108" s="9" t="s">
        <v>47643</v>
      </c>
      <c r="D108" s="9">
        <v>49.0</v>
      </c>
      <c r="E108" s="9" t="s">
        <v>12231</v>
      </c>
      <c r="G108" s="9" t="s">
        <v>47521</v>
      </c>
    </row>
    <row r="109" ht="15.75" customHeight="1">
      <c r="A109" s="9" t="s">
        <v>47644</v>
      </c>
      <c r="B109" s="9" t="s">
        <v>4176</v>
      </c>
      <c r="D109" s="9">
        <v>65.0</v>
      </c>
      <c r="E109" s="9" t="s">
        <v>12232</v>
      </c>
    </row>
    <row r="110" ht="15.75" customHeight="1">
      <c r="A110" s="9" t="s">
        <v>47645</v>
      </c>
      <c r="B110" s="9" t="s">
        <v>12148</v>
      </c>
      <c r="C110" s="9" t="s">
        <v>47646</v>
      </c>
      <c r="D110" s="9">
        <v>200.0</v>
      </c>
      <c r="E110" s="9" t="s">
        <v>47567</v>
      </c>
    </row>
    <row r="111" ht="15.75" customHeight="1">
      <c r="A111" s="9" t="s">
        <v>47647</v>
      </c>
      <c r="B111" s="9" t="s">
        <v>8322</v>
      </c>
      <c r="D111" s="9">
        <v>28.0</v>
      </c>
      <c r="E111" s="9" t="s">
        <v>12234</v>
      </c>
    </row>
    <row r="112" ht="15.75" customHeight="1">
      <c r="A112" s="9" t="s">
        <v>47648</v>
      </c>
      <c r="B112" s="9" t="s">
        <v>10672</v>
      </c>
      <c r="D112" s="9">
        <v>840.0</v>
      </c>
      <c r="E112" s="9" t="s">
        <v>12243</v>
      </c>
    </row>
    <row r="113" ht="15.75" customHeight="1">
      <c r="A113" s="9" t="s">
        <v>47649</v>
      </c>
      <c r="B113" s="9" t="s">
        <v>10225</v>
      </c>
      <c r="D113" s="9">
        <v>60.0</v>
      </c>
      <c r="E113" s="9" t="s">
        <v>12232</v>
      </c>
    </row>
    <row r="114" ht="15.75" customHeight="1">
      <c r="A114" s="9" t="s">
        <v>47650</v>
      </c>
      <c r="B114" s="9" t="s">
        <v>263</v>
      </c>
      <c r="D114" s="9">
        <v>20.0</v>
      </c>
      <c r="E114" s="9" t="s">
        <v>47651</v>
      </c>
    </row>
    <row r="115" ht="15.75" customHeight="1">
      <c r="A115" s="9" t="s">
        <v>47652</v>
      </c>
      <c r="B115" s="9" t="s">
        <v>8306</v>
      </c>
      <c r="D115" s="9">
        <v>65.0</v>
      </c>
      <c r="E115" s="9" t="s">
        <v>12234</v>
      </c>
      <c r="G115" s="9" t="s">
        <v>47521</v>
      </c>
    </row>
    <row r="116" ht="15.75" customHeight="1">
      <c r="A116" s="9" t="s">
        <v>47653</v>
      </c>
      <c r="B116" s="9" t="s">
        <v>3852</v>
      </c>
      <c r="D116" s="9">
        <v>18.0</v>
      </c>
      <c r="E116" s="9" t="s">
        <v>12234</v>
      </c>
      <c r="G116" s="9" t="s">
        <v>47521</v>
      </c>
    </row>
    <row r="117" ht="15.75" customHeight="1">
      <c r="A117" s="9" t="s">
        <v>47654</v>
      </c>
      <c r="B117" s="9" t="s">
        <v>3663</v>
      </c>
    </row>
    <row r="118" ht="15.75" customHeight="1">
      <c r="A118" s="9" t="s">
        <v>47655</v>
      </c>
      <c r="B118" s="9" t="s">
        <v>7556</v>
      </c>
      <c r="D118" s="9">
        <v>7.0</v>
      </c>
      <c r="G118" s="9" t="s">
        <v>47521</v>
      </c>
    </row>
    <row r="119" ht="15.75" customHeight="1">
      <c r="A119" s="9" t="s">
        <v>47656</v>
      </c>
      <c r="B119" s="9" t="s">
        <v>5361</v>
      </c>
      <c r="D119" s="9">
        <v>6.0</v>
      </c>
      <c r="G119" s="9" t="s">
        <v>47521</v>
      </c>
    </row>
    <row r="120" ht="15.75" customHeight="1">
      <c r="A120" s="9" t="s">
        <v>47657</v>
      </c>
      <c r="B120" s="9" t="s">
        <v>4785</v>
      </c>
      <c r="D120" s="9">
        <v>5.0</v>
      </c>
    </row>
    <row r="121" ht="15.75" customHeight="1">
      <c r="A121" s="9" t="s">
        <v>47658</v>
      </c>
      <c r="B121" s="9" t="s">
        <v>10171</v>
      </c>
      <c r="D121" s="9"/>
      <c r="G121" s="9"/>
    </row>
    <row r="122" ht="15.75" customHeight="1">
      <c r="A122" s="9" t="s">
        <v>47659</v>
      </c>
      <c r="B122" s="9" t="s">
        <v>3331</v>
      </c>
      <c r="D122" s="9">
        <v>20.0</v>
      </c>
      <c r="E122" s="9" t="s">
        <v>12234</v>
      </c>
    </row>
    <row r="123" ht="15.75" customHeight="1">
      <c r="A123" s="9" t="s">
        <v>47660</v>
      </c>
      <c r="B123" s="9" t="s">
        <v>5067</v>
      </c>
      <c r="D123" s="9">
        <v>50.0</v>
      </c>
      <c r="E123" s="9" t="s">
        <v>12234</v>
      </c>
      <c r="G123" s="9" t="s">
        <v>47521</v>
      </c>
    </row>
    <row r="124" ht="15.75" customHeight="1">
      <c r="A124" s="9" t="s">
        <v>47661</v>
      </c>
      <c r="B124" s="9" t="s">
        <v>4302</v>
      </c>
      <c r="C124" s="9" t="s">
        <v>47662</v>
      </c>
      <c r="D124" s="9">
        <v>20.0</v>
      </c>
      <c r="E124" s="9" t="s">
        <v>12245</v>
      </c>
    </row>
    <row r="125" ht="15.75" customHeight="1">
      <c r="A125" s="9" t="s">
        <v>47663</v>
      </c>
      <c r="B125" s="9" t="s">
        <v>8635</v>
      </c>
      <c r="D125" s="9">
        <v>57.0</v>
      </c>
      <c r="G125" s="9" t="s">
        <v>47521</v>
      </c>
    </row>
    <row r="126" ht="15.75" customHeight="1">
      <c r="A126" s="9" t="s">
        <v>47664</v>
      </c>
      <c r="B126" s="9" t="s">
        <v>10730</v>
      </c>
      <c r="D126" s="9">
        <v>60.0</v>
      </c>
      <c r="E126" s="9" t="s">
        <v>12234</v>
      </c>
    </row>
    <row r="127" ht="15.75" customHeight="1">
      <c r="A127" s="9" t="s">
        <v>47665</v>
      </c>
      <c r="B127" s="9" t="s">
        <v>4838</v>
      </c>
      <c r="C127" s="9"/>
      <c r="D127" s="9"/>
      <c r="E127" s="9"/>
    </row>
    <row r="128" ht="15.75" customHeight="1">
      <c r="A128" s="9" t="s">
        <v>47666</v>
      </c>
      <c r="B128" s="9" t="s">
        <v>12085</v>
      </c>
      <c r="C128" s="9" t="s">
        <v>47573</v>
      </c>
      <c r="D128" s="9">
        <v>45.0</v>
      </c>
      <c r="E128" s="9" t="s">
        <v>47516</v>
      </c>
      <c r="G128" s="9" t="s">
        <v>47521</v>
      </c>
    </row>
    <row r="129" ht="15.75" customHeight="1">
      <c r="A129" s="9" t="s">
        <v>47667</v>
      </c>
      <c r="B129" s="9" t="s">
        <v>9667</v>
      </c>
      <c r="D129" s="9">
        <v>35.0</v>
      </c>
      <c r="E129" s="9" t="s">
        <v>47668</v>
      </c>
    </row>
    <row r="130" ht="15.75" customHeight="1">
      <c r="A130" s="9" t="s">
        <v>47669</v>
      </c>
      <c r="B130" s="9" t="s">
        <v>9667</v>
      </c>
      <c r="D130" s="9">
        <v>40.0</v>
      </c>
      <c r="E130" s="9" t="s">
        <v>47670</v>
      </c>
    </row>
    <row r="131" ht="15.75" customHeight="1">
      <c r="A131" s="9" t="s">
        <v>47671</v>
      </c>
      <c r="B131" s="9" t="s">
        <v>249</v>
      </c>
      <c r="C131" s="9" t="s">
        <v>47573</v>
      </c>
      <c r="D131" s="9">
        <v>35.0</v>
      </c>
      <c r="E131" s="9" t="s">
        <v>12234</v>
      </c>
    </row>
    <row r="132" ht="15.75" customHeight="1">
      <c r="A132" s="9" t="s">
        <v>47672</v>
      </c>
      <c r="B132" s="9" t="s">
        <v>249</v>
      </c>
      <c r="C132" s="9" t="s">
        <v>47546</v>
      </c>
      <c r="D132" s="9">
        <v>20.0</v>
      </c>
      <c r="G132" s="9" t="s">
        <v>47521</v>
      </c>
    </row>
    <row r="133" ht="15.75" customHeight="1">
      <c r="A133" s="9" t="s">
        <v>47673</v>
      </c>
      <c r="B133" s="9" t="s">
        <v>1344</v>
      </c>
      <c r="D133" s="9">
        <v>6.5</v>
      </c>
      <c r="E133" s="9" t="s">
        <v>47582</v>
      </c>
      <c r="G133" s="9" t="s">
        <v>47521</v>
      </c>
    </row>
    <row r="134" ht="15.75" customHeight="1">
      <c r="A134" s="9" t="s">
        <v>47674</v>
      </c>
      <c r="B134" s="9" t="s">
        <v>7612</v>
      </c>
      <c r="D134" s="9">
        <v>7.0</v>
      </c>
      <c r="G134" s="9" t="s">
        <v>47521</v>
      </c>
    </row>
    <row r="135" ht="15.75" customHeight="1">
      <c r="A135" s="9" t="s">
        <v>47675</v>
      </c>
      <c r="B135" s="9" t="s">
        <v>931</v>
      </c>
      <c r="D135" s="9">
        <v>2.5</v>
      </c>
      <c r="G135" s="9" t="s">
        <v>47521</v>
      </c>
    </row>
    <row r="136" ht="15.75" customHeight="1">
      <c r="A136" s="9" t="s">
        <v>47676</v>
      </c>
      <c r="B136" s="9" t="s">
        <v>8291</v>
      </c>
      <c r="D136" s="9">
        <v>35.0</v>
      </c>
      <c r="E136" s="9" t="s">
        <v>12234</v>
      </c>
    </row>
    <row r="137" ht="15.75" customHeight="1">
      <c r="A137" s="9" t="s">
        <v>47677</v>
      </c>
      <c r="B137" s="9" t="s">
        <v>4423</v>
      </c>
      <c r="C137" s="9" t="s">
        <v>47678</v>
      </c>
      <c r="D137" s="9">
        <v>15.0</v>
      </c>
      <c r="E137" s="9" t="s">
        <v>12245</v>
      </c>
      <c r="G137" s="9" t="s">
        <v>47521</v>
      </c>
    </row>
    <row r="138" ht="15.75" customHeight="1">
      <c r="A138" s="9"/>
      <c r="B138" s="9"/>
      <c r="C138" s="9"/>
      <c r="D138" s="9"/>
      <c r="E138" s="9"/>
      <c r="G138" s="9"/>
    </row>
    <row r="139" ht="15.75" customHeight="1">
      <c r="A139" s="9"/>
      <c r="B139" s="9"/>
      <c r="D139" s="9"/>
      <c r="E139" s="9"/>
    </row>
    <row r="140" ht="15.75" customHeight="1">
      <c r="A140" s="9" t="s">
        <v>47679</v>
      </c>
      <c r="B140" s="9" t="s">
        <v>12172</v>
      </c>
      <c r="D140" s="9">
        <v>10.0</v>
      </c>
      <c r="G140" s="9" t="s">
        <v>47521</v>
      </c>
    </row>
    <row r="141" ht="15.75" customHeight="1">
      <c r="A141" s="9" t="s">
        <v>47680</v>
      </c>
      <c r="B141" s="9" t="s">
        <v>237</v>
      </c>
      <c r="C141" s="9" t="s">
        <v>47681</v>
      </c>
      <c r="D141" s="9">
        <v>37.0</v>
      </c>
      <c r="E141" s="9" t="s">
        <v>47567</v>
      </c>
      <c r="G141" s="9" t="s">
        <v>47521</v>
      </c>
    </row>
    <row r="142" ht="15.75" customHeight="1">
      <c r="A142" s="9" t="s">
        <v>47682</v>
      </c>
      <c r="B142" s="9" t="s">
        <v>237</v>
      </c>
      <c r="C142" s="9" t="s">
        <v>47634</v>
      </c>
      <c r="D142" s="9">
        <v>28.0</v>
      </c>
      <c r="E142" s="9" t="s">
        <v>47567</v>
      </c>
      <c r="G142" s="9" t="s">
        <v>47521</v>
      </c>
    </row>
    <row r="143" ht="15.75" customHeight="1">
      <c r="A143" s="9" t="s">
        <v>47683</v>
      </c>
      <c r="B143" s="9" t="s">
        <v>10735</v>
      </c>
      <c r="C143" s="9"/>
      <c r="D143" s="9">
        <v>120.0</v>
      </c>
      <c r="E143" s="9" t="s">
        <v>12245</v>
      </c>
      <c r="G143" s="9" t="s">
        <v>47521</v>
      </c>
    </row>
    <row r="144" ht="15.75" customHeight="1">
      <c r="A144" s="9" t="s">
        <v>47684</v>
      </c>
      <c r="B144" s="9" t="s">
        <v>11700</v>
      </c>
      <c r="D144" s="9">
        <v>40.0</v>
      </c>
      <c r="E144" s="9" t="s">
        <v>12234</v>
      </c>
    </row>
    <row r="145" ht="15.75" customHeight="1">
      <c r="A145" s="9" t="s">
        <v>47685</v>
      </c>
      <c r="B145" s="9" t="s">
        <v>8727</v>
      </c>
      <c r="C145" s="9" t="s">
        <v>47573</v>
      </c>
      <c r="D145" s="9">
        <v>156.0</v>
      </c>
      <c r="G145" s="9" t="s">
        <v>47521</v>
      </c>
    </row>
    <row r="146" ht="15.75" customHeight="1">
      <c r="A146" s="9" t="s">
        <v>47686</v>
      </c>
      <c r="B146" s="9" t="s">
        <v>9394</v>
      </c>
      <c r="C146" s="9" t="s">
        <v>47511</v>
      </c>
      <c r="D146" s="9">
        <v>150.0</v>
      </c>
      <c r="E146" s="9" t="s">
        <v>12226</v>
      </c>
      <c r="G146" s="9" t="s">
        <v>47521</v>
      </c>
    </row>
    <row r="147" ht="15.75" customHeight="1">
      <c r="A147" s="9" t="s">
        <v>47687</v>
      </c>
      <c r="B147" s="9" t="s">
        <v>6716</v>
      </c>
      <c r="C147" s="9" t="s">
        <v>47573</v>
      </c>
      <c r="D147" s="9">
        <v>18.0</v>
      </c>
      <c r="G147" s="9" t="s">
        <v>47521</v>
      </c>
    </row>
    <row r="148" ht="15.75" customHeight="1">
      <c r="A148" s="9" t="s">
        <v>47688</v>
      </c>
      <c r="B148" s="9" t="s">
        <v>11758</v>
      </c>
      <c r="D148" s="9">
        <v>600.0</v>
      </c>
      <c r="E148" s="9" t="s">
        <v>12241</v>
      </c>
    </row>
    <row r="149" ht="15.75" customHeight="1">
      <c r="A149" s="9" t="s">
        <v>47689</v>
      </c>
      <c r="B149" s="9" t="s">
        <v>1393</v>
      </c>
      <c r="D149" s="9">
        <v>10.0</v>
      </c>
      <c r="G149" s="9" t="s">
        <v>47521</v>
      </c>
    </row>
    <row r="150" ht="15.75" customHeight="1">
      <c r="A150" s="9" t="s">
        <v>47690</v>
      </c>
      <c r="B150" s="9" t="s">
        <v>10354</v>
      </c>
      <c r="D150" s="9">
        <v>650.0</v>
      </c>
      <c r="E150" s="9" t="s">
        <v>12243</v>
      </c>
    </row>
    <row r="151" ht="15.75" customHeight="1">
      <c r="A151" s="9" t="s">
        <v>47691</v>
      </c>
      <c r="B151" s="9" t="s">
        <v>10719</v>
      </c>
      <c r="D151" s="9">
        <v>79.0</v>
      </c>
      <c r="E151" s="9" t="s">
        <v>12245</v>
      </c>
      <c r="G151" s="9" t="s">
        <v>47521</v>
      </c>
    </row>
    <row r="152" ht="15.75" customHeight="1">
      <c r="A152" s="9" t="s">
        <v>47692</v>
      </c>
      <c r="B152" s="9" t="s">
        <v>10211</v>
      </c>
      <c r="D152" s="9">
        <v>50.0</v>
      </c>
      <c r="E152" s="9" t="s">
        <v>47516</v>
      </c>
      <c r="G152" s="9" t="s">
        <v>47521</v>
      </c>
    </row>
    <row r="153" ht="15.75" customHeight="1">
      <c r="A153" s="9" t="s">
        <v>47693</v>
      </c>
      <c r="B153" s="9" t="s">
        <v>10622</v>
      </c>
      <c r="C153" s="9" t="s">
        <v>47694</v>
      </c>
      <c r="D153" s="9">
        <v>50.0</v>
      </c>
      <c r="E153" s="9" t="s">
        <v>47516</v>
      </c>
      <c r="G153" s="9" t="s">
        <v>47521</v>
      </c>
    </row>
    <row r="154" ht="15.75" customHeight="1">
      <c r="A154" s="9" t="s">
        <v>47695</v>
      </c>
      <c r="B154" s="9" t="s">
        <v>11686</v>
      </c>
      <c r="D154" s="9">
        <v>45.0</v>
      </c>
      <c r="E154" s="9" t="s">
        <v>12245</v>
      </c>
    </row>
    <row r="155" ht="15.75" customHeight="1">
      <c r="A155" s="9"/>
      <c r="B155" s="9"/>
      <c r="D155" s="9"/>
      <c r="E155" s="9"/>
    </row>
    <row r="156" ht="15.75" customHeight="1">
      <c r="A156" s="9" t="s">
        <v>47696</v>
      </c>
      <c r="B156" s="9" t="s">
        <v>12213</v>
      </c>
      <c r="D156" s="9">
        <v>90.0</v>
      </c>
      <c r="G156" s="9" t="s">
        <v>47521</v>
      </c>
    </row>
    <row r="157" ht="15.75" customHeight="1">
      <c r="A157" s="9" t="s">
        <v>47697</v>
      </c>
      <c r="B157" s="9" t="s">
        <v>10571</v>
      </c>
    </row>
    <row r="158" ht="15.75" customHeight="1">
      <c r="A158" s="9" t="s">
        <v>47698</v>
      </c>
      <c r="B158" s="9" t="s">
        <v>10721</v>
      </c>
      <c r="C158" s="9" t="s">
        <v>47699</v>
      </c>
      <c r="D158" s="9">
        <v>270.0</v>
      </c>
      <c r="E158" s="9" t="s">
        <v>12243</v>
      </c>
    </row>
    <row r="159" ht="15.75" customHeight="1">
      <c r="A159" s="9" t="s">
        <v>47700</v>
      </c>
      <c r="B159" s="9" t="s">
        <v>246</v>
      </c>
      <c r="D159" s="9">
        <v>95.0</v>
      </c>
      <c r="E159" s="9" t="s">
        <v>12245</v>
      </c>
    </row>
    <row r="160" ht="15.75" customHeight="1">
      <c r="A160" s="9" t="s">
        <v>47701</v>
      </c>
      <c r="B160" s="9" t="s">
        <v>3963</v>
      </c>
      <c r="D160" s="9">
        <v>32.0</v>
      </c>
      <c r="E160" s="9" t="s">
        <v>12225</v>
      </c>
      <c r="G160" s="9" t="s">
        <v>47521</v>
      </c>
    </row>
    <row r="161" ht="15.75" customHeight="1">
      <c r="A161" s="9" t="s">
        <v>47702</v>
      </c>
      <c r="B161" s="9" t="s">
        <v>12102</v>
      </c>
      <c r="D161" s="9">
        <v>30.0</v>
      </c>
      <c r="G161" s="9" t="s">
        <v>47521</v>
      </c>
    </row>
    <row r="162" ht="15.75" customHeight="1">
      <c r="A162" s="9" t="s">
        <v>47703</v>
      </c>
      <c r="B162" s="9" t="s">
        <v>3638</v>
      </c>
      <c r="C162" s="9" t="s">
        <v>47511</v>
      </c>
      <c r="D162" s="9">
        <v>75.0</v>
      </c>
      <c r="E162" s="9" t="s">
        <v>47542</v>
      </c>
    </row>
    <row r="163" ht="15.75" customHeight="1">
      <c r="A163" s="9" t="s">
        <v>47704</v>
      </c>
      <c r="B163" s="9" t="s">
        <v>3638</v>
      </c>
      <c r="C163" s="9" t="s">
        <v>47511</v>
      </c>
      <c r="D163" s="9">
        <v>70.0</v>
      </c>
      <c r="E163" s="9" t="s">
        <v>47705</v>
      </c>
    </row>
    <row r="164" ht="15.75" customHeight="1">
      <c r="A164" s="9" t="s">
        <v>47706</v>
      </c>
      <c r="B164" s="9" t="s">
        <v>3129</v>
      </c>
      <c r="C164" s="9" t="s">
        <v>47511</v>
      </c>
      <c r="D164" s="9">
        <v>58.0</v>
      </c>
      <c r="E164" s="9" t="s">
        <v>12226</v>
      </c>
      <c r="G164" s="9" t="s">
        <v>47521</v>
      </c>
    </row>
    <row r="165" ht="15.75" customHeight="1">
      <c r="A165" s="9" t="s">
        <v>47707</v>
      </c>
      <c r="B165" s="9" t="s">
        <v>3129</v>
      </c>
      <c r="C165" s="9" t="s">
        <v>47546</v>
      </c>
      <c r="D165" s="9">
        <v>19.0</v>
      </c>
      <c r="G165" s="9" t="s">
        <v>47521</v>
      </c>
    </row>
    <row r="166" ht="15.75" customHeight="1">
      <c r="A166" s="9" t="s">
        <v>47708</v>
      </c>
      <c r="B166" s="9" t="s">
        <v>12207</v>
      </c>
      <c r="D166" s="9">
        <v>91.0</v>
      </c>
      <c r="E166" s="9" t="s">
        <v>47561</v>
      </c>
    </row>
    <row r="167" ht="15.75" customHeight="1">
      <c r="A167" s="9" t="s">
        <v>47709</v>
      </c>
      <c r="B167" s="9" t="s">
        <v>4800</v>
      </c>
      <c r="C167" s="9" t="s">
        <v>47710</v>
      </c>
      <c r="D167" s="9">
        <v>3.5</v>
      </c>
      <c r="E167" s="9" t="s">
        <v>12237</v>
      </c>
    </row>
    <row r="168" ht="15.75" customHeight="1">
      <c r="A168" s="9" t="s">
        <v>47711</v>
      </c>
      <c r="B168" s="9" t="s">
        <v>4800</v>
      </c>
      <c r="C168" s="9" t="s">
        <v>47712</v>
      </c>
      <c r="D168" s="9">
        <v>5.5</v>
      </c>
      <c r="E168" s="9" t="s">
        <v>12234</v>
      </c>
    </row>
    <row r="169" ht="15.75" customHeight="1">
      <c r="A169" s="9" t="s">
        <v>47713</v>
      </c>
      <c r="B169" s="9" t="s">
        <v>3079</v>
      </c>
      <c r="C169" s="9" t="s">
        <v>47714</v>
      </c>
      <c r="D169" s="9">
        <v>340.0</v>
      </c>
      <c r="G169" s="9" t="s">
        <v>47521</v>
      </c>
    </row>
    <row r="170" ht="15.75" customHeight="1">
      <c r="A170" s="9" t="s">
        <v>47715</v>
      </c>
      <c r="B170" s="9" t="s">
        <v>3079</v>
      </c>
      <c r="C170" s="9" t="s">
        <v>47716</v>
      </c>
      <c r="D170" s="9">
        <v>600.0</v>
      </c>
      <c r="G170" s="9" t="s">
        <v>47521</v>
      </c>
    </row>
    <row r="171" ht="15.75" customHeight="1">
      <c r="A171" s="9" t="s">
        <v>47717</v>
      </c>
      <c r="B171" s="9" t="s">
        <v>3079</v>
      </c>
      <c r="C171" s="9" t="s">
        <v>47573</v>
      </c>
      <c r="D171" s="9">
        <v>115.0</v>
      </c>
      <c r="G171" s="9" t="s">
        <v>47521</v>
      </c>
    </row>
    <row r="172" ht="15.75" customHeight="1">
      <c r="A172" s="9" t="s">
        <v>47718</v>
      </c>
      <c r="B172" s="9" t="s">
        <v>3079</v>
      </c>
      <c r="C172" s="9" t="s">
        <v>47719</v>
      </c>
      <c r="D172" s="9">
        <v>60.0</v>
      </c>
      <c r="G172" s="9" t="s">
        <v>47521</v>
      </c>
    </row>
    <row r="173" ht="15.75" customHeight="1">
      <c r="A173" s="9" t="s">
        <v>47720</v>
      </c>
      <c r="B173" s="9" t="s">
        <v>10638</v>
      </c>
      <c r="D173" s="9">
        <v>1400.0</v>
      </c>
      <c r="E173" s="9" t="s">
        <v>12241</v>
      </c>
      <c r="G173" s="9" t="s">
        <v>47521</v>
      </c>
    </row>
    <row r="174" ht="15.75" customHeight="1">
      <c r="A174" s="9" t="s">
        <v>47721</v>
      </c>
      <c r="B174" s="9" t="s">
        <v>11767</v>
      </c>
      <c r="C174" s="9" t="s">
        <v>47636</v>
      </c>
      <c r="D174" s="9">
        <v>95.0</v>
      </c>
      <c r="E174" s="9" t="s">
        <v>47567</v>
      </c>
      <c r="G174" s="9" t="s">
        <v>47521</v>
      </c>
    </row>
    <row r="175" ht="15.75" customHeight="1">
      <c r="A175" s="9" t="s">
        <v>47722</v>
      </c>
      <c r="B175" s="9" t="s">
        <v>10387</v>
      </c>
      <c r="D175" s="9">
        <v>800.0</v>
      </c>
      <c r="E175" s="9" t="s">
        <v>12241</v>
      </c>
    </row>
    <row r="176" ht="15.75" customHeight="1">
      <c r="A176" s="9" t="s">
        <v>47723</v>
      </c>
      <c r="B176" s="9" t="s">
        <v>10387</v>
      </c>
      <c r="D176" s="9">
        <v>500.0</v>
      </c>
      <c r="E176" s="9" t="s">
        <v>12243</v>
      </c>
    </row>
    <row r="177" ht="15.75" customHeight="1">
      <c r="A177" s="9" t="s">
        <v>47724</v>
      </c>
      <c r="B177" s="9" t="s">
        <v>11491</v>
      </c>
      <c r="D177" s="9">
        <v>350.0</v>
      </c>
      <c r="E177" s="9" t="s">
        <v>12243</v>
      </c>
    </row>
    <row r="178" ht="15.75" customHeight="1">
      <c r="A178" s="9" t="s">
        <v>47725</v>
      </c>
      <c r="B178" s="9" t="s">
        <v>10498</v>
      </c>
      <c r="D178" s="9">
        <v>90.0</v>
      </c>
      <c r="E178" s="9" t="s">
        <v>47561</v>
      </c>
    </row>
    <row r="179" ht="15.75" customHeight="1">
      <c r="A179" s="9" t="s">
        <v>47726</v>
      </c>
      <c r="B179" s="9" t="s">
        <v>10310</v>
      </c>
      <c r="C179" s="9" t="s">
        <v>47627</v>
      </c>
      <c r="D179" s="9">
        <v>600.0</v>
      </c>
      <c r="E179" s="9" t="s">
        <v>12243</v>
      </c>
    </row>
    <row r="180" ht="15.75" customHeight="1">
      <c r="A180" s="9" t="s">
        <v>47727</v>
      </c>
      <c r="B180" s="9" t="s">
        <v>10391</v>
      </c>
      <c r="C180" s="9" t="s">
        <v>47728</v>
      </c>
      <c r="D180" s="9">
        <v>140.0</v>
      </c>
      <c r="E180" s="9" t="s">
        <v>12245</v>
      </c>
      <c r="G180" s="9" t="s">
        <v>47521</v>
      </c>
    </row>
    <row r="181" ht="15.75" customHeight="1">
      <c r="A181" s="9" t="s">
        <v>47729</v>
      </c>
      <c r="B181" s="9" t="s">
        <v>11629</v>
      </c>
      <c r="C181" s="9" t="s">
        <v>47728</v>
      </c>
      <c r="D181" s="9">
        <v>140.0</v>
      </c>
      <c r="E181" s="9" t="s">
        <v>47567</v>
      </c>
      <c r="G181" s="9" t="s">
        <v>47521</v>
      </c>
    </row>
    <row r="182" ht="15.75" customHeight="1">
      <c r="A182" s="9" t="s">
        <v>47730</v>
      </c>
      <c r="B182" s="9" t="s">
        <v>10384</v>
      </c>
      <c r="C182" s="9" t="s">
        <v>47573</v>
      </c>
      <c r="D182" s="9">
        <v>85.0</v>
      </c>
      <c r="E182" s="9" t="s">
        <v>12238</v>
      </c>
      <c r="G182" s="9" t="s">
        <v>47521</v>
      </c>
    </row>
    <row r="183" ht="15.75" customHeight="1">
      <c r="A183" s="9" t="s">
        <v>47731</v>
      </c>
      <c r="B183" s="9" t="s">
        <v>11788</v>
      </c>
      <c r="D183" s="9">
        <v>5.0</v>
      </c>
      <c r="E183" s="9" t="s">
        <v>12228</v>
      </c>
    </row>
    <row r="184" ht="15.75" customHeight="1">
      <c r="A184" s="9" t="s">
        <v>47732</v>
      </c>
      <c r="B184" s="9" t="s">
        <v>997</v>
      </c>
      <c r="C184" s="9" t="s">
        <v>47546</v>
      </c>
      <c r="D184" s="9">
        <v>32.0</v>
      </c>
      <c r="E184" s="9" t="s">
        <v>12234</v>
      </c>
      <c r="G184" s="9" t="s">
        <v>47521</v>
      </c>
    </row>
    <row r="185" ht="15.75" customHeight="1">
      <c r="A185" s="9" t="s">
        <v>47733</v>
      </c>
      <c r="B185" s="9" t="s">
        <v>11947</v>
      </c>
      <c r="C185" s="9" t="s">
        <v>47573</v>
      </c>
      <c r="D185" s="9">
        <v>105.0</v>
      </c>
      <c r="E185" s="9" t="s">
        <v>12232</v>
      </c>
    </row>
    <row r="186" ht="15.75" customHeight="1">
      <c r="A186" s="9" t="s">
        <v>47734</v>
      </c>
      <c r="B186" s="9" t="s">
        <v>9087</v>
      </c>
      <c r="C186" s="9" t="s">
        <v>47573</v>
      </c>
      <c r="D186" s="9">
        <v>25.0</v>
      </c>
      <c r="E186" s="9" t="s">
        <v>12234</v>
      </c>
    </row>
    <row r="187" ht="15.75" customHeight="1">
      <c r="A187" s="9" t="s">
        <v>47735</v>
      </c>
      <c r="B187" s="9" t="s">
        <v>4952</v>
      </c>
      <c r="C187" s="9" t="s">
        <v>47736</v>
      </c>
      <c r="D187" s="9">
        <v>65.0</v>
      </c>
      <c r="E187" s="9" t="s">
        <v>47567</v>
      </c>
    </row>
    <row r="188" ht="15.75" customHeight="1">
      <c r="A188" s="9" t="s">
        <v>47737</v>
      </c>
      <c r="B188" s="9" t="s">
        <v>4935</v>
      </c>
      <c r="C188" s="9" t="s">
        <v>47736</v>
      </c>
      <c r="D188" s="9">
        <v>48.0</v>
      </c>
      <c r="E188" s="9" t="s">
        <v>47567</v>
      </c>
    </row>
    <row r="189" ht="15.75" customHeight="1">
      <c r="A189" s="9" t="s">
        <v>47738</v>
      </c>
      <c r="B189" s="9" t="s">
        <v>9329</v>
      </c>
      <c r="D189" s="9">
        <v>6.0</v>
      </c>
      <c r="E189" s="9" t="s">
        <v>47739</v>
      </c>
    </row>
    <row r="190" ht="15.75" customHeight="1">
      <c r="A190" s="9"/>
      <c r="B190" s="9"/>
      <c r="D190" s="9"/>
      <c r="E190" s="9"/>
    </row>
    <row r="191" ht="15.75" customHeight="1">
      <c r="A191" s="9" t="s">
        <v>47740</v>
      </c>
      <c r="B191" s="9" t="s">
        <v>10344</v>
      </c>
      <c r="D191" s="9">
        <v>85.0</v>
      </c>
      <c r="E191" s="9" t="s">
        <v>12234</v>
      </c>
    </row>
    <row r="192" ht="15.75" customHeight="1">
      <c r="A192" s="9" t="s">
        <v>47741</v>
      </c>
      <c r="B192" s="9" t="s">
        <v>2568</v>
      </c>
      <c r="D192" s="9">
        <v>9.0</v>
      </c>
      <c r="E192" s="9" t="s">
        <v>12225</v>
      </c>
      <c r="G192" s="9" t="s">
        <v>47521</v>
      </c>
    </row>
    <row r="193" ht="15.75" customHeight="1">
      <c r="A193" s="9" t="s">
        <v>47742</v>
      </c>
      <c r="B193" s="9" t="s">
        <v>9972</v>
      </c>
      <c r="C193" s="9" t="s">
        <v>47743</v>
      </c>
      <c r="D193" s="9">
        <v>1.7</v>
      </c>
      <c r="E193" s="9" t="s">
        <v>12228</v>
      </c>
    </row>
    <row r="194" ht="15.75" customHeight="1">
      <c r="A194" s="9" t="s">
        <v>47744</v>
      </c>
      <c r="B194" s="9" t="s">
        <v>8549</v>
      </c>
      <c r="C194" s="9" t="s">
        <v>47699</v>
      </c>
      <c r="D194" s="9">
        <v>199.0</v>
      </c>
      <c r="G194" s="9" t="s">
        <v>47521</v>
      </c>
    </row>
    <row r="195" ht="15.75" customHeight="1">
      <c r="A195" s="9" t="s">
        <v>47745</v>
      </c>
      <c r="B195" s="9" t="s">
        <v>9577</v>
      </c>
      <c r="D195" s="9">
        <v>16.0</v>
      </c>
      <c r="G195" s="9" t="s">
        <v>47521</v>
      </c>
    </row>
    <row r="196" ht="15.75" customHeight="1">
      <c r="A196" s="9" t="s">
        <v>47746</v>
      </c>
      <c r="B196" s="9" t="s">
        <v>10591</v>
      </c>
      <c r="C196" s="9" t="s">
        <v>47712</v>
      </c>
      <c r="D196" s="9">
        <v>35.0</v>
      </c>
      <c r="E196" s="9" t="s">
        <v>12234</v>
      </c>
    </row>
    <row r="197" ht="15.75" customHeight="1">
      <c r="A197" s="9" t="s">
        <v>47747</v>
      </c>
      <c r="B197" s="9" t="s">
        <v>8179</v>
      </c>
      <c r="D197" s="9">
        <v>90.0</v>
      </c>
      <c r="E197" s="9" t="s">
        <v>12234</v>
      </c>
      <c r="G197" s="9" t="s">
        <v>47521</v>
      </c>
    </row>
    <row r="198" ht="15.75" customHeight="1">
      <c r="A198" s="9" t="s">
        <v>47748</v>
      </c>
      <c r="B198" s="9" t="s">
        <v>8201</v>
      </c>
      <c r="D198" s="9">
        <v>60.0</v>
      </c>
      <c r="E198" s="9" t="s">
        <v>12234</v>
      </c>
    </row>
    <row r="199" ht="15.75" customHeight="1">
      <c r="A199" s="9" t="s">
        <v>47749</v>
      </c>
      <c r="B199" s="9" t="s">
        <v>722</v>
      </c>
      <c r="D199" s="9">
        <v>80.0</v>
      </c>
      <c r="E199" s="9" t="s">
        <v>12232</v>
      </c>
    </row>
    <row r="200" ht="15.75" customHeight="1">
      <c r="A200" s="9" t="s">
        <v>47750</v>
      </c>
      <c r="B200" s="9" t="s">
        <v>722</v>
      </c>
      <c r="C200" s="9" t="s">
        <v>47699</v>
      </c>
      <c r="D200" s="9">
        <v>90.0</v>
      </c>
      <c r="E200" s="9" t="s">
        <v>12251</v>
      </c>
      <c r="G200" s="9" t="s">
        <v>47521</v>
      </c>
    </row>
    <row r="201" ht="15.75" customHeight="1">
      <c r="A201" s="9" t="s">
        <v>47751</v>
      </c>
      <c r="B201" s="9" t="s">
        <v>11691</v>
      </c>
      <c r="C201" s="9" t="s">
        <v>47573</v>
      </c>
      <c r="D201" s="9">
        <v>60.0</v>
      </c>
      <c r="E201" s="9" t="s">
        <v>12235</v>
      </c>
    </row>
    <row r="202" ht="15.75" customHeight="1">
      <c r="A202" s="9" t="s">
        <v>47752</v>
      </c>
      <c r="B202" s="9" t="s">
        <v>11691</v>
      </c>
      <c r="C202" s="9" t="s">
        <v>47511</v>
      </c>
      <c r="D202" s="9">
        <v>50.0</v>
      </c>
      <c r="E202" s="9" t="s">
        <v>12235</v>
      </c>
    </row>
    <row r="203" ht="15.75" customHeight="1">
      <c r="A203" s="9" t="s">
        <v>47753</v>
      </c>
      <c r="B203" s="9" t="s">
        <v>9151</v>
      </c>
      <c r="D203" s="9">
        <v>45.0</v>
      </c>
      <c r="G203" s="9" t="s">
        <v>47521</v>
      </c>
    </row>
    <row r="204" ht="15.75" customHeight="1">
      <c r="A204" s="9" t="s">
        <v>47754</v>
      </c>
      <c r="B204" s="9" t="s">
        <v>8153</v>
      </c>
      <c r="D204" s="9">
        <v>7.0</v>
      </c>
      <c r="G204" s="9" t="s">
        <v>47521</v>
      </c>
    </row>
    <row r="205" ht="15.75" customHeight="1">
      <c r="A205" s="9" t="s">
        <v>47755</v>
      </c>
      <c r="B205" s="9" t="s">
        <v>586</v>
      </c>
      <c r="D205" s="9">
        <v>50.0</v>
      </c>
      <c r="G205" s="9" t="s">
        <v>47521</v>
      </c>
    </row>
    <row r="206" ht="15.75" customHeight="1">
      <c r="A206" s="9" t="s">
        <v>47756</v>
      </c>
      <c r="B206" s="9" t="s">
        <v>605</v>
      </c>
      <c r="D206" s="9">
        <v>5.0</v>
      </c>
      <c r="E206" s="9" t="s">
        <v>12234</v>
      </c>
      <c r="G206" s="9" t="s">
        <v>47521</v>
      </c>
    </row>
    <row r="207" ht="15.75" customHeight="1">
      <c r="A207" s="9" t="s">
        <v>47757</v>
      </c>
      <c r="B207" s="9" t="s">
        <v>4089</v>
      </c>
      <c r="D207" s="9">
        <v>115.0</v>
      </c>
      <c r="E207" s="9" t="s">
        <v>47516</v>
      </c>
      <c r="G207" s="9" t="s">
        <v>47521</v>
      </c>
    </row>
    <row r="208" ht="15.75" customHeight="1">
      <c r="A208" s="9" t="s">
        <v>47758</v>
      </c>
      <c r="B208" s="9" t="s">
        <v>4106</v>
      </c>
      <c r="D208" s="9">
        <v>60.0</v>
      </c>
      <c r="G208" s="9" t="s">
        <v>47521</v>
      </c>
    </row>
    <row r="209" ht="15.75" customHeight="1">
      <c r="A209" s="9" t="s">
        <v>47759</v>
      </c>
      <c r="B209" s="9" t="s">
        <v>9237</v>
      </c>
      <c r="C209" s="9" t="s">
        <v>47714</v>
      </c>
      <c r="D209" s="9">
        <v>350.0</v>
      </c>
      <c r="E209" s="9" t="s">
        <v>12241</v>
      </c>
      <c r="G209" s="9" t="s">
        <v>47521</v>
      </c>
    </row>
    <row r="210" ht="15.75" customHeight="1">
      <c r="A210" s="9" t="s">
        <v>47760</v>
      </c>
      <c r="B210" s="9" t="s">
        <v>9237</v>
      </c>
      <c r="C210" s="9" t="s">
        <v>47511</v>
      </c>
      <c r="D210" s="9">
        <v>75.0</v>
      </c>
      <c r="E210" s="9" t="s">
        <v>47561</v>
      </c>
      <c r="G210" s="9" t="s">
        <v>47521</v>
      </c>
    </row>
    <row r="211" ht="15.75" customHeight="1">
      <c r="A211" s="9" t="s">
        <v>47761</v>
      </c>
      <c r="B211" s="9" t="s">
        <v>9054</v>
      </c>
      <c r="C211" s="9" t="s">
        <v>47511</v>
      </c>
      <c r="D211" s="9">
        <v>55.0</v>
      </c>
      <c r="E211" s="9" t="s">
        <v>47561</v>
      </c>
      <c r="G211" s="9" t="s">
        <v>47521</v>
      </c>
    </row>
    <row r="212" ht="15.75" customHeight="1">
      <c r="A212" s="9" t="s">
        <v>47762</v>
      </c>
      <c r="B212" s="9" t="s">
        <v>9054</v>
      </c>
      <c r="D212" s="9">
        <v>235.0</v>
      </c>
      <c r="E212" s="9" t="s">
        <v>47763</v>
      </c>
      <c r="G212" s="9" t="s">
        <v>47521</v>
      </c>
    </row>
    <row r="213" ht="15.75" customHeight="1">
      <c r="A213" s="9" t="s">
        <v>47764</v>
      </c>
      <c r="B213" s="9" t="s">
        <v>3810</v>
      </c>
      <c r="D213" s="9">
        <v>60.0</v>
      </c>
      <c r="E213" s="9" t="s">
        <v>47516</v>
      </c>
    </row>
    <row r="214" ht="15.75" customHeight="1">
      <c r="A214" s="9" t="s">
        <v>47765</v>
      </c>
      <c r="B214" s="9" t="s">
        <v>12027</v>
      </c>
      <c r="D214" s="9">
        <v>140.0</v>
      </c>
      <c r="E214" s="9" t="s">
        <v>47561</v>
      </c>
      <c r="G214" s="9" t="s">
        <v>47521</v>
      </c>
    </row>
    <row r="215" ht="15.75" customHeight="1">
      <c r="A215" s="9" t="s">
        <v>47766</v>
      </c>
      <c r="B215" s="9" t="s">
        <v>8926</v>
      </c>
      <c r="C215" s="9" t="s">
        <v>47767</v>
      </c>
      <c r="D215" s="9">
        <v>0.27</v>
      </c>
      <c r="G215" s="9" t="s">
        <v>47521</v>
      </c>
    </row>
    <row r="216" ht="15.75" customHeight="1">
      <c r="A216" s="9" t="s">
        <v>47768</v>
      </c>
      <c r="B216" s="9" t="s">
        <v>8490</v>
      </c>
      <c r="C216" s="9" t="s">
        <v>47714</v>
      </c>
      <c r="D216" s="9">
        <v>250.0</v>
      </c>
      <c r="E216" s="9" t="s">
        <v>12241</v>
      </c>
      <c r="G216" s="9" t="s">
        <v>47521</v>
      </c>
    </row>
    <row r="217" ht="15.75" customHeight="1">
      <c r="A217" s="9" t="s">
        <v>47769</v>
      </c>
      <c r="B217" s="9" t="s">
        <v>3346</v>
      </c>
      <c r="D217" s="9">
        <v>5.0</v>
      </c>
      <c r="G217" s="9" t="s">
        <v>47521</v>
      </c>
    </row>
    <row r="218" ht="15.75" customHeight="1">
      <c r="A218" s="9" t="s">
        <v>47770</v>
      </c>
      <c r="B218" s="9" t="s">
        <v>1291</v>
      </c>
      <c r="D218" s="9">
        <v>50.0</v>
      </c>
      <c r="E218" s="9" t="s">
        <v>12234</v>
      </c>
    </row>
    <row r="219" ht="15.75" customHeight="1">
      <c r="A219" s="9" t="s">
        <v>47771</v>
      </c>
      <c r="B219" s="9" t="s">
        <v>1291</v>
      </c>
      <c r="D219" s="9">
        <v>35.0</v>
      </c>
      <c r="E219" s="9" t="s">
        <v>12237</v>
      </c>
    </row>
    <row r="220" ht="15.75" customHeight="1">
      <c r="A220" s="9" t="s">
        <v>47772</v>
      </c>
      <c r="B220" s="9" t="s">
        <v>1291</v>
      </c>
      <c r="C220" s="9" t="s">
        <v>47773</v>
      </c>
      <c r="D220" s="9">
        <v>45.0</v>
      </c>
      <c r="E220" s="9" t="s">
        <v>12234</v>
      </c>
    </row>
    <row r="221" ht="15.75" customHeight="1">
      <c r="A221" s="9" t="s">
        <v>47774</v>
      </c>
      <c r="B221" s="9" t="s">
        <v>10486</v>
      </c>
      <c r="D221" s="9">
        <v>370.0</v>
      </c>
      <c r="E221" s="9" t="s">
        <v>47775</v>
      </c>
      <c r="G221" s="9" t="s">
        <v>47521</v>
      </c>
    </row>
    <row r="222" ht="15.75" customHeight="1">
      <c r="A222" s="9" t="s">
        <v>47776</v>
      </c>
      <c r="B222" s="9" t="s">
        <v>10486</v>
      </c>
      <c r="D222" s="9">
        <v>650.0</v>
      </c>
      <c r="E222" s="9" t="s">
        <v>47619</v>
      </c>
    </row>
    <row r="223" ht="15.75" customHeight="1">
      <c r="A223" s="9" t="s">
        <v>47777</v>
      </c>
      <c r="B223" s="9" t="s">
        <v>11660</v>
      </c>
      <c r="D223" s="9">
        <v>125.0</v>
      </c>
      <c r="E223" s="9" t="s">
        <v>47778</v>
      </c>
      <c r="G223" s="9" t="s">
        <v>47521</v>
      </c>
    </row>
    <row r="224" ht="15.75" customHeight="1">
      <c r="A224" s="9" t="s">
        <v>47779</v>
      </c>
      <c r="B224" s="9" t="s">
        <v>11660</v>
      </c>
      <c r="D224" s="9">
        <v>90.0</v>
      </c>
      <c r="E224" s="9" t="s">
        <v>47780</v>
      </c>
      <c r="G224" s="9" t="s">
        <v>47521</v>
      </c>
    </row>
    <row r="225" ht="15.75" customHeight="1">
      <c r="A225" s="9" t="s">
        <v>47781</v>
      </c>
      <c r="B225" s="9" t="s">
        <v>11645</v>
      </c>
      <c r="D225" s="9">
        <v>90.0</v>
      </c>
      <c r="E225" s="9" t="s">
        <v>47780</v>
      </c>
      <c r="G225" s="9" t="s">
        <v>47521</v>
      </c>
    </row>
    <row r="226" ht="15.75" customHeight="1">
      <c r="A226" s="9" t="s">
        <v>47782</v>
      </c>
      <c r="B226" s="9" t="s">
        <v>11645</v>
      </c>
      <c r="D226" s="9">
        <v>125.0</v>
      </c>
      <c r="E226" s="9" t="s">
        <v>47778</v>
      </c>
      <c r="G226" s="9" t="s">
        <v>47521</v>
      </c>
    </row>
    <row r="227" ht="15.75" customHeight="1">
      <c r="A227" s="9" t="s">
        <v>47783</v>
      </c>
      <c r="B227" s="9" t="s">
        <v>11805</v>
      </c>
      <c r="C227" s="9" t="s">
        <v>47634</v>
      </c>
      <c r="D227" s="9">
        <v>800.0</v>
      </c>
      <c r="E227" s="9" t="s">
        <v>12241</v>
      </c>
    </row>
    <row r="228" ht="15.75" customHeight="1">
      <c r="A228" s="9" t="s">
        <v>47784</v>
      </c>
      <c r="B228" s="9" t="s">
        <v>10600</v>
      </c>
      <c r="D228" s="9">
        <v>200.0</v>
      </c>
      <c r="E228" s="9" t="s">
        <v>47567</v>
      </c>
      <c r="G228" s="9"/>
    </row>
    <row r="229" ht="15.75" customHeight="1">
      <c r="A229" s="9" t="s">
        <v>47785</v>
      </c>
      <c r="B229" s="9" t="s">
        <v>4821</v>
      </c>
      <c r="C229" s="9" t="s">
        <v>47786</v>
      </c>
      <c r="D229" s="9">
        <v>7.0</v>
      </c>
      <c r="E229" s="9" t="s">
        <v>12234</v>
      </c>
    </row>
    <row r="230" ht="15.75" customHeight="1">
      <c r="A230" s="9" t="s">
        <v>47787</v>
      </c>
      <c r="B230" s="9" t="s">
        <v>4821</v>
      </c>
      <c r="C230" s="9" t="s">
        <v>47536</v>
      </c>
      <c r="D230" s="9">
        <v>6.5</v>
      </c>
      <c r="E230" s="9" t="s">
        <v>12237</v>
      </c>
    </row>
    <row r="231" ht="15.75" customHeight="1">
      <c r="A231" s="9" t="s">
        <v>47788</v>
      </c>
      <c r="B231" s="9" t="s">
        <v>4821</v>
      </c>
      <c r="C231" s="9" t="s">
        <v>47789</v>
      </c>
      <c r="D231" s="9">
        <v>10.0</v>
      </c>
      <c r="E231" s="9" t="s">
        <v>12234</v>
      </c>
    </row>
    <row r="232" ht="15.75" customHeight="1">
      <c r="A232" s="9" t="s">
        <v>47790</v>
      </c>
      <c r="B232" s="9" t="s">
        <v>11870</v>
      </c>
      <c r="D232" s="9">
        <v>85.0</v>
      </c>
      <c r="E232" s="9" t="s">
        <v>12245</v>
      </c>
    </row>
    <row r="233" ht="15.75" customHeight="1">
      <c r="A233" s="9" t="s">
        <v>47791</v>
      </c>
      <c r="B233" s="9" t="s">
        <v>465</v>
      </c>
      <c r="D233" s="9">
        <v>110.0</v>
      </c>
      <c r="G233" s="9" t="s">
        <v>47521</v>
      </c>
    </row>
    <row r="234" ht="15.75" customHeight="1">
      <c r="A234" s="9" t="s">
        <v>47792</v>
      </c>
      <c r="B234" s="9" t="s">
        <v>3744</v>
      </c>
      <c r="D234" s="9">
        <v>55.0</v>
      </c>
      <c r="E234" s="9" t="s">
        <v>12234</v>
      </c>
      <c r="G234" s="9" t="s">
        <v>47521</v>
      </c>
    </row>
    <row r="235" ht="15.75" customHeight="1">
      <c r="A235" s="9" t="s">
        <v>47793</v>
      </c>
      <c r="B235" s="9" t="s">
        <v>8779</v>
      </c>
      <c r="C235" s="9" t="s">
        <v>47794</v>
      </c>
      <c r="D235" s="9">
        <v>65.0</v>
      </c>
      <c r="E235" s="9" t="s">
        <v>12245</v>
      </c>
      <c r="G235" s="9" t="s">
        <v>47521</v>
      </c>
    </row>
    <row r="236" ht="15.75" customHeight="1">
      <c r="A236" s="9" t="s">
        <v>47795</v>
      </c>
      <c r="B236" s="9" t="s">
        <v>8956</v>
      </c>
      <c r="D236" s="9">
        <v>10.0</v>
      </c>
      <c r="E236" s="9" t="s">
        <v>12237</v>
      </c>
      <c r="G236" s="9" t="s">
        <v>47521</v>
      </c>
    </row>
    <row r="237" ht="15.75" customHeight="1">
      <c r="A237" s="9" t="s">
        <v>47796</v>
      </c>
      <c r="B237" s="9" t="s">
        <v>8956</v>
      </c>
      <c r="D237" s="9">
        <v>20.0</v>
      </c>
      <c r="E237" s="9" t="s">
        <v>12234</v>
      </c>
      <c r="G237" s="9" t="s">
        <v>47521</v>
      </c>
    </row>
    <row r="238" ht="15.75" customHeight="1">
      <c r="A238" s="9" t="s">
        <v>47797</v>
      </c>
      <c r="B238" s="9" t="s">
        <v>2978</v>
      </c>
      <c r="C238" s="9" t="s">
        <v>47798</v>
      </c>
      <c r="D238" s="9">
        <v>35.0</v>
      </c>
      <c r="E238" s="9" t="s">
        <v>12237</v>
      </c>
      <c r="G238" s="9" t="s">
        <v>47521</v>
      </c>
    </row>
    <row r="239" ht="15.75" customHeight="1">
      <c r="A239" s="9" t="s">
        <v>47799</v>
      </c>
      <c r="B239" s="9" t="s">
        <v>2978</v>
      </c>
      <c r="C239" s="9" t="s">
        <v>47800</v>
      </c>
      <c r="D239" s="9">
        <v>55.0</v>
      </c>
      <c r="E239" s="9" t="s">
        <v>12234</v>
      </c>
      <c r="G239" s="9" t="s">
        <v>47521</v>
      </c>
    </row>
    <row r="240" ht="15.75" customHeight="1">
      <c r="A240" s="9" t="s">
        <v>47801</v>
      </c>
      <c r="B240" s="9" t="s">
        <v>10608</v>
      </c>
      <c r="D240" s="9">
        <v>90.0</v>
      </c>
      <c r="E240" s="9" t="s">
        <v>12245</v>
      </c>
    </row>
    <row r="241" ht="15.75" customHeight="1">
      <c r="A241" s="9" t="s">
        <v>47802</v>
      </c>
      <c r="B241" s="9" t="s">
        <v>10564</v>
      </c>
      <c r="C241" s="9" t="s">
        <v>47699</v>
      </c>
      <c r="D241" s="9">
        <v>20.0</v>
      </c>
      <c r="E241" s="9" t="s">
        <v>12234</v>
      </c>
      <c r="G241" s="9" t="s">
        <v>47521</v>
      </c>
    </row>
    <row r="242" ht="15.75" customHeight="1">
      <c r="A242" s="9" t="s">
        <v>47803</v>
      </c>
      <c r="B242" s="9" t="s">
        <v>10564</v>
      </c>
      <c r="D242" s="9">
        <v>60.0</v>
      </c>
      <c r="E242" s="9" t="s">
        <v>12234</v>
      </c>
      <c r="G242" s="9" t="s">
        <v>47521</v>
      </c>
    </row>
    <row r="243" ht="15.75" customHeight="1">
      <c r="A243" s="9" t="s">
        <v>47804</v>
      </c>
      <c r="B243" s="9" t="s">
        <v>11795</v>
      </c>
      <c r="C243" s="9" t="s">
        <v>47805</v>
      </c>
      <c r="D243" s="9">
        <v>4.0</v>
      </c>
      <c r="E243" s="9" t="s">
        <v>12237</v>
      </c>
      <c r="G243" s="9" t="s">
        <v>47521</v>
      </c>
    </row>
    <row r="244" ht="15.75" customHeight="1">
      <c r="A244" s="9" t="s">
        <v>47806</v>
      </c>
      <c r="B244" s="9" t="s">
        <v>11795</v>
      </c>
      <c r="C244" s="9" t="s">
        <v>47712</v>
      </c>
      <c r="D244" s="9">
        <v>6.0</v>
      </c>
      <c r="E244" s="9" t="s">
        <v>12234</v>
      </c>
      <c r="G244" s="9" t="s">
        <v>47521</v>
      </c>
    </row>
    <row r="245" ht="15.75" customHeight="1">
      <c r="A245" s="9" t="s">
        <v>47807</v>
      </c>
      <c r="B245" s="9" t="s">
        <v>11655</v>
      </c>
      <c r="C245" s="9" t="s">
        <v>47573</v>
      </c>
      <c r="D245" s="9">
        <v>65.0</v>
      </c>
      <c r="E245" s="9" t="s">
        <v>12226</v>
      </c>
    </row>
    <row r="246" ht="15.75" customHeight="1">
      <c r="A246" s="9" t="s">
        <v>47808</v>
      </c>
      <c r="B246" s="9" t="s">
        <v>11655</v>
      </c>
      <c r="C246" s="9" t="s">
        <v>47546</v>
      </c>
      <c r="D246" s="9">
        <v>25.0</v>
      </c>
      <c r="G246" s="9" t="s">
        <v>47521</v>
      </c>
    </row>
    <row r="247" ht="15.75" customHeight="1">
      <c r="A247" s="9" t="s">
        <v>47809</v>
      </c>
      <c r="B247" s="9" t="s">
        <v>10141</v>
      </c>
      <c r="D247" s="9">
        <v>1190.0</v>
      </c>
      <c r="E247" s="9" t="s">
        <v>12241</v>
      </c>
      <c r="G247" s="9" t="s">
        <v>47521</v>
      </c>
    </row>
    <row r="248" ht="15.75" customHeight="1">
      <c r="A248" s="9" t="s">
        <v>47810</v>
      </c>
      <c r="B248" s="9" t="s">
        <v>10141</v>
      </c>
      <c r="D248" s="9">
        <v>595.0</v>
      </c>
      <c r="E248" s="9" t="s">
        <v>12243</v>
      </c>
      <c r="G248" s="9" t="s">
        <v>47521</v>
      </c>
    </row>
    <row r="249" ht="15.75" customHeight="1">
      <c r="A249" s="9" t="s">
        <v>47811</v>
      </c>
      <c r="B249" s="9" t="s">
        <v>10533</v>
      </c>
      <c r="C249" s="9" t="s">
        <v>47573</v>
      </c>
      <c r="D249" s="9">
        <v>180.0</v>
      </c>
      <c r="E249" s="9" t="s">
        <v>12232</v>
      </c>
      <c r="G249" s="9" t="s">
        <v>47521</v>
      </c>
    </row>
    <row r="250" ht="15.75" customHeight="1">
      <c r="A250" s="9" t="s">
        <v>47812</v>
      </c>
      <c r="B250" s="52" t="s">
        <v>12886</v>
      </c>
      <c r="D250" s="9">
        <v>8.0</v>
      </c>
      <c r="E250" s="9" t="s">
        <v>12234</v>
      </c>
    </row>
    <row r="251" ht="15.75" customHeight="1">
      <c r="A251" s="9" t="s">
        <v>47813</v>
      </c>
      <c r="B251" s="9" t="s">
        <v>10427</v>
      </c>
      <c r="D251" s="9">
        <v>12.0</v>
      </c>
    </row>
    <row r="252" ht="15.75" customHeight="1">
      <c r="A252" s="9" t="s">
        <v>47814</v>
      </c>
      <c r="B252" s="9" t="s">
        <v>10531</v>
      </c>
      <c r="D252" s="9">
        <v>23.0</v>
      </c>
      <c r="E252" s="9" t="s">
        <v>12229</v>
      </c>
      <c r="G252" s="9" t="s">
        <v>47521</v>
      </c>
    </row>
    <row r="253" ht="15.75" customHeight="1">
      <c r="A253" s="9" t="s">
        <v>47815</v>
      </c>
      <c r="B253" s="9" t="s">
        <v>10531</v>
      </c>
      <c r="D253" s="9">
        <v>47.0</v>
      </c>
      <c r="E253" s="9" t="s">
        <v>12232</v>
      </c>
      <c r="G253" s="9" t="s">
        <v>47521</v>
      </c>
    </row>
    <row r="254" ht="15.75" customHeight="1">
      <c r="A254" s="9" t="s">
        <v>47816</v>
      </c>
      <c r="B254" s="9" t="s">
        <v>10531</v>
      </c>
      <c r="C254" s="9" t="s">
        <v>47719</v>
      </c>
      <c r="D254" s="9">
        <v>67.0</v>
      </c>
      <c r="E254" s="9" t="s">
        <v>12251</v>
      </c>
    </row>
    <row r="255" ht="15.75" customHeight="1">
      <c r="A255" s="9" t="s">
        <v>47817</v>
      </c>
      <c r="B255" s="9" t="s">
        <v>10368</v>
      </c>
      <c r="C255" s="9" t="s">
        <v>47511</v>
      </c>
      <c r="D255" s="9">
        <v>120.0</v>
      </c>
      <c r="E255" s="9" t="s">
        <v>47567</v>
      </c>
      <c r="G255" s="9" t="s">
        <v>47521</v>
      </c>
    </row>
    <row r="256" ht="15.75" customHeight="1">
      <c r="A256" s="9" t="s">
        <v>47818</v>
      </c>
      <c r="B256" s="9" t="s">
        <v>1247</v>
      </c>
      <c r="D256" s="9">
        <v>7.0</v>
      </c>
      <c r="G256" s="9" t="s">
        <v>47521</v>
      </c>
    </row>
    <row r="257" ht="15.75" customHeight="1">
      <c r="A257" s="9" t="s">
        <v>47819</v>
      </c>
      <c r="B257" s="9" t="s">
        <v>10711</v>
      </c>
      <c r="C257" s="9"/>
      <c r="D257" s="9">
        <v>690.0</v>
      </c>
      <c r="E257" s="9" t="s">
        <v>12243</v>
      </c>
      <c r="G257" s="9" t="s">
        <v>47521</v>
      </c>
    </row>
    <row r="258" ht="15.75" customHeight="1">
      <c r="A258" s="9" t="s">
        <v>47820</v>
      </c>
      <c r="B258" s="9" t="s">
        <v>10715</v>
      </c>
      <c r="C258" s="9" t="s">
        <v>47573</v>
      </c>
      <c r="D258" s="9">
        <v>80.0</v>
      </c>
      <c r="E258" s="9" t="s">
        <v>12238</v>
      </c>
      <c r="G258" s="9" t="s">
        <v>47521</v>
      </c>
    </row>
    <row r="259" ht="15.75" customHeight="1">
      <c r="A259" s="9" t="s">
        <v>47821</v>
      </c>
      <c r="B259" s="9" t="s">
        <v>12146</v>
      </c>
      <c r="C259" s="9" t="s">
        <v>47573</v>
      </c>
      <c r="D259" s="9">
        <v>280.0</v>
      </c>
      <c r="E259" s="9" t="s">
        <v>12238</v>
      </c>
      <c r="G259" s="9" t="s">
        <v>47521</v>
      </c>
    </row>
    <row r="260" ht="15.75" customHeight="1">
      <c r="A260" s="9" t="s">
        <v>47822</v>
      </c>
      <c r="B260" s="9" t="s">
        <v>11864</v>
      </c>
      <c r="C260" s="9" t="s">
        <v>47511</v>
      </c>
      <c r="D260" s="9">
        <v>650.0</v>
      </c>
      <c r="E260" s="9" t="s">
        <v>12247</v>
      </c>
      <c r="G260" s="9" t="s">
        <v>47521</v>
      </c>
    </row>
    <row r="261" ht="15.75" customHeight="1">
      <c r="A261" s="9" t="s">
        <v>47823</v>
      </c>
      <c r="B261" s="9" t="s">
        <v>11864</v>
      </c>
      <c r="C261" s="9" t="s">
        <v>47511</v>
      </c>
      <c r="D261" s="9">
        <v>500.0</v>
      </c>
      <c r="E261" s="9" t="s">
        <v>47619</v>
      </c>
      <c r="G261" s="9" t="s">
        <v>47521</v>
      </c>
    </row>
    <row r="262" ht="15.75" customHeight="1">
      <c r="A262" s="9" t="s">
        <v>47824</v>
      </c>
      <c r="B262" s="9" t="s">
        <v>9571</v>
      </c>
      <c r="D262" s="9">
        <v>75.0</v>
      </c>
      <c r="E262" s="9" t="s">
        <v>12245</v>
      </c>
    </row>
    <row r="263" ht="15.75" customHeight="1">
      <c r="A263" s="9" t="s">
        <v>47825</v>
      </c>
      <c r="B263" s="9" t="s">
        <v>10613</v>
      </c>
      <c r="D263" s="9">
        <v>735.0</v>
      </c>
      <c r="E263" s="9" t="s">
        <v>47775</v>
      </c>
      <c r="G263" s="9" t="s">
        <v>47521</v>
      </c>
    </row>
    <row r="264" ht="15.75" customHeight="1">
      <c r="A264" s="9" t="s">
        <v>47826</v>
      </c>
      <c r="B264" s="9" t="s">
        <v>12197</v>
      </c>
      <c r="D264" s="9">
        <v>2.0</v>
      </c>
      <c r="E264" s="9" t="s">
        <v>12231</v>
      </c>
    </row>
    <row r="265" ht="15.75" customHeight="1">
      <c r="A265" s="9" t="s">
        <v>47827</v>
      </c>
      <c r="B265" s="9" t="s">
        <v>7511</v>
      </c>
      <c r="D265" s="9">
        <v>520.0</v>
      </c>
      <c r="E265" s="9" t="s">
        <v>47619</v>
      </c>
      <c r="G265" s="9" t="s">
        <v>47521</v>
      </c>
    </row>
    <row r="266" ht="15.75" customHeight="1">
      <c r="A266" s="9" t="s">
        <v>47828</v>
      </c>
      <c r="B266" s="9" t="s">
        <v>7511</v>
      </c>
      <c r="D266" s="9">
        <v>80.0</v>
      </c>
      <c r="E266" s="9" t="s">
        <v>47567</v>
      </c>
      <c r="G266" s="9" t="s">
        <v>47521</v>
      </c>
    </row>
    <row r="267" ht="15.75" customHeight="1">
      <c r="A267" s="9" t="s">
        <v>47829</v>
      </c>
      <c r="B267" s="9" t="s">
        <v>10477</v>
      </c>
      <c r="C267" s="9" t="s">
        <v>47627</v>
      </c>
      <c r="D267" s="9">
        <v>1400.0</v>
      </c>
      <c r="E267" s="9" t="s">
        <v>12241</v>
      </c>
      <c r="G267" s="9" t="s">
        <v>47521</v>
      </c>
    </row>
    <row r="268" ht="15.75" customHeight="1">
      <c r="A268" s="9" t="s">
        <v>47830</v>
      </c>
      <c r="B268" s="9" t="s">
        <v>10477</v>
      </c>
      <c r="C268" s="9" t="s">
        <v>47831</v>
      </c>
      <c r="D268" s="9">
        <v>200.0</v>
      </c>
      <c r="E268" s="9" t="s">
        <v>47775</v>
      </c>
      <c r="G268" s="9" t="s">
        <v>47521</v>
      </c>
    </row>
    <row r="269" ht="15.75" customHeight="1">
      <c r="A269" s="9" t="s">
        <v>47832</v>
      </c>
      <c r="B269" s="9" t="s">
        <v>4000</v>
      </c>
      <c r="D269" s="9">
        <v>5.0</v>
      </c>
      <c r="E269" s="9" t="s">
        <v>12231</v>
      </c>
      <c r="G269" s="9" t="s">
        <v>47521</v>
      </c>
    </row>
    <row r="270" ht="15.75" customHeight="1">
      <c r="A270" s="9" t="s">
        <v>47833</v>
      </c>
      <c r="B270" s="9" t="s">
        <v>10594</v>
      </c>
      <c r="C270" s="9" t="s">
        <v>47594</v>
      </c>
      <c r="D270" s="9">
        <v>400.0</v>
      </c>
      <c r="E270" s="9" t="s">
        <v>12243</v>
      </c>
      <c r="G270" s="9" t="s">
        <v>47521</v>
      </c>
    </row>
    <row r="271" ht="15.75" customHeight="1">
      <c r="A271" s="9" t="s">
        <v>47834</v>
      </c>
      <c r="B271" s="9" t="s">
        <v>10594</v>
      </c>
      <c r="D271" s="9">
        <v>195.0</v>
      </c>
      <c r="E271" s="9" t="s">
        <v>47567</v>
      </c>
      <c r="G271" s="9" t="s">
        <v>47521</v>
      </c>
    </row>
    <row r="272" ht="15.75" customHeight="1">
      <c r="A272" s="9" t="s">
        <v>47835</v>
      </c>
      <c r="B272" s="9" t="s">
        <v>10161</v>
      </c>
      <c r="D272" s="9">
        <v>8.0</v>
      </c>
      <c r="E272" s="9" t="s">
        <v>12231</v>
      </c>
    </row>
    <row r="273" ht="15.75" customHeight="1">
      <c r="A273" s="9" t="s">
        <v>47836</v>
      </c>
      <c r="B273" s="9" t="s">
        <v>12038</v>
      </c>
      <c r="D273" s="9">
        <v>1.0</v>
      </c>
      <c r="E273" s="9" t="s">
        <v>12231</v>
      </c>
      <c r="G273" s="9" t="s">
        <v>47521</v>
      </c>
    </row>
    <row r="274" ht="15.75" customHeight="1">
      <c r="A274" s="9" t="s">
        <v>47837</v>
      </c>
      <c r="B274" s="9" t="s">
        <v>12030</v>
      </c>
      <c r="D274" s="9">
        <v>90.0</v>
      </c>
      <c r="E274" s="9" t="s">
        <v>12245</v>
      </c>
    </row>
    <row r="275" ht="15.75" customHeight="1">
      <c r="A275" s="9" t="s">
        <v>47838</v>
      </c>
      <c r="B275" s="9" t="s">
        <v>11680</v>
      </c>
      <c r="D275" s="9">
        <v>75.0</v>
      </c>
      <c r="E275" s="9" t="s">
        <v>12226</v>
      </c>
    </row>
    <row r="276" ht="15.75" customHeight="1">
      <c r="A276" s="9" t="s">
        <v>47839</v>
      </c>
      <c r="B276" s="9" t="s">
        <v>12170</v>
      </c>
      <c r="C276" s="9" t="s">
        <v>47736</v>
      </c>
      <c r="D276" s="9">
        <v>30.0</v>
      </c>
      <c r="E276" s="9" t="s">
        <v>47567</v>
      </c>
      <c r="G276" s="9" t="s">
        <v>47521</v>
      </c>
    </row>
    <row r="277" ht="15.75" customHeight="1">
      <c r="A277" s="9" t="s">
        <v>47840</v>
      </c>
      <c r="B277" s="9" t="s">
        <v>12020</v>
      </c>
      <c r="C277" s="9" t="s">
        <v>47736</v>
      </c>
      <c r="D277" s="9">
        <v>40.0</v>
      </c>
      <c r="E277" s="9" t="s">
        <v>47567</v>
      </c>
      <c r="G277" s="9" t="s">
        <v>47521</v>
      </c>
    </row>
    <row r="278" ht="15.75" customHeight="1">
      <c r="A278" s="9"/>
      <c r="B278" s="9"/>
      <c r="C278" s="9"/>
      <c r="D278" s="9"/>
      <c r="E278" s="9"/>
    </row>
    <row r="279" ht="15.75" customHeight="1">
      <c r="A279" s="9" t="s">
        <v>47841</v>
      </c>
      <c r="B279" s="9" t="s">
        <v>10271</v>
      </c>
      <c r="C279" s="9" t="s">
        <v>47842</v>
      </c>
      <c r="D279" s="9">
        <v>400.0</v>
      </c>
      <c r="E279" s="9" t="s">
        <v>47619</v>
      </c>
      <c r="G279" s="9" t="s">
        <v>47521</v>
      </c>
    </row>
    <row r="280" ht="15.75" customHeight="1">
      <c r="A280" s="9" t="s">
        <v>47843</v>
      </c>
      <c r="B280" s="9" t="s">
        <v>10271</v>
      </c>
      <c r="C280" s="9" t="s">
        <v>47511</v>
      </c>
      <c r="D280" s="9">
        <v>350.0</v>
      </c>
      <c r="E280" s="9" t="s">
        <v>47775</v>
      </c>
      <c r="G280" s="9" t="s">
        <v>47521</v>
      </c>
    </row>
    <row r="281" ht="15.75" customHeight="1">
      <c r="A281" s="9" t="s">
        <v>47844</v>
      </c>
      <c r="B281" s="9" t="s">
        <v>7231</v>
      </c>
      <c r="D281" s="9">
        <v>5.0</v>
      </c>
      <c r="E281" s="9" t="s">
        <v>12231</v>
      </c>
    </row>
    <row r="282" ht="15.75" customHeight="1">
      <c r="A282" s="9" t="s">
        <v>47845</v>
      </c>
      <c r="B282" s="9" t="s">
        <v>11987</v>
      </c>
      <c r="C282" s="9" t="s">
        <v>47719</v>
      </c>
      <c r="D282" s="9">
        <v>45.0</v>
      </c>
      <c r="E282" s="9" t="s">
        <v>12238</v>
      </c>
      <c r="G282" s="9" t="s">
        <v>47521</v>
      </c>
    </row>
    <row r="283" ht="15.75" customHeight="1">
      <c r="A283" s="9" t="s">
        <v>47846</v>
      </c>
      <c r="B283" s="9" t="s">
        <v>11684</v>
      </c>
      <c r="D283" s="9">
        <v>4.0</v>
      </c>
      <c r="E283" s="9" t="s">
        <v>12231</v>
      </c>
      <c r="G283" s="9" t="s">
        <v>47521</v>
      </c>
    </row>
    <row r="284" ht="15.75" customHeight="1">
      <c r="A284" s="9" t="s">
        <v>47847</v>
      </c>
      <c r="B284" s="9" t="s">
        <v>10745</v>
      </c>
      <c r="C284" s="9" t="s">
        <v>47511</v>
      </c>
      <c r="D284" s="9">
        <v>70.0</v>
      </c>
      <c r="E284" s="9" t="s">
        <v>12234</v>
      </c>
    </row>
    <row r="285" ht="15.75" customHeight="1">
      <c r="A285" s="9" t="s">
        <v>47848</v>
      </c>
      <c r="B285" s="9" t="s">
        <v>12024</v>
      </c>
      <c r="C285" s="9" t="s">
        <v>47511</v>
      </c>
      <c r="D285" s="9">
        <v>250.0</v>
      </c>
      <c r="E285" s="9" t="s">
        <v>47567</v>
      </c>
      <c r="G285" s="9" t="s">
        <v>47521</v>
      </c>
    </row>
    <row r="286" ht="15.75" customHeight="1">
      <c r="A286" s="9" t="s">
        <v>47849</v>
      </c>
      <c r="B286" s="9" t="s">
        <v>7298</v>
      </c>
      <c r="C286" s="9" t="s">
        <v>47634</v>
      </c>
      <c r="D286" s="9">
        <v>90.0</v>
      </c>
      <c r="E286" s="9" t="s">
        <v>12245</v>
      </c>
    </row>
    <row r="287" ht="15.75" customHeight="1">
      <c r="A287" s="9" t="s">
        <v>47850</v>
      </c>
      <c r="B287" s="9" t="s">
        <v>7298</v>
      </c>
      <c r="C287" s="9" t="s">
        <v>47714</v>
      </c>
      <c r="D287" s="9">
        <v>280.0</v>
      </c>
      <c r="E287" s="9" t="s">
        <v>12241</v>
      </c>
    </row>
    <row r="288" ht="15.75" customHeight="1">
      <c r="A288" s="9" t="s">
        <v>47851</v>
      </c>
      <c r="B288" s="9" t="s">
        <v>7298</v>
      </c>
      <c r="C288" s="9" t="s">
        <v>47719</v>
      </c>
      <c r="D288" s="9">
        <v>60.0</v>
      </c>
      <c r="E288" s="9" t="s">
        <v>12245</v>
      </c>
      <c r="G288" s="9" t="s">
        <v>47521</v>
      </c>
    </row>
    <row r="289" ht="15.75" customHeight="1">
      <c r="A289" s="9" t="s">
        <v>47852</v>
      </c>
      <c r="B289" s="9" t="s">
        <v>7298</v>
      </c>
      <c r="C289" s="9" t="s">
        <v>47634</v>
      </c>
      <c r="D289" s="9">
        <v>380.0</v>
      </c>
      <c r="E289" s="9" t="s">
        <v>47567</v>
      </c>
    </row>
    <row r="290" ht="15.75" customHeight="1">
      <c r="A290" s="9" t="s">
        <v>47853</v>
      </c>
      <c r="B290" s="9" t="s">
        <v>11992</v>
      </c>
      <c r="C290" s="9" t="s">
        <v>47728</v>
      </c>
      <c r="D290" s="9">
        <v>86.0</v>
      </c>
      <c r="E290" s="9" t="s">
        <v>47567</v>
      </c>
      <c r="G290" s="9" t="s">
        <v>47521</v>
      </c>
    </row>
    <row r="291" ht="15.75" customHeight="1">
      <c r="A291" s="9" t="s">
        <v>47854</v>
      </c>
      <c r="B291" s="9" t="s">
        <v>11992</v>
      </c>
      <c r="C291" s="9" t="s">
        <v>47714</v>
      </c>
      <c r="D291" s="9">
        <v>382.0</v>
      </c>
      <c r="E291" s="9" t="s">
        <v>47619</v>
      </c>
      <c r="G291" s="9" t="s">
        <v>47521</v>
      </c>
    </row>
    <row r="292" ht="15.75" customHeight="1">
      <c r="A292" s="9" t="s">
        <v>47855</v>
      </c>
      <c r="B292" s="9" t="s">
        <v>11992</v>
      </c>
      <c r="C292" s="9" t="s">
        <v>47842</v>
      </c>
      <c r="D292" s="9">
        <v>70.0</v>
      </c>
      <c r="E292" s="9" t="s">
        <v>47561</v>
      </c>
      <c r="G292" s="9" t="s">
        <v>47521</v>
      </c>
    </row>
    <row r="293" ht="15.75" customHeight="1">
      <c r="A293" s="9" t="s">
        <v>47856</v>
      </c>
      <c r="B293" s="9" t="s">
        <v>11680</v>
      </c>
      <c r="C293" s="9" t="s">
        <v>47634</v>
      </c>
      <c r="D293" s="9">
        <v>100.0</v>
      </c>
      <c r="E293" s="9" t="s">
        <v>12251</v>
      </c>
      <c r="G293" s="9" t="s">
        <v>47521</v>
      </c>
    </row>
    <row r="294" ht="15.75" customHeight="1">
      <c r="A294" s="9"/>
      <c r="B294" s="9"/>
      <c r="C294" s="9"/>
      <c r="D294" s="9"/>
      <c r="E294" s="9"/>
      <c r="G294" s="9"/>
    </row>
    <row r="295" ht="15.75" customHeight="1">
      <c r="A295" s="9" t="s">
        <v>47857</v>
      </c>
      <c r="B295" s="9" t="s">
        <v>2736</v>
      </c>
      <c r="D295" s="9">
        <v>75.0</v>
      </c>
    </row>
    <row r="296" ht="15.75" customHeight="1">
      <c r="A296" s="9" t="s">
        <v>47858</v>
      </c>
      <c r="B296" s="9" t="s">
        <v>11813</v>
      </c>
      <c r="C296" s="9" t="s">
        <v>47859</v>
      </c>
      <c r="D296" s="9">
        <v>7.8</v>
      </c>
      <c r="E296" s="9" t="s">
        <v>12225</v>
      </c>
      <c r="G296" s="9" t="s">
        <v>47521</v>
      </c>
    </row>
    <row r="297" ht="15.75" customHeight="1">
      <c r="A297" s="9" t="s">
        <v>47860</v>
      </c>
      <c r="B297" s="9" t="s">
        <v>234</v>
      </c>
      <c r="C297" s="9" t="s">
        <v>47573</v>
      </c>
      <c r="D297" s="9">
        <v>99.0</v>
      </c>
      <c r="E297" s="9" t="s">
        <v>12232</v>
      </c>
    </row>
    <row r="298" ht="15.75" customHeight="1">
      <c r="A298" s="9" t="s">
        <v>47861</v>
      </c>
      <c r="B298" s="9" t="s">
        <v>234</v>
      </c>
      <c r="C298" s="9" t="s">
        <v>47581</v>
      </c>
      <c r="D298" s="9">
        <v>35.0</v>
      </c>
      <c r="E298" s="9" t="s">
        <v>12234</v>
      </c>
    </row>
    <row r="299" ht="15.75" customHeight="1">
      <c r="A299" s="9" t="s">
        <v>47862</v>
      </c>
      <c r="B299" s="9" t="s">
        <v>11903</v>
      </c>
      <c r="D299" s="9">
        <v>8.0</v>
      </c>
      <c r="G299" s="9" t="s">
        <v>47521</v>
      </c>
    </row>
    <row r="300" ht="15.75" customHeight="1">
      <c r="A300" s="9" t="s">
        <v>47863</v>
      </c>
      <c r="B300" s="9" t="s">
        <v>7328</v>
      </c>
      <c r="D300" s="9">
        <v>48.0</v>
      </c>
      <c r="E300" s="9" t="s">
        <v>47561</v>
      </c>
      <c r="G300" s="9" t="s">
        <v>47521</v>
      </c>
    </row>
    <row r="301" ht="15.75" customHeight="1">
      <c r="A301" s="9" t="s">
        <v>47864</v>
      </c>
      <c r="B301" s="9" t="s">
        <v>7328</v>
      </c>
      <c r="C301" s="9" t="s">
        <v>47573</v>
      </c>
      <c r="D301" s="9">
        <v>69.5</v>
      </c>
      <c r="E301" s="9" t="s">
        <v>47865</v>
      </c>
      <c r="G301" s="9" t="s">
        <v>47521</v>
      </c>
    </row>
    <row r="302" ht="15.75" customHeight="1">
      <c r="A302" s="9" t="s">
        <v>47866</v>
      </c>
      <c r="B302" s="9" t="s">
        <v>6255</v>
      </c>
      <c r="D302" s="9">
        <v>300.0</v>
      </c>
      <c r="E302" s="9" t="s">
        <v>12241</v>
      </c>
      <c r="G302" s="9" t="s">
        <v>47521</v>
      </c>
    </row>
    <row r="303" ht="15.75" customHeight="1">
      <c r="A303" s="9" t="s">
        <v>47867</v>
      </c>
      <c r="B303" s="9" t="s">
        <v>6255</v>
      </c>
      <c r="D303" s="9">
        <v>150.0</v>
      </c>
      <c r="E303" s="9" t="s">
        <v>12243</v>
      </c>
      <c r="G303" s="9" t="s">
        <v>47521</v>
      </c>
    </row>
    <row r="304" ht="15.75" customHeight="1">
      <c r="A304" s="9" t="s">
        <v>47868</v>
      </c>
      <c r="B304" s="9" t="s">
        <v>7537</v>
      </c>
      <c r="D304" s="9">
        <v>5.0</v>
      </c>
      <c r="E304" s="9" t="s">
        <v>12231</v>
      </c>
    </row>
    <row r="305" ht="15.75" customHeight="1">
      <c r="A305" s="9" t="s">
        <v>47869</v>
      </c>
      <c r="B305" s="9" t="s">
        <v>3436</v>
      </c>
      <c r="C305" s="9" t="s">
        <v>47719</v>
      </c>
      <c r="D305" s="9">
        <v>89.0</v>
      </c>
      <c r="E305" s="9" t="s">
        <v>47870</v>
      </c>
      <c r="G305" s="9" t="s">
        <v>47521</v>
      </c>
    </row>
    <row r="306" ht="15.75" customHeight="1">
      <c r="A306" s="9" t="s">
        <v>47871</v>
      </c>
      <c r="B306" s="9" t="s">
        <v>3436</v>
      </c>
      <c r="C306" s="9" t="s">
        <v>47719</v>
      </c>
      <c r="D306" s="9">
        <v>99.0</v>
      </c>
      <c r="E306" s="9" t="s">
        <v>47872</v>
      </c>
      <c r="G306" s="9" t="s">
        <v>47521</v>
      </c>
    </row>
    <row r="307" ht="15.75" customHeight="1">
      <c r="A307" s="9" t="s">
        <v>47873</v>
      </c>
      <c r="B307" s="9" t="s">
        <v>3455</v>
      </c>
      <c r="C307" s="9" t="s">
        <v>47719</v>
      </c>
      <c r="D307" s="9">
        <v>119.0</v>
      </c>
      <c r="E307" s="9" t="s">
        <v>47872</v>
      </c>
      <c r="G307" s="9" t="s">
        <v>47521</v>
      </c>
    </row>
    <row r="308" ht="15.75" customHeight="1">
      <c r="A308" s="9" t="s">
        <v>47874</v>
      </c>
      <c r="B308" s="9" t="s">
        <v>3455</v>
      </c>
      <c r="C308" s="9" t="s">
        <v>47719</v>
      </c>
      <c r="D308" s="9">
        <v>109.0</v>
      </c>
      <c r="E308" s="9" t="s">
        <v>47870</v>
      </c>
      <c r="G308" s="9" t="s">
        <v>47521</v>
      </c>
    </row>
    <row r="309" ht="15.75" customHeight="1">
      <c r="A309" s="9" t="s">
        <v>47875</v>
      </c>
      <c r="B309" s="9" t="s">
        <v>3464</v>
      </c>
      <c r="C309" s="9" t="s">
        <v>47876</v>
      </c>
      <c r="D309" s="9">
        <v>145.0</v>
      </c>
      <c r="E309" s="9" t="s">
        <v>47780</v>
      </c>
      <c r="G309" s="9" t="s">
        <v>47521</v>
      </c>
    </row>
    <row r="310" ht="15.75" customHeight="1">
      <c r="A310" s="9" t="s">
        <v>47877</v>
      </c>
      <c r="B310" s="9" t="s">
        <v>3464</v>
      </c>
      <c r="C310" s="9" t="s">
        <v>47719</v>
      </c>
      <c r="D310" s="9">
        <v>125.0</v>
      </c>
      <c r="E310" s="9" t="s">
        <v>47878</v>
      </c>
      <c r="G310" s="9" t="s">
        <v>47521</v>
      </c>
    </row>
    <row r="311" ht="15.75" customHeight="1">
      <c r="A311" s="9" t="s">
        <v>47879</v>
      </c>
      <c r="B311" s="9" t="s">
        <v>3464</v>
      </c>
      <c r="C311" s="9" t="s">
        <v>47719</v>
      </c>
      <c r="D311" s="9">
        <v>115.0</v>
      </c>
      <c r="E311" s="9" t="s">
        <v>47880</v>
      </c>
      <c r="G311" s="9" t="s">
        <v>47521</v>
      </c>
    </row>
    <row r="312" ht="15.75" customHeight="1">
      <c r="A312" s="9" t="s">
        <v>47881</v>
      </c>
      <c r="B312" s="9" t="s">
        <v>3464</v>
      </c>
      <c r="C312" s="9" t="s">
        <v>47876</v>
      </c>
      <c r="D312" s="9">
        <v>155.0</v>
      </c>
      <c r="E312" s="9" t="s">
        <v>47778</v>
      </c>
      <c r="G312" s="9" t="s">
        <v>47521</v>
      </c>
    </row>
    <row r="313" ht="15.75" customHeight="1">
      <c r="A313" s="9" t="s">
        <v>47882</v>
      </c>
      <c r="B313" s="9" t="s">
        <v>12050</v>
      </c>
      <c r="D313" s="9">
        <v>8.0</v>
      </c>
      <c r="G313" s="9" t="s">
        <v>47521</v>
      </c>
    </row>
    <row r="314" ht="15.75" customHeight="1">
      <c r="A314" s="9" t="s">
        <v>47883</v>
      </c>
      <c r="B314" s="9" t="s">
        <v>6444</v>
      </c>
      <c r="D314" s="9">
        <v>12.0</v>
      </c>
      <c r="G314" s="9" t="s">
        <v>47521</v>
      </c>
    </row>
    <row r="315" ht="15.75" customHeight="1">
      <c r="A315" s="9" t="s">
        <v>47884</v>
      </c>
      <c r="B315" s="9" t="s">
        <v>2814</v>
      </c>
      <c r="C315" s="9" t="s">
        <v>47885</v>
      </c>
      <c r="D315" s="9">
        <v>75.0</v>
      </c>
      <c r="E315" s="9" t="s">
        <v>47886</v>
      </c>
      <c r="G315" s="9" t="s">
        <v>47521</v>
      </c>
    </row>
    <row r="316" ht="15.75" customHeight="1">
      <c r="A316" s="9" t="s">
        <v>47887</v>
      </c>
      <c r="B316" s="9" t="s">
        <v>2814</v>
      </c>
      <c r="C316" s="9" t="s">
        <v>47888</v>
      </c>
      <c r="D316" s="9">
        <v>80.0</v>
      </c>
      <c r="E316" s="9" t="s">
        <v>47886</v>
      </c>
      <c r="G316" s="9" t="s">
        <v>47521</v>
      </c>
    </row>
    <row r="317" ht="15.75" customHeight="1">
      <c r="A317" s="9" t="s">
        <v>47889</v>
      </c>
      <c r="B317" s="9" t="s">
        <v>2814</v>
      </c>
      <c r="D317" s="9">
        <v>65.0</v>
      </c>
      <c r="E317" s="9" t="s">
        <v>47542</v>
      </c>
      <c r="G317" s="9" t="s">
        <v>47521</v>
      </c>
    </row>
    <row r="318" ht="15.75" customHeight="1">
      <c r="A318" s="9" t="s">
        <v>47890</v>
      </c>
      <c r="B318" s="9" t="s">
        <v>2814</v>
      </c>
      <c r="C318" s="9" t="s">
        <v>47891</v>
      </c>
      <c r="D318" s="9">
        <v>60.0</v>
      </c>
      <c r="E318" s="9" t="s">
        <v>47542</v>
      </c>
      <c r="G318" s="9" t="s">
        <v>47521</v>
      </c>
    </row>
    <row r="319" ht="15.75" customHeight="1">
      <c r="A319" s="9" t="s">
        <v>47892</v>
      </c>
      <c r="B319" s="52" t="s">
        <v>16638</v>
      </c>
      <c r="C319" s="9" t="s">
        <v>47719</v>
      </c>
      <c r="D319" s="9">
        <v>80.0</v>
      </c>
      <c r="E319" s="9" t="s">
        <v>12238</v>
      </c>
      <c r="G319" s="9" t="s">
        <v>47521</v>
      </c>
    </row>
    <row r="320" ht="15.75" customHeight="1">
      <c r="A320" s="9" t="s">
        <v>47893</v>
      </c>
      <c r="B320" s="52" t="s">
        <v>16638</v>
      </c>
      <c r="C320" s="9" t="s">
        <v>47876</v>
      </c>
      <c r="D320" s="9">
        <v>120.0</v>
      </c>
      <c r="E320" s="9" t="s">
        <v>12238</v>
      </c>
      <c r="G320" s="9" t="s">
        <v>47521</v>
      </c>
    </row>
    <row r="321" ht="15.75" customHeight="1">
      <c r="A321" s="9" t="s">
        <v>47894</v>
      </c>
      <c r="B321" s="52" t="s">
        <v>16638</v>
      </c>
      <c r="C321" s="9" t="s">
        <v>47719</v>
      </c>
      <c r="D321" s="9">
        <v>75.0</v>
      </c>
      <c r="E321" s="9" t="s">
        <v>12235</v>
      </c>
      <c r="G321" s="9" t="s">
        <v>47521</v>
      </c>
    </row>
    <row r="322" ht="15.75" customHeight="1">
      <c r="A322" s="9" t="s">
        <v>47895</v>
      </c>
      <c r="B322" s="9" t="s">
        <v>9522</v>
      </c>
      <c r="D322" s="9">
        <v>700.0</v>
      </c>
      <c r="E322" s="9" t="s">
        <v>12243</v>
      </c>
      <c r="G322" s="9" t="s">
        <v>47521</v>
      </c>
    </row>
    <row r="323" ht="15.75" customHeight="1">
      <c r="A323" s="9" t="s">
        <v>47896</v>
      </c>
      <c r="B323" s="9" t="s">
        <v>9268</v>
      </c>
      <c r="C323" s="9" t="s">
        <v>47511</v>
      </c>
      <c r="D323" s="9">
        <v>125.0</v>
      </c>
      <c r="E323" s="9" t="s">
        <v>47561</v>
      </c>
      <c r="G323" s="9" t="s">
        <v>47521</v>
      </c>
    </row>
    <row r="324" ht="15.75" customHeight="1">
      <c r="A324" s="9" t="s">
        <v>47897</v>
      </c>
      <c r="B324" s="9" t="s">
        <v>9268</v>
      </c>
      <c r="C324" s="9" t="s">
        <v>47511</v>
      </c>
      <c r="D324" s="9">
        <v>225.0</v>
      </c>
      <c r="E324" s="9" t="s">
        <v>47567</v>
      </c>
      <c r="G324" s="9" t="s">
        <v>47521</v>
      </c>
    </row>
    <row r="325" ht="15.75" customHeight="1">
      <c r="A325" s="9" t="s">
        <v>47898</v>
      </c>
      <c r="B325" s="9" t="s">
        <v>12115</v>
      </c>
      <c r="C325" s="9" t="s">
        <v>47728</v>
      </c>
      <c r="D325" s="9">
        <v>89.0</v>
      </c>
      <c r="E325" s="9" t="s">
        <v>47567</v>
      </c>
      <c r="G325" s="9" t="s">
        <v>47521</v>
      </c>
    </row>
    <row r="326" ht="15.75" customHeight="1">
      <c r="A326" s="9" t="s">
        <v>47899</v>
      </c>
      <c r="B326" s="9" t="s">
        <v>11971</v>
      </c>
      <c r="C326" s="9" t="s">
        <v>47767</v>
      </c>
      <c r="D326" s="9">
        <v>0.8</v>
      </c>
      <c r="G326" s="9" t="s">
        <v>47521</v>
      </c>
    </row>
    <row r="327" ht="15.75" customHeight="1">
      <c r="A327" s="9" t="s">
        <v>47900</v>
      </c>
      <c r="B327" s="9" t="s">
        <v>256</v>
      </c>
      <c r="D327" s="9">
        <v>950.0</v>
      </c>
      <c r="E327" s="9" t="s">
        <v>12241</v>
      </c>
      <c r="G327" s="9" t="s">
        <v>47521</v>
      </c>
    </row>
    <row r="328" ht="15.75" customHeight="1">
      <c r="A328" s="9" t="s">
        <v>47901</v>
      </c>
      <c r="B328" s="9" t="s">
        <v>8993</v>
      </c>
      <c r="D328" s="9">
        <v>9.0</v>
      </c>
      <c r="E328" s="9" t="s">
        <v>12228</v>
      </c>
    </row>
    <row r="329" ht="15.75" customHeight="1">
      <c r="A329" s="9" t="s">
        <v>47902</v>
      </c>
      <c r="B329" s="9" t="s">
        <v>12041</v>
      </c>
      <c r="C329" s="9" t="s">
        <v>47634</v>
      </c>
      <c r="D329" s="9">
        <v>100.0</v>
      </c>
      <c r="E329" s="9" t="s">
        <v>12238</v>
      </c>
      <c r="G329" s="9"/>
    </row>
    <row r="330" ht="15.75" customHeight="1">
      <c r="A330" s="9" t="s">
        <v>47903</v>
      </c>
      <c r="B330" s="9" t="s">
        <v>12041</v>
      </c>
      <c r="C330" s="9" t="s">
        <v>47573</v>
      </c>
      <c r="D330" s="9">
        <v>60.0</v>
      </c>
      <c r="E330" s="9" t="s">
        <v>12226</v>
      </c>
    </row>
    <row r="331" ht="15.75" customHeight="1">
      <c r="A331" s="9" t="s">
        <v>47904</v>
      </c>
      <c r="B331" s="9" t="s">
        <v>6928</v>
      </c>
      <c r="D331" s="9">
        <v>15.0</v>
      </c>
      <c r="E331" s="9" t="s">
        <v>12231</v>
      </c>
    </row>
    <row r="332" ht="15.75" customHeight="1">
      <c r="A332" s="9" t="s">
        <v>47905</v>
      </c>
      <c r="B332" s="9" t="s">
        <v>5633</v>
      </c>
      <c r="D332" s="9">
        <v>6.0</v>
      </c>
      <c r="E332" s="9" t="s">
        <v>12231</v>
      </c>
    </row>
    <row r="333" ht="15.75" customHeight="1">
      <c r="A333" s="9" t="s">
        <v>47906</v>
      </c>
      <c r="B333" s="9" t="s">
        <v>1530</v>
      </c>
      <c r="D333" s="9">
        <v>6.0</v>
      </c>
      <c r="E333" s="9" t="s">
        <v>12231</v>
      </c>
    </row>
    <row r="334" ht="15.75" customHeight="1">
      <c r="A334" s="9" t="s">
        <v>47907</v>
      </c>
      <c r="B334" s="9" t="s">
        <v>6989</v>
      </c>
      <c r="C334" s="9" t="s">
        <v>47546</v>
      </c>
      <c r="D334" s="9">
        <v>19.0</v>
      </c>
      <c r="E334" s="9" t="s">
        <v>12225</v>
      </c>
    </row>
    <row r="335" ht="15.75" customHeight="1">
      <c r="A335" s="9" t="s">
        <v>47908</v>
      </c>
      <c r="B335" s="9" t="s">
        <v>2483</v>
      </c>
      <c r="D335" s="9">
        <v>30.0</v>
      </c>
      <c r="E335" s="9" t="s">
        <v>47582</v>
      </c>
    </row>
    <row r="336" ht="15.75" customHeight="1">
      <c r="A336" s="9" t="s">
        <v>47909</v>
      </c>
      <c r="B336" s="9" t="s">
        <v>6209</v>
      </c>
      <c r="D336" s="9">
        <v>25.0</v>
      </c>
      <c r="E336" s="9" t="s">
        <v>12231</v>
      </c>
    </row>
    <row r="337" ht="15.75" customHeight="1">
      <c r="A337" s="9" t="s">
        <v>47910</v>
      </c>
      <c r="B337" s="9" t="s">
        <v>2181</v>
      </c>
      <c r="D337" s="9">
        <v>12.0</v>
      </c>
      <c r="E337" s="9" t="s">
        <v>47582</v>
      </c>
      <c r="G337" s="9" t="s">
        <v>47521</v>
      </c>
    </row>
    <row r="338" ht="15.75" customHeight="1">
      <c r="A338" s="52" t="s">
        <v>47911</v>
      </c>
      <c r="B338" s="9" t="s">
        <v>1013</v>
      </c>
      <c r="C338" s="9" t="s">
        <v>47573</v>
      </c>
      <c r="D338" s="9">
        <v>80.0</v>
      </c>
      <c r="E338" s="9" t="s">
        <v>12232</v>
      </c>
      <c r="G338" s="9" t="s">
        <v>47521</v>
      </c>
    </row>
    <row r="339" ht="15.75" customHeight="1">
      <c r="A339" s="9" t="s">
        <v>47912</v>
      </c>
      <c r="B339" s="9" t="s">
        <v>11979</v>
      </c>
      <c r="D339" s="9">
        <v>15.0</v>
      </c>
      <c r="E339" s="9" t="s">
        <v>12231</v>
      </c>
    </row>
    <row r="340" ht="15.75" customHeight="1">
      <c r="A340" s="9" t="s">
        <v>47913</v>
      </c>
      <c r="B340" s="9" t="s">
        <v>1919</v>
      </c>
      <c r="D340" s="9">
        <v>17.0</v>
      </c>
      <c r="E340" s="9" t="s">
        <v>12231</v>
      </c>
    </row>
    <row r="341" ht="15.75" customHeight="1">
      <c r="A341" s="9" t="s">
        <v>47914</v>
      </c>
      <c r="B341" s="9" t="s">
        <v>6908</v>
      </c>
      <c r="C341" s="9" t="s">
        <v>47915</v>
      </c>
      <c r="D341" s="9">
        <v>18.0</v>
      </c>
      <c r="E341" s="9" t="s">
        <v>12234</v>
      </c>
      <c r="G341" s="9" t="s">
        <v>47521</v>
      </c>
    </row>
    <row r="342" ht="15.75" customHeight="1">
      <c r="A342" s="9" t="s">
        <v>47916</v>
      </c>
      <c r="B342" s="9" t="s">
        <v>10303</v>
      </c>
      <c r="D342" s="9">
        <v>3.0</v>
      </c>
      <c r="E342" s="9" t="s">
        <v>12228</v>
      </c>
      <c r="G342" s="9" t="s">
        <v>47521</v>
      </c>
    </row>
    <row r="343" ht="15.75" customHeight="1">
      <c r="A343" s="9" t="s">
        <v>47917</v>
      </c>
      <c r="B343" s="9" t="s">
        <v>5728</v>
      </c>
      <c r="D343" s="9">
        <v>12.0</v>
      </c>
      <c r="E343" s="9" t="s">
        <v>47582</v>
      </c>
      <c r="G343" s="9" t="s">
        <v>47521</v>
      </c>
    </row>
    <row r="344" ht="15.75" customHeight="1">
      <c r="A344" s="9" t="s">
        <v>47918</v>
      </c>
      <c r="B344" s="9" t="s">
        <v>11655</v>
      </c>
      <c r="C344" s="9" t="s">
        <v>47573</v>
      </c>
      <c r="D344" s="9">
        <v>115.0</v>
      </c>
      <c r="E344" s="9" t="s">
        <v>12251</v>
      </c>
      <c r="G344" s="9" t="s">
        <v>47521</v>
      </c>
    </row>
    <row r="345" ht="15.75" customHeight="1">
      <c r="A345" s="9" t="s">
        <v>47919</v>
      </c>
      <c r="B345" s="9" t="s">
        <v>10506</v>
      </c>
      <c r="D345" s="9">
        <v>170.0</v>
      </c>
      <c r="E345" s="9" t="s">
        <v>47561</v>
      </c>
    </row>
    <row r="346" ht="15.75" customHeight="1">
      <c r="A346" s="9" t="s">
        <v>47920</v>
      </c>
      <c r="B346" s="9" t="s">
        <v>10529</v>
      </c>
      <c r="C346" s="9" t="s">
        <v>47511</v>
      </c>
      <c r="D346" s="9">
        <v>85.0</v>
      </c>
      <c r="E346" s="9" t="s">
        <v>47780</v>
      </c>
      <c r="G346" s="9" t="s">
        <v>47521</v>
      </c>
    </row>
    <row r="347" ht="15.75" customHeight="1">
      <c r="A347" s="9" t="s">
        <v>47921</v>
      </c>
      <c r="B347" s="9" t="s">
        <v>10529</v>
      </c>
      <c r="C347" s="9" t="s">
        <v>47511</v>
      </c>
      <c r="D347" s="9">
        <v>125.0</v>
      </c>
      <c r="E347" s="9" t="s">
        <v>47778</v>
      </c>
      <c r="G347" s="9" t="s">
        <v>47521</v>
      </c>
    </row>
    <row r="348" ht="15.75" customHeight="1">
      <c r="A348" s="9" t="s">
        <v>47922</v>
      </c>
      <c r="B348" s="9" t="s">
        <v>9703</v>
      </c>
      <c r="C348" s="9" t="s">
        <v>47859</v>
      </c>
      <c r="D348" s="9">
        <v>7.0</v>
      </c>
      <c r="E348" s="9" t="s">
        <v>12225</v>
      </c>
      <c r="G348" s="9" t="s">
        <v>47521</v>
      </c>
    </row>
    <row r="349" ht="15.75" customHeight="1">
      <c r="A349" s="9" t="s">
        <v>47923</v>
      </c>
      <c r="B349" s="9" t="s">
        <v>9703</v>
      </c>
      <c r="C349" s="9" t="s">
        <v>47546</v>
      </c>
      <c r="D349" s="9">
        <v>16.0</v>
      </c>
      <c r="E349" s="9" t="s">
        <v>12225</v>
      </c>
      <c r="G349" s="9" t="s">
        <v>47521</v>
      </c>
    </row>
    <row r="350" ht="15.75" customHeight="1">
      <c r="A350" s="9" t="s">
        <v>47924</v>
      </c>
      <c r="B350" s="9" t="s">
        <v>11945</v>
      </c>
      <c r="C350" s="9" t="s">
        <v>47634</v>
      </c>
      <c r="D350" s="9">
        <v>150.0</v>
      </c>
      <c r="E350" s="9" t="s">
        <v>12238</v>
      </c>
    </row>
    <row r="351" ht="15.75" customHeight="1">
      <c r="A351" s="9" t="s">
        <v>47925</v>
      </c>
      <c r="B351" s="9" t="s">
        <v>5586</v>
      </c>
      <c r="C351" s="9" t="s">
        <v>47511</v>
      </c>
      <c r="D351" s="9">
        <v>85.0</v>
      </c>
      <c r="E351" s="9" t="s">
        <v>12232</v>
      </c>
      <c r="G351" s="9" t="s">
        <v>47521</v>
      </c>
    </row>
    <row r="352" ht="15.75" customHeight="1">
      <c r="A352" s="9" t="s">
        <v>47926</v>
      </c>
      <c r="B352" s="9" t="s">
        <v>5586</v>
      </c>
      <c r="C352" s="9" t="s">
        <v>47927</v>
      </c>
      <c r="D352" s="9">
        <v>105.0</v>
      </c>
      <c r="E352" s="9" t="s">
        <v>12251</v>
      </c>
      <c r="G352" s="9" t="s">
        <v>47521</v>
      </c>
    </row>
    <row r="353" ht="15.75" customHeight="1">
      <c r="A353" s="9" t="s">
        <v>47928</v>
      </c>
      <c r="B353" s="9" t="s">
        <v>1188</v>
      </c>
      <c r="D353" s="9">
        <v>50.0</v>
      </c>
      <c r="E353" s="9" t="s">
        <v>12226</v>
      </c>
      <c r="G353" s="9" t="s">
        <v>47521</v>
      </c>
    </row>
    <row r="354" ht="15.75" customHeight="1">
      <c r="A354" s="9" t="s">
        <v>47929</v>
      </c>
      <c r="B354" s="9" t="s">
        <v>11911</v>
      </c>
      <c r="D354" s="9">
        <v>16.0</v>
      </c>
      <c r="E354" s="9" t="s">
        <v>12225</v>
      </c>
      <c r="G354" s="9" t="s">
        <v>47521</v>
      </c>
    </row>
    <row r="355" ht="15.75" customHeight="1">
      <c r="A355" s="9" t="s">
        <v>47930</v>
      </c>
      <c r="B355" s="9" t="s">
        <v>12108</v>
      </c>
      <c r="C355" s="9" t="s">
        <v>47546</v>
      </c>
      <c r="D355" s="9">
        <v>14.0</v>
      </c>
      <c r="G355" s="9" t="s">
        <v>47521</v>
      </c>
    </row>
    <row r="356" ht="15.75" customHeight="1">
      <c r="A356" s="9" t="s">
        <v>47931</v>
      </c>
      <c r="B356" s="9" t="s">
        <v>7988</v>
      </c>
      <c r="D356" s="9">
        <v>110.0</v>
      </c>
      <c r="E356" s="9" t="s">
        <v>12245</v>
      </c>
    </row>
    <row r="357" ht="15.75" customHeight="1">
      <c r="A357" s="9" t="s">
        <v>47932</v>
      </c>
      <c r="B357" s="9" t="s">
        <v>11545</v>
      </c>
      <c r="C357" s="9" t="s">
        <v>47511</v>
      </c>
      <c r="D357" s="9">
        <v>175.0</v>
      </c>
      <c r="E357" s="9" t="s">
        <v>12245</v>
      </c>
      <c r="G357" s="9" t="s">
        <v>47521</v>
      </c>
    </row>
    <row r="358" ht="15.75" customHeight="1">
      <c r="A358" s="9" t="s">
        <v>47933</v>
      </c>
      <c r="B358" s="9" t="s">
        <v>2009</v>
      </c>
      <c r="D358" s="9">
        <v>250.0</v>
      </c>
      <c r="E358" s="9" t="s">
        <v>12243</v>
      </c>
      <c r="G358" s="9" t="s">
        <v>47521</v>
      </c>
    </row>
    <row r="359" ht="15.75" customHeight="1">
      <c r="A359" s="9" t="s">
        <v>47934</v>
      </c>
      <c r="B359" s="9" t="s">
        <v>2009</v>
      </c>
      <c r="D359" s="9">
        <v>420.0</v>
      </c>
      <c r="E359" s="9" t="s">
        <v>12241</v>
      </c>
      <c r="G359" s="9" t="s">
        <v>47521</v>
      </c>
    </row>
    <row r="360" ht="15.75" customHeight="1">
      <c r="A360" s="9" t="s">
        <v>47935</v>
      </c>
      <c r="B360" s="9" t="s">
        <v>10490</v>
      </c>
      <c r="D360" s="9">
        <v>30.0</v>
      </c>
      <c r="E360" s="9" t="s">
        <v>47936</v>
      </c>
      <c r="G360" s="9" t="s">
        <v>47521</v>
      </c>
    </row>
    <row r="361" ht="15.75" customHeight="1">
      <c r="A361" s="9" t="s">
        <v>47937</v>
      </c>
      <c r="B361" s="9" t="s">
        <v>10490</v>
      </c>
      <c r="D361" s="9">
        <v>35.0</v>
      </c>
      <c r="E361" s="9" t="s">
        <v>47938</v>
      </c>
      <c r="G361" s="9" t="s">
        <v>47521</v>
      </c>
    </row>
    <row r="362" ht="15.75" customHeight="1">
      <c r="A362" s="9" t="s">
        <v>47939</v>
      </c>
      <c r="B362" s="9" t="s">
        <v>10490</v>
      </c>
      <c r="D362" s="9">
        <v>10.0</v>
      </c>
      <c r="E362" s="9" t="s">
        <v>47940</v>
      </c>
      <c r="G362" s="9" t="s">
        <v>47521</v>
      </c>
    </row>
    <row r="363" ht="15.75" customHeight="1">
      <c r="A363" s="9" t="s">
        <v>47941</v>
      </c>
      <c r="B363" s="9" t="s">
        <v>8100</v>
      </c>
      <c r="C363" s="9" t="s">
        <v>47646</v>
      </c>
      <c r="D363" s="9">
        <v>700.0</v>
      </c>
      <c r="E363" s="9" t="s">
        <v>47619</v>
      </c>
      <c r="G363" s="9" t="s">
        <v>47521</v>
      </c>
    </row>
    <row r="364" ht="15.75" customHeight="1">
      <c r="A364" s="9" t="s">
        <v>47942</v>
      </c>
      <c r="B364" s="9" t="s">
        <v>8100</v>
      </c>
      <c r="C364" s="9" t="s">
        <v>47646</v>
      </c>
      <c r="D364" s="9">
        <v>320.0</v>
      </c>
      <c r="E364" s="9" t="s">
        <v>47775</v>
      </c>
      <c r="G364" s="9" t="s">
        <v>47521</v>
      </c>
    </row>
    <row r="365" ht="15.75" customHeight="1">
      <c r="A365" s="9" t="s">
        <v>47943</v>
      </c>
      <c r="B365" s="9" t="s">
        <v>8100</v>
      </c>
      <c r="C365" s="9" t="s">
        <v>47944</v>
      </c>
      <c r="D365" s="9">
        <v>840.0</v>
      </c>
      <c r="E365" s="9" t="s">
        <v>47619</v>
      </c>
      <c r="G365" s="9" t="s">
        <v>47521</v>
      </c>
    </row>
    <row r="366" ht="15.75" customHeight="1">
      <c r="A366" s="9" t="s">
        <v>47945</v>
      </c>
      <c r="B366" s="9" t="s">
        <v>8100</v>
      </c>
      <c r="C366" s="9" t="s">
        <v>47944</v>
      </c>
      <c r="D366" s="9">
        <v>360.0</v>
      </c>
      <c r="E366" s="9" t="s">
        <v>47775</v>
      </c>
      <c r="G366" s="9" t="s">
        <v>47521</v>
      </c>
    </row>
    <row r="367" ht="15.75" customHeight="1">
      <c r="A367" s="9" t="s">
        <v>47946</v>
      </c>
      <c r="B367" s="9" t="s">
        <v>11975</v>
      </c>
      <c r="C367" s="9" t="s">
        <v>47694</v>
      </c>
      <c r="D367" s="9">
        <v>8.0</v>
      </c>
    </row>
    <row r="368" ht="15.75" customHeight="1">
      <c r="A368" s="9" t="s">
        <v>47947</v>
      </c>
      <c r="B368" s="9" t="s">
        <v>3256</v>
      </c>
      <c r="C368" s="9" t="s">
        <v>47891</v>
      </c>
      <c r="D368" s="9">
        <v>60.0</v>
      </c>
      <c r="E368" s="9" t="s">
        <v>47567</v>
      </c>
      <c r="G368" s="9" t="s">
        <v>47521</v>
      </c>
    </row>
    <row r="369" ht="15.75" customHeight="1">
      <c r="A369" s="9" t="s">
        <v>47948</v>
      </c>
      <c r="B369" s="9" t="s">
        <v>3256</v>
      </c>
      <c r="C369" s="9" t="s">
        <v>47891</v>
      </c>
      <c r="D369" s="9">
        <v>125.0</v>
      </c>
      <c r="E369" s="9" t="s">
        <v>47775</v>
      </c>
      <c r="G369" s="9" t="s">
        <v>47521</v>
      </c>
    </row>
    <row r="370" ht="15.75" customHeight="1">
      <c r="A370" s="9" t="s">
        <v>47949</v>
      </c>
      <c r="B370" s="9" t="s">
        <v>10453</v>
      </c>
      <c r="C370" s="9" t="s">
        <v>47699</v>
      </c>
      <c r="D370" s="9">
        <v>100.0</v>
      </c>
      <c r="E370" s="9" t="s">
        <v>47567</v>
      </c>
      <c r="G370" s="9" t="s">
        <v>47521</v>
      </c>
    </row>
    <row r="371" ht="15.75" customHeight="1">
      <c r="A371" s="9" t="s">
        <v>47950</v>
      </c>
      <c r="B371" s="9" t="s">
        <v>6433</v>
      </c>
      <c r="D371" s="9">
        <v>7.0</v>
      </c>
      <c r="E371" s="9" t="s">
        <v>12225</v>
      </c>
      <c r="G371" s="9" t="s">
        <v>47521</v>
      </c>
    </row>
    <row r="372" ht="15.75" customHeight="1">
      <c r="A372" s="9" t="s">
        <v>47951</v>
      </c>
      <c r="B372" s="9" t="s">
        <v>10562</v>
      </c>
      <c r="C372" s="9" t="s">
        <v>47952</v>
      </c>
      <c r="D372" s="9">
        <v>25.0</v>
      </c>
      <c r="E372" s="9" t="s">
        <v>12234</v>
      </c>
    </row>
    <row r="373" ht="15.75" customHeight="1">
      <c r="A373" s="9" t="s">
        <v>47953</v>
      </c>
      <c r="B373" s="9" t="s">
        <v>12138</v>
      </c>
      <c r="C373" s="9" t="s">
        <v>47643</v>
      </c>
      <c r="D373" s="9">
        <v>30.0</v>
      </c>
      <c r="E373" s="9" t="s">
        <v>12231</v>
      </c>
      <c r="G373" s="9" t="s">
        <v>47521</v>
      </c>
    </row>
    <row r="374" ht="15.75" customHeight="1">
      <c r="A374" s="9" t="s">
        <v>47954</v>
      </c>
      <c r="B374" s="52" t="s">
        <v>16353</v>
      </c>
      <c r="C374" s="9" t="s">
        <v>47719</v>
      </c>
      <c r="D374" s="9">
        <v>75.0</v>
      </c>
      <c r="E374" s="9" t="s">
        <v>12245</v>
      </c>
      <c r="G374" s="9" t="s">
        <v>47521</v>
      </c>
    </row>
    <row r="375" ht="15.75" customHeight="1">
      <c r="A375" s="9" t="s">
        <v>47955</v>
      </c>
      <c r="B375" s="9" t="s">
        <v>942</v>
      </c>
      <c r="D375" s="9">
        <v>2300.0</v>
      </c>
      <c r="E375" s="9" t="s">
        <v>12243</v>
      </c>
      <c r="G375" s="9" t="s">
        <v>47521</v>
      </c>
    </row>
    <row r="376" ht="15.75" customHeight="1">
      <c r="A376" s="9" t="s">
        <v>47956</v>
      </c>
      <c r="B376" s="9" t="s">
        <v>942</v>
      </c>
      <c r="D376" s="9">
        <v>115.0</v>
      </c>
      <c r="E376" s="9" t="s">
        <v>47957</v>
      </c>
      <c r="G376" s="9" t="s">
        <v>47521</v>
      </c>
    </row>
    <row r="377" ht="15.75" customHeight="1">
      <c r="A377" s="9" t="s">
        <v>47958</v>
      </c>
      <c r="B377" s="9" t="s">
        <v>942</v>
      </c>
      <c r="C377" s="9" t="s">
        <v>47511</v>
      </c>
      <c r="D377" s="9">
        <v>1900.0</v>
      </c>
      <c r="E377" s="9" t="s">
        <v>47959</v>
      </c>
      <c r="G377" s="9" t="s">
        <v>47521</v>
      </c>
    </row>
    <row r="378" ht="15.75" customHeight="1">
      <c r="A378" s="9" t="s">
        <v>47960</v>
      </c>
      <c r="B378" s="9" t="s">
        <v>5426</v>
      </c>
      <c r="D378" s="9">
        <v>220.0</v>
      </c>
      <c r="E378" s="9" t="s">
        <v>12245</v>
      </c>
      <c r="G378" s="9" t="s">
        <v>47521</v>
      </c>
    </row>
    <row r="379" ht="15.75" customHeight="1">
      <c r="A379" s="9" t="s">
        <v>47961</v>
      </c>
      <c r="B379" s="9" t="s">
        <v>12191</v>
      </c>
      <c r="C379" s="9" t="s">
        <v>47511</v>
      </c>
      <c r="D379" s="9">
        <v>150.0</v>
      </c>
      <c r="E379" s="9" t="s">
        <v>47567</v>
      </c>
      <c r="G379" s="9" t="s">
        <v>47521</v>
      </c>
    </row>
    <row r="380" ht="15.75" customHeight="1">
      <c r="A380" s="9" t="s">
        <v>47962</v>
      </c>
      <c r="B380" s="9" t="s">
        <v>11731</v>
      </c>
      <c r="D380" s="9">
        <v>100.0</v>
      </c>
      <c r="G380" s="9" t="s">
        <v>47521</v>
      </c>
    </row>
    <row r="381" ht="15.75" customHeight="1">
      <c r="A381" s="9" t="s">
        <v>47963</v>
      </c>
      <c r="B381" s="9" t="s">
        <v>12067</v>
      </c>
      <c r="D381" s="9">
        <v>65.0</v>
      </c>
      <c r="E381" s="9" t="s">
        <v>12245</v>
      </c>
      <c r="G381" s="9" t="s">
        <v>47521</v>
      </c>
    </row>
    <row r="382" ht="15.75" customHeight="1">
      <c r="A382" s="9" t="s">
        <v>47964</v>
      </c>
      <c r="B382" s="9" t="s">
        <v>11772</v>
      </c>
      <c r="D382" s="9">
        <v>65.0</v>
      </c>
      <c r="E382" s="9" t="s">
        <v>47567</v>
      </c>
      <c r="G382" s="9" t="s">
        <v>47521</v>
      </c>
    </row>
    <row r="383" ht="15.75" customHeight="1">
      <c r="A383" s="9" t="s">
        <v>47965</v>
      </c>
      <c r="B383" s="9" t="s">
        <v>11724</v>
      </c>
      <c r="C383" s="9" t="s">
        <v>47511</v>
      </c>
      <c r="D383" s="9">
        <v>70.0</v>
      </c>
      <c r="E383" s="9" t="s">
        <v>12245</v>
      </c>
      <c r="G383" s="9" t="s">
        <v>47521</v>
      </c>
    </row>
    <row r="384" ht="15.75" customHeight="1">
      <c r="A384" s="9" t="s">
        <v>47966</v>
      </c>
      <c r="B384" s="9" t="s">
        <v>9039</v>
      </c>
      <c r="D384" s="9">
        <v>75.0</v>
      </c>
      <c r="E384" s="9" t="s">
        <v>12232</v>
      </c>
      <c r="G384" s="9" t="s">
        <v>47521</v>
      </c>
    </row>
    <row r="385" ht="15.75" customHeight="1">
      <c r="A385" s="9" t="s">
        <v>47967</v>
      </c>
      <c r="B385" s="9" t="s">
        <v>9039</v>
      </c>
      <c r="C385" s="9" t="s">
        <v>47876</v>
      </c>
      <c r="D385" s="9">
        <v>130.0</v>
      </c>
      <c r="E385" s="9" t="s">
        <v>12251</v>
      </c>
      <c r="G385" s="9" t="s">
        <v>47521</v>
      </c>
    </row>
    <row r="386" ht="15.75" customHeight="1">
      <c r="A386" s="9" t="s">
        <v>47968</v>
      </c>
      <c r="B386" s="9" t="s">
        <v>11627</v>
      </c>
      <c r="D386" s="9">
        <v>5.0</v>
      </c>
      <c r="E386" s="9" t="s">
        <v>12231</v>
      </c>
    </row>
    <row r="387" ht="15.75" customHeight="1">
      <c r="A387" s="9" t="s">
        <v>47969</v>
      </c>
      <c r="B387" s="9" t="s">
        <v>4423</v>
      </c>
      <c r="C387" s="9" t="s">
        <v>47546</v>
      </c>
      <c r="D387" s="9">
        <v>30.0</v>
      </c>
      <c r="E387" s="9" t="s">
        <v>12234</v>
      </c>
      <c r="G387" s="9" t="s">
        <v>47521</v>
      </c>
    </row>
    <row r="388" ht="15.75" customHeight="1">
      <c r="A388" s="9" t="s">
        <v>47970</v>
      </c>
      <c r="B388" s="9" t="s">
        <v>8439</v>
      </c>
      <c r="C388" s="9" t="s">
        <v>47891</v>
      </c>
      <c r="D388" s="9">
        <v>200.0</v>
      </c>
      <c r="E388" s="9" t="s">
        <v>47971</v>
      </c>
      <c r="G388" s="9" t="s">
        <v>47521</v>
      </c>
    </row>
    <row r="389" ht="15.75" customHeight="1">
      <c r="A389" s="9" t="s">
        <v>47972</v>
      </c>
      <c r="B389" s="9" t="s">
        <v>759</v>
      </c>
      <c r="C389" s="9" t="s">
        <v>47842</v>
      </c>
      <c r="D389" s="9">
        <v>200.0</v>
      </c>
      <c r="E389" s="9" t="s">
        <v>47971</v>
      </c>
      <c r="G389" s="9" t="s">
        <v>47521</v>
      </c>
    </row>
    <row r="390" ht="15.75" customHeight="1">
      <c r="A390" s="9" t="s">
        <v>47973</v>
      </c>
      <c r="B390" s="9" t="s">
        <v>759</v>
      </c>
      <c r="C390" s="9" t="s">
        <v>47842</v>
      </c>
      <c r="D390" s="9">
        <v>50.0</v>
      </c>
      <c r="E390" s="9" t="s">
        <v>47569</v>
      </c>
      <c r="G390" s="9" t="s">
        <v>47521</v>
      </c>
    </row>
    <row r="391" ht="15.75" customHeight="1">
      <c r="A391" s="9" t="s">
        <v>47974</v>
      </c>
      <c r="B391" s="9" t="s">
        <v>8439</v>
      </c>
      <c r="C391" s="9" t="s">
        <v>47842</v>
      </c>
      <c r="D391" s="9">
        <v>50.0</v>
      </c>
      <c r="E391" s="9" t="s">
        <v>47569</v>
      </c>
      <c r="G391" s="9" t="s">
        <v>47521</v>
      </c>
    </row>
    <row r="392" ht="15.75" customHeight="1">
      <c r="A392" s="9" t="s">
        <v>47975</v>
      </c>
      <c r="B392" s="9" t="s">
        <v>12138</v>
      </c>
      <c r="C392" s="9" t="s">
        <v>47976</v>
      </c>
      <c r="D392" s="9">
        <v>60.0</v>
      </c>
      <c r="E392" s="9" t="s">
        <v>12234</v>
      </c>
      <c r="G392" s="9" t="s">
        <v>47521</v>
      </c>
    </row>
    <row r="393" ht="15.75" customHeight="1">
      <c r="A393" s="9" t="s">
        <v>47977</v>
      </c>
      <c r="B393" s="9" t="s">
        <v>4423</v>
      </c>
      <c r="D393" s="9">
        <v>20.0</v>
      </c>
      <c r="E393" s="9" t="s">
        <v>47516</v>
      </c>
      <c r="G393" s="9" t="s">
        <v>47521</v>
      </c>
    </row>
    <row r="394" ht="15.75" customHeight="1">
      <c r="A394" s="9" t="s">
        <v>47978</v>
      </c>
      <c r="B394" s="9" t="s">
        <v>4423</v>
      </c>
      <c r="C394" s="9" t="s">
        <v>47694</v>
      </c>
      <c r="D394" s="9">
        <v>10.0</v>
      </c>
    </row>
    <row r="395" ht="15.75" customHeight="1">
      <c r="A395" s="9" t="s">
        <v>47979</v>
      </c>
      <c r="B395" s="9" t="s">
        <v>10496</v>
      </c>
    </row>
    <row r="396" ht="15.75" customHeight="1">
      <c r="A396" s="9" t="s">
        <v>47980</v>
      </c>
      <c r="B396" s="9" t="s">
        <v>11621</v>
      </c>
      <c r="C396" s="9" t="s">
        <v>47981</v>
      </c>
      <c r="D396" s="9">
        <v>25.0</v>
      </c>
      <c r="E396" s="9" t="s">
        <v>47516</v>
      </c>
      <c r="G396" s="9" t="s">
        <v>47521</v>
      </c>
    </row>
    <row r="397" ht="15.75" customHeight="1">
      <c r="A397" s="9" t="s">
        <v>47982</v>
      </c>
      <c r="B397" s="9" t="s">
        <v>11621</v>
      </c>
      <c r="C397" s="9" t="s">
        <v>47983</v>
      </c>
      <c r="D397" s="9">
        <v>15.0</v>
      </c>
      <c r="E397" s="9" t="s">
        <v>47516</v>
      </c>
      <c r="G397" s="9" t="s">
        <v>47521</v>
      </c>
    </row>
    <row r="398" ht="15.75" customHeight="1">
      <c r="A398" s="9" t="s">
        <v>47984</v>
      </c>
      <c r="B398" s="9" t="s">
        <v>11621</v>
      </c>
      <c r="C398" s="9" t="s">
        <v>47985</v>
      </c>
      <c r="D398" s="9">
        <v>20.0</v>
      </c>
      <c r="E398" s="9" t="s">
        <v>47516</v>
      </c>
      <c r="G398" s="9" t="s">
        <v>47521</v>
      </c>
    </row>
    <row r="399" ht="15.75" customHeight="1">
      <c r="A399" s="9" t="s">
        <v>47986</v>
      </c>
      <c r="B399" s="9" t="s">
        <v>10459</v>
      </c>
      <c r="D399" s="9">
        <v>14.0</v>
      </c>
      <c r="E399" s="9" t="s">
        <v>12225</v>
      </c>
      <c r="G399" s="9" t="s">
        <v>47521</v>
      </c>
    </row>
    <row r="400" ht="15.75" customHeight="1">
      <c r="A400" s="9" t="s">
        <v>47987</v>
      </c>
      <c r="B400" s="9" t="s">
        <v>10695</v>
      </c>
      <c r="C400" s="9" t="s">
        <v>47511</v>
      </c>
      <c r="D400" s="9">
        <v>145.0</v>
      </c>
      <c r="E400" s="9" t="s">
        <v>12245</v>
      </c>
    </row>
    <row r="401" ht="15.75" customHeight="1">
      <c r="A401" s="9" t="s">
        <v>47988</v>
      </c>
      <c r="B401" s="9" t="s">
        <v>10679</v>
      </c>
      <c r="C401" s="9" t="s">
        <v>47511</v>
      </c>
      <c r="D401" s="9">
        <v>115.0</v>
      </c>
      <c r="E401" s="9" t="s">
        <v>12245</v>
      </c>
      <c r="G401" s="9" t="s">
        <v>47521</v>
      </c>
    </row>
    <row r="402" ht="15.75" customHeight="1">
      <c r="A402" s="9" t="s">
        <v>47989</v>
      </c>
      <c r="B402" s="9" t="s">
        <v>10522</v>
      </c>
      <c r="C402" s="9" t="s">
        <v>47615</v>
      </c>
      <c r="D402" s="9">
        <v>100.0</v>
      </c>
      <c r="E402" s="9" t="s">
        <v>12226</v>
      </c>
      <c r="G402" s="9" t="s">
        <v>47521</v>
      </c>
    </row>
    <row r="403" ht="15.75" customHeight="1">
      <c r="A403" s="9" t="s">
        <v>47990</v>
      </c>
      <c r="B403" s="9" t="s">
        <v>10522</v>
      </c>
      <c r="C403" s="9" t="s">
        <v>47615</v>
      </c>
      <c r="D403" s="9">
        <v>260.0</v>
      </c>
      <c r="E403" s="9" t="s">
        <v>12245</v>
      </c>
      <c r="G403" s="9" t="s">
        <v>47521</v>
      </c>
    </row>
    <row r="404" ht="15.75" customHeight="1">
      <c r="A404" s="9" t="s">
        <v>47991</v>
      </c>
      <c r="B404" s="9" t="s">
        <v>11929</v>
      </c>
      <c r="C404" s="9" t="s">
        <v>47736</v>
      </c>
      <c r="D404" s="9">
        <v>600.0</v>
      </c>
      <c r="E404" s="9" t="s">
        <v>12241</v>
      </c>
      <c r="G404" s="9" t="s">
        <v>47521</v>
      </c>
    </row>
    <row r="405" ht="15.75" customHeight="1">
      <c r="A405" s="9" t="s">
        <v>47992</v>
      </c>
      <c r="B405" s="9" t="s">
        <v>10552</v>
      </c>
      <c r="D405" s="9">
        <v>60.0</v>
      </c>
      <c r="E405" s="9" t="s">
        <v>47993</v>
      </c>
      <c r="G405" s="9" t="s">
        <v>47521</v>
      </c>
    </row>
    <row r="406" ht="15.75" customHeight="1">
      <c r="A406" s="9" t="s">
        <v>47994</v>
      </c>
      <c r="B406" s="9" t="s">
        <v>10552</v>
      </c>
      <c r="D406" s="9">
        <v>40.0</v>
      </c>
      <c r="E406" s="9" t="s">
        <v>47995</v>
      </c>
      <c r="G406" s="9" t="s">
        <v>47521</v>
      </c>
    </row>
    <row r="407" ht="15.75" customHeight="1">
      <c r="A407" s="9" t="s">
        <v>47996</v>
      </c>
      <c r="B407" s="9" t="s">
        <v>9361</v>
      </c>
      <c r="D407" s="9">
        <v>550.0</v>
      </c>
      <c r="E407" s="9" t="s">
        <v>12241</v>
      </c>
      <c r="G407" s="9" t="s">
        <v>47521</v>
      </c>
    </row>
    <row r="408" ht="15.75" customHeight="1">
      <c r="A408" s="9" t="s">
        <v>47997</v>
      </c>
      <c r="B408" s="9" t="s">
        <v>7925</v>
      </c>
      <c r="D408" s="9">
        <v>190.0</v>
      </c>
      <c r="E408" s="9" t="s">
        <v>47998</v>
      </c>
      <c r="G408" s="9" t="s">
        <v>47521</v>
      </c>
    </row>
    <row r="409" ht="15.75" customHeight="1">
      <c r="A409" s="9" t="s">
        <v>47999</v>
      </c>
      <c r="B409" s="9" t="s">
        <v>7925</v>
      </c>
      <c r="C409" s="9" t="s">
        <v>47511</v>
      </c>
      <c r="D409" s="9">
        <v>350.0</v>
      </c>
      <c r="E409" s="9" t="s">
        <v>12243</v>
      </c>
      <c r="G409" s="9" t="s">
        <v>47521</v>
      </c>
    </row>
    <row r="410" ht="15.75" customHeight="1">
      <c r="A410" s="9" t="s">
        <v>48000</v>
      </c>
      <c r="B410" s="9" t="s">
        <v>7925</v>
      </c>
      <c r="C410" s="9" t="s">
        <v>48001</v>
      </c>
      <c r="D410" s="9">
        <v>110.0</v>
      </c>
      <c r="E410" s="9" t="s">
        <v>12245</v>
      </c>
      <c r="G410" s="9" t="s">
        <v>47521</v>
      </c>
    </row>
    <row r="411" ht="15.75" customHeight="1">
      <c r="A411" s="9" t="s">
        <v>48002</v>
      </c>
      <c r="B411" s="9" t="s">
        <v>8833</v>
      </c>
      <c r="C411" s="9" t="s">
        <v>47736</v>
      </c>
      <c r="D411" s="9">
        <v>550.0</v>
      </c>
      <c r="E411" s="9" t="s">
        <v>12241</v>
      </c>
      <c r="G411" s="9" t="s">
        <v>47521</v>
      </c>
    </row>
    <row r="412" ht="15.75" customHeight="1">
      <c r="A412" s="9" t="s">
        <v>48003</v>
      </c>
      <c r="B412" s="9" t="s">
        <v>8833</v>
      </c>
      <c r="D412" s="9">
        <v>350.0</v>
      </c>
      <c r="E412" s="9" t="s">
        <v>12243</v>
      </c>
      <c r="G412" s="9" t="s">
        <v>47521</v>
      </c>
    </row>
    <row r="413" ht="15.75" customHeight="1">
      <c r="A413" s="9" t="s">
        <v>48004</v>
      </c>
      <c r="B413" s="9" t="s">
        <v>10535</v>
      </c>
      <c r="D413" s="9">
        <v>250.0</v>
      </c>
      <c r="E413" s="9" t="s">
        <v>12245</v>
      </c>
      <c r="G413" s="9" t="s">
        <v>47521</v>
      </c>
    </row>
    <row r="414" ht="15.75" customHeight="1">
      <c r="A414" s="9" t="s">
        <v>48005</v>
      </c>
      <c r="B414" s="9" t="s">
        <v>11949</v>
      </c>
      <c r="D414" s="9">
        <v>250.0</v>
      </c>
      <c r="E414" s="9" t="s">
        <v>12245</v>
      </c>
      <c r="G414" s="9" t="s">
        <v>47521</v>
      </c>
    </row>
    <row r="415" ht="15.75" customHeight="1">
      <c r="A415" s="9" t="s">
        <v>48006</v>
      </c>
      <c r="B415" s="9" t="s">
        <v>10488</v>
      </c>
      <c r="C415" s="9" t="s">
        <v>47511</v>
      </c>
      <c r="D415" s="9">
        <v>50.0</v>
      </c>
      <c r="E415" s="9" t="s">
        <v>12245</v>
      </c>
      <c r="G415" s="9" t="s">
        <v>47521</v>
      </c>
    </row>
    <row r="416" ht="15.75" customHeight="1">
      <c r="A416" s="9" t="s">
        <v>48007</v>
      </c>
      <c r="B416" s="9" t="s">
        <v>1034</v>
      </c>
      <c r="D416" s="9">
        <v>25.0</v>
      </c>
      <c r="E416" s="9" t="s">
        <v>47516</v>
      </c>
    </row>
    <row r="417" ht="15.75" customHeight="1">
      <c r="A417" s="9" t="s">
        <v>48008</v>
      </c>
      <c r="B417" s="9" t="s">
        <v>10518</v>
      </c>
      <c r="C417" s="9" t="s">
        <v>47511</v>
      </c>
      <c r="D417" s="9">
        <v>100.0</v>
      </c>
      <c r="E417" s="9" t="s">
        <v>47567</v>
      </c>
      <c r="G417" s="9" t="s">
        <v>47521</v>
      </c>
    </row>
    <row r="418" ht="15.75" customHeight="1">
      <c r="A418" s="9" t="s">
        <v>48009</v>
      </c>
      <c r="B418" s="9" t="s">
        <v>10467</v>
      </c>
      <c r="C418" s="9" t="s">
        <v>47573</v>
      </c>
      <c r="D418" s="9">
        <v>135.0</v>
      </c>
      <c r="E418" s="9" t="s">
        <v>12226</v>
      </c>
    </row>
    <row r="419" ht="15.75" customHeight="1">
      <c r="A419" s="9" t="s">
        <v>48010</v>
      </c>
      <c r="B419" s="9" t="s">
        <v>10400</v>
      </c>
      <c r="C419" s="9" t="s">
        <v>47573</v>
      </c>
      <c r="D419" s="9">
        <v>135.0</v>
      </c>
      <c r="E419" s="9" t="s">
        <v>12226</v>
      </c>
    </row>
    <row r="420" ht="15.75" customHeight="1">
      <c r="A420" s="9" t="s">
        <v>48011</v>
      </c>
      <c r="B420" s="9" t="s">
        <v>12093</v>
      </c>
      <c r="C420" s="9" t="s">
        <v>47634</v>
      </c>
      <c r="D420" s="9">
        <v>200.0</v>
      </c>
      <c r="E420" s="9" t="s">
        <v>12245</v>
      </c>
    </row>
    <row r="421" ht="15.75" customHeight="1">
      <c r="A421" s="9" t="s">
        <v>48012</v>
      </c>
      <c r="B421" s="9" t="s">
        <v>9048</v>
      </c>
      <c r="D421" s="9">
        <v>70.0</v>
      </c>
      <c r="E421" s="9" t="s">
        <v>47516</v>
      </c>
    </row>
    <row r="422" ht="15.75" customHeight="1">
      <c r="A422" s="9" t="s">
        <v>48013</v>
      </c>
      <c r="B422" s="9" t="s">
        <v>270</v>
      </c>
      <c r="D422" s="9">
        <v>5.0</v>
      </c>
      <c r="E422" s="9" t="s">
        <v>12231</v>
      </c>
      <c r="G422" s="9" t="s">
        <v>47521</v>
      </c>
    </row>
    <row r="423" ht="15.75" customHeight="1">
      <c r="A423" s="9" t="s">
        <v>48014</v>
      </c>
      <c r="B423" s="9" t="s">
        <v>11834</v>
      </c>
      <c r="D423" s="9">
        <v>900.0</v>
      </c>
      <c r="E423" s="9" t="s">
        <v>12243</v>
      </c>
    </row>
    <row r="424" ht="15.75" customHeight="1">
      <c r="A424" s="9"/>
      <c r="B424" s="9"/>
    </row>
    <row r="425" ht="15.75" customHeight="1">
      <c r="A425" s="9" t="s">
        <v>48015</v>
      </c>
      <c r="B425" s="9" t="s">
        <v>10500</v>
      </c>
      <c r="D425" s="9">
        <v>6.0</v>
      </c>
      <c r="E425" s="9" t="s">
        <v>12231</v>
      </c>
      <c r="G425" s="9" t="s">
        <v>47521</v>
      </c>
    </row>
    <row r="426" ht="15.75" customHeight="1">
      <c r="A426" s="9" t="s">
        <v>48016</v>
      </c>
      <c r="B426" s="9" t="s">
        <v>10447</v>
      </c>
      <c r="C426" s="9" t="s">
        <v>47511</v>
      </c>
      <c r="D426" s="9">
        <v>200.0</v>
      </c>
      <c r="E426" s="9" t="s">
        <v>12245</v>
      </c>
      <c r="G426" s="9" t="s">
        <v>47521</v>
      </c>
    </row>
    <row r="427" ht="15.75" customHeight="1">
      <c r="A427" s="9" t="s">
        <v>48017</v>
      </c>
      <c r="B427" s="9" t="s">
        <v>1561</v>
      </c>
      <c r="C427" s="9" t="s">
        <v>47636</v>
      </c>
      <c r="D427" s="9">
        <v>980.0</v>
      </c>
      <c r="E427" s="9" t="s">
        <v>12241</v>
      </c>
    </row>
    <row r="428" ht="15.75" customHeight="1">
      <c r="A428" s="9" t="s">
        <v>48018</v>
      </c>
      <c r="B428" s="9" t="s">
        <v>11744</v>
      </c>
      <c r="D428" s="9">
        <v>567.0</v>
      </c>
      <c r="E428" s="9" t="s">
        <v>48019</v>
      </c>
      <c r="G428" s="9" t="s">
        <v>47521</v>
      </c>
    </row>
    <row r="429" ht="15.75" customHeight="1">
      <c r="A429" s="9" t="s">
        <v>48020</v>
      </c>
      <c r="B429" s="9" t="s">
        <v>11744</v>
      </c>
      <c r="D429" s="9">
        <v>90.0</v>
      </c>
      <c r="E429" s="9" t="s">
        <v>47516</v>
      </c>
      <c r="G429" s="9" t="s">
        <v>47521</v>
      </c>
    </row>
    <row r="430" ht="15.75" customHeight="1">
      <c r="A430" s="9" t="s">
        <v>48021</v>
      </c>
      <c r="B430" s="9" t="s">
        <v>9012</v>
      </c>
      <c r="D430" s="9">
        <v>68.0</v>
      </c>
      <c r="E430" s="9" t="s">
        <v>47567</v>
      </c>
      <c r="G430" s="9" t="s">
        <v>47521</v>
      </c>
    </row>
    <row r="431" ht="15.75" customHeight="1">
      <c r="A431" s="9" t="s">
        <v>48022</v>
      </c>
      <c r="B431" s="9" t="s">
        <v>252</v>
      </c>
      <c r="C431" s="9" t="s">
        <v>47710</v>
      </c>
      <c r="D431" s="9">
        <v>15.0</v>
      </c>
      <c r="E431" s="9" t="s">
        <v>12237</v>
      </c>
      <c r="G431" s="9" t="s">
        <v>47521</v>
      </c>
    </row>
    <row r="432" ht="15.75" customHeight="1">
      <c r="A432" s="9" t="s">
        <v>48023</v>
      </c>
      <c r="B432" s="9" t="s">
        <v>252</v>
      </c>
      <c r="D432" s="9">
        <v>30.0</v>
      </c>
      <c r="E432" s="9" t="s">
        <v>12234</v>
      </c>
      <c r="G432" s="9" t="s">
        <v>47521</v>
      </c>
    </row>
    <row r="433" ht="15.75" customHeight="1">
      <c r="A433" s="9" t="s">
        <v>48024</v>
      </c>
      <c r="B433" s="9" t="s">
        <v>11413</v>
      </c>
      <c r="C433" s="9" t="s">
        <v>47511</v>
      </c>
      <c r="D433" s="9">
        <v>25.0</v>
      </c>
      <c r="E433" s="9" t="s">
        <v>47516</v>
      </c>
      <c r="G433" s="9" t="s">
        <v>47521</v>
      </c>
    </row>
    <row r="434" ht="15.75" customHeight="1">
      <c r="A434" s="9" t="s">
        <v>48025</v>
      </c>
      <c r="B434" s="9" t="s">
        <v>10482</v>
      </c>
      <c r="D434" s="9">
        <v>39.0</v>
      </c>
      <c r="E434" s="9" t="s">
        <v>48026</v>
      </c>
      <c r="G434" s="9" t="s">
        <v>47521</v>
      </c>
    </row>
    <row r="435" ht="15.75" customHeight="1">
      <c r="A435" s="9" t="s">
        <v>48027</v>
      </c>
      <c r="B435" s="9" t="s">
        <v>10482</v>
      </c>
      <c r="D435" s="9">
        <v>37.0</v>
      </c>
      <c r="E435" s="9" t="s">
        <v>48028</v>
      </c>
      <c r="G435" s="9" t="s">
        <v>47521</v>
      </c>
    </row>
    <row r="436" ht="15.75" customHeight="1">
      <c r="A436" s="9" t="s">
        <v>48029</v>
      </c>
      <c r="B436" s="9" t="s">
        <v>10480</v>
      </c>
      <c r="D436" s="9">
        <v>41.0</v>
      </c>
      <c r="E436" s="9" t="s">
        <v>48028</v>
      </c>
      <c r="G436" s="9" t="s">
        <v>47521</v>
      </c>
    </row>
    <row r="437" ht="15.75" customHeight="1">
      <c r="A437" s="9" t="s">
        <v>48030</v>
      </c>
      <c r="B437" s="9" t="s">
        <v>10480</v>
      </c>
      <c r="D437" s="9">
        <v>43.0</v>
      </c>
      <c r="E437" s="9" t="s">
        <v>48026</v>
      </c>
      <c r="G437" s="9" t="s">
        <v>47521</v>
      </c>
    </row>
    <row r="438" ht="15.75" customHeight="1">
      <c r="A438" s="9" t="s">
        <v>48031</v>
      </c>
      <c r="B438" s="9" t="s">
        <v>12176</v>
      </c>
      <c r="D438" s="9">
        <v>43.0</v>
      </c>
      <c r="E438" s="9" t="s">
        <v>48028</v>
      </c>
      <c r="G438" s="9" t="s">
        <v>47521</v>
      </c>
    </row>
    <row r="439" ht="15.75" customHeight="1">
      <c r="A439" s="9" t="s">
        <v>48032</v>
      </c>
      <c r="B439" s="9" t="s">
        <v>12176</v>
      </c>
      <c r="D439" s="9">
        <v>45.0</v>
      </c>
      <c r="E439" s="9" t="s">
        <v>48026</v>
      </c>
      <c r="G439" s="9" t="s">
        <v>47521</v>
      </c>
    </row>
    <row r="440" ht="15.75" customHeight="1">
      <c r="A440" s="9" t="s">
        <v>48033</v>
      </c>
      <c r="B440" s="9" t="s">
        <v>10709</v>
      </c>
      <c r="D440" s="9">
        <v>6.5</v>
      </c>
      <c r="E440" s="9" t="s">
        <v>12225</v>
      </c>
      <c r="G440" s="9" t="s">
        <v>47521</v>
      </c>
    </row>
    <row r="441" ht="15.75" customHeight="1">
      <c r="A441" s="9" t="s">
        <v>48034</v>
      </c>
      <c r="B441" s="9" t="s">
        <v>10709</v>
      </c>
      <c r="C441" s="9" t="s">
        <v>48035</v>
      </c>
      <c r="D441" s="9">
        <v>4.0</v>
      </c>
      <c r="E441" s="9" t="s">
        <v>12225</v>
      </c>
      <c r="G441" s="9" t="s">
        <v>47521</v>
      </c>
    </row>
    <row r="442" ht="15.75" customHeight="1">
      <c r="A442" s="9" t="s">
        <v>48036</v>
      </c>
      <c r="B442" s="9" t="s">
        <v>10709</v>
      </c>
      <c r="D442" s="9">
        <v>6.5</v>
      </c>
      <c r="E442" s="9" t="s">
        <v>48037</v>
      </c>
      <c r="G442" s="9" t="s">
        <v>47521</v>
      </c>
    </row>
    <row r="443" ht="15.75" customHeight="1">
      <c r="A443" s="9" t="s">
        <v>48038</v>
      </c>
      <c r="B443" s="9" t="s">
        <v>8502</v>
      </c>
      <c r="C443" s="9" t="s">
        <v>48039</v>
      </c>
      <c r="D443" s="9">
        <v>10.0</v>
      </c>
      <c r="G443" s="9" t="s">
        <v>47521</v>
      </c>
    </row>
    <row r="444" ht="15.75" customHeight="1">
      <c r="A444" s="9" t="s">
        <v>48040</v>
      </c>
      <c r="B444" s="9" t="s">
        <v>8502</v>
      </c>
      <c r="C444" s="9" t="s">
        <v>1806</v>
      </c>
      <c r="D444" s="9">
        <v>5.0</v>
      </c>
      <c r="G444" s="9" t="s">
        <v>47521</v>
      </c>
    </row>
    <row r="445" ht="15.75" customHeight="1">
      <c r="A445" s="9" t="s">
        <v>48041</v>
      </c>
      <c r="B445" s="9" t="s">
        <v>12128</v>
      </c>
      <c r="D445" s="9">
        <v>15.0</v>
      </c>
      <c r="E445" s="9" t="s">
        <v>12225</v>
      </c>
      <c r="G445" s="9" t="s">
        <v>47521</v>
      </c>
    </row>
    <row r="446" ht="15.75" customHeight="1">
      <c r="A446" s="9" t="s">
        <v>48042</v>
      </c>
      <c r="B446" s="9" t="s">
        <v>11358</v>
      </c>
      <c r="C446" s="9" t="s">
        <v>47736</v>
      </c>
      <c r="D446" s="9">
        <v>400.0</v>
      </c>
      <c r="E446" s="9" t="s">
        <v>47763</v>
      </c>
      <c r="G446" s="9" t="s">
        <v>47521</v>
      </c>
    </row>
    <row r="447" ht="15.75" customHeight="1">
      <c r="A447" s="9" t="s">
        <v>48043</v>
      </c>
      <c r="B447" s="9" t="s">
        <v>11358</v>
      </c>
      <c r="C447" s="9" t="s">
        <v>47511</v>
      </c>
      <c r="D447" s="9">
        <v>60.0</v>
      </c>
      <c r="E447" s="9" t="s">
        <v>47561</v>
      </c>
      <c r="G447" s="9" t="s">
        <v>47521</v>
      </c>
    </row>
    <row r="448" ht="15.75" customHeight="1">
      <c r="A448" s="9" t="s">
        <v>48044</v>
      </c>
      <c r="B448" s="9" t="s">
        <v>11358</v>
      </c>
      <c r="D448" s="9">
        <v>70.0</v>
      </c>
      <c r="E448" s="9" t="s">
        <v>47561</v>
      </c>
      <c r="G448" s="9" t="s">
        <v>47521</v>
      </c>
    </row>
    <row r="449" ht="15.75" customHeight="1">
      <c r="A449" s="9" t="s">
        <v>48045</v>
      </c>
      <c r="B449" s="9" t="s">
        <v>12004</v>
      </c>
      <c r="D449" s="9">
        <v>296.0</v>
      </c>
      <c r="E449" s="9" t="s">
        <v>12245</v>
      </c>
    </row>
    <row r="450" ht="15.75" customHeight="1">
      <c r="A450" s="9" t="s">
        <v>48046</v>
      </c>
      <c r="B450" s="9" t="s">
        <v>8578</v>
      </c>
      <c r="D450" s="9">
        <v>350.0</v>
      </c>
      <c r="E450" s="9" t="s">
        <v>12241</v>
      </c>
      <c r="G450" s="9" t="s">
        <v>47521</v>
      </c>
    </row>
    <row r="451" ht="15.75" customHeight="1">
      <c r="A451" s="9" t="s">
        <v>48047</v>
      </c>
      <c r="B451" s="9" t="s">
        <v>8578</v>
      </c>
      <c r="D451" s="9">
        <v>150.0</v>
      </c>
      <c r="E451" s="9" t="s">
        <v>12243</v>
      </c>
      <c r="G451" s="9" t="s">
        <v>47521</v>
      </c>
    </row>
    <row r="452" ht="15.75" customHeight="1">
      <c r="A452" s="9" t="s">
        <v>48048</v>
      </c>
      <c r="B452" s="9" t="s">
        <v>8578</v>
      </c>
      <c r="D452" s="9">
        <v>60.0</v>
      </c>
      <c r="E452" s="9" t="s">
        <v>12245</v>
      </c>
      <c r="G452" s="9" t="s">
        <v>47521</v>
      </c>
    </row>
    <row r="453" ht="15.75" customHeight="1">
      <c r="A453" s="9" t="s">
        <v>48049</v>
      </c>
      <c r="B453" s="9" t="s">
        <v>9411</v>
      </c>
      <c r="D453" s="9">
        <v>150.0</v>
      </c>
      <c r="E453" s="9" t="s">
        <v>12245</v>
      </c>
      <c r="G453" s="9" t="s">
        <v>47521</v>
      </c>
    </row>
    <row r="454" ht="15.75" customHeight="1">
      <c r="A454" s="9" t="s">
        <v>48050</v>
      </c>
      <c r="B454" s="9" t="s">
        <v>12065</v>
      </c>
      <c r="D454" s="9">
        <v>120.0</v>
      </c>
      <c r="E454" s="9" t="s">
        <v>12245</v>
      </c>
      <c r="G454" s="9" t="s">
        <v>47521</v>
      </c>
    </row>
    <row r="455" ht="15.75" customHeight="1">
      <c r="A455" s="9" t="s">
        <v>48051</v>
      </c>
      <c r="B455" s="9" t="s">
        <v>11963</v>
      </c>
      <c r="D455" s="9">
        <v>25.0</v>
      </c>
      <c r="E455" s="9" t="s">
        <v>12231</v>
      </c>
      <c r="G455" s="9" t="s">
        <v>47521</v>
      </c>
    </row>
    <row r="456" ht="15.75" customHeight="1">
      <c r="A456" s="9" t="s">
        <v>48052</v>
      </c>
      <c r="B456" s="9" t="s">
        <v>11845</v>
      </c>
      <c r="D456" s="9">
        <v>10.0</v>
      </c>
      <c r="E456" s="9" t="s">
        <v>12231</v>
      </c>
      <c r="G456" s="9" t="s">
        <v>47521</v>
      </c>
    </row>
    <row r="457" ht="15.75" customHeight="1">
      <c r="A457" s="9"/>
      <c r="B457" s="9"/>
      <c r="D457" s="9"/>
      <c r="E457" s="9"/>
      <c r="G457" s="9"/>
    </row>
    <row r="458" ht="15.75" customHeight="1">
      <c r="A458" s="9" t="s">
        <v>48053</v>
      </c>
      <c r="B458" s="9" t="s">
        <v>10128</v>
      </c>
      <c r="D458" s="9">
        <v>200.0</v>
      </c>
      <c r="E458" s="9" t="s">
        <v>12245</v>
      </c>
      <c r="G458" s="9" t="s">
        <v>47521</v>
      </c>
    </row>
    <row r="459" ht="15.75" customHeight="1">
      <c r="A459" s="9" t="s">
        <v>48054</v>
      </c>
      <c r="B459" s="9" t="s">
        <v>9796</v>
      </c>
      <c r="D459" s="9">
        <v>7.5</v>
      </c>
      <c r="E459" s="9" t="s">
        <v>12225</v>
      </c>
      <c r="G459" s="9" t="s">
        <v>47521</v>
      </c>
    </row>
    <row r="460" ht="15.75" customHeight="1">
      <c r="A460" s="52" t="s">
        <v>48055</v>
      </c>
      <c r="B460" s="9" t="s">
        <v>12132</v>
      </c>
      <c r="C460" s="9" t="s">
        <v>47581</v>
      </c>
      <c r="D460" s="9">
        <v>38.0</v>
      </c>
      <c r="G460" s="9" t="s">
        <v>47521</v>
      </c>
    </row>
    <row r="461" ht="15.75" customHeight="1">
      <c r="A461" s="9" t="s">
        <v>48056</v>
      </c>
      <c r="B461" s="9" t="s">
        <v>12132</v>
      </c>
      <c r="C461" s="9" t="s">
        <v>47719</v>
      </c>
      <c r="D461" s="9">
        <v>127.0</v>
      </c>
      <c r="E461" s="9" t="s">
        <v>12232</v>
      </c>
      <c r="G461" s="9" t="s">
        <v>47521</v>
      </c>
    </row>
    <row r="462" ht="15.75" customHeight="1">
      <c r="A462" s="9" t="s">
        <v>48057</v>
      </c>
      <c r="B462" s="9" t="s">
        <v>11640</v>
      </c>
      <c r="D462" s="9">
        <v>127.0</v>
      </c>
      <c r="E462" s="9" t="s">
        <v>47567</v>
      </c>
      <c r="G462" s="9" t="s">
        <v>47521</v>
      </c>
    </row>
    <row r="463" ht="15.75" customHeight="1">
      <c r="A463" s="9" t="s">
        <v>48058</v>
      </c>
      <c r="B463" s="9" t="s">
        <v>11800</v>
      </c>
      <c r="C463" s="9" t="s">
        <v>47511</v>
      </c>
      <c r="D463" s="9">
        <v>135.0</v>
      </c>
      <c r="E463" s="9" t="s">
        <v>12245</v>
      </c>
      <c r="G463" s="9" t="s">
        <v>47521</v>
      </c>
    </row>
    <row r="464" ht="15.75" customHeight="1">
      <c r="A464" s="9" t="s">
        <v>48059</v>
      </c>
      <c r="B464" s="9" t="s">
        <v>11800</v>
      </c>
      <c r="C464" s="9" t="s">
        <v>47594</v>
      </c>
      <c r="D464" s="9">
        <v>680.0</v>
      </c>
      <c r="E464" s="9" t="s">
        <v>12241</v>
      </c>
      <c r="G464" s="9" t="s">
        <v>47521</v>
      </c>
    </row>
    <row r="465" ht="15.75" customHeight="1">
      <c r="A465" s="9" t="s">
        <v>48060</v>
      </c>
      <c r="B465" s="9" t="s">
        <v>10308</v>
      </c>
      <c r="C465" s="9" t="s">
        <v>47728</v>
      </c>
      <c r="D465" s="9">
        <v>85.0</v>
      </c>
      <c r="E465" s="9" t="s">
        <v>12245</v>
      </c>
      <c r="G465" s="9" t="s">
        <v>47521</v>
      </c>
    </row>
    <row r="466" ht="15.75" customHeight="1">
      <c r="A466" s="9" t="s">
        <v>48061</v>
      </c>
      <c r="B466" s="9" t="s">
        <v>10440</v>
      </c>
      <c r="D466" s="9">
        <v>500.0</v>
      </c>
      <c r="E466" s="9" t="s">
        <v>12243</v>
      </c>
      <c r="G466" s="9" t="s">
        <v>47521</v>
      </c>
    </row>
    <row r="467" ht="15.75" customHeight="1">
      <c r="A467" s="9" t="s">
        <v>48062</v>
      </c>
      <c r="B467" s="9" t="s">
        <v>10440</v>
      </c>
      <c r="C467" s="9" t="s">
        <v>47511</v>
      </c>
      <c r="D467" s="9">
        <v>110.0</v>
      </c>
      <c r="E467" s="9" t="s">
        <v>47959</v>
      </c>
      <c r="G467" s="9" t="s">
        <v>47521</v>
      </c>
    </row>
    <row r="468" ht="15.75" customHeight="1">
      <c r="A468" s="9" t="s">
        <v>48063</v>
      </c>
      <c r="B468" s="9" t="s">
        <v>10440</v>
      </c>
      <c r="D468" s="9">
        <v>1000.0</v>
      </c>
      <c r="E468" s="9" t="s">
        <v>12241</v>
      </c>
      <c r="G468" s="9" t="s">
        <v>47521</v>
      </c>
    </row>
    <row r="469" ht="15.75" customHeight="1">
      <c r="A469" s="9" t="s">
        <v>48064</v>
      </c>
      <c r="B469" s="9" t="s">
        <v>10423</v>
      </c>
      <c r="C469" s="9" t="s">
        <v>47573</v>
      </c>
      <c r="D469" s="9">
        <v>50.0</v>
      </c>
      <c r="E469" s="9" t="s">
        <v>12234</v>
      </c>
    </row>
    <row r="470" ht="15.75" customHeight="1">
      <c r="A470" s="9" t="s">
        <v>48065</v>
      </c>
      <c r="B470" s="9" t="s">
        <v>11899</v>
      </c>
      <c r="C470" s="9" t="s">
        <v>47573</v>
      </c>
      <c r="D470" s="9">
        <v>50.0</v>
      </c>
      <c r="E470" s="9" t="s">
        <v>47516</v>
      </c>
    </row>
    <row r="471" ht="15.75" customHeight="1">
      <c r="A471" s="9" t="s">
        <v>48066</v>
      </c>
      <c r="B471" s="9" t="s">
        <v>10449</v>
      </c>
      <c r="D471" s="9">
        <v>500.0</v>
      </c>
      <c r="E471" s="9" t="s">
        <v>12243</v>
      </c>
      <c r="G471" s="9" t="s">
        <v>47521</v>
      </c>
    </row>
    <row r="472" ht="15.75" customHeight="1">
      <c r="A472" s="9" t="s">
        <v>48067</v>
      </c>
      <c r="B472" s="9" t="s">
        <v>10449</v>
      </c>
      <c r="D472" s="9">
        <v>1000.0</v>
      </c>
      <c r="E472" s="9" t="s">
        <v>12241</v>
      </c>
      <c r="G472" s="9" t="s">
        <v>47521</v>
      </c>
    </row>
    <row r="473" ht="15.75" customHeight="1">
      <c r="A473" s="9" t="s">
        <v>48068</v>
      </c>
      <c r="B473" s="9" t="s">
        <v>10449</v>
      </c>
      <c r="C473" s="9" t="s">
        <v>48001</v>
      </c>
      <c r="D473" s="9">
        <v>200.0</v>
      </c>
      <c r="E473" s="9" t="s">
        <v>12245</v>
      </c>
      <c r="G473" s="9" t="s">
        <v>47521</v>
      </c>
    </row>
    <row r="474" ht="15.75" customHeight="1">
      <c r="A474" s="9" t="s">
        <v>48069</v>
      </c>
      <c r="B474" s="9" t="s">
        <v>10449</v>
      </c>
      <c r="C474" s="9" t="s">
        <v>48070</v>
      </c>
      <c r="D474" s="9">
        <v>250.0</v>
      </c>
      <c r="E474" s="9" t="s">
        <v>12245</v>
      </c>
      <c r="G474" s="9" t="s">
        <v>47521</v>
      </c>
    </row>
    <row r="475" ht="15.75" customHeight="1">
      <c r="A475" s="9" t="s">
        <v>48071</v>
      </c>
      <c r="B475" s="9" t="s">
        <v>11931</v>
      </c>
      <c r="D475" s="9">
        <v>80.0</v>
      </c>
      <c r="E475" s="9" t="s">
        <v>12245</v>
      </c>
      <c r="G475" s="9" t="s">
        <v>47521</v>
      </c>
    </row>
    <row r="476" ht="15.75" customHeight="1">
      <c r="A476" s="9" t="s">
        <v>48072</v>
      </c>
      <c r="B476" s="9" t="s">
        <v>11610</v>
      </c>
      <c r="D476" s="9">
        <v>40.0</v>
      </c>
      <c r="E476" s="9" t="s">
        <v>12245</v>
      </c>
      <c r="G476" s="9" t="s">
        <v>47521</v>
      </c>
    </row>
    <row r="477" ht="15.75" customHeight="1">
      <c r="A477" s="9" t="s">
        <v>48073</v>
      </c>
      <c r="B477" s="9" t="s">
        <v>11938</v>
      </c>
      <c r="D477" s="9">
        <v>29.0</v>
      </c>
      <c r="E477" s="9" t="s">
        <v>12228</v>
      </c>
      <c r="G477" s="9" t="s">
        <v>47521</v>
      </c>
    </row>
    <row r="478" ht="15.75" customHeight="1">
      <c r="A478" s="9" t="s">
        <v>48074</v>
      </c>
      <c r="B478" s="9" t="s">
        <v>10699</v>
      </c>
      <c r="C478" s="9" t="s">
        <v>47842</v>
      </c>
      <c r="D478" s="9">
        <v>130.0</v>
      </c>
      <c r="E478" s="9" t="s">
        <v>12245</v>
      </c>
      <c r="G478" s="9" t="s">
        <v>47521</v>
      </c>
    </row>
    <row r="479" ht="15.75" customHeight="1">
      <c r="A479" s="9" t="s">
        <v>48075</v>
      </c>
      <c r="B479" s="9" t="s">
        <v>10699</v>
      </c>
      <c r="C479" s="9" t="s">
        <v>47842</v>
      </c>
      <c r="D479" s="9">
        <v>150.0</v>
      </c>
      <c r="E479" s="9" t="s">
        <v>12245</v>
      </c>
      <c r="G479" s="9" t="s">
        <v>47521</v>
      </c>
    </row>
    <row r="480" ht="15.75" customHeight="1">
      <c r="A480" s="9" t="s">
        <v>48076</v>
      </c>
      <c r="B480" s="9" t="s">
        <v>12059</v>
      </c>
      <c r="C480" s="9" t="s">
        <v>47511</v>
      </c>
      <c r="D480" s="9">
        <v>400.0</v>
      </c>
      <c r="E480" s="9" t="s">
        <v>12245</v>
      </c>
      <c r="G480" s="9" t="s">
        <v>47521</v>
      </c>
    </row>
    <row r="481" ht="15.75" customHeight="1">
      <c r="A481" s="9" t="s">
        <v>48077</v>
      </c>
      <c r="B481" s="9" t="s">
        <v>7026</v>
      </c>
      <c r="C481" s="9" t="s">
        <v>47511</v>
      </c>
      <c r="D481" s="9">
        <v>89.0</v>
      </c>
      <c r="E481" s="9" t="s">
        <v>47561</v>
      </c>
      <c r="G481" s="9" t="s">
        <v>47521</v>
      </c>
    </row>
    <row r="482" ht="15.75" customHeight="1">
      <c r="A482" s="9" t="s">
        <v>48078</v>
      </c>
      <c r="B482" s="9" t="s">
        <v>7041</v>
      </c>
      <c r="C482" s="9" t="s">
        <v>47511</v>
      </c>
      <c r="D482" s="9">
        <v>99.0</v>
      </c>
      <c r="E482" s="9" t="s">
        <v>47567</v>
      </c>
      <c r="G482" s="9" t="s">
        <v>47521</v>
      </c>
    </row>
    <row r="483" ht="15.75" customHeight="1">
      <c r="A483" s="9" t="s">
        <v>48079</v>
      </c>
      <c r="B483" s="9" t="s">
        <v>10394</v>
      </c>
      <c r="D483" s="9">
        <v>350.0</v>
      </c>
      <c r="E483" s="9" t="s">
        <v>12243</v>
      </c>
      <c r="G483" s="9" t="s">
        <v>47521</v>
      </c>
    </row>
    <row r="484" ht="15.75" customHeight="1">
      <c r="A484" s="9" t="s">
        <v>48080</v>
      </c>
      <c r="B484" s="9" t="s">
        <v>10509</v>
      </c>
      <c r="D484" s="9">
        <v>10.0</v>
      </c>
      <c r="G484" s="9" t="s">
        <v>47521</v>
      </c>
    </row>
    <row r="485" ht="15.75" customHeight="1">
      <c r="A485" s="9" t="s">
        <v>48081</v>
      </c>
      <c r="B485" s="9" t="s">
        <v>10398</v>
      </c>
      <c r="C485" s="9" t="s">
        <v>48082</v>
      </c>
      <c r="D485" s="9">
        <v>6.0</v>
      </c>
      <c r="E485" s="9" t="s">
        <v>12228</v>
      </c>
      <c r="G485" s="9" t="s">
        <v>47521</v>
      </c>
    </row>
    <row r="486" ht="15.75" customHeight="1">
      <c r="A486" s="9" t="s">
        <v>48083</v>
      </c>
      <c r="B486" s="52" t="s">
        <v>14304</v>
      </c>
      <c r="D486" s="9">
        <v>129.0</v>
      </c>
      <c r="E486" s="9" t="s">
        <v>12238</v>
      </c>
      <c r="G486" s="9" t="s">
        <v>47521</v>
      </c>
    </row>
    <row r="487" ht="15.75" customHeight="1">
      <c r="A487" s="9" t="s">
        <v>48084</v>
      </c>
      <c r="B487" s="9" t="s">
        <v>6330</v>
      </c>
      <c r="D487" s="9">
        <v>100.0</v>
      </c>
      <c r="E487" s="9" t="s">
        <v>12245</v>
      </c>
      <c r="G487" s="9" t="s">
        <v>47521</v>
      </c>
    </row>
    <row r="488" ht="15.75" customHeight="1">
      <c r="A488" s="9" t="s">
        <v>48085</v>
      </c>
      <c r="B488" s="9" t="s">
        <v>8236</v>
      </c>
      <c r="D488" s="9">
        <v>78.0</v>
      </c>
      <c r="E488" s="9" t="s">
        <v>12245</v>
      </c>
      <c r="G488" s="9" t="s">
        <v>47521</v>
      </c>
    </row>
    <row r="489" ht="15.75" customHeight="1">
      <c r="A489" s="9" t="s">
        <v>48086</v>
      </c>
      <c r="B489" s="9" t="s">
        <v>8408</v>
      </c>
      <c r="D489" s="9">
        <v>1250.0</v>
      </c>
      <c r="E489" s="9" t="s">
        <v>12241</v>
      </c>
      <c r="G489" s="9" t="s">
        <v>47521</v>
      </c>
    </row>
    <row r="490" ht="15.75" customHeight="1">
      <c r="A490" s="9" t="s">
        <v>48087</v>
      </c>
      <c r="B490" s="9" t="s">
        <v>8408</v>
      </c>
      <c r="D490" s="9">
        <v>900.0</v>
      </c>
      <c r="E490" s="9" t="s">
        <v>12243</v>
      </c>
      <c r="G490" s="9" t="s">
        <v>47521</v>
      </c>
    </row>
    <row r="491" ht="15.75" customHeight="1">
      <c r="A491" s="9" t="s">
        <v>48088</v>
      </c>
      <c r="B491" s="9" t="s">
        <v>8468</v>
      </c>
      <c r="D491" s="9">
        <v>55.0</v>
      </c>
      <c r="E491" s="9" t="s">
        <v>12245</v>
      </c>
      <c r="G491" s="9" t="s">
        <v>47521</v>
      </c>
    </row>
    <row r="492" ht="15.75" customHeight="1">
      <c r="A492" s="9" t="s">
        <v>48089</v>
      </c>
      <c r="B492" s="9" t="s">
        <v>8478</v>
      </c>
      <c r="D492" s="9">
        <v>400.0</v>
      </c>
      <c r="E492" s="9" t="s">
        <v>12243</v>
      </c>
      <c r="G492" s="9" t="s">
        <v>47521</v>
      </c>
    </row>
    <row r="493" ht="15.75" customHeight="1">
      <c r="A493" s="9" t="s">
        <v>48090</v>
      </c>
      <c r="B493" s="9" t="s">
        <v>8657</v>
      </c>
      <c r="C493" s="9" t="s">
        <v>47511</v>
      </c>
      <c r="D493" s="9">
        <v>100.0</v>
      </c>
      <c r="E493" s="9" t="s">
        <v>12245</v>
      </c>
      <c r="G493" s="9" t="s">
        <v>47521</v>
      </c>
    </row>
    <row r="494" ht="15.75" customHeight="1">
      <c r="A494" s="9" t="s">
        <v>48091</v>
      </c>
      <c r="B494" s="9" t="s">
        <v>8998</v>
      </c>
      <c r="D494" s="9">
        <v>70.0</v>
      </c>
      <c r="E494" s="9" t="s">
        <v>47561</v>
      </c>
      <c r="G494" s="9" t="s">
        <v>47521</v>
      </c>
    </row>
    <row r="495" ht="15.75" customHeight="1">
      <c r="A495" s="9" t="s">
        <v>48092</v>
      </c>
      <c r="B495" s="9" t="s">
        <v>8889</v>
      </c>
      <c r="D495" s="9">
        <v>50.0</v>
      </c>
      <c r="E495" s="9" t="s">
        <v>12245</v>
      </c>
      <c r="G495" s="9" t="s">
        <v>47521</v>
      </c>
    </row>
    <row r="496" ht="15.75" customHeight="1">
      <c r="A496" s="9" t="s">
        <v>48093</v>
      </c>
      <c r="B496" s="9" t="s">
        <v>12136</v>
      </c>
      <c r="C496" s="9" t="s">
        <v>47511</v>
      </c>
      <c r="D496" s="9">
        <v>300.0</v>
      </c>
      <c r="E496" s="9" t="s">
        <v>12243</v>
      </c>
      <c r="G496" s="9" t="s">
        <v>47521</v>
      </c>
    </row>
    <row r="497" ht="15.75" customHeight="1">
      <c r="A497" s="9" t="s">
        <v>48094</v>
      </c>
      <c r="B497" s="9" t="s">
        <v>10287</v>
      </c>
      <c r="D497" s="9">
        <v>95.0</v>
      </c>
      <c r="E497" s="9" t="s">
        <v>47561</v>
      </c>
      <c r="G497" s="9" t="s">
        <v>47521</v>
      </c>
    </row>
    <row r="498" ht="15.75" customHeight="1">
      <c r="A498" s="9" t="s">
        <v>48095</v>
      </c>
      <c r="B498" s="9" t="s">
        <v>10363</v>
      </c>
      <c r="D498" s="9">
        <v>110.0</v>
      </c>
      <c r="E498" s="9" t="s">
        <v>12245</v>
      </c>
      <c r="G498" s="9" t="s">
        <v>47521</v>
      </c>
    </row>
    <row r="499" ht="15.75" customHeight="1">
      <c r="A499" s="9" t="s">
        <v>48096</v>
      </c>
      <c r="B499" s="9" t="s">
        <v>248</v>
      </c>
      <c r="D499" s="9">
        <v>80.0</v>
      </c>
      <c r="E499" s="9" t="s">
        <v>12245</v>
      </c>
      <c r="G499" s="9" t="s">
        <v>47521</v>
      </c>
    </row>
    <row r="500" ht="15.75" customHeight="1">
      <c r="A500" s="9" t="s">
        <v>48097</v>
      </c>
      <c r="B500" s="9" t="s">
        <v>11600</v>
      </c>
      <c r="D500" s="9">
        <v>80.0</v>
      </c>
      <c r="E500" s="9" t="s">
        <v>12245</v>
      </c>
      <c r="G500" s="9" t="s">
        <v>47521</v>
      </c>
    </row>
    <row r="501" ht="15.75" customHeight="1">
      <c r="A501" s="9" t="s">
        <v>48098</v>
      </c>
      <c r="B501" s="9" t="s">
        <v>12180</v>
      </c>
      <c r="D501" s="9">
        <v>70.0</v>
      </c>
      <c r="E501" s="9" t="s">
        <v>12245</v>
      </c>
      <c r="G501" s="9" t="s">
        <v>47521</v>
      </c>
    </row>
    <row r="502" ht="15.75" customHeight="1">
      <c r="A502" s="9" t="s">
        <v>48099</v>
      </c>
      <c r="B502" s="9" t="s">
        <v>10396</v>
      </c>
      <c r="D502" s="9">
        <v>5.0</v>
      </c>
      <c r="E502" s="9" t="s">
        <v>12228</v>
      </c>
      <c r="G502" s="9" t="s">
        <v>47521</v>
      </c>
    </row>
    <row r="503" ht="15.75" customHeight="1">
      <c r="A503" s="9" t="s">
        <v>48100</v>
      </c>
      <c r="B503" s="9" t="s">
        <v>10312</v>
      </c>
      <c r="C503" s="9" t="s">
        <v>47736</v>
      </c>
      <c r="D503" s="9">
        <v>290.0</v>
      </c>
      <c r="E503" s="9" t="s">
        <v>12245</v>
      </c>
      <c r="G503" s="9" t="s">
        <v>47521</v>
      </c>
    </row>
    <row r="504" ht="15.75" customHeight="1">
      <c r="A504" s="9" t="s">
        <v>48101</v>
      </c>
      <c r="B504" s="9" t="s">
        <v>269</v>
      </c>
      <c r="D504" s="9">
        <v>8.0</v>
      </c>
      <c r="E504" s="9" t="s">
        <v>12231</v>
      </c>
      <c r="G504" s="9" t="s">
        <v>47521</v>
      </c>
    </row>
    <row r="505" ht="15.75" customHeight="1">
      <c r="A505" s="9" t="s">
        <v>48102</v>
      </c>
      <c r="B505" s="9" t="s">
        <v>3552</v>
      </c>
      <c r="D505" s="9">
        <v>70.0</v>
      </c>
      <c r="E505" s="9" t="s">
        <v>12245</v>
      </c>
      <c r="G505" s="9" t="s">
        <v>47521</v>
      </c>
    </row>
    <row r="506" ht="15.75" customHeight="1">
      <c r="A506" s="9" t="s">
        <v>48103</v>
      </c>
      <c r="B506" s="9" t="s">
        <v>11708</v>
      </c>
      <c r="C506" s="9" t="s">
        <v>47891</v>
      </c>
      <c r="D506" s="9">
        <v>160.0</v>
      </c>
      <c r="E506" s="9" t="s">
        <v>12245</v>
      </c>
      <c r="G506" s="9" t="s">
        <v>47521</v>
      </c>
    </row>
    <row r="507" ht="15.75" customHeight="1">
      <c r="A507" s="9" t="s">
        <v>48104</v>
      </c>
      <c r="B507" s="9" t="s">
        <v>10674</v>
      </c>
      <c r="C507" s="9" t="s">
        <v>47511</v>
      </c>
      <c r="D507" s="9">
        <v>65.0</v>
      </c>
      <c r="E507" s="9" t="s">
        <v>12245</v>
      </c>
      <c r="G507" s="9" t="s">
        <v>47521</v>
      </c>
    </row>
    <row r="508" ht="15.75" customHeight="1">
      <c r="A508" s="9" t="s">
        <v>48105</v>
      </c>
      <c r="B508" s="9" t="s">
        <v>10674</v>
      </c>
      <c r="D508" s="9">
        <v>170.0</v>
      </c>
      <c r="E508" s="9" t="s">
        <v>12243</v>
      </c>
      <c r="G508" s="9" t="s">
        <v>47521</v>
      </c>
    </row>
    <row r="509" ht="15.75" customHeight="1">
      <c r="A509" s="9" t="s">
        <v>48106</v>
      </c>
      <c r="B509" s="9" t="s">
        <v>11674</v>
      </c>
      <c r="D509" s="9">
        <v>9.0</v>
      </c>
      <c r="E509" s="9" t="s">
        <v>12228</v>
      </c>
      <c r="G509" s="9" t="s">
        <v>47521</v>
      </c>
    </row>
    <row r="510" ht="15.75" customHeight="1">
      <c r="A510" s="9" t="s">
        <v>48107</v>
      </c>
      <c r="B510" s="9" t="s">
        <v>9922</v>
      </c>
      <c r="C510" s="9" t="s">
        <v>47511</v>
      </c>
      <c r="D510" s="9">
        <v>90.0</v>
      </c>
      <c r="E510" s="9" t="s">
        <v>12245</v>
      </c>
      <c r="G510" s="9" t="s">
        <v>47521</v>
      </c>
    </row>
    <row r="511" ht="15.75" customHeight="1">
      <c r="A511" s="9" t="s">
        <v>48108</v>
      </c>
      <c r="B511" s="9" t="s">
        <v>9922</v>
      </c>
      <c r="D511" s="9">
        <v>195.0</v>
      </c>
      <c r="E511" s="9" t="s">
        <v>12243</v>
      </c>
      <c r="G511" s="9" t="s">
        <v>47521</v>
      </c>
    </row>
    <row r="512" ht="15.75" customHeight="1">
      <c r="A512" s="9"/>
      <c r="B512" s="9"/>
      <c r="D512" s="9"/>
      <c r="E512" s="9"/>
    </row>
    <row r="513" ht="15.75" customHeight="1">
      <c r="A513" s="9" t="s">
        <v>48109</v>
      </c>
      <c r="B513" s="9" t="s">
        <v>10233</v>
      </c>
      <c r="D513" s="9">
        <v>25.0</v>
      </c>
      <c r="E513" s="9" t="s">
        <v>12234</v>
      </c>
      <c r="G513" s="9" t="s">
        <v>47521</v>
      </c>
    </row>
    <row r="514" ht="15.75" customHeight="1">
      <c r="A514" s="9" t="s">
        <v>48110</v>
      </c>
      <c r="B514" s="9" t="s">
        <v>10233</v>
      </c>
      <c r="C514" s="9" t="s">
        <v>48111</v>
      </c>
      <c r="D514" s="9">
        <v>30.0</v>
      </c>
      <c r="E514" s="9" t="s">
        <v>12234</v>
      </c>
      <c r="G514" s="9" t="s">
        <v>47521</v>
      </c>
    </row>
    <row r="515" ht="15.75" customHeight="1">
      <c r="A515" s="9"/>
      <c r="B515" s="9"/>
      <c r="C515" s="9"/>
      <c r="D515" s="9"/>
      <c r="E515" s="9"/>
    </row>
    <row r="516" ht="15.75" customHeight="1">
      <c r="A516" s="9"/>
      <c r="B516" s="9"/>
      <c r="C516" s="9"/>
      <c r="D516" s="9"/>
    </row>
    <row r="517" ht="15.75" customHeight="1">
      <c r="A517" s="9" t="s">
        <v>48112</v>
      </c>
      <c r="B517" s="9" t="s">
        <v>231</v>
      </c>
      <c r="D517" s="9">
        <v>110.0</v>
      </c>
      <c r="E517" s="9" t="s">
        <v>12245</v>
      </c>
    </row>
    <row r="518" ht="15.75" customHeight="1">
      <c r="A518" s="9" t="s">
        <v>48113</v>
      </c>
      <c r="B518" s="9" t="s">
        <v>231</v>
      </c>
      <c r="C518" s="9" t="s">
        <v>48070</v>
      </c>
      <c r="D518" s="9">
        <v>250.0</v>
      </c>
    </row>
    <row r="519" ht="15.75" customHeight="1">
      <c r="A519" s="9" t="s">
        <v>48114</v>
      </c>
      <c r="B519" s="9" t="s">
        <v>231</v>
      </c>
      <c r="D519" s="9">
        <v>550.0</v>
      </c>
      <c r="E519" s="9" t="s">
        <v>12241</v>
      </c>
    </row>
    <row r="520" ht="15.75" customHeight="1">
      <c r="A520" s="9" t="s">
        <v>48115</v>
      </c>
      <c r="B520" s="9" t="s">
        <v>231</v>
      </c>
      <c r="C520" s="9" t="s">
        <v>48116</v>
      </c>
      <c r="D520" s="9">
        <v>1500.0</v>
      </c>
    </row>
    <row r="521" ht="15.75" customHeight="1">
      <c r="A521" s="9" t="s">
        <v>48117</v>
      </c>
      <c r="B521" s="9" t="s">
        <v>10781</v>
      </c>
      <c r="C521" s="9" t="s">
        <v>47511</v>
      </c>
      <c r="D521" s="9">
        <v>200.0</v>
      </c>
      <c r="E521" s="9" t="s">
        <v>12245</v>
      </c>
      <c r="G521" s="9" t="s">
        <v>47521</v>
      </c>
    </row>
    <row r="522" ht="15.75" customHeight="1">
      <c r="A522" s="9" t="s">
        <v>48118</v>
      </c>
      <c r="B522" s="9" t="s">
        <v>10781</v>
      </c>
      <c r="C522" s="9" t="s">
        <v>48070</v>
      </c>
      <c r="D522" s="9">
        <v>250.0</v>
      </c>
      <c r="E522" s="9" t="s">
        <v>12245</v>
      </c>
      <c r="G522" s="9" t="s">
        <v>47521</v>
      </c>
    </row>
    <row r="523" ht="15.75" customHeight="1">
      <c r="A523" s="9" t="s">
        <v>48119</v>
      </c>
      <c r="B523" s="9" t="s">
        <v>10370</v>
      </c>
      <c r="D523" s="9">
        <v>7.5</v>
      </c>
      <c r="E523" s="9" t="s">
        <v>12231</v>
      </c>
      <c r="G523" s="9" t="s">
        <v>47521</v>
      </c>
    </row>
    <row r="524" ht="15.75" customHeight="1">
      <c r="A524" s="9" t="s">
        <v>48120</v>
      </c>
      <c r="B524" s="9" t="s">
        <v>10664</v>
      </c>
      <c r="D524" s="9">
        <v>230.0</v>
      </c>
      <c r="E524" s="9" t="s">
        <v>12245</v>
      </c>
    </row>
    <row r="525" ht="15.75" customHeight="1">
      <c r="A525" s="9"/>
      <c r="B525" s="9"/>
    </row>
    <row r="526" ht="15.75" customHeight="1">
      <c r="A526" s="9" t="s">
        <v>48121</v>
      </c>
      <c r="B526" s="9" t="s">
        <v>11674</v>
      </c>
      <c r="D526" s="9">
        <v>15.0</v>
      </c>
      <c r="E526" s="9" t="s">
        <v>12231</v>
      </c>
      <c r="G526" s="9" t="s">
        <v>47521</v>
      </c>
    </row>
    <row r="527" ht="15.75" customHeight="1">
      <c r="A527" s="52" t="s">
        <v>48122</v>
      </c>
      <c r="B527" s="9" t="s">
        <v>5300</v>
      </c>
      <c r="D527" s="9">
        <v>12.0</v>
      </c>
      <c r="E527" s="9" t="s">
        <v>12231</v>
      </c>
    </row>
    <row r="528" ht="15.75" customHeight="1">
      <c r="A528" s="9" t="s">
        <v>48123</v>
      </c>
      <c r="B528" s="9" t="s">
        <v>8867</v>
      </c>
      <c r="C528" s="9" t="s">
        <v>47859</v>
      </c>
      <c r="D528" s="9">
        <v>8.0</v>
      </c>
      <c r="E528" s="9" t="s">
        <v>12225</v>
      </c>
    </row>
    <row r="529" ht="15.75" customHeight="1">
      <c r="A529" s="9" t="s">
        <v>48124</v>
      </c>
      <c r="B529" s="9" t="s">
        <v>9892</v>
      </c>
      <c r="D529" s="9">
        <v>80.0</v>
      </c>
      <c r="E529" s="9" t="s">
        <v>12245</v>
      </c>
    </row>
    <row r="530" ht="15.75" customHeight="1">
      <c r="A530" s="9" t="s">
        <v>48125</v>
      </c>
      <c r="B530" s="9" t="s">
        <v>9537</v>
      </c>
      <c r="D530" s="9">
        <v>38.0</v>
      </c>
      <c r="E530" s="9" t="s">
        <v>47516</v>
      </c>
      <c r="G530" s="9" t="s">
        <v>47521</v>
      </c>
    </row>
    <row r="531" ht="15.75" customHeight="1">
      <c r="A531" s="9"/>
      <c r="B531" s="9"/>
      <c r="C531" s="9"/>
      <c r="D531" s="9"/>
      <c r="E531" s="9"/>
      <c r="G531" s="9"/>
    </row>
    <row r="532" ht="15.75" customHeight="1">
      <c r="A532" s="9" t="s">
        <v>48126</v>
      </c>
      <c r="B532" s="9" t="s">
        <v>10113</v>
      </c>
      <c r="C532" s="9" t="s">
        <v>47891</v>
      </c>
      <c r="D532" s="9">
        <v>190.0</v>
      </c>
      <c r="E532" s="9" t="s">
        <v>12245</v>
      </c>
      <c r="G532" s="9" t="s">
        <v>47521</v>
      </c>
    </row>
    <row r="533" ht="15.75" customHeight="1">
      <c r="A533" s="9" t="s">
        <v>48127</v>
      </c>
      <c r="B533" s="9" t="s">
        <v>10269</v>
      </c>
      <c r="C533" s="9" t="s">
        <v>47842</v>
      </c>
      <c r="D533" s="9">
        <v>262.0</v>
      </c>
      <c r="E533" s="9" t="s">
        <v>12245</v>
      </c>
      <c r="G533" s="9" t="s">
        <v>47521</v>
      </c>
    </row>
    <row r="534" ht="15.75" customHeight="1">
      <c r="A534" s="9" t="s">
        <v>48128</v>
      </c>
      <c r="B534" s="9" t="s">
        <v>10359</v>
      </c>
      <c r="D534" s="9">
        <v>270.0</v>
      </c>
      <c r="E534" s="9" t="s">
        <v>12245</v>
      </c>
      <c r="G534" s="9" t="s">
        <v>47521</v>
      </c>
    </row>
    <row r="535" ht="15.75" customHeight="1">
      <c r="A535" s="9" t="s">
        <v>48129</v>
      </c>
      <c r="B535" s="9" t="s">
        <v>10297</v>
      </c>
      <c r="C535" s="9" t="s">
        <v>47511</v>
      </c>
      <c r="D535" s="9">
        <v>210.0</v>
      </c>
      <c r="E535" s="9" t="s">
        <v>47514</v>
      </c>
      <c r="G535" s="9" t="s">
        <v>47521</v>
      </c>
    </row>
    <row r="536" ht="15.75" customHeight="1">
      <c r="A536" s="9" t="s">
        <v>48130</v>
      </c>
      <c r="B536" s="9" t="s">
        <v>10199</v>
      </c>
      <c r="C536" s="9" t="s">
        <v>47634</v>
      </c>
      <c r="D536" s="9">
        <v>700.0</v>
      </c>
      <c r="E536" s="9" t="s">
        <v>12241</v>
      </c>
    </row>
    <row r="537" ht="15.75" customHeight="1">
      <c r="A537" s="9" t="s">
        <v>48131</v>
      </c>
      <c r="B537" s="9" t="s">
        <v>264</v>
      </c>
      <c r="C537" s="9" t="s">
        <v>47511</v>
      </c>
      <c r="D537" s="9">
        <v>150.0</v>
      </c>
      <c r="E537" s="9" t="s">
        <v>12245</v>
      </c>
      <c r="G537" s="9" t="s">
        <v>47521</v>
      </c>
    </row>
    <row r="538" ht="15.75" customHeight="1">
      <c r="A538" s="9" t="s">
        <v>48132</v>
      </c>
      <c r="B538" s="9" t="s">
        <v>11526</v>
      </c>
      <c r="D538" s="9">
        <v>750.0</v>
      </c>
      <c r="E538" s="9" t="s">
        <v>47619</v>
      </c>
      <c r="G538" s="9" t="s">
        <v>47521</v>
      </c>
    </row>
    <row r="539" ht="15.75" customHeight="1">
      <c r="A539" s="9" t="s">
        <v>48133</v>
      </c>
      <c r="B539" s="9" t="s">
        <v>10682</v>
      </c>
      <c r="D539" s="9">
        <v>700.0</v>
      </c>
      <c r="E539" s="9" t="s">
        <v>47619</v>
      </c>
      <c r="G539" s="9" t="s">
        <v>47521</v>
      </c>
    </row>
    <row r="540" ht="15.75" customHeight="1">
      <c r="A540" s="9" t="s">
        <v>48134</v>
      </c>
      <c r="B540" s="9" t="s">
        <v>10347</v>
      </c>
      <c r="C540" s="9" t="s">
        <v>47511</v>
      </c>
      <c r="D540" s="9">
        <v>108.0</v>
      </c>
      <c r="E540" s="9" t="s">
        <v>12245</v>
      </c>
      <c r="G540" s="9" t="s">
        <v>47521</v>
      </c>
    </row>
    <row r="541" ht="15.75" customHeight="1">
      <c r="A541" s="9" t="s">
        <v>48135</v>
      </c>
      <c r="B541" s="9" t="s">
        <v>10347</v>
      </c>
      <c r="D541" s="9">
        <v>360.0</v>
      </c>
      <c r="E541" s="9" t="s">
        <v>12247</v>
      </c>
      <c r="G541" s="9" t="s">
        <v>47521</v>
      </c>
    </row>
    <row r="542" ht="15.75" customHeight="1">
      <c r="A542" s="9"/>
      <c r="B542" s="9"/>
    </row>
    <row r="543" ht="15.75" customHeight="1">
      <c r="A543" s="9" t="s">
        <v>48136</v>
      </c>
      <c r="B543" s="9" t="s">
        <v>10334</v>
      </c>
      <c r="C543" s="9" t="s">
        <v>47634</v>
      </c>
      <c r="D543" s="9">
        <v>260.0</v>
      </c>
      <c r="E543" s="9" t="s">
        <v>12245</v>
      </c>
      <c r="G543" s="9" t="s">
        <v>47521</v>
      </c>
    </row>
    <row r="544" ht="15.75" customHeight="1">
      <c r="A544" s="9" t="s">
        <v>48137</v>
      </c>
      <c r="B544" s="9" t="s">
        <v>10334</v>
      </c>
      <c r="C544" s="9" t="s">
        <v>48138</v>
      </c>
      <c r="D544" s="9">
        <v>190.0</v>
      </c>
      <c r="E544" s="9" t="s">
        <v>12238</v>
      </c>
      <c r="G544" s="9" t="s">
        <v>47521</v>
      </c>
    </row>
    <row r="545" ht="15.75" customHeight="1">
      <c r="A545" s="9" t="s">
        <v>48139</v>
      </c>
      <c r="B545" s="9" t="s">
        <v>10334</v>
      </c>
      <c r="C545" s="9" t="s">
        <v>48138</v>
      </c>
      <c r="D545" s="9">
        <v>130.0</v>
      </c>
      <c r="E545" s="9" t="s">
        <v>12232</v>
      </c>
      <c r="G545" s="9" t="s">
        <v>47521</v>
      </c>
    </row>
    <row r="546" ht="15.75" customHeight="1">
      <c r="A546" s="9" t="s">
        <v>48140</v>
      </c>
      <c r="B546" s="9" t="s">
        <v>10332</v>
      </c>
      <c r="C546" s="9" t="s">
        <v>48141</v>
      </c>
      <c r="D546" s="9">
        <v>180.0</v>
      </c>
      <c r="E546" s="9" t="s">
        <v>12245</v>
      </c>
      <c r="G546" s="9" t="s">
        <v>47521</v>
      </c>
    </row>
    <row r="547" ht="15.75" customHeight="1">
      <c r="A547" s="9" t="s">
        <v>48142</v>
      </c>
      <c r="B547" s="9" t="s">
        <v>10320</v>
      </c>
      <c r="D547" s="9">
        <v>450.0</v>
      </c>
      <c r="E547" s="9" t="s">
        <v>12241</v>
      </c>
      <c r="G547" s="9" t="s">
        <v>47521</v>
      </c>
    </row>
    <row r="548" ht="15.75" customHeight="1">
      <c r="A548" s="9" t="s">
        <v>48143</v>
      </c>
      <c r="B548" s="9" t="s">
        <v>10320</v>
      </c>
      <c r="D548" s="9">
        <v>70.0</v>
      </c>
      <c r="E548" s="9" t="s">
        <v>12245</v>
      </c>
      <c r="G548" s="9" t="s">
        <v>47521</v>
      </c>
    </row>
    <row r="549" ht="15.75" customHeight="1">
      <c r="A549" s="9" t="s">
        <v>48144</v>
      </c>
      <c r="B549" s="9" t="s">
        <v>234</v>
      </c>
      <c r="C549" s="9" t="s">
        <v>48145</v>
      </c>
      <c r="D549" s="9">
        <v>139.0</v>
      </c>
      <c r="E549" s="9" t="s">
        <v>12232</v>
      </c>
      <c r="G549" s="9" t="s">
        <v>47521</v>
      </c>
    </row>
    <row r="550" ht="15.75" customHeight="1">
      <c r="A550" s="9" t="s">
        <v>48146</v>
      </c>
      <c r="B550" s="9" t="s">
        <v>6752</v>
      </c>
    </row>
    <row r="551" ht="15.75" customHeight="1">
      <c r="A551" s="9" t="s">
        <v>48147</v>
      </c>
      <c r="B551" s="9" t="s">
        <v>10276</v>
      </c>
      <c r="C551" s="9" t="s">
        <v>47511</v>
      </c>
      <c r="D551" s="9">
        <v>65.0</v>
      </c>
      <c r="E551" s="9" t="s">
        <v>12226</v>
      </c>
      <c r="G551" s="9" t="s">
        <v>47521</v>
      </c>
    </row>
    <row r="552" ht="15.75" customHeight="1">
      <c r="A552" s="9" t="s">
        <v>48148</v>
      </c>
      <c r="B552" s="9" t="s">
        <v>4712</v>
      </c>
      <c r="C552" s="9" t="s">
        <v>48149</v>
      </c>
      <c r="D552" s="9">
        <v>150.0</v>
      </c>
      <c r="E552" s="9" t="s">
        <v>12245</v>
      </c>
      <c r="G552" s="9" t="s">
        <v>47521</v>
      </c>
    </row>
    <row r="553" ht="15.75" customHeight="1">
      <c r="A553" s="9" t="s">
        <v>48150</v>
      </c>
      <c r="B553" s="9" t="s">
        <v>4712</v>
      </c>
      <c r="C553" s="9" t="s">
        <v>48151</v>
      </c>
      <c r="D553" s="9">
        <v>120.0</v>
      </c>
      <c r="E553" s="9" t="s">
        <v>12245</v>
      </c>
      <c r="G553" s="9" t="s">
        <v>47521</v>
      </c>
    </row>
    <row r="554" ht="15.75" customHeight="1">
      <c r="A554" s="9" t="s">
        <v>48152</v>
      </c>
      <c r="B554" s="9" t="s">
        <v>11362</v>
      </c>
      <c r="D554" s="9">
        <v>150.0</v>
      </c>
      <c r="E554" s="9" t="s">
        <v>12245</v>
      </c>
      <c r="G554" s="9" t="s">
        <v>47521</v>
      </c>
    </row>
    <row r="555" ht="15.75" customHeight="1">
      <c r="A555" s="9" t="s">
        <v>48153</v>
      </c>
      <c r="B555" s="9" t="s">
        <v>5545</v>
      </c>
      <c r="C555" s="9" t="s">
        <v>47573</v>
      </c>
      <c r="D555" s="9">
        <v>60.0</v>
      </c>
      <c r="E555" s="9" t="s">
        <v>47567</v>
      </c>
    </row>
    <row r="556" ht="15.75" customHeight="1">
      <c r="A556" s="9"/>
      <c r="B556" s="9"/>
      <c r="D556" s="9"/>
      <c r="E556" s="9"/>
      <c r="G556" s="9"/>
    </row>
    <row r="557" ht="15.75" customHeight="1">
      <c r="A557" s="9" t="s">
        <v>48154</v>
      </c>
      <c r="B557" s="9" t="s">
        <v>10283</v>
      </c>
      <c r="C557" s="9" t="s">
        <v>47842</v>
      </c>
      <c r="D557" s="9">
        <v>35.0</v>
      </c>
      <c r="E557" s="9" t="s">
        <v>12245</v>
      </c>
      <c r="G557" s="9" t="s">
        <v>47521</v>
      </c>
    </row>
    <row r="558" ht="15.75" customHeight="1">
      <c r="A558" s="9" t="s">
        <v>48155</v>
      </c>
      <c r="B558" s="9" t="s">
        <v>11366</v>
      </c>
      <c r="C558" s="9"/>
      <c r="D558" s="9">
        <v>180.0</v>
      </c>
      <c r="E558" s="9" t="s">
        <v>12243</v>
      </c>
      <c r="G558" s="9" t="s">
        <v>47521</v>
      </c>
    </row>
    <row r="559" ht="15.75" customHeight="1">
      <c r="A559" s="9" t="s">
        <v>48156</v>
      </c>
      <c r="B559" s="9" t="s">
        <v>11830</v>
      </c>
      <c r="C559" s="9" t="s">
        <v>47842</v>
      </c>
      <c r="D559" s="9">
        <v>35.0</v>
      </c>
      <c r="E559" s="9" t="s">
        <v>12245</v>
      </c>
      <c r="G559" s="9" t="s">
        <v>47521</v>
      </c>
    </row>
    <row r="560" ht="15.75" customHeight="1">
      <c r="A560" s="9" t="s">
        <v>48157</v>
      </c>
      <c r="B560" s="9" t="s">
        <v>12125</v>
      </c>
      <c r="D560" s="9">
        <v>105.0</v>
      </c>
      <c r="E560" s="9" t="s">
        <v>12245</v>
      </c>
      <c r="G560" s="9" t="s">
        <v>47521</v>
      </c>
    </row>
    <row r="561" ht="15.75" customHeight="1">
      <c r="A561" s="9" t="s">
        <v>48158</v>
      </c>
      <c r="B561" s="9" t="s">
        <v>11955</v>
      </c>
      <c r="C561" s="9" t="s">
        <v>47627</v>
      </c>
      <c r="D561" s="9">
        <v>260.0</v>
      </c>
      <c r="E561" s="9" t="s">
        <v>12245</v>
      </c>
      <c r="G561" s="9" t="s">
        <v>47521</v>
      </c>
    </row>
    <row r="562" ht="15.75" customHeight="1">
      <c r="A562" s="9" t="s">
        <v>48159</v>
      </c>
      <c r="B562" s="9" t="s">
        <v>11929</v>
      </c>
      <c r="C562" s="9" t="s">
        <v>47714</v>
      </c>
      <c r="D562" s="9">
        <v>80.0</v>
      </c>
      <c r="E562" s="9" t="s">
        <v>12245</v>
      </c>
      <c r="G562" s="9" t="s">
        <v>47521</v>
      </c>
    </row>
    <row r="563" ht="15.75" customHeight="1">
      <c r="A563" s="9" t="s">
        <v>48160</v>
      </c>
      <c r="B563" s="9" t="s">
        <v>12100</v>
      </c>
      <c r="C563" s="9" t="s">
        <v>47636</v>
      </c>
      <c r="D563" s="9">
        <v>200.0</v>
      </c>
      <c r="E563" s="9" t="s">
        <v>12245</v>
      </c>
    </row>
    <row r="564" ht="15.75" customHeight="1">
      <c r="A564" s="9" t="s">
        <v>48161</v>
      </c>
      <c r="B564" s="9" t="s">
        <v>12219</v>
      </c>
      <c r="C564" s="9" t="s">
        <v>47636</v>
      </c>
      <c r="D564" s="9">
        <v>200.0</v>
      </c>
      <c r="E564" s="9" t="s">
        <v>12245</v>
      </c>
      <c r="G564" s="9" t="s">
        <v>47521</v>
      </c>
    </row>
    <row r="565" ht="15.75" customHeight="1">
      <c r="A565" s="9" t="s">
        <v>48162</v>
      </c>
      <c r="B565" s="9" t="s">
        <v>12219</v>
      </c>
      <c r="C565" s="9" t="s">
        <v>47636</v>
      </c>
      <c r="D565" s="9">
        <v>200.0</v>
      </c>
      <c r="E565" s="9" t="s">
        <v>12245</v>
      </c>
    </row>
    <row r="566" ht="15.75" customHeight="1">
      <c r="A566" s="9" t="s">
        <v>48163</v>
      </c>
      <c r="B566" s="9" t="s">
        <v>11368</v>
      </c>
      <c r="C566" s="9" t="s">
        <v>47643</v>
      </c>
      <c r="D566" s="9">
        <v>60.0</v>
      </c>
      <c r="E566" s="9" t="s">
        <v>12234</v>
      </c>
      <c r="G566" s="9" t="s">
        <v>47521</v>
      </c>
    </row>
    <row r="567" ht="15.75" customHeight="1">
      <c r="A567" s="9" t="s">
        <v>48164</v>
      </c>
      <c r="B567" s="9" t="s">
        <v>11368</v>
      </c>
      <c r="C567" s="9" t="s">
        <v>47976</v>
      </c>
      <c r="D567" s="9">
        <v>90.0</v>
      </c>
      <c r="E567" s="9" t="s">
        <v>12234</v>
      </c>
      <c r="G567" s="9" t="s">
        <v>47521</v>
      </c>
    </row>
    <row r="568" ht="15.75" customHeight="1">
      <c r="A568" s="9" t="s">
        <v>48165</v>
      </c>
      <c r="B568" s="9" t="s">
        <v>11371</v>
      </c>
      <c r="C568" s="9" t="s">
        <v>47511</v>
      </c>
      <c r="D568" s="9">
        <v>90.0</v>
      </c>
      <c r="E568" s="9" t="s">
        <v>47959</v>
      </c>
      <c r="G568" s="9" t="s">
        <v>47521</v>
      </c>
    </row>
    <row r="569" ht="15.75" customHeight="1">
      <c r="A569" s="9" t="s">
        <v>48166</v>
      </c>
      <c r="B569" s="9" t="s">
        <v>7358</v>
      </c>
      <c r="D569" s="9">
        <v>10.0</v>
      </c>
      <c r="G569" s="9" t="s">
        <v>47521</v>
      </c>
    </row>
    <row r="570" ht="15.75" customHeight="1">
      <c r="A570" s="9" t="s">
        <v>48167</v>
      </c>
      <c r="B570" s="9" t="s">
        <v>7380</v>
      </c>
      <c r="D570" s="9">
        <v>17.0</v>
      </c>
      <c r="G570" s="9" t="s">
        <v>47521</v>
      </c>
    </row>
    <row r="571" ht="15.75" customHeight="1">
      <c r="A571" s="9" t="s">
        <v>48168</v>
      </c>
      <c r="B571" s="9" t="s">
        <v>11740</v>
      </c>
      <c r="C571" s="9" t="s">
        <v>47976</v>
      </c>
      <c r="D571" s="9">
        <v>70.0</v>
      </c>
      <c r="E571" s="9" t="s">
        <v>12226</v>
      </c>
      <c r="G571" s="9" t="s">
        <v>47521</v>
      </c>
    </row>
    <row r="572" ht="15.75" customHeight="1">
      <c r="A572" s="9" t="s">
        <v>48169</v>
      </c>
      <c r="B572" s="9" t="s">
        <v>11740</v>
      </c>
      <c r="D572" s="9">
        <v>200.0</v>
      </c>
      <c r="E572" s="9" t="s">
        <v>47959</v>
      </c>
      <c r="G572" s="9" t="s">
        <v>47521</v>
      </c>
    </row>
    <row r="573" ht="15.75" customHeight="1">
      <c r="A573" s="9" t="s">
        <v>48170</v>
      </c>
      <c r="B573" s="9" t="s">
        <v>11740</v>
      </c>
      <c r="D573" s="9">
        <v>250.0</v>
      </c>
      <c r="E573" s="9" t="s">
        <v>47998</v>
      </c>
      <c r="G573" s="9" t="s">
        <v>47521</v>
      </c>
    </row>
    <row r="574" ht="15.75" customHeight="1">
      <c r="A574" s="9" t="s">
        <v>48171</v>
      </c>
      <c r="B574" s="9" t="s">
        <v>11740</v>
      </c>
      <c r="C574" s="9" t="s">
        <v>47891</v>
      </c>
      <c r="D574" s="9">
        <v>600.0</v>
      </c>
      <c r="E574" s="9" t="s">
        <v>12243</v>
      </c>
      <c r="G574" s="9" t="s">
        <v>47521</v>
      </c>
    </row>
    <row r="575" ht="15.75" customHeight="1">
      <c r="A575" s="9" t="s">
        <v>48172</v>
      </c>
      <c r="B575" s="9" t="s">
        <v>11371</v>
      </c>
      <c r="C575" s="9" t="s">
        <v>47511</v>
      </c>
      <c r="D575" s="9">
        <v>110.0</v>
      </c>
      <c r="E575" s="9" t="s">
        <v>47998</v>
      </c>
      <c r="G575" s="9" t="s">
        <v>47521</v>
      </c>
    </row>
    <row r="576" ht="15.75" customHeight="1">
      <c r="A576" s="9" t="s">
        <v>48173</v>
      </c>
      <c r="B576" s="9" t="s">
        <v>4146</v>
      </c>
      <c r="C576" s="9" t="s">
        <v>48174</v>
      </c>
      <c r="D576" s="9">
        <v>12.0</v>
      </c>
      <c r="E576" s="9" t="s">
        <v>12225</v>
      </c>
      <c r="G576" s="9" t="s">
        <v>47521</v>
      </c>
    </row>
    <row r="577" ht="15.75" customHeight="1">
      <c r="A577" s="9" t="s">
        <v>48175</v>
      </c>
      <c r="B577" s="9" t="s">
        <v>3864</v>
      </c>
      <c r="C577" s="9" t="s">
        <v>47712</v>
      </c>
      <c r="D577" s="9">
        <v>35.0</v>
      </c>
      <c r="E577" s="9" t="s">
        <v>12225</v>
      </c>
      <c r="G577" s="9" t="s">
        <v>47521</v>
      </c>
    </row>
    <row r="578" ht="15.75" customHeight="1">
      <c r="A578" s="9" t="s">
        <v>48176</v>
      </c>
      <c r="B578" s="9" t="s">
        <v>3864</v>
      </c>
      <c r="D578" s="9">
        <v>17.0</v>
      </c>
      <c r="E578" s="9" t="s">
        <v>48037</v>
      </c>
      <c r="G578" s="9" t="s">
        <v>47521</v>
      </c>
    </row>
    <row r="579" ht="15.75" customHeight="1">
      <c r="A579" s="9" t="s">
        <v>48177</v>
      </c>
      <c r="B579" s="9" t="s">
        <v>11826</v>
      </c>
      <c r="D579" s="9">
        <v>20.0</v>
      </c>
      <c r="E579" s="9" t="s">
        <v>12225</v>
      </c>
    </row>
    <row r="580" ht="15.75" customHeight="1">
      <c r="A580" s="9" t="s">
        <v>48178</v>
      </c>
      <c r="B580" s="9" t="s">
        <v>12104</v>
      </c>
      <c r="D580" s="9">
        <v>55.0</v>
      </c>
      <c r="E580" s="9" t="s">
        <v>12232</v>
      </c>
      <c r="G580" s="9" t="s">
        <v>47521</v>
      </c>
    </row>
    <row r="581" ht="15.75" customHeight="1">
      <c r="A581" s="9" t="s">
        <v>48179</v>
      </c>
      <c r="B581" s="9" t="s">
        <v>12071</v>
      </c>
      <c r="C581" s="9" t="s">
        <v>48180</v>
      </c>
      <c r="D581" s="9">
        <v>80.0</v>
      </c>
      <c r="G581" s="9" t="s">
        <v>47521</v>
      </c>
    </row>
    <row r="582" ht="15.75" customHeight="1">
      <c r="A582" s="9" t="s">
        <v>48181</v>
      </c>
      <c r="B582" s="9" t="s">
        <v>10287</v>
      </c>
      <c r="D582" s="9">
        <v>20.0</v>
      </c>
      <c r="E582" s="9" t="s">
        <v>47940</v>
      </c>
      <c r="G582" s="9" t="s">
        <v>47521</v>
      </c>
    </row>
    <row r="583" ht="15.75" customHeight="1">
      <c r="A583" s="9" t="s">
        <v>48182</v>
      </c>
      <c r="B583" s="9" t="s">
        <v>7867</v>
      </c>
      <c r="C583" s="9" t="s">
        <v>47546</v>
      </c>
      <c r="D583" s="9">
        <v>30.0</v>
      </c>
      <c r="E583" s="9" t="s">
        <v>12234</v>
      </c>
      <c r="G583" s="9" t="s">
        <v>47521</v>
      </c>
    </row>
    <row r="584" ht="15.75" customHeight="1">
      <c r="A584" s="9" t="s">
        <v>48183</v>
      </c>
      <c r="B584" s="9" t="s">
        <v>7867</v>
      </c>
      <c r="D584" s="9">
        <v>60.0</v>
      </c>
      <c r="E584" s="9" t="s">
        <v>48184</v>
      </c>
      <c r="G584" s="9" t="s">
        <v>47521</v>
      </c>
    </row>
    <row r="585" ht="15.75" customHeight="1">
      <c r="A585" s="9" t="s">
        <v>48185</v>
      </c>
      <c r="B585" s="9" t="s">
        <v>7867</v>
      </c>
      <c r="D585" s="9">
        <v>60.0</v>
      </c>
      <c r="E585" s="9" t="s">
        <v>48186</v>
      </c>
      <c r="G585" s="9" t="s">
        <v>47521</v>
      </c>
    </row>
    <row r="586" ht="15.75" customHeight="1">
      <c r="A586" s="9" t="s">
        <v>48187</v>
      </c>
      <c r="B586" s="9" t="s">
        <v>7867</v>
      </c>
      <c r="D586" s="9">
        <v>40.0</v>
      </c>
      <c r="E586" s="9" t="s">
        <v>48188</v>
      </c>
      <c r="G586" s="9" t="s">
        <v>47521</v>
      </c>
    </row>
    <row r="587" ht="15.75" customHeight="1">
      <c r="A587" s="9" t="s">
        <v>48189</v>
      </c>
      <c r="B587" s="9" t="s">
        <v>5823</v>
      </c>
      <c r="C587" s="9" t="s">
        <v>47546</v>
      </c>
      <c r="D587" s="9">
        <v>260.0</v>
      </c>
      <c r="E587" s="9" t="s">
        <v>12232</v>
      </c>
      <c r="G587" s="9" t="s">
        <v>47521</v>
      </c>
    </row>
    <row r="588" ht="15.75" customHeight="1">
      <c r="A588" s="9" t="s">
        <v>48190</v>
      </c>
      <c r="B588" s="9" t="s">
        <v>11366</v>
      </c>
      <c r="C588" s="9" t="s">
        <v>47511</v>
      </c>
      <c r="D588" s="9">
        <v>90.0</v>
      </c>
      <c r="E588" s="9" t="s">
        <v>12245</v>
      </c>
    </row>
    <row r="589" ht="15.75" customHeight="1">
      <c r="A589" s="9" t="s">
        <v>48191</v>
      </c>
      <c r="B589" s="9" t="s">
        <v>11366</v>
      </c>
      <c r="D589" s="9">
        <v>500.0</v>
      </c>
      <c r="E589" s="9" t="s">
        <v>12241</v>
      </c>
    </row>
    <row r="590" ht="15.75" customHeight="1">
      <c r="A590" s="9" t="s">
        <v>48192</v>
      </c>
      <c r="B590" s="9" t="s">
        <v>1722</v>
      </c>
      <c r="D590" s="9">
        <v>500.0</v>
      </c>
      <c r="E590" s="9" t="s">
        <v>12241</v>
      </c>
      <c r="G590" s="9" t="s">
        <v>47521</v>
      </c>
    </row>
    <row r="591" ht="15.75" customHeight="1">
      <c r="A591" s="9" t="s">
        <v>48193</v>
      </c>
      <c r="B591" s="9" t="s">
        <v>1722</v>
      </c>
      <c r="C591" s="9" t="s">
        <v>48138</v>
      </c>
      <c r="D591" s="9">
        <v>50.0</v>
      </c>
      <c r="E591" s="9" t="s">
        <v>12234</v>
      </c>
      <c r="G591" s="9" t="s">
        <v>47521</v>
      </c>
    </row>
    <row r="592" ht="15.75" customHeight="1">
      <c r="A592" s="9" t="s">
        <v>48194</v>
      </c>
      <c r="B592" s="9" t="s">
        <v>6081</v>
      </c>
      <c r="C592" s="9" t="s">
        <v>47546</v>
      </c>
      <c r="D592" s="9">
        <v>16.0</v>
      </c>
      <c r="G592" s="9" t="s">
        <v>47521</v>
      </c>
    </row>
    <row r="593" ht="15.75" customHeight="1">
      <c r="A593" s="9" t="s">
        <v>48195</v>
      </c>
      <c r="B593" s="9" t="s">
        <v>6081</v>
      </c>
      <c r="C593" s="9" t="s">
        <v>48138</v>
      </c>
      <c r="D593" s="9">
        <v>35.0</v>
      </c>
      <c r="E593" s="9" t="s">
        <v>12234</v>
      </c>
      <c r="G593" s="9" t="s">
        <v>47521</v>
      </c>
    </row>
    <row r="594" ht="15.75" customHeight="1">
      <c r="A594" s="9" t="s">
        <v>48196</v>
      </c>
      <c r="B594" s="9" t="s">
        <v>6692</v>
      </c>
      <c r="C594" s="9" t="s">
        <v>48138</v>
      </c>
      <c r="D594" s="9">
        <v>80.0</v>
      </c>
      <c r="E594" s="9" t="s">
        <v>48184</v>
      </c>
      <c r="G594" s="9" t="s">
        <v>47521</v>
      </c>
    </row>
    <row r="595" ht="15.75" customHeight="1">
      <c r="A595" s="9" t="s">
        <v>48197</v>
      </c>
      <c r="B595" s="9" t="s">
        <v>6692</v>
      </c>
      <c r="C595" s="9" t="s">
        <v>48138</v>
      </c>
      <c r="D595" s="9">
        <v>75.0</v>
      </c>
      <c r="E595" s="9" t="s">
        <v>48186</v>
      </c>
      <c r="G595" s="9" t="s">
        <v>47521</v>
      </c>
    </row>
    <row r="596" ht="15.75" customHeight="1">
      <c r="A596" s="9" t="s">
        <v>48198</v>
      </c>
      <c r="B596" s="9" t="s">
        <v>1088</v>
      </c>
      <c r="C596" s="9" t="s">
        <v>48138</v>
      </c>
      <c r="D596" s="9">
        <v>30.0</v>
      </c>
      <c r="E596" s="9" t="s">
        <v>12237</v>
      </c>
      <c r="G596" s="9" t="s">
        <v>47521</v>
      </c>
    </row>
    <row r="597" ht="15.75" customHeight="1">
      <c r="A597" s="9" t="s">
        <v>48199</v>
      </c>
      <c r="B597" s="9" t="s">
        <v>1088</v>
      </c>
      <c r="C597" s="9" t="s">
        <v>48138</v>
      </c>
      <c r="D597" s="9">
        <v>55.0</v>
      </c>
      <c r="E597" s="9" t="s">
        <v>12234</v>
      </c>
      <c r="G597" s="9" t="s">
        <v>47521</v>
      </c>
    </row>
    <row r="598" ht="15.75" customHeight="1">
      <c r="A598" s="9" t="s">
        <v>48200</v>
      </c>
      <c r="B598" s="9" t="s">
        <v>6145</v>
      </c>
      <c r="C598" s="9" t="s">
        <v>48138</v>
      </c>
      <c r="E598" s="9" t="s">
        <v>12234</v>
      </c>
    </row>
    <row r="599" ht="15.75" customHeight="1">
      <c r="A599" s="9" t="s">
        <v>48201</v>
      </c>
      <c r="B599" s="9" t="s">
        <v>11664</v>
      </c>
      <c r="D599" s="9">
        <v>65.0</v>
      </c>
      <c r="E599" s="9" t="s">
        <v>12245</v>
      </c>
      <c r="G599" s="9" t="s">
        <v>47521</v>
      </c>
    </row>
    <row r="600" ht="15.75" customHeight="1">
      <c r="A600" s="9" t="s">
        <v>48202</v>
      </c>
      <c r="B600" s="9" t="s">
        <v>4545</v>
      </c>
      <c r="D600" s="9">
        <v>78.0</v>
      </c>
      <c r="E600" s="9" t="s">
        <v>12245</v>
      </c>
      <c r="G600" s="9" t="s">
        <v>47521</v>
      </c>
    </row>
    <row r="601" ht="15.75" customHeight="1">
      <c r="A601" s="9" t="s">
        <v>48203</v>
      </c>
      <c r="B601" s="9" t="s">
        <v>11682</v>
      </c>
      <c r="C601" s="9" t="s">
        <v>47511</v>
      </c>
      <c r="D601" s="9">
        <v>155.0</v>
      </c>
      <c r="E601" s="9" t="s">
        <v>47998</v>
      </c>
      <c r="G601" s="9" t="s">
        <v>47521</v>
      </c>
    </row>
    <row r="602" ht="15.75" customHeight="1">
      <c r="A602" s="9" t="s">
        <v>48204</v>
      </c>
      <c r="B602" s="9" t="s">
        <v>11682</v>
      </c>
      <c r="C602" s="9" t="s">
        <v>47511</v>
      </c>
      <c r="D602" s="9">
        <v>130.0</v>
      </c>
      <c r="E602" s="9" t="s">
        <v>47959</v>
      </c>
      <c r="G602" s="9" t="s">
        <v>47521</v>
      </c>
    </row>
    <row r="603" ht="15.75" customHeight="1">
      <c r="A603" s="52" t="s">
        <v>48205</v>
      </c>
      <c r="B603" s="9" t="s">
        <v>11373</v>
      </c>
      <c r="D603" s="9">
        <v>80.0</v>
      </c>
      <c r="E603" s="9" t="s">
        <v>12232</v>
      </c>
      <c r="G603" s="9" t="s">
        <v>47521</v>
      </c>
    </row>
    <row r="604" ht="15.75" customHeight="1">
      <c r="A604" s="9" t="s">
        <v>48206</v>
      </c>
      <c r="B604" s="9" t="s">
        <v>11373</v>
      </c>
      <c r="C604" s="9" t="s">
        <v>47546</v>
      </c>
      <c r="D604" s="9">
        <v>35.0</v>
      </c>
      <c r="G604" s="9" t="s">
        <v>47521</v>
      </c>
    </row>
    <row r="605" ht="15.75" customHeight="1">
      <c r="A605" s="9" t="s">
        <v>48207</v>
      </c>
      <c r="B605" s="9" t="s">
        <v>11375</v>
      </c>
      <c r="D605" s="9">
        <v>10.0</v>
      </c>
      <c r="E605" s="9" t="s">
        <v>12228</v>
      </c>
      <c r="G605" s="9" t="s">
        <v>47521</v>
      </c>
    </row>
    <row r="606" ht="15.75" customHeight="1">
      <c r="A606" s="9" t="s">
        <v>48208</v>
      </c>
      <c r="B606" s="9" t="s">
        <v>11375</v>
      </c>
      <c r="C606" s="9" t="s">
        <v>48180</v>
      </c>
      <c r="D606" s="9">
        <v>30.0</v>
      </c>
      <c r="G606" s="9" t="s">
        <v>47521</v>
      </c>
    </row>
    <row r="607" ht="15.75" customHeight="1">
      <c r="A607" s="9" t="s">
        <v>48209</v>
      </c>
      <c r="B607" s="9" t="s">
        <v>11377</v>
      </c>
      <c r="D607" s="9">
        <v>93.0</v>
      </c>
      <c r="E607" s="9" t="s">
        <v>12245</v>
      </c>
      <c r="G607" s="9" t="s">
        <v>47521</v>
      </c>
    </row>
    <row r="608" ht="15.75" customHeight="1">
      <c r="A608" s="9" t="s">
        <v>48210</v>
      </c>
      <c r="B608" s="9" t="s">
        <v>11379</v>
      </c>
      <c r="C608" s="9" t="s">
        <v>47511</v>
      </c>
      <c r="D608" s="9">
        <v>135.0</v>
      </c>
      <c r="E608" s="9" t="s">
        <v>47959</v>
      </c>
      <c r="G608" s="9" t="s">
        <v>47521</v>
      </c>
    </row>
    <row r="609" ht="15.75" customHeight="1">
      <c r="A609" s="9" t="s">
        <v>48211</v>
      </c>
      <c r="B609" s="9" t="s">
        <v>11377</v>
      </c>
      <c r="C609" s="9" t="s">
        <v>47634</v>
      </c>
      <c r="D609" s="9">
        <v>372.0</v>
      </c>
      <c r="E609" s="9" t="s">
        <v>12241</v>
      </c>
      <c r="G609" s="9" t="s">
        <v>47521</v>
      </c>
    </row>
    <row r="610" ht="15.75" customHeight="1">
      <c r="A610" s="9" t="s">
        <v>48212</v>
      </c>
      <c r="B610" s="9" t="s">
        <v>11381</v>
      </c>
      <c r="C610" s="9" t="s">
        <v>47891</v>
      </c>
      <c r="D610" s="9">
        <v>160.0</v>
      </c>
      <c r="E610" s="9" t="s">
        <v>47959</v>
      </c>
      <c r="G610" s="9" t="s">
        <v>47521</v>
      </c>
    </row>
    <row r="611" ht="15.75" customHeight="1">
      <c r="A611" s="9" t="s">
        <v>48213</v>
      </c>
      <c r="B611" s="9" t="s">
        <v>11381</v>
      </c>
      <c r="C611" s="9" t="s">
        <v>47511</v>
      </c>
      <c r="D611" s="9">
        <v>160.0</v>
      </c>
      <c r="E611" s="9" t="s">
        <v>47998</v>
      </c>
      <c r="G611" s="9" t="s">
        <v>47521</v>
      </c>
    </row>
    <row r="612" ht="15.75" customHeight="1">
      <c r="A612" s="9" t="s">
        <v>48214</v>
      </c>
      <c r="B612" s="9" t="s">
        <v>11383</v>
      </c>
      <c r="C612" s="9" t="s">
        <v>47842</v>
      </c>
      <c r="D612" s="9">
        <v>120.0</v>
      </c>
      <c r="E612" s="9" t="s">
        <v>47959</v>
      </c>
      <c r="G612" s="9" t="s">
        <v>47521</v>
      </c>
    </row>
    <row r="613" ht="15.75" customHeight="1">
      <c r="A613" s="9" t="s">
        <v>48215</v>
      </c>
      <c r="B613" s="9" t="s">
        <v>11383</v>
      </c>
      <c r="C613" s="9" t="s">
        <v>47511</v>
      </c>
      <c r="D613" s="9">
        <v>120.0</v>
      </c>
      <c r="E613" s="9" t="s">
        <v>47998</v>
      </c>
      <c r="G613" s="9" t="s">
        <v>47521</v>
      </c>
    </row>
    <row r="614" ht="15.75" customHeight="1">
      <c r="A614" s="9" t="s">
        <v>48216</v>
      </c>
      <c r="B614" s="9" t="s">
        <v>11385</v>
      </c>
      <c r="C614" s="9" t="s">
        <v>47719</v>
      </c>
      <c r="D614" s="9">
        <v>189.0</v>
      </c>
      <c r="E614" s="9" t="s">
        <v>47567</v>
      </c>
      <c r="G614" s="9" t="s">
        <v>47521</v>
      </c>
    </row>
    <row r="615" ht="15.75" customHeight="1">
      <c r="A615" s="9" t="s">
        <v>48217</v>
      </c>
      <c r="B615" s="9" t="s">
        <v>11379</v>
      </c>
      <c r="C615" s="9" t="s">
        <v>47511</v>
      </c>
      <c r="D615" s="9">
        <v>170.0</v>
      </c>
      <c r="E615" s="9" t="s">
        <v>47998</v>
      </c>
      <c r="G615" s="9" t="s">
        <v>47521</v>
      </c>
    </row>
    <row r="616" ht="15.75" customHeight="1">
      <c r="A616" s="9" t="s">
        <v>48218</v>
      </c>
      <c r="B616" s="9" t="s">
        <v>12132</v>
      </c>
      <c r="C616" s="9" t="s">
        <v>48219</v>
      </c>
      <c r="D616" s="9">
        <v>26.0</v>
      </c>
    </row>
    <row r="617" ht="15.75" customHeight="1">
      <c r="A617" s="9" t="s">
        <v>48220</v>
      </c>
      <c r="B617" s="9" t="s">
        <v>12018</v>
      </c>
      <c r="D617" s="9">
        <v>290.0</v>
      </c>
      <c r="E617" s="9" t="s">
        <v>12245</v>
      </c>
      <c r="G617" s="9" t="s">
        <v>47521</v>
      </c>
    </row>
    <row r="618" ht="15.75" customHeight="1">
      <c r="A618" s="9" t="s">
        <v>48221</v>
      </c>
      <c r="B618" s="9" t="s">
        <v>11387</v>
      </c>
      <c r="C618" s="9" t="s">
        <v>47511</v>
      </c>
      <c r="D618" s="9">
        <v>350.0</v>
      </c>
      <c r="E618" s="9" t="s">
        <v>47959</v>
      </c>
      <c r="G618" s="9" t="s">
        <v>47521</v>
      </c>
    </row>
    <row r="619" ht="15.75" customHeight="1">
      <c r="A619" s="9" t="s">
        <v>48222</v>
      </c>
      <c r="B619" s="9" t="s">
        <v>11387</v>
      </c>
      <c r="D619" s="9">
        <v>450.0</v>
      </c>
      <c r="E619" s="9" t="s">
        <v>12243</v>
      </c>
      <c r="G619" s="9" t="s">
        <v>47521</v>
      </c>
    </row>
    <row r="620" ht="15.75" customHeight="1">
      <c r="A620" s="9" t="s">
        <v>48223</v>
      </c>
      <c r="B620" s="9" t="s">
        <v>11387</v>
      </c>
      <c r="D620" s="9">
        <v>800.0</v>
      </c>
      <c r="E620" s="9" t="s">
        <v>12241</v>
      </c>
      <c r="G620" s="9" t="s">
        <v>47521</v>
      </c>
    </row>
    <row r="621" ht="15.75" customHeight="1">
      <c r="A621" s="9" t="s">
        <v>48224</v>
      </c>
      <c r="B621" s="9" t="s">
        <v>11394</v>
      </c>
      <c r="D621" s="9">
        <v>100.0</v>
      </c>
      <c r="E621" s="9" t="s">
        <v>12245</v>
      </c>
      <c r="G621" s="9" t="s">
        <v>47521</v>
      </c>
    </row>
    <row r="622" ht="15.75" customHeight="1">
      <c r="A622" s="9" t="s">
        <v>48225</v>
      </c>
      <c r="B622" s="9" t="s">
        <v>9167</v>
      </c>
      <c r="D622" s="9">
        <v>25.0</v>
      </c>
      <c r="G622" s="9" t="s">
        <v>47521</v>
      </c>
    </row>
    <row r="623" ht="15.75" customHeight="1">
      <c r="A623" s="9" t="s">
        <v>48226</v>
      </c>
      <c r="B623" s="9" t="s">
        <v>11389</v>
      </c>
      <c r="C623" s="9" t="s">
        <v>47511</v>
      </c>
      <c r="D623" s="9">
        <v>35.0</v>
      </c>
      <c r="E623" s="9" t="s">
        <v>47561</v>
      </c>
      <c r="G623" s="9" t="s">
        <v>47521</v>
      </c>
    </row>
    <row r="624" ht="15.75" customHeight="1">
      <c r="A624" s="9" t="s">
        <v>48227</v>
      </c>
      <c r="B624" s="9" t="s">
        <v>1150</v>
      </c>
      <c r="D624" s="9">
        <v>10.0</v>
      </c>
    </row>
    <row r="625" ht="15.75" customHeight="1">
      <c r="A625" s="9" t="s">
        <v>48228</v>
      </c>
      <c r="B625" s="9" t="s">
        <v>11387</v>
      </c>
      <c r="C625" s="9" t="s">
        <v>47511</v>
      </c>
      <c r="D625" s="9">
        <v>150.0</v>
      </c>
      <c r="E625" s="9" t="s">
        <v>12245</v>
      </c>
      <c r="G625" s="9" t="s">
        <v>47521</v>
      </c>
    </row>
    <row r="626" ht="15.75" customHeight="1">
      <c r="A626" s="9" t="s">
        <v>48229</v>
      </c>
      <c r="B626" s="9" t="s">
        <v>4269</v>
      </c>
      <c r="C626" s="9" t="s">
        <v>47798</v>
      </c>
      <c r="D626" s="9">
        <v>15.0</v>
      </c>
      <c r="E626" s="9" t="s">
        <v>12237</v>
      </c>
      <c r="G626" s="9" t="s">
        <v>47521</v>
      </c>
    </row>
    <row r="627" ht="15.75" customHeight="1">
      <c r="A627" s="9" t="s">
        <v>48230</v>
      </c>
      <c r="B627" s="9" t="s">
        <v>4269</v>
      </c>
      <c r="D627" s="9">
        <v>25.0</v>
      </c>
      <c r="E627" s="9" t="s">
        <v>48186</v>
      </c>
      <c r="G627" s="9" t="s">
        <v>47521</v>
      </c>
    </row>
    <row r="628" ht="15.75" customHeight="1">
      <c r="A628" s="9" t="s">
        <v>48231</v>
      </c>
      <c r="B628" s="9" t="s">
        <v>4269</v>
      </c>
      <c r="D628" s="9">
        <v>55.0</v>
      </c>
      <c r="E628" s="9" t="s">
        <v>12226</v>
      </c>
      <c r="G628" s="9" t="s">
        <v>47521</v>
      </c>
    </row>
    <row r="629" ht="15.75" customHeight="1">
      <c r="A629" s="9" t="s">
        <v>48232</v>
      </c>
      <c r="B629" s="9" t="s">
        <v>4269</v>
      </c>
      <c r="C629" s="9" t="s">
        <v>47694</v>
      </c>
      <c r="D629" s="9">
        <v>7.0</v>
      </c>
      <c r="E629" s="9" t="s">
        <v>12237</v>
      </c>
      <c r="G629" s="9" t="s">
        <v>47521</v>
      </c>
    </row>
    <row r="630" ht="15.75" customHeight="1">
      <c r="A630" s="9" t="s">
        <v>48233</v>
      </c>
      <c r="B630" s="9" t="s">
        <v>4269</v>
      </c>
      <c r="C630" s="9" t="s">
        <v>47694</v>
      </c>
      <c r="D630" s="9">
        <v>11.0</v>
      </c>
      <c r="G630" s="9" t="s">
        <v>47521</v>
      </c>
    </row>
    <row r="631" ht="15.75" customHeight="1">
      <c r="A631" s="9" t="s">
        <v>48234</v>
      </c>
      <c r="B631" s="9" t="s">
        <v>1166</v>
      </c>
      <c r="C631" s="9" t="s">
        <v>47694</v>
      </c>
      <c r="D631" s="9">
        <v>6.0</v>
      </c>
      <c r="G631" s="9" t="s">
        <v>47521</v>
      </c>
    </row>
    <row r="632" ht="15.75" customHeight="1">
      <c r="A632" s="9" t="s">
        <v>48235</v>
      </c>
      <c r="B632" s="9" t="s">
        <v>1166</v>
      </c>
      <c r="D632" s="9">
        <v>35.0</v>
      </c>
      <c r="E632" s="9" t="s">
        <v>12223</v>
      </c>
      <c r="G632" s="9" t="s">
        <v>47521</v>
      </c>
    </row>
    <row r="633" ht="15.75" customHeight="1">
      <c r="A633" s="9" t="s">
        <v>48236</v>
      </c>
      <c r="B633" s="9" t="s">
        <v>1166</v>
      </c>
      <c r="D633" s="9">
        <v>48.0</v>
      </c>
      <c r="E633" s="9" t="s">
        <v>12226</v>
      </c>
      <c r="G633" s="9" t="s">
        <v>47521</v>
      </c>
    </row>
    <row r="634" ht="15.75" customHeight="1">
      <c r="A634" s="9" t="s">
        <v>48237</v>
      </c>
      <c r="B634" s="9" t="s">
        <v>1166</v>
      </c>
      <c r="C634" s="9" t="s">
        <v>48151</v>
      </c>
      <c r="D634" s="9">
        <v>58.0</v>
      </c>
      <c r="G634" s="9" t="s">
        <v>47521</v>
      </c>
    </row>
    <row r="635" ht="15.75" customHeight="1">
      <c r="A635" s="9" t="s">
        <v>48238</v>
      </c>
      <c r="B635" s="9" t="s">
        <v>9491</v>
      </c>
      <c r="C635" s="9" t="s">
        <v>47511</v>
      </c>
      <c r="D635" s="9">
        <v>199.0</v>
      </c>
      <c r="E635" s="9" t="s">
        <v>12245</v>
      </c>
      <c r="G635" s="9" t="s">
        <v>47521</v>
      </c>
    </row>
    <row r="636" ht="15.75" customHeight="1">
      <c r="A636" s="9" t="s">
        <v>48239</v>
      </c>
      <c r="B636" s="9" t="s">
        <v>11398</v>
      </c>
      <c r="C636" s="9" t="s">
        <v>47634</v>
      </c>
      <c r="D636" s="9">
        <v>85.0</v>
      </c>
      <c r="E636" s="9" t="s">
        <v>12245</v>
      </c>
      <c r="G636" s="9" t="s">
        <v>47521</v>
      </c>
    </row>
    <row r="637" ht="15.75" customHeight="1">
      <c r="A637" s="9" t="s">
        <v>48240</v>
      </c>
      <c r="B637" s="9" t="s">
        <v>11777</v>
      </c>
      <c r="D637" s="9">
        <v>25.0</v>
      </c>
    </row>
    <row r="638" ht="15.75" customHeight="1">
      <c r="A638" s="9" t="s">
        <v>48241</v>
      </c>
      <c r="B638" s="52" t="s">
        <v>16619</v>
      </c>
      <c r="D638" s="9">
        <v>12.0</v>
      </c>
      <c r="E638" s="9" t="s">
        <v>12228</v>
      </c>
      <c r="G638" s="9" t="s">
        <v>47521</v>
      </c>
    </row>
    <row r="639" ht="15.75" customHeight="1">
      <c r="A639" s="9" t="s">
        <v>48242</v>
      </c>
      <c r="B639" s="9" t="s">
        <v>11400</v>
      </c>
      <c r="D639" s="9">
        <v>100.0</v>
      </c>
      <c r="E639" s="9" t="s">
        <v>47542</v>
      </c>
      <c r="G639" s="9" t="s">
        <v>47521</v>
      </c>
    </row>
    <row r="640" ht="15.75" customHeight="1">
      <c r="A640" s="9" t="s">
        <v>48243</v>
      </c>
      <c r="B640" s="9" t="s">
        <v>11400</v>
      </c>
      <c r="D640" s="9">
        <v>120.0</v>
      </c>
      <c r="E640" s="9" t="s">
        <v>47542</v>
      </c>
      <c r="G640" s="9" t="s">
        <v>47521</v>
      </c>
    </row>
    <row r="641" ht="15.75" customHeight="1">
      <c r="A641" s="9" t="s">
        <v>48244</v>
      </c>
      <c r="B641" s="52" t="s">
        <v>19895</v>
      </c>
      <c r="D641" s="9">
        <v>9.6</v>
      </c>
      <c r="E641" s="9" t="s">
        <v>12228</v>
      </c>
      <c r="G641" s="9" t="s">
        <v>47521</v>
      </c>
    </row>
    <row r="642" ht="15.75" customHeight="1">
      <c r="A642" s="9" t="s">
        <v>48245</v>
      </c>
      <c r="B642" s="9" t="s">
        <v>8211</v>
      </c>
      <c r="C642" s="9" t="s">
        <v>47643</v>
      </c>
      <c r="D642" s="9">
        <v>150.0</v>
      </c>
    </row>
    <row r="643" ht="15.75" customHeight="1">
      <c r="A643" s="9" t="s">
        <v>48246</v>
      </c>
      <c r="B643" s="9" t="s">
        <v>8211</v>
      </c>
      <c r="C643" s="9" t="s">
        <v>47976</v>
      </c>
      <c r="D643" s="9">
        <v>50.0</v>
      </c>
      <c r="E643" s="9" t="s">
        <v>12234</v>
      </c>
      <c r="G643" s="9" t="s">
        <v>47521</v>
      </c>
    </row>
    <row r="644" ht="15.75" customHeight="1">
      <c r="A644" s="52" t="s">
        <v>48247</v>
      </c>
      <c r="B644" s="9" t="s">
        <v>8211</v>
      </c>
      <c r="C644" s="9" t="s">
        <v>47976</v>
      </c>
      <c r="D644" s="9">
        <v>190.0</v>
      </c>
    </row>
    <row r="645" ht="15.75" customHeight="1">
      <c r="A645" s="9" t="s">
        <v>48248</v>
      </c>
      <c r="B645" s="9" t="s">
        <v>11404</v>
      </c>
      <c r="C645" s="9" t="s">
        <v>47581</v>
      </c>
      <c r="D645" s="9">
        <v>25.0</v>
      </c>
      <c r="E645" s="9" t="s">
        <v>12237</v>
      </c>
      <c r="G645" s="9" t="s">
        <v>47521</v>
      </c>
    </row>
    <row r="646" ht="15.75" customHeight="1">
      <c r="A646" s="9" t="s">
        <v>48249</v>
      </c>
      <c r="B646" s="9" t="s">
        <v>11404</v>
      </c>
      <c r="C646" s="9" t="s">
        <v>47712</v>
      </c>
      <c r="D646" s="9">
        <v>30.0</v>
      </c>
      <c r="E646" s="9" t="s">
        <v>12225</v>
      </c>
      <c r="G646" s="9" t="s">
        <v>47521</v>
      </c>
    </row>
    <row r="647" ht="15.75" customHeight="1">
      <c r="A647" s="9" t="s">
        <v>48250</v>
      </c>
      <c r="B647" s="9" t="s">
        <v>9437</v>
      </c>
      <c r="C647" s="9" t="s">
        <v>47511</v>
      </c>
      <c r="D647" s="9">
        <v>80.0</v>
      </c>
      <c r="E647" s="9" t="s">
        <v>47998</v>
      </c>
      <c r="G647" s="9" t="s">
        <v>47521</v>
      </c>
    </row>
    <row r="648" ht="15.75" customHeight="1">
      <c r="A648" s="9" t="s">
        <v>48251</v>
      </c>
      <c r="B648" s="9" t="s">
        <v>9437</v>
      </c>
      <c r="C648" s="9" t="s">
        <v>47511</v>
      </c>
      <c r="D648" s="9">
        <v>60.0</v>
      </c>
      <c r="E648" s="9" t="s">
        <v>47959</v>
      </c>
      <c r="G648" s="9" t="s">
        <v>47521</v>
      </c>
    </row>
    <row r="649" ht="15.75" customHeight="1">
      <c r="A649" s="9" t="s">
        <v>48252</v>
      </c>
      <c r="B649" s="9" t="s">
        <v>11396</v>
      </c>
      <c r="C649" s="9" t="s">
        <v>47511</v>
      </c>
      <c r="D649" s="9">
        <v>120.0</v>
      </c>
      <c r="E649" s="9" t="s">
        <v>12245</v>
      </c>
      <c r="G649" s="9" t="s">
        <v>47521</v>
      </c>
    </row>
    <row r="650" ht="15.75" customHeight="1">
      <c r="A650" s="9" t="s">
        <v>48253</v>
      </c>
      <c r="B650" s="9" t="s">
        <v>6130</v>
      </c>
      <c r="D650" s="9">
        <v>400.0</v>
      </c>
      <c r="E650" s="9" t="s">
        <v>12241</v>
      </c>
      <c r="G650" s="9" t="s">
        <v>47521</v>
      </c>
    </row>
    <row r="651" ht="15.75" customHeight="1">
      <c r="A651" s="9" t="s">
        <v>48254</v>
      </c>
      <c r="B651" s="9" t="s">
        <v>6130</v>
      </c>
      <c r="D651" s="9">
        <v>200.0</v>
      </c>
      <c r="E651" s="9" t="s">
        <v>12243</v>
      </c>
      <c r="G651" s="9" t="s">
        <v>47521</v>
      </c>
    </row>
    <row r="652" ht="15.75" customHeight="1">
      <c r="A652" s="9" t="s">
        <v>48255</v>
      </c>
      <c r="B652" s="9" t="s">
        <v>260</v>
      </c>
      <c r="D652" s="9">
        <v>2.0</v>
      </c>
      <c r="E652" s="9" t="s">
        <v>12237</v>
      </c>
      <c r="G652" s="9" t="s">
        <v>47521</v>
      </c>
    </row>
    <row r="653" ht="15.75" customHeight="1">
      <c r="A653" s="9" t="s">
        <v>48256</v>
      </c>
      <c r="B653" s="9" t="s">
        <v>260</v>
      </c>
      <c r="D653" s="9">
        <v>3.0</v>
      </c>
      <c r="E653" s="9" t="s">
        <v>12234</v>
      </c>
      <c r="G653" s="9" t="s">
        <v>47521</v>
      </c>
    </row>
    <row r="654" ht="15.75" customHeight="1">
      <c r="A654" s="9" t="s">
        <v>48257</v>
      </c>
      <c r="B654" s="9" t="s">
        <v>11409</v>
      </c>
      <c r="C654" s="9" t="s">
        <v>48258</v>
      </c>
      <c r="D654" s="9">
        <v>10.0</v>
      </c>
      <c r="G654" s="9" t="s">
        <v>47521</v>
      </c>
    </row>
    <row r="655" ht="15.75" customHeight="1">
      <c r="A655" s="9" t="s">
        <v>48259</v>
      </c>
      <c r="B655" s="9" t="s">
        <v>5748</v>
      </c>
      <c r="D655" s="9">
        <v>450.0</v>
      </c>
      <c r="E655" s="9" t="s">
        <v>12241</v>
      </c>
      <c r="G655" s="9" t="s">
        <v>47521</v>
      </c>
    </row>
    <row r="656" ht="15.75" customHeight="1">
      <c r="A656" s="9" t="s">
        <v>48260</v>
      </c>
      <c r="B656" s="9" t="s">
        <v>11402</v>
      </c>
      <c r="C656" s="9" t="s">
        <v>47511</v>
      </c>
      <c r="D656" s="9">
        <v>330.0</v>
      </c>
      <c r="E656" s="9" t="s">
        <v>47998</v>
      </c>
      <c r="G656" s="9" t="s">
        <v>47521</v>
      </c>
    </row>
    <row r="657" ht="15.75" customHeight="1">
      <c r="A657" s="9" t="s">
        <v>48261</v>
      </c>
      <c r="B657" s="9" t="s">
        <v>11402</v>
      </c>
      <c r="C657" s="9" t="s">
        <v>47511</v>
      </c>
      <c r="D657" s="9">
        <v>300.0</v>
      </c>
      <c r="E657" s="9" t="s">
        <v>47959</v>
      </c>
      <c r="G657" s="9" t="s">
        <v>47521</v>
      </c>
    </row>
    <row r="658" ht="15.75" customHeight="1">
      <c r="A658" s="9" t="s">
        <v>48262</v>
      </c>
      <c r="B658" s="9" t="s">
        <v>8755</v>
      </c>
      <c r="C658" s="9" t="s">
        <v>47842</v>
      </c>
      <c r="D658" s="9">
        <v>70.0</v>
      </c>
      <c r="E658" s="9" t="s">
        <v>12245</v>
      </c>
      <c r="G658" s="9" t="s">
        <v>47521</v>
      </c>
    </row>
    <row r="659" ht="15.75" customHeight="1">
      <c r="A659" s="9" t="s">
        <v>48263</v>
      </c>
      <c r="B659" s="9" t="s">
        <v>9429</v>
      </c>
      <c r="C659" s="9" t="s">
        <v>47511</v>
      </c>
      <c r="D659" s="9">
        <v>139.0</v>
      </c>
      <c r="E659" s="9" t="s">
        <v>12245</v>
      </c>
      <c r="G659" s="9" t="s">
        <v>47521</v>
      </c>
    </row>
    <row r="660" ht="15.75" customHeight="1">
      <c r="A660" s="9" t="s">
        <v>48264</v>
      </c>
      <c r="B660" s="9" t="s">
        <v>2496</v>
      </c>
      <c r="C660" s="9" t="s">
        <v>48265</v>
      </c>
      <c r="D660" s="9">
        <v>6.0</v>
      </c>
      <c r="G660" s="9" t="s">
        <v>47521</v>
      </c>
    </row>
    <row r="661" ht="15.75" customHeight="1">
      <c r="A661" s="9" t="s">
        <v>48266</v>
      </c>
      <c r="B661" s="9" t="s">
        <v>2496</v>
      </c>
      <c r="C661" s="9" t="s">
        <v>47546</v>
      </c>
      <c r="D661" s="9">
        <v>16.0</v>
      </c>
      <c r="G661" s="9" t="s">
        <v>47521</v>
      </c>
    </row>
    <row r="662" ht="15.75" customHeight="1">
      <c r="A662" s="9" t="s">
        <v>48267</v>
      </c>
      <c r="B662" s="9" t="s">
        <v>9339</v>
      </c>
      <c r="D662" s="9">
        <v>300.0</v>
      </c>
      <c r="E662" s="9" t="s">
        <v>12241</v>
      </c>
    </row>
    <row r="663" ht="15.75" customHeight="1">
      <c r="A663" s="9" t="s">
        <v>48268</v>
      </c>
      <c r="B663" s="9" t="s">
        <v>9339</v>
      </c>
      <c r="D663" s="9">
        <v>50.0</v>
      </c>
      <c r="E663" s="9" t="s">
        <v>12245</v>
      </c>
    </row>
    <row r="664" ht="15.75" customHeight="1">
      <c r="A664" s="9" t="s">
        <v>48269</v>
      </c>
      <c r="B664" s="9" t="s">
        <v>9339</v>
      </c>
      <c r="C664" s="9" t="s">
        <v>48270</v>
      </c>
      <c r="D664" s="9">
        <v>40.0</v>
      </c>
      <c r="E664" s="9" t="s">
        <v>12245</v>
      </c>
    </row>
    <row r="665" ht="15.75" customHeight="1">
      <c r="A665" s="9" t="s">
        <v>48271</v>
      </c>
      <c r="B665" s="9" t="s">
        <v>11417</v>
      </c>
      <c r="D665" s="9">
        <v>110.0</v>
      </c>
      <c r="E665" s="9" t="s">
        <v>12245</v>
      </c>
      <c r="G665" s="9" t="s">
        <v>47521</v>
      </c>
    </row>
    <row r="666" ht="15.75" customHeight="1">
      <c r="A666" s="9" t="s">
        <v>48272</v>
      </c>
      <c r="B666" s="9" t="s">
        <v>11423</v>
      </c>
      <c r="D666" s="9">
        <v>109.0</v>
      </c>
      <c r="E666" s="9" t="s">
        <v>12234</v>
      </c>
      <c r="G666" s="9" t="s">
        <v>47521</v>
      </c>
    </row>
    <row r="667" ht="15.75" customHeight="1">
      <c r="A667" s="9" t="s">
        <v>48273</v>
      </c>
      <c r="B667" s="9" t="s">
        <v>11423</v>
      </c>
      <c r="D667" s="9">
        <v>30.0</v>
      </c>
      <c r="E667" s="9" t="s">
        <v>12225</v>
      </c>
      <c r="G667" s="9" t="s">
        <v>47521</v>
      </c>
    </row>
    <row r="668" ht="15.75" customHeight="1">
      <c r="A668" s="9" t="s">
        <v>48274</v>
      </c>
      <c r="B668" s="9" t="s">
        <v>11425</v>
      </c>
      <c r="C668" s="9" t="s">
        <v>47714</v>
      </c>
      <c r="D668" s="9">
        <v>490.0</v>
      </c>
      <c r="G668" s="9" t="s">
        <v>47521</v>
      </c>
    </row>
    <row r="669" ht="15.75" customHeight="1">
      <c r="A669" s="9" t="s">
        <v>48275</v>
      </c>
      <c r="B669" s="9" t="s">
        <v>11425</v>
      </c>
      <c r="C669" s="9" t="s">
        <v>47716</v>
      </c>
      <c r="D669" s="9">
        <v>700.0</v>
      </c>
      <c r="G669" s="9" t="s">
        <v>47521</v>
      </c>
    </row>
    <row r="670" ht="15.75" customHeight="1">
      <c r="A670" s="9" t="s">
        <v>48276</v>
      </c>
      <c r="B670" s="9" t="s">
        <v>9375</v>
      </c>
      <c r="C670" s="9" t="s">
        <v>47714</v>
      </c>
      <c r="D670" s="9">
        <v>490.0</v>
      </c>
      <c r="G670" s="9" t="s">
        <v>47521</v>
      </c>
    </row>
    <row r="671" ht="15.75" customHeight="1">
      <c r="A671" s="9" t="s">
        <v>48277</v>
      </c>
      <c r="B671" s="9" t="s">
        <v>3497</v>
      </c>
      <c r="C671" s="9" t="s">
        <v>47714</v>
      </c>
      <c r="D671" s="9">
        <v>490.0</v>
      </c>
      <c r="G671" s="9" t="s">
        <v>47521</v>
      </c>
    </row>
    <row r="672" ht="15.75" customHeight="1">
      <c r="A672" s="9" t="s">
        <v>48278</v>
      </c>
      <c r="B672" s="9" t="s">
        <v>3497</v>
      </c>
      <c r="C672" s="9" t="s">
        <v>47716</v>
      </c>
      <c r="D672" s="9">
        <v>700.0</v>
      </c>
      <c r="G672" s="9" t="s">
        <v>47521</v>
      </c>
    </row>
    <row r="673" ht="15.75" customHeight="1">
      <c r="A673" s="9" t="s">
        <v>48279</v>
      </c>
      <c r="B673" s="9" t="s">
        <v>11657</v>
      </c>
      <c r="D673" s="9">
        <v>69.0</v>
      </c>
      <c r="E673" s="9" t="s">
        <v>12231</v>
      </c>
      <c r="G673" s="9" t="s">
        <v>47521</v>
      </c>
    </row>
    <row r="674" ht="15.75" customHeight="1">
      <c r="A674" s="9" t="s">
        <v>48280</v>
      </c>
      <c r="B674" s="9" t="s">
        <v>9564</v>
      </c>
      <c r="D674" s="9">
        <v>680.0</v>
      </c>
      <c r="E674" s="9" t="s">
        <v>12241</v>
      </c>
      <c r="G674" s="9" t="s">
        <v>47521</v>
      </c>
    </row>
    <row r="675" ht="15.75" customHeight="1">
      <c r="A675" s="9" t="s">
        <v>48281</v>
      </c>
      <c r="B675" s="9" t="s">
        <v>9564</v>
      </c>
      <c r="C675" s="9" t="s">
        <v>47511</v>
      </c>
      <c r="D675" s="9">
        <v>320.0</v>
      </c>
      <c r="G675" s="9" t="s">
        <v>47521</v>
      </c>
    </row>
    <row r="676" ht="15.75" customHeight="1">
      <c r="A676" s="9" t="s">
        <v>48282</v>
      </c>
      <c r="B676" s="9" t="s">
        <v>9708</v>
      </c>
      <c r="D676" s="9">
        <v>11.8</v>
      </c>
      <c r="E676" s="9" t="s">
        <v>12228</v>
      </c>
      <c r="G676" s="9" t="s">
        <v>47521</v>
      </c>
    </row>
    <row r="677" ht="15.75" customHeight="1">
      <c r="A677" s="9" t="s">
        <v>48283</v>
      </c>
      <c r="B677" s="9" t="s">
        <v>11419</v>
      </c>
      <c r="C677" s="9" t="s">
        <v>47891</v>
      </c>
      <c r="D677" s="9">
        <v>129.0</v>
      </c>
      <c r="E677" s="9" t="s">
        <v>12245</v>
      </c>
      <c r="G677" s="9" t="s">
        <v>47521</v>
      </c>
    </row>
    <row r="678" ht="15.75" customHeight="1">
      <c r="A678" s="9" t="s">
        <v>48284</v>
      </c>
      <c r="B678" s="9" t="s">
        <v>3158</v>
      </c>
      <c r="C678" s="9" t="s">
        <v>48285</v>
      </c>
      <c r="D678" s="9">
        <v>130.0</v>
      </c>
      <c r="E678" s="9" t="s">
        <v>47561</v>
      </c>
      <c r="G678" s="9" t="s">
        <v>47521</v>
      </c>
    </row>
    <row r="679" ht="15.75" customHeight="1">
      <c r="A679" s="9" t="s">
        <v>48286</v>
      </c>
      <c r="B679" s="9" t="s">
        <v>3158</v>
      </c>
      <c r="C679" s="9" t="s">
        <v>48287</v>
      </c>
      <c r="D679" s="9">
        <v>149.0</v>
      </c>
      <c r="E679" s="9" t="s">
        <v>47561</v>
      </c>
      <c r="G679" s="9" t="s">
        <v>47521</v>
      </c>
    </row>
    <row r="680" ht="15.75" customHeight="1">
      <c r="A680" s="9" t="s">
        <v>48288</v>
      </c>
      <c r="B680" s="9" t="s">
        <v>3158</v>
      </c>
      <c r="C680" s="9" t="s">
        <v>48289</v>
      </c>
      <c r="D680" s="9">
        <v>169.0</v>
      </c>
      <c r="E680" s="9" t="s">
        <v>47561</v>
      </c>
      <c r="G680" s="9" t="s">
        <v>47521</v>
      </c>
    </row>
    <row r="681" ht="15.75" customHeight="1">
      <c r="A681" s="9" t="s">
        <v>48290</v>
      </c>
      <c r="B681" s="9" t="s">
        <v>3158</v>
      </c>
      <c r="C681" s="9" t="s">
        <v>48291</v>
      </c>
      <c r="D681" s="9">
        <v>184.0</v>
      </c>
      <c r="E681" s="9" t="s">
        <v>48292</v>
      </c>
      <c r="G681" s="9" t="s">
        <v>47521</v>
      </c>
    </row>
    <row r="682" ht="15.75" customHeight="1">
      <c r="A682" s="9" t="s">
        <v>48293</v>
      </c>
      <c r="B682" s="9" t="s">
        <v>3158</v>
      </c>
      <c r="C682" s="9" t="s">
        <v>48294</v>
      </c>
      <c r="D682" s="9">
        <v>214.0</v>
      </c>
      <c r="E682" s="9" t="s">
        <v>47865</v>
      </c>
      <c r="G682" s="9" t="s">
        <v>47521</v>
      </c>
    </row>
    <row r="683" ht="15.75" customHeight="1">
      <c r="A683" s="9" t="s">
        <v>48295</v>
      </c>
      <c r="B683" s="9" t="s">
        <v>3158</v>
      </c>
      <c r="C683" s="9" t="s">
        <v>47694</v>
      </c>
      <c r="D683" s="9">
        <v>20.0</v>
      </c>
      <c r="E683" s="9" t="s">
        <v>12234</v>
      </c>
      <c r="G683" s="9" t="s">
        <v>47521</v>
      </c>
    </row>
    <row r="684" ht="15.75" customHeight="1">
      <c r="A684" s="9" t="s">
        <v>48296</v>
      </c>
      <c r="B684" s="9" t="s">
        <v>3158</v>
      </c>
      <c r="C684" s="9" t="s">
        <v>48297</v>
      </c>
      <c r="D684" s="9">
        <v>62.0</v>
      </c>
      <c r="E684" s="9" t="s">
        <v>12234</v>
      </c>
      <c r="G684" s="9" t="s">
        <v>47521</v>
      </c>
    </row>
    <row r="685" ht="15.75" customHeight="1">
      <c r="A685" s="9" t="s">
        <v>48298</v>
      </c>
      <c r="B685" s="9" t="s">
        <v>3158</v>
      </c>
      <c r="C685" s="9" t="s">
        <v>48299</v>
      </c>
      <c r="D685" s="9">
        <v>98.0</v>
      </c>
      <c r="E685" s="9" t="s">
        <v>12234</v>
      </c>
      <c r="G685" s="9" t="s">
        <v>47521</v>
      </c>
    </row>
    <row r="686" ht="15.75" customHeight="1">
      <c r="A686" s="9" t="s">
        <v>48300</v>
      </c>
      <c r="B686" s="9" t="s">
        <v>11429</v>
      </c>
      <c r="C686" s="9" t="s">
        <v>48301</v>
      </c>
      <c r="D686" s="9">
        <v>45.0</v>
      </c>
      <c r="G686" s="9" t="s">
        <v>47521</v>
      </c>
    </row>
    <row r="687" ht="15.75" customHeight="1">
      <c r="A687" s="9" t="s">
        <v>48302</v>
      </c>
      <c r="B687" s="9" t="s">
        <v>4674</v>
      </c>
      <c r="C687" s="9" t="s">
        <v>48303</v>
      </c>
      <c r="D687" s="9">
        <v>200.0</v>
      </c>
      <c r="E687" s="9" t="s">
        <v>48292</v>
      </c>
      <c r="G687" s="9" t="s">
        <v>47521</v>
      </c>
    </row>
    <row r="688" ht="15.75" customHeight="1">
      <c r="A688" s="9" t="s">
        <v>48304</v>
      </c>
      <c r="B688" s="9" t="s">
        <v>4224</v>
      </c>
      <c r="D688" s="9">
        <v>125.0</v>
      </c>
      <c r="E688" s="9" t="s">
        <v>12223</v>
      </c>
      <c r="G688" s="9" t="s">
        <v>47521</v>
      </c>
    </row>
    <row r="689" ht="15.75" customHeight="1">
      <c r="A689" s="9" t="s">
        <v>48305</v>
      </c>
      <c r="B689" s="9" t="s">
        <v>3314</v>
      </c>
      <c r="D689" s="9">
        <v>82.0</v>
      </c>
      <c r="E689" s="9" t="s">
        <v>12223</v>
      </c>
      <c r="G689" s="9" t="s">
        <v>47521</v>
      </c>
    </row>
    <row r="690" ht="15.75" customHeight="1">
      <c r="A690" s="9" t="s">
        <v>48306</v>
      </c>
      <c r="B690" s="9" t="s">
        <v>11717</v>
      </c>
      <c r="C690" s="9" t="s">
        <v>47573</v>
      </c>
      <c r="D690" s="9">
        <v>150.0</v>
      </c>
      <c r="E690" s="9" t="s">
        <v>12245</v>
      </c>
    </row>
    <row r="691" ht="15.75" customHeight="1">
      <c r="A691" s="9" t="s">
        <v>48307</v>
      </c>
      <c r="B691" s="9" t="s">
        <v>11717</v>
      </c>
      <c r="C691" s="9" t="s">
        <v>47511</v>
      </c>
      <c r="D691" s="9">
        <v>250.0</v>
      </c>
      <c r="E691" s="9" t="s">
        <v>12243</v>
      </c>
    </row>
    <row r="692" ht="15.75" customHeight="1">
      <c r="A692" s="9" t="s">
        <v>48308</v>
      </c>
      <c r="B692" s="9" t="s">
        <v>11717</v>
      </c>
      <c r="C692" s="9" t="s">
        <v>47891</v>
      </c>
      <c r="D692" s="9">
        <v>350.0</v>
      </c>
    </row>
    <row r="693" ht="15.75" customHeight="1">
      <c r="A693" s="9" t="s">
        <v>48309</v>
      </c>
      <c r="B693" s="9" t="s">
        <v>4674</v>
      </c>
      <c r="C693" s="9" t="s">
        <v>48310</v>
      </c>
      <c r="D693" s="9">
        <v>150.0</v>
      </c>
      <c r="E693" s="9" t="s">
        <v>47561</v>
      </c>
      <c r="G693" s="9" t="s">
        <v>47521</v>
      </c>
    </row>
    <row r="694" ht="15.75" customHeight="1">
      <c r="A694" s="9" t="s">
        <v>48311</v>
      </c>
      <c r="B694" s="9" t="s">
        <v>4674</v>
      </c>
      <c r="C694" s="9" t="s">
        <v>48312</v>
      </c>
      <c r="D694" s="9">
        <v>130.0</v>
      </c>
      <c r="E694" s="9" t="s">
        <v>47561</v>
      </c>
      <c r="G694" s="9" t="s">
        <v>47521</v>
      </c>
    </row>
    <row r="695" ht="15.75" customHeight="1">
      <c r="A695" s="9" t="s">
        <v>48313</v>
      </c>
      <c r="B695" s="9" t="s">
        <v>4674</v>
      </c>
      <c r="C695" s="9" t="s">
        <v>48151</v>
      </c>
      <c r="D695" s="9">
        <v>150.0</v>
      </c>
      <c r="E695" s="9" t="s">
        <v>12245</v>
      </c>
      <c r="G695" s="9" t="s">
        <v>47521</v>
      </c>
    </row>
    <row r="696" ht="15.75" customHeight="1">
      <c r="A696" s="9" t="s">
        <v>48314</v>
      </c>
      <c r="B696" s="9" t="s">
        <v>4674</v>
      </c>
      <c r="C696" s="9" t="s">
        <v>48315</v>
      </c>
      <c r="D696" s="9">
        <v>130.0</v>
      </c>
      <c r="E696" s="9" t="s">
        <v>47561</v>
      </c>
      <c r="G696" s="9" t="s">
        <v>47521</v>
      </c>
    </row>
    <row r="697" ht="15.75" customHeight="1">
      <c r="A697" s="9" t="s">
        <v>48316</v>
      </c>
      <c r="B697" s="9" t="s">
        <v>4674</v>
      </c>
      <c r="C697" s="9" t="s">
        <v>48317</v>
      </c>
      <c r="D697" s="9">
        <v>150.0</v>
      </c>
      <c r="E697" s="9" t="s">
        <v>47561</v>
      </c>
      <c r="G697" s="9" t="s">
        <v>47521</v>
      </c>
    </row>
    <row r="698" ht="15.75" customHeight="1">
      <c r="A698" s="9" t="s">
        <v>48318</v>
      </c>
      <c r="B698" s="9" t="s">
        <v>4674</v>
      </c>
      <c r="C698" s="9" t="s">
        <v>48319</v>
      </c>
      <c r="D698" s="9">
        <v>200.0</v>
      </c>
      <c r="E698" s="9" t="s">
        <v>47561</v>
      </c>
      <c r="G698" s="9" t="s">
        <v>47521</v>
      </c>
    </row>
    <row r="699" ht="15.75" customHeight="1">
      <c r="A699" s="9" t="s">
        <v>48320</v>
      </c>
      <c r="B699" s="9" t="s">
        <v>4674</v>
      </c>
      <c r="C699" s="9" t="s">
        <v>47694</v>
      </c>
      <c r="D699" s="9">
        <v>18.0</v>
      </c>
      <c r="E699" s="9" t="s">
        <v>12234</v>
      </c>
      <c r="G699" s="9" t="s">
        <v>47521</v>
      </c>
    </row>
    <row r="700" ht="15.75" customHeight="1">
      <c r="A700" s="9" t="s">
        <v>48321</v>
      </c>
      <c r="B700" s="9" t="s">
        <v>9827</v>
      </c>
      <c r="C700" s="9" t="s">
        <v>47511</v>
      </c>
      <c r="D700" s="9">
        <v>30.0</v>
      </c>
      <c r="E700" s="9" t="s">
        <v>47561</v>
      </c>
      <c r="G700" s="9" t="s">
        <v>47521</v>
      </c>
    </row>
    <row r="701" ht="15.75" customHeight="1">
      <c r="A701" s="9" t="s">
        <v>48322</v>
      </c>
      <c r="B701" s="9" t="s">
        <v>11415</v>
      </c>
      <c r="C701" s="9" t="s">
        <v>47511</v>
      </c>
      <c r="D701" s="9">
        <v>147.0</v>
      </c>
      <c r="E701" s="9" t="s">
        <v>12245</v>
      </c>
      <c r="G701" s="9" t="s">
        <v>47521</v>
      </c>
    </row>
    <row r="702" ht="15.75" customHeight="1">
      <c r="A702" s="9" t="s">
        <v>48323</v>
      </c>
      <c r="B702" s="9" t="s">
        <v>11406</v>
      </c>
      <c r="C702" s="9" t="s">
        <v>47511</v>
      </c>
      <c r="D702" s="9">
        <v>260.0</v>
      </c>
      <c r="E702" s="9" t="s">
        <v>12245</v>
      </c>
      <c r="G702" s="9" t="s">
        <v>47521</v>
      </c>
    </row>
    <row r="703" ht="15.75" customHeight="1">
      <c r="A703" s="9" t="s">
        <v>48324</v>
      </c>
      <c r="B703" s="9" t="s">
        <v>6947</v>
      </c>
      <c r="D703" s="9">
        <v>10.0</v>
      </c>
      <c r="G703" s="9" t="s">
        <v>47521</v>
      </c>
    </row>
    <row r="704" ht="15.75" customHeight="1">
      <c r="A704" s="9" t="s">
        <v>48325</v>
      </c>
      <c r="B704" s="9" t="s">
        <v>11748</v>
      </c>
      <c r="D704" s="9">
        <v>2.0</v>
      </c>
      <c r="E704" s="9" t="s">
        <v>12231</v>
      </c>
      <c r="G704" s="9" t="s">
        <v>47521</v>
      </c>
    </row>
    <row r="705" ht="15.75" customHeight="1">
      <c r="A705" s="9" t="s">
        <v>48326</v>
      </c>
      <c r="B705" s="9" t="s">
        <v>11680</v>
      </c>
      <c r="C705" s="9" t="s">
        <v>48151</v>
      </c>
      <c r="D705" s="9">
        <v>75.0</v>
      </c>
      <c r="E705" s="9" t="s">
        <v>12245</v>
      </c>
      <c r="G705" s="9" t="s">
        <v>47521</v>
      </c>
    </row>
    <row r="706" ht="15.75" customHeight="1">
      <c r="A706" s="9" t="s">
        <v>48327</v>
      </c>
      <c r="B706" s="9" t="s">
        <v>11680</v>
      </c>
      <c r="C706" s="9" t="s">
        <v>47546</v>
      </c>
      <c r="D706" s="9">
        <v>25.0</v>
      </c>
      <c r="G706" s="9" t="s">
        <v>47521</v>
      </c>
    </row>
    <row r="707" ht="15.75" customHeight="1">
      <c r="A707" s="9" t="s">
        <v>48328</v>
      </c>
      <c r="B707" s="9" t="s">
        <v>11431</v>
      </c>
      <c r="C707" s="9" t="s">
        <v>47511</v>
      </c>
      <c r="D707" s="9">
        <v>140.0</v>
      </c>
      <c r="E707" s="9" t="s">
        <v>12245</v>
      </c>
      <c r="G707" s="9" t="s">
        <v>47521</v>
      </c>
    </row>
    <row r="708" ht="15.75" customHeight="1">
      <c r="A708" s="9" t="s">
        <v>48329</v>
      </c>
      <c r="B708" s="9" t="s">
        <v>11433</v>
      </c>
      <c r="D708" s="9">
        <v>1.2</v>
      </c>
      <c r="E708" s="9" t="s">
        <v>12231</v>
      </c>
      <c r="G708" s="9" t="s">
        <v>47521</v>
      </c>
    </row>
    <row r="709" ht="15.75" customHeight="1">
      <c r="A709" s="9" t="s">
        <v>48330</v>
      </c>
      <c r="B709" s="9" t="s">
        <v>8060</v>
      </c>
      <c r="C709" s="9" t="s">
        <v>47511</v>
      </c>
      <c r="D709" s="9">
        <v>450.0</v>
      </c>
      <c r="E709" s="9" t="s">
        <v>12226</v>
      </c>
      <c r="G709" s="9" t="s">
        <v>47521</v>
      </c>
    </row>
    <row r="710" ht="15.75" customHeight="1">
      <c r="A710" s="9" t="s">
        <v>48331</v>
      </c>
      <c r="B710" s="9" t="s">
        <v>2902</v>
      </c>
      <c r="D710" s="9">
        <v>85.0</v>
      </c>
      <c r="E710" s="9" t="s">
        <v>12226</v>
      </c>
      <c r="G710" s="9" t="s">
        <v>47521</v>
      </c>
    </row>
    <row r="711" ht="15.75" customHeight="1">
      <c r="A711" s="9" t="s">
        <v>48332</v>
      </c>
      <c r="B711" s="9" t="s">
        <v>2902</v>
      </c>
      <c r="C711" s="9" t="s">
        <v>48145</v>
      </c>
      <c r="D711" s="9">
        <v>110.0</v>
      </c>
      <c r="G711" s="9" t="s">
        <v>47521</v>
      </c>
    </row>
    <row r="712" ht="15.75" customHeight="1">
      <c r="A712" s="9" t="s">
        <v>48333</v>
      </c>
      <c r="B712" s="9" t="s">
        <v>2902</v>
      </c>
      <c r="C712" s="9" t="s">
        <v>47546</v>
      </c>
      <c r="D712" s="9">
        <v>30.0</v>
      </c>
      <c r="G712" s="9" t="s">
        <v>47521</v>
      </c>
    </row>
    <row r="713" ht="15.75" customHeight="1">
      <c r="A713" s="9" t="s">
        <v>48334</v>
      </c>
      <c r="B713" s="9" t="s">
        <v>245</v>
      </c>
      <c r="C713" s="9" t="s">
        <v>47712</v>
      </c>
      <c r="D713" s="9">
        <v>20.0</v>
      </c>
      <c r="E713" s="9" t="s">
        <v>12225</v>
      </c>
      <c r="G713" s="9" t="s">
        <v>47521</v>
      </c>
    </row>
    <row r="714" ht="15.75" customHeight="1">
      <c r="A714" s="9" t="s">
        <v>48335</v>
      </c>
      <c r="B714" s="9" t="s">
        <v>245</v>
      </c>
      <c r="D714" s="9">
        <v>15.0</v>
      </c>
      <c r="E714" s="9" t="s">
        <v>48037</v>
      </c>
      <c r="G714" s="9" t="s">
        <v>47521</v>
      </c>
    </row>
    <row r="715" ht="15.75" customHeight="1">
      <c r="A715" s="9" t="s">
        <v>48336</v>
      </c>
      <c r="B715" s="9" t="s">
        <v>8871</v>
      </c>
      <c r="D715" s="9">
        <v>5.0</v>
      </c>
      <c r="E715" s="9" t="s">
        <v>12228</v>
      </c>
      <c r="G715" s="9" t="s">
        <v>47521</v>
      </c>
    </row>
    <row r="716" ht="15.75" customHeight="1">
      <c r="A716" s="9" t="s">
        <v>48337</v>
      </c>
      <c r="B716" s="9" t="s">
        <v>11884</v>
      </c>
      <c r="D716" s="9">
        <v>2.8</v>
      </c>
      <c r="E716" s="9" t="s">
        <v>12228</v>
      </c>
      <c r="G716" s="9" t="s">
        <v>47521</v>
      </c>
    </row>
    <row r="717" ht="15.75" customHeight="1">
      <c r="A717" s="9" t="s">
        <v>48338</v>
      </c>
      <c r="B717" s="9" t="s">
        <v>11618</v>
      </c>
      <c r="D717" s="9">
        <v>6.0</v>
      </c>
      <c r="E717" s="9" t="s">
        <v>12228</v>
      </c>
      <c r="G717" s="9" t="s">
        <v>47521</v>
      </c>
    </row>
    <row r="718" ht="15.75" customHeight="1">
      <c r="A718" s="9" t="s">
        <v>48339</v>
      </c>
      <c r="B718" s="9" t="s">
        <v>10567</v>
      </c>
      <c r="D718" s="9">
        <v>3.0</v>
      </c>
      <c r="E718" s="9" t="s">
        <v>12228</v>
      </c>
      <c r="G718" s="9" t="s">
        <v>47521</v>
      </c>
    </row>
    <row r="719" ht="15.75" customHeight="1">
      <c r="A719" s="9" t="s">
        <v>48340</v>
      </c>
      <c r="B719" s="9" t="s">
        <v>10262</v>
      </c>
      <c r="C719" s="9" t="s">
        <v>48341</v>
      </c>
      <c r="D719" s="9">
        <v>80.0</v>
      </c>
      <c r="G719" s="9" t="s">
        <v>47521</v>
      </c>
    </row>
    <row r="720" ht="15.75" customHeight="1">
      <c r="A720" s="9" t="s">
        <v>48342</v>
      </c>
      <c r="B720" s="9" t="s">
        <v>10262</v>
      </c>
      <c r="D720" s="9">
        <v>30.0</v>
      </c>
      <c r="E720" s="9" t="s">
        <v>12234</v>
      </c>
      <c r="G720" s="9" t="s">
        <v>47521</v>
      </c>
    </row>
    <row r="721" ht="15.75" customHeight="1">
      <c r="A721" s="9" t="s">
        <v>48343</v>
      </c>
      <c r="B721" s="9" t="s">
        <v>9048</v>
      </c>
      <c r="D721" s="9">
        <v>120.0</v>
      </c>
      <c r="E721" s="9" t="s">
        <v>12245</v>
      </c>
      <c r="G721" s="9" t="s">
        <v>47521</v>
      </c>
    </row>
    <row r="722" ht="15.75" customHeight="1">
      <c r="A722" s="9" t="s">
        <v>48344</v>
      </c>
      <c r="B722" s="9" t="s">
        <v>9048</v>
      </c>
      <c r="C722" s="9" t="s">
        <v>47719</v>
      </c>
      <c r="D722" s="9">
        <v>80.0</v>
      </c>
      <c r="E722" s="9" t="s">
        <v>47542</v>
      </c>
      <c r="G722" s="9" t="s">
        <v>47521</v>
      </c>
    </row>
    <row r="723" ht="15.75" customHeight="1">
      <c r="A723" s="9" t="s">
        <v>48345</v>
      </c>
      <c r="B723" s="9" t="s">
        <v>11435</v>
      </c>
      <c r="D723" s="9">
        <v>55.0</v>
      </c>
      <c r="E723" s="9" t="s">
        <v>12245</v>
      </c>
      <c r="G723" s="9" t="s">
        <v>47521</v>
      </c>
    </row>
    <row r="724" ht="15.75" customHeight="1">
      <c r="A724" s="9" t="s">
        <v>48346</v>
      </c>
      <c r="B724" s="9" t="s">
        <v>11437</v>
      </c>
      <c r="D724" s="9">
        <v>20.0</v>
      </c>
      <c r="E724" s="9" t="s">
        <v>12228</v>
      </c>
      <c r="G724" s="9" t="s">
        <v>47521</v>
      </c>
    </row>
    <row r="725" ht="15.75" customHeight="1">
      <c r="A725" s="9" t="s">
        <v>48347</v>
      </c>
      <c r="B725" s="9" t="s">
        <v>11441</v>
      </c>
      <c r="D725" s="9">
        <v>4.5</v>
      </c>
      <c r="E725" s="9" t="s">
        <v>12231</v>
      </c>
      <c r="G725" s="9" t="s">
        <v>47521</v>
      </c>
    </row>
    <row r="726" ht="15.75" customHeight="1">
      <c r="A726" s="9" t="s">
        <v>48348</v>
      </c>
      <c r="B726" s="9" t="s">
        <v>11443</v>
      </c>
      <c r="D726" s="9">
        <v>88.0</v>
      </c>
      <c r="E726" s="9" t="s">
        <v>47561</v>
      </c>
      <c r="G726" s="9" t="s">
        <v>47521</v>
      </c>
    </row>
    <row r="727" ht="15.75" customHeight="1">
      <c r="A727" s="9" t="s">
        <v>48349</v>
      </c>
      <c r="B727" s="9" t="s">
        <v>11392</v>
      </c>
      <c r="D727" s="9">
        <v>85.0</v>
      </c>
      <c r="E727" s="9" t="s">
        <v>12245</v>
      </c>
      <c r="G727" s="9" t="s">
        <v>47521</v>
      </c>
    </row>
    <row r="728" ht="15.75" customHeight="1">
      <c r="A728" s="9" t="s">
        <v>48350</v>
      </c>
      <c r="B728" s="9" t="s">
        <v>11450</v>
      </c>
      <c r="D728" s="9">
        <v>2.0</v>
      </c>
      <c r="E728" s="9" t="s">
        <v>12231</v>
      </c>
      <c r="G728" s="9" t="s">
        <v>47521</v>
      </c>
    </row>
    <row r="729" ht="15.75" customHeight="1">
      <c r="A729" s="9" t="s">
        <v>48351</v>
      </c>
      <c r="B729" s="9" t="s">
        <v>11452</v>
      </c>
      <c r="C729" s="9" t="s">
        <v>47511</v>
      </c>
      <c r="D729" s="9">
        <v>74.0</v>
      </c>
      <c r="E729" s="9" t="s">
        <v>47569</v>
      </c>
      <c r="G729" s="9" t="s">
        <v>47521</v>
      </c>
    </row>
    <row r="730" ht="15.75" customHeight="1">
      <c r="A730" s="9" t="s">
        <v>48352</v>
      </c>
      <c r="B730" s="9" t="s">
        <v>11445</v>
      </c>
      <c r="D730" s="9">
        <v>5.0</v>
      </c>
      <c r="E730" s="9" t="s">
        <v>12234</v>
      </c>
      <c r="G730" s="9" t="s">
        <v>47521</v>
      </c>
    </row>
    <row r="731" ht="15.75" customHeight="1">
      <c r="A731" s="9" t="s">
        <v>48353</v>
      </c>
      <c r="B731" s="9" t="s">
        <v>11454</v>
      </c>
      <c r="C731" s="9" t="s">
        <v>47511</v>
      </c>
      <c r="D731" s="9">
        <v>80.0</v>
      </c>
      <c r="E731" s="9" t="s">
        <v>12245</v>
      </c>
      <c r="G731" s="9" t="s">
        <v>47521</v>
      </c>
    </row>
    <row r="732" ht="15.75" customHeight="1">
      <c r="A732" s="9" t="s">
        <v>48354</v>
      </c>
      <c r="B732" s="9" t="s">
        <v>11456</v>
      </c>
      <c r="D732" s="9">
        <v>66.0</v>
      </c>
      <c r="E732" s="9" t="s">
        <v>12245</v>
      </c>
      <c r="G732" s="9" t="s">
        <v>47521</v>
      </c>
    </row>
    <row r="733" ht="15.75" customHeight="1">
      <c r="A733" s="9" t="s">
        <v>48355</v>
      </c>
      <c r="B733" s="9" t="s">
        <v>11458</v>
      </c>
      <c r="C733" s="9" t="s">
        <v>47594</v>
      </c>
      <c r="D733" s="9">
        <v>200.0</v>
      </c>
      <c r="E733" s="9" t="s">
        <v>12245</v>
      </c>
      <c r="G733" s="9" t="s">
        <v>47521</v>
      </c>
    </row>
    <row r="734" ht="15.75" customHeight="1">
      <c r="A734" s="9" t="s">
        <v>48356</v>
      </c>
      <c r="B734" s="9" t="s">
        <v>9884</v>
      </c>
      <c r="C734" s="9" t="s">
        <v>47511</v>
      </c>
      <c r="D734" s="9">
        <v>40.0</v>
      </c>
      <c r="E734" s="9" t="s">
        <v>47561</v>
      </c>
      <c r="G734" s="9" t="s">
        <v>47521</v>
      </c>
    </row>
    <row r="735" ht="15.75" customHeight="1">
      <c r="A735" s="9" t="s">
        <v>48357</v>
      </c>
      <c r="B735" s="9" t="s">
        <v>9884</v>
      </c>
      <c r="D735" s="9">
        <v>240.0</v>
      </c>
      <c r="E735" s="9" t="s">
        <v>12241</v>
      </c>
      <c r="G735" s="9" t="s">
        <v>47521</v>
      </c>
    </row>
    <row r="736" ht="15.75" customHeight="1">
      <c r="A736" s="9" t="s">
        <v>48358</v>
      </c>
      <c r="B736" s="9" t="s">
        <v>9218</v>
      </c>
      <c r="D736" s="9">
        <v>15.0</v>
      </c>
      <c r="G736" s="9" t="s">
        <v>47521</v>
      </c>
    </row>
    <row r="737" ht="15.75" customHeight="1">
      <c r="A737" s="9" t="s">
        <v>48359</v>
      </c>
      <c r="B737" s="9" t="s">
        <v>10616</v>
      </c>
      <c r="C737" s="9" t="s">
        <v>48174</v>
      </c>
      <c r="D737" s="9">
        <v>20.0</v>
      </c>
      <c r="E737" s="9" t="s">
        <v>12225</v>
      </c>
      <c r="G737" s="9" t="s">
        <v>47521</v>
      </c>
    </row>
    <row r="738" ht="15.75" customHeight="1">
      <c r="A738" s="9" t="s">
        <v>48360</v>
      </c>
      <c r="B738" s="9" t="s">
        <v>10262</v>
      </c>
      <c r="C738" s="9" t="s">
        <v>48361</v>
      </c>
      <c r="D738" s="9">
        <v>60.0</v>
      </c>
      <c r="G738" s="9" t="s">
        <v>47521</v>
      </c>
    </row>
    <row r="739" ht="15.75" customHeight="1">
      <c r="A739" s="52" t="s">
        <v>48362</v>
      </c>
      <c r="B739" s="9" t="s">
        <v>11668</v>
      </c>
      <c r="C739" s="9" t="s">
        <v>48361</v>
      </c>
      <c r="D739" s="9">
        <v>90.0</v>
      </c>
      <c r="G739" s="9" t="s">
        <v>47521</v>
      </c>
    </row>
    <row r="740" ht="15.75" customHeight="1">
      <c r="A740" s="9" t="s">
        <v>48363</v>
      </c>
      <c r="B740" s="9" t="s">
        <v>11464</v>
      </c>
      <c r="C740" s="9" t="s">
        <v>48364</v>
      </c>
      <c r="D740" s="9">
        <v>12.0</v>
      </c>
      <c r="E740" s="9" t="s">
        <v>12234</v>
      </c>
      <c r="G740" s="9" t="s">
        <v>47521</v>
      </c>
    </row>
    <row r="741" ht="15.75" customHeight="1">
      <c r="A741" s="9" t="s">
        <v>48365</v>
      </c>
      <c r="B741" s="9" t="s">
        <v>11464</v>
      </c>
      <c r="C741" s="9" t="s">
        <v>47981</v>
      </c>
      <c r="D741" s="9">
        <v>10.0</v>
      </c>
      <c r="E741" s="9" t="s">
        <v>12234</v>
      </c>
      <c r="G741" s="9" t="s">
        <v>47521</v>
      </c>
    </row>
    <row r="742" ht="15.75" customHeight="1">
      <c r="A742" s="9" t="s">
        <v>48366</v>
      </c>
      <c r="B742" s="9" t="s">
        <v>11464</v>
      </c>
      <c r="D742" s="9">
        <v>6.0</v>
      </c>
      <c r="E742" s="9" t="s">
        <v>12237</v>
      </c>
      <c r="G742" s="9" t="s">
        <v>47521</v>
      </c>
    </row>
    <row r="743" ht="15.75" customHeight="1">
      <c r="A743" s="9" t="s">
        <v>48367</v>
      </c>
      <c r="B743" s="9" t="s">
        <v>11466</v>
      </c>
      <c r="D743" s="9">
        <v>5.0</v>
      </c>
      <c r="E743" s="9" t="s">
        <v>12228</v>
      </c>
      <c r="G743" s="9" t="s">
        <v>47521</v>
      </c>
    </row>
    <row r="744" ht="15.75" customHeight="1">
      <c r="A744" s="9" t="s">
        <v>48368</v>
      </c>
      <c r="B744" s="9" t="s">
        <v>5219</v>
      </c>
      <c r="D744" s="9">
        <v>8.0</v>
      </c>
      <c r="E744" s="9" t="s">
        <v>12231</v>
      </c>
      <c r="G744" s="9" t="s">
        <v>47521</v>
      </c>
    </row>
    <row r="745" ht="15.75" customHeight="1">
      <c r="A745" s="9" t="s">
        <v>48369</v>
      </c>
      <c r="B745" s="9" t="s">
        <v>10493</v>
      </c>
      <c r="C745" s="9" t="s">
        <v>48361</v>
      </c>
      <c r="D745" s="9">
        <v>60.0</v>
      </c>
      <c r="G745" s="9" t="s">
        <v>47521</v>
      </c>
    </row>
    <row r="746" ht="15.75" customHeight="1">
      <c r="A746" s="9" t="s">
        <v>48370</v>
      </c>
      <c r="B746" s="9" t="s">
        <v>10493</v>
      </c>
      <c r="C746" s="9" t="s">
        <v>48341</v>
      </c>
      <c r="D746" s="9">
        <v>100.0</v>
      </c>
      <c r="G746" s="9" t="s">
        <v>47521</v>
      </c>
    </row>
    <row r="747" ht="15.75" customHeight="1">
      <c r="A747" s="9" t="s">
        <v>48371</v>
      </c>
      <c r="B747" s="9" t="s">
        <v>10493</v>
      </c>
      <c r="C747" s="9" t="s">
        <v>48361</v>
      </c>
      <c r="D747" s="9">
        <v>50.0</v>
      </c>
    </row>
    <row r="748" ht="15.75" customHeight="1">
      <c r="A748" s="9" t="s">
        <v>48372</v>
      </c>
      <c r="B748" s="9" t="s">
        <v>11470</v>
      </c>
      <c r="C748" s="9" t="s">
        <v>47630</v>
      </c>
      <c r="D748" s="9">
        <v>250.0</v>
      </c>
      <c r="E748" s="9" t="s">
        <v>12245</v>
      </c>
      <c r="G748" s="9" t="s">
        <v>47521</v>
      </c>
    </row>
    <row r="749" ht="15.75" customHeight="1">
      <c r="A749" s="9" t="s">
        <v>48373</v>
      </c>
      <c r="B749" s="9" t="s">
        <v>11472</v>
      </c>
      <c r="D749" s="9">
        <v>100.0</v>
      </c>
      <c r="E749" s="9" t="s">
        <v>12232</v>
      </c>
      <c r="G749" s="9" t="s">
        <v>47521</v>
      </c>
    </row>
    <row r="750" ht="15.75" customHeight="1">
      <c r="A750" s="9" t="s">
        <v>48374</v>
      </c>
      <c r="B750" s="9" t="s">
        <v>11474</v>
      </c>
      <c r="C750" s="9" t="s">
        <v>47511</v>
      </c>
      <c r="D750" s="9">
        <v>40.0</v>
      </c>
      <c r="E750" s="9" t="s">
        <v>47516</v>
      </c>
      <c r="G750" s="9" t="s">
        <v>47521</v>
      </c>
    </row>
    <row r="751" ht="15.75" customHeight="1">
      <c r="A751" s="9" t="s">
        <v>48375</v>
      </c>
      <c r="B751" s="9" t="s">
        <v>11476</v>
      </c>
      <c r="D751" s="9">
        <v>85.0</v>
      </c>
      <c r="E751" s="9" t="s">
        <v>47567</v>
      </c>
      <c r="G751" s="9" t="s">
        <v>47521</v>
      </c>
    </row>
    <row r="752" ht="15.75" customHeight="1">
      <c r="A752" s="9" t="s">
        <v>48376</v>
      </c>
      <c r="B752" s="9" t="s">
        <v>9478</v>
      </c>
      <c r="D752" s="9">
        <v>50.0</v>
      </c>
      <c r="E752" s="9" t="s">
        <v>12245</v>
      </c>
      <c r="G752" s="9" t="s">
        <v>47521</v>
      </c>
    </row>
    <row r="753" ht="15.75" customHeight="1">
      <c r="A753" s="9" t="s">
        <v>48377</v>
      </c>
      <c r="B753" s="9" t="s">
        <v>9478</v>
      </c>
      <c r="D753" s="9">
        <v>350.0</v>
      </c>
      <c r="E753" s="9" t="s">
        <v>12241</v>
      </c>
    </row>
    <row r="754" ht="15.75" customHeight="1">
      <c r="A754" s="9" t="s">
        <v>48378</v>
      </c>
      <c r="B754" s="9" t="s">
        <v>11478</v>
      </c>
      <c r="C754" s="9" t="s">
        <v>47573</v>
      </c>
      <c r="D754" s="9">
        <v>110.0</v>
      </c>
      <c r="E754" s="9" t="s">
        <v>12245</v>
      </c>
      <c r="G754" s="9" t="s">
        <v>47521</v>
      </c>
    </row>
    <row r="755" ht="15.75" customHeight="1">
      <c r="A755" s="9" t="s">
        <v>48379</v>
      </c>
      <c r="B755" s="9" t="s">
        <v>11482</v>
      </c>
      <c r="C755" s="9" t="s">
        <v>47511</v>
      </c>
      <c r="D755" s="9">
        <v>200.0</v>
      </c>
      <c r="E755" s="9" t="s">
        <v>12245</v>
      </c>
      <c r="G755" s="9" t="s">
        <v>47521</v>
      </c>
    </row>
    <row r="756" ht="15.75" customHeight="1">
      <c r="A756" s="9" t="s">
        <v>48380</v>
      </c>
      <c r="B756" s="9" t="s">
        <v>11486</v>
      </c>
      <c r="C756" s="9" t="s">
        <v>47511</v>
      </c>
      <c r="D756" s="9">
        <v>300.0</v>
      </c>
      <c r="E756" s="9" t="s">
        <v>12245</v>
      </c>
      <c r="G756" s="9" t="s">
        <v>47521</v>
      </c>
    </row>
    <row r="757" ht="15.75" customHeight="1">
      <c r="A757" s="9" t="s">
        <v>48381</v>
      </c>
      <c r="B757" s="9" t="s">
        <v>11494</v>
      </c>
      <c r="C757" s="9" t="s">
        <v>48382</v>
      </c>
      <c r="D757" s="9">
        <v>170.0</v>
      </c>
      <c r="E757" s="9" t="s">
        <v>12245</v>
      </c>
      <c r="G757" s="9" t="s">
        <v>47521</v>
      </c>
    </row>
    <row r="758" ht="15.75" customHeight="1">
      <c r="A758" s="9" t="s">
        <v>48383</v>
      </c>
      <c r="B758" s="9" t="s">
        <v>11496</v>
      </c>
      <c r="D758" s="9">
        <v>130.0</v>
      </c>
      <c r="E758" s="9" t="s">
        <v>12245</v>
      </c>
    </row>
    <row r="759" ht="15.75" customHeight="1">
      <c r="A759" s="52" t="s">
        <v>48384</v>
      </c>
      <c r="B759" s="9" t="s">
        <v>2767</v>
      </c>
    </row>
    <row r="760" ht="15.75" customHeight="1">
      <c r="A760" s="9" t="s">
        <v>48385</v>
      </c>
      <c r="B760" s="9" t="s">
        <v>9810</v>
      </c>
      <c r="C760" s="9" t="s">
        <v>47891</v>
      </c>
      <c r="D760" s="9">
        <v>115.0</v>
      </c>
      <c r="E760" s="9" t="s">
        <v>12245</v>
      </c>
      <c r="G760" s="9" t="s">
        <v>47521</v>
      </c>
    </row>
    <row r="761" ht="15.75" customHeight="1">
      <c r="A761" s="9" t="s">
        <v>48386</v>
      </c>
      <c r="B761" s="9" t="s">
        <v>9285</v>
      </c>
      <c r="D761" s="9">
        <v>88.0</v>
      </c>
      <c r="E761" s="9" t="s">
        <v>12245</v>
      </c>
      <c r="G761" s="9"/>
    </row>
    <row r="762" ht="15.75" customHeight="1">
      <c r="A762" s="9" t="s">
        <v>48387</v>
      </c>
      <c r="B762" s="9" t="s">
        <v>6185</v>
      </c>
      <c r="D762" s="9">
        <v>3.3</v>
      </c>
      <c r="E762" s="9" t="s">
        <v>12231</v>
      </c>
      <c r="G762" s="9" t="s">
        <v>47521</v>
      </c>
    </row>
    <row r="763" ht="15.75" customHeight="1">
      <c r="A763" s="9" t="s">
        <v>48388</v>
      </c>
      <c r="B763" s="9" t="s">
        <v>11489</v>
      </c>
      <c r="C763" s="9" t="s">
        <v>47615</v>
      </c>
      <c r="D763" s="9">
        <v>55.0</v>
      </c>
      <c r="E763" s="9" t="s">
        <v>12245</v>
      </c>
      <c r="G763" s="9" t="s">
        <v>47521</v>
      </c>
    </row>
    <row r="764" ht="15.75" customHeight="1">
      <c r="A764" s="9" t="s">
        <v>48389</v>
      </c>
      <c r="B764" s="9" t="s">
        <v>5461</v>
      </c>
      <c r="C764" s="9" t="s">
        <v>1806</v>
      </c>
      <c r="D764" s="9">
        <v>5.0</v>
      </c>
      <c r="E764" s="9" t="s">
        <v>12237</v>
      </c>
      <c r="G764" s="9" t="s">
        <v>47521</v>
      </c>
    </row>
    <row r="765" ht="15.75" customHeight="1">
      <c r="A765" s="9" t="s">
        <v>48390</v>
      </c>
      <c r="B765" s="9" t="s">
        <v>5461</v>
      </c>
      <c r="C765" s="9" t="s">
        <v>1806</v>
      </c>
      <c r="D765" s="9">
        <v>10.0</v>
      </c>
      <c r="G765" s="9" t="s">
        <v>47521</v>
      </c>
    </row>
    <row r="766" ht="15.75" customHeight="1">
      <c r="A766" s="9" t="s">
        <v>48391</v>
      </c>
      <c r="B766" s="9" t="s">
        <v>11501</v>
      </c>
      <c r="D766" s="9">
        <v>250.0</v>
      </c>
      <c r="G766" s="9" t="s">
        <v>47521</v>
      </c>
    </row>
    <row r="767" ht="15.75" customHeight="1">
      <c r="A767" s="9" t="s">
        <v>48392</v>
      </c>
      <c r="B767" s="9" t="s">
        <v>276</v>
      </c>
      <c r="D767" s="9">
        <v>130.0</v>
      </c>
      <c r="E767" s="9" t="s">
        <v>12234</v>
      </c>
      <c r="G767" s="9" t="s">
        <v>47521</v>
      </c>
    </row>
    <row r="768" ht="15.75" customHeight="1">
      <c r="A768" s="9" t="s">
        <v>48393</v>
      </c>
      <c r="B768" s="9" t="s">
        <v>11509</v>
      </c>
      <c r="C768" s="9" t="s">
        <v>47842</v>
      </c>
      <c r="D768" s="9">
        <v>88.0</v>
      </c>
      <c r="E768" s="9" t="s">
        <v>12245</v>
      </c>
      <c r="G768" s="9" t="s">
        <v>47521</v>
      </c>
    </row>
    <row r="769" ht="15.75" customHeight="1">
      <c r="A769" s="9" t="s">
        <v>48394</v>
      </c>
      <c r="B769" s="9" t="s">
        <v>8795</v>
      </c>
      <c r="C769" s="9" t="s">
        <v>47511</v>
      </c>
      <c r="D769" s="9">
        <v>345.0</v>
      </c>
      <c r="E769" s="9" t="s">
        <v>12245</v>
      </c>
      <c r="G769" s="9" t="s">
        <v>47521</v>
      </c>
    </row>
    <row r="770" ht="15.75" customHeight="1">
      <c r="A770" s="9" t="s">
        <v>48395</v>
      </c>
      <c r="B770" s="9" t="s">
        <v>11503</v>
      </c>
      <c r="D770" s="9">
        <v>24.0</v>
      </c>
      <c r="E770" s="9" t="s">
        <v>12231</v>
      </c>
      <c r="G770" s="9" t="s">
        <v>47521</v>
      </c>
    </row>
    <row r="771" ht="15.75" customHeight="1">
      <c r="A771" s="9" t="s">
        <v>48396</v>
      </c>
      <c r="B771" s="9" t="s">
        <v>247</v>
      </c>
      <c r="C771" s="9" t="s">
        <v>47511</v>
      </c>
      <c r="D771" s="9">
        <v>115.0</v>
      </c>
      <c r="E771" s="9" t="s">
        <v>12245</v>
      </c>
      <c r="G771" s="9" t="s">
        <v>47521</v>
      </c>
    </row>
    <row r="772" ht="15.75" customHeight="1">
      <c r="A772" s="9" t="s">
        <v>48397</v>
      </c>
      <c r="B772" s="9" t="s">
        <v>11516</v>
      </c>
      <c r="D772" s="9">
        <v>70.0</v>
      </c>
      <c r="E772" s="9" t="s">
        <v>12245</v>
      </c>
      <c r="G772" s="9" t="s">
        <v>47521</v>
      </c>
    </row>
    <row r="773" ht="15.75" customHeight="1">
      <c r="A773" s="9" t="s">
        <v>48398</v>
      </c>
      <c r="B773" s="9" t="s">
        <v>11462</v>
      </c>
      <c r="D773" s="9">
        <v>71.0</v>
      </c>
      <c r="G773" s="9" t="s">
        <v>47521</v>
      </c>
    </row>
    <row r="774" ht="15.75" customHeight="1">
      <c r="A774" s="9" t="s">
        <v>48399</v>
      </c>
      <c r="B774" s="9" t="s">
        <v>11505</v>
      </c>
      <c r="D774" s="9">
        <v>100.0</v>
      </c>
      <c r="G774" s="9" t="s">
        <v>47521</v>
      </c>
    </row>
    <row r="775" ht="15.75" customHeight="1">
      <c r="A775" s="9" t="s">
        <v>48400</v>
      </c>
      <c r="B775" s="9" t="s">
        <v>11507</v>
      </c>
      <c r="D775" s="9">
        <v>300.0</v>
      </c>
    </row>
    <row r="776" ht="15.75" customHeight="1">
      <c r="A776" s="9" t="s">
        <v>48401</v>
      </c>
      <c r="B776" s="9" t="s">
        <v>11522</v>
      </c>
      <c r="C776" s="9" t="s">
        <v>47511</v>
      </c>
      <c r="D776" s="9">
        <v>200.0</v>
      </c>
      <c r="E776" s="9" t="s">
        <v>47998</v>
      </c>
      <c r="G776" s="9" t="s">
        <v>47521</v>
      </c>
    </row>
    <row r="777" ht="15.75" customHeight="1">
      <c r="A777" s="9" t="s">
        <v>48402</v>
      </c>
      <c r="B777" s="9" t="s">
        <v>11522</v>
      </c>
      <c r="C777" s="9" t="s">
        <v>47736</v>
      </c>
      <c r="D777" s="9">
        <v>500.0</v>
      </c>
      <c r="E777" s="9" t="s">
        <v>12241</v>
      </c>
      <c r="G777" s="9" t="s">
        <v>47521</v>
      </c>
    </row>
    <row r="778" ht="15.75" customHeight="1">
      <c r="A778" s="9" t="s">
        <v>48403</v>
      </c>
      <c r="B778" s="9" t="s">
        <v>11520</v>
      </c>
      <c r="D778" s="9">
        <v>60.0</v>
      </c>
      <c r="G778" s="9" t="s">
        <v>47521</v>
      </c>
    </row>
    <row r="779" ht="15.75" customHeight="1">
      <c r="A779" s="9" t="s">
        <v>48404</v>
      </c>
      <c r="B779" s="9" t="s">
        <v>741</v>
      </c>
      <c r="C779" s="9" t="s">
        <v>47736</v>
      </c>
      <c r="D779" s="9">
        <v>980.0</v>
      </c>
      <c r="E779" s="9" t="s">
        <v>12241</v>
      </c>
      <c r="G779" s="9" t="s">
        <v>47521</v>
      </c>
    </row>
    <row r="780" ht="15.75" customHeight="1">
      <c r="A780" s="9" t="s">
        <v>48405</v>
      </c>
      <c r="B780" s="9" t="s">
        <v>11518</v>
      </c>
      <c r="C780" s="9" t="s">
        <v>48180</v>
      </c>
      <c r="D780" s="9">
        <v>200.0</v>
      </c>
      <c r="G780" s="9" t="s">
        <v>47521</v>
      </c>
    </row>
    <row r="781" ht="15.75" customHeight="1">
      <c r="A781" s="9" t="s">
        <v>48406</v>
      </c>
      <c r="B781" s="9" t="s">
        <v>11498</v>
      </c>
      <c r="D781" s="9">
        <v>70.0</v>
      </c>
      <c r="E781" s="9" t="s">
        <v>12245</v>
      </c>
      <c r="G781" s="9" t="s">
        <v>47521</v>
      </c>
    </row>
    <row r="782" ht="15.75" customHeight="1">
      <c r="A782" s="9" t="s">
        <v>48407</v>
      </c>
      <c r="B782" s="9" t="s">
        <v>9544</v>
      </c>
      <c r="C782" s="9" t="s">
        <v>47842</v>
      </c>
      <c r="D782" s="9">
        <v>80.0</v>
      </c>
      <c r="E782" s="9" t="s">
        <v>47959</v>
      </c>
      <c r="G782" s="9" t="s">
        <v>47521</v>
      </c>
    </row>
    <row r="783" ht="15.75" customHeight="1">
      <c r="A783" s="9" t="s">
        <v>48408</v>
      </c>
      <c r="B783" s="9" t="s">
        <v>9544</v>
      </c>
      <c r="C783" s="9" t="s">
        <v>47511</v>
      </c>
      <c r="D783" s="9">
        <v>91.0</v>
      </c>
      <c r="E783" s="9" t="s">
        <v>47998</v>
      </c>
      <c r="G783" s="9" t="s">
        <v>47521</v>
      </c>
    </row>
    <row r="784" ht="15.75" customHeight="1">
      <c r="A784" s="9" t="s">
        <v>48409</v>
      </c>
      <c r="B784" s="52" t="s">
        <v>22842</v>
      </c>
      <c r="C784" s="9" t="s">
        <v>47511</v>
      </c>
      <c r="D784" s="9">
        <v>69.0</v>
      </c>
      <c r="E784" s="9" t="s">
        <v>12245</v>
      </c>
      <c r="G784" s="9" t="s">
        <v>47521</v>
      </c>
    </row>
    <row r="785" ht="15.75" customHeight="1">
      <c r="A785" s="9" t="s">
        <v>48410</v>
      </c>
      <c r="B785" s="9" t="s">
        <v>11528</v>
      </c>
      <c r="C785" s="9" t="s">
        <v>47511</v>
      </c>
      <c r="D785" s="9">
        <v>111.0</v>
      </c>
      <c r="E785" s="9" t="s">
        <v>12245</v>
      </c>
      <c r="G785" s="9" t="s">
        <v>47521</v>
      </c>
    </row>
    <row r="786" ht="15.75" customHeight="1">
      <c r="A786" s="9" t="s">
        <v>48411</v>
      </c>
      <c r="B786" s="9" t="s">
        <v>11532</v>
      </c>
      <c r="C786" s="9" t="s">
        <v>47842</v>
      </c>
      <c r="D786" s="9">
        <v>62.0</v>
      </c>
      <c r="E786" s="9" t="s">
        <v>12245</v>
      </c>
      <c r="G786" s="9" t="s">
        <v>47521</v>
      </c>
    </row>
    <row r="787" ht="15.75" customHeight="1">
      <c r="A787" s="9" t="s">
        <v>48412</v>
      </c>
      <c r="B787" s="9" t="s">
        <v>11534</v>
      </c>
      <c r="C787" s="9" t="s">
        <v>47511</v>
      </c>
      <c r="D787" s="9">
        <v>208.0</v>
      </c>
      <c r="E787" s="9" t="s">
        <v>12245</v>
      </c>
      <c r="G787" s="9" t="s">
        <v>47521</v>
      </c>
    </row>
    <row r="788" ht="15.75" customHeight="1">
      <c r="A788" s="9" t="s">
        <v>48413</v>
      </c>
      <c r="B788" s="9" t="s">
        <v>11530</v>
      </c>
      <c r="D788" s="9">
        <v>250.0</v>
      </c>
      <c r="E788" s="9" t="s">
        <v>47998</v>
      </c>
      <c r="G788" s="9" t="s">
        <v>47521</v>
      </c>
    </row>
    <row r="789" ht="15.75" customHeight="1">
      <c r="A789" s="9" t="s">
        <v>48414</v>
      </c>
      <c r="B789" s="9" t="s">
        <v>11530</v>
      </c>
      <c r="D789" s="9">
        <v>165.0</v>
      </c>
      <c r="E789" s="9" t="s">
        <v>47959</v>
      </c>
      <c r="G789" s="9" t="s">
        <v>47521</v>
      </c>
    </row>
    <row r="790" ht="15.75" customHeight="1">
      <c r="A790" s="9" t="s">
        <v>48415</v>
      </c>
      <c r="B790" s="9" t="s">
        <v>11524</v>
      </c>
      <c r="D790" s="9">
        <v>75.0</v>
      </c>
      <c r="E790" s="9" t="s">
        <v>12245</v>
      </c>
      <c r="G790" s="9" t="s">
        <v>47521</v>
      </c>
    </row>
    <row r="791" ht="15.75" customHeight="1">
      <c r="A791" s="9" t="s">
        <v>48416</v>
      </c>
      <c r="B791" s="9" t="s">
        <v>11537</v>
      </c>
      <c r="C791" s="9" t="s">
        <v>47643</v>
      </c>
      <c r="D791" s="9">
        <v>30.0</v>
      </c>
      <c r="G791" s="9" t="s">
        <v>47521</v>
      </c>
    </row>
    <row r="792" ht="15.75" customHeight="1">
      <c r="A792" s="9" t="s">
        <v>48417</v>
      </c>
      <c r="B792" s="9" t="s">
        <v>11537</v>
      </c>
      <c r="C792" s="9" t="s">
        <v>47976</v>
      </c>
      <c r="D792" s="9">
        <v>40.0</v>
      </c>
      <c r="G792" s="9" t="s">
        <v>47521</v>
      </c>
    </row>
    <row r="793" ht="15.75" customHeight="1">
      <c r="A793" s="9" t="s">
        <v>48418</v>
      </c>
      <c r="B793" s="9" t="s">
        <v>11421</v>
      </c>
      <c r="D793" s="9">
        <v>25.0</v>
      </c>
      <c r="E793" s="9" t="s">
        <v>47516</v>
      </c>
      <c r="G793" s="9" t="s">
        <v>47521</v>
      </c>
    </row>
    <row r="794" ht="15.75" customHeight="1">
      <c r="A794" s="9" t="s">
        <v>48419</v>
      </c>
      <c r="B794" s="9" t="s">
        <v>6554</v>
      </c>
      <c r="D794" s="9">
        <v>0.4</v>
      </c>
      <c r="E794" s="9" t="s">
        <v>12231</v>
      </c>
      <c r="G794" s="9" t="s">
        <v>47521</v>
      </c>
    </row>
    <row r="795" ht="15.75" customHeight="1">
      <c r="A795" s="9" t="s">
        <v>48420</v>
      </c>
      <c r="B795" s="9" t="s">
        <v>11539</v>
      </c>
      <c r="C795" s="9" t="s">
        <v>47511</v>
      </c>
      <c r="D795" s="9">
        <v>250.0</v>
      </c>
      <c r="E795" s="9" t="s">
        <v>12245</v>
      </c>
      <c r="G795" s="9" t="s">
        <v>47521</v>
      </c>
    </row>
    <row r="796" ht="15.75" customHeight="1">
      <c r="A796" s="9" t="s">
        <v>48421</v>
      </c>
      <c r="B796" s="9" t="s">
        <v>11448</v>
      </c>
      <c r="D796" s="9">
        <v>10.0</v>
      </c>
      <c r="E796" s="9" t="s">
        <v>12228</v>
      </c>
      <c r="G796" s="9" t="s">
        <v>47521</v>
      </c>
    </row>
    <row r="797" ht="15.75" customHeight="1">
      <c r="A797" s="52" t="s">
        <v>48422</v>
      </c>
      <c r="B797" s="9" t="s">
        <v>11541</v>
      </c>
      <c r="D797" s="9">
        <v>50.0</v>
      </c>
      <c r="E797" s="9" t="s">
        <v>12231</v>
      </c>
      <c r="G797" s="9" t="s">
        <v>47521</v>
      </c>
    </row>
    <row r="798" ht="15.75" customHeight="1">
      <c r="A798" s="9" t="s">
        <v>48423</v>
      </c>
      <c r="B798" s="9" t="s">
        <v>11539</v>
      </c>
      <c r="C798" s="9" t="s">
        <v>47511</v>
      </c>
      <c r="D798" s="9">
        <v>450.0</v>
      </c>
      <c r="E798" s="9" t="s">
        <v>47998</v>
      </c>
      <c r="G798" s="9" t="s">
        <v>47521</v>
      </c>
    </row>
    <row r="799" ht="15.75" customHeight="1">
      <c r="A799" s="9" t="s">
        <v>48424</v>
      </c>
      <c r="B799" s="9" t="s">
        <v>10498</v>
      </c>
      <c r="C799" s="9" t="s">
        <v>48301</v>
      </c>
      <c r="D799" s="9">
        <v>20.0</v>
      </c>
      <c r="G799" s="9" t="s">
        <v>47521</v>
      </c>
    </row>
    <row r="800" ht="15.75" customHeight="1">
      <c r="A800" s="9" t="s">
        <v>48425</v>
      </c>
      <c r="B800" s="9" t="s">
        <v>11543</v>
      </c>
      <c r="C800" s="9" t="s">
        <v>47891</v>
      </c>
      <c r="D800" s="9">
        <v>140.0</v>
      </c>
      <c r="E800" s="9" t="s">
        <v>12245</v>
      </c>
      <c r="G800" s="9" t="s">
        <v>47521</v>
      </c>
    </row>
    <row r="801" ht="15.75" customHeight="1">
      <c r="A801" s="9" t="s">
        <v>48426</v>
      </c>
      <c r="B801" s="9" t="s">
        <v>10380</v>
      </c>
      <c r="C801" s="9" t="s">
        <v>47736</v>
      </c>
      <c r="D801" s="9">
        <v>650.0</v>
      </c>
      <c r="E801" s="9" t="s">
        <v>12241</v>
      </c>
      <c r="G801" s="9" t="s">
        <v>47521</v>
      </c>
    </row>
    <row r="802" ht="15.75" customHeight="1">
      <c r="A802" s="9" t="s">
        <v>48427</v>
      </c>
      <c r="B802" s="9" t="s">
        <v>10380</v>
      </c>
      <c r="D802" s="9">
        <v>15.0</v>
      </c>
      <c r="E802" s="9" t="s">
        <v>12234</v>
      </c>
      <c r="G802" s="9" t="s">
        <v>47521</v>
      </c>
    </row>
    <row r="803" ht="15.75" customHeight="1">
      <c r="A803" s="9" t="s">
        <v>48428</v>
      </c>
      <c r="B803" s="9" t="s">
        <v>10380</v>
      </c>
      <c r="C803" s="9" t="s">
        <v>47634</v>
      </c>
      <c r="D803" s="9">
        <v>140.0</v>
      </c>
      <c r="E803" s="9" t="s">
        <v>12245</v>
      </c>
      <c r="G803" s="9" t="s">
        <v>47521</v>
      </c>
    </row>
    <row r="804" ht="15.75" customHeight="1">
      <c r="A804" s="9" t="s">
        <v>48429</v>
      </c>
      <c r="B804" s="9" t="s">
        <v>10380</v>
      </c>
      <c r="C804" s="9" t="s">
        <v>47634</v>
      </c>
      <c r="D804" s="9">
        <v>280.0</v>
      </c>
      <c r="E804" s="9" t="s">
        <v>12243</v>
      </c>
      <c r="G804" s="9" t="s">
        <v>47521</v>
      </c>
    </row>
    <row r="805" ht="15.75" customHeight="1">
      <c r="A805" s="9" t="s">
        <v>48430</v>
      </c>
      <c r="B805" s="9" t="s">
        <v>11547</v>
      </c>
      <c r="C805" s="9" t="s">
        <v>47511</v>
      </c>
      <c r="D805" s="9">
        <v>270.0</v>
      </c>
      <c r="E805" s="9" t="s">
        <v>12245</v>
      </c>
      <c r="G805" s="9" t="s">
        <v>47521</v>
      </c>
    </row>
    <row r="806" ht="15.75" customHeight="1">
      <c r="A806" s="9" t="s">
        <v>48431</v>
      </c>
      <c r="B806" s="9" t="s">
        <v>11549</v>
      </c>
      <c r="C806" s="9" t="s">
        <v>47511</v>
      </c>
      <c r="D806" s="9">
        <v>270.0</v>
      </c>
      <c r="E806" s="9" t="s">
        <v>12245</v>
      </c>
      <c r="G806" s="9" t="s">
        <v>47521</v>
      </c>
    </row>
    <row r="807" ht="15.75" customHeight="1">
      <c r="A807" s="9" t="s">
        <v>48432</v>
      </c>
      <c r="B807" s="9" t="s">
        <v>5808</v>
      </c>
      <c r="D807" s="9">
        <v>92.0</v>
      </c>
      <c r="E807" s="9" t="s">
        <v>47542</v>
      </c>
      <c r="G807" s="9" t="s">
        <v>47521</v>
      </c>
    </row>
    <row r="808" ht="15.75" customHeight="1">
      <c r="A808" s="9" t="s">
        <v>48433</v>
      </c>
      <c r="B808" s="9" t="s">
        <v>5808</v>
      </c>
      <c r="C808" s="9" t="s">
        <v>47694</v>
      </c>
      <c r="D808" s="9">
        <v>85.0</v>
      </c>
      <c r="E808" s="9" t="s">
        <v>47516</v>
      </c>
      <c r="G808" s="9" t="s">
        <v>47521</v>
      </c>
    </row>
    <row r="809" ht="15.75" customHeight="1">
      <c r="A809" s="9" t="s">
        <v>48434</v>
      </c>
      <c r="B809" s="9" t="s">
        <v>5808</v>
      </c>
      <c r="D809" s="9">
        <v>130.0</v>
      </c>
      <c r="E809" s="9" t="s">
        <v>47886</v>
      </c>
      <c r="G809" s="9" t="s">
        <v>47521</v>
      </c>
    </row>
    <row r="810" ht="15.75" customHeight="1">
      <c r="A810" s="9" t="s">
        <v>48435</v>
      </c>
      <c r="B810" s="9" t="s">
        <v>11553</v>
      </c>
      <c r="D810" s="9">
        <v>60.0</v>
      </c>
      <c r="E810" s="9" t="s">
        <v>12234</v>
      </c>
      <c r="G810" s="9" t="s">
        <v>47521</v>
      </c>
    </row>
    <row r="811" ht="15.75" customHeight="1">
      <c r="A811" s="9" t="s">
        <v>48436</v>
      </c>
      <c r="B811" s="9" t="s">
        <v>11556</v>
      </c>
      <c r="D811" s="9">
        <v>7.0</v>
      </c>
      <c r="G811" s="9" t="s">
        <v>47521</v>
      </c>
    </row>
    <row r="812" ht="15.75" customHeight="1">
      <c r="A812" s="9" t="s">
        <v>48437</v>
      </c>
      <c r="B812" s="9" t="s">
        <v>11558</v>
      </c>
      <c r="C812" s="9" t="s">
        <v>47743</v>
      </c>
      <c r="D812" s="9">
        <v>2.0</v>
      </c>
      <c r="G812" s="9" t="s">
        <v>47521</v>
      </c>
    </row>
    <row r="813" ht="15.75" customHeight="1">
      <c r="A813" s="52" t="s">
        <v>48438</v>
      </c>
      <c r="B813" s="9" t="s">
        <v>11560</v>
      </c>
      <c r="C813" s="9" t="s">
        <v>47646</v>
      </c>
      <c r="D813" s="9">
        <v>80.0</v>
      </c>
      <c r="G813" s="9" t="s">
        <v>47521</v>
      </c>
    </row>
    <row r="814" ht="15.75" customHeight="1">
      <c r="A814" s="9" t="s">
        <v>48439</v>
      </c>
      <c r="B814" s="9" t="s">
        <v>11560</v>
      </c>
      <c r="C814" s="9" t="s">
        <v>47944</v>
      </c>
      <c r="D814" s="9">
        <v>100.0</v>
      </c>
      <c r="G814" s="9" t="s">
        <v>47521</v>
      </c>
    </row>
    <row r="815" ht="15.75" customHeight="1">
      <c r="A815" s="9" t="s">
        <v>48440</v>
      </c>
      <c r="B815" s="9" t="s">
        <v>11562</v>
      </c>
      <c r="C815" s="9" t="s">
        <v>48180</v>
      </c>
      <c r="D815" s="9">
        <v>49.0</v>
      </c>
      <c r="G815" s="9" t="s">
        <v>47521</v>
      </c>
    </row>
    <row r="816" ht="15.75" customHeight="1">
      <c r="A816" s="9" t="s">
        <v>48441</v>
      </c>
      <c r="B816" s="9" t="s">
        <v>11565</v>
      </c>
      <c r="D816" s="9">
        <v>1.6</v>
      </c>
      <c r="E816" s="9" t="s">
        <v>12231</v>
      </c>
      <c r="G816" s="9" t="s">
        <v>47521</v>
      </c>
    </row>
    <row r="817" ht="15.75" customHeight="1">
      <c r="A817" s="9" t="s">
        <v>48442</v>
      </c>
      <c r="B817" s="9" t="s">
        <v>11569</v>
      </c>
      <c r="C817" s="9" t="s">
        <v>47719</v>
      </c>
      <c r="D817" s="9">
        <v>120.0</v>
      </c>
      <c r="E817" s="9" t="s">
        <v>12245</v>
      </c>
      <c r="G817" s="9" t="s">
        <v>47521</v>
      </c>
    </row>
    <row r="818" ht="15.75" customHeight="1">
      <c r="A818" s="9" t="s">
        <v>48443</v>
      </c>
      <c r="B818" s="9" t="s">
        <v>11567</v>
      </c>
      <c r="C818" s="9" t="s">
        <v>47842</v>
      </c>
      <c r="D818" s="9">
        <v>105.0</v>
      </c>
      <c r="E818" s="9" t="s">
        <v>12245</v>
      </c>
      <c r="G818" s="9" t="s">
        <v>47521</v>
      </c>
    </row>
    <row r="819" ht="15.75" customHeight="1">
      <c r="A819" s="52" t="s">
        <v>48444</v>
      </c>
      <c r="B819" s="9" t="s">
        <v>11571</v>
      </c>
      <c r="D819" s="9">
        <v>20.0</v>
      </c>
      <c r="E819" s="9" t="s">
        <v>12225</v>
      </c>
      <c r="G819" s="9" t="s">
        <v>47521</v>
      </c>
    </row>
    <row r="820" ht="15.75" customHeight="1">
      <c r="A820" s="9" t="s">
        <v>48445</v>
      </c>
      <c r="B820" s="9" t="s">
        <v>259</v>
      </c>
      <c r="D820" s="9">
        <v>60.0</v>
      </c>
      <c r="E820" s="9" t="s">
        <v>12245</v>
      </c>
      <c r="G820" s="9" t="s">
        <v>47521</v>
      </c>
    </row>
    <row r="821" ht="15.75" customHeight="1">
      <c r="A821" s="9" t="s">
        <v>48446</v>
      </c>
      <c r="B821" s="9" t="s">
        <v>11576</v>
      </c>
      <c r="D821" s="9">
        <v>2.0</v>
      </c>
      <c r="E821" s="9" t="s">
        <v>12231</v>
      </c>
      <c r="G821" s="9" t="s">
        <v>47521</v>
      </c>
    </row>
    <row r="822" ht="15.75" customHeight="1">
      <c r="A822" s="9" t="s">
        <v>48447</v>
      </c>
      <c r="B822" s="9" t="s">
        <v>11574</v>
      </c>
      <c r="D822" s="9">
        <v>200.0</v>
      </c>
      <c r="E822" s="9" t="s">
        <v>12245</v>
      </c>
      <c r="G822" s="9" t="s">
        <v>47521</v>
      </c>
    </row>
    <row r="823" ht="15.75" customHeight="1">
      <c r="A823" s="9" t="s">
        <v>48448</v>
      </c>
      <c r="B823" s="9" t="s">
        <v>11583</v>
      </c>
      <c r="C823" s="9" t="s">
        <v>47511</v>
      </c>
      <c r="D823" s="9">
        <v>100.0</v>
      </c>
      <c r="E823" s="9" t="s">
        <v>12245</v>
      </c>
      <c r="G823" s="9" t="s">
        <v>47521</v>
      </c>
    </row>
    <row r="824" ht="15.75" customHeight="1">
      <c r="A824" s="9" t="s">
        <v>48449</v>
      </c>
      <c r="B824" s="9" t="s">
        <v>11585</v>
      </c>
      <c r="D824" s="9">
        <v>60.0</v>
      </c>
      <c r="E824" s="9" t="s">
        <v>12234</v>
      </c>
      <c r="G824" s="9" t="s">
        <v>47521</v>
      </c>
    </row>
    <row r="825" ht="15.75" customHeight="1">
      <c r="A825" s="9" t="s">
        <v>48450</v>
      </c>
      <c r="B825" s="9" t="s">
        <v>11578</v>
      </c>
      <c r="D825" s="9">
        <v>145.0</v>
      </c>
      <c r="E825" s="9" t="s">
        <v>12245</v>
      </c>
      <c r="G825" s="9" t="s">
        <v>47521</v>
      </c>
    </row>
    <row r="826" ht="15.75" customHeight="1">
      <c r="A826" s="52" t="s">
        <v>48451</v>
      </c>
      <c r="B826" s="9" t="s">
        <v>11589</v>
      </c>
      <c r="D826" s="9">
        <v>150.0</v>
      </c>
      <c r="E826" s="9" t="s">
        <v>12245</v>
      </c>
      <c r="G826" s="9" t="s">
        <v>47521</v>
      </c>
    </row>
    <row r="827" ht="15.75" customHeight="1">
      <c r="A827" s="9" t="s">
        <v>48452</v>
      </c>
      <c r="B827" s="9" t="s">
        <v>11580</v>
      </c>
      <c r="C827" s="9" t="s">
        <v>47511</v>
      </c>
      <c r="D827" s="9">
        <v>290.0</v>
      </c>
      <c r="G827" s="9" t="s">
        <v>47521</v>
      </c>
    </row>
    <row r="828" ht="15.75" customHeight="1">
      <c r="A828" s="9" t="s">
        <v>48453</v>
      </c>
      <c r="B828" s="9" t="s">
        <v>7631</v>
      </c>
      <c r="D828" s="9">
        <v>430.0</v>
      </c>
      <c r="E828" s="9" t="s">
        <v>12243</v>
      </c>
      <c r="G828" s="9" t="s">
        <v>47521</v>
      </c>
    </row>
    <row r="829" ht="15.75" customHeight="1">
      <c r="A829" s="9" t="s">
        <v>48454</v>
      </c>
      <c r="B829" s="9" t="s">
        <v>7631</v>
      </c>
      <c r="D829" s="9">
        <v>408.0</v>
      </c>
      <c r="E829" s="9" t="s">
        <v>12241</v>
      </c>
      <c r="G829" s="9" t="s">
        <v>47521</v>
      </c>
    </row>
    <row r="830" ht="15.75" customHeight="1">
      <c r="A830" s="9" t="s">
        <v>48455</v>
      </c>
      <c r="B830" s="9" t="s">
        <v>271</v>
      </c>
      <c r="D830" s="9">
        <v>143.0</v>
      </c>
      <c r="G830" s="9" t="s">
        <v>47521</v>
      </c>
    </row>
    <row r="831" ht="15.75" customHeight="1">
      <c r="A831" s="9" t="s">
        <v>48456</v>
      </c>
      <c r="B831" s="9" t="s">
        <v>10230</v>
      </c>
      <c r="D831" s="9">
        <v>1.0</v>
      </c>
      <c r="E831" s="9" t="s">
        <v>12231</v>
      </c>
      <c r="G831" s="9" t="s">
        <v>47521</v>
      </c>
    </row>
    <row r="832" ht="15.75" customHeight="1">
      <c r="A832" s="9" t="s">
        <v>48457</v>
      </c>
      <c r="B832" s="9" t="s">
        <v>23273</v>
      </c>
      <c r="C832" s="9" t="s">
        <v>47511</v>
      </c>
      <c r="D832" s="9">
        <v>170.0</v>
      </c>
      <c r="G832" s="9" t="s">
        <v>47521</v>
      </c>
    </row>
    <row r="833" ht="15.75" customHeight="1">
      <c r="A833" s="9" t="s">
        <v>48458</v>
      </c>
      <c r="B833" s="9" t="s">
        <v>1854</v>
      </c>
      <c r="D833" s="9">
        <v>25.0</v>
      </c>
      <c r="E833" s="9" t="s">
        <v>12234</v>
      </c>
      <c r="G833" s="9" t="s">
        <v>47521</v>
      </c>
    </row>
    <row r="834" ht="15.75" customHeight="1">
      <c r="A834" s="9" t="s">
        <v>48459</v>
      </c>
      <c r="B834" s="9" t="s">
        <v>6605</v>
      </c>
      <c r="D834" s="9">
        <v>80.0</v>
      </c>
    </row>
    <row r="835" ht="15.75" customHeight="1">
      <c r="A835" s="9" t="s">
        <v>48460</v>
      </c>
      <c r="B835" s="9" t="s">
        <v>23302</v>
      </c>
      <c r="C835" s="9" t="s">
        <v>47615</v>
      </c>
      <c r="D835" s="9">
        <v>95.0</v>
      </c>
      <c r="E835" s="9" t="s">
        <v>12245</v>
      </c>
      <c r="G835" s="9" t="s">
        <v>47521</v>
      </c>
    </row>
    <row r="836" ht="15.75" customHeight="1">
      <c r="A836" s="9" t="s">
        <v>48461</v>
      </c>
      <c r="B836" s="9" t="s">
        <v>258</v>
      </c>
      <c r="D836" s="9">
        <v>2.8</v>
      </c>
      <c r="E836" s="9" t="s">
        <v>12231</v>
      </c>
      <c r="G836" s="9" t="s">
        <v>47521</v>
      </c>
    </row>
    <row r="837" ht="15.75" customHeight="1">
      <c r="A837" s="9" t="s">
        <v>48462</v>
      </c>
      <c r="B837" s="9" t="s">
        <v>23342</v>
      </c>
      <c r="D837" s="9">
        <v>169.0</v>
      </c>
      <c r="E837" s="9" t="s">
        <v>12234</v>
      </c>
      <c r="G837" s="9" t="s">
        <v>47521</v>
      </c>
    </row>
    <row r="838" ht="15.75" customHeight="1">
      <c r="A838" s="9" t="s">
        <v>48463</v>
      </c>
      <c r="B838" s="9" t="s">
        <v>23387</v>
      </c>
      <c r="D838" s="9">
        <v>119.0</v>
      </c>
      <c r="G838" s="9" t="s">
        <v>47521</v>
      </c>
    </row>
    <row r="839" ht="15.75" customHeight="1">
      <c r="A839" s="9" t="s">
        <v>48464</v>
      </c>
      <c r="B839" s="9" t="s">
        <v>23373</v>
      </c>
      <c r="D839" s="9">
        <v>119.0</v>
      </c>
      <c r="G839" s="9" t="s">
        <v>47521</v>
      </c>
    </row>
    <row r="840" ht="15.75" customHeight="1">
      <c r="A840" s="9" t="s">
        <v>48465</v>
      </c>
      <c r="B840" s="9" t="s">
        <v>23360</v>
      </c>
      <c r="D840" s="9">
        <v>160.0</v>
      </c>
      <c r="E840" s="9" t="s">
        <v>12234</v>
      </c>
    </row>
    <row r="841" ht="15.75" customHeight="1">
      <c r="A841" s="9" t="s">
        <v>48466</v>
      </c>
      <c r="B841" s="9" t="s">
        <v>23360</v>
      </c>
      <c r="D841" s="9">
        <v>80.0</v>
      </c>
      <c r="E841" s="9" t="s">
        <v>12237</v>
      </c>
    </row>
    <row r="842" ht="15.75" customHeight="1">
      <c r="A842" s="9" t="s">
        <v>48467</v>
      </c>
      <c r="B842" s="9" t="s">
        <v>23403</v>
      </c>
      <c r="D842" s="9">
        <v>85.0</v>
      </c>
      <c r="E842" s="9" t="s">
        <v>12247</v>
      </c>
    </row>
    <row r="843" ht="15.75" customHeight="1">
      <c r="A843" s="9" t="s">
        <v>48468</v>
      </c>
      <c r="B843" s="9" t="s">
        <v>23403</v>
      </c>
      <c r="D843" s="9">
        <v>75.0</v>
      </c>
      <c r="E843" s="9" t="s">
        <v>12241</v>
      </c>
    </row>
    <row r="844" ht="15.75" customHeight="1">
      <c r="A844" s="9" t="s">
        <v>48469</v>
      </c>
      <c r="B844" s="9" t="s">
        <v>23416</v>
      </c>
      <c r="D844" s="9">
        <v>85.0</v>
      </c>
      <c r="E844" s="9" t="s">
        <v>12243</v>
      </c>
    </row>
    <row r="845" ht="15.75" customHeight="1">
      <c r="A845" s="9" t="s">
        <v>48470</v>
      </c>
      <c r="B845" s="9" t="s">
        <v>23416</v>
      </c>
      <c r="D845" s="9">
        <v>75.0</v>
      </c>
      <c r="E845" s="9" t="s">
        <v>12241</v>
      </c>
    </row>
    <row r="846" ht="15.75" customHeight="1">
      <c r="A846" s="9" t="s">
        <v>48471</v>
      </c>
      <c r="B846" s="9" t="s">
        <v>23430</v>
      </c>
      <c r="C846" s="9" t="s">
        <v>47976</v>
      </c>
      <c r="D846" s="9">
        <v>136.0</v>
      </c>
    </row>
    <row r="847" ht="15.75" customHeight="1">
      <c r="A847" s="9" t="s">
        <v>48472</v>
      </c>
      <c r="B847" s="9" t="s">
        <v>4045</v>
      </c>
      <c r="D847" s="9">
        <v>83.0</v>
      </c>
      <c r="G847" s="9" t="s">
        <v>47521</v>
      </c>
    </row>
    <row r="848" ht="15.75" customHeight="1">
      <c r="A848" s="9" t="s">
        <v>48473</v>
      </c>
      <c r="B848" s="9" t="s">
        <v>23452</v>
      </c>
      <c r="D848" s="9">
        <v>2.0</v>
      </c>
      <c r="E848" s="9" t="s">
        <v>12237</v>
      </c>
    </row>
    <row r="849" ht="15.75" customHeight="1">
      <c r="A849" s="9" t="s">
        <v>48474</v>
      </c>
      <c r="B849" s="9" t="s">
        <v>23452</v>
      </c>
      <c r="C849" s="9" t="s">
        <v>47712</v>
      </c>
      <c r="D849" s="9">
        <v>3.0</v>
      </c>
      <c r="E849" s="9" t="s">
        <v>12234</v>
      </c>
    </row>
    <row r="850" ht="15.75" customHeight="1">
      <c r="A850" s="9" t="s">
        <v>48475</v>
      </c>
      <c r="B850" s="9" t="s">
        <v>23463</v>
      </c>
      <c r="D850" s="9">
        <v>184.0</v>
      </c>
      <c r="E850" s="9" t="s">
        <v>12245</v>
      </c>
    </row>
    <row r="851" ht="15.75" customHeight="1">
      <c r="A851" s="9" t="s">
        <v>48476</v>
      </c>
      <c r="B851" s="9" t="s">
        <v>23463</v>
      </c>
      <c r="C851" s="9" t="s">
        <v>47511</v>
      </c>
      <c r="D851" s="9">
        <v>369.0</v>
      </c>
    </row>
    <row r="852" ht="15.75" customHeight="1">
      <c r="A852" s="9" t="s">
        <v>48477</v>
      </c>
      <c r="B852" s="9" t="s">
        <v>23288</v>
      </c>
      <c r="D852" s="9">
        <v>80.0</v>
      </c>
      <c r="E852" s="9" t="s">
        <v>12245</v>
      </c>
    </row>
    <row r="853" ht="15.75" customHeight="1">
      <c r="A853" s="9" t="s">
        <v>48478</v>
      </c>
      <c r="B853" s="9" t="s">
        <v>23394</v>
      </c>
      <c r="D853" s="9">
        <v>133.0</v>
      </c>
      <c r="G853" s="9" t="s">
        <v>47521</v>
      </c>
    </row>
    <row r="854" ht="15.75" customHeight="1">
      <c r="A854" s="9" t="s">
        <v>48479</v>
      </c>
      <c r="B854" s="9" t="s">
        <v>23500</v>
      </c>
      <c r="D854" s="9">
        <v>4.5</v>
      </c>
      <c r="E854" s="9" t="s">
        <v>12231</v>
      </c>
    </row>
    <row r="855" ht="15.75" customHeight="1">
      <c r="A855" s="9" t="s">
        <v>48480</v>
      </c>
      <c r="B855" s="9" t="s">
        <v>23500</v>
      </c>
      <c r="D855" s="9">
        <v>3.5</v>
      </c>
      <c r="E855" s="9" t="s">
        <v>12231</v>
      </c>
    </row>
    <row r="856" ht="15.75" customHeight="1">
      <c r="A856" s="9" t="s">
        <v>48481</v>
      </c>
      <c r="B856" s="9" t="s">
        <v>23515</v>
      </c>
      <c r="C856" s="9" t="s">
        <v>48482</v>
      </c>
      <c r="D856" s="9">
        <v>35.0</v>
      </c>
      <c r="E856" s="9" t="s">
        <v>12234</v>
      </c>
      <c r="G856" s="9" t="s">
        <v>47521</v>
      </c>
    </row>
    <row r="857" ht="15.75" customHeight="1">
      <c r="A857" s="9" t="s">
        <v>48483</v>
      </c>
      <c r="B857" s="9" t="s">
        <v>23531</v>
      </c>
      <c r="D857" s="9">
        <v>14.0</v>
      </c>
      <c r="E857" s="9" t="s">
        <v>12225</v>
      </c>
      <c r="G857" s="9" t="s">
        <v>47521</v>
      </c>
    </row>
    <row r="858" ht="15.75" customHeight="1">
      <c r="A858" s="9" t="s">
        <v>48484</v>
      </c>
      <c r="B858" s="9" t="s">
        <v>23543</v>
      </c>
      <c r="D858" s="9">
        <v>10.0</v>
      </c>
      <c r="E858" s="9" t="s">
        <v>12234</v>
      </c>
      <c r="G858" s="9" t="s">
        <v>47521</v>
      </c>
    </row>
    <row r="859" ht="15.75" customHeight="1">
      <c r="A859" s="9" t="s">
        <v>48485</v>
      </c>
      <c r="B859" s="9" t="s">
        <v>23555</v>
      </c>
      <c r="C859" s="9" t="s">
        <v>31020</v>
      </c>
      <c r="D859" s="9">
        <v>150.0</v>
      </c>
      <c r="E859" s="9" t="s">
        <v>12226</v>
      </c>
      <c r="G859" s="9" t="s">
        <v>47521</v>
      </c>
    </row>
    <row r="860" ht="15.75" customHeight="1">
      <c r="A860" s="9" t="s">
        <v>48486</v>
      </c>
      <c r="B860" s="9" t="s">
        <v>23573</v>
      </c>
      <c r="D860" s="9">
        <v>25.0</v>
      </c>
      <c r="E860" s="9" t="s">
        <v>12228</v>
      </c>
      <c r="G860" s="9" t="s">
        <v>47521</v>
      </c>
    </row>
    <row r="861" ht="15.75" customHeight="1">
      <c r="A861" s="9" t="s">
        <v>48487</v>
      </c>
      <c r="B861" s="9" t="s">
        <v>23587</v>
      </c>
      <c r="C861" s="9" t="s">
        <v>47511</v>
      </c>
      <c r="D861" s="9">
        <v>360.0</v>
      </c>
      <c r="E861" s="9" t="s">
        <v>12245</v>
      </c>
      <c r="G861" s="9" t="s">
        <v>47521</v>
      </c>
    </row>
    <row r="862" ht="15.75" customHeight="1">
      <c r="A862" s="9" t="s">
        <v>48488</v>
      </c>
      <c r="B862" s="9" t="s">
        <v>23587</v>
      </c>
      <c r="D862" s="9">
        <v>800.0</v>
      </c>
      <c r="E862" s="9" t="s">
        <v>12243</v>
      </c>
      <c r="G862" s="9" t="s">
        <v>47521</v>
      </c>
    </row>
    <row r="863" ht="15.75" customHeight="1">
      <c r="A863" s="9" t="s">
        <v>48489</v>
      </c>
      <c r="B863" s="9" t="s">
        <v>272</v>
      </c>
      <c r="D863" s="9">
        <v>150.0</v>
      </c>
      <c r="E863" s="9" t="s">
        <v>12245</v>
      </c>
      <c r="G863" s="9" t="s">
        <v>47521</v>
      </c>
    </row>
    <row r="864" ht="15.75" customHeight="1">
      <c r="A864" s="9" t="s">
        <v>48490</v>
      </c>
      <c r="B864" s="9" t="s">
        <v>23615</v>
      </c>
      <c r="C864" s="9" t="s">
        <v>47573</v>
      </c>
      <c r="D864" s="9">
        <v>100.0</v>
      </c>
      <c r="G864" s="9" t="s">
        <v>47521</v>
      </c>
    </row>
    <row r="865" ht="15.75" customHeight="1">
      <c r="A865" s="9" t="s">
        <v>48491</v>
      </c>
      <c r="B865" s="9" t="s">
        <v>23632</v>
      </c>
      <c r="C865" s="9" t="s">
        <v>47511</v>
      </c>
      <c r="D865" s="9">
        <v>140.0</v>
      </c>
      <c r="E865" s="9" t="s">
        <v>12245</v>
      </c>
      <c r="G865" s="9" t="s">
        <v>47521</v>
      </c>
    </row>
    <row r="866" ht="15.75" customHeight="1">
      <c r="A866" s="9" t="s">
        <v>48492</v>
      </c>
      <c r="B866" s="9" t="s">
        <v>11671</v>
      </c>
      <c r="C866" s="9" t="s">
        <v>47573</v>
      </c>
      <c r="D866" s="9">
        <v>130.0</v>
      </c>
      <c r="G866" s="9" t="s">
        <v>47521</v>
      </c>
    </row>
    <row r="867" ht="15.75" customHeight="1">
      <c r="A867" s="9" t="s">
        <v>48493</v>
      </c>
      <c r="B867" s="9" t="s">
        <v>23647</v>
      </c>
      <c r="C867" s="9" t="s">
        <v>47714</v>
      </c>
      <c r="D867" s="9">
        <v>353.0</v>
      </c>
      <c r="G867" s="9" t="s">
        <v>47521</v>
      </c>
    </row>
    <row r="868" ht="15.75" customHeight="1">
      <c r="A868" s="9" t="s">
        <v>48494</v>
      </c>
      <c r="B868" s="9" t="s">
        <v>23647</v>
      </c>
      <c r="C868" s="9" t="s">
        <v>47714</v>
      </c>
      <c r="D868" s="9">
        <v>339.0</v>
      </c>
      <c r="G868" s="9" t="s">
        <v>47521</v>
      </c>
    </row>
    <row r="869" ht="15.75" customHeight="1">
      <c r="A869" s="9" t="s">
        <v>48495</v>
      </c>
      <c r="B869" s="9" t="s">
        <v>23665</v>
      </c>
      <c r="D869" s="9">
        <v>40.0</v>
      </c>
      <c r="G869" s="9" t="s">
        <v>47521</v>
      </c>
    </row>
    <row r="870" ht="15.75" customHeight="1">
      <c r="A870" s="9" t="s">
        <v>48496</v>
      </c>
      <c r="B870" s="9" t="s">
        <v>3606</v>
      </c>
      <c r="D870" s="9">
        <v>10.0</v>
      </c>
      <c r="G870" s="9" t="s">
        <v>47521</v>
      </c>
    </row>
    <row r="871" ht="15.75" customHeight="1">
      <c r="A871" s="9" t="s">
        <v>48497</v>
      </c>
      <c r="B871" s="9" t="s">
        <v>23677</v>
      </c>
      <c r="D871" s="9">
        <v>200.0</v>
      </c>
      <c r="G871" s="9" t="s">
        <v>47521</v>
      </c>
    </row>
    <row r="872" ht="15.75" customHeight="1">
      <c r="A872" s="9" t="s">
        <v>48498</v>
      </c>
      <c r="B872" s="9" t="s">
        <v>23692</v>
      </c>
      <c r="D872" s="9">
        <v>60.0</v>
      </c>
      <c r="E872" s="9" t="s">
        <v>12245</v>
      </c>
      <c r="G872" s="9" t="s">
        <v>47521</v>
      </c>
    </row>
    <row r="873" ht="15.75" customHeight="1">
      <c r="A873" s="9" t="s">
        <v>48499</v>
      </c>
      <c r="B873" s="9" t="s">
        <v>23706</v>
      </c>
      <c r="D873" s="9">
        <v>140.0</v>
      </c>
      <c r="E873" s="9" t="s">
        <v>12245</v>
      </c>
      <c r="G873" s="9" t="s">
        <v>47521</v>
      </c>
    </row>
    <row r="874" ht="15.75" customHeight="1">
      <c r="A874" s="9" t="s">
        <v>48500</v>
      </c>
      <c r="B874" s="9" t="s">
        <v>23720</v>
      </c>
      <c r="D874" s="9">
        <v>65.0</v>
      </c>
      <c r="G874" s="9" t="s">
        <v>47521</v>
      </c>
    </row>
    <row r="875" ht="15.75" customHeight="1">
      <c r="A875" s="9" t="s">
        <v>48501</v>
      </c>
      <c r="B875" s="9" t="s">
        <v>23734</v>
      </c>
      <c r="C875" s="9" t="s">
        <v>47511</v>
      </c>
      <c r="D875" s="9">
        <v>385.0</v>
      </c>
      <c r="G875" s="9" t="s">
        <v>47521</v>
      </c>
    </row>
    <row r="876" ht="15.75" customHeight="1">
      <c r="A876" s="9" t="s">
        <v>48502</v>
      </c>
      <c r="B876" s="9" t="s">
        <v>23555</v>
      </c>
      <c r="C876" s="9" t="s">
        <v>48285</v>
      </c>
      <c r="D876" s="9">
        <v>90.0</v>
      </c>
      <c r="E876" s="9" t="s">
        <v>12226</v>
      </c>
      <c r="G876" s="9" t="s">
        <v>47521</v>
      </c>
    </row>
    <row r="877" ht="15.75" customHeight="1">
      <c r="A877" s="9" t="s">
        <v>48503</v>
      </c>
      <c r="B877" s="9" t="s">
        <v>23555</v>
      </c>
      <c r="C877" s="9" t="s">
        <v>47694</v>
      </c>
      <c r="D877" s="9">
        <v>10.0</v>
      </c>
      <c r="G877" s="9" t="s">
        <v>47521</v>
      </c>
    </row>
    <row r="878" ht="15.75" customHeight="1">
      <c r="A878" s="9" t="s">
        <v>48504</v>
      </c>
      <c r="B878" s="9" t="s">
        <v>23779</v>
      </c>
      <c r="D878" s="9">
        <v>257.0</v>
      </c>
      <c r="G878" s="9" t="s">
        <v>47521</v>
      </c>
    </row>
    <row r="879" ht="15.75" customHeight="1">
      <c r="A879" s="9" t="s">
        <v>48505</v>
      </c>
      <c r="B879" s="9" t="s">
        <v>23816</v>
      </c>
      <c r="C879" s="9" t="s">
        <v>48361</v>
      </c>
      <c r="D879" s="9">
        <v>100.0</v>
      </c>
      <c r="G879" s="9" t="s">
        <v>47521</v>
      </c>
    </row>
    <row r="880" ht="15.75" customHeight="1">
      <c r="A880" s="9" t="s">
        <v>48506</v>
      </c>
      <c r="B880" s="9" t="s">
        <v>23816</v>
      </c>
      <c r="C880" s="9" t="s">
        <v>48507</v>
      </c>
      <c r="D880" s="9">
        <v>40.0</v>
      </c>
      <c r="G880" s="9" t="s">
        <v>47521</v>
      </c>
    </row>
    <row r="881" ht="15.75" customHeight="1">
      <c r="A881" s="9" t="s">
        <v>48508</v>
      </c>
      <c r="B881" s="9" t="s">
        <v>23816</v>
      </c>
      <c r="C881" s="9" t="s">
        <v>48341</v>
      </c>
      <c r="D881" s="9">
        <v>150.0</v>
      </c>
      <c r="G881" s="9" t="s">
        <v>47521</v>
      </c>
    </row>
    <row r="882" ht="15.75" customHeight="1">
      <c r="A882" s="9" t="s">
        <v>48509</v>
      </c>
      <c r="B882" s="9" t="s">
        <v>11427</v>
      </c>
      <c r="D882" s="9">
        <v>20.0</v>
      </c>
      <c r="G882" s="9" t="s">
        <v>47521</v>
      </c>
    </row>
    <row r="883" ht="15.75" customHeight="1">
      <c r="A883" s="9" t="s">
        <v>48510</v>
      </c>
      <c r="B883" s="9" t="s">
        <v>23862</v>
      </c>
      <c r="D883" s="9">
        <v>100.0</v>
      </c>
      <c r="G883" s="9" t="s">
        <v>47521</v>
      </c>
    </row>
    <row r="884" ht="15.75" customHeight="1">
      <c r="A884" s="9" t="s">
        <v>48511</v>
      </c>
      <c r="B884" s="9" t="s">
        <v>23878</v>
      </c>
      <c r="C884" s="9" t="s">
        <v>47511</v>
      </c>
      <c r="D884" s="9">
        <v>300.0</v>
      </c>
      <c r="G884" s="9" t="s">
        <v>47521</v>
      </c>
    </row>
    <row r="885" ht="15.75" customHeight="1">
      <c r="A885" s="9" t="s">
        <v>48512</v>
      </c>
      <c r="B885" s="9" t="s">
        <v>23765</v>
      </c>
      <c r="D885" s="9">
        <v>100.0</v>
      </c>
      <c r="G885" s="9" t="s">
        <v>47521</v>
      </c>
    </row>
    <row r="886" ht="15.75" customHeight="1">
      <c r="A886" s="9" t="s">
        <v>48513</v>
      </c>
      <c r="B886" s="9" t="s">
        <v>23901</v>
      </c>
      <c r="C886" s="9" t="s">
        <v>47736</v>
      </c>
      <c r="D886" s="9">
        <v>22.0</v>
      </c>
      <c r="E886" s="9" t="s">
        <v>12245</v>
      </c>
      <c r="G886" s="9" t="s">
        <v>47521</v>
      </c>
    </row>
    <row r="887" ht="15.75" customHeight="1">
      <c r="A887" s="9" t="s">
        <v>48514</v>
      </c>
      <c r="B887" s="9" t="s">
        <v>23847</v>
      </c>
      <c r="D887" s="9">
        <v>70.0</v>
      </c>
      <c r="E887" s="9" t="s">
        <v>12245</v>
      </c>
      <c r="G887" s="9" t="s">
        <v>47521</v>
      </c>
    </row>
    <row r="888" ht="15.75" customHeight="1">
      <c r="A888" s="9" t="s">
        <v>48515</v>
      </c>
      <c r="B888" s="9" t="s">
        <v>9778</v>
      </c>
      <c r="C888" s="9" t="s">
        <v>47546</v>
      </c>
      <c r="D888" s="9">
        <v>12.5</v>
      </c>
      <c r="E888" s="9" t="s">
        <v>48037</v>
      </c>
      <c r="G888" s="9" t="s">
        <v>47521</v>
      </c>
    </row>
    <row r="889" ht="15.75" customHeight="1">
      <c r="A889" s="9" t="s">
        <v>48516</v>
      </c>
      <c r="B889" s="9" t="s">
        <v>9778</v>
      </c>
      <c r="C889" s="9" t="s">
        <v>47546</v>
      </c>
      <c r="D889" s="9">
        <v>27.0</v>
      </c>
      <c r="E889" s="9" t="s">
        <v>12225</v>
      </c>
      <c r="G889" s="9" t="s">
        <v>47521</v>
      </c>
    </row>
    <row r="890" ht="15.75" customHeight="1">
      <c r="A890" s="9" t="s">
        <v>48517</v>
      </c>
      <c r="B890" s="9" t="s">
        <v>3027</v>
      </c>
      <c r="D890" s="9">
        <v>275.0</v>
      </c>
      <c r="E890" s="9" t="s">
        <v>12241</v>
      </c>
      <c r="G890" s="9" t="s">
        <v>47521</v>
      </c>
    </row>
    <row r="891" ht="15.75" customHeight="1">
      <c r="A891" s="9" t="s">
        <v>48518</v>
      </c>
      <c r="B891" s="9" t="s">
        <v>23913</v>
      </c>
      <c r="D891" s="9">
        <v>15.0</v>
      </c>
      <c r="E891" s="9" t="s">
        <v>12231</v>
      </c>
      <c r="G891" s="9" t="s">
        <v>47521</v>
      </c>
    </row>
    <row r="892" ht="15.75" customHeight="1">
      <c r="A892" s="9" t="s">
        <v>48519</v>
      </c>
      <c r="B892" s="9" t="s">
        <v>23928</v>
      </c>
      <c r="D892" s="9">
        <v>85.0</v>
      </c>
      <c r="E892" s="9" t="s">
        <v>12245</v>
      </c>
      <c r="G892" s="9" t="s">
        <v>47521</v>
      </c>
    </row>
    <row r="893" ht="15.75" customHeight="1">
      <c r="A893" s="9" t="s">
        <v>48520</v>
      </c>
      <c r="B893" s="9" t="s">
        <v>23942</v>
      </c>
      <c r="C893" s="9" t="s">
        <v>47511</v>
      </c>
      <c r="D893" s="9">
        <v>500.0</v>
      </c>
      <c r="G893" s="9" t="s">
        <v>47521</v>
      </c>
    </row>
    <row r="894" ht="15.75" customHeight="1">
      <c r="A894" s="9" t="s">
        <v>48521</v>
      </c>
      <c r="B894" s="9" t="s">
        <v>9736</v>
      </c>
      <c r="D894" s="9">
        <v>140.0</v>
      </c>
      <c r="G894" s="9" t="s">
        <v>47521</v>
      </c>
    </row>
    <row r="895" ht="15.75" customHeight="1">
      <c r="A895" s="9" t="s">
        <v>48522</v>
      </c>
      <c r="B895" s="9" t="s">
        <v>23956</v>
      </c>
      <c r="C895" s="9" t="s">
        <v>47511</v>
      </c>
      <c r="D895" s="9">
        <v>200.0</v>
      </c>
      <c r="G895" s="9" t="s">
        <v>47521</v>
      </c>
    </row>
    <row r="896" ht="15.75" customHeight="1">
      <c r="A896" s="9" t="s">
        <v>48523</v>
      </c>
      <c r="B896" s="9" t="s">
        <v>23748</v>
      </c>
      <c r="C896" s="9" t="s">
        <v>47615</v>
      </c>
      <c r="D896" s="9">
        <v>400.0</v>
      </c>
      <c r="G896" s="9" t="s">
        <v>47521</v>
      </c>
    </row>
    <row r="897" ht="15.75" customHeight="1">
      <c r="A897" s="9" t="s">
        <v>48524</v>
      </c>
      <c r="B897" s="9" t="s">
        <v>23970</v>
      </c>
      <c r="D897" s="9">
        <v>400.0</v>
      </c>
      <c r="G897" s="9" t="s">
        <v>47521</v>
      </c>
    </row>
    <row r="898" ht="15.75" customHeight="1">
      <c r="A898" s="9" t="s">
        <v>48525</v>
      </c>
      <c r="B898" s="9" t="s">
        <v>24006</v>
      </c>
      <c r="D898" s="9">
        <v>120.0</v>
      </c>
      <c r="G898" s="9" t="s">
        <v>47521</v>
      </c>
    </row>
    <row r="899" ht="15.75" customHeight="1">
      <c r="A899" s="9" t="s">
        <v>48526</v>
      </c>
      <c r="B899" s="9" t="s">
        <v>24021</v>
      </c>
      <c r="C899" s="9" t="s">
        <v>48507</v>
      </c>
      <c r="D899" s="9">
        <v>40.0</v>
      </c>
      <c r="G899" s="9" t="s">
        <v>47521</v>
      </c>
    </row>
    <row r="900" ht="15.75" customHeight="1">
      <c r="A900" s="9" t="s">
        <v>48527</v>
      </c>
      <c r="B900" s="9" t="s">
        <v>24021</v>
      </c>
      <c r="C900" s="9" t="s">
        <v>48341</v>
      </c>
      <c r="D900" s="9">
        <v>80.0</v>
      </c>
      <c r="G900" s="9" t="s">
        <v>47521</v>
      </c>
    </row>
    <row r="901" ht="15.75" customHeight="1">
      <c r="A901" s="9" t="s">
        <v>48528</v>
      </c>
      <c r="B901" s="9" t="s">
        <v>24038</v>
      </c>
      <c r="C901" s="9" t="s">
        <v>47511</v>
      </c>
      <c r="D901" s="9">
        <v>400.0</v>
      </c>
      <c r="G901" s="9" t="s">
        <v>47521</v>
      </c>
    </row>
    <row r="902" ht="15.75" customHeight="1">
      <c r="A902" s="9" t="s">
        <v>48529</v>
      </c>
      <c r="B902" s="9" t="s">
        <v>24053</v>
      </c>
      <c r="C902" s="9" t="s">
        <v>47842</v>
      </c>
      <c r="D902" s="9">
        <v>300.0</v>
      </c>
      <c r="G902" s="9" t="s">
        <v>47521</v>
      </c>
    </row>
    <row r="903" ht="15.75" customHeight="1">
      <c r="A903" s="9" t="s">
        <v>48530</v>
      </c>
      <c r="B903" s="9" t="s">
        <v>24069</v>
      </c>
      <c r="C903" s="9" t="s">
        <v>47719</v>
      </c>
      <c r="D903" s="9">
        <v>95.0</v>
      </c>
      <c r="E903" s="9" t="s">
        <v>12245</v>
      </c>
      <c r="G903" s="9" t="s">
        <v>47521</v>
      </c>
    </row>
    <row r="904" ht="15.75" customHeight="1">
      <c r="A904" s="9" t="s">
        <v>48531</v>
      </c>
      <c r="B904" s="9" t="s">
        <v>24084</v>
      </c>
      <c r="C904" s="9" t="s">
        <v>47511</v>
      </c>
      <c r="D904" s="9">
        <v>400.0</v>
      </c>
      <c r="G904" s="9" t="s">
        <v>47521</v>
      </c>
    </row>
    <row r="905" ht="15.75" customHeight="1">
      <c r="A905" s="9" t="s">
        <v>48532</v>
      </c>
      <c r="B905" s="9" t="s">
        <v>24069</v>
      </c>
      <c r="C905" s="9" t="s">
        <v>48533</v>
      </c>
      <c r="D905" s="9">
        <v>330.0</v>
      </c>
      <c r="G905" s="9" t="s">
        <v>47521</v>
      </c>
    </row>
    <row r="906" ht="15.75" customHeight="1">
      <c r="A906" s="9" t="s">
        <v>48534</v>
      </c>
      <c r="B906" s="9" t="s">
        <v>23942</v>
      </c>
      <c r="C906" s="9" t="s">
        <v>47511</v>
      </c>
      <c r="D906" s="9">
        <v>89.0</v>
      </c>
      <c r="G906" s="9" t="s">
        <v>47521</v>
      </c>
    </row>
    <row r="907" ht="15.75" customHeight="1">
      <c r="A907" s="9" t="s">
        <v>48535</v>
      </c>
      <c r="B907" s="9" t="s">
        <v>24111</v>
      </c>
      <c r="C907" s="9" t="s">
        <v>47573</v>
      </c>
      <c r="D907" s="9">
        <v>80.0</v>
      </c>
      <c r="G907" s="9" t="s">
        <v>47521</v>
      </c>
    </row>
    <row r="908" ht="15.75" customHeight="1">
      <c r="A908" s="9" t="s">
        <v>48536</v>
      </c>
      <c r="B908" s="9" t="s">
        <v>24111</v>
      </c>
      <c r="C908" s="9" t="s">
        <v>12241</v>
      </c>
      <c r="D908" s="9">
        <v>520.0</v>
      </c>
      <c r="G908" s="9" t="s">
        <v>47521</v>
      </c>
    </row>
    <row r="909" ht="15.75" customHeight="1">
      <c r="A909" s="9" t="s">
        <v>48537</v>
      </c>
      <c r="B909" s="9" t="s">
        <v>24111</v>
      </c>
      <c r="C909" s="9" t="s">
        <v>47573</v>
      </c>
      <c r="D909" s="9">
        <v>75.0</v>
      </c>
      <c r="G909" s="9" t="s">
        <v>47521</v>
      </c>
    </row>
    <row r="910" ht="15.75" customHeight="1">
      <c r="A910" s="9" t="s">
        <v>48538</v>
      </c>
      <c r="B910" s="9" t="s">
        <v>240</v>
      </c>
      <c r="C910" s="9" t="s">
        <v>48539</v>
      </c>
      <c r="D910" s="9">
        <v>650.0</v>
      </c>
      <c r="G910" s="9" t="s">
        <v>47521</v>
      </c>
    </row>
    <row r="911" ht="15.75" customHeight="1">
      <c r="A911" s="9" t="s">
        <v>48540</v>
      </c>
      <c r="B911" s="9" t="s">
        <v>24136</v>
      </c>
      <c r="D911" s="9">
        <v>20.0</v>
      </c>
      <c r="G911" s="9" t="s">
        <v>47521</v>
      </c>
    </row>
    <row r="912" ht="15.75" customHeight="1">
      <c r="A912" s="9" t="s">
        <v>48541</v>
      </c>
      <c r="B912" s="9" t="s">
        <v>24136</v>
      </c>
      <c r="D912" s="9">
        <v>30.0</v>
      </c>
      <c r="G912" s="9" t="s">
        <v>47521</v>
      </c>
    </row>
    <row r="913" ht="15.75" customHeight="1">
      <c r="A913" s="9" t="s">
        <v>48542</v>
      </c>
      <c r="B913" s="9" t="s">
        <v>24097</v>
      </c>
      <c r="D913" s="9">
        <v>80.0</v>
      </c>
      <c r="G913" s="9" t="s">
        <v>47521</v>
      </c>
    </row>
    <row r="914" ht="15.75" customHeight="1">
      <c r="A914" s="9" t="s">
        <v>48543</v>
      </c>
      <c r="B914" s="9" t="s">
        <v>257</v>
      </c>
      <c r="D914" s="9">
        <v>120.0</v>
      </c>
      <c r="E914" s="9" t="s">
        <v>12245</v>
      </c>
      <c r="G914" s="9" t="s">
        <v>47521</v>
      </c>
    </row>
    <row r="915" ht="15.75" customHeight="1">
      <c r="A915" s="9" t="s">
        <v>48544</v>
      </c>
      <c r="B915" s="9" t="s">
        <v>24162</v>
      </c>
      <c r="C915" s="9" t="s">
        <v>47511</v>
      </c>
      <c r="D915" s="9">
        <v>150.0</v>
      </c>
      <c r="G915" s="9" t="s">
        <v>47521</v>
      </c>
    </row>
    <row r="916" ht="15.75" customHeight="1">
      <c r="A916" s="9" t="s">
        <v>48545</v>
      </c>
      <c r="B916" s="9" t="s">
        <v>24178</v>
      </c>
      <c r="D916" s="9">
        <v>250.0</v>
      </c>
      <c r="G916" s="9" t="s">
        <v>47521</v>
      </c>
    </row>
    <row r="917" ht="15.75" customHeight="1">
      <c r="A917" s="9" t="s">
        <v>48546</v>
      </c>
      <c r="B917" s="9" t="s">
        <v>24189</v>
      </c>
      <c r="D917" s="9">
        <v>35.0</v>
      </c>
      <c r="G917" s="9" t="s">
        <v>47521</v>
      </c>
    </row>
    <row r="918" ht="15.75" customHeight="1">
      <c r="A918" s="9" t="s">
        <v>48547</v>
      </c>
      <c r="B918" s="9" t="s">
        <v>24216</v>
      </c>
      <c r="C918" s="9" t="s">
        <v>47511</v>
      </c>
      <c r="D918" s="9">
        <v>200.0</v>
      </c>
      <c r="G918" s="9" t="s">
        <v>47521</v>
      </c>
    </row>
    <row r="919" ht="15.75" customHeight="1">
      <c r="A919" s="9" t="s">
        <v>48548</v>
      </c>
      <c r="B919" s="9" t="s">
        <v>24231</v>
      </c>
      <c r="C919" s="9" t="s">
        <v>47511</v>
      </c>
      <c r="D919" s="9">
        <v>120.0</v>
      </c>
      <c r="E919" s="9"/>
      <c r="G919" s="9" t="s">
        <v>47521</v>
      </c>
    </row>
    <row r="920" ht="15.75" customHeight="1">
      <c r="A920" s="9" t="s">
        <v>48549</v>
      </c>
      <c r="B920" s="9" t="s">
        <v>24244</v>
      </c>
      <c r="C920" s="9" t="s">
        <v>47511</v>
      </c>
      <c r="D920" s="9">
        <v>120.0</v>
      </c>
      <c r="E920" s="9" t="s">
        <v>12245</v>
      </c>
      <c r="G920" s="9" t="s">
        <v>47521</v>
      </c>
    </row>
    <row r="921" ht="15.75" customHeight="1">
      <c r="A921" s="9" t="s">
        <v>48550</v>
      </c>
      <c r="B921" s="9" t="s">
        <v>24231</v>
      </c>
      <c r="C921" s="9" t="s">
        <v>47511</v>
      </c>
      <c r="D921" s="9">
        <v>150.0</v>
      </c>
      <c r="E921" s="9"/>
      <c r="G921" s="9" t="s">
        <v>47521</v>
      </c>
    </row>
    <row r="922" ht="15.75" customHeight="1">
      <c r="A922" s="9" t="s">
        <v>48551</v>
      </c>
      <c r="B922" s="9" t="s">
        <v>24244</v>
      </c>
      <c r="C922" s="9" t="s">
        <v>47511</v>
      </c>
      <c r="D922" s="9">
        <v>150.0</v>
      </c>
      <c r="G922" s="9" t="s">
        <v>47521</v>
      </c>
    </row>
    <row r="923" ht="15.75" customHeight="1">
      <c r="A923" s="9" t="s">
        <v>48552</v>
      </c>
      <c r="B923" s="9" t="s">
        <v>24274</v>
      </c>
      <c r="C923" s="9" t="s">
        <v>47511</v>
      </c>
      <c r="D923" s="9">
        <v>97.0</v>
      </c>
      <c r="G923" s="9" t="s">
        <v>47521</v>
      </c>
    </row>
    <row r="924" ht="15.75" customHeight="1">
      <c r="A924" s="9" t="s">
        <v>48553</v>
      </c>
      <c r="B924" s="9" t="s">
        <v>24254</v>
      </c>
      <c r="D924" s="9">
        <v>2.5</v>
      </c>
      <c r="E924" s="9" t="s">
        <v>12234</v>
      </c>
      <c r="G924" s="9" t="s">
        <v>47521</v>
      </c>
    </row>
    <row r="925" ht="15.75" customHeight="1">
      <c r="A925" s="9" t="s">
        <v>48554</v>
      </c>
      <c r="B925" s="9" t="s">
        <v>274</v>
      </c>
      <c r="D925" s="9">
        <v>150.0</v>
      </c>
      <c r="G925" s="9" t="s">
        <v>47521</v>
      </c>
    </row>
    <row r="926" ht="15.75" customHeight="1">
      <c r="A926" s="9" t="s">
        <v>48555</v>
      </c>
      <c r="B926" s="9" t="s">
        <v>24290</v>
      </c>
      <c r="C926" s="9" t="s">
        <v>47511</v>
      </c>
      <c r="D926" s="9">
        <v>100.0</v>
      </c>
      <c r="G926" s="9" t="s">
        <v>47521</v>
      </c>
    </row>
    <row r="927" ht="15.75" customHeight="1">
      <c r="A927" s="9" t="s">
        <v>48556</v>
      </c>
      <c r="B927" s="9" t="s">
        <v>24304</v>
      </c>
      <c r="C927" s="9" t="s">
        <v>48258</v>
      </c>
      <c r="D927" s="9">
        <v>14.0</v>
      </c>
      <c r="G927" s="9" t="s">
        <v>47521</v>
      </c>
    </row>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2.75"/>
    <col customWidth="1" min="4" max="6" width="12.63"/>
  </cols>
  <sheetData>
    <row r="1">
      <c r="A1" s="7" t="s">
        <v>48557</v>
      </c>
      <c r="B1" s="7" t="s">
        <v>12275</v>
      </c>
      <c r="C1" s="7" t="s">
        <v>48558</v>
      </c>
      <c r="D1" s="7" t="s">
        <v>48559</v>
      </c>
      <c r="E1" s="7"/>
      <c r="F1" s="7"/>
      <c r="G1" s="7"/>
      <c r="H1" s="7"/>
      <c r="I1" s="7"/>
      <c r="J1" s="7"/>
      <c r="K1" s="7"/>
      <c r="L1" s="7"/>
      <c r="M1" s="7"/>
      <c r="N1" s="7"/>
      <c r="O1" s="7"/>
      <c r="P1" s="7"/>
      <c r="Q1" s="7"/>
      <c r="R1" s="7"/>
      <c r="S1" s="7"/>
      <c r="T1" s="7"/>
      <c r="U1" s="7"/>
      <c r="V1" s="7"/>
      <c r="W1" s="7"/>
      <c r="X1" s="7"/>
    </row>
    <row r="2">
      <c r="A2" s="6" t="s">
        <v>48560</v>
      </c>
      <c r="B2" s="6" t="s">
        <v>3515</v>
      </c>
      <c r="C2" s="6" t="s">
        <v>42532</v>
      </c>
      <c r="D2" s="140" t="s">
        <v>48561</v>
      </c>
      <c r="E2" s="7"/>
      <c r="F2" s="7"/>
      <c r="G2" s="7"/>
      <c r="H2" s="7"/>
      <c r="I2" s="7"/>
      <c r="J2" s="7"/>
      <c r="K2" s="7"/>
      <c r="L2" s="7"/>
      <c r="M2" s="7"/>
      <c r="N2" s="7"/>
      <c r="O2" s="7"/>
      <c r="P2" s="7"/>
      <c r="Q2" s="7"/>
      <c r="R2" s="7"/>
      <c r="S2" s="7"/>
      <c r="T2" s="7"/>
      <c r="U2" s="7"/>
      <c r="V2" s="7"/>
      <c r="W2" s="7"/>
      <c r="X2" s="7"/>
    </row>
    <row r="3">
      <c r="A3" s="6" t="s">
        <v>48562</v>
      </c>
      <c r="B3" s="41" t="s">
        <v>20037</v>
      </c>
      <c r="C3" s="6" t="s">
        <v>42532</v>
      </c>
      <c r="D3" s="140" t="s">
        <v>48563</v>
      </c>
      <c r="E3" s="7"/>
      <c r="F3" s="7"/>
      <c r="G3" s="7"/>
      <c r="H3" s="7"/>
      <c r="I3" s="7"/>
      <c r="J3" s="7"/>
      <c r="K3" s="7"/>
      <c r="L3" s="7"/>
      <c r="M3" s="7"/>
      <c r="N3" s="7"/>
      <c r="O3" s="7"/>
      <c r="P3" s="7"/>
      <c r="Q3" s="7"/>
      <c r="R3" s="7"/>
      <c r="S3" s="7"/>
      <c r="T3" s="7"/>
      <c r="U3" s="7"/>
      <c r="V3" s="7"/>
      <c r="W3" s="7"/>
      <c r="X3" s="7"/>
    </row>
    <row r="4">
      <c r="A4" s="6" t="s">
        <v>48564</v>
      </c>
      <c r="B4" s="6" t="s">
        <v>10217</v>
      </c>
      <c r="C4" s="6" t="s">
        <v>42532</v>
      </c>
      <c r="D4" s="140" t="s">
        <v>48565</v>
      </c>
      <c r="E4" s="7"/>
      <c r="F4" s="7"/>
      <c r="G4" s="7"/>
      <c r="H4" s="7"/>
      <c r="I4" s="7"/>
      <c r="J4" s="7"/>
      <c r="K4" s="7"/>
      <c r="L4" s="7"/>
      <c r="M4" s="7"/>
      <c r="N4" s="7"/>
      <c r="O4" s="7"/>
      <c r="P4" s="7"/>
      <c r="Q4" s="7"/>
      <c r="R4" s="7"/>
      <c r="S4" s="7"/>
      <c r="T4" s="7"/>
      <c r="U4" s="7"/>
      <c r="V4" s="7"/>
      <c r="W4" s="7"/>
      <c r="X4" s="7"/>
    </row>
    <row r="5">
      <c r="A5" s="6" t="s">
        <v>48566</v>
      </c>
      <c r="B5" s="6" t="s">
        <v>12191</v>
      </c>
      <c r="C5" s="6" t="s">
        <v>42532</v>
      </c>
      <c r="D5" s="68" t="s">
        <v>48567</v>
      </c>
      <c r="E5" s="7"/>
      <c r="F5" s="7"/>
      <c r="G5" s="7"/>
      <c r="H5" s="7"/>
      <c r="I5" s="7"/>
      <c r="J5" s="7"/>
      <c r="K5" s="7"/>
      <c r="L5" s="7"/>
      <c r="M5" s="7"/>
      <c r="N5" s="7"/>
      <c r="O5" s="7"/>
      <c r="P5" s="7"/>
      <c r="Q5" s="7"/>
      <c r="R5" s="7"/>
      <c r="S5" s="7"/>
      <c r="T5" s="7"/>
      <c r="U5" s="7"/>
      <c r="V5" s="7"/>
      <c r="W5" s="7"/>
      <c r="X5" s="7"/>
    </row>
    <row r="6">
      <c r="A6" s="6" t="s">
        <v>48568</v>
      </c>
      <c r="B6" s="6" t="s">
        <v>9958</v>
      </c>
      <c r="C6" s="6" t="s">
        <v>42532</v>
      </c>
      <c r="D6" s="68" t="s">
        <v>48569</v>
      </c>
      <c r="E6" s="7"/>
      <c r="F6" s="7"/>
      <c r="G6" s="7"/>
      <c r="H6" s="7"/>
      <c r="I6" s="7"/>
      <c r="J6" s="7"/>
      <c r="K6" s="7"/>
      <c r="L6" s="7"/>
      <c r="M6" s="7"/>
      <c r="N6" s="7"/>
      <c r="O6" s="7"/>
      <c r="P6" s="7"/>
      <c r="Q6" s="7"/>
      <c r="R6" s="7"/>
      <c r="S6" s="7"/>
      <c r="T6" s="7"/>
      <c r="U6" s="7"/>
      <c r="V6" s="7"/>
      <c r="W6" s="7"/>
      <c r="X6" s="7"/>
    </row>
    <row r="7">
      <c r="A7" s="6" t="s">
        <v>48570</v>
      </c>
      <c r="B7" s="6" t="s">
        <v>5300</v>
      </c>
      <c r="C7" s="6" t="s">
        <v>42532</v>
      </c>
      <c r="D7" s="68" t="s">
        <v>48571</v>
      </c>
      <c r="E7" s="7"/>
      <c r="F7" s="7"/>
      <c r="G7" s="7"/>
      <c r="H7" s="7"/>
      <c r="I7" s="7"/>
      <c r="J7" s="7"/>
      <c r="K7" s="7"/>
      <c r="L7" s="7"/>
      <c r="M7" s="7"/>
      <c r="N7" s="7"/>
      <c r="O7" s="7"/>
      <c r="P7" s="7"/>
      <c r="Q7" s="7"/>
      <c r="R7" s="7"/>
      <c r="S7" s="7"/>
      <c r="T7" s="7"/>
      <c r="U7" s="7"/>
      <c r="V7" s="7"/>
      <c r="W7" s="7"/>
      <c r="X7" s="7"/>
    </row>
    <row r="8">
      <c r="A8" s="6" t="s">
        <v>48572</v>
      </c>
      <c r="B8" s="6" t="s">
        <v>8275</v>
      </c>
      <c r="C8" s="6" t="s">
        <v>42532</v>
      </c>
      <c r="D8" s="68" t="s">
        <v>48573</v>
      </c>
      <c r="E8" s="7"/>
      <c r="F8" s="7"/>
      <c r="G8" s="7"/>
      <c r="H8" s="7"/>
      <c r="I8" s="7"/>
      <c r="J8" s="7"/>
      <c r="K8" s="7"/>
      <c r="L8" s="7"/>
      <c r="M8" s="7"/>
      <c r="N8" s="7"/>
      <c r="O8" s="7"/>
      <c r="P8" s="7"/>
      <c r="Q8" s="7"/>
      <c r="R8" s="7"/>
      <c r="S8" s="7"/>
      <c r="T8" s="7"/>
      <c r="U8" s="7"/>
      <c r="V8" s="7"/>
      <c r="W8" s="7"/>
      <c r="X8" s="7"/>
    </row>
    <row r="9">
      <c r="A9" s="6" t="s">
        <v>48574</v>
      </c>
      <c r="B9" s="6" t="s">
        <v>243</v>
      </c>
      <c r="C9" s="6" t="s">
        <v>42532</v>
      </c>
      <c r="D9" s="68" t="s">
        <v>48575</v>
      </c>
      <c r="E9" s="7"/>
      <c r="F9" s="7"/>
      <c r="G9" s="7"/>
      <c r="H9" s="7"/>
      <c r="I9" s="7"/>
      <c r="J9" s="7"/>
      <c r="K9" s="7"/>
      <c r="L9" s="7"/>
      <c r="M9" s="7"/>
      <c r="N9" s="7"/>
      <c r="O9" s="7"/>
      <c r="P9" s="7"/>
      <c r="Q9" s="7"/>
      <c r="R9" s="7"/>
      <c r="S9" s="7"/>
      <c r="T9" s="7"/>
      <c r="U9" s="7"/>
      <c r="V9" s="7"/>
      <c r="W9" s="7"/>
      <c r="X9" s="7"/>
    </row>
    <row r="10">
      <c r="A10" s="6" t="s">
        <v>48576</v>
      </c>
      <c r="B10" s="6" t="s">
        <v>8312</v>
      </c>
      <c r="C10" s="6" t="s">
        <v>42532</v>
      </c>
      <c r="D10" s="68" t="s">
        <v>48577</v>
      </c>
      <c r="E10" s="7"/>
      <c r="F10" s="7"/>
      <c r="G10" s="7"/>
      <c r="H10" s="7"/>
      <c r="I10" s="7"/>
      <c r="J10" s="7"/>
      <c r="K10" s="7"/>
      <c r="L10" s="7"/>
      <c r="M10" s="7"/>
      <c r="N10" s="7"/>
      <c r="O10" s="7"/>
      <c r="P10" s="7"/>
      <c r="Q10" s="7"/>
      <c r="R10" s="7"/>
      <c r="S10" s="7"/>
      <c r="T10" s="7"/>
      <c r="U10" s="7"/>
      <c r="V10" s="7"/>
      <c r="W10" s="7"/>
      <c r="X10" s="7"/>
    </row>
    <row r="11">
      <c r="A11" s="6" t="s">
        <v>48578</v>
      </c>
      <c r="B11" s="6" t="s">
        <v>10023</v>
      </c>
      <c r="C11" s="6" t="s">
        <v>42532</v>
      </c>
      <c r="D11" s="68" t="s">
        <v>48579</v>
      </c>
      <c r="E11" s="7"/>
      <c r="F11" s="7"/>
      <c r="G11" s="7"/>
      <c r="H11" s="7"/>
      <c r="I11" s="7"/>
      <c r="J11" s="7"/>
      <c r="K11" s="7"/>
      <c r="L11" s="7"/>
      <c r="M11" s="7"/>
      <c r="N11" s="7"/>
      <c r="O11" s="7"/>
      <c r="P11" s="7"/>
      <c r="Q11" s="7"/>
      <c r="R11" s="7"/>
      <c r="S11" s="7"/>
      <c r="T11" s="7"/>
      <c r="U11" s="7"/>
      <c r="V11" s="7"/>
      <c r="W11" s="7"/>
      <c r="X11" s="7"/>
    </row>
    <row r="12">
      <c r="A12" s="6" t="s">
        <v>48580</v>
      </c>
      <c r="B12" s="6" t="s">
        <v>8608</v>
      </c>
      <c r="C12" s="6" t="s">
        <v>42532</v>
      </c>
      <c r="D12" s="68" t="s">
        <v>48581</v>
      </c>
      <c r="E12" s="7"/>
      <c r="F12" s="7"/>
      <c r="G12" s="7"/>
      <c r="H12" s="7"/>
      <c r="I12" s="7"/>
      <c r="J12" s="7"/>
      <c r="K12" s="7"/>
      <c r="L12" s="7"/>
      <c r="M12" s="7"/>
      <c r="N12" s="7"/>
      <c r="O12" s="7"/>
      <c r="P12" s="7"/>
      <c r="Q12" s="7"/>
      <c r="R12" s="7"/>
      <c r="S12" s="7"/>
      <c r="T12" s="7"/>
      <c r="U12" s="7"/>
      <c r="V12" s="7"/>
      <c r="W12" s="7"/>
      <c r="X12" s="7"/>
    </row>
    <row r="13">
      <c r="A13" s="6" t="s">
        <v>48582</v>
      </c>
      <c r="B13" s="6" t="s">
        <v>10427</v>
      </c>
      <c r="C13" s="6" t="s">
        <v>42532</v>
      </c>
      <c r="D13" s="68" t="s">
        <v>48583</v>
      </c>
      <c r="E13" s="7"/>
      <c r="F13" s="7"/>
      <c r="G13" s="7"/>
      <c r="H13" s="7"/>
      <c r="I13" s="7"/>
      <c r="J13" s="7"/>
      <c r="K13" s="7"/>
      <c r="L13" s="7"/>
      <c r="M13" s="7"/>
      <c r="N13" s="7"/>
      <c r="O13" s="7"/>
      <c r="P13" s="7"/>
      <c r="Q13" s="7"/>
      <c r="R13" s="7"/>
      <c r="S13" s="7"/>
      <c r="T13" s="7"/>
      <c r="U13" s="7"/>
      <c r="V13" s="7"/>
      <c r="W13" s="7"/>
      <c r="X13" s="7"/>
    </row>
    <row r="14">
      <c r="A14" s="6" t="s">
        <v>48584</v>
      </c>
      <c r="B14" s="6" t="s">
        <v>234</v>
      </c>
      <c r="C14" s="6" t="s">
        <v>42532</v>
      </c>
      <c r="D14" s="68" t="s">
        <v>48585</v>
      </c>
      <c r="E14" s="7"/>
      <c r="F14" s="7"/>
      <c r="G14" s="7"/>
      <c r="H14" s="7"/>
      <c r="I14" s="7"/>
      <c r="J14" s="7"/>
      <c r="K14" s="7"/>
      <c r="L14" s="7"/>
      <c r="M14" s="7"/>
      <c r="N14" s="7"/>
      <c r="O14" s="7"/>
      <c r="P14" s="7"/>
      <c r="Q14" s="7"/>
      <c r="R14" s="7"/>
      <c r="S14" s="7"/>
      <c r="T14" s="7"/>
      <c r="U14" s="7"/>
      <c r="V14" s="7"/>
      <c r="W14" s="7"/>
      <c r="X14" s="7"/>
    </row>
    <row r="15">
      <c r="A15" s="6" t="s">
        <v>48586</v>
      </c>
      <c r="B15" s="6" t="s">
        <v>9323</v>
      </c>
      <c r="C15" s="6" t="s">
        <v>42532</v>
      </c>
      <c r="D15" s="68" t="s">
        <v>48587</v>
      </c>
      <c r="E15" s="7"/>
      <c r="F15" s="7"/>
      <c r="G15" s="7"/>
      <c r="H15" s="7"/>
      <c r="I15" s="7"/>
      <c r="J15" s="7"/>
      <c r="K15" s="7"/>
      <c r="L15" s="7"/>
      <c r="M15" s="7"/>
      <c r="N15" s="7"/>
      <c r="O15" s="7"/>
      <c r="P15" s="7"/>
      <c r="Q15" s="7"/>
      <c r="R15" s="7"/>
      <c r="S15" s="7"/>
      <c r="T15" s="7"/>
      <c r="U15" s="7"/>
      <c r="V15" s="7"/>
      <c r="W15" s="7"/>
      <c r="X15" s="7"/>
    </row>
    <row r="16">
      <c r="A16" s="6" t="s">
        <v>48588</v>
      </c>
      <c r="B16" s="6" t="s">
        <v>5249</v>
      </c>
      <c r="C16" s="6" t="s">
        <v>42532</v>
      </c>
      <c r="D16" s="68" t="s">
        <v>48589</v>
      </c>
      <c r="E16" s="7"/>
      <c r="F16" s="7"/>
      <c r="G16" s="7"/>
      <c r="H16" s="7"/>
      <c r="I16" s="7"/>
      <c r="J16" s="7"/>
      <c r="K16" s="7"/>
      <c r="L16" s="7"/>
      <c r="M16" s="7"/>
      <c r="N16" s="7"/>
      <c r="O16" s="7"/>
      <c r="P16" s="7"/>
      <c r="Q16" s="7"/>
      <c r="R16" s="7"/>
      <c r="S16" s="7"/>
      <c r="T16" s="7"/>
      <c r="U16" s="7"/>
      <c r="V16" s="7"/>
      <c r="W16" s="7"/>
      <c r="X16" s="7"/>
    </row>
    <row r="17">
      <c r="A17" s="6" t="s">
        <v>48590</v>
      </c>
      <c r="B17" s="6" t="s">
        <v>249</v>
      </c>
      <c r="C17" s="6" t="s">
        <v>42532</v>
      </c>
      <c r="D17" s="68" t="s">
        <v>48591</v>
      </c>
      <c r="E17" s="7"/>
      <c r="F17" s="7"/>
      <c r="G17" s="7"/>
      <c r="H17" s="7"/>
      <c r="I17" s="7"/>
      <c r="J17" s="7"/>
      <c r="K17" s="7"/>
      <c r="L17" s="7"/>
      <c r="M17" s="7"/>
      <c r="N17" s="7"/>
      <c r="O17" s="7"/>
      <c r="P17" s="7"/>
      <c r="Q17" s="7"/>
      <c r="R17" s="7"/>
      <c r="S17" s="7"/>
      <c r="T17" s="7"/>
      <c r="U17" s="7"/>
      <c r="V17" s="7"/>
      <c r="W17" s="7"/>
      <c r="X17" s="7"/>
    </row>
    <row r="18">
      <c r="A18" s="6" t="s">
        <v>48592</v>
      </c>
      <c r="B18" s="6" t="s">
        <v>8568</v>
      </c>
      <c r="C18" s="6" t="s">
        <v>42532</v>
      </c>
      <c r="D18" s="68" t="s">
        <v>48593</v>
      </c>
      <c r="E18" s="7"/>
      <c r="F18" s="7"/>
      <c r="G18" s="7"/>
      <c r="H18" s="7"/>
      <c r="I18" s="7"/>
      <c r="J18" s="7"/>
      <c r="K18" s="7"/>
      <c r="L18" s="7"/>
      <c r="M18" s="7"/>
      <c r="N18" s="7"/>
      <c r="O18" s="7"/>
      <c r="P18" s="7"/>
      <c r="Q18" s="7"/>
      <c r="R18" s="7"/>
      <c r="S18" s="7"/>
      <c r="T18" s="7"/>
      <c r="U18" s="7"/>
      <c r="V18" s="7"/>
      <c r="W18" s="7"/>
      <c r="X18" s="7"/>
    </row>
    <row r="19">
      <c r="A19" s="6" t="s">
        <v>48594</v>
      </c>
      <c r="B19" s="6" t="s">
        <v>9012</v>
      </c>
      <c r="C19" s="6" t="s">
        <v>42532</v>
      </c>
      <c r="D19" s="68" t="s">
        <v>48595</v>
      </c>
      <c r="E19" s="7"/>
      <c r="F19" s="7"/>
      <c r="G19" s="7"/>
      <c r="H19" s="7"/>
      <c r="I19" s="7"/>
      <c r="J19" s="7"/>
      <c r="K19" s="7"/>
      <c r="L19" s="7"/>
      <c r="M19" s="7"/>
      <c r="N19" s="7"/>
      <c r="O19" s="7"/>
      <c r="P19" s="7"/>
      <c r="Q19" s="7"/>
      <c r="R19" s="7"/>
      <c r="S19" s="7"/>
      <c r="T19" s="7"/>
      <c r="U19" s="7"/>
      <c r="V19" s="7"/>
      <c r="W19" s="7"/>
      <c r="X19" s="7"/>
    </row>
    <row r="20">
      <c r="A20" s="6"/>
      <c r="B20" s="6"/>
      <c r="C20" s="6"/>
      <c r="D20" s="6"/>
      <c r="E20" s="7"/>
      <c r="F20" s="7"/>
      <c r="G20" s="7"/>
      <c r="H20" s="7"/>
      <c r="I20" s="7"/>
      <c r="J20" s="7"/>
      <c r="K20" s="7"/>
      <c r="L20" s="7"/>
      <c r="M20" s="7"/>
      <c r="N20" s="7"/>
      <c r="O20" s="7"/>
      <c r="P20" s="7"/>
      <c r="Q20" s="7"/>
      <c r="R20" s="7"/>
      <c r="S20" s="7"/>
      <c r="T20" s="7"/>
      <c r="U20" s="7"/>
      <c r="V20" s="7"/>
      <c r="W20" s="7"/>
      <c r="X20" s="7"/>
    </row>
    <row r="21" ht="15.75" customHeight="1">
      <c r="A21" s="6" t="s">
        <v>48596</v>
      </c>
      <c r="B21" s="6" t="s">
        <v>9012</v>
      </c>
      <c r="C21" s="6" t="s">
        <v>42543</v>
      </c>
      <c r="D21" s="68" t="s">
        <v>48597</v>
      </c>
      <c r="E21" s="7"/>
      <c r="F21" s="7"/>
      <c r="G21" s="7"/>
      <c r="H21" s="7"/>
      <c r="I21" s="7"/>
      <c r="J21" s="7"/>
      <c r="K21" s="7"/>
      <c r="L21" s="7"/>
      <c r="M21" s="7"/>
      <c r="N21" s="7"/>
      <c r="O21" s="7"/>
      <c r="P21" s="7"/>
      <c r="Q21" s="7"/>
      <c r="R21" s="7"/>
      <c r="S21" s="7"/>
      <c r="T21" s="7"/>
      <c r="U21" s="7"/>
      <c r="V21" s="7"/>
      <c r="W21" s="7"/>
      <c r="X21" s="7"/>
    </row>
    <row r="22" ht="15.75" customHeight="1">
      <c r="A22" s="6" t="s">
        <v>48598</v>
      </c>
      <c r="B22" s="6" t="s">
        <v>4952</v>
      </c>
      <c r="C22" s="6" t="s">
        <v>42532</v>
      </c>
      <c r="D22" s="68" t="s">
        <v>48599</v>
      </c>
      <c r="E22" s="7"/>
      <c r="F22" s="7"/>
      <c r="G22" s="7"/>
      <c r="H22" s="7"/>
      <c r="I22" s="7"/>
      <c r="J22" s="7"/>
      <c r="K22" s="7"/>
      <c r="L22" s="7"/>
      <c r="M22" s="7"/>
      <c r="N22" s="7"/>
      <c r="O22" s="7"/>
      <c r="P22" s="7"/>
      <c r="Q22" s="7"/>
      <c r="R22" s="7"/>
      <c r="S22" s="7"/>
      <c r="T22" s="7"/>
      <c r="U22" s="7"/>
      <c r="V22" s="7"/>
      <c r="W22" s="7"/>
      <c r="X22" s="7"/>
    </row>
    <row r="23" ht="15.75" customHeight="1">
      <c r="A23" s="6" t="s">
        <v>48600</v>
      </c>
      <c r="B23" s="6" t="s">
        <v>6269</v>
      </c>
      <c r="C23" s="6" t="s">
        <v>42535</v>
      </c>
      <c r="D23" s="68" t="s">
        <v>48601</v>
      </c>
      <c r="E23" s="7"/>
      <c r="F23" s="7"/>
      <c r="G23" s="7"/>
      <c r="H23" s="7"/>
      <c r="I23" s="7"/>
      <c r="J23" s="7"/>
      <c r="K23" s="7"/>
      <c r="L23" s="7"/>
      <c r="M23" s="7"/>
      <c r="N23" s="7"/>
      <c r="O23" s="7"/>
      <c r="P23" s="7"/>
      <c r="Q23" s="7"/>
      <c r="R23" s="7"/>
      <c r="S23" s="7"/>
      <c r="T23" s="7"/>
      <c r="U23" s="7"/>
      <c r="V23" s="7"/>
      <c r="W23" s="7"/>
      <c r="X23" s="7"/>
    </row>
    <row r="24" ht="15.75" customHeight="1">
      <c r="A24" s="6" t="s">
        <v>48602</v>
      </c>
      <c r="B24" s="6" t="s">
        <v>1966</v>
      </c>
      <c r="C24" s="6" t="s">
        <v>42532</v>
      </c>
      <c r="D24" s="68" t="s">
        <v>48603</v>
      </c>
      <c r="E24" s="7"/>
      <c r="F24" s="7"/>
      <c r="G24" s="7"/>
      <c r="H24" s="7"/>
      <c r="I24" s="7"/>
      <c r="J24" s="7"/>
      <c r="K24" s="7"/>
      <c r="L24" s="7"/>
      <c r="M24" s="7"/>
      <c r="N24" s="7"/>
      <c r="O24" s="7"/>
      <c r="P24" s="7"/>
      <c r="Q24" s="7"/>
      <c r="R24" s="7"/>
      <c r="S24" s="7"/>
      <c r="T24" s="7"/>
      <c r="U24" s="7"/>
      <c r="V24" s="7"/>
      <c r="W24" s="7"/>
      <c r="X24" s="7"/>
    </row>
    <row r="25" ht="15.75" customHeight="1">
      <c r="A25" s="6" t="s">
        <v>48604</v>
      </c>
      <c r="B25" s="6" t="s">
        <v>2944</v>
      </c>
      <c r="C25" s="6" t="s">
        <v>42532</v>
      </c>
      <c r="D25" s="68" t="s">
        <v>48605</v>
      </c>
      <c r="E25" s="7"/>
      <c r="F25" s="7"/>
      <c r="G25" s="7"/>
      <c r="H25" s="7"/>
      <c r="I25" s="7"/>
      <c r="J25" s="7"/>
      <c r="K25" s="7"/>
      <c r="L25" s="7"/>
      <c r="M25" s="7"/>
      <c r="N25" s="7"/>
      <c r="O25" s="7"/>
      <c r="P25" s="7"/>
      <c r="Q25" s="7"/>
      <c r="R25" s="7"/>
      <c r="S25" s="7"/>
      <c r="T25" s="7"/>
      <c r="U25" s="7"/>
      <c r="V25" s="7"/>
      <c r="W25" s="7"/>
      <c r="X25" s="7"/>
    </row>
    <row r="26" ht="15.75" customHeight="1">
      <c r="A26" s="6" t="s">
        <v>48606</v>
      </c>
      <c r="B26" s="6" t="s">
        <v>12120</v>
      </c>
      <c r="C26" s="6" t="s">
        <v>42532</v>
      </c>
      <c r="D26" s="68" t="s">
        <v>48607</v>
      </c>
      <c r="E26" s="7"/>
      <c r="F26" s="7"/>
      <c r="G26" s="7"/>
      <c r="H26" s="7"/>
      <c r="I26" s="7"/>
      <c r="J26" s="7"/>
      <c r="K26" s="7"/>
      <c r="L26" s="7"/>
      <c r="M26" s="7"/>
      <c r="N26" s="7"/>
      <c r="O26" s="7"/>
      <c r="P26" s="7"/>
      <c r="Q26" s="7"/>
      <c r="R26" s="7"/>
      <c r="S26" s="7"/>
      <c r="T26" s="7"/>
      <c r="U26" s="7"/>
      <c r="V26" s="7"/>
      <c r="W26" s="7"/>
      <c r="X26" s="7"/>
    </row>
    <row r="27" ht="15.75" customHeight="1">
      <c r="A27" s="6" t="s">
        <v>48608</v>
      </c>
      <c r="B27" s="6" t="s">
        <v>12120</v>
      </c>
      <c r="C27" s="6" t="s">
        <v>42535</v>
      </c>
      <c r="D27" s="68" t="s">
        <v>48609</v>
      </c>
      <c r="E27" s="7"/>
      <c r="F27" s="7"/>
      <c r="G27" s="7"/>
      <c r="H27" s="7"/>
      <c r="I27" s="7"/>
      <c r="J27" s="7"/>
      <c r="K27" s="7"/>
      <c r="L27" s="7"/>
      <c r="M27" s="7"/>
      <c r="N27" s="7"/>
      <c r="O27" s="7"/>
      <c r="P27" s="7"/>
      <c r="Q27" s="7"/>
      <c r="R27" s="7"/>
      <c r="S27" s="7"/>
      <c r="T27" s="7"/>
      <c r="U27" s="7"/>
      <c r="V27" s="7"/>
      <c r="W27" s="7"/>
      <c r="X27" s="7"/>
    </row>
    <row r="28" ht="15.75" customHeight="1">
      <c r="A28" s="6" t="s">
        <v>48610</v>
      </c>
      <c r="B28" s="6" t="s">
        <v>8011</v>
      </c>
      <c r="C28" s="6" t="s">
        <v>42532</v>
      </c>
      <c r="D28" s="68" t="s">
        <v>48611</v>
      </c>
      <c r="E28" s="7"/>
      <c r="F28" s="7"/>
      <c r="G28" s="7"/>
      <c r="H28" s="7"/>
      <c r="I28" s="7"/>
      <c r="J28" s="7"/>
      <c r="K28" s="7"/>
      <c r="L28" s="7"/>
      <c r="M28" s="7"/>
      <c r="N28" s="7"/>
      <c r="O28" s="7"/>
      <c r="P28" s="7"/>
      <c r="Q28" s="7"/>
      <c r="R28" s="7"/>
      <c r="S28" s="7"/>
      <c r="T28" s="7"/>
      <c r="U28" s="7"/>
      <c r="V28" s="7"/>
      <c r="W28" s="7"/>
      <c r="X28" s="7"/>
    </row>
    <row r="29" ht="15.75" customHeight="1">
      <c r="A29" s="6" t="s">
        <v>48612</v>
      </c>
      <c r="B29" s="6" t="s">
        <v>10733</v>
      </c>
      <c r="C29" s="6" t="s">
        <v>42538</v>
      </c>
      <c r="D29" s="68" t="s">
        <v>48613</v>
      </c>
      <c r="E29" s="7"/>
      <c r="F29" s="7"/>
      <c r="G29" s="7"/>
      <c r="H29" s="7"/>
      <c r="I29" s="7"/>
      <c r="J29" s="7"/>
      <c r="K29" s="7"/>
      <c r="L29" s="7"/>
      <c r="M29" s="7"/>
      <c r="N29" s="7"/>
      <c r="O29" s="7"/>
      <c r="P29" s="7"/>
      <c r="Q29" s="7"/>
      <c r="R29" s="7"/>
      <c r="S29" s="7"/>
      <c r="T29" s="7"/>
      <c r="U29" s="7"/>
      <c r="V29" s="7"/>
      <c r="W29" s="7"/>
      <c r="X29" s="7"/>
    </row>
    <row r="30" ht="15.75" customHeight="1">
      <c r="A30" s="6" t="s">
        <v>48614</v>
      </c>
      <c r="B30" s="6" t="s">
        <v>2029</v>
      </c>
      <c r="C30" s="6" t="s">
        <v>42532</v>
      </c>
      <c r="D30" s="68" t="s">
        <v>48615</v>
      </c>
      <c r="E30" s="7"/>
      <c r="F30" s="7"/>
      <c r="G30" s="7"/>
      <c r="H30" s="7"/>
      <c r="I30" s="7"/>
      <c r="J30" s="7"/>
      <c r="K30" s="7"/>
      <c r="L30" s="7"/>
      <c r="M30" s="7"/>
      <c r="N30" s="7"/>
      <c r="O30" s="7"/>
      <c r="P30" s="7"/>
      <c r="Q30" s="7"/>
      <c r="R30" s="7"/>
      <c r="S30" s="7"/>
      <c r="T30" s="7"/>
      <c r="U30" s="7"/>
      <c r="V30" s="7"/>
      <c r="W30" s="7"/>
      <c r="X30" s="7"/>
    </row>
    <row r="31" ht="15.75" customHeight="1">
      <c r="A31" s="41" t="s">
        <v>48616</v>
      </c>
      <c r="B31" s="6" t="s">
        <v>7585</v>
      </c>
      <c r="C31" s="6" t="s">
        <v>42538</v>
      </c>
      <c r="D31" s="68" t="s">
        <v>48617</v>
      </c>
      <c r="E31" s="7"/>
      <c r="F31" s="7"/>
      <c r="G31" s="7"/>
      <c r="H31" s="7"/>
      <c r="I31" s="7"/>
      <c r="J31" s="7"/>
      <c r="K31" s="7"/>
      <c r="L31" s="7"/>
      <c r="M31" s="7"/>
      <c r="N31" s="7"/>
      <c r="O31" s="7"/>
      <c r="P31" s="7"/>
      <c r="Q31" s="7"/>
      <c r="R31" s="7"/>
      <c r="S31" s="7"/>
      <c r="T31" s="7"/>
      <c r="U31" s="7"/>
      <c r="V31" s="7"/>
      <c r="W31" s="7"/>
      <c r="X31" s="7"/>
    </row>
    <row r="32" ht="15.75" customHeight="1">
      <c r="A32" s="6" t="s">
        <v>48618</v>
      </c>
      <c r="B32" s="6" t="s">
        <v>9835</v>
      </c>
      <c r="C32" s="6" t="s">
        <v>42532</v>
      </c>
      <c r="D32" s="68" t="s">
        <v>42534</v>
      </c>
      <c r="E32" s="7"/>
      <c r="F32" s="7"/>
      <c r="G32" s="7"/>
      <c r="H32" s="7"/>
      <c r="I32" s="7"/>
      <c r="J32" s="7"/>
      <c r="K32" s="7"/>
      <c r="L32" s="7"/>
      <c r="M32" s="7"/>
      <c r="N32" s="7"/>
      <c r="O32" s="7"/>
      <c r="P32" s="7"/>
      <c r="Q32" s="7"/>
      <c r="R32" s="7"/>
      <c r="S32" s="7"/>
      <c r="T32" s="7"/>
      <c r="U32" s="7"/>
      <c r="V32" s="7"/>
      <c r="W32" s="7"/>
      <c r="X32" s="7"/>
    </row>
    <row r="33" ht="15.75" customHeight="1">
      <c r="A33" s="6" t="s">
        <v>48619</v>
      </c>
      <c r="B33" s="6" t="s">
        <v>5037</v>
      </c>
      <c r="C33" s="6" t="s">
        <v>42535</v>
      </c>
      <c r="D33" s="68" t="s">
        <v>48620</v>
      </c>
      <c r="E33" s="7"/>
      <c r="F33" s="7"/>
      <c r="G33" s="7"/>
      <c r="H33" s="7"/>
      <c r="I33" s="7"/>
      <c r="J33" s="7"/>
      <c r="K33" s="7"/>
      <c r="L33" s="7"/>
      <c r="M33" s="7"/>
      <c r="N33" s="7"/>
      <c r="O33" s="7"/>
      <c r="P33" s="7"/>
      <c r="Q33" s="7"/>
      <c r="R33" s="7"/>
      <c r="S33" s="7"/>
      <c r="T33" s="7"/>
      <c r="U33" s="7"/>
      <c r="V33" s="7"/>
      <c r="W33" s="7"/>
      <c r="X33" s="7"/>
    </row>
    <row r="34" ht="15.75" customHeight="1">
      <c r="A34" s="6" t="s">
        <v>48621</v>
      </c>
      <c r="B34" s="6" t="s">
        <v>5037</v>
      </c>
      <c r="C34" s="6" t="s">
        <v>42538</v>
      </c>
      <c r="D34" s="68" t="s">
        <v>48622</v>
      </c>
      <c r="E34" s="7"/>
      <c r="F34" s="7"/>
      <c r="G34" s="7"/>
      <c r="H34" s="7"/>
      <c r="I34" s="7"/>
      <c r="J34" s="7"/>
      <c r="K34" s="7"/>
      <c r="L34" s="7"/>
      <c r="M34" s="7"/>
      <c r="N34" s="7"/>
      <c r="O34" s="7"/>
      <c r="P34" s="7"/>
      <c r="Q34" s="7"/>
      <c r="R34" s="7"/>
      <c r="S34" s="7"/>
      <c r="T34" s="7"/>
      <c r="U34" s="7"/>
      <c r="V34" s="7"/>
      <c r="W34" s="7"/>
      <c r="X34" s="7"/>
    </row>
    <row r="35" ht="15.75" customHeight="1">
      <c r="A35" s="6" t="s">
        <v>48623</v>
      </c>
      <c r="B35" s="6" t="s">
        <v>5037</v>
      </c>
      <c r="C35" s="6" t="s">
        <v>42532</v>
      </c>
      <c r="D35" s="68" t="s">
        <v>48624</v>
      </c>
      <c r="E35" s="7"/>
      <c r="F35" s="7"/>
      <c r="G35" s="7"/>
      <c r="H35" s="7"/>
      <c r="I35" s="7"/>
      <c r="J35" s="7"/>
      <c r="K35" s="7"/>
      <c r="L35" s="7"/>
      <c r="M35" s="7"/>
      <c r="N35" s="7"/>
      <c r="O35" s="7"/>
      <c r="P35" s="7"/>
      <c r="Q35" s="7"/>
      <c r="R35" s="7"/>
      <c r="S35" s="7"/>
      <c r="T35" s="7"/>
      <c r="U35" s="7"/>
      <c r="V35" s="7"/>
      <c r="W35" s="7"/>
      <c r="X35" s="7"/>
    </row>
    <row r="36" ht="15.75" customHeight="1">
      <c r="A36" s="6" t="s">
        <v>48625</v>
      </c>
      <c r="B36" s="6" t="s">
        <v>7526</v>
      </c>
      <c r="C36" s="6" t="s">
        <v>42532</v>
      </c>
      <c r="D36" s="68" t="s">
        <v>48624</v>
      </c>
      <c r="E36" s="7"/>
      <c r="F36" s="7"/>
      <c r="G36" s="7"/>
      <c r="H36" s="7"/>
      <c r="I36" s="7"/>
      <c r="J36" s="7"/>
      <c r="K36" s="7"/>
      <c r="L36" s="7"/>
      <c r="M36" s="7"/>
      <c r="N36" s="7"/>
      <c r="O36" s="7"/>
      <c r="P36" s="7"/>
      <c r="Q36" s="7"/>
      <c r="R36" s="7"/>
      <c r="S36" s="7"/>
      <c r="T36" s="7"/>
      <c r="U36" s="7"/>
      <c r="V36" s="7"/>
      <c r="W36" s="7"/>
      <c r="X36" s="7"/>
    </row>
    <row r="37" ht="15.75" customHeight="1">
      <c r="A37" s="6" t="s">
        <v>48626</v>
      </c>
      <c r="B37" s="6" t="s">
        <v>7526</v>
      </c>
      <c r="C37" s="6" t="s">
        <v>42535</v>
      </c>
      <c r="D37" s="68" t="s">
        <v>48627</v>
      </c>
      <c r="E37" s="7"/>
      <c r="F37" s="7"/>
      <c r="G37" s="7"/>
      <c r="H37" s="7"/>
      <c r="I37" s="7"/>
      <c r="J37" s="7"/>
      <c r="K37" s="7"/>
      <c r="L37" s="7"/>
      <c r="M37" s="7"/>
      <c r="N37" s="7"/>
      <c r="O37" s="7"/>
      <c r="P37" s="7"/>
      <c r="Q37" s="7"/>
      <c r="R37" s="7"/>
      <c r="S37" s="7"/>
      <c r="T37" s="7"/>
      <c r="U37" s="7"/>
      <c r="V37" s="7"/>
      <c r="W37" s="7"/>
      <c r="X37" s="7"/>
    </row>
    <row r="38" ht="15.75" customHeight="1">
      <c r="A38" s="6" t="s">
        <v>48628</v>
      </c>
      <c r="B38" s="6" t="s">
        <v>7526</v>
      </c>
      <c r="C38" s="6" t="s">
        <v>42538</v>
      </c>
      <c r="D38" s="68" t="s">
        <v>48629</v>
      </c>
      <c r="E38" s="7"/>
      <c r="F38" s="7"/>
      <c r="G38" s="7"/>
      <c r="H38" s="7"/>
      <c r="I38" s="7"/>
      <c r="J38" s="7"/>
      <c r="K38" s="7"/>
      <c r="L38" s="7"/>
      <c r="M38" s="7"/>
      <c r="N38" s="7"/>
      <c r="O38" s="7"/>
      <c r="P38" s="7"/>
      <c r="Q38" s="7"/>
      <c r="R38" s="7"/>
      <c r="S38" s="7"/>
      <c r="T38" s="7"/>
      <c r="U38" s="7"/>
      <c r="V38" s="7"/>
      <c r="W38" s="7"/>
      <c r="X38" s="7"/>
    </row>
    <row r="39" ht="15.75" customHeight="1">
      <c r="A39" s="6" t="s">
        <v>48630</v>
      </c>
      <c r="B39" s="6" t="s">
        <v>10079</v>
      </c>
      <c r="C39" s="6" t="s">
        <v>42532</v>
      </c>
      <c r="D39" s="68" t="s">
        <v>48631</v>
      </c>
      <c r="E39" s="7"/>
      <c r="F39" s="7"/>
      <c r="G39" s="7"/>
      <c r="H39" s="7"/>
      <c r="I39" s="7"/>
      <c r="J39" s="7"/>
      <c r="K39" s="7"/>
      <c r="L39" s="7"/>
      <c r="M39" s="7"/>
      <c r="N39" s="7"/>
      <c r="O39" s="7"/>
      <c r="P39" s="7"/>
      <c r="Q39" s="7"/>
      <c r="R39" s="7"/>
      <c r="S39" s="7"/>
      <c r="T39" s="7"/>
      <c r="U39" s="7"/>
      <c r="V39" s="7"/>
      <c r="W39" s="7"/>
      <c r="X39" s="7"/>
    </row>
    <row r="40" ht="15.75" customHeight="1">
      <c r="A40" s="6" t="s">
        <v>48632</v>
      </c>
      <c r="B40" s="6" t="s">
        <v>4121</v>
      </c>
      <c r="C40" s="6" t="s">
        <v>42532</v>
      </c>
      <c r="D40" s="68" t="s">
        <v>48633</v>
      </c>
      <c r="E40" s="7"/>
      <c r="F40" s="7"/>
      <c r="G40" s="7"/>
      <c r="H40" s="7"/>
      <c r="I40" s="7"/>
      <c r="J40" s="7"/>
      <c r="K40" s="7"/>
      <c r="L40" s="7"/>
      <c r="M40" s="7"/>
      <c r="N40" s="7"/>
      <c r="O40" s="7"/>
      <c r="P40" s="7"/>
      <c r="Q40" s="7"/>
      <c r="R40" s="7"/>
      <c r="S40" s="7"/>
      <c r="T40" s="7"/>
      <c r="U40" s="7"/>
      <c r="V40" s="7"/>
      <c r="W40" s="7"/>
      <c r="X40" s="7"/>
    </row>
    <row r="41" ht="15.75" customHeight="1">
      <c r="A41" s="6" t="s">
        <v>48634</v>
      </c>
      <c r="B41" s="6" t="s">
        <v>4121</v>
      </c>
      <c r="C41" s="6" t="s">
        <v>42535</v>
      </c>
      <c r="D41" s="68" t="s">
        <v>48635</v>
      </c>
      <c r="E41" s="7"/>
      <c r="F41" s="7"/>
      <c r="G41" s="7"/>
      <c r="H41" s="7"/>
      <c r="I41" s="7"/>
      <c r="J41" s="7"/>
      <c r="K41" s="7"/>
      <c r="L41" s="7"/>
      <c r="M41" s="7"/>
      <c r="N41" s="7"/>
      <c r="O41" s="7"/>
      <c r="P41" s="7"/>
      <c r="Q41" s="7"/>
      <c r="R41" s="7"/>
      <c r="S41" s="7"/>
      <c r="T41" s="7"/>
      <c r="U41" s="7"/>
      <c r="V41" s="7"/>
      <c r="W41" s="7"/>
      <c r="X41" s="7"/>
    </row>
    <row r="42" ht="15.75" customHeight="1">
      <c r="A42" s="6" t="s">
        <v>48636</v>
      </c>
      <c r="B42" s="6" t="s">
        <v>9411</v>
      </c>
      <c r="C42" s="6" t="s">
        <v>42538</v>
      </c>
      <c r="D42" s="68" t="s">
        <v>48637</v>
      </c>
      <c r="E42" s="7"/>
      <c r="F42" s="7"/>
      <c r="G42" s="7"/>
      <c r="H42" s="7"/>
      <c r="I42" s="7"/>
      <c r="J42" s="7"/>
      <c r="K42" s="7"/>
      <c r="L42" s="7"/>
      <c r="M42" s="7"/>
      <c r="N42" s="7"/>
      <c r="O42" s="7"/>
      <c r="P42" s="7"/>
      <c r="Q42" s="7"/>
      <c r="R42" s="7"/>
      <c r="S42" s="7"/>
      <c r="T42" s="7"/>
      <c r="U42" s="7"/>
      <c r="V42" s="7"/>
      <c r="W42" s="7"/>
      <c r="X42" s="7"/>
    </row>
    <row r="43" ht="15.75" customHeight="1">
      <c r="A43" s="6" t="s">
        <v>48638</v>
      </c>
      <c r="B43" s="6" t="s">
        <v>808</v>
      </c>
      <c r="C43" s="6" t="s">
        <v>42532</v>
      </c>
      <c r="D43" s="68" t="s">
        <v>48639</v>
      </c>
      <c r="E43" s="7"/>
      <c r="F43" s="7"/>
      <c r="G43" s="7"/>
      <c r="H43" s="7"/>
      <c r="I43" s="7"/>
      <c r="J43" s="7"/>
      <c r="K43" s="7"/>
      <c r="L43" s="7"/>
      <c r="M43" s="7"/>
      <c r="N43" s="7"/>
      <c r="O43" s="7"/>
      <c r="P43" s="7"/>
      <c r="Q43" s="7"/>
      <c r="R43" s="7"/>
      <c r="S43" s="7"/>
      <c r="T43" s="7"/>
      <c r="U43" s="7"/>
      <c r="V43" s="7"/>
      <c r="W43" s="7"/>
      <c r="X43" s="7"/>
    </row>
    <row r="44" ht="15.75" customHeight="1">
      <c r="A44" s="6" t="s">
        <v>48640</v>
      </c>
      <c r="B44" s="6" t="s">
        <v>8224</v>
      </c>
      <c r="C44" s="6" t="s">
        <v>42532</v>
      </c>
      <c r="D44" s="68" t="s">
        <v>48641</v>
      </c>
      <c r="E44" s="7"/>
      <c r="F44" s="7"/>
      <c r="G44" s="7"/>
      <c r="H44" s="7"/>
      <c r="I44" s="7"/>
      <c r="J44" s="7"/>
      <c r="K44" s="7"/>
      <c r="L44" s="7"/>
      <c r="M44" s="7"/>
      <c r="N44" s="7"/>
      <c r="O44" s="7"/>
      <c r="P44" s="7"/>
      <c r="Q44" s="7"/>
      <c r="R44" s="7"/>
      <c r="S44" s="7"/>
      <c r="T44" s="7"/>
      <c r="U44" s="7"/>
      <c r="V44" s="7"/>
      <c r="W44" s="7"/>
      <c r="X44" s="7"/>
    </row>
    <row r="45" ht="15.75" customHeight="1">
      <c r="A45" s="6" t="s">
        <v>48642</v>
      </c>
      <c r="B45" s="6" t="s">
        <v>9429</v>
      </c>
      <c r="C45" s="6" t="s">
        <v>42538</v>
      </c>
      <c r="D45" s="68" t="s">
        <v>48643</v>
      </c>
      <c r="E45" s="7"/>
      <c r="F45" s="7"/>
      <c r="G45" s="7"/>
      <c r="H45" s="7"/>
      <c r="I45" s="7"/>
      <c r="J45" s="7"/>
      <c r="K45" s="7"/>
      <c r="L45" s="7"/>
      <c r="M45" s="7"/>
      <c r="N45" s="7"/>
      <c r="O45" s="7"/>
      <c r="P45" s="7"/>
      <c r="Q45" s="7"/>
      <c r="R45" s="7"/>
      <c r="S45" s="7"/>
      <c r="T45" s="7"/>
      <c r="U45" s="7"/>
      <c r="V45" s="7"/>
      <c r="W45" s="7"/>
      <c r="X45" s="7"/>
    </row>
    <row r="46" ht="15.75" customHeight="1">
      <c r="A46" s="6" t="s">
        <v>48644</v>
      </c>
      <c r="B46" s="6" t="s">
        <v>10509</v>
      </c>
      <c r="C46" s="6" t="s">
        <v>42532</v>
      </c>
      <c r="D46" s="68" t="s">
        <v>48645</v>
      </c>
      <c r="E46" s="7"/>
      <c r="F46" s="7"/>
      <c r="G46" s="7"/>
      <c r="H46" s="7"/>
      <c r="I46" s="7"/>
      <c r="J46" s="7"/>
      <c r="K46" s="7"/>
      <c r="L46" s="7"/>
      <c r="M46" s="7"/>
      <c r="N46" s="7"/>
      <c r="O46" s="7"/>
      <c r="P46" s="7"/>
      <c r="Q46" s="7"/>
      <c r="R46" s="7"/>
      <c r="S46" s="7"/>
      <c r="T46" s="7"/>
      <c r="U46" s="7"/>
      <c r="V46" s="7"/>
      <c r="W46" s="7"/>
      <c r="X46" s="7"/>
    </row>
    <row r="47" ht="15.75" customHeight="1">
      <c r="A47" s="6" t="s">
        <v>48646</v>
      </c>
      <c r="B47" s="6" t="s">
        <v>10552</v>
      </c>
      <c r="C47" s="6" t="s">
        <v>42532</v>
      </c>
      <c r="D47" s="68" t="s">
        <v>48647</v>
      </c>
      <c r="E47" s="7"/>
      <c r="F47" s="7"/>
      <c r="G47" s="7"/>
      <c r="H47" s="7"/>
      <c r="I47" s="7"/>
      <c r="J47" s="7"/>
      <c r="K47" s="7"/>
      <c r="L47" s="7"/>
      <c r="M47" s="7"/>
      <c r="N47" s="7"/>
      <c r="O47" s="7"/>
      <c r="P47" s="7"/>
      <c r="Q47" s="7"/>
      <c r="R47" s="7"/>
      <c r="S47" s="7"/>
      <c r="T47" s="7"/>
      <c r="U47" s="7"/>
      <c r="V47" s="7"/>
      <c r="W47" s="7"/>
      <c r="X47" s="7"/>
    </row>
    <row r="48" ht="15.75" customHeight="1">
      <c r="A48" s="6" t="s">
        <v>48648</v>
      </c>
      <c r="B48" s="6" t="s">
        <v>11750</v>
      </c>
      <c r="C48" s="6" t="s">
        <v>42532</v>
      </c>
      <c r="D48" s="68" t="s">
        <v>48649</v>
      </c>
      <c r="E48" s="7"/>
      <c r="F48" s="7"/>
      <c r="G48" s="7"/>
      <c r="H48" s="7"/>
      <c r="I48" s="7"/>
      <c r="J48" s="7"/>
      <c r="K48" s="7"/>
      <c r="L48" s="7"/>
      <c r="M48" s="7"/>
      <c r="N48" s="7"/>
      <c r="O48" s="7"/>
      <c r="P48" s="7"/>
      <c r="Q48" s="7"/>
      <c r="R48" s="7"/>
      <c r="S48" s="7"/>
      <c r="T48" s="7"/>
      <c r="U48" s="7"/>
      <c r="V48" s="7"/>
      <c r="W48" s="7"/>
      <c r="X48" s="7"/>
    </row>
    <row r="49" ht="15.75" customHeight="1">
      <c r="A49" s="6" t="s">
        <v>48650</v>
      </c>
      <c r="B49" s="6" t="s">
        <v>10130</v>
      </c>
      <c r="C49" s="6" t="s">
        <v>42538</v>
      </c>
      <c r="D49" s="68" t="s">
        <v>48651</v>
      </c>
      <c r="E49" s="7"/>
      <c r="F49" s="7"/>
      <c r="G49" s="7"/>
      <c r="H49" s="7"/>
      <c r="I49" s="7"/>
      <c r="J49" s="7"/>
      <c r="K49" s="7"/>
      <c r="L49" s="7"/>
      <c r="M49" s="7"/>
      <c r="N49" s="7"/>
      <c r="O49" s="7"/>
      <c r="P49" s="7"/>
      <c r="Q49" s="7"/>
      <c r="R49" s="7"/>
      <c r="S49" s="7"/>
      <c r="T49" s="7"/>
      <c r="U49" s="7"/>
      <c r="V49" s="7"/>
      <c r="W49" s="7"/>
      <c r="X49" s="7"/>
    </row>
    <row r="50" ht="15.75" customHeight="1">
      <c r="A50" s="6" t="s">
        <v>48652</v>
      </c>
      <c r="B50" s="6" t="s">
        <v>688</v>
      </c>
      <c r="C50" s="6" t="s">
        <v>42532</v>
      </c>
      <c r="D50" s="68" t="s">
        <v>48653</v>
      </c>
      <c r="E50" s="7"/>
      <c r="F50" s="7"/>
      <c r="G50" s="7"/>
      <c r="H50" s="7"/>
      <c r="I50" s="7"/>
      <c r="J50" s="7"/>
      <c r="K50" s="7"/>
      <c r="L50" s="7"/>
      <c r="M50" s="7"/>
      <c r="N50" s="7"/>
      <c r="O50" s="7"/>
      <c r="P50" s="7"/>
      <c r="Q50" s="7"/>
      <c r="R50" s="7"/>
      <c r="S50" s="7"/>
      <c r="T50" s="7"/>
      <c r="U50" s="7"/>
      <c r="V50" s="7"/>
      <c r="W50" s="7"/>
      <c r="X50" s="7"/>
    </row>
    <row r="51" ht="15.75" customHeight="1">
      <c r="A51" s="6"/>
      <c r="B51" s="6"/>
      <c r="C51" s="6"/>
      <c r="D51" s="6"/>
      <c r="E51" s="7"/>
      <c r="F51" s="7"/>
      <c r="G51" s="7"/>
      <c r="H51" s="7"/>
      <c r="I51" s="7"/>
      <c r="J51" s="7"/>
      <c r="K51" s="7"/>
      <c r="L51" s="7"/>
      <c r="M51" s="7"/>
      <c r="N51" s="7"/>
      <c r="O51" s="7"/>
      <c r="P51" s="7"/>
      <c r="Q51" s="7"/>
      <c r="R51" s="7"/>
      <c r="S51" s="7"/>
      <c r="T51" s="7"/>
      <c r="U51" s="7"/>
      <c r="V51" s="7"/>
      <c r="W51" s="7"/>
      <c r="X51" s="7"/>
    </row>
    <row r="52" ht="15.75" customHeight="1">
      <c r="A52" s="6" t="s">
        <v>48654</v>
      </c>
      <c r="B52" s="6" t="s">
        <v>12118</v>
      </c>
      <c r="C52" s="6" t="s">
        <v>42532</v>
      </c>
      <c r="D52" s="68" t="s">
        <v>48647</v>
      </c>
      <c r="E52" s="7"/>
      <c r="F52" s="7"/>
      <c r="G52" s="7"/>
      <c r="H52" s="7"/>
      <c r="I52" s="7"/>
      <c r="J52" s="7"/>
      <c r="K52" s="7"/>
      <c r="L52" s="7"/>
      <c r="M52" s="7"/>
      <c r="N52" s="7"/>
      <c r="O52" s="7"/>
      <c r="P52" s="7"/>
      <c r="Q52" s="7"/>
      <c r="R52" s="7"/>
      <c r="S52" s="7"/>
      <c r="T52" s="7"/>
      <c r="U52" s="7"/>
      <c r="V52" s="7"/>
      <c r="W52" s="7"/>
      <c r="X52" s="7"/>
    </row>
    <row r="53" ht="15.75" customHeight="1">
      <c r="A53" s="6" t="s">
        <v>48655</v>
      </c>
      <c r="B53" s="6" t="s">
        <v>12118</v>
      </c>
      <c r="C53" s="6" t="s">
        <v>42543</v>
      </c>
      <c r="D53" s="68" t="s">
        <v>48656</v>
      </c>
      <c r="E53" s="7"/>
      <c r="F53" s="7"/>
      <c r="G53" s="7"/>
      <c r="H53" s="7"/>
      <c r="I53" s="7"/>
      <c r="J53" s="7"/>
      <c r="K53" s="7"/>
      <c r="L53" s="7"/>
      <c r="M53" s="7"/>
      <c r="N53" s="7"/>
      <c r="O53" s="7"/>
      <c r="P53" s="7"/>
      <c r="Q53" s="7"/>
      <c r="R53" s="7"/>
      <c r="S53" s="7"/>
      <c r="T53" s="7"/>
      <c r="U53" s="7"/>
      <c r="V53" s="7"/>
      <c r="W53" s="7"/>
      <c r="X53" s="7"/>
    </row>
    <row r="54" ht="15.75" customHeight="1">
      <c r="A54" s="6" t="s">
        <v>48657</v>
      </c>
      <c r="B54" s="6" t="s">
        <v>11999</v>
      </c>
      <c r="C54" s="6" t="s">
        <v>42532</v>
      </c>
      <c r="D54" s="68" t="s">
        <v>48658</v>
      </c>
      <c r="E54" s="7"/>
      <c r="F54" s="7"/>
      <c r="G54" s="7"/>
      <c r="H54" s="7"/>
      <c r="I54" s="7"/>
      <c r="J54" s="7"/>
      <c r="K54" s="7"/>
      <c r="L54" s="7"/>
      <c r="M54" s="7"/>
      <c r="N54" s="7"/>
      <c r="O54" s="7"/>
      <c r="P54" s="7"/>
      <c r="Q54" s="7"/>
      <c r="R54" s="7"/>
      <c r="S54" s="7"/>
      <c r="T54" s="7"/>
      <c r="U54" s="7"/>
      <c r="V54" s="7"/>
      <c r="W54" s="7"/>
      <c r="X54" s="7"/>
    </row>
    <row r="55" ht="15.75" customHeight="1">
      <c r="A55" s="6" t="s">
        <v>48659</v>
      </c>
      <c r="B55" s="6" t="s">
        <v>11999</v>
      </c>
      <c r="C55" s="6" t="s">
        <v>42535</v>
      </c>
      <c r="D55" s="68" t="s">
        <v>48660</v>
      </c>
      <c r="E55" s="7"/>
      <c r="F55" s="7"/>
      <c r="G55" s="7"/>
      <c r="H55" s="7"/>
      <c r="I55" s="7"/>
      <c r="J55" s="7"/>
      <c r="K55" s="7"/>
      <c r="L55" s="7"/>
      <c r="M55" s="7"/>
      <c r="N55" s="7"/>
      <c r="O55" s="7"/>
      <c r="P55" s="7"/>
      <c r="Q55" s="7"/>
      <c r="R55" s="7"/>
      <c r="S55" s="7"/>
      <c r="T55" s="7"/>
      <c r="U55" s="7"/>
      <c r="V55" s="7"/>
      <c r="W55" s="7"/>
      <c r="X55" s="7"/>
    </row>
    <row r="56" ht="15.75" customHeight="1">
      <c r="A56" s="6" t="s">
        <v>48661</v>
      </c>
      <c r="B56" s="6" t="s">
        <v>10285</v>
      </c>
      <c r="C56" s="6" t="s">
        <v>42532</v>
      </c>
      <c r="D56" s="68" t="s">
        <v>48658</v>
      </c>
      <c r="E56" s="7"/>
      <c r="F56" s="7"/>
      <c r="G56" s="7"/>
      <c r="H56" s="7"/>
      <c r="I56" s="7"/>
      <c r="J56" s="7"/>
      <c r="K56" s="7"/>
      <c r="L56" s="7"/>
      <c r="M56" s="7"/>
      <c r="N56" s="7"/>
      <c r="O56" s="7"/>
      <c r="P56" s="7"/>
      <c r="Q56" s="7"/>
      <c r="R56" s="7"/>
      <c r="S56" s="7"/>
      <c r="T56" s="7"/>
      <c r="U56" s="7"/>
      <c r="V56" s="7"/>
      <c r="W56" s="7"/>
      <c r="X56" s="7"/>
    </row>
    <row r="57" ht="15.75" customHeight="1">
      <c r="A57" s="6" t="s">
        <v>48662</v>
      </c>
      <c r="B57" s="6" t="s">
        <v>4193</v>
      </c>
      <c r="C57" s="6" t="s">
        <v>42538</v>
      </c>
      <c r="D57" s="68" t="s">
        <v>48663</v>
      </c>
      <c r="E57" s="7"/>
      <c r="F57" s="7"/>
      <c r="G57" s="7"/>
      <c r="H57" s="7"/>
      <c r="I57" s="7"/>
      <c r="J57" s="7"/>
      <c r="K57" s="7"/>
      <c r="L57" s="7"/>
      <c r="M57" s="7"/>
      <c r="N57" s="7"/>
      <c r="O57" s="7"/>
      <c r="P57" s="7"/>
      <c r="Q57" s="7"/>
      <c r="R57" s="7"/>
      <c r="S57" s="7"/>
      <c r="T57" s="7"/>
      <c r="U57" s="7"/>
      <c r="V57" s="7"/>
      <c r="W57" s="7"/>
      <c r="X57" s="7"/>
    </row>
    <row r="58" ht="15.75" customHeight="1">
      <c r="A58" s="6" t="s">
        <v>48664</v>
      </c>
      <c r="B58" s="6" t="s">
        <v>5446</v>
      </c>
      <c r="C58" s="6" t="s">
        <v>42538</v>
      </c>
      <c r="D58" s="68" t="s">
        <v>48665</v>
      </c>
      <c r="E58" s="7"/>
      <c r="F58" s="7"/>
      <c r="G58" s="7"/>
      <c r="H58" s="7"/>
      <c r="I58" s="7"/>
      <c r="J58" s="7"/>
      <c r="K58" s="7"/>
      <c r="L58" s="7"/>
      <c r="M58" s="7"/>
      <c r="N58" s="7"/>
      <c r="O58" s="7"/>
      <c r="P58" s="7"/>
      <c r="Q58" s="7"/>
      <c r="R58" s="7"/>
      <c r="S58" s="7"/>
      <c r="T58" s="7"/>
      <c r="U58" s="7"/>
      <c r="V58" s="7"/>
      <c r="W58" s="7"/>
      <c r="X58" s="7"/>
    </row>
    <row r="59" ht="15.75" customHeight="1">
      <c r="A59" s="6" t="s">
        <v>48666</v>
      </c>
      <c r="B59" s="6" t="s">
        <v>2136</v>
      </c>
      <c r="C59" s="6" t="s">
        <v>42538</v>
      </c>
      <c r="D59" s="68" t="s">
        <v>48667</v>
      </c>
      <c r="E59" s="7"/>
      <c r="F59" s="7"/>
      <c r="G59" s="7"/>
      <c r="H59" s="7"/>
      <c r="I59" s="7"/>
      <c r="J59" s="7"/>
      <c r="K59" s="7"/>
      <c r="L59" s="7"/>
      <c r="M59" s="7"/>
      <c r="N59" s="7"/>
      <c r="O59" s="7"/>
      <c r="P59" s="7"/>
      <c r="Q59" s="7"/>
      <c r="R59" s="7"/>
      <c r="S59" s="7"/>
      <c r="T59" s="7"/>
      <c r="U59" s="7"/>
      <c r="V59" s="7"/>
      <c r="W59" s="7"/>
      <c r="X59" s="7"/>
    </row>
    <row r="60" ht="15.75" customHeight="1">
      <c r="A60" s="6" t="s">
        <v>48668</v>
      </c>
      <c r="B60" s="6" t="s">
        <v>10289</v>
      </c>
      <c r="C60" s="6" t="s">
        <v>42535</v>
      </c>
      <c r="D60" s="68" t="s">
        <v>48669</v>
      </c>
      <c r="E60" s="7"/>
      <c r="F60" s="7"/>
      <c r="G60" s="7"/>
      <c r="H60" s="7"/>
      <c r="I60" s="7"/>
      <c r="J60" s="7"/>
      <c r="K60" s="7"/>
      <c r="L60" s="7"/>
      <c r="M60" s="7"/>
      <c r="N60" s="7"/>
      <c r="O60" s="7"/>
      <c r="P60" s="7"/>
      <c r="Q60" s="7"/>
      <c r="R60" s="7"/>
      <c r="S60" s="7"/>
      <c r="T60" s="7"/>
      <c r="U60" s="7"/>
      <c r="V60" s="7"/>
      <c r="W60" s="7"/>
      <c r="X60" s="7"/>
    </row>
    <row r="61" ht="15.75" customHeight="1">
      <c r="A61" s="6" t="s">
        <v>48670</v>
      </c>
      <c r="B61" s="6" t="s">
        <v>7640</v>
      </c>
      <c r="C61" s="6" t="s">
        <v>19384</v>
      </c>
      <c r="D61" s="68" t="s">
        <v>48671</v>
      </c>
      <c r="E61" s="7"/>
      <c r="F61" s="7"/>
      <c r="G61" s="7"/>
      <c r="H61" s="7"/>
      <c r="I61" s="7"/>
      <c r="J61" s="7"/>
      <c r="K61" s="7"/>
      <c r="L61" s="7"/>
      <c r="M61" s="7"/>
      <c r="N61" s="7"/>
      <c r="O61" s="7"/>
      <c r="P61" s="7"/>
      <c r="Q61" s="7"/>
      <c r="R61" s="7"/>
      <c r="S61" s="7"/>
      <c r="T61" s="7"/>
      <c r="U61" s="7"/>
      <c r="V61" s="7"/>
      <c r="W61" s="7"/>
      <c r="X61" s="7"/>
    </row>
    <row r="62" ht="15.75" customHeight="1">
      <c r="A62" s="6" t="s">
        <v>48672</v>
      </c>
      <c r="B62" s="6" t="s">
        <v>9514</v>
      </c>
      <c r="C62" s="6" t="s">
        <v>19384</v>
      </c>
      <c r="D62" s="68" t="s">
        <v>48673</v>
      </c>
      <c r="E62" s="7"/>
      <c r="F62" s="7"/>
      <c r="G62" s="7"/>
      <c r="H62" s="7"/>
      <c r="I62" s="7"/>
      <c r="J62" s="7"/>
      <c r="K62" s="7"/>
      <c r="L62" s="7"/>
      <c r="M62" s="7"/>
      <c r="N62" s="7"/>
      <c r="O62" s="7"/>
      <c r="P62" s="7"/>
      <c r="Q62" s="7"/>
      <c r="R62" s="7"/>
      <c r="S62" s="7"/>
      <c r="T62" s="7"/>
      <c r="U62" s="7"/>
      <c r="V62" s="7"/>
      <c r="W62" s="7"/>
      <c r="X62" s="7"/>
    </row>
    <row r="63" ht="15.75" customHeight="1">
      <c r="A63" s="6" t="s">
        <v>48674</v>
      </c>
      <c r="B63" s="6" t="s">
        <v>9583</v>
      </c>
      <c r="C63" s="6" t="s">
        <v>42532</v>
      </c>
      <c r="D63" s="68" t="s">
        <v>48675</v>
      </c>
      <c r="E63" s="7"/>
      <c r="F63" s="7"/>
      <c r="G63" s="7"/>
      <c r="H63" s="7"/>
      <c r="I63" s="7"/>
      <c r="J63" s="7"/>
      <c r="K63" s="7"/>
      <c r="L63" s="7"/>
      <c r="M63" s="7"/>
      <c r="N63" s="7"/>
      <c r="O63" s="7"/>
      <c r="P63" s="7"/>
      <c r="Q63" s="7"/>
      <c r="R63" s="7"/>
      <c r="S63" s="7"/>
      <c r="T63" s="7"/>
      <c r="U63" s="7"/>
      <c r="V63" s="7"/>
      <c r="W63" s="7"/>
      <c r="X63" s="7"/>
    </row>
    <row r="64" ht="15.75" customHeight="1">
      <c r="A64" s="6" t="s">
        <v>48676</v>
      </c>
      <c r="B64" s="6" t="s">
        <v>3527</v>
      </c>
      <c r="C64" s="6" t="s">
        <v>42532</v>
      </c>
      <c r="D64" s="68" t="s">
        <v>48677</v>
      </c>
      <c r="E64" s="7"/>
      <c r="F64" s="7"/>
      <c r="G64" s="7"/>
      <c r="H64" s="7"/>
      <c r="I64" s="7"/>
      <c r="J64" s="7"/>
      <c r="K64" s="7"/>
      <c r="L64" s="7"/>
      <c r="M64" s="7"/>
      <c r="N64" s="7"/>
      <c r="O64" s="7"/>
      <c r="P64" s="7"/>
      <c r="Q64" s="7"/>
      <c r="R64" s="7"/>
      <c r="S64" s="7"/>
      <c r="T64" s="7"/>
      <c r="U64" s="7"/>
      <c r="V64" s="7"/>
      <c r="W64" s="7"/>
      <c r="X64" s="7"/>
    </row>
    <row r="65" ht="15.75" customHeight="1">
      <c r="A65" s="6" t="s">
        <v>48678</v>
      </c>
      <c r="B65" s="6" t="s">
        <v>9429</v>
      </c>
      <c r="C65" s="6" t="s">
        <v>42532</v>
      </c>
      <c r="D65" s="68" t="s">
        <v>48679</v>
      </c>
      <c r="E65" s="7"/>
      <c r="F65" s="7"/>
      <c r="G65" s="7"/>
      <c r="H65" s="7"/>
      <c r="I65" s="7"/>
      <c r="J65" s="7"/>
      <c r="K65" s="7"/>
      <c r="L65" s="7"/>
      <c r="M65" s="7"/>
      <c r="N65" s="7"/>
      <c r="O65" s="7"/>
      <c r="P65" s="7"/>
      <c r="Q65" s="7"/>
      <c r="R65" s="7"/>
      <c r="S65" s="7"/>
      <c r="T65" s="7"/>
      <c r="U65" s="7"/>
      <c r="V65" s="7"/>
      <c r="W65" s="7"/>
      <c r="X65" s="7"/>
    </row>
    <row r="66" ht="15.75" customHeight="1">
      <c r="A66" s="6" t="s">
        <v>48680</v>
      </c>
      <c r="B66" s="6" t="s">
        <v>9639</v>
      </c>
      <c r="C66" s="6" t="s">
        <v>42532</v>
      </c>
      <c r="D66" s="68" t="s">
        <v>48681</v>
      </c>
      <c r="E66" s="7"/>
      <c r="F66" s="7"/>
      <c r="G66" s="7"/>
      <c r="H66" s="7"/>
      <c r="I66" s="7"/>
      <c r="J66" s="7"/>
      <c r="K66" s="7"/>
      <c r="L66" s="7"/>
      <c r="M66" s="7"/>
      <c r="N66" s="7"/>
      <c r="O66" s="7"/>
      <c r="P66" s="7"/>
      <c r="Q66" s="7"/>
      <c r="R66" s="7"/>
      <c r="S66" s="7"/>
      <c r="T66" s="7"/>
      <c r="U66" s="7"/>
      <c r="V66" s="7"/>
      <c r="W66" s="7"/>
      <c r="X66" s="7"/>
    </row>
    <row r="67" ht="15.75" customHeight="1">
      <c r="A67" s="6" t="s">
        <v>48682</v>
      </c>
      <c r="B67" s="6" t="s">
        <v>9639</v>
      </c>
      <c r="C67" s="6" t="s">
        <v>42535</v>
      </c>
      <c r="D67" s="68" t="s">
        <v>48683</v>
      </c>
      <c r="E67" s="7"/>
      <c r="F67" s="7"/>
      <c r="G67" s="7"/>
      <c r="H67" s="7"/>
      <c r="I67" s="7"/>
      <c r="J67" s="7"/>
      <c r="K67" s="7"/>
      <c r="L67" s="7"/>
      <c r="M67" s="7"/>
      <c r="N67" s="7"/>
      <c r="O67" s="7"/>
      <c r="P67" s="7"/>
      <c r="Q67" s="7"/>
      <c r="R67" s="7"/>
      <c r="S67" s="7"/>
      <c r="T67" s="7"/>
      <c r="U67" s="7"/>
      <c r="V67" s="7"/>
      <c r="W67" s="7"/>
      <c r="X67" s="7"/>
    </row>
    <row r="68" ht="15.75" customHeight="1">
      <c r="A68" s="6"/>
      <c r="B68" s="6"/>
      <c r="C68" s="6"/>
      <c r="D68" s="6"/>
      <c r="E68" s="7"/>
      <c r="F68" s="7"/>
      <c r="G68" s="7"/>
      <c r="H68" s="7"/>
      <c r="I68" s="7"/>
      <c r="J68" s="7"/>
      <c r="K68" s="7"/>
      <c r="L68" s="7"/>
      <c r="M68" s="7"/>
      <c r="N68" s="7"/>
      <c r="O68" s="7"/>
      <c r="P68" s="7"/>
      <c r="Q68" s="7"/>
      <c r="R68" s="7"/>
      <c r="S68" s="7"/>
      <c r="T68" s="7"/>
      <c r="U68" s="7"/>
      <c r="V68" s="7"/>
      <c r="W68" s="7"/>
      <c r="X68" s="7"/>
    </row>
    <row r="69" ht="15.75" customHeight="1">
      <c r="A69" s="6" t="s">
        <v>48684</v>
      </c>
      <c r="B69" s="6" t="s">
        <v>11657</v>
      </c>
      <c r="C69" s="6" t="s">
        <v>42532</v>
      </c>
      <c r="D69" s="68" t="s">
        <v>48685</v>
      </c>
      <c r="E69" s="7"/>
      <c r="F69" s="7"/>
      <c r="G69" s="7"/>
      <c r="H69" s="7"/>
      <c r="I69" s="7"/>
      <c r="J69" s="7"/>
      <c r="K69" s="7"/>
      <c r="L69" s="7"/>
      <c r="M69" s="7"/>
      <c r="N69" s="7"/>
      <c r="O69" s="7"/>
      <c r="P69" s="7"/>
      <c r="Q69" s="7"/>
      <c r="R69" s="7"/>
      <c r="S69" s="7"/>
      <c r="T69" s="7"/>
      <c r="U69" s="7"/>
      <c r="V69" s="7"/>
      <c r="W69" s="7"/>
      <c r="X69" s="7"/>
    </row>
    <row r="70" ht="15.75" customHeight="1">
      <c r="A70" s="6" t="s">
        <v>48686</v>
      </c>
      <c r="B70" s="6" t="s">
        <v>255</v>
      </c>
      <c r="C70" s="6" t="s">
        <v>42532</v>
      </c>
      <c r="D70" s="68" t="s">
        <v>48687</v>
      </c>
      <c r="E70" s="7"/>
      <c r="F70" s="7"/>
      <c r="G70" s="7"/>
      <c r="H70" s="7"/>
      <c r="I70" s="7"/>
      <c r="J70" s="7"/>
      <c r="K70" s="7"/>
      <c r="L70" s="7"/>
      <c r="M70" s="7"/>
      <c r="N70" s="7"/>
      <c r="O70" s="7"/>
      <c r="P70" s="7"/>
      <c r="Q70" s="7"/>
      <c r="R70" s="7"/>
      <c r="S70" s="7"/>
      <c r="T70" s="7"/>
      <c r="U70" s="7"/>
      <c r="V70" s="7"/>
      <c r="W70" s="7"/>
      <c r="X70" s="7"/>
    </row>
    <row r="71" ht="15.75" customHeight="1">
      <c r="A71" s="6" t="s">
        <v>48688</v>
      </c>
      <c r="B71" s="6" t="s">
        <v>255</v>
      </c>
      <c r="C71" s="6" t="s">
        <v>42543</v>
      </c>
      <c r="D71" s="6" t="s">
        <v>48689</v>
      </c>
      <c r="E71" s="7"/>
      <c r="F71" s="7"/>
      <c r="G71" s="7"/>
      <c r="H71" s="7"/>
      <c r="I71" s="7"/>
      <c r="J71" s="7"/>
      <c r="K71" s="7"/>
      <c r="L71" s="7"/>
      <c r="M71" s="7"/>
      <c r="N71" s="7"/>
      <c r="O71" s="7"/>
      <c r="P71" s="7"/>
      <c r="Q71" s="7"/>
      <c r="R71" s="7"/>
      <c r="S71" s="7"/>
      <c r="T71" s="7"/>
      <c r="U71" s="7"/>
      <c r="V71" s="7"/>
      <c r="W71" s="7"/>
      <c r="X71" s="7"/>
    </row>
    <row r="72" ht="15.75" customHeight="1">
      <c r="A72" s="6" t="s">
        <v>48690</v>
      </c>
      <c r="B72" s="6" t="s">
        <v>255</v>
      </c>
      <c r="C72" s="6" t="s">
        <v>10068</v>
      </c>
      <c r="D72" s="68" t="s">
        <v>48691</v>
      </c>
      <c r="E72" s="7"/>
      <c r="F72" s="7"/>
      <c r="G72" s="7"/>
      <c r="H72" s="7"/>
      <c r="I72" s="7"/>
      <c r="J72" s="7"/>
      <c r="K72" s="7"/>
      <c r="L72" s="7"/>
      <c r="M72" s="7"/>
      <c r="N72" s="7"/>
      <c r="O72" s="7"/>
      <c r="P72" s="7"/>
      <c r="Q72" s="7"/>
      <c r="R72" s="7"/>
      <c r="S72" s="7"/>
      <c r="T72" s="7"/>
      <c r="U72" s="7"/>
      <c r="V72" s="7"/>
      <c r="W72" s="7"/>
      <c r="X72" s="7"/>
    </row>
    <row r="73" ht="15.75" customHeight="1">
      <c r="A73" s="6" t="s">
        <v>48692</v>
      </c>
      <c r="B73" s="6" t="s">
        <v>10238</v>
      </c>
      <c r="C73" s="6" t="s">
        <v>42532</v>
      </c>
      <c r="D73" s="68" t="s">
        <v>48693</v>
      </c>
      <c r="E73" s="7"/>
      <c r="F73" s="7"/>
      <c r="G73" s="7"/>
      <c r="H73" s="7"/>
      <c r="I73" s="7"/>
      <c r="J73" s="7"/>
      <c r="K73" s="7"/>
      <c r="L73" s="7"/>
      <c r="M73" s="7"/>
      <c r="N73" s="7"/>
      <c r="O73" s="7"/>
      <c r="P73" s="7"/>
      <c r="Q73" s="7"/>
      <c r="R73" s="7"/>
      <c r="S73" s="7"/>
      <c r="T73" s="7"/>
      <c r="U73" s="7"/>
      <c r="V73" s="7"/>
      <c r="W73" s="7"/>
      <c r="X73" s="7"/>
    </row>
    <row r="74" ht="15.75" customHeight="1">
      <c r="A74" s="6" t="s">
        <v>48694</v>
      </c>
      <c r="B74" s="6" t="s">
        <v>10238</v>
      </c>
      <c r="C74" s="6" t="s">
        <v>42538</v>
      </c>
      <c r="D74" s="68" t="s">
        <v>48695</v>
      </c>
      <c r="E74" s="7"/>
      <c r="F74" s="7"/>
      <c r="G74" s="7"/>
      <c r="H74" s="7"/>
      <c r="I74" s="7"/>
      <c r="J74" s="7"/>
      <c r="K74" s="7"/>
      <c r="L74" s="7"/>
      <c r="M74" s="7"/>
      <c r="N74" s="7"/>
      <c r="O74" s="7"/>
      <c r="P74" s="7"/>
      <c r="Q74" s="7"/>
      <c r="R74" s="7"/>
      <c r="S74" s="7"/>
      <c r="T74" s="7"/>
      <c r="U74" s="7"/>
      <c r="V74" s="7"/>
      <c r="W74" s="7"/>
      <c r="X74" s="7"/>
    </row>
    <row r="75" ht="15.75" customHeight="1">
      <c r="A75" s="6" t="s">
        <v>48696</v>
      </c>
      <c r="B75" s="6" t="s">
        <v>10245</v>
      </c>
      <c r="C75" s="6" t="s">
        <v>42532</v>
      </c>
      <c r="D75" s="68" t="s">
        <v>48697</v>
      </c>
      <c r="E75" s="7"/>
      <c r="F75" s="7"/>
      <c r="G75" s="7"/>
      <c r="H75" s="7"/>
      <c r="I75" s="7"/>
      <c r="J75" s="7"/>
      <c r="K75" s="7"/>
      <c r="L75" s="7"/>
      <c r="M75" s="7"/>
      <c r="N75" s="7"/>
      <c r="O75" s="7"/>
      <c r="P75" s="7"/>
      <c r="Q75" s="7"/>
      <c r="R75" s="7"/>
      <c r="S75" s="7"/>
      <c r="T75" s="7"/>
      <c r="U75" s="7"/>
      <c r="V75" s="7"/>
      <c r="W75" s="7"/>
      <c r="X75" s="7"/>
    </row>
    <row r="76" ht="15.75" customHeight="1">
      <c r="A76" s="6" t="s">
        <v>48698</v>
      </c>
      <c r="B76" s="6" t="s">
        <v>11849</v>
      </c>
      <c r="C76" s="6" t="s">
        <v>42532</v>
      </c>
      <c r="D76" s="68" t="s">
        <v>48699</v>
      </c>
      <c r="E76" s="7"/>
      <c r="F76" s="7"/>
      <c r="G76" s="7"/>
      <c r="H76" s="7"/>
      <c r="I76" s="7"/>
      <c r="J76" s="7"/>
      <c r="K76" s="7"/>
      <c r="L76" s="7"/>
      <c r="M76" s="7"/>
      <c r="N76" s="7"/>
      <c r="O76" s="7"/>
      <c r="P76" s="7"/>
      <c r="Q76" s="7"/>
      <c r="R76" s="7"/>
      <c r="S76" s="7"/>
      <c r="T76" s="7"/>
      <c r="U76" s="7"/>
      <c r="V76" s="7"/>
      <c r="W76" s="7"/>
      <c r="X76" s="7"/>
    </row>
    <row r="77" ht="15.75" customHeight="1">
      <c r="A77" s="6" t="s">
        <v>48700</v>
      </c>
      <c r="B77" s="6" t="s">
        <v>10378</v>
      </c>
      <c r="C77" s="6" t="s">
        <v>42532</v>
      </c>
      <c r="D77" s="68" t="s">
        <v>48701</v>
      </c>
      <c r="E77" s="7"/>
      <c r="F77" s="7"/>
      <c r="G77" s="7"/>
      <c r="H77" s="7"/>
      <c r="I77" s="7"/>
      <c r="J77" s="7"/>
      <c r="K77" s="7"/>
      <c r="L77" s="7"/>
      <c r="M77" s="7"/>
      <c r="N77" s="7"/>
      <c r="O77" s="7"/>
      <c r="P77" s="7"/>
      <c r="Q77" s="7"/>
      <c r="R77" s="7"/>
      <c r="S77" s="7"/>
      <c r="T77" s="7"/>
      <c r="U77" s="7"/>
      <c r="V77" s="7"/>
      <c r="W77" s="7"/>
      <c r="X77" s="7"/>
    </row>
    <row r="78" ht="15.75" customHeight="1">
      <c r="A78" s="41" t="s">
        <v>48702</v>
      </c>
      <c r="B78" s="6" t="s">
        <v>10378</v>
      </c>
      <c r="C78" s="6" t="s">
        <v>42543</v>
      </c>
      <c r="D78" s="68" t="s">
        <v>48703</v>
      </c>
      <c r="E78" s="7"/>
      <c r="F78" s="7"/>
      <c r="G78" s="7"/>
      <c r="H78" s="7"/>
      <c r="I78" s="7"/>
      <c r="J78" s="7"/>
      <c r="K78" s="7"/>
      <c r="L78" s="7"/>
      <c r="M78" s="7"/>
      <c r="N78" s="7"/>
      <c r="O78" s="7"/>
      <c r="P78" s="7"/>
      <c r="Q78" s="7"/>
      <c r="R78" s="7"/>
      <c r="S78" s="7"/>
      <c r="T78" s="7"/>
      <c r="U78" s="7"/>
      <c r="V78" s="7"/>
      <c r="W78" s="7"/>
      <c r="X78" s="7"/>
    </row>
    <row r="79" ht="15.75" customHeight="1">
      <c r="A79" s="6" t="s">
        <v>48704</v>
      </c>
      <c r="B79" s="6" t="s">
        <v>8114</v>
      </c>
      <c r="C79" s="6" t="s">
        <v>42535</v>
      </c>
      <c r="D79" s="68" t="s">
        <v>48705</v>
      </c>
      <c r="E79" s="7"/>
      <c r="F79" s="7"/>
      <c r="G79" s="7"/>
      <c r="H79" s="7"/>
      <c r="I79" s="7"/>
      <c r="J79" s="7"/>
      <c r="K79" s="7"/>
      <c r="L79" s="7"/>
      <c r="M79" s="7"/>
      <c r="N79" s="7"/>
      <c r="O79" s="7"/>
      <c r="P79" s="7"/>
      <c r="Q79" s="7"/>
      <c r="R79" s="7"/>
      <c r="S79" s="7"/>
      <c r="T79" s="7"/>
      <c r="U79" s="7"/>
      <c r="V79" s="7"/>
      <c r="W79" s="7"/>
      <c r="X79" s="7"/>
    </row>
    <row r="80" ht="15.75" customHeight="1">
      <c r="A80" s="6" t="s">
        <v>48706</v>
      </c>
      <c r="B80" s="6" t="s">
        <v>8114</v>
      </c>
      <c r="C80" s="6" t="s">
        <v>19384</v>
      </c>
      <c r="D80" s="68" t="s">
        <v>48707</v>
      </c>
      <c r="E80" s="7"/>
      <c r="F80" s="7"/>
      <c r="G80" s="7"/>
      <c r="H80" s="7"/>
      <c r="I80" s="7"/>
      <c r="J80" s="7"/>
      <c r="K80" s="7"/>
      <c r="L80" s="7"/>
      <c r="M80" s="7"/>
      <c r="N80" s="7"/>
      <c r="O80" s="7"/>
      <c r="P80" s="7"/>
      <c r="Q80" s="7"/>
      <c r="R80" s="7"/>
      <c r="S80" s="7"/>
      <c r="T80" s="7"/>
      <c r="U80" s="7"/>
      <c r="V80" s="7"/>
      <c r="W80" s="7"/>
      <c r="X80" s="7"/>
    </row>
    <row r="81" ht="15.75" customHeight="1">
      <c r="A81" s="41" t="s">
        <v>48708</v>
      </c>
      <c r="B81" s="6" t="s">
        <v>3864</v>
      </c>
      <c r="C81" s="6" t="s">
        <v>42532</v>
      </c>
      <c r="D81" s="68" t="s">
        <v>48709</v>
      </c>
      <c r="E81" s="7"/>
      <c r="F81" s="7"/>
      <c r="G81" s="7"/>
      <c r="H81" s="7"/>
      <c r="I81" s="7"/>
      <c r="J81" s="7"/>
      <c r="K81" s="7"/>
      <c r="L81" s="7"/>
      <c r="M81" s="7"/>
      <c r="N81" s="7"/>
      <c r="O81" s="7"/>
      <c r="P81" s="7"/>
      <c r="Q81" s="7"/>
      <c r="R81" s="7"/>
      <c r="S81" s="7"/>
      <c r="T81" s="7"/>
      <c r="U81" s="7"/>
      <c r="V81" s="7"/>
      <c r="W81" s="7"/>
      <c r="X81" s="7"/>
    </row>
    <row r="82" ht="15.75" customHeight="1">
      <c r="A82" s="6" t="s">
        <v>48710</v>
      </c>
      <c r="B82" s="6" t="s">
        <v>245</v>
      </c>
      <c r="C82" s="6" t="s">
        <v>42532</v>
      </c>
      <c r="D82" s="68" t="s">
        <v>48711</v>
      </c>
      <c r="E82" s="7"/>
      <c r="F82" s="7"/>
      <c r="G82" s="7"/>
      <c r="H82" s="7"/>
      <c r="I82" s="7"/>
      <c r="J82" s="7"/>
      <c r="K82" s="7"/>
      <c r="L82" s="7"/>
      <c r="M82" s="7"/>
      <c r="N82" s="7"/>
      <c r="O82" s="7"/>
      <c r="P82" s="7"/>
      <c r="Q82" s="7"/>
      <c r="R82" s="7"/>
      <c r="S82" s="7"/>
      <c r="T82" s="7"/>
      <c r="U82" s="7"/>
      <c r="V82" s="7"/>
      <c r="W82" s="7"/>
      <c r="X82" s="7"/>
    </row>
    <row r="83" ht="15.75" customHeight="1">
      <c r="A83" s="6" t="s">
        <v>48712</v>
      </c>
      <c r="B83" s="6" t="s">
        <v>7145</v>
      </c>
      <c r="C83" s="6" t="s">
        <v>42532</v>
      </c>
      <c r="D83" s="68" t="s">
        <v>48713</v>
      </c>
      <c r="E83" s="7"/>
      <c r="F83" s="7"/>
      <c r="G83" s="7"/>
      <c r="H83" s="7"/>
      <c r="I83" s="7"/>
      <c r="J83" s="7"/>
      <c r="K83" s="7"/>
      <c r="L83" s="7"/>
      <c r="M83" s="7"/>
      <c r="N83" s="7"/>
      <c r="O83" s="7"/>
      <c r="P83" s="7"/>
      <c r="Q83" s="7"/>
      <c r="R83" s="7"/>
      <c r="S83" s="7"/>
      <c r="T83" s="7"/>
      <c r="U83" s="7"/>
      <c r="V83" s="7"/>
      <c r="W83" s="7"/>
      <c r="X83" s="7"/>
    </row>
    <row r="84" ht="15.75" customHeight="1">
      <c r="A84" s="6" t="s">
        <v>48714</v>
      </c>
      <c r="B84" s="6" t="s">
        <v>9762</v>
      </c>
      <c r="C84" s="6" t="s">
        <v>42532</v>
      </c>
      <c r="D84" s="68" t="s">
        <v>48715</v>
      </c>
      <c r="E84" s="7"/>
      <c r="F84" s="7"/>
      <c r="G84" s="7"/>
      <c r="H84" s="7"/>
      <c r="I84" s="7"/>
      <c r="J84" s="7"/>
      <c r="K84" s="7"/>
      <c r="L84" s="7"/>
      <c r="M84" s="7"/>
      <c r="N84" s="7"/>
      <c r="O84" s="7"/>
      <c r="P84" s="7"/>
      <c r="Q84" s="7"/>
      <c r="R84" s="7"/>
      <c r="S84" s="7"/>
      <c r="T84" s="7"/>
      <c r="U84" s="7"/>
      <c r="V84" s="7"/>
      <c r="W84" s="7"/>
      <c r="X84" s="7"/>
    </row>
    <row r="85" ht="15.75" customHeight="1">
      <c r="A85" s="6" t="s">
        <v>48716</v>
      </c>
      <c r="B85" s="6" t="s">
        <v>6989</v>
      </c>
      <c r="C85" s="6" t="s">
        <v>42532</v>
      </c>
      <c r="D85" s="68" t="s">
        <v>48717</v>
      </c>
      <c r="E85" s="7"/>
      <c r="F85" s="7"/>
      <c r="G85" s="7"/>
      <c r="H85" s="7"/>
      <c r="I85" s="7"/>
      <c r="J85" s="7"/>
      <c r="K85" s="7"/>
      <c r="L85" s="7"/>
      <c r="M85" s="7"/>
      <c r="N85" s="7"/>
      <c r="O85" s="7"/>
      <c r="P85" s="7"/>
      <c r="Q85" s="7"/>
      <c r="R85" s="7"/>
      <c r="S85" s="7"/>
      <c r="T85" s="7"/>
      <c r="U85" s="7"/>
      <c r="V85" s="7"/>
      <c r="W85" s="7"/>
      <c r="X85" s="7"/>
    </row>
    <row r="86" ht="15.75" customHeight="1">
      <c r="A86" s="6" t="s">
        <v>48718</v>
      </c>
      <c r="B86" s="6" t="s">
        <v>1410</v>
      </c>
      <c r="C86" s="6" t="s">
        <v>42532</v>
      </c>
      <c r="D86" s="68" t="s">
        <v>48719</v>
      </c>
      <c r="E86" s="7"/>
      <c r="F86" s="7"/>
      <c r="G86" s="7"/>
      <c r="H86" s="7"/>
      <c r="I86" s="7"/>
      <c r="J86" s="7"/>
      <c r="K86" s="7"/>
      <c r="L86" s="7"/>
      <c r="M86" s="7"/>
      <c r="N86" s="7"/>
      <c r="O86" s="7"/>
      <c r="P86" s="7"/>
      <c r="Q86" s="7"/>
      <c r="R86" s="7"/>
      <c r="S86" s="7"/>
      <c r="T86" s="7"/>
      <c r="U86" s="7"/>
      <c r="V86" s="7"/>
      <c r="W86" s="7"/>
      <c r="X86" s="7"/>
    </row>
    <row r="87" ht="15.75" customHeight="1">
      <c r="A87" s="6" t="s">
        <v>48720</v>
      </c>
      <c r="B87" s="6" t="s">
        <v>3765</v>
      </c>
      <c r="C87" s="6" t="s">
        <v>42532</v>
      </c>
      <c r="D87" s="68" t="s">
        <v>48721</v>
      </c>
      <c r="E87" s="7"/>
      <c r="F87" s="7"/>
      <c r="G87" s="7"/>
      <c r="H87" s="7"/>
      <c r="I87" s="7"/>
      <c r="J87" s="7"/>
      <c r="K87" s="7"/>
      <c r="L87" s="7"/>
      <c r="M87" s="7"/>
      <c r="N87" s="7"/>
      <c r="O87" s="7"/>
      <c r="P87" s="7"/>
      <c r="Q87" s="7"/>
      <c r="R87" s="7"/>
      <c r="S87" s="7"/>
      <c r="T87" s="7"/>
      <c r="U87" s="7"/>
      <c r="V87" s="7"/>
      <c r="W87" s="7"/>
      <c r="X87" s="7"/>
    </row>
    <row r="88" ht="15.75" customHeight="1">
      <c r="A88" s="6" t="s">
        <v>48722</v>
      </c>
      <c r="B88" s="6" t="s">
        <v>997</v>
      </c>
      <c r="C88" s="6" t="s">
        <v>42532</v>
      </c>
      <c r="D88" s="68" t="s">
        <v>48723</v>
      </c>
      <c r="E88" s="7"/>
      <c r="F88" s="7"/>
      <c r="G88" s="7"/>
      <c r="H88" s="7"/>
      <c r="I88" s="7"/>
      <c r="J88" s="7"/>
      <c r="K88" s="7"/>
      <c r="L88" s="7"/>
      <c r="M88" s="7"/>
      <c r="N88" s="7"/>
      <c r="O88" s="7"/>
      <c r="P88" s="7"/>
      <c r="Q88" s="7"/>
      <c r="R88" s="7"/>
      <c r="S88" s="7"/>
      <c r="T88" s="7"/>
      <c r="U88" s="7"/>
      <c r="V88" s="7"/>
      <c r="W88" s="7"/>
      <c r="X88" s="7"/>
    </row>
    <row r="89" ht="15.75" customHeight="1">
      <c r="A89" s="6" t="s">
        <v>48724</v>
      </c>
      <c r="B89" s="6" t="s">
        <v>6209</v>
      </c>
      <c r="C89" s="6" t="s">
        <v>42532</v>
      </c>
      <c r="D89" s="68" t="s">
        <v>48725</v>
      </c>
      <c r="E89" s="7"/>
      <c r="F89" s="7"/>
      <c r="G89" s="7"/>
      <c r="H89" s="7"/>
      <c r="I89" s="7"/>
      <c r="J89" s="7"/>
      <c r="K89" s="7"/>
      <c r="L89" s="7"/>
      <c r="M89" s="7"/>
      <c r="N89" s="7"/>
      <c r="O89" s="7"/>
      <c r="P89" s="7"/>
      <c r="Q89" s="7"/>
      <c r="R89" s="7"/>
      <c r="S89" s="7"/>
      <c r="T89" s="7"/>
      <c r="U89" s="7"/>
      <c r="V89" s="7"/>
      <c r="W89" s="7"/>
      <c r="X89" s="7"/>
    </row>
    <row r="90" ht="15.75" customHeight="1">
      <c r="A90" s="6" t="s">
        <v>48726</v>
      </c>
      <c r="B90" s="6" t="s">
        <v>5139</v>
      </c>
      <c r="C90" s="6" t="s">
        <v>42532</v>
      </c>
      <c r="D90" s="68" t="s">
        <v>48727</v>
      </c>
      <c r="E90" s="7"/>
      <c r="F90" s="7"/>
      <c r="G90" s="7"/>
      <c r="H90" s="7"/>
      <c r="I90" s="7"/>
      <c r="J90" s="7"/>
      <c r="K90" s="7"/>
      <c r="L90" s="7"/>
      <c r="M90" s="7"/>
      <c r="N90" s="7"/>
      <c r="O90" s="7"/>
      <c r="P90" s="7"/>
      <c r="Q90" s="7"/>
      <c r="R90" s="7"/>
      <c r="S90" s="7"/>
      <c r="T90" s="7"/>
      <c r="U90" s="7"/>
      <c r="V90" s="7"/>
      <c r="W90" s="7"/>
      <c r="X90" s="7"/>
    </row>
    <row r="91" ht="15.75" customHeight="1">
      <c r="A91" s="6" t="s">
        <v>48728</v>
      </c>
      <c r="B91" s="6" t="s">
        <v>10608</v>
      </c>
      <c r="C91" s="6" t="s">
        <v>42532</v>
      </c>
      <c r="D91" s="68" t="s">
        <v>48729</v>
      </c>
      <c r="E91" s="7"/>
      <c r="F91" s="7"/>
      <c r="G91" s="7"/>
      <c r="H91" s="7"/>
      <c r="I91" s="7"/>
      <c r="J91" s="7"/>
      <c r="K91" s="7"/>
      <c r="L91" s="7"/>
      <c r="M91" s="7"/>
      <c r="N91" s="7"/>
      <c r="O91" s="7"/>
      <c r="P91" s="7"/>
      <c r="Q91" s="7"/>
      <c r="R91" s="7"/>
      <c r="S91" s="7"/>
      <c r="T91" s="7"/>
      <c r="U91" s="7"/>
      <c r="V91" s="7"/>
      <c r="W91" s="7"/>
      <c r="X91" s="7"/>
    </row>
    <row r="92" ht="15.75" customHeight="1">
      <c r="A92" s="6" t="s">
        <v>48730</v>
      </c>
      <c r="B92" s="6" t="s">
        <v>12030</v>
      </c>
      <c r="C92" s="6" t="s">
        <v>42532</v>
      </c>
      <c r="D92" s="68" t="s">
        <v>48729</v>
      </c>
      <c r="E92" s="7"/>
      <c r="F92" s="7"/>
      <c r="G92" s="7"/>
      <c r="H92" s="7"/>
      <c r="I92" s="7"/>
      <c r="J92" s="7"/>
      <c r="K92" s="7"/>
      <c r="L92" s="7"/>
      <c r="M92" s="7"/>
      <c r="N92" s="7"/>
      <c r="O92" s="7"/>
      <c r="P92" s="7"/>
      <c r="Q92" s="7"/>
      <c r="R92" s="7"/>
      <c r="S92" s="7"/>
      <c r="T92" s="7"/>
      <c r="U92" s="7"/>
      <c r="V92" s="7"/>
      <c r="W92" s="7"/>
      <c r="X92" s="7"/>
    </row>
    <row r="93" ht="15.75" customHeight="1">
      <c r="A93" s="6" t="s">
        <v>48731</v>
      </c>
      <c r="B93" s="6" t="s">
        <v>9778</v>
      </c>
      <c r="C93" s="6" t="s">
        <v>42532</v>
      </c>
      <c r="D93" s="68" t="s">
        <v>48732</v>
      </c>
      <c r="E93" s="7"/>
      <c r="F93" s="7"/>
      <c r="G93" s="7"/>
      <c r="H93" s="7"/>
      <c r="I93" s="7"/>
      <c r="J93" s="7"/>
      <c r="K93" s="7"/>
      <c r="L93" s="7"/>
      <c r="M93" s="7"/>
      <c r="N93" s="7"/>
      <c r="O93" s="7"/>
      <c r="P93" s="7"/>
      <c r="Q93" s="7"/>
      <c r="R93" s="7"/>
      <c r="S93" s="7"/>
      <c r="T93" s="7"/>
      <c r="U93" s="7"/>
      <c r="V93" s="7"/>
      <c r="W93" s="7"/>
      <c r="X93" s="7"/>
    </row>
    <row r="94" ht="15.75" customHeight="1">
      <c r="A94" s="6" t="s">
        <v>48733</v>
      </c>
      <c r="B94" s="6" t="s">
        <v>10247</v>
      </c>
      <c r="C94" s="6" t="s">
        <v>42532</v>
      </c>
      <c r="D94" s="68" t="s">
        <v>48734</v>
      </c>
      <c r="E94" s="7"/>
      <c r="F94" s="7"/>
      <c r="G94" s="7"/>
      <c r="H94" s="7"/>
      <c r="I94" s="7"/>
      <c r="J94" s="7"/>
      <c r="K94" s="7"/>
      <c r="L94" s="7"/>
      <c r="M94" s="7"/>
      <c r="N94" s="7"/>
      <c r="O94" s="7"/>
      <c r="P94" s="7"/>
      <c r="Q94" s="7"/>
      <c r="R94" s="7"/>
      <c r="S94" s="7"/>
      <c r="T94" s="7"/>
      <c r="U94" s="7"/>
      <c r="V94" s="7"/>
      <c r="W94" s="7"/>
      <c r="X94" s="7"/>
    </row>
    <row r="95" ht="15.75" customHeight="1">
      <c r="A95" s="6" t="s">
        <v>48735</v>
      </c>
      <c r="B95" s="6" t="s">
        <v>3256</v>
      </c>
      <c r="C95" s="6" t="s">
        <v>42532</v>
      </c>
      <c r="D95" s="68" t="s">
        <v>48736</v>
      </c>
      <c r="E95" s="7"/>
      <c r="F95" s="7"/>
      <c r="G95" s="7"/>
      <c r="H95" s="7"/>
      <c r="I95" s="7"/>
      <c r="J95" s="7"/>
      <c r="K95" s="7"/>
      <c r="L95" s="7"/>
      <c r="M95" s="7"/>
      <c r="N95" s="7"/>
      <c r="O95" s="7"/>
      <c r="P95" s="7"/>
      <c r="Q95" s="7"/>
      <c r="R95" s="7"/>
      <c r="S95" s="7"/>
      <c r="T95" s="7"/>
      <c r="U95" s="7"/>
      <c r="V95" s="7"/>
      <c r="W95" s="7"/>
      <c r="X95" s="7"/>
    </row>
    <row r="96" ht="15.75" customHeight="1">
      <c r="A96" s="6" t="s">
        <v>48737</v>
      </c>
      <c r="B96" s="6" t="s">
        <v>2385</v>
      </c>
      <c r="C96" s="6" t="s">
        <v>42532</v>
      </c>
      <c r="D96" s="68" t="s">
        <v>48738</v>
      </c>
      <c r="E96" s="7"/>
      <c r="F96" s="7"/>
      <c r="G96" s="7"/>
      <c r="H96" s="7"/>
      <c r="I96" s="7"/>
      <c r="J96" s="7"/>
      <c r="K96" s="7"/>
      <c r="L96" s="7"/>
      <c r="M96" s="7"/>
      <c r="N96" s="7"/>
      <c r="O96" s="7"/>
      <c r="P96" s="7"/>
      <c r="Q96" s="7"/>
      <c r="R96" s="7"/>
      <c r="S96" s="7"/>
      <c r="T96" s="7"/>
      <c r="U96" s="7"/>
      <c r="V96" s="7"/>
      <c r="W96" s="7"/>
      <c r="X96" s="7"/>
    </row>
    <row r="97" ht="15.75" customHeight="1">
      <c r="A97" s="6" t="s">
        <v>48739</v>
      </c>
      <c r="B97" s="6" t="s">
        <v>11671</v>
      </c>
      <c r="C97" s="6" t="s">
        <v>42532</v>
      </c>
      <c r="D97" s="68" t="s">
        <v>48740</v>
      </c>
      <c r="E97" s="7"/>
      <c r="F97" s="7"/>
      <c r="G97" s="7"/>
      <c r="H97" s="7"/>
      <c r="I97" s="7"/>
      <c r="J97" s="7"/>
      <c r="K97" s="7"/>
      <c r="L97" s="7"/>
      <c r="M97" s="7"/>
      <c r="N97" s="7"/>
      <c r="O97" s="7"/>
      <c r="P97" s="7"/>
      <c r="Q97" s="7"/>
      <c r="R97" s="7"/>
      <c r="S97" s="7"/>
      <c r="T97" s="7"/>
      <c r="U97" s="7"/>
      <c r="V97" s="7"/>
      <c r="W97" s="7"/>
      <c r="X97" s="7"/>
    </row>
    <row r="98" ht="15.75" customHeight="1">
      <c r="A98" s="6" t="s">
        <v>48741</v>
      </c>
      <c r="B98" s="6" t="s">
        <v>11671</v>
      </c>
      <c r="C98" s="6" t="s">
        <v>42535</v>
      </c>
      <c r="D98" s="68" t="s">
        <v>48742</v>
      </c>
      <c r="E98" s="7"/>
      <c r="F98" s="7"/>
      <c r="G98" s="7"/>
      <c r="H98" s="7"/>
      <c r="I98" s="7"/>
      <c r="J98" s="7"/>
      <c r="K98" s="7"/>
      <c r="L98" s="7"/>
      <c r="M98" s="7"/>
      <c r="N98" s="7"/>
      <c r="O98" s="7"/>
      <c r="P98" s="7"/>
      <c r="Q98" s="7"/>
      <c r="R98" s="7"/>
      <c r="S98" s="7"/>
      <c r="T98" s="7"/>
      <c r="U98" s="7"/>
      <c r="V98" s="7"/>
      <c r="W98" s="7"/>
      <c r="X98" s="7"/>
    </row>
    <row r="99" ht="15.75" customHeight="1">
      <c r="A99" s="6" t="s">
        <v>48743</v>
      </c>
      <c r="B99" s="6" t="s">
        <v>8211</v>
      </c>
      <c r="C99" s="6" t="s">
        <v>42532</v>
      </c>
      <c r="D99" s="68" t="s">
        <v>48744</v>
      </c>
      <c r="E99" s="7"/>
      <c r="F99" s="7"/>
      <c r="G99" s="7"/>
      <c r="H99" s="7"/>
      <c r="I99" s="7"/>
      <c r="J99" s="7"/>
      <c r="K99" s="7"/>
      <c r="L99" s="7"/>
      <c r="M99" s="7"/>
      <c r="N99" s="7"/>
      <c r="O99" s="7"/>
      <c r="P99" s="7"/>
      <c r="Q99" s="7"/>
      <c r="R99" s="7"/>
      <c r="S99" s="7"/>
      <c r="T99" s="7"/>
      <c r="U99" s="7"/>
      <c r="V99" s="7"/>
      <c r="W99" s="7"/>
      <c r="X99" s="7"/>
    </row>
    <row r="100" ht="15.75" customHeight="1">
      <c r="A100" s="6" t="s">
        <v>48745</v>
      </c>
      <c r="B100" s="6" t="s">
        <v>1530</v>
      </c>
      <c r="C100" s="6" t="s">
        <v>42532</v>
      </c>
      <c r="D100" s="68" t="s">
        <v>48746</v>
      </c>
      <c r="E100" s="7"/>
      <c r="F100" s="7"/>
      <c r="G100" s="7"/>
      <c r="H100" s="7"/>
      <c r="I100" s="7"/>
      <c r="J100" s="7"/>
      <c r="K100" s="7"/>
      <c r="L100" s="7"/>
      <c r="M100" s="7"/>
      <c r="N100" s="7"/>
      <c r="O100" s="7"/>
      <c r="P100" s="7"/>
      <c r="Q100" s="7"/>
      <c r="R100" s="7"/>
      <c r="S100" s="7"/>
      <c r="T100" s="7"/>
      <c r="U100" s="7"/>
      <c r="V100" s="7"/>
      <c r="W100" s="7"/>
      <c r="X100" s="7"/>
    </row>
    <row r="101" ht="15.75" customHeight="1">
      <c r="A101" s="6" t="s">
        <v>48747</v>
      </c>
      <c r="B101" s="6" t="s">
        <v>11780</v>
      </c>
      <c r="C101" s="6" t="s">
        <v>42532</v>
      </c>
      <c r="D101" s="68" t="s">
        <v>48748</v>
      </c>
      <c r="E101" s="7"/>
      <c r="F101" s="7"/>
      <c r="G101" s="7"/>
      <c r="H101" s="7"/>
      <c r="I101" s="7"/>
      <c r="J101" s="7"/>
      <c r="K101" s="7"/>
      <c r="L101" s="7"/>
      <c r="M101" s="7"/>
      <c r="N101" s="7"/>
      <c r="O101" s="7"/>
      <c r="P101" s="7"/>
      <c r="Q101" s="7"/>
      <c r="R101" s="7"/>
      <c r="S101" s="7"/>
      <c r="T101" s="7"/>
      <c r="U101" s="7"/>
      <c r="V101" s="7"/>
      <c r="W101" s="7"/>
      <c r="X101" s="7"/>
    </row>
    <row r="102" ht="15.75" customHeight="1">
      <c r="A102" s="6" t="s">
        <v>48749</v>
      </c>
      <c r="B102" s="6" t="s">
        <v>7328</v>
      </c>
      <c r="C102" s="6" t="s">
        <v>42532</v>
      </c>
      <c r="D102" s="68" t="s">
        <v>48750</v>
      </c>
      <c r="E102" s="7"/>
      <c r="F102" s="7"/>
      <c r="G102" s="7"/>
      <c r="H102" s="7"/>
      <c r="I102" s="7"/>
      <c r="J102" s="7"/>
      <c r="K102" s="7"/>
      <c r="L102" s="7"/>
      <c r="M102" s="7"/>
      <c r="N102" s="7"/>
      <c r="O102" s="7"/>
      <c r="P102" s="7"/>
      <c r="Q102" s="7"/>
      <c r="R102" s="7"/>
      <c r="S102" s="7"/>
      <c r="T102" s="7"/>
      <c r="U102" s="7"/>
      <c r="V102" s="7"/>
      <c r="W102" s="7"/>
      <c r="X102" s="7"/>
    </row>
    <row r="103" ht="15.75" customHeight="1">
      <c r="A103" s="6" t="s">
        <v>48751</v>
      </c>
      <c r="B103" s="6" t="s">
        <v>7315</v>
      </c>
      <c r="C103" s="6" t="s">
        <v>42532</v>
      </c>
      <c r="D103" s="68" t="s">
        <v>48750</v>
      </c>
      <c r="E103" s="7"/>
      <c r="F103" s="7"/>
      <c r="G103" s="7"/>
      <c r="H103" s="7"/>
      <c r="I103" s="7"/>
      <c r="J103" s="7"/>
      <c r="K103" s="7"/>
      <c r="L103" s="7"/>
      <c r="M103" s="7"/>
      <c r="N103" s="7"/>
      <c r="O103" s="7"/>
      <c r="P103" s="7"/>
      <c r="Q103" s="7"/>
      <c r="R103" s="7"/>
      <c r="S103" s="7"/>
      <c r="T103" s="7"/>
      <c r="U103" s="7"/>
      <c r="V103" s="7"/>
      <c r="W103" s="7"/>
      <c r="X103" s="7"/>
    </row>
    <row r="104" ht="15.75" customHeight="1">
      <c r="A104" s="6" t="s">
        <v>48752</v>
      </c>
      <c r="B104" s="6" t="s">
        <v>6928</v>
      </c>
      <c r="C104" s="6" t="s">
        <v>42532</v>
      </c>
      <c r="D104" s="68" t="s">
        <v>48753</v>
      </c>
      <c r="E104" s="7"/>
      <c r="F104" s="7"/>
      <c r="G104" s="7"/>
      <c r="H104" s="7"/>
      <c r="I104" s="7"/>
      <c r="J104" s="7"/>
      <c r="K104" s="7"/>
      <c r="L104" s="7"/>
      <c r="M104" s="7"/>
      <c r="N104" s="7"/>
      <c r="O104" s="7"/>
      <c r="P104" s="7"/>
      <c r="Q104" s="7"/>
      <c r="R104" s="7"/>
      <c r="S104" s="7"/>
      <c r="T104" s="7"/>
      <c r="U104" s="7"/>
      <c r="V104" s="7"/>
      <c r="W104" s="7"/>
      <c r="X104" s="7"/>
    </row>
    <row r="105" ht="15.75" customHeight="1">
      <c r="A105" s="6" t="s">
        <v>48754</v>
      </c>
      <c r="B105" s="6" t="s">
        <v>8833</v>
      </c>
      <c r="C105" s="6" t="s">
        <v>42532</v>
      </c>
      <c r="D105" s="68" t="s">
        <v>48755</v>
      </c>
      <c r="E105" s="7"/>
      <c r="F105" s="7"/>
      <c r="G105" s="7"/>
      <c r="H105" s="7"/>
      <c r="I105" s="7"/>
      <c r="J105" s="7"/>
      <c r="K105" s="7"/>
      <c r="L105" s="7"/>
      <c r="M105" s="7"/>
      <c r="N105" s="7"/>
      <c r="O105" s="7"/>
      <c r="P105" s="7"/>
      <c r="Q105" s="7"/>
      <c r="R105" s="7"/>
      <c r="S105" s="7"/>
      <c r="T105" s="7"/>
      <c r="U105" s="7"/>
      <c r="V105" s="7"/>
      <c r="W105" s="7"/>
      <c r="X105" s="7"/>
    </row>
    <row r="106" ht="15.75" customHeight="1">
      <c r="A106" s="6" t="s">
        <v>48756</v>
      </c>
      <c r="B106" s="6" t="s">
        <v>10432</v>
      </c>
      <c r="C106" s="6" t="s">
        <v>42532</v>
      </c>
      <c r="D106" s="68" t="s">
        <v>48757</v>
      </c>
      <c r="E106" s="7"/>
      <c r="F106" s="7"/>
      <c r="G106" s="7"/>
      <c r="H106" s="7"/>
      <c r="I106" s="7"/>
      <c r="J106" s="7"/>
      <c r="K106" s="7"/>
      <c r="L106" s="7"/>
      <c r="M106" s="7"/>
      <c r="N106" s="7"/>
      <c r="O106" s="7"/>
      <c r="P106" s="7"/>
      <c r="Q106" s="7"/>
      <c r="R106" s="7"/>
      <c r="S106" s="7"/>
      <c r="T106" s="7"/>
      <c r="U106" s="7"/>
      <c r="V106" s="7"/>
      <c r="W106" s="7"/>
      <c r="X106" s="7"/>
    </row>
    <row r="107" ht="15.75" customHeight="1">
      <c r="A107" s="6" t="s">
        <v>48758</v>
      </c>
      <c r="B107" s="6" t="s">
        <v>9594</v>
      </c>
      <c r="C107" s="6" t="s">
        <v>42532</v>
      </c>
      <c r="D107" s="68" t="s">
        <v>48759</v>
      </c>
      <c r="E107" s="7"/>
      <c r="F107" s="7"/>
      <c r="G107" s="7"/>
      <c r="H107" s="7"/>
      <c r="I107" s="7"/>
      <c r="J107" s="7"/>
      <c r="K107" s="7"/>
      <c r="L107" s="7"/>
      <c r="M107" s="7"/>
      <c r="N107" s="7"/>
      <c r="O107" s="7"/>
      <c r="P107" s="7"/>
      <c r="Q107" s="7"/>
      <c r="R107" s="7"/>
      <c r="S107" s="7"/>
      <c r="T107" s="7"/>
      <c r="U107" s="7"/>
      <c r="V107" s="7"/>
      <c r="W107" s="7"/>
      <c r="X107" s="7"/>
    </row>
    <row r="108" ht="15.75" customHeight="1">
      <c r="A108" s="6" t="s">
        <v>48760</v>
      </c>
      <c r="B108" s="6" t="s">
        <v>12144</v>
      </c>
      <c r="C108" s="6" t="s">
        <v>42532</v>
      </c>
      <c r="D108" s="68" t="s">
        <v>48761</v>
      </c>
      <c r="E108" s="7"/>
      <c r="F108" s="7"/>
      <c r="G108" s="7"/>
      <c r="H108" s="7"/>
      <c r="I108" s="7"/>
      <c r="J108" s="7"/>
      <c r="K108" s="7"/>
      <c r="L108" s="7"/>
      <c r="M108" s="7"/>
      <c r="N108" s="7"/>
      <c r="O108" s="7"/>
      <c r="P108" s="7"/>
      <c r="Q108" s="7"/>
      <c r="R108" s="7"/>
      <c r="S108" s="7"/>
      <c r="T108" s="7"/>
      <c r="U108" s="7"/>
      <c r="V108" s="7"/>
      <c r="W108" s="7"/>
      <c r="X108" s="7"/>
    </row>
    <row r="109" ht="15.75" customHeight="1">
      <c r="A109" s="6" t="s">
        <v>48762</v>
      </c>
      <c r="B109" s="6" t="s">
        <v>11733</v>
      </c>
      <c r="C109" s="6" t="s">
        <v>42532</v>
      </c>
      <c r="D109" s="68" t="s">
        <v>48763</v>
      </c>
      <c r="E109" s="7"/>
      <c r="F109" s="7"/>
      <c r="G109" s="7"/>
      <c r="H109" s="7"/>
      <c r="I109" s="7"/>
      <c r="J109" s="7"/>
      <c r="K109" s="7"/>
      <c r="L109" s="7"/>
      <c r="M109" s="7"/>
      <c r="N109" s="7"/>
      <c r="O109" s="7"/>
      <c r="P109" s="7"/>
      <c r="Q109" s="7"/>
      <c r="R109" s="7"/>
      <c r="S109" s="7"/>
      <c r="T109" s="7"/>
      <c r="U109" s="7"/>
      <c r="V109" s="7"/>
      <c r="W109" s="7"/>
      <c r="X109" s="7"/>
    </row>
    <row r="110" ht="15.75" customHeight="1">
      <c r="A110" s="6" t="s">
        <v>48764</v>
      </c>
      <c r="B110" s="41" t="s">
        <v>19895</v>
      </c>
      <c r="C110" s="6" t="s">
        <v>42543</v>
      </c>
      <c r="D110" s="68" t="s">
        <v>48765</v>
      </c>
      <c r="E110" s="7"/>
      <c r="F110" s="7"/>
      <c r="G110" s="7"/>
      <c r="H110" s="7"/>
      <c r="I110" s="7"/>
      <c r="J110" s="7"/>
      <c r="K110" s="7"/>
      <c r="L110" s="7"/>
      <c r="M110" s="7"/>
      <c r="N110" s="7"/>
      <c r="O110" s="7"/>
      <c r="P110" s="7"/>
      <c r="Q110" s="7"/>
      <c r="R110" s="7"/>
      <c r="S110" s="7"/>
      <c r="T110" s="7"/>
      <c r="U110" s="7"/>
      <c r="V110" s="7"/>
      <c r="W110" s="7"/>
      <c r="X110" s="7"/>
    </row>
    <row r="111" ht="15.75" customHeight="1">
      <c r="A111" s="6"/>
      <c r="B111" s="6"/>
      <c r="C111" s="6"/>
      <c r="D111" s="6"/>
      <c r="E111" s="7"/>
      <c r="F111" s="7"/>
      <c r="G111" s="7"/>
      <c r="H111" s="7"/>
      <c r="I111" s="7"/>
      <c r="J111" s="7"/>
      <c r="K111" s="7"/>
      <c r="L111" s="7"/>
      <c r="M111" s="7"/>
      <c r="N111" s="7"/>
      <c r="O111" s="7"/>
      <c r="P111" s="7"/>
      <c r="Q111" s="7"/>
      <c r="R111" s="7"/>
      <c r="S111" s="7"/>
      <c r="T111" s="7"/>
      <c r="U111" s="7"/>
      <c r="V111" s="7"/>
      <c r="W111" s="7"/>
      <c r="X111" s="7"/>
    </row>
    <row r="112" ht="15.75" customHeight="1">
      <c r="A112" s="6" t="s">
        <v>48766</v>
      </c>
      <c r="B112" s="6" t="s">
        <v>10477</v>
      </c>
      <c r="C112" s="6" t="s">
        <v>42532</v>
      </c>
      <c r="D112" s="68" t="s">
        <v>48767</v>
      </c>
      <c r="E112" s="7"/>
      <c r="F112" s="7"/>
      <c r="G112" s="7"/>
      <c r="H112" s="7"/>
      <c r="I112" s="7"/>
      <c r="J112" s="7"/>
      <c r="K112" s="7"/>
      <c r="L112" s="7"/>
      <c r="M112" s="7"/>
      <c r="N112" s="7"/>
      <c r="O112" s="7"/>
      <c r="P112" s="7"/>
      <c r="Q112" s="7"/>
      <c r="R112" s="7"/>
      <c r="S112" s="7"/>
      <c r="T112" s="7"/>
      <c r="U112" s="7"/>
      <c r="V112" s="7"/>
      <c r="W112" s="7"/>
      <c r="X112" s="7"/>
    </row>
    <row r="113" ht="15.75" customHeight="1">
      <c r="A113" s="6" t="s">
        <v>48768</v>
      </c>
      <c r="B113" s="6" t="s">
        <v>11851</v>
      </c>
      <c r="C113" s="6" t="s">
        <v>42532</v>
      </c>
      <c r="D113" s="68" t="s">
        <v>48769</v>
      </c>
      <c r="E113" s="7"/>
      <c r="F113" s="7"/>
      <c r="G113" s="7"/>
      <c r="H113" s="7"/>
      <c r="I113" s="7"/>
      <c r="J113" s="7"/>
      <c r="K113" s="7"/>
      <c r="L113" s="7"/>
      <c r="M113" s="7"/>
      <c r="N113" s="7"/>
      <c r="O113" s="7"/>
      <c r="P113" s="7"/>
      <c r="Q113" s="7"/>
      <c r="R113" s="7"/>
      <c r="S113" s="7"/>
      <c r="T113" s="7"/>
      <c r="U113" s="7"/>
      <c r="V113" s="7"/>
      <c r="W113" s="7"/>
      <c r="X113" s="7"/>
    </row>
    <row r="114" ht="15.75" customHeight="1">
      <c r="A114" s="6" t="s">
        <v>48770</v>
      </c>
      <c r="B114" s="6" t="s">
        <v>11676</v>
      </c>
      <c r="C114" s="6" t="s">
        <v>42532</v>
      </c>
      <c r="D114" s="68" t="s">
        <v>48771</v>
      </c>
      <c r="E114" s="7"/>
      <c r="F114" s="7"/>
      <c r="G114" s="7"/>
      <c r="H114" s="7"/>
      <c r="I114" s="7"/>
      <c r="J114" s="7"/>
      <c r="K114" s="7"/>
      <c r="L114" s="7"/>
      <c r="M114" s="7"/>
      <c r="N114" s="7"/>
      <c r="O114" s="7"/>
      <c r="P114" s="7"/>
      <c r="Q114" s="7"/>
      <c r="R114" s="7"/>
      <c r="S114" s="7"/>
      <c r="T114" s="7"/>
      <c r="U114" s="7"/>
      <c r="V114" s="7"/>
      <c r="W114" s="7"/>
      <c r="X114" s="7"/>
    </row>
    <row r="115" ht="15.75" customHeight="1">
      <c r="A115" s="6" t="s">
        <v>48772</v>
      </c>
      <c r="B115" s="6" t="s">
        <v>12174</v>
      </c>
      <c r="C115" s="6" t="s">
        <v>42532</v>
      </c>
      <c r="D115" s="68" t="s">
        <v>48773</v>
      </c>
      <c r="E115" s="7"/>
      <c r="F115" s="7"/>
      <c r="G115" s="7"/>
      <c r="H115" s="7"/>
      <c r="I115" s="7"/>
      <c r="J115" s="7"/>
      <c r="K115" s="7"/>
      <c r="L115" s="7"/>
      <c r="M115" s="7"/>
      <c r="N115" s="7"/>
      <c r="O115" s="7"/>
      <c r="P115" s="7"/>
      <c r="Q115" s="7"/>
      <c r="R115" s="7"/>
      <c r="S115" s="7"/>
      <c r="T115" s="7"/>
      <c r="U115" s="7"/>
      <c r="V115" s="7"/>
      <c r="W115" s="7"/>
      <c r="X115" s="7"/>
    </row>
    <row r="116" ht="15.75" customHeight="1">
      <c r="A116" s="6" t="s">
        <v>48774</v>
      </c>
      <c r="B116" s="6" t="s">
        <v>11851</v>
      </c>
      <c r="C116" s="6" t="s">
        <v>42538</v>
      </c>
      <c r="D116" s="68" t="s">
        <v>48775</v>
      </c>
      <c r="E116" s="7"/>
      <c r="F116" s="7"/>
      <c r="G116" s="7"/>
      <c r="H116" s="7"/>
      <c r="I116" s="7"/>
      <c r="J116" s="7"/>
      <c r="K116" s="7"/>
      <c r="L116" s="7"/>
      <c r="M116" s="7"/>
      <c r="N116" s="7"/>
      <c r="O116" s="7"/>
      <c r="P116" s="7"/>
      <c r="Q116" s="7"/>
      <c r="R116" s="7"/>
      <c r="S116" s="7"/>
      <c r="T116" s="7"/>
      <c r="U116" s="7"/>
      <c r="V116" s="7"/>
      <c r="W116" s="7"/>
      <c r="X116" s="7"/>
    </row>
    <row r="117" ht="15.75" customHeight="1">
      <c r="A117" s="6" t="s">
        <v>48776</v>
      </c>
      <c r="B117" s="6" t="s">
        <v>10763</v>
      </c>
      <c r="C117" s="6" t="s">
        <v>42532</v>
      </c>
      <c r="D117" s="68" t="s">
        <v>48579</v>
      </c>
      <c r="E117" s="7"/>
      <c r="F117" s="7"/>
      <c r="G117" s="7"/>
      <c r="H117" s="7"/>
      <c r="I117" s="7"/>
      <c r="J117" s="7"/>
      <c r="K117" s="7"/>
      <c r="L117" s="7"/>
      <c r="M117" s="7"/>
      <c r="N117" s="7"/>
      <c r="O117" s="7"/>
      <c r="P117" s="7"/>
      <c r="Q117" s="7"/>
      <c r="R117" s="7"/>
      <c r="S117" s="7"/>
      <c r="T117" s="7"/>
      <c r="U117" s="7"/>
      <c r="V117" s="7"/>
      <c r="W117" s="7"/>
      <c r="X117" s="7"/>
    </row>
    <row r="118" ht="15.75" customHeight="1">
      <c r="A118" s="6"/>
      <c r="B118" s="6"/>
      <c r="C118" s="6"/>
      <c r="D118" s="6"/>
      <c r="E118" s="7"/>
      <c r="F118" s="7"/>
      <c r="G118" s="7"/>
      <c r="H118" s="7"/>
      <c r="I118" s="7"/>
      <c r="J118" s="7"/>
      <c r="K118" s="7"/>
      <c r="L118" s="7"/>
      <c r="M118" s="7"/>
      <c r="N118" s="7"/>
      <c r="O118" s="7"/>
      <c r="P118" s="7"/>
      <c r="Q118" s="7"/>
      <c r="R118" s="7"/>
      <c r="S118" s="7"/>
      <c r="T118" s="7"/>
      <c r="U118" s="7"/>
      <c r="V118" s="7"/>
      <c r="W118" s="7"/>
      <c r="X118" s="7"/>
    </row>
    <row r="119" ht="15.75" customHeight="1">
      <c r="A119" s="6" t="s">
        <v>48777</v>
      </c>
      <c r="B119" s="6" t="s">
        <v>8948</v>
      </c>
      <c r="C119" s="6" t="s">
        <v>42532</v>
      </c>
      <c r="D119" s="68" t="s">
        <v>48778</v>
      </c>
      <c r="E119" s="7"/>
      <c r="F119" s="7"/>
      <c r="G119" s="7"/>
      <c r="H119" s="7"/>
      <c r="I119" s="7"/>
      <c r="J119" s="7"/>
      <c r="K119" s="7"/>
      <c r="L119" s="7"/>
      <c r="M119" s="7"/>
      <c r="N119" s="7"/>
      <c r="O119" s="7"/>
      <c r="P119" s="7"/>
      <c r="Q119" s="7"/>
      <c r="R119" s="7"/>
      <c r="S119" s="7"/>
      <c r="T119" s="7"/>
      <c r="U119" s="7"/>
      <c r="V119" s="7"/>
      <c r="W119" s="7"/>
      <c r="X119" s="7"/>
    </row>
    <row r="120" ht="15.75" customHeight="1">
      <c r="A120" s="6" t="s">
        <v>48779</v>
      </c>
      <c r="B120" s="6" t="s">
        <v>3810</v>
      </c>
      <c r="C120" s="6" t="s">
        <v>42532</v>
      </c>
      <c r="D120" s="68" t="s">
        <v>48780</v>
      </c>
      <c r="E120" s="7"/>
      <c r="F120" s="7"/>
      <c r="G120" s="7"/>
      <c r="H120" s="7"/>
      <c r="I120" s="7"/>
      <c r="J120" s="7"/>
      <c r="K120" s="7"/>
      <c r="L120" s="7"/>
      <c r="M120" s="7"/>
      <c r="N120" s="7"/>
      <c r="O120" s="7"/>
      <c r="P120" s="7"/>
      <c r="Q120" s="7"/>
      <c r="R120" s="7"/>
      <c r="S120" s="7"/>
      <c r="T120" s="7"/>
      <c r="U120" s="7"/>
      <c r="V120" s="7"/>
      <c r="W120" s="7"/>
      <c r="X120" s="7"/>
    </row>
    <row r="121" ht="15.75" customHeight="1">
      <c r="A121" s="6" t="s">
        <v>48781</v>
      </c>
      <c r="B121" s="6" t="s">
        <v>10740</v>
      </c>
      <c r="C121" s="6" t="s">
        <v>42532</v>
      </c>
      <c r="D121" s="68" t="s">
        <v>48782</v>
      </c>
      <c r="E121" s="7"/>
      <c r="F121" s="7"/>
      <c r="G121" s="7"/>
      <c r="H121" s="7"/>
      <c r="I121" s="7"/>
      <c r="J121" s="7"/>
      <c r="K121" s="7"/>
      <c r="L121" s="7"/>
      <c r="M121" s="7"/>
      <c r="N121" s="7"/>
      <c r="O121" s="7"/>
      <c r="P121" s="7"/>
      <c r="Q121" s="7"/>
      <c r="R121" s="7"/>
      <c r="S121" s="7"/>
      <c r="T121" s="7"/>
      <c r="U121" s="7"/>
      <c r="V121" s="7"/>
      <c r="W121" s="7"/>
      <c r="X121" s="7"/>
    </row>
    <row r="122" ht="15.75" customHeight="1">
      <c r="A122" s="6" t="s">
        <v>48783</v>
      </c>
      <c r="B122" s="6" t="s">
        <v>11805</v>
      </c>
      <c r="C122" s="6" t="s">
        <v>42535</v>
      </c>
      <c r="D122" s="68" t="s">
        <v>48784</v>
      </c>
      <c r="E122" s="7"/>
      <c r="F122" s="7"/>
      <c r="G122" s="7"/>
      <c r="H122" s="7"/>
      <c r="I122" s="7"/>
      <c r="J122" s="7"/>
      <c r="K122" s="7"/>
      <c r="L122" s="7"/>
      <c r="M122" s="7"/>
      <c r="N122" s="7"/>
      <c r="O122" s="7"/>
      <c r="P122" s="7"/>
      <c r="Q122" s="7"/>
      <c r="R122" s="7"/>
      <c r="S122" s="7"/>
      <c r="T122" s="7"/>
      <c r="U122" s="7"/>
      <c r="V122" s="7"/>
      <c r="W122" s="7"/>
      <c r="X122" s="7"/>
    </row>
    <row r="123" ht="15.75" customHeight="1">
      <c r="A123" s="6" t="s">
        <v>48785</v>
      </c>
      <c r="B123" s="6" t="s">
        <v>3221</v>
      </c>
      <c r="C123" s="6" t="s">
        <v>42532</v>
      </c>
      <c r="D123" s="68" t="s">
        <v>48786</v>
      </c>
      <c r="E123" s="7"/>
      <c r="F123" s="7"/>
      <c r="G123" s="7"/>
      <c r="H123" s="7"/>
      <c r="I123" s="7"/>
      <c r="J123" s="7"/>
      <c r="K123" s="7"/>
      <c r="L123" s="7"/>
      <c r="M123" s="7"/>
      <c r="N123" s="7"/>
      <c r="O123" s="7"/>
      <c r="P123" s="7"/>
      <c r="Q123" s="7"/>
      <c r="R123" s="7"/>
      <c r="S123" s="7"/>
      <c r="T123" s="7"/>
      <c r="U123" s="7"/>
      <c r="V123" s="7"/>
      <c r="W123" s="7"/>
      <c r="X123" s="7"/>
    </row>
    <row r="124" ht="15.75" customHeight="1">
      <c r="A124" s="6" t="s">
        <v>48787</v>
      </c>
      <c r="B124" s="6" t="s">
        <v>8488</v>
      </c>
      <c r="C124" s="6" t="s">
        <v>42532</v>
      </c>
      <c r="D124" s="68" t="s">
        <v>48788</v>
      </c>
      <c r="E124" s="7"/>
      <c r="F124" s="7"/>
      <c r="G124" s="7"/>
      <c r="H124" s="7"/>
      <c r="I124" s="7"/>
      <c r="J124" s="7"/>
      <c r="K124" s="7"/>
      <c r="L124" s="7"/>
      <c r="M124" s="7"/>
      <c r="N124" s="7"/>
      <c r="O124" s="7"/>
      <c r="P124" s="7"/>
      <c r="Q124" s="7"/>
      <c r="R124" s="7"/>
      <c r="S124" s="7"/>
      <c r="T124" s="7"/>
      <c r="U124" s="7"/>
      <c r="V124" s="7"/>
      <c r="W124" s="7"/>
      <c r="X124" s="7"/>
    </row>
    <row r="125" ht="15.75" customHeight="1">
      <c r="A125" s="6" t="s">
        <v>48789</v>
      </c>
      <c r="B125" s="6" t="s">
        <v>10658</v>
      </c>
      <c r="C125" s="6" t="s">
        <v>42535</v>
      </c>
      <c r="D125" s="68" t="s">
        <v>48790</v>
      </c>
      <c r="E125" s="7"/>
      <c r="F125" s="7"/>
      <c r="G125" s="7"/>
      <c r="H125" s="7"/>
      <c r="I125" s="7"/>
      <c r="J125" s="7"/>
      <c r="K125" s="7"/>
      <c r="L125" s="7"/>
      <c r="M125" s="7"/>
      <c r="N125" s="7"/>
      <c r="O125" s="7"/>
      <c r="P125" s="7"/>
      <c r="Q125" s="7"/>
      <c r="R125" s="7"/>
      <c r="S125" s="7"/>
      <c r="T125" s="7"/>
      <c r="U125" s="7"/>
      <c r="V125" s="7"/>
      <c r="W125" s="7"/>
      <c r="X125" s="7"/>
    </row>
    <row r="126" ht="15.75" customHeight="1">
      <c r="A126" s="6" t="s">
        <v>48791</v>
      </c>
      <c r="B126" s="6" t="s">
        <v>2797</v>
      </c>
      <c r="C126" s="6" t="s">
        <v>42532</v>
      </c>
      <c r="D126" s="68" t="s">
        <v>48792</v>
      </c>
      <c r="E126" s="7"/>
      <c r="F126" s="7"/>
      <c r="G126" s="7"/>
      <c r="H126" s="7"/>
      <c r="I126" s="7"/>
      <c r="J126" s="7"/>
      <c r="K126" s="7"/>
      <c r="L126" s="7"/>
      <c r="M126" s="7"/>
      <c r="N126" s="7"/>
      <c r="O126" s="7"/>
      <c r="P126" s="7"/>
      <c r="Q126" s="7"/>
      <c r="R126" s="7"/>
      <c r="S126" s="7"/>
      <c r="T126" s="7"/>
      <c r="U126" s="7"/>
      <c r="V126" s="7"/>
      <c r="W126" s="7"/>
      <c r="X126" s="7"/>
    </row>
    <row r="127" ht="15.75" customHeight="1">
      <c r="A127" s="6" t="s">
        <v>48793</v>
      </c>
      <c r="B127" s="6" t="s">
        <v>11864</v>
      </c>
      <c r="C127" s="6" t="s">
        <v>42532</v>
      </c>
      <c r="D127" s="68" t="s">
        <v>48794</v>
      </c>
      <c r="E127" s="7"/>
      <c r="F127" s="7"/>
      <c r="G127" s="7"/>
      <c r="H127" s="7"/>
      <c r="I127" s="7"/>
      <c r="J127" s="7"/>
      <c r="K127" s="7"/>
      <c r="L127" s="7"/>
      <c r="M127" s="7"/>
      <c r="N127" s="7"/>
      <c r="O127" s="7"/>
      <c r="P127" s="7"/>
      <c r="Q127" s="7"/>
      <c r="R127" s="7"/>
      <c r="S127" s="7"/>
      <c r="T127" s="7"/>
      <c r="U127" s="7"/>
      <c r="V127" s="7"/>
      <c r="W127" s="7"/>
      <c r="X127" s="7"/>
    </row>
    <row r="128" ht="15.75" customHeight="1">
      <c r="A128" s="6" t="s">
        <v>48795</v>
      </c>
      <c r="B128" s="6" t="s">
        <v>8889</v>
      </c>
      <c r="C128" s="6" t="s">
        <v>42538</v>
      </c>
      <c r="D128" s="68" t="s">
        <v>48796</v>
      </c>
      <c r="E128" s="7"/>
      <c r="F128" s="7"/>
      <c r="G128" s="7"/>
      <c r="H128" s="7"/>
      <c r="I128" s="7"/>
      <c r="J128" s="7"/>
      <c r="K128" s="7"/>
      <c r="L128" s="7"/>
      <c r="M128" s="7"/>
      <c r="N128" s="7"/>
      <c r="O128" s="7"/>
      <c r="P128" s="7"/>
      <c r="Q128" s="7"/>
      <c r="R128" s="7"/>
      <c r="S128" s="7"/>
      <c r="T128" s="7"/>
      <c r="U128" s="7"/>
      <c r="V128" s="7"/>
      <c r="W128" s="7"/>
      <c r="X128" s="7"/>
    </row>
    <row r="129" ht="15.75" customHeight="1">
      <c r="A129" s="41" t="s">
        <v>48797</v>
      </c>
      <c r="B129" s="6" t="s">
        <v>8889</v>
      </c>
      <c r="C129" s="6" t="s">
        <v>42535</v>
      </c>
      <c r="D129" s="68" t="s">
        <v>48798</v>
      </c>
      <c r="E129" s="7"/>
      <c r="F129" s="7"/>
      <c r="G129" s="7"/>
      <c r="H129" s="7"/>
      <c r="I129" s="7"/>
      <c r="J129" s="7"/>
      <c r="K129" s="7"/>
      <c r="L129" s="7"/>
      <c r="M129" s="7"/>
      <c r="N129" s="7"/>
      <c r="O129" s="7"/>
      <c r="P129" s="7"/>
      <c r="Q129" s="7"/>
      <c r="R129" s="7"/>
      <c r="S129" s="7"/>
      <c r="T129" s="7"/>
      <c r="U129" s="7"/>
      <c r="V129" s="7"/>
      <c r="W129" s="7"/>
      <c r="X129" s="7"/>
    </row>
    <row r="130" ht="15.75" customHeight="1">
      <c r="A130" s="6" t="s">
        <v>48799</v>
      </c>
      <c r="B130" s="6" t="s">
        <v>8889</v>
      </c>
      <c r="C130" s="6" t="s">
        <v>10068</v>
      </c>
      <c r="D130" s="68" t="s">
        <v>48800</v>
      </c>
      <c r="E130" s="7"/>
      <c r="F130" s="7"/>
      <c r="G130" s="7"/>
      <c r="H130" s="7"/>
      <c r="I130" s="7"/>
      <c r="J130" s="7"/>
      <c r="K130" s="7"/>
      <c r="L130" s="7"/>
      <c r="M130" s="7"/>
      <c r="N130" s="7"/>
      <c r="O130" s="7"/>
      <c r="P130" s="7"/>
      <c r="Q130" s="7"/>
      <c r="R130" s="7"/>
      <c r="S130" s="7"/>
      <c r="T130" s="7"/>
      <c r="U130" s="7"/>
      <c r="V130" s="7"/>
      <c r="W130" s="7"/>
      <c r="X130" s="7"/>
    </row>
    <row r="131" ht="15.75" customHeight="1">
      <c r="A131" s="6" t="s">
        <v>48801</v>
      </c>
      <c r="B131" s="6" t="s">
        <v>9544</v>
      </c>
      <c r="C131" s="6" t="s">
        <v>42535</v>
      </c>
      <c r="D131" s="68" t="s">
        <v>48802</v>
      </c>
      <c r="E131" s="7"/>
      <c r="F131" s="7"/>
      <c r="G131" s="7"/>
      <c r="H131" s="7"/>
      <c r="I131" s="7"/>
      <c r="J131" s="7"/>
      <c r="K131" s="7"/>
      <c r="L131" s="7"/>
      <c r="M131" s="7"/>
      <c r="N131" s="7"/>
      <c r="O131" s="7"/>
      <c r="P131" s="7"/>
      <c r="Q131" s="7"/>
      <c r="R131" s="7"/>
      <c r="S131" s="7"/>
      <c r="T131" s="7"/>
      <c r="U131" s="7"/>
      <c r="V131" s="7"/>
      <c r="W131" s="7"/>
      <c r="X131" s="7"/>
    </row>
    <row r="132" ht="15.75" customHeight="1">
      <c r="A132" s="6" t="s">
        <v>48803</v>
      </c>
      <c r="B132" s="6" t="s">
        <v>8871</v>
      </c>
      <c r="C132" s="6" t="s">
        <v>42543</v>
      </c>
      <c r="D132" s="68" t="s">
        <v>48804</v>
      </c>
      <c r="E132" s="7"/>
      <c r="F132" s="7"/>
      <c r="G132" s="7"/>
      <c r="H132" s="7"/>
      <c r="I132" s="7"/>
      <c r="J132" s="7"/>
      <c r="K132" s="7"/>
      <c r="L132" s="7"/>
      <c r="M132" s="7"/>
      <c r="N132" s="7"/>
      <c r="O132" s="7"/>
      <c r="P132" s="7"/>
      <c r="Q132" s="7"/>
      <c r="R132" s="7"/>
      <c r="S132" s="7"/>
      <c r="T132" s="7"/>
      <c r="U132" s="7"/>
      <c r="V132" s="7"/>
      <c r="W132" s="7"/>
      <c r="X132" s="7"/>
    </row>
    <row r="133" ht="15.75" customHeight="1">
      <c r="A133" s="6" t="s">
        <v>48805</v>
      </c>
      <c r="B133" s="6" t="s">
        <v>8993</v>
      </c>
      <c r="C133" s="6" t="s">
        <v>42532</v>
      </c>
      <c r="D133" s="68" t="s">
        <v>48806</v>
      </c>
      <c r="E133" s="7"/>
      <c r="F133" s="7"/>
      <c r="G133" s="7"/>
      <c r="H133" s="7"/>
      <c r="I133" s="7"/>
      <c r="J133" s="7"/>
      <c r="K133" s="7"/>
      <c r="L133" s="7"/>
      <c r="M133" s="7"/>
      <c r="N133" s="7"/>
      <c r="O133" s="7"/>
      <c r="P133" s="7"/>
      <c r="Q133" s="7"/>
      <c r="R133" s="7"/>
      <c r="S133" s="7"/>
      <c r="T133" s="7"/>
      <c r="U133" s="7"/>
      <c r="V133" s="7"/>
      <c r="W133" s="7"/>
      <c r="X133" s="7"/>
    </row>
    <row r="134" ht="15.75" customHeight="1">
      <c r="A134" s="6" t="s">
        <v>48807</v>
      </c>
      <c r="B134" s="6" t="s">
        <v>7838</v>
      </c>
      <c r="C134" s="6" t="s">
        <v>42532</v>
      </c>
      <c r="D134" s="68" t="s">
        <v>48808</v>
      </c>
      <c r="E134" s="7"/>
      <c r="F134" s="7"/>
      <c r="G134" s="7"/>
      <c r="H134" s="7"/>
      <c r="I134" s="7"/>
      <c r="J134" s="7"/>
      <c r="K134" s="7"/>
      <c r="L134" s="7"/>
      <c r="M134" s="7"/>
      <c r="N134" s="7"/>
      <c r="O134" s="7"/>
      <c r="P134" s="7"/>
      <c r="Q134" s="7"/>
      <c r="R134" s="7"/>
      <c r="S134" s="7"/>
      <c r="T134" s="7"/>
      <c r="U134" s="7"/>
      <c r="V134" s="7"/>
      <c r="W134" s="7"/>
      <c r="X134" s="7"/>
    </row>
    <row r="135" ht="15.75" customHeight="1">
      <c r="A135" s="6" t="s">
        <v>48809</v>
      </c>
      <c r="B135" s="6" t="s">
        <v>9030</v>
      </c>
      <c r="C135" s="6" t="s">
        <v>42532</v>
      </c>
      <c r="D135" s="68" t="s">
        <v>48810</v>
      </c>
      <c r="E135" s="7"/>
      <c r="F135" s="7"/>
      <c r="G135" s="7"/>
      <c r="H135" s="7"/>
      <c r="I135" s="7"/>
      <c r="J135" s="7"/>
      <c r="K135" s="7"/>
      <c r="L135" s="7"/>
      <c r="M135" s="7"/>
      <c r="N135" s="7"/>
      <c r="O135" s="7"/>
      <c r="P135" s="7"/>
      <c r="Q135" s="7"/>
      <c r="R135" s="7"/>
      <c r="S135" s="7"/>
      <c r="T135" s="7"/>
      <c r="U135" s="7"/>
      <c r="V135" s="7"/>
      <c r="W135" s="7"/>
      <c r="X135" s="7"/>
    </row>
    <row r="136" ht="15.75" customHeight="1">
      <c r="A136" s="6" t="s">
        <v>48811</v>
      </c>
      <c r="B136" s="6" t="s">
        <v>10437</v>
      </c>
      <c r="C136" s="6" t="s">
        <v>42532</v>
      </c>
      <c r="D136" s="68" t="s">
        <v>48812</v>
      </c>
      <c r="E136" s="7"/>
      <c r="F136" s="7"/>
      <c r="G136" s="7"/>
      <c r="H136" s="7"/>
      <c r="I136" s="7"/>
      <c r="J136" s="7"/>
      <c r="K136" s="7"/>
      <c r="L136" s="7"/>
      <c r="M136" s="7"/>
      <c r="N136" s="7"/>
      <c r="O136" s="7"/>
      <c r="P136" s="7"/>
      <c r="Q136" s="7"/>
      <c r="R136" s="7"/>
      <c r="S136" s="7"/>
      <c r="T136" s="7"/>
      <c r="U136" s="7"/>
      <c r="V136" s="7"/>
      <c r="W136" s="7"/>
      <c r="X136" s="7"/>
    </row>
    <row r="137" ht="15.75" customHeight="1">
      <c r="A137" s="6" t="s">
        <v>48813</v>
      </c>
      <c r="B137" s="6" t="s">
        <v>4176</v>
      </c>
      <c r="C137" s="6" t="s">
        <v>42538</v>
      </c>
      <c r="D137" s="68" t="s">
        <v>48814</v>
      </c>
      <c r="E137" s="7"/>
      <c r="F137" s="7"/>
      <c r="G137" s="7"/>
      <c r="H137" s="7"/>
      <c r="I137" s="7"/>
      <c r="J137" s="7"/>
      <c r="K137" s="7"/>
      <c r="L137" s="7"/>
      <c r="M137" s="7"/>
      <c r="N137" s="7"/>
      <c r="O137" s="7"/>
      <c r="P137" s="7"/>
      <c r="Q137" s="7"/>
      <c r="R137" s="7"/>
      <c r="S137" s="7"/>
      <c r="T137" s="7"/>
      <c r="U137" s="7"/>
      <c r="V137" s="7"/>
      <c r="W137" s="7"/>
      <c r="X137" s="7"/>
    </row>
    <row r="138" ht="15.75" customHeight="1">
      <c r="A138" s="6" t="s">
        <v>48815</v>
      </c>
      <c r="B138" s="6" t="s">
        <v>12018</v>
      </c>
      <c r="C138" s="6" t="s">
        <v>42538</v>
      </c>
      <c r="D138" s="68" t="s">
        <v>48816</v>
      </c>
      <c r="E138" s="7"/>
      <c r="F138" s="7"/>
      <c r="G138" s="7"/>
      <c r="H138" s="7"/>
      <c r="I138" s="7"/>
      <c r="J138" s="7"/>
      <c r="K138" s="7"/>
      <c r="L138" s="7"/>
      <c r="M138" s="7"/>
      <c r="N138" s="7"/>
      <c r="O138" s="7"/>
      <c r="P138" s="7"/>
      <c r="Q138" s="7"/>
      <c r="R138" s="7"/>
      <c r="S138" s="7"/>
      <c r="T138" s="7"/>
      <c r="U138" s="7"/>
      <c r="V138" s="7"/>
      <c r="W138" s="7"/>
      <c r="X138" s="7"/>
    </row>
    <row r="139" ht="15.75" customHeight="1">
      <c r="A139" s="6" t="s">
        <v>48817</v>
      </c>
      <c r="B139" s="6" t="s">
        <v>10322</v>
      </c>
      <c r="C139" s="6" t="s">
        <v>42538</v>
      </c>
      <c r="D139" s="68" t="s">
        <v>48818</v>
      </c>
      <c r="E139" s="7"/>
      <c r="F139" s="7"/>
      <c r="G139" s="7"/>
      <c r="H139" s="7"/>
      <c r="I139" s="7"/>
      <c r="J139" s="7"/>
      <c r="K139" s="7"/>
      <c r="L139" s="7"/>
      <c r="M139" s="7"/>
      <c r="N139" s="7"/>
      <c r="O139" s="7"/>
      <c r="P139" s="7"/>
      <c r="Q139" s="7"/>
      <c r="R139" s="7"/>
      <c r="S139" s="7"/>
      <c r="T139" s="7"/>
      <c r="U139" s="7"/>
      <c r="V139" s="7"/>
      <c r="W139" s="7"/>
      <c r="X139" s="7"/>
    </row>
    <row r="140" ht="15.75" customHeight="1">
      <c r="A140" s="6" t="s">
        <v>48819</v>
      </c>
      <c r="B140" s="6" t="s">
        <v>9657</v>
      </c>
      <c r="C140" s="6" t="s">
        <v>42532</v>
      </c>
      <c r="D140" s="68" t="s">
        <v>48820</v>
      </c>
      <c r="E140" s="7"/>
      <c r="F140" s="7"/>
      <c r="G140" s="7"/>
      <c r="H140" s="7"/>
      <c r="I140" s="7"/>
      <c r="J140" s="7"/>
      <c r="K140" s="7"/>
      <c r="L140" s="7"/>
      <c r="M140" s="7"/>
      <c r="N140" s="7"/>
      <c r="O140" s="7"/>
      <c r="P140" s="7"/>
      <c r="Q140" s="7"/>
      <c r="R140" s="7"/>
      <c r="S140" s="7"/>
      <c r="T140" s="7"/>
      <c r="U140" s="7"/>
      <c r="V140" s="7"/>
      <c r="W140" s="7"/>
      <c r="X140" s="7"/>
    </row>
    <row r="141" ht="15.75" customHeight="1">
      <c r="A141" s="6" t="s">
        <v>48821</v>
      </c>
      <c r="B141" s="6" t="s">
        <v>261</v>
      </c>
      <c r="C141" s="6" t="s">
        <v>42532</v>
      </c>
      <c r="D141" s="68" t="s">
        <v>48822</v>
      </c>
      <c r="E141" s="7"/>
      <c r="F141" s="7"/>
      <c r="G141" s="7"/>
      <c r="H141" s="7"/>
      <c r="I141" s="7"/>
      <c r="J141" s="7"/>
      <c r="K141" s="7"/>
      <c r="L141" s="7"/>
      <c r="M141" s="7"/>
      <c r="N141" s="7"/>
      <c r="O141" s="7"/>
      <c r="P141" s="7"/>
      <c r="Q141" s="7"/>
      <c r="R141" s="7"/>
      <c r="S141" s="7"/>
      <c r="T141" s="7"/>
      <c r="U141" s="7"/>
      <c r="V141" s="7"/>
      <c r="W141" s="7"/>
      <c r="X141" s="7"/>
    </row>
    <row r="142" ht="15.75" customHeight="1">
      <c r="A142" s="6" t="s">
        <v>48823</v>
      </c>
      <c r="B142" s="6" t="s">
        <v>388</v>
      </c>
      <c r="C142" s="6" t="s">
        <v>42532</v>
      </c>
      <c r="D142" s="68" t="s">
        <v>48824</v>
      </c>
      <c r="E142" s="7"/>
      <c r="F142" s="7"/>
      <c r="G142" s="7"/>
      <c r="H142" s="7"/>
      <c r="I142" s="7"/>
      <c r="J142" s="7"/>
      <c r="K142" s="7"/>
      <c r="L142" s="7"/>
      <c r="M142" s="7"/>
      <c r="N142" s="7"/>
      <c r="O142" s="7"/>
      <c r="P142" s="7"/>
      <c r="Q142" s="7"/>
      <c r="R142" s="7"/>
      <c r="S142" s="7"/>
      <c r="T142" s="7"/>
      <c r="U142" s="7"/>
      <c r="V142" s="7"/>
      <c r="W142" s="7"/>
      <c r="X142" s="7"/>
    </row>
    <row r="143" ht="15.75" customHeight="1">
      <c r="A143" s="6" t="s">
        <v>48825</v>
      </c>
      <c r="B143" s="6" t="s">
        <v>388</v>
      </c>
      <c r="C143" s="6" t="s">
        <v>42535</v>
      </c>
      <c r="D143" s="68" t="s">
        <v>48826</v>
      </c>
      <c r="E143" s="7"/>
      <c r="F143" s="7"/>
      <c r="G143" s="7"/>
      <c r="H143" s="7"/>
      <c r="I143" s="7"/>
      <c r="J143" s="7"/>
      <c r="K143" s="7"/>
      <c r="L143" s="7"/>
      <c r="M143" s="7"/>
      <c r="N143" s="7"/>
      <c r="O143" s="7"/>
      <c r="P143" s="7"/>
      <c r="Q143" s="7"/>
      <c r="R143" s="7"/>
      <c r="S143" s="7"/>
      <c r="T143" s="7"/>
      <c r="U143" s="7"/>
      <c r="V143" s="7"/>
      <c r="W143" s="7"/>
      <c r="X143" s="7"/>
    </row>
    <row r="144" ht="15.75" customHeight="1">
      <c r="A144" s="6" t="s">
        <v>48827</v>
      </c>
      <c r="B144" s="6" t="s">
        <v>267</v>
      </c>
      <c r="C144" s="6" t="s">
        <v>42532</v>
      </c>
      <c r="D144" s="68" t="s">
        <v>48828</v>
      </c>
      <c r="E144" s="7"/>
      <c r="F144" s="7"/>
      <c r="G144" s="7"/>
      <c r="H144" s="7"/>
      <c r="I144" s="7"/>
      <c r="J144" s="7"/>
      <c r="K144" s="7"/>
      <c r="L144" s="7"/>
      <c r="M144" s="7"/>
      <c r="N144" s="7"/>
      <c r="O144" s="7"/>
      <c r="P144" s="7"/>
      <c r="Q144" s="7"/>
      <c r="R144" s="7"/>
      <c r="S144" s="7"/>
      <c r="T144" s="7"/>
      <c r="U144" s="7"/>
      <c r="V144" s="7"/>
      <c r="W144" s="7"/>
      <c r="X144" s="7"/>
    </row>
    <row r="145" ht="15.75" customHeight="1">
      <c r="A145" s="6"/>
      <c r="B145" s="6"/>
      <c r="C145" s="6"/>
      <c r="D145" s="6"/>
      <c r="E145" s="7"/>
      <c r="F145" s="7"/>
      <c r="G145" s="7"/>
      <c r="H145" s="7"/>
      <c r="I145" s="7"/>
      <c r="J145" s="7"/>
      <c r="K145" s="7"/>
      <c r="L145" s="7"/>
      <c r="M145" s="7"/>
      <c r="N145" s="7"/>
      <c r="O145" s="7"/>
      <c r="P145" s="7"/>
      <c r="Q145" s="7"/>
      <c r="R145" s="7"/>
      <c r="S145" s="7"/>
      <c r="T145" s="7"/>
      <c r="U145" s="7"/>
      <c r="V145" s="7"/>
      <c r="W145" s="7"/>
      <c r="X145" s="7"/>
    </row>
    <row r="146" ht="15.75" customHeight="1">
      <c r="A146" s="6" t="s">
        <v>48829</v>
      </c>
      <c r="B146" s="6" t="s">
        <v>10672</v>
      </c>
      <c r="C146" s="6" t="s">
        <v>42532</v>
      </c>
      <c r="D146" s="68" t="s">
        <v>48830</v>
      </c>
      <c r="E146" s="7"/>
      <c r="F146" s="7"/>
      <c r="G146" s="7"/>
      <c r="H146" s="7"/>
      <c r="I146" s="7"/>
      <c r="J146" s="7"/>
      <c r="K146" s="7"/>
      <c r="L146" s="7"/>
      <c r="M146" s="7"/>
      <c r="N146" s="7"/>
      <c r="O146" s="7"/>
      <c r="P146" s="7"/>
      <c r="Q146" s="7"/>
      <c r="R146" s="7"/>
      <c r="S146" s="7"/>
      <c r="T146" s="7"/>
      <c r="U146" s="7"/>
      <c r="V146" s="7"/>
      <c r="W146" s="7"/>
      <c r="X146" s="7"/>
    </row>
    <row r="147" ht="15.75" customHeight="1">
      <c r="A147" s="6" t="s">
        <v>48831</v>
      </c>
      <c r="B147" s="6" t="s">
        <v>11847</v>
      </c>
      <c r="C147" s="6" t="s">
        <v>42535</v>
      </c>
      <c r="D147" s="68" t="s">
        <v>48832</v>
      </c>
      <c r="E147" s="7"/>
      <c r="F147" s="7"/>
      <c r="G147" s="7"/>
      <c r="H147" s="7"/>
      <c r="I147" s="7"/>
      <c r="J147" s="7"/>
      <c r="K147" s="7"/>
      <c r="L147" s="7"/>
      <c r="M147" s="7"/>
      <c r="N147" s="7"/>
      <c r="O147" s="7"/>
      <c r="P147" s="7"/>
      <c r="Q147" s="7"/>
      <c r="R147" s="7"/>
      <c r="S147" s="7"/>
      <c r="T147" s="7"/>
      <c r="U147" s="7"/>
      <c r="V147" s="7"/>
      <c r="W147" s="7"/>
      <c r="X147" s="7"/>
    </row>
    <row r="148" ht="15.75" customHeight="1">
      <c r="A148" s="6" t="s">
        <v>48833</v>
      </c>
      <c r="B148" s="6" t="s">
        <v>10225</v>
      </c>
      <c r="C148" s="6" t="s">
        <v>42532</v>
      </c>
      <c r="D148" s="68" t="s">
        <v>48834</v>
      </c>
      <c r="E148" s="7"/>
      <c r="F148" s="7"/>
      <c r="G148" s="7"/>
      <c r="H148" s="7"/>
      <c r="I148" s="7"/>
      <c r="J148" s="7"/>
      <c r="K148" s="7"/>
      <c r="L148" s="7"/>
      <c r="M148" s="7"/>
      <c r="N148" s="7"/>
      <c r="O148" s="7"/>
      <c r="P148" s="7"/>
      <c r="Q148" s="7"/>
      <c r="R148" s="7"/>
      <c r="S148" s="7"/>
      <c r="T148" s="7"/>
      <c r="U148" s="7"/>
      <c r="V148" s="7"/>
      <c r="W148" s="7"/>
      <c r="X148" s="7"/>
    </row>
    <row r="149" ht="15.75" customHeight="1">
      <c r="A149" s="6" t="s">
        <v>48835</v>
      </c>
      <c r="B149" s="6" t="s">
        <v>9237</v>
      </c>
      <c r="C149" s="6" t="s">
        <v>19384</v>
      </c>
      <c r="D149" s="68" t="s">
        <v>48836</v>
      </c>
      <c r="E149" s="7"/>
      <c r="F149" s="7"/>
      <c r="G149" s="7"/>
      <c r="H149" s="7"/>
      <c r="I149" s="7"/>
      <c r="J149" s="7"/>
      <c r="K149" s="7"/>
      <c r="L149" s="7"/>
      <c r="M149" s="7"/>
      <c r="N149" s="7"/>
      <c r="O149" s="7"/>
      <c r="P149" s="7"/>
      <c r="Q149" s="7"/>
      <c r="R149" s="7"/>
      <c r="S149" s="7"/>
      <c r="T149" s="7"/>
      <c r="U149" s="7"/>
      <c r="V149" s="7"/>
      <c r="W149" s="7"/>
      <c r="X149" s="7"/>
    </row>
    <row r="150" ht="15.75" customHeight="1">
      <c r="A150" s="6" t="s">
        <v>48837</v>
      </c>
      <c r="B150" s="6" t="s">
        <v>263</v>
      </c>
      <c r="C150" s="6" t="s">
        <v>42532</v>
      </c>
      <c r="D150" s="68" t="s">
        <v>48838</v>
      </c>
      <c r="E150" s="7"/>
      <c r="F150" s="7"/>
      <c r="G150" s="7"/>
      <c r="H150" s="7"/>
      <c r="I150" s="7"/>
      <c r="J150" s="7"/>
      <c r="K150" s="7"/>
      <c r="L150" s="7"/>
      <c r="M150" s="7"/>
      <c r="N150" s="7"/>
      <c r="O150" s="7"/>
      <c r="P150" s="7"/>
      <c r="Q150" s="7"/>
      <c r="R150" s="7"/>
      <c r="S150" s="7"/>
      <c r="T150" s="7"/>
      <c r="U150" s="7"/>
      <c r="V150" s="7"/>
      <c r="W150" s="7"/>
      <c r="X150" s="7"/>
    </row>
    <row r="151" ht="15.75" customHeight="1">
      <c r="A151" s="6" t="s">
        <v>48839</v>
      </c>
      <c r="B151" s="6" t="s">
        <v>263</v>
      </c>
      <c r="C151" s="6" t="s">
        <v>42543</v>
      </c>
      <c r="D151" s="68" t="s">
        <v>48840</v>
      </c>
      <c r="E151" s="7"/>
      <c r="F151" s="7"/>
      <c r="G151" s="7"/>
      <c r="H151" s="7"/>
      <c r="I151" s="7"/>
      <c r="J151" s="7"/>
      <c r="K151" s="7"/>
      <c r="L151" s="7"/>
      <c r="M151" s="7"/>
      <c r="N151" s="7"/>
      <c r="O151" s="7"/>
      <c r="P151" s="7"/>
      <c r="Q151" s="7"/>
      <c r="R151" s="7"/>
      <c r="S151" s="7"/>
      <c r="T151" s="7"/>
      <c r="U151" s="7"/>
      <c r="V151" s="7"/>
      <c r="W151" s="7"/>
      <c r="X151" s="7"/>
    </row>
    <row r="152" ht="15.75" customHeight="1">
      <c r="A152" s="6" t="s">
        <v>48841</v>
      </c>
      <c r="B152" s="6" t="s">
        <v>8306</v>
      </c>
      <c r="C152" s="6" t="s">
        <v>42532</v>
      </c>
      <c r="D152" s="68" t="s">
        <v>48842</v>
      </c>
      <c r="E152" s="7"/>
      <c r="F152" s="7"/>
      <c r="G152" s="7"/>
      <c r="H152" s="7"/>
      <c r="I152" s="7"/>
      <c r="J152" s="7"/>
      <c r="K152" s="7"/>
      <c r="L152" s="7"/>
      <c r="M152" s="7"/>
      <c r="N152" s="7"/>
      <c r="O152" s="7"/>
      <c r="P152" s="7"/>
      <c r="Q152" s="7"/>
      <c r="R152" s="7"/>
      <c r="S152" s="7"/>
      <c r="T152" s="7"/>
      <c r="U152" s="7"/>
      <c r="V152" s="7"/>
      <c r="W152" s="7"/>
      <c r="X152" s="7"/>
    </row>
    <row r="153" ht="15.75" customHeight="1">
      <c r="A153" s="6" t="s">
        <v>48843</v>
      </c>
      <c r="B153" s="6" t="s">
        <v>8306</v>
      </c>
      <c r="C153" s="6" t="s">
        <v>42543</v>
      </c>
      <c r="D153" s="68" t="s">
        <v>48844</v>
      </c>
      <c r="E153" s="7"/>
      <c r="F153" s="7"/>
      <c r="G153" s="7"/>
      <c r="H153" s="7"/>
      <c r="I153" s="7"/>
      <c r="J153" s="7"/>
      <c r="K153" s="7"/>
      <c r="L153" s="7"/>
      <c r="M153" s="7"/>
      <c r="N153" s="7"/>
      <c r="O153" s="7"/>
      <c r="P153" s="7"/>
      <c r="Q153" s="7"/>
      <c r="R153" s="7"/>
      <c r="S153" s="7"/>
      <c r="T153" s="7"/>
      <c r="U153" s="7"/>
      <c r="V153" s="7"/>
      <c r="W153" s="7"/>
      <c r="X153" s="7"/>
    </row>
    <row r="154" ht="15.75" customHeight="1">
      <c r="A154" s="6" t="s">
        <v>48845</v>
      </c>
      <c r="B154" s="6" t="s">
        <v>8502</v>
      </c>
      <c r="C154" s="6" t="s">
        <v>42543</v>
      </c>
      <c r="D154" s="68" t="s">
        <v>48846</v>
      </c>
      <c r="E154" s="7"/>
      <c r="F154" s="7"/>
      <c r="G154" s="7"/>
      <c r="H154" s="7"/>
      <c r="I154" s="7"/>
      <c r="J154" s="7"/>
      <c r="K154" s="7"/>
      <c r="L154" s="7"/>
      <c r="M154" s="7"/>
      <c r="N154" s="7"/>
      <c r="O154" s="7"/>
      <c r="P154" s="7"/>
      <c r="Q154" s="7"/>
      <c r="R154" s="7"/>
      <c r="S154" s="7"/>
      <c r="T154" s="7"/>
      <c r="U154" s="7"/>
      <c r="V154" s="7"/>
      <c r="W154" s="7"/>
      <c r="X154" s="7"/>
    </row>
    <row r="155" ht="15.75" customHeight="1">
      <c r="A155" s="6" t="s">
        <v>48847</v>
      </c>
      <c r="B155" s="6" t="s">
        <v>8502</v>
      </c>
      <c r="C155" s="6" t="s">
        <v>42532</v>
      </c>
      <c r="D155" s="68" t="s">
        <v>48848</v>
      </c>
      <c r="E155" s="7"/>
      <c r="F155" s="7"/>
      <c r="G155" s="7"/>
      <c r="H155" s="7"/>
      <c r="I155" s="7"/>
      <c r="J155" s="7"/>
      <c r="K155" s="7"/>
      <c r="L155" s="7"/>
      <c r="M155" s="7"/>
      <c r="N155" s="7"/>
      <c r="O155" s="7"/>
      <c r="P155" s="7"/>
      <c r="Q155" s="7"/>
      <c r="R155" s="7"/>
      <c r="S155" s="7"/>
      <c r="T155" s="7"/>
      <c r="U155" s="7"/>
      <c r="V155" s="7"/>
      <c r="W155" s="7"/>
      <c r="X155" s="7"/>
    </row>
    <row r="156" ht="15.75" customHeight="1">
      <c r="A156" s="6" t="s">
        <v>48849</v>
      </c>
      <c r="B156" s="6" t="s">
        <v>3852</v>
      </c>
      <c r="C156" s="6" t="s">
        <v>42532</v>
      </c>
      <c r="D156" s="68" t="s">
        <v>48850</v>
      </c>
      <c r="E156" s="7"/>
      <c r="F156" s="7"/>
      <c r="G156" s="7"/>
      <c r="H156" s="7"/>
      <c r="I156" s="7"/>
      <c r="J156" s="7"/>
      <c r="K156" s="7"/>
      <c r="L156" s="7"/>
      <c r="M156" s="7"/>
      <c r="N156" s="7"/>
      <c r="O156" s="7"/>
      <c r="P156" s="7"/>
      <c r="Q156" s="7"/>
      <c r="R156" s="7"/>
      <c r="S156" s="7"/>
      <c r="T156" s="7"/>
      <c r="U156" s="7"/>
      <c r="V156" s="7"/>
      <c r="W156" s="7"/>
      <c r="X156" s="7"/>
    </row>
    <row r="157" ht="15.75" customHeight="1">
      <c r="A157" s="6" t="s">
        <v>48851</v>
      </c>
      <c r="B157" s="6" t="s">
        <v>7773</v>
      </c>
      <c r="C157" s="6" t="s">
        <v>42532</v>
      </c>
      <c r="D157" s="68" t="s">
        <v>48852</v>
      </c>
      <c r="E157" s="7"/>
      <c r="F157" s="7"/>
      <c r="G157" s="7"/>
      <c r="H157" s="7"/>
      <c r="I157" s="7"/>
      <c r="J157" s="7"/>
      <c r="K157" s="7"/>
      <c r="L157" s="7"/>
      <c r="M157" s="7"/>
      <c r="N157" s="7"/>
      <c r="O157" s="7"/>
      <c r="P157" s="7"/>
      <c r="Q157" s="7"/>
      <c r="R157" s="7"/>
      <c r="S157" s="7"/>
      <c r="T157" s="7"/>
      <c r="U157" s="7"/>
      <c r="V157" s="7"/>
      <c r="W157" s="7"/>
      <c r="X157" s="7"/>
    </row>
    <row r="158" ht="15.75" customHeight="1">
      <c r="A158" s="6" t="s">
        <v>48853</v>
      </c>
      <c r="B158" s="6" t="s">
        <v>3606</v>
      </c>
      <c r="C158" s="6" t="s">
        <v>42543</v>
      </c>
      <c r="D158" s="68" t="s">
        <v>48854</v>
      </c>
      <c r="E158" s="7"/>
      <c r="F158" s="7"/>
      <c r="G158" s="7"/>
      <c r="H158" s="7"/>
      <c r="I158" s="7"/>
      <c r="J158" s="7"/>
      <c r="K158" s="7"/>
      <c r="L158" s="7"/>
      <c r="M158" s="7"/>
      <c r="N158" s="7"/>
      <c r="O158" s="7"/>
      <c r="P158" s="7"/>
      <c r="Q158" s="7"/>
      <c r="R158" s="7"/>
      <c r="S158" s="7"/>
      <c r="T158" s="7"/>
      <c r="U158" s="7"/>
      <c r="V158" s="7"/>
      <c r="W158" s="7"/>
      <c r="X158" s="7"/>
    </row>
    <row r="159" ht="15.75" customHeight="1">
      <c r="A159" s="6" t="s">
        <v>48855</v>
      </c>
      <c r="B159" s="6" t="s">
        <v>3606</v>
      </c>
      <c r="C159" s="6" t="s">
        <v>42532</v>
      </c>
      <c r="D159" s="68" t="s">
        <v>48856</v>
      </c>
      <c r="E159" s="7"/>
      <c r="F159" s="7"/>
      <c r="G159" s="7"/>
      <c r="H159" s="7"/>
      <c r="I159" s="7"/>
      <c r="J159" s="7"/>
      <c r="K159" s="7"/>
      <c r="L159" s="7"/>
      <c r="M159" s="7"/>
      <c r="N159" s="7"/>
      <c r="O159" s="7"/>
      <c r="P159" s="7"/>
      <c r="Q159" s="7"/>
      <c r="R159" s="7"/>
      <c r="S159" s="7"/>
      <c r="T159" s="7"/>
      <c r="U159" s="7"/>
      <c r="V159" s="7"/>
      <c r="W159" s="7"/>
      <c r="X159" s="7"/>
    </row>
    <row r="160" ht="15.75" customHeight="1">
      <c r="A160" s="6" t="s">
        <v>48857</v>
      </c>
      <c r="B160" s="6" t="s">
        <v>7556</v>
      </c>
      <c r="C160" s="6" t="s">
        <v>42532</v>
      </c>
      <c r="D160" s="68" t="s">
        <v>48858</v>
      </c>
      <c r="E160" s="7"/>
      <c r="F160" s="7"/>
      <c r="G160" s="7"/>
      <c r="H160" s="7"/>
      <c r="I160" s="7"/>
      <c r="J160" s="7"/>
      <c r="K160" s="7"/>
      <c r="L160" s="7"/>
      <c r="M160" s="7"/>
      <c r="N160" s="7"/>
      <c r="O160" s="7"/>
      <c r="P160" s="7"/>
      <c r="Q160" s="7"/>
      <c r="R160" s="7"/>
      <c r="S160" s="7"/>
      <c r="T160" s="7"/>
      <c r="U160" s="7"/>
      <c r="V160" s="7"/>
      <c r="W160" s="7"/>
      <c r="X160" s="7"/>
    </row>
    <row r="161" ht="15.75" customHeight="1">
      <c r="A161" s="6" t="s">
        <v>48859</v>
      </c>
      <c r="B161" s="6" t="s">
        <v>5361</v>
      </c>
      <c r="C161" s="6" t="s">
        <v>42532</v>
      </c>
      <c r="D161" s="68" t="s">
        <v>48860</v>
      </c>
      <c r="E161" s="7"/>
      <c r="F161" s="7"/>
      <c r="G161" s="7"/>
      <c r="H161" s="7"/>
      <c r="I161" s="7"/>
      <c r="J161" s="7"/>
      <c r="K161" s="7"/>
      <c r="L161" s="7"/>
      <c r="M161" s="7"/>
      <c r="N161" s="7"/>
      <c r="O161" s="7"/>
      <c r="P161" s="7"/>
      <c r="Q161" s="7"/>
      <c r="R161" s="7"/>
      <c r="S161" s="7"/>
      <c r="T161" s="7"/>
      <c r="U161" s="7"/>
      <c r="V161" s="7"/>
      <c r="W161" s="7"/>
      <c r="X161" s="7"/>
    </row>
    <row r="162" ht="15.75" customHeight="1">
      <c r="A162" s="6" t="s">
        <v>48861</v>
      </c>
      <c r="B162" s="6" t="s">
        <v>6928</v>
      </c>
      <c r="C162" s="6" t="s">
        <v>10068</v>
      </c>
      <c r="D162" s="68" t="s">
        <v>48862</v>
      </c>
      <c r="E162" s="7"/>
      <c r="F162" s="7"/>
      <c r="G162" s="7"/>
      <c r="H162" s="7"/>
      <c r="I162" s="7"/>
      <c r="J162" s="7"/>
      <c r="K162" s="7"/>
      <c r="L162" s="7"/>
      <c r="M162" s="7"/>
      <c r="N162" s="7"/>
      <c r="O162" s="7"/>
      <c r="P162" s="7"/>
      <c r="Q162" s="7"/>
      <c r="R162" s="7"/>
      <c r="S162" s="7"/>
      <c r="T162" s="7"/>
      <c r="U162" s="7"/>
      <c r="V162" s="7"/>
      <c r="W162" s="7"/>
      <c r="X162" s="7"/>
    </row>
    <row r="163" ht="15.75" customHeight="1">
      <c r="A163" s="6" t="s">
        <v>48863</v>
      </c>
      <c r="B163" s="6" t="s">
        <v>7889</v>
      </c>
      <c r="C163" s="6" t="s">
        <v>42532</v>
      </c>
      <c r="D163" s="68" t="s">
        <v>48864</v>
      </c>
      <c r="E163" s="7"/>
      <c r="F163" s="7"/>
      <c r="G163" s="7"/>
      <c r="H163" s="7"/>
      <c r="I163" s="7"/>
      <c r="J163" s="7"/>
      <c r="K163" s="7"/>
      <c r="L163" s="7"/>
      <c r="M163" s="7"/>
      <c r="N163" s="7"/>
      <c r="O163" s="7"/>
      <c r="P163" s="7"/>
      <c r="Q163" s="7"/>
      <c r="R163" s="7"/>
      <c r="S163" s="7"/>
      <c r="T163" s="7"/>
      <c r="U163" s="7"/>
      <c r="V163" s="7"/>
      <c r="W163" s="7"/>
      <c r="X163" s="7"/>
    </row>
    <row r="164" ht="15.75" customHeight="1">
      <c r="A164" s="6" t="s">
        <v>48865</v>
      </c>
      <c r="B164" s="6" t="s">
        <v>6908</v>
      </c>
      <c r="C164" s="6" t="s">
        <v>42532</v>
      </c>
      <c r="D164" s="68" t="s">
        <v>48866</v>
      </c>
      <c r="E164" s="7"/>
      <c r="F164" s="7"/>
      <c r="G164" s="7"/>
      <c r="H164" s="7"/>
      <c r="I164" s="7"/>
      <c r="J164" s="7"/>
      <c r="K164" s="7"/>
      <c r="L164" s="7"/>
      <c r="M164" s="7"/>
      <c r="N164" s="7"/>
      <c r="O164" s="7"/>
      <c r="P164" s="7"/>
      <c r="Q164" s="7"/>
      <c r="R164" s="7"/>
      <c r="S164" s="7"/>
      <c r="T164" s="7"/>
      <c r="U164" s="7"/>
      <c r="V164" s="7"/>
      <c r="W164" s="7"/>
      <c r="X164" s="7"/>
    </row>
    <row r="165" ht="15.75" customHeight="1">
      <c r="A165" s="6" t="s">
        <v>48867</v>
      </c>
      <c r="B165" s="6" t="s">
        <v>11731</v>
      </c>
      <c r="C165" s="6" t="s">
        <v>42532</v>
      </c>
      <c r="D165" s="68" t="s">
        <v>48868</v>
      </c>
      <c r="E165" s="7"/>
      <c r="F165" s="7"/>
      <c r="G165" s="7"/>
      <c r="H165" s="7"/>
      <c r="I165" s="7"/>
      <c r="J165" s="7"/>
      <c r="K165" s="7"/>
      <c r="L165" s="7"/>
      <c r="M165" s="7"/>
      <c r="N165" s="7"/>
      <c r="O165" s="7"/>
      <c r="P165" s="7"/>
      <c r="Q165" s="7"/>
      <c r="R165" s="7"/>
      <c r="S165" s="7"/>
      <c r="T165" s="7"/>
      <c r="U165" s="7"/>
      <c r="V165" s="7"/>
      <c r="W165" s="7"/>
      <c r="X165" s="7"/>
    </row>
    <row r="166" ht="15.75" customHeight="1">
      <c r="A166" s="6" t="s">
        <v>48869</v>
      </c>
      <c r="B166" s="6" t="s">
        <v>11731</v>
      </c>
      <c r="C166" s="6" t="s">
        <v>42535</v>
      </c>
      <c r="D166" s="68" t="s">
        <v>48870</v>
      </c>
      <c r="E166" s="7"/>
      <c r="F166" s="7"/>
      <c r="G166" s="7"/>
      <c r="H166" s="7"/>
      <c r="I166" s="7"/>
      <c r="J166" s="7"/>
      <c r="K166" s="7"/>
      <c r="L166" s="7"/>
      <c r="M166" s="7"/>
      <c r="N166" s="7"/>
      <c r="O166" s="7"/>
      <c r="P166" s="7"/>
      <c r="Q166" s="7"/>
      <c r="R166" s="7"/>
      <c r="S166" s="7"/>
      <c r="T166" s="7"/>
      <c r="U166" s="7"/>
      <c r="V166" s="7"/>
      <c r="W166" s="7"/>
      <c r="X166" s="7"/>
    </row>
    <row r="167" ht="15.75" customHeight="1">
      <c r="A167" s="6" t="s">
        <v>48871</v>
      </c>
      <c r="B167" s="6" t="s">
        <v>11731</v>
      </c>
      <c r="C167" s="6" t="s">
        <v>42538</v>
      </c>
      <c r="D167" s="68" t="s">
        <v>48872</v>
      </c>
      <c r="E167" s="7"/>
      <c r="F167" s="7"/>
      <c r="G167" s="7"/>
      <c r="H167" s="7"/>
      <c r="I167" s="7"/>
      <c r="J167" s="7"/>
      <c r="K167" s="7"/>
      <c r="L167" s="7"/>
      <c r="M167" s="7"/>
      <c r="N167" s="7"/>
      <c r="O167" s="7"/>
      <c r="P167" s="7"/>
      <c r="Q167" s="7"/>
      <c r="R167" s="7"/>
      <c r="S167" s="7"/>
      <c r="T167" s="7"/>
      <c r="U167" s="7"/>
      <c r="V167" s="7"/>
      <c r="W167" s="7"/>
      <c r="X167" s="7"/>
    </row>
    <row r="168" ht="15.75" customHeight="1">
      <c r="A168" s="6" t="s">
        <v>48873</v>
      </c>
      <c r="B168" s="6" t="s">
        <v>5472</v>
      </c>
      <c r="C168" s="6" t="s">
        <v>42532</v>
      </c>
      <c r="D168" s="68" t="s">
        <v>48874</v>
      </c>
      <c r="E168" s="7"/>
      <c r="F168" s="7"/>
      <c r="G168" s="7"/>
      <c r="H168" s="7"/>
      <c r="I168" s="7"/>
      <c r="J168" s="7"/>
      <c r="K168" s="7"/>
      <c r="L168" s="7"/>
      <c r="M168" s="7"/>
      <c r="N168" s="7"/>
      <c r="O168" s="7"/>
      <c r="P168" s="7"/>
      <c r="Q168" s="7"/>
      <c r="R168" s="7"/>
      <c r="S168" s="7"/>
      <c r="T168" s="7"/>
      <c r="U168" s="7"/>
      <c r="V168" s="7"/>
      <c r="W168" s="7"/>
      <c r="X168" s="7"/>
    </row>
    <row r="169" ht="15.75" customHeight="1">
      <c r="A169" s="41" t="s">
        <v>48875</v>
      </c>
      <c r="B169" s="6" t="s">
        <v>10171</v>
      </c>
      <c r="C169" s="6" t="s">
        <v>10068</v>
      </c>
      <c r="D169" s="68" t="s">
        <v>48876</v>
      </c>
      <c r="E169" s="7"/>
      <c r="F169" s="7"/>
      <c r="G169" s="7"/>
      <c r="H169" s="7"/>
      <c r="I169" s="7"/>
      <c r="J169" s="7"/>
      <c r="K169" s="7"/>
      <c r="L169" s="7"/>
      <c r="M169" s="7"/>
      <c r="N169" s="7"/>
      <c r="O169" s="7"/>
      <c r="P169" s="7"/>
      <c r="Q169" s="7"/>
      <c r="R169" s="7"/>
      <c r="S169" s="7"/>
      <c r="T169" s="7"/>
      <c r="U169" s="7"/>
      <c r="V169" s="7"/>
      <c r="W169" s="7"/>
      <c r="X169" s="7"/>
    </row>
    <row r="170" ht="15.75" customHeight="1">
      <c r="A170" s="6" t="s">
        <v>48877</v>
      </c>
      <c r="B170" s="6" t="s">
        <v>10171</v>
      </c>
      <c r="C170" s="6" t="s">
        <v>42532</v>
      </c>
      <c r="D170" s="68" t="s">
        <v>48878</v>
      </c>
      <c r="E170" s="7"/>
      <c r="F170" s="7"/>
      <c r="G170" s="7"/>
      <c r="H170" s="7"/>
      <c r="I170" s="7"/>
      <c r="J170" s="7"/>
      <c r="K170" s="7"/>
      <c r="L170" s="7"/>
      <c r="M170" s="7"/>
      <c r="N170" s="7"/>
      <c r="O170" s="7"/>
      <c r="P170" s="7"/>
      <c r="Q170" s="7"/>
      <c r="R170" s="7"/>
      <c r="S170" s="7"/>
      <c r="T170" s="7"/>
      <c r="U170" s="7"/>
      <c r="V170" s="7"/>
      <c r="W170" s="7"/>
      <c r="X170" s="7"/>
    </row>
    <row r="171" ht="15.75" customHeight="1">
      <c r="A171" s="6" t="s">
        <v>48879</v>
      </c>
      <c r="B171" s="6" t="s">
        <v>10730</v>
      </c>
      <c r="C171" s="6" t="s">
        <v>42532</v>
      </c>
      <c r="D171" s="68" t="s">
        <v>48880</v>
      </c>
      <c r="E171" s="7"/>
      <c r="F171" s="7"/>
      <c r="G171" s="7"/>
      <c r="H171" s="7"/>
      <c r="I171" s="7"/>
      <c r="J171" s="7"/>
      <c r="K171" s="7"/>
      <c r="L171" s="7"/>
      <c r="M171" s="7"/>
      <c r="N171" s="7"/>
      <c r="O171" s="7"/>
      <c r="P171" s="7"/>
      <c r="Q171" s="7"/>
      <c r="R171" s="7"/>
      <c r="S171" s="7"/>
      <c r="T171" s="7"/>
      <c r="U171" s="7"/>
      <c r="V171" s="7"/>
      <c r="W171" s="7"/>
      <c r="X171" s="7"/>
    </row>
    <row r="172" ht="15.75" customHeight="1">
      <c r="A172" s="6" t="s">
        <v>48881</v>
      </c>
      <c r="B172" s="6" t="s">
        <v>10730</v>
      </c>
      <c r="C172" s="6" t="s">
        <v>42538</v>
      </c>
      <c r="D172" s="68" t="s">
        <v>48882</v>
      </c>
      <c r="E172" s="7"/>
      <c r="F172" s="7"/>
      <c r="G172" s="7"/>
      <c r="H172" s="7"/>
      <c r="I172" s="7"/>
      <c r="J172" s="7"/>
      <c r="K172" s="7"/>
      <c r="L172" s="7"/>
      <c r="M172" s="7"/>
      <c r="N172" s="7"/>
      <c r="O172" s="7"/>
      <c r="P172" s="7"/>
      <c r="Q172" s="7"/>
      <c r="R172" s="7"/>
      <c r="S172" s="7"/>
      <c r="T172" s="7"/>
      <c r="U172" s="7"/>
      <c r="V172" s="7"/>
      <c r="W172" s="7"/>
      <c r="X172" s="7"/>
    </row>
    <row r="173" ht="15.75" customHeight="1">
      <c r="A173" s="6" t="s">
        <v>48883</v>
      </c>
      <c r="B173" s="6" t="s">
        <v>10730</v>
      </c>
      <c r="C173" s="6" t="s">
        <v>42535</v>
      </c>
      <c r="D173" s="68" t="s">
        <v>48884</v>
      </c>
      <c r="E173" s="7"/>
      <c r="F173" s="7"/>
      <c r="G173" s="7"/>
      <c r="H173" s="7"/>
      <c r="I173" s="7"/>
      <c r="J173" s="7"/>
      <c r="K173" s="7"/>
      <c r="L173" s="7"/>
      <c r="M173" s="7"/>
      <c r="N173" s="7"/>
      <c r="O173" s="7"/>
      <c r="P173" s="7"/>
      <c r="Q173" s="7"/>
      <c r="R173" s="7"/>
      <c r="S173" s="7"/>
      <c r="T173" s="7"/>
      <c r="U173" s="7"/>
      <c r="V173" s="7"/>
      <c r="W173" s="7"/>
      <c r="X173" s="7"/>
    </row>
    <row r="174" ht="15.75" customHeight="1">
      <c r="A174" s="6" t="s">
        <v>48885</v>
      </c>
      <c r="B174" s="6" t="s">
        <v>3497</v>
      </c>
      <c r="C174" s="6" t="s">
        <v>42532</v>
      </c>
      <c r="D174" s="68" t="s">
        <v>48886</v>
      </c>
      <c r="E174" s="7"/>
      <c r="F174" s="7"/>
      <c r="G174" s="7"/>
      <c r="H174" s="7"/>
      <c r="I174" s="7"/>
      <c r="J174" s="7"/>
      <c r="K174" s="7"/>
      <c r="L174" s="7"/>
      <c r="M174" s="7"/>
      <c r="N174" s="7"/>
      <c r="O174" s="7"/>
      <c r="P174" s="7"/>
      <c r="Q174" s="7"/>
      <c r="R174" s="7"/>
      <c r="S174" s="7"/>
      <c r="T174" s="7"/>
      <c r="U174" s="7"/>
      <c r="V174" s="7"/>
      <c r="W174" s="7"/>
      <c r="X174" s="7"/>
    </row>
    <row r="175" ht="15.75" customHeight="1">
      <c r="A175" s="6" t="s">
        <v>48887</v>
      </c>
      <c r="B175" s="6" t="s">
        <v>12091</v>
      </c>
      <c r="C175" s="6" t="s">
        <v>42532</v>
      </c>
      <c r="D175" s="68" t="s">
        <v>48888</v>
      </c>
      <c r="E175" s="7"/>
      <c r="F175" s="7"/>
      <c r="G175" s="7"/>
      <c r="H175" s="7"/>
      <c r="I175" s="7"/>
      <c r="J175" s="7"/>
      <c r="K175" s="7"/>
      <c r="L175" s="7"/>
      <c r="M175" s="7"/>
      <c r="N175" s="7"/>
      <c r="O175" s="7"/>
      <c r="P175" s="7"/>
      <c r="Q175" s="7"/>
      <c r="R175" s="7"/>
      <c r="S175" s="7"/>
      <c r="T175" s="7"/>
      <c r="U175" s="7"/>
      <c r="V175" s="7"/>
      <c r="W175" s="7"/>
      <c r="X175" s="7"/>
    </row>
    <row r="176" ht="15.75" customHeight="1">
      <c r="A176" s="6" t="s">
        <v>48889</v>
      </c>
      <c r="B176" s="6" t="s">
        <v>6314</v>
      </c>
      <c r="C176" s="6" t="s">
        <v>42532</v>
      </c>
      <c r="D176" s="68" t="s">
        <v>48890</v>
      </c>
      <c r="E176" s="7"/>
      <c r="F176" s="7"/>
      <c r="G176" s="7"/>
      <c r="H176" s="7"/>
      <c r="I176" s="7"/>
      <c r="J176" s="7"/>
      <c r="K176" s="7"/>
      <c r="L176" s="7"/>
      <c r="M176" s="7"/>
      <c r="N176" s="7"/>
      <c r="O176" s="7"/>
      <c r="P176" s="7"/>
      <c r="Q176" s="7"/>
      <c r="R176" s="7"/>
      <c r="S176" s="7"/>
      <c r="T176" s="7"/>
      <c r="U176" s="7"/>
      <c r="V176" s="7"/>
      <c r="W176" s="7"/>
      <c r="X176" s="7"/>
    </row>
    <row r="177" ht="15.75" customHeight="1">
      <c r="A177" s="6" t="s">
        <v>48891</v>
      </c>
      <c r="B177" s="6" t="s">
        <v>4639</v>
      </c>
      <c r="C177" s="6" t="s">
        <v>42532</v>
      </c>
      <c r="D177" s="68" t="s">
        <v>48892</v>
      </c>
      <c r="E177" s="7"/>
      <c r="F177" s="7"/>
      <c r="G177" s="7"/>
      <c r="H177" s="7"/>
      <c r="I177" s="7"/>
      <c r="J177" s="7"/>
      <c r="K177" s="7"/>
      <c r="L177" s="7"/>
      <c r="M177" s="7"/>
      <c r="N177" s="7"/>
      <c r="O177" s="7"/>
      <c r="P177" s="7"/>
      <c r="Q177" s="7"/>
      <c r="R177" s="7"/>
      <c r="S177" s="7"/>
      <c r="T177" s="7"/>
      <c r="U177" s="7"/>
      <c r="V177" s="7"/>
      <c r="W177" s="7"/>
      <c r="X177" s="7"/>
    </row>
    <row r="178" ht="15.75" customHeight="1">
      <c r="A178" s="6" t="s">
        <v>48893</v>
      </c>
      <c r="B178" s="6" t="s">
        <v>11914</v>
      </c>
      <c r="C178" s="6" t="s">
        <v>42532</v>
      </c>
      <c r="D178" s="68" t="s">
        <v>48894</v>
      </c>
      <c r="E178" s="7"/>
      <c r="F178" s="7"/>
      <c r="G178" s="7"/>
      <c r="H178" s="7"/>
      <c r="I178" s="7"/>
      <c r="J178" s="7"/>
      <c r="K178" s="7"/>
      <c r="L178" s="7"/>
      <c r="M178" s="7"/>
      <c r="N178" s="7"/>
      <c r="O178" s="7"/>
      <c r="P178" s="7"/>
      <c r="Q178" s="7"/>
      <c r="R178" s="7"/>
      <c r="S178" s="7"/>
      <c r="T178" s="7"/>
      <c r="U178" s="7"/>
      <c r="V178" s="7"/>
      <c r="W178" s="7"/>
      <c r="X178" s="7"/>
    </row>
    <row r="179" ht="15.75" customHeight="1">
      <c r="A179" s="6" t="s">
        <v>48895</v>
      </c>
      <c r="B179" s="6" t="s">
        <v>9972</v>
      </c>
      <c r="C179" s="6" t="s">
        <v>42543</v>
      </c>
      <c r="D179" s="68" t="s">
        <v>48896</v>
      </c>
      <c r="E179" s="7"/>
      <c r="F179" s="7"/>
      <c r="G179" s="7"/>
      <c r="H179" s="7"/>
      <c r="I179" s="7"/>
      <c r="J179" s="7"/>
      <c r="K179" s="7"/>
      <c r="L179" s="7"/>
      <c r="M179" s="7"/>
      <c r="N179" s="7"/>
      <c r="O179" s="7"/>
      <c r="P179" s="7"/>
      <c r="Q179" s="7"/>
      <c r="R179" s="7"/>
      <c r="S179" s="7"/>
      <c r="T179" s="7"/>
      <c r="U179" s="7"/>
      <c r="V179" s="7"/>
      <c r="W179" s="7"/>
      <c r="X179" s="7"/>
    </row>
    <row r="180" ht="15.75" customHeight="1">
      <c r="A180" s="6" t="s">
        <v>48897</v>
      </c>
      <c r="B180" s="6" t="s">
        <v>9972</v>
      </c>
      <c r="C180" s="6" t="s">
        <v>42532</v>
      </c>
      <c r="D180" s="68" t="s">
        <v>48898</v>
      </c>
      <c r="E180" s="7"/>
      <c r="F180" s="7"/>
      <c r="G180" s="7"/>
      <c r="H180" s="7"/>
      <c r="I180" s="7"/>
      <c r="J180" s="7"/>
      <c r="K180" s="7"/>
      <c r="L180" s="7"/>
      <c r="M180" s="7"/>
      <c r="N180" s="7"/>
      <c r="O180" s="7"/>
      <c r="P180" s="7"/>
      <c r="Q180" s="7"/>
      <c r="R180" s="7"/>
      <c r="S180" s="7"/>
      <c r="T180" s="7"/>
      <c r="U180" s="7"/>
      <c r="V180" s="7"/>
      <c r="W180" s="7"/>
      <c r="X180" s="7"/>
    </row>
    <row r="181" ht="15.75" customHeight="1">
      <c r="A181" s="6" t="s">
        <v>48899</v>
      </c>
      <c r="B181" s="6" t="s">
        <v>9972</v>
      </c>
      <c r="C181" s="6" t="s">
        <v>10068</v>
      </c>
      <c r="D181" s="68" t="s">
        <v>48900</v>
      </c>
      <c r="E181" s="7"/>
      <c r="F181" s="7"/>
      <c r="G181" s="7"/>
      <c r="H181" s="7"/>
      <c r="I181" s="7"/>
      <c r="J181" s="7"/>
      <c r="K181" s="7"/>
      <c r="L181" s="7"/>
      <c r="M181" s="7"/>
      <c r="N181" s="7"/>
      <c r="O181" s="7"/>
      <c r="P181" s="7"/>
      <c r="Q181" s="7"/>
      <c r="R181" s="7"/>
      <c r="S181" s="7"/>
      <c r="T181" s="7"/>
      <c r="U181" s="7"/>
      <c r="V181" s="7"/>
      <c r="W181" s="7"/>
      <c r="X181" s="7"/>
    </row>
    <row r="182" ht="15.75" customHeight="1">
      <c r="A182" s="6" t="s">
        <v>48901</v>
      </c>
      <c r="B182" s="6" t="s">
        <v>276</v>
      </c>
      <c r="C182" s="6" t="s">
        <v>42532</v>
      </c>
      <c r="D182" s="68" t="s">
        <v>48902</v>
      </c>
      <c r="E182" s="7"/>
      <c r="F182" s="7"/>
      <c r="G182" s="7"/>
      <c r="H182" s="7"/>
      <c r="I182" s="7"/>
      <c r="J182" s="7"/>
      <c r="K182" s="7"/>
      <c r="L182" s="7"/>
      <c r="M182" s="7"/>
      <c r="N182" s="7"/>
      <c r="O182" s="7"/>
      <c r="P182" s="7"/>
      <c r="Q182" s="7"/>
      <c r="R182" s="7"/>
      <c r="S182" s="7"/>
      <c r="T182" s="7"/>
      <c r="U182" s="7"/>
      <c r="V182" s="7"/>
      <c r="W182" s="7"/>
      <c r="X182" s="7"/>
    </row>
    <row r="183" ht="15.75" customHeight="1">
      <c r="A183" s="6" t="s">
        <v>48903</v>
      </c>
      <c r="B183" s="6" t="s">
        <v>276</v>
      </c>
      <c r="C183" s="6" t="s">
        <v>10068</v>
      </c>
      <c r="D183" s="68" t="s">
        <v>48904</v>
      </c>
      <c r="E183" s="7"/>
      <c r="F183" s="7"/>
      <c r="G183" s="7"/>
      <c r="H183" s="7"/>
      <c r="I183" s="7"/>
      <c r="J183" s="7"/>
      <c r="K183" s="7"/>
      <c r="L183" s="7"/>
      <c r="M183" s="7"/>
      <c r="N183" s="7"/>
      <c r="O183" s="7"/>
      <c r="P183" s="7"/>
      <c r="Q183" s="7"/>
      <c r="R183" s="7"/>
      <c r="S183" s="7"/>
      <c r="T183" s="7"/>
      <c r="U183" s="7"/>
      <c r="V183" s="7"/>
      <c r="W183" s="7"/>
      <c r="X183" s="7"/>
    </row>
    <row r="184" ht="15.75" customHeight="1">
      <c r="A184" s="6" t="s">
        <v>48905</v>
      </c>
      <c r="B184" s="6" t="s">
        <v>276</v>
      </c>
      <c r="C184" s="6" t="s">
        <v>42543</v>
      </c>
      <c r="D184" s="68" t="s">
        <v>48906</v>
      </c>
      <c r="E184" s="7"/>
      <c r="F184" s="7"/>
      <c r="G184" s="7"/>
      <c r="H184" s="7"/>
      <c r="I184" s="7"/>
      <c r="J184" s="7"/>
      <c r="K184" s="7"/>
      <c r="L184" s="7"/>
      <c r="M184" s="7"/>
      <c r="N184" s="7"/>
      <c r="O184" s="7"/>
      <c r="P184" s="7"/>
      <c r="Q184" s="7"/>
      <c r="R184" s="7"/>
      <c r="S184" s="7"/>
      <c r="T184" s="7"/>
      <c r="U184" s="7"/>
      <c r="V184" s="7"/>
      <c r="W184" s="7"/>
      <c r="X184" s="7"/>
    </row>
    <row r="185" ht="15.75" customHeight="1">
      <c r="A185" s="6" t="s">
        <v>48907</v>
      </c>
      <c r="B185" s="6" t="s">
        <v>1307</v>
      </c>
      <c r="C185" s="6" t="s">
        <v>42532</v>
      </c>
      <c r="D185" s="68" t="s">
        <v>48908</v>
      </c>
      <c r="E185" s="7"/>
      <c r="F185" s="7"/>
      <c r="G185" s="7"/>
      <c r="H185" s="7"/>
      <c r="I185" s="7"/>
      <c r="J185" s="7"/>
      <c r="K185" s="7"/>
      <c r="L185" s="7"/>
      <c r="M185" s="7"/>
      <c r="N185" s="7"/>
      <c r="O185" s="7"/>
      <c r="P185" s="7"/>
      <c r="Q185" s="7"/>
      <c r="R185" s="7"/>
      <c r="S185" s="7"/>
      <c r="T185" s="7"/>
      <c r="U185" s="7"/>
      <c r="V185" s="7"/>
      <c r="W185" s="7"/>
      <c r="X185" s="7"/>
    </row>
    <row r="186" ht="15.75" customHeight="1">
      <c r="A186" s="6" t="s">
        <v>48909</v>
      </c>
      <c r="B186" s="6" t="s">
        <v>3420</v>
      </c>
      <c r="C186" s="6" t="s">
        <v>10068</v>
      </c>
      <c r="D186" s="68" t="s">
        <v>48910</v>
      </c>
      <c r="E186" s="7"/>
      <c r="F186" s="7"/>
      <c r="G186" s="7"/>
      <c r="H186" s="7"/>
      <c r="I186" s="7"/>
      <c r="J186" s="7"/>
      <c r="K186" s="7"/>
      <c r="L186" s="7"/>
      <c r="M186" s="7"/>
      <c r="N186" s="7"/>
      <c r="O186" s="7"/>
      <c r="P186" s="7"/>
      <c r="Q186" s="7"/>
      <c r="R186" s="7"/>
      <c r="S186" s="7"/>
      <c r="T186" s="7"/>
      <c r="U186" s="7"/>
      <c r="V186" s="7"/>
      <c r="W186" s="7"/>
      <c r="X186" s="7"/>
    </row>
    <row r="187" ht="15.75" customHeight="1">
      <c r="A187" s="6" t="s">
        <v>48911</v>
      </c>
      <c r="B187" s="6" t="s">
        <v>3420</v>
      </c>
      <c r="C187" s="6" t="s">
        <v>42532</v>
      </c>
      <c r="D187" s="68" t="s">
        <v>48912</v>
      </c>
      <c r="E187" s="7"/>
      <c r="F187" s="7"/>
      <c r="G187" s="7"/>
      <c r="H187" s="7"/>
      <c r="I187" s="7"/>
      <c r="J187" s="7"/>
      <c r="K187" s="7"/>
      <c r="L187" s="7"/>
      <c r="M187" s="7"/>
      <c r="N187" s="7"/>
      <c r="O187" s="7"/>
      <c r="P187" s="7"/>
      <c r="Q187" s="7"/>
      <c r="R187" s="7"/>
      <c r="S187" s="7"/>
      <c r="T187" s="7"/>
      <c r="U187" s="7"/>
      <c r="V187" s="7"/>
      <c r="W187" s="7"/>
      <c r="X187" s="7"/>
    </row>
    <row r="188" ht="15.75" customHeight="1">
      <c r="A188" s="6" t="s">
        <v>48913</v>
      </c>
      <c r="B188" s="6" t="s">
        <v>251</v>
      </c>
      <c r="C188" s="6" t="s">
        <v>42532</v>
      </c>
      <c r="D188" s="68" t="s">
        <v>48914</v>
      </c>
      <c r="E188" s="7"/>
      <c r="F188" s="7"/>
      <c r="G188" s="7"/>
      <c r="H188" s="7"/>
      <c r="I188" s="7"/>
      <c r="J188" s="7"/>
      <c r="K188" s="7"/>
      <c r="L188" s="7"/>
      <c r="M188" s="7"/>
      <c r="N188" s="7"/>
      <c r="O188" s="7"/>
      <c r="P188" s="7"/>
      <c r="Q188" s="7"/>
      <c r="R188" s="7"/>
      <c r="S188" s="7"/>
      <c r="T188" s="7"/>
      <c r="U188" s="7"/>
      <c r="V188" s="7"/>
      <c r="W188" s="7"/>
      <c r="X188" s="7"/>
    </row>
    <row r="189" ht="15.75" customHeight="1">
      <c r="A189" s="6" t="s">
        <v>48915</v>
      </c>
      <c r="B189" s="6" t="s">
        <v>5718</v>
      </c>
      <c r="C189" s="6" t="s">
        <v>42532</v>
      </c>
      <c r="D189" s="68" t="s">
        <v>48916</v>
      </c>
      <c r="E189" s="7"/>
      <c r="F189" s="7"/>
      <c r="G189" s="7"/>
      <c r="H189" s="7"/>
      <c r="I189" s="7"/>
      <c r="J189" s="7"/>
      <c r="K189" s="7"/>
      <c r="L189" s="7"/>
      <c r="M189" s="7"/>
      <c r="N189" s="7"/>
      <c r="O189" s="7"/>
      <c r="P189" s="7"/>
      <c r="Q189" s="7"/>
      <c r="R189" s="7"/>
      <c r="S189" s="7"/>
      <c r="T189" s="7"/>
      <c r="U189" s="7"/>
      <c r="V189" s="7"/>
      <c r="W189" s="7"/>
      <c r="X189" s="7"/>
    </row>
    <row r="190" ht="15.75" customHeight="1">
      <c r="A190" s="6" t="s">
        <v>48917</v>
      </c>
      <c r="B190" s="6" t="s">
        <v>3331</v>
      </c>
      <c r="C190" s="6" t="s">
        <v>42532</v>
      </c>
      <c r="D190" s="68" t="s">
        <v>48918</v>
      </c>
      <c r="E190" s="7"/>
      <c r="F190" s="7"/>
      <c r="G190" s="7"/>
      <c r="H190" s="7"/>
      <c r="I190" s="7"/>
      <c r="J190" s="7"/>
      <c r="K190" s="7"/>
      <c r="L190" s="7"/>
      <c r="M190" s="7"/>
      <c r="N190" s="7"/>
      <c r="O190" s="7"/>
      <c r="P190" s="7"/>
      <c r="Q190" s="7"/>
      <c r="R190" s="7"/>
      <c r="S190" s="7"/>
      <c r="T190" s="7"/>
      <c r="U190" s="7"/>
      <c r="V190" s="7"/>
      <c r="W190" s="7"/>
      <c r="X190" s="7"/>
    </row>
    <row r="191" ht="15.75" customHeight="1">
      <c r="A191" s="6" t="s">
        <v>48919</v>
      </c>
      <c r="B191" s="6" t="s">
        <v>6185</v>
      </c>
      <c r="C191" s="6" t="s">
        <v>10068</v>
      </c>
      <c r="D191" s="68" t="s">
        <v>48920</v>
      </c>
      <c r="E191" s="7"/>
      <c r="F191" s="7"/>
      <c r="G191" s="7"/>
      <c r="H191" s="7"/>
      <c r="I191" s="7"/>
      <c r="J191" s="7"/>
      <c r="K191" s="7"/>
      <c r="L191" s="7"/>
      <c r="M191" s="7"/>
      <c r="N191" s="7"/>
      <c r="O191" s="7"/>
      <c r="P191" s="7"/>
      <c r="Q191" s="7"/>
      <c r="R191" s="7"/>
      <c r="S191" s="7"/>
      <c r="T191" s="7"/>
      <c r="U191" s="7"/>
      <c r="V191" s="7"/>
      <c r="W191" s="7"/>
      <c r="X191" s="7"/>
    </row>
    <row r="192" ht="15.75" customHeight="1">
      <c r="A192" s="6" t="s">
        <v>48921</v>
      </c>
      <c r="B192" s="6" t="s">
        <v>4011</v>
      </c>
      <c r="C192" s="6" t="s">
        <v>42532</v>
      </c>
      <c r="D192" s="68" t="s">
        <v>48922</v>
      </c>
      <c r="E192" s="7"/>
      <c r="F192" s="7"/>
      <c r="G192" s="7"/>
      <c r="H192" s="7"/>
      <c r="I192" s="7"/>
      <c r="J192" s="7"/>
      <c r="K192" s="7"/>
      <c r="L192" s="7"/>
      <c r="M192" s="7"/>
      <c r="N192" s="7"/>
      <c r="O192" s="7"/>
      <c r="P192" s="7"/>
      <c r="Q192" s="7"/>
      <c r="R192" s="7"/>
      <c r="S192" s="7"/>
      <c r="T192" s="7"/>
      <c r="U192" s="7"/>
      <c r="V192" s="7"/>
      <c r="W192" s="7"/>
      <c r="X192" s="7"/>
    </row>
    <row r="193" ht="15.75" customHeight="1">
      <c r="A193" s="6" t="s">
        <v>48923</v>
      </c>
      <c r="B193" s="6" t="s">
        <v>5067</v>
      </c>
      <c r="C193" s="6" t="s">
        <v>42532</v>
      </c>
      <c r="D193" s="68" t="s">
        <v>48924</v>
      </c>
      <c r="E193" s="7"/>
      <c r="F193" s="7"/>
      <c r="G193" s="7"/>
      <c r="H193" s="7"/>
      <c r="I193" s="7"/>
      <c r="J193" s="7"/>
      <c r="K193" s="7"/>
      <c r="L193" s="7"/>
      <c r="M193" s="7"/>
      <c r="N193" s="7"/>
      <c r="O193" s="7"/>
      <c r="P193" s="7"/>
      <c r="Q193" s="7"/>
      <c r="R193" s="7"/>
      <c r="S193" s="7"/>
      <c r="T193" s="7"/>
      <c r="U193" s="7"/>
      <c r="V193" s="7"/>
      <c r="W193" s="7"/>
      <c r="X193" s="7"/>
    </row>
    <row r="194" ht="15.75" customHeight="1">
      <c r="A194" s="6" t="s">
        <v>48925</v>
      </c>
      <c r="B194" s="6" t="s">
        <v>5067</v>
      </c>
      <c r="C194" s="6" t="s">
        <v>10068</v>
      </c>
      <c r="D194" s="68" t="s">
        <v>48926</v>
      </c>
      <c r="E194" s="7"/>
      <c r="F194" s="7"/>
      <c r="G194" s="7"/>
      <c r="H194" s="7"/>
      <c r="I194" s="7"/>
      <c r="J194" s="7"/>
      <c r="K194" s="7"/>
      <c r="L194" s="7"/>
      <c r="M194" s="7"/>
      <c r="N194" s="7"/>
      <c r="O194" s="7"/>
      <c r="P194" s="7"/>
      <c r="Q194" s="7"/>
      <c r="R194" s="7"/>
      <c r="S194" s="7"/>
      <c r="T194" s="7"/>
      <c r="U194" s="7"/>
      <c r="V194" s="7"/>
      <c r="W194" s="7"/>
      <c r="X194" s="7"/>
    </row>
    <row r="195" ht="15.75" customHeight="1">
      <c r="A195" s="6" t="s">
        <v>48927</v>
      </c>
      <c r="B195" s="6" t="s">
        <v>7447</v>
      </c>
      <c r="C195" s="6" t="s">
        <v>42543</v>
      </c>
      <c r="D195" s="68" t="s">
        <v>48928</v>
      </c>
      <c r="E195" s="7"/>
      <c r="F195" s="7"/>
      <c r="G195" s="7"/>
      <c r="H195" s="7"/>
      <c r="I195" s="7"/>
      <c r="J195" s="7"/>
      <c r="K195" s="7"/>
      <c r="L195" s="7"/>
      <c r="M195" s="7"/>
      <c r="N195" s="7"/>
      <c r="O195" s="7"/>
      <c r="P195" s="7"/>
      <c r="Q195" s="7"/>
      <c r="R195" s="7"/>
      <c r="S195" s="7"/>
      <c r="T195" s="7"/>
      <c r="U195" s="7"/>
      <c r="V195" s="7"/>
      <c r="W195" s="7"/>
      <c r="X195" s="7"/>
    </row>
    <row r="196" ht="15.75" customHeight="1">
      <c r="A196" s="6" t="s">
        <v>48929</v>
      </c>
      <c r="B196" s="6" t="s">
        <v>7447</v>
      </c>
      <c r="C196" s="6" t="s">
        <v>42532</v>
      </c>
      <c r="D196" s="68" t="s">
        <v>48930</v>
      </c>
      <c r="E196" s="7"/>
      <c r="F196" s="7"/>
      <c r="G196" s="7"/>
      <c r="H196" s="7"/>
      <c r="I196" s="7"/>
      <c r="J196" s="7"/>
      <c r="K196" s="7"/>
      <c r="L196" s="7"/>
      <c r="M196" s="7"/>
      <c r="N196" s="7"/>
      <c r="O196" s="7"/>
      <c r="P196" s="7"/>
      <c r="Q196" s="7"/>
      <c r="R196" s="7"/>
      <c r="S196" s="7"/>
      <c r="T196" s="7"/>
      <c r="U196" s="7"/>
      <c r="V196" s="7"/>
      <c r="W196" s="7"/>
      <c r="X196" s="7"/>
    </row>
    <row r="197" ht="15.75" customHeight="1">
      <c r="A197" s="6" t="s">
        <v>48931</v>
      </c>
      <c r="B197" s="6" t="s">
        <v>3056</v>
      </c>
      <c r="C197" s="6" t="s">
        <v>42532</v>
      </c>
      <c r="D197" s="68" t="s">
        <v>48932</v>
      </c>
      <c r="E197" s="7"/>
      <c r="F197" s="7"/>
      <c r="G197" s="7"/>
      <c r="H197" s="7"/>
      <c r="I197" s="7"/>
      <c r="J197" s="7"/>
      <c r="K197" s="7"/>
      <c r="L197" s="7"/>
      <c r="M197" s="7"/>
      <c r="N197" s="7"/>
      <c r="O197" s="7"/>
      <c r="P197" s="7"/>
      <c r="Q197" s="7"/>
      <c r="R197" s="7"/>
      <c r="S197" s="7"/>
      <c r="T197" s="7"/>
      <c r="U197" s="7"/>
      <c r="V197" s="7"/>
      <c r="W197" s="7"/>
      <c r="X197" s="7"/>
    </row>
    <row r="198" ht="15.75" customHeight="1">
      <c r="A198" s="6" t="s">
        <v>48933</v>
      </c>
      <c r="B198" s="6" t="s">
        <v>8331</v>
      </c>
      <c r="C198" s="6" t="s">
        <v>42535</v>
      </c>
      <c r="D198" s="68" t="s">
        <v>48934</v>
      </c>
      <c r="E198" s="7"/>
      <c r="F198" s="7"/>
      <c r="G198" s="7"/>
      <c r="H198" s="7"/>
      <c r="I198" s="7"/>
      <c r="J198" s="7"/>
      <c r="K198" s="7"/>
      <c r="L198" s="7"/>
      <c r="M198" s="7"/>
      <c r="N198" s="7"/>
      <c r="O198" s="7"/>
      <c r="P198" s="7"/>
      <c r="Q198" s="7"/>
      <c r="R198" s="7"/>
      <c r="S198" s="7"/>
      <c r="T198" s="7"/>
      <c r="U198" s="7"/>
      <c r="V198" s="7"/>
      <c r="W198" s="7"/>
      <c r="X198" s="7"/>
    </row>
    <row r="199" ht="15.75" customHeight="1">
      <c r="A199" s="6" t="s">
        <v>48935</v>
      </c>
      <c r="B199" s="6" t="s">
        <v>8370</v>
      </c>
      <c r="C199" s="6" t="s">
        <v>42532</v>
      </c>
      <c r="D199" s="68" t="s">
        <v>48936</v>
      </c>
      <c r="E199" s="7"/>
      <c r="F199" s="7"/>
      <c r="G199" s="7"/>
      <c r="H199" s="7"/>
      <c r="I199" s="7"/>
      <c r="J199" s="7"/>
      <c r="K199" s="7"/>
      <c r="L199" s="7"/>
      <c r="M199" s="7"/>
      <c r="N199" s="7"/>
      <c r="O199" s="7"/>
      <c r="P199" s="7"/>
      <c r="Q199" s="7"/>
      <c r="R199" s="7"/>
      <c r="S199" s="7"/>
      <c r="T199" s="7"/>
      <c r="U199" s="7"/>
      <c r="V199" s="7"/>
      <c r="W199" s="7"/>
      <c r="X199" s="7"/>
    </row>
    <row r="200" ht="15.75" customHeight="1">
      <c r="A200" s="6" t="s">
        <v>48937</v>
      </c>
      <c r="B200" s="6" t="s">
        <v>8370</v>
      </c>
      <c r="C200" s="6" t="s">
        <v>42538</v>
      </c>
      <c r="D200" s="68" t="s">
        <v>48938</v>
      </c>
      <c r="E200" s="7"/>
      <c r="F200" s="7"/>
      <c r="G200" s="7"/>
      <c r="H200" s="7"/>
      <c r="I200" s="7"/>
      <c r="J200" s="7"/>
      <c r="K200" s="7"/>
      <c r="L200" s="7"/>
      <c r="M200" s="7"/>
      <c r="N200" s="7"/>
      <c r="O200" s="7"/>
      <c r="P200" s="7"/>
      <c r="Q200" s="7"/>
      <c r="R200" s="7"/>
      <c r="S200" s="7"/>
      <c r="T200" s="7"/>
      <c r="U200" s="7"/>
      <c r="V200" s="7"/>
      <c r="W200" s="7"/>
      <c r="X200" s="7"/>
    </row>
    <row r="201" ht="15.75" customHeight="1">
      <c r="A201" s="6" t="s">
        <v>48939</v>
      </c>
      <c r="B201" s="6" t="s">
        <v>8490</v>
      </c>
      <c r="C201" s="6" t="s">
        <v>42532</v>
      </c>
      <c r="D201" s="68" t="s">
        <v>48940</v>
      </c>
      <c r="E201" s="7"/>
      <c r="F201" s="7"/>
      <c r="G201" s="7"/>
      <c r="H201" s="7"/>
      <c r="I201" s="7"/>
      <c r="J201" s="7"/>
      <c r="K201" s="7"/>
      <c r="L201" s="7"/>
      <c r="M201" s="7"/>
      <c r="N201" s="7"/>
      <c r="O201" s="7"/>
      <c r="P201" s="7"/>
      <c r="Q201" s="7"/>
      <c r="R201" s="7"/>
      <c r="S201" s="7"/>
      <c r="T201" s="7"/>
      <c r="U201" s="7"/>
      <c r="V201" s="7"/>
      <c r="W201" s="7"/>
      <c r="X201" s="7"/>
    </row>
    <row r="202" ht="15.75" customHeight="1">
      <c r="A202" s="6" t="s">
        <v>48941</v>
      </c>
      <c r="B202" s="6" t="s">
        <v>8490</v>
      </c>
      <c r="C202" s="6" t="s">
        <v>42535</v>
      </c>
      <c r="D202" s="68" t="s">
        <v>48942</v>
      </c>
      <c r="E202" s="7"/>
      <c r="F202" s="7"/>
      <c r="G202" s="7"/>
      <c r="H202" s="7"/>
      <c r="I202" s="7"/>
      <c r="J202" s="7"/>
      <c r="K202" s="7"/>
      <c r="L202" s="7"/>
      <c r="M202" s="7"/>
      <c r="N202" s="7"/>
      <c r="O202" s="7"/>
      <c r="P202" s="7"/>
      <c r="Q202" s="7"/>
      <c r="R202" s="7"/>
      <c r="S202" s="7"/>
      <c r="T202" s="7"/>
      <c r="U202" s="7"/>
      <c r="V202" s="7"/>
      <c r="W202" s="7"/>
      <c r="X202" s="7"/>
    </row>
    <row r="203" ht="15.75" customHeight="1">
      <c r="A203" s="6"/>
      <c r="B203" s="6"/>
      <c r="C203" s="6"/>
      <c r="D203" s="6"/>
      <c r="E203" s="7"/>
      <c r="F203" s="7"/>
      <c r="G203" s="7"/>
      <c r="H203" s="7"/>
      <c r="I203" s="7"/>
      <c r="J203" s="7"/>
      <c r="K203" s="7"/>
      <c r="L203" s="7"/>
      <c r="M203" s="7"/>
      <c r="N203" s="7"/>
      <c r="O203" s="7"/>
      <c r="P203" s="7"/>
      <c r="Q203" s="7"/>
      <c r="R203" s="7"/>
      <c r="S203" s="7"/>
      <c r="T203" s="7"/>
      <c r="U203" s="7"/>
      <c r="V203" s="7"/>
      <c r="W203" s="7"/>
      <c r="X203" s="7"/>
    </row>
    <row r="204" ht="15.75" customHeight="1">
      <c r="A204" s="6" t="s">
        <v>48943</v>
      </c>
      <c r="B204" s="6" t="s">
        <v>8635</v>
      </c>
      <c r="C204" s="6" t="s">
        <v>42535</v>
      </c>
      <c r="D204" s="68" t="s">
        <v>48944</v>
      </c>
      <c r="E204" s="7"/>
      <c r="F204" s="7"/>
      <c r="G204" s="7"/>
      <c r="H204" s="7"/>
      <c r="I204" s="7"/>
      <c r="J204" s="7"/>
      <c r="K204" s="7"/>
      <c r="L204" s="7"/>
      <c r="M204" s="7"/>
      <c r="N204" s="7"/>
      <c r="O204" s="7"/>
      <c r="P204" s="7"/>
      <c r="Q204" s="7"/>
      <c r="R204" s="7"/>
      <c r="S204" s="7"/>
      <c r="T204" s="7"/>
      <c r="U204" s="7"/>
      <c r="V204" s="7"/>
      <c r="W204" s="7"/>
      <c r="X204" s="7"/>
    </row>
    <row r="205" ht="15.75" customHeight="1">
      <c r="A205" s="6" t="s">
        <v>48945</v>
      </c>
      <c r="B205" s="6" t="s">
        <v>8644</v>
      </c>
      <c r="C205" s="6" t="s">
        <v>42538</v>
      </c>
      <c r="D205" s="68" t="s">
        <v>48946</v>
      </c>
      <c r="E205" s="7"/>
      <c r="F205" s="7"/>
      <c r="G205" s="7"/>
      <c r="H205" s="7"/>
      <c r="I205" s="7"/>
      <c r="J205" s="7"/>
      <c r="K205" s="7"/>
      <c r="L205" s="7"/>
      <c r="M205" s="7"/>
      <c r="N205" s="7"/>
      <c r="O205" s="7"/>
      <c r="P205" s="7"/>
      <c r="Q205" s="7"/>
      <c r="R205" s="7"/>
      <c r="S205" s="7"/>
      <c r="T205" s="7"/>
      <c r="U205" s="7"/>
      <c r="V205" s="7"/>
      <c r="W205" s="7"/>
      <c r="X205" s="7"/>
    </row>
    <row r="206" ht="15.75" customHeight="1">
      <c r="A206" s="6" t="s">
        <v>48947</v>
      </c>
      <c r="B206" s="6" t="s">
        <v>1344</v>
      </c>
      <c r="C206" s="6" t="s">
        <v>10068</v>
      </c>
      <c r="D206" s="68" t="s">
        <v>48948</v>
      </c>
      <c r="E206" s="7"/>
      <c r="F206" s="7"/>
      <c r="G206" s="7"/>
      <c r="H206" s="7"/>
      <c r="I206" s="7"/>
      <c r="J206" s="7"/>
      <c r="K206" s="7"/>
      <c r="L206" s="7"/>
      <c r="M206" s="7"/>
      <c r="N206" s="7"/>
      <c r="O206" s="7"/>
      <c r="P206" s="7"/>
      <c r="Q206" s="7"/>
      <c r="R206" s="7"/>
      <c r="S206" s="7"/>
      <c r="T206" s="7"/>
      <c r="U206" s="7"/>
      <c r="V206" s="7"/>
      <c r="W206" s="7"/>
      <c r="X206" s="7"/>
    </row>
    <row r="207" ht="15.75" customHeight="1">
      <c r="A207" s="6" t="s">
        <v>48949</v>
      </c>
      <c r="B207" s="6" t="s">
        <v>1344</v>
      </c>
      <c r="C207" s="6" t="s">
        <v>42532</v>
      </c>
      <c r="D207" s="68" t="s">
        <v>48950</v>
      </c>
      <c r="E207" s="7"/>
      <c r="F207" s="7"/>
      <c r="G207" s="7"/>
      <c r="H207" s="7"/>
      <c r="I207" s="7"/>
      <c r="J207" s="7"/>
      <c r="K207" s="7"/>
      <c r="L207" s="7"/>
      <c r="M207" s="7"/>
      <c r="N207" s="7"/>
      <c r="O207" s="7"/>
      <c r="P207" s="7"/>
      <c r="Q207" s="7"/>
      <c r="R207" s="7"/>
      <c r="S207" s="7"/>
      <c r="T207" s="7"/>
      <c r="U207" s="7"/>
      <c r="V207" s="7"/>
      <c r="W207" s="7"/>
      <c r="X207" s="7"/>
    </row>
    <row r="208" ht="15.75" customHeight="1">
      <c r="A208" s="6" t="s">
        <v>48951</v>
      </c>
      <c r="B208" s="6" t="s">
        <v>2242</v>
      </c>
      <c r="C208" s="6" t="s">
        <v>42532</v>
      </c>
      <c r="D208" s="68" t="s">
        <v>48952</v>
      </c>
      <c r="E208" s="7"/>
      <c r="F208" s="7"/>
      <c r="G208" s="7"/>
      <c r="H208" s="7"/>
      <c r="I208" s="7"/>
      <c r="J208" s="7"/>
      <c r="K208" s="7"/>
      <c r="L208" s="7"/>
      <c r="M208" s="7"/>
      <c r="N208" s="7"/>
      <c r="O208" s="7"/>
      <c r="P208" s="7"/>
      <c r="Q208" s="7"/>
      <c r="R208" s="7"/>
      <c r="S208" s="7"/>
      <c r="T208" s="7"/>
      <c r="U208" s="7"/>
      <c r="V208" s="7"/>
      <c r="W208" s="7"/>
      <c r="X208" s="7"/>
    </row>
    <row r="209" ht="15.75" customHeight="1">
      <c r="A209" s="6" t="s">
        <v>48953</v>
      </c>
      <c r="B209" s="6" t="s">
        <v>2242</v>
      </c>
      <c r="C209" s="6" t="s">
        <v>10068</v>
      </c>
      <c r="D209" s="68" t="s">
        <v>48954</v>
      </c>
      <c r="E209" s="7"/>
      <c r="F209" s="7"/>
      <c r="G209" s="7"/>
      <c r="H209" s="7"/>
      <c r="I209" s="7"/>
      <c r="J209" s="7"/>
      <c r="K209" s="7"/>
      <c r="L209" s="7"/>
      <c r="M209" s="7"/>
      <c r="N209" s="7"/>
      <c r="O209" s="7"/>
      <c r="P209" s="7"/>
      <c r="Q209" s="7"/>
      <c r="R209" s="7"/>
      <c r="S209" s="7"/>
      <c r="T209" s="7"/>
      <c r="U209" s="7"/>
      <c r="V209" s="7"/>
      <c r="W209" s="7"/>
      <c r="X209" s="7"/>
    </row>
    <row r="210" ht="15.75" customHeight="1">
      <c r="A210" s="6" t="s">
        <v>48955</v>
      </c>
      <c r="B210" s="6" t="s">
        <v>3384</v>
      </c>
      <c r="C210" s="6" t="s">
        <v>42532</v>
      </c>
      <c r="D210" s="68" t="s">
        <v>48956</v>
      </c>
      <c r="E210" s="7"/>
      <c r="F210" s="7"/>
      <c r="G210" s="7"/>
      <c r="H210" s="7"/>
      <c r="I210" s="7"/>
      <c r="J210" s="7"/>
      <c r="K210" s="7"/>
      <c r="L210" s="7"/>
      <c r="M210" s="7"/>
      <c r="N210" s="7"/>
      <c r="O210" s="7"/>
      <c r="P210" s="7"/>
      <c r="Q210" s="7"/>
      <c r="R210" s="7"/>
      <c r="S210" s="7"/>
      <c r="T210" s="7"/>
      <c r="U210" s="7"/>
      <c r="V210" s="7"/>
      <c r="W210" s="7"/>
      <c r="X210" s="7"/>
    </row>
    <row r="211" ht="15.75" customHeight="1">
      <c r="A211" s="6" t="s">
        <v>48957</v>
      </c>
      <c r="B211" s="6" t="s">
        <v>3384</v>
      </c>
      <c r="C211" s="6" t="s">
        <v>10068</v>
      </c>
      <c r="D211" s="68" t="s">
        <v>48958</v>
      </c>
      <c r="E211" s="7"/>
      <c r="F211" s="7"/>
      <c r="G211" s="7"/>
      <c r="H211" s="7"/>
      <c r="I211" s="7"/>
      <c r="J211" s="7"/>
      <c r="K211" s="7"/>
      <c r="L211" s="7"/>
      <c r="M211" s="7"/>
      <c r="N211" s="7"/>
      <c r="O211" s="7"/>
      <c r="P211" s="7"/>
      <c r="Q211" s="7"/>
      <c r="R211" s="7"/>
      <c r="S211" s="7"/>
      <c r="T211" s="7"/>
      <c r="U211" s="7"/>
      <c r="V211" s="7"/>
      <c r="W211" s="7"/>
      <c r="X211" s="7"/>
    </row>
    <row r="212" ht="15.75" customHeight="1">
      <c r="A212" s="6" t="s">
        <v>48959</v>
      </c>
      <c r="B212" s="6" t="s">
        <v>9911</v>
      </c>
      <c r="C212" s="6" t="s">
        <v>42532</v>
      </c>
      <c r="D212" s="68" t="s">
        <v>48960</v>
      </c>
      <c r="E212" s="7"/>
      <c r="F212" s="7"/>
      <c r="G212" s="7"/>
      <c r="H212" s="7"/>
      <c r="I212" s="7"/>
      <c r="J212" s="7"/>
      <c r="K212" s="7"/>
      <c r="L212" s="7"/>
      <c r="M212" s="7"/>
      <c r="N212" s="7"/>
      <c r="O212" s="7"/>
      <c r="P212" s="7"/>
      <c r="Q212" s="7"/>
      <c r="R212" s="7"/>
      <c r="S212" s="7"/>
      <c r="T212" s="7"/>
      <c r="U212" s="7"/>
      <c r="V212" s="7"/>
      <c r="W212" s="7"/>
      <c r="X212" s="7"/>
    </row>
    <row r="213" ht="15.75" customHeight="1">
      <c r="A213" s="6" t="s">
        <v>48961</v>
      </c>
      <c r="B213" s="6" t="s">
        <v>9749</v>
      </c>
      <c r="C213" s="6" t="s">
        <v>42532</v>
      </c>
      <c r="D213" s="68" t="s">
        <v>48962</v>
      </c>
      <c r="E213" s="7"/>
      <c r="F213" s="7"/>
      <c r="G213" s="7"/>
      <c r="H213" s="7"/>
      <c r="I213" s="7"/>
      <c r="J213" s="7"/>
      <c r="K213" s="7"/>
      <c r="L213" s="7"/>
      <c r="M213" s="7"/>
      <c r="N213" s="7"/>
      <c r="O213" s="7"/>
      <c r="P213" s="7"/>
      <c r="Q213" s="7"/>
      <c r="R213" s="7"/>
      <c r="S213" s="7"/>
      <c r="T213" s="7"/>
      <c r="U213" s="7"/>
      <c r="V213" s="7"/>
      <c r="W213" s="7"/>
      <c r="X213" s="7"/>
    </row>
    <row r="214" ht="15.75" customHeight="1">
      <c r="A214" s="6"/>
      <c r="B214" s="6"/>
      <c r="C214" s="6"/>
      <c r="D214" s="6"/>
      <c r="E214" s="7"/>
      <c r="F214" s="7"/>
      <c r="G214" s="7"/>
      <c r="H214" s="7"/>
      <c r="I214" s="7"/>
      <c r="J214" s="7"/>
      <c r="K214" s="7"/>
      <c r="L214" s="7"/>
      <c r="M214" s="7"/>
      <c r="N214" s="7"/>
      <c r="O214" s="7"/>
      <c r="P214" s="7"/>
      <c r="Q214" s="7"/>
      <c r="R214" s="7"/>
      <c r="S214" s="7"/>
      <c r="T214" s="7"/>
      <c r="U214" s="7"/>
      <c r="V214" s="7"/>
      <c r="W214" s="7"/>
      <c r="X214" s="7"/>
    </row>
    <row r="215" ht="15.75" customHeight="1">
      <c r="A215" s="6" t="s">
        <v>48963</v>
      </c>
      <c r="B215" s="6" t="s">
        <v>3744</v>
      </c>
      <c r="C215" s="6" t="s">
        <v>42543</v>
      </c>
      <c r="D215" s="68" t="s">
        <v>48964</v>
      </c>
      <c r="E215" s="7"/>
      <c r="F215" s="7"/>
      <c r="G215" s="7"/>
      <c r="H215" s="7"/>
      <c r="I215" s="7"/>
      <c r="J215" s="7"/>
      <c r="K215" s="7"/>
      <c r="L215" s="7"/>
      <c r="M215" s="7"/>
      <c r="N215" s="7"/>
      <c r="O215" s="7"/>
      <c r="P215" s="7"/>
      <c r="Q215" s="7"/>
      <c r="R215" s="7"/>
      <c r="S215" s="7"/>
      <c r="T215" s="7"/>
      <c r="U215" s="7"/>
      <c r="V215" s="7"/>
      <c r="W215" s="7"/>
      <c r="X215" s="7"/>
    </row>
    <row r="216" ht="15.75" customHeight="1">
      <c r="A216" s="6" t="s">
        <v>48965</v>
      </c>
      <c r="B216" s="6" t="s">
        <v>3744</v>
      </c>
      <c r="C216" s="6" t="s">
        <v>42532</v>
      </c>
      <c r="D216" s="68" t="s">
        <v>48966</v>
      </c>
      <c r="E216" s="7"/>
      <c r="F216" s="7"/>
      <c r="G216" s="7"/>
      <c r="H216" s="7"/>
      <c r="I216" s="7"/>
      <c r="J216" s="7"/>
      <c r="K216" s="7"/>
      <c r="L216" s="7"/>
      <c r="M216" s="7"/>
      <c r="N216" s="7"/>
      <c r="O216" s="7"/>
      <c r="P216" s="7"/>
      <c r="Q216" s="7"/>
      <c r="R216" s="7"/>
      <c r="S216" s="7"/>
      <c r="T216" s="7"/>
      <c r="U216" s="7"/>
      <c r="V216" s="7"/>
      <c r="W216" s="7"/>
      <c r="X216" s="7"/>
    </row>
    <row r="217" ht="15.75" customHeight="1">
      <c r="A217" s="6" t="s">
        <v>48967</v>
      </c>
      <c r="B217" s="6" t="s">
        <v>3744</v>
      </c>
      <c r="C217" s="6" t="s">
        <v>10068</v>
      </c>
      <c r="D217" s="68" t="s">
        <v>48968</v>
      </c>
      <c r="E217" s="7"/>
      <c r="F217" s="7"/>
      <c r="G217" s="7"/>
      <c r="H217" s="7"/>
      <c r="I217" s="7"/>
      <c r="J217" s="7"/>
      <c r="K217" s="7"/>
      <c r="L217" s="7"/>
      <c r="M217" s="7"/>
      <c r="N217" s="7"/>
      <c r="O217" s="7"/>
      <c r="P217" s="7"/>
      <c r="Q217" s="7"/>
      <c r="R217" s="7"/>
      <c r="S217" s="7"/>
      <c r="T217" s="7"/>
      <c r="U217" s="7"/>
      <c r="V217" s="7"/>
      <c r="W217" s="7"/>
      <c r="X217" s="7"/>
    </row>
    <row r="218" ht="15.75" customHeight="1">
      <c r="A218" s="6" t="s">
        <v>48969</v>
      </c>
      <c r="B218" s="6" t="s">
        <v>4521</v>
      </c>
      <c r="C218" s="6" t="s">
        <v>42532</v>
      </c>
      <c r="D218" s="68" t="s">
        <v>48970</v>
      </c>
      <c r="E218" s="7"/>
      <c r="F218" s="7"/>
      <c r="G218" s="7"/>
      <c r="H218" s="7"/>
      <c r="I218" s="7"/>
      <c r="J218" s="7"/>
      <c r="K218" s="7"/>
      <c r="L218" s="7"/>
      <c r="M218" s="7"/>
      <c r="N218" s="7"/>
      <c r="O218" s="7"/>
      <c r="P218" s="7"/>
      <c r="Q218" s="7"/>
      <c r="R218" s="7"/>
      <c r="S218" s="7"/>
      <c r="T218" s="7"/>
      <c r="U218" s="7"/>
      <c r="V218" s="7"/>
      <c r="W218" s="7"/>
      <c r="X218" s="7"/>
    </row>
    <row r="219" ht="15.75" customHeight="1">
      <c r="A219" s="6" t="s">
        <v>48971</v>
      </c>
      <c r="B219" s="6" t="s">
        <v>4838</v>
      </c>
      <c r="C219" s="6" t="s">
        <v>10068</v>
      </c>
      <c r="D219" s="68" t="s">
        <v>48972</v>
      </c>
      <c r="E219" s="7"/>
      <c r="F219" s="7"/>
      <c r="G219" s="7"/>
      <c r="H219" s="7"/>
      <c r="I219" s="7"/>
      <c r="J219" s="7"/>
      <c r="K219" s="7"/>
      <c r="L219" s="7"/>
      <c r="M219" s="7"/>
      <c r="N219" s="7"/>
      <c r="O219" s="7"/>
      <c r="P219" s="7"/>
      <c r="Q219" s="7"/>
      <c r="R219" s="7"/>
      <c r="S219" s="7"/>
      <c r="T219" s="7"/>
      <c r="U219" s="7"/>
      <c r="V219" s="7"/>
      <c r="W219" s="7"/>
      <c r="X219" s="7"/>
    </row>
    <row r="220" ht="15.75" customHeight="1">
      <c r="A220" s="6" t="s">
        <v>48973</v>
      </c>
      <c r="B220" s="6" t="s">
        <v>5119</v>
      </c>
      <c r="C220" s="6" t="s">
        <v>42532</v>
      </c>
      <c r="D220" s="68" t="s">
        <v>48974</v>
      </c>
      <c r="E220" s="7"/>
      <c r="F220" s="7"/>
      <c r="G220" s="7"/>
      <c r="H220" s="7"/>
      <c r="I220" s="7"/>
      <c r="J220" s="7"/>
      <c r="K220" s="7"/>
      <c r="L220" s="7"/>
      <c r="M220" s="7"/>
      <c r="N220" s="7"/>
      <c r="O220" s="7"/>
      <c r="P220" s="7"/>
      <c r="Q220" s="7"/>
      <c r="R220" s="7"/>
      <c r="S220" s="7"/>
      <c r="T220" s="7"/>
      <c r="U220" s="7"/>
      <c r="V220" s="7"/>
      <c r="W220" s="7"/>
      <c r="X220" s="7"/>
    </row>
    <row r="221" ht="15.75" customHeight="1">
      <c r="A221" s="9" t="s">
        <v>48975</v>
      </c>
      <c r="B221" s="9" t="s">
        <v>5314</v>
      </c>
      <c r="C221" s="9" t="s">
        <v>42532</v>
      </c>
      <c r="D221" s="8" t="s">
        <v>48976</v>
      </c>
    </row>
    <row r="222" ht="15.75" customHeight="1">
      <c r="A222" s="9" t="s">
        <v>48977</v>
      </c>
      <c r="B222" s="9" t="s">
        <v>9087</v>
      </c>
      <c r="C222" s="9" t="s">
        <v>42532</v>
      </c>
      <c r="D222" s="8" t="s">
        <v>48978</v>
      </c>
    </row>
    <row r="223" ht="15.75" customHeight="1">
      <c r="A223" s="9" t="s">
        <v>48979</v>
      </c>
      <c r="B223" s="9" t="s">
        <v>6094</v>
      </c>
      <c r="C223" s="9" t="s">
        <v>10068</v>
      </c>
      <c r="D223" s="8" t="s">
        <v>48980</v>
      </c>
    </row>
    <row r="224" ht="15.75" customHeight="1">
      <c r="A224" s="9" t="s">
        <v>48981</v>
      </c>
      <c r="B224" s="9" t="s">
        <v>7231</v>
      </c>
      <c r="C224" s="9" t="s">
        <v>42532</v>
      </c>
      <c r="D224" s="8" t="s">
        <v>48982</v>
      </c>
    </row>
    <row r="225" ht="15.75" customHeight="1">
      <c r="A225" s="9" t="s">
        <v>48983</v>
      </c>
      <c r="B225" s="9" t="s">
        <v>7537</v>
      </c>
      <c r="C225" s="9" t="s">
        <v>10068</v>
      </c>
      <c r="D225" s="8" t="s">
        <v>48984</v>
      </c>
    </row>
    <row r="226" ht="15.75" customHeight="1">
      <c r="A226" s="9" t="s">
        <v>48985</v>
      </c>
      <c r="B226" s="9" t="s">
        <v>7537</v>
      </c>
      <c r="C226" s="9" t="s">
        <v>42532</v>
      </c>
      <c r="D226" s="8" t="s">
        <v>48986</v>
      </c>
    </row>
    <row r="227" ht="15.75" customHeight="1">
      <c r="A227" s="9" t="s">
        <v>48987</v>
      </c>
      <c r="B227" s="9" t="s">
        <v>5808</v>
      </c>
      <c r="C227" s="9" t="s">
        <v>42532</v>
      </c>
      <c r="D227" s="8" t="s">
        <v>48988</v>
      </c>
    </row>
    <row r="228" ht="15.75" customHeight="1">
      <c r="A228" s="52" t="s">
        <v>48989</v>
      </c>
      <c r="B228" s="9" t="s">
        <v>1546</v>
      </c>
      <c r="C228" s="9" t="s">
        <v>42532</v>
      </c>
      <c r="D228" s="8" t="s">
        <v>48990</v>
      </c>
    </row>
    <row r="229" ht="15.75" customHeight="1">
      <c r="A229" s="9" t="s">
        <v>48991</v>
      </c>
      <c r="B229" s="9" t="s">
        <v>8644</v>
      </c>
      <c r="C229" s="9" t="s">
        <v>42532</v>
      </c>
      <c r="D229" s="8" t="s">
        <v>48992</v>
      </c>
    </row>
    <row r="230" ht="15.75" customHeight="1">
      <c r="A230" s="9" t="s">
        <v>48993</v>
      </c>
      <c r="B230" s="9" t="s">
        <v>12085</v>
      </c>
      <c r="C230" s="9" t="s">
        <v>42535</v>
      </c>
      <c r="D230" s="8" t="s">
        <v>48994</v>
      </c>
    </row>
    <row r="231" ht="15.75" customHeight="1">
      <c r="A231" s="9" t="s">
        <v>48995</v>
      </c>
      <c r="B231" s="9" t="s">
        <v>11788</v>
      </c>
      <c r="C231" s="9" t="s">
        <v>42532</v>
      </c>
      <c r="D231" s="8" t="s">
        <v>48996</v>
      </c>
    </row>
    <row r="232" ht="15.75" customHeight="1">
      <c r="A232" s="9" t="s">
        <v>48997</v>
      </c>
      <c r="B232" s="9" t="s">
        <v>8430</v>
      </c>
      <c r="C232" s="9" t="s">
        <v>42532</v>
      </c>
      <c r="D232" s="8" t="s">
        <v>48998</v>
      </c>
    </row>
    <row r="233" ht="15.75" customHeight="1">
      <c r="A233" s="9" t="s">
        <v>48999</v>
      </c>
      <c r="B233" s="9" t="s">
        <v>8430</v>
      </c>
      <c r="C233" s="9" t="s">
        <v>10068</v>
      </c>
      <c r="D233" s="8" t="s">
        <v>49000</v>
      </c>
    </row>
    <row r="234" ht="15.75" customHeight="1">
      <c r="A234" s="9" t="s">
        <v>49001</v>
      </c>
      <c r="B234" s="9" t="s">
        <v>8558</v>
      </c>
      <c r="C234" s="9" t="s">
        <v>42535</v>
      </c>
      <c r="D234" s="8" t="s">
        <v>49002</v>
      </c>
    </row>
    <row r="235" ht="15.75" customHeight="1">
      <c r="A235" s="9" t="s">
        <v>49003</v>
      </c>
      <c r="B235" s="9" t="s">
        <v>3864</v>
      </c>
      <c r="C235" s="9" t="s">
        <v>42543</v>
      </c>
      <c r="D235" s="8" t="s">
        <v>49004</v>
      </c>
    </row>
    <row r="236" ht="15.75" customHeight="1">
      <c r="A236" s="9" t="s">
        <v>49005</v>
      </c>
      <c r="B236" s="9" t="s">
        <v>5314</v>
      </c>
      <c r="C236" s="9" t="s">
        <v>42543</v>
      </c>
      <c r="D236" s="8" t="s">
        <v>49006</v>
      </c>
    </row>
    <row r="237" ht="15.75" customHeight="1">
      <c r="A237" s="52" t="s">
        <v>49007</v>
      </c>
      <c r="B237" s="9" t="s">
        <v>7240</v>
      </c>
      <c r="C237" s="9" t="s">
        <v>42532</v>
      </c>
      <c r="D237" s="8" t="s">
        <v>49008</v>
      </c>
    </row>
    <row r="238" ht="15.75" customHeight="1">
      <c r="A238" s="9" t="s">
        <v>49009</v>
      </c>
      <c r="B238" s="9" t="s">
        <v>7565</v>
      </c>
      <c r="C238" s="9" t="s">
        <v>42532</v>
      </c>
      <c r="D238" s="8" t="s">
        <v>49010</v>
      </c>
    </row>
    <row r="239" ht="15.75" customHeight="1">
      <c r="A239" s="9" t="s">
        <v>49011</v>
      </c>
      <c r="B239" s="9" t="s">
        <v>7612</v>
      </c>
      <c r="C239" s="9" t="s">
        <v>42532</v>
      </c>
      <c r="D239" s="8" t="s">
        <v>49012</v>
      </c>
    </row>
    <row r="240" ht="15.75" customHeight="1">
      <c r="A240" s="9" t="s">
        <v>49013</v>
      </c>
      <c r="B240" s="9" t="s">
        <v>7667</v>
      </c>
      <c r="C240" s="9" t="s">
        <v>10068</v>
      </c>
      <c r="D240" s="8" t="s">
        <v>49014</v>
      </c>
    </row>
    <row r="241" ht="15.75" customHeight="1">
      <c r="A241" s="9" t="s">
        <v>49015</v>
      </c>
      <c r="B241" s="9" t="s">
        <v>7667</v>
      </c>
      <c r="C241" s="9" t="s">
        <v>42532</v>
      </c>
      <c r="D241" s="8" t="s">
        <v>49016</v>
      </c>
    </row>
    <row r="242" ht="15.75" customHeight="1">
      <c r="A242" s="9" t="s">
        <v>49017</v>
      </c>
      <c r="B242" s="9" t="s">
        <v>7879</v>
      </c>
      <c r="C242" s="9" t="s">
        <v>10068</v>
      </c>
      <c r="D242" s="8" t="s">
        <v>49018</v>
      </c>
    </row>
    <row r="243" ht="15.75" customHeight="1">
      <c r="A243" s="9" t="s">
        <v>49019</v>
      </c>
      <c r="B243" s="9" t="s">
        <v>7879</v>
      </c>
      <c r="C243" s="9" t="s">
        <v>42532</v>
      </c>
      <c r="D243" s="8" t="s">
        <v>49020</v>
      </c>
    </row>
    <row r="244" ht="15.75" customHeight="1">
      <c r="A244" s="9" t="s">
        <v>49021</v>
      </c>
      <c r="B244" s="9" t="s">
        <v>7879</v>
      </c>
      <c r="C244" s="9" t="s">
        <v>42543</v>
      </c>
      <c r="D244" s="8" t="s">
        <v>49022</v>
      </c>
    </row>
    <row r="245" ht="15.75" customHeight="1">
      <c r="A245" s="9" t="s">
        <v>49023</v>
      </c>
      <c r="B245" s="9" t="s">
        <v>9778</v>
      </c>
      <c r="C245" s="9" t="s">
        <v>42543</v>
      </c>
      <c r="D245" s="8" t="s">
        <v>49024</v>
      </c>
    </row>
    <row r="246" ht="15.75" customHeight="1">
      <c r="A246" s="9" t="s">
        <v>49025</v>
      </c>
      <c r="B246" s="9" t="s">
        <v>1880</v>
      </c>
      <c r="C246" s="9" t="s">
        <v>42532</v>
      </c>
      <c r="D246" s="8" t="s">
        <v>1883</v>
      </c>
    </row>
    <row r="247" ht="15.75" customHeight="1">
      <c r="A247" s="52" t="s">
        <v>49026</v>
      </c>
      <c r="B247" s="9" t="s">
        <v>1880</v>
      </c>
      <c r="C247" s="9" t="s">
        <v>10068</v>
      </c>
      <c r="D247" s="8" t="s">
        <v>49027</v>
      </c>
    </row>
    <row r="248" ht="15.75" customHeight="1">
      <c r="A248" s="9" t="s">
        <v>49028</v>
      </c>
      <c r="B248" s="9" t="s">
        <v>5129</v>
      </c>
      <c r="C248" s="9" t="s">
        <v>42532</v>
      </c>
      <c r="D248" s="8" t="s">
        <v>49029</v>
      </c>
    </row>
    <row r="249" ht="15.75" customHeight="1">
      <c r="A249" s="52" t="s">
        <v>49030</v>
      </c>
      <c r="B249" s="9" t="s">
        <v>5129</v>
      </c>
      <c r="C249" s="9" t="s">
        <v>10068</v>
      </c>
      <c r="D249" s="8" t="s">
        <v>49031</v>
      </c>
    </row>
    <row r="250" ht="15.75" customHeight="1">
      <c r="A250" s="9" t="s">
        <v>49032</v>
      </c>
      <c r="B250" s="9" t="s">
        <v>6049</v>
      </c>
      <c r="C250" s="9" t="s">
        <v>42532</v>
      </c>
      <c r="D250" s="8" t="s">
        <v>49033</v>
      </c>
    </row>
    <row r="251" ht="15.75" customHeight="1">
      <c r="A251" s="9" t="s">
        <v>49034</v>
      </c>
      <c r="B251" s="9" t="s">
        <v>6049</v>
      </c>
      <c r="C251" s="9" t="s">
        <v>10068</v>
      </c>
      <c r="D251" s="8" t="s">
        <v>49035</v>
      </c>
    </row>
    <row r="252" ht="15.75" customHeight="1">
      <c r="A252" s="9" t="s">
        <v>49036</v>
      </c>
      <c r="B252" s="9" t="s">
        <v>643</v>
      </c>
      <c r="C252" s="9" t="s">
        <v>10068</v>
      </c>
      <c r="D252" s="8" t="s">
        <v>49037</v>
      </c>
    </row>
    <row r="253" ht="15.75" customHeight="1">
      <c r="A253" s="9" t="s">
        <v>49038</v>
      </c>
      <c r="B253" s="9" t="s">
        <v>643</v>
      </c>
      <c r="C253" s="9" t="s">
        <v>42532</v>
      </c>
      <c r="D253" s="8" t="s">
        <v>49039</v>
      </c>
    </row>
    <row r="254" ht="15.75" customHeight="1">
      <c r="A254" s="9" t="s">
        <v>49040</v>
      </c>
      <c r="B254" s="9" t="s">
        <v>3827</v>
      </c>
      <c r="C254" s="9" t="s">
        <v>42532</v>
      </c>
      <c r="D254" s="8" t="s">
        <v>49041</v>
      </c>
    </row>
    <row r="255" ht="15.75" customHeight="1">
      <c r="A255" s="9" t="s">
        <v>49042</v>
      </c>
      <c r="B255" s="9" t="s">
        <v>3827</v>
      </c>
      <c r="C255" s="9" t="s">
        <v>10068</v>
      </c>
      <c r="D255" s="8" t="s">
        <v>49043</v>
      </c>
    </row>
    <row r="256" ht="15.75" customHeight="1">
      <c r="A256" s="9" t="s">
        <v>49044</v>
      </c>
      <c r="B256" s="9" t="s">
        <v>6620</v>
      </c>
      <c r="C256" s="9" t="s">
        <v>42543</v>
      </c>
      <c r="D256" s="8" t="s">
        <v>49045</v>
      </c>
    </row>
    <row r="257" ht="15.75" customHeight="1">
      <c r="A257" s="9" t="s">
        <v>49046</v>
      </c>
      <c r="B257" s="9" t="s">
        <v>6620</v>
      </c>
      <c r="C257" s="9" t="s">
        <v>10068</v>
      </c>
      <c r="D257" s="8" t="s">
        <v>49047</v>
      </c>
    </row>
    <row r="258" ht="15.75" customHeight="1">
      <c r="A258" s="9" t="s">
        <v>49048</v>
      </c>
      <c r="B258" s="9" t="s">
        <v>6620</v>
      </c>
      <c r="C258" s="9" t="s">
        <v>42532</v>
      </c>
      <c r="D258" s="8" t="s">
        <v>49049</v>
      </c>
    </row>
    <row r="259" ht="15.75" customHeight="1">
      <c r="A259" s="9" t="s">
        <v>49050</v>
      </c>
      <c r="B259" s="9" t="s">
        <v>9868</v>
      </c>
      <c r="C259" s="9" t="s">
        <v>42532</v>
      </c>
      <c r="D259" s="8" t="s">
        <v>49051</v>
      </c>
    </row>
    <row r="260" ht="15.75" customHeight="1">
      <c r="A260" s="9" t="s">
        <v>49052</v>
      </c>
      <c r="B260" s="9" t="s">
        <v>7495</v>
      </c>
      <c r="C260" s="9" t="s">
        <v>10068</v>
      </c>
      <c r="D260" s="8" t="s">
        <v>49053</v>
      </c>
    </row>
    <row r="261" ht="15.75" customHeight="1">
      <c r="A261" s="9"/>
      <c r="B261" s="9"/>
      <c r="C261" s="9"/>
      <c r="D261" s="9"/>
    </row>
    <row r="262" ht="15.75" customHeight="1">
      <c r="A262" s="9" t="s">
        <v>49054</v>
      </c>
      <c r="B262" s="9" t="s">
        <v>7315</v>
      </c>
      <c r="C262" s="9" t="s">
        <v>42543</v>
      </c>
      <c r="D262" s="8" t="s">
        <v>49055</v>
      </c>
    </row>
    <row r="263" ht="15.75" customHeight="1">
      <c r="A263" s="9" t="s">
        <v>49056</v>
      </c>
      <c r="B263" s="9" t="s">
        <v>7315</v>
      </c>
      <c r="C263" s="9" t="s">
        <v>10068</v>
      </c>
      <c r="D263" s="8" t="s">
        <v>49057</v>
      </c>
    </row>
    <row r="264" ht="15.75" customHeight="1">
      <c r="A264" s="9" t="s">
        <v>49058</v>
      </c>
      <c r="B264" s="9" t="s">
        <v>3889</v>
      </c>
      <c r="C264" s="9" t="s">
        <v>42532</v>
      </c>
      <c r="D264" s="8" t="s">
        <v>49059</v>
      </c>
    </row>
    <row r="265" ht="15.75" customHeight="1">
      <c r="A265" s="9" t="s">
        <v>49060</v>
      </c>
      <c r="B265" s="9" t="s">
        <v>3889</v>
      </c>
      <c r="C265" s="9" t="s">
        <v>42543</v>
      </c>
      <c r="D265" s="8" t="s">
        <v>49061</v>
      </c>
    </row>
    <row r="266" ht="15.75" customHeight="1">
      <c r="A266" s="9" t="s">
        <v>49062</v>
      </c>
      <c r="B266" s="9" t="s">
        <v>3889</v>
      </c>
      <c r="C266" s="9" t="s">
        <v>10068</v>
      </c>
      <c r="D266" s="8" t="s">
        <v>49063</v>
      </c>
    </row>
    <row r="267" ht="15.75" customHeight="1">
      <c r="A267" s="9" t="s">
        <v>49064</v>
      </c>
      <c r="B267" s="9" t="s">
        <v>931</v>
      </c>
      <c r="C267" s="9" t="s">
        <v>42532</v>
      </c>
      <c r="D267" s="8" t="s">
        <v>49065</v>
      </c>
    </row>
    <row r="268" ht="15.75" customHeight="1">
      <c r="A268" s="9" t="s">
        <v>49066</v>
      </c>
      <c r="B268" s="9" t="s">
        <v>862</v>
      </c>
      <c r="C268" s="9" t="s">
        <v>42532</v>
      </c>
      <c r="D268" s="8" t="s">
        <v>49067</v>
      </c>
    </row>
    <row r="269" ht="15.75" customHeight="1">
      <c r="A269" s="9" t="s">
        <v>49068</v>
      </c>
      <c r="B269" s="9" t="s">
        <v>2471</v>
      </c>
      <c r="C269" s="9" t="s">
        <v>10068</v>
      </c>
      <c r="D269" s="8" t="s">
        <v>49069</v>
      </c>
    </row>
    <row r="270" ht="15.75" customHeight="1">
      <c r="A270" s="9" t="s">
        <v>49070</v>
      </c>
      <c r="B270" s="9" t="s">
        <v>2471</v>
      </c>
      <c r="C270" s="9" t="s">
        <v>42532</v>
      </c>
      <c r="D270" s="8" t="s">
        <v>49071</v>
      </c>
    </row>
    <row r="271" ht="15.75" customHeight="1">
      <c r="A271" s="9" t="s">
        <v>49072</v>
      </c>
      <c r="B271" s="9" t="s">
        <v>2545</v>
      </c>
      <c r="C271" s="9" t="s">
        <v>10068</v>
      </c>
      <c r="D271" s="8" t="s">
        <v>49073</v>
      </c>
    </row>
    <row r="272" ht="15.75" customHeight="1">
      <c r="A272" s="9" t="s">
        <v>49074</v>
      </c>
      <c r="B272" s="9" t="s">
        <v>1594</v>
      </c>
      <c r="C272" s="9" t="s">
        <v>42532</v>
      </c>
      <c r="D272" s="8" t="s">
        <v>49075</v>
      </c>
    </row>
    <row r="273" ht="15.75" customHeight="1">
      <c r="A273" s="9" t="s">
        <v>49076</v>
      </c>
      <c r="B273" s="9" t="s">
        <v>1594</v>
      </c>
      <c r="C273" s="9" t="s">
        <v>10068</v>
      </c>
      <c r="D273" s="8" t="s">
        <v>49077</v>
      </c>
    </row>
    <row r="274" ht="15.75" customHeight="1">
      <c r="A274" s="9" t="s">
        <v>49078</v>
      </c>
      <c r="B274" s="9" t="s">
        <v>3040</v>
      </c>
      <c r="C274" s="9" t="s">
        <v>42532</v>
      </c>
      <c r="D274" s="8" t="s">
        <v>49079</v>
      </c>
    </row>
    <row r="275" ht="15.75" customHeight="1">
      <c r="A275" s="9" t="s">
        <v>49080</v>
      </c>
      <c r="B275" s="9" t="s">
        <v>6071</v>
      </c>
      <c r="C275" s="9" t="s">
        <v>42532</v>
      </c>
      <c r="D275" s="8" t="s">
        <v>49081</v>
      </c>
    </row>
    <row r="276" ht="15.75" customHeight="1">
      <c r="A276" s="9" t="s">
        <v>49082</v>
      </c>
      <c r="B276" s="9" t="s">
        <v>6292</v>
      </c>
      <c r="C276" s="9" t="s">
        <v>42532</v>
      </c>
      <c r="D276" s="8" t="s">
        <v>49083</v>
      </c>
    </row>
    <row r="277" ht="15.75" customHeight="1">
      <c r="A277" s="9" t="s">
        <v>49084</v>
      </c>
      <c r="B277" s="9" t="s">
        <v>4568</v>
      </c>
      <c r="C277" s="9" t="s">
        <v>10068</v>
      </c>
      <c r="D277" s="8" t="s">
        <v>49085</v>
      </c>
    </row>
    <row r="278" ht="15.75" customHeight="1">
      <c r="A278" s="9" t="s">
        <v>49086</v>
      </c>
      <c r="B278" s="9" t="s">
        <v>4568</v>
      </c>
      <c r="C278" s="9" t="s">
        <v>42532</v>
      </c>
      <c r="D278" s="8" t="s">
        <v>49087</v>
      </c>
    </row>
    <row r="279" ht="15.75" customHeight="1">
      <c r="A279" s="9" t="s">
        <v>49088</v>
      </c>
      <c r="B279" s="9" t="s">
        <v>4568</v>
      </c>
      <c r="C279" s="9" t="s">
        <v>42543</v>
      </c>
      <c r="D279" s="8" t="s">
        <v>49089</v>
      </c>
    </row>
    <row r="280" ht="15.75" customHeight="1">
      <c r="A280" s="9" t="s">
        <v>49090</v>
      </c>
      <c r="B280" s="9" t="s">
        <v>6159</v>
      </c>
      <c r="C280" s="9" t="s">
        <v>42532</v>
      </c>
      <c r="D280" s="8" t="s">
        <v>49091</v>
      </c>
    </row>
    <row r="281" ht="15.75" customHeight="1">
      <c r="A281" s="9" t="s">
        <v>49092</v>
      </c>
      <c r="B281" s="9" t="s">
        <v>6159</v>
      </c>
      <c r="C281" s="9" t="s">
        <v>10068</v>
      </c>
      <c r="D281" s="8" t="s">
        <v>49093</v>
      </c>
    </row>
    <row r="282" ht="15.75" customHeight="1">
      <c r="A282" s="9" t="s">
        <v>49094</v>
      </c>
      <c r="B282" s="9" t="s">
        <v>11849</v>
      </c>
      <c r="C282" s="9" t="s">
        <v>42543</v>
      </c>
      <c r="D282" s="8" t="s">
        <v>49095</v>
      </c>
    </row>
    <row r="283" ht="15.75" customHeight="1">
      <c r="A283" s="9" t="s">
        <v>49096</v>
      </c>
      <c r="B283" s="9" t="s">
        <v>1150</v>
      </c>
      <c r="C283" s="9" t="s">
        <v>42532</v>
      </c>
      <c r="D283" s="8" t="s">
        <v>49097</v>
      </c>
    </row>
    <row r="284" ht="15.75" customHeight="1">
      <c r="A284" s="9" t="s">
        <v>49098</v>
      </c>
      <c r="B284" s="9" t="s">
        <v>10141</v>
      </c>
      <c r="C284" s="9" t="s">
        <v>42532</v>
      </c>
      <c r="D284" s="8" t="s">
        <v>49099</v>
      </c>
    </row>
    <row r="285" ht="15.75" customHeight="1">
      <c r="A285" s="9" t="s">
        <v>49100</v>
      </c>
      <c r="B285" s="9" t="s">
        <v>9329</v>
      </c>
      <c r="C285" s="9" t="s">
        <v>42532</v>
      </c>
      <c r="D285" s="8" t="s">
        <v>49101</v>
      </c>
    </row>
    <row r="286" ht="15.75" customHeight="1">
      <c r="A286" s="9" t="s">
        <v>49102</v>
      </c>
      <c r="B286" s="9" t="s">
        <v>7889</v>
      </c>
      <c r="C286" s="9" t="s">
        <v>10068</v>
      </c>
      <c r="D286" s="8" t="s">
        <v>49103</v>
      </c>
    </row>
    <row r="287" ht="15.75" customHeight="1">
      <c r="A287" s="9" t="s">
        <v>49104</v>
      </c>
      <c r="B287" s="9" t="s">
        <v>1530</v>
      </c>
      <c r="C287" s="9" t="s">
        <v>10068</v>
      </c>
      <c r="D287" s="8" t="s">
        <v>49105</v>
      </c>
    </row>
    <row r="288" ht="15.75" customHeight="1">
      <c r="A288" s="9" t="s">
        <v>49106</v>
      </c>
      <c r="B288" s="9" t="s">
        <v>12172</v>
      </c>
      <c r="C288" s="9" t="s">
        <v>42543</v>
      </c>
      <c r="D288" s="8" t="s">
        <v>49107</v>
      </c>
    </row>
    <row r="289" ht="15.75" customHeight="1">
      <c r="A289" s="9" t="s">
        <v>49108</v>
      </c>
      <c r="B289" s="9" t="s">
        <v>12172</v>
      </c>
      <c r="C289" s="9" t="s">
        <v>42532</v>
      </c>
      <c r="D289" s="8" t="s">
        <v>49109</v>
      </c>
    </row>
    <row r="290" ht="15.75" customHeight="1">
      <c r="A290" s="9" t="s">
        <v>49110</v>
      </c>
      <c r="B290" s="9" t="s">
        <v>6908</v>
      </c>
      <c r="C290" s="9" t="s">
        <v>10068</v>
      </c>
      <c r="D290" s="8" t="s">
        <v>49111</v>
      </c>
    </row>
    <row r="291" ht="15.75" customHeight="1">
      <c r="A291" s="9" t="s">
        <v>49112</v>
      </c>
      <c r="B291" s="9" t="s">
        <v>5676</v>
      </c>
      <c r="C291" s="9" t="s">
        <v>42532</v>
      </c>
      <c r="D291" s="8" t="s">
        <v>49113</v>
      </c>
    </row>
    <row r="292" ht="15.75" customHeight="1">
      <c r="A292" s="9" t="s">
        <v>49114</v>
      </c>
      <c r="B292" s="9" t="s">
        <v>2483</v>
      </c>
      <c r="C292" s="9" t="s">
        <v>42532</v>
      </c>
      <c r="D292" s="8" t="s">
        <v>49115</v>
      </c>
    </row>
    <row r="293" ht="15.75" customHeight="1">
      <c r="A293" s="9" t="s">
        <v>49116</v>
      </c>
      <c r="B293" s="9" t="s">
        <v>2483</v>
      </c>
      <c r="C293" s="9" t="s">
        <v>10068</v>
      </c>
      <c r="D293" s="8" t="s">
        <v>49117</v>
      </c>
    </row>
    <row r="294" ht="15.75" customHeight="1">
      <c r="A294" s="9" t="s">
        <v>49118</v>
      </c>
      <c r="B294" s="9" t="s">
        <v>2181</v>
      </c>
      <c r="C294" s="9" t="s">
        <v>42532</v>
      </c>
      <c r="D294" s="8" t="s">
        <v>49119</v>
      </c>
    </row>
    <row r="295" ht="15.75" customHeight="1">
      <c r="A295" s="9" t="s">
        <v>49120</v>
      </c>
      <c r="B295" s="9" t="s">
        <v>2181</v>
      </c>
      <c r="C295" s="9" t="s">
        <v>10068</v>
      </c>
      <c r="D295" s="8" t="s">
        <v>49121</v>
      </c>
    </row>
    <row r="296" ht="15.75" customHeight="1">
      <c r="A296" s="9" t="s">
        <v>49122</v>
      </c>
      <c r="B296" s="9" t="s">
        <v>6209</v>
      </c>
      <c r="C296" s="9" t="s">
        <v>10068</v>
      </c>
      <c r="D296" s="8" t="s">
        <v>49123</v>
      </c>
    </row>
    <row r="297" ht="15.75" customHeight="1">
      <c r="A297" s="9" t="s">
        <v>49124</v>
      </c>
      <c r="B297" s="9" t="s">
        <v>5728</v>
      </c>
      <c r="C297" s="9" t="s">
        <v>10068</v>
      </c>
      <c r="D297" s="8" t="s">
        <v>49125</v>
      </c>
    </row>
    <row r="298" ht="15.75" customHeight="1">
      <c r="A298" s="9"/>
      <c r="B298" s="9"/>
      <c r="C298" s="9"/>
      <c r="D298" s="9"/>
    </row>
    <row r="299" ht="15.75" customHeight="1">
      <c r="A299" s="9" t="s">
        <v>49126</v>
      </c>
      <c r="B299" s="9" t="s">
        <v>2568</v>
      </c>
      <c r="C299" s="9" t="s">
        <v>42532</v>
      </c>
      <c r="D299" s="8" t="s">
        <v>49127</v>
      </c>
    </row>
    <row r="300" ht="15.75" customHeight="1">
      <c r="A300" s="9" t="s">
        <v>49128</v>
      </c>
      <c r="B300" s="9" t="s">
        <v>2568</v>
      </c>
      <c r="C300" s="9" t="s">
        <v>10068</v>
      </c>
      <c r="D300" s="8" t="s">
        <v>49129</v>
      </c>
    </row>
    <row r="301" ht="15.75" customHeight="1">
      <c r="A301" s="9" t="s">
        <v>49130</v>
      </c>
      <c r="B301" s="9" t="s">
        <v>263</v>
      </c>
      <c r="C301" s="9" t="s">
        <v>10068</v>
      </c>
      <c r="D301" s="8" t="s">
        <v>49131</v>
      </c>
    </row>
    <row r="302" ht="15.75" customHeight="1">
      <c r="A302" s="9"/>
      <c r="B302" s="9"/>
      <c r="C302" s="9"/>
      <c r="D302" s="9"/>
    </row>
    <row r="303" ht="15.75" customHeight="1">
      <c r="A303" s="9" t="s">
        <v>49132</v>
      </c>
      <c r="B303" s="9" t="s">
        <v>11700</v>
      </c>
      <c r="C303" s="9" t="s">
        <v>42532</v>
      </c>
      <c r="D303" s="8" t="s">
        <v>49133</v>
      </c>
    </row>
    <row r="304" ht="15.75" customHeight="1">
      <c r="A304" s="9" t="s">
        <v>49134</v>
      </c>
      <c r="B304" s="9" t="s">
        <v>8351</v>
      </c>
      <c r="C304" s="9" t="s">
        <v>42532</v>
      </c>
      <c r="D304" s="8" t="s">
        <v>49135</v>
      </c>
    </row>
    <row r="305" ht="15.75" customHeight="1">
      <c r="A305" s="9" t="s">
        <v>49136</v>
      </c>
      <c r="B305" s="9" t="s">
        <v>8727</v>
      </c>
      <c r="C305" s="9" t="s">
        <v>42538</v>
      </c>
      <c r="D305" s="8" t="s">
        <v>49137</v>
      </c>
    </row>
    <row r="306" ht="15.75" customHeight="1">
      <c r="A306" s="9" t="s">
        <v>49138</v>
      </c>
      <c r="B306" s="9" t="s">
        <v>8727</v>
      </c>
      <c r="C306" s="9" t="s">
        <v>42535</v>
      </c>
      <c r="D306" s="8" t="s">
        <v>49139</v>
      </c>
    </row>
    <row r="307" ht="15.75" customHeight="1">
      <c r="A307" s="9" t="s">
        <v>49140</v>
      </c>
      <c r="B307" s="9" t="s">
        <v>9039</v>
      </c>
      <c r="C307" s="9" t="s">
        <v>42532</v>
      </c>
      <c r="D307" s="8" t="s">
        <v>49141</v>
      </c>
    </row>
    <row r="308" ht="15.75" customHeight="1">
      <c r="A308" s="9" t="s">
        <v>49142</v>
      </c>
      <c r="B308" s="9" t="s">
        <v>4674</v>
      </c>
      <c r="C308" s="9" t="s">
        <v>42532</v>
      </c>
      <c r="D308" s="8" t="s">
        <v>49143</v>
      </c>
    </row>
    <row r="309" ht="15.75" customHeight="1">
      <c r="A309" s="9" t="s">
        <v>49144</v>
      </c>
      <c r="B309" s="9" t="s">
        <v>6605</v>
      </c>
      <c r="C309" s="9" t="s">
        <v>10068</v>
      </c>
      <c r="D309" s="8" t="s">
        <v>49145</v>
      </c>
    </row>
    <row r="310" ht="15.75" customHeight="1">
      <c r="A310" s="9"/>
      <c r="B310" s="9"/>
      <c r="C310" s="9"/>
      <c r="D310" s="9"/>
    </row>
    <row r="311" ht="15.75" customHeight="1">
      <c r="A311" s="9" t="s">
        <v>49146</v>
      </c>
      <c r="B311" s="9" t="s">
        <v>1013</v>
      </c>
      <c r="C311" s="9" t="s">
        <v>10068</v>
      </c>
      <c r="D311" s="8" t="s">
        <v>49147</v>
      </c>
    </row>
    <row r="312" ht="15.75" customHeight="1">
      <c r="A312" s="9" t="s">
        <v>49148</v>
      </c>
      <c r="B312" s="9" t="s">
        <v>1013</v>
      </c>
      <c r="C312" s="9" t="s">
        <v>42532</v>
      </c>
      <c r="D312" s="8" t="s">
        <v>48723</v>
      </c>
    </row>
    <row r="313" ht="15.75" customHeight="1">
      <c r="A313" s="9" t="s">
        <v>49149</v>
      </c>
      <c r="B313" s="9" t="s">
        <v>2736</v>
      </c>
      <c r="C313" s="9" t="s">
        <v>10068</v>
      </c>
      <c r="D313" s="8" t="s">
        <v>49150</v>
      </c>
    </row>
    <row r="314" ht="15.75" customHeight="1">
      <c r="A314" s="9" t="s">
        <v>49151</v>
      </c>
      <c r="B314" s="9" t="s">
        <v>2736</v>
      </c>
      <c r="C314" s="9" t="s">
        <v>42532</v>
      </c>
      <c r="D314" s="8" t="s">
        <v>49152</v>
      </c>
    </row>
    <row r="315" ht="15.75" customHeight="1">
      <c r="A315" s="9" t="s">
        <v>49153</v>
      </c>
      <c r="B315" s="9" t="s">
        <v>2944</v>
      </c>
      <c r="C315" s="9" t="s">
        <v>10068</v>
      </c>
      <c r="D315" s="8" t="s">
        <v>49154</v>
      </c>
    </row>
    <row r="316" ht="15.75" customHeight="1">
      <c r="A316" s="9" t="s">
        <v>49155</v>
      </c>
      <c r="B316" s="9" t="s">
        <v>10705</v>
      </c>
      <c r="C316" s="9" t="s">
        <v>42532</v>
      </c>
      <c r="D316" s="8" t="s">
        <v>49156</v>
      </c>
    </row>
    <row r="317" ht="15.75" customHeight="1">
      <c r="A317" s="9" t="s">
        <v>49157</v>
      </c>
      <c r="B317" s="9" t="s">
        <v>4045</v>
      </c>
      <c r="C317" s="9" t="s">
        <v>42538</v>
      </c>
      <c r="D317" s="8" t="s">
        <v>49158</v>
      </c>
    </row>
    <row r="318" ht="15.75" customHeight="1">
      <c r="A318" s="9" t="s">
        <v>49159</v>
      </c>
      <c r="B318" s="9" t="s">
        <v>11691</v>
      </c>
      <c r="C318" s="9" t="s">
        <v>42535</v>
      </c>
      <c r="D318" s="8" t="s">
        <v>49158</v>
      </c>
    </row>
    <row r="319" ht="15.75" customHeight="1">
      <c r="A319" s="9" t="s">
        <v>49160</v>
      </c>
      <c r="B319" s="9" t="s">
        <v>11691</v>
      </c>
      <c r="C319" s="9" t="s">
        <v>42532</v>
      </c>
      <c r="D319" s="8" t="s">
        <v>49161</v>
      </c>
    </row>
    <row r="320" ht="15.75" customHeight="1">
      <c r="A320" s="52" t="s">
        <v>49162</v>
      </c>
      <c r="B320" s="9" t="s">
        <v>10344</v>
      </c>
      <c r="C320" s="9" t="s">
        <v>42535</v>
      </c>
      <c r="D320" s="8" t="s">
        <v>49163</v>
      </c>
    </row>
    <row r="321" ht="15.75" customHeight="1">
      <c r="A321" s="9" t="s">
        <v>49164</v>
      </c>
      <c r="B321" s="52" t="s">
        <v>15642</v>
      </c>
      <c r="C321" s="9" t="s">
        <v>42532</v>
      </c>
      <c r="D321" s="8" t="s">
        <v>49165</v>
      </c>
    </row>
    <row r="322" ht="15.75" customHeight="1">
      <c r="A322" s="9" t="s">
        <v>49166</v>
      </c>
      <c r="B322" s="9" t="s">
        <v>10725</v>
      </c>
      <c r="C322" s="9" t="s">
        <v>42532</v>
      </c>
      <c r="D322" s="8" t="s">
        <v>49156</v>
      </c>
    </row>
    <row r="323" ht="15.75" customHeight="1">
      <c r="A323" s="9" t="s">
        <v>49167</v>
      </c>
      <c r="B323" s="9" t="s">
        <v>11491</v>
      </c>
      <c r="C323" s="9" t="s">
        <v>42538</v>
      </c>
      <c r="D323" s="8" t="s">
        <v>49168</v>
      </c>
    </row>
    <row r="324" ht="15.75" customHeight="1">
      <c r="A324" s="9" t="s">
        <v>49169</v>
      </c>
      <c r="B324" s="9" t="s">
        <v>4423</v>
      </c>
      <c r="C324" s="9" t="s">
        <v>42532</v>
      </c>
      <c r="D324" s="8" t="s">
        <v>49170</v>
      </c>
    </row>
    <row r="325" ht="15.75" customHeight="1">
      <c r="A325" s="9" t="s">
        <v>49171</v>
      </c>
      <c r="B325" s="9" t="s">
        <v>4423</v>
      </c>
      <c r="C325" s="9" t="s">
        <v>10068</v>
      </c>
      <c r="D325" s="8" t="s">
        <v>49172</v>
      </c>
    </row>
    <row r="326" ht="15.75" customHeight="1">
      <c r="A326" s="9" t="s">
        <v>49173</v>
      </c>
      <c r="B326" s="9" t="s">
        <v>6224</v>
      </c>
      <c r="C326" s="9" t="s">
        <v>42538</v>
      </c>
      <c r="D326" s="8" t="s">
        <v>49174</v>
      </c>
    </row>
    <row r="327" ht="15.75" customHeight="1">
      <c r="A327" s="9" t="s">
        <v>49175</v>
      </c>
      <c r="B327" s="9" t="s">
        <v>10756</v>
      </c>
      <c r="C327" s="9" t="s">
        <v>42532</v>
      </c>
      <c r="D327" s="8" t="s">
        <v>49156</v>
      </c>
    </row>
    <row r="328" ht="15.75" customHeight="1">
      <c r="A328" s="9" t="s">
        <v>49176</v>
      </c>
      <c r="B328" s="9" t="s">
        <v>1393</v>
      </c>
      <c r="C328" s="9" t="s">
        <v>42532</v>
      </c>
      <c r="D328" s="8" t="s">
        <v>49177</v>
      </c>
    </row>
    <row r="329" ht="15.75" customHeight="1">
      <c r="A329" s="9" t="s">
        <v>49178</v>
      </c>
      <c r="B329" s="9" t="s">
        <v>10719</v>
      </c>
      <c r="C329" s="9" t="s">
        <v>42532</v>
      </c>
      <c r="D329" s="8" t="s">
        <v>49179</v>
      </c>
    </row>
    <row r="330" ht="15.75" customHeight="1">
      <c r="A330" s="9" t="s">
        <v>49180</v>
      </c>
      <c r="B330" s="9" t="s">
        <v>10719</v>
      </c>
      <c r="C330" s="9" t="s">
        <v>42543</v>
      </c>
      <c r="D330" s="8" t="s">
        <v>49181</v>
      </c>
    </row>
    <row r="331" ht="15.75" customHeight="1">
      <c r="A331" s="9" t="s">
        <v>49182</v>
      </c>
      <c r="B331" s="9" t="s">
        <v>5899</v>
      </c>
      <c r="C331" s="9" t="s">
        <v>42532</v>
      </c>
      <c r="D331" s="8" t="s">
        <v>49183</v>
      </c>
    </row>
    <row r="332" ht="15.75" customHeight="1">
      <c r="A332" s="9" t="s">
        <v>49184</v>
      </c>
      <c r="B332" s="9" t="s">
        <v>4821</v>
      </c>
      <c r="C332" s="9" t="s">
        <v>42532</v>
      </c>
      <c r="D332" s="8" t="s">
        <v>49185</v>
      </c>
    </row>
    <row r="333" ht="15.75" customHeight="1">
      <c r="A333" s="9" t="s">
        <v>49186</v>
      </c>
      <c r="B333" s="9" t="s">
        <v>10646</v>
      </c>
      <c r="C333" s="9" t="s">
        <v>42532</v>
      </c>
      <c r="D333" s="8" t="s">
        <v>49156</v>
      </c>
    </row>
    <row r="334" ht="15.75" customHeight="1">
      <c r="A334" s="9" t="s">
        <v>49187</v>
      </c>
      <c r="B334" s="9" t="s">
        <v>10719</v>
      </c>
      <c r="C334" s="9" t="s">
        <v>19384</v>
      </c>
      <c r="D334" s="8" t="s">
        <v>49188</v>
      </c>
    </row>
    <row r="335" ht="15.75" customHeight="1">
      <c r="A335" s="9" t="s">
        <v>49189</v>
      </c>
      <c r="B335" s="9" t="s">
        <v>10719</v>
      </c>
      <c r="C335" s="9" t="s">
        <v>42535</v>
      </c>
      <c r="D335" s="8" t="s">
        <v>49190</v>
      </c>
    </row>
    <row r="336" ht="15.75" customHeight="1">
      <c r="A336" s="9" t="s">
        <v>49191</v>
      </c>
      <c r="B336" s="9" t="s">
        <v>11686</v>
      </c>
      <c r="C336" s="9" t="s">
        <v>42538</v>
      </c>
      <c r="D336" s="8" t="s">
        <v>49192</v>
      </c>
    </row>
    <row r="337" ht="15.75" customHeight="1">
      <c r="A337" s="9" t="s">
        <v>49193</v>
      </c>
      <c r="B337" s="9" t="s">
        <v>12048</v>
      </c>
      <c r="C337" s="9" t="s">
        <v>42532</v>
      </c>
      <c r="D337" s="8" t="s">
        <v>49194</v>
      </c>
    </row>
    <row r="338" ht="15.75" customHeight="1">
      <c r="A338" s="9" t="s">
        <v>49195</v>
      </c>
      <c r="B338" s="9" t="s">
        <v>12213</v>
      </c>
      <c r="C338" s="9" t="s">
        <v>42532</v>
      </c>
      <c r="D338" s="8" t="s">
        <v>49196</v>
      </c>
    </row>
    <row r="339" ht="15.75" customHeight="1">
      <c r="A339" s="9" t="s">
        <v>49197</v>
      </c>
      <c r="B339" s="9" t="s">
        <v>12213</v>
      </c>
      <c r="C339" s="9" t="s">
        <v>42543</v>
      </c>
      <c r="D339" s="8" t="s">
        <v>49198</v>
      </c>
    </row>
    <row r="340" ht="15.75" customHeight="1">
      <c r="A340" s="9" t="s">
        <v>49199</v>
      </c>
      <c r="B340" s="9" t="s">
        <v>12018</v>
      </c>
      <c r="C340" s="9" t="s">
        <v>42532</v>
      </c>
      <c r="D340" s="8" t="s">
        <v>49200</v>
      </c>
    </row>
    <row r="341" ht="15.75" customHeight="1">
      <c r="A341" s="9" t="s">
        <v>49201</v>
      </c>
      <c r="B341" s="9" t="s">
        <v>10564</v>
      </c>
      <c r="C341" s="9" t="s">
        <v>42532</v>
      </c>
      <c r="D341" s="8" t="s">
        <v>49202</v>
      </c>
    </row>
    <row r="342" ht="15.75" customHeight="1">
      <c r="A342" s="9" t="s">
        <v>49203</v>
      </c>
      <c r="B342" s="9" t="s">
        <v>10622</v>
      </c>
      <c r="C342" s="9" t="s">
        <v>42532</v>
      </c>
      <c r="D342" s="8" t="s">
        <v>49204</v>
      </c>
    </row>
    <row r="343" ht="15.75" customHeight="1">
      <c r="A343" s="9" t="s">
        <v>49205</v>
      </c>
      <c r="B343" s="9" t="s">
        <v>10721</v>
      </c>
      <c r="C343" s="9" t="s">
        <v>42535</v>
      </c>
      <c r="D343" s="8" t="s">
        <v>49206</v>
      </c>
    </row>
    <row r="344" ht="15.75" customHeight="1">
      <c r="A344" s="9" t="s">
        <v>49207</v>
      </c>
      <c r="B344" s="9" t="s">
        <v>10721</v>
      </c>
      <c r="C344" s="9" t="s">
        <v>42532</v>
      </c>
      <c r="D344" s="8" t="s">
        <v>49208</v>
      </c>
    </row>
    <row r="345" ht="15.75" customHeight="1">
      <c r="A345" s="9" t="s">
        <v>49209</v>
      </c>
      <c r="B345" s="9" t="s">
        <v>10721</v>
      </c>
      <c r="C345" s="9" t="s">
        <v>42538</v>
      </c>
      <c r="D345" s="8" t="s">
        <v>49210</v>
      </c>
    </row>
    <row r="346" ht="15.75" customHeight="1">
      <c r="A346" s="9" t="s">
        <v>49211</v>
      </c>
      <c r="B346" s="9" t="s">
        <v>10622</v>
      </c>
      <c r="C346" s="9" t="s">
        <v>42543</v>
      </c>
      <c r="D346" s="8" t="s">
        <v>49212</v>
      </c>
    </row>
    <row r="347" ht="15.75" customHeight="1">
      <c r="A347" s="9" t="s">
        <v>49213</v>
      </c>
      <c r="B347" s="9" t="s">
        <v>11866</v>
      </c>
      <c r="C347" s="9" t="s">
        <v>42532</v>
      </c>
      <c r="D347" s="8" t="s">
        <v>49214</v>
      </c>
    </row>
    <row r="348" ht="15.75" customHeight="1">
      <c r="A348" s="9" t="s">
        <v>49215</v>
      </c>
      <c r="B348" s="9" t="s">
        <v>7157</v>
      </c>
      <c r="C348" s="9" t="s">
        <v>42532</v>
      </c>
      <c r="D348" s="8" t="s">
        <v>48713</v>
      </c>
    </row>
    <row r="349" ht="15.75" customHeight="1">
      <c r="A349" s="9" t="s">
        <v>49216</v>
      </c>
      <c r="B349" s="9" t="s">
        <v>3638</v>
      </c>
      <c r="C349" s="9" t="s">
        <v>42532</v>
      </c>
      <c r="D349" s="8" t="s">
        <v>49217</v>
      </c>
    </row>
    <row r="350" ht="15.75" customHeight="1">
      <c r="A350" s="9" t="s">
        <v>49218</v>
      </c>
      <c r="B350" s="9" t="s">
        <v>3129</v>
      </c>
      <c r="C350" s="9" t="s">
        <v>42532</v>
      </c>
      <c r="D350" s="8" t="s">
        <v>49219</v>
      </c>
    </row>
    <row r="351" ht="15.75" customHeight="1">
      <c r="A351" s="9" t="s">
        <v>49220</v>
      </c>
      <c r="B351" s="9" t="s">
        <v>2902</v>
      </c>
      <c r="C351" s="9" t="s">
        <v>42532</v>
      </c>
      <c r="D351" s="8" t="s">
        <v>49221</v>
      </c>
    </row>
    <row r="352" ht="15.75" customHeight="1">
      <c r="A352" s="9" t="s">
        <v>49222</v>
      </c>
      <c r="B352" s="9" t="s">
        <v>12102</v>
      </c>
      <c r="C352" s="9" t="s">
        <v>42532</v>
      </c>
      <c r="D352" s="8" t="s">
        <v>49223</v>
      </c>
    </row>
    <row r="353" ht="15.75" customHeight="1">
      <c r="A353" s="9" t="s">
        <v>49224</v>
      </c>
      <c r="B353" s="9" t="s">
        <v>7585</v>
      </c>
      <c r="C353" s="9" t="s">
        <v>42532</v>
      </c>
      <c r="D353" s="8" t="s">
        <v>49225</v>
      </c>
    </row>
    <row r="354" ht="15.75" customHeight="1">
      <c r="A354" s="9" t="s">
        <v>49226</v>
      </c>
      <c r="B354" s="9" t="s">
        <v>1814</v>
      </c>
      <c r="C354" s="9" t="s">
        <v>42532</v>
      </c>
      <c r="D354" s="8" t="s">
        <v>49227</v>
      </c>
    </row>
    <row r="355" ht="15.75" customHeight="1">
      <c r="A355" s="9" t="s">
        <v>49228</v>
      </c>
      <c r="B355" s="9" t="s">
        <v>9394</v>
      </c>
      <c r="C355" s="9" t="s">
        <v>42538</v>
      </c>
      <c r="D355" s="8" t="s">
        <v>49229</v>
      </c>
    </row>
    <row r="356" ht="15.75" customHeight="1">
      <c r="A356" s="9" t="s">
        <v>49230</v>
      </c>
      <c r="B356" s="9" t="s">
        <v>9394</v>
      </c>
      <c r="C356" s="9" t="s">
        <v>42535</v>
      </c>
      <c r="D356" s="8" t="s">
        <v>49231</v>
      </c>
    </row>
    <row r="357" ht="15.75" customHeight="1">
      <c r="A357" s="9" t="s">
        <v>49232</v>
      </c>
      <c r="B357" s="9" t="s">
        <v>12207</v>
      </c>
      <c r="C357" s="9" t="s">
        <v>42538</v>
      </c>
      <c r="D357" s="8" t="s">
        <v>49233</v>
      </c>
    </row>
    <row r="358" ht="15.75" customHeight="1">
      <c r="A358" s="9" t="s">
        <v>49234</v>
      </c>
      <c r="B358" s="9" t="s">
        <v>11861</v>
      </c>
      <c r="C358" s="9" t="s">
        <v>42532</v>
      </c>
      <c r="D358" s="8" t="s">
        <v>49214</v>
      </c>
    </row>
    <row r="359" ht="15.75" customHeight="1">
      <c r="A359" s="9"/>
      <c r="B359" s="9"/>
      <c r="C359" s="9"/>
      <c r="D359" s="9"/>
    </row>
    <row r="360" ht="15.75" customHeight="1">
      <c r="A360" s="9" t="s">
        <v>49235</v>
      </c>
      <c r="B360" s="9" t="s">
        <v>4800</v>
      </c>
      <c r="C360" s="9" t="s">
        <v>42532</v>
      </c>
      <c r="D360" s="8" t="s">
        <v>49236</v>
      </c>
    </row>
    <row r="361" ht="15.75" customHeight="1">
      <c r="A361" s="9" t="s">
        <v>49237</v>
      </c>
      <c r="B361" s="9" t="s">
        <v>4800</v>
      </c>
      <c r="C361" s="9" t="s">
        <v>42543</v>
      </c>
      <c r="D361" s="8" t="s">
        <v>49238</v>
      </c>
    </row>
    <row r="362" ht="15.75" customHeight="1">
      <c r="A362" s="9" t="s">
        <v>49239</v>
      </c>
      <c r="B362" s="9" t="s">
        <v>10711</v>
      </c>
      <c r="C362" s="9" t="s">
        <v>42538</v>
      </c>
      <c r="D362" s="8" t="s">
        <v>49240</v>
      </c>
    </row>
    <row r="363" ht="15.75" customHeight="1">
      <c r="A363" s="9" t="s">
        <v>49241</v>
      </c>
      <c r="B363" s="9" t="s">
        <v>10562</v>
      </c>
      <c r="C363" s="9" t="s">
        <v>42532</v>
      </c>
      <c r="D363" s="8" t="s">
        <v>17412</v>
      </c>
    </row>
    <row r="364" ht="15.75" customHeight="1">
      <c r="A364" s="9" t="s">
        <v>49242</v>
      </c>
      <c r="B364" s="9" t="s">
        <v>11686</v>
      </c>
      <c r="C364" s="9" t="s">
        <v>42535</v>
      </c>
      <c r="D364" s="8" t="s">
        <v>49243</v>
      </c>
    </row>
    <row r="365" ht="15.75" customHeight="1">
      <c r="A365" s="9" t="s">
        <v>49244</v>
      </c>
      <c r="B365" s="9" t="s">
        <v>11774</v>
      </c>
      <c r="C365" s="9" t="s">
        <v>42535</v>
      </c>
      <c r="D365" s="8" t="s">
        <v>49245</v>
      </c>
    </row>
    <row r="366" ht="15.75" customHeight="1">
      <c r="A366" s="9" t="s">
        <v>49246</v>
      </c>
      <c r="B366" s="9" t="s">
        <v>8236</v>
      </c>
      <c r="C366" s="9" t="s">
        <v>42535</v>
      </c>
      <c r="D366" s="8" t="s">
        <v>49247</v>
      </c>
    </row>
    <row r="367" ht="15.75" customHeight="1">
      <c r="A367" s="9" t="s">
        <v>49248</v>
      </c>
      <c r="B367" s="9" t="s">
        <v>11767</v>
      </c>
      <c r="C367" s="9" t="s">
        <v>19384</v>
      </c>
      <c r="D367" s="8" t="s">
        <v>49249</v>
      </c>
    </row>
    <row r="368" ht="15.75" customHeight="1">
      <c r="A368" s="9" t="s">
        <v>49250</v>
      </c>
      <c r="B368" s="9" t="s">
        <v>11491</v>
      </c>
      <c r="C368" s="9" t="s">
        <v>42535</v>
      </c>
      <c r="D368" s="8" t="s">
        <v>49251</v>
      </c>
    </row>
    <row r="369" ht="15.75" customHeight="1">
      <c r="A369" s="9"/>
      <c r="B369" s="9"/>
      <c r="C369" s="9"/>
      <c r="D369" s="9"/>
    </row>
    <row r="370" ht="15.75" customHeight="1">
      <c r="A370" s="9" t="s">
        <v>49252</v>
      </c>
      <c r="B370" s="9" t="s">
        <v>11864</v>
      </c>
      <c r="C370" s="9" t="s">
        <v>42546</v>
      </c>
      <c r="D370" s="8" t="s">
        <v>49253</v>
      </c>
    </row>
    <row r="371" ht="15.75" customHeight="1">
      <c r="A371" s="9" t="s">
        <v>49254</v>
      </c>
      <c r="B371" s="9" t="s">
        <v>9298</v>
      </c>
      <c r="C371" s="9" t="s">
        <v>10068</v>
      </c>
      <c r="D371" s="8" t="s">
        <v>49255</v>
      </c>
    </row>
    <row r="372" ht="15.75" customHeight="1">
      <c r="A372" s="9" t="s">
        <v>49256</v>
      </c>
      <c r="B372" s="9" t="s">
        <v>3274</v>
      </c>
      <c r="C372" s="9" t="s">
        <v>10068</v>
      </c>
      <c r="D372" s="8" t="s">
        <v>49257</v>
      </c>
    </row>
    <row r="373" ht="15.75" customHeight="1">
      <c r="A373" s="9" t="s">
        <v>49258</v>
      </c>
      <c r="B373" s="9" t="s">
        <v>3274</v>
      </c>
      <c r="C373" s="9" t="s">
        <v>42532</v>
      </c>
      <c r="D373" s="8" t="s">
        <v>49259</v>
      </c>
    </row>
    <row r="374" ht="15.75" customHeight="1">
      <c r="A374" s="9" t="s">
        <v>49260</v>
      </c>
      <c r="B374" s="9" t="s">
        <v>10498</v>
      </c>
      <c r="C374" s="9" t="s">
        <v>42532</v>
      </c>
      <c r="D374" s="8" t="s">
        <v>49261</v>
      </c>
    </row>
    <row r="375" ht="15.75" customHeight="1">
      <c r="A375" s="9" t="s">
        <v>49262</v>
      </c>
      <c r="B375" s="9" t="s">
        <v>11623</v>
      </c>
      <c r="C375" s="9" t="s">
        <v>42532</v>
      </c>
      <c r="D375" s="8" t="s">
        <v>49263</v>
      </c>
    </row>
    <row r="376" ht="15.75" customHeight="1">
      <c r="A376" s="9" t="s">
        <v>49264</v>
      </c>
      <c r="B376" s="9" t="s">
        <v>10658</v>
      </c>
      <c r="C376" s="9" t="s">
        <v>42538</v>
      </c>
      <c r="D376" s="8" t="s">
        <v>49265</v>
      </c>
    </row>
    <row r="377" ht="15.75" customHeight="1">
      <c r="A377" s="9" t="s">
        <v>49266</v>
      </c>
      <c r="B377" s="9" t="s">
        <v>5981</v>
      </c>
      <c r="C377" s="9" t="s">
        <v>42532</v>
      </c>
      <c r="D377" s="8" t="s">
        <v>49267</v>
      </c>
    </row>
    <row r="378" ht="15.75" customHeight="1">
      <c r="A378" s="9" t="s">
        <v>49268</v>
      </c>
      <c r="B378" s="9" t="s">
        <v>10310</v>
      </c>
      <c r="C378" s="9" t="s">
        <v>42543</v>
      </c>
      <c r="D378" s="8" t="s">
        <v>49269</v>
      </c>
    </row>
    <row r="379" ht="15.75" customHeight="1">
      <c r="A379" s="9" t="s">
        <v>49270</v>
      </c>
      <c r="B379" s="9" t="s">
        <v>10310</v>
      </c>
      <c r="C379" s="9" t="s">
        <v>42532</v>
      </c>
      <c r="D379" s="8" t="s">
        <v>49271</v>
      </c>
    </row>
    <row r="380" ht="15.75" customHeight="1">
      <c r="A380" s="9" t="s">
        <v>49272</v>
      </c>
      <c r="B380" s="9" t="s">
        <v>6239</v>
      </c>
      <c r="C380" s="9" t="s">
        <v>42532</v>
      </c>
      <c r="D380" s="8" t="s">
        <v>49273</v>
      </c>
    </row>
    <row r="381" ht="15.75" customHeight="1">
      <c r="A381" s="9" t="s">
        <v>49274</v>
      </c>
      <c r="B381" s="9" t="s">
        <v>11813</v>
      </c>
      <c r="C381" s="9" t="s">
        <v>42532</v>
      </c>
      <c r="D381" s="8" t="s">
        <v>49275</v>
      </c>
    </row>
    <row r="382" ht="15.75" customHeight="1">
      <c r="A382" s="9" t="s">
        <v>49276</v>
      </c>
      <c r="B382" s="9" t="s">
        <v>10391</v>
      </c>
      <c r="C382" s="9" t="s">
        <v>42546</v>
      </c>
      <c r="D382" s="8" t="s">
        <v>49277</v>
      </c>
    </row>
    <row r="383" ht="15.75" customHeight="1">
      <c r="A383" s="9" t="s">
        <v>49278</v>
      </c>
      <c r="B383" s="9" t="s">
        <v>10391</v>
      </c>
      <c r="C383" s="9" t="s">
        <v>42532</v>
      </c>
      <c r="D383" s="8" t="s">
        <v>49279</v>
      </c>
    </row>
    <row r="384" ht="15.75" customHeight="1">
      <c r="A384" s="9" t="s">
        <v>49280</v>
      </c>
      <c r="B384" s="9" t="s">
        <v>11629</v>
      </c>
      <c r="C384" s="9" t="s">
        <v>42532</v>
      </c>
      <c r="D384" s="8" t="s">
        <v>49279</v>
      </c>
    </row>
    <row r="385" ht="15.75" customHeight="1">
      <c r="A385" s="9" t="s">
        <v>49281</v>
      </c>
      <c r="B385" s="9" t="s">
        <v>11629</v>
      </c>
      <c r="C385" s="9" t="s">
        <v>42546</v>
      </c>
      <c r="D385" s="8" t="s">
        <v>49277</v>
      </c>
    </row>
    <row r="386" ht="15.75" customHeight="1">
      <c r="A386" s="9" t="s">
        <v>49282</v>
      </c>
      <c r="B386" s="9" t="s">
        <v>8100</v>
      </c>
      <c r="C386" s="9" t="s">
        <v>42538</v>
      </c>
      <c r="D386" s="8" t="s">
        <v>49283</v>
      </c>
    </row>
    <row r="387" ht="15.75" customHeight="1">
      <c r="A387" s="9" t="s">
        <v>49284</v>
      </c>
      <c r="B387" s="9" t="s">
        <v>11947</v>
      </c>
      <c r="C387" s="9" t="s">
        <v>42532</v>
      </c>
      <c r="D387" s="8" t="s">
        <v>49285</v>
      </c>
    </row>
    <row r="388" ht="15.75" customHeight="1">
      <c r="A388" s="9" t="s">
        <v>49286</v>
      </c>
      <c r="B388" s="9" t="s">
        <v>8100</v>
      </c>
      <c r="C388" s="9" t="s">
        <v>19384</v>
      </c>
      <c r="D388" s="8" t="s">
        <v>49287</v>
      </c>
    </row>
    <row r="389" ht="15.75" customHeight="1">
      <c r="A389" s="9" t="s">
        <v>49288</v>
      </c>
      <c r="B389" s="9" t="s">
        <v>268</v>
      </c>
      <c r="C389" s="9" t="s">
        <v>42532</v>
      </c>
      <c r="D389" s="8" t="s">
        <v>49289</v>
      </c>
    </row>
    <row r="390" ht="15.75" customHeight="1">
      <c r="A390" s="9" t="s">
        <v>49290</v>
      </c>
      <c r="B390" s="9" t="s">
        <v>11777</v>
      </c>
      <c r="C390" s="9" t="s">
        <v>42532</v>
      </c>
      <c r="D390" s="8" t="s">
        <v>49289</v>
      </c>
    </row>
    <row r="391" ht="15.75" customHeight="1">
      <c r="A391" s="9" t="s">
        <v>49291</v>
      </c>
      <c r="B391" s="9" t="s">
        <v>10384</v>
      </c>
      <c r="C391" s="9" t="s">
        <v>42532</v>
      </c>
      <c r="D391" s="8" t="s">
        <v>49292</v>
      </c>
    </row>
    <row r="392" ht="15.75" customHeight="1">
      <c r="A392" s="9" t="s">
        <v>49293</v>
      </c>
      <c r="B392" s="9" t="s">
        <v>9522</v>
      </c>
      <c r="C392" s="9" t="s">
        <v>42532</v>
      </c>
      <c r="D392" s="8" t="s">
        <v>49294</v>
      </c>
    </row>
    <row r="393" ht="15.75" customHeight="1">
      <c r="A393" s="9" t="s">
        <v>49295</v>
      </c>
      <c r="B393" s="9" t="s">
        <v>2301</v>
      </c>
      <c r="C393" s="9" t="s">
        <v>42532</v>
      </c>
      <c r="D393" s="8" t="s">
        <v>49296</v>
      </c>
    </row>
    <row r="394" ht="15.75" customHeight="1">
      <c r="A394" s="9" t="s">
        <v>49297</v>
      </c>
      <c r="B394" s="9" t="s">
        <v>4935</v>
      </c>
      <c r="C394" s="9" t="s">
        <v>42532</v>
      </c>
      <c r="D394" s="8" t="s">
        <v>49298</v>
      </c>
    </row>
    <row r="395" ht="15.75" customHeight="1">
      <c r="A395" s="9" t="s">
        <v>49299</v>
      </c>
      <c r="B395" s="9" t="s">
        <v>11875</v>
      </c>
      <c r="C395" s="9" t="s">
        <v>42546</v>
      </c>
      <c r="D395" s="8" t="s">
        <v>49300</v>
      </c>
    </row>
    <row r="396" ht="15.75" customHeight="1">
      <c r="A396" s="9" t="s">
        <v>49301</v>
      </c>
      <c r="B396" s="9" t="s">
        <v>8549</v>
      </c>
      <c r="C396" s="9" t="s">
        <v>42532</v>
      </c>
      <c r="D396" s="8" t="s">
        <v>49302</v>
      </c>
    </row>
    <row r="397" ht="15.75" customHeight="1">
      <c r="A397" s="9" t="s">
        <v>49303</v>
      </c>
      <c r="B397" s="9" t="s">
        <v>8549</v>
      </c>
      <c r="C397" s="9" t="s">
        <v>10068</v>
      </c>
      <c r="D397" s="8" t="s">
        <v>49304</v>
      </c>
    </row>
    <row r="398" ht="15.75" customHeight="1">
      <c r="A398" s="9" t="s">
        <v>49305</v>
      </c>
      <c r="B398" s="9" t="s">
        <v>9683</v>
      </c>
      <c r="C398" s="9" t="s">
        <v>42532</v>
      </c>
      <c r="D398" s="8" t="s">
        <v>49306</v>
      </c>
    </row>
    <row r="399" ht="15.75" customHeight="1">
      <c r="A399" s="9" t="s">
        <v>49307</v>
      </c>
      <c r="B399" s="9" t="s">
        <v>9577</v>
      </c>
      <c r="C399" s="9" t="s">
        <v>42532</v>
      </c>
      <c r="D399" s="8" t="s">
        <v>49308</v>
      </c>
    </row>
    <row r="400" ht="15.75" customHeight="1">
      <c r="A400" s="9" t="s">
        <v>49309</v>
      </c>
      <c r="B400" s="9" t="s">
        <v>9577</v>
      </c>
      <c r="C400" s="9" t="s">
        <v>42543</v>
      </c>
      <c r="D400" s="8" t="s">
        <v>49310</v>
      </c>
    </row>
    <row r="401" ht="15.75" customHeight="1">
      <c r="A401" s="9" t="s">
        <v>49311</v>
      </c>
      <c r="B401" s="9" t="s">
        <v>10591</v>
      </c>
      <c r="C401" s="9" t="s">
        <v>42532</v>
      </c>
      <c r="D401" s="8" t="s">
        <v>49312</v>
      </c>
    </row>
    <row r="402" ht="15.75" customHeight="1">
      <c r="A402" s="9" t="s">
        <v>49313</v>
      </c>
      <c r="B402" s="9" t="s">
        <v>8201</v>
      </c>
      <c r="C402" s="9" t="s">
        <v>42532</v>
      </c>
      <c r="D402" s="8" t="s">
        <v>49314</v>
      </c>
    </row>
    <row r="403" ht="15.75" customHeight="1">
      <c r="A403" s="9" t="s">
        <v>49315</v>
      </c>
      <c r="B403" s="9" t="s">
        <v>8201</v>
      </c>
      <c r="C403" s="9" t="s">
        <v>10068</v>
      </c>
      <c r="D403" s="8" t="s">
        <v>49316</v>
      </c>
    </row>
    <row r="404" ht="15.75" customHeight="1">
      <c r="A404" s="9" t="s">
        <v>49317</v>
      </c>
      <c r="B404" s="9" t="s">
        <v>8201</v>
      </c>
      <c r="C404" s="9" t="s">
        <v>42543</v>
      </c>
      <c r="D404" s="8" t="s">
        <v>49318</v>
      </c>
    </row>
    <row r="405" ht="15.75" customHeight="1">
      <c r="A405" s="9" t="s">
        <v>49319</v>
      </c>
      <c r="B405" s="9" t="s">
        <v>722</v>
      </c>
      <c r="C405" s="9" t="s">
        <v>42532</v>
      </c>
      <c r="D405" s="8" t="s">
        <v>49320</v>
      </c>
    </row>
    <row r="406" ht="15.75" customHeight="1">
      <c r="A406" s="9" t="s">
        <v>49321</v>
      </c>
      <c r="B406" s="9" t="s">
        <v>722</v>
      </c>
      <c r="C406" s="9" t="s">
        <v>42538</v>
      </c>
      <c r="D406" s="8" t="s">
        <v>49322</v>
      </c>
    </row>
    <row r="407" ht="15.75" customHeight="1">
      <c r="A407" s="9" t="s">
        <v>49323</v>
      </c>
      <c r="B407" s="9" t="s">
        <v>8522</v>
      </c>
      <c r="C407" s="9" t="s">
        <v>42532</v>
      </c>
      <c r="D407" s="8" t="s">
        <v>49324</v>
      </c>
    </row>
    <row r="408" ht="15.75" customHeight="1">
      <c r="A408" s="9" t="s">
        <v>49325</v>
      </c>
      <c r="B408" s="9" t="s">
        <v>9151</v>
      </c>
      <c r="C408" s="9" t="s">
        <v>42532</v>
      </c>
      <c r="D408" s="8" t="s">
        <v>49326</v>
      </c>
    </row>
    <row r="409" ht="15.75" customHeight="1">
      <c r="A409" s="9" t="s">
        <v>49327</v>
      </c>
      <c r="B409" s="9" t="s">
        <v>8153</v>
      </c>
      <c r="C409" s="9" t="s">
        <v>42532</v>
      </c>
      <c r="D409" s="8" t="s">
        <v>49328</v>
      </c>
    </row>
    <row r="410" ht="15.75" customHeight="1">
      <c r="A410" s="9"/>
      <c r="B410" s="9"/>
      <c r="C410" s="9"/>
      <c r="D410" s="9"/>
    </row>
    <row r="411" ht="15.75" customHeight="1">
      <c r="A411" s="9" t="s">
        <v>49329</v>
      </c>
      <c r="B411" s="9" t="s">
        <v>4089</v>
      </c>
      <c r="C411" s="9" t="s">
        <v>42532</v>
      </c>
      <c r="D411" s="8" t="s">
        <v>49330</v>
      </c>
    </row>
    <row r="412" ht="15.75" customHeight="1">
      <c r="A412" s="9" t="s">
        <v>49331</v>
      </c>
      <c r="B412" s="9" t="s">
        <v>4089</v>
      </c>
      <c r="C412" s="9" t="s">
        <v>10068</v>
      </c>
      <c r="D412" s="8" t="s">
        <v>49332</v>
      </c>
    </row>
    <row r="413" ht="15.75" customHeight="1">
      <c r="A413" s="9" t="s">
        <v>49333</v>
      </c>
      <c r="B413" s="9" t="s">
        <v>4106</v>
      </c>
      <c r="C413" s="9" t="s">
        <v>42532</v>
      </c>
      <c r="D413" s="8" t="s">
        <v>49334</v>
      </c>
    </row>
    <row r="414" ht="15.75" customHeight="1">
      <c r="A414" s="9" t="s">
        <v>49335</v>
      </c>
      <c r="B414" s="9" t="s">
        <v>10391</v>
      </c>
      <c r="C414" s="9" t="s">
        <v>42535</v>
      </c>
      <c r="D414" s="8" t="s">
        <v>49336</v>
      </c>
    </row>
    <row r="415" ht="15.75" customHeight="1">
      <c r="A415" s="9" t="s">
        <v>49337</v>
      </c>
      <c r="B415" s="9" t="s">
        <v>11629</v>
      </c>
      <c r="C415" s="9" t="s">
        <v>42535</v>
      </c>
      <c r="D415" s="8" t="s">
        <v>49338</v>
      </c>
    </row>
    <row r="416" ht="15.75" customHeight="1">
      <c r="A416" s="9" t="s">
        <v>49339</v>
      </c>
      <c r="B416" s="9" t="s">
        <v>9237</v>
      </c>
      <c r="C416" s="9" t="s">
        <v>42543</v>
      </c>
      <c r="D416" s="8" t="s">
        <v>49340</v>
      </c>
    </row>
    <row r="417" ht="15.75" customHeight="1">
      <c r="A417" s="9" t="s">
        <v>49341</v>
      </c>
      <c r="B417" s="9" t="s">
        <v>9237</v>
      </c>
      <c r="C417" s="9" t="s">
        <v>42535</v>
      </c>
      <c r="D417" s="8" t="s">
        <v>49342</v>
      </c>
    </row>
    <row r="418" ht="15.75" customHeight="1">
      <c r="A418" s="9" t="s">
        <v>49343</v>
      </c>
      <c r="B418" s="9" t="s">
        <v>9054</v>
      </c>
      <c r="C418" s="9" t="s">
        <v>42535</v>
      </c>
      <c r="D418" s="8" t="s">
        <v>49344</v>
      </c>
    </row>
    <row r="419" ht="15.75" customHeight="1">
      <c r="A419" s="9" t="s">
        <v>49345</v>
      </c>
      <c r="B419" s="9" t="s">
        <v>9054</v>
      </c>
      <c r="C419" s="9" t="s">
        <v>42543</v>
      </c>
      <c r="D419" s="8" t="s">
        <v>49340</v>
      </c>
    </row>
    <row r="420" ht="15.75" customHeight="1">
      <c r="A420" s="9" t="s">
        <v>49346</v>
      </c>
      <c r="B420" s="9" t="s">
        <v>11875</v>
      </c>
      <c r="C420" s="9" t="s">
        <v>42543</v>
      </c>
      <c r="D420" s="8" t="s">
        <v>49347</v>
      </c>
    </row>
    <row r="421" ht="15.75" customHeight="1">
      <c r="A421" s="9" t="s">
        <v>49348</v>
      </c>
      <c r="B421" s="9" t="s">
        <v>9087</v>
      </c>
      <c r="C421" s="9" t="s">
        <v>42535</v>
      </c>
      <c r="D421" s="8" t="s">
        <v>49349</v>
      </c>
    </row>
    <row r="422" ht="15.75" customHeight="1">
      <c r="A422" s="9" t="s">
        <v>49350</v>
      </c>
      <c r="B422" s="9" t="s">
        <v>12027</v>
      </c>
      <c r="C422" s="9" t="s">
        <v>42532</v>
      </c>
      <c r="D422" s="8" t="s">
        <v>49351</v>
      </c>
    </row>
    <row r="423" ht="15.75" customHeight="1">
      <c r="A423" s="9" t="s">
        <v>49352</v>
      </c>
      <c r="B423" s="9" t="s">
        <v>8926</v>
      </c>
      <c r="C423" s="9" t="s">
        <v>42532</v>
      </c>
      <c r="D423" s="8" t="s">
        <v>49353</v>
      </c>
    </row>
    <row r="424" ht="15.75" customHeight="1">
      <c r="A424" s="9" t="s">
        <v>49354</v>
      </c>
      <c r="B424" s="9" t="s">
        <v>10384</v>
      </c>
      <c r="C424" s="9" t="s">
        <v>42538</v>
      </c>
      <c r="D424" s="8" t="s">
        <v>49355</v>
      </c>
    </row>
    <row r="425" ht="15.75" customHeight="1">
      <c r="A425" s="9" t="s">
        <v>49356</v>
      </c>
      <c r="B425" s="9" t="s">
        <v>10384</v>
      </c>
      <c r="C425" s="9" t="s">
        <v>42546</v>
      </c>
      <c r="D425" s="8" t="s">
        <v>49357</v>
      </c>
    </row>
    <row r="426" ht="15.75" customHeight="1">
      <c r="A426" s="9" t="s">
        <v>49358</v>
      </c>
      <c r="B426" s="9" t="s">
        <v>3346</v>
      </c>
      <c r="C426" s="9" t="s">
        <v>42532</v>
      </c>
      <c r="D426" s="8" t="s">
        <v>49359</v>
      </c>
    </row>
    <row r="427" ht="15.75" customHeight="1">
      <c r="A427" s="9" t="s">
        <v>49360</v>
      </c>
      <c r="B427" s="9" t="s">
        <v>1291</v>
      </c>
      <c r="C427" s="9" t="s">
        <v>42543</v>
      </c>
      <c r="D427" s="8" t="s">
        <v>49361</v>
      </c>
    </row>
    <row r="428" ht="15.75" customHeight="1">
      <c r="A428" s="9" t="s">
        <v>49362</v>
      </c>
      <c r="B428" s="9" t="s">
        <v>1291</v>
      </c>
      <c r="C428" s="9" t="s">
        <v>42532</v>
      </c>
      <c r="D428" s="8" t="s">
        <v>49363</v>
      </c>
    </row>
    <row r="429" ht="15.75" customHeight="1">
      <c r="A429" s="9" t="s">
        <v>49364</v>
      </c>
      <c r="B429" s="9" t="s">
        <v>2933</v>
      </c>
      <c r="C429" s="9" t="s">
        <v>42532</v>
      </c>
      <c r="D429" s="8" t="s">
        <v>49365</v>
      </c>
    </row>
    <row r="430" ht="15.75" customHeight="1">
      <c r="A430" s="9" t="s">
        <v>49366</v>
      </c>
      <c r="B430" s="9" t="s">
        <v>10552</v>
      </c>
      <c r="C430" s="9" t="s">
        <v>42543</v>
      </c>
      <c r="D430" s="8" t="s">
        <v>48656</v>
      </c>
    </row>
    <row r="431" ht="15.75" customHeight="1">
      <c r="A431" s="9" t="s">
        <v>49367</v>
      </c>
      <c r="B431" s="9" t="s">
        <v>2848</v>
      </c>
      <c r="C431" s="9" t="s">
        <v>42532</v>
      </c>
      <c r="D431" s="8" t="s">
        <v>49368</v>
      </c>
    </row>
    <row r="432" ht="15.75" customHeight="1">
      <c r="A432" s="9" t="s">
        <v>49369</v>
      </c>
      <c r="B432" s="9" t="s">
        <v>9054</v>
      </c>
      <c r="C432" s="9" t="s">
        <v>42532</v>
      </c>
      <c r="D432" s="8" t="s">
        <v>49370</v>
      </c>
    </row>
    <row r="433" ht="15.75" customHeight="1">
      <c r="A433" s="9" t="s">
        <v>49371</v>
      </c>
      <c r="B433" s="9" t="s">
        <v>11884</v>
      </c>
      <c r="C433" s="9" t="s">
        <v>42543</v>
      </c>
      <c r="D433" s="8" t="s">
        <v>49340</v>
      </c>
    </row>
    <row r="434" ht="15.75" customHeight="1">
      <c r="A434" s="9" t="s">
        <v>49372</v>
      </c>
      <c r="B434" s="9" t="s">
        <v>5676</v>
      </c>
      <c r="C434" s="9" t="s">
        <v>10068</v>
      </c>
      <c r="D434" s="8" t="s">
        <v>49373</v>
      </c>
    </row>
    <row r="435" ht="15.75" customHeight="1">
      <c r="A435" s="9" t="s">
        <v>49374</v>
      </c>
      <c r="B435" s="9" t="s">
        <v>9237</v>
      </c>
      <c r="C435" s="9" t="s">
        <v>42532</v>
      </c>
      <c r="D435" s="8" t="s">
        <v>49375</v>
      </c>
    </row>
    <row r="436" ht="15.75" customHeight="1">
      <c r="A436" s="9" t="s">
        <v>49376</v>
      </c>
      <c r="B436" s="9" t="s">
        <v>11979</v>
      </c>
      <c r="C436" s="9" t="s">
        <v>10068</v>
      </c>
      <c r="D436" s="8" t="s">
        <v>49377</v>
      </c>
    </row>
    <row r="437" ht="15.75" customHeight="1">
      <c r="A437" s="9" t="s">
        <v>49378</v>
      </c>
      <c r="B437" s="9" t="s">
        <v>11979</v>
      </c>
      <c r="C437" s="9" t="s">
        <v>42532</v>
      </c>
      <c r="D437" s="8" t="s">
        <v>49379</v>
      </c>
    </row>
    <row r="438" ht="15.75" customHeight="1">
      <c r="A438" s="9" t="s">
        <v>49380</v>
      </c>
      <c r="B438" s="9" t="s">
        <v>9261</v>
      </c>
      <c r="C438" s="9" t="s">
        <v>42532</v>
      </c>
      <c r="D438" s="8" t="s">
        <v>49381</v>
      </c>
    </row>
    <row r="439" ht="15.75" customHeight="1">
      <c r="A439" s="9" t="s">
        <v>49382</v>
      </c>
      <c r="B439" s="9" t="s">
        <v>11836</v>
      </c>
      <c r="C439" s="9" t="s">
        <v>42532</v>
      </c>
      <c r="D439" s="8" t="s">
        <v>49383</v>
      </c>
    </row>
    <row r="440" ht="15.75" customHeight="1">
      <c r="A440" s="9" t="s">
        <v>49384</v>
      </c>
      <c r="B440" s="9" t="s">
        <v>11660</v>
      </c>
      <c r="C440" s="9" t="s">
        <v>42532</v>
      </c>
      <c r="D440" s="8" t="s">
        <v>49385</v>
      </c>
    </row>
    <row r="441" ht="15.75" customHeight="1">
      <c r="A441" s="9" t="s">
        <v>49386</v>
      </c>
      <c r="B441" s="9" t="s">
        <v>11660</v>
      </c>
      <c r="C441" s="9" t="s">
        <v>42538</v>
      </c>
      <c r="D441" s="8" t="s">
        <v>49387</v>
      </c>
    </row>
    <row r="442" ht="15.75" customHeight="1">
      <c r="A442" s="9" t="s">
        <v>49388</v>
      </c>
      <c r="B442" s="9" t="s">
        <v>4952</v>
      </c>
      <c r="C442" s="9" t="s">
        <v>42538</v>
      </c>
      <c r="D442" s="8" t="s">
        <v>49389</v>
      </c>
    </row>
    <row r="443" ht="15.75" customHeight="1">
      <c r="A443" s="9" t="s">
        <v>49390</v>
      </c>
      <c r="B443" s="9" t="s">
        <v>4952</v>
      </c>
      <c r="C443" s="9" t="s">
        <v>10068</v>
      </c>
      <c r="D443" s="8" t="s">
        <v>49391</v>
      </c>
    </row>
    <row r="444" ht="15.75" customHeight="1">
      <c r="A444" s="9" t="s">
        <v>49392</v>
      </c>
      <c r="B444" s="9" t="s">
        <v>4935</v>
      </c>
      <c r="C444" s="9" t="s">
        <v>42538</v>
      </c>
      <c r="D444" s="8" t="s">
        <v>49389</v>
      </c>
    </row>
    <row r="445" ht="15.75" customHeight="1">
      <c r="A445" s="9" t="s">
        <v>49393</v>
      </c>
      <c r="B445" s="9" t="s">
        <v>11983</v>
      </c>
      <c r="C445" s="9" t="s">
        <v>42532</v>
      </c>
      <c r="D445" s="8" t="s">
        <v>48780</v>
      </c>
    </row>
    <row r="446" ht="15.75" customHeight="1">
      <c r="A446" s="9" t="s">
        <v>49394</v>
      </c>
      <c r="B446" s="9" t="s">
        <v>7328</v>
      </c>
      <c r="C446" s="9" t="s">
        <v>42538</v>
      </c>
      <c r="D446" s="8" t="s">
        <v>49395</v>
      </c>
    </row>
    <row r="447" ht="15.75" customHeight="1">
      <c r="A447" s="9" t="s">
        <v>49396</v>
      </c>
      <c r="B447" s="9" t="s">
        <v>7328</v>
      </c>
      <c r="C447" s="9" t="s">
        <v>10068</v>
      </c>
      <c r="D447" s="8" t="s">
        <v>49057</v>
      </c>
    </row>
    <row r="448" ht="15.75" customHeight="1">
      <c r="A448" s="9" t="s">
        <v>49397</v>
      </c>
      <c r="B448" s="9" t="s">
        <v>11660</v>
      </c>
      <c r="C448" s="9" t="s">
        <v>42535</v>
      </c>
      <c r="D448" s="8" t="s">
        <v>49398</v>
      </c>
    </row>
    <row r="449" ht="15.75" customHeight="1">
      <c r="A449" s="9" t="s">
        <v>49399</v>
      </c>
      <c r="B449" s="9" t="s">
        <v>11652</v>
      </c>
      <c r="C449" s="9" t="s">
        <v>42546</v>
      </c>
      <c r="D449" s="8" t="s">
        <v>49400</v>
      </c>
    </row>
    <row r="450" ht="15.75" customHeight="1">
      <c r="A450" s="52" t="s">
        <v>49401</v>
      </c>
      <c r="B450" s="9" t="s">
        <v>11645</v>
      </c>
      <c r="C450" s="9" t="s">
        <v>42538</v>
      </c>
      <c r="D450" s="8" t="s">
        <v>49402</v>
      </c>
    </row>
    <row r="451" ht="15.75" customHeight="1">
      <c r="A451" s="9" t="s">
        <v>49403</v>
      </c>
      <c r="B451" s="9" t="s">
        <v>11645</v>
      </c>
      <c r="C451" s="9" t="s">
        <v>42535</v>
      </c>
      <c r="D451" s="8" t="s">
        <v>49404</v>
      </c>
    </row>
    <row r="452" ht="15.75" customHeight="1">
      <c r="A452" s="52" t="s">
        <v>49405</v>
      </c>
      <c r="B452" s="9" t="s">
        <v>11645</v>
      </c>
      <c r="C452" s="9" t="s">
        <v>42532</v>
      </c>
      <c r="D452" s="8" t="s">
        <v>49385</v>
      </c>
    </row>
    <row r="453" ht="15.75" customHeight="1">
      <c r="A453" s="9" t="s">
        <v>49406</v>
      </c>
      <c r="B453" s="9" t="s">
        <v>11805</v>
      </c>
      <c r="C453" s="9" t="s">
        <v>42532</v>
      </c>
      <c r="D453" s="8" t="s">
        <v>49407</v>
      </c>
    </row>
    <row r="454" ht="15.75" customHeight="1">
      <c r="A454" s="9" t="s">
        <v>49408</v>
      </c>
      <c r="B454" s="9" t="s">
        <v>1561</v>
      </c>
      <c r="C454" s="9" t="s">
        <v>42532</v>
      </c>
      <c r="D454" s="8" t="s">
        <v>49409</v>
      </c>
    </row>
    <row r="455" ht="15.75" customHeight="1">
      <c r="A455" s="52" t="s">
        <v>49410</v>
      </c>
      <c r="B455" s="9" t="s">
        <v>11805</v>
      </c>
      <c r="C455" s="9" t="s">
        <v>42538</v>
      </c>
      <c r="D455" s="8" t="s">
        <v>49411</v>
      </c>
    </row>
    <row r="456" ht="15.75" customHeight="1">
      <c r="A456" s="9" t="s">
        <v>49412</v>
      </c>
      <c r="B456" s="9" t="s">
        <v>11875</v>
      </c>
      <c r="C456" s="9" t="s">
        <v>42532</v>
      </c>
      <c r="D456" s="8" t="s">
        <v>49413</v>
      </c>
    </row>
    <row r="457" ht="15.75" customHeight="1">
      <c r="A457" s="9" t="s">
        <v>49414</v>
      </c>
      <c r="B457" s="9" t="s">
        <v>10600</v>
      </c>
      <c r="C457" s="9" t="s">
        <v>42532</v>
      </c>
      <c r="D457" s="8" t="s">
        <v>49415</v>
      </c>
    </row>
    <row r="458" ht="15.75" customHeight="1">
      <c r="A458" s="9" t="s">
        <v>49416</v>
      </c>
      <c r="B458" s="9" t="s">
        <v>10600</v>
      </c>
      <c r="C458" s="9" t="s">
        <v>42543</v>
      </c>
      <c r="D458" s="8" t="s">
        <v>49417</v>
      </c>
    </row>
    <row r="459" ht="15.75" customHeight="1">
      <c r="A459" s="9" t="s">
        <v>49418</v>
      </c>
      <c r="B459" s="9" t="s">
        <v>265</v>
      </c>
      <c r="C459" s="9" t="s">
        <v>42532</v>
      </c>
      <c r="D459" s="8" t="s">
        <v>49419</v>
      </c>
    </row>
    <row r="460" ht="15.75" customHeight="1">
      <c r="A460" s="9" t="s">
        <v>49420</v>
      </c>
      <c r="B460" s="9" t="s">
        <v>10600</v>
      </c>
      <c r="C460" s="9" t="s">
        <v>42538</v>
      </c>
      <c r="D460" s="8" t="s">
        <v>49421</v>
      </c>
    </row>
    <row r="461" ht="15.75" customHeight="1">
      <c r="A461" s="9" t="s">
        <v>49422</v>
      </c>
      <c r="B461" s="9" t="s">
        <v>10225</v>
      </c>
      <c r="C461" s="9" t="s">
        <v>42538</v>
      </c>
      <c r="D461" s="8" t="s">
        <v>49423</v>
      </c>
    </row>
    <row r="462" ht="15.75" customHeight="1">
      <c r="A462" s="9" t="s">
        <v>49424</v>
      </c>
      <c r="B462" s="9" t="s">
        <v>10225</v>
      </c>
      <c r="C462" s="9" t="s">
        <v>42535</v>
      </c>
      <c r="D462" s="8" t="s">
        <v>49425</v>
      </c>
    </row>
    <row r="463" ht="15.75" customHeight="1">
      <c r="A463" s="9" t="s">
        <v>49426</v>
      </c>
      <c r="B463" s="9" t="s">
        <v>11870</v>
      </c>
      <c r="C463" s="9" t="s">
        <v>42538</v>
      </c>
      <c r="D463" s="8" t="s">
        <v>49427</v>
      </c>
    </row>
    <row r="464" ht="15.75" customHeight="1">
      <c r="A464" s="9" t="s">
        <v>49428</v>
      </c>
      <c r="B464" s="9" t="s">
        <v>11870</v>
      </c>
      <c r="C464" s="9" t="s">
        <v>42535</v>
      </c>
      <c r="D464" s="8" t="s">
        <v>49429</v>
      </c>
    </row>
    <row r="465" ht="15.75" customHeight="1">
      <c r="A465" s="9" t="s">
        <v>49430</v>
      </c>
      <c r="B465" s="9" t="s">
        <v>11652</v>
      </c>
      <c r="C465" s="9" t="s">
        <v>42538</v>
      </c>
      <c r="D465" s="8" t="s">
        <v>49431</v>
      </c>
    </row>
    <row r="466" ht="15.75" customHeight="1">
      <c r="A466" s="9" t="s">
        <v>49432</v>
      </c>
      <c r="B466" s="9" t="s">
        <v>12030</v>
      </c>
      <c r="C466" s="9" t="s">
        <v>42535</v>
      </c>
      <c r="D466" s="8" t="s">
        <v>49433</v>
      </c>
    </row>
    <row r="467" ht="15.75" customHeight="1">
      <c r="A467" s="9" t="s">
        <v>49434</v>
      </c>
      <c r="B467" s="9" t="s">
        <v>10608</v>
      </c>
      <c r="C467" s="9" t="s">
        <v>42535</v>
      </c>
      <c r="D467" s="8" t="s">
        <v>49435</v>
      </c>
    </row>
    <row r="468" ht="15.75" customHeight="1">
      <c r="A468" s="9" t="s">
        <v>49436</v>
      </c>
      <c r="B468" s="9" t="s">
        <v>10486</v>
      </c>
      <c r="C468" s="9" t="s">
        <v>42532</v>
      </c>
      <c r="D468" s="8" t="s">
        <v>49437</v>
      </c>
    </row>
    <row r="469" ht="15.75" customHeight="1">
      <c r="A469" s="9" t="s">
        <v>49438</v>
      </c>
      <c r="B469" s="9" t="s">
        <v>10161</v>
      </c>
      <c r="C469" s="9" t="s">
        <v>42532</v>
      </c>
      <c r="D469" s="8" t="s">
        <v>49439</v>
      </c>
    </row>
    <row r="470" ht="15.75" customHeight="1">
      <c r="A470" s="9" t="s">
        <v>49440</v>
      </c>
      <c r="B470" s="9" t="s">
        <v>8779</v>
      </c>
      <c r="C470" s="9" t="s">
        <v>42532</v>
      </c>
      <c r="D470" s="8" t="s">
        <v>49441</v>
      </c>
    </row>
    <row r="471" ht="15.75" customHeight="1">
      <c r="A471" s="9" t="s">
        <v>49442</v>
      </c>
      <c r="B471" s="9" t="s">
        <v>11917</v>
      </c>
      <c r="C471" s="9" t="s">
        <v>42532</v>
      </c>
      <c r="D471" s="8" t="s">
        <v>49443</v>
      </c>
    </row>
    <row r="472" ht="15.75" customHeight="1">
      <c r="A472" s="9" t="s">
        <v>49444</v>
      </c>
      <c r="B472" s="9" t="s">
        <v>10535</v>
      </c>
      <c r="C472" s="9" t="s">
        <v>42538</v>
      </c>
      <c r="D472" s="8" t="s">
        <v>49445</v>
      </c>
    </row>
    <row r="473" ht="15.75" customHeight="1">
      <c r="A473" s="9" t="s">
        <v>49446</v>
      </c>
      <c r="B473" s="9" t="s">
        <v>11870</v>
      </c>
      <c r="C473" s="9" t="s">
        <v>42543</v>
      </c>
      <c r="D473" s="8" t="s">
        <v>49447</v>
      </c>
    </row>
    <row r="474" ht="15.75" customHeight="1">
      <c r="A474" s="9" t="s">
        <v>49448</v>
      </c>
      <c r="B474" s="9" t="s">
        <v>11870</v>
      </c>
      <c r="C474" s="9" t="s">
        <v>42532</v>
      </c>
      <c r="D474" s="8" t="s">
        <v>49449</v>
      </c>
    </row>
    <row r="475" ht="15.75" customHeight="1">
      <c r="A475" s="9" t="s">
        <v>49450</v>
      </c>
      <c r="B475" s="9" t="s">
        <v>6679</v>
      </c>
      <c r="C475" s="9" t="s">
        <v>42532</v>
      </c>
      <c r="D475" s="8" t="s">
        <v>49451</v>
      </c>
    </row>
    <row r="476" ht="15.75" customHeight="1">
      <c r="A476" s="9" t="s">
        <v>49452</v>
      </c>
      <c r="B476" s="9" t="s">
        <v>8956</v>
      </c>
      <c r="C476" s="9" t="s">
        <v>42532</v>
      </c>
      <c r="D476" s="8" t="s">
        <v>49453</v>
      </c>
    </row>
    <row r="477" ht="15.75" customHeight="1">
      <c r="A477" s="9" t="s">
        <v>49454</v>
      </c>
      <c r="B477" s="9" t="s">
        <v>12061</v>
      </c>
      <c r="C477" s="9" t="s">
        <v>42532</v>
      </c>
      <c r="D477" s="8" t="s">
        <v>49156</v>
      </c>
    </row>
    <row r="478" ht="15.75" customHeight="1">
      <c r="A478" s="9" t="s">
        <v>49455</v>
      </c>
      <c r="B478" s="9" t="s">
        <v>2978</v>
      </c>
      <c r="C478" s="9" t="s">
        <v>42532</v>
      </c>
      <c r="D478" s="8" t="s">
        <v>49456</v>
      </c>
    </row>
    <row r="479" ht="15.75" customHeight="1">
      <c r="A479" s="9" t="s">
        <v>49457</v>
      </c>
      <c r="B479" s="9" t="s">
        <v>9724</v>
      </c>
      <c r="C479" s="9" t="s">
        <v>42532</v>
      </c>
      <c r="D479" s="8" t="s">
        <v>49458</v>
      </c>
    </row>
    <row r="480" ht="15.75" customHeight="1">
      <c r="A480" s="9" t="s">
        <v>49459</v>
      </c>
      <c r="B480" s="9" t="s">
        <v>9724</v>
      </c>
      <c r="C480" s="9" t="s">
        <v>42543</v>
      </c>
      <c r="D480" s="8" t="s">
        <v>49460</v>
      </c>
    </row>
    <row r="481" ht="15.75" customHeight="1">
      <c r="A481" s="9" t="s">
        <v>49461</v>
      </c>
      <c r="B481" s="9" t="s">
        <v>8397</v>
      </c>
      <c r="C481" s="9" t="s">
        <v>42535</v>
      </c>
      <c r="D481" s="8" t="s">
        <v>49462</v>
      </c>
    </row>
    <row r="482" ht="15.75" customHeight="1">
      <c r="A482" s="9" t="s">
        <v>49463</v>
      </c>
      <c r="B482" s="9" t="s">
        <v>8397</v>
      </c>
      <c r="C482" s="9" t="s">
        <v>19384</v>
      </c>
      <c r="D482" s="8" t="s">
        <v>49464</v>
      </c>
    </row>
    <row r="483" ht="15.75" customHeight="1">
      <c r="A483" s="9" t="s">
        <v>49465</v>
      </c>
      <c r="B483" s="9" t="s">
        <v>8397</v>
      </c>
      <c r="C483" s="9" t="s">
        <v>42532</v>
      </c>
      <c r="D483" s="8" t="s">
        <v>49466</v>
      </c>
    </row>
    <row r="484" ht="15.75" customHeight="1">
      <c r="A484" s="9" t="s">
        <v>49467</v>
      </c>
      <c r="B484" s="52" t="s">
        <v>12886</v>
      </c>
      <c r="C484" s="9" t="s">
        <v>42532</v>
      </c>
      <c r="D484" s="8" t="s">
        <v>49468</v>
      </c>
    </row>
    <row r="485" ht="15.75" customHeight="1">
      <c r="A485" s="9" t="s">
        <v>49469</v>
      </c>
      <c r="B485" s="52" t="s">
        <v>12886</v>
      </c>
      <c r="C485" s="9" t="s">
        <v>42543</v>
      </c>
      <c r="D485" s="8" t="s">
        <v>49470</v>
      </c>
    </row>
    <row r="486" ht="15.75" customHeight="1">
      <c r="A486" s="9" t="s">
        <v>49471</v>
      </c>
      <c r="B486" s="9" t="s">
        <v>10564</v>
      </c>
      <c r="C486" s="9" t="s">
        <v>42543</v>
      </c>
      <c r="D486" s="8" t="s">
        <v>49472</v>
      </c>
    </row>
    <row r="487" ht="15.75" customHeight="1">
      <c r="A487" s="9" t="s">
        <v>49473</v>
      </c>
      <c r="B487" s="9" t="s">
        <v>10745</v>
      </c>
      <c r="C487" s="9" t="s">
        <v>42546</v>
      </c>
      <c r="D487" s="8" t="s">
        <v>49474</v>
      </c>
    </row>
    <row r="488" ht="15.75" customHeight="1">
      <c r="A488" s="9" t="s">
        <v>49475</v>
      </c>
      <c r="B488" s="9" t="s">
        <v>10745</v>
      </c>
      <c r="C488" s="9" t="s">
        <v>42532</v>
      </c>
      <c r="D488" s="8" t="s">
        <v>49476</v>
      </c>
    </row>
    <row r="489" ht="15.75" customHeight="1">
      <c r="A489" s="9" t="s">
        <v>49477</v>
      </c>
      <c r="B489" s="9" t="s">
        <v>10533</v>
      </c>
      <c r="C489" s="9" t="s">
        <v>42532</v>
      </c>
      <c r="D489" s="8" t="s">
        <v>49478</v>
      </c>
    </row>
    <row r="490" ht="15.75" customHeight="1">
      <c r="A490" s="9" t="s">
        <v>49479</v>
      </c>
      <c r="B490" s="9" t="s">
        <v>10533</v>
      </c>
      <c r="C490" s="9" t="s">
        <v>42535</v>
      </c>
      <c r="D490" s="8" t="s">
        <v>49480</v>
      </c>
    </row>
    <row r="491" ht="15.75" customHeight="1">
      <c r="A491" s="9"/>
      <c r="B491" s="9"/>
      <c r="C491" s="9"/>
      <c r="D491" s="9"/>
    </row>
    <row r="492" ht="15.75" customHeight="1">
      <c r="A492" s="9" t="s">
        <v>49481</v>
      </c>
      <c r="B492" s="9" t="s">
        <v>10531</v>
      </c>
      <c r="C492" s="9" t="s">
        <v>42532</v>
      </c>
      <c r="D492" s="8" t="s">
        <v>49482</v>
      </c>
    </row>
    <row r="493" ht="15.75" customHeight="1">
      <c r="A493" s="9" t="s">
        <v>49483</v>
      </c>
      <c r="B493" s="9" t="s">
        <v>10531</v>
      </c>
      <c r="C493" s="9" t="s">
        <v>42538</v>
      </c>
      <c r="D493" s="8" t="s">
        <v>49484</v>
      </c>
    </row>
    <row r="494" ht="15.75" customHeight="1">
      <c r="A494" s="9" t="s">
        <v>49485</v>
      </c>
      <c r="B494" s="9" t="s">
        <v>10368</v>
      </c>
      <c r="C494" s="9" t="s">
        <v>42532</v>
      </c>
      <c r="D494" s="8" t="s">
        <v>49486</v>
      </c>
    </row>
    <row r="495" ht="15.75" customHeight="1">
      <c r="A495" s="9"/>
      <c r="B495" s="9"/>
      <c r="C495" s="9"/>
      <c r="D495" s="9"/>
    </row>
    <row r="496" ht="15.75" customHeight="1">
      <c r="A496" s="9" t="s">
        <v>49487</v>
      </c>
      <c r="B496" s="9" t="s">
        <v>10368</v>
      </c>
      <c r="C496" s="9" t="s">
        <v>42543</v>
      </c>
      <c r="D496" s="8" t="s">
        <v>49488</v>
      </c>
    </row>
    <row r="497" ht="15.75" customHeight="1">
      <c r="A497" s="9" t="s">
        <v>49489</v>
      </c>
      <c r="B497" s="9" t="s">
        <v>10368</v>
      </c>
      <c r="C497" s="9" t="s">
        <v>42535</v>
      </c>
      <c r="D497" s="8" t="s">
        <v>49490</v>
      </c>
    </row>
    <row r="498" ht="15.75" customHeight="1">
      <c r="A498" s="9" t="s">
        <v>49491</v>
      </c>
      <c r="B498" s="9" t="s">
        <v>1247</v>
      </c>
      <c r="C498" s="9" t="s">
        <v>10068</v>
      </c>
      <c r="D498" s="8" t="s">
        <v>49492</v>
      </c>
    </row>
    <row r="499" ht="15.75" customHeight="1">
      <c r="A499" s="9" t="s">
        <v>49493</v>
      </c>
      <c r="B499" s="9" t="s">
        <v>10715</v>
      </c>
      <c r="C499" s="9" t="s">
        <v>42532</v>
      </c>
      <c r="D499" s="8" t="s">
        <v>49494</v>
      </c>
    </row>
    <row r="500" ht="15.75" customHeight="1">
      <c r="A500" s="9" t="s">
        <v>49495</v>
      </c>
      <c r="B500" s="9" t="s">
        <v>11864</v>
      </c>
      <c r="C500" s="9" t="s">
        <v>42543</v>
      </c>
      <c r="D500" s="8" t="s">
        <v>49496</v>
      </c>
    </row>
    <row r="501" ht="15.75" customHeight="1">
      <c r="A501" s="9" t="s">
        <v>49497</v>
      </c>
      <c r="B501" s="9" t="s">
        <v>11657</v>
      </c>
      <c r="C501" s="9" t="s">
        <v>42543</v>
      </c>
      <c r="D501" s="8" t="s">
        <v>49498</v>
      </c>
    </row>
    <row r="502" ht="15.75" customHeight="1">
      <c r="A502" s="9" t="s">
        <v>49499</v>
      </c>
      <c r="B502" s="9" t="s">
        <v>10616</v>
      </c>
      <c r="C502" s="9" t="s">
        <v>42532</v>
      </c>
      <c r="D502" s="8" t="s">
        <v>49500</v>
      </c>
    </row>
    <row r="503" ht="15.75" customHeight="1">
      <c r="A503" s="9" t="s">
        <v>49501</v>
      </c>
      <c r="B503" s="9" t="s">
        <v>10616</v>
      </c>
      <c r="C503" s="9" t="s">
        <v>42543</v>
      </c>
      <c r="D503" s="8" t="s">
        <v>49212</v>
      </c>
    </row>
    <row r="504" ht="15.75" customHeight="1">
      <c r="A504" s="9" t="s">
        <v>49502</v>
      </c>
      <c r="B504" s="9" t="s">
        <v>9571</v>
      </c>
      <c r="C504" s="9" t="s">
        <v>42535</v>
      </c>
      <c r="D504" s="8" t="s">
        <v>49503</v>
      </c>
    </row>
    <row r="505" ht="15.75" customHeight="1">
      <c r="A505" s="9" t="s">
        <v>49504</v>
      </c>
      <c r="B505" s="9" t="s">
        <v>11887</v>
      </c>
      <c r="C505" s="9" t="s">
        <v>42538</v>
      </c>
      <c r="D505" s="8" t="s">
        <v>18657</v>
      </c>
    </row>
    <row r="506" ht="15.75" customHeight="1">
      <c r="A506" s="9" t="s">
        <v>49505</v>
      </c>
      <c r="B506" s="9" t="s">
        <v>10662</v>
      </c>
      <c r="C506" s="9" t="s">
        <v>42532</v>
      </c>
      <c r="D506" s="8" t="s">
        <v>49506</v>
      </c>
    </row>
    <row r="507" ht="15.75" customHeight="1">
      <c r="A507" s="9" t="s">
        <v>49507</v>
      </c>
      <c r="B507" s="9" t="s">
        <v>11703</v>
      </c>
      <c r="C507" s="9" t="s">
        <v>42532</v>
      </c>
      <c r="D507" s="8" t="s">
        <v>49508</v>
      </c>
    </row>
    <row r="508" ht="15.75" customHeight="1">
      <c r="A508" s="9" t="s">
        <v>49509</v>
      </c>
      <c r="B508" s="9" t="s">
        <v>10613</v>
      </c>
      <c r="C508" s="9" t="s">
        <v>42532</v>
      </c>
      <c r="D508" s="8" t="s">
        <v>49510</v>
      </c>
    </row>
    <row r="509" ht="15.75" customHeight="1">
      <c r="A509" s="9" t="s">
        <v>49511</v>
      </c>
      <c r="B509" s="9" t="s">
        <v>12197</v>
      </c>
      <c r="C509" s="9" t="s">
        <v>42532</v>
      </c>
      <c r="D509" s="8" t="s">
        <v>49512</v>
      </c>
    </row>
    <row r="510" ht="15.75" customHeight="1">
      <c r="A510" s="9" t="s">
        <v>49513</v>
      </c>
      <c r="B510" s="9" t="s">
        <v>12207</v>
      </c>
      <c r="C510" s="9" t="s">
        <v>42532</v>
      </c>
      <c r="D510" s="8" t="s">
        <v>49514</v>
      </c>
    </row>
    <row r="511" ht="15.75" customHeight="1">
      <c r="A511" s="9" t="s">
        <v>49515</v>
      </c>
      <c r="B511" s="9" t="s">
        <v>10477</v>
      </c>
      <c r="C511" s="9" t="s">
        <v>42535</v>
      </c>
      <c r="D511" s="8" t="s">
        <v>49516</v>
      </c>
    </row>
    <row r="512" ht="15.75" customHeight="1">
      <c r="A512" s="9" t="s">
        <v>49517</v>
      </c>
      <c r="B512" s="9" t="s">
        <v>10594</v>
      </c>
      <c r="C512" s="9" t="s">
        <v>42535</v>
      </c>
      <c r="D512" s="8" t="s">
        <v>49518</v>
      </c>
    </row>
    <row r="513" ht="15.75" customHeight="1">
      <c r="A513" s="52" t="s">
        <v>49519</v>
      </c>
      <c r="B513" s="9" t="s">
        <v>12038</v>
      </c>
      <c r="C513" s="9" t="s">
        <v>42532</v>
      </c>
      <c r="D513" s="8" t="s">
        <v>49520</v>
      </c>
    </row>
    <row r="514" ht="15.75" customHeight="1">
      <c r="A514" s="9" t="s">
        <v>49521</v>
      </c>
      <c r="B514" s="9" t="s">
        <v>12038</v>
      </c>
      <c r="C514" s="9" t="s">
        <v>42543</v>
      </c>
      <c r="D514" s="8" t="s">
        <v>49522</v>
      </c>
    </row>
    <row r="515" ht="15.75" customHeight="1">
      <c r="A515" s="9" t="s">
        <v>49523</v>
      </c>
      <c r="B515" s="9" t="s">
        <v>11763</v>
      </c>
      <c r="C515" s="9" t="s">
        <v>42535</v>
      </c>
      <c r="D515" s="8" t="s">
        <v>49524</v>
      </c>
    </row>
    <row r="516" ht="15.75" customHeight="1">
      <c r="A516" s="9" t="s">
        <v>49525</v>
      </c>
      <c r="B516" s="9" t="s">
        <v>11680</v>
      </c>
      <c r="C516" s="9" t="s">
        <v>42538</v>
      </c>
      <c r="D516" s="8" t="s">
        <v>49526</v>
      </c>
    </row>
    <row r="517" ht="15.75" customHeight="1">
      <c r="A517" s="9" t="s">
        <v>49527</v>
      </c>
      <c r="B517" s="9" t="s">
        <v>12020</v>
      </c>
      <c r="C517" s="9" t="s">
        <v>19384</v>
      </c>
      <c r="D517" s="8" t="s">
        <v>49528</v>
      </c>
    </row>
    <row r="518" ht="15.75" customHeight="1">
      <c r="A518" s="9" t="s">
        <v>49529</v>
      </c>
      <c r="B518" s="9" t="s">
        <v>10420</v>
      </c>
      <c r="C518" s="9" t="s">
        <v>19384</v>
      </c>
      <c r="D518" s="8" t="s">
        <v>49528</v>
      </c>
    </row>
    <row r="519" ht="15.75" customHeight="1">
      <c r="A519" s="9" t="s">
        <v>49530</v>
      </c>
      <c r="B519" s="9" t="s">
        <v>12170</v>
      </c>
      <c r="C519" s="9" t="s">
        <v>19384</v>
      </c>
      <c r="D519" s="8" t="s">
        <v>49528</v>
      </c>
    </row>
    <row r="520" ht="15.75" customHeight="1">
      <c r="A520" s="52" t="s">
        <v>49531</v>
      </c>
      <c r="B520" s="9" t="s">
        <v>10271</v>
      </c>
      <c r="C520" s="9" t="s">
        <v>42535</v>
      </c>
      <c r="D520" s="8" t="s">
        <v>49532</v>
      </c>
    </row>
    <row r="521" ht="15.75" customHeight="1">
      <c r="A521" s="52" t="s">
        <v>49533</v>
      </c>
      <c r="B521" s="9" t="s">
        <v>10271</v>
      </c>
      <c r="C521" s="9" t="s">
        <v>42538</v>
      </c>
      <c r="D521" s="8" t="s">
        <v>49534</v>
      </c>
    </row>
    <row r="522" ht="15.75" customHeight="1">
      <c r="A522" s="9" t="s">
        <v>49535</v>
      </c>
      <c r="B522" s="9" t="s">
        <v>10271</v>
      </c>
      <c r="C522" s="9" t="s">
        <v>42532</v>
      </c>
      <c r="D522" s="8" t="s">
        <v>49536</v>
      </c>
    </row>
    <row r="523" ht="15.75" customHeight="1">
      <c r="A523" s="9" t="s">
        <v>49537</v>
      </c>
      <c r="B523" s="9" t="s">
        <v>11684</v>
      </c>
      <c r="C523" s="9" t="s">
        <v>42543</v>
      </c>
      <c r="D523" s="8" t="s">
        <v>49538</v>
      </c>
    </row>
    <row r="524" ht="15.75" customHeight="1">
      <c r="A524" s="9" t="s">
        <v>49539</v>
      </c>
      <c r="B524" s="9" t="s">
        <v>11987</v>
      </c>
      <c r="C524" s="9" t="s">
        <v>42535</v>
      </c>
      <c r="D524" s="8" t="s">
        <v>49540</v>
      </c>
    </row>
    <row r="525" ht="15.75" customHeight="1">
      <c r="A525" s="9" t="s">
        <v>49541</v>
      </c>
      <c r="B525" s="9" t="s">
        <v>11987</v>
      </c>
      <c r="C525" s="9" t="s">
        <v>42546</v>
      </c>
      <c r="D525" s="8" t="s">
        <v>49542</v>
      </c>
    </row>
    <row r="526" ht="15.75" customHeight="1">
      <c r="A526" s="9" t="s">
        <v>49543</v>
      </c>
      <c r="B526" s="9" t="s">
        <v>11637</v>
      </c>
      <c r="C526" s="9" t="s">
        <v>42532</v>
      </c>
      <c r="D526" s="8" t="s">
        <v>49544</v>
      </c>
    </row>
    <row r="527" ht="15.75" customHeight="1">
      <c r="A527" s="9" t="s">
        <v>49545</v>
      </c>
      <c r="B527" s="9" t="s">
        <v>12024</v>
      </c>
      <c r="C527" s="9" t="s">
        <v>42538</v>
      </c>
      <c r="D527" s="8" t="s">
        <v>49546</v>
      </c>
    </row>
    <row r="528" ht="15.75" customHeight="1">
      <c r="A528" s="9" t="s">
        <v>49547</v>
      </c>
      <c r="B528" s="9" t="s">
        <v>12024</v>
      </c>
      <c r="C528" s="9" t="s">
        <v>42543</v>
      </c>
      <c r="D528" s="8" t="s">
        <v>49548</v>
      </c>
    </row>
    <row r="529" ht="15.75" customHeight="1">
      <c r="A529" s="9" t="s">
        <v>49549</v>
      </c>
      <c r="B529" s="9" t="s">
        <v>12024</v>
      </c>
      <c r="C529" s="9" t="s">
        <v>42535</v>
      </c>
      <c r="D529" s="8" t="s">
        <v>49550</v>
      </c>
    </row>
    <row r="530" ht="15.75" customHeight="1">
      <c r="A530" s="9" t="s">
        <v>49551</v>
      </c>
      <c r="B530" s="9" t="s">
        <v>7298</v>
      </c>
      <c r="C530" s="9" t="s">
        <v>42532</v>
      </c>
      <c r="D530" s="8" t="s">
        <v>49552</v>
      </c>
    </row>
    <row r="531" ht="15.75" customHeight="1">
      <c r="A531" s="9" t="s">
        <v>49553</v>
      </c>
      <c r="B531" s="9" t="s">
        <v>7298</v>
      </c>
      <c r="C531" s="9" t="s">
        <v>42535</v>
      </c>
      <c r="D531" s="8" t="s">
        <v>49554</v>
      </c>
    </row>
    <row r="532" ht="15.75" customHeight="1">
      <c r="A532" s="9" t="s">
        <v>49555</v>
      </c>
      <c r="B532" s="9" t="s">
        <v>10691</v>
      </c>
      <c r="C532" s="9" t="s">
        <v>42538</v>
      </c>
      <c r="D532" s="8" t="s">
        <v>49556</v>
      </c>
    </row>
    <row r="533" ht="15.75" customHeight="1">
      <c r="A533" s="9" t="s">
        <v>49557</v>
      </c>
      <c r="B533" s="9" t="s">
        <v>12080</v>
      </c>
      <c r="C533" s="9" t="s">
        <v>42532</v>
      </c>
      <c r="D533" s="8" t="s">
        <v>49558</v>
      </c>
    </row>
    <row r="534" ht="15.75" customHeight="1">
      <c r="A534" s="9" t="s">
        <v>49559</v>
      </c>
      <c r="B534" s="9" t="s">
        <v>11992</v>
      </c>
      <c r="C534" s="9" t="s">
        <v>42535</v>
      </c>
      <c r="D534" s="8" t="s">
        <v>49560</v>
      </c>
    </row>
    <row r="535" ht="15.75" customHeight="1">
      <c r="A535" s="9" t="s">
        <v>49561</v>
      </c>
      <c r="B535" s="9" t="s">
        <v>11992</v>
      </c>
      <c r="C535" s="9" t="s">
        <v>42543</v>
      </c>
      <c r="D535" s="8" t="s">
        <v>49340</v>
      </c>
    </row>
    <row r="536" ht="15.75" customHeight="1">
      <c r="A536" s="9" t="s">
        <v>49562</v>
      </c>
      <c r="B536" s="9" t="s">
        <v>11903</v>
      </c>
      <c r="C536" s="9" t="s">
        <v>42532</v>
      </c>
      <c r="D536" s="8" t="s">
        <v>49563</v>
      </c>
    </row>
    <row r="537" ht="15.75" customHeight="1">
      <c r="A537" s="9" t="s">
        <v>49564</v>
      </c>
      <c r="B537" s="9" t="s">
        <v>11903</v>
      </c>
      <c r="C537" s="9" t="s">
        <v>42543</v>
      </c>
      <c r="D537" s="8" t="s">
        <v>49565</v>
      </c>
    </row>
    <row r="538" ht="15.75" customHeight="1">
      <c r="A538" s="9" t="s">
        <v>49566</v>
      </c>
      <c r="B538" s="9" t="s">
        <v>7328</v>
      </c>
      <c r="C538" s="9" t="s">
        <v>42543</v>
      </c>
      <c r="D538" s="8" t="s">
        <v>49055</v>
      </c>
    </row>
    <row r="539" ht="15.75" customHeight="1">
      <c r="A539" s="9" t="s">
        <v>49567</v>
      </c>
      <c r="B539" s="9" t="s">
        <v>10472</v>
      </c>
      <c r="C539" s="9" t="s">
        <v>42538</v>
      </c>
      <c r="D539" s="8" t="s">
        <v>49568</v>
      </c>
    </row>
    <row r="540" ht="15.75" customHeight="1">
      <c r="A540" s="9" t="s">
        <v>49569</v>
      </c>
      <c r="B540" s="9" t="s">
        <v>10472</v>
      </c>
      <c r="C540" s="9" t="s">
        <v>42546</v>
      </c>
      <c r="D540" s="8" t="s">
        <v>49570</v>
      </c>
    </row>
    <row r="541" ht="15.75" customHeight="1">
      <c r="A541" s="9" t="s">
        <v>49571</v>
      </c>
      <c r="B541" s="9" t="s">
        <v>10472</v>
      </c>
      <c r="C541" s="9" t="s">
        <v>42535</v>
      </c>
      <c r="D541" s="8" t="s">
        <v>49572</v>
      </c>
    </row>
    <row r="542" ht="15.75" customHeight="1">
      <c r="A542" s="9" t="s">
        <v>49573</v>
      </c>
      <c r="B542" s="9" t="s">
        <v>10472</v>
      </c>
      <c r="C542" s="9" t="s">
        <v>42532</v>
      </c>
      <c r="D542" s="8" t="s">
        <v>49574</v>
      </c>
    </row>
    <row r="543" ht="15.75" customHeight="1">
      <c r="A543" s="9" t="s">
        <v>49575</v>
      </c>
      <c r="B543" s="9" t="s">
        <v>10571</v>
      </c>
      <c r="C543" s="9" t="s">
        <v>42532</v>
      </c>
      <c r="D543" s="8" t="s">
        <v>49576</v>
      </c>
    </row>
    <row r="544" ht="15.75" customHeight="1">
      <c r="A544" s="9" t="s">
        <v>49577</v>
      </c>
      <c r="B544" s="52" t="s">
        <v>16638</v>
      </c>
      <c r="C544" s="9" t="s">
        <v>42538</v>
      </c>
      <c r="D544" s="8" t="s">
        <v>49578</v>
      </c>
    </row>
    <row r="545" ht="15.75" customHeight="1">
      <c r="A545" s="9" t="s">
        <v>49579</v>
      </c>
      <c r="B545" s="52" t="s">
        <v>16638</v>
      </c>
      <c r="C545" s="9" t="s">
        <v>42535</v>
      </c>
      <c r="D545" s="8" t="s">
        <v>49580</v>
      </c>
    </row>
    <row r="546" ht="15.75" customHeight="1">
      <c r="A546" s="9" t="s">
        <v>49581</v>
      </c>
      <c r="B546" s="52" t="s">
        <v>16638</v>
      </c>
      <c r="C546" s="9" t="s">
        <v>42532</v>
      </c>
      <c r="D546" s="8" t="s">
        <v>49582</v>
      </c>
    </row>
    <row r="547" ht="15.75" customHeight="1">
      <c r="A547" s="9" t="s">
        <v>49583</v>
      </c>
      <c r="B547" s="9" t="s">
        <v>12050</v>
      </c>
      <c r="C547" s="9" t="s">
        <v>42532</v>
      </c>
      <c r="D547" s="8" t="s">
        <v>49584</v>
      </c>
    </row>
    <row r="548" ht="15.75" customHeight="1">
      <c r="A548" s="9" t="s">
        <v>49585</v>
      </c>
      <c r="B548" s="9" t="s">
        <v>256</v>
      </c>
      <c r="C548" s="9" t="s">
        <v>42538</v>
      </c>
      <c r="D548" s="8" t="s">
        <v>49586</v>
      </c>
    </row>
    <row r="549" ht="15.75" customHeight="1">
      <c r="A549" s="9" t="s">
        <v>49587</v>
      </c>
      <c r="B549" s="9" t="s">
        <v>256</v>
      </c>
      <c r="C549" s="9" t="s">
        <v>10068</v>
      </c>
      <c r="D549" s="8" t="s">
        <v>49588</v>
      </c>
    </row>
    <row r="550" ht="15.75" customHeight="1">
      <c r="A550" s="52" t="s">
        <v>49589</v>
      </c>
      <c r="B550" s="9" t="s">
        <v>3436</v>
      </c>
      <c r="C550" s="9" t="s">
        <v>42538</v>
      </c>
      <c r="D550" s="8" t="s">
        <v>49590</v>
      </c>
    </row>
    <row r="551" ht="15.75" customHeight="1">
      <c r="A551" s="9" t="s">
        <v>49591</v>
      </c>
      <c r="B551" s="9" t="s">
        <v>6444</v>
      </c>
      <c r="C551" s="9" t="s">
        <v>42532</v>
      </c>
      <c r="D551" s="8" t="s">
        <v>49592</v>
      </c>
    </row>
    <row r="552" ht="15.75" customHeight="1">
      <c r="A552" s="9" t="s">
        <v>49593</v>
      </c>
      <c r="B552" s="9" t="s">
        <v>2814</v>
      </c>
      <c r="C552" s="9" t="s">
        <v>42538</v>
      </c>
      <c r="D552" s="8" t="s">
        <v>49594</v>
      </c>
    </row>
    <row r="553" ht="15.75" customHeight="1">
      <c r="A553" s="9" t="s">
        <v>49595</v>
      </c>
      <c r="B553" s="9" t="s">
        <v>11981</v>
      </c>
      <c r="C553" s="9" t="s">
        <v>42532</v>
      </c>
      <c r="D553" s="8" t="s">
        <v>49596</v>
      </c>
    </row>
    <row r="554" ht="15.75" customHeight="1">
      <c r="A554" s="9" t="s">
        <v>49597</v>
      </c>
      <c r="B554" s="9" t="s">
        <v>9268</v>
      </c>
      <c r="C554" s="9" t="s">
        <v>42532</v>
      </c>
      <c r="D554" s="8" t="s">
        <v>9271</v>
      </c>
    </row>
    <row r="555" ht="15.75" customHeight="1">
      <c r="A555" s="9" t="s">
        <v>49598</v>
      </c>
      <c r="B555" s="9" t="s">
        <v>9268</v>
      </c>
      <c r="C555" s="9" t="s">
        <v>42543</v>
      </c>
      <c r="D555" s="8" t="s">
        <v>49599</v>
      </c>
    </row>
    <row r="556" ht="15.75" customHeight="1">
      <c r="A556" s="9" t="s">
        <v>49600</v>
      </c>
      <c r="B556" s="9" t="s">
        <v>12115</v>
      </c>
      <c r="C556" s="9" t="s">
        <v>42535</v>
      </c>
      <c r="D556" s="8" t="s">
        <v>49601</v>
      </c>
    </row>
    <row r="557" ht="15.75" customHeight="1">
      <c r="A557" s="9" t="s">
        <v>49602</v>
      </c>
      <c r="B557" s="9" t="s">
        <v>11971</v>
      </c>
      <c r="C557" s="9" t="s">
        <v>42532</v>
      </c>
      <c r="D557" s="8" t="s">
        <v>49603</v>
      </c>
    </row>
    <row r="558" ht="15.75" customHeight="1">
      <c r="A558" s="9" t="s">
        <v>49604</v>
      </c>
      <c r="B558" s="9" t="s">
        <v>9268</v>
      </c>
      <c r="C558" s="9" t="s">
        <v>42535</v>
      </c>
      <c r="D558" s="8" t="s">
        <v>49605</v>
      </c>
    </row>
    <row r="559" ht="15.75" customHeight="1">
      <c r="A559" s="9" t="s">
        <v>49606</v>
      </c>
      <c r="B559" s="9" t="s">
        <v>8889</v>
      </c>
      <c r="C559" s="9" t="s">
        <v>42532</v>
      </c>
      <c r="D559" s="8" t="s">
        <v>49607</v>
      </c>
    </row>
    <row r="560" ht="15.75" customHeight="1">
      <c r="A560" s="9" t="s">
        <v>49608</v>
      </c>
      <c r="B560" s="9" t="s">
        <v>9375</v>
      </c>
      <c r="C560" s="9" t="s">
        <v>42532</v>
      </c>
      <c r="D560" s="8" t="s">
        <v>49609</v>
      </c>
    </row>
    <row r="561" ht="15.75" customHeight="1">
      <c r="A561" s="9" t="s">
        <v>49610</v>
      </c>
      <c r="B561" s="9" t="s">
        <v>12082</v>
      </c>
      <c r="C561" s="9" t="s">
        <v>42532</v>
      </c>
      <c r="D561" s="8" t="s">
        <v>49611</v>
      </c>
    </row>
    <row r="562" ht="15.75" customHeight="1">
      <c r="A562" s="9" t="s">
        <v>49612</v>
      </c>
      <c r="B562" s="9" t="s">
        <v>12082</v>
      </c>
      <c r="C562" s="9" t="s">
        <v>42543</v>
      </c>
      <c r="D562" s="8" t="s">
        <v>49613</v>
      </c>
    </row>
    <row r="563" ht="15.75" customHeight="1">
      <c r="A563" s="9" t="s">
        <v>49614</v>
      </c>
      <c r="B563" s="9" t="s">
        <v>12115</v>
      </c>
      <c r="C563" s="9" t="s">
        <v>42532</v>
      </c>
      <c r="D563" s="8" t="s">
        <v>49615</v>
      </c>
    </row>
    <row r="564" ht="15.75" customHeight="1">
      <c r="A564" s="9" t="s">
        <v>49616</v>
      </c>
      <c r="B564" s="52" t="s">
        <v>15642</v>
      </c>
      <c r="C564" s="9" t="s">
        <v>42535</v>
      </c>
      <c r="D564" s="8" t="s">
        <v>49617</v>
      </c>
    </row>
    <row r="565" ht="15.75" customHeight="1">
      <c r="A565" s="9" t="s">
        <v>49618</v>
      </c>
      <c r="B565" s="52" t="s">
        <v>15642</v>
      </c>
      <c r="C565" s="9" t="s">
        <v>42546</v>
      </c>
      <c r="D565" s="8" t="s">
        <v>49619</v>
      </c>
    </row>
    <row r="566" ht="15.75" customHeight="1">
      <c r="A566" s="9" t="s">
        <v>49620</v>
      </c>
      <c r="B566" s="9" t="s">
        <v>8993</v>
      </c>
      <c r="C566" s="9" t="s">
        <v>42543</v>
      </c>
      <c r="D566" s="8" t="s">
        <v>49621</v>
      </c>
    </row>
    <row r="567" ht="15.75" customHeight="1">
      <c r="A567" s="9" t="s">
        <v>49622</v>
      </c>
      <c r="B567" s="9" t="s">
        <v>256</v>
      </c>
      <c r="C567" s="9" t="s">
        <v>42532</v>
      </c>
      <c r="D567" s="8" t="s">
        <v>49623</v>
      </c>
    </row>
    <row r="568" ht="15.75" customHeight="1">
      <c r="A568" s="9" t="s">
        <v>49624</v>
      </c>
      <c r="B568" s="9" t="s">
        <v>10567</v>
      </c>
      <c r="C568" s="9" t="s">
        <v>42532</v>
      </c>
      <c r="D568" s="8" t="s">
        <v>49625</v>
      </c>
    </row>
    <row r="569" ht="15.75" customHeight="1">
      <c r="A569" s="9" t="s">
        <v>49626</v>
      </c>
      <c r="B569" s="9" t="s">
        <v>5633</v>
      </c>
      <c r="C569" s="9" t="s">
        <v>42532</v>
      </c>
      <c r="D569" s="8" t="s">
        <v>49627</v>
      </c>
    </row>
    <row r="570" ht="15.75" customHeight="1">
      <c r="A570" s="9" t="s">
        <v>49628</v>
      </c>
      <c r="B570" s="9" t="s">
        <v>10303</v>
      </c>
      <c r="C570" s="9" t="s">
        <v>42532</v>
      </c>
      <c r="D570" s="8" t="s">
        <v>49629</v>
      </c>
    </row>
    <row r="571" ht="15.75" customHeight="1">
      <c r="A571" s="9" t="s">
        <v>49630</v>
      </c>
      <c r="B571" s="9" t="s">
        <v>10303</v>
      </c>
      <c r="C571" s="9" t="s">
        <v>42532</v>
      </c>
      <c r="D571" s="8" t="s">
        <v>49631</v>
      </c>
    </row>
    <row r="572" ht="15.75" customHeight="1">
      <c r="A572" s="9" t="s">
        <v>49632</v>
      </c>
      <c r="B572" s="9" t="s">
        <v>6224</v>
      </c>
      <c r="C572" s="9" t="s">
        <v>42532</v>
      </c>
      <c r="D572" s="8" t="s">
        <v>49633</v>
      </c>
    </row>
    <row r="573" ht="15.75" customHeight="1">
      <c r="A573" s="9" t="s">
        <v>49634</v>
      </c>
      <c r="B573" s="9" t="s">
        <v>11655</v>
      </c>
      <c r="C573" s="9" t="s">
        <v>42532</v>
      </c>
      <c r="D573" s="8" t="s">
        <v>49633</v>
      </c>
    </row>
    <row r="574" ht="15.75" customHeight="1">
      <c r="A574" s="9" t="s">
        <v>49635</v>
      </c>
      <c r="B574" s="9" t="s">
        <v>11992</v>
      </c>
      <c r="C574" s="9" t="s">
        <v>42532</v>
      </c>
      <c r="D574" s="8" t="s">
        <v>49636</v>
      </c>
    </row>
    <row r="575" ht="15.75" customHeight="1">
      <c r="A575" s="9" t="s">
        <v>49637</v>
      </c>
      <c r="B575" s="9" t="s">
        <v>5728</v>
      </c>
      <c r="C575" s="9" t="s">
        <v>42532</v>
      </c>
      <c r="D575" s="8" t="s">
        <v>49638</v>
      </c>
    </row>
    <row r="576" ht="15.75" customHeight="1">
      <c r="A576" s="9" t="s">
        <v>49639</v>
      </c>
      <c r="B576" s="9" t="s">
        <v>10453</v>
      </c>
      <c r="C576" s="9" t="s">
        <v>42535</v>
      </c>
      <c r="D576" s="8" t="s">
        <v>49640</v>
      </c>
    </row>
    <row r="577" ht="15.75" customHeight="1">
      <c r="A577" s="9" t="s">
        <v>49641</v>
      </c>
      <c r="B577" s="9" t="s">
        <v>3663</v>
      </c>
      <c r="C577" s="9" t="s">
        <v>42532</v>
      </c>
      <c r="D577" s="8" t="s">
        <v>49642</v>
      </c>
    </row>
    <row r="578" ht="15.75" customHeight="1">
      <c r="A578" s="9"/>
      <c r="B578" s="9"/>
      <c r="C578" s="9"/>
      <c r="D578" s="9"/>
    </row>
    <row r="579" ht="15.75" customHeight="1">
      <c r="A579" s="9" t="s">
        <v>49643</v>
      </c>
      <c r="B579" s="9" t="s">
        <v>10506</v>
      </c>
      <c r="C579" s="9" t="s">
        <v>42532</v>
      </c>
      <c r="D579" s="8" t="s">
        <v>49644</v>
      </c>
    </row>
    <row r="580" ht="15.75" customHeight="1">
      <c r="A580" s="9" t="s">
        <v>49645</v>
      </c>
      <c r="B580" s="9" t="s">
        <v>10529</v>
      </c>
      <c r="C580" s="9" t="s">
        <v>42538</v>
      </c>
      <c r="D580" s="8" t="s">
        <v>49646</v>
      </c>
    </row>
    <row r="581" ht="15.75" customHeight="1">
      <c r="A581" s="9" t="s">
        <v>49647</v>
      </c>
      <c r="B581" s="9" t="s">
        <v>10529</v>
      </c>
      <c r="C581" s="9" t="s">
        <v>42532</v>
      </c>
      <c r="D581" s="8" t="s">
        <v>49648</v>
      </c>
    </row>
    <row r="582" ht="15.75" customHeight="1">
      <c r="A582" s="9" t="s">
        <v>49649</v>
      </c>
      <c r="B582" s="9" t="s">
        <v>10529</v>
      </c>
      <c r="C582" s="9" t="s">
        <v>42546</v>
      </c>
      <c r="D582" s="8" t="s">
        <v>49650</v>
      </c>
    </row>
    <row r="583" ht="15.75" customHeight="1">
      <c r="A583" s="9" t="s">
        <v>49651</v>
      </c>
      <c r="B583" s="9" t="s">
        <v>9703</v>
      </c>
      <c r="C583" s="9" t="s">
        <v>42532</v>
      </c>
      <c r="D583" s="8" t="s">
        <v>49652</v>
      </c>
    </row>
    <row r="584" ht="15.75" customHeight="1">
      <c r="A584" s="9" t="s">
        <v>49653</v>
      </c>
      <c r="B584" s="9" t="s">
        <v>9703</v>
      </c>
      <c r="C584" s="9" t="s">
        <v>42532</v>
      </c>
      <c r="D584" s="8" t="s">
        <v>49654</v>
      </c>
    </row>
    <row r="585" ht="15.75" customHeight="1">
      <c r="A585" s="9" t="s">
        <v>49655</v>
      </c>
      <c r="B585" s="9" t="s">
        <v>10322</v>
      </c>
      <c r="C585" s="9" t="s">
        <v>42532</v>
      </c>
      <c r="D585" s="8" t="s">
        <v>49656</v>
      </c>
    </row>
    <row r="586" ht="15.75" customHeight="1">
      <c r="A586" s="9" t="s">
        <v>49657</v>
      </c>
      <c r="B586" s="9" t="s">
        <v>11945</v>
      </c>
      <c r="C586" s="9" t="s">
        <v>42532</v>
      </c>
      <c r="D586" s="8" t="s">
        <v>49656</v>
      </c>
    </row>
    <row r="587" ht="15.75" customHeight="1">
      <c r="A587" s="9" t="s">
        <v>49658</v>
      </c>
      <c r="B587" s="9" t="s">
        <v>265</v>
      </c>
      <c r="C587" s="9" t="s">
        <v>42543</v>
      </c>
      <c r="D587" s="8" t="s">
        <v>49659</v>
      </c>
    </row>
    <row r="588" ht="15.75" customHeight="1">
      <c r="A588" s="9" t="s">
        <v>49660</v>
      </c>
      <c r="B588" s="9" t="s">
        <v>5604</v>
      </c>
      <c r="C588" s="9" t="s">
        <v>42543</v>
      </c>
      <c r="D588" s="8" t="s">
        <v>49661</v>
      </c>
    </row>
    <row r="589" ht="15.75" customHeight="1">
      <c r="A589" s="9" t="s">
        <v>49662</v>
      </c>
      <c r="B589" s="9" t="s">
        <v>10425</v>
      </c>
      <c r="C589" s="9" t="s">
        <v>10068</v>
      </c>
      <c r="D589" s="8" t="s">
        <v>49663</v>
      </c>
    </row>
    <row r="590" ht="15.75" customHeight="1">
      <c r="A590" s="9" t="s">
        <v>49664</v>
      </c>
      <c r="B590" s="9" t="s">
        <v>10425</v>
      </c>
      <c r="C590" s="9" t="s">
        <v>19384</v>
      </c>
      <c r="D590" s="8" t="s">
        <v>49665</v>
      </c>
    </row>
    <row r="591" ht="15.75" customHeight="1">
      <c r="A591" s="9" t="s">
        <v>49666</v>
      </c>
      <c r="B591" s="9" t="s">
        <v>10425</v>
      </c>
      <c r="C591" s="9" t="s">
        <v>42532</v>
      </c>
      <c r="D591" s="8" t="s">
        <v>49667</v>
      </c>
    </row>
    <row r="592" ht="15.75" customHeight="1">
      <c r="A592" s="9" t="s">
        <v>49668</v>
      </c>
      <c r="B592" s="9" t="s">
        <v>10425</v>
      </c>
      <c r="C592" s="9" t="s">
        <v>42546</v>
      </c>
      <c r="D592" s="8" t="s">
        <v>49669</v>
      </c>
    </row>
    <row r="593" ht="15.75" customHeight="1">
      <c r="A593" s="9" t="s">
        <v>49670</v>
      </c>
      <c r="B593" s="9" t="s">
        <v>10425</v>
      </c>
      <c r="C593" s="9" t="s">
        <v>42538</v>
      </c>
      <c r="D593" s="8" t="s">
        <v>49671</v>
      </c>
    </row>
    <row r="594" ht="15.75" customHeight="1">
      <c r="A594" s="9" t="s">
        <v>49672</v>
      </c>
      <c r="B594" s="9" t="s">
        <v>10425</v>
      </c>
      <c r="C594" s="9" t="s">
        <v>42535</v>
      </c>
      <c r="D594" s="8" t="s">
        <v>49673</v>
      </c>
    </row>
    <row r="595" ht="15.75" customHeight="1">
      <c r="A595" s="9" t="s">
        <v>49674</v>
      </c>
      <c r="B595" s="9" t="s">
        <v>252</v>
      </c>
      <c r="C595" s="9" t="s">
        <v>42532</v>
      </c>
      <c r="D595" s="8" t="s">
        <v>49675</v>
      </c>
    </row>
    <row r="596" ht="15.75" customHeight="1">
      <c r="A596" s="9" t="s">
        <v>49676</v>
      </c>
      <c r="B596" s="9" t="s">
        <v>10318</v>
      </c>
      <c r="C596" s="9" t="s">
        <v>42546</v>
      </c>
      <c r="D596" s="8" t="s">
        <v>49677</v>
      </c>
    </row>
    <row r="597" ht="15.75" customHeight="1">
      <c r="A597" s="9" t="s">
        <v>49678</v>
      </c>
      <c r="B597" s="9" t="s">
        <v>10318</v>
      </c>
      <c r="C597" s="9" t="s">
        <v>42532</v>
      </c>
      <c r="D597" s="8" t="s">
        <v>49679</v>
      </c>
    </row>
    <row r="598" ht="15.75" customHeight="1">
      <c r="A598" s="9"/>
      <c r="B598" s="9"/>
      <c r="C598" s="9"/>
      <c r="D598" s="9"/>
    </row>
    <row r="599" ht="15.75" customHeight="1">
      <c r="A599" s="9" t="s">
        <v>49680</v>
      </c>
      <c r="B599" s="9" t="s">
        <v>1904</v>
      </c>
      <c r="C599" s="9" t="s">
        <v>42543</v>
      </c>
      <c r="D599" s="8" t="s">
        <v>49681</v>
      </c>
    </row>
    <row r="600" ht="15.75" customHeight="1">
      <c r="A600" s="9" t="s">
        <v>49682</v>
      </c>
      <c r="B600" s="9" t="s">
        <v>1904</v>
      </c>
      <c r="C600" s="9" t="s">
        <v>42532</v>
      </c>
      <c r="D600" s="8" t="s">
        <v>49683</v>
      </c>
    </row>
    <row r="601" ht="15.75" customHeight="1">
      <c r="A601" s="9" t="s">
        <v>49684</v>
      </c>
      <c r="B601" s="9" t="s">
        <v>5586</v>
      </c>
      <c r="C601" s="9" t="s">
        <v>42532</v>
      </c>
      <c r="D601" s="8" t="s">
        <v>49685</v>
      </c>
    </row>
    <row r="602" ht="15.75" customHeight="1">
      <c r="A602" s="9" t="s">
        <v>49686</v>
      </c>
      <c r="B602" s="9" t="s">
        <v>5586</v>
      </c>
      <c r="C602" s="9" t="s">
        <v>42538</v>
      </c>
      <c r="D602" s="8" t="s">
        <v>49687</v>
      </c>
    </row>
    <row r="603" ht="15.75" customHeight="1">
      <c r="A603" s="9" t="s">
        <v>49688</v>
      </c>
      <c r="B603" s="9" t="s">
        <v>11911</v>
      </c>
      <c r="C603" s="9" t="s">
        <v>42543</v>
      </c>
      <c r="D603" s="8" t="s">
        <v>49689</v>
      </c>
    </row>
    <row r="604" ht="15.75" customHeight="1">
      <c r="A604" s="9"/>
      <c r="B604" s="9"/>
      <c r="C604" s="9"/>
      <c r="D604" s="9"/>
    </row>
    <row r="605" ht="15.75" customHeight="1">
      <c r="A605" s="9" t="s">
        <v>49690</v>
      </c>
      <c r="B605" s="9" t="s">
        <v>12108</v>
      </c>
      <c r="C605" s="9" t="s">
        <v>42532</v>
      </c>
      <c r="D605" s="8" t="s">
        <v>49691</v>
      </c>
    </row>
    <row r="606" ht="15.75" customHeight="1">
      <c r="A606" s="9" t="s">
        <v>49692</v>
      </c>
      <c r="B606" s="9" t="s">
        <v>12108</v>
      </c>
      <c r="C606" s="9" t="s">
        <v>42543</v>
      </c>
      <c r="D606" s="8" t="s">
        <v>49693</v>
      </c>
    </row>
    <row r="607" ht="15.75" customHeight="1">
      <c r="A607" s="9" t="s">
        <v>49694</v>
      </c>
      <c r="B607" s="9" t="s">
        <v>5446</v>
      </c>
      <c r="C607" s="9" t="s">
        <v>42532</v>
      </c>
      <c r="D607" s="8" t="s">
        <v>49695</v>
      </c>
    </row>
    <row r="608" ht="15.75" customHeight="1">
      <c r="A608" s="9" t="s">
        <v>49696</v>
      </c>
      <c r="B608" s="9" t="s">
        <v>7988</v>
      </c>
      <c r="C608" s="9" t="s">
        <v>42543</v>
      </c>
      <c r="D608" s="8" t="s">
        <v>49697</v>
      </c>
    </row>
    <row r="609" ht="15.75" customHeight="1">
      <c r="A609" s="9" t="s">
        <v>49698</v>
      </c>
      <c r="B609" s="9" t="s">
        <v>7988</v>
      </c>
      <c r="C609" s="9" t="s">
        <v>42532</v>
      </c>
      <c r="D609" s="8" t="s">
        <v>49699</v>
      </c>
    </row>
    <row r="610" ht="15.75" customHeight="1">
      <c r="A610" s="9" t="s">
        <v>49700</v>
      </c>
      <c r="B610" s="9" t="s">
        <v>12138</v>
      </c>
      <c r="C610" s="9" t="s">
        <v>42532</v>
      </c>
      <c r="D610" s="8" t="s">
        <v>49701</v>
      </c>
    </row>
    <row r="611" ht="15.75" customHeight="1">
      <c r="A611" s="9" t="s">
        <v>49702</v>
      </c>
      <c r="B611" s="9" t="s">
        <v>11545</v>
      </c>
      <c r="C611" s="9" t="s">
        <v>42546</v>
      </c>
      <c r="D611" s="8" t="s">
        <v>49703</v>
      </c>
    </row>
    <row r="612" ht="15.75" customHeight="1">
      <c r="A612" s="9" t="s">
        <v>49704</v>
      </c>
      <c r="B612" s="9" t="s">
        <v>11545</v>
      </c>
      <c r="C612" s="9" t="s">
        <v>42538</v>
      </c>
      <c r="D612" s="8" t="s">
        <v>49705</v>
      </c>
    </row>
    <row r="613" ht="15.75" customHeight="1">
      <c r="A613" s="9" t="s">
        <v>49706</v>
      </c>
      <c r="B613" s="9" t="s">
        <v>11545</v>
      </c>
      <c r="C613" s="9" t="s">
        <v>42535</v>
      </c>
      <c r="D613" s="8" t="s">
        <v>49707</v>
      </c>
    </row>
    <row r="614" ht="15.75" customHeight="1">
      <c r="A614" s="9" t="s">
        <v>49708</v>
      </c>
      <c r="B614" s="9" t="s">
        <v>11864</v>
      </c>
      <c r="C614" s="9" t="s">
        <v>42535</v>
      </c>
      <c r="D614" s="8" t="s">
        <v>49709</v>
      </c>
    </row>
    <row r="615" ht="15.75" customHeight="1">
      <c r="A615" s="9" t="s">
        <v>49710</v>
      </c>
      <c r="B615" s="9" t="s">
        <v>10490</v>
      </c>
      <c r="C615" s="9" t="s">
        <v>42538</v>
      </c>
      <c r="D615" s="8" t="s">
        <v>49711</v>
      </c>
    </row>
    <row r="616" ht="15.75" customHeight="1">
      <c r="A616" s="9" t="s">
        <v>49712</v>
      </c>
      <c r="B616" s="9" t="s">
        <v>10490</v>
      </c>
      <c r="C616" s="9" t="s">
        <v>42532</v>
      </c>
      <c r="D616" s="8" t="s">
        <v>49713</v>
      </c>
    </row>
    <row r="617" ht="15.75" customHeight="1">
      <c r="A617" s="9" t="s">
        <v>49714</v>
      </c>
      <c r="B617" s="9" t="s">
        <v>7988</v>
      </c>
      <c r="C617" s="9" t="s">
        <v>42538</v>
      </c>
      <c r="D617" s="8" t="s">
        <v>49715</v>
      </c>
    </row>
    <row r="618" ht="15.75" customHeight="1">
      <c r="A618" s="9" t="s">
        <v>49716</v>
      </c>
      <c r="B618" s="9" t="s">
        <v>10069</v>
      </c>
      <c r="C618" s="9" t="s">
        <v>42532</v>
      </c>
      <c r="D618" s="8" t="s">
        <v>49717</v>
      </c>
    </row>
    <row r="619" ht="15.75" customHeight="1">
      <c r="A619" s="9" t="s">
        <v>49718</v>
      </c>
      <c r="B619" s="9" t="s">
        <v>7975</v>
      </c>
      <c r="C619" s="9" t="s">
        <v>42532</v>
      </c>
      <c r="D619" s="8" t="s">
        <v>49719</v>
      </c>
    </row>
    <row r="620" ht="15.75" customHeight="1">
      <c r="A620" s="9" t="s">
        <v>49720</v>
      </c>
      <c r="B620" s="9" t="s">
        <v>2234</v>
      </c>
      <c r="C620" s="9" t="s">
        <v>42538</v>
      </c>
      <c r="D620" s="8" t="s">
        <v>49721</v>
      </c>
    </row>
    <row r="621" ht="15.75" customHeight="1">
      <c r="A621" s="9" t="s">
        <v>49722</v>
      </c>
      <c r="B621" s="9" t="s">
        <v>2234</v>
      </c>
      <c r="C621" s="9" t="s">
        <v>42532</v>
      </c>
      <c r="D621" s="8" t="s">
        <v>49723</v>
      </c>
    </row>
    <row r="622" ht="15.75" customHeight="1">
      <c r="A622" s="9" t="s">
        <v>49724</v>
      </c>
      <c r="B622" s="9" t="s">
        <v>8100</v>
      </c>
      <c r="C622" s="9" t="s">
        <v>42532</v>
      </c>
      <c r="D622" s="8" t="s">
        <v>49725</v>
      </c>
    </row>
    <row r="623" ht="15.75" customHeight="1">
      <c r="A623" s="9" t="s">
        <v>49726</v>
      </c>
      <c r="B623" s="9" t="s">
        <v>11975</v>
      </c>
      <c r="C623" s="9" t="s">
        <v>42538</v>
      </c>
      <c r="D623" s="8" t="s">
        <v>49727</v>
      </c>
    </row>
    <row r="624" ht="15.75" customHeight="1">
      <c r="A624" s="9" t="s">
        <v>49728</v>
      </c>
      <c r="B624" s="9" t="s">
        <v>11975</v>
      </c>
      <c r="C624" s="9" t="s">
        <v>42532</v>
      </c>
      <c r="D624" s="8" t="s">
        <v>49729</v>
      </c>
    </row>
    <row r="625" ht="15.75" customHeight="1">
      <c r="A625" s="9" t="s">
        <v>49730</v>
      </c>
      <c r="B625" s="9" t="s">
        <v>11875</v>
      </c>
      <c r="C625" s="9" t="s">
        <v>42535</v>
      </c>
      <c r="D625" s="8" t="s">
        <v>49731</v>
      </c>
    </row>
    <row r="626" ht="15.75" customHeight="1">
      <c r="A626" s="9" t="s">
        <v>49732</v>
      </c>
      <c r="B626" s="9" t="s">
        <v>9199</v>
      </c>
      <c r="C626" s="9" t="s">
        <v>42532</v>
      </c>
      <c r="D626" s="8" t="s">
        <v>49733</v>
      </c>
    </row>
    <row r="627" ht="15.75" customHeight="1">
      <c r="A627" s="9" t="s">
        <v>49734</v>
      </c>
      <c r="B627" s="9" t="s">
        <v>10453</v>
      </c>
      <c r="C627" s="9" t="s">
        <v>42538</v>
      </c>
      <c r="D627" s="8" t="s">
        <v>49735</v>
      </c>
    </row>
    <row r="628" ht="15.75" customHeight="1">
      <c r="A628" s="9" t="s">
        <v>49736</v>
      </c>
      <c r="B628" s="9" t="s">
        <v>10453</v>
      </c>
      <c r="C628" s="9" t="s">
        <v>42532</v>
      </c>
      <c r="D628" s="8" t="s">
        <v>49737</v>
      </c>
    </row>
    <row r="629" ht="15.75" customHeight="1">
      <c r="A629" s="9" t="s">
        <v>49738</v>
      </c>
      <c r="B629" s="9" t="s">
        <v>6433</v>
      </c>
      <c r="C629" s="9" t="s">
        <v>42532</v>
      </c>
      <c r="D629" s="8" t="s">
        <v>49739</v>
      </c>
    </row>
    <row r="630" ht="15.75" customHeight="1">
      <c r="A630" s="9" t="s">
        <v>49740</v>
      </c>
      <c r="B630" s="9" t="s">
        <v>11545</v>
      </c>
      <c r="C630" s="9" t="s">
        <v>42532</v>
      </c>
      <c r="D630" s="8" t="s">
        <v>49701</v>
      </c>
    </row>
    <row r="631" ht="15.75" customHeight="1">
      <c r="A631" s="9" t="s">
        <v>49741</v>
      </c>
      <c r="B631" s="52" t="s">
        <v>16353</v>
      </c>
      <c r="C631" s="9" t="s">
        <v>42538</v>
      </c>
      <c r="D631" s="8" t="s">
        <v>49742</v>
      </c>
    </row>
    <row r="632" ht="15.75" customHeight="1">
      <c r="A632" s="9" t="s">
        <v>49743</v>
      </c>
      <c r="B632" s="9" t="s">
        <v>942</v>
      </c>
      <c r="C632" s="9" t="s">
        <v>42543</v>
      </c>
      <c r="D632" s="8" t="s">
        <v>49744</v>
      </c>
    </row>
    <row r="633" ht="15.75" customHeight="1">
      <c r="A633" s="9" t="s">
        <v>49745</v>
      </c>
      <c r="B633" s="9" t="s">
        <v>942</v>
      </c>
      <c r="C633" s="9" t="s">
        <v>10068</v>
      </c>
      <c r="D633" s="8" t="s">
        <v>49746</v>
      </c>
    </row>
    <row r="634" ht="15.75" customHeight="1">
      <c r="A634" s="9" t="s">
        <v>49747</v>
      </c>
      <c r="B634" s="9" t="s">
        <v>942</v>
      </c>
      <c r="C634" s="9" t="s">
        <v>42532</v>
      </c>
      <c r="D634" s="8" t="s">
        <v>49748</v>
      </c>
    </row>
    <row r="635" ht="15.75" customHeight="1">
      <c r="A635" s="9" t="s">
        <v>49749</v>
      </c>
      <c r="B635" s="9" t="s">
        <v>10556</v>
      </c>
      <c r="C635" s="9" t="s">
        <v>42535</v>
      </c>
      <c r="D635" s="8" t="s">
        <v>49750</v>
      </c>
    </row>
    <row r="636" ht="15.75" customHeight="1">
      <c r="A636" s="9" t="s">
        <v>49751</v>
      </c>
      <c r="B636" s="9" t="s">
        <v>10506</v>
      </c>
      <c r="C636" s="9" t="s">
        <v>42543</v>
      </c>
      <c r="D636" s="8" t="s">
        <v>49752</v>
      </c>
    </row>
    <row r="637" ht="15.75" customHeight="1">
      <c r="A637" s="9"/>
      <c r="B637" s="9"/>
      <c r="C637" s="9"/>
      <c r="D637" s="9"/>
    </row>
    <row r="638" ht="15.75" customHeight="1">
      <c r="A638" s="9"/>
      <c r="B638" s="9"/>
      <c r="C638" s="9"/>
      <c r="D638" s="9"/>
    </row>
    <row r="639" ht="15.75" customHeight="1">
      <c r="A639" s="9" t="s">
        <v>49753</v>
      </c>
      <c r="B639" s="9" t="s">
        <v>6145</v>
      </c>
      <c r="C639" s="9" t="s">
        <v>42532</v>
      </c>
      <c r="D639" s="8" t="s">
        <v>49754</v>
      </c>
    </row>
    <row r="640" ht="15.75" customHeight="1">
      <c r="A640" s="9" t="s">
        <v>49755</v>
      </c>
      <c r="B640" s="9" t="s">
        <v>6145</v>
      </c>
      <c r="C640" s="9" t="s">
        <v>10068</v>
      </c>
      <c r="D640" s="8" t="s">
        <v>49756</v>
      </c>
    </row>
    <row r="641" ht="15.75" customHeight="1">
      <c r="A641" s="9" t="s">
        <v>49757</v>
      </c>
      <c r="B641" s="9" t="s">
        <v>9933</v>
      </c>
      <c r="C641" s="9" t="s">
        <v>42535</v>
      </c>
      <c r="D641" s="8" t="s">
        <v>49758</v>
      </c>
    </row>
    <row r="642" ht="15.75" customHeight="1">
      <c r="A642" s="9" t="s">
        <v>49759</v>
      </c>
      <c r="B642" s="9" t="s">
        <v>9394</v>
      </c>
      <c r="C642" s="9" t="s">
        <v>42532</v>
      </c>
      <c r="D642" s="8" t="s">
        <v>49760</v>
      </c>
    </row>
    <row r="643" ht="15.75" customHeight="1">
      <c r="A643" s="9" t="s">
        <v>49761</v>
      </c>
      <c r="B643" s="9" t="s">
        <v>246</v>
      </c>
      <c r="C643" s="9" t="s">
        <v>42538</v>
      </c>
      <c r="D643" s="8" t="s">
        <v>49762</v>
      </c>
    </row>
    <row r="644" ht="15.75" customHeight="1">
      <c r="A644" s="9" t="s">
        <v>49763</v>
      </c>
      <c r="B644" s="9" t="s">
        <v>3963</v>
      </c>
      <c r="C644" s="9" t="s">
        <v>42538</v>
      </c>
      <c r="D644" s="8" t="s">
        <v>49762</v>
      </c>
    </row>
    <row r="645" ht="15.75" customHeight="1">
      <c r="A645" s="9" t="s">
        <v>49764</v>
      </c>
      <c r="B645" s="9" t="s">
        <v>11717</v>
      </c>
      <c r="C645" s="9" t="s">
        <v>42532</v>
      </c>
      <c r="D645" s="8" t="s">
        <v>49765</v>
      </c>
    </row>
    <row r="646" ht="15.75" customHeight="1">
      <c r="A646" s="9" t="s">
        <v>49766</v>
      </c>
      <c r="B646" s="9" t="s">
        <v>12067</v>
      </c>
      <c r="C646" s="9" t="s">
        <v>42535</v>
      </c>
      <c r="D646" s="8" t="s">
        <v>49767</v>
      </c>
    </row>
    <row r="647" ht="15.75" customHeight="1">
      <c r="A647" s="9" t="s">
        <v>49768</v>
      </c>
      <c r="B647" s="9" t="s">
        <v>11772</v>
      </c>
      <c r="C647" s="9" t="s">
        <v>42538</v>
      </c>
      <c r="D647" s="8" t="s">
        <v>49769</v>
      </c>
    </row>
    <row r="648" ht="15.75" customHeight="1">
      <c r="A648" s="9" t="s">
        <v>49770</v>
      </c>
      <c r="B648" s="9" t="s">
        <v>11724</v>
      </c>
      <c r="C648" s="9" t="s">
        <v>42532</v>
      </c>
      <c r="D648" s="8" t="s">
        <v>49771</v>
      </c>
    </row>
    <row r="649" ht="15.75" customHeight="1">
      <c r="A649" s="9" t="s">
        <v>49772</v>
      </c>
      <c r="B649" s="9" t="s">
        <v>9749</v>
      </c>
      <c r="C649" s="9" t="s">
        <v>10068</v>
      </c>
      <c r="D649" s="8" t="s">
        <v>49773</v>
      </c>
    </row>
    <row r="650" ht="15.75" customHeight="1">
      <c r="A650" s="9" t="s">
        <v>49774</v>
      </c>
      <c r="B650" s="9" t="s">
        <v>4193</v>
      </c>
      <c r="C650" s="9" t="s">
        <v>42535</v>
      </c>
      <c r="D650" s="8" t="s">
        <v>49775</v>
      </c>
    </row>
    <row r="651" ht="15.75" customHeight="1">
      <c r="A651" s="9" t="s">
        <v>49776</v>
      </c>
      <c r="B651" s="9" t="s">
        <v>5446</v>
      </c>
      <c r="C651" s="9" t="s">
        <v>42535</v>
      </c>
      <c r="D651" s="8" t="s">
        <v>49777</v>
      </c>
    </row>
    <row r="652" ht="15.75" customHeight="1">
      <c r="A652" s="9" t="s">
        <v>49778</v>
      </c>
      <c r="B652" s="9" t="s">
        <v>5446</v>
      </c>
      <c r="C652" s="9" t="s">
        <v>42535</v>
      </c>
      <c r="D652" s="8" t="s">
        <v>49779</v>
      </c>
    </row>
    <row r="653" ht="15.75" customHeight="1">
      <c r="A653" s="9" t="s">
        <v>49780</v>
      </c>
      <c r="B653" s="9" t="s">
        <v>5446</v>
      </c>
      <c r="C653" s="9" t="s">
        <v>42535</v>
      </c>
      <c r="D653" s="8" t="s">
        <v>49781</v>
      </c>
    </row>
    <row r="654" ht="15.75" customHeight="1">
      <c r="A654" s="9" t="s">
        <v>49782</v>
      </c>
      <c r="B654" s="9" t="s">
        <v>11802</v>
      </c>
      <c r="C654" s="9" t="s">
        <v>42532</v>
      </c>
      <c r="D654" s="8" t="s">
        <v>49783</v>
      </c>
    </row>
    <row r="655" ht="15.75" customHeight="1">
      <c r="A655" s="9" t="s">
        <v>49784</v>
      </c>
      <c r="B655" s="9" t="s">
        <v>11621</v>
      </c>
      <c r="C655" s="9" t="s">
        <v>42532</v>
      </c>
      <c r="D655" s="8" t="s">
        <v>49785</v>
      </c>
    </row>
    <row r="656" ht="15.75" customHeight="1">
      <c r="A656" s="9" t="s">
        <v>49786</v>
      </c>
      <c r="B656" s="9" t="s">
        <v>10459</v>
      </c>
      <c r="C656" s="9" t="s">
        <v>42532</v>
      </c>
      <c r="D656" s="8" t="s">
        <v>49787</v>
      </c>
    </row>
    <row r="657" ht="15.75" customHeight="1">
      <c r="A657" s="9" t="s">
        <v>49788</v>
      </c>
      <c r="B657" s="9" t="s">
        <v>10695</v>
      </c>
      <c r="C657" s="9" t="s">
        <v>42546</v>
      </c>
      <c r="D657" s="8" t="s">
        <v>49789</v>
      </c>
    </row>
    <row r="658" ht="15.75" customHeight="1">
      <c r="A658" s="9" t="s">
        <v>49790</v>
      </c>
      <c r="B658" s="9" t="s">
        <v>10695</v>
      </c>
      <c r="C658" s="9" t="s">
        <v>42538</v>
      </c>
      <c r="D658" s="8" t="s">
        <v>49791</v>
      </c>
    </row>
    <row r="659" ht="15.75" customHeight="1">
      <c r="A659" s="9"/>
      <c r="B659" s="9"/>
      <c r="C659" s="9"/>
      <c r="D659" s="9"/>
    </row>
    <row r="660" ht="15.75" customHeight="1">
      <c r="A660" s="9"/>
      <c r="B660" s="9"/>
      <c r="C660" s="9"/>
      <c r="D660" s="9"/>
    </row>
    <row r="661" ht="15.75" customHeight="1">
      <c r="A661" s="9" t="s">
        <v>49792</v>
      </c>
      <c r="B661" s="9" t="s">
        <v>7925</v>
      </c>
      <c r="C661" s="9" t="s">
        <v>42532</v>
      </c>
      <c r="D661" s="8" t="s">
        <v>49793</v>
      </c>
    </row>
    <row r="662" ht="15.75" customHeight="1">
      <c r="A662" s="9" t="s">
        <v>49794</v>
      </c>
      <c r="B662" s="9" t="s">
        <v>9361</v>
      </c>
      <c r="C662" s="9" t="s">
        <v>42538</v>
      </c>
      <c r="D662" s="8" t="s">
        <v>49795</v>
      </c>
    </row>
    <row r="663" ht="15.75" customHeight="1">
      <c r="A663" s="9" t="s">
        <v>49796</v>
      </c>
      <c r="B663" s="9" t="s">
        <v>9361</v>
      </c>
      <c r="C663" s="9" t="s">
        <v>42535</v>
      </c>
      <c r="D663" s="8" t="s">
        <v>49797</v>
      </c>
    </row>
    <row r="664" ht="15.75" customHeight="1">
      <c r="A664" s="9" t="s">
        <v>49798</v>
      </c>
      <c r="B664" s="9" t="s">
        <v>9361</v>
      </c>
      <c r="C664" s="9" t="s">
        <v>10068</v>
      </c>
      <c r="D664" s="8" t="s">
        <v>49799</v>
      </c>
    </row>
    <row r="665" ht="15.75" customHeight="1">
      <c r="A665" s="9" t="s">
        <v>49800</v>
      </c>
      <c r="B665" s="9" t="s">
        <v>12067</v>
      </c>
      <c r="C665" s="9" t="s">
        <v>42546</v>
      </c>
      <c r="D665" s="8" t="s">
        <v>49801</v>
      </c>
    </row>
    <row r="666" ht="15.75" customHeight="1">
      <c r="A666" s="9" t="s">
        <v>49802</v>
      </c>
      <c r="B666" s="9" t="s">
        <v>11772</v>
      </c>
      <c r="C666" s="9" t="s">
        <v>42546</v>
      </c>
      <c r="D666" s="8" t="s">
        <v>49801</v>
      </c>
    </row>
    <row r="667" ht="15.75" customHeight="1">
      <c r="A667" s="9" t="s">
        <v>49803</v>
      </c>
      <c r="B667" s="9" t="s">
        <v>10695</v>
      </c>
      <c r="C667" s="9" t="s">
        <v>42532</v>
      </c>
      <c r="D667" s="8" t="s">
        <v>49804</v>
      </c>
    </row>
    <row r="668" ht="15.75" customHeight="1">
      <c r="A668" s="9" t="s">
        <v>49805</v>
      </c>
      <c r="B668" s="9" t="s">
        <v>10695</v>
      </c>
      <c r="C668" s="9" t="s">
        <v>42543</v>
      </c>
      <c r="D668" s="8" t="s">
        <v>49806</v>
      </c>
    </row>
    <row r="669" ht="15.75" customHeight="1">
      <c r="A669" s="9" t="s">
        <v>49807</v>
      </c>
      <c r="B669" s="9" t="s">
        <v>10498</v>
      </c>
      <c r="C669" s="9" t="s">
        <v>42538</v>
      </c>
      <c r="D669" s="8" t="s">
        <v>49808</v>
      </c>
    </row>
    <row r="670" ht="15.75" customHeight="1">
      <c r="A670" s="9" t="s">
        <v>49809</v>
      </c>
      <c r="B670" s="9" t="s">
        <v>11668</v>
      </c>
      <c r="C670" s="9" t="s">
        <v>42532</v>
      </c>
      <c r="D670" s="8" t="s">
        <v>49810</v>
      </c>
    </row>
    <row r="671" ht="15.75" customHeight="1">
      <c r="A671" s="9" t="s">
        <v>49811</v>
      </c>
      <c r="B671" s="9" t="s">
        <v>11949</v>
      </c>
      <c r="C671" s="9" t="s">
        <v>42538</v>
      </c>
      <c r="D671" s="8" t="s">
        <v>49812</v>
      </c>
    </row>
    <row r="672" ht="15.75" customHeight="1">
      <c r="A672" s="9" t="s">
        <v>49813</v>
      </c>
      <c r="B672" s="9" t="s">
        <v>1722</v>
      </c>
      <c r="C672" s="9" t="s">
        <v>42532</v>
      </c>
      <c r="D672" s="8" t="s">
        <v>49814</v>
      </c>
    </row>
    <row r="673" ht="15.75" customHeight="1">
      <c r="A673" s="9" t="s">
        <v>49815</v>
      </c>
      <c r="B673" s="9" t="s">
        <v>4146</v>
      </c>
      <c r="C673" s="9" t="s">
        <v>42532</v>
      </c>
      <c r="D673" s="8" t="s">
        <v>49816</v>
      </c>
    </row>
    <row r="674" ht="15.75" customHeight="1">
      <c r="A674" s="9" t="s">
        <v>49817</v>
      </c>
      <c r="B674" s="9" t="s">
        <v>11951</v>
      </c>
      <c r="C674" s="9" t="s">
        <v>42532</v>
      </c>
      <c r="D674" s="8" t="s">
        <v>49818</v>
      </c>
    </row>
    <row r="675" ht="15.75" customHeight="1">
      <c r="A675" s="52" t="s">
        <v>49819</v>
      </c>
      <c r="B675" s="9" t="s">
        <v>10496</v>
      </c>
      <c r="C675" s="9" t="s">
        <v>42532</v>
      </c>
      <c r="D675" s="8" t="s">
        <v>49820</v>
      </c>
    </row>
    <row r="676" ht="15.75" customHeight="1">
      <c r="A676" s="9" t="s">
        <v>49821</v>
      </c>
      <c r="B676" s="9" t="s">
        <v>1546</v>
      </c>
      <c r="C676" s="9" t="s">
        <v>42543</v>
      </c>
      <c r="D676" s="8" t="s">
        <v>49822</v>
      </c>
    </row>
    <row r="677" ht="15.75" customHeight="1">
      <c r="A677" s="9" t="s">
        <v>49823</v>
      </c>
      <c r="B677" s="9" t="s">
        <v>5139</v>
      </c>
      <c r="C677" s="9" t="s">
        <v>10068</v>
      </c>
      <c r="D677" s="8" t="s">
        <v>49824</v>
      </c>
    </row>
    <row r="678" ht="15.75" customHeight="1">
      <c r="A678" s="9" t="s">
        <v>49825</v>
      </c>
      <c r="B678" s="9" t="s">
        <v>12013</v>
      </c>
      <c r="C678" s="9" t="s">
        <v>42532</v>
      </c>
      <c r="D678" s="8" t="s">
        <v>49826</v>
      </c>
    </row>
    <row r="679" ht="15.75" customHeight="1">
      <c r="A679" s="9" t="s">
        <v>49827</v>
      </c>
      <c r="B679" s="9" t="s">
        <v>11938</v>
      </c>
      <c r="C679" s="9" t="s">
        <v>42532</v>
      </c>
      <c r="D679" s="8" t="s">
        <v>49828</v>
      </c>
    </row>
    <row r="680" ht="15.75" customHeight="1">
      <c r="A680" s="9" t="s">
        <v>49829</v>
      </c>
      <c r="B680" s="9" t="s">
        <v>10518</v>
      </c>
      <c r="C680" s="9" t="s">
        <v>42532</v>
      </c>
      <c r="D680" s="8" t="s">
        <v>49830</v>
      </c>
    </row>
    <row r="681" ht="15.75" customHeight="1">
      <c r="A681" s="9" t="s">
        <v>49831</v>
      </c>
      <c r="B681" s="9" t="s">
        <v>10518</v>
      </c>
      <c r="C681" s="9" t="s">
        <v>42535</v>
      </c>
      <c r="D681" s="8" t="s">
        <v>49832</v>
      </c>
    </row>
    <row r="682" ht="15.75" customHeight="1">
      <c r="A682" s="9" t="s">
        <v>49833</v>
      </c>
      <c r="B682" s="9" t="s">
        <v>8114</v>
      </c>
      <c r="C682" s="9" t="s">
        <v>42532</v>
      </c>
      <c r="D682" s="8" t="s">
        <v>49834</v>
      </c>
    </row>
    <row r="683" ht="15.75" customHeight="1">
      <c r="A683" s="9" t="s">
        <v>49835</v>
      </c>
      <c r="B683" s="9" t="s">
        <v>12093</v>
      </c>
      <c r="C683" s="9" t="s">
        <v>42538</v>
      </c>
      <c r="D683" s="8" t="s">
        <v>49836</v>
      </c>
    </row>
    <row r="684" ht="15.75" customHeight="1">
      <c r="A684" s="9" t="s">
        <v>49837</v>
      </c>
      <c r="B684" s="9" t="s">
        <v>10400</v>
      </c>
      <c r="C684" s="9" t="s">
        <v>42538</v>
      </c>
      <c r="D684" s="8" t="s">
        <v>49836</v>
      </c>
    </row>
    <row r="685" ht="15.75" customHeight="1">
      <c r="A685" s="9" t="s">
        <v>49838</v>
      </c>
      <c r="B685" s="9" t="s">
        <v>10467</v>
      </c>
      <c r="C685" s="9" t="s">
        <v>42538</v>
      </c>
      <c r="D685" s="8" t="s">
        <v>49836</v>
      </c>
    </row>
    <row r="686" ht="15.75" customHeight="1">
      <c r="A686" s="9" t="s">
        <v>49839</v>
      </c>
      <c r="B686" s="9" t="s">
        <v>11951</v>
      </c>
      <c r="C686" s="9" t="s">
        <v>42543</v>
      </c>
      <c r="D686" s="8" t="s">
        <v>49840</v>
      </c>
    </row>
    <row r="687" ht="15.75" customHeight="1">
      <c r="A687" s="9" t="s">
        <v>49841</v>
      </c>
      <c r="B687" s="9" t="s">
        <v>10707</v>
      </c>
      <c r="C687" s="9" t="s">
        <v>42532</v>
      </c>
      <c r="D687" s="8" t="s">
        <v>49842</v>
      </c>
    </row>
    <row r="688" ht="15.75" customHeight="1">
      <c r="A688" s="9" t="s">
        <v>49843</v>
      </c>
      <c r="B688" s="52" t="s">
        <v>16619</v>
      </c>
      <c r="C688" s="9" t="s">
        <v>42532</v>
      </c>
      <c r="D688" s="8" t="s">
        <v>49844</v>
      </c>
    </row>
    <row r="689" ht="15.75" customHeight="1">
      <c r="A689" s="9" t="s">
        <v>49845</v>
      </c>
      <c r="B689" s="52" t="s">
        <v>16619</v>
      </c>
      <c r="C689" s="9" t="s">
        <v>42543</v>
      </c>
      <c r="D689" s="8" t="s">
        <v>49846</v>
      </c>
    </row>
    <row r="690" ht="15.75" customHeight="1">
      <c r="A690" s="9" t="s">
        <v>49847</v>
      </c>
      <c r="B690" s="9" t="s">
        <v>10695</v>
      </c>
      <c r="C690" s="9" t="s">
        <v>42535</v>
      </c>
      <c r="D690" s="8" t="s">
        <v>49848</v>
      </c>
    </row>
    <row r="691" ht="15.75" customHeight="1">
      <c r="A691" s="9" t="s">
        <v>49849</v>
      </c>
      <c r="B691" s="9" t="s">
        <v>10522</v>
      </c>
      <c r="C691" s="9" t="s">
        <v>42535</v>
      </c>
      <c r="D691" s="8" t="s">
        <v>49850</v>
      </c>
    </row>
    <row r="692" ht="15.75" customHeight="1">
      <c r="A692" s="9" t="s">
        <v>49851</v>
      </c>
      <c r="B692" s="9" t="s">
        <v>10488</v>
      </c>
      <c r="C692" s="9" t="s">
        <v>42535</v>
      </c>
      <c r="D692" s="8" t="s">
        <v>49852</v>
      </c>
    </row>
    <row r="693" ht="15.75" customHeight="1">
      <c r="A693" s="9" t="s">
        <v>49853</v>
      </c>
      <c r="B693" s="9" t="s">
        <v>10500</v>
      </c>
      <c r="C693" s="9" t="s">
        <v>42532</v>
      </c>
      <c r="D693" s="8" t="s">
        <v>49854</v>
      </c>
    </row>
    <row r="694" ht="15.75" customHeight="1">
      <c r="A694" s="9"/>
      <c r="B694" s="9"/>
      <c r="C694" s="9"/>
      <c r="D694" s="9"/>
    </row>
    <row r="695" ht="15.75" customHeight="1">
      <c r="A695" s="9" t="s">
        <v>49855</v>
      </c>
      <c r="B695" s="9" t="s">
        <v>10482</v>
      </c>
      <c r="C695" s="9" t="s">
        <v>42532</v>
      </c>
      <c r="D695" s="8" t="s">
        <v>49856</v>
      </c>
    </row>
    <row r="696" ht="15.75" customHeight="1">
      <c r="A696" s="9"/>
      <c r="B696" s="9"/>
      <c r="C696" s="9"/>
      <c r="D696" s="9"/>
    </row>
    <row r="697" ht="15.75" customHeight="1">
      <c r="A697" s="9" t="s">
        <v>49857</v>
      </c>
      <c r="B697" s="9" t="s">
        <v>10482</v>
      </c>
      <c r="C697" s="9" t="s">
        <v>10068</v>
      </c>
      <c r="D697" s="8" t="s">
        <v>49858</v>
      </c>
    </row>
    <row r="698" ht="15.75" customHeight="1">
      <c r="A698" s="9" t="s">
        <v>49859</v>
      </c>
      <c r="B698" s="9" t="s">
        <v>10482</v>
      </c>
      <c r="C698" s="9" t="s">
        <v>42543</v>
      </c>
      <c r="D698" s="8" t="s">
        <v>49860</v>
      </c>
    </row>
    <row r="699" ht="15.75" customHeight="1">
      <c r="A699" s="9" t="s">
        <v>49861</v>
      </c>
      <c r="B699" s="9" t="s">
        <v>10482</v>
      </c>
      <c r="C699" s="9" t="s">
        <v>42538</v>
      </c>
      <c r="D699" s="8" t="s">
        <v>49862</v>
      </c>
    </row>
    <row r="700" ht="15.75" customHeight="1">
      <c r="A700" s="9" t="s">
        <v>49863</v>
      </c>
      <c r="B700" s="9" t="s">
        <v>10482</v>
      </c>
      <c r="C700" s="9" t="s">
        <v>42535</v>
      </c>
      <c r="D700" s="8" t="s">
        <v>49864</v>
      </c>
    </row>
    <row r="701" ht="15.75" customHeight="1">
      <c r="A701" s="9" t="s">
        <v>49865</v>
      </c>
      <c r="B701" s="9" t="s">
        <v>270</v>
      </c>
      <c r="C701" s="9" t="s">
        <v>42543</v>
      </c>
      <c r="D701" s="8" t="s">
        <v>49866</v>
      </c>
    </row>
    <row r="702" ht="15.75" customHeight="1">
      <c r="A702" s="9" t="s">
        <v>49867</v>
      </c>
      <c r="B702" s="9" t="s">
        <v>270</v>
      </c>
      <c r="C702" s="9" t="s">
        <v>42532</v>
      </c>
      <c r="D702" s="8" t="s">
        <v>49868</v>
      </c>
    </row>
    <row r="703" ht="15.75" customHeight="1">
      <c r="A703" s="9" t="s">
        <v>49869</v>
      </c>
      <c r="B703" s="9" t="s">
        <v>270</v>
      </c>
      <c r="C703" s="9" t="s">
        <v>42532</v>
      </c>
      <c r="D703" s="8" t="s">
        <v>49870</v>
      </c>
    </row>
    <row r="704" ht="15.75" customHeight="1">
      <c r="A704" s="9" t="s">
        <v>49871</v>
      </c>
      <c r="B704" s="9" t="s">
        <v>11719</v>
      </c>
      <c r="C704" s="9" t="s">
        <v>42538</v>
      </c>
      <c r="D704" s="8" t="s">
        <v>49872</v>
      </c>
    </row>
    <row r="705" ht="15.75" customHeight="1">
      <c r="A705" s="9" t="s">
        <v>49873</v>
      </c>
      <c r="B705" s="9" t="s">
        <v>11719</v>
      </c>
      <c r="C705" s="9" t="s">
        <v>42532</v>
      </c>
      <c r="D705" s="8" t="s">
        <v>49771</v>
      </c>
    </row>
    <row r="706" ht="15.75" customHeight="1">
      <c r="A706" s="9" t="s">
        <v>49874</v>
      </c>
      <c r="B706" s="9" t="s">
        <v>11719</v>
      </c>
      <c r="C706" s="9" t="s">
        <v>42535</v>
      </c>
      <c r="D706" s="8" t="s">
        <v>49875</v>
      </c>
    </row>
    <row r="707" ht="15.75" customHeight="1">
      <c r="A707" s="9" t="s">
        <v>49876</v>
      </c>
      <c r="B707" s="9" t="s">
        <v>11834</v>
      </c>
      <c r="C707" s="9" t="s">
        <v>42532</v>
      </c>
      <c r="D707" s="8" t="s">
        <v>49877</v>
      </c>
    </row>
    <row r="708" ht="15.75" customHeight="1">
      <c r="A708" s="9" t="s">
        <v>49878</v>
      </c>
      <c r="B708" s="9" t="s">
        <v>10502</v>
      </c>
      <c r="C708" s="9" t="s">
        <v>42538</v>
      </c>
      <c r="D708" s="8" t="s">
        <v>49879</v>
      </c>
    </row>
    <row r="709" ht="15.75" customHeight="1">
      <c r="A709" s="9" t="s">
        <v>49880</v>
      </c>
      <c r="B709" s="9" t="s">
        <v>12016</v>
      </c>
      <c r="C709" s="9" t="s">
        <v>42532</v>
      </c>
      <c r="D709" s="8" t="s">
        <v>49881</v>
      </c>
    </row>
    <row r="710" ht="15.75" customHeight="1">
      <c r="A710" s="9" t="s">
        <v>49882</v>
      </c>
      <c r="B710" s="9" t="s">
        <v>11795</v>
      </c>
      <c r="C710" s="9" t="s">
        <v>42532</v>
      </c>
      <c r="D710" s="8" t="s">
        <v>49883</v>
      </c>
    </row>
    <row r="711" ht="15.75" customHeight="1">
      <c r="A711" s="9" t="s">
        <v>49884</v>
      </c>
      <c r="B711" s="9" t="s">
        <v>12165</v>
      </c>
      <c r="C711" s="9" t="s">
        <v>42538</v>
      </c>
      <c r="D711" s="8" t="s">
        <v>49885</v>
      </c>
    </row>
    <row r="712" ht="15.75" customHeight="1">
      <c r="A712" s="9" t="s">
        <v>49886</v>
      </c>
      <c r="B712" s="9" t="s">
        <v>7483</v>
      </c>
      <c r="C712" s="9" t="s">
        <v>10068</v>
      </c>
      <c r="D712" s="8" t="s">
        <v>49887</v>
      </c>
    </row>
    <row r="713" ht="15.75" customHeight="1">
      <c r="A713" s="9" t="s">
        <v>49888</v>
      </c>
      <c r="B713" s="9" t="s">
        <v>7483</v>
      </c>
      <c r="C713" s="9" t="s">
        <v>42532</v>
      </c>
      <c r="D713" s="8" t="s">
        <v>49889</v>
      </c>
    </row>
    <row r="714" ht="15.75" customHeight="1">
      <c r="A714" s="9" t="s">
        <v>49890</v>
      </c>
      <c r="B714" s="9" t="s">
        <v>10447</v>
      </c>
      <c r="C714" s="9" t="s">
        <v>42535</v>
      </c>
      <c r="D714" s="8" t="s">
        <v>49891</v>
      </c>
    </row>
    <row r="715" ht="15.75" customHeight="1">
      <c r="A715" s="9" t="s">
        <v>49892</v>
      </c>
      <c r="B715" s="9" t="s">
        <v>10447</v>
      </c>
      <c r="C715" s="9" t="s">
        <v>42532</v>
      </c>
      <c r="D715" s="8" t="s">
        <v>49893</v>
      </c>
    </row>
    <row r="716" ht="15.75" customHeight="1">
      <c r="A716" s="9" t="s">
        <v>49894</v>
      </c>
      <c r="B716" s="9" t="s">
        <v>3233</v>
      </c>
      <c r="C716" s="9" t="s">
        <v>42532</v>
      </c>
      <c r="D716" s="8" t="s">
        <v>49895</v>
      </c>
    </row>
    <row r="717" ht="15.75" customHeight="1">
      <c r="A717" s="9" t="s">
        <v>49896</v>
      </c>
      <c r="B717" s="9" t="s">
        <v>11884</v>
      </c>
      <c r="C717" s="9" t="s">
        <v>42532</v>
      </c>
      <c r="D717" s="8" t="s">
        <v>49897</v>
      </c>
    </row>
    <row r="718" ht="15.75" customHeight="1">
      <c r="A718" s="9" t="s">
        <v>49898</v>
      </c>
      <c r="B718" s="9" t="s">
        <v>10480</v>
      </c>
      <c r="C718" s="9" t="s">
        <v>10068</v>
      </c>
      <c r="D718" s="8" t="s">
        <v>49858</v>
      </c>
    </row>
    <row r="719" ht="15.75" customHeight="1">
      <c r="A719" s="9" t="s">
        <v>49899</v>
      </c>
      <c r="B719" s="9" t="s">
        <v>10480</v>
      </c>
      <c r="C719" s="9" t="s">
        <v>42532</v>
      </c>
      <c r="D719" s="8" t="s">
        <v>49856</v>
      </c>
    </row>
    <row r="720" ht="15.75" customHeight="1">
      <c r="A720" s="9" t="s">
        <v>49900</v>
      </c>
      <c r="B720" s="9" t="s">
        <v>10480</v>
      </c>
      <c r="C720" s="9" t="s">
        <v>42543</v>
      </c>
      <c r="D720" s="8" t="s">
        <v>49901</v>
      </c>
    </row>
    <row r="721" ht="15.75" customHeight="1">
      <c r="A721" s="9" t="s">
        <v>49902</v>
      </c>
      <c r="B721" s="9" t="s">
        <v>10480</v>
      </c>
      <c r="C721" s="9" t="s">
        <v>42538</v>
      </c>
      <c r="D721" s="8" t="s">
        <v>49903</v>
      </c>
    </row>
    <row r="722" ht="15.75" customHeight="1">
      <c r="A722" s="9" t="s">
        <v>49904</v>
      </c>
      <c r="B722" s="9" t="s">
        <v>10480</v>
      </c>
      <c r="C722" s="9" t="s">
        <v>42535</v>
      </c>
      <c r="D722" s="8" t="s">
        <v>49905</v>
      </c>
    </row>
    <row r="723" ht="15.75" customHeight="1">
      <c r="A723" s="9" t="s">
        <v>49906</v>
      </c>
      <c r="B723" s="9" t="s">
        <v>12176</v>
      </c>
      <c r="C723" s="9" t="s">
        <v>42543</v>
      </c>
      <c r="D723" s="8" t="s">
        <v>49901</v>
      </c>
    </row>
    <row r="724" ht="15.75" customHeight="1">
      <c r="A724" s="9" t="s">
        <v>49907</v>
      </c>
      <c r="B724" s="9" t="s">
        <v>12176</v>
      </c>
      <c r="C724" s="9" t="s">
        <v>42535</v>
      </c>
      <c r="D724" s="8" t="s">
        <v>49908</v>
      </c>
    </row>
    <row r="725" ht="15.75" customHeight="1">
      <c r="A725" s="9" t="s">
        <v>49909</v>
      </c>
      <c r="B725" s="9" t="s">
        <v>12176</v>
      </c>
      <c r="C725" s="9" t="s">
        <v>42532</v>
      </c>
      <c r="D725" s="8" t="s">
        <v>49856</v>
      </c>
    </row>
    <row r="726" ht="15.75" customHeight="1">
      <c r="A726" s="9" t="s">
        <v>49910</v>
      </c>
      <c r="B726" s="9" t="s">
        <v>12176</v>
      </c>
      <c r="C726" s="9" t="s">
        <v>10068</v>
      </c>
      <c r="D726" s="8" t="s">
        <v>49858</v>
      </c>
    </row>
    <row r="727" ht="15.75" customHeight="1">
      <c r="A727" s="9" t="s">
        <v>49911</v>
      </c>
      <c r="B727" s="9" t="s">
        <v>12176</v>
      </c>
      <c r="C727" s="9" t="s">
        <v>42538</v>
      </c>
      <c r="D727" s="8" t="s">
        <v>49903</v>
      </c>
    </row>
    <row r="728" ht="15.75" customHeight="1">
      <c r="A728" s="9" t="s">
        <v>49912</v>
      </c>
      <c r="B728" s="9" t="s">
        <v>10447</v>
      </c>
      <c r="C728" s="9" t="s">
        <v>42538</v>
      </c>
      <c r="D728" s="8" t="s">
        <v>49913</v>
      </c>
    </row>
    <row r="729" ht="15.75" customHeight="1">
      <c r="A729" s="9" t="s">
        <v>49914</v>
      </c>
      <c r="B729" s="9" t="s">
        <v>1561</v>
      </c>
      <c r="C729" s="9" t="s">
        <v>42535</v>
      </c>
      <c r="D729" s="8" t="s">
        <v>49915</v>
      </c>
    </row>
    <row r="730" ht="15.75" customHeight="1">
      <c r="A730" s="9" t="s">
        <v>49916</v>
      </c>
      <c r="B730" s="9" t="s">
        <v>1561</v>
      </c>
      <c r="C730" s="9" t="s">
        <v>42538</v>
      </c>
      <c r="D730" s="8" t="s">
        <v>49917</v>
      </c>
    </row>
    <row r="731" ht="15.75" customHeight="1">
      <c r="A731" s="9" t="s">
        <v>49918</v>
      </c>
      <c r="B731" s="9" t="s">
        <v>8867</v>
      </c>
      <c r="C731" s="9" t="s">
        <v>10068</v>
      </c>
      <c r="D731" s="8" t="s">
        <v>49919</v>
      </c>
    </row>
    <row r="732" ht="15.75" customHeight="1">
      <c r="A732" s="9" t="s">
        <v>49920</v>
      </c>
      <c r="B732" s="9" t="s">
        <v>10506</v>
      </c>
      <c r="C732" s="9" t="s">
        <v>42538</v>
      </c>
      <c r="D732" s="8" t="s">
        <v>49921</v>
      </c>
    </row>
    <row r="733" ht="15.75" customHeight="1">
      <c r="A733" s="9" t="s">
        <v>49922</v>
      </c>
      <c r="B733" s="9" t="s">
        <v>11618</v>
      </c>
      <c r="C733" s="9" t="s">
        <v>42532</v>
      </c>
      <c r="D733" s="8" t="s">
        <v>49923</v>
      </c>
    </row>
    <row r="734" ht="15.75" customHeight="1">
      <c r="A734" s="9" t="s">
        <v>49924</v>
      </c>
      <c r="B734" s="9" t="s">
        <v>11618</v>
      </c>
      <c r="C734" s="9" t="s">
        <v>42543</v>
      </c>
      <c r="D734" s="8" t="s">
        <v>49925</v>
      </c>
    </row>
    <row r="735" ht="15.75" customHeight="1">
      <c r="A735" s="52" t="s">
        <v>49926</v>
      </c>
      <c r="B735" s="9" t="s">
        <v>11744</v>
      </c>
      <c r="C735" s="9" t="s">
        <v>42538</v>
      </c>
      <c r="D735" s="8" t="s">
        <v>49927</v>
      </c>
    </row>
    <row r="736" ht="15.75" customHeight="1">
      <c r="A736" s="9" t="s">
        <v>49928</v>
      </c>
      <c r="B736" s="9" t="s">
        <v>11744</v>
      </c>
      <c r="C736" s="9" t="s">
        <v>42532</v>
      </c>
      <c r="D736" s="8" t="s">
        <v>49449</v>
      </c>
    </row>
    <row r="737" ht="15.75" customHeight="1">
      <c r="A737" s="9" t="s">
        <v>49929</v>
      </c>
      <c r="B737" s="9" t="s">
        <v>11744</v>
      </c>
      <c r="C737" s="9" t="s">
        <v>42543</v>
      </c>
      <c r="D737" s="8" t="s">
        <v>49447</v>
      </c>
    </row>
    <row r="738" ht="15.75" customHeight="1">
      <c r="A738" s="9" t="s">
        <v>49930</v>
      </c>
      <c r="B738" s="9" t="s">
        <v>11744</v>
      </c>
      <c r="C738" s="9" t="s">
        <v>42535</v>
      </c>
      <c r="D738" s="8" t="s">
        <v>49931</v>
      </c>
    </row>
    <row r="739" ht="15.75" customHeight="1">
      <c r="A739" s="9" t="s">
        <v>49932</v>
      </c>
      <c r="B739" s="9" t="s">
        <v>11724</v>
      </c>
      <c r="C739" s="9" t="s">
        <v>42538</v>
      </c>
      <c r="D739" s="8" t="s">
        <v>49933</v>
      </c>
    </row>
    <row r="740" ht="15.75" customHeight="1">
      <c r="A740" s="9" t="s">
        <v>49934</v>
      </c>
      <c r="B740" s="9" t="s">
        <v>9012</v>
      </c>
      <c r="C740" s="9" t="s">
        <v>10068</v>
      </c>
      <c r="D740" s="8" t="s">
        <v>49935</v>
      </c>
    </row>
    <row r="741" ht="15.75" customHeight="1">
      <c r="A741" s="9" t="s">
        <v>49936</v>
      </c>
      <c r="B741" s="9" t="s">
        <v>9012</v>
      </c>
      <c r="C741" s="9" t="s">
        <v>42538</v>
      </c>
      <c r="D741" s="8" t="s">
        <v>49937</v>
      </c>
    </row>
    <row r="742" ht="15.75" customHeight="1">
      <c r="A742" s="9" t="s">
        <v>49938</v>
      </c>
      <c r="B742" s="9" t="s">
        <v>9626</v>
      </c>
      <c r="C742" s="9" t="s">
        <v>42532</v>
      </c>
      <c r="D742" s="8" t="s">
        <v>49939</v>
      </c>
    </row>
    <row r="743" ht="15.75" customHeight="1">
      <c r="A743" s="9" t="s">
        <v>49940</v>
      </c>
      <c r="B743" s="9" t="s">
        <v>10709</v>
      </c>
      <c r="C743" s="9" t="s">
        <v>10068</v>
      </c>
      <c r="D743" s="8" t="s">
        <v>49941</v>
      </c>
    </row>
    <row r="744" ht="15.75" customHeight="1">
      <c r="A744" s="9" t="s">
        <v>49942</v>
      </c>
      <c r="B744" s="9" t="s">
        <v>10709</v>
      </c>
      <c r="C744" s="9" t="s">
        <v>42532</v>
      </c>
      <c r="D744" s="8" t="s">
        <v>49943</v>
      </c>
    </row>
    <row r="745" ht="15.75" customHeight="1">
      <c r="A745" s="9" t="s">
        <v>49944</v>
      </c>
      <c r="B745" s="9" t="s">
        <v>10709</v>
      </c>
      <c r="C745" s="9" t="s">
        <v>42543</v>
      </c>
      <c r="D745" s="8" t="s">
        <v>49945</v>
      </c>
    </row>
    <row r="746" ht="15.75" customHeight="1">
      <c r="A746" s="9" t="s">
        <v>49946</v>
      </c>
      <c r="B746" s="9" t="s">
        <v>12128</v>
      </c>
      <c r="C746" s="9" t="s">
        <v>42532</v>
      </c>
      <c r="D746" s="8" t="s">
        <v>49947</v>
      </c>
    </row>
    <row r="747" ht="15.75" customHeight="1">
      <c r="A747" s="9" t="s">
        <v>49948</v>
      </c>
      <c r="B747" s="9" t="s">
        <v>9714</v>
      </c>
      <c r="C747" s="9" t="s">
        <v>42532</v>
      </c>
      <c r="D747" s="8" t="s">
        <v>49949</v>
      </c>
    </row>
    <row r="748" ht="15.75" customHeight="1">
      <c r="A748" s="9" t="s">
        <v>49950</v>
      </c>
      <c r="B748" s="9" t="s">
        <v>11358</v>
      </c>
      <c r="C748" s="9" t="s">
        <v>42535</v>
      </c>
      <c r="D748" s="8" t="s">
        <v>49951</v>
      </c>
    </row>
    <row r="749" ht="15.75" customHeight="1">
      <c r="A749" s="9" t="s">
        <v>49952</v>
      </c>
      <c r="B749" s="9" t="s">
        <v>11358</v>
      </c>
      <c r="C749" s="9" t="s">
        <v>42535</v>
      </c>
      <c r="D749" s="8" t="s">
        <v>49953</v>
      </c>
    </row>
    <row r="750" ht="15.75" customHeight="1">
      <c r="A750" s="9" t="s">
        <v>49954</v>
      </c>
      <c r="B750" s="9" t="s">
        <v>11358</v>
      </c>
      <c r="C750" s="9" t="s">
        <v>42532</v>
      </c>
      <c r="D750" s="8" t="s">
        <v>49955</v>
      </c>
    </row>
    <row r="751" ht="15.75" customHeight="1">
      <c r="A751" s="9" t="s">
        <v>49956</v>
      </c>
      <c r="B751" s="9" t="s">
        <v>11358</v>
      </c>
      <c r="C751" s="9" t="s">
        <v>42535</v>
      </c>
      <c r="D751" s="8" t="s">
        <v>49957</v>
      </c>
    </row>
    <row r="752" ht="15.75" customHeight="1">
      <c r="A752" s="9" t="s">
        <v>49958</v>
      </c>
      <c r="B752" s="9" t="s">
        <v>7041</v>
      </c>
      <c r="C752" s="9" t="s">
        <v>42532</v>
      </c>
      <c r="D752" s="8" t="s">
        <v>49959</v>
      </c>
    </row>
    <row r="753" ht="15.75" customHeight="1">
      <c r="A753" s="9" t="s">
        <v>49960</v>
      </c>
      <c r="B753" s="9" t="s">
        <v>12004</v>
      </c>
      <c r="C753" s="9" t="s">
        <v>42535</v>
      </c>
      <c r="D753" s="8" t="s">
        <v>49961</v>
      </c>
    </row>
    <row r="754" ht="15.75" customHeight="1">
      <c r="A754" s="9" t="s">
        <v>49962</v>
      </c>
      <c r="B754" s="9" t="s">
        <v>11413</v>
      </c>
      <c r="C754" s="9" t="s">
        <v>42535</v>
      </c>
      <c r="D754" s="8" t="s">
        <v>49963</v>
      </c>
    </row>
    <row r="755" ht="15.75" customHeight="1">
      <c r="A755" s="9" t="s">
        <v>49964</v>
      </c>
      <c r="B755" s="9" t="s">
        <v>11413</v>
      </c>
      <c r="C755" s="9" t="s">
        <v>42532</v>
      </c>
      <c r="D755" s="8" t="s">
        <v>49965</v>
      </c>
    </row>
    <row r="756" ht="15.75" customHeight="1">
      <c r="A756" s="9" t="s">
        <v>49966</v>
      </c>
      <c r="B756" s="9" t="s">
        <v>12041</v>
      </c>
      <c r="C756" s="9" t="s">
        <v>42546</v>
      </c>
      <c r="D756" s="8" t="s">
        <v>49967</v>
      </c>
    </row>
    <row r="757" ht="15.75" customHeight="1">
      <c r="A757" s="9" t="s">
        <v>49968</v>
      </c>
      <c r="B757" s="9" t="s">
        <v>1747</v>
      </c>
      <c r="C757" s="9" t="s">
        <v>42546</v>
      </c>
      <c r="D757" s="8" t="s">
        <v>49969</v>
      </c>
    </row>
    <row r="758" ht="15.75" customHeight="1">
      <c r="A758" s="9" t="s">
        <v>49970</v>
      </c>
      <c r="B758" s="9" t="s">
        <v>9801</v>
      </c>
      <c r="C758" s="9" t="s">
        <v>42535</v>
      </c>
      <c r="D758" s="8" t="s">
        <v>49971</v>
      </c>
    </row>
    <row r="759" ht="15.75" customHeight="1">
      <c r="A759" s="9" t="s">
        <v>49972</v>
      </c>
      <c r="B759" s="9" t="s">
        <v>8578</v>
      </c>
      <c r="C759" s="9" t="s">
        <v>42535</v>
      </c>
      <c r="D759" s="8" t="s">
        <v>49973</v>
      </c>
    </row>
    <row r="760" ht="15.75" customHeight="1">
      <c r="A760" s="9" t="s">
        <v>49974</v>
      </c>
      <c r="B760" s="9" t="s">
        <v>8578</v>
      </c>
      <c r="C760" s="9" t="s">
        <v>42535</v>
      </c>
      <c r="D760" s="8" t="s">
        <v>49975</v>
      </c>
    </row>
    <row r="761" ht="15.75" customHeight="1">
      <c r="A761" s="9" t="s">
        <v>49976</v>
      </c>
      <c r="B761" s="9" t="s">
        <v>11413</v>
      </c>
      <c r="C761" s="9" t="s">
        <v>42535</v>
      </c>
      <c r="D761" s="8" t="s">
        <v>49977</v>
      </c>
    </row>
    <row r="762" ht="15.75" customHeight="1">
      <c r="A762" s="9" t="s">
        <v>49978</v>
      </c>
      <c r="B762" s="9" t="s">
        <v>8291</v>
      </c>
      <c r="C762" s="9" t="s">
        <v>42532</v>
      </c>
      <c r="D762" s="8" t="s">
        <v>49979</v>
      </c>
    </row>
    <row r="763" ht="15.75" customHeight="1">
      <c r="A763" s="9" t="s">
        <v>49980</v>
      </c>
      <c r="B763" s="9" t="s">
        <v>12065</v>
      </c>
      <c r="C763" s="9" t="s">
        <v>42535</v>
      </c>
      <c r="D763" s="8" t="s">
        <v>49981</v>
      </c>
    </row>
    <row r="764" ht="15.75" customHeight="1">
      <c r="A764" s="9" t="s">
        <v>49982</v>
      </c>
      <c r="B764" s="9" t="s">
        <v>11694</v>
      </c>
      <c r="C764" s="9" t="s">
        <v>42532</v>
      </c>
      <c r="D764" s="8" t="s">
        <v>49983</v>
      </c>
    </row>
    <row r="765" ht="15.75" customHeight="1">
      <c r="A765" s="9" t="s">
        <v>49984</v>
      </c>
      <c r="B765" s="9" t="s">
        <v>11963</v>
      </c>
      <c r="C765" s="9" t="s">
        <v>42543</v>
      </c>
      <c r="D765" s="8" t="s">
        <v>49985</v>
      </c>
    </row>
    <row r="766" ht="15.75" customHeight="1">
      <c r="A766" s="9" t="s">
        <v>49986</v>
      </c>
      <c r="B766" s="9" t="s">
        <v>11845</v>
      </c>
      <c r="C766" s="9" t="s">
        <v>42532</v>
      </c>
      <c r="D766" s="8" t="s">
        <v>49987</v>
      </c>
    </row>
    <row r="767" ht="15.75" customHeight="1">
      <c r="A767" s="9" t="s">
        <v>49988</v>
      </c>
      <c r="B767" s="9" t="s">
        <v>11845</v>
      </c>
      <c r="C767" s="9" t="s">
        <v>42543</v>
      </c>
      <c r="D767" s="8" t="s">
        <v>49989</v>
      </c>
    </row>
    <row r="768" ht="15.75" customHeight="1">
      <c r="A768" s="9" t="s">
        <v>49990</v>
      </c>
      <c r="B768" s="9" t="s">
        <v>10423</v>
      </c>
      <c r="C768" s="9" t="s">
        <v>42532</v>
      </c>
      <c r="D768" s="8" t="s">
        <v>49991</v>
      </c>
    </row>
    <row r="769" ht="15.75" customHeight="1">
      <c r="A769" s="9" t="s">
        <v>49992</v>
      </c>
      <c r="B769" s="9" t="s">
        <v>11899</v>
      </c>
      <c r="C769" s="9" t="s">
        <v>42532</v>
      </c>
      <c r="D769" s="8" t="s">
        <v>49991</v>
      </c>
    </row>
    <row r="770" ht="15.75" customHeight="1">
      <c r="A770" s="9"/>
      <c r="B770" s="9"/>
      <c r="C770" s="9"/>
      <c r="D770" s="9"/>
    </row>
    <row r="771" ht="15.75" customHeight="1">
      <c r="A771" s="9" t="s">
        <v>49993</v>
      </c>
      <c r="B771" s="9" t="s">
        <v>10308</v>
      </c>
      <c r="C771" s="9" t="s">
        <v>19384</v>
      </c>
      <c r="D771" s="8" t="s">
        <v>49994</v>
      </c>
    </row>
    <row r="772" ht="15.75" customHeight="1">
      <c r="A772" s="9" t="s">
        <v>49995</v>
      </c>
      <c r="B772" s="9" t="s">
        <v>10308</v>
      </c>
      <c r="C772" s="9" t="s">
        <v>42538</v>
      </c>
      <c r="D772" s="8" t="s">
        <v>49996</v>
      </c>
    </row>
    <row r="773" ht="15.75" customHeight="1">
      <c r="A773" s="9" t="s">
        <v>49997</v>
      </c>
      <c r="B773" s="9" t="s">
        <v>10664</v>
      </c>
      <c r="C773" s="9" t="s">
        <v>42535</v>
      </c>
      <c r="D773" s="8" t="s">
        <v>49998</v>
      </c>
    </row>
    <row r="774" ht="15.75" customHeight="1">
      <c r="A774" s="9" t="s">
        <v>49999</v>
      </c>
      <c r="B774" s="9" t="s">
        <v>8578</v>
      </c>
      <c r="C774" s="9" t="s">
        <v>42546</v>
      </c>
      <c r="D774" s="8" t="s">
        <v>50000</v>
      </c>
    </row>
    <row r="775" ht="15.75" customHeight="1">
      <c r="A775" s="9" t="s">
        <v>50001</v>
      </c>
      <c r="B775" s="9" t="s">
        <v>2902</v>
      </c>
      <c r="C775" s="9" t="s">
        <v>42538</v>
      </c>
      <c r="D775" s="8" t="s">
        <v>50002</v>
      </c>
    </row>
    <row r="776" ht="15.75" customHeight="1">
      <c r="A776" s="9" t="s">
        <v>50003</v>
      </c>
      <c r="B776" s="9" t="s">
        <v>10128</v>
      </c>
      <c r="C776" s="9" t="s">
        <v>42538</v>
      </c>
      <c r="D776" s="8" t="s">
        <v>50004</v>
      </c>
    </row>
    <row r="777" ht="15.75" customHeight="1">
      <c r="A777" s="9" t="s">
        <v>50005</v>
      </c>
      <c r="B777" s="9" t="s">
        <v>9796</v>
      </c>
      <c r="C777" s="9" t="s">
        <v>42532</v>
      </c>
      <c r="D777" s="8" t="s">
        <v>50006</v>
      </c>
    </row>
    <row r="778" ht="15.75" customHeight="1">
      <c r="A778" s="9" t="s">
        <v>50007</v>
      </c>
      <c r="B778" s="9" t="s">
        <v>9796</v>
      </c>
      <c r="C778" s="9" t="s">
        <v>10068</v>
      </c>
      <c r="D778" s="8" t="s">
        <v>50008</v>
      </c>
    </row>
    <row r="779" ht="15.75" customHeight="1">
      <c r="A779" s="9" t="s">
        <v>50009</v>
      </c>
      <c r="B779" s="9" t="s">
        <v>12004</v>
      </c>
      <c r="C779" s="9" t="s">
        <v>42532</v>
      </c>
      <c r="D779" s="8" t="s">
        <v>50010</v>
      </c>
    </row>
    <row r="780" ht="15.75" customHeight="1">
      <c r="A780" s="9" t="s">
        <v>50011</v>
      </c>
      <c r="B780" s="9" t="s">
        <v>12004</v>
      </c>
      <c r="C780" s="9" t="s">
        <v>42538</v>
      </c>
      <c r="D780" s="8" t="s">
        <v>50012</v>
      </c>
    </row>
    <row r="781" ht="15.75" customHeight="1">
      <c r="A781" s="9" t="s">
        <v>50013</v>
      </c>
      <c r="B781" s="9" t="s">
        <v>12085</v>
      </c>
      <c r="C781" s="9" t="s">
        <v>42532</v>
      </c>
      <c r="D781" s="8" t="s">
        <v>50014</v>
      </c>
    </row>
    <row r="782" ht="15.75" customHeight="1">
      <c r="A782" s="9" t="s">
        <v>50015</v>
      </c>
      <c r="B782" s="9" t="s">
        <v>11929</v>
      </c>
      <c r="C782" s="9" t="s">
        <v>42532</v>
      </c>
      <c r="D782" s="8" t="s">
        <v>50016</v>
      </c>
    </row>
    <row r="783" ht="15.75" customHeight="1">
      <c r="A783" s="9" t="s">
        <v>50017</v>
      </c>
      <c r="B783" s="9" t="s">
        <v>11929</v>
      </c>
      <c r="C783" s="9" t="s">
        <v>42535</v>
      </c>
      <c r="D783" s="8" t="s">
        <v>50018</v>
      </c>
    </row>
    <row r="784" ht="15.75" customHeight="1">
      <c r="A784" s="9" t="s">
        <v>50019</v>
      </c>
      <c r="B784" s="9" t="s">
        <v>11929</v>
      </c>
      <c r="C784" s="9" t="s">
        <v>42546</v>
      </c>
      <c r="D784" s="8" t="s">
        <v>50020</v>
      </c>
    </row>
    <row r="785" ht="15.75" customHeight="1">
      <c r="A785" s="9" t="s">
        <v>50021</v>
      </c>
      <c r="B785" s="9" t="s">
        <v>12132</v>
      </c>
      <c r="C785" s="9" t="s">
        <v>42532</v>
      </c>
      <c r="D785" s="8" t="s">
        <v>50022</v>
      </c>
    </row>
    <row r="786" ht="15.75" customHeight="1">
      <c r="A786" s="9" t="s">
        <v>50023</v>
      </c>
      <c r="B786" s="9" t="s">
        <v>12132</v>
      </c>
      <c r="C786" s="9" t="s">
        <v>42535</v>
      </c>
      <c r="D786" s="8" t="s">
        <v>50024</v>
      </c>
    </row>
    <row r="787" ht="15.75" customHeight="1">
      <c r="A787" s="9" t="s">
        <v>50025</v>
      </c>
      <c r="B787" s="9" t="s">
        <v>12132</v>
      </c>
      <c r="C787" s="9" t="s">
        <v>42538</v>
      </c>
      <c r="D787" s="8" t="s">
        <v>50026</v>
      </c>
    </row>
    <row r="788" ht="15.75" customHeight="1">
      <c r="A788" s="9" t="s">
        <v>50027</v>
      </c>
      <c r="B788" s="9" t="s">
        <v>11640</v>
      </c>
      <c r="C788" s="9" t="s">
        <v>42538</v>
      </c>
      <c r="D788" s="8" t="s">
        <v>50028</v>
      </c>
    </row>
    <row r="789" ht="15.75" customHeight="1">
      <c r="A789" s="9" t="s">
        <v>50029</v>
      </c>
      <c r="B789" s="9" t="s">
        <v>11640</v>
      </c>
      <c r="C789" s="9" t="s">
        <v>42532</v>
      </c>
      <c r="D789" s="8" t="s">
        <v>50022</v>
      </c>
    </row>
    <row r="790" ht="15.75" customHeight="1">
      <c r="A790" s="9" t="s">
        <v>50030</v>
      </c>
      <c r="B790" s="9" t="s">
        <v>11640</v>
      </c>
      <c r="C790" s="9" t="s">
        <v>42535</v>
      </c>
      <c r="D790" s="8" t="s">
        <v>50031</v>
      </c>
    </row>
    <row r="791" ht="15.75" customHeight="1">
      <c r="A791" s="9" t="s">
        <v>50032</v>
      </c>
      <c r="B791" s="9" t="s">
        <v>10291</v>
      </c>
      <c r="C791" s="9" t="s">
        <v>42532</v>
      </c>
      <c r="D791" s="8" t="s">
        <v>50033</v>
      </c>
    </row>
    <row r="792" ht="15.75" customHeight="1">
      <c r="A792" s="9" t="s">
        <v>50034</v>
      </c>
      <c r="B792" s="9" t="s">
        <v>11800</v>
      </c>
      <c r="C792" s="9" t="s">
        <v>42535</v>
      </c>
      <c r="D792" s="8" t="s">
        <v>50035</v>
      </c>
    </row>
    <row r="793" ht="15.75" customHeight="1">
      <c r="A793" s="9" t="s">
        <v>50036</v>
      </c>
      <c r="B793" s="9" t="s">
        <v>10308</v>
      </c>
      <c r="C793" s="9" t="s">
        <v>42546</v>
      </c>
      <c r="D793" s="8" t="s">
        <v>50037</v>
      </c>
    </row>
    <row r="794" ht="15.75" customHeight="1">
      <c r="A794" s="9" t="s">
        <v>50038</v>
      </c>
      <c r="B794" s="9" t="s">
        <v>7867</v>
      </c>
      <c r="C794" s="9" t="s">
        <v>42532</v>
      </c>
      <c r="D794" s="8" t="s">
        <v>50039</v>
      </c>
    </row>
    <row r="795" ht="15.75" customHeight="1">
      <c r="A795" s="9" t="s">
        <v>50040</v>
      </c>
      <c r="B795" s="9" t="s">
        <v>8910</v>
      </c>
      <c r="C795" s="9" t="s">
        <v>42532</v>
      </c>
      <c r="D795" s="8" t="s">
        <v>50041</v>
      </c>
    </row>
    <row r="796" ht="15.75" customHeight="1">
      <c r="A796" s="9" t="s">
        <v>50042</v>
      </c>
      <c r="B796" s="9" t="s">
        <v>10440</v>
      </c>
      <c r="C796" s="9" t="s">
        <v>42546</v>
      </c>
      <c r="D796" s="8" t="s">
        <v>50043</v>
      </c>
    </row>
    <row r="797" ht="15.75" customHeight="1">
      <c r="A797" s="9" t="s">
        <v>50044</v>
      </c>
      <c r="B797" s="9" t="s">
        <v>10440</v>
      </c>
      <c r="C797" s="9" t="s">
        <v>42538</v>
      </c>
      <c r="D797" s="8" t="s">
        <v>50045</v>
      </c>
    </row>
    <row r="798" ht="15.75" customHeight="1">
      <c r="A798" s="9" t="s">
        <v>50046</v>
      </c>
      <c r="B798" s="9" t="s">
        <v>10449</v>
      </c>
      <c r="C798" s="9" t="s">
        <v>42532</v>
      </c>
      <c r="D798" s="8" t="s">
        <v>50047</v>
      </c>
    </row>
    <row r="799" ht="15.75" customHeight="1">
      <c r="A799" s="9" t="s">
        <v>50048</v>
      </c>
      <c r="B799" s="9" t="s">
        <v>10449</v>
      </c>
      <c r="C799" s="9" t="s">
        <v>42535</v>
      </c>
      <c r="D799" s="8" t="s">
        <v>50049</v>
      </c>
    </row>
    <row r="800" ht="15.75" customHeight="1">
      <c r="A800" s="9" t="s">
        <v>50050</v>
      </c>
      <c r="B800" s="9" t="s">
        <v>10449</v>
      </c>
      <c r="C800" s="9" t="s">
        <v>42546</v>
      </c>
      <c r="D800" s="8" t="s">
        <v>50051</v>
      </c>
    </row>
    <row r="801" ht="15.75" customHeight="1">
      <c r="A801" s="9" t="s">
        <v>50052</v>
      </c>
      <c r="B801" s="9" t="s">
        <v>11610</v>
      </c>
      <c r="C801" s="9" t="s">
        <v>42535</v>
      </c>
      <c r="D801" s="8" t="s">
        <v>50053</v>
      </c>
    </row>
    <row r="802" ht="15.75" customHeight="1">
      <c r="A802" s="9" t="s">
        <v>50054</v>
      </c>
      <c r="B802" s="9" t="s">
        <v>11610</v>
      </c>
      <c r="C802" s="9" t="s">
        <v>42538</v>
      </c>
      <c r="D802" s="8" t="s">
        <v>50055</v>
      </c>
    </row>
    <row r="803" ht="15.75" customHeight="1">
      <c r="A803" s="9" t="s">
        <v>50056</v>
      </c>
      <c r="B803" s="9" t="s">
        <v>11358</v>
      </c>
      <c r="C803" s="9" t="s">
        <v>42535</v>
      </c>
      <c r="D803" s="8" t="s">
        <v>50057</v>
      </c>
    </row>
    <row r="804" ht="15.75" customHeight="1">
      <c r="A804" s="9" t="s">
        <v>50058</v>
      </c>
      <c r="B804" s="9" t="s">
        <v>10522</v>
      </c>
      <c r="C804" s="9" t="s">
        <v>42532</v>
      </c>
      <c r="D804" s="8" t="s">
        <v>50059</v>
      </c>
    </row>
    <row r="805" ht="15.75" customHeight="1">
      <c r="A805" s="9" t="s">
        <v>50060</v>
      </c>
      <c r="B805" s="9" t="s">
        <v>10522</v>
      </c>
      <c r="C805" s="9" t="s">
        <v>42543</v>
      </c>
      <c r="D805" s="8" t="s">
        <v>50061</v>
      </c>
    </row>
    <row r="806" ht="15.75" customHeight="1">
      <c r="A806" s="9" t="s">
        <v>50062</v>
      </c>
      <c r="B806" s="9" t="s">
        <v>10699</v>
      </c>
      <c r="C806" s="9" t="s">
        <v>42543</v>
      </c>
      <c r="D806" s="8" t="s">
        <v>50063</v>
      </c>
    </row>
    <row r="807" ht="15.75" customHeight="1">
      <c r="A807" s="9" t="s">
        <v>50064</v>
      </c>
      <c r="B807" s="9" t="s">
        <v>10699</v>
      </c>
      <c r="C807" s="9" t="s">
        <v>42535</v>
      </c>
      <c r="D807" s="8" t="s">
        <v>50065</v>
      </c>
    </row>
    <row r="808" ht="15.75" customHeight="1">
      <c r="A808" s="9" t="s">
        <v>50066</v>
      </c>
      <c r="B808" s="9" t="s">
        <v>10699</v>
      </c>
      <c r="C808" s="9" t="s">
        <v>42538</v>
      </c>
      <c r="D808" s="8" t="s">
        <v>50067</v>
      </c>
    </row>
    <row r="809" ht="15.75" customHeight="1">
      <c r="A809" s="9" t="s">
        <v>50068</v>
      </c>
      <c r="B809" s="9" t="s">
        <v>11800</v>
      </c>
      <c r="C809" s="9" t="s">
        <v>42532</v>
      </c>
      <c r="D809" s="8" t="s">
        <v>50069</v>
      </c>
    </row>
    <row r="810" ht="15.75" customHeight="1">
      <c r="A810" s="9" t="s">
        <v>50070</v>
      </c>
      <c r="B810" s="9" t="s">
        <v>2978</v>
      </c>
      <c r="C810" s="9" t="s">
        <v>42543</v>
      </c>
      <c r="D810" s="8" t="s">
        <v>50071</v>
      </c>
    </row>
    <row r="811" ht="15.75" customHeight="1">
      <c r="A811" s="9" t="s">
        <v>50072</v>
      </c>
      <c r="B811" s="9" t="s">
        <v>10308</v>
      </c>
      <c r="C811" s="9" t="s">
        <v>42535</v>
      </c>
      <c r="D811" s="8" t="s">
        <v>50073</v>
      </c>
    </row>
    <row r="812" ht="15.75" customHeight="1">
      <c r="A812" s="9" t="s">
        <v>50074</v>
      </c>
      <c r="B812" s="9" t="s">
        <v>12059</v>
      </c>
      <c r="C812" s="9" t="s">
        <v>42532</v>
      </c>
      <c r="D812" s="8" t="s">
        <v>50075</v>
      </c>
    </row>
    <row r="813" ht="15.75" customHeight="1">
      <c r="A813" s="9" t="s">
        <v>50076</v>
      </c>
      <c r="B813" s="9" t="s">
        <v>12059</v>
      </c>
      <c r="C813" s="9" t="s">
        <v>42538</v>
      </c>
      <c r="D813" s="8" t="s">
        <v>50077</v>
      </c>
    </row>
    <row r="814" ht="15.75" customHeight="1">
      <c r="A814" s="9" t="s">
        <v>50078</v>
      </c>
      <c r="B814" s="9" t="s">
        <v>7026</v>
      </c>
      <c r="C814" s="9" t="s">
        <v>42538</v>
      </c>
      <c r="D814" s="8" t="s">
        <v>50079</v>
      </c>
    </row>
    <row r="815" ht="15.75" customHeight="1">
      <c r="A815" s="52" t="s">
        <v>50080</v>
      </c>
      <c r="B815" s="9" t="s">
        <v>7041</v>
      </c>
      <c r="C815" s="9" t="s">
        <v>42538</v>
      </c>
      <c r="D815" s="8" t="s">
        <v>50079</v>
      </c>
    </row>
    <row r="816" ht="15.75" customHeight="1">
      <c r="A816" s="9" t="s">
        <v>50081</v>
      </c>
      <c r="B816" s="52" t="s">
        <v>14304</v>
      </c>
      <c r="C816" s="9" t="s">
        <v>10068</v>
      </c>
      <c r="D816" s="8" t="s">
        <v>50082</v>
      </c>
    </row>
    <row r="817" ht="15.75" customHeight="1">
      <c r="A817" s="52" t="s">
        <v>50083</v>
      </c>
      <c r="B817" s="9" t="s">
        <v>7026</v>
      </c>
      <c r="C817" s="9" t="s">
        <v>10068</v>
      </c>
      <c r="D817" s="8" t="s">
        <v>50082</v>
      </c>
    </row>
    <row r="818" ht="15.75" customHeight="1">
      <c r="A818" s="9" t="s">
        <v>50084</v>
      </c>
      <c r="B818" s="9" t="s">
        <v>10416</v>
      </c>
      <c r="C818" s="9" t="s">
        <v>42532</v>
      </c>
      <c r="D818" s="8" t="s">
        <v>50085</v>
      </c>
    </row>
    <row r="819" ht="15.75" customHeight="1">
      <c r="A819" s="9" t="s">
        <v>50086</v>
      </c>
      <c r="B819" s="9" t="s">
        <v>8179</v>
      </c>
      <c r="C819" s="9" t="s">
        <v>42532</v>
      </c>
      <c r="D819" s="8" t="s">
        <v>50087</v>
      </c>
    </row>
    <row r="820" ht="15.75" customHeight="1">
      <c r="A820" s="9" t="s">
        <v>50088</v>
      </c>
      <c r="B820" s="52" t="s">
        <v>14304</v>
      </c>
      <c r="C820" s="9" t="s">
        <v>42538</v>
      </c>
      <c r="D820" s="8" t="s">
        <v>50089</v>
      </c>
    </row>
    <row r="821" ht="15.75" customHeight="1">
      <c r="A821" s="9" t="s">
        <v>50090</v>
      </c>
      <c r="B821" s="9" t="s">
        <v>6330</v>
      </c>
      <c r="C821" s="9" t="s">
        <v>42532</v>
      </c>
      <c r="D821" s="8" t="s">
        <v>50091</v>
      </c>
    </row>
    <row r="822" ht="15.75" customHeight="1">
      <c r="A822" s="9" t="s">
        <v>50092</v>
      </c>
      <c r="B822" s="9" t="s">
        <v>6330</v>
      </c>
      <c r="C822" s="9" t="s">
        <v>42535</v>
      </c>
      <c r="D822" s="8" t="s">
        <v>50093</v>
      </c>
    </row>
    <row r="823" ht="15.75" customHeight="1">
      <c r="A823" s="9" t="s">
        <v>50094</v>
      </c>
      <c r="B823" s="9" t="s">
        <v>249</v>
      </c>
      <c r="C823" s="9" t="s">
        <v>42543</v>
      </c>
      <c r="D823" s="8" t="s">
        <v>50095</v>
      </c>
    </row>
    <row r="824" ht="15.75" customHeight="1">
      <c r="A824" s="9" t="s">
        <v>50096</v>
      </c>
      <c r="B824" s="9" t="s">
        <v>2122</v>
      </c>
      <c r="C824" s="9" t="s">
        <v>42538</v>
      </c>
      <c r="D824" s="8" t="s">
        <v>50097</v>
      </c>
    </row>
    <row r="825" ht="15.75" customHeight="1">
      <c r="A825" s="9" t="s">
        <v>50098</v>
      </c>
      <c r="B825" s="9" t="s">
        <v>2122</v>
      </c>
      <c r="C825" s="9" t="s">
        <v>42532</v>
      </c>
      <c r="D825" s="8" t="s">
        <v>50099</v>
      </c>
    </row>
    <row r="826" ht="15.75" customHeight="1">
      <c r="A826" s="9" t="s">
        <v>50100</v>
      </c>
      <c r="B826" s="9" t="s">
        <v>8236</v>
      </c>
      <c r="C826" s="9" t="s">
        <v>42535</v>
      </c>
      <c r="D826" s="8" t="s">
        <v>50101</v>
      </c>
    </row>
    <row r="827" ht="15.75" customHeight="1">
      <c r="A827" s="9" t="s">
        <v>50102</v>
      </c>
      <c r="B827" s="9" t="s">
        <v>8408</v>
      </c>
      <c r="C827" s="9" t="s">
        <v>42546</v>
      </c>
      <c r="D827" s="8" t="s">
        <v>50103</v>
      </c>
    </row>
    <row r="828" ht="15.75" customHeight="1">
      <c r="A828" s="9" t="s">
        <v>50104</v>
      </c>
      <c r="B828" s="9" t="s">
        <v>8468</v>
      </c>
      <c r="C828" s="9" t="s">
        <v>42535</v>
      </c>
      <c r="D828" s="8" t="s">
        <v>50105</v>
      </c>
    </row>
    <row r="829" ht="15.75" customHeight="1">
      <c r="A829" s="9" t="s">
        <v>50106</v>
      </c>
      <c r="B829" s="9" t="s">
        <v>8478</v>
      </c>
      <c r="C829" s="9" t="s">
        <v>42538</v>
      </c>
      <c r="D829" s="8" t="s">
        <v>50107</v>
      </c>
    </row>
    <row r="830" ht="15.75" customHeight="1">
      <c r="A830" s="9" t="s">
        <v>50108</v>
      </c>
      <c r="B830" s="9" t="s">
        <v>8478</v>
      </c>
      <c r="C830" s="9" t="s">
        <v>42532</v>
      </c>
      <c r="D830" s="8" t="s">
        <v>50109</v>
      </c>
    </row>
    <row r="831" ht="15.75" customHeight="1">
      <c r="A831" s="9" t="s">
        <v>50110</v>
      </c>
      <c r="B831" s="9" t="s">
        <v>8657</v>
      </c>
      <c r="C831" s="9" t="s">
        <v>42532</v>
      </c>
      <c r="D831" s="8" t="s">
        <v>50111</v>
      </c>
    </row>
    <row r="832" ht="15.75" customHeight="1">
      <c r="A832" s="9" t="s">
        <v>50112</v>
      </c>
      <c r="B832" s="9" t="s">
        <v>8998</v>
      </c>
      <c r="C832" s="9" t="s">
        <v>42532</v>
      </c>
      <c r="D832" s="8" t="s">
        <v>50113</v>
      </c>
    </row>
    <row r="833" ht="15.75" customHeight="1">
      <c r="A833" s="9" t="s">
        <v>50114</v>
      </c>
      <c r="B833" s="9" t="s">
        <v>4712</v>
      </c>
      <c r="C833" s="9" t="s">
        <v>42532</v>
      </c>
      <c r="D833" s="8" t="s">
        <v>50115</v>
      </c>
    </row>
    <row r="834" ht="15.75" customHeight="1">
      <c r="A834" s="9" t="s">
        <v>50116</v>
      </c>
      <c r="B834" s="9" t="s">
        <v>12136</v>
      </c>
      <c r="C834" s="9" t="s">
        <v>42532</v>
      </c>
      <c r="D834" s="8" t="s">
        <v>50117</v>
      </c>
    </row>
    <row r="835" ht="15.75" customHeight="1">
      <c r="A835" s="9" t="s">
        <v>50118</v>
      </c>
      <c r="B835" s="9" t="s">
        <v>11893</v>
      </c>
      <c r="C835" s="9" t="s">
        <v>42532</v>
      </c>
      <c r="D835" s="8" t="s">
        <v>50119</v>
      </c>
    </row>
    <row r="836" ht="15.75" customHeight="1">
      <c r="A836" s="9" t="s">
        <v>50120</v>
      </c>
      <c r="B836" s="9" t="s">
        <v>248</v>
      </c>
      <c r="C836" s="9" t="s">
        <v>42532</v>
      </c>
      <c r="D836" s="8" t="s">
        <v>50121</v>
      </c>
    </row>
    <row r="837" ht="15.75" customHeight="1">
      <c r="A837" s="9" t="s">
        <v>50122</v>
      </c>
      <c r="B837" s="9" t="s">
        <v>248</v>
      </c>
      <c r="C837" s="9" t="s">
        <v>10068</v>
      </c>
      <c r="D837" s="8" t="s">
        <v>50123</v>
      </c>
    </row>
    <row r="838" ht="15.75" customHeight="1">
      <c r="A838" s="9" t="s">
        <v>50124</v>
      </c>
      <c r="B838" s="9" t="s">
        <v>248</v>
      </c>
      <c r="C838" s="9" t="s">
        <v>42538</v>
      </c>
      <c r="D838" s="8" t="s">
        <v>50125</v>
      </c>
    </row>
    <row r="839" ht="15.75" customHeight="1">
      <c r="A839" s="9" t="s">
        <v>50126</v>
      </c>
      <c r="B839" s="9" t="s">
        <v>10363</v>
      </c>
      <c r="C839" s="9" t="s">
        <v>10068</v>
      </c>
      <c r="D839" s="8" t="s">
        <v>50123</v>
      </c>
    </row>
    <row r="840" ht="15.75" customHeight="1">
      <c r="A840" s="9" t="s">
        <v>50127</v>
      </c>
      <c r="B840" s="9" t="s">
        <v>10363</v>
      </c>
      <c r="C840" s="9" t="s">
        <v>42532</v>
      </c>
      <c r="D840" s="8" t="s">
        <v>50121</v>
      </c>
    </row>
    <row r="841" ht="15.75" customHeight="1">
      <c r="A841" s="9" t="s">
        <v>50128</v>
      </c>
      <c r="B841" s="9" t="s">
        <v>10363</v>
      </c>
      <c r="C841" s="9" t="s">
        <v>42538</v>
      </c>
      <c r="D841" s="8" t="s">
        <v>50125</v>
      </c>
    </row>
    <row r="842" ht="15.75" customHeight="1">
      <c r="A842" s="9" t="s">
        <v>50129</v>
      </c>
      <c r="B842" s="9" t="s">
        <v>11600</v>
      </c>
      <c r="C842" s="9" t="s">
        <v>42532</v>
      </c>
      <c r="D842" s="8" t="s">
        <v>50121</v>
      </c>
    </row>
    <row r="843" ht="15.75" customHeight="1">
      <c r="A843" s="9" t="s">
        <v>50130</v>
      </c>
      <c r="B843" s="9" t="s">
        <v>11600</v>
      </c>
      <c r="C843" s="9" t="s">
        <v>10068</v>
      </c>
      <c r="D843" s="8" t="s">
        <v>50123</v>
      </c>
    </row>
    <row r="844" ht="15.75" customHeight="1">
      <c r="A844" s="9" t="s">
        <v>50131</v>
      </c>
      <c r="B844" s="9" t="s">
        <v>11600</v>
      </c>
      <c r="C844" s="9" t="s">
        <v>42538</v>
      </c>
      <c r="D844" s="8" t="s">
        <v>50125</v>
      </c>
    </row>
    <row r="845" ht="15.75" customHeight="1">
      <c r="A845" s="9"/>
      <c r="B845" s="9"/>
      <c r="C845" s="9"/>
      <c r="D845" s="9"/>
    </row>
    <row r="846" ht="15.75" customHeight="1">
      <c r="A846" s="9" t="s">
        <v>50132</v>
      </c>
      <c r="B846" s="9" t="s">
        <v>10396</v>
      </c>
      <c r="C846" s="9" t="s">
        <v>42532</v>
      </c>
      <c r="D846" s="8" t="s">
        <v>50133</v>
      </c>
    </row>
    <row r="847" ht="15.75" customHeight="1">
      <c r="A847" s="9" t="s">
        <v>50134</v>
      </c>
      <c r="B847" s="9" t="s">
        <v>10396</v>
      </c>
      <c r="C847" s="9" t="s">
        <v>42543</v>
      </c>
      <c r="D847" s="8" t="s">
        <v>50135</v>
      </c>
    </row>
    <row r="848" ht="15.75" customHeight="1">
      <c r="A848" s="9"/>
      <c r="B848" s="9"/>
      <c r="C848" s="9"/>
      <c r="D848" s="9"/>
    </row>
    <row r="849" ht="15.75" customHeight="1">
      <c r="A849" s="9" t="s">
        <v>50136</v>
      </c>
      <c r="B849" s="9" t="s">
        <v>12180</v>
      </c>
      <c r="C849" s="9" t="s">
        <v>42532</v>
      </c>
      <c r="D849" s="8" t="s">
        <v>50137</v>
      </c>
    </row>
    <row r="850" ht="15.75" customHeight="1">
      <c r="A850" s="9" t="s">
        <v>50138</v>
      </c>
      <c r="B850" s="9" t="s">
        <v>12180</v>
      </c>
      <c r="C850" s="9" t="s">
        <v>42535</v>
      </c>
      <c r="D850" s="8" t="s">
        <v>50139</v>
      </c>
    </row>
    <row r="851" ht="15.75" customHeight="1">
      <c r="A851" s="9" t="s">
        <v>50140</v>
      </c>
      <c r="B851" s="9" t="s">
        <v>10312</v>
      </c>
      <c r="C851" s="9" t="s">
        <v>42532</v>
      </c>
      <c r="D851" s="8" t="s">
        <v>50141</v>
      </c>
    </row>
    <row r="852" ht="15.75" customHeight="1">
      <c r="A852" s="9" t="s">
        <v>50142</v>
      </c>
      <c r="B852" s="9" t="s">
        <v>269</v>
      </c>
      <c r="C852" s="9" t="s">
        <v>42532</v>
      </c>
      <c r="D852" s="8" t="s">
        <v>50143</v>
      </c>
    </row>
    <row r="853" ht="15.75" customHeight="1">
      <c r="A853" s="9" t="s">
        <v>50144</v>
      </c>
      <c r="B853" s="9" t="s">
        <v>10674</v>
      </c>
      <c r="C853" s="9" t="s">
        <v>42535</v>
      </c>
      <c r="D853" s="8" t="s">
        <v>50145</v>
      </c>
    </row>
    <row r="854" ht="15.75" customHeight="1">
      <c r="A854" s="9" t="s">
        <v>50146</v>
      </c>
      <c r="B854" s="9" t="s">
        <v>10674</v>
      </c>
      <c r="C854" s="9" t="s">
        <v>42546</v>
      </c>
      <c r="D854" s="8" t="s">
        <v>50147</v>
      </c>
    </row>
    <row r="855" ht="15.75" customHeight="1">
      <c r="A855" s="9" t="s">
        <v>50148</v>
      </c>
      <c r="B855" s="9" t="s">
        <v>10674</v>
      </c>
      <c r="C855" s="9" t="s">
        <v>42546</v>
      </c>
      <c r="D855" s="8" t="s">
        <v>50149</v>
      </c>
    </row>
    <row r="856" ht="15.75" customHeight="1">
      <c r="A856" s="9"/>
      <c r="B856" s="9"/>
      <c r="C856" s="9"/>
      <c r="D856" s="9"/>
    </row>
    <row r="857" ht="15.75" customHeight="1">
      <c r="A857" s="9" t="s">
        <v>50150</v>
      </c>
      <c r="B857" s="9" t="s">
        <v>11708</v>
      </c>
      <c r="C857" s="9" t="s">
        <v>42535</v>
      </c>
      <c r="D857" s="8" t="s">
        <v>50151</v>
      </c>
    </row>
    <row r="858" ht="15.75" customHeight="1">
      <c r="A858" s="9" t="s">
        <v>50152</v>
      </c>
      <c r="B858" s="9" t="s">
        <v>11708</v>
      </c>
      <c r="C858" s="9" t="s">
        <v>42546</v>
      </c>
      <c r="D858" s="8" t="s">
        <v>50153</v>
      </c>
    </row>
    <row r="859" ht="15.75" customHeight="1">
      <c r="A859" s="9" t="s">
        <v>50154</v>
      </c>
      <c r="B859" s="9" t="s">
        <v>11674</v>
      </c>
      <c r="C859" s="9" t="s">
        <v>42532</v>
      </c>
      <c r="D859" s="8" t="s">
        <v>50155</v>
      </c>
    </row>
    <row r="860" ht="15.75" customHeight="1">
      <c r="A860" s="9" t="s">
        <v>50156</v>
      </c>
      <c r="B860" s="9" t="s">
        <v>11674</v>
      </c>
      <c r="C860" s="9" t="s">
        <v>42543</v>
      </c>
      <c r="D860" s="8" t="s">
        <v>50157</v>
      </c>
    </row>
    <row r="861" ht="15.75" customHeight="1">
      <c r="A861" s="9" t="s">
        <v>50158</v>
      </c>
      <c r="B861" s="9" t="s">
        <v>11674</v>
      </c>
      <c r="C861" s="9" t="s">
        <v>42532</v>
      </c>
      <c r="D861" s="8" t="s">
        <v>50159</v>
      </c>
    </row>
    <row r="862" ht="15.75" customHeight="1">
      <c r="A862" s="9" t="s">
        <v>50160</v>
      </c>
      <c r="B862" s="9" t="s">
        <v>9922</v>
      </c>
      <c r="C862" s="9" t="s">
        <v>42532</v>
      </c>
      <c r="D862" s="8" t="s">
        <v>50161</v>
      </c>
    </row>
    <row r="863" ht="15.75" customHeight="1">
      <c r="A863" s="9" t="s">
        <v>50162</v>
      </c>
      <c r="B863" s="9" t="s">
        <v>10233</v>
      </c>
      <c r="C863" s="9" t="s">
        <v>42543</v>
      </c>
      <c r="D863" s="8" t="s">
        <v>50163</v>
      </c>
    </row>
    <row r="864" ht="15.75" customHeight="1">
      <c r="A864" s="9" t="s">
        <v>50164</v>
      </c>
      <c r="B864" s="9" t="s">
        <v>10233</v>
      </c>
      <c r="C864" s="9" t="s">
        <v>42532</v>
      </c>
      <c r="D864" s="8" t="s">
        <v>50165</v>
      </c>
    </row>
    <row r="865" ht="15.75" customHeight="1">
      <c r="A865" s="9" t="s">
        <v>50166</v>
      </c>
      <c r="B865" s="9" t="s">
        <v>10781</v>
      </c>
      <c r="C865" s="9" t="s">
        <v>42535</v>
      </c>
      <c r="D865" s="8" t="s">
        <v>50167</v>
      </c>
    </row>
    <row r="866" ht="15.75" customHeight="1">
      <c r="A866" s="9" t="s">
        <v>50168</v>
      </c>
      <c r="B866" s="9" t="s">
        <v>10113</v>
      </c>
      <c r="C866" s="9" t="s">
        <v>42535</v>
      </c>
      <c r="D866" s="8" t="s">
        <v>50169</v>
      </c>
    </row>
    <row r="867" ht="15.75" customHeight="1">
      <c r="A867" s="9" t="s">
        <v>50170</v>
      </c>
      <c r="B867" s="9" t="s">
        <v>10113</v>
      </c>
      <c r="C867" s="9" t="s">
        <v>19384</v>
      </c>
      <c r="D867" s="8" t="s">
        <v>50171</v>
      </c>
    </row>
    <row r="868" ht="15.75" customHeight="1">
      <c r="A868" s="9" t="s">
        <v>50172</v>
      </c>
      <c r="B868" s="9" t="s">
        <v>10370</v>
      </c>
      <c r="C868" s="9" t="s">
        <v>42532</v>
      </c>
      <c r="D868" s="8" t="s">
        <v>50173</v>
      </c>
    </row>
    <row r="869" ht="15.75" customHeight="1">
      <c r="A869" s="9" t="s">
        <v>50174</v>
      </c>
      <c r="B869" s="9" t="s">
        <v>231</v>
      </c>
      <c r="C869" s="9" t="s">
        <v>42535</v>
      </c>
      <c r="D869" s="8" t="s">
        <v>50175</v>
      </c>
    </row>
    <row r="870" ht="15.75" customHeight="1">
      <c r="A870" s="9" t="s">
        <v>50176</v>
      </c>
      <c r="B870" s="9" t="s">
        <v>10781</v>
      </c>
      <c r="C870" s="9" t="s">
        <v>42538</v>
      </c>
      <c r="D870" s="8" t="s">
        <v>50177</v>
      </c>
    </row>
    <row r="871" ht="15.75" customHeight="1">
      <c r="A871" s="9" t="s">
        <v>50178</v>
      </c>
      <c r="B871" s="9" t="s">
        <v>9006</v>
      </c>
      <c r="C871" s="9" t="s">
        <v>42543</v>
      </c>
      <c r="D871" s="8" t="s">
        <v>50179</v>
      </c>
    </row>
    <row r="872" ht="15.75" customHeight="1">
      <c r="A872" s="9" t="s">
        <v>50180</v>
      </c>
      <c r="B872" s="9" t="s">
        <v>10116</v>
      </c>
      <c r="C872" s="9" t="s">
        <v>42532</v>
      </c>
      <c r="D872" s="8" t="s">
        <v>50181</v>
      </c>
    </row>
    <row r="873" ht="15.75" customHeight="1">
      <c r="A873" s="9" t="s">
        <v>50182</v>
      </c>
      <c r="B873" s="9" t="s">
        <v>10387</v>
      </c>
      <c r="C873" s="9" t="s">
        <v>42532</v>
      </c>
      <c r="D873" s="8" t="s">
        <v>50183</v>
      </c>
    </row>
    <row r="874" ht="15.75" customHeight="1">
      <c r="A874" s="9" t="s">
        <v>50184</v>
      </c>
      <c r="B874" s="9" t="s">
        <v>9892</v>
      </c>
      <c r="C874" s="9" t="s">
        <v>42538</v>
      </c>
      <c r="D874" s="8" t="s">
        <v>50185</v>
      </c>
    </row>
    <row r="875" ht="15.75" customHeight="1">
      <c r="A875" s="9" t="s">
        <v>50186</v>
      </c>
      <c r="B875" s="9" t="s">
        <v>9892</v>
      </c>
      <c r="C875" s="9" t="s">
        <v>42535</v>
      </c>
      <c r="D875" s="8" t="s">
        <v>50187</v>
      </c>
    </row>
    <row r="876" ht="15.75" customHeight="1">
      <c r="A876" s="9" t="s">
        <v>50188</v>
      </c>
      <c r="B876" s="9" t="s">
        <v>7640</v>
      </c>
      <c r="C876" s="9" t="s">
        <v>42532</v>
      </c>
      <c r="D876" s="8" t="s">
        <v>50189</v>
      </c>
    </row>
    <row r="877" ht="15.75" customHeight="1">
      <c r="A877" s="9" t="s">
        <v>50190</v>
      </c>
      <c r="B877" s="9" t="s">
        <v>8858</v>
      </c>
      <c r="C877" s="9" t="s">
        <v>19384</v>
      </c>
      <c r="D877" s="8" t="s">
        <v>50191</v>
      </c>
    </row>
    <row r="878" ht="15.75" customHeight="1">
      <c r="A878" s="9" t="s">
        <v>50192</v>
      </c>
      <c r="B878" s="9" t="s">
        <v>8858</v>
      </c>
      <c r="C878" s="9" t="s">
        <v>42546</v>
      </c>
      <c r="D878" s="8" t="s">
        <v>50193</v>
      </c>
    </row>
    <row r="879" ht="15.75" customHeight="1">
      <c r="A879" s="9" t="s">
        <v>50194</v>
      </c>
      <c r="B879" s="9" t="s">
        <v>8987</v>
      </c>
      <c r="C879" s="9" t="s">
        <v>42532</v>
      </c>
      <c r="D879" s="8" t="s">
        <v>50195</v>
      </c>
    </row>
    <row r="880" ht="15.75" customHeight="1">
      <c r="A880" s="9" t="s">
        <v>50196</v>
      </c>
      <c r="B880" s="9" t="s">
        <v>10269</v>
      </c>
      <c r="C880" s="9" t="s">
        <v>19384</v>
      </c>
      <c r="D880" s="8" t="s">
        <v>50197</v>
      </c>
    </row>
    <row r="881" ht="15.75" customHeight="1">
      <c r="A881" s="9" t="s">
        <v>50198</v>
      </c>
      <c r="B881" s="9" t="s">
        <v>10269</v>
      </c>
      <c r="C881" s="9" t="s">
        <v>42532</v>
      </c>
      <c r="D881" s="8" t="s">
        <v>50199</v>
      </c>
    </row>
    <row r="882" ht="15.75" customHeight="1">
      <c r="A882" s="9" t="s">
        <v>50200</v>
      </c>
      <c r="B882" s="9" t="s">
        <v>10269</v>
      </c>
      <c r="C882" s="9" t="s">
        <v>42538</v>
      </c>
      <c r="D882" s="8" t="s">
        <v>50201</v>
      </c>
    </row>
    <row r="883" ht="15.75" customHeight="1">
      <c r="A883" s="9" t="s">
        <v>50202</v>
      </c>
      <c r="B883" s="9" t="s">
        <v>10269</v>
      </c>
      <c r="C883" s="9" t="s">
        <v>42535</v>
      </c>
      <c r="D883" s="8" t="s">
        <v>50203</v>
      </c>
    </row>
    <row r="884" ht="15.75" customHeight="1">
      <c r="A884" s="9" t="s">
        <v>50204</v>
      </c>
      <c r="B884" s="9" t="s">
        <v>10380</v>
      </c>
      <c r="C884" s="9" t="s">
        <v>42546</v>
      </c>
      <c r="D884" s="8" t="s">
        <v>50205</v>
      </c>
    </row>
    <row r="885" ht="15.75" customHeight="1">
      <c r="A885" s="9" t="s">
        <v>50206</v>
      </c>
      <c r="B885" s="9" t="s">
        <v>10380</v>
      </c>
      <c r="C885" s="9" t="s">
        <v>42535</v>
      </c>
      <c r="D885" s="8" t="s">
        <v>50207</v>
      </c>
    </row>
    <row r="886" ht="15.75" customHeight="1">
      <c r="A886" s="9" t="s">
        <v>50208</v>
      </c>
      <c r="B886" s="9" t="s">
        <v>10359</v>
      </c>
      <c r="C886" s="9" t="s">
        <v>42532</v>
      </c>
      <c r="D886" s="8" t="s">
        <v>50209</v>
      </c>
    </row>
    <row r="887" ht="15.75" customHeight="1">
      <c r="A887" s="9" t="s">
        <v>50210</v>
      </c>
      <c r="B887" s="9" t="s">
        <v>10359</v>
      </c>
      <c r="C887" s="9" t="s">
        <v>42543</v>
      </c>
      <c r="D887" s="8" t="s">
        <v>50211</v>
      </c>
    </row>
    <row r="888" ht="15.75" customHeight="1">
      <c r="A888" s="9" t="s">
        <v>50212</v>
      </c>
      <c r="B888" s="9" t="s">
        <v>10359</v>
      </c>
      <c r="C888" s="9" t="s">
        <v>42535</v>
      </c>
      <c r="D888" s="8" t="s">
        <v>50213</v>
      </c>
    </row>
    <row r="889" ht="15.75" customHeight="1">
      <c r="A889" s="9" t="s">
        <v>50214</v>
      </c>
      <c r="B889" s="9" t="s">
        <v>10359</v>
      </c>
      <c r="C889" s="9" t="s">
        <v>42538</v>
      </c>
      <c r="D889" s="8" t="s">
        <v>50215</v>
      </c>
    </row>
    <row r="890" ht="15.75" customHeight="1">
      <c r="A890" s="9" t="s">
        <v>50216</v>
      </c>
      <c r="B890" s="9" t="s">
        <v>10359</v>
      </c>
      <c r="C890" s="9" t="s">
        <v>42535</v>
      </c>
      <c r="D890" s="8" t="s">
        <v>50217</v>
      </c>
    </row>
    <row r="891" ht="15.75" customHeight="1">
      <c r="A891" s="9" t="s">
        <v>50218</v>
      </c>
      <c r="B891" s="9" t="s">
        <v>10199</v>
      </c>
      <c r="C891" s="9" t="s">
        <v>42535</v>
      </c>
      <c r="D891" s="8" t="s">
        <v>50219</v>
      </c>
    </row>
    <row r="892" ht="15.75" customHeight="1">
      <c r="A892" s="9" t="s">
        <v>50220</v>
      </c>
      <c r="B892" s="9" t="s">
        <v>10199</v>
      </c>
      <c r="C892" s="9" t="s">
        <v>42538</v>
      </c>
      <c r="D892" s="8" t="s">
        <v>50221</v>
      </c>
    </row>
    <row r="893" ht="15.75" customHeight="1">
      <c r="A893" s="9" t="s">
        <v>50222</v>
      </c>
      <c r="B893" s="9" t="s">
        <v>9106</v>
      </c>
      <c r="C893" s="9" t="s">
        <v>42538</v>
      </c>
      <c r="D893" s="8" t="s">
        <v>50223</v>
      </c>
    </row>
    <row r="894" ht="15.75" customHeight="1">
      <c r="A894" s="9" t="s">
        <v>50224</v>
      </c>
      <c r="B894" s="9" t="s">
        <v>10297</v>
      </c>
      <c r="C894" s="9" t="s">
        <v>42538</v>
      </c>
      <c r="D894" s="8" t="s">
        <v>50225</v>
      </c>
    </row>
    <row r="895" ht="15.75" customHeight="1">
      <c r="A895" s="9" t="s">
        <v>50226</v>
      </c>
      <c r="B895" s="9" t="s">
        <v>10297</v>
      </c>
      <c r="C895" s="9" t="s">
        <v>42535</v>
      </c>
      <c r="D895" s="8" t="s">
        <v>50227</v>
      </c>
    </row>
    <row r="896" ht="15.75" customHeight="1">
      <c r="A896" s="9" t="s">
        <v>50228</v>
      </c>
      <c r="B896" s="9" t="s">
        <v>10297</v>
      </c>
      <c r="C896" s="9" t="s">
        <v>42532</v>
      </c>
      <c r="D896" s="8" t="s">
        <v>50229</v>
      </c>
    </row>
    <row r="897" ht="15.75" customHeight="1">
      <c r="A897" s="9" t="s">
        <v>50230</v>
      </c>
      <c r="B897" s="9" t="s">
        <v>10354</v>
      </c>
      <c r="C897" s="9" t="s">
        <v>19384</v>
      </c>
      <c r="D897" s="8" t="s">
        <v>50231</v>
      </c>
    </row>
    <row r="898" ht="15.75" customHeight="1">
      <c r="A898" s="9" t="s">
        <v>50232</v>
      </c>
      <c r="B898" s="9" t="s">
        <v>10354</v>
      </c>
      <c r="C898" s="9" t="s">
        <v>42538</v>
      </c>
      <c r="D898" s="8" t="s">
        <v>50233</v>
      </c>
    </row>
    <row r="899" ht="15.75" customHeight="1">
      <c r="A899" s="9" t="s">
        <v>50234</v>
      </c>
      <c r="B899" s="9" t="s">
        <v>10354</v>
      </c>
      <c r="C899" s="9" t="s">
        <v>42535</v>
      </c>
      <c r="D899" s="8" t="s">
        <v>50235</v>
      </c>
    </row>
    <row r="900" ht="15.75" customHeight="1">
      <c r="A900" s="9" t="s">
        <v>50236</v>
      </c>
      <c r="B900" s="9" t="s">
        <v>9119</v>
      </c>
      <c r="C900" s="9" t="s">
        <v>42538</v>
      </c>
      <c r="D900" s="8" t="s">
        <v>50237</v>
      </c>
    </row>
    <row r="901" ht="15.75" customHeight="1">
      <c r="A901" s="9" t="s">
        <v>50238</v>
      </c>
      <c r="B901" s="9" t="s">
        <v>9119</v>
      </c>
      <c r="C901" s="9" t="s">
        <v>42532</v>
      </c>
      <c r="D901" s="8" t="s">
        <v>50239</v>
      </c>
    </row>
    <row r="902" ht="15.75" customHeight="1">
      <c r="A902" s="9" t="s">
        <v>50240</v>
      </c>
      <c r="B902" s="9" t="s">
        <v>9106</v>
      </c>
      <c r="C902" s="9" t="s">
        <v>42532</v>
      </c>
      <c r="D902" s="8" t="s">
        <v>50239</v>
      </c>
    </row>
    <row r="903" ht="15.75" customHeight="1">
      <c r="A903" s="9" t="s">
        <v>50241</v>
      </c>
      <c r="B903" s="9" t="s">
        <v>9122</v>
      </c>
      <c r="C903" s="9" t="s">
        <v>42532</v>
      </c>
      <c r="D903" s="8" t="s">
        <v>50242</v>
      </c>
    </row>
    <row r="904" ht="15.75" customHeight="1">
      <c r="A904" s="9" t="s">
        <v>50243</v>
      </c>
      <c r="B904" s="9" t="s">
        <v>9970</v>
      </c>
      <c r="C904" s="9" t="s">
        <v>19384</v>
      </c>
      <c r="D904" s="8" t="s">
        <v>50244</v>
      </c>
    </row>
    <row r="905" ht="15.75" customHeight="1">
      <c r="A905" s="9" t="s">
        <v>50245</v>
      </c>
      <c r="B905" s="9" t="s">
        <v>9514</v>
      </c>
      <c r="C905" s="9" t="s">
        <v>42535</v>
      </c>
      <c r="D905" s="8" t="s">
        <v>50246</v>
      </c>
    </row>
    <row r="906" ht="15.75" customHeight="1">
      <c r="A906" s="9" t="s">
        <v>50247</v>
      </c>
      <c r="B906" s="9" t="s">
        <v>9970</v>
      </c>
      <c r="C906" s="9" t="s">
        <v>42532</v>
      </c>
      <c r="D906" s="8" t="s">
        <v>50248</v>
      </c>
    </row>
    <row r="907" ht="15.75" customHeight="1">
      <c r="A907" s="9" t="s">
        <v>50249</v>
      </c>
      <c r="B907" s="9" t="s">
        <v>9514</v>
      </c>
      <c r="C907" s="9" t="s">
        <v>42532</v>
      </c>
      <c r="D907" s="8" t="s">
        <v>50248</v>
      </c>
    </row>
    <row r="908" ht="15.75" customHeight="1">
      <c r="A908" s="9" t="s">
        <v>50250</v>
      </c>
      <c r="B908" s="9" t="s">
        <v>4210</v>
      </c>
      <c r="C908" s="9" t="s">
        <v>42532</v>
      </c>
      <c r="D908" s="8" t="s">
        <v>50251</v>
      </c>
    </row>
    <row r="909" ht="15.75" customHeight="1">
      <c r="A909" s="9" t="s">
        <v>50252</v>
      </c>
      <c r="B909" s="9" t="s">
        <v>4224</v>
      </c>
      <c r="C909" s="9" t="s">
        <v>42532</v>
      </c>
      <c r="D909" s="8" t="s">
        <v>50251</v>
      </c>
    </row>
    <row r="910" ht="15.75" customHeight="1">
      <c r="A910" s="9" t="s">
        <v>50253</v>
      </c>
      <c r="B910" s="9" t="s">
        <v>264</v>
      </c>
      <c r="C910" s="9" t="s">
        <v>42535</v>
      </c>
      <c r="D910" s="8" t="s">
        <v>50254</v>
      </c>
    </row>
    <row r="911" ht="15.75" customHeight="1">
      <c r="A911" s="9" t="s">
        <v>50255</v>
      </c>
      <c r="B911" s="9" t="s">
        <v>264</v>
      </c>
      <c r="C911" s="9" t="s">
        <v>42538</v>
      </c>
      <c r="D911" s="8" t="s">
        <v>50256</v>
      </c>
    </row>
    <row r="912" ht="15.75" customHeight="1">
      <c r="A912" s="9" t="s">
        <v>50257</v>
      </c>
      <c r="B912" s="9" t="s">
        <v>264</v>
      </c>
      <c r="C912" s="9" t="s">
        <v>42532</v>
      </c>
      <c r="D912" s="8" t="s">
        <v>50258</v>
      </c>
    </row>
    <row r="913" ht="15.75" customHeight="1">
      <c r="A913" s="9" t="s">
        <v>50259</v>
      </c>
      <c r="B913" s="9" t="s">
        <v>10308</v>
      </c>
      <c r="C913" s="9" t="s">
        <v>42532</v>
      </c>
      <c r="D913" s="8" t="s">
        <v>50260</v>
      </c>
    </row>
    <row r="914" ht="15.75" customHeight="1">
      <c r="A914" s="9" t="s">
        <v>50261</v>
      </c>
      <c r="B914" s="9" t="s">
        <v>10347</v>
      </c>
      <c r="C914" s="9" t="s">
        <v>42535</v>
      </c>
      <c r="D914" s="8" t="s">
        <v>50262</v>
      </c>
    </row>
    <row r="915" ht="15.75" customHeight="1">
      <c r="A915" s="9" t="s">
        <v>50263</v>
      </c>
      <c r="B915" s="9" t="s">
        <v>10347</v>
      </c>
      <c r="C915" s="9" t="s">
        <v>42532</v>
      </c>
      <c r="D915" s="8" t="s">
        <v>50264</v>
      </c>
    </row>
    <row r="916" ht="15.75" customHeight="1">
      <c r="A916" s="9" t="s">
        <v>50265</v>
      </c>
      <c r="B916" s="9" t="s">
        <v>9612</v>
      </c>
      <c r="C916" s="9" t="s">
        <v>42535</v>
      </c>
      <c r="D916" s="8" t="s">
        <v>50266</v>
      </c>
    </row>
    <row r="917" ht="15.75" customHeight="1">
      <c r="A917" s="9" t="s">
        <v>50267</v>
      </c>
      <c r="B917" s="9" t="s">
        <v>7565</v>
      </c>
      <c r="C917" s="9" t="s">
        <v>10068</v>
      </c>
      <c r="D917" s="8" t="s">
        <v>50268</v>
      </c>
    </row>
    <row r="918" ht="15.75" customHeight="1">
      <c r="A918" s="9" t="s">
        <v>50269</v>
      </c>
      <c r="B918" s="9" t="s">
        <v>7565</v>
      </c>
      <c r="C918" s="9" t="s">
        <v>42543</v>
      </c>
      <c r="D918" s="8" t="s">
        <v>50270</v>
      </c>
    </row>
    <row r="919" ht="15.75" customHeight="1">
      <c r="A919" s="9" t="s">
        <v>50271</v>
      </c>
      <c r="B919" s="9" t="s">
        <v>10334</v>
      </c>
      <c r="C919" s="9" t="s">
        <v>42532</v>
      </c>
      <c r="D919" s="8" t="s">
        <v>50272</v>
      </c>
    </row>
    <row r="920" ht="15.75" customHeight="1">
      <c r="A920" s="9" t="s">
        <v>50273</v>
      </c>
      <c r="B920" s="9" t="s">
        <v>10332</v>
      </c>
      <c r="C920" s="9" t="s">
        <v>42532</v>
      </c>
      <c r="D920" s="8" t="s">
        <v>50272</v>
      </c>
    </row>
    <row r="921" ht="15.75" customHeight="1">
      <c r="A921" s="9" t="s">
        <v>50274</v>
      </c>
      <c r="B921" s="9" t="s">
        <v>6292</v>
      </c>
      <c r="C921" s="9" t="s">
        <v>10068</v>
      </c>
      <c r="D921" s="8" t="s">
        <v>50275</v>
      </c>
    </row>
    <row r="922" ht="15.75" customHeight="1">
      <c r="A922" s="9" t="s">
        <v>50276</v>
      </c>
      <c r="B922" s="9" t="s">
        <v>10320</v>
      </c>
      <c r="C922" s="9" t="s">
        <v>42546</v>
      </c>
      <c r="D922" s="8" t="s">
        <v>50277</v>
      </c>
    </row>
    <row r="923" ht="15.75" customHeight="1">
      <c r="A923" s="9" t="s">
        <v>50278</v>
      </c>
      <c r="B923" s="9" t="s">
        <v>6554</v>
      </c>
      <c r="C923" s="9" t="s">
        <v>10068</v>
      </c>
      <c r="D923" s="8" t="s">
        <v>50279</v>
      </c>
    </row>
    <row r="924" ht="15.75" customHeight="1">
      <c r="A924" s="9" t="s">
        <v>50280</v>
      </c>
      <c r="B924" s="9" t="s">
        <v>3227</v>
      </c>
      <c r="C924" s="9" t="s">
        <v>42532</v>
      </c>
      <c r="D924" s="8" t="s">
        <v>50281</v>
      </c>
    </row>
    <row r="925" ht="15.75" customHeight="1">
      <c r="A925" s="9" t="s">
        <v>50282</v>
      </c>
      <c r="B925" s="9" t="s">
        <v>3203</v>
      </c>
      <c r="C925" s="9" t="s">
        <v>42532</v>
      </c>
      <c r="D925" s="8" t="s">
        <v>50281</v>
      </c>
    </row>
    <row r="926" ht="15.75" customHeight="1">
      <c r="A926" s="9" t="s">
        <v>50283</v>
      </c>
      <c r="B926" s="9" t="s">
        <v>12100</v>
      </c>
      <c r="C926" s="9" t="s">
        <v>42532</v>
      </c>
      <c r="D926" s="8" t="s">
        <v>50284</v>
      </c>
    </row>
    <row r="927" ht="15.75" customHeight="1">
      <c r="A927" s="9" t="s">
        <v>50285</v>
      </c>
      <c r="B927" s="9" t="s">
        <v>10320</v>
      </c>
      <c r="C927" s="9" t="s">
        <v>42532</v>
      </c>
      <c r="D927" s="8" t="s">
        <v>50286</v>
      </c>
    </row>
    <row r="928" ht="15.75" customHeight="1">
      <c r="A928" s="9" t="s">
        <v>50287</v>
      </c>
      <c r="B928" s="9" t="s">
        <v>7495</v>
      </c>
      <c r="C928" s="9" t="s">
        <v>42532</v>
      </c>
      <c r="D928" s="8" t="s">
        <v>13273</v>
      </c>
    </row>
    <row r="929" ht="15.75" customHeight="1">
      <c r="A929" s="9" t="s">
        <v>50288</v>
      </c>
      <c r="B929" s="9" t="s">
        <v>234</v>
      </c>
      <c r="C929" s="9" t="s">
        <v>10068</v>
      </c>
      <c r="D929" s="8" t="s">
        <v>50289</v>
      </c>
    </row>
    <row r="930" ht="15.75" customHeight="1">
      <c r="A930" s="9" t="s">
        <v>50290</v>
      </c>
      <c r="B930" s="9" t="s">
        <v>234</v>
      </c>
      <c r="C930" s="9" t="s">
        <v>42543</v>
      </c>
      <c r="D930" s="8" t="s">
        <v>50291</v>
      </c>
    </row>
    <row r="931" ht="15.75" customHeight="1">
      <c r="A931" s="9" t="s">
        <v>50292</v>
      </c>
      <c r="B931" s="9" t="s">
        <v>234</v>
      </c>
      <c r="C931" s="9" t="s">
        <v>42538</v>
      </c>
      <c r="D931" s="8" t="s">
        <v>50293</v>
      </c>
    </row>
    <row r="932" ht="15.75" customHeight="1">
      <c r="A932" s="9" t="s">
        <v>50294</v>
      </c>
      <c r="B932" s="9" t="s">
        <v>6752</v>
      </c>
      <c r="C932" s="9" t="s">
        <v>10068</v>
      </c>
      <c r="D932" s="8" t="s">
        <v>50295</v>
      </c>
    </row>
    <row r="933" ht="15.75" customHeight="1">
      <c r="A933" s="9" t="s">
        <v>50296</v>
      </c>
      <c r="B933" s="9" t="s">
        <v>6752</v>
      </c>
      <c r="C933" s="9" t="s">
        <v>42532</v>
      </c>
      <c r="D933" s="8" t="s">
        <v>50297</v>
      </c>
    </row>
    <row r="934" ht="15.75" customHeight="1">
      <c r="A934" s="9" t="s">
        <v>50298</v>
      </c>
      <c r="B934" s="9" t="s">
        <v>8744</v>
      </c>
      <c r="C934" s="9" t="s">
        <v>42535</v>
      </c>
      <c r="D934" s="8" t="s">
        <v>50299</v>
      </c>
    </row>
    <row r="935" ht="15.75" customHeight="1">
      <c r="A935" s="9" t="s">
        <v>50300</v>
      </c>
      <c r="B935" s="9" t="s">
        <v>11362</v>
      </c>
      <c r="C935" s="9" t="s">
        <v>42535</v>
      </c>
      <c r="D935" s="8" t="s">
        <v>50301</v>
      </c>
    </row>
    <row r="936" ht="15.75" customHeight="1">
      <c r="A936" s="9" t="s">
        <v>50302</v>
      </c>
      <c r="B936" s="9" t="s">
        <v>11362</v>
      </c>
      <c r="C936" s="9" t="s">
        <v>42538</v>
      </c>
      <c r="D936" s="8" t="s">
        <v>50303</v>
      </c>
    </row>
    <row r="937" ht="15.75" customHeight="1">
      <c r="A937" s="9" t="s">
        <v>50304</v>
      </c>
      <c r="B937" s="9" t="s">
        <v>11362</v>
      </c>
      <c r="C937" s="9" t="s">
        <v>42532</v>
      </c>
      <c r="D937" s="8" t="s">
        <v>50305</v>
      </c>
    </row>
    <row r="938" ht="15.75" customHeight="1">
      <c r="A938" s="9" t="s">
        <v>50306</v>
      </c>
      <c r="B938" s="9" t="s">
        <v>5545</v>
      </c>
      <c r="C938" s="9" t="s">
        <v>42538</v>
      </c>
      <c r="D938" s="8" t="s">
        <v>50307</v>
      </c>
    </row>
    <row r="939" ht="15.75" customHeight="1">
      <c r="A939" s="9" t="s">
        <v>50308</v>
      </c>
      <c r="B939" s="9" t="s">
        <v>3638</v>
      </c>
      <c r="C939" s="9" t="s">
        <v>42538</v>
      </c>
      <c r="D939" s="8" t="s">
        <v>50309</v>
      </c>
    </row>
    <row r="940" ht="15.75" customHeight="1">
      <c r="A940" s="9"/>
      <c r="B940" s="9"/>
      <c r="C940" s="9"/>
      <c r="D940" s="9"/>
    </row>
    <row r="941" ht="15.75" customHeight="1">
      <c r="A941" s="9"/>
      <c r="B941" s="9"/>
      <c r="C941" s="9"/>
      <c r="D941" s="9"/>
    </row>
    <row r="942" ht="15.75" customHeight="1">
      <c r="A942" s="9"/>
      <c r="B942" s="9"/>
      <c r="C942" s="9"/>
      <c r="D942" s="9"/>
    </row>
    <row r="943" ht="15.75" customHeight="1">
      <c r="A943" s="9" t="s">
        <v>50310</v>
      </c>
      <c r="B943" s="9" t="s">
        <v>10276</v>
      </c>
      <c r="C943" s="9" t="s">
        <v>42532</v>
      </c>
      <c r="D943" s="8" t="s">
        <v>50311</v>
      </c>
    </row>
    <row r="944" ht="15.75" customHeight="1">
      <c r="A944" s="9" t="s">
        <v>50312</v>
      </c>
      <c r="B944" s="9" t="s">
        <v>11366</v>
      </c>
      <c r="C944" s="9" t="s">
        <v>42532</v>
      </c>
      <c r="D944" s="8" t="s">
        <v>50313</v>
      </c>
    </row>
    <row r="945" ht="15.75" customHeight="1">
      <c r="A945" s="9" t="s">
        <v>50314</v>
      </c>
      <c r="B945" s="9" t="s">
        <v>11366</v>
      </c>
      <c r="C945" s="9" t="s">
        <v>42535</v>
      </c>
      <c r="D945" s="8" t="s">
        <v>50315</v>
      </c>
    </row>
    <row r="946" ht="15.75" customHeight="1">
      <c r="A946" s="9" t="s">
        <v>50316</v>
      </c>
      <c r="B946" s="9" t="s">
        <v>10283</v>
      </c>
      <c r="C946" s="9" t="s">
        <v>42535</v>
      </c>
      <c r="D946" s="8" t="s">
        <v>50317</v>
      </c>
    </row>
    <row r="947" ht="15.75" customHeight="1">
      <c r="A947" s="9" t="s">
        <v>50318</v>
      </c>
      <c r="B947" s="9" t="s">
        <v>10283</v>
      </c>
      <c r="C947" s="9" t="s">
        <v>42532</v>
      </c>
      <c r="D947" s="8" t="s">
        <v>50319</v>
      </c>
    </row>
    <row r="948" ht="15.75" customHeight="1">
      <c r="A948" s="9" t="s">
        <v>50320</v>
      </c>
      <c r="B948" s="9" t="s">
        <v>10283</v>
      </c>
      <c r="C948" s="9" t="s">
        <v>42538</v>
      </c>
      <c r="D948" s="8" t="s">
        <v>50321</v>
      </c>
    </row>
    <row r="949" ht="15.75" customHeight="1">
      <c r="A949" s="9" t="s">
        <v>50322</v>
      </c>
      <c r="B949" s="9" t="s">
        <v>10283</v>
      </c>
      <c r="C949" s="9" t="s">
        <v>42546</v>
      </c>
      <c r="D949" s="8" t="s">
        <v>50323</v>
      </c>
    </row>
    <row r="950" ht="15.75" customHeight="1">
      <c r="A950" s="9" t="s">
        <v>50324</v>
      </c>
      <c r="B950" s="9" t="s">
        <v>11830</v>
      </c>
      <c r="C950" s="9" t="s">
        <v>42535</v>
      </c>
      <c r="D950" s="8" t="s">
        <v>50325</v>
      </c>
    </row>
    <row r="951" ht="15.75" customHeight="1">
      <c r="A951" s="9" t="s">
        <v>50326</v>
      </c>
      <c r="B951" s="9" t="s">
        <v>11830</v>
      </c>
      <c r="C951" s="9" t="s">
        <v>42546</v>
      </c>
      <c r="D951" s="8" t="s">
        <v>50327</v>
      </c>
    </row>
    <row r="952" ht="15.75" customHeight="1">
      <c r="A952" s="9" t="s">
        <v>50328</v>
      </c>
      <c r="B952" s="9" t="s">
        <v>11830</v>
      </c>
      <c r="C952" s="9" t="s">
        <v>42532</v>
      </c>
      <c r="D952" s="8" t="s">
        <v>50329</v>
      </c>
    </row>
    <row r="953" ht="15.75" customHeight="1">
      <c r="A953" s="9" t="s">
        <v>50330</v>
      </c>
      <c r="B953" s="9" t="s">
        <v>11830</v>
      </c>
      <c r="C953" s="9" t="s">
        <v>42538</v>
      </c>
      <c r="D953" s="8" t="s">
        <v>50331</v>
      </c>
    </row>
    <row r="954" ht="15.75" customHeight="1">
      <c r="A954" s="9" t="s">
        <v>50332</v>
      </c>
      <c r="B954" s="9" t="s">
        <v>12125</v>
      </c>
      <c r="C954" s="9" t="s">
        <v>42538</v>
      </c>
      <c r="D954" s="8" t="s">
        <v>50333</v>
      </c>
    </row>
    <row r="955" ht="15.75" customHeight="1">
      <c r="A955" s="9" t="s">
        <v>50334</v>
      </c>
      <c r="B955" s="9" t="s">
        <v>12125</v>
      </c>
      <c r="C955" s="9" t="s">
        <v>42532</v>
      </c>
      <c r="D955" s="8" t="s">
        <v>50335</v>
      </c>
    </row>
    <row r="956" ht="15.75" customHeight="1">
      <c r="A956" s="9" t="s">
        <v>50336</v>
      </c>
      <c r="B956" s="9" t="s">
        <v>12125</v>
      </c>
      <c r="C956" s="9" t="s">
        <v>42535</v>
      </c>
      <c r="D956" s="8" t="s">
        <v>50337</v>
      </c>
    </row>
    <row r="957" ht="15.75" customHeight="1">
      <c r="A957" s="9" t="s">
        <v>50338</v>
      </c>
      <c r="B957" s="9" t="s">
        <v>11955</v>
      </c>
      <c r="C957" s="9" t="s">
        <v>42538</v>
      </c>
      <c r="D957" s="8" t="s">
        <v>50339</v>
      </c>
    </row>
    <row r="958" ht="15.75" customHeight="1">
      <c r="A958" s="9" t="s">
        <v>50340</v>
      </c>
      <c r="B958" s="9" t="s">
        <v>11955</v>
      </c>
      <c r="C958" s="9" t="s">
        <v>42532</v>
      </c>
      <c r="D958" s="8" t="s">
        <v>50341</v>
      </c>
    </row>
    <row r="959" ht="15.75" customHeight="1">
      <c r="A959" s="9" t="s">
        <v>50342</v>
      </c>
      <c r="B959" s="9" t="s">
        <v>12219</v>
      </c>
      <c r="C959" s="9" t="s">
        <v>42535</v>
      </c>
      <c r="D959" s="8" t="s">
        <v>50343</v>
      </c>
    </row>
    <row r="960" ht="15.75" customHeight="1">
      <c r="A960" s="9"/>
      <c r="B960" s="9"/>
      <c r="C960" s="9"/>
      <c r="D960" s="9"/>
    </row>
    <row r="961" ht="15.75" customHeight="1">
      <c r="A961" s="9" t="s">
        <v>50344</v>
      </c>
      <c r="B961" s="9" t="s">
        <v>12219</v>
      </c>
      <c r="C961" s="9" t="s">
        <v>19384</v>
      </c>
      <c r="D961" s="8" t="s">
        <v>50345</v>
      </c>
    </row>
    <row r="962" ht="15.75" customHeight="1">
      <c r="A962" s="9" t="s">
        <v>50346</v>
      </c>
      <c r="B962" s="9" t="s">
        <v>12219</v>
      </c>
      <c r="C962" s="9" t="s">
        <v>42532</v>
      </c>
      <c r="D962" s="8" t="s">
        <v>50347</v>
      </c>
    </row>
    <row r="963" ht="15.75" customHeight="1">
      <c r="A963" s="9" t="s">
        <v>50348</v>
      </c>
      <c r="B963" s="9" t="s">
        <v>706</v>
      </c>
      <c r="C963" s="9" t="s">
        <v>42532</v>
      </c>
      <c r="D963" s="8" t="s">
        <v>50349</v>
      </c>
    </row>
    <row r="964" ht="15.75" customHeight="1">
      <c r="A964" s="9" t="s">
        <v>50350</v>
      </c>
      <c r="B964" s="9" t="s">
        <v>706</v>
      </c>
      <c r="C964" s="9" t="s">
        <v>10068</v>
      </c>
      <c r="D964" s="8" t="s">
        <v>50351</v>
      </c>
    </row>
    <row r="965" ht="15.75" customHeight="1">
      <c r="A965" s="9" t="s">
        <v>50352</v>
      </c>
      <c r="B965" s="9" t="s">
        <v>11368</v>
      </c>
      <c r="C965" s="9" t="s">
        <v>42532</v>
      </c>
      <c r="D965" s="8" t="s">
        <v>50121</v>
      </c>
    </row>
    <row r="966" ht="15.75" customHeight="1">
      <c r="A966" s="9" t="s">
        <v>50353</v>
      </c>
      <c r="B966" s="9" t="s">
        <v>11371</v>
      </c>
      <c r="C966" s="9" t="s">
        <v>42535</v>
      </c>
      <c r="D966" s="8" t="s">
        <v>50354</v>
      </c>
    </row>
    <row r="967" ht="15.75" customHeight="1">
      <c r="A967" s="9" t="s">
        <v>50355</v>
      </c>
      <c r="B967" s="9" t="s">
        <v>8608</v>
      </c>
      <c r="C967" s="9" t="s">
        <v>42532</v>
      </c>
      <c r="D967" s="8" t="s">
        <v>50356</v>
      </c>
    </row>
    <row r="968" ht="15.75" customHeight="1">
      <c r="A968" s="9" t="s">
        <v>50357</v>
      </c>
      <c r="B968" s="9" t="s">
        <v>10682</v>
      </c>
      <c r="C968" s="9" t="s">
        <v>42546</v>
      </c>
      <c r="D968" s="8" t="s">
        <v>50358</v>
      </c>
    </row>
    <row r="969" ht="15.75" customHeight="1">
      <c r="A969" s="9" t="s">
        <v>50359</v>
      </c>
      <c r="B969" s="9" t="s">
        <v>11740</v>
      </c>
      <c r="C969" s="9" t="s">
        <v>42532</v>
      </c>
      <c r="D969" s="8" t="s">
        <v>50360</v>
      </c>
    </row>
    <row r="970" ht="15.75" customHeight="1">
      <c r="A970" s="9"/>
      <c r="B970" s="9"/>
      <c r="C970" s="9"/>
      <c r="D970" s="9"/>
    </row>
    <row r="971" ht="15.75" customHeight="1">
      <c r="A971" s="9" t="s">
        <v>50361</v>
      </c>
      <c r="B971" s="9" t="s">
        <v>11740</v>
      </c>
      <c r="C971" s="9" t="s">
        <v>42551</v>
      </c>
      <c r="D971" s="8" t="s">
        <v>50362</v>
      </c>
    </row>
    <row r="972" ht="15.75" customHeight="1">
      <c r="A972" s="9" t="s">
        <v>50363</v>
      </c>
      <c r="B972" s="9" t="s">
        <v>11526</v>
      </c>
      <c r="C972" s="9" t="s">
        <v>42546</v>
      </c>
      <c r="D972" s="8" t="s">
        <v>50358</v>
      </c>
    </row>
    <row r="973" ht="15.75" customHeight="1">
      <c r="A973" s="9" t="s">
        <v>50364</v>
      </c>
      <c r="B973" s="9" t="s">
        <v>11740</v>
      </c>
      <c r="C973" s="9" t="s">
        <v>42535</v>
      </c>
      <c r="D973" s="8" t="s">
        <v>50365</v>
      </c>
    </row>
    <row r="974" ht="15.75" customHeight="1">
      <c r="A974" s="9" t="s">
        <v>50366</v>
      </c>
      <c r="B974" s="9" t="s">
        <v>5545</v>
      </c>
      <c r="C974" s="9" t="s">
        <v>42532</v>
      </c>
      <c r="D974" s="8" t="s">
        <v>50367</v>
      </c>
    </row>
    <row r="975" ht="15.75" customHeight="1">
      <c r="A975" s="9" t="s">
        <v>50368</v>
      </c>
      <c r="B975" s="9" t="s">
        <v>2496</v>
      </c>
      <c r="C975" s="9" t="s">
        <v>10068</v>
      </c>
      <c r="D975" s="8" t="s">
        <v>50369</v>
      </c>
    </row>
    <row r="976" ht="15.75" customHeight="1">
      <c r="A976" s="9"/>
      <c r="B976" s="9"/>
      <c r="C976" s="9"/>
      <c r="D976" s="9"/>
    </row>
    <row r="977" ht="15.75" customHeight="1">
      <c r="A977" s="9" t="s">
        <v>50370</v>
      </c>
      <c r="B977" s="9" t="s">
        <v>6705</v>
      </c>
      <c r="C977" s="9" t="s">
        <v>42532</v>
      </c>
      <c r="D977" s="9" t="s">
        <v>50371</v>
      </c>
    </row>
    <row r="978" ht="15.75" customHeight="1">
      <c r="A978" s="9" t="s">
        <v>50372</v>
      </c>
      <c r="B978" s="9" t="s">
        <v>4146</v>
      </c>
      <c r="C978" s="9" t="s">
        <v>10068</v>
      </c>
      <c r="D978" s="8" t="s">
        <v>50373</v>
      </c>
    </row>
    <row r="979" ht="15.75" customHeight="1">
      <c r="A979" s="9" t="s">
        <v>50374</v>
      </c>
      <c r="B979" s="9" t="s">
        <v>12104</v>
      </c>
      <c r="C979" s="9" t="s">
        <v>42538</v>
      </c>
      <c r="D979" s="8" t="s">
        <v>50375</v>
      </c>
    </row>
    <row r="980" ht="15.75" customHeight="1">
      <c r="A980" s="9" t="s">
        <v>50376</v>
      </c>
      <c r="B980" s="9" t="s">
        <v>12104</v>
      </c>
      <c r="C980" s="9" t="s">
        <v>42532</v>
      </c>
      <c r="D980" s="8" t="s">
        <v>50377</v>
      </c>
    </row>
    <row r="981" ht="15.75" customHeight="1">
      <c r="A981" s="9" t="s">
        <v>50378</v>
      </c>
      <c r="B981" s="9" t="s">
        <v>12104</v>
      </c>
      <c r="C981" s="9" t="s">
        <v>42535</v>
      </c>
      <c r="D981" s="8" t="s">
        <v>50379</v>
      </c>
    </row>
    <row r="982" ht="15.75" customHeight="1">
      <c r="A982" s="9" t="s">
        <v>50380</v>
      </c>
      <c r="B982" s="9" t="s">
        <v>12104</v>
      </c>
      <c r="C982" s="9" t="s">
        <v>42546</v>
      </c>
      <c r="D982" s="8" t="s">
        <v>50381</v>
      </c>
    </row>
    <row r="983" ht="15.75" customHeight="1">
      <c r="A983" s="9" t="s">
        <v>50382</v>
      </c>
      <c r="B983" s="9" t="s">
        <v>4887</v>
      </c>
      <c r="C983" s="9" t="s">
        <v>10068</v>
      </c>
      <c r="D983" s="8" t="s">
        <v>50383</v>
      </c>
    </row>
    <row r="984" ht="15.75" customHeight="1">
      <c r="A984" s="9" t="s">
        <v>50384</v>
      </c>
      <c r="B984" s="9" t="s">
        <v>10276</v>
      </c>
      <c r="C984" s="9" t="s">
        <v>42535</v>
      </c>
      <c r="D984" s="8" t="s">
        <v>50385</v>
      </c>
    </row>
    <row r="985" ht="15.75" customHeight="1">
      <c r="A985" s="9" t="s">
        <v>50386</v>
      </c>
      <c r="B985" s="9" t="s">
        <v>11826</v>
      </c>
      <c r="C985" s="9" t="s">
        <v>42532</v>
      </c>
      <c r="D985" s="8" t="s">
        <v>50387</v>
      </c>
    </row>
    <row r="986" ht="15.75" customHeight="1">
      <c r="A986" s="9" t="s">
        <v>50388</v>
      </c>
      <c r="B986" s="9" t="s">
        <v>5314</v>
      </c>
      <c r="C986" s="9" t="s">
        <v>10068</v>
      </c>
      <c r="D986" s="8" t="s">
        <v>50389</v>
      </c>
    </row>
    <row r="987" ht="15.75" customHeight="1">
      <c r="A987" s="9" t="s">
        <v>50390</v>
      </c>
      <c r="B987" s="9" t="s">
        <v>12071</v>
      </c>
      <c r="C987" s="9" t="s">
        <v>42532</v>
      </c>
      <c r="D987" s="8" t="s">
        <v>50391</v>
      </c>
    </row>
    <row r="988" ht="15.75" customHeight="1">
      <c r="A988" s="9" t="s">
        <v>50392</v>
      </c>
      <c r="B988" s="9" t="s">
        <v>10287</v>
      </c>
      <c r="C988" s="9" t="s">
        <v>42538</v>
      </c>
      <c r="D988" s="8" t="s">
        <v>50393</v>
      </c>
    </row>
    <row r="989" ht="15.75" customHeight="1">
      <c r="A989" s="9" t="s">
        <v>50394</v>
      </c>
      <c r="B989" s="9" t="s">
        <v>10287</v>
      </c>
      <c r="C989" s="9" t="s">
        <v>42546</v>
      </c>
      <c r="D989" s="8" t="s">
        <v>50395</v>
      </c>
    </row>
    <row r="990" ht="15.75" customHeight="1">
      <c r="A990" s="9" t="s">
        <v>50396</v>
      </c>
      <c r="B990" s="9" t="s">
        <v>5823</v>
      </c>
      <c r="C990" s="9" t="s">
        <v>42532</v>
      </c>
      <c r="D990" s="8" t="s">
        <v>50397</v>
      </c>
    </row>
    <row r="991" ht="15.75" customHeight="1">
      <c r="A991" s="9" t="s">
        <v>50398</v>
      </c>
      <c r="B991" s="9" t="s">
        <v>5823</v>
      </c>
      <c r="C991" s="9" t="s">
        <v>10068</v>
      </c>
      <c r="D991" s="8" t="s">
        <v>50399</v>
      </c>
    </row>
    <row r="992" ht="15.75" customHeight="1">
      <c r="A992" s="9" t="s">
        <v>50400</v>
      </c>
      <c r="B992" s="9" t="s">
        <v>1088</v>
      </c>
      <c r="C992" s="9" t="s">
        <v>42532</v>
      </c>
      <c r="D992" s="8" t="s">
        <v>50401</v>
      </c>
    </row>
    <row r="993" ht="15.75" customHeight="1">
      <c r="A993" s="9"/>
      <c r="B993" s="9"/>
      <c r="C993" s="9"/>
      <c r="D993" s="9"/>
    </row>
    <row r="994" ht="15.75" customHeight="1">
      <c r="A994" s="9" t="s">
        <v>50402</v>
      </c>
      <c r="B994" s="9" t="s">
        <v>12100</v>
      </c>
      <c r="C994" s="9" t="s">
        <v>42538</v>
      </c>
      <c r="D994" s="8" t="s">
        <v>50403</v>
      </c>
    </row>
    <row r="995" ht="15.75" customHeight="1">
      <c r="A995" s="9" t="s">
        <v>50404</v>
      </c>
      <c r="B995" s="9" t="s">
        <v>11682</v>
      </c>
      <c r="C995" s="9" t="s">
        <v>42532</v>
      </c>
      <c r="D995" s="8" t="s">
        <v>50405</v>
      </c>
    </row>
    <row r="996" ht="15.75" customHeight="1">
      <c r="A996" s="9" t="s">
        <v>50406</v>
      </c>
      <c r="B996" s="9" t="s">
        <v>11682</v>
      </c>
      <c r="C996" s="9" t="s">
        <v>42535</v>
      </c>
      <c r="D996" s="8" t="s">
        <v>50407</v>
      </c>
    </row>
    <row r="997" ht="15.75" customHeight="1">
      <c r="A997" s="9" t="s">
        <v>50408</v>
      </c>
      <c r="B997" s="9" t="s">
        <v>11682</v>
      </c>
      <c r="C997" s="9" t="s">
        <v>42543</v>
      </c>
      <c r="D997" s="8" t="s">
        <v>50409</v>
      </c>
    </row>
    <row r="998" ht="15.75" customHeight="1">
      <c r="A998" s="9" t="s">
        <v>50410</v>
      </c>
      <c r="B998" s="9" t="s">
        <v>4545</v>
      </c>
      <c r="C998" s="9" t="s">
        <v>10068</v>
      </c>
      <c r="D998" s="8" t="s">
        <v>50411</v>
      </c>
    </row>
    <row r="999" ht="15.75" customHeight="1">
      <c r="A999" s="9" t="s">
        <v>50412</v>
      </c>
      <c r="B999" s="9" t="s">
        <v>4545</v>
      </c>
      <c r="C999" s="9" t="s">
        <v>42538</v>
      </c>
      <c r="D999" s="8" t="s">
        <v>50413</v>
      </c>
    </row>
    <row r="1000" ht="15.75" customHeight="1">
      <c r="A1000" s="52" t="s">
        <v>50414</v>
      </c>
      <c r="B1000" s="9" t="s">
        <v>10262</v>
      </c>
      <c r="C1000" s="9" t="s">
        <v>42532</v>
      </c>
      <c r="D1000" s="8" t="s">
        <v>50415</v>
      </c>
    </row>
    <row r="1001" ht="15.75" customHeight="1">
      <c r="A1001" s="9" t="s">
        <v>50416</v>
      </c>
      <c r="B1001" s="9" t="s">
        <v>1150</v>
      </c>
      <c r="C1001" s="9" t="s">
        <v>10068</v>
      </c>
      <c r="D1001" s="8" t="s">
        <v>50417</v>
      </c>
    </row>
    <row r="1002" ht="15.75" customHeight="1">
      <c r="A1002" s="9" t="s">
        <v>50418</v>
      </c>
      <c r="B1002" s="9" t="s">
        <v>11375</v>
      </c>
      <c r="C1002" s="9" t="s">
        <v>42532</v>
      </c>
      <c r="D1002" s="8" t="s">
        <v>50419</v>
      </c>
    </row>
    <row r="1003" ht="15.75" customHeight="1">
      <c r="A1003" s="9" t="s">
        <v>50420</v>
      </c>
      <c r="B1003" s="9" t="s">
        <v>11375</v>
      </c>
      <c r="C1003" s="9" t="s">
        <v>42543</v>
      </c>
      <c r="D1003" s="8" t="s">
        <v>50421</v>
      </c>
    </row>
    <row r="1004" ht="15.75" customHeight="1">
      <c r="A1004" s="9" t="s">
        <v>50422</v>
      </c>
      <c r="B1004" s="9" t="s">
        <v>11377</v>
      </c>
      <c r="C1004" s="9" t="s">
        <v>42535</v>
      </c>
      <c r="D1004" s="8" t="s">
        <v>50423</v>
      </c>
    </row>
    <row r="1005" ht="15.75" customHeight="1">
      <c r="A1005" s="9" t="s">
        <v>50424</v>
      </c>
      <c r="B1005" s="9" t="s">
        <v>11377</v>
      </c>
      <c r="C1005" s="9" t="s">
        <v>42538</v>
      </c>
      <c r="D1005" s="8" t="s">
        <v>50425</v>
      </c>
    </row>
    <row r="1006" ht="15.75" customHeight="1">
      <c r="A1006" s="9" t="s">
        <v>50426</v>
      </c>
      <c r="B1006" s="9" t="s">
        <v>11377</v>
      </c>
      <c r="C1006" s="9" t="s">
        <v>42546</v>
      </c>
      <c r="D1006" s="8" t="s">
        <v>50427</v>
      </c>
    </row>
    <row r="1007" ht="15.75" customHeight="1">
      <c r="A1007" s="9" t="s">
        <v>50428</v>
      </c>
      <c r="B1007" s="9" t="s">
        <v>11379</v>
      </c>
      <c r="C1007" s="9" t="s">
        <v>42535</v>
      </c>
      <c r="D1007" s="8" t="s">
        <v>50429</v>
      </c>
    </row>
    <row r="1008" ht="15.75" customHeight="1">
      <c r="A1008" s="9" t="s">
        <v>50430</v>
      </c>
      <c r="B1008" s="9" t="s">
        <v>11379</v>
      </c>
      <c r="C1008" s="9" t="s">
        <v>42532</v>
      </c>
      <c r="D1008" s="8" t="s">
        <v>50431</v>
      </c>
    </row>
    <row r="1009" ht="15.75" customHeight="1">
      <c r="A1009" s="9" t="s">
        <v>50432</v>
      </c>
      <c r="B1009" s="9" t="s">
        <v>11379</v>
      </c>
      <c r="C1009" s="9" t="s">
        <v>42538</v>
      </c>
      <c r="D1009" s="8" t="s">
        <v>50433</v>
      </c>
    </row>
    <row r="1010" ht="15.75" customHeight="1">
      <c r="A1010" s="9" t="s">
        <v>50434</v>
      </c>
      <c r="B1010" s="9" t="s">
        <v>11381</v>
      </c>
      <c r="C1010" s="9" t="s">
        <v>42535</v>
      </c>
      <c r="D1010" s="8" t="s">
        <v>50435</v>
      </c>
    </row>
    <row r="1011" ht="15.75" customHeight="1">
      <c r="A1011" s="9" t="s">
        <v>50436</v>
      </c>
      <c r="B1011" s="9" t="s">
        <v>11381</v>
      </c>
      <c r="C1011" s="9" t="s">
        <v>42538</v>
      </c>
      <c r="D1011" s="8" t="s">
        <v>50437</v>
      </c>
    </row>
    <row r="1012" ht="15.75" customHeight="1">
      <c r="A1012" s="52" t="s">
        <v>50438</v>
      </c>
      <c r="B1012" s="9" t="s">
        <v>11381</v>
      </c>
      <c r="C1012" s="9" t="s">
        <v>42532</v>
      </c>
      <c r="D1012" s="8" t="s">
        <v>50439</v>
      </c>
    </row>
    <row r="1013" ht="15.75" customHeight="1">
      <c r="A1013" s="9" t="s">
        <v>50440</v>
      </c>
      <c r="B1013" s="9" t="s">
        <v>11383</v>
      </c>
      <c r="C1013" s="9" t="s">
        <v>42532</v>
      </c>
      <c r="D1013" s="8" t="s">
        <v>50439</v>
      </c>
    </row>
    <row r="1014" ht="15.75" customHeight="1">
      <c r="A1014" s="9" t="s">
        <v>50441</v>
      </c>
      <c r="B1014" s="9" t="s">
        <v>11383</v>
      </c>
      <c r="C1014" s="9" t="s">
        <v>42538</v>
      </c>
      <c r="D1014" s="8" t="s">
        <v>50442</v>
      </c>
    </row>
    <row r="1015" ht="15.75" customHeight="1">
      <c r="A1015" s="9" t="s">
        <v>50443</v>
      </c>
      <c r="B1015" s="9" t="s">
        <v>11383</v>
      </c>
      <c r="C1015" s="9" t="s">
        <v>42535</v>
      </c>
      <c r="D1015" s="8" t="s">
        <v>50444</v>
      </c>
    </row>
    <row r="1016" ht="15.75" customHeight="1">
      <c r="A1016" s="9" t="s">
        <v>50445</v>
      </c>
      <c r="B1016" s="9" t="s">
        <v>11385</v>
      </c>
      <c r="C1016" s="9" t="s">
        <v>42538</v>
      </c>
      <c r="D1016" s="8" t="s">
        <v>50446</v>
      </c>
    </row>
    <row r="1017" ht="15.75" customHeight="1">
      <c r="A1017" s="9" t="s">
        <v>50447</v>
      </c>
      <c r="B1017" s="9" t="s">
        <v>11385</v>
      </c>
      <c r="C1017" s="9" t="s">
        <v>42532</v>
      </c>
      <c r="D1017" s="8" t="s">
        <v>50448</v>
      </c>
    </row>
    <row r="1018" ht="15.75" customHeight="1">
      <c r="A1018" s="9" t="s">
        <v>50449</v>
      </c>
      <c r="B1018" s="9" t="s">
        <v>1247</v>
      </c>
      <c r="C1018" s="9" t="s">
        <v>42532</v>
      </c>
      <c r="D1018" s="8" t="s">
        <v>50450</v>
      </c>
    </row>
    <row r="1019" ht="15.75" customHeight="1">
      <c r="A1019" s="9" t="s">
        <v>50451</v>
      </c>
      <c r="B1019" s="9" t="s">
        <v>12038</v>
      </c>
      <c r="C1019" s="9" t="s">
        <v>10068</v>
      </c>
      <c r="D1019" s="8" t="s">
        <v>50452</v>
      </c>
    </row>
    <row r="1020" ht="15.75" customHeight="1">
      <c r="A1020" s="9" t="s">
        <v>50453</v>
      </c>
      <c r="B1020" s="9" t="s">
        <v>6444</v>
      </c>
      <c r="C1020" s="9" t="s">
        <v>10068</v>
      </c>
      <c r="D1020" s="8" t="s">
        <v>50454</v>
      </c>
    </row>
    <row r="1021" ht="15.75" customHeight="1">
      <c r="A1021" s="9" t="s">
        <v>50455</v>
      </c>
      <c r="B1021" s="9" t="s">
        <v>9835</v>
      </c>
      <c r="C1021" s="9" t="s">
        <v>10068</v>
      </c>
      <c r="D1021" s="8" t="s">
        <v>50456</v>
      </c>
    </row>
    <row r="1022" ht="15.75" customHeight="1">
      <c r="A1022" s="9" t="s">
        <v>50457</v>
      </c>
      <c r="B1022" s="9" t="s">
        <v>5633</v>
      </c>
      <c r="C1022" s="9" t="s">
        <v>10068</v>
      </c>
      <c r="D1022" s="8" t="s">
        <v>50458</v>
      </c>
    </row>
    <row r="1023" ht="15.75" customHeight="1">
      <c r="A1023" s="9" t="s">
        <v>50459</v>
      </c>
      <c r="B1023" s="9" t="s">
        <v>5361</v>
      </c>
      <c r="C1023" s="9" t="s">
        <v>10068</v>
      </c>
      <c r="D1023" s="8" t="s">
        <v>50460</v>
      </c>
    </row>
    <row r="1024" ht="15.75" customHeight="1">
      <c r="A1024" s="9" t="s">
        <v>50461</v>
      </c>
      <c r="B1024" s="9" t="s">
        <v>10488</v>
      </c>
      <c r="C1024" s="9" t="s">
        <v>42532</v>
      </c>
      <c r="D1024" s="8" t="s">
        <v>50462</v>
      </c>
    </row>
    <row r="1025" ht="15.75" customHeight="1">
      <c r="A1025" s="9" t="s">
        <v>50463</v>
      </c>
      <c r="B1025" s="9" t="s">
        <v>10682</v>
      </c>
      <c r="C1025" s="9" t="s">
        <v>42532</v>
      </c>
      <c r="D1025" s="8" t="s">
        <v>50464</v>
      </c>
    </row>
    <row r="1026" ht="15.75" customHeight="1">
      <c r="A1026" s="9" t="s">
        <v>50465</v>
      </c>
      <c r="B1026" s="9" t="s">
        <v>11526</v>
      </c>
      <c r="C1026" s="9" t="s">
        <v>42532</v>
      </c>
      <c r="D1026" s="8" t="s">
        <v>50464</v>
      </c>
    </row>
    <row r="1027" ht="15.75" customHeight="1">
      <c r="A1027" s="9" t="s">
        <v>50466</v>
      </c>
      <c r="B1027" s="9" t="s">
        <v>6989</v>
      </c>
      <c r="C1027" s="9" t="s">
        <v>10068</v>
      </c>
      <c r="D1027" s="8" t="s">
        <v>50467</v>
      </c>
    </row>
    <row r="1028" ht="15.75" customHeight="1">
      <c r="A1028" s="9" t="s">
        <v>50468</v>
      </c>
      <c r="B1028" s="9" t="s">
        <v>1919</v>
      </c>
      <c r="C1028" s="9" t="s">
        <v>42532</v>
      </c>
      <c r="D1028" s="8" t="s">
        <v>50469</v>
      </c>
    </row>
    <row r="1029" ht="15.75" customHeight="1">
      <c r="A1029" s="9" t="s">
        <v>50470</v>
      </c>
      <c r="B1029" s="9" t="s">
        <v>1919</v>
      </c>
      <c r="C1029" s="9" t="s">
        <v>10068</v>
      </c>
      <c r="D1029" s="8" t="s">
        <v>50471</v>
      </c>
    </row>
    <row r="1030" ht="15.75" customHeight="1">
      <c r="A1030" s="9" t="s">
        <v>50472</v>
      </c>
      <c r="B1030" s="9" t="s">
        <v>11821</v>
      </c>
      <c r="C1030" s="9" t="s">
        <v>42532</v>
      </c>
      <c r="D1030" s="8" t="s">
        <v>50473</v>
      </c>
    </row>
    <row r="1031" ht="15.75" customHeight="1">
      <c r="A1031" s="9" t="s">
        <v>50474</v>
      </c>
      <c r="B1031" s="9" t="s">
        <v>11821</v>
      </c>
      <c r="C1031" s="9" t="s">
        <v>10068</v>
      </c>
      <c r="D1031" s="8" t="s">
        <v>50475</v>
      </c>
    </row>
    <row r="1032" ht="15.75" customHeight="1">
      <c r="A1032" s="9" t="s">
        <v>50476</v>
      </c>
      <c r="B1032" s="9" t="s">
        <v>12159</v>
      </c>
      <c r="C1032" s="9" t="s">
        <v>42532</v>
      </c>
      <c r="D1032" s="8" t="s">
        <v>49223</v>
      </c>
    </row>
    <row r="1033" ht="15.75" customHeight="1">
      <c r="A1033" s="9" t="s">
        <v>50477</v>
      </c>
      <c r="B1033" s="9" t="s">
        <v>3663</v>
      </c>
      <c r="C1033" s="9" t="s">
        <v>10068</v>
      </c>
      <c r="D1033" s="8" t="s">
        <v>50478</v>
      </c>
    </row>
    <row r="1034" ht="15.75" customHeight="1">
      <c r="A1034" s="9" t="s">
        <v>50479</v>
      </c>
      <c r="B1034" s="9" t="s">
        <v>11387</v>
      </c>
      <c r="C1034" s="9" t="s">
        <v>42546</v>
      </c>
      <c r="D1034" s="8" t="s">
        <v>50480</v>
      </c>
    </row>
    <row r="1035" ht="15.75" customHeight="1">
      <c r="A1035" s="9" t="s">
        <v>50481</v>
      </c>
      <c r="B1035" s="9" t="s">
        <v>11387</v>
      </c>
      <c r="C1035" s="9" t="s">
        <v>42535</v>
      </c>
      <c r="D1035" s="8" t="s">
        <v>50482</v>
      </c>
    </row>
    <row r="1036" ht="15.75" customHeight="1">
      <c r="A1036" s="9" t="s">
        <v>50483</v>
      </c>
      <c r="B1036" s="9" t="s">
        <v>4034</v>
      </c>
      <c r="C1036" s="9" t="s">
        <v>42538</v>
      </c>
      <c r="D1036" s="8" t="s">
        <v>50484</v>
      </c>
    </row>
    <row r="1037" ht="15.75" customHeight="1">
      <c r="A1037" s="9" t="s">
        <v>50485</v>
      </c>
      <c r="B1037" s="9" t="s">
        <v>4034</v>
      </c>
      <c r="C1037" s="9" t="s">
        <v>10068</v>
      </c>
      <c r="D1037" s="8" t="s">
        <v>50486</v>
      </c>
    </row>
    <row r="1038" ht="15.75" customHeight="1">
      <c r="A1038" s="9" t="s">
        <v>50487</v>
      </c>
      <c r="B1038" s="9" t="s">
        <v>11911</v>
      </c>
      <c r="C1038" s="9" t="s">
        <v>10068</v>
      </c>
      <c r="D1038" s="8" t="s">
        <v>50488</v>
      </c>
    </row>
    <row r="1039" ht="15.75" customHeight="1">
      <c r="A1039" s="9" t="s">
        <v>50489</v>
      </c>
      <c r="B1039" s="9" t="s">
        <v>12108</v>
      </c>
      <c r="C1039" s="9" t="s">
        <v>10068</v>
      </c>
      <c r="D1039" s="8" t="s">
        <v>50490</v>
      </c>
    </row>
    <row r="1040" ht="15.75" customHeight="1">
      <c r="A1040" s="9" t="s">
        <v>50491</v>
      </c>
      <c r="B1040" s="9" t="s">
        <v>8900</v>
      </c>
      <c r="C1040" s="9" t="s">
        <v>42532</v>
      </c>
      <c r="D1040" s="8" t="s">
        <v>50492</v>
      </c>
    </row>
    <row r="1041" ht="15.75" customHeight="1">
      <c r="A1041" s="9" t="s">
        <v>50493</v>
      </c>
      <c r="B1041" s="9" t="s">
        <v>8900</v>
      </c>
      <c r="C1041" s="9" t="s">
        <v>10068</v>
      </c>
      <c r="D1041" s="8" t="s">
        <v>48900</v>
      </c>
    </row>
    <row r="1042" ht="15.75" customHeight="1">
      <c r="A1042" s="9" t="s">
        <v>50494</v>
      </c>
      <c r="B1042" s="9" t="s">
        <v>11394</v>
      </c>
      <c r="C1042" s="9" t="s">
        <v>42538</v>
      </c>
      <c r="D1042" s="8" t="s">
        <v>50495</v>
      </c>
    </row>
    <row r="1043" ht="15.75" customHeight="1">
      <c r="A1043" s="9" t="s">
        <v>50496</v>
      </c>
      <c r="B1043" s="9" t="s">
        <v>1195</v>
      </c>
      <c r="C1043" s="9" t="s">
        <v>42532</v>
      </c>
      <c r="D1043" s="8" t="s">
        <v>50497</v>
      </c>
    </row>
    <row r="1044" ht="15.75" customHeight="1">
      <c r="A1044" s="9" t="s">
        <v>50498</v>
      </c>
      <c r="B1044" s="9" t="s">
        <v>9167</v>
      </c>
      <c r="C1044" s="9" t="s">
        <v>42532</v>
      </c>
      <c r="D1044" s="8" t="s">
        <v>50499</v>
      </c>
    </row>
    <row r="1045" ht="15.75" customHeight="1">
      <c r="A1045" s="9"/>
      <c r="B1045" s="9"/>
      <c r="C1045" s="9"/>
      <c r="D1045" s="9"/>
    </row>
    <row r="1046" ht="15.75" customHeight="1">
      <c r="A1046" s="9" t="s">
        <v>50500</v>
      </c>
      <c r="B1046" s="9" t="s">
        <v>11389</v>
      </c>
      <c r="C1046" s="9" t="s">
        <v>42535</v>
      </c>
      <c r="D1046" s="8" t="s">
        <v>50501</v>
      </c>
    </row>
    <row r="1047" ht="15.75" customHeight="1">
      <c r="A1047" s="9" t="s">
        <v>50502</v>
      </c>
      <c r="B1047" s="9" t="s">
        <v>3963</v>
      </c>
      <c r="C1047" s="9" t="s">
        <v>10068</v>
      </c>
      <c r="D1047" s="8" t="s">
        <v>50503</v>
      </c>
    </row>
    <row r="1048" ht="15.75" customHeight="1">
      <c r="A1048" s="9" t="s">
        <v>50504</v>
      </c>
      <c r="B1048" s="9" t="s">
        <v>997</v>
      </c>
      <c r="C1048" s="9" t="s">
        <v>10068</v>
      </c>
      <c r="D1048" s="8" t="s">
        <v>49147</v>
      </c>
    </row>
    <row r="1049" ht="15.75" customHeight="1">
      <c r="A1049" s="9" t="s">
        <v>50505</v>
      </c>
      <c r="B1049" s="9" t="s">
        <v>11396</v>
      </c>
      <c r="C1049" s="9" t="s">
        <v>42532</v>
      </c>
      <c r="D1049" s="8" t="s">
        <v>50506</v>
      </c>
    </row>
    <row r="1050" ht="15.75" customHeight="1">
      <c r="A1050" s="9" t="s">
        <v>50507</v>
      </c>
      <c r="B1050" s="9" t="s">
        <v>1166</v>
      </c>
      <c r="C1050" s="9" t="s">
        <v>10068</v>
      </c>
      <c r="D1050" s="8" t="s">
        <v>50508</v>
      </c>
    </row>
    <row r="1051" ht="15.75" customHeight="1">
      <c r="A1051" s="9" t="s">
        <v>50509</v>
      </c>
      <c r="B1051" s="9" t="s">
        <v>4269</v>
      </c>
      <c r="C1051" s="9" t="s">
        <v>10068</v>
      </c>
      <c r="D1051" s="8" t="s">
        <v>50510</v>
      </c>
    </row>
    <row r="1052" ht="15.75" customHeight="1">
      <c r="A1052" s="9" t="s">
        <v>50511</v>
      </c>
      <c r="B1052" s="9" t="s">
        <v>9491</v>
      </c>
      <c r="C1052" s="9" t="s">
        <v>42535</v>
      </c>
      <c r="D1052" s="8" t="s">
        <v>50512</v>
      </c>
    </row>
    <row r="1053" ht="15.75" customHeight="1">
      <c r="A1053" s="9" t="s">
        <v>50513</v>
      </c>
      <c r="B1053" s="9" t="s">
        <v>9491</v>
      </c>
      <c r="C1053" s="9" t="s">
        <v>42532</v>
      </c>
      <c r="D1053" s="8" t="s">
        <v>50514</v>
      </c>
    </row>
    <row r="1054" ht="15.75" customHeight="1">
      <c r="A1054" s="9" t="s">
        <v>50515</v>
      </c>
      <c r="B1054" s="9" t="s">
        <v>10044</v>
      </c>
      <c r="C1054" s="9" t="s">
        <v>42532</v>
      </c>
      <c r="D1054" s="8" t="s">
        <v>50516</v>
      </c>
    </row>
    <row r="1055" ht="15.75" customHeight="1">
      <c r="A1055" s="9" t="s">
        <v>50517</v>
      </c>
      <c r="B1055" s="9" t="s">
        <v>10354</v>
      </c>
      <c r="C1055" s="9" t="s">
        <v>42532</v>
      </c>
      <c r="D1055" s="8" t="s">
        <v>50518</v>
      </c>
    </row>
    <row r="1056" ht="15.75" customHeight="1">
      <c r="A1056" s="9" t="s">
        <v>50519</v>
      </c>
      <c r="B1056" s="9" t="s">
        <v>9901</v>
      </c>
      <c r="C1056" s="9" t="s">
        <v>42532</v>
      </c>
      <c r="D1056" s="8" t="s">
        <v>50520</v>
      </c>
    </row>
    <row r="1057" ht="15.75" customHeight="1">
      <c r="A1057" s="9" t="s">
        <v>50521</v>
      </c>
      <c r="B1057" s="9" t="s">
        <v>10535</v>
      </c>
      <c r="C1057" s="9" t="s">
        <v>42532</v>
      </c>
      <c r="D1057" s="8" t="s">
        <v>50522</v>
      </c>
    </row>
    <row r="1058" ht="15.75" customHeight="1">
      <c r="A1058" s="9" t="s">
        <v>50523</v>
      </c>
      <c r="B1058" s="9" t="s">
        <v>11949</v>
      </c>
      <c r="C1058" s="9" t="s">
        <v>42532</v>
      </c>
      <c r="D1058" s="8" t="s">
        <v>50522</v>
      </c>
    </row>
    <row r="1059" ht="15.75" customHeight="1">
      <c r="A1059" s="9" t="s">
        <v>50524</v>
      </c>
      <c r="B1059" s="9" t="s">
        <v>8910</v>
      </c>
      <c r="C1059" s="9" t="s">
        <v>42532</v>
      </c>
      <c r="D1059" s="8" t="s">
        <v>50525</v>
      </c>
    </row>
    <row r="1060" ht="15.75" customHeight="1">
      <c r="A1060" s="9" t="s">
        <v>50526</v>
      </c>
      <c r="B1060" s="9" t="s">
        <v>11400</v>
      </c>
      <c r="C1060" s="9" t="s">
        <v>42532</v>
      </c>
      <c r="D1060" s="8" t="s">
        <v>50527</v>
      </c>
    </row>
    <row r="1061" ht="15.75" customHeight="1">
      <c r="A1061" s="9" t="s">
        <v>50528</v>
      </c>
      <c r="B1061" s="9" t="s">
        <v>11400</v>
      </c>
      <c r="C1061" s="9" t="s">
        <v>42538</v>
      </c>
      <c r="D1061" s="8" t="s">
        <v>50529</v>
      </c>
    </row>
    <row r="1062" ht="15.75" customHeight="1">
      <c r="A1062" s="9" t="s">
        <v>50530</v>
      </c>
      <c r="B1062" s="9" t="s">
        <v>3527</v>
      </c>
      <c r="C1062" s="9" t="s">
        <v>10068</v>
      </c>
      <c r="D1062" s="8" t="s">
        <v>50531</v>
      </c>
    </row>
    <row r="1063" ht="15.75" customHeight="1">
      <c r="A1063" s="9" t="s">
        <v>50532</v>
      </c>
      <c r="B1063" s="9" t="s">
        <v>1034</v>
      </c>
      <c r="C1063" s="9" t="s">
        <v>42532</v>
      </c>
      <c r="D1063" s="8" t="s">
        <v>50533</v>
      </c>
    </row>
    <row r="1064" ht="15.75" customHeight="1">
      <c r="A1064" s="9" t="s">
        <v>50534</v>
      </c>
      <c r="B1064" s="9" t="s">
        <v>8211</v>
      </c>
      <c r="C1064" s="9" t="s">
        <v>42543</v>
      </c>
      <c r="D1064" s="8" t="s">
        <v>50535</v>
      </c>
    </row>
    <row r="1065" ht="15.75" customHeight="1">
      <c r="A1065" s="9" t="s">
        <v>50536</v>
      </c>
      <c r="B1065" s="52" t="s">
        <v>19895</v>
      </c>
      <c r="C1065" s="9" t="s">
        <v>42532</v>
      </c>
      <c r="D1065" s="8" t="s">
        <v>50537</v>
      </c>
    </row>
    <row r="1066" ht="15.75" customHeight="1">
      <c r="A1066" s="9" t="s">
        <v>50538</v>
      </c>
      <c r="B1066" s="9" t="s">
        <v>11664</v>
      </c>
      <c r="C1066" s="9" t="s">
        <v>42535</v>
      </c>
      <c r="D1066" s="8" t="s">
        <v>50539</v>
      </c>
    </row>
    <row r="1067" ht="15.75" customHeight="1">
      <c r="A1067" s="9" t="s">
        <v>50540</v>
      </c>
      <c r="B1067" s="9" t="s">
        <v>11664</v>
      </c>
      <c r="C1067" s="9" t="s">
        <v>42538</v>
      </c>
      <c r="D1067" s="8" t="s">
        <v>50541</v>
      </c>
    </row>
    <row r="1068" ht="15.75" customHeight="1">
      <c r="A1068" s="9" t="s">
        <v>50542</v>
      </c>
      <c r="B1068" s="9" t="s">
        <v>11398</v>
      </c>
      <c r="C1068" s="9" t="s">
        <v>42535</v>
      </c>
      <c r="D1068" s="8" t="s">
        <v>50543</v>
      </c>
    </row>
    <row r="1069" ht="15.75" customHeight="1">
      <c r="A1069" s="9" t="s">
        <v>50544</v>
      </c>
      <c r="B1069" s="9" t="s">
        <v>11398</v>
      </c>
      <c r="C1069" s="9" t="s">
        <v>42538</v>
      </c>
      <c r="D1069" s="8" t="s">
        <v>50545</v>
      </c>
    </row>
    <row r="1070" ht="15.75" customHeight="1">
      <c r="A1070" s="9" t="s">
        <v>50546</v>
      </c>
      <c r="B1070" s="9" t="s">
        <v>11398</v>
      </c>
      <c r="C1070" s="9" t="s">
        <v>42546</v>
      </c>
      <c r="D1070" s="8" t="s">
        <v>50547</v>
      </c>
    </row>
    <row r="1071" ht="15.75" customHeight="1">
      <c r="A1071" s="9" t="s">
        <v>50548</v>
      </c>
      <c r="B1071" s="9" t="s">
        <v>10459</v>
      </c>
      <c r="C1071" s="9" t="s">
        <v>10068</v>
      </c>
      <c r="D1071" s="8" t="s">
        <v>50549</v>
      </c>
    </row>
    <row r="1072" ht="15.75" customHeight="1">
      <c r="A1072" s="9" t="s">
        <v>50550</v>
      </c>
      <c r="B1072" s="9" t="s">
        <v>9502</v>
      </c>
      <c r="C1072" s="9" t="s">
        <v>42543</v>
      </c>
      <c r="D1072" s="8" t="s">
        <v>50551</v>
      </c>
    </row>
    <row r="1073" ht="15.75" customHeight="1">
      <c r="A1073" s="9" t="s">
        <v>50552</v>
      </c>
      <c r="B1073" s="9" t="s">
        <v>9502</v>
      </c>
      <c r="C1073" s="9" t="s">
        <v>42532</v>
      </c>
      <c r="D1073" s="8" t="s">
        <v>50553</v>
      </c>
    </row>
    <row r="1074" ht="15.75" customHeight="1">
      <c r="A1074" s="9" t="s">
        <v>50554</v>
      </c>
      <c r="B1074" s="9" t="s">
        <v>11402</v>
      </c>
      <c r="C1074" s="9" t="s">
        <v>42532</v>
      </c>
      <c r="D1074" s="8" t="s">
        <v>50555</v>
      </c>
    </row>
    <row r="1075" ht="15.75" customHeight="1">
      <c r="A1075" s="9" t="s">
        <v>50556</v>
      </c>
      <c r="B1075" s="9" t="s">
        <v>8987</v>
      </c>
      <c r="C1075" s="9" t="s">
        <v>42543</v>
      </c>
      <c r="D1075" s="8" t="s">
        <v>50557</v>
      </c>
    </row>
    <row r="1076" ht="15.75" customHeight="1">
      <c r="A1076" s="9" t="s">
        <v>50558</v>
      </c>
      <c r="B1076" s="9" t="s">
        <v>12219</v>
      </c>
      <c r="C1076" s="9" t="s">
        <v>42538</v>
      </c>
      <c r="D1076" s="8" t="s">
        <v>50559</v>
      </c>
    </row>
    <row r="1077" ht="15.75" customHeight="1">
      <c r="A1077" s="9" t="s">
        <v>50560</v>
      </c>
      <c r="B1077" s="9" t="s">
        <v>11402</v>
      </c>
      <c r="C1077" s="9" t="s">
        <v>42538</v>
      </c>
      <c r="D1077" s="8" t="s">
        <v>50561</v>
      </c>
    </row>
    <row r="1078" ht="15.75" customHeight="1">
      <c r="A1078" s="9" t="s">
        <v>50562</v>
      </c>
      <c r="B1078" s="9" t="s">
        <v>11942</v>
      </c>
      <c r="C1078" s="9" t="s">
        <v>42532</v>
      </c>
      <c r="D1078" s="8" t="s">
        <v>50563</v>
      </c>
    </row>
    <row r="1079" ht="15.75" customHeight="1">
      <c r="A1079" s="9"/>
      <c r="B1079" s="9"/>
      <c r="C1079" s="9"/>
      <c r="D1079" s="9"/>
    </row>
    <row r="1080" ht="15.75" customHeight="1">
      <c r="A1080" s="9" t="s">
        <v>50564</v>
      </c>
      <c r="B1080" s="9" t="s">
        <v>11406</v>
      </c>
      <c r="C1080" s="9" t="s">
        <v>42535</v>
      </c>
      <c r="D1080" s="8" t="s">
        <v>50565</v>
      </c>
    </row>
    <row r="1081" ht="15.75" customHeight="1">
      <c r="A1081" s="9" t="s">
        <v>50566</v>
      </c>
      <c r="B1081" s="9" t="s">
        <v>11400</v>
      </c>
      <c r="C1081" s="9" t="s">
        <v>42543</v>
      </c>
      <c r="D1081" s="8" t="s">
        <v>50567</v>
      </c>
    </row>
    <row r="1082" ht="15.75" customHeight="1">
      <c r="A1082" s="9" t="s">
        <v>50568</v>
      </c>
      <c r="B1082" s="9" t="s">
        <v>11409</v>
      </c>
      <c r="C1082" s="9" t="s">
        <v>42532</v>
      </c>
      <c r="D1082" s="8" t="s">
        <v>50569</v>
      </c>
    </row>
    <row r="1083" ht="15.75" customHeight="1">
      <c r="A1083" s="9" t="s">
        <v>50570</v>
      </c>
      <c r="B1083" s="9" t="s">
        <v>11409</v>
      </c>
      <c r="C1083" s="9" t="s">
        <v>42543</v>
      </c>
      <c r="D1083" s="8" t="s">
        <v>50571</v>
      </c>
    </row>
    <row r="1084" ht="15.75" customHeight="1">
      <c r="A1084" s="9" t="s">
        <v>50572</v>
      </c>
      <c r="B1084" s="9" t="s">
        <v>8755</v>
      </c>
      <c r="C1084" s="9" t="s">
        <v>42538</v>
      </c>
      <c r="D1084" s="8" t="s">
        <v>50573</v>
      </c>
    </row>
    <row r="1085" ht="15.75" customHeight="1">
      <c r="A1085" s="9" t="s">
        <v>50574</v>
      </c>
      <c r="B1085" s="9" t="s">
        <v>2496</v>
      </c>
      <c r="C1085" s="9" t="s">
        <v>42532</v>
      </c>
      <c r="D1085" s="8" t="s">
        <v>50575</v>
      </c>
    </row>
    <row r="1086" ht="15.75" customHeight="1">
      <c r="A1086" s="9" t="s">
        <v>50576</v>
      </c>
      <c r="B1086" s="9" t="s">
        <v>9339</v>
      </c>
      <c r="C1086" s="9" t="s">
        <v>42532</v>
      </c>
      <c r="D1086" s="8" t="s">
        <v>50577</v>
      </c>
    </row>
    <row r="1087" ht="15.75" customHeight="1">
      <c r="A1087" s="9" t="s">
        <v>50578</v>
      </c>
      <c r="B1087" s="9" t="s">
        <v>9603</v>
      </c>
      <c r="C1087" s="9" t="s">
        <v>42535</v>
      </c>
      <c r="D1087" s="8" t="s">
        <v>50579</v>
      </c>
    </row>
    <row r="1088" ht="15.75" customHeight="1">
      <c r="A1088" s="9" t="s">
        <v>50580</v>
      </c>
      <c r="B1088" s="9" t="s">
        <v>11417</v>
      </c>
      <c r="C1088" s="9" t="s">
        <v>42535</v>
      </c>
      <c r="D1088" s="8" t="s">
        <v>50581</v>
      </c>
    </row>
    <row r="1089" ht="15.75" customHeight="1">
      <c r="A1089" s="9" t="s">
        <v>50582</v>
      </c>
      <c r="B1089" s="9" t="s">
        <v>11417</v>
      </c>
      <c r="C1089" s="9" t="s">
        <v>42538</v>
      </c>
      <c r="D1089" s="8" t="s">
        <v>50583</v>
      </c>
    </row>
    <row r="1090" ht="15.75" customHeight="1">
      <c r="A1090" s="9" t="s">
        <v>50584</v>
      </c>
      <c r="B1090" s="9" t="s">
        <v>11419</v>
      </c>
      <c r="C1090" s="9" t="s">
        <v>42535</v>
      </c>
      <c r="D1090" s="8" t="s">
        <v>50585</v>
      </c>
    </row>
    <row r="1091" ht="15.75" customHeight="1">
      <c r="A1091" s="9" t="s">
        <v>50586</v>
      </c>
      <c r="B1091" s="9" t="s">
        <v>11423</v>
      </c>
      <c r="C1091" s="9" t="s">
        <v>42543</v>
      </c>
      <c r="D1091" s="8" t="s">
        <v>50587</v>
      </c>
    </row>
    <row r="1092" ht="15.75" customHeight="1">
      <c r="A1092" s="9" t="s">
        <v>50588</v>
      </c>
      <c r="B1092" s="9" t="s">
        <v>11423</v>
      </c>
      <c r="C1092" s="9" t="s">
        <v>42532</v>
      </c>
      <c r="D1092" s="8" t="s">
        <v>50589</v>
      </c>
    </row>
    <row r="1093" ht="15.75" customHeight="1">
      <c r="A1093" s="9" t="s">
        <v>50590</v>
      </c>
      <c r="B1093" s="9" t="s">
        <v>11425</v>
      </c>
      <c r="C1093" s="9" t="s">
        <v>42532</v>
      </c>
      <c r="D1093" s="8" t="s">
        <v>49609</v>
      </c>
    </row>
    <row r="1094" ht="15.75" customHeight="1">
      <c r="A1094" s="52" t="s">
        <v>50591</v>
      </c>
      <c r="B1094" s="9" t="s">
        <v>3497</v>
      </c>
      <c r="C1094" s="9" t="s">
        <v>42538</v>
      </c>
      <c r="D1094" s="8" t="s">
        <v>50592</v>
      </c>
    </row>
    <row r="1095" ht="15.75" customHeight="1">
      <c r="A1095" s="9" t="s">
        <v>50593</v>
      </c>
      <c r="B1095" s="9" t="s">
        <v>9375</v>
      </c>
      <c r="C1095" s="9" t="s">
        <v>42538</v>
      </c>
      <c r="D1095" s="8" t="s">
        <v>50592</v>
      </c>
    </row>
    <row r="1096" ht="15.75" customHeight="1">
      <c r="A1096" s="9" t="s">
        <v>50594</v>
      </c>
      <c r="B1096" s="9" t="s">
        <v>11425</v>
      </c>
      <c r="C1096" s="9" t="s">
        <v>42538</v>
      </c>
      <c r="D1096" s="8" t="s">
        <v>50592</v>
      </c>
    </row>
    <row r="1097" ht="15.75" customHeight="1">
      <c r="A1097" s="9" t="s">
        <v>50595</v>
      </c>
      <c r="B1097" s="9" t="s">
        <v>3158</v>
      </c>
      <c r="C1097" s="9" t="s">
        <v>42532</v>
      </c>
      <c r="D1097" s="8" t="s">
        <v>50596</v>
      </c>
    </row>
    <row r="1098" ht="15.75" customHeight="1">
      <c r="A1098" s="9" t="s">
        <v>50597</v>
      </c>
      <c r="B1098" s="9" t="s">
        <v>3158</v>
      </c>
      <c r="C1098" s="9" t="s">
        <v>42543</v>
      </c>
      <c r="D1098" s="8" t="s">
        <v>50598</v>
      </c>
    </row>
    <row r="1099" ht="15.75" customHeight="1">
      <c r="A1099" s="9" t="s">
        <v>50599</v>
      </c>
      <c r="B1099" s="9" t="s">
        <v>3158</v>
      </c>
      <c r="C1099" s="9" t="s">
        <v>42538</v>
      </c>
      <c r="D1099" s="8" t="s">
        <v>50600</v>
      </c>
    </row>
    <row r="1100" ht="15.75" customHeight="1">
      <c r="A1100" s="9" t="s">
        <v>50601</v>
      </c>
      <c r="B1100" s="9" t="s">
        <v>3158</v>
      </c>
      <c r="C1100" s="9" t="s">
        <v>10068</v>
      </c>
      <c r="D1100" s="8" t="s">
        <v>50602</v>
      </c>
    </row>
    <row r="1101" ht="15.75" customHeight="1">
      <c r="A1101" s="9" t="s">
        <v>50603</v>
      </c>
      <c r="B1101" s="9" t="s">
        <v>11427</v>
      </c>
      <c r="C1101" s="9" t="s">
        <v>42532</v>
      </c>
      <c r="D1101" s="8" t="s">
        <v>50596</v>
      </c>
    </row>
    <row r="1102" ht="15.75" customHeight="1">
      <c r="A1102" s="9" t="s">
        <v>50604</v>
      </c>
      <c r="B1102" s="9" t="s">
        <v>11427</v>
      </c>
      <c r="C1102" s="9" t="s">
        <v>42543</v>
      </c>
      <c r="D1102" s="8" t="s">
        <v>50598</v>
      </c>
    </row>
    <row r="1103" ht="15.75" customHeight="1">
      <c r="A1103" s="9" t="s">
        <v>50605</v>
      </c>
      <c r="B1103" s="9" t="s">
        <v>11990</v>
      </c>
      <c r="C1103" s="9" t="s">
        <v>42532</v>
      </c>
      <c r="D1103" s="8" t="s">
        <v>50606</v>
      </c>
    </row>
    <row r="1104" ht="15.75" customHeight="1">
      <c r="A1104" s="9" t="s">
        <v>50607</v>
      </c>
      <c r="B1104" s="9" t="s">
        <v>5372</v>
      </c>
      <c r="C1104" s="9" t="s">
        <v>42538</v>
      </c>
      <c r="D1104" s="8" t="s">
        <v>50608</v>
      </c>
    </row>
    <row r="1105" ht="15.75" customHeight="1">
      <c r="A1105" s="9" t="s">
        <v>50609</v>
      </c>
      <c r="B1105" s="9" t="s">
        <v>12033</v>
      </c>
      <c r="C1105" s="9" t="s">
        <v>42532</v>
      </c>
      <c r="D1105" s="8" t="s">
        <v>50610</v>
      </c>
    </row>
    <row r="1106" ht="15.75" customHeight="1">
      <c r="A1106" s="9" t="s">
        <v>50611</v>
      </c>
      <c r="B1106" s="9" t="s">
        <v>260</v>
      </c>
      <c r="C1106" s="9" t="s">
        <v>42532</v>
      </c>
      <c r="D1106" s="8" t="s">
        <v>50612</v>
      </c>
    </row>
    <row r="1107" ht="15.75" customHeight="1">
      <c r="A1107" s="9" t="s">
        <v>50613</v>
      </c>
      <c r="B1107" s="9" t="s">
        <v>9564</v>
      </c>
      <c r="C1107" s="9" t="s">
        <v>42546</v>
      </c>
      <c r="D1107" s="8" t="s">
        <v>50614</v>
      </c>
    </row>
    <row r="1108" ht="15.75" customHeight="1">
      <c r="A1108" s="9" t="s">
        <v>50615</v>
      </c>
      <c r="B1108" s="9" t="s">
        <v>9708</v>
      </c>
      <c r="C1108" s="9" t="s">
        <v>42532</v>
      </c>
      <c r="D1108" s="8" t="s">
        <v>50616</v>
      </c>
    </row>
    <row r="1109" ht="15.75" customHeight="1">
      <c r="A1109" s="9" t="s">
        <v>50617</v>
      </c>
      <c r="B1109" s="9" t="s">
        <v>12144</v>
      </c>
      <c r="C1109" s="9" t="s">
        <v>42535</v>
      </c>
      <c r="D1109" s="8" t="s">
        <v>50618</v>
      </c>
    </row>
    <row r="1110" ht="15.75" customHeight="1">
      <c r="A1110" s="9" t="s">
        <v>50619</v>
      </c>
      <c r="B1110" s="9" t="s">
        <v>12144</v>
      </c>
      <c r="C1110" s="9" t="s">
        <v>42532</v>
      </c>
      <c r="D1110" s="8" t="s">
        <v>50620</v>
      </c>
    </row>
    <row r="1111" ht="15.75" customHeight="1">
      <c r="A1111" s="9" t="s">
        <v>50621</v>
      </c>
      <c r="B1111" s="9" t="s">
        <v>11429</v>
      </c>
      <c r="C1111" s="9" t="s">
        <v>10068</v>
      </c>
      <c r="D1111" s="8" t="s">
        <v>50602</v>
      </c>
    </row>
    <row r="1112" ht="15.75" customHeight="1">
      <c r="A1112" s="9" t="s">
        <v>50622</v>
      </c>
      <c r="B1112" s="9" t="s">
        <v>11429</v>
      </c>
      <c r="C1112" s="9" t="s">
        <v>42532</v>
      </c>
      <c r="D1112" s="8" t="s">
        <v>50596</v>
      </c>
    </row>
    <row r="1113" ht="15.75" customHeight="1">
      <c r="A1113" s="9" t="s">
        <v>50623</v>
      </c>
      <c r="B1113" s="9" t="s">
        <v>11429</v>
      </c>
      <c r="C1113" s="9" t="s">
        <v>42543</v>
      </c>
      <c r="D1113" s="8" t="s">
        <v>50598</v>
      </c>
    </row>
    <row r="1114" ht="15.75" customHeight="1">
      <c r="A1114" s="9" t="s">
        <v>50624</v>
      </c>
      <c r="B1114" s="9" t="s">
        <v>3314</v>
      </c>
      <c r="C1114" s="9" t="s">
        <v>42532</v>
      </c>
      <c r="D1114" s="8" t="s">
        <v>50625</v>
      </c>
    </row>
    <row r="1115" ht="15.75" customHeight="1">
      <c r="A1115" s="9" t="s">
        <v>50626</v>
      </c>
      <c r="B1115" s="9" t="s">
        <v>3314</v>
      </c>
      <c r="C1115" s="9" t="s">
        <v>42538</v>
      </c>
      <c r="D1115" s="8" t="s">
        <v>50627</v>
      </c>
    </row>
    <row r="1116" ht="15.75" customHeight="1">
      <c r="A1116" s="9" t="s">
        <v>50628</v>
      </c>
      <c r="B1116" s="9" t="s">
        <v>3314</v>
      </c>
      <c r="C1116" s="9" t="s">
        <v>10068</v>
      </c>
      <c r="D1116" s="8" t="s">
        <v>50629</v>
      </c>
    </row>
    <row r="1117" ht="15.75" customHeight="1">
      <c r="A1117" s="9" t="s">
        <v>50630</v>
      </c>
      <c r="B1117" s="9" t="s">
        <v>4224</v>
      </c>
      <c r="C1117" s="9" t="s">
        <v>42538</v>
      </c>
      <c r="D1117" s="8" t="s">
        <v>50631</v>
      </c>
    </row>
    <row r="1118" ht="15.75" customHeight="1">
      <c r="A1118" s="9" t="s">
        <v>50632</v>
      </c>
      <c r="B1118" s="9" t="s">
        <v>9940</v>
      </c>
      <c r="C1118" s="9" t="s">
        <v>42538</v>
      </c>
      <c r="D1118" s="8" t="s">
        <v>50633</v>
      </c>
    </row>
    <row r="1119" ht="15.75" customHeight="1">
      <c r="A1119" s="9" t="s">
        <v>50634</v>
      </c>
      <c r="B1119" s="9" t="s">
        <v>9940</v>
      </c>
      <c r="C1119" s="9" t="s">
        <v>42532</v>
      </c>
      <c r="D1119" s="8" t="s">
        <v>50635</v>
      </c>
    </row>
    <row r="1120" ht="15.75" customHeight="1">
      <c r="A1120" s="9" t="s">
        <v>50636</v>
      </c>
      <c r="B1120" s="9" t="s">
        <v>4674</v>
      </c>
      <c r="C1120" s="9" t="s">
        <v>42538</v>
      </c>
      <c r="D1120" s="8" t="s">
        <v>50637</v>
      </c>
    </row>
    <row r="1121" ht="15.75" customHeight="1">
      <c r="A1121" s="9" t="s">
        <v>50638</v>
      </c>
      <c r="B1121" s="9" t="s">
        <v>11717</v>
      </c>
      <c r="C1121" s="9" t="s">
        <v>42538</v>
      </c>
      <c r="D1121" s="8" t="s">
        <v>50639</v>
      </c>
    </row>
    <row r="1122" ht="15.75" customHeight="1">
      <c r="A1122" s="9" t="s">
        <v>50640</v>
      </c>
      <c r="B1122" s="9" t="s">
        <v>9827</v>
      </c>
      <c r="C1122" s="9" t="s">
        <v>42535</v>
      </c>
      <c r="D1122" s="8" t="s">
        <v>50641</v>
      </c>
    </row>
    <row r="1123" ht="15.75" customHeight="1">
      <c r="A1123" s="9" t="s">
        <v>50642</v>
      </c>
      <c r="B1123" s="9" t="s">
        <v>9827</v>
      </c>
      <c r="C1123" s="9" t="s">
        <v>42538</v>
      </c>
      <c r="D1123" s="8" t="s">
        <v>50643</v>
      </c>
    </row>
    <row r="1124" ht="15.75" customHeight="1">
      <c r="A1124" s="9" t="s">
        <v>50644</v>
      </c>
      <c r="B1124" s="9" t="s">
        <v>11415</v>
      </c>
      <c r="C1124" s="9" t="s">
        <v>42538</v>
      </c>
      <c r="D1124" s="8" t="s">
        <v>50645</v>
      </c>
    </row>
    <row r="1125" ht="15.75" customHeight="1">
      <c r="A1125" s="9" t="s">
        <v>50646</v>
      </c>
      <c r="B1125" s="9" t="s">
        <v>6947</v>
      </c>
      <c r="C1125" s="9" t="s">
        <v>42532</v>
      </c>
      <c r="D1125" s="8" t="s">
        <v>50647</v>
      </c>
    </row>
    <row r="1126" ht="15.75" customHeight="1">
      <c r="A1126" s="9" t="s">
        <v>50648</v>
      </c>
      <c r="B1126" s="9" t="s">
        <v>6947</v>
      </c>
      <c r="C1126" s="9" t="s">
        <v>10068</v>
      </c>
      <c r="D1126" s="8" t="s">
        <v>50649</v>
      </c>
    </row>
    <row r="1127" ht="15.75" customHeight="1">
      <c r="A1127" s="9" t="s">
        <v>50650</v>
      </c>
      <c r="B1127" s="9" t="s">
        <v>11748</v>
      </c>
      <c r="C1127" s="9" t="s">
        <v>42532</v>
      </c>
      <c r="D1127" s="8" t="s">
        <v>50651</v>
      </c>
    </row>
    <row r="1128" ht="15.75" customHeight="1">
      <c r="A1128" s="9" t="s">
        <v>50652</v>
      </c>
      <c r="B1128" s="9" t="s">
        <v>8322</v>
      </c>
      <c r="C1128" s="9" t="s">
        <v>42532</v>
      </c>
      <c r="D1128" s="8" t="s">
        <v>50653</v>
      </c>
    </row>
    <row r="1129" ht="15.75" customHeight="1">
      <c r="A1129" s="9" t="s">
        <v>50654</v>
      </c>
      <c r="B1129" s="9" t="s">
        <v>11680</v>
      </c>
      <c r="C1129" s="9" t="s">
        <v>42535</v>
      </c>
      <c r="D1129" s="8" t="s">
        <v>50655</v>
      </c>
    </row>
    <row r="1130" ht="15.75" customHeight="1">
      <c r="A1130" s="9" t="s">
        <v>50656</v>
      </c>
      <c r="B1130" s="9" t="s">
        <v>11680</v>
      </c>
      <c r="C1130" s="9" t="s">
        <v>42535</v>
      </c>
      <c r="D1130" s="8" t="s">
        <v>50657</v>
      </c>
    </row>
    <row r="1131" ht="15.75" customHeight="1">
      <c r="A1131" s="9" t="s">
        <v>50658</v>
      </c>
      <c r="B1131" s="9" t="s">
        <v>11680</v>
      </c>
      <c r="C1131" s="9" t="s">
        <v>42535</v>
      </c>
      <c r="D1131" s="8" t="s">
        <v>50659</v>
      </c>
    </row>
    <row r="1132" ht="15.75" customHeight="1">
      <c r="A1132" s="9" t="s">
        <v>50660</v>
      </c>
      <c r="B1132" s="9" t="s">
        <v>11431</v>
      </c>
      <c r="C1132" s="9" t="s">
        <v>42535</v>
      </c>
      <c r="D1132" s="8" t="s">
        <v>50661</v>
      </c>
    </row>
    <row r="1133" ht="15.75" customHeight="1">
      <c r="A1133" s="9" t="s">
        <v>50662</v>
      </c>
      <c r="B1133" s="9" t="s">
        <v>11431</v>
      </c>
      <c r="C1133" s="9" t="s">
        <v>42546</v>
      </c>
      <c r="D1133" s="8" t="s">
        <v>50663</v>
      </c>
    </row>
    <row r="1134" ht="15.75" customHeight="1">
      <c r="A1134" s="9"/>
      <c r="B1134" s="9"/>
      <c r="C1134" s="9"/>
      <c r="D1134" s="9"/>
    </row>
    <row r="1135" ht="15.75" customHeight="1">
      <c r="A1135" s="9" t="s">
        <v>50664</v>
      </c>
      <c r="B1135" s="9" t="s">
        <v>11433</v>
      </c>
      <c r="C1135" s="9" t="s">
        <v>42543</v>
      </c>
      <c r="D1135" s="8" t="s">
        <v>50665</v>
      </c>
    </row>
    <row r="1136" ht="15.75" customHeight="1">
      <c r="A1136" s="9" t="s">
        <v>50666</v>
      </c>
      <c r="B1136" s="9" t="s">
        <v>11433</v>
      </c>
      <c r="C1136" s="9" t="s">
        <v>42532</v>
      </c>
      <c r="D1136" s="8" t="s">
        <v>50667</v>
      </c>
    </row>
    <row r="1137" ht="15.75" customHeight="1">
      <c r="A1137" s="9" t="s">
        <v>50668</v>
      </c>
      <c r="B1137" s="9" t="s">
        <v>11431</v>
      </c>
      <c r="C1137" s="9" t="s">
        <v>42532</v>
      </c>
      <c r="D1137" s="8" t="s">
        <v>50669</v>
      </c>
    </row>
    <row r="1138" ht="15.75" customHeight="1">
      <c r="A1138" s="9" t="s">
        <v>50670</v>
      </c>
      <c r="B1138" s="9" t="s">
        <v>11431</v>
      </c>
      <c r="C1138" s="9" t="s">
        <v>19384</v>
      </c>
      <c r="D1138" s="8" t="s">
        <v>50671</v>
      </c>
    </row>
    <row r="1139" ht="15.75" customHeight="1">
      <c r="A1139" s="9" t="s">
        <v>50672</v>
      </c>
      <c r="B1139" s="9" t="s">
        <v>8060</v>
      </c>
      <c r="C1139" s="9" t="s">
        <v>42538</v>
      </c>
      <c r="D1139" s="8" t="s">
        <v>50673</v>
      </c>
    </row>
    <row r="1140" ht="15.75" customHeight="1">
      <c r="A1140" s="9" t="s">
        <v>50674</v>
      </c>
      <c r="B1140" s="9" t="s">
        <v>8060</v>
      </c>
      <c r="C1140" s="9" t="s">
        <v>42532</v>
      </c>
      <c r="D1140" s="8" t="s">
        <v>50675</v>
      </c>
    </row>
    <row r="1141" ht="15.75" customHeight="1">
      <c r="A1141" s="9" t="s">
        <v>50676</v>
      </c>
      <c r="B1141" s="9" t="s">
        <v>2902</v>
      </c>
      <c r="C1141" s="9" t="s">
        <v>42543</v>
      </c>
      <c r="D1141" s="8" t="s">
        <v>50677</v>
      </c>
    </row>
    <row r="1142" ht="15.75" customHeight="1">
      <c r="A1142" s="9" t="s">
        <v>50678</v>
      </c>
      <c r="B1142" s="9" t="s">
        <v>8871</v>
      </c>
      <c r="C1142" s="9" t="s">
        <v>42532</v>
      </c>
      <c r="D1142" s="8" t="s">
        <v>50679</v>
      </c>
    </row>
    <row r="1143" ht="15.75" customHeight="1">
      <c r="A1143" s="9" t="s">
        <v>50680</v>
      </c>
      <c r="B1143" s="9" t="s">
        <v>10211</v>
      </c>
      <c r="C1143" s="9" t="s">
        <v>42535</v>
      </c>
      <c r="D1143" s="8" t="s">
        <v>50681</v>
      </c>
    </row>
    <row r="1144" ht="15.75" customHeight="1">
      <c r="A1144" s="9" t="s">
        <v>50682</v>
      </c>
      <c r="B1144" s="9" t="s">
        <v>11435</v>
      </c>
      <c r="C1144" s="9" t="s">
        <v>42532</v>
      </c>
      <c r="D1144" s="8" t="s">
        <v>50683</v>
      </c>
    </row>
    <row r="1145" ht="15.75" customHeight="1">
      <c r="A1145" s="9" t="s">
        <v>50684</v>
      </c>
      <c r="B1145" s="9" t="s">
        <v>9048</v>
      </c>
      <c r="C1145" s="9" t="s">
        <v>42538</v>
      </c>
      <c r="D1145" s="8" t="s">
        <v>50685</v>
      </c>
    </row>
    <row r="1146" ht="15.75" customHeight="1">
      <c r="A1146" s="9" t="s">
        <v>50686</v>
      </c>
      <c r="B1146" s="9" t="s">
        <v>9048</v>
      </c>
      <c r="C1146" s="9" t="s">
        <v>10068</v>
      </c>
      <c r="D1146" s="8" t="s">
        <v>50687</v>
      </c>
    </row>
    <row r="1147" ht="15.75" customHeight="1">
      <c r="A1147" s="9" t="s">
        <v>50688</v>
      </c>
      <c r="B1147" s="9" t="s">
        <v>9048</v>
      </c>
      <c r="C1147" s="9" t="s">
        <v>42538</v>
      </c>
      <c r="D1147" s="8" t="s">
        <v>50689</v>
      </c>
    </row>
    <row r="1148" ht="15.75" customHeight="1">
      <c r="A1148" s="9" t="s">
        <v>50690</v>
      </c>
      <c r="B1148" s="9" t="s">
        <v>3864</v>
      </c>
      <c r="C1148" s="9" t="s">
        <v>10068</v>
      </c>
      <c r="D1148" s="8" t="s">
        <v>50687</v>
      </c>
    </row>
    <row r="1149" ht="15.75" customHeight="1">
      <c r="A1149" s="9" t="s">
        <v>50691</v>
      </c>
      <c r="B1149" s="9" t="s">
        <v>11437</v>
      </c>
      <c r="C1149" s="9" t="s">
        <v>42543</v>
      </c>
      <c r="D1149" s="8" t="s">
        <v>50692</v>
      </c>
    </row>
    <row r="1150" ht="15.75" customHeight="1">
      <c r="A1150" s="9" t="s">
        <v>50693</v>
      </c>
      <c r="B1150" s="9" t="s">
        <v>11437</v>
      </c>
      <c r="C1150" s="9" t="s">
        <v>42532</v>
      </c>
      <c r="D1150" s="8" t="s">
        <v>50694</v>
      </c>
    </row>
    <row r="1151" ht="15.75" customHeight="1">
      <c r="A1151" s="9" t="s">
        <v>50695</v>
      </c>
      <c r="B1151" s="9" t="s">
        <v>11392</v>
      </c>
      <c r="C1151" s="9" t="s">
        <v>42538</v>
      </c>
      <c r="D1151" s="8" t="s">
        <v>50696</v>
      </c>
    </row>
    <row r="1152" ht="15.75" customHeight="1">
      <c r="A1152" s="9" t="s">
        <v>50697</v>
      </c>
      <c r="B1152" s="9" t="s">
        <v>11439</v>
      </c>
      <c r="C1152" s="9" t="s">
        <v>42538</v>
      </c>
      <c r="D1152" s="8" t="s">
        <v>50698</v>
      </c>
    </row>
    <row r="1153" ht="15.75" customHeight="1">
      <c r="A1153" s="9"/>
      <c r="B1153" s="9"/>
      <c r="C1153" s="9"/>
      <c r="D1153" s="9"/>
    </row>
    <row r="1154" ht="15.75" customHeight="1">
      <c r="A1154" s="9" t="s">
        <v>50699</v>
      </c>
      <c r="B1154" s="9" t="s">
        <v>11385</v>
      </c>
      <c r="C1154" s="9" t="s">
        <v>42543</v>
      </c>
      <c r="D1154" s="8" t="s">
        <v>50700</v>
      </c>
    </row>
    <row r="1155" ht="15.75" customHeight="1">
      <c r="A1155" s="9" t="s">
        <v>50701</v>
      </c>
      <c r="B1155" s="9" t="s">
        <v>12148</v>
      </c>
      <c r="C1155" s="9" t="s">
        <v>42538</v>
      </c>
      <c r="D1155" s="8" t="s">
        <v>50702</v>
      </c>
    </row>
    <row r="1156" ht="15.75" customHeight="1">
      <c r="A1156" s="9" t="s">
        <v>50703</v>
      </c>
      <c r="B1156" s="9" t="s">
        <v>12148</v>
      </c>
      <c r="C1156" s="9" t="s">
        <v>42535</v>
      </c>
      <c r="D1156" s="8" t="s">
        <v>50704</v>
      </c>
    </row>
    <row r="1157" ht="15.75" customHeight="1">
      <c r="A1157" s="9"/>
      <c r="B1157" s="9"/>
      <c r="C1157" s="9"/>
      <c r="D1157" s="9"/>
    </row>
    <row r="1158" ht="15.75" customHeight="1">
      <c r="A1158" s="9" t="s">
        <v>50705</v>
      </c>
      <c r="B1158" s="9" t="s">
        <v>5219</v>
      </c>
      <c r="C1158" s="9" t="s">
        <v>42532</v>
      </c>
      <c r="D1158" s="8" t="s">
        <v>50706</v>
      </c>
    </row>
    <row r="1159" ht="15.75" customHeight="1">
      <c r="A1159" s="9" t="s">
        <v>50707</v>
      </c>
      <c r="B1159" s="9" t="s">
        <v>3079</v>
      </c>
      <c r="C1159" s="9" t="s">
        <v>42535</v>
      </c>
      <c r="D1159" s="8" t="s">
        <v>50708</v>
      </c>
    </row>
    <row r="1160" ht="15.75" customHeight="1">
      <c r="A1160" s="9" t="s">
        <v>50709</v>
      </c>
      <c r="B1160" s="9" t="s">
        <v>3079</v>
      </c>
      <c r="C1160" s="9" t="s">
        <v>10068</v>
      </c>
      <c r="D1160" s="8" t="s">
        <v>50710</v>
      </c>
    </row>
    <row r="1161" ht="15.75" customHeight="1">
      <c r="A1161" s="9" t="s">
        <v>50711</v>
      </c>
      <c r="B1161" s="9" t="s">
        <v>3079</v>
      </c>
      <c r="C1161" s="9" t="s">
        <v>42532</v>
      </c>
      <c r="D1161" s="8" t="s">
        <v>50712</v>
      </c>
    </row>
    <row r="1162" ht="15.75" customHeight="1">
      <c r="A1162" s="9" t="s">
        <v>50713</v>
      </c>
      <c r="B1162" s="9" t="s">
        <v>11443</v>
      </c>
      <c r="C1162" s="9" t="s">
        <v>42538</v>
      </c>
      <c r="D1162" s="8" t="s">
        <v>50714</v>
      </c>
    </row>
    <row r="1163" ht="15.75" customHeight="1">
      <c r="A1163" s="9"/>
      <c r="B1163" s="9"/>
      <c r="C1163" s="9"/>
      <c r="D1163" s="9"/>
    </row>
    <row r="1164" ht="15.75" customHeight="1">
      <c r="A1164" s="9" t="s">
        <v>50715</v>
      </c>
      <c r="B1164" s="9" t="s">
        <v>11443</v>
      </c>
      <c r="C1164" s="9" t="s">
        <v>42532</v>
      </c>
      <c r="D1164" s="8" t="s">
        <v>50716</v>
      </c>
    </row>
    <row r="1165" ht="15.75" customHeight="1">
      <c r="A1165" s="9" t="s">
        <v>50717</v>
      </c>
      <c r="B1165" s="9" t="s">
        <v>11443</v>
      </c>
      <c r="C1165" s="9" t="s">
        <v>42535</v>
      </c>
      <c r="D1165" s="8" t="s">
        <v>50718</v>
      </c>
    </row>
    <row r="1166" ht="15.75" customHeight="1">
      <c r="A1166" s="9" t="s">
        <v>50719</v>
      </c>
      <c r="B1166" s="9" t="s">
        <v>11445</v>
      </c>
      <c r="C1166" s="9" t="s">
        <v>42532</v>
      </c>
      <c r="D1166" s="8" t="s">
        <v>50720</v>
      </c>
    </row>
    <row r="1167" ht="15.75" customHeight="1">
      <c r="A1167" s="9" t="s">
        <v>50721</v>
      </c>
      <c r="B1167" s="9" t="s">
        <v>11450</v>
      </c>
      <c r="C1167" s="9" t="s">
        <v>42543</v>
      </c>
      <c r="D1167" s="8" t="s">
        <v>50722</v>
      </c>
    </row>
    <row r="1168" ht="15.75" customHeight="1">
      <c r="A1168" s="9" t="s">
        <v>50723</v>
      </c>
      <c r="B1168" s="9" t="s">
        <v>11450</v>
      </c>
      <c r="C1168" s="9" t="s">
        <v>42532</v>
      </c>
      <c r="D1168" s="8" t="s">
        <v>50724</v>
      </c>
    </row>
    <row r="1169" ht="15.75" customHeight="1">
      <c r="A1169" s="9" t="s">
        <v>50725</v>
      </c>
      <c r="B1169" s="9" t="s">
        <v>11452</v>
      </c>
      <c r="C1169" s="9" t="s">
        <v>42535</v>
      </c>
      <c r="D1169" s="8" t="s">
        <v>50726</v>
      </c>
    </row>
    <row r="1170" ht="15.75" customHeight="1">
      <c r="A1170" s="9" t="s">
        <v>50727</v>
      </c>
      <c r="B1170" s="9" t="s">
        <v>11452</v>
      </c>
      <c r="C1170" s="9" t="s">
        <v>42551</v>
      </c>
      <c r="D1170" s="8" t="s">
        <v>50728</v>
      </c>
    </row>
    <row r="1171" ht="15.75" customHeight="1">
      <c r="A1171" s="9" t="s">
        <v>50729</v>
      </c>
      <c r="B1171" s="9" t="s">
        <v>11452</v>
      </c>
      <c r="C1171" s="9" t="s">
        <v>42532</v>
      </c>
      <c r="D1171" s="8" t="s">
        <v>50730</v>
      </c>
    </row>
    <row r="1172" ht="15.75" customHeight="1">
      <c r="A1172" s="9" t="s">
        <v>50731</v>
      </c>
      <c r="B1172" s="9" t="s">
        <v>11963</v>
      </c>
      <c r="C1172" s="9" t="s">
        <v>42532</v>
      </c>
      <c r="D1172" s="8" t="s">
        <v>50732</v>
      </c>
    </row>
    <row r="1173" ht="15.75" customHeight="1">
      <c r="A1173" s="9" t="s">
        <v>50733</v>
      </c>
      <c r="B1173" s="9" t="s">
        <v>11454</v>
      </c>
      <c r="C1173" s="9" t="s">
        <v>42532</v>
      </c>
      <c r="D1173" s="8" t="s">
        <v>50734</v>
      </c>
    </row>
    <row r="1174" ht="15.75" customHeight="1">
      <c r="A1174" s="9" t="s">
        <v>50735</v>
      </c>
      <c r="B1174" s="9" t="s">
        <v>11454</v>
      </c>
      <c r="C1174" s="9" t="s">
        <v>42538</v>
      </c>
      <c r="D1174" s="8" t="s">
        <v>50736</v>
      </c>
    </row>
    <row r="1175" ht="15.75" customHeight="1">
      <c r="A1175" s="9" t="s">
        <v>50737</v>
      </c>
      <c r="B1175" s="9" t="s">
        <v>10738</v>
      </c>
      <c r="C1175" s="9" t="s">
        <v>42543</v>
      </c>
      <c r="D1175" s="8" t="s">
        <v>50738</v>
      </c>
    </row>
    <row r="1176" ht="15.75" customHeight="1">
      <c r="A1176" s="9" t="s">
        <v>50739</v>
      </c>
      <c r="B1176" s="9" t="s">
        <v>2122</v>
      </c>
      <c r="C1176" s="9" t="s">
        <v>42543</v>
      </c>
      <c r="D1176" s="8" t="s">
        <v>50740</v>
      </c>
    </row>
    <row r="1177" ht="15.75" customHeight="1">
      <c r="A1177" s="9" t="s">
        <v>50741</v>
      </c>
      <c r="B1177" s="9" t="s">
        <v>11456</v>
      </c>
      <c r="C1177" s="9" t="s">
        <v>42538</v>
      </c>
      <c r="D1177" s="8" t="s">
        <v>50742</v>
      </c>
    </row>
    <row r="1178" ht="15.75" customHeight="1">
      <c r="A1178" s="9" t="s">
        <v>50743</v>
      </c>
      <c r="B1178" s="9" t="s">
        <v>11458</v>
      </c>
      <c r="C1178" s="9" t="s">
        <v>42535</v>
      </c>
      <c r="D1178" s="8" t="s">
        <v>50744</v>
      </c>
    </row>
    <row r="1179" ht="15.75" customHeight="1">
      <c r="A1179" s="9" t="s">
        <v>50745</v>
      </c>
      <c r="B1179" s="9" t="s">
        <v>11458</v>
      </c>
      <c r="C1179" s="9" t="s">
        <v>42551</v>
      </c>
      <c r="D1179" s="8" t="s">
        <v>50746</v>
      </c>
    </row>
    <row r="1180" ht="15.75" customHeight="1">
      <c r="A1180" s="9" t="s">
        <v>50747</v>
      </c>
      <c r="B1180" s="9" t="s">
        <v>11458</v>
      </c>
      <c r="C1180" s="9" t="s">
        <v>42532</v>
      </c>
      <c r="D1180" s="8" t="s">
        <v>50748</v>
      </c>
    </row>
    <row r="1181" ht="15.75" customHeight="1">
      <c r="A1181" s="9" t="s">
        <v>50749</v>
      </c>
      <c r="B1181" s="9" t="s">
        <v>11458</v>
      </c>
      <c r="C1181" s="9" t="s">
        <v>42538</v>
      </c>
      <c r="D1181" s="8" t="s">
        <v>50750</v>
      </c>
    </row>
    <row r="1182" ht="15.75" customHeight="1">
      <c r="A1182" s="9" t="s">
        <v>50751</v>
      </c>
      <c r="B1182" s="9" t="s">
        <v>11664</v>
      </c>
      <c r="C1182" s="9" t="s">
        <v>42543</v>
      </c>
      <c r="D1182" s="8" t="s">
        <v>50752</v>
      </c>
    </row>
    <row r="1183" ht="15.75" customHeight="1">
      <c r="A1183" s="9" t="s">
        <v>50753</v>
      </c>
      <c r="B1183" s="9" t="s">
        <v>11664</v>
      </c>
      <c r="C1183" s="9" t="s">
        <v>42532</v>
      </c>
      <c r="D1183" s="8" t="s">
        <v>50754</v>
      </c>
    </row>
    <row r="1184" ht="15.75" customHeight="1">
      <c r="A1184" s="9" t="s">
        <v>50755</v>
      </c>
      <c r="B1184" s="9" t="s">
        <v>11460</v>
      </c>
      <c r="C1184" s="9" t="s">
        <v>42532</v>
      </c>
      <c r="D1184" s="8" t="s">
        <v>50756</v>
      </c>
    </row>
    <row r="1185" ht="15.75" customHeight="1">
      <c r="A1185" s="9" t="s">
        <v>50757</v>
      </c>
      <c r="B1185" s="9" t="s">
        <v>10130</v>
      </c>
      <c r="C1185" s="9" t="s">
        <v>10068</v>
      </c>
      <c r="D1185" s="8" t="s">
        <v>50758</v>
      </c>
    </row>
    <row r="1186" ht="15.75" customHeight="1">
      <c r="A1186" s="9" t="s">
        <v>50759</v>
      </c>
      <c r="B1186" s="9" t="s">
        <v>10616</v>
      </c>
      <c r="C1186" s="9" t="s">
        <v>42532</v>
      </c>
      <c r="D1186" s="8" t="s">
        <v>50760</v>
      </c>
    </row>
    <row r="1187" ht="15.75" customHeight="1">
      <c r="A1187" s="9" t="s">
        <v>50761</v>
      </c>
      <c r="B1187" s="9" t="s">
        <v>9736</v>
      </c>
      <c r="C1187" s="9" t="s">
        <v>42538</v>
      </c>
      <c r="D1187" s="8" t="s">
        <v>50762</v>
      </c>
    </row>
    <row r="1188" ht="15.75" customHeight="1">
      <c r="A1188" s="9" t="s">
        <v>50763</v>
      </c>
      <c r="B1188" s="9" t="s">
        <v>10531</v>
      </c>
      <c r="C1188" s="9" t="s">
        <v>42543</v>
      </c>
      <c r="D1188" s="8" t="s">
        <v>50764</v>
      </c>
    </row>
    <row r="1189" ht="15.75" customHeight="1">
      <c r="A1189" s="9" t="s">
        <v>50765</v>
      </c>
      <c r="B1189" s="9" t="s">
        <v>10531</v>
      </c>
      <c r="C1189" s="9" t="s">
        <v>42535</v>
      </c>
      <c r="D1189" s="8" t="s">
        <v>50766</v>
      </c>
    </row>
    <row r="1190" ht="15.75" customHeight="1">
      <c r="A1190" s="9" t="s">
        <v>50767</v>
      </c>
      <c r="B1190" s="9" t="s">
        <v>11468</v>
      </c>
      <c r="C1190" s="9" t="s">
        <v>42532</v>
      </c>
      <c r="D1190" s="8" t="s">
        <v>50768</v>
      </c>
    </row>
    <row r="1191" ht="15.75" customHeight="1">
      <c r="A1191" s="9" t="s">
        <v>50769</v>
      </c>
      <c r="B1191" s="9" t="s">
        <v>11456</v>
      </c>
      <c r="C1191" s="9" t="s">
        <v>42535</v>
      </c>
      <c r="D1191" s="8" t="s">
        <v>50770</v>
      </c>
    </row>
    <row r="1192" ht="15.75" customHeight="1">
      <c r="A1192" s="9" t="s">
        <v>50771</v>
      </c>
      <c r="B1192" s="9" t="s">
        <v>11470</v>
      </c>
      <c r="C1192" s="9" t="s">
        <v>42546</v>
      </c>
      <c r="D1192" s="8" t="s">
        <v>50772</v>
      </c>
    </row>
    <row r="1193" ht="15.75" customHeight="1">
      <c r="A1193" s="9" t="s">
        <v>50773</v>
      </c>
      <c r="B1193" s="9" t="s">
        <v>11470</v>
      </c>
      <c r="C1193" s="9" t="s">
        <v>42543</v>
      </c>
      <c r="D1193" s="8" t="s">
        <v>50774</v>
      </c>
    </row>
    <row r="1194" ht="15.75" customHeight="1">
      <c r="A1194" s="52" t="s">
        <v>50775</v>
      </c>
      <c r="B1194" s="9" t="s">
        <v>11470</v>
      </c>
      <c r="C1194" s="9" t="s">
        <v>42538</v>
      </c>
      <c r="D1194" s="8" t="s">
        <v>50776</v>
      </c>
    </row>
    <row r="1195" ht="15.75" customHeight="1">
      <c r="A1195" s="9" t="s">
        <v>50777</v>
      </c>
      <c r="B1195" s="9" t="s">
        <v>11470</v>
      </c>
      <c r="C1195" s="9" t="s">
        <v>42532</v>
      </c>
      <c r="D1195" s="8" t="s">
        <v>50778</v>
      </c>
    </row>
    <row r="1196" ht="15.75" customHeight="1">
      <c r="A1196" s="9" t="s">
        <v>50779</v>
      </c>
      <c r="B1196" s="9" t="s">
        <v>11472</v>
      </c>
      <c r="C1196" s="9" t="s">
        <v>42532</v>
      </c>
      <c r="D1196" s="8" t="s">
        <v>50780</v>
      </c>
    </row>
    <row r="1197" ht="15.75" customHeight="1">
      <c r="A1197" s="9" t="s">
        <v>50781</v>
      </c>
      <c r="B1197" s="9" t="s">
        <v>11474</v>
      </c>
      <c r="C1197" s="9" t="s">
        <v>42532</v>
      </c>
      <c r="D1197" s="8" t="s">
        <v>50782</v>
      </c>
    </row>
    <row r="1198" ht="15.75" customHeight="1">
      <c r="A1198" s="9" t="s">
        <v>50783</v>
      </c>
      <c r="B1198" s="9" t="s">
        <v>11476</v>
      </c>
      <c r="C1198" s="9" t="s">
        <v>42532</v>
      </c>
      <c r="D1198" s="8" t="s">
        <v>50784</v>
      </c>
    </row>
    <row r="1199" ht="15.75" customHeight="1">
      <c r="A1199" s="9" t="s">
        <v>50785</v>
      </c>
      <c r="B1199" s="9" t="s">
        <v>11476</v>
      </c>
      <c r="C1199" s="9" t="s">
        <v>42535</v>
      </c>
      <c r="D1199" s="8" t="s">
        <v>50786</v>
      </c>
    </row>
    <row r="1200" ht="15.75" customHeight="1">
      <c r="A1200" s="9" t="s">
        <v>50787</v>
      </c>
      <c r="B1200" s="9" t="s">
        <v>11476</v>
      </c>
      <c r="C1200" s="9" t="s">
        <v>10068</v>
      </c>
      <c r="D1200" s="8" t="s">
        <v>50788</v>
      </c>
    </row>
    <row r="1201" ht="15.75" customHeight="1">
      <c r="A1201" s="9" t="s">
        <v>50789</v>
      </c>
      <c r="B1201" s="9" t="s">
        <v>11478</v>
      </c>
      <c r="C1201" s="9" t="s">
        <v>42538</v>
      </c>
      <c r="D1201" s="9" t="s">
        <v>50790</v>
      </c>
    </row>
    <row r="1202" ht="15.75" customHeight="1">
      <c r="A1202" s="9" t="s">
        <v>50791</v>
      </c>
      <c r="B1202" s="9" t="s">
        <v>11478</v>
      </c>
      <c r="C1202" s="9" t="s">
        <v>42532</v>
      </c>
      <c r="D1202" s="8" t="s">
        <v>49713</v>
      </c>
    </row>
    <row r="1203" ht="15.75" customHeight="1">
      <c r="A1203" s="9"/>
      <c r="B1203" s="9"/>
      <c r="C1203" s="9"/>
      <c r="D1203" s="9"/>
    </row>
    <row r="1204" ht="15.75" customHeight="1">
      <c r="A1204" s="9" t="s">
        <v>50792</v>
      </c>
      <c r="B1204" s="9" t="s">
        <v>11480</v>
      </c>
      <c r="C1204" s="9" t="s">
        <v>42532</v>
      </c>
      <c r="D1204" s="8" t="s">
        <v>50793</v>
      </c>
    </row>
    <row r="1205" ht="15.75" customHeight="1">
      <c r="A1205" s="9" t="s">
        <v>50794</v>
      </c>
      <c r="B1205" s="9" t="s">
        <v>11482</v>
      </c>
      <c r="C1205" s="9" t="s">
        <v>42546</v>
      </c>
      <c r="D1205" s="8" t="s">
        <v>50795</v>
      </c>
    </row>
    <row r="1206" ht="15.75" customHeight="1">
      <c r="A1206" s="9" t="s">
        <v>50796</v>
      </c>
      <c r="B1206" s="9" t="s">
        <v>11482</v>
      </c>
      <c r="C1206" s="9" t="s">
        <v>42532</v>
      </c>
      <c r="D1206" s="8" t="s">
        <v>50797</v>
      </c>
    </row>
    <row r="1207" ht="15.75" customHeight="1">
      <c r="A1207" s="9" t="s">
        <v>50798</v>
      </c>
      <c r="B1207" s="9" t="s">
        <v>11484</v>
      </c>
      <c r="C1207" s="9" t="s">
        <v>42532</v>
      </c>
      <c r="D1207" s="8" t="s">
        <v>50799</v>
      </c>
    </row>
    <row r="1208" ht="15.75" customHeight="1">
      <c r="A1208" s="9"/>
      <c r="B1208" s="9"/>
      <c r="C1208" s="9"/>
      <c r="D1208" s="9"/>
    </row>
    <row r="1209" ht="15.75" customHeight="1">
      <c r="A1209" s="9" t="s">
        <v>50800</v>
      </c>
      <c r="B1209" s="9" t="s">
        <v>11494</v>
      </c>
      <c r="C1209" s="9" t="s">
        <v>42535</v>
      </c>
      <c r="D1209" s="8" t="s">
        <v>50801</v>
      </c>
    </row>
    <row r="1210" ht="15.75" customHeight="1">
      <c r="A1210" s="9" t="s">
        <v>50802</v>
      </c>
      <c r="B1210" s="9" t="s">
        <v>9810</v>
      </c>
      <c r="C1210" s="9" t="s">
        <v>42535</v>
      </c>
      <c r="D1210" s="8" t="s">
        <v>50803</v>
      </c>
    </row>
    <row r="1211" ht="15.75" customHeight="1">
      <c r="A1211" s="9" t="s">
        <v>50804</v>
      </c>
      <c r="B1211" s="9" t="s">
        <v>10594</v>
      </c>
      <c r="C1211" s="9" t="s">
        <v>42532</v>
      </c>
      <c r="D1211" s="8" t="s">
        <v>50805</v>
      </c>
    </row>
    <row r="1212" ht="15.75" customHeight="1">
      <c r="A1212" s="9" t="s">
        <v>50806</v>
      </c>
      <c r="B1212" s="9" t="s">
        <v>9810</v>
      </c>
      <c r="C1212" s="9" t="s">
        <v>19384</v>
      </c>
      <c r="D1212" s="8" t="s">
        <v>50807</v>
      </c>
    </row>
    <row r="1213" ht="15.75" customHeight="1">
      <c r="A1213" s="9" t="s">
        <v>50808</v>
      </c>
      <c r="B1213" s="9" t="s">
        <v>9922</v>
      </c>
      <c r="C1213" s="9" t="s">
        <v>42535</v>
      </c>
      <c r="D1213" s="8" t="s">
        <v>50809</v>
      </c>
    </row>
    <row r="1214" ht="15.75" customHeight="1">
      <c r="A1214" s="9" t="s">
        <v>50810</v>
      </c>
      <c r="B1214" s="9" t="s">
        <v>5808</v>
      </c>
      <c r="C1214" s="9" t="s">
        <v>10068</v>
      </c>
      <c r="D1214" s="8" t="s">
        <v>50811</v>
      </c>
    </row>
    <row r="1215" ht="15.75" customHeight="1">
      <c r="A1215" s="9" t="s">
        <v>50812</v>
      </c>
      <c r="B1215" s="9" t="s">
        <v>2767</v>
      </c>
      <c r="C1215" s="9" t="s">
        <v>42532</v>
      </c>
      <c r="D1215" s="8" t="s">
        <v>50813</v>
      </c>
    </row>
    <row r="1216" ht="15.75" customHeight="1">
      <c r="A1216" s="9" t="s">
        <v>50814</v>
      </c>
      <c r="B1216" s="9" t="s">
        <v>11489</v>
      </c>
      <c r="C1216" s="9" t="s">
        <v>42535</v>
      </c>
      <c r="D1216" s="8" t="s">
        <v>50815</v>
      </c>
    </row>
    <row r="1217" ht="15.75" customHeight="1">
      <c r="A1217" s="9" t="s">
        <v>50816</v>
      </c>
      <c r="B1217" s="9" t="s">
        <v>11489</v>
      </c>
      <c r="C1217" s="9" t="s">
        <v>42532</v>
      </c>
      <c r="D1217" s="8" t="s">
        <v>50817</v>
      </c>
    </row>
    <row r="1218" ht="15.75" customHeight="1">
      <c r="A1218" s="9" t="s">
        <v>50818</v>
      </c>
      <c r="B1218" s="9" t="s">
        <v>5461</v>
      </c>
      <c r="C1218" s="9" t="s">
        <v>42532</v>
      </c>
      <c r="D1218" s="8" t="s">
        <v>50819</v>
      </c>
    </row>
    <row r="1219" ht="15.75" customHeight="1">
      <c r="A1219" s="9" t="s">
        <v>50820</v>
      </c>
      <c r="B1219" s="9" t="s">
        <v>5461</v>
      </c>
      <c r="C1219" s="9" t="s">
        <v>42543</v>
      </c>
      <c r="D1219" s="8" t="s">
        <v>50821</v>
      </c>
    </row>
    <row r="1220" ht="15.75" customHeight="1">
      <c r="A1220" s="9" t="s">
        <v>50822</v>
      </c>
      <c r="B1220" s="9" t="s">
        <v>11501</v>
      </c>
      <c r="C1220" s="9" t="s">
        <v>42532</v>
      </c>
      <c r="D1220" s="8" t="s">
        <v>50823</v>
      </c>
    </row>
    <row r="1221" ht="15.75" customHeight="1">
      <c r="A1221" s="9" t="s">
        <v>50824</v>
      </c>
      <c r="B1221" s="9" t="s">
        <v>11503</v>
      </c>
      <c r="C1221" s="9" t="s">
        <v>42532</v>
      </c>
      <c r="D1221" s="8" t="s">
        <v>50825</v>
      </c>
    </row>
    <row r="1222" ht="15.75" customHeight="1">
      <c r="A1222" s="9" t="s">
        <v>50826</v>
      </c>
      <c r="B1222" s="9" t="s">
        <v>11503</v>
      </c>
      <c r="C1222" s="9" t="s">
        <v>42543</v>
      </c>
      <c r="D1222" s="8" t="s">
        <v>50827</v>
      </c>
    </row>
    <row r="1223" ht="15.75" customHeight="1">
      <c r="A1223" s="9" t="s">
        <v>50828</v>
      </c>
      <c r="B1223" s="9" t="s">
        <v>11441</v>
      </c>
      <c r="C1223" s="9" t="s">
        <v>42532</v>
      </c>
      <c r="D1223" s="8" t="s">
        <v>50829</v>
      </c>
    </row>
    <row r="1224" ht="15.75" customHeight="1">
      <c r="A1224" s="9" t="s">
        <v>50830</v>
      </c>
      <c r="B1224" s="9" t="s">
        <v>11441</v>
      </c>
      <c r="C1224" s="9" t="s">
        <v>42551</v>
      </c>
      <c r="D1224" s="8" t="s">
        <v>50831</v>
      </c>
    </row>
    <row r="1225" ht="15.75" customHeight="1">
      <c r="A1225" s="9" t="s">
        <v>50832</v>
      </c>
      <c r="B1225" s="9" t="s">
        <v>11507</v>
      </c>
      <c r="C1225" s="9" t="s">
        <v>42551</v>
      </c>
      <c r="D1225" s="8" t="s">
        <v>50833</v>
      </c>
    </row>
    <row r="1226" ht="15.75" customHeight="1">
      <c r="A1226" s="9" t="s">
        <v>50834</v>
      </c>
      <c r="B1226" s="9" t="s">
        <v>11507</v>
      </c>
      <c r="C1226" s="9" t="s">
        <v>42532</v>
      </c>
      <c r="D1226" s="8" t="s">
        <v>50835</v>
      </c>
    </row>
    <row r="1227" ht="15.75" customHeight="1">
      <c r="A1227" s="9" t="s">
        <v>50836</v>
      </c>
      <c r="B1227" s="9" t="s">
        <v>11507</v>
      </c>
      <c r="C1227" s="9" t="s">
        <v>42543</v>
      </c>
      <c r="D1227" s="8" t="s">
        <v>50837</v>
      </c>
    </row>
    <row r="1228" ht="15.75" customHeight="1">
      <c r="A1228" s="9" t="s">
        <v>50838</v>
      </c>
      <c r="B1228" s="9" t="s">
        <v>11509</v>
      </c>
      <c r="C1228" s="9" t="s">
        <v>42535</v>
      </c>
      <c r="D1228" s="8" t="s">
        <v>50839</v>
      </c>
    </row>
    <row r="1229" ht="15.75" customHeight="1">
      <c r="A1229" s="9" t="s">
        <v>50840</v>
      </c>
      <c r="B1229" s="9" t="s">
        <v>11509</v>
      </c>
      <c r="C1229" s="9" t="s">
        <v>42532</v>
      </c>
      <c r="D1229" s="8" t="s">
        <v>50841</v>
      </c>
    </row>
    <row r="1230" ht="15.75" customHeight="1">
      <c r="A1230" s="9"/>
      <c r="B1230" s="9"/>
      <c r="C1230" s="9"/>
      <c r="D1230" s="9"/>
    </row>
    <row r="1231" ht="15.75" customHeight="1">
      <c r="A1231" s="9" t="s">
        <v>50842</v>
      </c>
      <c r="B1231" s="9" t="s">
        <v>8795</v>
      </c>
      <c r="C1231" s="9" t="s">
        <v>42538</v>
      </c>
      <c r="D1231" s="8" t="s">
        <v>50843</v>
      </c>
    </row>
    <row r="1232" ht="15.75" customHeight="1">
      <c r="A1232" s="9" t="s">
        <v>50844</v>
      </c>
      <c r="B1232" s="9" t="s">
        <v>247</v>
      </c>
      <c r="C1232" s="9" t="s">
        <v>42535</v>
      </c>
      <c r="D1232" s="8" t="s">
        <v>50845</v>
      </c>
    </row>
    <row r="1233" ht="15.75" customHeight="1">
      <c r="A1233" s="9" t="s">
        <v>50846</v>
      </c>
      <c r="B1233" s="9" t="s">
        <v>247</v>
      </c>
      <c r="C1233" s="9" t="s">
        <v>42538</v>
      </c>
      <c r="D1233" s="8" t="s">
        <v>50847</v>
      </c>
    </row>
    <row r="1234" ht="15.75" customHeight="1">
      <c r="A1234" s="9" t="s">
        <v>50848</v>
      </c>
      <c r="B1234" s="9" t="s">
        <v>247</v>
      </c>
      <c r="C1234" s="9" t="s">
        <v>42532</v>
      </c>
      <c r="D1234" s="8" t="s">
        <v>50849</v>
      </c>
    </row>
    <row r="1235" ht="15.75" customHeight="1">
      <c r="A1235" s="9" t="s">
        <v>50850</v>
      </c>
      <c r="B1235" s="9" t="s">
        <v>11516</v>
      </c>
      <c r="C1235" s="9" t="s">
        <v>42535</v>
      </c>
      <c r="D1235" s="8" t="s">
        <v>50851</v>
      </c>
    </row>
    <row r="1236" ht="15.75" customHeight="1">
      <c r="A1236" s="9" t="s">
        <v>50852</v>
      </c>
      <c r="B1236" s="9" t="s">
        <v>11494</v>
      </c>
      <c r="C1236" s="9" t="s">
        <v>42538</v>
      </c>
      <c r="D1236" s="8" t="s">
        <v>50853</v>
      </c>
    </row>
    <row r="1237" ht="15.75" customHeight="1">
      <c r="A1237" s="9" t="s">
        <v>50854</v>
      </c>
      <c r="B1237" s="9" t="s">
        <v>11476</v>
      </c>
      <c r="C1237" s="9" t="s">
        <v>42538</v>
      </c>
      <c r="D1237" s="8" t="s">
        <v>50855</v>
      </c>
    </row>
    <row r="1238" ht="15.75" customHeight="1">
      <c r="A1238" s="9" t="s">
        <v>50856</v>
      </c>
      <c r="B1238" s="9" t="s">
        <v>11494</v>
      </c>
      <c r="C1238" s="9" t="s">
        <v>42532</v>
      </c>
      <c r="D1238" s="8" t="s">
        <v>50857</v>
      </c>
    </row>
    <row r="1239" ht="15.75" customHeight="1">
      <c r="A1239" s="9" t="s">
        <v>50858</v>
      </c>
      <c r="B1239" s="9" t="s">
        <v>11911</v>
      </c>
      <c r="C1239" s="9" t="s">
        <v>42532</v>
      </c>
      <c r="D1239" s="8" t="s">
        <v>50859</v>
      </c>
    </row>
    <row r="1240" ht="15.75" customHeight="1">
      <c r="A1240" s="9" t="s">
        <v>50860</v>
      </c>
      <c r="B1240" s="9" t="s">
        <v>9450</v>
      </c>
      <c r="C1240" s="9" t="s">
        <v>42546</v>
      </c>
      <c r="D1240" s="8" t="s">
        <v>50861</v>
      </c>
    </row>
    <row r="1241" ht="15.75" customHeight="1">
      <c r="A1241" s="9" t="s">
        <v>50862</v>
      </c>
      <c r="B1241" s="9" t="s">
        <v>11505</v>
      </c>
      <c r="C1241" s="9" t="s">
        <v>42535</v>
      </c>
      <c r="D1241" s="8" t="s">
        <v>50863</v>
      </c>
    </row>
    <row r="1242" ht="15.75" customHeight="1">
      <c r="A1242" s="9" t="s">
        <v>50864</v>
      </c>
      <c r="B1242" s="9" t="s">
        <v>11505</v>
      </c>
      <c r="C1242" s="9" t="s">
        <v>42538</v>
      </c>
      <c r="D1242" s="8" t="s">
        <v>50865</v>
      </c>
    </row>
    <row r="1243" ht="15.75" customHeight="1">
      <c r="A1243" s="9" t="s">
        <v>50866</v>
      </c>
      <c r="B1243" s="9" t="s">
        <v>11505</v>
      </c>
      <c r="C1243" s="9" t="s">
        <v>42532</v>
      </c>
      <c r="D1243" s="8" t="s">
        <v>50867</v>
      </c>
    </row>
    <row r="1244" ht="15.75" customHeight="1">
      <c r="A1244" s="9" t="s">
        <v>50868</v>
      </c>
      <c r="B1244" s="9" t="s">
        <v>11505</v>
      </c>
      <c r="C1244" s="9" t="s">
        <v>42543</v>
      </c>
      <c r="D1244" s="8" t="s">
        <v>50869</v>
      </c>
    </row>
    <row r="1245" ht="15.75" customHeight="1">
      <c r="A1245" s="9" t="s">
        <v>50870</v>
      </c>
      <c r="B1245" s="9" t="s">
        <v>11518</v>
      </c>
      <c r="C1245" s="9" t="s">
        <v>42532</v>
      </c>
      <c r="D1245" s="8" t="s">
        <v>50871</v>
      </c>
    </row>
    <row r="1246" ht="15.75" customHeight="1">
      <c r="A1246" s="9" t="s">
        <v>50872</v>
      </c>
      <c r="B1246" s="9" t="s">
        <v>10211</v>
      </c>
      <c r="C1246" s="9" t="s">
        <v>42538</v>
      </c>
      <c r="D1246" s="8" t="s">
        <v>50873</v>
      </c>
    </row>
    <row r="1247" ht="15.75" customHeight="1">
      <c r="A1247" s="9" t="s">
        <v>50874</v>
      </c>
      <c r="B1247" s="9" t="s">
        <v>11520</v>
      </c>
      <c r="C1247" s="9" t="s">
        <v>42532</v>
      </c>
      <c r="D1247" s="8" t="s">
        <v>50875</v>
      </c>
    </row>
    <row r="1248" ht="15.75" customHeight="1">
      <c r="A1248" s="9" t="s">
        <v>50876</v>
      </c>
      <c r="B1248" s="9" t="s">
        <v>11522</v>
      </c>
      <c r="C1248" s="9" t="s">
        <v>42532</v>
      </c>
      <c r="D1248" s="8" t="s">
        <v>50877</v>
      </c>
    </row>
    <row r="1249" ht="15.75" customHeight="1">
      <c r="A1249" s="9" t="s">
        <v>50878</v>
      </c>
      <c r="B1249" s="9" t="s">
        <v>11522</v>
      </c>
      <c r="C1249" s="9" t="s">
        <v>42546</v>
      </c>
      <c r="D1249" s="8" t="s">
        <v>50879</v>
      </c>
    </row>
    <row r="1250" ht="15.75" customHeight="1">
      <c r="A1250" s="9" t="s">
        <v>50880</v>
      </c>
      <c r="B1250" s="9" t="s">
        <v>741</v>
      </c>
      <c r="C1250" s="9" t="s">
        <v>42538</v>
      </c>
      <c r="D1250" s="8" t="s">
        <v>50881</v>
      </c>
    </row>
    <row r="1251" ht="15.75" customHeight="1">
      <c r="A1251" s="9" t="s">
        <v>50882</v>
      </c>
      <c r="B1251" s="9" t="s">
        <v>11520</v>
      </c>
      <c r="C1251" s="9" t="s">
        <v>42543</v>
      </c>
      <c r="D1251" s="8" t="s">
        <v>50883</v>
      </c>
    </row>
    <row r="1252" ht="15.75" customHeight="1">
      <c r="A1252" s="9" t="s">
        <v>50884</v>
      </c>
      <c r="B1252" s="9" t="s">
        <v>11520</v>
      </c>
      <c r="C1252" s="9" t="s">
        <v>42532</v>
      </c>
      <c r="D1252" s="8" t="s">
        <v>50885</v>
      </c>
    </row>
    <row r="1253" ht="15.75" customHeight="1">
      <c r="A1253" s="9" t="s">
        <v>50886</v>
      </c>
      <c r="B1253" s="9" t="s">
        <v>741</v>
      </c>
      <c r="C1253" s="9" t="s">
        <v>42532</v>
      </c>
      <c r="D1253" s="8" t="s">
        <v>50887</v>
      </c>
    </row>
    <row r="1254" ht="15.75" customHeight="1">
      <c r="A1254" s="9" t="s">
        <v>50888</v>
      </c>
      <c r="B1254" s="9" t="s">
        <v>11448</v>
      </c>
      <c r="C1254" s="9" t="s">
        <v>42532</v>
      </c>
      <c r="D1254" s="8" t="s">
        <v>50889</v>
      </c>
    </row>
    <row r="1255" ht="15.75" customHeight="1">
      <c r="A1255" s="9" t="s">
        <v>50890</v>
      </c>
      <c r="B1255" s="9" t="s">
        <v>11518</v>
      </c>
      <c r="C1255" s="9" t="s">
        <v>42543</v>
      </c>
      <c r="D1255" s="8" t="s">
        <v>50891</v>
      </c>
    </row>
    <row r="1256" ht="15.75" customHeight="1">
      <c r="A1256" s="9" t="s">
        <v>50892</v>
      </c>
      <c r="B1256" s="9" t="s">
        <v>11498</v>
      </c>
      <c r="C1256" s="9" t="s">
        <v>42543</v>
      </c>
      <c r="D1256" s="8" t="s">
        <v>50893</v>
      </c>
    </row>
    <row r="1257" ht="15.75" customHeight="1">
      <c r="A1257" s="9" t="s">
        <v>50894</v>
      </c>
      <c r="B1257" s="9" t="s">
        <v>11498</v>
      </c>
      <c r="C1257" s="9" t="s">
        <v>42532</v>
      </c>
      <c r="D1257" s="8" t="s">
        <v>50895</v>
      </c>
    </row>
    <row r="1258" ht="15.75" customHeight="1">
      <c r="A1258" s="9" t="s">
        <v>50896</v>
      </c>
      <c r="B1258" s="9" t="s">
        <v>605</v>
      </c>
      <c r="C1258" s="9" t="s">
        <v>42532</v>
      </c>
      <c r="D1258" s="8" t="s">
        <v>50897</v>
      </c>
    </row>
    <row r="1259" ht="15.75" customHeight="1">
      <c r="A1259" s="9" t="s">
        <v>50898</v>
      </c>
      <c r="B1259" s="9" t="s">
        <v>605</v>
      </c>
      <c r="C1259" s="9" t="s">
        <v>42543</v>
      </c>
      <c r="D1259" s="8" t="s">
        <v>50899</v>
      </c>
    </row>
    <row r="1260" ht="15.75" customHeight="1">
      <c r="A1260" s="9" t="s">
        <v>50900</v>
      </c>
      <c r="B1260" s="9" t="s">
        <v>237</v>
      </c>
      <c r="C1260" s="9" t="s">
        <v>42532</v>
      </c>
      <c r="D1260" s="8" t="s">
        <v>50901</v>
      </c>
    </row>
    <row r="1261" ht="15.75" customHeight="1">
      <c r="A1261" s="9" t="s">
        <v>50902</v>
      </c>
      <c r="B1261" s="52" t="s">
        <v>22842</v>
      </c>
      <c r="C1261" s="9" t="s">
        <v>42532</v>
      </c>
      <c r="D1261" s="8" t="s">
        <v>50903</v>
      </c>
    </row>
    <row r="1262" ht="15.75" customHeight="1">
      <c r="A1262" s="9" t="s">
        <v>50904</v>
      </c>
      <c r="B1262" s="52" t="s">
        <v>22842</v>
      </c>
      <c r="C1262" s="9" t="s">
        <v>42535</v>
      </c>
      <c r="D1262" s="8" t="s">
        <v>50905</v>
      </c>
    </row>
    <row r="1263" ht="15.75" customHeight="1">
      <c r="A1263" s="9" t="s">
        <v>50906</v>
      </c>
      <c r="B1263" s="52" t="s">
        <v>22842</v>
      </c>
      <c r="C1263" s="9" t="s">
        <v>42535</v>
      </c>
      <c r="D1263" s="8" t="s">
        <v>50907</v>
      </c>
    </row>
    <row r="1264" ht="15.75" customHeight="1">
      <c r="A1264" s="9" t="s">
        <v>50908</v>
      </c>
      <c r="B1264" s="52" t="s">
        <v>22842</v>
      </c>
      <c r="C1264" s="9" t="s">
        <v>42538</v>
      </c>
      <c r="D1264" s="8" t="s">
        <v>50909</v>
      </c>
    </row>
    <row r="1265" ht="15.75" customHeight="1">
      <c r="A1265" s="9" t="s">
        <v>50910</v>
      </c>
      <c r="B1265" s="9" t="s">
        <v>11528</v>
      </c>
      <c r="C1265" s="9" t="s">
        <v>42532</v>
      </c>
      <c r="D1265" s="8" t="s">
        <v>50903</v>
      </c>
    </row>
    <row r="1266" ht="15.75" customHeight="1">
      <c r="A1266" s="9" t="s">
        <v>50911</v>
      </c>
      <c r="B1266" s="9" t="s">
        <v>11528</v>
      </c>
      <c r="C1266" s="9" t="s">
        <v>42535</v>
      </c>
      <c r="D1266" s="8" t="s">
        <v>50912</v>
      </c>
    </row>
    <row r="1267" ht="15.75" customHeight="1">
      <c r="A1267" s="9" t="s">
        <v>50913</v>
      </c>
      <c r="B1267" s="9" t="s">
        <v>11528</v>
      </c>
      <c r="C1267" s="9" t="s">
        <v>42538</v>
      </c>
      <c r="D1267" s="8" t="s">
        <v>50914</v>
      </c>
    </row>
    <row r="1268" ht="15.75" customHeight="1">
      <c r="A1268" s="9" t="s">
        <v>50915</v>
      </c>
      <c r="B1268" s="52" t="s">
        <v>22842</v>
      </c>
      <c r="C1268" s="9" t="s">
        <v>42543</v>
      </c>
      <c r="D1268" s="8" t="s">
        <v>50916</v>
      </c>
    </row>
    <row r="1269" ht="15.75" customHeight="1">
      <c r="A1269" s="9" t="s">
        <v>50917</v>
      </c>
      <c r="B1269" s="52" t="s">
        <v>22842</v>
      </c>
      <c r="C1269" s="9" t="s">
        <v>42538</v>
      </c>
      <c r="D1269" s="8" t="s">
        <v>50918</v>
      </c>
    </row>
    <row r="1270" ht="15.75" customHeight="1">
      <c r="A1270" s="9" t="s">
        <v>50919</v>
      </c>
      <c r="B1270" s="9" t="s">
        <v>11530</v>
      </c>
      <c r="C1270" s="9" t="s">
        <v>42535</v>
      </c>
      <c r="D1270" s="8" t="s">
        <v>50920</v>
      </c>
    </row>
    <row r="1271" ht="15.75" customHeight="1">
      <c r="A1271" s="9" t="s">
        <v>50921</v>
      </c>
      <c r="B1271" s="9" t="s">
        <v>11448</v>
      </c>
      <c r="C1271" s="9" t="s">
        <v>42551</v>
      </c>
      <c r="D1271" s="8" t="s">
        <v>50922</v>
      </c>
    </row>
    <row r="1272" ht="15.75" customHeight="1">
      <c r="A1272" s="9" t="s">
        <v>50923</v>
      </c>
      <c r="B1272" s="9" t="s">
        <v>11448</v>
      </c>
      <c r="C1272" s="9" t="s">
        <v>42543</v>
      </c>
      <c r="D1272" s="8" t="s">
        <v>50924</v>
      </c>
    </row>
    <row r="1273" ht="15.75" customHeight="1">
      <c r="A1273" s="9" t="s">
        <v>50925</v>
      </c>
      <c r="B1273" s="9" t="s">
        <v>11448</v>
      </c>
      <c r="C1273" s="9"/>
      <c r="D1273" s="9"/>
    </row>
    <row r="1274" ht="15.75" customHeight="1">
      <c r="A1274" s="9" t="s">
        <v>50926</v>
      </c>
      <c r="B1274" s="9" t="s">
        <v>11532</v>
      </c>
      <c r="C1274" s="9" t="s">
        <v>42546</v>
      </c>
      <c r="D1274" s="8" t="s">
        <v>50927</v>
      </c>
    </row>
    <row r="1275" ht="15.75" customHeight="1">
      <c r="A1275" s="9" t="s">
        <v>50928</v>
      </c>
      <c r="B1275" s="9" t="s">
        <v>11532</v>
      </c>
      <c r="C1275" s="9" t="s">
        <v>42538</v>
      </c>
      <c r="D1275" s="8" t="s">
        <v>50929</v>
      </c>
    </row>
    <row r="1276" ht="15.75" customHeight="1">
      <c r="A1276" s="9" t="s">
        <v>50930</v>
      </c>
      <c r="B1276" s="9" t="s">
        <v>11532</v>
      </c>
      <c r="C1276" s="9" t="s">
        <v>42535</v>
      </c>
      <c r="D1276" s="8" t="s">
        <v>50931</v>
      </c>
    </row>
    <row r="1277" ht="15.75" customHeight="1">
      <c r="A1277" s="9" t="s">
        <v>50932</v>
      </c>
      <c r="B1277" s="9" t="s">
        <v>11532</v>
      </c>
      <c r="C1277" s="9" t="s">
        <v>42532</v>
      </c>
      <c r="D1277" s="8" t="s">
        <v>50933</v>
      </c>
    </row>
    <row r="1278" ht="15.75" customHeight="1">
      <c r="A1278" s="9" t="s">
        <v>50934</v>
      </c>
      <c r="B1278" s="9" t="s">
        <v>11534</v>
      </c>
      <c r="C1278" s="9" t="s">
        <v>42535</v>
      </c>
      <c r="D1278" s="8" t="s">
        <v>50935</v>
      </c>
    </row>
    <row r="1279" ht="15.75" customHeight="1">
      <c r="A1279" s="9" t="s">
        <v>50936</v>
      </c>
      <c r="B1279" s="9" t="s">
        <v>11534</v>
      </c>
      <c r="C1279" s="9" t="s">
        <v>42538</v>
      </c>
      <c r="D1279" s="8" t="s">
        <v>50937</v>
      </c>
    </row>
    <row r="1280" ht="15.75" customHeight="1">
      <c r="A1280" s="9" t="s">
        <v>50938</v>
      </c>
      <c r="B1280" s="9" t="s">
        <v>11534</v>
      </c>
      <c r="C1280" s="9" t="s">
        <v>42532</v>
      </c>
      <c r="D1280" s="8" t="s">
        <v>50939</v>
      </c>
    </row>
    <row r="1281" ht="15.75" customHeight="1">
      <c r="A1281" s="9" t="s">
        <v>50940</v>
      </c>
      <c r="B1281" s="9" t="s">
        <v>11534</v>
      </c>
      <c r="C1281" s="9" t="s">
        <v>42543</v>
      </c>
      <c r="D1281" s="8" t="s">
        <v>50941</v>
      </c>
    </row>
    <row r="1282" ht="15.75" customHeight="1">
      <c r="A1282" s="9" t="s">
        <v>50942</v>
      </c>
      <c r="B1282" s="9" t="s">
        <v>11524</v>
      </c>
      <c r="C1282" s="9" t="s">
        <v>42532</v>
      </c>
      <c r="D1282" s="8" t="s">
        <v>50943</v>
      </c>
    </row>
    <row r="1283" ht="15.75" customHeight="1">
      <c r="A1283" s="9" t="s">
        <v>50944</v>
      </c>
      <c r="B1283" s="9" t="s">
        <v>11501</v>
      </c>
      <c r="C1283" s="9" t="s">
        <v>42543</v>
      </c>
      <c r="D1283" s="8" t="s">
        <v>50945</v>
      </c>
    </row>
    <row r="1284" ht="15.75" customHeight="1">
      <c r="A1284" s="9" t="s">
        <v>50946</v>
      </c>
      <c r="B1284" s="9" t="s">
        <v>11537</v>
      </c>
      <c r="C1284" s="9" t="s">
        <v>42532</v>
      </c>
      <c r="D1284" s="8" t="s">
        <v>50947</v>
      </c>
    </row>
    <row r="1285" ht="15.75" customHeight="1">
      <c r="A1285" s="52" t="s">
        <v>50948</v>
      </c>
      <c r="B1285" s="9" t="s">
        <v>11537</v>
      </c>
      <c r="C1285" s="9" t="s">
        <v>42543</v>
      </c>
      <c r="D1285" s="8" t="s">
        <v>50949</v>
      </c>
    </row>
    <row r="1286" ht="15.75" customHeight="1">
      <c r="A1286" s="9" t="s">
        <v>50950</v>
      </c>
      <c r="B1286" s="9" t="s">
        <v>11537</v>
      </c>
      <c r="C1286" s="9" t="s">
        <v>10068</v>
      </c>
      <c r="D1286" s="8" t="s">
        <v>50951</v>
      </c>
    </row>
    <row r="1287" ht="15.75" customHeight="1">
      <c r="A1287" s="9" t="s">
        <v>50952</v>
      </c>
      <c r="B1287" s="9" t="s">
        <v>10370</v>
      </c>
      <c r="C1287" s="9" t="s">
        <v>42543</v>
      </c>
      <c r="D1287" s="8" t="s">
        <v>50953</v>
      </c>
    </row>
    <row r="1288" ht="15.75" customHeight="1">
      <c r="A1288" s="9" t="s">
        <v>50954</v>
      </c>
      <c r="B1288" s="9" t="s">
        <v>10322</v>
      </c>
      <c r="C1288" s="9" t="s">
        <v>42543</v>
      </c>
      <c r="D1288" s="9" t="s">
        <v>13221</v>
      </c>
    </row>
    <row r="1289" ht="15.75" customHeight="1">
      <c r="A1289" s="9"/>
      <c r="B1289" s="9"/>
      <c r="C1289" s="9"/>
      <c r="D1289" s="9"/>
    </row>
    <row r="1290" ht="15.75" customHeight="1">
      <c r="A1290" s="9" t="s">
        <v>50955</v>
      </c>
      <c r="B1290" s="9" t="s">
        <v>11945</v>
      </c>
      <c r="C1290" s="9" t="s">
        <v>42538</v>
      </c>
      <c r="D1290" s="8" t="s">
        <v>50956</v>
      </c>
    </row>
    <row r="1291" ht="15.75" customHeight="1">
      <c r="A1291" s="9" t="s">
        <v>50957</v>
      </c>
      <c r="B1291" s="9" t="s">
        <v>11509</v>
      </c>
      <c r="C1291" s="9" t="s">
        <v>42543</v>
      </c>
      <c r="D1291" s="8" t="s">
        <v>50958</v>
      </c>
    </row>
    <row r="1292" ht="15.75" customHeight="1">
      <c r="A1292" s="9" t="s">
        <v>50959</v>
      </c>
      <c r="B1292" s="9" t="s">
        <v>11421</v>
      </c>
      <c r="C1292" s="9" t="s">
        <v>42532</v>
      </c>
      <c r="D1292" s="8" t="s">
        <v>50960</v>
      </c>
    </row>
    <row r="1293" ht="15.75" customHeight="1">
      <c r="A1293" s="9" t="s">
        <v>50961</v>
      </c>
      <c r="B1293" s="9" t="s">
        <v>11945</v>
      </c>
      <c r="C1293" s="9" t="s">
        <v>42543</v>
      </c>
      <c r="D1293" s="8" t="s">
        <v>50962</v>
      </c>
    </row>
    <row r="1294" ht="15.75" customHeight="1">
      <c r="A1294" s="9" t="s">
        <v>50963</v>
      </c>
      <c r="B1294" s="9" t="s">
        <v>6554</v>
      </c>
      <c r="C1294" s="9" t="s">
        <v>42532</v>
      </c>
      <c r="D1294" s="8" t="s">
        <v>50964</v>
      </c>
    </row>
    <row r="1295" ht="15.75" customHeight="1">
      <c r="A1295" s="9" t="s">
        <v>50965</v>
      </c>
      <c r="B1295" s="9" t="s">
        <v>6554</v>
      </c>
      <c r="C1295" s="9" t="s">
        <v>42543</v>
      </c>
      <c r="D1295" s="8" t="s">
        <v>50966</v>
      </c>
    </row>
    <row r="1296" ht="15.75" customHeight="1">
      <c r="A1296" s="9" t="s">
        <v>50967</v>
      </c>
      <c r="B1296" s="9" t="s">
        <v>11539</v>
      </c>
      <c r="C1296" s="9" t="s">
        <v>42535</v>
      </c>
      <c r="D1296" s="8" t="s">
        <v>50968</v>
      </c>
    </row>
    <row r="1297" ht="15.75" customHeight="1">
      <c r="A1297" s="9" t="s">
        <v>50969</v>
      </c>
      <c r="B1297" s="9" t="s">
        <v>11539</v>
      </c>
      <c r="C1297" s="9" t="s">
        <v>42532</v>
      </c>
      <c r="D1297" s="8" t="s">
        <v>50970</v>
      </c>
    </row>
    <row r="1298" ht="15.75" customHeight="1">
      <c r="A1298" s="9" t="s">
        <v>50971</v>
      </c>
      <c r="B1298" s="9" t="s">
        <v>11541</v>
      </c>
      <c r="C1298" s="9" t="s">
        <v>42543</v>
      </c>
      <c r="D1298" s="8" t="s">
        <v>50972</v>
      </c>
    </row>
    <row r="1299" ht="15.75" customHeight="1">
      <c r="A1299" s="9" t="s">
        <v>50973</v>
      </c>
      <c r="B1299" s="9" t="s">
        <v>11541</v>
      </c>
      <c r="C1299" s="9" t="s">
        <v>42532</v>
      </c>
      <c r="D1299" s="8" t="s">
        <v>50974</v>
      </c>
    </row>
    <row r="1300" ht="15.75" customHeight="1">
      <c r="A1300" s="9" t="s">
        <v>50975</v>
      </c>
      <c r="B1300" s="9" t="s">
        <v>11496</v>
      </c>
      <c r="C1300" s="9" t="s">
        <v>42532</v>
      </c>
      <c r="D1300" s="8" t="s">
        <v>50976</v>
      </c>
    </row>
    <row r="1301" ht="15.75" customHeight="1">
      <c r="A1301" s="9" t="s">
        <v>50977</v>
      </c>
      <c r="B1301" s="9" t="s">
        <v>11496</v>
      </c>
      <c r="C1301" s="9" t="s">
        <v>42535</v>
      </c>
      <c r="D1301" s="8" t="s">
        <v>50978</v>
      </c>
    </row>
    <row r="1302" ht="15.75" customHeight="1">
      <c r="A1302" s="9" t="s">
        <v>50979</v>
      </c>
      <c r="B1302" s="9" t="s">
        <v>11496</v>
      </c>
      <c r="C1302" s="9" t="s">
        <v>42543</v>
      </c>
      <c r="D1302" s="8" t="s">
        <v>50980</v>
      </c>
    </row>
    <row r="1303" ht="15.75" customHeight="1">
      <c r="A1303" s="9" t="s">
        <v>50981</v>
      </c>
      <c r="B1303" s="9" t="s">
        <v>10380</v>
      </c>
      <c r="C1303" s="9" t="s">
        <v>42532</v>
      </c>
      <c r="D1303" s="8" t="s">
        <v>50982</v>
      </c>
    </row>
    <row r="1304" ht="15.75" customHeight="1">
      <c r="A1304" s="9" t="s">
        <v>50983</v>
      </c>
      <c r="B1304" s="9" t="s">
        <v>11547</v>
      </c>
      <c r="C1304" s="9" t="s">
        <v>42538</v>
      </c>
      <c r="D1304" s="8" t="s">
        <v>50984</v>
      </c>
    </row>
    <row r="1305" ht="15.75" customHeight="1">
      <c r="A1305" s="9" t="s">
        <v>50985</v>
      </c>
      <c r="B1305" s="9" t="s">
        <v>11547</v>
      </c>
      <c r="C1305" s="9" t="s">
        <v>42535</v>
      </c>
      <c r="D1305" s="8" t="s">
        <v>50986</v>
      </c>
    </row>
    <row r="1306" ht="15.75" customHeight="1">
      <c r="A1306" s="9" t="s">
        <v>50987</v>
      </c>
      <c r="B1306" s="9" t="s">
        <v>11547</v>
      </c>
      <c r="C1306" s="9" t="s">
        <v>42532</v>
      </c>
      <c r="D1306" s="8" t="s">
        <v>50988</v>
      </c>
    </row>
    <row r="1307" ht="15.75" customHeight="1">
      <c r="A1307" s="9" t="s">
        <v>50989</v>
      </c>
      <c r="B1307" s="9" t="s">
        <v>11547</v>
      </c>
      <c r="C1307" s="9" t="s">
        <v>42543</v>
      </c>
      <c r="D1307" s="8" t="s">
        <v>50990</v>
      </c>
    </row>
    <row r="1308" ht="15.75" customHeight="1">
      <c r="A1308" s="9" t="s">
        <v>50991</v>
      </c>
      <c r="B1308" s="9" t="s">
        <v>11549</v>
      </c>
      <c r="C1308" s="9" t="s">
        <v>42538</v>
      </c>
      <c r="D1308" s="8" t="s">
        <v>50992</v>
      </c>
    </row>
    <row r="1309" ht="15.75" customHeight="1">
      <c r="A1309" s="9" t="s">
        <v>50993</v>
      </c>
      <c r="B1309" s="9" t="s">
        <v>11549</v>
      </c>
      <c r="C1309" s="9" t="s">
        <v>42535</v>
      </c>
      <c r="D1309" s="8" t="s">
        <v>50994</v>
      </c>
    </row>
    <row r="1310" ht="15.75" customHeight="1">
      <c r="A1310" s="9" t="s">
        <v>50995</v>
      </c>
      <c r="B1310" s="9" t="s">
        <v>11549</v>
      </c>
      <c r="C1310" s="9" t="s">
        <v>42543</v>
      </c>
      <c r="D1310" s="8" t="s">
        <v>50996</v>
      </c>
    </row>
    <row r="1311" ht="15.75" customHeight="1">
      <c r="A1311" s="9" t="s">
        <v>50997</v>
      </c>
      <c r="B1311" s="9" t="s">
        <v>11549</v>
      </c>
      <c r="C1311" s="9" t="s">
        <v>42532</v>
      </c>
      <c r="D1311" s="8" t="s">
        <v>50998</v>
      </c>
    </row>
    <row r="1312" ht="15.75" customHeight="1">
      <c r="A1312" s="9" t="s">
        <v>50999</v>
      </c>
      <c r="B1312" s="9" t="s">
        <v>3552</v>
      </c>
      <c r="C1312" s="9" t="s">
        <v>42538</v>
      </c>
      <c r="D1312" s="8" t="s">
        <v>51000</v>
      </c>
    </row>
    <row r="1313" ht="15.75" customHeight="1">
      <c r="A1313" s="9" t="s">
        <v>51001</v>
      </c>
      <c r="B1313" s="9" t="s">
        <v>11551</v>
      </c>
      <c r="C1313" s="9" t="s">
        <v>42535</v>
      </c>
      <c r="D1313" s="8" t="s">
        <v>51002</v>
      </c>
    </row>
    <row r="1314" ht="15.75" customHeight="1">
      <c r="A1314" s="9" t="s">
        <v>51003</v>
      </c>
      <c r="B1314" s="9" t="s">
        <v>11553</v>
      </c>
      <c r="C1314" s="9" t="s">
        <v>42543</v>
      </c>
      <c r="D1314" s="8" t="s">
        <v>51004</v>
      </c>
    </row>
    <row r="1315" ht="15.75" customHeight="1">
      <c r="A1315" s="9" t="s">
        <v>51005</v>
      </c>
      <c r="B1315" s="9" t="s">
        <v>11553</v>
      </c>
      <c r="C1315" s="9" t="s">
        <v>42532</v>
      </c>
      <c r="D1315" s="8" t="s">
        <v>51006</v>
      </c>
    </row>
    <row r="1316" ht="15.75" customHeight="1">
      <c r="A1316" s="9" t="s">
        <v>51007</v>
      </c>
      <c r="B1316" s="9" t="s">
        <v>11556</v>
      </c>
      <c r="C1316" s="9" t="s">
        <v>42532</v>
      </c>
      <c r="D1316" s="8" t="s">
        <v>51008</v>
      </c>
    </row>
    <row r="1317" ht="15.75" customHeight="1">
      <c r="A1317" s="9" t="s">
        <v>51009</v>
      </c>
      <c r="B1317" s="9" t="s">
        <v>11558</v>
      </c>
      <c r="C1317" s="9" t="s">
        <v>42532</v>
      </c>
      <c r="D1317" s="8" t="s">
        <v>51010</v>
      </c>
    </row>
    <row r="1318" ht="15.75" customHeight="1">
      <c r="A1318" s="9" t="s">
        <v>51011</v>
      </c>
      <c r="B1318" s="52" t="s">
        <v>16353</v>
      </c>
      <c r="C1318" s="9" t="s">
        <v>42532</v>
      </c>
      <c r="D1318" s="8" t="s">
        <v>51012</v>
      </c>
    </row>
    <row r="1319" ht="15.75" customHeight="1">
      <c r="A1319" s="9" t="s">
        <v>51013</v>
      </c>
      <c r="B1319" s="9" t="s">
        <v>11560</v>
      </c>
      <c r="C1319" s="9" t="s">
        <v>42543</v>
      </c>
      <c r="D1319" s="8" t="s">
        <v>51014</v>
      </c>
    </row>
    <row r="1320" ht="15.75" customHeight="1">
      <c r="A1320" s="9" t="s">
        <v>51015</v>
      </c>
      <c r="B1320" s="9" t="s">
        <v>11560</v>
      </c>
      <c r="C1320" s="9" t="s">
        <v>42532</v>
      </c>
      <c r="D1320" s="8" t="s">
        <v>51016</v>
      </c>
    </row>
    <row r="1321" ht="15.75" customHeight="1">
      <c r="A1321" s="9" t="s">
        <v>51017</v>
      </c>
      <c r="B1321" s="9" t="s">
        <v>11562</v>
      </c>
      <c r="C1321" s="9" t="s">
        <v>42543</v>
      </c>
      <c r="D1321" s="8" t="s">
        <v>51018</v>
      </c>
    </row>
    <row r="1322" ht="15.75" customHeight="1">
      <c r="A1322" s="9" t="s">
        <v>51019</v>
      </c>
      <c r="B1322" s="9" t="s">
        <v>11562</v>
      </c>
      <c r="C1322" s="9" t="s">
        <v>42532</v>
      </c>
      <c r="D1322" s="8" t="s">
        <v>51020</v>
      </c>
    </row>
    <row r="1323" ht="15.75" customHeight="1">
      <c r="A1323" s="9" t="s">
        <v>51021</v>
      </c>
      <c r="B1323" s="9" t="s">
        <v>11565</v>
      </c>
      <c r="C1323" s="9" t="s">
        <v>42532</v>
      </c>
      <c r="D1323" s="8" t="s">
        <v>51022</v>
      </c>
    </row>
    <row r="1324" ht="15.75" customHeight="1">
      <c r="A1324" s="52" t="s">
        <v>51023</v>
      </c>
      <c r="B1324" s="9" t="s">
        <v>11567</v>
      </c>
      <c r="C1324" s="9" t="s">
        <v>42535</v>
      </c>
      <c r="D1324" s="8" t="s">
        <v>51024</v>
      </c>
    </row>
    <row r="1325" ht="15.75" customHeight="1">
      <c r="A1325" s="9" t="s">
        <v>51025</v>
      </c>
      <c r="B1325" s="9" t="s">
        <v>11571</v>
      </c>
      <c r="C1325" s="9" t="s">
        <v>42532</v>
      </c>
      <c r="D1325" s="8" t="s">
        <v>51026</v>
      </c>
    </row>
    <row r="1326" ht="15.75" customHeight="1">
      <c r="A1326" s="9" t="s">
        <v>51027</v>
      </c>
      <c r="B1326" s="9" t="s">
        <v>11571</v>
      </c>
      <c r="C1326" s="9" t="s">
        <v>10068</v>
      </c>
      <c r="D1326" s="8" t="s">
        <v>51028</v>
      </c>
    </row>
    <row r="1327" ht="15.75" customHeight="1">
      <c r="A1327" s="9" t="s">
        <v>51029</v>
      </c>
      <c r="B1327" s="9" t="s">
        <v>11543</v>
      </c>
      <c r="C1327" s="9" t="s">
        <v>42535</v>
      </c>
      <c r="D1327" s="8" t="s">
        <v>51030</v>
      </c>
    </row>
    <row r="1328" ht="15.75" customHeight="1">
      <c r="A1328" s="9" t="s">
        <v>51031</v>
      </c>
      <c r="B1328" s="9" t="s">
        <v>11543</v>
      </c>
      <c r="C1328" s="9" t="s">
        <v>42538</v>
      </c>
      <c r="D1328" s="8" t="s">
        <v>51032</v>
      </c>
    </row>
    <row r="1329" ht="15.75" customHeight="1">
      <c r="A1329" s="9" t="s">
        <v>51033</v>
      </c>
      <c r="B1329" s="9" t="s">
        <v>11543</v>
      </c>
      <c r="C1329" s="9" t="s">
        <v>42532</v>
      </c>
      <c r="D1329" s="8" t="s">
        <v>51034</v>
      </c>
    </row>
    <row r="1330" ht="15.75" customHeight="1">
      <c r="A1330" s="9" t="s">
        <v>51035</v>
      </c>
      <c r="B1330" s="9" t="s">
        <v>259</v>
      </c>
      <c r="C1330" s="9" t="s">
        <v>42538</v>
      </c>
      <c r="D1330" s="8" t="s">
        <v>51036</v>
      </c>
    </row>
    <row r="1331" ht="15.75" customHeight="1">
      <c r="A1331" s="9" t="s">
        <v>51037</v>
      </c>
      <c r="B1331" s="9" t="s">
        <v>11740</v>
      </c>
      <c r="C1331" s="9" t="s">
        <v>42538</v>
      </c>
      <c r="D1331" s="8" t="s">
        <v>51038</v>
      </c>
    </row>
    <row r="1332" ht="15.75" customHeight="1">
      <c r="A1332" s="9" t="s">
        <v>51039</v>
      </c>
      <c r="B1332" s="9" t="s">
        <v>11574</v>
      </c>
      <c r="C1332" s="9" t="s">
        <v>42535</v>
      </c>
      <c r="D1332" s="8" t="s">
        <v>51040</v>
      </c>
    </row>
    <row r="1333" ht="15.75" customHeight="1">
      <c r="A1333" s="9" t="s">
        <v>51041</v>
      </c>
      <c r="B1333" s="9" t="s">
        <v>11524</v>
      </c>
      <c r="C1333" s="9" t="s">
        <v>42538</v>
      </c>
      <c r="D1333" s="8" t="s">
        <v>51042</v>
      </c>
    </row>
    <row r="1334" ht="15.75" customHeight="1">
      <c r="A1334" s="9" t="s">
        <v>51043</v>
      </c>
      <c r="B1334" s="9" t="s">
        <v>11583</v>
      </c>
      <c r="C1334" s="9" t="s">
        <v>10068</v>
      </c>
      <c r="D1334" s="8" t="s">
        <v>51044</v>
      </c>
    </row>
    <row r="1335" ht="15.75" customHeight="1">
      <c r="A1335" s="9" t="s">
        <v>51045</v>
      </c>
      <c r="B1335" s="9" t="s">
        <v>11583</v>
      </c>
      <c r="C1335" s="9" t="s">
        <v>19384</v>
      </c>
      <c r="D1335" s="8" t="s">
        <v>51046</v>
      </c>
    </row>
    <row r="1336" ht="15.75" customHeight="1">
      <c r="A1336" s="9" t="s">
        <v>51047</v>
      </c>
      <c r="B1336" s="9" t="s">
        <v>11583</v>
      </c>
      <c r="C1336" s="9" t="s">
        <v>42538</v>
      </c>
      <c r="D1336" s="8" t="s">
        <v>51048</v>
      </c>
    </row>
    <row r="1337" ht="15.75" customHeight="1">
      <c r="A1337" s="9" t="s">
        <v>51049</v>
      </c>
      <c r="B1337" s="9" t="s">
        <v>11583</v>
      </c>
      <c r="C1337" s="9" t="s">
        <v>42535</v>
      </c>
      <c r="D1337" s="8" t="s">
        <v>51050</v>
      </c>
    </row>
    <row r="1338" ht="15.75" customHeight="1">
      <c r="A1338" s="9" t="s">
        <v>51051</v>
      </c>
      <c r="B1338" s="9" t="s">
        <v>11585</v>
      </c>
      <c r="C1338" s="9" t="s">
        <v>42532</v>
      </c>
      <c r="D1338" s="8" t="s">
        <v>51052</v>
      </c>
    </row>
    <row r="1339" ht="15.75" customHeight="1">
      <c r="A1339" s="9" t="s">
        <v>51053</v>
      </c>
      <c r="B1339" s="9" t="s">
        <v>11585</v>
      </c>
      <c r="C1339" s="9" t="s">
        <v>42543</v>
      </c>
      <c r="D1339" s="8" t="s">
        <v>51054</v>
      </c>
    </row>
    <row r="1340" ht="15.75" customHeight="1">
      <c r="A1340" s="9" t="s">
        <v>51055</v>
      </c>
      <c r="B1340" s="9" t="s">
        <v>259</v>
      </c>
      <c r="C1340" s="9" t="s">
        <v>42535</v>
      </c>
      <c r="D1340" s="8" t="s">
        <v>51056</v>
      </c>
    </row>
    <row r="1341" ht="15.75" customHeight="1">
      <c r="A1341" s="9" t="s">
        <v>51057</v>
      </c>
      <c r="B1341" s="9" t="s">
        <v>6779</v>
      </c>
      <c r="C1341" s="9" t="s">
        <v>42532</v>
      </c>
      <c r="D1341" s="8" t="s">
        <v>51058</v>
      </c>
    </row>
    <row r="1342" ht="15.75" customHeight="1">
      <c r="A1342" s="9" t="s">
        <v>51059</v>
      </c>
      <c r="B1342" s="9" t="s">
        <v>10440</v>
      </c>
      <c r="C1342" s="9" t="s">
        <v>42535</v>
      </c>
      <c r="D1342" s="8" t="s">
        <v>51060</v>
      </c>
    </row>
    <row r="1343" ht="15.75" customHeight="1">
      <c r="A1343" s="9" t="s">
        <v>51061</v>
      </c>
      <c r="B1343" s="9" t="s">
        <v>10440</v>
      </c>
      <c r="C1343" s="9" t="s">
        <v>42543</v>
      </c>
      <c r="D1343" s="8" t="s">
        <v>51062</v>
      </c>
    </row>
    <row r="1344" ht="15.75" customHeight="1">
      <c r="A1344" s="9" t="s">
        <v>51063</v>
      </c>
      <c r="B1344" s="9" t="s">
        <v>10440</v>
      </c>
      <c r="C1344" s="9" t="s">
        <v>42532</v>
      </c>
      <c r="D1344" s="8" t="s">
        <v>51064</v>
      </c>
    </row>
    <row r="1345" ht="15.75" customHeight="1">
      <c r="A1345" s="9" t="s">
        <v>51065</v>
      </c>
      <c r="B1345" s="9" t="s">
        <v>11484</v>
      </c>
      <c r="C1345" s="9" t="s">
        <v>42535</v>
      </c>
      <c r="D1345" s="8" t="s">
        <v>51066</v>
      </c>
    </row>
    <row r="1346" ht="15.75" customHeight="1">
      <c r="A1346" s="9" t="s">
        <v>51067</v>
      </c>
      <c r="B1346" s="9" t="s">
        <v>11587</v>
      </c>
      <c r="C1346" s="9" t="s">
        <v>42538</v>
      </c>
      <c r="D1346" s="8" t="s">
        <v>51068</v>
      </c>
    </row>
    <row r="1347" ht="15.75" customHeight="1">
      <c r="A1347" s="9" t="s">
        <v>51069</v>
      </c>
      <c r="B1347" s="9" t="s">
        <v>11587</v>
      </c>
      <c r="C1347" s="9" t="s">
        <v>42535</v>
      </c>
      <c r="D1347" s="8" t="s">
        <v>51070</v>
      </c>
    </row>
    <row r="1348" ht="15.75" customHeight="1">
      <c r="A1348" s="9" t="s">
        <v>51071</v>
      </c>
      <c r="B1348" s="9" t="s">
        <v>11587</v>
      </c>
      <c r="C1348" s="9" t="s">
        <v>42532</v>
      </c>
      <c r="D1348" s="8" t="s">
        <v>51072</v>
      </c>
    </row>
    <row r="1349" ht="15.75" customHeight="1">
      <c r="A1349" s="9" t="s">
        <v>51073</v>
      </c>
      <c r="B1349" s="9" t="s">
        <v>11589</v>
      </c>
      <c r="C1349" s="9" t="s">
        <v>42535</v>
      </c>
      <c r="D1349" s="8" t="s">
        <v>51074</v>
      </c>
    </row>
    <row r="1350" ht="15.75" customHeight="1">
      <c r="A1350" s="9" t="s">
        <v>51075</v>
      </c>
      <c r="B1350" s="9" t="s">
        <v>11589</v>
      </c>
      <c r="C1350" s="9" t="s">
        <v>42543</v>
      </c>
      <c r="D1350" s="8" t="s">
        <v>51076</v>
      </c>
    </row>
    <row r="1351" ht="15.75" customHeight="1">
      <c r="A1351" s="9" t="s">
        <v>51077</v>
      </c>
      <c r="B1351" s="9" t="s">
        <v>11589</v>
      </c>
      <c r="C1351" s="9" t="s">
        <v>42532</v>
      </c>
      <c r="D1351" s="8" t="s">
        <v>51078</v>
      </c>
    </row>
    <row r="1352" ht="15.75" customHeight="1">
      <c r="A1352" s="9" t="s">
        <v>51079</v>
      </c>
      <c r="B1352" s="9" t="s">
        <v>11589</v>
      </c>
      <c r="C1352" s="9" t="s">
        <v>42538</v>
      </c>
      <c r="D1352" s="8" t="s">
        <v>51080</v>
      </c>
    </row>
    <row r="1353" ht="15.75" customHeight="1">
      <c r="A1353" s="9" t="s">
        <v>51081</v>
      </c>
      <c r="B1353" s="9" t="s">
        <v>11580</v>
      </c>
      <c r="C1353" s="9" t="s">
        <v>42532</v>
      </c>
      <c r="D1353" s="8" t="s">
        <v>51082</v>
      </c>
    </row>
    <row r="1354" ht="15.75" customHeight="1">
      <c r="A1354" s="9" t="s">
        <v>51083</v>
      </c>
      <c r="B1354" s="9" t="s">
        <v>11580</v>
      </c>
      <c r="C1354" s="9" t="s">
        <v>42535</v>
      </c>
      <c r="D1354" s="8" t="s">
        <v>51084</v>
      </c>
    </row>
    <row r="1355" ht="15.75" customHeight="1">
      <c r="A1355" s="9" t="s">
        <v>51085</v>
      </c>
      <c r="B1355" s="9" t="s">
        <v>10230</v>
      </c>
      <c r="C1355" s="9" t="s">
        <v>42532</v>
      </c>
      <c r="D1355" s="8" t="s">
        <v>51086</v>
      </c>
    </row>
    <row r="1356" ht="15.75" customHeight="1">
      <c r="A1356" s="9" t="s">
        <v>51087</v>
      </c>
      <c r="B1356" s="9" t="s">
        <v>1787</v>
      </c>
      <c r="C1356" s="9" t="s">
        <v>42532</v>
      </c>
      <c r="D1356" s="8" t="s">
        <v>51088</v>
      </c>
    </row>
    <row r="1357" ht="15.75" customHeight="1">
      <c r="A1357" s="9" t="s">
        <v>51089</v>
      </c>
      <c r="B1357" s="9" t="s">
        <v>11373</v>
      </c>
      <c r="C1357" s="9" t="s">
        <v>42535</v>
      </c>
      <c r="D1357" s="8" t="s">
        <v>51090</v>
      </c>
    </row>
    <row r="1358" ht="15.75" customHeight="1">
      <c r="A1358" s="9" t="s">
        <v>51091</v>
      </c>
      <c r="B1358" s="9" t="s">
        <v>23262</v>
      </c>
      <c r="C1358" s="9" t="s">
        <v>42532</v>
      </c>
      <c r="D1358" s="8" t="s">
        <v>51092</v>
      </c>
    </row>
    <row r="1359" ht="15.75" customHeight="1">
      <c r="A1359" s="9" t="s">
        <v>51093</v>
      </c>
      <c r="B1359" s="9" t="s">
        <v>271</v>
      </c>
      <c r="C1359" s="9" t="s">
        <v>10068</v>
      </c>
      <c r="D1359" s="8" t="s">
        <v>51094</v>
      </c>
    </row>
    <row r="1360" ht="15.75" customHeight="1">
      <c r="A1360" s="9" t="s">
        <v>51095</v>
      </c>
      <c r="B1360" s="9" t="s">
        <v>23273</v>
      </c>
      <c r="C1360" s="9" t="s">
        <v>42535</v>
      </c>
      <c r="D1360" s="8" t="s">
        <v>51096</v>
      </c>
    </row>
    <row r="1361" ht="15.75" customHeight="1">
      <c r="A1361" s="9" t="s">
        <v>51097</v>
      </c>
      <c r="B1361" s="9" t="s">
        <v>9048</v>
      </c>
      <c r="C1361" s="9" t="s">
        <v>42532</v>
      </c>
      <c r="D1361" s="8" t="s">
        <v>51098</v>
      </c>
    </row>
    <row r="1362" ht="15.75" customHeight="1">
      <c r="A1362" s="9" t="s">
        <v>51099</v>
      </c>
      <c r="B1362" s="9" t="s">
        <v>23288</v>
      </c>
      <c r="C1362" s="9" t="s">
        <v>42535</v>
      </c>
      <c r="D1362" s="8" t="s">
        <v>51100</v>
      </c>
    </row>
    <row r="1363" ht="15.75" customHeight="1">
      <c r="A1363" s="9" t="s">
        <v>51101</v>
      </c>
      <c r="B1363" s="9" t="s">
        <v>23288</v>
      </c>
      <c r="C1363" s="9" t="s">
        <v>42532</v>
      </c>
      <c r="D1363" s="8" t="s">
        <v>51102</v>
      </c>
    </row>
    <row r="1364" ht="15.75" customHeight="1">
      <c r="A1364" s="9" t="s">
        <v>51103</v>
      </c>
      <c r="B1364" s="9" t="s">
        <v>23302</v>
      </c>
      <c r="C1364" s="9" t="s">
        <v>42535</v>
      </c>
      <c r="D1364" s="8" t="s">
        <v>51104</v>
      </c>
    </row>
    <row r="1365" ht="15.75" customHeight="1">
      <c r="A1365" s="9" t="s">
        <v>51105</v>
      </c>
      <c r="B1365" s="9" t="s">
        <v>23302</v>
      </c>
      <c r="C1365" s="9" t="s">
        <v>42538</v>
      </c>
      <c r="D1365" s="8" t="s">
        <v>51106</v>
      </c>
    </row>
    <row r="1366" ht="15.75" customHeight="1">
      <c r="A1366" s="9" t="s">
        <v>51107</v>
      </c>
      <c r="B1366" s="9" t="s">
        <v>23317</v>
      </c>
      <c r="C1366" s="9" t="s">
        <v>42532</v>
      </c>
      <c r="D1366" s="8" t="s">
        <v>51108</v>
      </c>
    </row>
    <row r="1367" ht="15.75" customHeight="1">
      <c r="A1367" s="9" t="s">
        <v>51109</v>
      </c>
      <c r="B1367" s="9" t="s">
        <v>23317</v>
      </c>
      <c r="C1367" s="9" t="s">
        <v>42543</v>
      </c>
      <c r="D1367" s="8" t="s">
        <v>51110</v>
      </c>
    </row>
    <row r="1368" ht="15.75" customHeight="1">
      <c r="A1368" s="9" t="s">
        <v>51111</v>
      </c>
      <c r="B1368" s="9" t="s">
        <v>258</v>
      </c>
      <c r="C1368" s="9" t="s">
        <v>42532</v>
      </c>
      <c r="D1368" s="8" t="s">
        <v>51112</v>
      </c>
    </row>
    <row r="1369" ht="15.75" customHeight="1">
      <c r="A1369" s="9" t="s">
        <v>51113</v>
      </c>
      <c r="B1369" s="9" t="s">
        <v>258</v>
      </c>
      <c r="C1369" s="9" t="s">
        <v>42543</v>
      </c>
      <c r="D1369" s="8" t="s">
        <v>51114</v>
      </c>
    </row>
    <row r="1370" ht="15.75" customHeight="1">
      <c r="A1370" s="9" t="s">
        <v>51115</v>
      </c>
      <c r="B1370" s="9" t="s">
        <v>6605</v>
      </c>
      <c r="C1370" s="9" t="s">
        <v>42538</v>
      </c>
      <c r="D1370" s="8" t="s">
        <v>51116</v>
      </c>
    </row>
    <row r="1371" ht="15.75" customHeight="1">
      <c r="A1371" s="9" t="s">
        <v>51117</v>
      </c>
      <c r="B1371" s="9" t="s">
        <v>11655</v>
      </c>
      <c r="C1371" s="9" t="s">
        <v>10068</v>
      </c>
      <c r="D1371" s="8" t="s">
        <v>51118</v>
      </c>
    </row>
    <row r="1372" ht="15.75" customHeight="1">
      <c r="A1372" s="9" t="s">
        <v>51119</v>
      </c>
      <c r="B1372" s="9" t="s">
        <v>11655</v>
      </c>
      <c r="C1372" s="9" t="s">
        <v>42538</v>
      </c>
      <c r="D1372" s="8" t="s">
        <v>51120</v>
      </c>
    </row>
    <row r="1373" ht="15.75" customHeight="1">
      <c r="A1373" s="9" t="s">
        <v>51121</v>
      </c>
      <c r="B1373" s="9" t="s">
        <v>11655</v>
      </c>
      <c r="C1373" s="9" t="s">
        <v>19384</v>
      </c>
      <c r="D1373" s="8" t="s">
        <v>51122</v>
      </c>
    </row>
    <row r="1374" ht="15.75" customHeight="1">
      <c r="A1374" s="9" t="s">
        <v>51123</v>
      </c>
      <c r="B1374" s="9" t="s">
        <v>9039</v>
      </c>
      <c r="C1374" s="9" t="s">
        <v>42538</v>
      </c>
      <c r="D1374" s="8" t="s">
        <v>51124</v>
      </c>
    </row>
    <row r="1375" ht="15.75" customHeight="1">
      <c r="A1375" s="9" t="s">
        <v>51125</v>
      </c>
      <c r="B1375" s="9" t="s">
        <v>9039</v>
      </c>
      <c r="C1375" s="9" t="s">
        <v>42543</v>
      </c>
      <c r="D1375" s="8" t="s">
        <v>51126</v>
      </c>
    </row>
    <row r="1376" ht="15.75" customHeight="1">
      <c r="A1376" s="9" t="s">
        <v>51127</v>
      </c>
      <c r="B1376" s="9" t="s">
        <v>4045</v>
      </c>
      <c r="C1376" s="9" t="s">
        <v>10068</v>
      </c>
      <c r="D1376" s="8" t="s">
        <v>50486</v>
      </c>
    </row>
    <row r="1377" ht="15.75" customHeight="1">
      <c r="A1377" s="9" t="s">
        <v>51128</v>
      </c>
      <c r="B1377" s="9" t="s">
        <v>23342</v>
      </c>
      <c r="C1377" s="9" t="s">
        <v>42543</v>
      </c>
      <c r="D1377" s="8" t="s">
        <v>51129</v>
      </c>
    </row>
    <row r="1378" ht="15.75" customHeight="1">
      <c r="A1378" s="9" t="s">
        <v>51130</v>
      </c>
      <c r="B1378" s="9" t="s">
        <v>23342</v>
      </c>
      <c r="C1378" s="9" t="s">
        <v>42532</v>
      </c>
      <c r="D1378" s="8" t="s">
        <v>51131</v>
      </c>
    </row>
    <row r="1379" ht="15.75" customHeight="1">
      <c r="A1379" s="9" t="s">
        <v>51132</v>
      </c>
      <c r="B1379" s="9" t="s">
        <v>23360</v>
      </c>
      <c r="C1379" s="9" t="s">
        <v>42532</v>
      </c>
      <c r="D1379" s="8" t="s">
        <v>51133</v>
      </c>
    </row>
    <row r="1380" ht="15.75" customHeight="1">
      <c r="A1380" s="9" t="s">
        <v>51134</v>
      </c>
      <c r="B1380" s="9" t="s">
        <v>23394</v>
      </c>
      <c r="C1380" s="9" t="s">
        <v>42543</v>
      </c>
      <c r="D1380" s="8" t="s">
        <v>51135</v>
      </c>
    </row>
    <row r="1381" ht="15.75" customHeight="1">
      <c r="A1381" s="9" t="s">
        <v>51136</v>
      </c>
      <c r="B1381" s="9" t="s">
        <v>23394</v>
      </c>
      <c r="C1381" s="9" t="s">
        <v>42532</v>
      </c>
      <c r="D1381" s="8" t="s">
        <v>51137</v>
      </c>
    </row>
    <row r="1382" ht="15.75" customHeight="1">
      <c r="A1382" s="9" t="s">
        <v>51138</v>
      </c>
      <c r="B1382" s="9" t="s">
        <v>23394</v>
      </c>
      <c r="C1382" s="9" t="s">
        <v>42538</v>
      </c>
      <c r="D1382" s="8" t="s">
        <v>51139</v>
      </c>
    </row>
    <row r="1383" ht="15.75" customHeight="1">
      <c r="A1383" s="9" t="s">
        <v>51140</v>
      </c>
      <c r="B1383" s="9" t="s">
        <v>23373</v>
      </c>
      <c r="C1383" s="9" t="s">
        <v>42532</v>
      </c>
      <c r="D1383" s="8" t="s">
        <v>51137</v>
      </c>
    </row>
    <row r="1384" ht="15.75" customHeight="1">
      <c r="A1384" s="9" t="s">
        <v>51141</v>
      </c>
      <c r="B1384" s="9" t="s">
        <v>23373</v>
      </c>
      <c r="C1384" s="9" t="s">
        <v>42538</v>
      </c>
      <c r="D1384" s="8" t="s">
        <v>51142</v>
      </c>
    </row>
    <row r="1385" ht="15.75" customHeight="1">
      <c r="A1385" s="9" t="s">
        <v>51143</v>
      </c>
      <c r="B1385" s="9" t="s">
        <v>23373</v>
      </c>
      <c r="C1385" s="9" t="s">
        <v>42535</v>
      </c>
      <c r="D1385" s="8" t="s">
        <v>51144</v>
      </c>
    </row>
    <row r="1386" ht="15.75" customHeight="1">
      <c r="A1386" s="9" t="s">
        <v>51145</v>
      </c>
      <c r="B1386" s="9" t="s">
        <v>23387</v>
      </c>
      <c r="C1386" s="9" t="s">
        <v>42535</v>
      </c>
      <c r="D1386" s="8" t="s">
        <v>51146</v>
      </c>
    </row>
    <row r="1387" ht="15.75" customHeight="1">
      <c r="A1387" s="9" t="s">
        <v>51147</v>
      </c>
      <c r="B1387" s="9" t="s">
        <v>23387</v>
      </c>
      <c r="C1387" s="9" t="s">
        <v>42532</v>
      </c>
      <c r="D1387" s="8" t="s">
        <v>51137</v>
      </c>
    </row>
    <row r="1388" ht="15.75" customHeight="1">
      <c r="A1388" s="9" t="s">
        <v>51148</v>
      </c>
      <c r="B1388" s="9" t="s">
        <v>23403</v>
      </c>
      <c r="C1388" s="9" t="s">
        <v>42532</v>
      </c>
      <c r="D1388" s="8" t="s">
        <v>51149</v>
      </c>
    </row>
    <row r="1389" ht="15.75" customHeight="1">
      <c r="A1389" s="9" t="s">
        <v>51150</v>
      </c>
      <c r="B1389" s="9" t="s">
        <v>23416</v>
      </c>
      <c r="C1389" s="9" t="s">
        <v>42532</v>
      </c>
      <c r="D1389" s="8" t="s">
        <v>51149</v>
      </c>
    </row>
    <row r="1390" ht="15.75" customHeight="1">
      <c r="A1390" s="9" t="s">
        <v>51151</v>
      </c>
      <c r="B1390" s="9" t="s">
        <v>2736</v>
      </c>
      <c r="C1390" s="9" t="s">
        <v>42543</v>
      </c>
      <c r="D1390" s="8" t="s">
        <v>51152</v>
      </c>
    </row>
    <row r="1391" ht="15.75" customHeight="1">
      <c r="A1391" s="9" t="s">
        <v>51153</v>
      </c>
      <c r="B1391" s="9" t="s">
        <v>23430</v>
      </c>
      <c r="C1391" s="9" t="s">
        <v>42532</v>
      </c>
      <c r="D1391" s="8" t="s">
        <v>51154</v>
      </c>
    </row>
    <row r="1392" ht="15.75" customHeight="1">
      <c r="A1392" s="9" t="s">
        <v>51155</v>
      </c>
      <c r="B1392" s="9" t="s">
        <v>11491</v>
      </c>
      <c r="C1392" s="9" t="s">
        <v>42532</v>
      </c>
      <c r="D1392" s="8" t="s">
        <v>51156</v>
      </c>
    </row>
    <row r="1393" ht="15.75" customHeight="1">
      <c r="A1393" s="9" t="s">
        <v>51157</v>
      </c>
      <c r="B1393" s="9" t="s">
        <v>23441</v>
      </c>
      <c r="C1393" s="9" t="s">
        <v>42532</v>
      </c>
      <c r="D1393" s="8" t="s">
        <v>51158</v>
      </c>
    </row>
    <row r="1394" ht="15.75" customHeight="1">
      <c r="A1394" s="9" t="s">
        <v>51159</v>
      </c>
      <c r="B1394" s="9" t="s">
        <v>11574</v>
      </c>
      <c r="C1394" s="9" t="s">
        <v>42532</v>
      </c>
      <c r="D1394" s="8" t="s">
        <v>51160</v>
      </c>
    </row>
    <row r="1395" ht="15.75" customHeight="1">
      <c r="A1395" s="9" t="s">
        <v>51161</v>
      </c>
      <c r="B1395" s="9" t="s">
        <v>23463</v>
      </c>
      <c r="C1395" s="9" t="s">
        <v>42538</v>
      </c>
      <c r="D1395" s="8" t="s">
        <v>51162</v>
      </c>
    </row>
    <row r="1396" ht="15.75" customHeight="1">
      <c r="A1396" s="9" t="s">
        <v>51163</v>
      </c>
      <c r="B1396" s="9" t="s">
        <v>23463</v>
      </c>
      <c r="C1396" s="9" t="s">
        <v>19384</v>
      </c>
      <c r="D1396" s="8" t="s">
        <v>51164</v>
      </c>
    </row>
    <row r="1397" ht="15.75" customHeight="1">
      <c r="A1397" s="9" t="s">
        <v>51165</v>
      </c>
      <c r="B1397" s="9" t="s">
        <v>23463</v>
      </c>
      <c r="C1397" s="9" t="s">
        <v>42535</v>
      </c>
      <c r="D1397" s="8" t="s">
        <v>51166</v>
      </c>
    </row>
    <row r="1398" ht="15.75" customHeight="1">
      <c r="A1398" s="9" t="s">
        <v>51167</v>
      </c>
      <c r="B1398" s="9" t="s">
        <v>23416</v>
      </c>
      <c r="C1398" s="9" t="s">
        <v>42535</v>
      </c>
      <c r="D1398" s="8" t="s">
        <v>51168</v>
      </c>
    </row>
    <row r="1399" ht="15.75" customHeight="1">
      <c r="A1399" s="9" t="s">
        <v>51169</v>
      </c>
      <c r="B1399" s="9" t="s">
        <v>11460</v>
      </c>
      <c r="C1399" s="9" t="s">
        <v>42543</v>
      </c>
      <c r="D1399" s="8" t="s">
        <v>51170</v>
      </c>
    </row>
    <row r="1400" ht="15.75" customHeight="1">
      <c r="A1400" s="9" t="s">
        <v>51171</v>
      </c>
      <c r="B1400" s="9" t="s">
        <v>250</v>
      </c>
      <c r="C1400" s="9" t="s">
        <v>42543</v>
      </c>
      <c r="D1400" s="8" t="s">
        <v>51172</v>
      </c>
    </row>
    <row r="1401" ht="15.75" customHeight="1">
      <c r="A1401" s="9" t="s">
        <v>51173</v>
      </c>
      <c r="B1401" s="9" t="s">
        <v>250</v>
      </c>
      <c r="C1401" s="9" t="s">
        <v>42532</v>
      </c>
      <c r="D1401" s="8" t="s">
        <v>51174</v>
      </c>
    </row>
    <row r="1402" ht="15.75" customHeight="1">
      <c r="A1402" s="9" t="s">
        <v>51175</v>
      </c>
      <c r="B1402" s="9" t="s">
        <v>23555</v>
      </c>
      <c r="C1402" s="9" t="s">
        <v>42538</v>
      </c>
      <c r="D1402" s="8" t="s">
        <v>51176</v>
      </c>
    </row>
    <row r="1403" ht="15.75" customHeight="1">
      <c r="A1403" s="9" t="s">
        <v>51177</v>
      </c>
      <c r="B1403" s="9" t="s">
        <v>23555</v>
      </c>
      <c r="C1403" s="9" t="s">
        <v>42535</v>
      </c>
      <c r="D1403" s="8" t="s">
        <v>51178</v>
      </c>
    </row>
    <row r="1404" ht="15.75" customHeight="1">
      <c r="A1404" s="9" t="s">
        <v>51179</v>
      </c>
      <c r="B1404" s="9" t="s">
        <v>23555</v>
      </c>
      <c r="C1404" s="9" t="s">
        <v>10068</v>
      </c>
      <c r="D1404" s="8" t="s">
        <v>51180</v>
      </c>
    </row>
    <row r="1405" ht="15.75" customHeight="1">
      <c r="A1405" s="9" t="s">
        <v>51181</v>
      </c>
      <c r="B1405" s="9" t="s">
        <v>23555</v>
      </c>
      <c r="C1405" s="9" t="s">
        <v>42532</v>
      </c>
      <c r="D1405" s="8" t="s">
        <v>51182</v>
      </c>
    </row>
    <row r="1406" ht="15.75" customHeight="1">
      <c r="A1406" s="9" t="s">
        <v>51183</v>
      </c>
      <c r="B1406" s="9" t="s">
        <v>23573</v>
      </c>
      <c r="C1406" s="9" t="s">
        <v>42532</v>
      </c>
      <c r="D1406" s="8" t="s">
        <v>51184</v>
      </c>
    </row>
    <row r="1407" ht="15.75" customHeight="1">
      <c r="A1407" s="9" t="s">
        <v>51185</v>
      </c>
      <c r="B1407" s="9" t="s">
        <v>23573</v>
      </c>
      <c r="C1407" s="9" t="s">
        <v>42543</v>
      </c>
      <c r="D1407" s="8" t="s">
        <v>51186</v>
      </c>
    </row>
    <row r="1408" ht="15.75" customHeight="1">
      <c r="A1408" s="9" t="s">
        <v>51187</v>
      </c>
      <c r="B1408" s="9" t="s">
        <v>2508</v>
      </c>
      <c r="C1408" s="9" t="s">
        <v>42532</v>
      </c>
      <c r="D1408" s="8" t="s">
        <v>51188</v>
      </c>
    </row>
    <row r="1409" ht="15.75" customHeight="1">
      <c r="A1409" s="9" t="s">
        <v>51189</v>
      </c>
      <c r="B1409" s="9" t="s">
        <v>23587</v>
      </c>
      <c r="C1409" s="9" t="s">
        <v>42538</v>
      </c>
      <c r="D1409" s="8" t="s">
        <v>51190</v>
      </c>
    </row>
    <row r="1410" ht="15.75" customHeight="1">
      <c r="A1410" s="9" t="s">
        <v>51191</v>
      </c>
      <c r="B1410" s="9" t="s">
        <v>23587</v>
      </c>
      <c r="C1410" s="9" t="s">
        <v>42532</v>
      </c>
      <c r="D1410" s="8" t="s">
        <v>51192</v>
      </c>
    </row>
    <row r="1411" ht="15.75" customHeight="1">
      <c r="A1411" s="9" t="s">
        <v>51193</v>
      </c>
      <c r="B1411" s="9" t="s">
        <v>23515</v>
      </c>
      <c r="C1411" s="9" t="s">
        <v>42532</v>
      </c>
      <c r="D1411" s="8" t="s">
        <v>51194</v>
      </c>
    </row>
    <row r="1412" ht="15.75" customHeight="1">
      <c r="A1412" s="9" t="s">
        <v>51195</v>
      </c>
      <c r="B1412" s="9" t="s">
        <v>23515</v>
      </c>
      <c r="C1412" s="9" t="s">
        <v>42543</v>
      </c>
      <c r="D1412" s="8" t="s">
        <v>51196</v>
      </c>
    </row>
    <row r="1413" ht="15.75" customHeight="1">
      <c r="A1413" s="9" t="s">
        <v>51197</v>
      </c>
      <c r="B1413" s="9" t="s">
        <v>23515</v>
      </c>
      <c r="C1413" s="9" t="s">
        <v>42538</v>
      </c>
      <c r="D1413" s="8" t="s">
        <v>51198</v>
      </c>
    </row>
    <row r="1414" ht="15.75" customHeight="1">
      <c r="A1414" s="9" t="s">
        <v>51199</v>
      </c>
      <c r="B1414" s="9" t="s">
        <v>272</v>
      </c>
      <c r="C1414" s="9" t="s">
        <v>42538</v>
      </c>
      <c r="D1414" s="8" t="s">
        <v>51200</v>
      </c>
    </row>
    <row r="1415" ht="15.75" customHeight="1">
      <c r="A1415" s="9" t="s">
        <v>51201</v>
      </c>
      <c r="B1415" s="9" t="s">
        <v>23615</v>
      </c>
      <c r="C1415" s="9" t="s">
        <v>42538</v>
      </c>
      <c r="D1415" s="8" t="s">
        <v>51202</v>
      </c>
    </row>
    <row r="1416" ht="15.75" customHeight="1">
      <c r="A1416" s="9" t="s">
        <v>51203</v>
      </c>
      <c r="B1416" s="9" t="s">
        <v>23632</v>
      </c>
      <c r="C1416" s="9" t="s">
        <v>42538</v>
      </c>
      <c r="D1416" s="8" t="s">
        <v>51204</v>
      </c>
    </row>
    <row r="1417" ht="15.75" customHeight="1">
      <c r="A1417" s="9" t="s">
        <v>51205</v>
      </c>
      <c r="B1417" s="9" t="s">
        <v>23632</v>
      </c>
      <c r="C1417" s="9" t="s">
        <v>19384</v>
      </c>
      <c r="D1417" s="8" t="s">
        <v>51206</v>
      </c>
    </row>
    <row r="1418" ht="15.75" customHeight="1">
      <c r="A1418" s="9" t="s">
        <v>51207</v>
      </c>
      <c r="B1418" s="9" t="s">
        <v>23632</v>
      </c>
      <c r="C1418" s="9" t="s">
        <v>42535</v>
      </c>
      <c r="D1418" s="8" t="s">
        <v>51208</v>
      </c>
    </row>
    <row r="1419" ht="15.75" customHeight="1">
      <c r="A1419" s="9" t="s">
        <v>51209</v>
      </c>
      <c r="B1419" s="9" t="s">
        <v>23387</v>
      </c>
      <c r="C1419" s="9" t="s">
        <v>42538</v>
      </c>
      <c r="D1419" s="8" t="s">
        <v>51210</v>
      </c>
    </row>
    <row r="1420" ht="15.75" customHeight="1">
      <c r="A1420" s="9" t="s">
        <v>51211</v>
      </c>
      <c r="B1420" s="9" t="s">
        <v>23647</v>
      </c>
      <c r="C1420" s="9" t="s">
        <v>42538</v>
      </c>
      <c r="D1420" s="8" t="s">
        <v>51212</v>
      </c>
    </row>
    <row r="1421" ht="15.75" customHeight="1">
      <c r="A1421" s="9" t="s">
        <v>51213</v>
      </c>
      <c r="B1421" s="9" t="s">
        <v>3464</v>
      </c>
      <c r="C1421" s="9" t="s">
        <v>42538</v>
      </c>
      <c r="D1421" s="8" t="s">
        <v>51214</v>
      </c>
    </row>
    <row r="1422" ht="15.75" customHeight="1">
      <c r="A1422" s="9" t="s">
        <v>51215</v>
      </c>
      <c r="B1422" s="9" t="s">
        <v>23665</v>
      </c>
      <c r="C1422" s="9" t="s">
        <v>42543</v>
      </c>
      <c r="D1422" s="8" t="s">
        <v>51216</v>
      </c>
    </row>
    <row r="1423" ht="15.75" customHeight="1">
      <c r="A1423" s="9" t="s">
        <v>51217</v>
      </c>
      <c r="B1423" s="9" t="s">
        <v>23665</v>
      </c>
      <c r="C1423" s="9" t="s">
        <v>42532</v>
      </c>
      <c r="D1423" s="8" t="s">
        <v>51218</v>
      </c>
    </row>
    <row r="1424" ht="15.75" customHeight="1">
      <c r="A1424" s="9" t="s">
        <v>51219</v>
      </c>
      <c r="B1424" s="9" t="s">
        <v>23665</v>
      </c>
      <c r="C1424" s="9" t="s">
        <v>42551</v>
      </c>
      <c r="D1424" s="8" t="s">
        <v>51220</v>
      </c>
    </row>
    <row r="1425" ht="15.75" customHeight="1">
      <c r="A1425" s="9" t="s">
        <v>51221</v>
      </c>
      <c r="B1425" s="9" t="s">
        <v>10493</v>
      </c>
      <c r="C1425" s="9" t="s">
        <v>42532</v>
      </c>
      <c r="D1425" s="8" t="s">
        <v>51222</v>
      </c>
    </row>
    <row r="1426" ht="15.75" customHeight="1">
      <c r="A1426" s="9" t="s">
        <v>51223</v>
      </c>
      <c r="B1426" s="9" t="s">
        <v>23677</v>
      </c>
      <c r="C1426" s="9" t="s">
        <v>42535</v>
      </c>
      <c r="D1426" s="8" t="s">
        <v>51224</v>
      </c>
    </row>
    <row r="1427" ht="15.75" customHeight="1">
      <c r="A1427" s="9" t="s">
        <v>51225</v>
      </c>
      <c r="B1427" s="9" t="s">
        <v>23677</v>
      </c>
      <c r="C1427" s="9" t="s">
        <v>42532</v>
      </c>
      <c r="D1427" s="8" t="s">
        <v>51226</v>
      </c>
    </row>
    <row r="1428" ht="15.75" customHeight="1">
      <c r="A1428" s="9" t="s">
        <v>51227</v>
      </c>
      <c r="B1428" s="9" t="s">
        <v>23677</v>
      </c>
      <c r="C1428" s="9" t="s">
        <v>42551</v>
      </c>
      <c r="D1428" s="8" t="s">
        <v>51228</v>
      </c>
    </row>
    <row r="1429" ht="15.75" customHeight="1">
      <c r="A1429" s="9" t="s">
        <v>51229</v>
      </c>
      <c r="B1429" s="9" t="s">
        <v>23677</v>
      </c>
      <c r="C1429" s="9" t="s">
        <v>42543</v>
      </c>
      <c r="D1429" s="8" t="s">
        <v>51230</v>
      </c>
    </row>
    <row r="1430" ht="15.75" customHeight="1">
      <c r="A1430" s="52" t="s">
        <v>51231</v>
      </c>
      <c r="B1430" s="9" t="s">
        <v>23692</v>
      </c>
      <c r="C1430" s="9" t="s">
        <v>42535</v>
      </c>
      <c r="D1430" s="8" t="s">
        <v>51232</v>
      </c>
    </row>
    <row r="1431" ht="15.75" customHeight="1">
      <c r="A1431" s="9" t="s">
        <v>51233</v>
      </c>
      <c r="B1431" s="9" t="s">
        <v>23706</v>
      </c>
      <c r="C1431" s="9" t="s">
        <v>42538</v>
      </c>
      <c r="D1431" s="8" t="s">
        <v>51234</v>
      </c>
    </row>
    <row r="1432" ht="15.75" customHeight="1">
      <c r="A1432" s="9" t="s">
        <v>51235</v>
      </c>
      <c r="B1432" s="9" t="s">
        <v>23706</v>
      </c>
      <c r="C1432" s="9" t="s">
        <v>42535</v>
      </c>
      <c r="D1432" s="8" t="s">
        <v>51236</v>
      </c>
    </row>
    <row r="1433" ht="15.75" customHeight="1">
      <c r="A1433" s="9" t="s">
        <v>51237</v>
      </c>
      <c r="B1433" s="9" t="s">
        <v>11840</v>
      </c>
      <c r="C1433" s="9" t="s">
        <v>42532</v>
      </c>
      <c r="D1433" s="8" t="s">
        <v>51238</v>
      </c>
    </row>
    <row r="1434" ht="15.75" customHeight="1">
      <c r="A1434" s="9" t="s">
        <v>51239</v>
      </c>
      <c r="B1434" s="9" t="s">
        <v>23720</v>
      </c>
      <c r="C1434" s="9" t="s">
        <v>42535</v>
      </c>
      <c r="D1434" s="8" t="s">
        <v>51240</v>
      </c>
    </row>
    <row r="1435" ht="15.75" customHeight="1">
      <c r="A1435" s="9" t="s">
        <v>51241</v>
      </c>
      <c r="B1435" s="9" t="s">
        <v>23734</v>
      </c>
      <c r="C1435" s="9" t="s">
        <v>42535</v>
      </c>
      <c r="D1435" s="8" t="s">
        <v>51242</v>
      </c>
    </row>
    <row r="1436" ht="15.75" customHeight="1">
      <c r="A1436" s="9"/>
      <c r="B1436" s="9"/>
      <c r="C1436" s="9"/>
      <c r="D1436" s="9"/>
    </row>
    <row r="1437" ht="15.75" customHeight="1">
      <c r="A1437" s="9"/>
      <c r="B1437" s="9"/>
      <c r="C1437" s="9"/>
      <c r="D1437" s="9"/>
    </row>
    <row r="1438" ht="15.75" customHeight="1">
      <c r="A1438" s="9"/>
      <c r="B1438" s="9"/>
      <c r="C1438" s="9"/>
      <c r="D1438" s="9"/>
    </row>
    <row r="1439" ht="15.75" customHeight="1">
      <c r="A1439" s="9" t="s">
        <v>51243</v>
      </c>
      <c r="B1439" s="9" t="s">
        <v>23543</v>
      </c>
      <c r="C1439" s="9" t="s">
        <v>42532</v>
      </c>
      <c r="D1439" s="8" t="s">
        <v>51244</v>
      </c>
    </row>
    <row r="1440" ht="15.75" customHeight="1">
      <c r="A1440" s="52" t="s">
        <v>51245</v>
      </c>
      <c r="B1440" s="9" t="s">
        <v>23779</v>
      </c>
      <c r="C1440" s="9" t="s">
        <v>42535</v>
      </c>
      <c r="D1440" s="8" t="s">
        <v>51246</v>
      </c>
    </row>
    <row r="1441" ht="15.75" customHeight="1">
      <c r="A1441" s="9" t="s">
        <v>51247</v>
      </c>
      <c r="B1441" s="9" t="s">
        <v>23779</v>
      </c>
      <c r="C1441" s="9" t="s">
        <v>42538</v>
      </c>
      <c r="D1441" s="8" t="s">
        <v>51248</v>
      </c>
    </row>
    <row r="1442" ht="15.75" customHeight="1">
      <c r="A1442" s="9" t="s">
        <v>51249</v>
      </c>
      <c r="B1442" s="9" t="s">
        <v>23779</v>
      </c>
      <c r="C1442" s="9" t="s">
        <v>19384</v>
      </c>
      <c r="D1442" s="8" t="s">
        <v>51250</v>
      </c>
    </row>
    <row r="1443" ht="15.75" customHeight="1">
      <c r="A1443" s="9" t="s">
        <v>51251</v>
      </c>
      <c r="B1443" s="9" t="s">
        <v>23808</v>
      </c>
      <c r="C1443" s="9" t="s">
        <v>42532</v>
      </c>
      <c r="D1443" s="8" t="s">
        <v>51252</v>
      </c>
    </row>
    <row r="1444" ht="15.75" customHeight="1">
      <c r="A1444" s="9" t="s">
        <v>51253</v>
      </c>
      <c r="B1444" s="9" t="s">
        <v>23543</v>
      </c>
      <c r="C1444" s="9" t="s">
        <v>42532</v>
      </c>
      <c r="D1444" s="8" t="s">
        <v>51254</v>
      </c>
    </row>
    <row r="1445" ht="15.75" customHeight="1">
      <c r="A1445" s="9" t="s">
        <v>51255</v>
      </c>
      <c r="B1445" s="9" t="s">
        <v>23816</v>
      </c>
      <c r="C1445" s="9" t="s">
        <v>42532</v>
      </c>
      <c r="D1445" s="8" t="s">
        <v>51256</v>
      </c>
    </row>
    <row r="1446" ht="15.75" customHeight="1">
      <c r="A1446" s="9" t="s">
        <v>51257</v>
      </c>
      <c r="B1446" s="9" t="s">
        <v>23816</v>
      </c>
      <c r="C1446" s="9" t="s">
        <v>42543</v>
      </c>
      <c r="D1446" s="8" t="s">
        <v>51258</v>
      </c>
    </row>
    <row r="1447" ht="15.75" customHeight="1">
      <c r="A1447" s="9" t="s">
        <v>51259</v>
      </c>
      <c r="B1447" s="9" t="s">
        <v>23830</v>
      </c>
      <c r="C1447" s="9" t="s">
        <v>42532</v>
      </c>
      <c r="D1447" s="8" t="s">
        <v>51260</v>
      </c>
    </row>
    <row r="1448" ht="15.75" customHeight="1">
      <c r="A1448" s="9" t="s">
        <v>51261</v>
      </c>
      <c r="B1448" s="9" t="s">
        <v>23830</v>
      </c>
      <c r="C1448" s="9" t="s">
        <v>42538</v>
      </c>
      <c r="D1448" s="8" t="s">
        <v>51262</v>
      </c>
    </row>
    <row r="1449" ht="15.75" customHeight="1">
      <c r="A1449" s="9" t="s">
        <v>51263</v>
      </c>
      <c r="B1449" s="9" t="s">
        <v>23734</v>
      </c>
      <c r="C1449" s="9" t="s">
        <v>42532</v>
      </c>
      <c r="D1449" s="8" t="s">
        <v>51264</v>
      </c>
    </row>
    <row r="1450" ht="15.75" customHeight="1">
      <c r="A1450" s="9" t="s">
        <v>51265</v>
      </c>
      <c r="B1450" s="9" t="s">
        <v>11411</v>
      </c>
      <c r="C1450" s="9" t="s">
        <v>42535</v>
      </c>
      <c r="D1450" s="8" t="s">
        <v>51266</v>
      </c>
    </row>
    <row r="1451" ht="15.75" customHeight="1">
      <c r="A1451" s="9" t="s">
        <v>51267</v>
      </c>
      <c r="B1451" s="9" t="s">
        <v>11411</v>
      </c>
      <c r="C1451" s="9" t="s">
        <v>42538</v>
      </c>
      <c r="D1451" s="8" t="s">
        <v>51268</v>
      </c>
    </row>
    <row r="1452" ht="15.75" customHeight="1">
      <c r="A1452" s="9" t="s">
        <v>51269</v>
      </c>
      <c r="B1452" s="9" t="s">
        <v>23847</v>
      </c>
      <c r="C1452" s="9" t="s">
        <v>42532</v>
      </c>
      <c r="D1452" s="8" t="s">
        <v>51270</v>
      </c>
    </row>
    <row r="1453" ht="15.75" customHeight="1">
      <c r="A1453" s="9" t="s">
        <v>51271</v>
      </c>
      <c r="B1453" s="9" t="s">
        <v>23862</v>
      </c>
      <c r="C1453" s="9" t="s">
        <v>42535</v>
      </c>
      <c r="D1453" s="8" t="s">
        <v>51272</v>
      </c>
    </row>
    <row r="1454" ht="15.75" customHeight="1">
      <c r="A1454" s="9" t="s">
        <v>51273</v>
      </c>
      <c r="B1454" s="9" t="s">
        <v>23878</v>
      </c>
      <c r="C1454" s="9" t="s">
        <v>42535</v>
      </c>
      <c r="D1454" s="8" t="s">
        <v>51274</v>
      </c>
    </row>
    <row r="1455" ht="15.75" customHeight="1">
      <c r="A1455" s="9" t="s">
        <v>51275</v>
      </c>
      <c r="B1455" s="9" t="s">
        <v>23878</v>
      </c>
      <c r="C1455" s="9" t="s">
        <v>42538</v>
      </c>
      <c r="D1455" s="8" t="s">
        <v>51276</v>
      </c>
    </row>
    <row r="1456" ht="15.75" customHeight="1">
      <c r="A1456" s="9" t="s">
        <v>51277</v>
      </c>
      <c r="B1456" s="9" t="s">
        <v>11578</v>
      </c>
      <c r="C1456" s="9" t="s">
        <v>42535</v>
      </c>
      <c r="D1456" s="8" t="s">
        <v>51278</v>
      </c>
    </row>
    <row r="1457" ht="15.75" customHeight="1">
      <c r="A1457" s="9" t="s">
        <v>51279</v>
      </c>
      <c r="B1457" s="9" t="s">
        <v>23765</v>
      </c>
      <c r="C1457" s="9" t="s">
        <v>42538</v>
      </c>
      <c r="D1457" s="8" t="s">
        <v>51280</v>
      </c>
    </row>
    <row r="1458" ht="15.75" customHeight="1">
      <c r="A1458" s="9" t="s">
        <v>51281</v>
      </c>
      <c r="B1458" s="9" t="s">
        <v>4351</v>
      </c>
      <c r="C1458" s="9" t="s">
        <v>42532</v>
      </c>
      <c r="D1458" s="8" t="s">
        <v>51282</v>
      </c>
    </row>
    <row r="1459" ht="15.75" customHeight="1">
      <c r="A1459" s="9" t="s">
        <v>51283</v>
      </c>
      <c r="B1459" s="9" t="s">
        <v>6854</v>
      </c>
      <c r="C1459" s="9" t="s">
        <v>42532</v>
      </c>
      <c r="D1459" s="8" t="s">
        <v>51284</v>
      </c>
    </row>
    <row r="1460" ht="15.75" customHeight="1">
      <c r="A1460" s="9" t="s">
        <v>51285</v>
      </c>
      <c r="B1460" s="9" t="s">
        <v>23901</v>
      </c>
      <c r="C1460" s="9" t="s">
        <v>42546</v>
      </c>
      <c r="D1460" s="8" t="s">
        <v>51286</v>
      </c>
    </row>
    <row r="1461" ht="15.75" customHeight="1">
      <c r="A1461" s="9" t="s">
        <v>51287</v>
      </c>
      <c r="B1461" s="9" t="s">
        <v>23847</v>
      </c>
      <c r="C1461" s="9" t="s">
        <v>42538</v>
      </c>
      <c r="D1461" s="8" t="s">
        <v>51288</v>
      </c>
    </row>
    <row r="1462" ht="15.75" customHeight="1">
      <c r="A1462" s="9" t="s">
        <v>51289</v>
      </c>
      <c r="B1462" s="9" t="s">
        <v>8779</v>
      </c>
      <c r="C1462" s="9" t="s">
        <v>42538</v>
      </c>
      <c r="D1462" s="8" t="s">
        <v>51290</v>
      </c>
    </row>
    <row r="1463" ht="15.75" customHeight="1">
      <c r="A1463" s="9" t="s">
        <v>51291</v>
      </c>
      <c r="B1463" s="9" t="s">
        <v>11919</v>
      </c>
      <c r="C1463" s="9" t="s">
        <v>42538</v>
      </c>
      <c r="D1463" s="8" t="s">
        <v>51292</v>
      </c>
    </row>
    <row r="1464" ht="15.75" customHeight="1">
      <c r="A1464" s="9" t="s">
        <v>51293</v>
      </c>
      <c r="B1464" s="9" t="s">
        <v>23913</v>
      </c>
      <c r="C1464" s="9" t="s">
        <v>42532</v>
      </c>
      <c r="D1464" s="8" t="s">
        <v>51294</v>
      </c>
    </row>
    <row r="1465" ht="15.75" customHeight="1">
      <c r="A1465" s="9" t="s">
        <v>51295</v>
      </c>
      <c r="B1465" s="9" t="s">
        <v>23913</v>
      </c>
      <c r="C1465" s="9" t="s">
        <v>42543</v>
      </c>
      <c r="D1465" s="8" t="s">
        <v>51296</v>
      </c>
    </row>
    <row r="1466" ht="15.75" customHeight="1">
      <c r="A1466" s="9" t="s">
        <v>51297</v>
      </c>
      <c r="B1466" s="9" t="s">
        <v>23928</v>
      </c>
      <c r="C1466" s="9" t="s">
        <v>42535</v>
      </c>
      <c r="D1466" s="8" t="s">
        <v>51298</v>
      </c>
    </row>
    <row r="1467" ht="15.75" customHeight="1">
      <c r="A1467" s="9" t="s">
        <v>51299</v>
      </c>
      <c r="B1467" s="9" t="s">
        <v>23928</v>
      </c>
      <c r="C1467" s="9" t="s">
        <v>42543</v>
      </c>
      <c r="D1467" s="8" t="s">
        <v>51300</v>
      </c>
    </row>
    <row r="1468" ht="15.75" customHeight="1">
      <c r="A1468" s="9" t="s">
        <v>51301</v>
      </c>
      <c r="B1468" s="9" t="s">
        <v>23928</v>
      </c>
      <c r="C1468" s="9" t="s">
        <v>42538</v>
      </c>
      <c r="D1468" s="8" t="s">
        <v>51302</v>
      </c>
    </row>
    <row r="1469" ht="15.75" customHeight="1">
      <c r="A1469" s="9" t="s">
        <v>51303</v>
      </c>
      <c r="B1469" s="9" t="s">
        <v>23942</v>
      </c>
      <c r="C1469" s="9" t="s">
        <v>42538</v>
      </c>
      <c r="D1469" s="8" t="s">
        <v>51304</v>
      </c>
    </row>
    <row r="1470" ht="15.75" customHeight="1">
      <c r="A1470" s="9" t="s">
        <v>51305</v>
      </c>
      <c r="B1470" s="9" t="s">
        <v>23942</v>
      </c>
      <c r="C1470" s="9" t="s">
        <v>42532</v>
      </c>
      <c r="D1470" s="8" t="s">
        <v>51306</v>
      </c>
    </row>
    <row r="1471" ht="15.75" customHeight="1">
      <c r="A1471" s="9" t="s">
        <v>51307</v>
      </c>
      <c r="B1471" s="9" t="s">
        <v>23942</v>
      </c>
      <c r="C1471" s="9" t="s">
        <v>42535</v>
      </c>
      <c r="D1471" s="8" t="s">
        <v>51308</v>
      </c>
    </row>
    <row r="1472" ht="15.75" customHeight="1">
      <c r="A1472" s="9" t="s">
        <v>51309</v>
      </c>
      <c r="B1472" s="9" t="s">
        <v>23956</v>
      </c>
      <c r="C1472" s="9" t="s">
        <v>42535</v>
      </c>
      <c r="D1472" s="8" t="s">
        <v>51310</v>
      </c>
    </row>
    <row r="1473" ht="15.75" customHeight="1">
      <c r="A1473" s="9" t="s">
        <v>51311</v>
      </c>
      <c r="B1473" s="9" t="s">
        <v>23956</v>
      </c>
      <c r="C1473" s="9" t="s">
        <v>42532</v>
      </c>
      <c r="D1473" s="8" t="s">
        <v>51312</v>
      </c>
    </row>
    <row r="1474" ht="15.75" customHeight="1">
      <c r="A1474" s="9"/>
      <c r="B1474" s="9"/>
      <c r="C1474" s="9"/>
      <c r="D1474" s="9"/>
    </row>
    <row r="1475" ht="15.75" customHeight="1">
      <c r="A1475" s="9" t="s">
        <v>51313</v>
      </c>
      <c r="B1475" s="9" t="s">
        <v>23970</v>
      </c>
      <c r="C1475" s="9" t="s">
        <v>42532</v>
      </c>
      <c r="D1475" s="8" t="s">
        <v>51314</v>
      </c>
    </row>
    <row r="1476" ht="15.75" customHeight="1">
      <c r="A1476" s="9" t="s">
        <v>51315</v>
      </c>
      <c r="B1476" s="9" t="s">
        <v>23970</v>
      </c>
      <c r="C1476" s="9" t="s">
        <v>42543</v>
      </c>
      <c r="D1476" s="8" t="s">
        <v>51316</v>
      </c>
    </row>
    <row r="1477" ht="15.75" customHeight="1">
      <c r="A1477" s="9" t="s">
        <v>51317</v>
      </c>
      <c r="B1477" s="9" t="s">
        <v>23992</v>
      </c>
      <c r="C1477" s="9" t="s">
        <v>42543</v>
      </c>
      <c r="D1477" s="8" t="s">
        <v>51318</v>
      </c>
    </row>
    <row r="1478" ht="15.75" customHeight="1">
      <c r="A1478" s="9" t="s">
        <v>51319</v>
      </c>
      <c r="B1478" s="9" t="s">
        <v>23748</v>
      </c>
      <c r="C1478" s="9" t="s">
        <v>42535</v>
      </c>
      <c r="D1478" s="8" t="s">
        <v>51320</v>
      </c>
    </row>
    <row r="1479" ht="15.75" customHeight="1">
      <c r="A1479" s="9" t="s">
        <v>51321</v>
      </c>
      <c r="B1479" s="9" t="s">
        <v>23403</v>
      </c>
      <c r="C1479" s="9" t="s">
        <v>42538</v>
      </c>
      <c r="D1479" s="8" t="s">
        <v>51322</v>
      </c>
    </row>
    <row r="1480" ht="15.75" customHeight="1">
      <c r="A1480" s="9" t="s">
        <v>51323</v>
      </c>
      <c r="B1480" s="9" t="s">
        <v>24006</v>
      </c>
      <c r="C1480" s="9" t="s">
        <v>42532</v>
      </c>
      <c r="D1480" s="8" t="s">
        <v>51324</v>
      </c>
    </row>
    <row r="1481" ht="15.75" customHeight="1">
      <c r="A1481" s="9" t="s">
        <v>51325</v>
      </c>
      <c r="B1481" s="9" t="s">
        <v>24006</v>
      </c>
      <c r="C1481" s="9" t="s">
        <v>42538</v>
      </c>
      <c r="D1481" s="8" t="s">
        <v>51326</v>
      </c>
    </row>
    <row r="1482" ht="15.75" customHeight="1">
      <c r="A1482" s="9" t="s">
        <v>51327</v>
      </c>
      <c r="B1482" s="9" t="s">
        <v>24006</v>
      </c>
      <c r="C1482" s="9" t="s">
        <v>42543</v>
      </c>
      <c r="D1482" s="8" t="s">
        <v>51328</v>
      </c>
    </row>
    <row r="1483" ht="15.75" customHeight="1">
      <c r="A1483" s="9" t="s">
        <v>51329</v>
      </c>
      <c r="B1483" s="9" t="s">
        <v>24006</v>
      </c>
      <c r="C1483" s="9" t="s">
        <v>42535</v>
      </c>
      <c r="D1483" s="8" t="s">
        <v>51330</v>
      </c>
    </row>
    <row r="1484" ht="15.75" customHeight="1">
      <c r="A1484" s="9" t="s">
        <v>51331</v>
      </c>
      <c r="B1484" s="9" t="s">
        <v>24021</v>
      </c>
      <c r="C1484" s="9" t="s">
        <v>42532</v>
      </c>
      <c r="D1484" s="8" t="s">
        <v>51332</v>
      </c>
    </row>
    <row r="1485" ht="15.75" customHeight="1">
      <c r="A1485" s="9" t="s">
        <v>51333</v>
      </c>
      <c r="B1485" s="9" t="s">
        <v>24021</v>
      </c>
      <c r="C1485" s="9" t="s">
        <v>42543</v>
      </c>
      <c r="D1485" s="8" t="s">
        <v>51334</v>
      </c>
    </row>
    <row r="1486" ht="15.75" customHeight="1">
      <c r="A1486" s="9" t="s">
        <v>51335</v>
      </c>
      <c r="B1486" s="9" t="s">
        <v>24038</v>
      </c>
      <c r="C1486" s="9" t="s">
        <v>42532</v>
      </c>
      <c r="D1486" s="8" t="s">
        <v>51336</v>
      </c>
    </row>
    <row r="1487" ht="15.75" customHeight="1">
      <c r="A1487" s="9" t="s">
        <v>51337</v>
      </c>
      <c r="B1487" s="9" t="s">
        <v>24038</v>
      </c>
      <c r="C1487" s="9" t="s">
        <v>42538</v>
      </c>
      <c r="D1487" s="8" t="s">
        <v>51338</v>
      </c>
    </row>
    <row r="1488" ht="15.75" customHeight="1">
      <c r="A1488" s="9" t="s">
        <v>51339</v>
      </c>
      <c r="B1488" s="9" t="s">
        <v>24053</v>
      </c>
      <c r="C1488" s="9" t="s">
        <v>42535</v>
      </c>
      <c r="D1488" s="8" t="s">
        <v>51340</v>
      </c>
    </row>
    <row r="1489" ht="15.75" customHeight="1">
      <c r="A1489" s="9" t="s">
        <v>51341</v>
      </c>
      <c r="B1489" s="9" t="s">
        <v>24069</v>
      </c>
      <c r="C1489" s="9" t="s">
        <v>42538</v>
      </c>
      <c r="D1489" s="8" t="s">
        <v>51342</v>
      </c>
    </row>
    <row r="1490" ht="15.75" customHeight="1">
      <c r="A1490" s="9" t="s">
        <v>51343</v>
      </c>
      <c r="B1490" s="9" t="s">
        <v>24069</v>
      </c>
      <c r="C1490" s="9" t="s">
        <v>42535</v>
      </c>
      <c r="D1490" s="8" t="s">
        <v>51344</v>
      </c>
    </row>
    <row r="1491" ht="15.75" customHeight="1">
      <c r="A1491" s="9" t="s">
        <v>51345</v>
      </c>
      <c r="B1491" s="9" t="s">
        <v>24069</v>
      </c>
      <c r="C1491" s="9" t="s">
        <v>42532</v>
      </c>
      <c r="D1491" s="8" t="s">
        <v>51346</v>
      </c>
    </row>
    <row r="1492" ht="15.75" customHeight="1">
      <c r="A1492" s="9" t="s">
        <v>51347</v>
      </c>
      <c r="B1492" s="9" t="s">
        <v>24084</v>
      </c>
      <c r="C1492" s="9" t="s">
        <v>42535</v>
      </c>
      <c r="D1492" s="8" t="s">
        <v>51348</v>
      </c>
    </row>
    <row r="1493" ht="15.75" customHeight="1">
      <c r="A1493" s="9" t="s">
        <v>51349</v>
      </c>
      <c r="B1493" s="9" t="s">
        <v>24084</v>
      </c>
      <c r="C1493" s="9" t="s">
        <v>42532</v>
      </c>
      <c r="D1493" s="8" t="s">
        <v>51350</v>
      </c>
    </row>
    <row r="1494" ht="15.75" customHeight="1">
      <c r="A1494" s="9" t="s">
        <v>51351</v>
      </c>
      <c r="B1494" s="9" t="s">
        <v>24097</v>
      </c>
      <c r="C1494" s="9" t="s">
        <v>42538</v>
      </c>
      <c r="D1494" s="8" t="s">
        <v>51352</v>
      </c>
    </row>
    <row r="1495" ht="15.75" customHeight="1">
      <c r="A1495" s="9" t="s">
        <v>51353</v>
      </c>
      <c r="B1495" s="9" t="s">
        <v>24097</v>
      </c>
      <c r="C1495" s="9" t="s">
        <v>42535</v>
      </c>
      <c r="D1495" s="8" t="s">
        <v>51354</v>
      </c>
    </row>
    <row r="1496" ht="15.75" customHeight="1">
      <c r="A1496" s="9" t="s">
        <v>51355</v>
      </c>
      <c r="B1496" s="9" t="s">
        <v>24111</v>
      </c>
      <c r="C1496" s="9" t="s">
        <v>42532</v>
      </c>
      <c r="D1496" s="8" t="s">
        <v>51356</v>
      </c>
    </row>
    <row r="1497" ht="15.75" customHeight="1">
      <c r="A1497" s="9" t="s">
        <v>51357</v>
      </c>
      <c r="B1497" s="9" t="s">
        <v>24111</v>
      </c>
      <c r="C1497" s="9" t="s">
        <v>42538</v>
      </c>
      <c r="D1497" s="8" t="s">
        <v>51358</v>
      </c>
    </row>
    <row r="1498" ht="15.75" customHeight="1">
      <c r="A1498" s="9" t="s">
        <v>51359</v>
      </c>
      <c r="B1498" s="9" t="s">
        <v>240</v>
      </c>
      <c r="C1498" s="9" t="s">
        <v>42532</v>
      </c>
      <c r="D1498" s="8" t="s">
        <v>51360</v>
      </c>
    </row>
    <row r="1499" ht="15.75" customHeight="1">
      <c r="A1499" s="9" t="s">
        <v>51361</v>
      </c>
      <c r="B1499" s="9" t="s">
        <v>24136</v>
      </c>
      <c r="C1499" s="9" t="s">
        <v>42532</v>
      </c>
      <c r="D1499" s="8" t="s">
        <v>51362</v>
      </c>
    </row>
    <row r="1500" ht="15.75" customHeight="1">
      <c r="A1500" s="9" t="s">
        <v>51363</v>
      </c>
      <c r="B1500" s="9" t="s">
        <v>24149</v>
      </c>
      <c r="C1500" s="9" t="s">
        <v>42538</v>
      </c>
      <c r="D1500" s="8" t="s">
        <v>51364</v>
      </c>
    </row>
    <row r="1501" ht="15.75" customHeight="1">
      <c r="A1501" s="9" t="s">
        <v>51365</v>
      </c>
      <c r="B1501" s="9" t="s">
        <v>24162</v>
      </c>
      <c r="C1501" s="9" t="s">
        <v>42535</v>
      </c>
      <c r="D1501" s="8" t="s">
        <v>51366</v>
      </c>
    </row>
    <row r="1502" ht="15.75" customHeight="1">
      <c r="A1502" s="9" t="s">
        <v>51367</v>
      </c>
      <c r="B1502" s="9" t="s">
        <v>24178</v>
      </c>
      <c r="C1502" s="9" t="s">
        <v>42532</v>
      </c>
      <c r="D1502" s="8" t="s">
        <v>51368</v>
      </c>
    </row>
    <row r="1503" ht="15.75" customHeight="1">
      <c r="A1503" s="9" t="s">
        <v>51369</v>
      </c>
      <c r="B1503" s="9" t="s">
        <v>24162</v>
      </c>
      <c r="C1503" s="9" t="s">
        <v>42538</v>
      </c>
      <c r="D1503" s="8" t="s">
        <v>51370</v>
      </c>
    </row>
    <row r="1504" ht="15.75" customHeight="1">
      <c r="A1504" s="9" t="s">
        <v>51371</v>
      </c>
      <c r="B1504" s="9" t="s">
        <v>24162</v>
      </c>
      <c r="C1504" s="9" t="s">
        <v>19384</v>
      </c>
      <c r="D1504" s="8" t="s">
        <v>51372</v>
      </c>
    </row>
    <row r="1505" ht="15.75" customHeight="1">
      <c r="A1505" s="9" t="s">
        <v>51373</v>
      </c>
      <c r="B1505" s="9" t="s">
        <v>24189</v>
      </c>
      <c r="C1505" s="9" t="s">
        <v>42532</v>
      </c>
      <c r="D1505" s="8" t="s">
        <v>51374</v>
      </c>
    </row>
    <row r="1506" ht="15.75" customHeight="1">
      <c r="A1506" s="9" t="s">
        <v>51375</v>
      </c>
      <c r="B1506" s="9" t="s">
        <v>24189</v>
      </c>
      <c r="C1506" s="9" t="s">
        <v>42543</v>
      </c>
      <c r="D1506" s="8" t="s">
        <v>51376</v>
      </c>
    </row>
    <row r="1507" ht="15.75" customHeight="1">
      <c r="A1507" s="9" t="s">
        <v>51377</v>
      </c>
      <c r="B1507" s="9" t="s">
        <v>24216</v>
      </c>
      <c r="C1507" s="9" t="s">
        <v>42535</v>
      </c>
      <c r="D1507" s="8" t="s">
        <v>51378</v>
      </c>
    </row>
    <row r="1508" ht="15.75" customHeight="1">
      <c r="A1508" s="9" t="s">
        <v>51379</v>
      </c>
      <c r="B1508" s="9" t="s">
        <v>24216</v>
      </c>
      <c r="C1508" s="9" t="s">
        <v>42538</v>
      </c>
      <c r="D1508" s="8" t="s">
        <v>51380</v>
      </c>
    </row>
    <row r="1509" ht="15.75" customHeight="1">
      <c r="A1509" s="9" t="s">
        <v>51381</v>
      </c>
      <c r="B1509" s="9" t="s">
        <v>24231</v>
      </c>
      <c r="C1509" s="9" t="s">
        <v>42535</v>
      </c>
      <c r="D1509" s="8" t="s">
        <v>51382</v>
      </c>
    </row>
    <row r="1510" ht="15.75" customHeight="1">
      <c r="A1510" s="9" t="s">
        <v>51383</v>
      </c>
      <c r="B1510" s="9" t="s">
        <v>24231</v>
      </c>
      <c r="C1510" s="9" t="s">
        <v>42538</v>
      </c>
      <c r="D1510" s="8" t="s">
        <v>51384</v>
      </c>
    </row>
    <row r="1511" ht="15.75" customHeight="1">
      <c r="A1511" s="9" t="s">
        <v>51385</v>
      </c>
      <c r="B1511" s="9" t="s">
        <v>24231</v>
      </c>
      <c r="C1511" s="9" t="s">
        <v>42532</v>
      </c>
      <c r="D1511" s="8" t="s">
        <v>51386</v>
      </c>
    </row>
    <row r="1512" ht="15.75" customHeight="1">
      <c r="A1512" s="9" t="s">
        <v>51387</v>
      </c>
      <c r="B1512" s="9" t="s">
        <v>24244</v>
      </c>
      <c r="C1512" s="9" t="s">
        <v>42532</v>
      </c>
      <c r="D1512" s="8" t="s">
        <v>51386</v>
      </c>
    </row>
    <row r="1513" ht="15.75" customHeight="1">
      <c r="A1513" s="9" t="s">
        <v>51388</v>
      </c>
      <c r="B1513" s="9" t="s">
        <v>24244</v>
      </c>
      <c r="C1513" s="9" t="s">
        <v>42535</v>
      </c>
      <c r="D1513" s="8" t="s">
        <v>51389</v>
      </c>
    </row>
    <row r="1514" ht="15.75" customHeight="1">
      <c r="A1514" s="9" t="s">
        <v>51390</v>
      </c>
      <c r="B1514" s="9" t="s">
        <v>24244</v>
      </c>
      <c r="C1514" s="9" t="s">
        <v>42538</v>
      </c>
      <c r="D1514" s="8" t="s">
        <v>51391</v>
      </c>
    </row>
    <row r="1515" ht="15.75" customHeight="1">
      <c r="A1515" s="9" t="s">
        <v>51392</v>
      </c>
      <c r="B1515" s="9" t="s">
        <v>24262</v>
      </c>
      <c r="C1515" s="9" t="s">
        <v>42532</v>
      </c>
      <c r="D1515" s="8" t="s">
        <v>51393</v>
      </c>
    </row>
    <row r="1516" ht="15.75" customHeight="1">
      <c r="A1516" s="9" t="s">
        <v>51394</v>
      </c>
      <c r="B1516" s="9" t="s">
        <v>24262</v>
      </c>
      <c r="C1516" s="9" t="s">
        <v>42543</v>
      </c>
      <c r="D1516" s="8" t="s">
        <v>51395</v>
      </c>
    </row>
    <row r="1517" ht="15.75" customHeight="1">
      <c r="A1517" s="9" t="s">
        <v>51396</v>
      </c>
      <c r="B1517" s="9" t="s">
        <v>24274</v>
      </c>
      <c r="C1517" s="9" t="s">
        <v>42535</v>
      </c>
      <c r="D1517" s="8" t="s">
        <v>51397</v>
      </c>
    </row>
    <row r="1518" ht="15.75" customHeight="1">
      <c r="A1518" s="9" t="s">
        <v>51398</v>
      </c>
      <c r="B1518" s="9" t="s">
        <v>23632</v>
      </c>
      <c r="C1518" s="9" t="s">
        <v>42532</v>
      </c>
      <c r="D1518" s="8" t="s">
        <v>51399</v>
      </c>
    </row>
    <row r="1519" ht="15.75" customHeight="1">
      <c r="A1519" s="9" t="s">
        <v>51400</v>
      </c>
      <c r="B1519" s="9" t="s">
        <v>24254</v>
      </c>
      <c r="C1519" s="9" t="s">
        <v>42543</v>
      </c>
      <c r="D1519" s="8" t="s">
        <v>51401</v>
      </c>
    </row>
    <row r="1520" ht="15.75" customHeight="1">
      <c r="A1520" s="9" t="s">
        <v>51402</v>
      </c>
      <c r="B1520" s="9" t="s">
        <v>24290</v>
      </c>
      <c r="C1520" s="9" t="s">
        <v>42535</v>
      </c>
      <c r="D1520" s="8" t="s">
        <v>51403</v>
      </c>
    </row>
    <row r="1521" ht="15.75" customHeight="1">
      <c r="A1521" s="9" t="s">
        <v>51404</v>
      </c>
      <c r="B1521" s="9" t="s">
        <v>24290</v>
      </c>
      <c r="C1521" s="9" t="s">
        <v>42532</v>
      </c>
      <c r="D1521" s="8" t="s">
        <v>51405</v>
      </c>
    </row>
    <row r="1522" ht="15.75" customHeight="1">
      <c r="A1522" s="9" t="s">
        <v>51406</v>
      </c>
      <c r="B1522" s="9" t="s">
        <v>24304</v>
      </c>
      <c r="C1522" s="9" t="s">
        <v>42532</v>
      </c>
      <c r="D1522" s="8" t="s">
        <v>51407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location="tab-main"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location="hotelTmpl" ref="D42"/>
    <hyperlink r:id="rId41" ref="D43"/>
    <hyperlink r:id="rId42" ref="D44"/>
    <hyperlink r:id="rId43" ref="D45"/>
    <hyperlink r:id="rId44" ref="D46"/>
    <hyperlink r:id="rId45" ref="D47"/>
    <hyperlink r:id="rId46" ref="D48"/>
    <hyperlink r:id="rId47" ref="D49"/>
    <hyperlink r:id="rId48" ref="D50"/>
    <hyperlink r:id="rId49" ref="D52"/>
    <hyperlink r:id="rId50" ref="D53"/>
    <hyperlink r:id="rId51" ref="D54"/>
    <hyperlink r:id="rId52" ref="D55"/>
    <hyperlink r:id="rId53" ref="D56"/>
    <hyperlink r:id="rId54" location="hotelTmpl" ref="D57"/>
    <hyperlink r:id="rId55" location="hotelTmpl" ref="D58"/>
    <hyperlink r:id="rId56" ref="D59"/>
    <hyperlink r:id="rId57" ref="D60"/>
    <hyperlink r:id="rId58" ref="D61"/>
    <hyperlink r:id="rId59" ref="D62"/>
    <hyperlink r:id="rId60" ref="D63"/>
    <hyperlink r:id="rId61" ref="D64"/>
    <hyperlink r:id="rId62" ref="D65"/>
    <hyperlink r:id="rId63" ref="D66"/>
    <hyperlink r:id="rId64" ref="D67"/>
    <hyperlink r:id="rId65" ref="D69"/>
    <hyperlink r:id="rId66" ref="D70"/>
    <hyperlink r:id="rId67" ref="D72"/>
    <hyperlink r:id="rId68" ref="D73"/>
    <hyperlink r:id="rId69" ref="D74"/>
    <hyperlink r:id="rId70" ref="D75"/>
    <hyperlink r:id="rId71" ref="D76"/>
    <hyperlink r:id="rId72" ref="D77"/>
    <hyperlink r:id="rId73" ref="D78"/>
    <hyperlink r:id="rId74" ref="D79"/>
    <hyperlink r:id="rId75" ref="D80"/>
    <hyperlink r:id="rId76" ref="D81"/>
    <hyperlink r:id="rId77" ref="D82"/>
    <hyperlink r:id="rId78" ref="D83"/>
    <hyperlink r:id="rId79" ref="D84"/>
    <hyperlink r:id="rId80" ref="D85"/>
    <hyperlink r:id="rId81" ref="D86"/>
    <hyperlink r:id="rId82" ref="D87"/>
    <hyperlink r:id="rId83" ref="D88"/>
    <hyperlink r:id="rId84" ref="D89"/>
    <hyperlink r:id="rId85" ref="D90"/>
    <hyperlink r:id="rId86" ref="D91"/>
    <hyperlink r:id="rId87" ref="D92"/>
    <hyperlink r:id="rId88" ref="D93"/>
    <hyperlink r:id="rId89" ref="D94"/>
    <hyperlink r:id="rId90" ref="D95"/>
    <hyperlink r:id="rId91" ref="D96"/>
    <hyperlink r:id="rId92" ref="D97"/>
    <hyperlink r:id="rId93" ref="D98"/>
    <hyperlink r:id="rId94" ref="D99"/>
    <hyperlink r:id="rId95" ref="D100"/>
    <hyperlink r:id="rId96" ref="D101"/>
    <hyperlink r:id="rId97" ref="D102"/>
    <hyperlink r:id="rId98" ref="D103"/>
    <hyperlink r:id="rId99" ref="D104"/>
    <hyperlink r:id="rId100" ref="D105"/>
    <hyperlink r:id="rId101" ref="D106"/>
    <hyperlink r:id="rId102" ref="D107"/>
    <hyperlink r:id="rId103" ref="D108"/>
    <hyperlink r:id="rId104" ref="D109"/>
    <hyperlink r:id="rId105" ref="D110"/>
    <hyperlink r:id="rId106" ref="D112"/>
    <hyperlink r:id="rId107" ref="D113"/>
    <hyperlink r:id="rId108" ref="D114"/>
    <hyperlink r:id="rId109" ref="D115"/>
    <hyperlink r:id="rId110" ref="D116"/>
    <hyperlink r:id="rId111" ref="D117"/>
    <hyperlink r:id="rId112" ref="D119"/>
    <hyperlink r:id="rId113" ref="D120"/>
    <hyperlink r:id="rId114" ref="D121"/>
    <hyperlink r:id="rId115" ref="D122"/>
    <hyperlink r:id="rId116" ref="D123"/>
    <hyperlink r:id="rId117" ref="D124"/>
    <hyperlink r:id="rId118" ref="D125"/>
    <hyperlink r:id="rId119" ref="D126"/>
    <hyperlink r:id="rId120" ref="D127"/>
    <hyperlink r:id="rId121" ref="D128"/>
    <hyperlink r:id="rId122" ref="D129"/>
    <hyperlink r:id="rId123" ref="D130"/>
    <hyperlink r:id="rId124" ref="D131"/>
    <hyperlink r:id="rId125" ref="D132"/>
    <hyperlink r:id="rId126" ref="D133"/>
    <hyperlink r:id="rId127" ref="D134"/>
    <hyperlink r:id="rId128" ref="D135"/>
    <hyperlink r:id="rId129" ref="D136"/>
    <hyperlink r:id="rId130" ref="D137"/>
    <hyperlink r:id="rId131" ref="D138"/>
    <hyperlink r:id="rId132" ref="D139"/>
    <hyperlink r:id="rId133" ref="D140"/>
    <hyperlink r:id="rId134" ref="D141"/>
    <hyperlink r:id="rId135" ref="D142"/>
    <hyperlink r:id="rId136" ref="D143"/>
    <hyperlink r:id="rId137" ref="D144"/>
    <hyperlink r:id="rId138" ref="D146"/>
    <hyperlink r:id="rId139" ref="D147"/>
    <hyperlink r:id="rId140" ref="D148"/>
    <hyperlink r:id="rId141" ref="D149"/>
    <hyperlink r:id="rId142" ref="D150"/>
    <hyperlink r:id="rId143" ref="D151"/>
    <hyperlink r:id="rId144" ref="D152"/>
    <hyperlink r:id="rId145" ref="D153"/>
    <hyperlink r:id="rId146" ref="D154"/>
    <hyperlink r:id="rId147" ref="D155"/>
    <hyperlink r:id="rId148" ref="D156"/>
    <hyperlink r:id="rId149" ref="D157"/>
    <hyperlink r:id="rId150" ref="D158"/>
    <hyperlink r:id="rId151" ref="D159"/>
    <hyperlink r:id="rId152" ref="D160"/>
    <hyperlink r:id="rId153" ref="D161"/>
    <hyperlink r:id="rId154" ref="D162"/>
    <hyperlink r:id="rId155" ref="D163"/>
    <hyperlink r:id="rId156" ref="D164"/>
    <hyperlink r:id="rId157" ref="D165"/>
    <hyperlink r:id="rId158" ref="D166"/>
    <hyperlink r:id="rId159" location="hotelTmpl" ref="D167"/>
    <hyperlink r:id="rId160" ref="D168"/>
    <hyperlink r:id="rId161" ref="D169"/>
    <hyperlink r:id="rId162" ref="D170"/>
    <hyperlink r:id="rId163" ref="D171"/>
    <hyperlink r:id="rId164" ref="D172"/>
    <hyperlink r:id="rId165" ref="D173"/>
    <hyperlink r:id="rId166" ref="D174"/>
    <hyperlink r:id="rId167" ref="D175"/>
    <hyperlink r:id="rId168" ref="D176"/>
    <hyperlink r:id="rId169" ref="D177"/>
    <hyperlink r:id="rId170" ref="D178"/>
    <hyperlink r:id="rId171" ref="D179"/>
    <hyperlink r:id="rId172" ref="D180"/>
    <hyperlink r:id="rId173" ref="D181"/>
    <hyperlink r:id="rId174" ref="D182"/>
    <hyperlink r:id="rId175" ref="D183"/>
    <hyperlink r:id="rId176" ref="D184"/>
    <hyperlink r:id="rId177" ref="D185"/>
    <hyperlink r:id="rId178" ref="D186"/>
    <hyperlink r:id="rId179" ref="D187"/>
    <hyperlink r:id="rId180" ref="D188"/>
    <hyperlink r:id="rId181" ref="D189"/>
    <hyperlink r:id="rId182" ref="D190"/>
    <hyperlink r:id="rId183" ref="D191"/>
    <hyperlink r:id="rId184" ref="D192"/>
    <hyperlink r:id="rId185" ref="D193"/>
    <hyperlink r:id="rId186" ref="D194"/>
    <hyperlink r:id="rId187" ref="D195"/>
    <hyperlink r:id="rId188" ref="D196"/>
    <hyperlink r:id="rId189" ref="D197"/>
    <hyperlink r:id="rId190" ref="D198"/>
    <hyperlink r:id="rId191" ref="D199"/>
    <hyperlink r:id="rId192" ref="D200"/>
    <hyperlink r:id="rId193" ref="D201"/>
    <hyperlink r:id="rId194" ref="D202"/>
    <hyperlink r:id="rId195" ref="D204"/>
    <hyperlink r:id="rId196" location="hotelTmpl" ref="D205"/>
    <hyperlink r:id="rId197" ref="D206"/>
    <hyperlink r:id="rId198" ref="D207"/>
    <hyperlink r:id="rId199" ref="D208"/>
    <hyperlink r:id="rId200" ref="D209"/>
    <hyperlink r:id="rId201" ref="D210"/>
    <hyperlink r:id="rId202" ref="D211"/>
    <hyperlink r:id="rId203" ref="D212"/>
    <hyperlink r:id="rId204" ref="D213"/>
    <hyperlink r:id="rId205" ref="D215"/>
    <hyperlink r:id="rId206" ref="D216"/>
    <hyperlink r:id="rId207" ref="D217"/>
    <hyperlink r:id="rId208" ref="D218"/>
    <hyperlink r:id="rId209" ref="D219"/>
    <hyperlink r:id="rId210" ref="D220"/>
    <hyperlink r:id="rId211" ref="D221"/>
    <hyperlink r:id="rId212" ref="D222"/>
    <hyperlink r:id="rId213" ref="D223"/>
    <hyperlink r:id="rId214" ref="D224"/>
    <hyperlink r:id="rId215" ref="D225"/>
    <hyperlink r:id="rId216" ref="D226"/>
    <hyperlink r:id="rId217" ref="D227"/>
    <hyperlink r:id="rId218" ref="D228"/>
    <hyperlink r:id="rId219" ref="D229"/>
    <hyperlink r:id="rId220" ref="D230"/>
    <hyperlink r:id="rId221" ref="D231"/>
    <hyperlink r:id="rId222" ref="D232"/>
    <hyperlink r:id="rId223" ref="D233"/>
    <hyperlink r:id="rId224" ref="D234"/>
    <hyperlink r:id="rId225" ref="D235"/>
    <hyperlink r:id="rId226" ref="D236"/>
    <hyperlink r:id="rId227" ref="D237"/>
    <hyperlink r:id="rId228" ref="D238"/>
    <hyperlink r:id="rId229" ref="D239"/>
    <hyperlink r:id="rId230" ref="D240"/>
    <hyperlink r:id="rId231" ref="D241"/>
    <hyperlink r:id="rId232" ref="D242"/>
    <hyperlink r:id="rId233" ref="D243"/>
    <hyperlink r:id="rId234" ref="D244"/>
    <hyperlink r:id="rId235" ref="D245"/>
    <hyperlink r:id="rId236" ref="D246"/>
    <hyperlink r:id="rId237" ref="D247"/>
    <hyperlink r:id="rId238" ref="D248"/>
    <hyperlink r:id="rId239" ref="D249"/>
    <hyperlink r:id="rId240" ref="D250"/>
    <hyperlink r:id="rId241" ref="D251"/>
    <hyperlink r:id="rId242" ref="D252"/>
    <hyperlink r:id="rId243" ref="D253"/>
    <hyperlink r:id="rId244" ref="D254"/>
    <hyperlink r:id="rId245" ref="D255"/>
    <hyperlink r:id="rId246" ref="D256"/>
    <hyperlink r:id="rId247" ref="D257"/>
    <hyperlink r:id="rId248" ref="D258"/>
    <hyperlink r:id="rId249" ref="D259"/>
    <hyperlink r:id="rId250" ref="D260"/>
    <hyperlink r:id="rId251" ref="D262"/>
    <hyperlink r:id="rId252" ref="D263"/>
    <hyperlink r:id="rId253" ref="D264"/>
    <hyperlink r:id="rId254" ref="D265"/>
    <hyperlink r:id="rId255" ref="D266"/>
    <hyperlink r:id="rId256" ref="D267"/>
    <hyperlink r:id="rId257" ref="D268"/>
    <hyperlink r:id="rId258" ref="D269"/>
    <hyperlink r:id="rId259" ref="D270"/>
    <hyperlink r:id="rId260" ref="D271"/>
    <hyperlink r:id="rId261" ref="D272"/>
    <hyperlink r:id="rId262" ref="D273"/>
    <hyperlink r:id="rId263" ref="D274"/>
    <hyperlink r:id="rId264" ref="D275"/>
    <hyperlink r:id="rId265" ref="D276"/>
    <hyperlink r:id="rId266" ref="D277"/>
    <hyperlink r:id="rId267" ref="D278"/>
    <hyperlink r:id="rId268" ref="D279"/>
    <hyperlink r:id="rId269" ref="D280"/>
    <hyperlink r:id="rId270" ref="D281"/>
    <hyperlink r:id="rId271" ref="D282"/>
    <hyperlink r:id="rId272" ref="D283"/>
    <hyperlink r:id="rId273" ref="D284"/>
    <hyperlink r:id="rId274" ref="D285"/>
    <hyperlink r:id="rId275" ref="D286"/>
    <hyperlink r:id="rId276" ref="D287"/>
    <hyperlink r:id="rId277" ref="D288"/>
    <hyperlink r:id="rId278" ref="D289"/>
    <hyperlink r:id="rId279" ref="D290"/>
    <hyperlink r:id="rId280" ref="D291"/>
    <hyperlink r:id="rId281" ref="D292"/>
    <hyperlink r:id="rId282" ref="D293"/>
    <hyperlink r:id="rId283" ref="D294"/>
    <hyperlink r:id="rId284" ref="D295"/>
    <hyperlink r:id="rId285" ref="D296"/>
    <hyperlink r:id="rId286" ref="D297"/>
    <hyperlink r:id="rId287" ref="D299"/>
    <hyperlink r:id="rId288" ref="D300"/>
    <hyperlink r:id="rId289" ref="D301"/>
    <hyperlink r:id="rId290" ref="D303"/>
    <hyperlink r:id="rId291" ref="D304"/>
    <hyperlink r:id="rId292" ref="D305"/>
    <hyperlink r:id="rId293" ref="D306"/>
    <hyperlink r:id="rId294" ref="D307"/>
    <hyperlink r:id="rId295" ref="D308"/>
    <hyperlink r:id="rId296" ref="D309"/>
    <hyperlink r:id="rId297" ref="D311"/>
    <hyperlink r:id="rId298" ref="D312"/>
    <hyperlink r:id="rId299" ref="D313"/>
    <hyperlink r:id="rId300" ref="D314"/>
    <hyperlink r:id="rId301" ref="D315"/>
    <hyperlink r:id="rId302" ref="D316"/>
    <hyperlink r:id="rId303" location="hotelTmpl" ref="D317"/>
    <hyperlink r:id="rId304" location="hotelTmpl" ref="D318"/>
    <hyperlink r:id="rId305" ref="D319"/>
    <hyperlink r:id="rId306" ref="D320"/>
    <hyperlink r:id="rId307" ref="D321"/>
    <hyperlink r:id="rId308" ref="D322"/>
    <hyperlink r:id="rId309" ref="D323"/>
    <hyperlink r:id="rId310" ref="D324"/>
    <hyperlink r:id="rId311" ref="D325"/>
    <hyperlink r:id="rId312" location="hotelTmpl" ref="D326"/>
    <hyperlink r:id="rId313" ref="D327"/>
    <hyperlink r:id="rId314" ref="D328"/>
    <hyperlink r:id="rId315" ref="D329"/>
    <hyperlink r:id="rId316" ref="D330"/>
    <hyperlink r:id="rId317" ref="D331"/>
    <hyperlink r:id="rId318" ref="D332"/>
    <hyperlink r:id="rId319" ref="D333"/>
    <hyperlink r:id="rId320" ref="D334"/>
    <hyperlink r:id="rId321" ref="D335"/>
    <hyperlink r:id="rId322" ref="D336"/>
    <hyperlink r:id="rId323" ref="D337"/>
    <hyperlink r:id="rId324" ref="D338"/>
    <hyperlink r:id="rId325" ref="D339"/>
    <hyperlink r:id="rId326" ref="D340"/>
    <hyperlink r:id="rId327" ref="D341"/>
    <hyperlink r:id="rId328" ref="D342"/>
    <hyperlink r:id="rId329" ref="D343"/>
    <hyperlink r:id="rId330" ref="D344"/>
    <hyperlink r:id="rId331" location="hotelTmpl" ref="D345"/>
    <hyperlink r:id="rId332" ref="D346"/>
    <hyperlink r:id="rId333" ref="D347"/>
    <hyperlink r:id="rId334" ref="D348"/>
    <hyperlink r:id="rId335" ref="D349"/>
    <hyperlink r:id="rId336" ref="D350"/>
    <hyperlink r:id="rId337" ref="D351"/>
    <hyperlink r:id="rId338" ref="D352"/>
    <hyperlink r:id="rId339" ref="D353"/>
    <hyperlink r:id="rId340" ref="D354"/>
    <hyperlink r:id="rId341" location="hotelTmpl" ref="D355"/>
    <hyperlink r:id="rId342" ref="D356"/>
    <hyperlink r:id="rId343" location="hotelTmpl" ref="D357"/>
    <hyperlink r:id="rId344" ref="D358"/>
    <hyperlink r:id="rId345" ref="D360"/>
    <hyperlink r:id="rId346" ref="D361"/>
    <hyperlink r:id="rId347" location="hotelTmpl" ref="D362"/>
    <hyperlink r:id="rId348" ref="D363"/>
    <hyperlink r:id="rId349" ref="D364"/>
    <hyperlink r:id="rId350" ref="D365"/>
    <hyperlink r:id="rId351" ref="D366"/>
    <hyperlink r:id="rId352" ref="D367"/>
    <hyperlink r:id="rId353" ref="D368"/>
    <hyperlink r:id="rId354" ref="D370"/>
    <hyperlink r:id="rId355" ref="D371"/>
    <hyperlink r:id="rId356" ref="D372"/>
    <hyperlink r:id="rId357" ref="D373"/>
    <hyperlink r:id="rId358" ref="D374"/>
    <hyperlink r:id="rId359" ref="D375"/>
    <hyperlink r:id="rId360" location="hotelTmpl" ref="D376"/>
    <hyperlink r:id="rId361" ref="D377"/>
    <hyperlink r:id="rId362" ref="D378"/>
    <hyperlink r:id="rId363" ref="D379"/>
    <hyperlink r:id="rId364" ref="D380"/>
    <hyperlink r:id="rId365" ref="D381"/>
    <hyperlink r:id="rId366" ref="D382"/>
    <hyperlink r:id="rId367" ref="D383"/>
    <hyperlink r:id="rId368" ref="D384"/>
    <hyperlink r:id="rId369" ref="D385"/>
    <hyperlink r:id="rId370" location="hotelTmpl" ref="D386"/>
    <hyperlink r:id="rId371" ref="D387"/>
    <hyperlink r:id="rId372" ref="D388"/>
    <hyperlink r:id="rId373" ref="D389"/>
    <hyperlink r:id="rId374" ref="D390"/>
    <hyperlink r:id="rId375" ref="D391"/>
    <hyperlink r:id="rId376" ref="D392"/>
    <hyperlink r:id="rId377" ref="D393"/>
    <hyperlink r:id="rId378" ref="D394"/>
    <hyperlink r:id="rId379" ref="D395"/>
    <hyperlink r:id="rId380" ref="D396"/>
    <hyperlink r:id="rId381" ref="D397"/>
    <hyperlink r:id="rId382" ref="D398"/>
    <hyperlink r:id="rId383" ref="D399"/>
    <hyperlink r:id="rId384" ref="D400"/>
    <hyperlink r:id="rId385" ref="D401"/>
    <hyperlink r:id="rId386" ref="D402"/>
    <hyperlink r:id="rId387" ref="D403"/>
    <hyperlink r:id="rId388" ref="D404"/>
    <hyperlink r:id="rId389" ref="D405"/>
    <hyperlink r:id="rId390" location="hotelTmpl" ref="D406"/>
    <hyperlink r:id="rId391" ref="D407"/>
    <hyperlink r:id="rId392" ref="D408"/>
    <hyperlink r:id="rId393" ref="D409"/>
    <hyperlink r:id="rId394" ref="D411"/>
    <hyperlink r:id="rId395" ref="D412"/>
    <hyperlink r:id="rId396" ref="D413"/>
    <hyperlink r:id="rId397" ref="D414"/>
    <hyperlink r:id="rId398" ref="D415"/>
    <hyperlink r:id="rId399" ref="D416"/>
    <hyperlink r:id="rId400" ref="D417"/>
    <hyperlink r:id="rId401" ref="D418"/>
    <hyperlink r:id="rId402" ref="D419"/>
    <hyperlink r:id="rId403" ref="D420"/>
    <hyperlink r:id="rId404" ref="D421"/>
    <hyperlink r:id="rId405" ref="D422"/>
    <hyperlink r:id="rId406" ref="D423"/>
    <hyperlink r:id="rId407" ref="D424"/>
    <hyperlink r:id="rId408" ref="D425"/>
    <hyperlink r:id="rId409" ref="D426"/>
    <hyperlink r:id="rId410" ref="D427"/>
    <hyperlink r:id="rId411" ref="D428"/>
    <hyperlink r:id="rId412" ref="D429"/>
    <hyperlink r:id="rId413" ref="D430"/>
    <hyperlink r:id="rId414" ref="D431"/>
    <hyperlink r:id="rId415" ref="D432"/>
    <hyperlink r:id="rId416" ref="D433"/>
    <hyperlink r:id="rId417" ref="D434"/>
    <hyperlink r:id="rId418" ref="D435"/>
    <hyperlink r:id="rId419" ref="D436"/>
    <hyperlink r:id="rId420" ref="D437"/>
    <hyperlink r:id="rId421" ref="D438"/>
    <hyperlink r:id="rId422" ref="D439"/>
    <hyperlink r:id="rId423" ref="D440"/>
    <hyperlink r:id="rId424" ref="D441"/>
    <hyperlink r:id="rId425" ref="D442"/>
    <hyperlink r:id="rId426" ref="D443"/>
    <hyperlink r:id="rId427" ref="D444"/>
    <hyperlink r:id="rId428" ref="D445"/>
    <hyperlink r:id="rId429" location="hotelTmpl" ref="D446"/>
    <hyperlink r:id="rId430" ref="D447"/>
    <hyperlink r:id="rId431" ref="D448"/>
    <hyperlink r:id="rId432" ref="D449"/>
    <hyperlink r:id="rId433" ref="D450"/>
    <hyperlink r:id="rId434" ref="D451"/>
    <hyperlink r:id="rId435" ref="D452"/>
    <hyperlink r:id="rId436" ref="D453"/>
    <hyperlink r:id="rId437" ref="D454"/>
    <hyperlink r:id="rId438" ref="D455"/>
    <hyperlink r:id="rId439" ref="D456"/>
    <hyperlink r:id="rId440" ref="D457"/>
    <hyperlink r:id="rId441" ref="D458"/>
    <hyperlink r:id="rId442" ref="D459"/>
    <hyperlink r:id="rId443" ref="D460"/>
    <hyperlink r:id="rId444" location="hotelTmpl" ref="D461"/>
    <hyperlink r:id="rId445" ref="D462"/>
    <hyperlink r:id="rId446" ref="D463"/>
    <hyperlink r:id="rId447" ref="D464"/>
    <hyperlink r:id="rId448" ref="D465"/>
    <hyperlink r:id="rId449" ref="D466"/>
    <hyperlink r:id="rId450" ref="D467"/>
    <hyperlink r:id="rId451" ref="D468"/>
    <hyperlink r:id="rId452" ref="D469"/>
    <hyperlink r:id="rId453" ref="D470"/>
    <hyperlink r:id="rId454" ref="D471"/>
    <hyperlink r:id="rId455" ref="D472"/>
    <hyperlink r:id="rId456" ref="D473"/>
    <hyperlink r:id="rId457" ref="D474"/>
    <hyperlink r:id="rId458" ref="D475"/>
    <hyperlink r:id="rId459" ref="D476"/>
    <hyperlink r:id="rId460" ref="D477"/>
    <hyperlink r:id="rId461" ref="D478"/>
    <hyperlink r:id="rId462" ref="D479"/>
    <hyperlink r:id="rId463" ref="D480"/>
    <hyperlink r:id="rId464" ref="D481"/>
    <hyperlink r:id="rId465" ref="D482"/>
    <hyperlink r:id="rId466" ref="D483"/>
    <hyperlink r:id="rId467" ref="D484"/>
    <hyperlink r:id="rId468" ref="D485"/>
    <hyperlink r:id="rId469" ref="D486"/>
    <hyperlink r:id="rId470" ref="D487"/>
    <hyperlink r:id="rId471" ref="D488"/>
    <hyperlink r:id="rId472" ref="D489"/>
    <hyperlink r:id="rId473" ref="D490"/>
    <hyperlink r:id="rId474" ref="D492"/>
    <hyperlink r:id="rId475" ref="D493"/>
    <hyperlink r:id="rId476" ref="D494"/>
    <hyperlink r:id="rId477" ref="D496"/>
    <hyperlink r:id="rId478" ref="D497"/>
    <hyperlink r:id="rId479" ref="D498"/>
    <hyperlink r:id="rId480" ref="D499"/>
    <hyperlink r:id="rId481" ref="D500"/>
    <hyperlink r:id="rId482" ref="D501"/>
    <hyperlink r:id="rId483" ref="D502"/>
    <hyperlink r:id="rId484" ref="D503"/>
    <hyperlink r:id="rId485" ref="D504"/>
    <hyperlink r:id="rId486" ref="D505"/>
    <hyperlink r:id="rId487" ref="D506"/>
    <hyperlink r:id="rId488" ref="D507"/>
    <hyperlink r:id="rId489" ref="D508"/>
    <hyperlink r:id="rId490" ref="D509"/>
    <hyperlink r:id="rId491" ref="D510"/>
    <hyperlink r:id="rId492" ref="D511"/>
    <hyperlink r:id="rId493" ref="D512"/>
    <hyperlink r:id="rId494" ref="D513"/>
    <hyperlink r:id="rId495" ref="D514"/>
    <hyperlink r:id="rId496" ref="D515"/>
    <hyperlink r:id="rId497" ref="D516"/>
    <hyperlink r:id="rId498" ref="D517"/>
    <hyperlink r:id="rId499" ref="D518"/>
    <hyperlink r:id="rId500" ref="D519"/>
    <hyperlink r:id="rId501" ref="D520"/>
    <hyperlink r:id="rId502" ref="D521"/>
    <hyperlink r:id="rId503" ref="D522"/>
    <hyperlink r:id="rId504" ref="D523"/>
    <hyperlink r:id="rId505" ref="D524"/>
    <hyperlink r:id="rId506" ref="D525"/>
    <hyperlink r:id="rId507" ref="D526"/>
    <hyperlink r:id="rId508" ref="D527"/>
    <hyperlink r:id="rId509" ref="D528"/>
    <hyperlink r:id="rId510" ref="D529"/>
    <hyperlink r:id="rId511" ref="D530"/>
    <hyperlink r:id="rId512" ref="D531"/>
    <hyperlink r:id="rId513" location="tab-main" ref="D532"/>
    <hyperlink r:id="rId514" ref="D533"/>
    <hyperlink r:id="rId515" ref="D534"/>
    <hyperlink r:id="rId516" ref="D535"/>
    <hyperlink r:id="rId517" ref="D536"/>
    <hyperlink r:id="rId518" ref="D537"/>
    <hyperlink r:id="rId519" ref="D538"/>
    <hyperlink r:id="rId520" ref="D539"/>
    <hyperlink r:id="rId521" ref="D540"/>
    <hyperlink r:id="rId522" ref="D541"/>
    <hyperlink r:id="rId523" ref="D542"/>
    <hyperlink r:id="rId524" ref="D543"/>
    <hyperlink r:id="rId525" location="hotelTmpl" ref="D544"/>
    <hyperlink r:id="rId526" ref="D545"/>
    <hyperlink r:id="rId527" ref="D546"/>
    <hyperlink r:id="rId528" ref="D547"/>
    <hyperlink r:id="rId529" ref="D548"/>
    <hyperlink r:id="rId530" ref="D549"/>
    <hyperlink r:id="rId531" ref="D550"/>
    <hyperlink r:id="rId532" ref="D551"/>
    <hyperlink r:id="rId533" ref="D552"/>
    <hyperlink r:id="rId534" ref="D553"/>
    <hyperlink r:id="rId535" ref="D554"/>
    <hyperlink r:id="rId536" ref="D555"/>
    <hyperlink r:id="rId537" ref="D556"/>
    <hyperlink r:id="rId538" ref="D557"/>
    <hyperlink r:id="rId539" ref="D558"/>
    <hyperlink r:id="rId540" ref="D559"/>
    <hyperlink r:id="rId541" ref="D560"/>
    <hyperlink r:id="rId542" ref="D561"/>
    <hyperlink r:id="rId543" ref="D562"/>
    <hyperlink r:id="rId544" ref="D563"/>
    <hyperlink r:id="rId545" ref="D564"/>
    <hyperlink r:id="rId546" ref="D565"/>
    <hyperlink r:id="rId547" ref="D566"/>
    <hyperlink r:id="rId548" ref="D567"/>
    <hyperlink r:id="rId549" ref="D568"/>
    <hyperlink r:id="rId550" ref="D569"/>
    <hyperlink r:id="rId551" ref="D570"/>
    <hyperlink r:id="rId552" ref="D571"/>
    <hyperlink r:id="rId553" ref="D572"/>
    <hyperlink r:id="rId554" ref="D573"/>
    <hyperlink r:id="rId555" ref="D574"/>
    <hyperlink r:id="rId556" ref="D575"/>
    <hyperlink r:id="rId557" ref="D576"/>
    <hyperlink r:id="rId558" ref="D577"/>
    <hyperlink r:id="rId559" ref="D579"/>
    <hyperlink r:id="rId560" ref="D580"/>
    <hyperlink r:id="rId561" ref="D581"/>
    <hyperlink r:id="rId562" ref="D582"/>
    <hyperlink r:id="rId563" ref="D583"/>
    <hyperlink r:id="rId564" ref="D584"/>
    <hyperlink r:id="rId565" ref="D585"/>
    <hyperlink r:id="rId566" ref="D586"/>
    <hyperlink r:id="rId567" ref="D587"/>
    <hyperlink r:id="rId568" ref="D588"/>
    <hyperlink r:id="rId569" ref="D589"/>
    <hyperlink r:id="rId570" ref="D590"/>
    <hyperlink r:id="rId571" ref="D591"/>
    <hyperlink r:id="rId572" ref="D592"/>
    <hyperlink r:id="rId573" ref="D593"/>
    <hyperlink r:id="rId574" ref="D594"/>
    <hyperlink r:id="rId575" ref="D595"/>
    <hyperlink r:id="rId576" ref="D596"/>
    <hyperlink r:id="rId577" ref="D597"/>
    <hyperlink r:id="rId578" ref="D599"/>
    <hyperlink r:id="rId579" ref="D600"/>
    <hyperlink r:id="rId580" ref="D601"/>
    <hyperlink r:id="rId581" ref="D602"/>
    <hyperlink r:id="rId582" ref="D603"/>
    <hyperlink r:id="rId583" ref="D605"/>
    <hyperlink r:id="rId584" ref="D606"/>
    <hyperlink r:id="rId585" ref="D607"/>
    <hyperlink r:id="rId586" ref="D608"/>
    <hyperlink r:id="rId587" ref="D609"/>
    <hyperlink r:id="rId588" ref="D610"/>
    <hyperlink r:id="rId589" ref="D611"/>
    <hyperlink r:id="rId590" ref="D612"/>
    <hyperlink r:id="rId591" ref="D613"/>
    <hyperlink r:id="rId592" ref="D614"/>
    <hyperlink r:id="rId593" ref="D615"/>
    <hyperlink r:id="rId594" ref="D616"/>
    <hyperlink r:id="rId595" location="hotelTmpl" ref="D617"/>
    <hyperlink r:id="rId596" ref="D618"/>
    <hyperlink r:id="rId597" ref="D619"/>
    <hyperlink r:id="rId598" ref="D620"/>
    <hyperlink r:id="rId599" ref="D621"/>
    <hyperlink r:id="rId600" ref="D622"/>
    <hyperlink r:id="rId601" location="hotelTmpl" ref="D623"/>
    <hyperlink r:id="rId602" ref="D624"/>
    <hyperlink r:id="rId603" ref="D625"/>
    <hyperlink r:id="rId604" ref="D626"/>
    <hyperlink r:id="rId605" ref="D627"/>
    <hyperlink r:id="rId606" ref="D628"/>
    <hyperlink r:id="rId607" ref="D629"/>
    <hyperlink r:id="rId608" ref="D630"/>
    <hyperlink r:id="rId609" ref="D631"/>
    <hyperlink r:id="rId610" ref="D632"/>
    <hyperlink r:id="rId611" ref="D633"/>
    <hyperlink r:id="rId612" ref="D634"/>
    <hyperlink r:id="rId613" ref="D635"/>
    <hyperlink r:id="rId614" ref="D636"/>
    <hyperlink r:id="rId615" ref="D639"/>
    <hyperlink r:id="rId616" ref="D640"/>
    <hyperlink r:id="rId617" ref="D641"/>
    <hyperlink r:id="rId618" ref="D642"/>
    <hyperlink r:id="rId619" ref="D643"/>
    <hyperlink r:id="rId620" ref="D644"/>
    <hyperlink r:id="rId621" ref="D645"/>
    <hyperlink r:id="rId622" ref="D646"/>
    <hyperlink r:id="rId623" ref="D647"/>
    <hyperlink r:id="rId624" ref="D648"/>
    <hyperlink r:id="rId625" ref="D649"/>
    <hyperlink r:id="rId626" ref="D650"/>
    <hyperlink r:id="rId627" ref="D651"/>
    <hyperlink r:id="rId628" ref="D652"/>
    <hyperlink r:id="rId629" ref="D653"/>
    <hyperlink r:id="rId630" ref="D654"/>
    <hyperlink r:id="rId631" ref="D655"/>
    <hyperlink r:id="rId632" ref="D656"/>
    <hyperlink r:id="rId633" ref="D657"/>
    <hyperlink r:id="rId634" ref="D658"/>
    <hyperlink r:id="rId635" ref="D661"/>
    <hyperlink r:id="rId636" ref="D662"/>
    <hyperlink r:id="rId637" ref="D663"/>
    <hyperlink r:id="rId638" ref="D664"/>
    <hyperlink r:id="rId639" ref="D665"/>
    <hyperlink r:id="rId640" ref="D666"/>
    <hyperlink r:id="rId641" ref="D667"/>
    <hyperlink r:id="rId642" ref="D668"/>
    <hyperlink r:id="rId643" ref="D669"/>
    <hyperlink r:id="rId644" ref="D670"/>
    <hyperlink r:id="rId645" ref="D671"/>
    <hyperlink r:id="rId646" ref="D672"/>
    <hyperlink r:id="rId647" ref="D673"/>
    <hyperlink r:id="rId648" ref="D674"/>
    <hyperlink r:id="rId649" ref="D675"/>
    <hyperlink r:id="rId650" ref="D676"/>
    <hyperlink r:id="rId651" ref="D677"/>
    <hyperlink r:id="rId652" ref="D678"/>
    <hyperlink r:id="rId653" ref="D679"/>
    <hyperlink r:id="rId654" ref="D680"/>
    <hyperlink r:id="rId655" ref="D681"/>
    <hyperlink r:id="rId656" ref="D682"/>
    <hyperlink r:id="rId657" ref="D683"/>
    <hyperlink r:id="rId658" ref="D684"/>
    <hyperlink r:id="rId659" ref="D685"/>
    <hyperlink r:id="rId660" ref="D686"/>
    <hyperlink r:id="rId661" ref="D687"/>
    <hyperlink r:id="rId662" ref="D688"/>
    <hyperlink r:id="rId663" ref="D689"/>
    <hyperlink r:id="rId664" ref="D690"/>
    <hyperlink r:id="rId665" ref="D691"/>
    <hyperlink r:id="rId666" ref="D692"/>
    <hyperlink r:id="rId667" ref="D693"/>
    <hyperlink r:id="rId668" ref="D695"/>
    <hyperlink r:id="rId669" ref="D697"/>
    <hyperlink r:id="rId670" ref="D698"/>
    <hyperlink r:id="rId671" ref="D699"/>
    <hyperlink r:id="rId672" ref="D700"/>
    <hyperlink r:id="rId673" ref="D701"/>
    <hyperlink r:id="rId674" ref="D702"/>
    <hyperlink r:id="rId675" ref="D703"/>
    <hyperlink r:id="rId676" ref="D704"/>
    <hyperlink r:id="rId677" ref="D705"/>
    <hyperlink r:id="rId678" ref="D706"/>
    <hyperlink r:id="rId679" ref="D707"/>
    <hyperlink r:id="rId680" location="hotelTmpl" ref="D708"/>
    <hyperlink r:id="rId681" ref="D709"/>
    <hyperlink r:id="rId682" ref="D710"/>
    <hyperlink r:id="rId683" ref="D711"/>
    <hyperlink r:id="rId684" ref="D712"/>
    <hyperlink r:id="rId685" ref="D713"/>
    <hyperlink r:id="rId686" ref="D714"/>
    <hyperlink r:id="rId687" ref="D715"/>
    <hyperlink r:id="rId688" ref="D716"/>
    <hyperlink r:id="rId689" ref="D717"/>
    <hyperlink r:id="rId690" ref="D718"/>
    <hyperlink r:id="rId691" ref="D719"/>
    <hyperlink r:id="rId692" ref="D720"/>
    <hyperlink r:id="rId693" ref="D721"/>
    <hyperlink r:id="rId694" ref="D722"/>
    <hyperlink r:id="rId695" ref="D723"/>
    <hyperlink r:id="rId696" ref="D724"/>
    <hyperlink r:id="rId697" ref="D725"/>
    <hyperlink r:id="rId698" ref="D726"/>
    <hyperlink r:id="rId699" ref="D727"/>
    <hyperlink r:id="rId700" ref="D728"/>
    <hyperlink r:id="rId701" ref="D729"/>
    <hyperlink r:id="rId702" ref="D730"/>
    <hyperlink r:id="rId703" ref="D731"/>
    <hyperlink r:id="rId704" location="hotelTmpl" ref="D732"/>
    <hyperlink r:id="rId705" ref="D733"/>
    <hyperlink r:id="rId706" ref="D734"/>
    <hyperlink r:id="rId707" location="hotelTmpl" ref="D735"/>
    <hyperlink r:id="rId708" ref="D736"/>
    <hyperlink r:id="rId709" ref="D737"/>
    <hyperlink r:id="rId710" ref="D738"/>
    <hyperlink r:id="rId711" location="hotelTmpl" ref="D739"/>
    <hyperlink r:id="rId712" ref="D740"/>
    <hyperlink r:id="rId713" ref="D741"/>
    <hyperlink r:id="rId714" ref="D742"/>
    <hyperlink r:id="rId715" ref="D743"/>
    <hyperlink r:id="rId716" ref="D744"/>
    <hyperlink r:id="rId717" ref="D745"/>
    <hyperlink r:id="rId718" ref="D746"/>
    <hyperlink r:id="rId719" ref="D747"/>
    <hyperlink r:id="rId720" ref="D748"/>
    <hyperlink r:id="rId721" ref="D749"/>
    <hyperlink r:id="rId722" ref="D750"/>
    <hyperlink r:id="rId723" ref="D751"/>
    <hyperlink r:id="rId724" ref="D752"/>
    <hyperlink r:id="rId725" ref="D753"/>
    <hyperlink r:id="rId726" ref="D754"/>
    <hyperlink r:id="rId727" ref="D755"/>
    <hyperlink r:id="rId728" ref="D756"/>
    <hyperlink r:id="rId729" ref="D757"/>
    <hyperlink r:id="rId730" ref="D758"/>
    <hyperlink r:id="rId731" ref="D759"/>
    <hyperlink r:id="rId732" ref="D760"/>
    <hyperlink r:id="rId733" ref="D761"/>
    <hyperlink r:id="rId734" ref="D762"/>
    <hyperlink r:id="rId735" ref="D763"/>
    <hyperlink r:id="rId736" ref="D764"/>
    <hyperlink r:id="rId737" ref="D765"/>
    <hyperlink r:id="rId738" ref="D766"/>
    <hyperlink r:id="rId739" ref="D767"/>
    <hyperlink r:id="rId740" ref="D768"/>
    <hyperlink r:id="rId741" ref="D769"/>
    <hyperlink r:id="rId742" ref="D771"/>
    <hyperlink r:id="rId743" location="no_availability_msg" ref="D772"/>
    <hyperlink r:id="rId744" ref="D773"/>
    <hyperlink r:id="rId745" ref="D774"/>
    <hyperlink r:id="rId746" location="hotelTmpl" ref="D775"/>
    <hyperlink r:id="rId747" location="tab-main" ref="D776"/>
    <hyperlink r:id="rId748" ref="D777"/>
    <hyperlink r:id="rId749" ref="D778"/>
    <hyperlink r:id="rId750" ref="D779"/>
    <hyperlink r:id="rId751" ref="D780"/>
    <hyperlink r:id="rId752" ref="D781"/>
    <hyperlink r:id="rId753" ref="D782"/>
    <hyperlink r:id="rId754" ref="D783"/>
    <hyperlink r:id="rId755" ref="D784"/>
    <hyperlink r:id="rId756" ref="D785"/>
    <hyperlink r:id="rId757" ref="D786"/>
    <hyperlink r:id="rId758" location="hotelTmpl" ref="D787"/>
    <hyperlink r:id="rId759" ref="D788"/>
    <hyperlink r:id="rId760" ref="D789"/>
    <hyperlink r:id="rId761" ref="D790"/>
    <hyperlink r:id="rId762" ref="D791"/>
    <hyperlink r:id="rId763" ref="D792"/>
    <hyperlink r:id="rId764" ref="D793"/>
    <hyperlink r:id="rId765" ref="D794"/>
    <hyperlink r:id="rId766" ref="D795"/>
    <hyperlink r:id="rId767" ref="D796"/>
    <hyperlink r:id="rId768" ref="D797"/>
    <hyperlink r:id="rId769" ref="D798"/>
    <hyperlink r:id="rId770" ref="D799"/>
    <hyperlink r:id="rId771" ref="D800"/>
    <hyperlink r:id="rId772" ref="D801"/>
    <hyperlink r:id="rId773" ref="D802"/>
    <hyperlink r:id="rId774" ref="D803"/>
    <hyperlink r:id="rId775" ref="D804"/>
    <hyperlink r:id="rId776" ref="D805"/>
    <hyperlink r:id="rId777" ref="D806"/>
    <hyperlink r:id="rId778" ref="D807"/>
    <hyperlink r:id="rId779" location="no_availability_msg" ref="D808"/>
    <hyperlink r:id="rId780" ref="D809"/>
    <hyperlink r:id="rId781" ref="D810"/>
    <hyperlink r:id="rId782" ref="D811"/>
    <hyperlink r:id="rId783" ref="D812"/>
    <hyperlink r:id="rId784" ref="D813"/>
    <hyperlink r:id="rId785" ref="D814"/>
    <hyperlink r:id="rId786" ref="D815"/>
    <hyperlink r:id="rId787" ref="D816"/>
    <hyperlink r:id="rId788" ref="D817"/>
    <hyperlink r:id="rId789" ref="D818"/>
    <hyperlink r:id="rId790" ref="D819"/>
    <hyperlink r:id="rId791" location="hotelTmpl" ref="D820"/>
    <hyperlink r:id="rId792" ref="D821"/>
    <hyperlink r:id="rId793" ref="D822"/>
    <hyperlink r:id="rId794" ref="D823"/>
    <hyperlink r:id="rId795" ref="D824"/>
    <hyperlink r:id="rId796" ref="D825"/>
    <hyperlink r:id="rId797" ref="D826"/>
    <hyperlink r:id="rId798" ref="D827"/>
    <hyperlink r:id="rId799" ref="D828"/>
    <hyperlink r:id="rId800" location="tab-main" ref="D829"/>
    <hyperlink r:id="rId801" ref="D830"/>
    <hyperlink r:id="rId802" ref="D831"/>
    <hyperlink r:id="rId803" ref="D832"/>
    <hyperlink r:id="rId804" ref="D833"/>
    <hyperlink r:id="rId805" ref="D834"/>
    <hyperlink r:id="rId806" ref="D835"/>
    <hyperlink r:id="rId807" ref="D836"/>
    <hyperlink r:id="rId808" ref="D837"/>
    <hyperlink r:id="rId809" ref="D838"/>
    <hyperlink r:id="rId810" ref="D839"/>
    <hyperlink r:id="rId811" ref="D840"/>
    <hyperlink r:id="rId812" ref="D841"/>
    <hyperlink r:id="rId813" ref="D842"/>
    <hyperlink r:id="rId814" ref="D843"/>
    <hyperlink r:id="rId815" ref="D844"/>
    <hyperlink r:id="rId816" ref="D846"/>
    <hyperlink r:id="rId817" ref="D847"/>
    <hyperlink r:id="rId818" ref="D849"/>
    <hyperlink r:id="rId819" ref="D850"/>
    <hyperlink r:id="rId820" ref="D851"/>
    <hyperlink r:id="rId821" ref="D852"/>
    <hyperlink r:id="rId822" ref="D853"/>
    <hyperlink r:id="rId823" ref="D854"/>
    <hyperlink r:id="rId824" ref="D855"/>
    <hyperlink r:id="rId825" ref="D857"/>
    <hyperlink r:id="rId826" ref="D858"/>
    <hyperlink r:id="rId827" ref="D859"/>
    <hyperlink r:id="rId828" ref="D860"/>
    <hyperlink r:id="rId829" ref="D861"/>
    <hyperlink r:id="rId830" ref="D862"/>
    <hyperlink r:id="rId831" ref="D863"/>
    <hyperlink r:id="rId832" ref="D864"/>
    <hyperlink r:id="rId833" ref="D865"/>
    <hyperlink r:id="rId834" ref="D866"/>
    <hyperlink r:id="rId835" ref="D867"/>
    <hyperlink r:id="rId836" ref="D868"/>
    <hyperlink r:id="rId837" ref="D869"/>
    <hyperlink r:id="rId838" ref="D870"/>
    <hyperlink r:id="rId839" ref="D871"/>
    <hyperlink r:id="rId840" ref="D872"/>
    <hyperlink r:id="rId841" ref="D873"/>
    <hyperlink r:id="rId842" location="hotelTmpl" ref="D874"/>
    <hyperlink r:id="rId843" ref="D875"/>
    <hyperlink r:id="rId844" ref="D876"/>
    <hyperlink r:id="rId845" ref="D877"/>
    <hyperlink r:id="rId846" ref="D878"/>
    <hyperlink r:id="rId847" ref="D879"/>
    <hyperlink r:id="rId848" ref="D880"/>
    <hyperlink r:id="rId849" ref="D881"/>
    <hyperlink r:id="rId850" ref="D882"/>
    <hyperlink r:id="rId851" ref="D883"/>
    <hyperlink r:id="rId852" ref="D884"/>
    <hyperlink r:id="rId853" ref="D885"/>
    <hyperlink r:id="rId854" ref="D886"/>
    <hyperlink r:id="rId855" ref="D887"/>
    <hyperlink r:id="rId856" ref="D888"/>
    <hyperlink r:id="rId857" ref="D889"/>
    <hyperlink r:id="rId858" ref="D890"/>
    <hyperlink r:id="rId859" ref="D891"/>
    <hyperlink r:id="rId860" ref="D892"/>
    <hyperlink r:id="rId861" ref="D893"/>
    <hyperlink r:id="rId862" ref="D894"/>
    <hyperlink r:id="rId863" ref="D895"/>
    <hyperlink r:id="rId864" ref="D896"/>
    <hyperlink r:id="rId865" ref="D897"/>
    <hyperlink r:id="rId866" location="hotelTmpl" ref="D898"/>
    <hyperlink r:id="rId867" ref="D899"/>
    <hyperlink r:id="rId868" ref="D900"/>
    <hyperlink r:id="rId869" ref="D901"/>
    <hyperlink r:id="rId870" ref="D902"/>
    <hyperlink r:id="rId871" ref="D903"/>
    <hyperlink r:id="rId872" ref="D904"/>
    <hyperlink r:id="rId873" ref="D905"/>
    <hyperlink r:id="rId874" ref="D906"/>
    <hyperlink r:id="rId875" ref="D907"/>
    <hyperlink r:id="rId876" ref="D908"/>
    <hyperlink r:id="rId877" ref="D909"/>
    <hyperlink r:id="rId878" ref="D910"/>
    <hyperlink r:id="rId879" ref="D911"/>
    <hyperlink r:id="rId880" ref="D912"/>
    <hyperlink r:id="rId881" ref="D913"/>
    <hyperlink r:id="rId882" ref="D914"/>
    <hyperlink r:id="rId883" ref="D915"/>
    <hyperlink r:id="rId884" ref="D916"/>
    <hyperlink r:id="rId885" ref="D917"/>
    <hyperlink r:id="rId886" ref="D918"/>
    <hyperlink r:id="rId887" ref="D919"/>
    <hyperlink r:id="rId888" ref="D920"/>
    <hyperlink r:id="rId889" ref="D921"/>
    <hyperlink r:id="rId890" ref="D922"/>
    <hyperlink r:id="rId891" ref="D923"/>
    <hyperlink r:id="rId892" ref="D924"/>
    <hyperlink r:id="rId893" ref="D925"/>
    <hyperlink r:id="rId894" ref="D926"/>
    <hyperlink r:id="rId895" ref="D927"/>
    <hyperlink r:id="rId896" ref="D928"/>
    <hyperlink r:id="rId897" ref="D929"/>
    <hyperlink r:id="rId898" ref="D930"/>
    <hyperlink r:id="rId899" location="hotelTmpl" ref="D931"/>
    <hyperlink r:id="rId900" ref="D932"/>
    <hyperlink r:id="rId901" ref="D933"/>
    <hyperlink r:id="rId902" ref="D934"/>
    <hyperlink r:id="rId903" ref="D935"/>
    <hyperlink r:id="rId904" ref="D936"/>
    <hyperlink r:id="rId905" ref="D937"/>
    <hyperlink r:id="rId906" ref="D938"/>
    <hyperlink r:id="rId907" ref="D939"/>
    <hyperlink r:id="rId908" ref="D943"/>
    <hyperlink r:id="rId909" ref="D944"/>
    <hyperlink r:id="rId910" ref="D945"/>
    <hyperlink r:id="rId911" ref="D946"/>
    <hyperlink r:id="rId912" ref="D947"/>
    <hyperlink r:id="rId913" location="hotelTmpl" ref="D948"/>
    <hyperlink r:id="rId914" ref="D949"/>
    <hyperlink r:id="rId915" ref="D950"/>
    <hyperlink r:id="rId916" ref="D951"/>
    <hyperlink r:id="rId917" ref="D952"/>
    <hyperlink r:id="rId918" location="hotelTmpl" ref="D953"/>
    <hyperlink r:id="rId919" ref="D954"/>
    <hyperlink r:id="rId920" ref="D955"/>
    <hyperlink r:id="rId921" ref="D956"/>
    <hyperlink r:id="rId922" ref="D957"/>
    <hyperlink r:id="rId923" ref="D958"/>
    <hyperlink r:id="rId924" ref="D959"/>
    <hyperlink r:id="rId925" ref="D961"/>
    <hyperlink r:id="rId926" ref="D962"/>
    <hyperlink r:id="rId927" ref="D963"/>
    <hyperlink r:id="rId928" ref="D964"/>
    <hyperlink r:id="rId929" ref="D965"/>
    <hyperlink r:id="rId930" ref="D966"/>
    <hyperlink r:id="rId931" ref="D967"/>
    <hyperlink r:id="rId932" ref="D968"/>
    <hyperlink r:id="rId933" ref="D969"/>
    <hyperlink r:id="rId934" ref="D971"/>
    <hyperlink r:id="rId935" ref="D972"/>
    <hyperlink r:id="rId936" ref="D973"/>
    <hyperlink r:id="rId937" ref="D974"/>
    <hyperlink r:id="rId938" ref="D975"/>
    <hyperlink r:id="rId939" ref="D978"/>
    <hyperlink r:id="rId940" location="hotelTmpl" ref="D979"/>
    <hyperlink r:id="rId941" ref="D980"/>
    <hyperlink r:id="rId942" ref="D981"/>
    <hyperlink r:id="rId943" ref="D982"/>
    <hyperlink r:id="rId944" ref="D983"/>
    <hyperlink r:id="rId945" ref="D984"/>
    <hyperlink r:id="rId946" ref="D985"/>
    <hyperlink r:id="rId947" ref="D986"/>
    <hyperlink r:id="rId948" ref="D987"/>
    <hyperlink r:id="rId949" ref="D988"/>
    <hyperlink r:id="rId950" ref="D989"/>
    <hyperlink r:id="rId951" ref="D990"/>
    <hyperlink r:id="rId952" ref="D991"/>
    <hyperlink r:id="rId953" ref="D992"/>
    <hyperlink r:id="rId954" ref="D994"/>
    <hyperlink r:id="rId955" ref="D995"/>
    <hyperlink r:id="rId956" ref="D996"/>
    <hyperlink r:id="rId957" ref="D997"/>
    <hyperlink r:id="rId958" ref="D998"/>
    <hyperlink r:id="rId959" location="hotelTmpl" ref="D999"/>
    <hyperlink r:id="rId960" ref="D1000"/>
    <hyperlink r:id="rId961" ref="D1001"/>
    <hyperlink r:id="rId962" ref="D1002"/>
    <hyperlink r:id="rId963" ref="D1003"/>
    <hyperlink r:id="rId964" ref="D1004"/>
    <hyperlink r:id="rId965" ref="D1005"/>
    <hyperlink r:id="rId966" ref="D1006"/>
    <hyperlink r:id="rId967" ref="D1007"/>
    <hyperlink r:id="rId968" ref="D1008"/>
    <hyperlink r:id="rId969" ref="D1009"/>
    <hyperlink r:id="rId970" ref="D1010"/>
    <hyperlink r:id="rId971" ref="D1011"/>
    <hyperlink r:id="rId972" ref="D1012"/>
    <hyperlink r:id="rId973" ref="D1013"/>
    <hyperlink r:id="rId974" ref="D1014"/>
    <hyperlink r:id="rId975" ref="D1015"/>
    <hyperlink r:id="rId976" location="hotelTmpl" ref="D1016"/>
    <hyperlink r:id="rId977" ref="D1017"/>
    <hyperlink r:id="rId978" ref="D1018"/>
    <hyperlink r:id="rId979" ref="D1019"/>
    <hyperlink r:id="rId980" ref="D1020"/>
    <hyperlink r:id="rId981" ref="D1021"/>
    <hyperlink r:id="rId982" ref="D1022"/>
    <hyperlink r:id="rId983" ref="D1023"/>
    <hyperlink r:id="rId984" ref="D1024"/>
    <hyperlink r:id="rId985" ref="D1025"/>
    <hyperlink r:id="rId986" ref="D1026"/>
    <hyperlink r:id="rId987" ref="D1027"/>
    <hyperlink r:id="rId988" ref="D1028"/>
    <hyperlink r:id="rId989" ref="D1029"/>
    <hyperlink r:id="rId990" ref="D1030"/>
    <hyperlink r:id="rId991" ref="D1031"/>
    <hyperlink r:id="rId992" ref="D1032"/>
    <hyperlink r:id="rId993" ref="D1033"/>
    <hyperlink r:id="rId994" ref="D1034"/>
    <hyperlink r:id="rId995" ref="D1035"/>
    <hyperlink r:id="rId996" ref="D1036"/>
    <hyperlink r:id="rId997" ref="D1037"/>
    <hyperlink r:id="rId998" ref="D1038"/>
    <hyperlink r:id="rId999" ref="D1039"/>
    <hyperlink r:id="rId1000" ref="D1040"/>
    <hyperlink r:id="rId1001" ref="D1041"/>
    <hyperlink r:id="rId1002" ref="D1042"/>
    <hyperlink r:id="rId1003" ref="D1043"/>
    <hyperlink r:id="rId1004" ref="D1044"/>
    <hyperlink r:id="rId1005" ref="D1046"/>
    <hyperlink r:id="rId1006" ref="D1047"/>
    <hyperlink r:id="rId1007" ref="D1048"/>
    <hyperlink r:id="rId1008" ref="D1049"/>
    <hyperlink r:id="rId1009" ref="D1050"/>
    <hyperlink r:id="rId1010" ref="D1051"/>
    <hyperlink r:id="rId1011" ref="D1052"/>
    <hyperlink r:id="rId1012" ref="D1053"/>
    <hyperlink r:id="rId1013" ref="D1054"/>
    <hyperlink r:id="rId1014" ref="D1055"/>
    <hyperlink r:id="rId1015" ref="D1056"/>
    <hyperlink r:id="rId1016" ref="D1057"/>
    <hyperlink r:id="rId1017" ref="D1058"/>
    <hyperlink r:id="rId1018" ref="D1059"/>
    <hyperlink r:id="rId1019" ref="D1060"/>
    <hyperlink r:id="rId1020" ref="D1061"/>
    <hyperlink r:id="rId1021" ref="D1062"/>
    <hyperlink r:id="rId1022" ref="D1063"/>
    <hyperlink r:id="rId1023" ref="D1064"/>
    <hyperlink r:id="rId1024" ref="D1065"/>
    <hyperlink r:id="rId1025" ref="D1066"/>
    <hyperlink r:id="rId1026" ref="D1067"/>
    <hyperlink r:id="rId1027" ref="D1068"/>
    <hyperlink r:id="rId1028" ref="D1069"/>
    <hyperlink r:id="rId1029" ref="D1070"/>
    <hyperlink r:id="rId1030" ref="D1071"/>
    <hyperlink r:id="rId1031" ref="D1072"/>
    <hyperlink r:id="rId1032" ref="D1073"/>
    <hyperlink r:id="rId1033" ref="D1074"/>
    <hyperlink r:id="rId1034" ref="D1075"/>
    <hyperlink r:id="rId1035" location="no_availability_msg" ref="D1076"/>
    <hyperlink r:id="rId1036" ref="D1077"/>
    <hyperlink r:id="rId1037" ref="D1078"/>
    <hyperlink r:id="rId1038" ref="D1080"/>
    <hyperlink r:id="rId1039" ref="D1081"/>
    <hyperlink r:id="rId1040" ref="D1082"/>
    <hyperlink r:id="rId1041" ref="D1083"/>
    <hyperlink r:id="rId1042" ref="D1084"/>
    <hyperlink r:id="rId1043" ref="D1085"/>
    <hyperlink r:id="rId1044" ref="D1086"/>
    <hyperlink r:id="rId1045" ref="D1087"/>
    <hyperlink r:id="rId1046" ref="D1088"/>
    <hyperlink r:id="rId1047" ref="D1089"/>
    <hyperlink r:id="rId1048" ref="D1090"/>
    <hyperlink r:id="rId1049" ref="D1091"/>
    <hyperlink r:id="rId1050" ref="D1092"/>
    <hyperlink r:id="rId1051" ref="D1093"/>
    <hyperlink r:id="rId1052" ref="D1094"/>
    <hyperlink r:id="rId1053" ref="D1095"/>
    <hyperlink r:id="rId1054" ref="D1096"/>
    <hyperlink r:id="rId1055" ref="D1097"/>
    <hyperlink r:id="rId1056" ref="D1098"/>
    <hyperlink r:id="rId1057" ref="D1099"/>
    <hyperlink r:id="rId1058" ref="D1100"/>
    <hyperlink r:id="rId1059" ref="D1101"/>
    <hyperlink r:id="rId1060" ref="D1102"/>
    <hyperlink r:id="rId1061" ref="D1103"/>
    <hyperlink r:id="rId1062" ref="D1104"/>
    <hyperlink r:id="rId1063" ref="D1105"/>
    <hyperlink r:id="rId1064" ref="D1106"/>
    <hyperlink r:id="rId1065" ref="D1107"/>
    <hyperlink r:id="rId1066" ref="D1108"/>
    <hyperlink r:id="rId1067" ref="D1109"/>
    <hyperlink r:id="rId1068" ref="D1110"/>
    <hyperlink r:id="rId1069" ref="D1111"/>
    <hyperlink r:id="rId1070" ref="D1112"/>
    <hyperlink r:id="rId1071" ref="D1113"/>
    <hyperlink r:id="rId1072" ref="D1114"/>
    <hyperlink r:id="rId1073" location="hotelTmpl" ref="D1115"/>
    <hyperlink r:id="rId1074" ref="D1116"/>
    <hyperlink r:id="rId1075" location="hotelTmpl" ref="D1117"/>
    <hyperlink r:id="rId1076" location="tab-main" ref="D1118"/>
    <hyperlink r:id="rId1077" ref="D1119"/>
    <hyperlink r:id="rId1078" location="hotelTmpl" ref="D1120"/>
    <hyperlink r:id="rId1079" location="no_availability_msg" ref="D1121"/>
    <hyperlink r:id="rId1080" ref="D1122"/>
    <hyperlink r:id="rId1081" ref="D1123"/>
    <hyperlink r:id="rId1082" ref="D1124"/>
    <hyperlink r:id="rId1083" ref="D1125"/>
    <hyperlink r:id="rId1084" ref="D1126"/>
    <hyperlink r:id="rId1085" ref="D1127"/>
    <hyperlink r:id="rId1086" ref="D1128"/>
    <hyperlink r:id="rId1087" ref="D1129"/>
    <hyperlink r:id="rId1088" ref="D1130"/>
    <hyperlink r:id="rId1089" ref="D1131"/>
    <hyperlink r:id="rId1090" ref="D1132"/>
    <hyperlink r:id="rId1091" ref="D1133"/>
    <hyperlink r:id="rId1092" ref="D1135"/>
    <hyperlink r:id="rId1093" ref="D1136"/>
    <hyperlink r:id="rId1094" ref="D1137"/>
    <hyperlink r:id="rId1095" ref="D1138"/>
    <hyperlink r:id="rId1096" ref="D1139"/>
    <hyperlink r:id="rId1097" ref="D1140"/>
    <hyperlink r:id="rId1098" ref="D1141"/>
    <hyperlink r:id="rId1099" ref="D1142"/>
    <hyperlink r:id="rId1100" ref="D1143"/>
    <hyperlink r:id="rId1101" ref="D1144"/>
    <hyperlink r:id="rId1102" ref="D1145"/>
    <hyperlink r:id="rId1103" ref="D1146"/>
    <hyperlink r:id="rId1104" ref="D1147"/>
    <hyperlink r:id="rId1105" ref="D1148"/>
    <hyperlink r:id="rId1106" ref="D1149"/>
    <hyperlink r:id="rId1107" ref="D1150"/>
    <hyperlink r:id="rId1108" ref="D1151"/>
    <hyperlink r:id="rId1109" ref="D1152"/>
    <hyperlink r:id="rId1110" ref="D1154"/>
    <hyperlink r:id="rId1111" ref="D1155"/>
    <hyperlink r:id="rId1112" ref="D1156"/>
    <hyperlink r:id="rId1113" ref="D1158"/>
    <hyperlink r:id="rId1114" ref="D1159"/>
    <hyperlink r:id="rId1115" ref="D1160"/>
    <hyperlink r:id="rId1116" ref="D1161"/>
    <hyperlink r:id="rId1117" ref="D1162"/>
    <hyperlink r:id="rId1118" ref="D1164"/>
    <hyperlink r:id="rId1119" ref="D1165"/>
    <hyperlink r:id="rId1120" ref="D1166"/>
    <hyperlink r:id="rId1121" ref="D1167"/>
    <hyperlink r:id="rId1122" ref="D1168"/>
    <hyperlink r:id="rId1123" ref="D1169"/>
    <hyperlink r:id="rId1124" ref="D1170"/>
    <hyperlink r:id="rId1125" ref="D1171"/>
    <hyperlink r:id="rId1126" ref="D1172"/>
    <hyperlink r:id="rId1127" ref="D1173"/>
    <hyperlink r:id="rId1128" ref="D1174"/>
    <hyperlink r:id="rId1129" ref="D1175"/>
    <hyperlink r:id="rId1130" ref="D1176"/>
    <hyperlink r:id="rId1131" ref="D1177"/>
    <hyperlink r:id="rId1132" ref="D1178"/>
    <hyperlink r:id="rId1133" ref="D1179"/>
    <hyperlink r:id="rId1134" ref="D1180"/>
    <hyperlink r:id="rId1135" ref="D1181"/>
    <hyperlink r:id="rId1136" ref="D1182"/>
    <hyperlink r:id="rId1137" ref="D1183"/>
    <hyperlink r:id="rId1138" ref="D1184"/>
    <hyperlink r:id="rId1139" ref="D1185"/>
    <hyperlink r:id="rId1140" ref="D1186"/>
    <hyperlink r:id="rId1141" ref="D1187"/>
    <hyperlink r:id="rId1142" ref="D1188"/>
    <hyperlink r:id="rId1143" ref="D1189"/>
    <hyperlink r:id="rId1144" ref="D1190"/>
    <hyperlink r:id="rId1145" ref="D1191"/>
    <hyperlink r:id="rId1146" ref="D1192"/>
    <hyperlink r:id="rId1147" ref="D1193"/>
    <hyperlink r:id="rId1148" location="no_availability_msg" ref="D1194"/>
    <hyperlink r:id="rId1149" ref="D1195"/>
    <hyperlink r:id="rId1150" ref="D1196"/>
    <hyperlink r:id="rId1151" ref="D1197"/>
    <hyperlink r:id="rId1152" ref="D1198"/>
    <hyperlink r:id="rId1153" ref="D1199"/>
    <hyperlink r:id="rId1154" ref="D1200"/>
    <hyperlink r:id="rId1155" ref="D1202"/>
    <hyperlink r:id="rId1156" ref="D1204"/>
    <hyperlink r:id="rId1157" ref="D1205"/>
    <hyperlink r:id="rId1158" ref="D1206"/>
    <hyperlink r:id="rId1159" ref="D1207"/>
    <hyperlink r:id="rId1160" ref="D1209"/>
    <hyperlink r:id="rId1161" ref="D1210"/>
    <hyperlink r:id="rId1162" ref="D1211"/>
    <hyperlink r:id="rId1163" ref="D1212"/>
    <hyperlink r:id="rId1164" ref="D1213"/>
    <hyperlink r:id="rId1165" ref="D1214"/>
    <hyperlink r:id="rId1166" ref="D1215"/>
    <hyperlink r:id="rId1167" ref="D1216"/>
    <hyperlink r:id="rId1168" ref="D1217"/>
    <hyperlink r:id="rId1169" ref="D1218"/>
    <hyperlink r:id="rId1170" ref="D1219"/>
    <hyperlink r:id="rId1171" ref="D1220"/>
    <hyperlink r:id="rId1172" ref="D1221"/>
    <hyperlink r:id="rId1173" ref="D1222"/>
    <hyperlink r:id="rId1174" ref="D1223"/>
    <hyperlink r:id="rId1175" ref="D1224"/>
    <hyperlink r:id="rId1176" ref="D1225"/>
    <hyperlink r:id="rId1177" ref="D1226"/>
    <hyperlink r:id="rId1178" ref="D1227"/>
    <hyperlink r:id="rId1179" ref="D1228"/>
    <hyperlink r:id="rId1180" ref="D1229"/>
    <hyperlink r:id="rId1181" location="no_availability_msg" ref="D1231"/>
    <hyperlink r:id="rId1182" ref="D1232"/>
    <hyperlink r:id="rId1183" location="no_availability_msg" ref="D1233"/>
    <hyperlink r:id="rId1184" ref="D1234"/>
    <hyperlink r:id="rId1185" ref="D1235"/>
    <hyperlink r:id="rId1186" ref="D1236"/>
    <hyperlink r:id="rId1187" ref="D1237"/>
    <hyperlink r:id="rId1188" ref="D1238"/>
    <hyperlink r:id="rId1189" ref="D1239"/>
    <hyperlink r:id="rId1190" ref="D1240"/>
    <hyperlink r:id="rId1191" ref="D1241"/>
    <hyperlink r:id="rId1192" ref="D1242"/>
    <hyperlink r:id="rId1193" ref="D1243"/>
    <hyperlink r:id="rId1194" ref="D1244"/>
    <hyperlink r:id="rId1195" ref="D1245"/>
    <hyperlink r:id="rId1196" ref="D1246"/>
    <hyperlink r:id="rId1197" ref="D1247"/>
    <hyperlink r:id="rId1198" ref="D1248"/>
    <hyperlink r:id="rId1199" ref="D1249"/>
    <hyperlink r:id="rId1200" ref="D1250"/>
    <hyperlink r:id="rId1201" ref="D1251"/>
    <hyperlink r:id="rId1202" ref="D1252"/>
    <hyperlink r:id="rId1203" ref="D1253"/>
    <hyperlink r:id="rId1204" ref="D1254"/>
    <hyperlink r:id="rId1205" ref="D1255"/>
    <hyperlink r:id="rId1206" ref="D1256"/>
    <hyperlink r:id="rId1207" ref="D1257"/>
    <hyperlink r:id="rId1208" ref="D1258"/>
    <hyperlink r:id="rId1209" ref="D1259"/>
    <hyperlink r:id="rId1210" ref="D1260"/>
    <hyperlink r:id="rId1211" ref="D1261"/>
    <hyperlink r:id="rId1212" ref="D1262"/>
    <hyperlink r:id="rId1213" ref="D1263"/>
    <hyperlink r:id="rId1214" location="map_closed" ref="D1264"/>
    <hyperlink r:id="rId1215" ref="D1265"/>
    <hyperlink r:id="rId1216" ref="D1266"/>
    <hyperlink r:id="rId1217" location="no_availability_msg" ref="D1267"/>
    <hyperlink r:id="rId1218" ref="D1268"/>
    <hyperlink r:id="rId1219" location="no_availability_msg" ref="D1269"/>
    <hyperlink r:id="rId1220" ref="D1270"/>
    <hyperlink r:id="rId1221" ref="D1271"/>
    <hyperlink r:id="rId1222" ref="D1272"/>
    <hyperlink r:id="rId1223" ref="D1274"/>
    <hyperlink r:id="rId1224" ref="D1275"/>
    <hyperlink r:id="rId1225" ref="D1276"/>
    <hyperlink r:id="rId1226" ref="D1277"/>
    <hyperlink r:id="rId1227" ref="D1278"/>
    <hyperlink r:id="rId1228" ref="D1279"/>
    <hyperlink r:id="rId1229" ref="D1280"/>
    <hyperlink r:id="rId1230" ref="D1281"/>
    <hyperlink r:id="rId1231" ref="D1282"/>
    <hyperlink r:id="rId1232" ref="D1283"/>
    <hyperlink r:id="rId1233" ref="D1284"/>
    <hyperlink r:id="rId1234" ref="D1285"/>
    <hyperlink r:id="rId1235" ref="D1286"/>
    <hyperlink r:id="rId1236" ref="D1287"/>
    <hyperlink r:id="rId1237" location="no_availability_msg" ref="D1290"/>
    <hyperlink r:id="rId1238" ref="D1291"/>
    <hyperlink r:id="rId1239" ref="D1292"/>
    <hyperlink r:id="rId1240" ref="D1293"/>
    <hyperlink r:id="rId1241" ref="D1294"/>
    <hyperlink r:id="rId1242" ref="D1295"/>
    <hyperlink r:id="rId1243" ref="D1296"/>
    <hyperlink r:id="rId1244" ref="D1297"/>
    <hyperlink r:id="rId1245" ref="D1298"/>
    <hyperlink r:id="rId1246" ref="D1299"/>
    <hyperlink r:id="rId1247" ref="D1300"/>
    <hyperlink r:id="rId1248" ref="D1301"/>
    <hyperlink r:id="rId1249" ref="D1302"/>
    <hyperlink r:id="rId1250" ref="D1303"/>
    <hyperlink r:id="rId1251" ref="D1304"/>
    <hyperlink r:id="rId1252" ref="D1305"/>
    <hyperlink r:id="rId1253" ref="D1306"/>
    <hyperlink r:id="rId1254" ref="D1307"/>
    <hyperlink r:id="rId1255" ref="D1308"/>
    <hyperlink r:id="rId1256" ref="D1309"/>
    <hyperlink r:id="rId1257" ref="D1310"/>
    <hyperlink r:id="rId1258" ref="D1311"/>
    <hyperlink r:id="rId1259" ref="D1312"/>
    <hyperlink r:id="rId1260" ref="D1313"/>
    <hyperlink r:id="rId1261" ref="D1314"/>
    <hyperlink r:id="rId1262" ref="D1315"/>
    <hyperlink r:id="rId1263" ref="D1316"/>
    <hyperlink r:id="rId1264" ref="D1317"/>
    <hyperlink r:id="rId1265" ref="D1318"/>
    <hyperlink r:id="rId1266" ref="D1319"/>
    <hyperlink r:id="rId1267" ref="D1320"/>
    <hyperlink r:id="rId1268" ref="D1321"/>
    <hyperlink r:id="rId1269" ref="D1322"/>
    <hyperlink r:id="rId1270" ref="D1323"/>
    <hyperlink r:id="rId1271" ref="D1324"/>
    <hyperlink r:id="rId1272" ref="D1325"/>
    <hyperlink r:id="rId1273" ref="D1326"/>
    <hyperlink r:id="rId1274" ref="D1327"/>
    <hyperlink r:id="rId1275" ref="D1328"/>
    <hyperlink r:id="rId1276" ref="D1329"/>
    <hyperlink r:id="rId1277" ref="D1330"/>
    <hyperlink r:id="rId1278" ref="D1331"/>
    <hyperlink r:id="rId1279" ref="D1332"/>
    <hyperlink r:id="rId1280" ref="D1333"/>
    <hyperlink r:id="rId1281" ref="D1334"/>
    <hyperlink r:id="rId1282" ref="D1335"/>
    <hyperlink r:id="rId1283" ref="D1336"/>
    <hyperlink r:id="rId1284" ref="D1337"/>
    <hyperlink r:id="rId1285" ref="D1338"/>
    <hyperlink r:id="rId1286" ref="D1339"/>
    <hyperlink r:id="rId1287" ref="D1340"/>
    <hyperlink r:id="rId1288" ref="D1341"/>
    <hyperlink r:id="rId1289" ref="D1342"/>
    <hyperlink r:id="rId1290" ref="D1343"/>
    <hyperlink r:id="rId1291" ref="D1344"/>
    <hyperlink r:id="rId1292" ref="D1345"/>
    <hyperlink r:id="rId1293" ref="D1346"/>
    <hyperlink r:id="rId1294" ref="D1347"/>
    <hyperlink r:id="rId1295" ref="D1348"/>
    <hyperlink r:id="rId1296" ref="D1349"/>
    <hyperlink r:id="rId1297" ref="D1350"/>
    <hyperlink r:id="rId1298" ref="D1351"/>
    <hyperlink r:id="rId1299" ref="D1352"/>
    <hyperlink r:id="rId1300" ref="D1353"/>
    <hyperlink r:id="rId1301" ref="D1354"/>
    <hyperlink r:id="rId1302" ref="D1355"/>
    <hyperlink r:id="rId1303" ref="D1356"/>
    <hyperlink r:id="rId1304" ref="D1357"/>
    <hyperlink r:id="rId1305" ref="D1358"/>
    <hyperlink r:id="rId1306" location="REVIEWS" ref="D1359"/>
    <hyperlink r:id="rId1307" ref="D1360"/>
    <hyperlink r:id="rId1308" ref="D1361"/>
    <hyperlink r:id="rId1309" ref="D1362"/>
    <hyperlink r:id="rId1310" ref="D1363"/>
    <hyperlink r:id="rId1311" ref="D1364"/>
    <hyperlink r:id="rId1312" ref="D1365"/>
    <hyperlink r:id="rId1313" ref="D1366"/>
    <hyperlink r:id="rId1314" ref="D1367"/>
    <hyperlink r:id="rId1315" ref="D1368"/>
    <hyperlink r:id="rId1316" ref="D1369"/>
    <hyperlink r:id="rId1317" ref="D1370"/>
    <hyperlink r:id="rId1318" ref="D1371"/>
    <hyperlink r:id="rId1319" ref="D1372"/>
    <hyperlink r:id="rId1320" ref="D1373"/>
    <hyperlink r:id="rId1321" ref="D1374"/>
    <hyperlink r:id="rId1322" ref="D1375"/>
    <hyperlink r:id="rId1323" ref="D1376"/>
    <hyperlink r:id="rId1324" ref="D1377"/>
    <hyperlink r:id="rId1325" ref="D1378"/>
    <hyperlink r:id="rId1326" ref="D1379"/>
    <hyperlink r:id="rId1327" ref="D1380"/>
    <hyperlink r:id="rId1328" ref="D1381"/>
    <hyperlink r:id="rId1329" ref="D1382"/>
    <hyperlink r:id="rId1330" ref="D1383"/>
    <hyperlink r:id="rId1331" ref="D1384"/>
    <hyperlink r:id="rId1332" ref="D1385"/>
    <hyperlink r:id="rId1333" ref="D1386"/>
    <hyperlink r:id="rId1334" ref="D1387"/>
    <hyperlink r:id="rId1335" ref="D1388"/>
    <hyperlink r:id="rId1336" ref="D1389"/>
    <hyperlink r:id="rId1337" ref="D1390"/>
    <hyperlink r:id="rId1338" ref="D1391"/>
    <hyperlink r:id="rId1339" ref="D1392"/>
    <hyperlink r:id="rId1340" ref="D1393"/>
    <hyperlink r:id="rId1341" ref="D1394"/>
    <hyperlink r:id="rId1342" ref="D1395"/>
    <hyperlink r:id="rId1343" ref="D1396"/>
    <hyperlink r:id="rId1344" ref="D1397"/>
    <hyperlink r:id="rId1345" ref="D1398"/>
    <hyperlink r:id="rId1346" ref="D1399"/>
    <hyperlink r:id="rId1347" ref="D1400"/>
    <hyperlink r:id="rId1348" ref="D1401"/>
    <hyperlink r:id="rId1349" ref="D1402"/>
    <hyperlink r:id="rId1350" ref="D1403"/>
    <hyperlink r:id="rId1351" ref="D1404"/>
    <hyperlink r:id="rId1352" ref="D1405"/>
    <hyperlink r:id="rId1353" ref="D1406"/>
    <hyperlink r:id="rId1354" ref="D1407"/>
    <hyperlink r:id="rId1355" ref="D1408"/>
    <hyperlink r:id="rId1356" location="tab-main" ref="D1409"/>
    <hyperlink r:id="rId1357" ref="D1410"/>
    <hyperlink r:id="rId1358" ref="D1411"/>
    <hyperlink r:id="rId1359" ref="D1412"/>
    <hyperlink r:id="rId1360" ref="D1413"/>
    <hyperlink r:id="rId1361" ref="D1414"/>
    <hyperlink r:id="rId1362" location="hotelTmpl" ref="D1415"/>
    <hyperlink r:id="rId1363" ref="D1416"/>
    <hyperlink r:id="rId1364" ref="D1417"/>
    <hyperlink r:id="rId1365" ref="D1418"/>
    <hyperlink r:id="rId1366" ref="D1419"/>
    <hyperlink r:id="rId1367" ref="D1420"/>
    <hyperlink r:id="rId1368" ref="D1421"/>
    <hyperlink r:id="rId1369" ref="D1422"/>
    <hyperlink r:id="rId1370" ref="D1423"/>
    <hyperlink r:id="rId1371" ref="D1424"/>
    <hyperlink r:id="rId1372" ref="D1425"/>
    <hyperlink r:id="rId1373" ref="D1426"/>
    <hyperlink r:id="rId1374" ref="D1427"/>
    <hyperlink r:id="rId1375" ref="D1428"/>
    <hyperlink r:id="rId1376" ref="D1429"/>
    <hyperlink r:id="rId1377" ref="D1430"/>
    <hyperlink r:id="rId1378" ref="D1431"/>
    <hyperlink r:id="rId1379" ref="D1432"/>
    <hyperlink r:id="rId1380" ref="D1433"/>
    <hyperlink r:id="rId1381" ref="D1434"/>
    <hyperlink r:id="rId1382" ref="D1435"/>
    <hyperlink r:id="rId1383" ref="D1439"/>
    <hyperlink r:id="rId1384" ref="D1440"/>
    <hyperlink r:id="rId1385" ref="D1441"/>
    <hyperlink r:id="rId1386" ref="D1442"/>
    <hyperlink r:id="rId1387" ref="D1443"/>
    <hyperlink r:id="rId1388" ref="D1444"/>
    <hyperlink r:id="rId1389" ref="D1445"/>
    <hyperlink r:id="rId1390" ref="D1446"/>
    <hyperlink r:id="rId1391" ref="D1447"/>
    <hyperlink r:id="rId1392" location="availability_target" ref="D1448"/>
    <hyperlink r:id="rId1393" ref="D1449"/>
    <hyperlink r:id="rId1394" ref="D1450"/>
    <hyperlink r:id="rId1395" location="no_availability_msg" ref="D1451"/>
    <hyperlink r:id="rId1396" ref="D1452"/>
    <hyperlink r:id="rId1397" ref="D1453"/>
    <hyperlink r:id="rId1398" ref="D1454"/>
    <hyperlink r:id="rId1399" ref="D1455"/>
    <hyperlink r:id="rId1400" ref="D1456"/>
    <hyperlink r:id="rId1401" location="availability_target" ref="D1457"/>
    <hyperlink r:id="rId1402" ref="D1458"/>
    <hyperlink r:id="rId1403" ref="D1459"/>
    <hyperlink r:id="rId1404" ref="D1460"/>
    <hyperlink r:id="rId1405" ref="D1461"/>
    <hyperlink r:id="rId1406" ref="D1462"/>
    <hyperlink r:id="rId1407" ref="D1463"/>
    <hyperlink r:id="rId1408" ref="D1464"/>
    <hyperlink r:id="rId1409" ref="D1465"/>
    <hyperlink r:id="rId1410" ref="D1466"/>
    <hyperlink r:id="rId1411" ref="D1467"/>
    <hyperlink r:id="rId1412" ref="D1468"/>
    <hyperlink r:id="rId1413" ref="D1469"/>
    <hyperlink r:id="rId1414" ref="D1470"/>
    <hyperlink r:id="rId1415" ref="D1471"/>
    <hyperlink r:id="rId1416" ref="D1472"/>
    <hyperlink r:id="rId1417" ref="D1473"/>
    <hyperlink r:id="rId1418" ref="D1475"/>
    <hyperlink r:id="rId1419" ref="D1476"/>
    <hyperlink r:id="rId1420" ref="D1477"/>
    <hyperlink r:id="rId1421" ref="D1478"/>
    <hyperlink r:id="rId1422" ref="D1479"/>
    <hyperlink r:id="rId1423" ref="D1480"/>
    <hyperlink r:id="rId1424" ref="D1481"/>
    <hyperlink r:id="rId1425" ref="D1482"/>
    <hyperlink r:id="rId1426" ref="D1483"/>
    <hyperlink r:id="rId1427" ref="D1484"/>
    <hyperlink r:id="rId1428" ref="D1485"/>
    <hyperlink r:id="rId1429" ref="D1486"/>
    <hyperlink r:id="rId1430" ref="D1487"/>
    <hyperlink r:id="rId1431" ref="D1488"/>
    <hyperlink r:id="rId1432" ref="D1489"/>
    <hyperlink r:id="rId1433" ref="D1490"/>
    <hyperlink r:id="rId1434" ref="D1491"/>
    <hyperlink r:id="rId1435" ref="D1492"/>
    <hyperlink r:id="rId1436" ref="D1493"/>
    <hyperlink r:id="rId1437" location="tab-main" ref="D1494"/>
    <hyperlink r:id="rId1438" ref="D1495"/>
    <hyperlink r:id="rId1439" ref="D1496"/>
    <hyperlink r:id="rId1440" ref="D1497"/>
    <hyperlink r:id="rId1441" ref="D1498"/>
    <hyperlink r:id="rId1442" ref="D1499"/>
    <hyperlink r:id="rId1443" location="hotelTmpl" ref="D1500"/>
    <hyperlink r:id="rId1444" ref="D1501"/>
    <hyperlink r:id="rId1445" ref="D1502"/>
    <hyperlink r:id="rId1446" ref="D1503"/>
    <hyperlink r:id="rId1447" ref="D1504"/>
    <hyperlink r:id="rId1448" ref="D1505"/>
    <hyperlink r:id="rId1449" ref="D1506"/>
    <hyperlink r:id="rId1450" ref="D1507"/>
    <hyperlink r:id="rId1451" ref="D1508"/>
    <hyperlink r:id="rId1452" ref="D1509"/>
    <hyperlink r:id="rId1453" ref="D1510"/>
    <hyperlink r:id="rId1454" ref="D1511"/>
    <hyperlink r:id="rId1455" ref="D1512"/>
    <hyperlink r:id="rId1456" ref="D1513"/>
    <hyperlink r:id="rId1457" ref="D1514"/>
    <hyperlink r:id="rId1458" ref="D1515"/>
    <hyperlink r:id="rId1459" ref="D1516"/>
    <hyperlink r:id="rId1460" ref="D1517"/>
    <hyperlink r:id="rId1461" ref="D1518"/>
    <hyperlink r:id="rId1462" ref="D1519"/>
    <hyperlink r:id="rId1463" ref="D1520"/>
    <hyperlink r:id="rId1464" ref="D1521"/>
    <hyperlink r:id="rId1465" ref="D1522"/>
  </hyperlinks>
  <drawing r:id="rId146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63"/>
    <col customWidth="1" min="4" max="6" width="12.63"/>
  </cols>
  <sheetData>
    <row r="1">
      <c r="A1" s="6" t="s">
        <v>51408</v>
      </c>
      <c r="B1" s="7" t="s">
        <v>12275</v>
      </c>
      <c r="C1" s="6" t="s">
        <v>51409</v>
      </c>
      <c r="D1" s="6" t="s">
        <v>42555</v>
      </c>
      <c r="E1" s="7"/>
      <c r="F1" s="7"/>
      <c r="G1" s="7"/>
      <c r="H1" s="7"/>
      <c r="I1" s="7"/>
      <c r="J1" s="7"/>
      <c r="K1" s="7"/>
      <c r="L1" s="7"/>
      <c r="M1" s="7"/>
      <c r="N1" s="7"/>
      <c r="O1" s="7"/>
      <c r="P1" s="7"/>
      <c r="Q1" s="7"/>
      <c r="R1" s="7"/>
      <c r="S1" s="7"/>
      <c r="T1" s="7"/>
      <c r="U1" s="7"/>
      <c r="V1" s="7"/>
      <c r="W1" s="7"/>
      <c r="X1" s="7"/>
    </row>
    <row r="2">
      <c r="A2" s="9" t="s">
        <v>51410</v>
      </c>
      <c r="B2" s="9" t="s">
        <v>10522</v>
      </c>
      <c r="C2" s="9" t="s">
        <v>51411</v>
      </c>
      <c r="D2" s="9"/>
    </row>
    <row r="3">
      <c r="A3" s="6" t="s">
        <v>51412</v>
      </c>
      <c r="B3" s="6" t="s">
        <v>261</v>
      </c>
      <c r="C3" s="6" t="s">
        <v>51413</v>
      </c>
      <c r="D3" s="141" t="s">
        <v>51414</v>
      </c>
      <c r="E3" s="7"/>
      <c r="F3" s="7"/>
      <c r="G3" s="7"/>
      <c r="H3" s="7"/>
      <c r="I3" s="7"/>
      <c r="J3" s="7"/>
      <c r="K3" s="7"/>
      <c r="L3" s="7"/>
      <c r="M3" s="7"/>
      <c r="N3" s="7"/>
      <c r="O3" s="7"/>
      <c r="P3" s="7"/>
      <c r="Q3" s="7"/>
      <c r="R3" s="7"/>
      <c r="S3" s="7"/>
      <c r="T3" s="7"/>
      <c r="U3" s="7"/>
      <c r="V3" s="7"/>
      <c r="W3" s="7"/>
      <c r="X3" s="7"/>
    </row>
    <row r="4">
      <c r="A4" s="6" t="s">
        <v>51415</v>
      </c>
      <c r="B4" s="6" t="s">
        <v>11884</v>
      </c>
      <c r="C4" s="6" t="s">
        <v>51416</v>
      </c>
      <c r="D4" s="141" t="s">
        <v>51417</v>
      </c>
      <c r="E4" s="7"/>
      <c r="F4" s="7"/>
      <c r="G4" s="7"/>
      <c r="H4" s="7"/>
      <c r="I4" s="7"/>
      <c r="J4" s="7"/>
      <c r="K4" s="7"/>
      <c r="L4" s="7"/>
      <c r="M4" s="7"/>
      <c r="N4" s="7"/>
      <c r="O4" s="7"/>
      <c r="P4" s="7"/>
      <c r="Q4" s="7"/>
      <c r="R4" s="7"/>
      <c r="S4" s="7"/>
      <c r="T4" s="7"/>
      <c r="U4" s="7"/>
      <c r="V4" s="7"/>
      <c r="W4" s="7"/>
      <c r="X4" s="7"/>
    </row>
    <row r="5">
      <c r="A5" s="6" t="s">
        <v>51418</v>
      </c>
      <c r="B5" s="6" t="s">
        <v>255</v>
      </c>
      <c r="C5" s="6" t="s">
        <v>51419</v>
      </c>
      <c r="D5" s="6" t="s">
        <v>22511</v>
      </c>
      <c r="E5" s="7"/>
      <c r="F5" s="7"/>
      <c r="G5" s="7"/>
      <c r="H5" s="7"/>
      <c r="I5" s="7"/>
      <c r="J5" s="7"/>
      <c r="K5" s="7"/>
      <c r="L5" s="7"/>
      <c r="M5" s="7"/>
      <c r="N5" s="7"/>
      <c r="O5" s="7"/>
      <c r="P5" s="7"/>
      <c r="Q5" s="7"/>
      <c r="R5" s="7"/>
      <c r="S5" s="7"/>
      <c r="T5" s="7"/>
      <c r="U5" s="7"/>
      <c r="V5" s="7"/>
      <c r="W5" s="7"/>
      <c r="X5" s="7"/>
    </row>
    <row r="6">
      <c r="A6" s="6" t="s">
        <v>51420</v>
      </c>
      <c r="B6" s="6" t="s">
        <v>255</v>
      </c>
      <c r="C6" s="6" t="s">
        <v>51416</v>
      </c>
      <c r="D6" s="6"/>
      <c r="E6" s="7"/>
      <c r="F6" s="7"/>
      <c r="G6" s="7"/>
      <c r="H6" s="7"/>
      <c r="I6" s="7"/>
      <c r="J6" s="7"/>
      <c r="K6" s="7"/>
      <c r="L6" s="7"/>
      <c r="M6" s="7"/>
      <c r="N6" s="7"/>
      <c r="O6" s="7"/>
      <c r="P6" s="7"/>
      <c r="Q6" s="7"/>
      <c r="R6" s="7"/>
      <c r="S6" s="7"/>
      <c r="T6" s="7"/>
      <c r="U6" s="7"/>
      <c r="V6" s="7"/>
      <c r="W6" s="7"/>
      <c r="X6" s="7"/>
    </row>
    <row r="7">
      <c r="A7" s="6" t="s">
        <v>51421</v>
      </c>
      <c r="B7" s="6" t="s">
        <v>9054</v>
      </c>
      <c r="C7" s="6" t="s">
        <v>51422</v>
      </c>
      <c r="D7" s="141" t="s">
        <v>51423</v>
      </c>
      <c r="E7" s="7"/>
      <c r="F7" s="7"/>
      <c r="G7" s="7"/>
      <c r="H7" s="7"/>
      <c r="I7" s="7"/>
      <c r="J7" s="7"/>
      <c r="K7" s="7"/>
      <c r="L7" s="7"/>
      <c r="M7" s="7"/>
      <c r="N7" s="7"/>
      <c r="O7" s="7"/>
      <c r="P7" s="7"/>
      <c r="Q7" s="7"/>
      <c r="R7" s="7"/>
      <c r="S7" s="7"/>
      <c r="T7" s="7"/>
      <c r="U7" s="7"/>
      <c r="V7" s="7"/>
      <c r="W7" s="7"/>
      <c r="X7" s="7"/>
    </row>
    <row r="8">
      <c r="A8" s="6" t="s">
        <v>51424</v>
      </c>
      <c r="B8" s="6" t="s">
        <v>9237</v>
      </c>
      <c r="C8" s="6" t="s">
        <v>51422</v>
      </c>
      <c r="D8" s="6" t="s">
        <v>51423</v>
      </c>
      <c r="E8" s="7"/>
      <c r="F8" s="7"/>
      <c r="G8" s="7"/>
      <c r="H8" s="7"/>
      <c r="I8" s="7"/>
      <c r="J8" s="7"/>
      <c r="K8" s="7"/>
      <c r="L8" s="7"/>
      <c r="M8" s="7"/>
      <c r="N8" s="7"/>
      <c r="O8" s="7"/>
      <c r="P8" s="7"/>
      <c r="Q8" s="7"/>
      <c r="R8" s="7"/>
      <c r="S8" s="7"/>
      <c r="T8" s="7"/>
      <c r="U8" s="7"/>
      <c r="V8" s="7"/>
      <c r="W8" s="7"/>
      <c r="X8" s="7"/>
    </row>
    <row r="9">
      <c r="A9" s="9" t="s">
        <v>51425</v>
      </c>
      <c r="B9" s="9" t="s">
        <v>11992</v>
      </c>
      <c r="C9" s="9" t="s">
        <v>51422</v>
      </c>
      <c r="D9" s="9" t="s">
        <v>51423</v>
      </c>
    </row>
    <row r="10">
      <c r="A10" s="6" t="s">
        <v>51426</v>
      </c>
      <c r="B10" s="6" t="s">
        <v>5808</v>
      </c>
      <c r="C10" s="6" t="s">
        <v>51419</v>
      </c>
      <c r="D10" s="6" t="s">
        <v>51427</v>
      </c>
      <c r="E10" s="7"/>
      <c r="F10" s="7"/>
      <c r="G10" s="7"/>
      <c r="H10" s="7"/>
      <c r="I10" s="7"/>
      <c r="J10" s="7"/>
      <c r="K10" s="7"/>
      <c r="L10" s="7"/>
      <c r="M10" s="7"/>
      <c r="N10" s="7"/>
      <c r="O10" s="7"/>
      <c r="P10" s="7"/>
      <c r="Q10" s="7"/>
      <c r="R10" s="7"/>
      <c r="S10" s="7"/>
      <c r="T10" s="7"/>
      <c r="U10" s="7"/>
      <c r="V10" s="7"/>
      <c r="W10" s="7"/>
      <c r="X10" s="7"/>
    </row>
    <row r="11">
      <c r="A11" s="6" t="s">
        <v>51428</v>
      </c>
      <c r="B11" s="6" t="s">
        <v>5808</v>
      </c>
      <c r="C11" s="6" t="s">
        <v>51429</v>
      </c>
      <c r="D11" s="6" t="s">
        <v>51430</v>
      </c>
      <c r="E11" s="7"/>
      <c r="F11" s="7"/>
      <c r="G11" s="7"/>
      <c r="H11" s="7"/>
      <c r="I11" s="7"/>
      <c r="J11" s="7"/>
      <c r="K11" s="7"/>
      <c r="L11" s="7"/>
      <c r="M11" s="7"/>
      <c r="N11" s="7"/>
      <c r="O11" s="7"/>
      <c r="P11" s="7"/>
      <c r="Q11" s="7"/>
      <c r="R11" s="7"/>
      <c r="S11" s="7"/>
      <c r="T11" s="7"/>
      <c r="U11" s="7"/>
      <c r="V11" s="7"/>
      <c r="W11" s="7"/>
      <c r="X11" s="7"/>
    </row>
    <row r="12">
      <c r="A12" s="41" t="s">
        <v>51431</v>
      </c>
      <c r="B12" s="6" t="s">
        <v>5808</v>
      </c>
      <c r="C12" s="6" t="s">
        <v>51422</v>
      </c>
      <c r="D12" s="6" t="s">
        <v>51432</v>
      </c>
      <c r="E12" s="7"/>
      <c r="F12" s="7"/>
      <c r="G12" s="7"/>
      <c r="H12" s="7"/>
      <c r="I12" s="7"/>
      <c r="J12" s="7"/>
      <c r="K12" s="7"/>
      <c r="L12" s="7"/>
      <c r="M12" s="7"/>
      <c r="N12" s="7"/>
      <c r="O12" s="7"/>
      <c r="P12" s="7"/>
      <c r="Q12" s="7"/>
      <c r="R12" s="7"/>
      <c r="S12" s="7"/>
      <c r="T12" s="7"/>
      <c r="U12" s="7"/>
      <c r="V12" s="7"/>
      <c r="W12" s="7"/>
      <c r="X12" s="7"/>
    </row>
    <row r="13">
      <c r="A13" s="6" t="s">
        <v>51433</v>
      </c>
      <c r="B13" s="6" t="s">
        <v>5808</v>
      </c>
      <c r="C13" s="6" t="s">
        <v>51434</v>
      </c>
      <c r="D13" s="6" t="s">
        <v>51435</v>
      </c>
      <c r="E13" s="7"/>
      <c r="F13" s="7"/>
      <c r="G13" s="7"/>
      <c r="H13" s="7"/>
      <c r="I13" s="7"/>
      <c r="J13" s="7"/>
      <c r="K13" s="7"/>
      <c r="L13" s="7"/>
      <c r="M13" s="7"/>
      <c r="N13" s="7"/>
      <c r="O13" s="7"/>
      <c r="P13" s="7"/>
      <c r="Q13" s="7"/>
      <c r="R13" s="7"/>
      <c r="S13" s="7"/>
      <c r="T13" s="7"/>
      <c r="U13" s="7"/>
      <c r="V13" s="7"/>
      <c r="W13" s="7"/>
      <c r="X13" s="7"/>
    </row>
    <row r="14">
      <c r="A14" s="6" t="s">
        <v>51436</v>
      </c>
      <c r="B14" s="6" t="s">
        <v>10161</v>
      </c>
      <c r="C14" s="6" t="s">
        <v>51437</v>
      </c>
      <c r="D14" s="6" t="s">
        <v>51438</v>
      </c>
      <c r="E14" s="7"/>
      <c r="F14" s="7"/>
      <c r="G14" s="7"/>
      <c r="H14" s="7"/>
      <c r="I14" s="7"/>
      <c r="J14" s="7"/>
      <c r="K14" s="7"/>
      <c r="L14" s="7"/>
      <c r="M14" s="7"/>
      <c r="N14" s="7"/>
      <c r="O14" s="7"/>
      <c r="P14" s="7"/>
      <c r="Q14" s="7"/>
      <c r="R14" s="7"/>
      <c r="S14" s="7"/>
      <c r="T14" s="7"/>
      <c r="U14" s="7"/>
      <c r="V14" s="7"/>
      <c r="W14" s="7"/>
      <c r="X14" s="7"/>
    </row>
    <row r="15">
      <c r="A15" s="6" t="s">
        <v>51439</v>
      </c>
      <c r="B15" s="6" t="s">
        <v>10161</v>
      </c>
      <c r="C15" s="6" t="s">
        <v>51419</v>
      </c>
      <c r="D15" s="7"/>
      <c r="E15" s="7"/>
      <c r="F15" s="7"/>
      <c r="G15" s="7"/>
      <c r="H15" s="7"/>
      <c r="I15" s="7"/>
      <c r="J15" s="7"/>
      <c r="K15" s="7"/>
      <c r="L15" s="7"/>
      <c r="M15" s="7"/>
      <c r="N15" s="7"/>
      <c r="O15" s="7"/>
      <c r="P15" s="7"/>
      <c r="Q15" s="7"/>
      <c r="R15" s="7"/>
      <c r="S15" s="7"/>
      <c r="T15" s="7"/>
      <c r="U15" s="7"/>
      <c r="V15" s="7"/>
      <c r="W15" s="7"/>
      <c r="X15" s="7"/>
    </row>
    <row r="16">
      <c r="A16" s="6" t="s">
        <v>51440</v>
      </c>
      <c r="B16" s="6" t="s">
        <v>6764</v>
      </c>
      <c r="C16" s="6" t="s">
        <v>51422</v>
      </c>
      <c r="D16" s="6" t="s">
        <v>51441</v>
      </c>
      <c r="E16" s="7"/>
      <c r="F16" s="7"/>
      <c r="G16" s="7"/>
      <c r="H16" s="7"/>
      <c r="I16" s="7"/>
      <c r="J16" s="7"/>
      <c r="K16" s="7"/>
      <c r="L16" s="7"/>
      <c r="M16" s="7"/>
      <c r="N16" s="7"/>
      <c r="O16" s="7"/>
      <c r="P16" s="7"/>
      <c r="Q16" s="7"/>
      <c r="R16" s="7"/>
      <c r="S16" s="7"/>
      <c r="T16" s="7"/>
      <c r="U16" s="7"/>
      <c r="V16" s="7"/>
      <c r="W16" s="7"/>
      <c r="X16" s="7"/>
    </row>
    <row r="17">
      <c r="A17" s="6" t="s">
        <v>51442</v>
      </c>
      <c r="B17" s="6" t="s">
        <v>6764</v>
      </c>
      <c r="C17" s="6" t="s">
        <v>51429</v>
      </c>
      <c r="D17" s="6" t="s">
        <v>51443</v>
      </c>
      <c r="E17" s="7"/>
      <c r="F17" s="7"/>
      <c r="G17" s="7"/>
      <c r="H17" s="7"/>
      <c r="I17" s="7"/>
      <c r="J17" s="7"/>
      <c r="K17" s="7"/>
      <c r="L17" s="7"/>
      <c r="M17" s="7"/>
      <c r="N17" s="7"/>
      <c r="O17" s="7"/>
      <c r="P17" s="7"/>
      <c r="Q17" s="7"/>
      <c r="R17" s="7"/>
      <c r="S17" s="7"/>
      <c r="T17" s="7"/>
      <c r="U17" s="7"/>
      <c r="V17" s="7"/>
      <c r="W17" s="7"/>
      <c r="X17" s="7"/>
    </row>
    <row r="18">
      <c r="A18" s="6" t="s">
        <v>51444</v>
      </c>
      <c r="B18" s="6" t="s">
        <v>6764</v>
      </c>
      <c r="C18" s="6" t="s">
        <v>51419</v>
      </c>
      <c r="D18" s="6"/>
      <c r="E18" s="7"/>
      <c r="F18" s="7"/>
      <c r="G18" s="7"/>
      <c r="H18" s="7"/>
      <c r="I18" s="7"/>
      <c r="J18" s="7"/>
      <c r="K18" s="7"/>
      <c r="L18" s="7"/>
      <c r="M18" s="7"/>
      <c r="N18" s="7"/>
      <c r="O18" s="7"/>
      <c r="P18" s="7"/>
      <c r="Q18" s="7"/>
      <c r="R18" s="7"/>
      <c r="S18" s="7"/>
      <c r="T18" s="7"/>
      <c r="U18" s="7"/>
      <c r="V18" s="7"/>
      <c r="W18" s="7"/>
      <c r="X18" s="7"/>
    </row>
    <row r="19">
      <c r="A19" s="6" t="s">
        <v>51445</v>
      </c>
      <c r="B19" s="6" t="s">
        <v>8608</v>
      </c>
      <c r="C19" s="6" t="s">
        <v>51429</v>
      </c>
      <c r="D19" s="6" t="s">
        <v>51446</v>
      </c>
      <c r="E19" s="7"/>
      <c r="F19" s="7"/>
      <c r="G19" s="7"/>
      <c r="H19" s="7"/>
      <c r="I19" s="7"/>
      <c r="J19" s="7"/>
      <c r="K19" s="7"/>
      <c r="L19" s="7"/>
      <c r="M19" s="7"/>
      <c r="N19" s="7"/>
      <c r="O19" s="7"/>
      <c r="P19" s="7"/>
      <c r="Q19" s="7"/>
      <c r="R19" s="7"/>
      <c r="S19" s="7"/>
      <c r="T19" s="7"/>
      <c r="U19" s="7"/>
      <c r="V19" s="7"/>
      <c r="W19" s="7"/>
      <c r="X19" s="7"/>
    </row>
    <row r="20">
      <c r="A20" s="6" t="s">
        <v>51447</v>
      </c>
      <c r="B20" s="6" t="s">
        <v>8608</v>
      </c>
      <c r="C20" s="6" t="s">
        <v>51422</v>
      </c>
      <c r="D20" s="6" t="s">
        <v>51441</v>
      </c>
      <c r="E20" s="7"/>
      <c r="F20" s="7"/>
      <c r="G20" s="7"/>
      <c r="H20" s="7"/>
      <c r="I20" s="7"/>
      <c r="J20" s="7"/>
      <c r="K20" s="7"/>
      <c r="L20" s="7"/>
      <c r="M20" s="7"/>
      <c r="N20" s="7"/>
      <c r="O20" s="7"/>
      <c r="P20" s="7"/>
      <c r="Q20" s="7"/>
      <c r="R20" s="7"/>
      <c r="S20" s="7"/>
      <c r="T20" s="7"/>
      <c r="U20" s="7"/>
      <c r="V20" s="7"/>
      <c r="W20" s="7"/>
      <c r="X20" s="7"/>
    </row>
    <row r="21" ht="15.75" customHeight="1">
      <c r="A21" s="6" t="s">
        <v>51448</v>
      </c>
      <c r="B21" s="6" t="s">
        <v>8608</v>
      </c>
      <c r="C21" s="6" t="s">
        <v>51449</v>
      </c>
      <c r="D21" s="6" t="s">
        <v>51450</v>
      </c>
      <c r="E21" s="7"/>
      <c r="F21" s="7"/>
      <c r="G21" s="7"/>
      <c r="H21" s="7"/>
      <c r="I21" s="7"/>
      <c r="J21" s="7"/>
      <c r="K21" s="7"/>
      <c r="L21" s="7"/>
      <c r="M21" s="7"/>
      <c r="N21" s="7"/>
      <c r="O21" s="7"/>
      <c r="P21" s="7"/>
      <c r="Q21" s="7"/>
      <c r="R21" s="7"/>
      <c r="S21" s="7"/>
      <c r="T21" s="7"/>
      <c r="U21" s="7"/>
      <c r="V21" s="7"/>
      <c r="W21" s="7"/>
      <c r="X21" s="7"/>
    </row>
    <row r="22" ht="15.75" customHeight="1">
      <c r="A22" s="6" t="s">
        <v>51451</v>
      </c>
      <c r="B22" s="6" t="s">
        <v>8608</v>
      </c>
      <c r="C22" s="6" t="s">
        <v>51434</v>
      </c>
      <c r="D22" s="6" t="s">
        <v>51452</v>
      </c>
      <c r="E22" s="7"/>
      <c r="F22" s="7"/>
      <c r="G22" s="7"/>
      <c r="H22" s="7"/>
      <c r="I22" s="7"/>
      <c r="J22" s="7"/>
      <c r="K22" s="7"/>
      <c r="L22" s="7"/>
      <c r="M22" s="7"/>
      <c r="N22" s="7"/>
      <c r="O22" s="7"/>
      <c r="P22" s="7"/>
      <c r="Q22" s="7"/>
      <c r="R22" s="7"/>
      <c r="S22" s="7"/>
      <c r="T22" s="7"/>
      <c r="U22" s="7"/>
      <c r="V22" s="7"/>
      <c r="W22" s="7"/>
      <c r="X22" s="7"/>
    </row>
    <row r="23" ht="15.75" customHeight="1">
      <c r="A23" s="6" t="s">
        <v>51453</v>
      </c>
      <c r="B23" s="6" t="s">
        <v>8608</v>
      </c>
      <c r="C23" s="6" t="s">
        <v>51419</v>
      </c>
      <c r="D23" s="6" t="s">
        <v>51454</v>
      </c>
      <c r="E23" s="7"/>
      <c r="F23" s="7"/>
      <c r="G23" s="7"/>
      <c r="H23" s="7"/>
      <c r="I23" s="7"/>
      <c r="J23" s="7"/>
      <c r="K23" s="7"/>
      <c r="L23" s="7"/>
      <c r="M23" s="7"/>
      <c r="N23" s="7"/>
      <c r="O23" s="7"/>
      <c r="P23" s="7"/>
      <c r="Q23" s="7"/>
      <c r="R23" s="7"/>
      <c r="S23" s="7"/>
      <c r="T23" s="7"/>
      <c r="U23" s="7"/>
      <c r="V23" s="7"/>
      <c r="W23" s="7"/>
      <c r="X23" s="7"/>
    </row>
    <row r="24" ht="15.75" customHeight="1">
      <c r="A24" s="6" t="s">
        <v>51455</v>
      </c>
      <c r="B24" s="6" t="s">
        <v>249</v>
      </c>
      <c r="C24" s="6" t="s">
        <v>51437</v>
      </c>
      <c r="D24" s="6" t="s">
        <v>51456</v>
      </c>
      <c r="E24" s="7"/>
      <c r="F24" s="7"/>
      <c r="G24" s="7"/>
      <c r="H24" s="7"/>
      <c r="I24" s="7"/>
      <c r="J24" s="7"/>
      <c r="K24" s="7"/>
      <c r="L24" s="7"/>
      <c r="M24" s="7"/>
      <c r="N24" s="7"/>
      <c r="O24" s="7"/>
      <c r="P24" s="7"/>
      <c r="Q24" s="7"/>
      <c r="R24" s="7"/>
      <c r="S24" s="7"/>
      <c r="T24" s="7"/>
      <c r="U24" s="7"/>
      <c r="V24" s="7"/>
      <c r="W24" s="7"/>
      <c r="X24" s="7"/>
    </row>
    <row r="25" ht="15.75" customHeight="1">
      <c r="A25" s="6" t="s">
        <v>51457</v>
      </c>
      <c r="B25" s="6" t="s">
        <v>249</v>
      </c>
      <c r="C25" s="6" t="s">
        <v>51422</v>
      </c>
      <c r="D25" s="6" t="s">
        <v>51458</v>
      </c>
      <c r="E25" s="7"/>
      <c r="F25" s="7"/>
      <c r="G25" s="7"/>
      <c r="H25" s="7"/>
      <c r="I25" s="7"/>
      <c r="J25" s="7"/>
      <c r="K25" s="7"/>
      <c r="L25" s="7"/>
      <c r="M25" s="7"/>
      <c r="N25" s="7"/>
      <c r="O25" s="7"/>
      <c r="P25" s="7"/>
      <c r="Q25" s="7"/>
      <c r="R25" s="7"/>
      <c r="S25" s="7"/>
      <c r="T25" s="7"/>
      <c r="U25" s="7"/>
      <c r="V25" s="7"/>
      <c r="W25" s="7"/>
      <c r="X25" s="7"/>
    </row>
    <row r="26" ht="15.75" customHeight="1">
      <c r="A26" s="6" t="s">
        <v>51459</v>
      </c>
      <c r="B26" s="6" t="s">
        <v>249</v>
      </c>
      <c r="C26" s="6" t="s">
        <v>51429</v>
      </c>
      <c r="D26" s="6" t="s">
        <v>51460</v>
      </c>
      <c r="E26" s="7"/>
      <c r="F26" s="7"/>
      <c r="G26" s="7"/>
      <c r="H26" s="7"/>
      <c r="I26" s="7"/>
      <c r="J26" s="7"/>
      <c r="K26" s="7"/>
      <c r="L26" s="7"/>
      <c r="M26" s="7"/>
      <c r="N26" s="7"/>
      <c r="O26" s="7"/>
      <c r="P26" s="7"/>
      <c r="Q26" s="7"/>
      <c r="R26" s="7"/>
      <c r="S26" s="7"/>
      <c r="T26" s="7"/>
      <c r="U26" s="7"/>
      <c r="V26" s="7"/>
      <c r="W26" s="7"/>
      <c r="X26" s="7"/>
    </row>
    <row r="27" ht="15.75" customHeight="1">
      <c r="A27" s="6" t="s">
        <v>51461</v>
      </c>
      <c r="B27" s="6" t="s">
        <v>249</v>
      </c>
      <c r="C27" s="6" t="s">
        <v>51449</v>
      </c>
      <c r="D27" s="6" t="s">
        <v>51462</v>
      </c>
      <c r="E27" s="7"/>
      <c r="F27" s="7"/>
      <c r="G27" s="7"/>
      <c r="H27" s="7"/>
      <c r="I27" s="7"/>
      <c r="J27" s="7"/>
      <c r="K27" s="7"/>
      <c r="L27" s="7"/>
      <c r="M27" s="7"/>
      <c r="N27" s="7"/>
      <c r="O27" s="7"/>
      <c r="P27" s="7"/>
      <c r="Q27" s="7"/>
      <c r="R27" s="7"/>
      <c r="S27" s="7"/>
      <c r="T27" s="7"/>
      <c r="U27" s="7"/>
      <c r="V27" s="7"/>
      <c r="W27" s="7"/>
      <c r="X27" s="7"/>
    </row>
    <row r="28" ht="15.75" customHeight="1">
      <c r="A28" s="6" t="s">
        <v>51463</v>
      </c>
      <c r="B28" s="6" t="s">
        <v>249</v>
      </c>
      <c r="C28" s="6" t="s">
        <v>51434</v>
      </c>
      <c r="D28" s="6" t="s">
        <v>51435</v>
      </c>
      <c r="E28" s="7"/>
      <c r="F28" s="7"/>
      <c r="G28" s="7"/>
      <c r="H28" s="7"/>
      <c r="I28" s="7"/>
      <c r="J28" s="7"/>
      <c r="K28" s="7"/>
      <c r="L28" s="7"/>
      <c r="M28" s="7"/>
      <c r="N28" s="7"/>
      <c r="O28" s="7"/>
      <c r="P28" s="7"/>
      <c r="Q28" s="7"/>
      <c r="R28" s="7"/>
      <c r="S28" s="7"/>
      <c r="T28" s="7"/>
      <c r="U28" s="7"/>
      <c r="V28" s="7"/>
      <c r="W28" s="7"/>
      <c r="X28" s="7"/>
    </row>
    <row r="29" ht="15.75" customHeight="1">
      <c r="A29" s="6" t="s">
        <v>51464</v>
      </c>
      <c r="B29" s="6" t="s">
        <v>234</v>
      </c>
      <c r="C29" s="6" t="s">
        <v>51416</v>
      </c>
      <c r="D29" s="6" t="s">
        <v>51465</v>
      </c>
      <c r="E29" s="7"/>
      <c r="F29" s="7"/>
      <c r="G29" s="7"/>
      <c r="H29" s="7"/>
      <c r="I29" s="7"/>
      <c r="J29" s="7"/>
      <c r="K29" s="7"/>
      <c r="L29" s="7"/>
      <c r="M29" s="7"/>
      <c r="N29" s="7"/>
      <c r="O29" s="7"/>
      <c r="P29" s="7"/>
      <c r="Q29" s="7"/>
      <c r="R29" s="7"/>
      <c r="S29" s="7"/>
      <c r="T29" s="7"/>
      <c r="U29" s="7"/>
      <c r="V29" s="7"/>
      <c r="W29" s="7"/>
      <c r="X29" s="7"/>
    </row>
    <row r="30" ht="15.75" customHeight="1">
      <c r="A30" s="6" t="s">
        <v>51466</v>
      </c>
      <c r="B30" s="6" t="s">
        <v>234</v>
      </c>
      <c r="C30" s="6" t="s">
        <v>51422</v>
      </c>
      <c r="D30" s="6" t="s">
        <v>51467</v>
      </c>
      <c r="E30" s="7"/>
      <c r="F30" s="7"/>
      <c r="G30" s="7"/>
      <c r="H30" s="7"/>
      <c r="I30" s="7"/>
      <c r="J30" s="7"/>
      <c r="K30" s="7"/>
      <c r="L30" s="7"/>
      <c r="M30" s="7"/>
      <c r="N30" s="7"/>
      <c r="O30" s="7"/>
      <c r="P30" s="7"/>
      <c r="Q30" s="7"/>
      <c r="R30" s="7"/>
      <c r="S30" s="7"/>
      <c r="T30" s="7"/>
      <c r="U30" s="7"/>
      <c r="V30" s="7"/>
      <c r="W30" s="7"/>
      <c r="X30" s="7"/>
    </row>
    <row r="31" ht="15.75" customHeight="1">
      <c r="A31" s="6" t="s">
        <v>51468</v>
      </c>
      <c r="B31" s="6" t="s">
        <v>234</v>
      </c>
      <c r="C31" s="6" t="s">
        <v>51429</v>
      </c>
      <c r="D31" s="6" t="s">
        <v>51469</v>
      </c>
      <c r="E31" s="7"/>
      <c r="F31" s="7"/>
      <c r="G31" s="7"/>
      <c r="H31" s="7"/>
      <c r="I31" s="7"/>
      <c r="J31" s="7"/>
      <c r="K31" s="7"/>
      <c r="L31" s="7"/>
      <c r="M31" s="7"/>
      <c r="N31" s="7"/>
      <c r="O31" s="7"/>
      <c r="P31" s="7"/>
      <c r="Q31" s="7"/>
      <c r="R31" s="7"/>
      <c r="S31" s="7"/>
      <c r="T31" s="7"/>
      <c r="U31" s="7"/>
      <c r="V31" s="7"/>
      <c r="W31" s="7"/>
      <c r="X31" s="7"/>
    </row>
    <row r="32" ht="15.75" customHeight="1">
      <c r="A32" s="6" t="s">
        <v>51470</v>
      </c>
      <c r="B32" s="6" t="s">
        <v>234</v>
      </c>
      <c r="C32" s="6" t="s">
        <v>51434</v>
      </c>
      <c r="D32" s="6" t="s">
        <v>51471</v>
      </c>
      <c r="E32" s="7"/>
      <c r="F32" s="7"/>
      <c r="G32" s="7"/>
      <c r="H32" s="7"/>
      <c r="I32" s="7"/>
      <c r="J32" s="7"/>
      <c r="K32" s="7"/>
      <c r="L32" s="7"/>
      <c r="M32" s="7"/>
      <c r="N32" s="7"/>
      <c r="O32" s="7"/>
      <c r="P32" s="7"/>
      <c r="Q32" s="7"/>
      <c r="R32" s="7"/>
      <c r="S32" s="7"/>
      <c r="T32" s="7"/>
      <c r="U32" s="7"/>
      <c r="V32" s="7"/>
      <c r="W32" s="7"/>
      <c r="X32" s="7"/>
    </row>
    <row r="33" ht="15.75" customHeight="1">
      <c r="A33" s="6" t="s">
        <v>51472</v>
      </c>
      <c r="B33" s="6" t="s">
        <v>11366</v>
      </c>
      <c r="C33" s="6" t="s">
        <v>51413</v>
      </c>
      <c r="D33" s="6" t="s">
        <v>51473</v>
      </c>
      <c r="E33" s="7"/>
      <c r="F33" s="7"/>
      <c r="G33" s="7"/>
      <c r="H33" s="7"/>
      <c r="I33" s="7"/>
      <c r="J33" s="7"/>
      <c r="K33" s="7"/>
      <c r="L33" s="7"/>
      <c r="M33" s="7"/>
      <c r="N33" s="7"/>
      <c r="O33" s="7"/>
      <c r="P33" s="7"/>
      <c r="Q33" s="7"/>
      <c r="R33" s="7"/>
      <c r="S33" s="7"/>
      <c r="T33" s="7"/>
      <c r="U33" s="7"/>
      <c r="V33" s="7"/>
      <c r="W33" s="7"/>
      <c r="X33" s="7"/>
    </row>
    <row r="34" ht="15.75" customHeight="1">
      <c r="A34" s="6" t="s">
        <v>51474</v>
      </c>
      <c r="B34" s="6" t="s">
        <v>11366</v>
      </c>
      <c r="C34" s="6" t="s">
        <v>51422</v>
      </c>
      <c r="D34" s="6" t="s">
        <v>51475</v>
      </c>
      <c r="E34" s="7"/>
      <c r="F34" s="7"/>
      <c r="G34" s="7"/>
      <c r="H34" s="7"/>
      <c r="I34" s="7"/>
      <c r="J34" s="7"/>
      <c r="K34" s="7"/>
      <c r="L34" s="7"/>
      <c r="M34" s="7"/>
      <c r="N34" s="7"/>
      <c r="O34" s="7"/>
      <c r="P34" s="7"/>
      <c r="Q34" s="7"/>
      <c r="R34" s="7"/>
      <c r="S34" s="7"/>
      <c r="T34" s="7"/>
      <c r="U34" s="7"/>
      <c r="V34" s="7"/>
      <c r="W34" s="7"/>
      <c r="X34" s="7"/>
    </row>
    <row r="35" ht="15.75" customHeight="1">
      <c r="A35" s="6" t="s">
        <v>51476</v>
      </c>
      <c r="B35" s="6" t="s">
        <v>3158</v>
      </c>
      <c r="C35" s="6" t="s">
        <v>51422</v>
      </c>
      <c r="D35" s="6" t="s">
        <v>51477</v>
      </c>
      <c r="E35" s="7"/>
      <c r="F35" s="7"/>
      <c r="G35" s="7"/>
      <c r="H35" s="7"/>
      <c r="I35" s="7"/>
      <c r="J35" s="7"/>
      <c r="K35" s="7"/>
      <c r="L35" s="7"/>
      <c r="M35" s="7"/>
      <c r="N35" s="7"/>
      <c r="O35" s="7"/>
      <c r="P35" s="7"/>
      <c r="Q35" s="7"/>
      <c r="R35" s="7"/>
      <c r="S35" s="7"/>
      <c r="T35" s="7"/>
      <c r="U35" s="7"/>
      <c r="V35" s="7"/>
      <c r="W35" s="7"/>
      <c r="X35" s="7"/>
    </row>
    <row r="36" ht="15.75" customHeight="1">
      <c r="A36" s="6" t="s">
        <v>51478</v>
      </c>
      <c r="B36" s="6" t="s">
        <v>3158</v>
      </c>
      <c r="C36" s="6" t="s">
        <v>51434</v>
      </c>
      <c r="D36" s="6" t="s">
        <v>51479</v>
      </c>
      <c r="E36" s="7"/>
      <c r="F36" s="7"/>
      <c r="G36" s="7"/>
      <c r="H36" s="7"/>
      <c r="I36" s="7"/>
      <c r="J36" s="7"/>
      <c r="K36" s="7"/>
      <c r="L36" s="7"/>
      <c r="M36" s="7"/>
      <c r="N36" s="7"/>
      <c r="O36" s="7"/>
      <c r="P36" s="7"/>
      <c r="Q36" s="7"/>
      <c r="R36" s="7"/>
      <c r="S36" s="7"/>
      <c r="T36" s="7"/>
      <c r="U36" s="7"/>
      <c r="V36" s="7"/>
      <c r="W36" s="7"/>
      <c r="X36" s="7"/>
    </row>
    <row r="37" ht="15.75" customHeight="1">
      <c r="A37" s="6" t="s">
        <v>51480</v>
      </c>
      <c r="B37" s="6" t="s">
        <v>3158</v>
      </c>
      <c r="C37" s="6" t="s">
        <v>51429</v>
      </c>
      <c r="D37" s="6" t="s">
        <v>51481</v>
      </c>
      <c r="E37" s="7"/>
      <c r="F37" s="7"/>
      <c r="G37" s="7"/>
      <c r="H37" s="7"/>
      <c r="I37" s="7"/>
      <c r="J37" s="7"/>
      <c r="K37" s="7"/>
      <c r="L37" s="7"/>
      <c r="M37" s="7"/>
      <c r="N37" s="7"/>
      <c r="O37" s="7"/>
      <c r="P37" s="7"/>
      <c r="Q37" s="7"/>
      <c r="R37" s="7"/>
      <c r="S37" s="7"/>
      <c r="T37" s="7"/>
      <c r="U37" s="7"/>
      <c r="V37" s="7"/>
      <c r="W37" s="7"/>
      <c r="X37" s="7"/>
    </row>
    <row r="38" ht="15.75" customHeight="1">
      <c r="A38" s="6" t="s">
        <v>51482</v>
      </c>
      <c r="B38" s="6" t="s">
        <v>3158</v>
      </c>
      <c r="C38" s="6" t="s">
        <v>51437</v>
      </c>
      <c r="D38" s="6" t="s">
        <v>51483</v>
      </c>
      <c r="E38" s="7"/>
      <c r="F38" s="7"/>
      <c r="G38" s="7"/>
      <c r="H38" s="7"/>
      <c r="I38" s="7"/>
      <c r="J38" s="7"/>
      <c r="K38" s="7"/>
      <c r="L38" s="7"/>
      <c r="M38" s="7"/>
      <c r="N38" s="7"/>
      <c r="O38" s="7"/>
      <c r="P38" s="7"/>
      <c r="Q38" s="7"/>
      <c r="R38" s="7"/>
      <c r="S38" s="7"/>
      <c r="T38" s="7"/>
      <c r="U38" s="7"/>
      <c r="V38" s="7"/>
      <c r="W38" s="7"/>
      <c r="X38" s="7"/>
    </row>
    <row r="39" ht="15.75" customHeight="1">
      <c r="A39" s="6" t="s">
        <v>51484</v>
      </c>
      <c r="B39" s="6" t="s">
        <v>11427</v>
      </c>
      <c r="C39" s="6" t="s">
        <v>51422</v>
      </c>
      <c r="D39" s="6" t="s">
        <v>51485</v>
      </c>
      <c r="E39" s="7"/>
      <c r="F39" s="7"/>
      <c r="G39" s="7"/>
      <c r="H39" s="7"/>
      <c r="I39" s="7"/>
      <c r="J39" s="7"/>
      <c r="K39" s="7"/>
      <c r="L39" s="7"/>
      <c r="M39" s="7"/>
      <c r="N39" s="7"/>
      <c r="O39" s="7"/>
      <c r="P39" s="7"/>
      <c r="Q39" s="7"/>
      <c r="R39" s="7"/>
      <c r="S39" s="7"/>
      <c r="T39" s="7"/>
      <c r="U39" s="7"/>
      <c r="V39" s="7"/>
      <c r="W39" s="7"/>
      <c r="X39" s="7"/>
    </row>
    <row r="40" ht="15.75" customHeight="1">
      <c r="A40" s="6" t="s">
        <v>51486</v>
      </c>
      <c r="B40" s="6" t="s">
        <v>11427</v>
      </c>
      <c r="C40" s="6" t="s">
        <v>51487</v>
      </c>
      <c r="D40" s="6" t="s">
        <v>51488</v>
      </c>
      <c r="E40" s="7"/>
      <c r="F40" s="7"/>
      <c r="G40" s="7"/>
      <c r="H40" s="7"/>
      <c r="I40" s="7"/>
      <c r="J40" s="7"/>
      <c r="K40" s="7"/>
      <c r="L40" s="7"/>
      <c r="M40" s="7"/>
      <c r="N40" s="7"/>
      <c r="O40" s="7"/>
      <c r="P40" s="7"/>
      <c r="Q40" s="7"/>
      <c r="R40" s="7"/>
      <c r="S40" s="7"/>
      <c r="T40" s="7"/>
      <c r="U40" s="7"/>
      <c r="V40" s="7"/>
      <c r="W40" s="7"/>
      <c r="X40" s="7"/>
    </row>
    <row r="41" ht="15.75" customHeight="1">
      <c r="A41" s="6" t="s">
        <v>51489</v>
      </c>
      <c r="B41" s="6" t="s">
        <v>3158</v>
      </c>
      <c r="C41" s="6" t="s">
        <v>51490</v>
      </c>
      <c r="D41" s="6" t="s">
        <v>51491</v>
      </c>
      <c r="E41" s="7"/>
      <c r="F41" s="7"/>
      <c r="G41" s="7"/>
      <c r="H41" s="7"/>
      <c r="I41" s="7"/>
      <c r="J41" s="7"/>
      <c r="K41" s="7"/>
      <c r="L41" s="7"/>
      <c r="M41" s="7"/>
      <c r="N41" s="7"/>
      <c r="O41" s="7"/>
      <c r="P41" s="7"/>
      <c r="Q41" s="7"/>
      <c r="R41" s="7"/>
      <c r="S41" s="7"/>
      <c r="T41" s="7"/>
      <c r="U41" s="7"/>
      <c r="V41" s="7"/>
      <c r="W41" s="7"/>
      <c r="X41" s="7"/>
    </row>
    <row r="42" ht="15.75" customHeight="1">
      <c r="A42" s="6" t="s">
        <v>51492</v>
      </c>
      <c r="B42" s="6" t="s">
        <v>3158</v>
      </c>
      <c r="C42" s="6" t="s">
        <v>51493</v>
      </c>
      <c r="D42" s="6" t="s">
        <v>51494</v>
      </c>
      <c r="E42" s="7"/>
      <c r="F42" s="7"/>
      <c r="G42" s="7"/>
      <c r="H42" s="7"/>
      <c r="I42" s="7"/>
      <c r="J42" s="7"/>
      <c r="K42" s="7"/>
      <c r="L42" s="7"/>
      <c r="M42" s="7"/>
      <c r="N42" s="7"/>
      <c r="O42" s="7"/>
      <c r="P42" s="7"/>
      <c r="Q42" s="7"/>
      <c r="R42" s="7"/>
      <c r="S42" s="7"/>
      <c r="T42" s="7"/>
      <c r="U42" s="7"/>
      <c r="V42" s="7"/>
      <c r="W42" s="7"/>
      <c r="X42" s="7"/>
    </row>
    <row r="43" ht="15.75" customHeight="1">
      <c r="A43" s="6" t="s">
        <v>51495</v>
      </c>
      <c r="B43" s="6" t="s">
        <v>3158</v>
      </c>
      <c r="C43" s="6" t="s">
        <v>51496</v>
      </c>
      <c r="D43" s="6" t="s">
        <v>51497</v>
      </c>
      <c r="E43" s="7"/>
      <c r="F43" s="7"/>
      <c r="G43" s="7"/>
      <c r="H43" s="7"/>
      <c r="I43" s="7"/>
      <c r="J43" s="7"/>
      <c r="K43" s="7"/>
      <c r="L43" s="7"/>
      <c r="M43" s="7"/>
      <c r="N43" s="7"/>
      <c r="O43" s="7"/>
      <c r="P43" s="7"/>
      <c r="Q43" s="7"/>
      <c r="R43" s="7"/>
      <c r="S43" s="7"/>
      <c r="T43" s="7"/>
      <c r="U43" s="7"/>
      <c r="V43" s="7"/>
      <c r="W43" s="7"/>
      <c r="X43" s="7"/>
    </row>
    <row r="44" ht="15.75" customHeight="1">
      <c r="A44" s="6" t="s">
        <v>51498</v>
      </c>
      <c r="B44" s="6" t="s">
        <v>11427</v>
      </c>
      <c r="C44" s="6" t="s">
        <v>51496</v>
      </c>
      <c r="D44" s="6" t="s">
        <v>51497</v>
      </c>
      <c r="E44" s="7"/>
      <c r="F44" s="7"/>
      <c r="G44" s="7"/>
      <c r="H44" s="7"/>
      <c r="I44" s="7"/>
      <c r="J44" s="7"/>
      <c r="K44" s="7"/>
      <c r="L44" s="7"/>
      <c r="M44" s="7"/>
      <c r="N44" s="7"/>
      <c r="O44" s="7"/>
      <c r="P44" s="7"/>
      <c r="Q44" s="7"/>
      <c r="R44" s="7"/>
      <c r="S44" s="7"/>
      <c r="T44" s="7"/>
      <c r="U44" s="7"/>
      <c r="V44" s="7"/>
      <c r="W44" s="7"/>
      <c r="X44" s="7"/>
    </row>
    <row r="45" ht="15.75" customHeight="1">
      <c r="A45" s="6" t="s">
        <v>51499</v>
      </c>
      <c r="B45" s="6" t="s">
        <v>11429</v>
      </c>
      <c r="C45" s="6" t="s">
        <v>51434</v>
      </c>
      <c r="D45" s="6" t="s">
        <v>51500</v>
      </c>
      <c r="E45" s="7"/>
      <c r="F45" s="7"/>
      <c r="G45" s="7"/>
      <c r="H45" s="7"/>
      <c r="I45" s="7"/>
      <c r="J45" s="7"/>
      <c r="K45" s="7"/>
      <c r="L45" s="7"/>
      <c r="M45" s="7"/>
      <c r="N45" s="7"/>
      <c r="O45" s="7"/>
      <c r="P45" s="7"/>
      <c r="Q45" s="7"/>
      <c r="R45" s="7"/>
      <c r="S45" s="7"/>
      <c r="T45" s="7"/>
      <c r="U45" s="7"/>
      <c r="V45" s="7"/>
      <c r="W45" s="7"/>
      <c r="X45" s="7"/>
    </row>
    <row r="46" ht="15.75" customHeight="1">
      <c r="A46" s="6" t="s">
        <v>51501</v>
      </c>
      <c r="B46" s="6" t="s">
        <v>4224</v>
      </c>
      <c r="C46" s="6" t="s">
        <v>51411</v>
      </c>
      <c r="D46" s="6"/>
      <c r="E46" s="7"/>
      <c r="F46" s="7"/>
      <c r="G46" s="7"/>
      <c r="H46" s="7"/>
      <c r="I46" s="7"/>
      <c r="J46" s="7"/>
      <c r="K46" s="7"/>
      <c r="L46" s="7"/>
      <c r="M46" s="7"/>
      <c r="N46" s="7"/>
      <c r="O46" s="7"/>
      <c r="P46" s="7"/>
      <c r="Q46" s="7"/>
      <c r="R46" s="7"/>
      <c r="S46" s="7"/>
      <c r="T46" s="7"/>
      <c r="U46" s="7"/>
      <c r="V46" s="7"/>
      <c r="W46" s="7"/>
      <c r="X46" s="7"/>
    </row>
    <row r="47" ht="15.75" customHeight="1">
      <c r="A47" s="6" t="s">
        <v>51502</v>
      </c>
      <c r="B47" s="6" t="s">
        <v>4224</v>
      </c>
      <c r="C47" s="6" t="s">
        <v>51422</v>
      </c>
      <c r="D47" s="6" t="s">
        <v>51503</v>
      </c>
      <c r="E47" s="7"/>
      <c r="F47" s="7"/>
      <c r="G47" s="7"/>
      <c r="H47" s="7"/>
      <c r="I47" s="7"/>
      <c r="J47" s="7"/>
      <c r="K47" s="7"/>
      <c r="L47" s="7"/>
      <c r="M47" s="7"/>
      <c r="N47" s="7"/>
      <c r="O47" s="7"/>
      <c r="P47" s="7"/>
      <c r="Q47" s="7"/>
      <c r="R47" s="7"/>
      <c r="S47" s="7"/>
      <c r="T47" s="7"/>
      <c r="U47" s="7"/>
      <c r="V47" s="7"/>
      <c r="W47" s="7"/>
      <c r="X47" s="7"/>
    </row>
    <row r="48" ht="15.75" customHeight="1">
      <c r="A48" s="6" t="s">
        <v>51504</v>
      </c>
      <c r="B48" s="6" t="s">
        <v>4224</v>
      </c>
      <c r="C48" s="6" t="s">
        <v>51429</v>
      </c>
      <c r="D48" s="6" t="s">
        <v>51505</v>
      </c>
      <c r="E48" s="7"/>
      <c r="F48" s="7"/>
      <c r="G48" s="7"/>
      <c r="H48" s="7"/>
      <c r="I48" s="7"/>
      <c r="J48" s="7"/>
      <c r="K48" s="7"/>
      <c r="L48" s="7"/>
      <c r="M48" s="7"/>
      <c r="N48" s="7"/>
      <c r="O48" s="7"/>
      <c r="P48" s="7"/>
      <c r="Q48" s="7"/>
      <c r="R48" s="7"/>
      <c r="S48" s="7"/>
      <c r="T48" s="7"/>
      <c r="U48" s="7"/>
      <c r="V48" s="7"/>
      <c r="W48" s="7"/>
      <c r="X48" s="7"/>
    </row>
    <row r="49" ht="15.75" customHeight="1">
      <c r="A49" s="6" t="s">
        <v>51506</v>
      </c>
      <c r="B49" s="6" t="s">
        <v>11674</v>
      </c>
      <c r="C49" s="6" t="s">
        <v>51507</v>
      </c>
      <c r="D49" s="6" t="s">
        <v>51508</v>
      </c>
      <c r="E49" s="7"/>
      <c r="F49" s="7"/>
      <c r="G49" s="7"/>
      <c r="H49" s="7"/>
      <c r="I49" s="7"/>
      <c r="J49" s="7"/>
      <c r="K49" s="7"/>
      <c r="L49" s="7"/>
      <c r="M49" s="7"/>
      <c r="N49" s="7"/>
      <c r="O49" s="7"/>
      <c r="P49" s="7"/>
      <c r="Q49" s="7"/>
      <c r="R49" s="7"/>
      <c r="S49" s="7"/>
      <c r="T49" s="7"/>
      <c r="U49" s="7"/>
      <c r="V49" s="7"/>
      <c r="W49" s="7"/>
      <c r="X49" s="7"/>
    </row>
    <row r="50" ht="15.75" customHeight="1">
      <c r="A50" s="41" t="s">
        <v>51509</v>
      </c>
      <c r="B50" s="6" t="s">
        <v>11501</v>
      </c>
      <c r="C50" s="6" t="s">
        <v>51416</v>
      </c>
      <c r="D50" s="6" t="s">
        <v>51510</v>
      </c>
      <c r="E50" s="7"/>
      <c r="F50" s="7"/>
      <c r="G50" s="7"/>
      <c r="H50" s="7"/>
      <c r="I50" s="7"/>
      <c r="J50" s="7"/>
      <c r="K50" s="7"/>
      <c r="L50" s="7"/>
      <c r="M50" s="7"/>
      <c r="N50" s="7"/>
      <c r="O50" s="7"/>
      <c r="P50" s="7"/>
      <c r="Q50" s="7"/>
      <c r="R50" s="7"/>
      <c r="S50" s="7"/>
      <c r="T50" s="7"/>
      <c r="U50" s="7"/>
      <c r="V50" s="7"/>
      <c r="W50" s="7"/>
      <c r="X50" s="7"/>
    </row>
    <row r="51" ht="15.75" customHeight="1">
      <c r="A51" s="6" t="s">
        <v>51511</v>
      </c>
      <c r="B51" s="6" t="s">
        <v>11501</v>
      </c>
      <c r="C51" s="6" t="s">
        <v>51413</v>
      </c>
      <c r="D51" s="6" t="s">
        <v>51512</v>
      </c>
      <c r="E51" s="7"/>
      <c r="F51" s="7"/>
      <c r="G51" s="7"/>
      <c r="H51" s="7"/>
      <c r="I51" s="7"/>
      <c r="J51" s="7"/>
      <c r="K51" s="7"/>
      <c r="L51" s="7"/>
      <c r="M51" s="7"/>
      <c r="N51" s="7"/>
      <c r="O51" s="7"/>
      <c r="P51" s="7"/>
      <c r="Q51" s="7"/>
      <c r="R51" s="7"/>
      <c r="S51" s="7"/>
      <c r="T51" s="7"/>
      <c r="U51" s="7"/>
      <c r="V51" s="7"/>
      <c r="W51" s="7"/>
      <c r="X51" s="7"/>
    </row>
    <row r="52" ht="15.75" customHeight="1">
      <c r="A52" s="6" t="s">
        <v>51513</v>
      </c>
      <c r="B52" s="6" t="s">
        <v>11501</v>
      </c>
      <c r="C52" s="6" t="s">
        <v>51422</v>
      </c>
      <c r="D52" s="6" t="s">
        <v>51514</v>
      </c>
      <c r="E52" s="7"/>
      <c r="F52" s="7"/>
      <c r="G52" s="7"/>
      <c r="H52" s="7"/>
      <c r="I52" s="7"/>
      <c r="J52" s="7"/>
      <c r="K52" s="7"/>
      <c r="L52" s="7"/>
      <c r="M52" s="7"/>
      <c r="N52" s="7"/>
      <c r="O52" s="7"/>
      <c r="P52" s="7"/>
      <c r="Q52" s="7"/>
      <c r="R52" s="7"/>
      <c r="S52" s="7"/>
      <c r="T52" s="7"/>
      <c r="U52" s="7"/>
      <c r="V52" s="7"/>
      <c r="W52" s="7"/>
      <c r="X52" s="7"/>
    </row>
    <row r="53" ht="15.75" customHeight="1">
      <c r="A53" s="6" t="s">
        <v>51515</v>
      </c>
      <c r="B53" s="6" t="s">
        <v>11501</v>
      </c>
      <c r="C53" s="6" t="s">
        <v>51487</v>
      </c>
      <c r="D53" s="6" t="s">
        <v>51516</v>
      </c>
      <c r="E53" s="7"/>
      <c r="F53" s="7"/>
      <c r="G53" s="7"/>
      <c r="H53" s="7"/>
      <c r="I53" s="7"/>
      <c r="J53" s="7"/>
      <c r="K53" s="7"/>
      <c r="L53" s="7"/>
      <c r="M53" s="7"/>
      <c r="N53" s="7"/>
      <c r="O53" s="7"/>
      <c r="P53" s="7"/>
      <c r="Q53" s="7"/>
      <c r="R53" s="7"/>
      <c r="S53" s="7"/>
      <c r="T53" s="7"/>
      <c r="U53" s="7"/>
      <c r="V53" s="7"/>
      <c r="W53" s="7"/>
      <c r="X53" s="7"/>
    </row>
    <row r="54" ht="15.75" customHeight="1">
      <c r="A54" s="41" t="s">
        <v>51517</v>
      </c>
      <c r="B54" s="6" t="s">
        <v>11501</v>
      </c>
      <c r="C54" s="6" t="s">
        <v>51496</v>
      </c>
      <c r="D54" s="6" t="s">
        <v>51518</v>
      </c>
      <c r="E54" s="7"/>
      <c r="F54" s="7"/>
      <c r="G54" s="7"/>
      <c r="H54" s="7"/>
      <c r="I54" s="7"/>
      <c r="J54" s="7"/>
      <c r="K54" s="7"/>
      <c r="L54" s="7"/>
      <c r="M54" s="7"/>
      <c r="N54" s="7"/>
      <c r="O54" s="7"/>
      <c r="P54" s="7"/>
      <c r="Q54" s="7"/>
      <c r="R54" s="7"/>
      <c r="S54" s="7"/>
      <c r="T54" s="7"/>
      <c r="U54" s="7"/>
      <c r="V54" s="7"/>
      <c r="W54" s="7"/>
      <c r="X54" s="7"/>
    </row>
    <row r="55" ht="15.75" customHeight="1">
      <c r="A55" s="6" t="s">
        <v>51519</v>
      </c>
      <c r="B55" s="6" t="s">
        <v>11501</v>
      </c>
      <c r="C55" s="6" t="s">
        <v>51507</v>
      </c>
      <c r="D55" s="6" t="s">
        <v>51520</v>
      </c>
      <c r="E55" s="7"/>
      <c r="F55" s="7"/>
      <c r="G55" s="7"/>
      <c r="H55" s="7"/>
      <c r="I55" s="7"/>
      <c r="J55" s="7"/>
      <c r="K55" s="7"/>
      <c r="L55" s="7"/>
      <c r="M55" s="7"/>
      <c r="N55" s="7"/>
      <c r="O55" s="7"/>
      <c r="P55" s="7"/>
      <c r="Q55" s="7"/>
      <c r="R55" s="7"/>
      <c r="S55" s="7"/>
      <c r="T55" s="7"/>
      <c r="U55" s="7"/>
      <c r="V55" s="7"/>
      <c r="W55" s="7"/>
      <c r="X55" s="7"/>
    </row>
    <row r="56" ht="15.75" customHeight="1">
      <c r="A56" s="6" t="s">
        <v>51521</v>
      </c>
      <c r="B56" s="6" t="s">
        <v>11437</v>
      </c>
      <c r="C56" s="6" t="s">
        <v>51507</v>
      </c>
      <c r="D56" s="6" t="s">
        <v>51522</v>
      </c>
      <c r="E56" s="7"/>
      <c r="F56" s="7"/>
      <c r="G56" s="7"/>
      <c r="H56" s="7"/>
      <c r="I56" s="7"/>
      <c r="J56" s="7"/>
      <c r="K56" s="7"/>
      <c r="L56" s="7"/>
      <c r="M56" s="7"/>
      <c r="N56" s="7"/>
      <c r="O56" s="7"/>
      <c r="P56" s="7"/>
      <c r="Q56" s="7"/>
      <c r="R56" s="7"/>
      <c r="S56" s="7"/>
      <c r="T56" s="7"/>
      <c r="U56" s="7"/>
      <c r="V56" s="7"/>
      <c r="W56" s="7"/>
      <c r="X56" s="7"/>
    </row>
    <row r="57" ht="15.75" customHeight="1">
      <c r="A57" s="6" t="s">
        <v>51523</v>
      </c>
      <c r="B57" s="6" t="s">
        <v>9703</v>
      </c>
      <c r="C57" s="6"/>
      <c r="D57" s="6"/>
      <c r="E57" s="7"/>
      <c r="F57" s="7"/>
      <c r="G57" s="7"/>
      <c r="H57" s="7"/>
      <c r="I57" s="7"/>
      <c r="J57" s="7"/>
      <c r="K57" s="7"/>
      <c r="L57" s="7"/>
      <c r="M57" s="7"/>
      <c r="N57" s="7"/>
      <c r="O57" s="7"/>
      <c r="P57" s="7"/>
      <c r="Q57" s="7"/>
      <c r="R57" s="7"/>
      <c r="S57" s="7"/>
      <c r="T57" s="7"/>
      <c r="U57" s="7"/>
      <c r="V57" s="7"/>
      <c r="W57" s="7"/>
      <c r="X57" s="7"/>
    </row>
    <row r="58" ht="15.75" customHeight="1">
      <c r="A58" s="6" t="s">
        <v>51524</v>
      </c>
      <c r="B58" s="6" t="s">
        <v>23515</v>
      </c>
      <c r="C58" s="6" t="s">
        <v>51429</v>
      </c>
      <c r="D58" s="6" t="s">
        <v>51443</v>
      </c>
      <c r="E58" s="7"/>
      <c r="F58" s="7"/>
      <c r="G58" s="7"/>
      <c r="H58" s="7"/>
      <c r="I58" s="7"/>
      <c r="J58" s="7"/>
      <c r="K58" s="7"/>
      <c r="L58" s="7"/>
      <c r="M58" s="7"/>
      <c r="N58" s="7"/>
      <c r="O58" s="7"/>
      <c r="P58" s="7"/>
      <c r="Q58" s="7"/>
      <c r="R58" s="7"/>
      <c r="S58" s="7"/>
      <c r="T58" s="7"/>
      <c r="U58" s="7"/>
      <c r="V58" s="7"/>
      <c r="W58" s="7"/>
      <c r="X58" s="7"/>
    </row>
    <row r="59" ht="15.75" customHeight="1">
      <c r="A59" s="6" t="s">
        <v>51525</v>
      </c>
      <c r="B59" s="6" t="s">
        <v>23515</v>
      </c>
      <c r="C59" s="6" t="s">
        <v>51422</v>
      </c>
      <c r="D59" s="6" t="s">
        <v>51441</v>
      </c>
      <c r="E59" s="7"/>
      <c r="F59" s="7"/>
      <c r="G59" s="7"/>
      <c r="H59" s="7"/>
      <c r="I59" s="7"/>
      <c r="J59" s="7"/>
      <c r="K59" s="7"/>
      <c r="L59" s="7"/>
      <c r="M59" s="7"/>
      <c r="N59" s="7"/>
      <c r="O59" s="7"/>
      <c r="P59" s="7"/>
      <c r="Q59" s="7"/>
      <c r="R59" s="7"/>
      <c r="S59" s="7"/>
      <c r="T59" s="7"/>
      <c r="U59" s="7"/>
      <c r="V59" s="7"/>
      <c r="W59" s="7"/>
      <c r="X59" s="7"/>
    </row>
    <row r="60" ht="15.75" customHeight="1">
      <c r="A60" s="6" t="s">
        <v>51526</v>
      </c>
      <c r="B60" s="6" t="s">
        <v>23531</v>
      </c>
      <c r="C60" s="6" t="s">
        <v>51422</v>
      </c>
      <c r="D60" s="6" t="s">
        <v>51527</v>
      </c>
      <c r="E60" s="7"/>
      <c r="F60" s="7"/>
      <c r="G60" s="7"/>
      <c r="H60" s="7"/>
      <c r="I60" s="7"/>
      <c r="J60" s="7"/>
      <c r="K60" s="7"/>
      <c r="L60" s="7"/>
      <c r="M60" s="7"/>
      <c r="N60" s="7"/>
      <c r="O60" s="7"/>
      <c r="P60" s="7"/>
      <c r="Q60" s="7"/>
      <c r="R60" s="7"/>
      <c r="S60" s="7"/>
      <c r="T60" s="7"/>
      <c r="U60" s="7"/>
      <c r="V60" s="7"/>
      <c r="W60" s="7"/>
      <c r="X60" s="7"/>
    </row>
    <row r="61" ht="15.75" customHeight="1">
      <c r="A61" s="6" t="s">
        <v>51528</v>
      </c>
      <c r="B61" s="6" t="s">
        <v>23531</v>
      </c>
      <c r="C61" s="6" t="s">
        <v>51422</v>
      </c>
      <c r="D61" s="6" t="s">
        <v>51441</v>
      </c>
      <c r="E61" s="7"/>
      <c r="F61" s="7"/>
      <c r="G61" s="7"/>
      <c r="H61" s="7"/>
      <c r="I61" s="7"/>
      <c r="J61" s="7"/>
      <c r="K61" s="7"/>
      <c r="L61" s="7"/>
      <c r="M61" s="7"/>
      <c r="N61" s="7"/>
      <c r="O61" s="7"/>
      <c r="P61" s="7"/>
      <c r="Q61" s="7"/>
      <c r="R61" s="7"/>
      <c r="S61" s="7"/>
      <c r="T61" s="7"/>
      <c r="U61" s="7"/>
      <c r="V61" s="7"/>
      <c r="W61" s="7"/>
      <c r="X61" s="7"/>
    </row>
    <row r="62" ht="15.75" customHeight="1">
      <c r="A62" s="6" t="s">
        <v>51529</v>
      </c>
      <c r="B62" s="6" t="s">
        <v>23531</v>
      </c>
      <c r="C62" s="6" t="s">
        <v>51413</v>
      </c>
      <c r="D62" s="6" t="s">
        <v>51530</v>
      </c>
      <c r="E62" s="7"/>
      <c r="F62" s="7"/>
      <c r="G62" s="7"/>
      <c r="H62" s="7"/>
      <c r="I62" s="7"/>
      <c r="J62" s="7"/>
      <c r="K62" s="7"/>
      <c r="L62" s="7"/>
      <c r="M62" s="7"/>
      <c r="N62" s="7"/>
      <c r="O62" s="7"/>
      <c r="P62" s="7"/>
      <c r="Q62" s="7"/>
      <c r="R62" s="7"/>
      <c r="S62" s="7"/>
      <c r="T62" s="7"/>
      <c r="U62" s="7"/>
      <c r="V62" s="7"/>
      <c r="W62" s="7"/>
      <c r="X62" s="7"/>
    </row>
    <row r="63" ht="15.75" customHeight="1">
      <c r="A63" s="6" t="s">
        <v>51531</v>
      </c>
      <c r="B63" s="6" t="s">
        <v>23531</v>
      </c>
      <c r="C63" s="6" t="s">
        <v>51487</v>
      </c>
      <c r="D63" s="6" t="s">
        <v>51532</v>
      </c>
      <c r="E63" s="7"/>
      <c r="F63" s="7"/>
      <c r="G63" s="7"/>
      <c r="H63" s="7"/>
      <c r="I63" s="7"/>
      <c r="J63" s="7"/>
      <c r="K63" s="7"/>
      <c r="L63" s="7"/>
      <c r="M63" s="7"/>
      <c r="N63" s="7"/>
      <c r="O63" s="7"/>
      <c r="P63" s="7"/>
      <c r="Q63" s="7"/>
      <c r="R63" s="7"/>
      <c r="S63" s="7"/>
      <c r="T63" s="7"/>
      <c r="U63" s="7"/>
      <c r="V63" s="7"/>
      <c r="W63" s="7"/>
      <c r="X63" s="7"/>
    </row>
    <row r="64" ht="15.75" customHeight="1">
      <c r="A64" s="6" t="s">
        <v>51533</v>
      </c>
      <c r="B64" s="6" t="s">
        <v>23515</v>
      </c>
      <c r="C64" s="6" t="s">
        <v>51413</v>
      </c>
      <c r="D64" s="6" t="s">
        <v>51530</v>
      </c>
      <c r="E64" s="7"/>
      <c r="F64" s="7"/>
      <c r="G64" s="7"/>
      <c r="H64" s="7"/>
      <c r="I64" s="7"/>
      <c r="J64" s="7"/>
      <c r="K64" s="7"/>
      <c r="L64" s="7"/>
      <c r="M64" s="7"/>
      <c r="N64" s="7"/>
      <c r="O64" s="7"/>
      <c r="P64" s="7"/>
      <c r="Q64" s="7"/>
      <c r="R64" s="7"/>
      <c r="S64" s="7"/>
      <c r="T64" s="7"/>
      <c r="U64" s="7"/>
      <c r="V64" s="7"/>
      <c r="W64" s="7"/>
      <c r="X64" s="7"/>
    </row>
    <row r="65" ht="15.75" customHeight="1">
      <c r="A65" s="6" t="s">
        <v>51534</v>
      </c>
      <c r="B65" s="6" t="s">
        <v>23632</v>
      </c>
      <c r="C65" s="6" t="s">
        <v>51422</v>
      </c>
      <c r="D65" s="6" t="s">
        <v>51535</v>
      </c>
      <c r="E65" s="7"/>
      <c r="F65" s="7"/>
      <c r="G65" s="7"/>
      <c r="H65" s="7"/>
      <c r="I65" s="7"/>
      <c r="J65" s="7"/>
      <c r="K65" s="7"/>
      <c r="L65" s="7"/>
      <c r="M65" s="7"/>
      <c r="N65" s="7"/>
      <c r="O65" s="7"/>
      <c r="P65" s="7"/>
      <c r="Q65" s="7"/>
      <c r="R65" s="7"/>
      <c r="S65" s="7"/>
      <c r="T65" s="7"/>
      <c r="U65" s="7"/>
      <c r="V65" s="7"/>
      <c r="W65" s="7"/>
      <c r="X65" s="7"/>
    </row>
    <row r="66" ht="15.75" customHeight="1">
      <c r="A66" s="6" t="s">
        <v>51536</v>
      </c>
      <c r="B66" s="6" t="s">
        <v>23632</v>
      </c>
      <c r="C66" s="6" t="s">
        <v>51419</v>
      </c>
      <c r="D66" s="6" t="s">
        <v>51537</v>
      </c>
      <c r="E66" s="7"/>
      <c r="F66" s="7"/>
      <c r="G66" s="7"/>
      <c r="H66" s="7"/>
      <c r="I66" s="7"/>
      <c r="J66" s="7"/>
      <c r="K66" s="7"/>
      <c r="L66" s="7"/>
      <c r="M66" s="7"/>
      <c r="N66" s="7"/>
      <c r="O66" s="7"/>
      <c r="P66" s="7"/>
      <c r="Q66" s="7"/>
      <c r="R66" s="7"/>
      <c r="S66" s="7"/>
      <c r="T66" s="7"/>
      <c r="U66" s="7"/>
      <c r="V66" s="7"/>
      <c r="W66" s="7"/>
      <c r="X66" s="7"/>
    </row>
    <row r="67" ht="15.75" customHeight="1">
      <c r="A67" s="6" t="s">
        <v>51538</v>
      </c>
      <c r="B67" s="6" t="s">
        <v>23632</v>
      </c>
      <c r="C67" s="6" t="s">
        <v>51429</v>
      </c>
      <c r="D67" s="6" t="s">
        <v>51539</v>
      </c>
      <c r="E67" s="7"/>
      <c r="F67" s="7"/>
      <c r="G67" s="7"/>
      <c r="H67" s="7"/>
      <c r="I67" s="7"/>
      <c r="J67" s="7"/>
      <c r="K67" s="7"/>
      <c r="L67" s="7"/>
      <c r="M67" s="7"/>
      <c r="N67" s="7"/>
      <c r="O67" s="7"/>
      <c r="P67" s="7"/>
      <c r="Q67" s="7"/>
      <c r="R67" s="7"/>
      <c r="S67" s="7"/>
      <c r="T67" s="7"/>
      <c r="U67" s="7"/>
      <c r="V67" s="7"/>
      <c r="W67" s="7"/>
      <c r="X67" s="7"/>
    </row>
    <row r="68" ht="15.75" customHeight="1">
      <c r="A68" s="6" t="s">
        <v>51540</v>
      </c>
      <c r="B68" s="6" t="s">
        <v>23632</v>
      </c>
      <c r="C68" s="6" t="s">
        <v>51434</v>
      </c>
      <c r="D68" s="6" t="s">
        <v>51541</v>
      </c>
      <c r="E68" s="7"/>
      <c r="F68" s="7"/>
      <c r="G68" s="7"/>
      <c r="H68" s="7"/>
      <c r="I68" s="7"/>
      <c r="J68" s="7"/>
      <c r="K68" s="7"/>
      <c r="L68" s="7"/>
      <c r="M68" s="7"/>
      <c r="N68" s="7"/>
      <c r="O68" s="7"/>
      <c r="P68" s="7"/>
      <c r="Q68" s="7"/>
      <c r="R68" s="7"/>
      <c r="S68" s="7"/>
      <c r="T68" s="7"/>
      <c r="U68" s="7"/>
      <c r="V68" s="7"/>
      <c r="W68" s="7"/>
      <c r="X68" s="7"/>
    </row>
    <row r="69" ht="15.75" customHeight="1">
      <c r="A69" s="6" t="s">
        <v>51542</v>
      </c>
      <c r="B69" s="6" t="s">
        <v>23632</v>
      </c>
      <c r="C69" s="6" t="s">
        <v>51416</v>
      </c>
      <c r="D69" s="6" t="s">
        <v>51543</v>
      </c>
      <c r="E69" s="7"/>
      <c r="F69" s="7"/>
      <c r="G69" s="7"/>
      <c r="H69" s="7"/>
      <c r="I69" s="7"/>
      <c r="J69" s="7"/>
      <c r="K69" s="7"/>
      <c r="L69" s="7"/>
      <c r="M69" s="7"/>
      <c r="N69" s="7"/>
      <c r="O69" s="7"/>
      <c r="P69" s="7"/>
      <c r="Q69" s="7"/>
      <c r="R69" s="7"/>
      <c r="S69" s="7"/>
      <c r="T69" s="7"/>
      <c r="U69" s="7"/>
      <c r="V69" s="7"/>
      <c r="W69" s="7"/>
      <c r="X69" s="7"/>
    </row>
    <row r="70" ht="15.75" customHeight="1">
      <c r="A70" s="6" t="s">
        <v>51544</v>
      </c>
      <c r="B70" s="6" t="s">
        <v>23632</v>
      </c>
      <c r="C70" s="6" t="s">
        <v>51429</v>
      </c>
      <c r="D70" s="6" t="s">
        <v>51545</v>
      </c>
      <c r="E70" s="7"/>
      <c r="F70" s="7"/>
      <c r="G70" s="7"/>
      <c r="H70" s="7"/>
      <c r="I70" s="7"/>
      <c r="J70" s="7"/>
      <c r="K70" s="7"/>
      <c r="L70" s="7"/>
      <c r="M70" s="7"/>
      <c r="N70" s="7"/>
      <c r="O70" s="7"/>
      <c r="P70" s="7"/>
      <c r="Q70" s="7"/>
      <c r="R70" s="7"/>
      <c r="S70" s="7"/>
      <c r="T70" s="7"/>
      <c r="U70" s="7"/>
      <c r="V70" s="7"/>
      <c r="W70" s="7"/>
      <c r="X70" s="7"/>
    </row>
    <row r="71" ht="15.75" customHeight="1">
      <c r="A71" s="6"/>
      <c r="B71" s="6"/>
      <c r="C71" s="6"/>
      <c r="D71" s="6"/>
      <c r="E71" s="7"/>
      <c r="F71" s="7"/>
      <c r="G71" s="7"/>
      <c r="H71" s="7"/>
      <c r="I71" s="7"/>
      <c r="J71" s="7"/>
      <c r="K71" s="7"/>
      <c r="L71" s="7"/>
      <c r="M71" s="7"/>
      <c r="N71" s="7"/>
      <c r="O71" s="7"/>
      <c r="P71" s="7"/>
      <c r="Q71" s="7"/>
      <c r="R71" s="7"/>
      <c r="S71" s="7"/>
      <c r="T71" s="7"/>
      <c r="U71" s="7"/>
      <c r="V71" s="7"/>
      <c r="W71" s="7"/>
      <c r="X71" s="7"/>
    </row>
    <row r="72" ht="15.75" customHeight="1">
      <c r="A72" s="6"/>
      <c r="B72" s="6"/>
      <c r="C72" s="6"/>
      <c r="D72" s="6"/>
      <c r="E72" s="7"/>
      <c r="F72" s="7"/>
      <c r="G72" s="7"/>
      <c r="H72" s="7"/>
      <c r="I72" s="7"/>
      <c r="J72" s="7"/>
      <c r="K72" s="7"/>
      <c r="L72" s="7"/>
      <c r="M72" s="7"/>
      <c r="N72" s="7"/>
      <c r="O72" s="7"/>
      <c r="P72" s="7"/>
      <c r="Q72" s="7"/>
      <c r="R72" s="7"/>
      <c r="S72" s="7"/>
      <c r="T72" s="7"/>
      <c r="U72" s="7"/>
      <c r="V72" s="7"/>
      <c r="W72" s="7"/>
      <c r="X72" s="7"/>
    </row>
    <row r="73" ht="15.75" customHeight="1">
      <c r="A73" s="6"/>
      <c r="B73" s="6"/>
      <c r="C73" s="6"/>
      <c r="D73" s="6"/>
      <c r="E73" s="7"/>
      <c r="F73" s="7"/>
      <c r="G73" s="7"/>
      <c r="H73" s="7"/>
      <c r="I73" s="7"/>
      <c r="J73" s="7"/>
      <c r="K73" s="7"/>
      <c r="L73" s="7"/>
      <c r="M73" s="7"/>
      <c r="N73" s="7"/>
      <c r="O73" s="7"/>
      <c r="P73" s="7"/>
      <c r="Q73" s="7"/>
      <c r="R73" s="7"/>
      <c r="S73" s="7"/>
      <c r="T73" s="7"/>
      <c r="U73" s="7"/>
      <c r="V73" s="7"/>
      <c r="W73" s="7"/>
      <c r="X73" s="7"/>
    </row>
    <row r="74" ht="15.75" customHeight="1">
      <c r="A74" s="6"/>
      <c r="B74" s="6"/>
      <c r="C74" s="6"/>
      <c r="D74" s="6"/>
      <c r="E74" s="7"/>
      <c r="F74" s="7"/>
      <c r="G74" s="7"/>
      <c r="H74" s="7"/>
      <c r="I74" s="7"/>
      <c r="J74" s="7"/>
      <c r="K74" s="7"/>
      <c r="L74" s="7"/>
      <c r="M74" s="7"/>
      <c r="N74" s="7"/>
      <c r="O74" s="7"/>
      <c r="P74" s="7"/>
      <c r="Q74" s="7"/>
      <c r="R74" s="7"/>
      <c r="S74" s="7"/>
      <c r="T74" s="7"/>
      <c r="U74" s="7"/>
      <c r="V74" s="7"/>
      <c r="W74" s="7"/>
      <c r="X74" s="7"/>
    </row>
    <row r="75" ht="15.75" customHeight="1">
      <c r="A75" s="6"/>
      <c r="B75" s="6"/>
      <c r="C75" s="6"/>
      <c r="D75" s="6"/>
      <c r="E75" s="7"/>
      <c r="F75" s="7"/>
      <c r="G75" s="7"/>
      <c r="H75" s="7"/>
      <c r="I75" s="7"/>
      <c r="J75" s="7"/>
      <c r="K75" s="7"/>
      <c r="L75" s="7"/>
      <c r="M75" s="7"/>
      <c r="N75" s="7"/>
      <c r="O75" s="7"/>
      <c r="P75" s="7"/>
      <c r="Q75" s="7"/>
      <c r="R75" s="7"/>
      <c r="S75" s="7"/>
      <c r="T75" s="7"/>
      <c r="U75" s="7"/>
      <c r="V75" s="7"/>
      <c r="W75" s="7"/>
      <c r="X75" s="7"/>
    </row>
    <row r="76" ht="15.75" customHeight="1">
      <c r="A76" s="6"/>
      <c r="B76" s="6"/>
      <c r="C76" s="6"/>
      <c r="D76" s="6"/>
      <c r="E76" s="7"/>
      <c r="F76" s="7"/>
      <c r="G76" s="7"/>
      <c r="H76" s="7"/>
      <c r="I76" s="7"/>
      <c r="J76" s="7"/>
      <c r="K76" s="7"/>
      <c r="L76" s="7"/>
      <c r="M76" s="7"/>
      <c r="N76" s="7"/>
      <c r="O76" s="7"/>
      <c r="P76" s="7"/>
      <c r="Q76" s="7"/>
      <c r="R76" s="7"/>
      <c r="S76" s="7"/>
      <c r="T76" s="7"/>
      <c r="U76" s="7"/>
      <c r="V76" s="7"/>
      <c r="W76" s="7"/>
      <c r="X76" s="7"/>
    </row>
    <row r="77" ht="15.75" customHeight="1">
      <c r="A77" s="6"/>
      <c r="B77" s="6"/>
      <c r="C77" s="6"/>
      <c r="D77" s="6"/>
      <c r="E77" s="7"/>
      <c r="F77" s="7"/>
      <c r="G77" s="7"/>
      <c r="H77" s="7"/>
      <c r="I77" s="7"/>
      <c r="J77" s="7"/>
      <c r="K77" s="7"/>
      <c r="L77" s="7"/>
      <c r="M77" s="7"/>
      <c r="N77" s="7"/>
      <c r="O77" s="7"/>
      <c r="P77" s="7"/>
      <c r="Q77" s="7"/>
      <c r="R77" s="7"/>
      <c r="S77" s="7"/>
      <c r="T77" s="7"/>
      <c r="U77" s="7"/>
      <c r="V77" s="7"/>
      <c r="W77" s="7"/>
      <c r="X77" s="7"/>
    </row>
    <row r="78" ht="15.75" customHeight="1">
      <c r="A78" s="6"/>
      <c r="B78" s="6"/>
      <c r="C78" s="6"/>
      <c r="D78" s="6"/>
      <c r="E78" s="7"/>
      <c r="F78" s="7"/>
      <c r="G78" s="7"/>
      <c r="H78" s="7"/>
      <c r="I78" s="7"/>
      <c r="J78" s="7"/>
      <c r="K78" s="7"/>
      <c r="L78" s="7"/>
      <c r="M78" s="7"/>
      <c r="N78" s="7"/>
      <c r="O78" s="7"/>
      <c r="P78" s="7"/>
      <c r="Q78" s="7"/>
      <c r="R78" s="7"/>
      <c r="S78" s="7"/>
      <c r="T78" s="7"/>
      <c r="U78" s="7"/>
      <c r="V78" s="7"/>
      <c r="W78" s="7"/>
      <c r="X78" s="7"/>
    </row>
    <row r="79" ht="15.75" customHeight="1">
      <c r="A79" s="6"/>
      <c r="B79" s="6"/>
      <c r="C79" s="6"/>
      <c r="D79" s="6"/>
      <c r="E79" s="7"/>
      <c r="F79" s="7"/>
      <c r="G79" s="7"/>
      <c r="H79" s="7"/>
      <c r="I79" s="7"/>
      <c r="J79" s="7"/>
      <c r="K79" s="7"/>
      <c r="L79" s="7"/>
      <c r="M79" s="7"/>
      <c r="N79" s="7"/>
      <c r="O79" s="7"/>
      <c r="P79" s="7"/>
      <c r="Q79" s="7"/>
      <c r="R79" s="7"/>
      <c r="S79" s="7"/>
      <c r="T79" s="7"/>
      <c r="U79" s="7"/>
      <c r="V79" s="7"/>
      <c r="W79" s="7"/>
      <c r="X79" s="7"/>
    </row>
    <row r="80" ht="15.75" customHeight="1">
      <c r="A80" s="6"/>
      <c r="B80" s="6"/>
      <c r="C80" s="6"/>
      <c r="D80" s="6"/>
      <c r="E80" s="7"/>
      <c r="F80" s="7"/>
      <c r="G80" s="7"/>
      <c r="H80" s="7"/>
      <c r="I80" s="7"/>
      <c r="J80" s="7"/>
      <c r="K80" s="7"/>
      <c r="L80" s="7"/>
      <c r="M80" s="7"/>
      <c r="N80" s="7"/>
      <c r="O80" s="7"/>
      <c r="P80" s="7"/>
      <c r="Q80" s="7"/>
      <c r="R80" s="7"/>
      <c r="S80" s="7"/>
      <c r="T80" s="7"/>
      <c r="U80" s="7"/>
      <c r="V80" s="7"/>
      <c r="W80" s="7"/>
      <c r="X80" s="7"/>
    </row>
    <row r="81" ht="15.75" customHeight="1">
      <c r="A81" s="6"/>
      <c r="B81" s="6"/>
      <c r="C81" s="6"/>
      <c r="D81" s="6"/>
      <c r="E81" s="7"/>
      <c r="F81" s="7"/>
      <c r="G81" s="7"/>
      <c r="H81" s="7"/>
      <c r="I81" s="7"/>
      <c r="J81" s="7"/>
      <c r="K81" s="7"/>
      <c r="L81" s="7"/>
      <c r="M81" s="7"/>
      <c r="N81" s="7"/>
      <c r="O81" s="7"/>
      <c r="P81" s="7"/>
      <c r="Q81" s="7"/>
      <c r="R81" s="7"/>
      <c r="S81" s="7"/>
      <c r="T81" s="7"/>
      <c r="U81" s="7"/>
      <c r="V81" s="7"/>
      <c r="W81" s="7"/>
      <c r="X81" s="7"/>
    </row>
    <row r="82" ht="15.75" customHeight="1">
      <c r="A82" s="6"/>
      <c r="B82" s="6"/>
      <c r="C82" s="6"/>
      <c r="D82" s="6"/>
      <c r="E82" s="7"/>
      <c r="F82" s="7"/>
      <c r="G82" s="7"/>
      <c r="H82" s="7"/>
      <c r="I82" s="7"/>
      <c r="J82" s="7"/>
      <c r="K82" s="7"/>
      <c r="L82" s="7"/>
      <c r="M82" s="7"/>
      <c r="N82" s="7"/>
      <c r="O82" s="7"/>
      <c r="P82" s="7"/>
      <c r="Q82" s="7"/>
      <c r="R82" s="7"/>
      <c r="S82" s="7"/>
      <c r="T82" s="7"/>
      <c r="U82" s="7"/>
      <c r="V82" s="7"/>
      <c r="W82" s="7"/>
      <c r="X82" s="7"/>
    </row>
    <row r="83" ht="15.75" customHeight="1">
      <c r="A83" s="6"/>
      <c r="B83" s="6"/>
      <c r="C83" s="6"/>
      <c r="D83" s="6"/>
      <c r="E83" s="7"/>
      <c r="F83" s="7"/>
      <c r="G83" s="7"/>
      <c r="H83" s="7"/>
      <c r="I83" s="7"/>
      <c r="J83" s="7"/>
      <c r="K83" s="7"/>
      <c r="L83" s="7"/>
      <c r="M83" s="7"/>
      <c r="N83" s="7"/>
      <c r="O83" s="7"/>
      <c r="P83" s="7"/>
      <c r="Q83" s="7"/>
      <c r="R83" s="7"/>
      <c r="S83" s="7"/>
      <c r="T83" s="7"/>
      <c r="U83" s="7"/>
      <c r="V83" s="7"/>
      <c r="W83" s="7"/>
      <c r="X83" s="7"/>
    </row>
    <row r="84" ht="15.75" customHeight="1">
      <c r="A84" s="6"/>
      <c r="B84" s="6"/>
      <c r="C84" s="6"/>
      <c r="D84" s="6"/>
      <c r="E84" s="7"/>
      <c r="F84" s="7"/>
      <c r="G84" s="7"/>
      <c r="H84" s="7"/>
      <c r="I84" s="7"/>
      <c r="J84" s="7"/>
      <c r="K84" s="7"/>
      <c r="L84" s="7"/>
      <c r="M84" s="7"/>
      <c r="N84" s="7"/>
      <c r="O84" s="7"/>
      <c r="P84" s="7"/>
      <c r="Q84" s="7"/>
      <c r="R84" s="7"/>
      <c r="S84" s="7"/>
      <c r="T84" s="7"/>
      <c r="U84" s="7"/>
      <c r="V84" s="7"/>
      <c r="W84" s="7"/>
      <c r="X84" s="7"/>
    </row>
    <row r="85" ht="15.75" customHeight="1">
      <c r="A85" s="6"/>
      <c r="B85" s="6"/>
      <c r="C85" s="6"/>
      <c r="D85" s="6"/>
      <c r="E85" s="7"/>
      <c r="F85" s="7"/>
      <c r="G85" s="7"/>
      <c r="H85" s="7"/>
      <c r="I85" s="7"/>
      <c r="J85" s="7"/>
      <c r="K85" s="7"/>
      <c r="L85" s="7"/>
      <c r="M85" s="7"/>
      <c r="N85" s="7"/>
      <c r="O85" s="7"/>
      <c r="P85" s="7"/>
      <c r="Q85" s="7"/>
      <c r="R85" s="7"/>
      <c r="S85" s="7"/>
      <c r="T85" s="7"/>
      <c r="U85" s="7"/>
      <c r="V85" s="7"/>
      <c r="W85" s="7"/>
      <c r="X85" s="7"/>
    </row>
    <row r="86" ht="15.75" customHeight="1">
      <c r="A86" s="6"/>
      <c r="B86" s="6"/>
      <c r="C86" s="6"/>
      <c r="D86" s="6"/>
      <c r="E86" s="7"/>
      <c r="F86" s="7"/>
      <c r="G86" s="7"/>
      <c r="H86" s="7"/>
      <c r="I86" s="7"/>
      <c r="J86" s="7"/>
      <c r="K86" s="7"/>
      <c r="L86" s="7"/>
      <c r="M86" s="7"/>
      <c r="N86" s="7"/>
      <c r="O86" s="7"/>
      <c r="P86" s="7"/>
      <c r="Q86" s="7"/>
      <c r="R86" s="7"/>
      <c r="S86" s="7"/>
      <c r="T86" s="7"/>
      <c r="U86" s="7"/>
      <c r="V86" s="7"/>
      <c r="W86" s="7"/>
      <c r="X86" s="7"/>
    </row>
    <row r="87" ht="15.75" customHeight="1">
      <c r="A87" s="6"/>
      <c r="B87" s="6"/>
      <c r="C87" s="6"/>
      <c r="D87" s="6"/>
      <c r="E87" s="7"/>
      <c r="F87" s="7"/>
      <c r="G87" s="7"/>
      <c r="H87" s="7"/>
      <c r="I87" s="7"/>
      <c r="J87" s="7"/>
      <c r="K87" s="7"/>
      <c r="L87" s="7"/>
      <c r="M87" s="7"/>
      <c r="N87" s="7"/>
      <c r="O87" s="7"/>
      <c r="P87" s="7"/>
      <c r="Q87" s="7"/>
      <c r="R87" s="7"/>
      <c r="S87" s="7"/>
      <c r="T87" s="7"/>
      <c r="U87" s="7"/>
      <c r="V87" s="7"/>
      <c r="W87" s="7"/>
      <c r="X87" s="7"/>
    </row>
    <row r="88" ht="15.75" customHeight="1">
      <c r="A88" s="6"/>
      <c r="B88" s="6"/>
      <c r="C88" s="6"/>
      <c r="D88" s="6"/>
      <c r="E88" s="7"/>
      <c r="F88" s="7"/>
      <c r="G88" s="7"/>
      <c r="H88" s="7"/>
      <c r="I88" s="7"/>
      <c r="J88" s="7"/>
      <c r="K88" s="7"/>
      <c r="L88" s="7"/>
      <c r="M88" s="7"/>
      <c r="N88" s="7"/>
      <c r="O88" s="7"/>
      <c r="P88" s="7"/>
      <c r="Q88" s="7"/>
      <c r="R88" s="7"/>
      <c r="S88" s="7"/>
      <c r="T88" s="7"/>
      <c r="U88" s="7"/>
      <c r="V88" s="7"/>
      <c r="W88" s="7"/>
      <c r="X88" s="7"/>
    </row>
    <row r="89" ht="15.75" customHeight="1">
      <c r="A89" s="6"/>
      <c r="B89" s="6"/>
      <c r="C89" s="6"/>
      <c r="D89" s="6"/>
      <c r="E89" s="7"/>
      <c r="F89" s="7"/>
      <c r="G89" s="7"/>
      <c r="H89" s="7"/>
      <c r="I89" s="7"/>
      <c r="J89" s="7"/>
      <c r="K89" s="7"/>
      <c r="L89" s="7"/>
      <c r="M89" s="7"/>
      <c r="N89" s="7"/>
      <c r="O89" s="7"/>
      <c r="P89" s="7"/>
      <c r="Q89" s="7"/>
      <c r="R89" s="7"/>
      <c r="S89" s="7"/>
      <c r="T89" s="7"/>
      <c r="U89" s="7"/>
      <c r="V89" s="7"/>
      <c r="W89" s="7"/>
      <c r="X89" s="7"/>
    </row>
    <row r="90" ht="15.75" customHeight="1">
      <c r="A90" s="6"/>
      <c r="B90" s="6"/>
      <c r="C90" s="6"/>
      <c r="D90" s="6"/>
      <c r="E90" s="7"/>
      <c r="F90" s="7"/>
      <c r="G90" s="7"/>
      <c r="H90" s="7"/>
      <c r="I90" s="7"/>
      <c r="J90" s="7"/>
      <c r="K90" s="7"/>
      <c r="L90" s="7"/>
      <c r="M90" s="7"/>
      <c r="N90" s="7"/>
      <c r="O90" s="7"/>
      <c r="P90" s="7"/>
      <c r="Q90" s="7"/>
      <c r="R90" s="7"/>
      <c r="S90" s="7"/>
      <c r="T90" s="7"/>
      <c r="U90" s="7"/>
      <c r="V90" s="7"/>
      <c r="W90" s="7"/>
      <c r="X90" s="7"/>
    </row>
    <row r="91" ht="15.75" customHeight="1">
      <c r="A91" s="6"/>
      <c r="B91" s="6"/>
      <c r="C91" s="6"/>
      <c r="D91" s="6"/>
      <c r="E91" s="7"/>
      <c r="F91" s="7"/>
      <c r="G91" s="7"/>
      <c r="H91" s="7"/>
      <c r="I91" s="7"/>
      <c r="J91" s="7"/>
      <c r="K91" s="7"/>
      <c r="L91" s="7"/>
      <c r="M91" s="7"/>
      <c r="N91" s="7"/>
      <c r="O91" s="7"/>
      <c r="P91" s="7"/>
      <c r="Q91" s="7"/>
      <c r="R91" s="7"/>
      <c r="S91" s="7"/>
      <c r="T91" s="7"/>
      <c r="U91" s="7"/>
      <c r="V91" s="7"/>
      <c r="W91" s="7"/>
      <c r="X91" s="7"/>
    </row>
    <row r="92" ht="15.75" customHeight="1">
      <c r="A92" s="6"/>
      <c r="B92" s="6"/>
      <c r="C92" s="6"/>
      <c r="D92" s="6"/>
      <c r="E92" s="7"/>
      <c r="F92" s="7"/>
      <c r="G92" s="7"/>
      <c r="H92" s="7"/>
      <c r="I92" s="7"/>
      <c r="J92" s="7"/>
      <c r="K92" s="7"/>
      <c r="L92" s="7"/>
      <c r="M92" s="7"/>
      <c r="N92" s="7"/>
      <c r="O92" s="7"/>
      <c r="P92" s="7"/>
      <c r="Q92" s="7"/>
      <c r="R92" s="7"/>
      <c r="S92" s="7"/>
      <c r="T92" s="7"/>
      <c r="U92" s="7"/>
      <c r="V92" s="7"/>
      <c r="W92" s="7"/>
      <c r="X92" s="7"/>
    </row>
    <row r="93" ht="15.75" customHeight="1">
      <c r="A93" s="6"/>
      <c r="B93" s="6"/>
      <c r="C93" s="6"/>
      <c r="D93" s="6"/>
      <c r="E93" s="7"/>
      <c r="F93" s="7"/>
      <c r="G93" s="7"/>
      <c r="H93" s="7"/>
      <c r="I93" s="7"/>
      <c r="J93" s="7"/>
      <c r="K93" s="7"/>
      <c r="L93" s="7"/>
      <c r="M93" s="7"/>
      <c r="N93" s="7"/>
      <c r="O93" s="7"/>
      <c r="P93" s="7"/>
      <c r="Q93" s="7"/>
      <c r="R93" s="7"/>
      <c r="S93" s="7"/>
      <c r="T93" s="7"/>
      <c r="U93" s="7"/>
      <c r="V93" s="7"/>
      <c r="W93" s="7"/>
      <c r="X93" s="7"/>
    </row>
    <row r="94" ht="15.75" customHeight="1">
      <c r="A94" s="6"/>
      <c r="B94" s="6"/>
      <c r="C94" s="6"/>
      <c r="D94" s="6"/>
      <c r="E94" s="7"/>
      <c r="F94" s="7"/>
      <c r="G94" s="7"/>
      <c r="H94" s="7"/>
      <c r="I94" s="7"/>
      <c r="J94" s="7"/>
      <c r="K94" s="7"/>
      <c r="L94" s="7"/>
      <c r="M94" s="7"/>
      <c r="N94" s="7"/>
      <c r="O94" s="7"/>
      <c r="P94" s="7"/>
      <c r="Q94" s="7"/>
      <c r="R94" s="7"/>
      <c r="S94" s="7"/>
      <c r="T94" s="7"/>
      <c r="U94" s="7"/>
      <c r="V94" s="7"/>
      <c r="W94" s="7"/>
      <c r="X94" s="7"/>
    </row>
    <row r="95" ht="15.75" customHeight="1">
      <c r="A95" s="6"/>
      <c r="B95" s="6"/>
      <c r="C95" s="6"/>
      <c r="D95" s="6"/>
      <c r="E95" s="7"/>
      <c r="F95" s="7"/>
      <c r="G95" s="7"/>
      <c r="H95" s="7"/>
      <c r="I95" s="7"/>
      <c r="J95" s="7"/>
      <c r="K95" s="7"/>
      <c r="L95" s="7"/>
      <c r="M95" s="7"/>
      <c r="N95" s="7"/>
      <c r="O95" s="7"/>
      <c r="P95" s="7"/>
      <c r="Q95" s="7"/>
      <c r="R95" s="7"/>
      <c r="S95" s="7"/>
      <c r="T95" s="7"/>
      <c r="U95" s="7"/>
      <c r="V95" s="7"/>
      <c r="W95" s="7"/>
      <c r="X95" s="7"/>
    </row>
    <row r="96" ht="15.75" customHeight="1">
      <c r="A96" s="6"/>
      <c r="B96" s="6"/>
      <c r="C96" s="6"/>
      <c r="D96" s="6"/>
      <c r="E96" s="7"/>
      <c r="F96" s="7"/>
      <c r="G96" s="7"/>
      <c r="H96" s="7"/>
      <c r="I96" s="7"/>
      <c r="J96" s="7"/>
      <c r="K96" s="7"/>
      <c r="L96" s="7"/>
      <c r="M96" s="7"/>
      <c r="N96" s="7"/>
      <c r="O96" s="7"/>
      <c r="P96" s="7"/>
      <c r="Q96" s="7"/>
      <c r="R96" s="7"/>
      <c r="S96" s="7"/>
      <c r="T96" s="7"/>
      <c r="U96" s="7"/>
      <c r="V96" s="7"/>
      <c r="W96" s="7"/>
      <c r="X96" s="7"/>
    </row>
    <row r="97" ht="15.75" customHeight="1">
      <c r="A97" s="6"/>
      <c r="B97" s="6"/>
      <c r="C97" s="6"/>
      <c r="D97" s="6"/>
      <c r="E97" s="7"/>
      <c r="F97" s="7"/>
      <c r="G97" s="7"/>
      <c r="H97" s="7"/>
      <c r="I97" s="7"/>
      <c r="J97" s="7"/>
      <c r="K97" s="7"/>
      <c r="L97" s="7"/>
      <c r="M97" s="7"/>
      <c r="N97" s="7"/>
      <c r="O97" s="7"/>
      <c r="P97" s="7"/>
      <c r="Q97" s="7"/>
      <c r="R97" s="7"/>
      <c r="S97" s="7"/>
      <c r="T97" s="7"/>
      <c r="U97" s="7"/>
      <c r="V97" s="7"/>
      <c r="W97" s="7"/>
      <c r="X97" s="7"/>
    </row>
    <row r="98" ht="15.75" customHeight="1">
      <c r="A98" s="6"/>
      <c r="B98" s="6"/>
      <c r="C98" s="6"/>
      <c r="D98" s="6"/>
      <c r="E98" s="7"/>
      <c r="F98" s="7"/>
      <c r="G98" s="7"/>
      <c r="H98" s="7"/>
      <c r="I98" s="7"/>
      <c r="J98" s="7"/>
      <c r="K98" s="7"/>
      <c r="L98" s="7"/>
      <c r="M98" s="7"/>
      <c r="N98" s="7"/>
      <c r="O98" s="7"/>
      <c r="P98" s="7"/>
      <c r="Q98" s="7"/>
      <c r="R98" s="7"/>
      <c r="S98" s="7"/>
      <c r="T98" s="7"/>
      <c r="U98" s="7"/>
      <c r="V98" s="7"/>
      <c r="W98" s="7"/>
      <c r="X98" s="7"/>
    </row>
    <row r="99" ht="15.75" customHeight="1">
      <c r="A99" s="6"/>
      <c r="B99" s="6"/>
      <c r="C99" s="6"/>
      <c r="D99" s="6"/>
      <c r="E99" s="7"/>
      <c r="F99" s="7"/>
      <c r="G99" s="7"/>
      <c r="H99" s="7"/>
      <c r="I99" s="7"/>
      <c r="J99" s="7"/>
      <c r="K99" s="7"/>
      <c r="L99" s="7"/>
      <c r="M99" s="7"/>
      <c r="N99" s="7"/>
      <c r="O99" s="7"/>
      <c r="P99" s="7"/>
      <c r="Q99" s="7"/>
      <c r="R99" s="7"/>
      <c r="S99" s="7"/>
      <c r="T99" s="7"/>
      <c r="U99" s="7"/>
      <c r="V99" s="7"/>
      <c r="W99" s="7"/>
      <c r="X99" s="7"/>
    </row>
    <row r="100" ht="15.75" customHeight="1">
      <c r="A100" s="6"/>
      <c r="B100" s="6"/>
      <c r="C100" s="6"/>
      <c r="D100" s="6"/>
      <c r="E100" s="7"/>
      <c r="F100" s="7"/>
      <c r="G100" s="7"/>
      <c r="H100" s="7"/>
      <c r="I100" s="7"/>
      <c r="J100" s="7"/>
      <c r="K100" s="7"/>
      <c r="L100" s="7"/>
      <c r="M100" s="7"/>
      <c r="N100" s="7"/>
      <c r="O100" s="7"/>
      <c r="P100" s="7"/>
      <c r="Q100" s="7"/>
      <c r="R100" s="7"/>
      <c r="S100" s="7"/>
      <c r="T100" s="7"/>
      <c r="U100" s="7"/>
      <c r="V100" s="7"/>
      <c r="W100" s="7"/>
      <c r="X100" s="7"/>
    </row>
    <row r="101" ht="15.75" customHeight="1">
      <c r="A101" s="6"/>
      <c r="B101" s="6"/>
      <c r="C101" s="6"/>
      <c r="D101" s="6"/>
      <c r="E101" s="7"/>
      <c r="F101" s="7"/>
      <c r="G101" s="7"/>
      <c r="H101" s="7"/>
      <c r="I101" s="7"/>
      <c r="J101" s="7"/>
      <c r="K101" s="7"/>
      <c r="L101" s="7"/>
      <c r="M101" s="7"/>
      <c r="N101" s="7"/>
      <c r="O101" s="7"/>
      <c r="P101" s="7"/>
      <c r="Q101" s="7"/>
      <c r="R101" s="7"/>
      <c r="S101" s="7"/>
      <c r="T101" s="7"/>
      <c r="U101" s="7"/>
      <c r="V101" s="7"/>
      <c r="W101" s="7"/>
      <c r="X101" s="7"/>
    </row>
    <row r="102" ht="15.75" customHeight="1">
      <c r="A102" s="6"/>
      <c r="B102" s="6"/>
      <c r="C102" s="6"/>
      <c r="D102" s="6"/>
      <c r="E102" s="7"/>
      <c r="F102" s="7"/>
      <c r="G102" s="7"/>
      <c r="H102" s="7"/>
      <c r="I102" s="7"/>
      <c r="J102" s="7"/>
      <c r="K102" s="7"/>
      <c r="L102" s="7"/>
      <c r="M102" s="7"/>
      <c r="N102" s="7"/>
      <c r="O102" s="7"/>
      <c r="P102" s="7"/>
      <c r="Q102" s="7"/>
      <c r="R102" s="7"/>
      <c r="S102" s="7"/>
      <c r="T102" s="7"/>
      <c r="U102" s="7"/>
      <c r="V102" s="7"/>
      <c r="W102" s="7"/>
      <c r="X102" s="7"/>
    </row>
    <row r="103" ht="15.75" customHeight="1">
      <c r="A103" s="6"/>
      <c r="B103" s="6"/>
      <c r="C103" s="6"/>
      <c r="D103" s="6"/>
      <c r="E103" s="7"/>
      <c r="F103" s="7"/>
      <c r="G103" s="7"/>
      <c r="H103" s="7"/>
      <c r="I103" s="7"/>
      <c r="J103" s="7"/>
      <c r="K103" s="7"/>
      <c r="L103" s="7"/>
      <c r="M103" s="7"/>
      <c r="N103" s="7"/>
      <c r="O103" s="7"/>
      <c r="P103" s="7"/>
      <c r="Q103" s="7"/>
      <c r="R103" s="7"/>
      <c r="S103" s="7"/>
      <c r="T103" s="7"/>
      <c r="U103" s="7"/>
      <c r="V103" s="7"/>
      <c r="W103" s="7"/>
      <c r="X103" s="7"/>
    </row>
    <row r="104" ht="15.75" customHeight="1">
      <c r="A104" s="6"/>
      <c r="B104" s="6"/>
      <c r="C104" s="6"/>
      <c r="D104" s="6"/>
      <c r="E104" s="7"/>
      <c r="F104" s="7"/>
      <c r="G104" s="7"/>
      <c r="H104" s="7"/>
      <c r="I104" s="7"/>
      <c r="J104" s="7"/>
      <c r="K104" s="7"/>
      <c r="L104" s="7"/>
      <c r="M104" s="7"/>
      <c r="N104" s="7"/>
      <c r="O104" s="7"/>
      <c r="P104" s="7"/>
      <c r="Q104" s="7"/>
      <c r="R104" s="7"/>
      <c r="S104" s="7"/>
      <c r="T104" s="7"/>
      <c r="U104" s="7"/>
      <c r="V104" s="7"/>
      <c r="W104" s="7"/>
      <c r="X104" s="7"/>
    </row>
    <row r="105" ht="15.75" customHeight="1">
      <c r="A105" s="6"/>
      <c r="B105" s="6"/>
      <c r="C105" s="6"/>
      <c r="D105" s="6"/>
      <c r="E105" s="7"/>
      <c r="F105" s="7"/>
      <c r="G105" s="7"/>
      <c r="H105" s="7"/>
      <c r="I105" s="7"/>
      <c r="J105" s="7"/>
      <c r="K105" s="7"/>
      <c r="L105" s="7"/>
      <c r="M105" s="7"/>
      <c r="N105" s="7"/>
      <c r="O105" s="7"/>
      <c r="P105" s="7"/>
      <c r="Q105" s="7"/>
      <c r="R105" s="7"/>
      <c r="S105" s="7"/>
      <c r="T105" s="7"/>
      <c r="U105" s="7"/>
      <c r="V105" s="7"/>
      <c r="W105" s="7"/>
      <c r="X105" s="7"/>
    </row>
    <row r="106" ht="15.75" customHeight="1">
      <c r="A106" s="6"/>
      <c r="B106" s="6"/>
      <c r="C106" s="6"/>
      <c r="D106" s="6"/>
      <c r="E106" s="7"/>
      <c r="F106" s="7"/>
      <c r="G106" s="7"/>
      <c r="H106" s="7"/>
      <c r="I106" s="7"/>
      <c r="J106" s="7"/>
      <c r="K106" s="7"/>
      <c r="L106" s="7"/>
      <c r="M106" s="7"/>
      <c r="N106" s="7"/>
      <c r="O106" s="7"/>
      <c r="P106" s="7"/>
      <c r="Q106" s="7"/>
      <c r="R106" s="7"/>
      <c r="S106" s="7"/>
      <c r="T106" s="7"/>
      <c r="U106" s="7"/>
      <c r="V106" s="7"/>
      <c r="W106" s="7"/>
      <c r="X106" s="7"/>
    </row>
    <row r="107" ht="15.75" customHeight="1">
      <c r="A107" s="6"/>
      <c r="B107" s="6"/>
      <c r="C107" s="6"/>
      <c r="D107" s="6"/>
      <c r="E107" s="7"/>
      <c r="F107" s="7"/>
      <c r="G107" s="7"/>
      <c r="H107" s="7"/>
      <c r="I107" s="7"/>
      <c r="J107" s="7"/>
      <c r="K107" s="7"/>
      <c r="L107" s="7"/>
      <c r="M107" s="7"/>
      <c r="N107" s="7"/>
      <c r="O107" s="7"/>
      <c r="P107" s="7"/>
      <c r="Q107" s="7"/>
      <c r="R107" s="7"/>
      <c r="S107" s="7"/>
      <c r="T107" s="7"/>
      <c r="U107" s="7"/>
      <c r="V107" s="7"/>
      <c r="W107" s="7"/>
      <c r="X107" s="7"/>
    </row>
    <row r="108" ht="15.75" customHeight="1">
      <c r="A108" s="6"/>
      <c r="B108" s="6"/>
      <c r="C108" s="6"/>
      <c r="D108" s="6"/>
      <c r="E108" s="7"/>
      <c r="F108" s="7"/>
      <c r="G108" s="7"/>
      <c r="H108" s="7"/>
      <c r="I108" s="7"/>
      <c r="J108" s="7"/>
      <c r="K108" s="7"/>
      <c r="L108" s="7"/>
      <c r="M108" s="7"/>
      <c r="N108" s="7"/>
      <c r="O108" s="7"/>
      <c r="P108" s="7"/>
      <c r="Q108" s="7"/>
      <c r="R108" s="7"/>
      <c r="S108" s="7"/>
      <c r="T108" s="7"/>
      <c r="U108" s="7"/>
      <c r="V108" s="7"/>
      <c r="W108" s="7"/>
      <c r="X108" s="7"/>
    </row>
    <row r="109" ht="15.75" customHeight="1">
      <c r="A109" s="6"/>
      <c r="B109" s="6"/>
      <c r="C109" s="6"/>
      <c r="D109" s="6"/>
      <c r="E109" s="7"/>
      <c r="F109" s="7"/>
      <c r="G109" s="7"/>
      <c r="H109" s="7"/>
      <c r="I109" s="7"/>
      <c r="J109" s="7"/>
      <c r="K109" s="7"/>
      <c r="L109" s="7"/>
      <c r="M109" s="7"/>
      <c r="N109" s="7"/>
      <c r="O109" s="7"/>
      <c r="P109" s="7"/>
      <c r="Q109" s="7"/>
      <c r="R109" s="7"/>
      <c r="S109" s="7"/>
      <c r="T109" s="7"/>
      <c r="U109" s="7"/>
      <c r="V109" s="7"/>
      <c r="W109" s="7"/>
      <c r="X109" s="7"/>
    </row>
    <row r="110" ht="15.75" customHeight="1">
      <c r="A110" s="6"/>
      <c r="B110" s="6"/>
      <c r="C110" s="6"/>
      <c r="D110" s="6"/>
      <c r="E110" s="7"/>
      <c r="F110" s="7"/>
      <c r="G110" s="7"/>
      <c r="H110" s="7"/>
      <c r="I110" s="7"/>
      <c r="J110" s="7"/>
      <c r="K110" s="7"/>
      <c r="L110" s="7"/>
      <c r="M110" s="7"/>
      <c r="N110" s="7"/>
      <c r="O110" s="7"/>
      <c r="P110" s="7"/>
      <c r="Q110" s="7"/>
      <c r="R110" s="7"/>
      <c r="S110" s="7"/>
      <c r="T110" s="7"/>
      <c r="U110" s="7"/>
      <c r="V110" s="7"/>
      <c r="W110" s="7"/>
      <c r="X110" s="7"/>
    </row>
    <row r="111" ht="15.75" customHeight="1">
      <c r="A111" s="6"/>
      <c r="B111" s="6"/>
      <c r="C111" s="6"/>
      <c r="D111" s="6"/>
      <c r="E111" s="7"/>
      <c r="F111" s="7"/>
      <c r="G111" s="7"/>
      <c r="H111" s="7"/>
      <c r="I111" s="7"/>
      <c r="J111" s="7"/>
      <c r="K111" s="7"/>
      <c r="L111" s="7"/>
      <c r="M111" s="7"/>
      <c r="N111" s="7"/>
      <c r="O111" s="7"/>
      <c r="P111" s="7"/>
      <c r="Q111" s="7"/>
      <c r="R111" s="7"/>
      <c r="S111" s="7"/>
      <c r="T111" s="7"/>
      <c r="U111" s="7"/>
      <c r="V111" s="7"/>
      <c r="W111" s="7"/>
      <c r="X111" s="7"/>
    </row>
    <row r="112" ht="15.75" customHeight="1">
      <c r="A112" s="6"/>
      <c r="B112" s="6"/>
      <c r="C112" s="6"/>
      <c r="D112" s="6"/>
      <c r="E112" s="7"/>
      <c r="F112" s="7"/>
      <c r="G112" s="7"/>
      <c r="H112" s="7"/>
      <c r="I112" s="7"/>
      <c r="J112" s="7"/>
      <c r="K112" s="7"/>
      <c r="L112" s="7"/>
      <c r="M112" s="7"/>
      <c r="N112" s="7"/>
      <c r="O112" s="7"/>
      <c r="P112" s="7"/>
      <c r="Q112" s="7"/>
      <c r="R112" s="7"/>
      <c r="S112" s="7"/>
      <c r="T112" s="7"/>
      <c r="U112" s="7"/>
      <c r="V112" s="7"/>
      <c r="W112" s="7"/>
      <c r="X112" s="7"/>
    </row>
    <row r="113" ht="15.75" customHeight="1">
      <c r="A113" s="6"/>
      <c r="B113" s="6"/>
      <c r="C113" s="6"/>
      <c r="D113" s="6"/>
      <c r="E113" s="7"/>
      <c r="F113" s="7"/>
      <c r="G113" s="7"/>
      <c r="H113" s="7"/>
      <c r="I113" s="7"/>
      <c r="J113" s="7"/>
      <c r="K113" s="7"/>
      <c r="L113" s="7"/>
      <c r="M113" s="7"/>
      <c r="N113" s="7"/>
      <c r="O113" s="7"/>
      <c r="P113" s="7"/>
      <c r="Q113" s="7"/>
      <c r="R113" s="7"/>
      <c r="S113" s="7"/>
      <c r="T113" s="7"/>
      <c r="U113" s="7"/>
      <c r="V113" s="7"/>
      <c r="W113" s="7"/>
      <c r="X113" s="7"/>
    </row>
    <row r="114" ht="15.75" customHeight="1">
      <c r="A114" s="6"/>
      <c r="B114" s="6"/>
      <c r="C114" s="6"/>
      <c r="D114" s="6"/>
      <c r="E114" s="7"/>
      <c r="F114" s="7"/>
      <c r="G114" s="7"/>
      <c r="H114" s="7"/>
      <c r="I114" s="7"/>
      <c r="J114" s="7"/>
      <c r="K114" s="7"/>
      <c r="L114" s="7"/>
      <c r="M114" s="7"/>
      <c r="N114" s="7"/>
      <c r="O114" s="7"/>
      <c r="P114" s="7"/>
      <c r="Q114" s="7"/>
      <c r="R114" s="7"/>
      <c r="S114" s="7"/>
      <c r="T114" s="7"/>
      <c r="U114" s="7"/>
      <c r="V114" s="7"/>
      <c r="W114" s="7"/>
      <c r="X114" s="7"/>
    </row>
    <row r="115" ht="15.75" customHeight="1">
      <c r="A115" s="6"/>
      <c r="B115" s="6"/>
      <c r="C115" s="6"/>
      <c r="D115" s="6"/>
      <c r="E115" s="7"/>
      <c r="F115" s="7"/>
      <c r="G115" s="7"/>
      <c r="H115" s="7"/>
      <c r="I115" s="7"/>
      <c r="J115" s="7"/>
      <c r="K115" s="7"/>
      <c r="L115" s="7"/>
      <c r="M115" s="7"/>
      <c r="N115" s="7"/>
      <c r="O115" s="7"/>
      <c r="P115" s="7"/>
      <c r="Q115" s="7"/>
      <c r="R115" s="7"/>
      <c r="S115" s="7"/>
      <c r="T115" s="7"/>
      <c r="U115" s="7"/>
      <c r="V115" s="7"/>
      <c r="W115" s="7"/>
      <c r="X115" s="7"/>
    </row>
    <row r="116" ht="15.75" customHeight="1">
      <c r="A116" s="6"/>
      <c r="B116" s="6"/>
      <c r="C116" s="6"/>
      <c r="D116" s="6"/>
      <c r="E116" s="7"/>
      <c r="F116" s="7"/>
      <c r="G116" s="7"/>
      <c r="H116" s="7"/>
      <c r="I116" s="7"/>
      <c r="J116" s="7"/>
      <c r="K116" s="7"/>
      <c r="L116" s="7"/>
      <c r="M116" s="7"/>
      <c r="N116" s="7"/>
      <c r="O116" s="7"/>
      <c r="P116" s="7"/>
      <c r="Q116" s="7"/>
      <c r="R116" s="7"/>
      <c r="S116" s="7"/>
      <c r="T116" s="7"/>
      <c r="U116" s="7"/>
      <c r="V116" s="7"/>
      <c r="W116" s="7"/>
      <c r="X116" s="7"/>
    </row>
    <row r="117" ht="15.75" customHeight="1">
      <c r="A117" s="6"/>
      <c r="B117" s="6"/>
      <c r="C117" s="6"/>
      <c r="D117" s="6"/>
      <c r="E117" s="7"/>
      <c r="F117" s="7"/>
      <c r="G117" s="7"/>
      <c r="H117" s="7"/>
      <c r="I117" s="7"/>
      <c r="J117" s="7"/>
      <c r="K117" s="7"/>
      <c r="L117" s="7"/>
      <c r="M117" s="7"/>
      <c r="N117" s="7"/>
      <c r="O117" s="7"/>
      <c r="P117" s="7"/>
      <c r="Q117" s="7"/>
      <c r="R117" s="7"/>
      <c r="S117" s="7"/>
      <c r="T117" s="7"/>
      <c r="U117" s="7"/>
      <c r="V117" s="7"/>
      <c r="W117" s="7"/>
      <c r="X117" s="7"/>
    </row>
    <row r="118" ht="15.75" customHeight="1">
      <c r="A118" s="6"/>
      <c r="B118" s="6"/>
      <c r="C118" s="6"/>
      <c r="D118" s="6"/>
      <c r="E118" s="7"/>
      <c r="F118" s="7"/>
      <c r="G118" s="7"/>
      <c r="H118" s="7"/>
      <c r="I118" s="7"/>
      <c r="J118" s="7"/>
      <c r="K118" s="7"/>
      <c r="L118" s="7"/>
      <c r="M118" s="7"/>
      <c r="N118" s="7"/>
      <c r="O118" s="7"/>
      <c r="P118" s="7"/>
      <c r="Q118" s="7"/>
      <c r="R118" s="7"/>
      <c r="S118" s="7"/>
      <c r="T118" s="7"/>
      <c r="U118" s="7"/>
      <c r="V118" s="7"/>
      <c r="W118" s="7"/>
      <c r="X118" s="7"/>
    </row>
    <row r="119" ht="15.75" customHeight="1">
      <c r="A119" s="6"/>
      <c r="B119" s="6"/>
      <c r="C119" s="6"/>
      <c r="D119" s="6"/>
      <c r="E119" s="7"/>
      <c r="F119" s="7"/>
      <c r="G119" s="7"/>
      <c r="H119" s="7"/>
      <c r="I119" s="7"/>
      <c r="J119" s="7"/>
      <c r="K119" s="7"/>
      <c r="L119" s="7"/>
      <c r="M119" s="7"/>
      <c r="N119" s="7"/>
      <c r="O119" s="7"/>
      <c r="P119" s="7"/>
      <c r="Q119" s="7"/>
      <c r="R119" s="7"/>
      <c r="S119" s="7"/>
      <c r="T119" s="7"/>
      <c r="U119" s="7"/>
      <c r="V119" s="7"/>
      <c r="W119" s="7"/>
      <c r="X119" s="7"/>
    </row>
    <row r="120" ht="15.75" customHeight="1">
      <c r="A120" s="6"/>
      <c r="B120" s="6"/>
      <c r="C120" s="6"/>
      <c r="D120" s="6"/>
      <c r="E120" s="7"/>
      <c r="F120" s="7"/>
      <c r="G120" s="7"/>
      <c r="H120" s="7"/>
      <c r="I120" s="7"/>
      <c r="J120" s="7"/>
      <c r="K120" s="7"/>
      <c r="L120" s="7"/>
      <c r="M120" s="7"/>
      <c r="N120" s="7"/>
      <c r="O120" s="7"/>
      <c r="P120" s="7"/>
      <c r="Q120" s="7"/>
      <c r="R120" s="7"/>
      <c r="S120" s="7"/>
      <c r="T120" s="7"/>
      <c r="U120" s="7"/>
      <c r="V120" s="7"/>
      <c r="W120" s="7"/>
      <c r="X120" s="7"/>
    </row>
    <row r="121" ht="15.75" customHeight="1">
      <c r="A121" s="6"/>
      <c r="B121" s="6"/>
      <c r="C121" s="6"/>
      <c r="D121" s="6"/>
      <c r="E121" s="7"/>
      <c r="F121" s="7"/>
      <c r="G121" s="7"/>
      <c r="H121" s="7"/>
      <c r="I121" s="7"/>
      <c r="J121" s="7"/>
      <c r="K121" s="7"/>
      <c r="L121" s="7"/>
      <c r="M121" s="7"/>
      <c r="N121" s="7"/>
      <c r="O121" s="7"/>
      <c r="P121" s="7"/>
      <c r="Q121" s="7"/>
      <c r="R121" s="7"/>
      <c r="S121" s="7"/>
      <c r="T121" s="7"/>
      <c r="U121" s="7"/>
      <c r="V121" s="7"/>
      <c r="W121" s="7"/>
      <c r="X121" s="7"/>
    </row>
    <row r="122" ht="15.75" customHeight="1">
      <c r="A122" s="6"/>
      <c r="B122" s="6"/>
      <c r="C122" s="6"/>
      <c r="D122" s="6"/>
      <c r="E122" s="7"/>
      <c r="F122" s="7"/>
      <c r="G122" s="7"/>
      <c r="H122" s="7"/>
      <c r="I122" s="7"/>
      <c r="J122" s="7"/>
      <c r="K122" s="7"/>
      <c r="L122" s="7"/>
      <c r="M122" s="7"/>
      <c r="N122" s="7"/>
      <c r="O122" s="7"/>
      <c r="P122" s="7"/>
      <c r="Q122" s="7"/>
      <c r="R122" s="7"/>
      <c r="S122" s="7"/>
      <c r="T122" s="7"/>
      <c r="U122" s="7"/>
      <c r="V122" s="7"/>
      <c r="W122" s="7"/>
      <c r="X122" s="7"/>
    </row>
    <row r="123" ht="15.75" customHeight="1">
      <c r="A123" s="6"/>
      <c r="B123" s="6"/>
      <c r="C123" s="6"/>
      <c r="D123" s="6"/>
      <c r="E123" s="7"/>
      <c r="F123" s="7"/>
      <c r="G123" s="7"/>
      <c r="H123" s="7"/>
      <c r="I123" s="7"/>
      <c r="J123" s="7"/>
      <c r="K123" s="7"/>
      <c r="L123" s="7"/>
      <c r="M123" s="7"/>
      <c r="N123" s="7"/>
      <c r="O123" s="7"/>
      <c r="P123" s="7"/>
      <c r="Q123" s="7"/>
      <c r="R123" s="7"/>
      <c r="S123" s="7"/>
      <c r="T123" s="7"/>
      <c r="U123" s="7"/>
      <c r="V123" s="7"/>
      <c r="W123" s="7"/>
      <c r="X123" s="7"/>
    </row>
    <row r="124" ht="15.75" customHeight="1">
      <c r="A124" s="6"/>
      <c r="B124" s="6"/>
      <c r="C124" s="6"/>
      <c r="D124" s="6"/>
      <c r="E124" s="7"/>
      <c r="F124" s="7"/>
      <c r="G124" s="7"/>
      <c r="H124" s="7"/>
      <c r="I124" s="7"/>
      <c r="J124" s="7"/>
      <c r="K124" s="7"/>
      <c r="L124" s="7"/>
      <c r="M124" s="7"/>
      <c r="N124" s="7"/>
      <c r="O124" s="7"/>
      <c r="P124" s="7"/>
      <c r="Q124" s="7"/>
      <c r="R124" s="7"/>
      <c r="S124" s="7"/>
      <c r="T124" s="7"/>
      <c r="U124" s="7"/>
      <c r="V124" s="7"/>
      <c r="W124" s="7"/>
      <c r="X124" s="7"/>
    </row>
    <row r="125" ht="15.75" customHeight="1">
      <c r="A125" s="6"/>
      <c r="B125" s="6"/>
      <c r="C125" s="6"/>
      <c r="D125" s="6"/>
      <c r="E125" s="7"/>
      <c r="F125" s="7"/>
      <c r="G125" s="7"/>
      <c r="H125" s="7"/>
      <c r="I125" s="7"/>
      <c r="J125" s="7"/>
      <c r="K125" s="7"/>
      <c r="L125" s="7"/>
      <c r="M125" s="7"/>
      <c r="N125" s="7"/>
      <c r="O125" s="7"/>
      <c r="P125" s="7"/>
      <c r="Q125" s="7"/>
      <c r="R125" s="7"/>
      <c r="S125" s="7"/>
      <c r="T125" s="7"/>
      <c r="U125" s="7"/>
      <c r="V125" s="7"/>
      <c r="W125" s="7"/>
      <c r="X125" s="7"/>
    </row>
    <row r="126" ht="15.75" customHeight="1">
      <c r="A126" s="6"/>
      <c r="B126" s="6"/>
      <c r="C126" s="6"/>
      <c r="D126" s="6"/>
      <c r="E126" s="7"/>
      <c r="F126" s="7"/>
      <c r="G126" s="7"/>
      <c r="H126" s="7"/>
      <c r="I126" s="7"/>
      <c r="J126" s="7"/>
      <c r="K126" s="7"/>
      <c r="L126" s="7"/>
      <c r="M126" s="7"/>
      <c r="N126" s="7"/>
      <c r="O126" s="7"/>
      <c r="P126" s="7"/>
      <c r="Q126" s="7"/>
      <c r="R126" s="7"/>
      <c r="S126" s="7"/>
      <c r="T126" s="7"/>
      <c r="U126" s="7"/>
      <c r="V126" s="7"/>
      <c r="W126" s="7"/>
      <c r="X126" s="7"/>
    </row>
    <row r="127" ht="15.75" customHeight="1">
      <c r="A127" s="6"/>
      <c r="B127" s="6"/>
      <c r="C127" s="6"/>
      <c r="D127" s="6"/>
      <c r="E127" s="7"/>
      <c r="F127" s="7"/>
      <c r="G127" s="7"/>
      <c r="H127" s="7"/>
      <c r="I127" s="7"/>
      <c r="J127" s="7"/>
      <c r="K127" s="7"/>
      <c r="L127" s="7"/>
      <c r="M127" s="7"/>
      <c r="N127" s="7"/>
      <c r="O127" s="7"/>
      <c r="P127" s="7"/>
      <c r="Q127" s="7"/>
      <c r="R127" s="7"/>
      <c r="S127" s="7"/>
      <c r="T127" s="7"/>
      <c r="U127" s="7"/>
      <c r="V127" s="7"/>
      <c r="W127" s="7"/>
      <c r="X127" s="7"/>
    </row>
    <row r="128" ht="15.75" customHeight="1">
      <c r="A128" s="6"/>
      <c r="B128" s="6"/>
      <c r="C128" s="6"/>
      <c r="D128" s="6"/>
      <c r="E128" s="7"/>
      <c r="F128" s="7"/>
      <c r="G128" s="7"/>
      <c r="H128" s="7"/>
      <c r="I128" s="7"/>
      <c r="J128" s="7"/>
      <c r="K128" s="7"/>
      <c r="L128" s="7"/>
      <c r="M128" s="7"/>
      <c r="N128" s="7"/>
      <c r="O128" s="7"/>
      <c r="P128" s="7"/>
      <c r="Q128" s="7"/>
      <c r="R128" s="7"/>
      <c r="S128" s="7"/>
      <c r="T128" s="7"/>
      <c r="U128" s="7"/>
      <c r="V128" s="7"/>
      <c r="W128" s="7"/>
      <c r="X128" s="7"/>
    </row>
    <row r="129" ht="15.75" customHeight="1">
      <c r="A129" s="6"/>
      <c r="B129" s="6"/>
      <c r="C129" s="6"/>
      <c r="D129" s="6"/>
      <c r="E129" s="7"/>
      <c r="F129" s="7"/>
      <c r="G129" s="7"/>
      <c r="H129" s="7"/>
      <c r="I129" s="7"/>
      <c r="J129" s="7"/>
      <c r="K129" s="7"/>
      <c r="L129" s="7"/>
      <c r="M129" s="7"/>
      <c r="N129" s="7"/>
      <c r="O129" s="7"/>
      <c r="P129" s="7"/>
      <c r="Q129" s="7"/>
      <c r="R129" s="7"/>
      <c r="S129" s="7"/>
      <c r="T129" s="7"/>
      <c r="U129" s="7"/>
      <c r="V129" s="7"/>
      <c r="W129" s="7"/>
      <c r="X129" s="7"/>
    </row>
    <row r="130" ht="15.75" customHeight="1">
      <c r="A130" s="6"/>
      <c r="B130" s="6"/>
      <c r="C130" s="6"/>
      <c r="D130" s="6"/>
      <c r="E130" s="7"/>
      <c r="F130" s="7"/>
      <c r="G130" s="7"/>
      <c r="H130" s="7"/>
      <c r="I130" s="7"/>
      <c r="J130" s="7"/>
      <c r="K130" s="7"/>
      <c r="L130" s="7"/>
      <c r="M130" s="7"/>
      <c r="N130" s="7"/>
      <c r="O130" s="7"/>
      <c r="P130" s="7"/>
      <c r="Q130" s="7"/>
      <c r="R130" s="7"/>
      <c r="S130" s="7"/>
      <c r="T130" s="7"/>
      <c r="U130" s="7"/>
      <c r="V130" s="7"/>
      <c r="W130" s="7"/>
      <c r="X130" s="7"/>
    </row>
    <row r="131" ht="15.75" customHeight="1">
      <c r="A131" s="6"/>
      <c r="B131" s="6"/>
      <c r="C131" s="6"/>
      <c r="D131" s="6"/>
      <c r="E131" s="7"/>
      <c r="F131" s="7"/>
      <c r="G131" s="7"/>
      <c r="H131" s="7"/>
      <c r="I131" s="7"/>
      <c r="J131" s="7"/>
      <c r="K131" s="7"/>
      <c r="L131" s="7"/>
      <c r="M131" s="7"/>
      <c r="N131" s="7"/>
      <c r="O131" s="7"/>
      <c r="P131" s="7"/>
      <c r="Q131" s="7"/>
      <c r="R131" s="7"/>
      <c r="S131" s="7"/>
      <c r="T131" s="7"/>
      <c r="U131" s="7"/>
      <c r="V131" s="7"/>
      <c r="W131" s="7"/>
      <c r="X131" s="7"/>
    </row>
    <row r="132" ht="15.75" customHeight="1">
      <c r="A132" s="6"/>
      <c r="B132" s="6"/>
      <c r="C132" s="6"/>
      <c r="D132" s="6"/>
      <c r="E132" s="7"/>
      <c r="F132" s="7"/>
      <c r="G132" s="7"/>
      <c r="H132" s="7"/>
      <c r="I132" s="7"/>
      <c r="J132" s="7"/>
      <c r="K132" s="7"/>
      <c r="L132" s="7"/>
      <c r="M132" s="7"/>
      <c r="N132" s="7"/>
      <c r="O132" s="7"/>
      <c r="P132" s="7"/>
      <c r="Q132" s="7"/>
      <c r="R132" s="7"/>
      <c r="S132" s="7"/>
      <c r="T132" s="7"/>
      <c r="U132" s="7"/>
      <c r="V132" s="7"/>
      <c r="W132" s="7"/>
      <c r="X132" s="7"/>
    </row>
    <row r="133" ht="15.75" customHeight="1">
      <c r="A133" s="6"/>
      <c r="B133" s="6"/>
      <c r="C133" s="6"/>
      <c r="D133" s="6"/>
      <c r="E133" s="7"/>
      <c r="F133" s="7"/>
      <c r="G133" s="7"/>
      <c r="H133" s="7"/>
      <c r="I133" s="7"/>
      <c r="J133" s="7"/>
      <c r="K133" s="7"/>
      <c r="L133" s="7"/>
      <c r="M133" s="7"/>
      <c r="N133" s="7"/>
      <c r="O133" s="7"/>
      <c r="P133" s="7"/>
      <c r="Q133" s="7"/>
      <c r="R133" s="7"/>
      <c r="S133" s="7"/>
      <c r="T133" s="7"/>
      <c r="U133" s="7"/>
      <c r="V133" s="7"/>
      <c r="W133" s="7"/>
      <c r="X133" s="7"/>
    </row>
    <row r="134" ht="15.75" customHeight="1">
      <c r="A134" s="6"/>
      <c r="B134" s="6"/>
      <c r="C134" s="6"/>
      <c r="D134" s="6"/>
      <c r="E134" s="7"/>
      <c r="F134" s="7"/>
      <c r="G134" s="7"/>
      <c r="H134" s="7"/>
      <c r="I134" s="7"/>
      <c r="J134" s="7"/>
      <c r="K134" s="7"/>
      <c r="L134" s="7"/>
      <c r="M134" s="7"/>
      <c r="N134" s="7"/>
      <c r="O134" s="7"/>
      <c r="P134" s="7"/>
      <c r="Q134" s="7"/>
      <c r="R134" s="7"/>
      <c r="S134" s="7"/>
      <c r="T134" s="7"/>
      <c r="U134" s="7"/>
      <c r="V134" s="7"/>
      <c r="W134" s="7"/>
      <c r="X134" s="7"/>
    </row>
    <row r="135" ht="15.75" customHeight="1">
      <c r="A135" s="6"/>
      <c r="B135" s="6"/>
      <c r="C135" s="6"/>
      <c r="D135" s="6"/>
      <c r="E135" s="7"/>
      <c r="F135" s="7"/>
      <c r="G135" s="7"/>
      <c r="H135" s="7"/>
      <c r="I135" s="7"/>
      <c r="J135" s="7"/>
      <c r="K135" s="7"/>
      <c r="L135" s="7"/>
      <c r="M135" s="7"/>
      <c r="N135" s="7"/>
      <c r="O135" s="7"/>
      <c r="P135" s="7"/>
      <c r="Q135" s="7"/>
      <c r="R135" s="7"/>
      <c r="S135" s="7"/>
      <c r="T135" s="7"/>
      <c r="U135" s="7"/>
      <c r="V135" s="7"/>
      <c r="W135" s="7"/>
      <c r="X135" s="7"/>
    </row>
    <row r="136" ht="15.75" customHeight="1">
      <c r="A136" s="6"/>
      <c r="B136" s="6"/>
      <c r="C136" s="6"/>
      <c r="D136" s="6"/>
      <c r="E136" s="7"/>
      <c r="F136" s="7"/>
      <c r="G136" s="7"/>
      <c r="H136" s="7"/>
      <c r="I136" s="7"/>
      <c r="J136" s="7"/>
      <c r="K136" s="7"/>
      <c r="L136" s="7"/>
      <c r="M136" s="7"/>
      <c r="N136" s="7"/>
      <c r="O136" s="7"/>
      <c r="P136" s="7"/>
      <c r="Q136" s="7"/>
      <c r="R136" s="7"/>
      <c r="S136" s="7"/>
      <c r="T136" s="7"/>
      <c r="U136" s="7"/>
      <c r="V136" s="7"/>
      <c r="W136" s="7"/>
      <c r="X136" s="7"/>
    </row>
    <row r="137" ht="15.75" customHeight="1">
      <c r="A137" s="6"/>
      <c r="B137" s="6"/>
      <c r="C137" s="6"/>
      <c r="D137" s="6"/>
      <c r="E137" s="7"/>
      <c r="F137" s="7"/>
      <c r="G137" s="7"/>
      <c r="H137" s="7"/>
      <c r="I137" s="7"/>
      <c r="J137" s="7"/>
      <c r="K137" s="7"/>
      <c r="L137" s="7"/>
      <c r="M137" s="7"/>
      <c r="N137" s="7"/>
      <c r="O137" s="7"/>
      <c r="P137" s="7"/>
      <c r="Q137" s="7"/>
      <c r="R137" s="7"/>
      <c r="S137" s="7"/>
      <c r="T137" s="7"/>
      <c r="U137" s="7"/>
      <c r="V137" s="7"/>
      <c r="W137" s="7"/>
      <c r="X137" s="7"/>
    </row>
    <row r="138" ht="15.75" customHeight="1">
      <c r="A138" s="6"/>
      <c r="B138" s="6"/>
      <c r="C138" s="6"/>
      <c r="D138" s="6"/>
      <c r="E138" s="7"/>
      <c r="F138" s="7"/>
      <c r="G138" s="7"/>
      <c r="H138" s="7"/>
      <c r="I138" s="7"/>
      <c r="J138" s="7"/>
      <c r="K138" s="7"/>
      <c r="L138" s="7"/>
      <c r="M138" s="7"/>
      <c r="N138" s="7"/>
      <c r="O138" s="7"/>
      <c r="P138" s="7"/>
      <c r="Q138" s="7"/>
      <c r="R138" s="7"/>
      <c r="S138" s="7"/>
      <c r="T138" s="7"/>
      <c r="U138" s="7"/>
      <c r="V138" s="7"/>
      <c r="W138" s="7"/>
      <c r="X138" s="7"/>
    </row>
    <row r="139" ht="15.75" customHeight="1">
      <c r="A139" s="6"/>
      <c r="B139" s="6"/>
      <c r="C139" s="6"/>
      <c r="D139" s="6"/>
      <c r="E139" s="7"/>
      <c r="F139" s="7"/>
      <c r="G139" s="7"/>
      <c r="H139" s="7"/>
      <c r="I139" s="7"/>
      <c r="J139" s="7"/>
      <c r="K139" s="7"/>
      <c r="L139" s="7"/>
      <c r="M139" s="7"/>
      <c r="N139" s="7"/>
      <c r="O139" s="7"/>
      <c r="P139" s="7"/>
      <c r="Q139" s="7"/>
      <c r="R139" s="7"/>
      <c r="S139" s="7"/>
      <c r="T139" s="7"/>
      <c r="U139" s="7"/>
      <c r="V139" s="7"/>
      <c r="W139" s="7"/>
      <c r="X139" s="7"/>
    </row>
    <row r="140" ht="15.75" customHeight="1">
      <c r="A140" s="6"/>
      <c r="B140" s="6"/>
      <c r="C140" s="6"/>
      <c r="D140" s="6"/>
      <c r="E140" s="7"/>
      <c r="F140" s="7"/>
      <c r="G140" s="7"/>
      <c r="H140" s="7"/>
      <c r="I140" s="7"/>
      <c r="J140" s="7"/>
      <c r="K140" s="7"/>
      <c r="L140" s="7"/>
      <c r="M140" s="7"/>
      <c r="N140" s="7"/>
      <c r="O140" s="7"/>
      <c r="P140" s="7"/>
      <c r="Q140" s="7"/>
      <c r="R140" s="7"/>
      <c r="S140" s="7"/>
      <c r="T140" s="7"/>
      <c r="U140" s="7"/>
      <c r="V140" s="7"/>
      <c r="W140" s="7"/>
      <c r="X140" s="7"/>
    </row>
    <row r="141" ht="15.75" customHeight="1">
      <c r="A141" s="6"/>
      <c r="B141" s="6"/>
      <c r="C141" s="6"/>
      <c r="D141" s="6"/>
      <c r="E141" s="7"/>
      <c r="F141" s="7"/>
      <c r="G141" s="7"/>
      <c r="H141" s="7"/>
      <c r="I141" s="7"/>
      <c r="J141" s="7"/>
      <c r="K141" s="7"/>
      <c r="L141" s="7"/>
      <c r="M141" s="7"/>
      <c r="N141" s="7"/>
      <c r="O141" s="7"/>
      <c r="P141" s="7"/>
      <c r="Q141" s="7"/>
      <c r="R141" s="7"/>
      <c r="S141" s="7"/>
      <c r="T141" s="7"/>
      <c r="U141" s="7"/>
      <c r="V141" s="7"/>
      <c r="W141" s="7"/>
      <c r="X141" s="7"/>
    </row>
    <row r="142" ht="15.75" customHeight="1">
      <c r="A142" s="6"/>
      <c r="B142" s="6"/>
      <c r="C142" s="6"/>
      <c r="D142" s="6"/>
      <c r="E142" s="7"/>
      <c r="F142" s="7"/>
      <c r="G142" s="7"/>
      <c r="H142" s="7"/>
      <c r="I142" s="7"/>
      <c r="J142" s="7"/>
      <c r="K142" s="7"/>
      <c r="L142" s="7"/>
      <c r="M142" s="7"/>
      <c r="N142" s="7"/>
      <c r="O142" s="7"/>
      <c r="P142" s="7"/>
      <c r="Q142" s="7"/>
      <c r="R142" s="7"/>
      <c r="S142" s="7"/>
      <c r="T142" s="7"/>
      <c r="U142" s="7"/>
      <c r="V142" s="7"/>
      <c r="W142" s="7"/>
      <c r="X142" s="7"/>
    </row>
    <row r="143" ht="15.75" customHeight="1">
      <c r="A143" s="6"/>
      <c r="B143" s="6"/>
      <c r="C143" s="6"/>
      <c r="D143" s="6"/>
      <c r="E143" s="7"/>
      <c r="F143" s="7"/>
      <c r="G143" s="7"/>
      <c r="H143" s="7"/>
      <c r="I143" s="7"/>
      <c r="J143" s="7"/>
      <c r="K143" s="7"/>
      <c r="L143" s="7"/>
      <c r="M143" s="7"/>
      <c r="N143" s="7"/>
      <c r="O143" s="7"/>
      <c r="P143" s="7"/>
      <c r="Q143" s="7"/>
      <c r="R143" s="7"/>
      <c r="S143" s="7"/>
      <c r="T143" s="7"/>
      <c r="U143" s="7"/>
      <c r="V143" s="7"/>
      <c r="W143" s="7"/>
      <c r="X143" s="7"/>
    </row>
    <row r="144" ht="15.75" customHeight="1">
      <c r="A144" s="6"/>
      <c r="B144" s="6"/>
      <c r="C144" s="6"/>
      <c r="D144" s="6"/>
      <c r="E144" s="7"/>
      <c r="F144" s="7"/>
      <c r="G144" s="7"/>
      <c r="H144" s="7"/>
      <c r="I144" s="7"/>
      <c r="J144" s="7"/>
      <c r="K144" s="7"/>
      <c r="L144" s="7"/>
      <c r="M144" s="7"/>
      <c r="N144" s="7"/>
      <c r="O144" s="7"/>
      <c r="P144" s="7"/>
      <c r="Q144" s="7"/>
      <c r="R144" s="7"/>
      <c r="S144" s="7"/>
      <c r="T144" s="7"/>
      <c r="U144" s="7"/>
      <c r="V144" s="7"/>
      <c r="W144" s="7"/>
      <c r="X144" s="7"/>
    </row>
    <row r="145" ht="15.75" customHeight="1">
      <c r="A145" s="6"/>
      <c r="B145" s="6"/>
      <c r="C145" s="6"/>
      <c r="D145" s="6"/>
      <c r="E145" s="7"/>
      <c r="F145" s="7"/>
      <c r="G145" s="7"/>
      <c r="H145" s="7"/>
      <c r="I145" s="7"/>
      <c r="J145" s="7"/>
      <c r="K145" s="7"/>
      <c r="L145" s="7"/>
      <c r="M145" s="7"/>
      <c r="N145" s="7"/>
      <c r="O145" s="7"/>
      <c r="P145" s="7"/>
      <c r="Q145" s="7"/>
      <c r="R145" s="7"/>
      <c r="S145" s="7"/>
      <c r="T145" s="7"/>
      <c r="U145" s="7"/>
      <c r="V145" s="7"/>
      <c r="W145" s="7"/>
      <c r="X145" s="7"/>
    </row>
    <row r="146" ht="15.75" customHeight="1">
      <c r="A146" s="6"/>
      <c r="B146" s="6"/>
      <c r="C146" s="6"/>
      <c r="D146" s="6"/>
      <c r="E146" s="7"/>
      <c r="F146" s="7"/>
      <c r="G146" s="7"/>
      <c r="H146" s="7"/>
      <c r="I146" s="7"/>
      <c r="J146" s="7"/>
      <c r="K146" s="7"/>
      <c r="L146" s="7"/>
      <c r="M146" s="7"/>
      <c r="N146" s="7"/>
      <c r="O146" s="7"/>
      <c r="P146" s="7"/>
      <c r="Q146" s="7"/>
      <c r="R146" s="7"/>
      <c r="S146" s="7"/>
      <c r="T146" s="7"/>
      <c r="U146" s="7"/>
      <c r="V146" s="7"/>
      <c r="W146" s="7"/>
      <c r="X146" s="7"/>
    </row>
    <row r="147" ht="15.75" customHeight="1">
      <c r="A147" s="6"/>
      <c r="B147" s="6"/>
      <c r="C147" s="6"/>
      <c r="D147" s="6"/>
      <c r="E147" s="7"/>
      <c r="F147" s="7"/>
      <c r="G147" s="7"/>
      <c r="H147" s="7"/>
      <c r="I147" s="7"/>
      <c r="J147" s="7"/>
      <c r="K147" s="7"/>
      <c r="L147" s="7"/>
      <c r="M147" s="7"/>
      <c r="N147" s="7"/>
      <c r="O147" s="7"/>
      <c r="P147" s="7"/>
      <c r="Q147" s="7"/>
      <c r="R147" s="7"/>
      <c r="S147" s="7"/>
      <c r="T147" s="7"/>
      <c r="U147" s="7"/>
      <c r="V147" s="7"/>
      <c r="W147" s="7"/>
      <c r="X147" s="7"/>
    </row>
    <row r="148" ht="15.75" customHeight="1">
      <c r="A148" s="6"/>
      <c r="B148" s="6"/>
      <c r="C148" s="6"/>
      <c r="D148" s="6"/>
      <c r="E148" s="7"/>
      <c r="F148" s="7"/>
      <c r="G148" s="7"/>
      <c r="H148" s="7"/>
      <c r="I148" s="7"/>
      <c r="J148" s="7"/>
      <c r="K148" s="7"/>
      <c r="L148" s="7"/>
      <c r="M148" s="7"/>
      <c r="N148" s="7"/>
      <c r="O148" s="7"/>
      <c r="P148" s="7"/>
      <c r="Q148" s="7"/>
      <c r="R148" s="7"/>
      <c r="S148" s="7"/>
      <c r="T148" s="7"/>
      <c r="U148" s="7"/>
      <c r="V148" s="7"/>
      <c r="W148" s="7"/>
      <c r="X148" s="7"/>
    </row>
    <row r="149" ht="15.75" customHeight="1">
      <c r="A149" s="6"/>
      <c r="B149" s="6"/>
      <c r="C149" s="6"/>
      <c r="D149" s="6"/>
      <c r="E149" s="7"/>
      <c r="F149" s="7"/>
      <c r="G149" s="7"/>
      <c r="H149" s="7"/>
      <c r="I149" s="7"/>
      <c r="J149" s="7"/>
      <c r="K149" s="7"/>
      <c r="L149" s="7"/>
      <c r="M149" s="7"/>
      <c r="N149" s="7"/>
      <c r="O149" s="7"/>
      <c r="P149" s="7"/>
      <c r="Q149" s="7"/>
      <c r="R149" s="7"/>
      <c r="S149" s="7"/>
      <c r="T149" s="7"/>
      <c r="U149" s="7"/>
      <c r="V149" s="7"/>
      <c r="W149" s="7"/>
      <c r="X149" s="7"/>
    </row>
    <row r="150" ht="15.75" customHeight="1">
      <c r="A150" s="6"/>
      <c r="B150" s="6"/>
      <c r="C150" s="6"/>
      <c r="D150" s="6"/>
      <c r="E150" s="7"/>
      <c r="F150" s="7"/>
      <c r="G150" s="7"/>
      <c r="H150" s="7"/>
      <c r="I150" s="7"/>
      <c r="J150" s="7"/>
      <c r="K150" s="7"/>
      <c r="L150" s="7"/>
      <c r="M150" s="7"/>
      <c r="N150" s="7"/>
      <c r="O150" s="7"/>
      <c r="P150" s="7"/>
      <c r="Q150" s="7"/>
      <c r="R150" s="7"/>
      <c r="S150" s="7"/>
      <c r="T150" s="7"/>
      <c r="U150" s="7"/>
      <c r="V150" s="7"/>
      <c r="W150" s="7"/>
      <c r="X150" s="7"/>
    </row>
    <row r="151" ht="15.75" customHeight="1">
      <c r="A151" s="6"/>
      <c r="B151" s="6"/>
      <c r="C151" s="6"/>
      <c r="D151" s="6"/>
      <c r="E151" s="7"/>
      <c r="F151" s="7"/>
      <c r="G151" s="7"/>
      <c r="H151" s="7"/>
      <c r="I151" s="7"/>
      <c r="J151" s="7"/>
      <c r="K151" s="7"/>
      <c r="L151" s="7"/>
      <c r="M151" s="7"/>
      <c r="N151" s="7"/>
      <c r="O151" s="7"/>
      <c r="P151" s="7"/>
      <c r="Q151" s="7"/>
      <c r="R151" s="7"/>
      <c r="S151" s="7"/>
      <c r="T151" s="7"/>
      <c r="U151" s="7"/>
      <c r="V151" s="7"/>
      <c r="W151" s="7"/>
      <c r="X151" s="7"/>
    </row>
    <row r="152" ht="15.75" customHeight="1">
      <c r="A152" s="6"/>
      <c r="B152" s="6"/>
      <c r="C152" s="6"/>
      <c r="D152" s="6"/>
      <c r="E152" s="7"/>
      <c r="F152" s="7"/>
      <c r="G152" s="7"/>
      <c r="H152" s="7"/>
      <c r="I152" s="7"/>
      <c r="J152" s="7"/>
      <c r="K152" s="7"/>
      <c r="L152" s="7"/>
      <c r="M152" s="7"/>
      <c r="N152" s="7"/>
      <c r="O152" s="7"/>
      <c r="P152" s="7"/>
      <c r="Q152" s="7"/>
      <c r="R152" s="7"/>
      <c r="S152" s="7"/>
      <c r="T152" s="7"/>
      <c r="U152" s="7"/>
      <c r="V152" s="7"/>
      <c r="W152" s="7"/>
      <c r="X152" s="7"/>
    </row>
    <row r="153" ht="15.75" customHeight="1">
      <c r="A153" s="6"/>
      <c r="B153" s="6"/>
      <c r="C153" s="6"/>
      <c r="D153" s="6"/>
      <c r="E153" s="7"/>
      <c r="F153" s="7"/>
      <c r="G153" s="7"/>
      <c r="H153" s="7"/>
      <c r="I153" s="7"/>
      <c r="J153" s="7"/>
      <c r="K153" s="7"/>
      <c r="L153" s="7"/>
      <c r="M153" s="7"/>
      <c r="N153" s="7"/>
      <c r="O153" s="7"/>
      <c r="P153" s="7"/>
      <c r="Q153" s="7"/>
      <c r="R153" s="7"/>
      <c r="S153" s="7"/>
      <c r="T153" s="7"/>
      <c r="U153" s="7"/>
      <c r="V153" s="7"/>
      <c r="W153" s="7"/>
      <c r="X153" s="7"/>
    </row>
    <row r="154" ht="15.75" customHeight="1">
      <c r="A154" s="6"/>
      <c r="B154" s="6"/>
      <c r="C154" s="6"/>
      <c r="D154" s="6"/>
      <c r="E154" s="7"/>
      <c r="F154" s="7"/>
      <c r="G154" s="7"/>
      <c r="H154" s="7"/>
      <c r="I154" s="7"/>
      <c r="J154" s="7"/>
      <c r="K154" s="7"/>
      <c r="L154" s="7"/>
      <c r="M154" s="7"/>
      <c r="N154" s="7"/>
      <c r="O154" s="7"/>
      <c r="P154" s="7"/>
      <c r="Q154" s="7"/>
      <c r="R154" s="7"/>
      <c r="S154" s="7"/>
      <c r="T154" s="7"/>
      <c r="U154" s="7"/>
      <c r="V154" s="7"/>
      <c r="W154" s="7"/>
      <c r="X154" s="7"/>
    </row>
    <row r="155" ht="15.75" customHeight="1">
      <c r="A155" s="6"/>
      <c r="B155" s="6"/>
      <c r="C155" s="6"/>
      <c r="D155" s="6"/>
      <c r="E155" s="7"/>
      <c r="F155" s="7"/>
      <c r="G155" s="7"/>
      <c r="H155" s="7"/>
      <c r="I155" s="7"/>
      <c r="J155" s="7"/>
      <c r="K155" s="7"/>
      <c r="L155" s="7"/>
      <c r="M155" s="7"/>
      <c r="N155" s="7"/>
      <c r="O155" s="7"/>
      <c r="P155" s="7"/>
      <c r="Q155" s="7"/>
      <c r="R155" s="7"/>
      <c r="S155" s="7"/>
      <c r="T155" s="7"/>
      <c r="U155" s="7"/>
      <c r="V155" s="7"/>
      <c r="W155" s="7"/>
      <c r="X155" s="7"/>
    </row>
    <row r="156" ht="15.75" customHeight="1">
      <c r="A156" s="6"/>
      <c r="B156" s="6"/>
      <c r="C156" s="6"/>
      <c r="D156" s="6"/>
      <c r="E156" s="7"/>
      <c r="F156" s="7"/>
      <c r="G156" s="7"/>
      <c r="H156" s="7"/>
      <c r="I156" s="7"/>
      <c r="J156" s="7"/>
      <c r="K156" s="7"/>
      <c r="L156" s="7"/>
      <c r="M156" s="7"/>
      <c r="N156" s="7"/>
      <c r="O156" s="7"/>
      <c r="P156" s="7"/>
      <c r="Q156" s="7"/>
      <c r="R156" s="7"/>
      <c r="S156" s="7"/>
      <c r="T156" s="7"/>
      <c r="U156" s="7"/>
      <c r="V156" s="7"/>
      <c r="W156" s="7"/>
      <c r="X156" s="7"/>
    </row>
    <row r="157" ht="15.75" customHeight="1">
      <c r="A157" s="6"/>
      <c r="B157" s="6"/>
      <c r="C157" s="6"/>
      <c r="D157" s="6"/>
      <c r="E157" s="7"/>
      <c r="F157" s="7"/>
      <c r="G157" s="7"/>
      <c r="H157" s="7"/>
      <c r="I157" s="7"/>
      <c r="J157" s="7"/>
      <c r="K157" s="7"/>
      <c r="L157" s="7"/>
      <c r="M157" s="7"/>
      <c r="N157" s="7"/>
      <c r="O157" s="7"/>
      <c r="P157" s="7"/>
      <c r="Q157" s="7"/>
      <c r="R157" s="7"/>
      <c r="S157" s="7"/>
      <c r="T157" s="7"/>
      <c r="U157" s="7"/>
      <c r="V157" s="7"/>
      <c r="W157" s="7"/>
      <c r="X157" s="7"/>
    </row>
    <row r="158" ht="15.75" customHeight="1">
      <c r="A158" s="6"/>
      <c r="B158" s="6"/>
      <c r="C158" s="6"/>
      <c r="D158" s="6"/>
      <c r="E158" s="7"/>
      <c r="F158" s="7"/>
      <c r="G158" s="7"/>
      <c r="H158" s="7"/>
      <c r="I158" s="7"/>
      <c r="J158" s="7"/>
      <c r="K158" s="7"/>
      <c r="L158" s="7"/>
      <c r="M158" s="7"/>
      <c r="N158" s="7"/>
      <c r="O158" s="7"/>
      <c r="P158" s="7"/>
      <c r="Q158" s="7"/>
      <c r="R158" s="7"/>
      <c r="S158" s="7"/>
      <c r="T158" s="7"/>
      <c r="U158" s="7"/>
      <c r="V158" s="7"/>
      <c r="W158" s="7"/>
      <c r="X158" s="7"/>
    </row>
    <row r="159" ht="15.75" customHeight="1">
      <c r="A159" s="6"/>
      <c r="B159" s="6"/>
      <c r="C159" s="6"/>
      <c r="D159" s="6"/>
      <c r="E159" s="7"/>
      <c r="F159" s="7"/>
      <c r="G159" s="7"/>
      <c r="H159" s="7"/>
      <c r="I159" s="7"/>
      <c r="J159" s="7"/>
      <c r="K159" s="7"/>
      <c r="L159" s="7"/>
      <c r="M159" s="7"/>
      <c r="N159" s="7"/>
      <c r="O159" s="7"/>
      <c r="P159" s="7"/>
      <c r="Q159" s="7"/>
      <c r="R159" s="7"/>
      <c r="S159" s="7"/>
      <c r="T159" s="7"/>
      <c r="U159" s="7"/>
      <c r="V159" s="7"/>
      <c r="W159" s="7"/>
      <c r="X159" s="7"/>
    </row>
    <row r="160" ht="15.75" customHeight="1">
      <c r="A160" s="6"/>
      <c r="B160" s="6"/>
      <c r="C160" s="6"/>
      <c r="D160" s="6"/>
      <c r="E160" s="7"/>
      <c r="F160" s="7"/>
      <c r="G160" s="7"/>
      <c r="H160" s="7"/>
      <c r="I160" s="7"/>
      <c r="J160" s="7"/>
      <c r="K160" s="7"/>
      <c r="L160" s="7"/>
      <c r="M160" s="7"/>
      <c r="N160" s="7"/>
      <c r="O160" s="7"/>
      <c r="P160" s="7"/>
      <c r="Q160" s="7"/>
      <c r="R160" s="7"/>
      <c r="S160" s="7"/>
      <c r="T160" s="7"/>
      <c r="U160" s="7"/>
      <c r="V160" s="7"/>
      <c r="W160" s="7"/>
      <c r="X160" s="7"/>
    </row>
    <row r="161" ht="15.75" customHeight="1">
      <c r="A161" s="6"/>
      <c r="B161" s="6"/>
      <c r="C161" s="6"/>
      <c r="D161" s="6"/>
      <c r="E161" s="7"/>
      <c r="F161" s="7"/>
      <c r="G161" s="7"/>
      <c r="H161" s="7"/>
      <c r="I161" s="7"/>
      <c r="J161" s="7"/>
      <c r="K161" s="7"/>
      <c r="L161" s="7"/>
      <c r="M161" s="7"/>
      <c r="N161" s="7"/>
      <c r="O161" s="7"/>
      <c r="P161" s="7"/>
      <c r="Q161" s="7"/>
      <c r="R161" s="7"/>
      <c r="S161" s="7"/>
      <c r="T161" s="7"/>
      <c r="U161" s="7"/>
      <c r="V161" s="7"/>
      <c r="W161" s="7"/>
      <c r="X161" s="7"/>
    </row>
    <row r="162" ht="15.75" customHeight="1">
      <c r="A162" s="6"/>
      <c r="B162" s="6"/>
      <c r="C162" s="6"/>
      <c r="D162" s="6"/>
      <c r="E162" s="7"/>
      <c r="F162" s="7"/>
      <c r="G162" s="7"/>
      <c r="H162" s="7"/>
      <c r="I162" s="7"/>
      <c r="J162" s="7"/>
      <c r="K162" s="7"/>
      <c r="L162" s="7"/>
      <c r="M162" s="7"/>
      <c r="N162" s="7"/>
      <c r="O162" s="7"/>
      <c r="P162" s="7"/>
      <c r="Q162" s="7"/>
      <c r="R162" s="7"/>
      <c r="S162" s="7"/>
      <c r="T162" s="7"/>
      <c r="U162" s="7"/>
      <c r="V162" s="7"/>
      <c r="W162" s="7"/>
      <c r="X162" s="7"/>
    </row>
    <row r="163" ht="15.75" customHeight="1">
      <c r="A163" s="6"/>
      <c r="B163" s="6"/>
      <c r="C163" s="6"/>
      <c r="D163" s="6"/>
      <c r="E163" s="7"/>
      <c r="F163" s="7"/>
      <c r="G163" s="7"/>
      <c r="H163" s="7"/>
      <c r="I163" s="7"/>
      <c r="J163" s="7"/>
      <c r="K163" s="7"/>
      <c r="L163" s="7"/>
      <c r="M163" s="7"/>
      <c r="N163" s="7"/>
      <c r="O163" s="7"/>
      <c r="P163" s="7"/>
      <c r="Q163" s="7"/>
      <c r="R163" s="7"/>
      <c r="S163" s="7"/>
      <c r="T163" s="7"/>
      <c r="U163" s="7"/>
      <c r="V163" s="7"/>
      <c r="W163" s="7"/>
      <c r="X163" s="7"/>
    </row>
    <row r="164" ht="15.75" customHeight="1">
      <c r="A164" s="6"/>
      <c r="B164" s="6"/>
      <c r="C164" s="6"/>
      <c r="D164" s="6"/>
      <c r="E164" s="7"/>
      <c r="F164" s="7"/>
      <c r="G164" s="7"/>
      <c r="H164" s="7"/>
      <c r="I164" s="7"/>
      <c r="J164" s="7"/>
      <c r="K164" s="7"/>
      <c r="L164" s="7"/>
      <c r="M164" s="7"/>
      <c r="N164" s="7"/>
      <c r="O164" s="7"/>
      <c r="P164" s="7"/>
      <c r="Q164" s="7"/>
      <c r="R164" s="7"/>
      <c r="S164" s="7"/>
      <c r="T164" s="7"/>
      <c r="U164" s="7"/>
      <c r="V164" s="7"/>
      <c r="W164" s="7"/>
      <c r="X164" s="7"/>
    </row>
    <row r="165" ht="15.75" customHeight="1">
      <c r="A165" s="6"/>
      <c r="B165" s="6"/>
      <c r="C165" s="6"/>
      <c r="D165" s="6"/>
      <c r="E165" s="7"/>
      <c r="F165" s="7"/>
      <c r="G165" s="7"/>
      <c r="H165" s="7"/>
      <c r="I165" s="7"/>
      <c r="J165" s="7"/>
      <c r="K165" s="7"/>
      <c r="L165" s="7"/>
      <c r="M165" s="7"/>
      <c r="N165" s="7"/>
      <c r="O165" s="7"/>
      <c r="P165" s="7"/>
      <c r="Q165" s="7"/>
      <c r="R165" s="7"/>
      <c r="S165" s="7"/>
      <c r="T165" s="7"/>
      <c r="U165" s="7"/>
      <c r="V165" s="7"/>
      <c r="W165" s="7"/>
      <c r="X165" s="7"/>
    </row>
    <row r="166" ht="15.75" customHeight="1">
      <c r="A166" s="6"/>
      <c r="B166" s="6"/>
      <c r="C166" s="6"/>
      <c r="D166" s="6"/>
      <c r="E166" s="7"/>
      <c r="F166" s="7"/>
      <c r="G166" s="7"/>
      <c r="H166" s="7"/>
      <c r="I166" s="7"/>
      <c r="J166" s="7"/>
      <c r="K166" s="7"/>
      <c r="L166" s="7"/>
      <c r="M166" s="7"/>
      <c r="N166" s="7"/>
      <c r="O166" s="7"/>
      <c r="P166" s="7"/>
      <c r="Q166" s="7"/>
      <c r="R166" s="7"/>
      <c r="S166" s="7"/>
      <c r="T166" s="7"/>
      <c r="U166" s="7"/>
      <c r="V166" s="7"/>
      <c r="W166" s="7"/>
      <c r="X166" s="7"/>
    </row>
    <row r="167" ht="15.75" customHeight="1">
      <c r="A167" s="6"/>
      <c r="B167" s="6"/>
      <c r="C167" s="6"/>
      <c r="D167" s="6"/>
      <c r="E167" s="7"/>
      <c r="F167" s="7"/>
      <c r="G167" s="7"/>
      <c r="H167" s="7"/>
      <c r="I167" s="7"/>
      <c r="J167" s="7"/>
      <c r="K167" s="7"/>
      <c r="L167" s="7"/>
      <c r="M167" s="7"/>
      <c r="N167" s="7"/>
      <c r="O167" s="7"/>
      <c r="P167" s="7"/>
      <c r="Q167" s="7"/>
      <c r="R167" s="7"/>
      <c r="S167" s="7"/>
      <c r="T167" s="7"/>
      <c r="U167" s="7"/>
      <c r="V167" s="7"/>
      <c r="W167" s="7"/>
      <c r="X167" s="7"/>
    </row>
    <row r="168" ht="15.75" customHeight="1">
      <c r="A168" s="6"/>
      <c r="B168" s="6"/>
      <c r="C168" s="6"/>
      <c r="D168" s="6"/>
      <c r="E168" s="7"/>
      <c r="F168" s="7"/>
      <c r="G168" s="7"/>
      <c r="H168" s="7"/>
      <c r="I168" s="7"/>
      <c r="J168" s="7"/>
      <c r="K168" s="7"/>
      <c r="L168" s="7"/>
      <c r="M168" s="7"/>
      <c r="N168" s="7"/>
      <c r="O168" s="7"/>
      <c r="P168" s="7"/>
      <c r="Q168" s="7"/>
      <c r="R168" s="7"/>
      <c r="S168" s="7"/>
      <c r="T168" s="7"/>
      <c r="U168" s="7"/>
      <c r="V168" s="7"/>
      <c r="W168" s="7"/>
      <c r="X168" s="7"/>
    </row>
    <row r="169" ht="15.75" customHeight="1">
      <c r="A169" s="6"/>
      <c r="B169" s="6"/>
      <c r="C169" s="6"/>
      <c r="D169" s="6"/>
      <c r="E169" s="7"/>
      <c r="F169" s="7"/>
      <c r="G169" s="7"/>
      <c r="H169" s="7"/>
      <c r="I169" s="7"/>
      <c r="J169" s="7"/>
      <c r="K169" s="7"/>
      <c r="L169" s="7"/>
      <c r="M169" s="7"/>
      <c r="N169" s="7"/>
      <c r="O169" s="7"/>
      <c r="P169" s="7"/>
      <c r="Q169" s="7"/>
      <c r="R169" s="7"/>
      <c r="S169" s="7"/>
      <c r="T169" s="7"/>
      <c r="U169" s="7"/>
      <c r="V169" s="7"/>
      <c r="W169" s="7"/>
      <c r="X169" s="7"/>
    </row>
    <row r="170" ht="15.75" customHeight="1">
      <c r="A170" s="6"/>
      <c r="B170" s="6"/>
      <c r="C170" s="6"/>
      <c r="D170" s="6"/>
      <c r="E170" s="7"/>
      <c r="F170" s="7"/>
      <c r="G170" s="7"/>
      <c r="H170" s="7"/>
      <c r="I170" s="7"/>
      <c r="J170" s="7"/>
      <c r="K170" s="7"/>
      <c r="L170" s="7"/>
      <c r="M170" s="7"/>
      <c r="N170" s="7"/>
      <c r="O170" s="7"/>
      <c r="P170" s="7"/>
      <c r="Q170" s="7"/>
      <c r="R170" s="7"/>
      <c r="S170" s="7"/>
      <c r="T170" s="7"/>
      <c r="U170" s="7"/>
      <c r="V170" s="7"/>
      <c r="W170" s="7"/>
      <c r="X170" s="7"/>
    </row>
    <row r="171" ht="15.75" customHeight="1">
      <c r="A171" s="6"/>
      <c r="B171" s="6"/>
      <c r="C171" s="6"/>
      <c r="D171" s="6"/>
      <c r="E171" s="7"/>
      <c r="F171" s="7"/>
      <c r="G171" s="7"/>
      <c r="H171" s="7"/>
      <c r="I171" s="7"/>
      <c r="J171" s="7"/>
      <c r="K171" s="7"/>
      <c r="L171" s="7"/>
      <c r="M171" s="7"/>
      <c r="N171" s="7"/>
      <c r="O171" s="7"/>
      <c r="P171" s="7"/>
      <c r="Q171" s="7"/>
      <c r="R171" s="7"/>
      <c r="S171" s="7"/>
      <c r="T171" s="7"/>
      <c r="U171" s="7"/>
      <c r="V171" s="7"/>
      <c r="W171" s="7"/>
      <c r="X171" s="7"/>
    </row>
    <row r="172" ht="15.75" customHeight="1">
      <c r="A172" s="6"/>
      <c r="B172" s="6"/>
      <c r="C172" s="6"/>
      <c r="D172" s="6"/>
      <c r="E172" s="7"/>
      <c r="F172" s="7"/>
      <c r="G172" s="7"/>
      <c r="H172" s="7"/>
      <c r="I172" s="7"/>
      <c r="J172" s="7"/>
      <c r="K172" s="7"/>
      <c r="L172" s="7"/>
      <c r="M172" s="7"/>
      <c r="N172" s="7"/>
      <c r="O172" s="7"/>
      <c r="P172" s="7"/>
      <c r="Q172" s="7"/>
      <c r="R172" s="7"/>
      <c r="S172" s="7"/>
      <c r="T172" s="7"/>
      <c r="U172" s="7"/>
      <c r="V172" s="7"/>
      <c r="W172" s="7"/>
      <c r="X172" s="7"/>
    </row>
    <row r="173" ht="15.75" customHeight="1">
      <c r="A173" s="6"/>
      <c r="B173" s="6"/>
      <c r="C173" s="6"/>
      <c r="D173" s="6"/>
      <c r="E173" s="7"/>
      <c r="F173" s="7"/>
      <c r="G173" s="7"/>
      <c r="H173" s="7"/>
      <c r="I173" s="7"/>
      <c r="J173" s="7"/>
      <c r="K173" s="7"/>
      <c r="L173" s="7"/>
      <c r="M173" s="7"/>
      <c r="N173" s="7"/>
      <c r="O173" s="7"/>
      <c r="P173" s="7"/>
      <c r="Q173" s="7"/>
      <c r="R173" s="7"/>
      <c r="S173" s="7"/>
      <c r="T173" s="7"/>
      <c r="U173" s="7"/>
      <c r="V173" s="7"/>
      <c r="W173" s="7"/>
      <c r="X173" s="7"/>
    </row>
    <row r="174" ht="15.75" customHeight="1">
      <c r="A174" s="6"/>
      <c r="B174" s="6"/>
      <c r="C174" s="6"/>
      <c r="D174" s="6"/>
      <c r="E174" s="7"/>
      <c r="F174" s="7"/>
      <c r="G174" s="7"/>
      <c r="H174" s="7"/>
      <c r="I174" s="7"/>
      <c r="J174" s="7"/>
      <c r="K174" s="7"/>
      <c r="L174" s="7"/>
      <c r="M174" s="7"/>
      <c r="N174" s="7"/>
      <c r="O174" s="7"/>
      <c r="P174" s="7"/>
      <c r="Q174" s="7"/>
      <c r="R174" s="7"/>
      <c r="S174" s="7"/>
      <c r="T174" s="7"/>
      <c r="U174" s="7"/>
      <c r="V174" s="7"/>
      <c r="W174" s="7"/>
      <c r="X174" s="7"/>
    </row>
    <row r="175" ht="15.75" customHeight="1">
      <c r="A175" s="6"/>
      <c r="B175" s="6"/>
      <c r="C175" s="6"/>
      <c r="D175" s="6"/>
      <c r="E175" s="7"/>
      <c r="F175" s="7"/>
      <c r="G175" s="7"/>
      <c r="H175" s="7"/>
      <c r="I175" s="7"/>
      <c r="J175" s="7"/>
      <c r="K175" s="7"/>
      <c r="L175" s="7"/>
      <c r="M175" s="7"/>
      <c r="N175" s="7"/>
      <c r="O175" s="7"/>
      <c r="P175" s="7"/>
      <c r="Q175" s="7"/>
      <c r="R175" s="7"/>
      <c r="S175" s="7"/>
      <c r="T175" s="7"/>
      <c r="U175" s="7"/>
      <c r="V175" s="7"/>
      <c r="W175" s="7"/>
      <c r="X175" s="7"/>
    </row>
    <row r="176" ht="15.75" customHeight="1">
      <c r="A176" s="6"/>
      <c r="B176" s="6"/>
      <c r="C176" s="6"/>
      <c r="D176" s="6"/>
      <c r="E176" s="7"/>
      <c r="F176" s="7"/>
      <c r="G176" s="7"/>
      <c r="H176" s="7"/>
      <c r="I176" s="7"/>
      <c r="J176" s="7"/>
      <c r="K176" s="7"/>
      <c r="L176" s="7"/>
      <c r="M176" s="7"/>
      <c r="N176" s="7"/>
      <c r="O176" s="7"/>
      <c r="P176" s="7"/>
      <c r="Q176" s="7"/>
      <c r="R176" s="7"/>
      <c r="S176" s="7"/>
      <c r="T176" s="7"/>
      <c r="U176" s="7"/>
      <c r="V176" s="7"/>
      <c r="W176" s="7"/>
      <c r="X176" s="7"/>
    </row>
    <row r="177" ht="15.75" customHeight="1">
      <c r="A177" s="6"/>
      <c r="B177" s="6"/>
      <c r="C177" s="6"/>
      <c r="D177" s="6"/>
      <c r="E177" s="7"/>
      <c r="F177" s="7"/>
      <c r="G177" s="7"/>
      <c r="H177" s="7"/>
      <c r="I177" s="7"/>
      <c r="J177" s="7"/>
      <c r="K177" s="7"/>
      <c r="L177" s="7"/>
      <c r="M177" s="7"/>
      <c r="N177" s="7"/>
      <c r="O177" s="7"/>
      <c r="P177" s="7"/>
      <c r="Q177" s="7"/>
      <c r="R177" s="7"/>
      <c r="S177" s="7"/>
      <c r="T177" s="7"/>
      <c r="U177" s="7"/>
      <c r="V177" s="7"/>
      <c r="W177" s="7"/>
      <c r="X177" s="7"/>
    </row>
    <row r="178" ht="15.75" customHeight="1">
      <c r="A178" s="6"/>
      <c r="B178" s="6"/>
      <c r="C178" s="6"/>
      <c r="D178" s="6"/>
      <c r="E178" s="7"/>
      <c r="F178" s="7"/>
      <c r="G178" s="7"/>
      <c r="H178" s="7"/>
      <c r="I178" s="7"/>
      <c r="J178" s="7"/>
      <c r="K178" s="7"/>
      <c r="L178" s="7"/>
      <c r="M178" s="7"/>
      <c r="N178" s="7"/>
      <c r="O178" s="7"/>
      <c r="P178" s="7"/>
      <c r="Q178" s="7"/>
      <c r="R178" s="7"/>
      <c r="S178" s="7"/>
      <c r="T178" s="7"/>
      <c r="U178" s="7"/>
      <c r="V178" s="7"/>
      <c r="W178" s="7"/>
      <c r="X178" s="7"/>
    </row>
    <row r="179" ht="15.75" customHeight="1">
      <c r="A179" s="6"/>
      <c r="B179" s="6"/>
      <c r="C179" s="6"/>
      <c r="D179" s="6"/>
      <c r="E179" s="7"/>
      <c r="F179" s="7"/>
      <c r="G179" s="7"/>
      <c r="H179" s="7"/>
      <c r="I179" s="7"/>
      <c r="J179" s="7"/>
      <c r="K179" s="7"/>
      <c r="L179" s="7"/>
      <c r="M179" s="7"/>
      <c r="N179" s="7"/>
      <c r="O179" s="7"/>
      <c r="P179" s="7"/>
      <c r="Q179" s="7"/>
      <c r="R179" s="7"/>
      <c r="S179" s="7"/>
      <c r="T179" s="7"/>
      <c r="U179" s="7"/>
      <c r="V179" s="7"/>
      <c r="W179" s="7"/>
      <c r="X179" s="7"/>
    </row>
    <row r="180" ht="15.75" customHeight="1">
      <c r="A180" s="6"/>
      <c r="B180" s="6"/>
      <c r="C180" s="6"/>
      <c r="D180" s="6"/>
      <c r="E180" s="7"/>
      <c r="F180" s="7"/>
      <c r="G180" s="7"/>
      <c r="H180" s="7"/>
      <c r="I180" s="7"/>
      <c r="J180" s="7"/>
      <c r="K180" s="7"/>
      <c r="L180" s="7"/>
      <c r="M180" s="7"/>
      <c r="N180" s="7"/>
      <c r="O180" s="7"/>
      <c r="P180" s="7"/>
      <c r="Q180" s="7"/>
      <c r="R180" s="7"/>
      <c r="S180" s="7"/>
      <c r="T180" s="7"/>
      <c r="U180" s="7"/>
      <c r="V180" s="7"/>
      <c r="W180" s="7"/>
      <c r="X180" s="7"/>
    </row>
    <row r="181" ht="15.75" customHeight="1">
      <c r="A181" s="6"/>
      <c r="B181" s="6"/>
      <c r="C181" s="6"/>
      <c r="D181" s="6"/>
      <c r="E181" s="7"/>
      <c r="F181" s="7"/>
      <c r="G181" s="7"/>
      <c r="H181" s="7"/>
      <c r="I181" s="7"/>
      <c r="J181" s="7"/>
      <c r="K181" s="7"/>
      <c r="L181" s="7"/>
      <c r="M181" s="7"/>
      <c r="N181" s="7"/>
      <c r="O181" s="7"/>
      <c r="P181" s="7"/>
      <c r="Q181" s="7"/>
      <c r="R181" s="7"/>
      <c r="S181" s="7"/>
      <c r="T181" s="7"/>
      <c r="U181" s="7"/>
      <c r="V181" s="7"/>
      <c r="W181" s="7"/>
      <c r="X181" s="7"/>
    </row>
    <row r="182" ht="15.75" customHeight="1">
      <c r="A182" s="6"/>
      <c r="B182" s="6"/>
      <c r="C182" s="6"/>
      <c r="D182" s="6"/>
      <c r="E182" s="7"/>
      <c r="F182" s="7"/>
      <c r="G182" s="7"/>
      <c r="H182" s="7"/>
      <c r="I182" s="7"/>
      <c r="J182" s="7"/>
      <c r="K182" s="7"/>
      <c r="L182" s="7"/>
      <c r="M182" s="7"/>
      <c r="N182" s="7"/>
      <c r="O182" s="7"/>
      <c r="P182" s="7"/>
      <c r="Q182" s="7"/>
      <c r="R182" s="7"/>
      <c r="S182" s="7"/>
      <c r="T182" s="7"/>
      <c r="U182" s="7"/>
      <c r="V182" s="7"/>
      <c r="W182" s="7"/>
      <c r="X182" s="7"/>
    </row>
    <row r="183" ht="15.75" customHeight="1">
      <c r="A183" s="6"/>
      <c r="B183" s="6"/>
      <c r="C183" s="6"/>
      <c r="D183" s="6"/>
      <c r="E183" s="7"/>
      <c r="F183" s="7"/>
      <c r="G183" s="7"/>
      <c r="H183" s="7"/>
      <c r="I183" s="7"/>
      <c r="J183" s="7"/>
      <c r="K183" s="7"/>
      <c r="L183" s="7"/>
      <c r="M183" s="7"/>
      <c r="N183" s="7"/>
      <c r="O183" s="7"/>
      <c r="P183" s="7"/>
      <c r="Q183" s="7"/>
      <c r="R183" s="7"/>
      <c r="S183" s="7"/>
      <c r="T183" s="7"/>
      <c r="U183" s="7"/>
      <c r="V183" s="7"/>
      <c r="W183" s="7"/>
      <c r="X183" s="7"/>
    </row>
    <row r="184" ht="15.75" customHeight="1">
      <c r="A184" s="6"/>
      <c r="B184" s="6"/>
      <c r="C184" s="6"/>
      <c r="D184" s="6"/>
      <c r="E184" s="7"/>
      <c r="F184" s="7"/>
      <c r="G184" s="7"/>
      <c r="H184" s="7"/>
      <c r="I184" s="7"/>
      <c r="J184" s="7"/>
      <c r="K184" s="7"/>
      <c r="L184" s="7"/>
      <c r="M184" s="7"/>
      <c r="N184" s="7"/>
      <c r="O184" s="7"/>
      <c r="P184" s="7"/>
      <c r="Q184" s="7"/>
      <c r="R184" s="7"/>
      <c r="S184" s="7"/>
      <c r="T184" s="7"/>
      <c r="U184" s="7"/>
      <c r="V184" s="7"/>
      <c r="W184" s="7"/>
      <c r="X184" s="7"/>
    </row>
    <row r="185" ht="15.75" customHeight="1">
      <c r="A185" s="6"/>
      <c r="B185" s="6"/>
      <c r="C185" s="6"/>
      <c r="D185" s="6"/>
      <c r="E185" s="7"/>
      <c r="F185" s="7"/>
      <c r="G185" s="7"/>
      <c r="H185" s="7"/>
      <c r="I185" s="7"/>
      <c r="J185" s="7"/>
      <c r="K185" s="7"/>
      <c r="L185" s="7"/>
      <c r="M185" s="7"/>
      <c r="N185" s="7"/>
      <c r="O185" s="7"/>
      <c r="P185" s="7"/>
      <c r="Q185" s="7"/>
      <c r="R185" s="7"/>
      <c r="S185" s="7"/>
      <c r="T185" s="7"/>
      <c r="U185" s="7"/>
      <c r="V185" s="7"/>
      <c r="W185" s="7"/>
      <c r="X185" s="7"/>
    </row>
    <row r="186" ht="15.75" customHeight="1">
      <c r="A186" s="6"/>
      <c r="B186" s="6"/>
      <c r="C186" s="6"/>
      <c r="D186" s="6"/>
      <c r="E186" s="7"/>
      <c r="F186" s="7"/>
      <c r="G186" s="7"/>
      <c r="H186" s="7"/>
      <c r="I186" s="7"/>
      <c r="J186" s="7"/>
      <c r="K186" s="7"/>
      <c r="L186" s="7"/>
      <c r="M186" s="7"/>
      <c r="N186" s="7"/>
      <c r="O186" s="7"/>
      <c r="P186" s="7"/>
      <c r="Q186" s="7"/>
      <c r="R186" s="7"/>
      <c r="S186" s="7"/>
      <c r="T186" s="7"/>
      <c r="U186" s="7"/>
      <c r="V186" s="7"/>
      <c r="W186" s="7"/>
      <c r="X186" s="7"/>
    </row>
    <row r="187" ht="15.75" customHeight="1">
      <c r="A187" s="6"/>
      <c r="B187" s="6"/>
      <c r="C187" s="6"/>
      <c r="D187" s="6"/>
      <c r="E187" s="7"/>
      <c r="F187" s="7"/>
      <c r="G187" s="7"/>
      <c r="H187" s="7"/>
      <c r="I187" s="7"/>
      <c r="J187" s="7"/>
      <c r="K187" s="7"/>
      <c r="L187" s="7"/>
      <c r="M187" s="7"/>
      <c r="N187" s="7"/>
      <c r="O187" s="7"/>
      <c r="P187" s="7"/>
      <c r="Q187" s="7"/>
      <c r="R187" s="7"/>
      <c r="S187" s="7"/>
      <c r="T187" s="7"/>
      <c r="U187" s="7"/>
      <c r="V187" s="7"/>
      <c r="W187" s="7"/>
      <c r="X187" s="7"/>
    </row>
    <row r="188" ht="15.75" customHeight="1">
      <c r="A188" s="6"/>
      <c r="B188" s="6"/>
      <c r="C188" s="6"/>
      <c r="D188" s="6"/>
      <c r="E188" s="7"/>
      <c r="F188" s="7"/>
      <c r="G188" s="7"/>
      <c r="H188" s="7"/>
      <c r="I188" s="7"/>
      <c r="J188" s="7"/>
      <c r="K188" s="7"/>
      <c r="L188" s="7"/>
      <c r="M188" s="7"/>
      <c r="N188" s="7"/>
      <c r="O188" s="7"/>
      <c r="P188" s="7"/>
      <c r="Q188" s="7"/>
      <c r="R188" s="7"/>
      <c r="S188" s="7"/>
      <c r="T188" s="7"/>
      <c r="U188" s="7"/>
      <c r="V188" s="7"/>
      <c r="W188" s="7"/>
      <c r="X188" s="7"/>
    </row>
    <row r="189" ht="15.75" customHeight="1">
      <c r="A189" s="6"/>
      <c r="B189" s="6"/>
      <c r="C189" s="6"/>
      <c r="D189" s="6"/>
      <c r="E189" s="7"/>
      <c r="F189" s="7"/>
      <c r="G189" s="7"/>
      <c r="H189" s="7"/>
      <c r="I189" s="7"/>
      <c r="J189" s="7"/>
      <c r="K189" s="7"/>
      <c r="L189" s="7"/>
      <c r="M189" s="7"/>
      <c r="N189" s="7"/>
      <c r="O189" s="7"/>
      <c r="P189" s="7"/>
      <c r="Q189" s="7"/>
      <c r="R189" s="7"/>
      <c r="S189" s="7"/>
      <c r="T189" s="7"/>
      <c r="U189" s="7"/>
      <c r="V189" s="7"/>
      <c r="W189" s="7"/>
      <c r="X189" s="7"/>
    </row>
    <row r="190" ht="15.75" customHeight="1">
      <c r="A190" s="6"/>
      <c r="B190" s="6"/>
      <c r="C190" s="6"/>
      <c r="D190" s="6"/>
      <c r="E190" s="7"/>
      <c r="F190" s="7"/>
      <c r="G190" s="7"/>
      <c r="H190" s="7"/>
      <c r="I190" s="7"/>
      <c r="J190" s="7"/>
      <c r="K190" s="7"/>
      <c r="L190" s="7"/>
      <c r="M190" s="7"/>
      <c r="N190" s="7"/>
      <c r="O190" s="7"/>
      <c r="P190" s="7"/>
      <c r="Q190" s="7"/>
      <c r="R190" s="7"/>
      <c r="S190" s="7"/>
      <c r="T190" s="7"/>
      <c r="U190" s="7"/>
      <c r="V190" s="7"/>
      <c r="W190" s="7"/>
      <c r="X190" s="7"/>
    </row>
    <row r="191" ht="15.75" customHeight="1">
      <c r="A191" s="6"/>
      <c r="B191" s="6"/>
      <c r="C191" s="6"/>
      <c r="D191" s="6"/>
      <c r="E191" s="7"/>
      <c r="F191" s="7"/>
      <c r="G191" s="7"/>
      <c r="H191" s="7"/>
      <c r="I191" s="7"/>
      <c r="J191" s="7"/>
      <c r="K191" s="7"/>
      <c r="L191" s="7"/>
      <c r="M191" s="7"/>
      <c r="N191" s="7"/>
      <c r="O191" s="7"/>
      <c r="P191" s="7"/>
      <c r="Q191" s="7"/>
      <c r="R191" s="7"/>
      <c r="S191" s="7"/>
      <c r="T191" s="7"/>
      <c r="U191" s="7"/>
      <c r="V191" s="7"/>
      <c r="W191" s="7"/>
      <c r="X191" s="7"/>
    </row>
    <row r="192" ht="15.75" customHeight="1">
      <c r="A192" s="6"/>
      <c r="B192" s="6"/>
      <c r="C192" s="6"/>
      <c r="D192" s="6"/>
      <c r="E192" s="7"/>
      <c r="F192" s="7"/>
      <c r="G192" s="7"/>
      <c r="H192" s="7"/>
      <c r="I192" s="7"/>
      <c r="J192" s="7"/>
      <c r="K192" s="7"/>
      <c r="L192" s="7"/>
      <c r="M192" s="7"/>
      <c r="N192" s="7"/>
      <c r="O192" s="7"/>
      <c r="P192" s="7"/>
      <c r="Q192" s="7"/>
      <c r="R192" s="7"/>
      <c r="S192" s="7"/>
      <c r="T192" s="7"/>
      <c r="U192" s="7"/>
      <c r="V192" s="7"/>
      <c r="W192" s="7"/>
      <c r="X192" s="7"/>
    </row>
    <row r="193" ht="15.75" customHeight="1">
      <c r="A193" s="6"/>
      <c r="B193" s="6"/>
      <c r="C193" s="6"/>
      <c r="D193" s="6"/>
      <c r="E193" s="7"/>
      <c r="F193" s="7"/>
      <c r="G193" s="7"/>
      <c r="H193" s="7"/>
      <c r="I193" s="7"/>
      <c r="J193" s="7"/>
      <c r="K193" s="7"/>
      <c r="L193" s="7"/>
      <c r="M193" s="7"/>
      <c r="N193" s="7"/>
      <c r="O193" s="7"/>
      <c r="P193" s="7"/>
      <c r="Q193" s="7"/>
      <c r="R193" s="7"/>
      <c r="S193" s="7"/>
      <c r="T193" s="7"/>
      <c r="U193" s="7"/>
      <c r="V193" s="7"/>
      <c r="W193" s="7"/>
      <c r="X193" s="7"/>
    </row>
    <row r="194" ht="15.75" customHeight="1">
      <c r="A194" s="6"/>
      <c r="B194" s="6"/>
      <c r="C194" s="6"/>
      <c r="D194" s="6"/>
      <c r="E194" s="7"/>
      <c r="F194" s="7"/>
      <c r="G194" s="7"/>
      <c r="H194" s="7"/>
      <c r="I194" s="7"/>
      <c r="J194" s="7"/>
      <c r="K194" s="7"/>
      <c r="L194" s="7"/>
      <c r="M194" s="7"/>
      <c r="N194" s="7"/>
      <c r="O194" s="7"/>
      <c r="P194" s="7"/>
      <c r="Q194" s="7"/>
      <c r="R194" s="7"/>
      <c r="S194" s="7"/>
      <c r="T194" s="7"/>
      <c r="U194" s="7"/>
      <c r="V194" s="7"/>
      <c r="W194" s="7"/>
      <c r="X194" s="7"/>
    </row>
    <row r="195" ht="15.75" customHeight="1">
      <c r="A195" s="6"/>
      <c r="B195" s="6"/>
      <c r="C195" s="6"/>
      <c r="D195" s="6"/>
      <c r="E195" s="7"/>
      <c r="F195" s="7"/>
      <c r="G195" s="7"/>
      <c r="H195" s="7"/>
      <c r="I195" s="7"/>
      <c r="J195" s="7"/>
      <c r="K195" s="7"/>
      <c r="L195" s="7"/>
      <c r="M195" s="7"/>
      <c r="N195" s="7"/>
      <c r="O195" s="7"/>
      <c r="P195" s="7"/>
      <c r="Q195" s="7"/>
      <c r="R195" s="7"/>
      <c r="S195" s="7"/>
      <c r="T195" s="7"/>
      <c r="U195" s="7"/>
      <c r="V195" s="7"/>
      <c r="W195" s="7"/>
      <c r="X195" s="7"/>
    </row>
    <row r="196" ht="15.75" customHeight="1">
      <c r="A196" s="6"/>
      <c r="B196" s="6"/>
      <c r="C196" s="6"/>
      <c r="D196" s="6"/>
      <c r="E196" s="7"/>
      <c r="F196" s="7"/>
      <c r="G196" s="7"/>
      <c r="H196" s="7"/>
      <c r="I196" s="7"/>
      <c r="J196" s="7"/>
      <c r="K196" s="7"/>
      <c r="L196" s="7"/>
      <c r="M196" s="7"/>
      <c r="N196" s="7"/>
      <c r="O196" s="7"/>
      <c r="P196" s="7"/>
      <c r="Q196" s="7"/>
      <c r="R196" s="7"/>
      <c r="S196" s="7"/>
      <c r="T196" s="7"/>
      <c r="U196" s="7"/>
      <c r="V196" s="7"/>
      <c r="W196" s="7"/>
      <c r="X196" s="7"/>
    </row>
    <row r="197" ht="15.75" customHeight="1">
      <c r="A197" s="6"/>
      <c r="B197" s="6"/>
      <c r="C197" s="6"/>
      <c r="D197" s="6"/>
      <c r="E197" s="7"/>
      <c r="F197" s="7"/>
      <c r="G197" s="7"/>
      <c r="H197" s="7"/>
      <c r="I197" s="7"/>
      <c r="J197" s="7"/>
      <c r="K197" s="7"/>
      <c r="L197" s="7"/>
      <c r="M197" s="7"/>
      <c r="N197" s="7"/>
      <c r="O197" s="7"/>
      <c r="P197" s="7"/>
      <c r="Q197" s="7"/>
      <c r="R197" s="7"/>
      <c r="S197" s="7"/>
      <c r="T197" s="7"/>
      <c r="U197" s="7"/>
      <c r="V197" s="7"/>
      <c r="W197" s="7"/>
      <c r="X197" s="7"/>
    </row>
    <row r="198" ht="15.75" customHeight="1">
      <c r="A198" s="6"/>
      <c r="B198" s="6"/>
      <c r="C198" s="6"/>
      <c r="D198" s="6"/>
      <c r="E198" s="7"/>
      <c r="F198" s="7"/>
      <c r="G198" s="7"/>
      <c r="H198" s="7"/>
      <c r="I198" s="7"/>
      <c r="J198" s="7"/>
      <c r="K198" s="7"/>
      <c r="L198" s="7"/>
      <c r="M198" s="7"/>
      <c r="N198" s="7"/>
      <c r="O198" s="7"/>
      <c r="P198" s="7"/>
      <c r="Q198" s="7"/>
      <c r="R198" s="7"/>
      <c r="S198" s="7"/>
      <c r="T198" s="7"/>
      <c r="U198" s="7"/>
      <c r="V198" s="7"/>
      <c r="W198" s="7"/>
      <c r="X198" s="7"/>
    </row>
    <row r="199" ht="15.75" customHeight="1">
      <c r="A199" s="6"/>
      <c r="B199" s="6"/>
      <c r="C199" s="6"/>
      <c r="D199" s="6"/>
      <c r="E199" s="7"/>
      <c r="F199" s="7"/>
      <c r="G199" s="7"/>
      <c r="H199" s="7"/>
      <c r="I199" s="7"/>
      <c r="J199" s="7"/>
      <c r="K199" s="7"/>
      <c r="L199" s="7"/>
      <c r="M199" s="7"/>
      <c r="N199" s="7"/>
      <c r="O199" s="7"/>
      <c r="P199" s="7"/>
      <c r="Q199" s="7"/>
      <c r="R199" s="7"/>
      <c r="S199" s="7"/>
      <c r="T199" s="7"/>
      <c r="U199" s="7"/>
      <c r="V199" s="7"/>
      <c r="W199" s="7"/>
      <c r="X199" s="7"/>
    </row>
    <row r="200" ht="15.75" customHeight="1">
      <c r="A200" s="6"/>
      <c r="B200" s="6"/>
      <c r="C200" s="6"/>
      <c r="D200" s="6"/>
      <c r="E200" s="7"/>
      <c r="F200" s="7"/>
      <c r="G200" s="7"/>
      <c r="H200" s="7"/>
      <c r="I200" s="7"/>
      <c r="J200" s="7"/>
      <c r="K200" s="7"/>
      <c r="L200" s="7"/>
      <c r="M200" s="7"/>
      <c r="N200" s="7"/>
      <c r="O200" s="7"/>
      <c r="P200" s="7"/>
      <c r="Q200" s="7"/>
      <c r="R200" s="7"/>
      <c r="S200" s="7"/>
      <c r="T200" s="7"/>
      <c r="U200" s="7"/>
      <c r="V200" s="7"/>
      <c r="W200" s="7"/>
      <c r="X200" s="7"/>
    </row>
    <row r="201" ht="15.75" customHeight="1">
      <c r="A201" s="6"/>
      <c r="B201" s="6"/>
      <c r="C201" s="6"/>
      <c r="D201" s="6"/>
      <c r="E201" s="7"/>
      <c r="F201" s="7"/>
      <c r="G201" s="7"/>
      <c r="H201" s="7"/>
      <c r="I201" s="7"/>
      <c r="J201" s="7"/>
      <c r="K201" s="7"/>
      <c r="L201" s="7"/>
      <c r="M201" s="7"/>
      <c r="N201" s="7"/>
      <c r="O201" s="7"/>
      <c r="P201" s="7"/>
      <c r="Q201" s="7"/>
      <c r="R201" s="7"/>
      <c r="S201" s="7"/>
      <c r="T201" s="7"/>
      <c r="U201" s="7"/>
      <c r="V201" s="7"/>
      <c r="W201" s="7"/>
      <c r="X201" s="7"/>
    </row>
    <row r="202" ht="15.75" customHeight="1">
      <c r="A202" s="6"/>
      <c r="B202" s="6"/>
      <c r="C202" s="6"/>
      <c r="D202" s="6"/>
      <c r="E202" s="7"/>
      <c r="F202" s="7"/>
      <c r="G202" s="7"/>
      <c r="H202" s="7"/>
      <c r="I202" s="7"/>
      <c r="J202" s="7"/>
      <c r="K202" s="7"/>
      <c r="L202" s="7"/>
      <c r="M202" s="7"/>
      <c r="N202" s="7"/>
      <c r="O202" s="7"/>
      <c r="P202" s="7"/>
      <c r="Q202" s="7"/>
      <c r="R202" s="7"/>
      <c r="S202" s="7"/>
      <c r="T202" s="7"/>
      <c r="U202" s="7"/>
      <c r="V202" s="7"/>
      <c r="W202" s="7"/>
      <c r="X202" s="7"/>
    </row>
    <row r="203" ht="15.75" customHeight="1">
      <c r="A203" s="6"/>
      <c r="B203" s="6"/>
      <c r="C203" s="6"/>
      <c r="D203" s="6"/>
      <c r="E203" s="7"/>
      <c r="F203" s="7"/>
      <c r="G203" s="7"/>
      <c r="H203" s="7"/>
      <c r="I203" s="7"/>
      <c r="J203" s="7"/>
      <c r="K203" s="7"/>
      <c r="L203" s="7"/>
      <c r="M203" s="7"/>
      <c r="N203" s="7"/>
      <c r="O203" s="7"/>
      <c r="P203" s="7"/>
      <c r="Q203" s="7"/>
      <c r="R203" s="7"/>
      <c r="S203" s="7"/>
      <c r="T203" s="7"/>
      <c r="U203" s="7"/>
      <c r="V203" s="7"/>
      <c r="W203" s="7"/>
      <c r="X203" s="7"/>
    </row>
    <row r="204" ht="15.75" customHeight="1">
      <c r="A204" s="6"/>
      <c r="B204" s="6"/>
      <c r="C204" s="6"/>
      <c r="D204" s="6"/>
      <c r="E204" s="7"/>
      <c r="F204" s="7"/>
      <c r="G204" s="7"/>
      <c r="H204" s="7"/>
      <c r="I204" s="7"/>
      <c r="J204" s="7"/>
      <c r="K204" s="7"/>
      <c r="L204" s="7"/>
      <c r="M204" s="7"/>
      <c r="N204" s="7"/>
      <c r="O204" s="7"/>
      <c r="P204" s="7"/>
      <c r="Q204" s="7"/>
      <c r="R204" s="7"/>
      <c r="S204" s="7"/>
      <c r="T204" s="7"/>
      <c r="U204" s="7"/>
      <c r="V204" s="7"/>
      <c r="W204" s="7"/>
      <c r="X204" s="7"/>
    </row>
    <row r="205" ht="15.75" customHeight="1">
      <c r="A205" s="6"/>
      <c r="B205" s="6"/>
      <c r="C205" s="6"/>
      <c r="D205" s="6"/>
      <c r="E205" s="7"/>
      <c r="F205" s="7"/>
      <c r="G205" s="7"/>
      <c r="H205" s="7"/>
      <c r="I205" s="7"/>
      <c r="J205" s="7"/>
      <c r="K205" s="7"/>
      <c r="L205" s="7"/>
      <c r="M205" s="7"/>
      <c r="N205" s="7"/>
      <c r="O205" s="7"/>
      <c r="P205" s="7"/>
      <c r="Q205" s="7"/>
      <c r="R205" s="7"/>
      <c r="S205" s="7"/>
      <c r="T205" s="7"/>
      <c r="U205" s="7"/>
      <c r="V205" s="7"/>
      <c r="W205" s="7"/>
      <c r="X205" s="7"/>
    </row>
    <row r="206" ht="15.75" customHeight="1">
      <c r="A206" s="6"/>
      <c r="B206" s="6"/>
      <c r="C206" s="6"/>
      <c r="D206" s="6"/>
      <c r="E206" s="7"/>
      <c r="F206" s="7"/>
      <c r="G206" s="7"/>
      <c r="H206" s="7"/>
      <c r="I206" s="7"/>
      <c r="J206" s="7"/>
      <c r="K206" s="7"/>
      <c r="L206" s="7"/>
      <c r="M206" s="7"/>
      <c r="N206" s="7"/>
      <c r="O206" s="7"/>
      <c r="P206" s="7"/>
      <c r="Q206" s="7"/>
      <c r="R206" s="7"/>
      <c r="S206" s="7"/>
      <c r="T206" s="7"/>
      <c r="U206" s="7"/>
      <c r="V206" s="7"/>
      <c r="W206" s="7"/>
      <c r="X206" s="7"/>
    </row>
    <row r="207" ht="15.75" customHeight="1">
      <c r="A207" s="6"/>
      <c r="B207" s="6"/>
      <c r="C207" s="6"/>
      <c r="D207" s="6"/>
      <c r="E207" s="7"/>
      <c r="F207" s="7"/>
      <c r="G207" s="7"/>
      <c r="H207" s="7"/>
      <c r="I207" s="7"/>
      <c r="J207" s="7"/>
      <c r="K207" s="7"/>
      <c r="L207" s="7"/>
      <c r="M207" s="7"/>
      <c r="N207" s="7"/>
      <c r="O207" s="7"/>
      <c r="P207" s="7"/>
      <c r="Q207" s="7"/>
      <c r="R207" s="7"/>
      <c r="S207" s="7"/>
      <c r="T207" s="7"/>
      <c r="U207" s="7"/>
      <c r="V207" s="7"/>
      <c r="W207" s="7"/>
      <c r="X207" s="7"/>
    </row>
    <row r="208" ht="15.75" customHeight="1">
      <c r="A208" s="6"/>
      <c r="B208" s="6"/>
      <c r="C208" s="6"/>
      <c r="D208" s="6"/>
      <c r="E208" s="7"/>
      <c r="F208" s="7"/>
      <c r="G208" s="7"/>
      <c r="H208" s="7"/>
      <c r="I208" s="7"/>
      <c r="J208" s="7"/>
      <c r="K208" s="7"/>
      <c r="L208" s="7"/>
      <c r="M208" s="7"/>
      <c r="N208" s="7"/>
      <c r="O208" s="7"/>
      <c r="P208" s="7"/>
      <c r="Q208" s="7"/>
      <c r="R208" s="7"/>
      <c r="S208" s="7"/>
      <c r="T208" s="7"/>
      <c r="U208" s="7"/>
      <c r="V208" s="7"/>
      <c r="W208" s="7"/>
      <c r="X208" s="7"/>
    </row>
    <row r="209" ht="15.75" customHeight="1">
      <c r="A209" s="6"/>
      <c r="B209" s="6"/>
      <c r="C209" s="6"/>
      <c r="D209" s="6"/>
      <c r="E209" s="7"/>
      <c r="F209" s="7"/>
      <c r="G209" s="7"/>
      <c r="H209" s="7"/>
      <c r="I209" s="7"/>
      <c r="J209" s="7"/>
      <c r="K209" s="7"/>
      <c r="L209" s="7"/>
      <c r="M209" s="7"/>
      <c r="N209" s="7"/>
      <c r="O209" s="7"/>
      <c r="P209" s="7"/>
      <c r="Q209" s="7"/>
      <c r="R209" s="7"/>
      <c r="S209" s="7"/>
      <c r="T209" s="7"/>
      <c r="U209" s="7"/>
      <c r="V209" s="7"/>
      <c r="W209" s="7"/>
      <c r="X209" s="7"/>
    </row>
    <row r="210" ht="15.75" customHeight="1">
      <c r="A210" s="6"/>
      <c r="B210" s="6"/>
      <c r="C210" s="6"/>
      <c r="D210" s="6"/>
      <c r="E210" s="7"/>
      <c r="F210" s="7"/>
      <c r="G210" s="7"/>
      <c r="H210" s="7"/>
      <c r="I210" s="7"/>
      <c r="J210" s="7"/>
      <c r="K210" s="7"/>
      <c r="L210" s="7"/>
      <c r="M210" s="7"/>
      <c r="N210" s="7"/>
      <c r="O210" s="7"/>
      <c r="P210" s="7"/>
      <c r="Q210" s="7"/>
      <c r="R210" s="7"/>
      <c r="S210" s="7"/>
      <c r="T210" s="7"/>
      <c r="U210" s="7"/>
      <c r="V210" s="7"/>
      <c r="W210" s="7"/>
      <c r="X210" s="7"/>
    </row>
    <row r="211" ht="15.75" customHeight="1">
      <c r="A211" s="6"/>
      <c r="B211" s="6"/>
      <c r="C211" s="6"/>
      <c r="D211" s="6"/>
      <c r="E211" s="7"/>
      <c r="F211" s="7"/>
      <c r="G211" s="7"/>
      <c r="H211" s="7"/>
      <c r="I211" s="7"/>
      <c r="J211" s="7"/>
      <c r="K211" s="7"/>
      <c r="L211" s="7"/>
      <c r="M211" s="7"/>
      <c r="N211" s="7"/>
      <c r="O211" s="7"/>
      <c r="P211" s="7"/>
      <c r="Q211" s="7"/>
      <c r="R211" s="7"/>
      <c r="S211" s="7"/>
      <c r="T211" s="7"/>
      <c r="U211" s="7"/>
      <c r="V211" s="7"/>
      <c r="W211" s="7"/>
      <c r="X211" s="7"/>
    </row>
    <row r="212" ht="15.75" customHeight="1">
      <c r="A212" s="6"/>
      <c r="B212" s="6"/>
      <c r="C212" s="6"/>
      <c r="D212" s="6"/>
      <c r="E212" s="7"/>
      <c r="F212" s="7"/>
      <c r="G212" s="7"/>
      <c r="H212" s="7"/>
      <c r="I212" s="7"/>
      <c r="J212" s="7"/>
      <c r="K212" s="7"/>
      <c r="L212" s="7"/>
      <c r="M212" s="7"/>
      <c r="N212" s="7"/>
      <c r="O212" s="7"/>
      <c r="P212" s="7"/>
      <c r="Q212" s="7"/>
      <c r="R212" s="7"/>
      <c r="S212" s="7"/>
      <c r="T212" s="7"/>
      <c r="U212" s="7"/>
      <c r="V212" s="7"/>
      <c r="W212" s="7"/>
      <c r="X212" s="7"/>
    </row>
    <row r="213" ht="15.75" customHeight="1">
      <c r="A213" s="6"/>
      <c r="B213" s="6"/>
      <c r="C213" s="6"/>
      <c r="D213" s="6"/>
      <c r="E213" s="7"/>
      <c r="F213" s="7"/>
      <c r="G213" s="7"/>
      <c r="H213" s="7"/>
      <c r="I213" s="7"/>
      <c r="J213" s="7"/>
      <c r="K213" s="7"/>
      <c r="L213" s="7"/>
      <c r="M213" s="7"/>
      <c r="N213" s="7"/>
      <c r="O213" s="7"/>
      <c r="P213" s="7"/>
      <c r="Q213" s="7"/>
      <c r="R213" s="7"/>
      <c r="S213" s="7"/>
      <c r="T213" s="7"/>
      <c r="U213" s="7"/>
      <c r="V213" s="7"/>
      <c r="W213" s="7"/>
      <c r="X213" s="7"/>
    </row>
    <row r="214" ht="15.75" customHeight="1">
      <c r="A214" s="6"/>
      <c r="B214" s="6"/>
      <c r="C214" s="6"/>
      <c r="D214" s="6"/>
      <c r="E214" s="7"/>
      <c r="F214" s="7"/>
      <c r="G214" s="7"/>
      <c r="H214" s="7"/>
      <c r="I214" s="7"/>
      <c r="J214" s="7"/>
      <c r="K214" s="7"/>
      <c r="L214" s="7"/>
      <c r="M214" s="7"/>
      <c r="N214" s="7"/>
      <c r="O214" s="7"/>
      <c r="P214" s="7"/>
      <c r="Q214" s="7"/>
      <c r="R214" s="7"/>
      <c r="S214" s="7"/>
      <c r="T214" s="7"/>
      <c r="U214" s="7"/>
      <c r="V214" s="7"/>
      <c r="W214" s="7"/>
      <c r="X214" s="7"/>
    </row>
    <row r="215" ht="15.75" customHeight="1">
      <c r="A215" s="6"/>
      <c r="B215" s="6"/>
      <c r="C215" s="6"/>
      <c r="D215" s="6"/>
      <c r="E215" s="7"/>
      <c r="F215" s="7"/>
      <c r="G215" s="7"/>
      <c r="H215" s="7"/>
      <c r="I215" s="7"/>
      <c r="J215" s="7"/>
      <c r="K215" s="7"/>
      <c r="L215" s="7"/>
      <c r="M215" s="7"/>
      <c r="N215" s="7"/>
      <c r="O215" s="7"/>
      <c r="P215" s="7"/>
      <c r="Q215" s="7"/>
      <c r="R215" s="7"/>
      <c r="S215" s="7"/>
      <c r="T215" s="7"/>
      <c r="U215" s="7"/>
      <c r="V215" s="7"/>
      <c r="W215" s="7"/>
      <c r="X215" s="7"/>
    </row>
    <row r="216" ht="15.75" customHeight="1">
      <c r="A216" s="6"/>
      <c r="B216" s="6"/>
      <c r="C216" s="6"/>
      <c r="D216" s="6"/>
      <c r="E216" s="7"/>
      <c r="F216" s="7"/>
      <c r="G216" s="7"/>
      <c r="H216" s="7"/>
      <c r="I216" s="7"/>
      <c r="J216" s="7"/>
      <c r="K216" s="7"/>
      <c r="L216" s="7"/>
      <c r="M216" s="7"/>
      <c r="N216" s="7"/>
      <c r="O216" s="7"/>
      <c r="P216" s="7"/>
      <c r="Q216" s="7"/>
      <c r="R216" s="7"/>
      <c r="S216" s="7"/>
      <c r="T216" s="7"/>
      <c r="U216" s="7"/>
      <c r="V216" s="7"/>
      <c r="W216" s="7"/>
      <c r="X216" s="7"/>
    </row>
    <row r="217" ht="15.75" customHeight="1">
      <c r="A217" s="6"/>
      <c r="B217" s="6"/>
      <c r="C217" s="6"/>
      <c r="D217" s="6"/>
      <c r="E217" s="7"/>
      <c r="F217" s="7"/>
      <c r="G217" s="7"/>
      <c r="H217" s="7"/>
      <c r="I217" s="7"/>
      <c r="J217" s="7"/>
      <c r="K217" s="7"/>
      <c r="L217" s="7"/>
      <c r="M217" s="7"/>
      <c r="N217" s="7"/>
      <c r="O217" s="7"/>
      <c r="P217" s="7"/>
      <c r="Q217" s="7"/>
      <c r="R217" s="7"/>
      <c r="S217" s="7"/>
      <c r="T217" s="7"/>
      <c r="U217" s="7"/>
      <c r="V217" s="7"/>
      <c r="W217" s="7"/>
      <c r="X217" s="7"/>
    </row>
    <row r="218" ht="15.75" customHeight="1">
      <c r="A218" s="6"/>
      <c r="B218" s="6"/>
      <c r="C218" s="6"/>
      <c r="D218" s="6"/>
      <c r="E218" s="7"/>
      <c r="F218" s="7"/>
      <c r="G218" s="7"/>
      <c r="H218" s="7"/>
      <c r="I218" s="7"/>
      <c r="J218" s="7"/>
      <c r="K218" s="7"/>
      <c r="L218" s="7"/>
      <c r="M218" s="7"/>
      <c r="N218" s="7"/>
      <c r="O218" s="7"/>
      <c r="P218" s="7"/>
      <c r="Q218" s="7"/>
      <c r="R218" s="7"/>
      <c r="S218" s="7"/>
      <c r="T218" s="7"/>
      <c r="U218" s="7"/>
      <c r="V218" s="7"/>
      <c r="W218" s="7"/>
      <c r="X218" s="7"/>
    </row>
    <row r="219" ht="15.75" customHeight="1">
      <c r="A219" s="6"/>
      <c r="B219" s="6"/>
      <c r="C219" s="6"/>
      <c r="D219" s="6"/>
      <c r="E219" s="7"/>
      <c r="F219" s="7"/>
      <c r="G219" s="7"/>
      <c r="H219" s="7"/>
      <c r="I219" s="7"/>
      <c r="J219" s="7"/>
      <c r="K219" s="7"/>
      <c r="L219" s="7"/>
      <c r="M219" s="7"/>
      <c r="N219" s="7"/>
      <c r="O219" s="7"/>
      <c r="P219" s="7"/>
      <c r="Q219" s="7"/>
      <c r="R219" s="7"/>
      <c r="S219" s="7"/>
      <c r="T219" s="7"/>
      <c r="U219" s="7"/>
      <c r="V219" s="7"/>
      <c r="W219" s="7"/>
      <c r="X219" s="7"/>
    </row>
    <row r="220" ht="15.75" customHeight="1">
      <c r="A220" s="6"/>
      <c r="B220" s="6"/>
      <c r="C220" s="6"/>
      <c r="D220" s="6"/>
      <c r="E220" s="7"/>
      <c r="F220" s="7"/>
      <c r="G220" s="7"/>
      <c r="H220" s="7"/>
      <c r="I220" s="7"/>
      <c r="J220" s="7"/>
      <c r="K220" s="7"/>
      <c r="L220" s="7"/>
      <c r="M220" s="7"/>
      <c r="N220" s="7"/>
      <c r="O220" s="7"/>
      <c r="P220" s="7"/>
      <c r="Q220" s="7"/>
      <c r="R220" s="7"/>
      <c r="S220" s="7"/>
      <c r="T220" s="7"/>
      <c r="U220" s="7"/>
      <c r="V220" s="7"/>
      <c r="W220" s="7"/>
      <c r="X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29.38"/>
  </cols>
  <sheetData>
    <row r="1">
      <c r="A1" s="9" t="s">
        <v>51546</v>
      </c>
      <c r="B1" s="9" t="s">
        <v>51547</v>
      </c>
    </row>
    <row r="2">
      <c r="A2" s="9" t="s">
        <v>5692</v>
      </c>
      <c r="B2" s="9" t="s">
        <v>20124</v>
      </c>
    </row>
    <row r="3">
      <c r="A3" s="9" t="s">
        <v>7565</v>
      </c>
      <c r="B3" s="9" t="s">
        <v>13549</v>
      </c>
    </row>
    <row r="4">
      <c r="A4" s="9" t="s">
        <v>5426</v>
      </c>
      <c r="B4" s="9" t="s">
        <v>17339</v>
      </c>
    </row>
    <row r="5">
      <c r="A5" s="9" t="s">
        <v>2545</v>
      </c>
      <c r="B5" s="9" t="s">
        <v>13320</v>
      </c>
    </row>
    <row r="6">
      <c r="A6" s="9" t="s">
        <v>7612</v>
      </c>
      <c r="B6" s="9" t="s">
        <v>13517</v>
      </c>
    </row>
    <row r="7">
      <c r="A7" s="9" t="s">
        <v>8867</v>
      </c>
      <c r="B7" s="9" t="s">
        <v>14190</v>
      </c>
    </row>
    <row r="8">
      <c r="A8" s="9" t="s">
        <v>6705</v>
      </c>
      <c r="B8" s="9" t="s">
        <v>12524</v>
      </c>
    </row>
    <row r="9">
      <c r="A9" s="9" t="s">
        <v>7556</v>
      </c>
      <c r="B9" s="9" t="s">
        <v>19432</v>
      </c>
    </row>
    <row r="10">
      <c r="A10" s="9" t="s">
        <v>1631</v>
      </c>
      <c r="B10" s="9" t="s">
        <v>13119</v>
      </c>
    </row>
    <row r="11">
      <c r="A11" s="9" t="s">
        <v>6501</v>
      </c>
      <c r="B11" s="9" t="s">
        <v>20139</v>
      </c>
    </row>
    <row r="12">
      <c r="A12" s="9" t="s">
        <v>4559</v>
      </c>
      <c r="B12" s="9" t="s">
        <v>20221</v>
      </c>
    </row>
    <row r="13">
      <c r="A13" s="9" t="s">
        <v>5484</v>
      </c>
      <c r="B13" s="9" t="s">
        <v>18776</v>
      </c>
    </row>
    <row r="14">
      <c r="A14" s="9" t="s">
        <v>8993</v>
      </c>
      <c r="B14" s="9" t="s">
        <v>18058</v>
      </c>
    </row>
    <row r="15">
      <c r="A15" s="9" t="s">
        <v>7537</v>
      </c>
      <c r="B15" s="9" t="s">
        <v>14377</v>
      </c>
    </row>
    <row r="16">
      <c r="A16" s="9" t="s">
        <v>8689</v>
      </c>
      <c r="B16" s="9" t="s">
        <v>18946</v>
      </c>
    </row>
    <row r="17">
      <c r="A17" s="9" t="s">
        <v>2242</v>
      </c>
      <c r="B17" s="9" t="s">
        <v>19252</v>
      </c>
    </row>
    <row r="18">
      <c r="A18" s="9" t="s">
        <v>7231</v>
      </c>
      <c r="B18" s="9" t="s">
        <v>12770</v>
      </c>
    </row>
    <row r="19">
      <c r="A19" s="9" t="s">
        <v>5240</v>
      </c>
      <c r="B19" s="9" t="s">
        <v>19449</v>
      </c>
    </row>
    <row r="20">
      <c r="A20" s="9" t="s">
        <v>7240</v>
      </c>
      <c r="B20" s="9" t="s">
        <v>13628</v>
      </c>
    </row>
    <row r="21">
      <c r="A21" s="9" t="s">
        <v>8388</v>
      </c>
      <c r="B21" s="9" t="s">
        <v>20761</v>
      </c>
    </row>
    <row r="22">
      <c r="A22" s="9" t="s">
        <v>2876</v>
      </c>
      <c r="B22" s="9" t="s">
        <v>12515</v>
      </c>
    </row>
    <row r="23">
      <c r="A23" s="9" t="s">
        <v>9703</v>
      </c>
      <c r="B23" s="9" t="s">
        <v>13533</v>
      </c>
    </row>
    <row r="24">
      <c r="A24" s="9" t="s">
        <v>9757</v>
      </c>
      <c r="B24" s="9" t="s">
        <v>20970</v>
      </c>
    </row>
    <row r="25">
      <c r="A25" s="9" t="s">
        <v>9796</v>
      </c>
      <c r="B25" s="9" t="s">
        <v>13735</v>
      </c>
    </row>
    <row r="26">
      <c r="A26" s="9" t="s">
        <v>9946</v>
      </c>
      <c r="B26" s="9" t="s">
        <v>15532</v>
      </c>
    </row>
    <row r="27">
      <c r="A27" s="9" t="s">
        <v>8987</v>
      </c>
      <c r="B27" s="9" t="s">
        <v>14121</v>
      </c>
    </row>
    <row r="28">
      <c r="A28" s="9" t="s">
        <v>8889</v>
      </c>
      <c r="B28" s="9" t="s">
        <v>24403</v>
      </c>
    </row>
    <row r="29">
      <c r="A29" s="9" t="s">
        <v>9437</v>
      </c>
      <c r="B29" s="9" t="s">
        <v>20905</v>
      </c>
    </row>
    <row r="30">
      <c r="A30" s="9" t="s">
        <v>627</v>
      </c>
      <c r="B30" s="9" t="s">
        <v>24412</v>
      </c>
    </row>
    <row r="31">
      <c r="A31" s="9" t="s">
        <v>6752</v>
      </c>
      <c r="B31" s="9" t="s">
        <v>24412</v>
      </c>
    </row>
    <row r="32">
      <c r="A32" s="9" t="s">
        <v>8809</v>
      </c>
      <c r="B32" s="9" t="s">
        <v>24412</v>
      </c>
    </row>
    <row r="33">
      <c r="A33" s="9" t="s">
        <v>627</v>
      </c>
      <c r="B33" s="9" t="s">
        <v>24418</v>
      </c>
    </row>
    <row r="34">
      <c r="A34" s="9" t="s">
        <v>6752</v>
      </c>
      <c r="B34" s="9" t="s">
        <v>24418</v>
      </c>
    </row>
    <row r="35">
      <c r="A35" s="9" t="s">
        <v>8809</v>
      </c>
      <c r="B35" s="9" t="s">
        <v>24418</v>
      </c>
    </row>
    <row r="36">
      <c r="A36" s="9" t="s">
        <v>3744</v>
      </c>
      <c r="B36" s="9" t="s">
        <v>14929</v>
      </c>
    </row>
    <row r="37">
      <c r="A37" s="9" t="s">
        <v>9648</v>
      </c>
      <c r="B37" s="9" t="s">
        <v>20946</v>
      </c>
    </row>
    <row r="38">
      <c r="A38" s="9" t="s">
        <v>565</v>
      </c>
      <c r="B38" s="9" t="s">
        <v>19467</v>
      </c>
    </row>
    <row r="39">
      <c r="A39" s="9" t="s">
        <v>9993</v>
      </c>
      <c r="B39" s="9" t="s">
        <v>20997</v>
      </c>
    </row>
    <row r="40">
      <c r="A40" s="9" t="s">
        <v>6071</v>
      </c>
      <c r="B40" s="9" t="s">
        <v>12760</v>
      </c>
    </row>
    <row r="41">
      <c r="A41" s="9" t="s">
        <v>3889</v>
      </c>
      <c r="B41" s="9" t="s">
        <v>13263</v>
      </c>
    </row>
    <row r="42">
      <c r="A42" s="9" t="s">
        <v>6049</v>
      </c>
      <c r="B42" s="9" t="s">
        <v>13109</v>
      </c>
    </row>
    <row r="43">
      <c r="A43" s="9" t="s">
        <v>3793</v>
      </c>
      <c r="B43" s="9" t="s">
        <v>18262</v>
      </c>
    </row>
    <row r="44">
      <c r="A44" s="9" t="s">
        <v>465</v>
      </c>
      <c r="B44" s="9" t="s">
        <v>14921</v>
      </c>
    </row>
    <row r="45">
      <c r="A45" s="9" t="s">
        <v>6764</v>
      </c>
      <c r="B45" s="9" t="s">
        <v>14521</v>
      </c>
    </row>
    <row r="46">
      <c r="A46" s="9" t="s">
        <v>8236</v>
      </c>
      <c r="B46" s="9" t="s">
        <v>14673</v>
      </c>
    </row>
    <row r="47">
      <c r="A47" s="9" t="s">
        <v>9978</v>
      </c>
      <c r="B47" s="9" t="s">
        <v>20993</v>
      </c>
    </row>
    <row r="48">
      <c r="A48" s="9" t="s">
        <v>6197</v>
      </c>
      <c r="B48" s="9" t="s">
        <v>19340</v>
      </c>
    </row>
    <row r="49">
      <c r="A49" s="9" t="s">
        <v>8028</v>
      </c>
      <c r="B49" s="9" t="s">
        <v>18757</v>
      </c>
    </row>
    <row r="50">
      <c r="A50" s="9" t="s">
        <v>1291</v>
      </c>
      <c r="B50" s="9" t="s">
        <v>12850</v>
      </c>
    </row>
    <row r="51">
      <c r="A51" s="9" t="s">
        <v>10297</v>
      </c>
      <c r="B51" s="9" t="s">
        <v>12850</v>
      </c>
    </row>
    <row r="52">
      <c r="A52" s="9" t="s">
        <v>3158</v>
      </c>
      <c r="B52" s="9" t="s">
        <v>22274</v>
      </c>
    </row>
    <row r="53">
      <c r="A53" s="9" t="s">
        <v>3515</v>
      </c>
      <c r="B53" s="9" t="s">
        <v>22274</v>
      </c>
    </row>
    <row r="54">
      <c r="A54" s="9" t="s">
        <v>11427</v>
      </c>
      <c r="B54" s="9" t="s">
        <v>22274</v>
      </c>
    </row>
    <row r="55">
      <c r="A55" s="9" t="s">
        <v>11429</v>
      </c>
      <c r="B55" s="9" t="s">
        <v>22274</v>
      </c>
    </row>
    <row r="56">
      <c r="A56" s="9" t="s">
        <v>8736</v>
      </c>
      <c r="B56" s="9" t="s">
        <v>19486</v>
      </c>
    </row>
    <row r="57">
      <c r="A57" s="9" t="s">
        <v>8361</v>
      </c>
      <c r="B57" s="9" t="s">
        <v>19830</v>
      </c>
    </row>
    <row r="58">
      <c r="A58" s="9" t="s">
        <v>6679</v>
      </c>
      <c r="B58" s="9" t="s">
        <v>15018</v>
      </c>
    </row>
    <row r="59">
      <c r="A59" s="9" t="s">
        <v>8179</v>
      </c>
      <c r="B59" s="9" t="s">
        <v>14726</v>
      </c>
    </row>
    <row r="60">
      <c r="A60" s="9" t="s">
        <v>4470</v>
      </c>
      <c r="B60" s="9" t="s">
        <v>20541</v>
      </c>
    </row>
    <row r="61">
      <c r="A61" s="9" t="s">
        <v>8224</v>
      </c>
      <c r="B61" s="9" t="s">
        <v>14050</v>
      </c>
    </row>
    <row r="62">
      <c r="A62" s="9" t="s">
        <v>4000</v>
      </c>
      <c r="B62" s="9" t="s">
        <v>18615</v>
      </c>
    </row>
    <row r="63">
      <c r="A63" s="9" t="s">
        <v>5345</v>
      </c>
      <c r="B63" s="9" t="s">
        <v>20319</v>
      </c>
    </row>
    <row r="64">
      <c r="A64" s="9" t="s">
        <v>808</v>
      </c>
      <c r="B64" s="9" t="s">
        <v>20400</v>
      </c>
    </row>
    <row r="65">
      <c r="A65" s="9" t="s">
        <v>1530</v>
      </c>
      <c r="B65" s="9" t="s">
        <v>15860</v>
      </c>
    </row>
    <row r="66">
      <c r="A66" s="9" t="s">
        <v>8100</v>
      </c>
      <c r="B66" s="9" t="s">
        <v>14777</v>
      </c>
    </row>
    <row r="67">
      <c r="A67" s="9" t="s">
        <v>2814</v>
      </c>
      <c r="B67" s="9" t="s">
        <v>18201</v>
      </c>
    </row>
    <row r="68">
      <c r="A68" s="9" t="s">
        <v>4521</v>
      </c>
      <c r="B68" s="9" t="s">
        <v>18088</v>
      </c>
    </row>
    <row r="69">
      <c r="A69" s="9" t="s">
        <v>9708</v>
      </c>
      <c r="B69" s="9" t="s">
        <v>20955</v>
      </c>
    </row>
    <row r="70">
      <c r="A70" s="9" t="s">
        <v>9810</v>
      </c>
      <c r="B70" s="9" t="s">
        <v>13842</v>
      </c>
    </row>
    <row r="71">
      <c r="A71" s="9" t="s">
        <v>10113</v>
      </c>
      <c r="B71" s="9" t="s">
        <v>13842</v>
      </c>
    </row>
    <row r="72">
      <c r="A72" s="9" t="s">
        <v>4423</v>
      </c>
      <c r="B72" s="9" t="s">
        <v>17187</v>
      </c>
    </row>
    <row r="73">
      <c r="A73" s="9" t="s">
        <v>4089</v>
      </c>
      <c r="B73" s="9" t="s">
        <v>18749</v>
      </c>
    </row>
    <row r="74">
      <c r="A74" s="9" t="s">
        <v>4106</v>
      </c>
      <c r="B74" s="9" t="s">
        <v>18749</v>
      </c>
    </row>
    <row r="75">
      <c r="A75" s="9" t="s">
        <v>8833</v>
      </c>
      <c r="B75" s="9" t="s">
        <v>17110</v>
      </c>
    </row>
    <row r="76">
      <c r="A76" s="9" t="s">
        <v>8306</v>
      </c>
      <c r="B76" s="9" t="s">
        <v>19520</v>
      </c>
    </row>
    <row r="77">
      <c r="A77" s="9" t="s">
        <v>9984</v>
      </c>
      <c r="B77" s="9" t="s">
        <v>13465</v>
      </c>
    </row>
    <row r="78">
      <c r="A78" s="9" t="s">
        <v>8817</v>
      </c>
      <c r="B78" s="9" t="s">
        <v>13829</v>
      </c>
    </row>
    <row r="79">
      <c r="A79" s="9" t="s">
        <v>10151</v>
      </c>
      <c r="B79" s="9" t="s">
        <v>21645</v>
      </c>
    </row>
    <row r="80">
      <c r="A80" s="9" t="s">
        <v>2767</v>
      </c>
      <c r="B80" s="9" t="s">
        <v>20664</v>
      </c>
    </row>
    <row r="81">
      <c r="A81" s="9" t="s">
        <v>23478</v>
      </c>
      <c r="B81" s="9" t="s">
        <v>20664</v>
      </c>
    </row>
    <row r="82">
      <c r="A82" s="9" t="s">
        <v>5841</v>
      </c>
      <c r="B82" s="9" t="s">
        <v>13642</v>
      </c>
    </row>
    <row r="83">
      <c r="A83" s="9" t="s">
        <v>1747</v>
      </c>
      <c r="B83" s="9" t="s">
        <v>15738</v>
      </c>
    </row>
    <row r="84">
      <c r="A84" s="9" t="s">
        <v>9827</v>
      </c>
      <c r="B84" s="9" t="s">
        <v>21673</v>
      </c>
    </row>
    <row r="85">
      <c r="A85" s="9" t="s">
        <v>997</v>
      </c>
      <c r="B85" s="9" t="s">
        <v>16676</v>
      </c>
    </row>
    <row r="86">
      <c r="A86" s="9" t="s">
        <v>1013</v>
      </c>
      <c r="B86" s="9" t="s">
        <v>16676</v>
      </c>
    </row>
    <row r="87">
      <c r="A87" s="9" t="s">
        <v>7975</v>
      </c>
      <c r="B87" s="9" t="s">
        <v>15436</v>
      </c>
    </row>
    <row r="88">
      <c r="A88" s="9" t="s">
        <v>11845</v>
      </c>
      <c r="B88" s="9" t="s">
        <v>15436</v>
      </c>
    </row>
    <row r="89">
      <c r="A89" s="9" t="s">
        <v>8488</v>
      </c>
      <c r="B89" s="9" t="s">
        <v>20778</v>
      </c>
    </row>
    <row r="90">
      <c r="A90" s="9" t="s">
        <v>7380</v>
      </c>
      <c r="B90" s="9" t="s">
        <v>12657</v>
      </c>
    </row>
    <row r="91">
      <c r="A91" s="9" t="s">
        <v>9151</v>
      </c>
      <c r="B91" s="9" t="s">
        <v>14876</v>
      </c>
    </row>
    <row r="92">
      <c r="A92" s="9" t="s">
        <v>8795</v>
      </c>
      <c r="B92" s="9" t="s">
        <v>20819</v>
      </c>
    </row>
    <row r="93">
      <c r="A93" s="9" t="s">
        <v>2944</v>
      </c>
      <c r="B93" s="9" t="s">
        <v>15039</v>
      </c>
    </row>
    <row r="94">
      <c r="A94" s="9" t="s">
        <v>7102</v>
      </c>
      <c r="B94" s="9" t="s">
        <v>15039</v>
      </c>
    </row>
    <row r="95">
      <c r="A95" s="9" t="s">
        <v>7909</v>
      </c>
      <c r="B95" s="9" t="s">
        <v>20345</v>
      </c>
    </row>
    <row r="96">
      <c r="A96" s="9" t="s">
        <v>2496</v>
      </c>
      <c r="B96" s="9" t="s">
        <v>12545</v>
      </c>
    </row>
    <row r="97">
      <c r="A97" s="9" t="s">
        <v>9847</v>
      </c>
      <c r="B97" s="9" t="s">
        <v>18762</v>
      </c>
    </row>
    <row r="98">
      <c r="A98" s="9" t="s">
        <v>8341</v>
      </c>
      <c r="B98" s="9" t="s">
        <v>16315</v>
      </c>
    </row>
    <row r="99">
      <c r="A99" s="9" t="s">
        <v>6444</v>
      </c>
      <c r="B99" s="9" t="s">
        <v>18028</v>
      </c>
    </row>
    <row r="100">
      <c r="A100" s="9" t="s">
        <v>1656</v>
      </c>
      <c r="B100" s="9" t="s">
        <v>20632</v>
      </c>
    </row>
    <row r="101">
      <c r="A101" s="9" t="s">
        <v>5936</v>
      </c>
      <c r="B101" s="9" t="s">
        <v>20197</v>
      </c>
    </row>
    <row r="102">
      <c r="A102" s="9" t="s">
        <v>6934</v>
      </c>
      <c r="B102" s="9" t="s">
        <v>16063</v>
      </c>
    </row>
    <row r="103">
      <c r="A103" s="9" t="s">
        <v>9626</v>
      </c>
      <c r="B103" s="9" t="s">
        <v>16063</v>
      </c>
    </row>
    <row r="104">
      <c r="A104" s="9" t="s">
        <v>1640</v>
      </c>
      <c r="B104" s="9" t="s">
        <v>18121</v>
      </c>
    </row>
    <row r="105">
      <c r="A105" s="9" t="s">
        <v>273</v>
      </c>
      <c r="B105" s="9" t="s">
        <v>13846</v>
      </c>
    </row>
    <row r="106">
      <c r="A106" s="9" t="s">
        <v>8540</v>
      </c>
      <c r="B106" s="9" t="s">
        <v>13846</v>
      </c>
    </row>
    <row r="107">
      <c r="A107" s="9" t="s">
        <v>8545</v>
      </c>
      <c r="B107" s="9" t="s">
        <v>13846</v>
      </c>
    </row>
    <row r="108">
      <c r="A108" s="9" t="s">
        <v>8522</v>
      </c>
      <c r="B108" s="9" t="s">
        <v>18472</v>
      </c>
    </row>
    <row r="109">
      <c r="A109" s="9" t="s">
        <v>8763</v>
      </c>
      <c r="B109" s="9" t="s">
        <v>20810</v>
      </c>
    </row>
    <row r="110">
      <c r="A110" s="9" t="s">
        <v>8774</v>
      </c>
      <c r="B110" s="9" t="s">
        <v>20810</v>
      </c>
    </row>
    <row r="111">
      <c r="A111" s="9" t="s">
        <v>780</v>
      </c>
      <c r="B111" s="9" t="s">
        <v>17583</v>
      </c>
    </row>
    <row r="112">
      <c r="A112" s="9" t="s">
        <v>7483</v>
      </c>
      <c r="B112" s="9" t="s">
        <v>16451</v>
      </c>
    </row>
    <row r="113">
      <c r="A113" s="9" t="s">
        <v>6716</v>
      </c>
      <c r="B113" s="9" t="s">
        <v>12859</v>
      </c>
    </row>
    <row r="114">
      <c r="A114" s="9" t="s">
        <v>244</v>
      </c>
      <c r="B114" s="9" t="s">
        <v>16378</v>
      </c>
    </row>
    <row r="115">
      <c r="A115" s="9" t="s">
        <v>9746</v>
      </c>
      <c r="B115" s="9" t="s">
        <v>16378</v>
      </c>
    </row>
    <row r="116">
      <c r="A116" s="9" t="s">
        <v>8621</v>
      </c>
      <c r="B116" s="9" t="s">
        <v>21653</v>
      </c>
    </row>
    <row r="117">
      <c r="A117" s="9" t="s">
        <v>2210</v>
      </c>
      <c r="B117" s="9" t="s">
        <v>20263</v>
      </c>
    </row>
    <row r="118">
      <c r="A118" s="9" t="s">
        <v>3346</v>
      </c>
      <c r="B118" s="9" t="s">
        <v>16987</v>
      </c>
    </row>
    <row r="119">
      <c r="A119" s="9" t="s">
        <v>9551</v>
      </c>
      <c r="B119" s="9" t="s">
        <v>14893</v>
      </c>
    </row>
    <row r="120">
      <c r="A120" s="9" t="s">
        <v>10180</v>
      </c>
      <c r="B120" s="9" t="s">
        <v>21684</v>
      </c>
    </row>
    <row r="121">
      <c r="A121" s="9" t="s">
        <v>7925</v>
      </c>
      <c r="B121" s="9" t="s">
        <v>14283</v>
      </c>
    </row>
    <row r="122">
      <c r="A122" s="9" t="s">
        <v>3963</v>
      </c>
      <c r="B122" s="9" t="s">
        <v>17023</v>
      </c>
    </row>
    <row r="123">
      <c r="A123" s="9" t="s">
        <v>246</v>
      </c>
      <c r="B123" s="9" t="s">
        <v>17023</v>
      </c>
    </row>
    <row r="124">
      <c r="A124" s="9" t="s">
        <v>8858</v>
      </c>
      <c r="B124" s="9" t="s">
        <v>13967</v>
      </c>
    </row>
    <row r="125">
      <c r="A125" s="9" t="s">
        <v>388</v>
      </c>
      <c r="B125" s="9" t="s">
        <v>18270</v>
      </c>
    </row>
    <row r="126">
      <c r="A126" s="9" t="s">
        <v>9252</v>
      </c>
      <c r="B126" s="9" t="s">
        <v>18161</v>
      </c>
    </row>
    <row r="127">
      <c r="A127" s="9" t="s">
        <v>8568</v>
      </c>
      <c r="B127" s="9" t="s">
        <v>16595</v>
      </c>
    </row>
    <row r="128">
      <c r="A128" s="9" t="s">
        <v>11489</v>
      </c>
      <c r="B128" s="9" t="s">
        <v>16595</v>
      </c>
    </row>
    <row r="129">
      <c r="A129" s="9" t="s">
        <v>5924</v>
      </c>
      <c r="B129" s="9" t="s">
        <v>15075</v>
      </c>
    </row>
    <row r="130">
      <c r="A130" s="9" t="s">
        <v>9450</v>
      </c>
      <c r="B130" s="9" t="s">
        <v>14677</v>
      </c>
    </row>
    <row r="131">
      <c r="A131" s="9" t="s">
        <v>4887</v>
      </c>
      <c r="B131" s="9" t="s">
        <v>12496</v>
      </c>
    </row>
    <row r="132">
      <c r="A132" s="9" t="s">
        <v>7714</v>
      </c>
      <c r="B132" s="9" t="s">
        <v>12488</v>
      </c>
    </row>
    <row r="133">
      <c r="A133" s="9" t="s">
        <v>9858</v>
      </c>
      <c r="B133" s="9" t="s">
        <v>12903</v>
      </c>
    </row>
    <row r="134">
      <c r="A134" s="9" t="s">
        <v>1247</v>
      </c>
      <c r="B134" s="9" t="s">
        <v>24735</v>
      </c>
    </row>
    <row r="135">
      <c r="A135" s="9" t="s">
        <v>6094</v>
      </c>
      <c r="B135" s="9" t="s">
        <v>12326</v>
      </c>
    </row>
    <row r="136">
      <c r="A136" s="9" t="s">
        <v>7667</v>
      </c>
      <c r="B136" s="9" t="s">
        <v>13447</v>
      </c>
    </row>
    <row r="137">
      <c r="A137" s="9" t="s">
        <v>2615</v>
      </c>
      <c r="B137" s="9" t="s">
        <v>20225</v>
      </c>
    </row>
    <row r="138">
      <c r="A138" s="9" t="s">
        <v>5037</v>
      </c>
      <c r="B138" s="9" t="s">
        <v>16007</v>
      </c>
    </row>
    <row r="139">
      <c r="A139" s="9" t="s">
        <v>7526</v>
      </c>
      <c r="B139" s="9" t="s">
        <v>16007</v>
      </c>
    </row>
    <row r="140">
      <c r="A140" s="9" t="s">
        <v>8558</v>
      </c>
      <c r="B140" s="9" t="s">
        <v>17376</v>
      </c>
    </row>
    <row r="141">
      <c r="A141" s="9" t="s">
        <v>5260</v>
      </c>
      <c r="B141" s="9" t="s">
        <v>20658</v>
      </c>
    </row>
    <row r="142">
      <c r="A142" s="9" t="s">
        <v>4568</v>
      </c>
      <c r="B142" s="9" t="s">
        <v>18461</v>
      </c>
    </row>
    <row r="143">
      <c r="A143" s="9" t="s">
        <v>9141</v>
      </c>
      <c r="B143" s="9" t="s">
        <v>18461</v>
      </c>
    </row>
    <row r="144">
      <c r="A144" s="9" t="s">
        <v>275</v>
      </c>
      <c r="B144" s="9" t="s">
        <v>17922</v>
      </c>
    </row>
    <row r="145">
      <c r="A145" s="9" t="s">
        <v>5331</v>
      </c>
      <c r="B145" s="9" t="s">
        <v>20554</v>
      </c>
    </row>
    <row r="146">
      <c r="A146" s="9" t="s">
        <v>2432</v>
      </c>
      <c r="B146" s="9" t="s">
        <v>20669</v>
      </c>
    </row>
    <row r="147">
      <c r="A147" s="9" t="s">
        <v>8408</v>
      </c>
      <c r="B147" s="9" t="s">
        <v>14662</v>
      </c>
    </row>
    <row r="148">
      <c r="A148" s="9" t="s">
        <v>5361</v>
      </c>
      <c r="B148" s="9" t="s">
        <v>17852</v>
      </c>
    </row>
    <row r="149">
      <c r="A149" s="9" t="s">
        <v>1919</v>
      </c>
      <c r="B149" s="9" t="s">
        <v>17784</v>
      </c>
    </row>
    <row r="150">
      <c r="A150" s="9" t="s">
        <v>8284</v>
      </c>
      <c r="B150" s="9" t="s">
        <v>18857</v>
      </c>
    </row>
    <row r="151">
      <c r="A151" s="9" t="s">
        <v>2920</v>
      </c>
      <c r="B151" s="9" t="s">
        <v>20108</v>
      </c>
    </row>
    <row r="152">
      <c r="A152" s="9" t="s">
        <v>8956</v>
      </c>
      <c r="B152" s="9" t="s">
        <v>14786</v>
      </c>
    </row>
    <row r="153">
      <c r="A153" s="9" t="s">
        <v>4253</v>
      </c>
      <c r="B153" s="9" t="s">
        <v>20376</v>
      </c>
    </row>
    <row r="154">
      <c r="A154" s="9" t="s">
        <v>1344</v>
      </c>
      <c r="B154" s="9" t="s">
        <v>19649</v>
      </c>
    </row>
    <row r="155">
      <c r="A155" s="9" t="s">
        <v>9698</v>
      </c>
      <c r="B155" s="9" t="s">
        <v>18850</v>
      </c>
    </row>
    <row r="156">
      <c r="A156" s="9" t="s">
        <v>265</v>
      </c>
      <c r="B156" s="9" t="s">
        <v>18135</v>
      </c>
    </row>
    <row r="157">
      <c r="A157" s="9" t="s">
        <v>10600</v>
      </c>
      <c r="B157" s="9" t="s">
        <v>18135</v>
      </c>
    </row>
    <row r="158">
      <c r="A158" s="9" t="s">
        <v>6880</v>
      </c>
      <c r="B158" s="9" t="s">
        <v>19218</v>
      </c>
    </row>
    <row r="159">
      <c r="A159" s="9" t="s">
        <v>5249</v>
      </c>
      <c r="B159" s="9" t="s">
        <v>17610</v>
      </c>
    </row>
    <row r="160">
      <c r="A160" s="9" t="s">
        <v>7889</v>
      </c>
      <c r="B160" s="9" t="s">
        <v>17797</v>
      </c>
    </row>
    <row r="161">
      <c r="A161" s="9" t="s">
        <v>11979</v>
      </c>
      <c r="B161" s="9" t="s">
        <v>17797</v>
      </c>
    </row>
    <row r="162">
      <c r="A162" s="9" t="s">
        <v>5728</v>
      </c>
      <c r="B162" s="9" t="s">
        <v>17729</v>
      </c>
    </row>
    <row r="163">
      <c r="A163" s="9" t="s">
        <v>6458</v>
      </c>
      <c r="B163" s="9" t="s">
        <v>17974</v>
      </c>
    </row>
    <row r="164">
      <c r="A164" s="9" t="s">
        <v>6473</v>
      </c>
      <c r="B164" s="9" t="s">
        <v>17974</v>
      </c>
    </row>
    <row r="165">
      <c r="A165" s="9" t="s">
        <v>6605</v>
      </c>
      <c r="B165" s="9" t="s">
        <v>16774</v>
      </c>
    </row>
    <row r="166">
      <c r="A166" s="9" t="s">
        <v>4758</v>
      </c>
      <c r="B166" s="9" t="s">
        <v>19690</v>
      </c>
    </row>
    <row r="167">
      <c r="A167" s="9" t="s">
        <v>10171</v>
      </c>
      <c r="B167" s="9" t="s">
        <v>15001</v>
      </c>
    </row>
    <row r="168">
      <c r="A168" s="9" t="s">
        <v>7678</v>
      </c>
      <c r="B168" s="9" t="s">
        <v>20294</v>
      </c>
    </row>
    <row r="169">
      <c r="A169" s="9" t="s">
        <v>3765</v>
      </c>
      <c r="B169" s="9" t="s">
        <v>12553</v>
      </c>
    </row>
    <row r="170">
      <c r="A170" s="9" t="s">
        <v>8370</v>
      </c>
      <c r="B170" s="9" t="s">
        <v>12553</v>
      </c>
    </row>
    <row r="171">
      <c r="A171" s="9" t="s">
        <v>9261</v>
      </c>
      <c r="B171" s="9" t="s">
        <v>18981</v>
      </c>
    </row>
    <row r="172">
      <c r="A172" s="9" t="s">
        <v>3827</v>
      </c>
      <c r="B172" s="9" t="s">
        <v>12300</v>
      </c>
    </row>
    <row r="173">
      <c r="A173" s="9" t="s">
        <v>3844</v>
      </c>
      <c r="B173" s="9" t="s">
        <v>12300</v>
      </c>
    </row>
    <row r="174">
      <c r="A174" s="9" t="s">
        <v>3185</v>
      </c>
      <c r="B174" s="9" t="s">
        <v>16570</v>
      </c>
    </row>
    <row r="175">
      <c r="A175" s="9" t="s">
        <v>9502</v>
      </c>
      <c r="B175" s="9" t="s">
        <v>15236</v>
      </c>
    </row>
    <row r="176">
      <c r="A176" s="9" t="s">
        <v>2193</v>
      </c>
      <c r="B176" s="9" t="s">
        <v>17618</v>
      </c>
    </row>
    <row r="177">
      <c r="A177" s="9" t="s">
        <v>3233</v>
      </c>
      <c r="B177" s="9" t="s">
        <v>16417</v>
      </c>
    </row>
    <row r="178">
      <c r="A178" s="9" t="s">
        <v>8965</v>
      </c>
      <c r="B178" s="9" t="s">
        <v>19736</v>
      </c>
    </row>
    <row r="179">
      <c r="A179" s="9" t="s">
        <v>8044</v>
      </c>
      <c r="B179" s="9" t="s">
        <v>20268</v>
      </c>
    </row>
    <row r="180">
      <c r="A180" s="9" t="s">
        <v>4336</v>
      </c>
      <c r="B180" s="9" t="s">
        <v>18303</v>
      </c>
    </row>
    <row r="181">
      <c r="A181" s="9" t="s">
        <v>9958</v>
      </c>
      <c r="B181" s="9" t="s">
        <v>18303</v>
      </c>
    </row>
    <row r="182">
      <c r="A182" s="9" t="s">
        <v>5388</v>
      </c>
      <c r="B182" s="9" t="s">
        <v>13941</v>
      </c>
    </row>
    <row r="183">
      <c r="A183" s="9" t="s">
        <v>9448</v>
      </c>
      <c r="B183" s="9" t="s">
        <v>13941</v>
      </c>
    </row>
    <row r="184">
      <c r="A184" s="9" t="s">
        <v>8644</v>
      </c>
      <c r="B184" s="9" t="s">
        <v>18361</v>
      </c>
    </row>
    <row r="185">
      <c r="A185" s="9" t="s">
        <v>2219</v>
      </c>
      <c r="B185" s="9" t="s">
        <v>13371</v>
      </c>
    </row>
    <row r="186">
      <c r="A186" s="9" t="s">
        <v>2234</v>
      </c>
      <c r="B186" s="9" t="s">
        <v>13371</v>
      </c>
    </row>
    <row r="187">
      <c r="A187" s="9" t="s">
        <v>9199</v>
      </c>
      <c r="B187" s="9" t="s">
        <v>13476</v>
      </c>
    </row>
    <row r="188">
      <c r="A188" s="9" t="s">
        <v>7988</v>
      </c>
      <c r="B188" s="9" t="s">
        <v>15999</v>
      </c>
    </row>
    <row r="189">
      <c r="A189" s="9" t="s">
        <v>8910</v>
      </c>
      <c r="B189" s="9" t="s">
        <v>20843</v>
      </c>
    </row>
    <row r="190">
      <c r="A190" s="9" t="s">
        <v>3256</v>
      </c>
      <c r="B190" s="9" t="s">
        <v>12368</v>
      </c>
    </row>
    <row r="191">
      <c r="A191" s="9" t="s">
        <v>3368</v>
      </c>
      <c r="B191" s="9" t="s">
        <v>20570</v>
      </c>
    </row>
    <row r="192">
      <c r="A192" s="9" t="s">
        <v>1195</v>
      </c>
      <c r="B192" s="9" t="s">
        <v>20279</v>
      </c>
    </row>
    <row r="193">
      <c r="A193" s="9" t="s">
        <v>3410</v>
      </c>
      <c r="B193" s="9" t="s">
        <v>18220</v>
      </c>
    </row>
    <row r="194">
      <c r="A194" s="9" t="s">
        <v>7447</v>
      </c>
      <c r="B194" s="9" t="s">
        <v>20368</v>
      </c>
    </row>
    <row r="195">
      <c r="A195" s="9" t="s">
        <v>982</v>
      </c>
      <c r="B195" s="9" t="s">
        <v>19291</v>
      </c>
    </row>
    <row r="196">
      <c r="A196" s="9" t="s">
        <v>8419</v>
      </c>
      <c r="B196" s="9" t="s">
        <v>20766</v>
      </c>
    </row>
    <row r="197">
      <c r="A197" s="9" t="s">
        <v>6620</v>
      </c>
      <c r="B197" s="9" t="s">
        <v>16488</v>
      </c>
    </row>
    <row r="198">
      <c r="A198" s="9" t="s">
        <v>9787</v>
      </c>
      <c r="B198" s="9" t="s">
        <v>20974</v>
      </c>
    </row>
    <row r="199">
      <c r="A199" s="9" t="s">
        <v>8711</v>
      </c>
      <c r="B199" s="9" t="s">
        <v>19783</v>
      </c>
    </row>
    <row r="200">
      <c r="A200" s="9" t="s">
        <v>7145</v>
      </c>
      <c r="B200" s="9" t="s">
        <v>12308</v>
      </c>
    </row>
    <row r="201">
      <c r="A201" s="9" t="s">
        <v>7157</v>
      </c>
      <c r="B201" s="9" t="s">
        <v>12308</v>
      </c>
    </row>
    <row r="202">
      <c r="A202" s="9" t="s">
        <v>6209</v>
      </c>
      <c r="B202" s="9" t="s">
        <v>17761</v>
      </c>
    </row>
    <row r="203">
      <c r="A203" s="9" t="s">
        <v>9522</v>
      </c>
      <c r="B203" s="9" t="s">
        <v>17403</v>
      </c>
    </row>
    <row r="204">
      <c r="A204" s="9" t="s">
        <v>9762</v>
      </c>
      <c r="B204" s="9" t="s">
        <v>14159</v>
      </c>
    </row>
    <row r="205">
      <c r="A205" s="9" t="s">
        <v>9106</v>
      </c>
      <c r="B205" s="9" t="s">
        <v>13814</v>
      </c>
    </row>
    <row r="206">
      <c r="A206" s="9" t="s">
        <v>9119</v>
      </c>
      <c r="B206" s="9" t="s">
        <v>13814</v>
      </c>
    </row>
    <row r="207">
      <c r="A207" s="9" t="s">
        <v>9350</v>
      </c>
      <c r="B207" s="9" t="s">
        <v>13814</v>
      </c>
    </row>
    <row r="208">
      <c r="A208" s="9" t="s">
        <v>7437</v>
      </c>
      <c r="B208" s="9" t="s">
        <v>20350</v>
      </c>
    </row>
    <row r="209">
      <c r="A209" s="9" t="s">
        <v>605</v>
      </c>
      <c r="B209" s="9" t="s">
        <v>19126</v>
      </c>
    </row>
    <row r="210">
      <c r="A210" s="9" t="s">
        <v>9949</v>
      </c>
      <c r="B210" s="9" t="s">
        <v>20987</v>
      </c>
    </row>
    <row r="211">
      <c r="A211" s="9" t="s">
        <v>7823</v>
      </c>
      <c r="B211" s="9" t="s">
        <v>20610</v>
      </c>
    </row>
    <row r="212">
      <c r="A212" s="9" t="s">
        <v>6330</v>
      </c>
      <c r="B212" s="9" t="s">
        <v>14721</v>
      </c>
    </row>
    <row r="213">
      <c r="A213" s="9" t="s">
        <v>1393</v>
      </c>
      <c r="B213" s="9" t="s">
        <v>19556</v>
      </c>
    </row>
    <row r="214">
      <c r="A214" s="9" t="s">
        <v>8331</v>
      </c>
      <c r="B214" s="9" t="s">
        <v>19837</v>
      </c>
    </row>
    <row r="215">
      <c r="A215" s="9" t="s">
        <v>4821</v>
      </c>
      <c r="B215" s="9" t="s">
        <v>17994</v>
      </c>
    </row>
    <row r="216">
      <c r="A216" s="9" t="s">
        <v>643</v>
      </c>
      <c r="B216" s="9" t="s">
        <v>13411</v>
      </c>
    </row>
    <row r="217">
      <c r="A217" s="9" t="s">
        <v>1410</v>
      </c>
      <c r="B217" s="9" t="s">
        <v>12560</v>
      </c>
    </row>
    <row r="218">
      <c r="A218" s="9" t="s">
        <v>4121</v>
      </c>
      <c r="B218" s="9" t="s">
        <v>19357</v>
      </c>
    </row>
    <row r="219">
      <c r="A219" s="9" t="s">
        <v>5739</v>
      </c>
      <c r="B219" s="9" t="s">
        <v>20129</v>
      </c>
    </row>
    <row r="220">
      <c r="A220" s="9" t="s">
        <v>9310</v>
      </c>
      <c r="B220" s="9" t="s">
        <v>19278</v>
      </c>
    </row>
    <row r="221">
      <c r="A221" s="9" t="s">
        <v>7511</v>
      </c>
      <c r="B221" s="9" t="s">
        <v>18538</v>
      </c>
    </row>
    <row r="222">
      <c r="A222" s="9" t="s">
        <v>5434</v>
      </c>
      <c r="B222" s="9" t="s">
        <v>20181</v>
      </c>
    </row>
    <row r="223">
      <c r="A223" s="9" t="s">
        <v>9329</v>
      </c>
      <c r="B223" s="9" t="s">
        <v>17832</v>
      </c>
    </row>
    <row r="224">
      <c r="A224" s="9" t="s">
        <v>9714</v>
      </c>
      <c r="B224" s="9" t="s">
        <v>15868</v>
      </c>
    </row>
    <row r="225">
      <c r="A225" s="9" t="s">
        <v>9285</v>
      </c>
      <c r="B225" s="9" t="s">
        <v>17012</v>
      </c>
    </row>
    <row r="226">
      <c r="A226" s="9" t="s">
        <v>1814</v>
      </c>
      <c r="B226" s="9" t="s">
        <v>15729</v>
      </c>
    </row>
    <row r="227">
      <c r="A227" s="9" t="s">
        <v>11821</v>
      </c>
      <c r="B227" s="9" t="s">
        <v>15729</v>
      </c>
    </row>
    <row r="228">
      <c r="A228" s="9" t="s">
        <v>9801</v>
      </c>
      <c r="B228" s="9" t="s">
        <v>15729</v>
      </c>
    </row>
    <row r="229">
      <c r="A229" s="9" t="s">
        <v>7808</v>
      </c>
      <c r="B229" s="9" t="s">
        <v>20595</v>
      </c>
    </row>
    <row r="230">
      <c r="A230" s="9" t="s">
        <v>2414</v>
      </c>
      <c r="B230" s="9" t="s">
        <v>25008</v>
      </c>
    </row>
    <row r="231">
      <c r="A231" s="9" t="s">
        <v>9564</v>
      </c>
      <c r="B231" s="9" t="s">
        <v>25008</v>
      </c>
    </row>
    <row r="232">
      <c r="A232" s="9" t="s">
        <v>8011</v>
      </c>
      <c r="B232" s="9" t="s">
        <v>20694</v>
      </c>
    </row>
    <row r="233">
      <c r="A233" s="9" t="s">
        <v>7121</v>
      </c>
      <c r="B233" s="9" t="s">
        <v>20437</v>
      </c>
    </row>
    <row r="234">
      <c r="A234" s="9" t="s">
        <v>9394</v>
      </c>
      <c r="B234" s="9" t="s">
        <v>17086</v>
      </c>
    </row>
    <row r="235">
      <c r="A235" s="9" t="s">
        <v>9080</v>
      </c>
      <c r="B235" s="9" t="s">
        <v>14366</v>
      </c>
    </row>
    <row r="236">
      <c r="A236" s="9" t="s">
        <v>8448</v>
      </c>
      <c r="B236" s="9" t="s">
        <v>13979</v>
      </c>
    </row>
    <row r="237">
      <c r="A237" s="9" t="s">
        <v>10128</v>
      </c>
      <c r="B237" s="9" t="s">
        <v>13979</v>
      </c>
    </row>
    <row r="238">
      <c r="A238" s="9" t="s">
        <v>9749</v>
      </c>
      <c r="B238" s="9" t="s">
        <v>15565</v>
      </c>
    </row>
    <row r="239">
      <c r="A239" s="9" t="s">
        <v>8246</v>
      </c>
      <c r="B239" s="9" t="s">
        <v>17907</v>
      </c>
    </row>
    <row r="240">
      <c r="A240" s="9" t="s">
        <v>9189</v>
      </c>
      <c r="B240" s="9" t="s">
        <v>13990</v>
      </c>
    </row>
    <row r="241">
      <c r="A241" s="9" t="s">
        <v>3945</v>
      </c>
      <c r="B241" s="9" t="s">
        <v>18770</v>
      </c>
    </row>
    <row r="242">
      <c r="A242" s="9" t="s">
        <v>1854</v>
      </c>
      <c r="B242" s="9" t="s">
        <v>16762</v>
      </c>
    </row>
    <row r="243">
      <c r="A243" s="9" t="s">
        <v>3420</v>
      </c>
      <c r="B243" s="9" t="s">
        <v>16762</v>
      </c>
    </row>
    <row r="244">
      <c r="A244" s="9" t="s">
        <v>6433</v>
      </c>
      <c r="B244" s="9" t="s">
        <v>17432</v>
      </c>
    </row>
    <row r="245">
      <c r="A245" s="9" t="s">
        <v>6807</v>
      </c>
      <c r="B245" s="9" t="s">
        <v>20087</v>
      </c>
    </row>
    <row r="246">
      <c r="A246" s="9" t="s">
        <v>3692</v>
      </c>
      <c r="B246" s="9" t="s">
        <v>15296</v>
      </c>
    </row>
    <row r="247">
      <c r="A247" s="9" t="s">
        <v>3713</v>
      </c>
      <c r="B247" s="9" t="s">
        <v>15296</v>
      </c>
    </row>
    <row r="248">
      <c r="A248" s="9" t="s">
        <v>8657</v>
      </c>
      <c r="B248" s="9" t="s">
        <v>14635</v>
      </c>
    </row>
    <row r="249">
      <c r="A249" s="9" t="s">
        <v>5139</v>
      </c>
      <c r="B249" s="9" t="s">
        <v>12533</v>
      </c>
    </row>
    <row r="250">
      <c r="A250" s="9" t="s">
        <v>7348</v>
      </c>
      <c r="B250" s="9" t="s">
        <v>12533</v>
      </c>
    </row>
    <row r="251">
      <c r="A251" s="9" t="s">
        <v>1579</v>
      </c>
      <c r="B251" s="9" t="s">
        <v>15351</v>
      </c>
    </row>
    <row r="252">
      <c r="A252" s="9" t="s">
        <v>4879</v>
      </c>
      <c r="B252" s="9" t="s">
        <v>18714</v>
      </c>
    </row>
    <row r="253">
      <c r="A253" s="9" t="s">
        <v>8153</v>
      </c>
      <c r="B253" s="9" t="s">
        <v>19141</v>
      </c>
    </row>
    <row r="254">
      <c r="A254" s="9" t="s">
        <v>9688</v>
      </c>
      <c r="B254" s="9" t="s">
        <v>20950</v>
      </c>
    </row>
    <row r="255">
      <c r="A255" s="9" t="s">
        <v>8380</v>
      </c>
      <c r="B255" s="9" t="s">
        <v>15443</v>
      </c>
    </row>
    <row r="256">
      <c r="A256" s="9" t="s">
        <v>266</v>
      </c>
      <c r="B256" s="9" t="s">
        <v>12609</v>
      </c>
    </row>
    <row r="257">
      <c r="A257" s="9" t="s">
        <v>11817</v>
      </c>
      <c r="B257" s="9" t="s">
        <v>12609</v>
      </c>
    </row>
    <row r="258">
      <c r="A258" s="9" t="s">
        <v>2483</v>
      </c>
      <c r="B258" s="9" t="s">
        <v>17808</v>
      </c>
    </row>
    <row r="259">
      <c r="A259" s="9" t="s">
        <v>2009</v>
      </c>
      <c r="B259" s="9" t="s">
        <v>17454</v>
      </c>
    </row>
    <row r="260">
      <c r="A260" s="9" t="s">
        <v>255</v>
      </c>
      <c r="B260" s="9" t="s">
        <v>14549</v>
      </c>
    </row>
    <row r="261">
      <c r="A261" s="9" t="s">
        <v>9147</v>
      </c>
      <c r="B261" s="9" t="s">
        <v>19718</v>
      </c>
    </row>
    <row r="262">
      <c r="A262" s="9" t="s">
        <v>271</v>
      </c>
      <c r="B262" s="9" t="s">
        <v>20069</v>
      </c>
    </row>
    <row r="263">
      <c r="A263" s="9" t="s">
        <v>3527</v>
      </c>
      <c r="B263" s="9" t="s">
        <v>16236</v>
      </c>
    </row>
    <row r="264">
      <c r="A264" s="9" t="s">
        <v>9323</v>
      </c>
      <c r="B264" s="9" t="s">
        <v>14535</v>
      </c>
    </row>
    <row r="265">
      <c r="A265" s="9" t="s">
        <v>9819</v>
      </c>
      <c r="B265" s="9" t="s">
        <v>19075</v>
      </c>
    </row>
    <row r="266">
      <c r="A266" s="9" t="s">
        <v>8598</v>
      </c>
      <c r="B266" s="9" t="s">
        <v>13822</v>
      </c>
    </row>
    <row r="267">
      <c r="A267" s="9" t="s">
        <v>4193</v>
      </c>
      <c r="B267" s="9" t="s">
        <v>16104</v>
      </c>
    </row>
    <row r="268">
      <c r="A268" s="9" t="s">
        <v>5446</v>
      </c>
      <c r="B268" s="9" t="s">
        <v>16104</v>
      </c>
    </row>
    <row r="269">
      <c r="A269" s="9" t="s">
        <v>2736</v>
      </c>
      <c r="B269" s="9" t="s">
        <v>18324</v>
      </c>
    </row>
    <row r="270">
      <c r="A270" s="9" t="s">
        <v>7785</v>
      </c>
      <c r="B270" s="9" t="s">
        <v>19893</v>
      </c>
    </row>
    <row r="271">
      <c r="A271" s="9" t="s">
        <v>11592</v>
      </c>
      <c r="B271" s="9" t="s">
        <v>19893</v>
      </c>
    </row>
    <row r="272">
      <c r="A272" s="9" t="s">
        <v>5676</v>
      </c>
      <c r="B272" s="9" t="s">
        <v>17773</v>
      </c>
    </row>
    <row r="273">
      <c r="A273" s="9" t="s">
        <v>8926</v>
      </c>
      <c r="B273" s="9" t="s">
        <v>19054</v>
      </c>
    </row>
    <row r="274">
      <c r="A274" s="9" t="s">
        <v>267</v>
      </c>
      <c r="B274" s="9" t="s">
        <v>17311</v>
      </c>
    </row>
    <row r="275">
      <c r="A275" s="9" t="s">
        <v>8939</v>
      </c>
      <c r="B275" s="9" t="s">
        <v>17311</v>
      </c>
    </row>
    <row r="276">
      <c r="A276" s="9" t="s">
        <v>2329</v>
      </c>
      <c r="B276" s="9" t="s">
        <v>15666</v>
      </c>
    </row>
    <row r="277">
      <c r="A277" s="9" t="s">
        <v>4011</v>
      </c>
      <c r="B277" s="9" t="s">
        <v>15666</v>
      </c>
    </row>
    <row r="278">
      <c r="A278" s="9" t="s">
        <v>10217</v>
      </c>
      <c r="B278" s="9" t="s">
        <v>15666</v>
      </c>
    </row>
    <row r="279">
      <c r="A279" s="9" t="s">
        <v>5808</v>
      </c>
      <c r="B279" s="9" t="s">
        <v>20134</v>
      </c>
    </row>
    <row r="280">
      <c r="A280" s="9" t="s">
        <v>4453</v>
      </c>
      <c r="B280" s="9" t="s">
        <v>20504</v>
      </c>
    </row>
    <row r="281">
      <c r="A281" s="9" t="s">
        <v>7879</v>
      </c>
      <c r="B281" s="9" t="s">
        <v>13098</v>
      </c>
    </row>
    <row r="282">
      <c r="A282" s="9" t="s">
        <v>9167</v>
      </c>
      <c r="B282" s="9" t="s">
        <v>20860</v>
      </c>
    </row>
    <row r="283">
      <c r="A283" s="9" t="s">
        <v>4639</v>
      </c>
      <c r="B283" s="9" t="s">
        <v>20117</v>
      </c>
    </row>
    <row r="284">
      <c r="A284" s="9" t="s">
        <v>9178</v>
      </c>
      <c r="B284" s="9" t="s">
        <v>20867</v>
      </c>
    </row>
    <row r="285">
      <c r="A285" s="9" t="s">
        <v>3497</v>
      </c>
      <c r="B285" s="9" t="s">
        <v>16334</v>
      </c>
    </row>
    <row r="286">
      <c r="A286" s="9" t="s">
        <v>9375</v>
      </c>
      <c r="B286" s="9" t="s">
        <v>16334</v>
      </c>
    </row>
    <row r="287">
      <c r="A287" s="9" t="s">
        <v>11425</v>
      </c>
      <c r="B287" s="9" t="s">
        <v>16334</v>
      </c>
    </row>
    <row r="288">
      <c r="A288" s="9" t="s">
        <v>7219</v>
      </c>
      <c r="B288" s="9" t="s">
        <v>13457</v>
      </c>
    </row>
    <row r="289">
      <c r="A289" s="9" t="s">
        <v>8275</v>
      </c>
      <c r="B289" s="9" t="s">
        <v>20733</v>
      </c>
    </row>
    <row r="290">
      <c r="A290" s="9" t="s">
        <v>5372</v>
      </c>
      <c r="B290" s="9" t="s">
        <v>18845</v>
      </c>
    </row>
    <row r="291">
      <c r="A291" s="9" t="s">
        <v>706</v>
      </c>
      <c r="B291" s="9" t="s">
        <v>12792</v>
      </c>
    </row>
    <row r="292">
      <c r="A292" s="9" t="s">
        <v>1274</v>
      </c>
      <c r="B292" s="9" t="s">
        <v>20216</v>
      </c>
    </row>
    <row r="293">
      <c r="A293" s="9" t="s">
        <v>8393</v>
      </c>
      <c r="B293" s="9" t="s">
        <v>20216</v>
      </c>
    </row>
    <row r="294">
      <c r="A294" s="9" t="s">
        <v>4785</v>
      </c>
      <c r="B294" s="9" t="s">
        <v>18495</v>
      </c>
    </row>
    <row r="295">
      <c r="A295" s="9" t="s">
        <v>9571</v>
      </c>
      <c r="B295" s="9" t="s">
        <v>18672</v>
      </c>
    </row>
    <row r="296">
      <c r="A296" s="9" t="s">
        <v>10005</v>
      </c>
      <c r="B296" s="9" t="s">
        <v>21000</v>
      </c>
    </row>
    <row r="297">
      <c r="A297" s="9" t="s">
        <v>9603</v>
      </c>
      <c r="B297" s="9" t="s">
        <v>20941</v>
      </c>
    </row>
    <row r="298">
      <c r="A298" s="9" t="s">
        <v>1233</v>
      </c>
      <c r="B298" s="9" t="s">
        <v>12922</v>
      </c>
    </row>
    <row r="299">
      <c r="A299" s="9" t="s">
        <v>2933</v>
      </c>
      <c r="B299" s="9" t="s">
        <v>12922</v>
      </c>
    </row>
    <row r="300">
      <c r="A300" s="9" t="s">
        <v>5748</v>
      </c>
      <c r="B300" s="9" t="s">
        <v>20549</v>
      </c>
    </row>
    <row r="301">
      <c r="A301" s="9" t="s">
        <v>7585</v>
      </c>
      <c r="B301" s="9" t="s">
        <v>20625</v>
      </c>
    </row>
    <row r="302">
      <c r="A302" s="9" t="s">
        <v>2709</v>
      </c>
      <c r="B302" s="9" t="s">
        <v>20431</v>
      </c>
    </row>
    <row r="303">
      <c r="A303" s="9" t="s">
        <v>9911</v>
      </c>
      <c r="B303" s="9" t="s">
        <v>21692</v>
      </c>
    </row>
    <row r="304">
      <c r="A304" s="9" t="s">
        <v>4034</v>
      </c>
      <c r="B304" s="9" t="s">
        <v>17240</v>
      </c>
    </row>
    <row r="305">
      <c r="A305" s="9" t="s">
        <v>4045</v>
      </c>
      <c r="B305" s="9" t="s">
        <v>17240</v>
      </c>
    </row>
    <row r="306">
      <c r="A306" s="9" t="s">
        <v>5620</v>
      </c>
      <c r="B306" s="9" t="s">
        <v>18069</v>
      </c>
    </row>
    <row r="307">
      <c r="A307" s="9" t="s">
        <v>3436</v>
      </c>
      <c r="B307" s="9" t="s">
        <v>15404</v>
      </c>
    </row>
    <row r="308">
      <c r="A308" s="9" t="s">
        <v>3455</v>
      </c>
      <c r="B308" s="9" t="s">
        <v>15404</v>
      </c>
    </row>
    <row r="309">
      <c r="A309" s="9" t="s">
        <v>3464</v>
      </c>
      <c r="B309" s="9" t="s">
        <v>15404</v>
      </c>
    </row>
    <row r="310">
      <c r="A310" s="9" t="s">
        <v>1904</v>
      </c>
      <c r="B310" s="9" t="s">
        <v>15244</v>
      </c>
    </row>
    <row r="311">
      <c r="A311" s="9" t="s">
        <v>9206</v>
      </c>
      <c r="B311" s="9" t="s">
        <v>13956</v>
      </c>
    </row>
    <row r="312">
      <c r="A312" s="9" t="s">
        <v>8871</v>
      </c>
      <c r="B312" s="9" t="s">
        <v>17487</v>
      </c>
    </row>
    <row r="313">
      <c r="A313" s="9" t="s">
        <v>8578</v>
      </c>
      <c r="B313" s="9" t="s">
        <v>15454</v>
      </c>
    </row>
    <row r="314">
      <c r="A314" s="9" t="s">
        <v>3027</v>
      </c>
      <c r="B314" s="9" t="s">
        <v>12703</v>
      </c>
    </row>
    <row r="315">
      <c r="A315" s="9" t="s">
        <v>249</v>
      </c>
      <c r="B315" s="9" t="s">
        <v>14691</v>
      </c>
    </row>
    <row r="316">
      <c r="A316" s="9" t="s">
        <v>1453</v>
      </c>
      <c r="B316" s="9" t="s">
        <v>20421</v>
      </c>
    </row>
    <row r="317">
      <c r="A317" s="9" t="s">
        <v>1470</v>
      </c>
      <c r="B317" s="9" t="s">
        <v>20421</v>
      </c>
    </row>
    <row r="318">
      <c r="A318" s="9" t="s">
        <v>5586</v>
      </c>
      <c r="B318" s="9" t="s">
        <v>17535</v>
      </c>
    </row>
    <row r="319">
      <c r="A319" s="9" t="s">
        <v>10249</v>
      </c>
      <c r="B319" s="9" t="s">
        <v>17535</v>
      </c>
    </row>
    <row r="320">
      <c r="A320" s="9" t="s">
        <v>4800</v>
      </c>
      <c r="B320" s="9" t="s">
        <v>15029</v>
      </c>
    </row>
    <row r="321">
      <c r="A321" s="9" t="s">
        <v>8211</v>
      </c>
      <c r="B321" s="9" t="s">
        <v>17551</v>
      </c>
    </row>
    <row r="322">
      <c r="A322" s="9" t="s">
        <v>2978</v>
      </c>
      <c r="B322" s="9" t="s">
        <v>14834</v>
      </c>
    </row>
    <row r="323">
      <c r="A323" s="9" t="s">
        <v>5899</v>
      </c>
      <c r="B323" s="9" t="s">
        <v>19539</v>
      </c>
    </row>
    <row r="324">
      <c r="A324" s="9" t="s">
        <v>6779</v>
      </c>
      <c r="B324" s="9" t="s">
        <v>20257</v>
      </c>
    </row>
    <row r="325">
      <c r="A325" s="9" t="s">
        <v>6527</v>
      </c>
      <c r="B325" s="9" t="s">
        <v>20081</v>
      </c>
    </row>
    <row r="326">
      <c r="A326" s="9" t="s">
        <v>6269</v>
      </c>
      <c r="B326" s="9" t="s">
        <v>20339</v>
      </c>
    </row>
    <row r="327">
      <c r="A327" s="9" t="s">
        <v>9724</v>
      </c>
      <c r="B327" s="9" t="s">
        <v>14964</v>
      </c>
    </row>
    <row r="328">
      <c r="A328" s="9" t="s">
        <v>7600</v>
      </c>
      <c r="B328" s="9" t="s">
        <v>18641</v>
      </c>
    </row>
    <row r="329">
      <c r="A329" s="9" t="s">
        <v>6947</v>
      </c>
      <c r="B329" s="9" t="s">
        <v>13618</v>
      </c>
    </row>
    <row r="330">
      <c r="A330" s="9" t="s">
        <v>1594</v>
      </c>
      <c r="B330" s="9" t="s">
        <v>13139</v>
      </c>
    </row>
    <row r="331">
      <c r="A331" s="9" t="s">
        <v>9361</v>
      </c>
      <c r="B331" s="9" t="s">
        <v>17098</v>
      </c>
    </row>
    <row r="332">
      <c r="A332" s="9" t="s">
        <v>9411</v>
      </c>
      <c r="B332" s="9" t="s">
        <v>15703</v>
      </c>
    </row>
    <row r="333">
      <c r="A333" s="9" t="s">
        <v>8880</v>
      </c>
      <c r="B333" s="9" t="s">
        <v>20835</v>
      </c>
    </row>
    <row r="334">
      <c r="A334" s="9" t="s">
        <v>7689</v>
      </c>
      <c r="B334" s="9" t="s">
        <v>20520</v>
      </c>
    </row>
    <row r="335">
      <c r="A335" s="9" t="s">
        <v>2508</v>
      </c>
      <c r="B335" s="9" t="s">
        <v>18082</v>
      </c>
    </row>
    <row r="336">
      <c r="A336" s="9" t="s">
        <v>931</v>
      </c>
      <c r="B336" s="9" t="s">
        <v>19708</v>
      </c>
    </row>
    <row r="337">
      <c r="A337" s="9" t="s">
        <v>10069</v>
      </c>
      <c r="B337" s="9" t="s">
        <v>17463</v>
      </c>
    </row>
    <row r="338">
      <c r="A338" s="9" t="s">
        <v>6583</v>
      </c>
      <c r="B338" s="9" t="s">
        <v>15529</v>
      </c>
    </row>
    <row r="339">
      <c r="A339" s="9" t="s">
        <v>5651</v>
      </c>
      <c r="B339" s="9" t="s">
        <v>17961</v>
      </c>
    </row>
    <row r="340">
      <c r="A340" s="9" t="s">
        <v>2301</v>
      </c>
      <c r="B340" s="9" t="s">
        <v>20487</v>
      </c>
    </row>
    <row r="341">
      <c r="A341" s="9" t="s">
        <v>3331</v>
      </c>
      <c r="B341" s="9" t="s">
        <v>14885</v>
      </c>
    </row>
    <row r="342">
      <c r="A342" s="9" t="s">
        <v>9478</v>
      </c>
      <c r="B342" s="9" t="s">
        <v>21658</v>
      </c>
    </row>
    <row r="343">
      <c r="A343" s="9" t="s">
        <v>2029</v>
      </c>
      <c r="B343" s="9" t="s">
        <v>18799</v>
      </c>
    </row>
    <row r="344">
      <c r="A344" s="9" t="s">
        <v>5067</v>
      </c>
      <c r="B344" s="9" t="s">
        <v>18989</v>
      </c>
    </row>
    <row r="345">
      <c r="A345" s="9" t="s">
        <v>2994</v>
      </c>
      <c r="B345" s="9" t="s">
        <v>19285</v>
      </c>
    </row>
    <row r="346">
      <c r="A346" s="9" t="s">
        <v>3009</v>
      </c>
      <c r="B346" s="9" t="s">
        <v>19285</v>
      </c>
    </row>
    <row r="347">
      <c r="A347" s="9" t="s">
        <v>3018</v>
      </c>
      <c r="B347" s="9" t="s">
        <v>19285</v>
      </c>
    </row>
    <row r="348">
      <c r="A348" s="9" t="s">
        <v>7631</v>
      </c>
      <c r="B348" s="9" t="s">
        <v>19285</v>
      </c>
    </row>
    <row r="349">
      <c r="A349" s="9" t="s">
        <v>9339</v>
      </c>
      <c r="B349" s="9" t="s">
        <v>20886</v>
      </c>
    </row>
    <row r="350">
      <c r="A350" s="9" t="s">
        <v>3606</v>
      </c>
      <c r="B350" s="9" t="s">
        <v>19509</v>
      </c>
    </row>
    <row r="351">
      <c r="A351" s="9" t="s">
        <v>2797</v>
      </c>
      <c r="B351" s="9" t="s">
        <v>20244</v>
      </c>
    </row>
    <row r="352">
      <c r="A352" s="9" t="s">
        <v>1260</v>
      </c>
      <c r="B352" s="9" t="s">
        <v>20714</v>
      </c>
    </row>
    <row r="353">
      <c r="A353" s="9" t="s">
        <v>8201</v>
      </c>
      <c r="B353" s="9" t="s">
        <v>14904</v>
      </c>
    </row>
    <row r="354">
      <c r="A354" s="9" t="s">
        <v>5633</v>
      </c>
      <c r="B354" s="9" t="s">
        <v>17864</v>
      </c>
    </row>
    <row r="355">
      <c r="A355" s="9" t="s">
        <v>1561</v>
      </c>
      <c r="B355" s="9" t="s">
        <v>13022</v>
      </c>
    </row>
    <row r="356">
      <c r="A356" s="9" t="s">
        <v>11417</v>
      </c>
      <c r="B356" s="9" t="s">
        <v>13022</v>
      </c>
    </row>
    <row r="357">
      <c r="A357" s="9" t="s">
        <v>1947</v>
      </c>
      <c r="B357" s="9" t="s">
        <v>19114</v>
      </c>
    </row>
    <row r="358">
      <c r="A358" s="9" t="s">
        <v>5206</v>
      </c>
      <c r="B358" s="9" t="s">
        <v>19114</v>
      </c>
    </row>
    <row r="359">
      <c r="A359" s="9" t="s">
        <v>9240</v>
      </c>
      <c r="B359" s="9" t="s">
        <v>20876</v>
      </c>
    </row>
    <row r="360">
      <c r="A360" s="9" t="s">
        <v>5219</v>
      </c>
      <c r="B360" s="9" t="s">
        <v>20531</v>
      </c>
    </row>
    <row r="361">
      <c r="A361" s="9" t="s">
        <v>9667</v>
      </c>
      <c r="B361" s="9" t="s">
        <v>15312</v>
      </c>
    </row>
    <row r="362">
      <c r="A362" s="9" t="s">
        <v>9680</v>
      </c>
      <c r="B362" s="9" t="s">
        <v>15312</v>
      </c>
    </row>
    <row r="363">
      <c r="A363" s="9" t="s">
        <v>11795</v>
      </c>
      <c r="B363" s="9" t="s">
        <v>15312</v>
      </c>
    </row>
    <row r="364">
      <c r="A364" s="9" t="s">
        <v>9544</v>
      </c>
      <c r="B364" s="9" t="s">
        <v>16395</v>
      </c>
    </row>
    <row r="365">
      <c r="A365" s="9" t="s">
        <v>5472</v>
      </c>
      <c r="B365" s="9" t="s">
        <v>14037</v>
      </c>
    </row>
    <row r="366">
      <c r="A366" s="9" t="s">
        <v>1124</v>
      </c>
      <c r="B366" s="9" t="s">
        <v>19626</v>
      </c>
    </row>
    <row r="367">
      <c r="A367" s="9" t="s">
        <v>262</v>
      </c>
      <c r="B367" s="9" t="s">
        <v>19626</v>
      </c>
    </row>
    <row r="368">
      <c r="A368" s="9" t="s">
        <v>7640</v>
      </c>
      <c r="B368" s="9" t="s">
        <v>13748</v>
      </c>
    </row>
    <row r="369">
      <c r="A369" s="9" t="s">
        <v>9514</v>
      </c>
      <c r="B369" s="9" t="s">
        <v>13748</v>
      </c>
    </row>
    <row r="370">
      <c r="A370" s="9" t="s">
        <v>9970</v>
      </c>
      <c r="B370" s="9" t="s">
        <v>13748</v>
      </c>
    </row>
    <row r="371">
      <c r="A371" s="9" t="s">
        <v>10141</v>
      </c>
      <c r="B371" s="9" t="s">
        <v>15467</v>
      </c>
    </row>
    <row r="372">
      <c r="A372" s="9" t="s">
        <v>6255</v>
      </c>
      <c r="B372" s="9" t="s">
        <v>13855</v>
      </c>
    </row>
    <row r="373">
      <c r="A373" s="9" t="s">
        <v>9537</v>
      </c>
      <c r="B373" s="9" t="s">
        <v>13658</v>
      </c>
    </row>
    <row r="374">
      <c r="A374" s="9" t="s">
        <v>8322</v>
      </c>
      <c r="B374" s="9" t="s">
        <v>20755</v>
      </c>
    </row>
    <row r="375">
      <c r="A375" s="9" t="s">
        <v>9594</v>
      </c>
      <c r="B375" s="9" t="s">
        <v>19334</v>
      </c>
    </row>
    <row r="376">
      <c r="A376" s="9" t="s">
        <v>9268</v>
      </c>
      <c r="B376" s="9" t="s">
        <v>12440</v>
      </c>
    </row>
    <row r="377">
      <c r="A377" s="9" t="s">
        <v>5955</v>
      </c>
      <c r="B377" s="9" t="s">
        <v>20586</v>
      </c>
    </row>
    <row r="378">
      <c r="A378" s="9" t="s">
        <v>2136</v>
      </c>
      <c r="B378" s="9" t="s">
        <v>20386</v>
      </c>
    </row>
    <row r="379">
      <c r="A379" s="9" t="s">
        <v>4161</v>
      </c>
      <c r="B379" s="9" t="s">
        <v>20204</v>
      </c>
    </row>
    <row r="380">
      <c r="A380" s="9" t="s">
        <v>3864</v>
      </c>
      <c r="B380" s="9" t="s">
        <v>12379</v>
      </c>
    </row>
    <row r="381">
      <c r="A381" s="9" t="s">
        <v>9048</v>
      </c>
      <c r="B381" s="9" t="s">
        <v>12379</v>
      </c>
    </row>
    <row r="382">
      <c r="A382" s="9" t="s">
        <v>7773</v>
      </c>
      <c r="B382" s="9" t="s">
        <v>17230</v>
      </c>
    </row>
    <row r="383">
      <c r="A383" s="9" t="s">
        <v>9583</v>
      </c>
      <c r="B383" s="9" t="s">
        <v>19753</v>
      </c>
    </row>
    <row r="384">
      <c r="A384" s="9" t="s">
        <v>586</v>
      </c>
      <c r="B384" s="9" t="s">
        <v>19134</v>
      </c>
    </row>
    <row r="385">
      <c r="A385" s="9" t="s">
        <v>9122</v>
      </c>
      <c r="B385" s="9" t="s">
        <v>13795</v>
      </c>
    </row>
    <row r="386">
      <c r="A386" s="9" t="s">
        <v>8468</v>
      </c>
      <c r="B386" s="9" t="s">
        <v>14647</v>
      </c>
    </row>
    <row r="387">
      <c r="A387" s="9" t="s">
        <v>1707</v>
      </c>
      <c r="B387" s="9" t="s">
        <v>12972</v>
      </c>
    </row>
    <row r="388">
      <c r="A388" s="9" t="s">
        <v>9530</v>
      </c>
      <c r="B388" s="9" t="s">
        <v>13984</v>
      </c>
    </row>
    <row r="389">
      <c r="A389" s="9" t="s">
        <v>9868</v>
      </c>
      <c r="B389" s="9" t="s">
        <v>19610</v>
      </c>
    </row>
    <row r="390">
      <c r="A390" s="9" t="s">
        <v>8312</v>
      </c>
      <c r="B390" s="9" t="s">
        <v>15257</v>
      </c>
    </row>
    <row r="391">
      <c r="A391" s="9" t="s">
        <v>6390</v>
      </c>
      <c r="B391" s="9" t="s">
        <v>13126</v>
      </c>
    </row>
    <row r="392">
      <c r="A392" s="9" t="s">
        <v>843</v>
      </c>
      <c r="B392" s="9" t="s">
        <v>14912</v>
      </c>
    </row>
    <row r="393">
      <c r="A393" s="9" t="s">
        <v>9657</v>
      </c>
      <c r="B393" s="9" t="s">
        <v>21710</v>
      </c>
    </row>
    <row r="394">
      <c r="A394" s="9" t="s">
        <v>6292</v>
      </c>
      <c r="B394" s="9" t="s">
        <v>13401</v>
      </c>
    </row>
    <row r="395">
      <c r="A395" s="9" t="s">
        <v>251</v>
      </c>
      <c r="B395" s="9" t="s">
        <v>16919</v>
      </c>
    </row>
    <row r="396">
      <c r="A396" s="9" t="s">
        <v>8948</v>
      </c>
      <c r="B396" s="9" t="s">
        <v>16919</v>
      </c>
    </row>
    <row r="397">
      <c r="A397" s="9" t="s">
        <v>433</v>
      </c>
      <c r="B397" s="9" t="s">
        <v>20075</v>
      </c>
    </row>
    <row r="398">
      <c r="A398" s="9" t="s">
        <v>8512</v>
      </c>
      <c r="B398" s="9" t="s">
        <v>20785</v>
      </c>
    </row>
    <row r="399">
      <c r="A399" s="9" t="s">
        <v>9590</v>
      </c>
      <c r="B399" s="9" t="s">
        <v>20785</v>
      </c>
    </row>
    <row r="400">
      <c r="A400" s="9" t="s">
        <v>3203</v>
      </c>
      <c r="B400" s="9" t="s">
        <v>13299</v>
      </c>
    </row>
    <row r="401">
      <c r="A401" s="9" t="s">
        <v>3221</v>
      </c>
      <c r="B401" s="9" t="s">
        <v>13299</v>
      </c>
    </row>
    <row r="402">
      <c r="A402" s="9" t="s">
        <v>3227</v>
      </c>
      <c r="B402" s="9" t="s">
        <v>13299</v>
      </c>
    </row>
    <row r="403">
      <c r="A403" s="9" t="s">
        <v>10571</v>
      </c>
      <c r="B403" s="9" t="s">
        <v>13299</v>
      </c>
    </row>
    <row r="404">
      <c r="A404" s="9" t="s">
        <v>9429</v>
      </c>
      <c r="B404" s="9" t="s">
        <v>16463</v>
      </c>
    </row>
    <row r="405">
      <c r="A405" s="9" t="s">
        <v>8900</v>
      </c>
      <c r="B405" s="9" t="s">
        <v>17198</v>
      </c>
    </row>
    <row r="406">
      <c r="A406" s="9" t="s">
        <v>9972</v>
      </c>
      <c r="B406" s="9" t="s">
        <v>17198</v>
      </c>
    </row>
    <row r="407">
      <c r="A407" s="9" t="s">
        <v>9012</v>
      </c>
      <c r="B407" s="9" t="s">
        <v>14702</v>
      </c>
    </row>
    <row r="408">
      <c r="A408" s="9" t="s">
        <v>3810</v>
      </c>
      <c r="B408" s="9" t="s">
        <v>18937</v>
      </c>
    </row>
    <row r="409">
      <c r="A409" s="9" t="s">
        <v>722</v>
      </c>
      <c r="B409" s="9" t="s">
        <v>19164</v>
      </c>
    </row>
    <row r="410">
      <c r="A410" s="9" t="s">
        <v>3852</v>
      </c>
      <c r="B410" s="9" t="s">
        <v>14942</v>
      </c>
    </row>
    <row r="411">
      <c r="A411" s="9" t="s">
        <v>8397</v>
      </c>
      <c r="B411" s="9" t="s">
        <v>18835</v>
      </c>
    </row>
    <row r="412">
      <c r="A412" s="9" t="s">
        <v>4210</v>
      </c>
      <c r="B412" s="9" t="s">
        <v>13499</v>
      </c>
    </row>
    <row r="413">
      <c r="A413" s="9" t="s">
        <v>4224</v>
      </c>
      <c r="B413" s="9" t="s">
        <v>13499</v>
      </c>
    </row>
    <row r="414">
      <c r="A414" s="9" t="s">
        <v>10161</v>
      </c>
      <c r="B414" s="9" t="s">
        <v>18594</v>
      </c>
    </row>
    <row r="415">
      <c r="A415" s="9" t="s">
        <v>2522</v>
      </c>
      <c r="B415" s="9" t="s">
        <v>14133</v>
      </c>
    </row>
    <row r="416">
      <c r="A416" s="9" t="s">
        <v>6989</v>
      </c>
      <c r="B416" s="9" t="s">
        <v>17840</v>
      </c>
    </row>
    <row r="417">
      <c r="A417" s="9" t="s">
        <v>7001</v>
      </c>
      <c r="B417" s="9" t="s">
        <v>17840</v>
      </c>
    </row>
    <row r="418">
      <c r="A418" s="9" t="s">
        <v>9072</v>
      </c>
      <c r="B418" s="9" t="s">
        <v>16755</v>
      </c>
    </row>
    <row r="419">
      <c r="A419" s="9" t="s">
        <v>10058</v>
      </c>
      <c r="B419" s="9" t="s">
        <v>16936</v>
      </c>
    </row>
    <row r="420">
      <c r="A420" s="9" t="s">
        <v>8549</v>
      </c>
      <c r="B420" s="9" t="s">
        <v>19188</v>
      </c>
    </row>
    <row r="421">
      <c r="A421" s="9" t="s">
        <v>4269</v>
      </c>
      <c r="B421" s="9" t="s">
        <v>20363</v>
      </c>
    </row>
    <row r="422">
      <c r="A422" s="9" t="s">
        <v>10034</v>
      </c>
      <c r="B422" s="9" t="s">
        <v>13012</v>
      </c>
    </row>
    <row r="423">
      <c r="A423" s="9" t="s">
        <v>10674</v>
      </c>
      <c r="B423" s="9" t="s">
        <v>13012</v>
      </c>
    </row>
    <row r="424">
      <c r="A424" s="9" t="s">
        <v>9612</v>
      </c>
      <c r="B424" s="9" t="s">
        <v>13590</v>
      </c>
    </row>
    <row r="425">
      <c r="A425" s="9" t="s">
        <v>9020</v>
      </c>
      <c r="B425" s="9" t="s">
        <v>13711</v>
      </c>
    </row>
    <row r="426">
      <c r="A426" s="9" t="s">
        <v>9218</v>
      </c>
      <c r="B426" s="9" t="s">
        <v>16715</v>
      </c>
    </row>
    <row r="427">
      <c r="A427" s="9" t="s">
        <v>4674</v>
      </c>
      <c r="B427" s="9" t="s">
        <v>17877</v>
      </c>
    </row>
    <row r="428">
      <c r="A428" s="9" t="s">
        <v>6928</v>
      </c>
      <c r="B428" s="9" t="s">
        <v>17877</v>
      </c>
    </row>
    <row r="429">
      <c r="A429" s="9" t="s">
        <v>5091</v>
      </c>
      <c r="B429" s="9" t="s">
        <v>19630</v>
      </c>
    </row>
    <row r="430">
      <c r="A430" s="9" t="s">
        <v>8779</v>
      </c>
      <c r="B430" s="9" t="s">
        <v>18879</v>
      </c>
    </row>
    <row r="431">
      <c r="A431" s="9" t="s">
        <v>11917</v>
      </c>
      <c r="B431" s="9" t="s">
        <v>18879</v>
      </c>
    </row>
    <row r="432">
      <c r="A432" s="9" t="s">
        <v>6343</v>
      </c>
      <c r="B432" s="9" t="s">
        <v>18480</v>
      </c>
    </row>
    <row r="433">
      <c r="A433" s="9" t="s">
        <v>8502</v>
      </c>
      <c r="B433" s="9" t="s">
        <v>15833</v>
      </c>
    </row>
    <row r="434">
      <c r="A434" s="9" t="s">
        <v>2354</v>
      </c>
      <c r="B434" s="9" t="s">
        <v>20466</v>
      </c>
    </row>
    <row r="435">
      <c r="A435" s="9" t="s">
        <v>4176</v>
      </c>
      <c r="B435" s="9" t="s">
        <v>12915</v>
      </c>
    </row>
    <row r="436">
      <c r="A436" s="9" t="s">
        <v>7089</v>
      </c>
      <c r="B436" s="9" t="s">
        <v>20287</v>
      </c>
    </row>
    <row r="437">
      <c r="A437" s="9" t="s">
        <v>3096</v>
      </c>
      <c r="B437" s="9" t="s">
        <v>13700</v>
      </c>
    </row>
    <row r="438">
      <c r="A438" s="9" t="s">
        <v>4351</v>
      </c>
      <c r="B438" s="9" t="s">
        <v>12646</v>
      </c>
    </row>
    <row r="439">
      <c r="A439" s="9" t="s">
        <v>5563</v>
      </c>
      <c r="B439" s="9" t="s">
        <v>12646</v>
      </c>
    </row>
    <row r="440">
      <c r="A440" s="9" t="s">
        <v>8998</v>
      </c>
      <c r="B440" s="9" t="s">
        <v>14625</v>
      </c>
    </row>
    <row r="441">
      <c r="A441" s="9" t="s">
        <v>4505</v>
      </c>
      <c r="B441" s="9" t="s">
        <v>25578</v>
      </c>
    </row>
    <row r="442">
      <c r="A442" s="9" t="s">
        <v>4302</v>
      </c>
      <c r="B442" s="9" t="s">
        <v>19617</v>
      </c>
    </row>
    <row r="443">
      <c r="A443" s="9" t="s">
        <v>9099</v>
      </c>
      <c r="B443" s="9" t="s">
        <v>19617</v>
      </c>
    </row>
    <row r="444">
      <c r="A444" s="9" t="s">
        <v>3384</v>
      </c>
      <c r="B444" s="9" t="s">
        <v>19314</v>
      </c>
    </row>
    <row r="445">
      <c r="A445" s="9" t="s">
        <v>2181</v>
      </c>
      <c r="B445" s="9" t="s">
        <v>17823</v>
      </c>
    </row>
    <row r="446">
      <c r="A446" s="9" t="s">
        <v>9032</v>
      </c>
      <c r="B446" s="9" t="s">
        <v>12738</v>
      </c>
    </row>
    <row r="447">
      <c r="A447" s="9" t="s">
        <v>942</v>
      </c>
      <c r="B447" s="9" t="s">
        <v>14405</v>
      </c>
    </row>
    <row r="448">
      <c r="A448" s="9" t="s">
        <v>9087</v>
      </c>
      <c r="B448" s="9" t="s">
        <v>19086</v>
      </c>
    </row>
    <row r="449">
      <c r="A449" s="9" t="s">
        <v>9901</v>
      </c>
      <c r="B449" s="9" t="s">
        <v>20980</v>
      </c>
    </row>
    <row r="450">
      <c r="A450" s="9" t="s">
        <v>8677</v>
      </c>
      <c r="B450" s="9" t="s">
        <v>14028</v>
      </c>
    </row>
    <row r="451">
      <c r="A451" s="9" t="s">
        <v>4838</v>
      </c>
      <c r="B451" s="9" t="s">
        <v>13559</v>
      </c>
    </row>
    <row r="452">
      <c r="A452" s="9" t="s">
        <v>231</v>
      </c>
      <c r="B452" s="9" t="s">
        <v>232</v>
      </c>
    </row>
    <row r="453">
      <c r="A453" s="9" t="s">
        <v>1491</v>
      </c>
      <c r="B453" s="9" t="s">
        <v>20536</v>
      </c>
    </row>
    <row r="454">
      <c r="A454" s="9" t="s">
        <v>10116</v>
      </c>
      <c r="B454" s="9" t="s">
        <v>14232</v>
      </c>
    </row>
    <row r="455">
      <c r="A455" s="9" t="s">
        <v>3040</v>
      </c>
      <c r="B455" s="9" t="s">
        <v>13326</v>
      </c>
    </row>
    <row r="456">
      <c r="A456" s="9" t="s">
        <v>3056</v>
      </c>
      <c r="B456" s="9" t="s">
        <v>20249</v>
      </c>
    </row>
    <row r="457">
      <c r="A457" s="9" t="s">
        <v>5981</v>
      </c>
      <c r="B457" s="9" t="s">
        <v>20173</v>
      </c>
    </row>
    <row r="458">
      <c r="A458" s="9" t="s">
        <v>8972</v>
      </c>
      <c r="B458" s="9" t="s">
        <v>18865</v>
      </c>
    </row>
    <row r="459">
      <c r="A459" s="9" t="s">
        <v>6692</v>
      </c>
      <c r="B459" s="9" t="s">
        <v>17273</v>
      </c>
    </row>
    <row r="460">
      <c r="A460" s="9" t="s">
        <v>1966</v>
      </c>
      <c r="B460" s="9" t="s">
        <v>12692</v>
      </c>
    </row>
    <row r="461">
      <c r="A461" s="9" t="s">
        <v>8755</v>
      </c>
      <c r="B461" s="9" t="s">
        <v>20803</v>
      </c>
    </row>
    <row r="462">
      <c r="A462" s="9" t="s">
        <v>276</v>
      </c>
      <c r="B462" s="9" t="s">
        <v>15009</v>
      </c>
    </row>
    <row r="463">
      <c r="A463" s="9" t="s">
        <v>8266</v>
      </c>
      <c r="B463" s="9" t="s">
        <v>17912</v>
      </c>
    </row>
    <row r="464">
      <c r="A464" s="9" t="s">
        <v>2471</v>
      </c>
      <c r="B464" s="9" t="s">
        <v>19698</v>
      </c>
    </row>
    <row r="465">
      <c r="A465" s="9" t="s">
        <v>8590</v>
      </c>
      <c r="B465" s="9" t="s">
        <v>18634</v>
      </c>
    </row>
    <row r="466">
      <c r="A466" s="9" t="s">
        <v>1150</v>
      </c>
      <c r="B466" s="9" t="s">
        <v>19659</v>
      </c>
    </row>
    <row r="467">
      <c r="A467" s="9" t="s">
        <v>1166</v>
      </c>
      <c r="B467" s="9" t="s">
        <v>19659</v>
      </c>
    </row>
    <row r="468">
      <c r="A468" s="9" t="s">
        <v>688</v>
      </c>
      <c r="B468" s="9" t="s">
        <v>16659</v>
      </c>
    </row>
    <row r="469">
      <c r="A469" s="9" t="s">
        <v>5788</v>
      </c>
      <c r="B469" s="9" t="s">
        <v>20104</v>
      </c>
    </row>
    <row r="470">
      <c r="A470" s="9" t="s">
        <v>3079</v>
      </c>
      <c r="B470" s="9" t="s">
        <v>14460</v>
      </c>
    </row>
    <row r="471">
      <c r="A471" s="9" t="s">
        <v>9491</v>
      </c>
      <c r="B471" s="9" t="s">
        <v>20917</v>
      </c>
    </row>
    <row r="472">
      <c r="A472" s="9" t="s">
        <v>6107</v>
      </c>
      <c r="B472" s="9" t="s">
        <v>20719</v>
      </c>
    </row>
    <row r="473">
      <c r="A473" s="9" t="s">
        <v>7163</v>
      </c>
      <c r="B473" s="9" t="s">
        <v>20560</v>
      </c>
    </row>
    <row r="474">
      <c r="A474" s="9" t="s">
        <v>6159</v>
      </c>
      <c r="B474" s="9" t="s">
        <v>13254</v>
      </c>
    </row>
    <row r="475">
      <c r="A475" s="9" t="s">
        <v>1188</v>
      </c>
      <c r="B475" s="9" t="s">
        <v>20473</v>
      </c>
    </row>
    <row r="476">
      <c r="A476" s="9" t="s">
        <v>10044</v>
      </c>
      <c r="B476" s="9" t="s">
        <v>21018</v>
      </c>
    </row>
    <row r="477">
      <c r="A477" s="9" t="s">
        <v>7249</v>
      </c>
      <c r="B477" s="9" t="s">
        <v>12777</v>
      </c>
    </row>
    <row r="478">
      <c r="A478" s="9" t="s">
        <v>245</v>
      </c>
      <c r="B478" s="9" t="s">
        <v>12462</v>
      </c>
    </row>
    <row r="479">
      <c r="A479" s="9" t="s">
        <v>4379</v>
      </c>
      <c r="B479" s="9" t="s">
        <v>20709</v>
      </c>
    </row>
    <row r="480">
      <c r="A480" s="9" t="s">
        <v>6411</v>
      </c>
      <c r="B480" s="9" t="s">
        <v>20675</v>
      </c>
    </row>
    <row r="481">
      <c r="A481" s="9" t="s">
        <v>9778</v>
      </c>
      <c r="B481" s="9" t="s">
        <v>13384</v>
      </c>
    </row>
    <row r="482">
      <c r="A482" s="9" t="s">
        <v>9131</v>
      </c>
      <c r="B482" s="9" t="s">
        <v>13772</v>
      </c>
    </row>
    <row r="483">
      <c r="A483" s="9" t="s">
        <v>10014</v>
      </c>
      <c r="B483" s="9" t="s">
        <v>21005</v>
      </c>
    </row>
    <row r="484">
      <c r="A484" s="9" t="s">
        <v>8457</v>
      </c>
      <c r="B484" s="9" t="s">
        <v>20770</v>
      </c>
    </row>
    <row r="485">
      <c r="A485" s="9" t="s">
        <v>7008</v>
      </c>
      <c r="B485" s="9" t="s">
        <v>15520</v>
      </c>
    </row>
    <row r="486">
      <c r="A486" s="9" t="s">
        <v>7020</v>
      </c>
      <c r="B486" s="9" t="s">
        <v>15520</v>
      </c>
    </row>
    <row r="487">
      <c r="A487" s="9" t="s">
        <v>8727</v>
      </c>
      <c r="B487" s="9" t="s">
        <v>13804</v>
      </c>
    </row>
    <row r="488">
      <c r="A488" s="9" t="s">
        <v>6908</v>
      </c>
      <c r="B488" s="9" t="s">
        <v>16426</v>
      </c>
    </row>
    <row r="489">
      <c r="A489" s="9" t="s">
        <v>7298</v>
      </c>
      <c r="B489" s="9" t="s">
        <v>16697</v>
      </c>
    </row>
    <row r="490">
      <c r="A490" s="9" t="s">
        <v>10090</v>
      </c>
      <c r="B490" s="9" t="s">
        <v>16636</v>
      </c>
    </row>
    <row r="491">
      <c r="A491" s="9" t="s">
        <v>8635</v>
      </c>
      <c r="B491" s="9" t="s">
        <v>13721</v>
      </c>
    </row>
    <row r="492">
      <c r="A492" s="9" t="s">
        <v>7495</v>
      </c>
      <c r="B492" s="9" t="s">
        <v>13277</v>
      </c>
    </row>
    <row r="493">
      <c r="A493" s="9" t="s">
        <v>540</v>
      </c>
      <c r="B493" s="9" t="s">
        <v>15807</v>
      </c>
    </row>
    <row r="494">
      <c r="A494" s="9" t="s">
        <v>2414</v>
      </c>
      <c r="B494" s="9" t="s">
        <v>25715</v>
      </c>
    </row>
    <row r="495">
      <c r="A495" s="9" t="s">
        <v>9564</v>
      </c>
      <c r="B495" s="9" t="s">
        <v>25715</v>
      </c>
    </row>
    <row r="496">
      <c r="A496" s="9" t="s">
        <v>2385</v>
      </c>
      <c r="B496" s="9" t="s">
        <v>17945</v>
      </c>
    </row>
    <row r="497">
      <c r="A497" s="9" t="s">
        <v>9835</v>
      </c>
      <c r="B497" s="9" t="s">
        <v>17945</v>
      </c>
    </row>
    <row r="498">
      <c r="A498" s="9" t="s">
        <v>9639</v>
      </c>
      <c r="B498" s="9" t="s">
        <v>16278</v>
      </c>
    </row>
    <row r="499">
      <c r="A499" s="9" t="s">
        <v>9884</v>
      </c>
      <c r="B499" s="9" t="s">
        <v>14826</v>
      </c>
    </row>
    <row r="500">
      <c r="A500" s="9" t="s">
        <v>6314</v>
      </c>
      <c r="B500" s="9" t="s">
        <v>15056</v>
      </c>
    </row>
    <row r="501">
      <c r="A501" s="9" t="s">
        <v>3721</v>
      </c>
      <c r="B501" s="9" t="s">
        <v>19638</v>
      </c>
    </row>
    <row r="502">
      <c r="A502" s="9" t="s">
        <v>7315</v>
      </c>
      <c r="B502" s="9" t="s">
        <v>13568</v>
      </c>
    </row>
    <row r="503">
      <c r="A503" s="9" t="s">
        <v>7328</v>
      </c>
      <c r="B503" s="9" t="s">
        <v>13568</v>
      </c>
    </row>
    <row r="504">
      <c r="A504" s="9" t="s">
        <v>3638</v>
      </c>
      <c r="B504" s="9" t="s">
        <v>12426</v>
      </c>
    </row>
    <row r="505">
      <c r="A505" s="9" t="s">
        <v>11364</v>
      </c>
      <c r="B505" s="9" t="s">
        <v>12426</v>
      </c>
    </row>
    <row r="506">
      <c r="A506" s="9" t="s">
        <v>3314</v>
      </c>
      <c r="B506" s="9" t="s">
        <v>20413</v>
      </c>
    </row>
    <row r="507">
      <c r="A507" s="9" t="s">
        <v>9030</v>
      </c>
      <c r="B507" s="9" t="s">
        <v>19817</v>
      </c>
    </row>
    <row r="508">
      <c r="A508" s="9" t="s">
        <v>6513</v>
      </c>
      <c r="B508" s="9" t="s">
        <v>19241</v>
      </c>
    </row>
    <row r="509">
      <c r="A509" s="9" t="s">
        <v>9683</v>
      </c>
      <c r="B509" s="9" t="s">
        <v>14953</v>
      </c>
    </row>
    <row r="510">
      <c r="A510" s="9" t="s">
        <v>7545</v>
      </c>
      <c r="B510" s="9" t="s">
        <v>19561</v>
      </c>
    </row>
    <row r="511">
      <c r="A511" s="9" t="s">
        <v>8608</v>
      </c>
      <c r="B511" s="9" t="s">
        <v>15576</v>
      </c>
    </row>
    <row r="512">
      <c r="A512" s="9" t="s">
        <v>11826</v>
      </c>
      <c r="B512" s="9" t="s">
        <v>15576</v>
      </c>
    </row>
    <row r="513">
      <c r="A513" s="9" t="s">
        <v>2902</v>
      </c>
      <c r="B513" s="9" t="s">
        <v>12882</v>
      </c>
    </row>
    <row r="514">
      <c r="A514" s="9" t="s">
        <v>6239</v>
      </c>
      <c r="B514" s="9" t="s">
        <v>15912</v>
      </c>
    </row>
    <row r="515">
      <c r="A515" s="9" t="s">
        <v>4969</v>
      </c>
      <c r="B515" s="9" t="s">
        <v>20616</v>
      </c>
    </row>
    <row r="516">
      <c r="A516" s="9" t="s">
        <v>5519</v>
      </c>
      <c r="B516" s="9" t="s">
        <v>20326</v>
      </c>
    </row>
    <row r="517">
      <c r="A517" s="9" t="s">
        <v>9892</v>
      </c>
      <c r="B517" s="9" t="s">
        <v>14151</v>
      </c>
    </row>
    <row r="518">
      <c r="A518" s="9" t="s">
        <v>9039</v>
      </c>
      <c r="B518" s="9" t="s">
        <v>17252</v>
      </c>
    </row>
    <row r="519">
      <c r="A519" s="9" t="s">
        <v>261</v>
      </c>
      <c r="B519" s="9" t="s">
        <v>16511</v>
      </c>
    </row>
    <row r="520">
      <c r="A520" s="9" t="s">
        <v>7425</v>
      </c>
      <c r="B520" s="9" t="s">
        <v>20451</v>
      </c>
    </row>
    <row r="521">
      <c r="A521" s="9" t="s">
        <v>7026</v>
      </c>
      <c r="B521" s="9" t="s">
        <v>14317</v>
      </c>
    </row>
    <row r="522">
      <c r="A522" s="9" t="s">
        <v>7041</v>
      </c>
      <c r="B522" s="9" t="s">
        <v>14317</v>
      </c>
    </row>
    <row r="523">
      <c r="A523" s="9">
        <v>2.9348652E7</v>
      </c>
      <c r="B523" s="9" t="s">
        <v>14317</v>
      </c>
    </row>
    <row r="524">
      <c r="A524" s="9" t="s">
        <v>5545</v>
      </c>
      <c r="B524" s="9" t="s">
        <v>12948</v>
      </c>
    </row>
    <row r="525">
      <c r="A525" s="9" t="s">
        <v>1307</v>
      </c>
      <c r="B525" s="9" t="s">
        <v>19725</v>
      </c>
    </row>
    <row r="526">
      <c r="A526" s="9" t="s">
        <v>8060</v>
      </c>
      <c r="B526" s="9" t="s">
        <v>20443</v>
      </c>
    </row>
    <row r="527">
      <c r="A527" s="9" t="s">
        <v>8114</v>
      </c>
      <c r="B527" s="9" t="s">
        <v>21024</v>
      </c>
    </row>
    <row r="528">
      <c r="A528" s="9" t="s">
        <v>10104</v>
      </c>
      <c r="B528" s="9" t="s">
        <v>21024</v>
      </c>
    </row>
    <row r="529">
      <c r="A529" s="9" t="s">
        <v>862</v>
      </c>
      <c r="B529" s="9" t="s">
        <v>13241</v>
      </c>
    </row>
    <row r="530">
      <c r="A530" s="9" t="s">
        <v>10199</v>
      </c>
      <c r="B530" s="9" t="s">
        <v>13900</v>
      </c>
    </row>
    <row r="531">
      <c r="A531" s="9" t="s">
        <v>6130</v>
      </c>
      <c r="B531" s="9" t="s">
        <v>20686</v>
      </c>
    </row>
    <row r="532">
      <c r="A532" s="9" t="s">
        <v>4364</v>
      </c>
      <c r="B532" s="9" t="s">
        <v>16616</v>
      </c>
    </row>
    <row r="533">
      <c r="A533" s="9" t="s">
        <v>5461</v>
      </c>
      <c r="B533" s="9" t="s">
        <v>16932</v>
      </c>
    </row>
    <row r="534">
      <c r="A534" s="9" t="s">
        <v>8977</v>
      </c>
      <c r="B534" s="9" t="s">
        <v>12782</v>
      </c>
    </row>
    <row r="535">
      <c r="A535" s="9" t="s">
        <v>9464</v>
      </c>
      <c r="B535" s="9" t="s">
        <v>21702</v>
      </c>
    </row>
    <row r="536">
      <c r="A536" s="9" t="s">
        <v>1722</v>
      </c>
      <c r="B536" s="9" t="s">
        <v>16803</v>
      </c>
    </row>
    <row r="537">
      <c r="A537" s="9" t="s">
        <v>741</v>
      </c>
      <c r="B537" s="9" t="s">
        <v>18241</v>
      </c>
    </row>
    <row r="538">
      <c r="A538" s="9" t="s">
        <v>9577</v>
      </c>
      <c r="B538" s="9" t="s">
        <v>19201</v>
      </c>
    </row>
    <row r="539">
      <c r="A539" s="9" t="s">
        <v>6554</v>
      </c>
      <c r="B539" s="9" t="s">
        <v>13311</v>
      </c>
    </row>
    <row r="540">
      <c r="A540" s="9" t="s">
        <v>6145</v>
      </c>
      <c r="B540" s="9" t="s">
        <v>17321</v>
      </c>
    </row>
    <row r="541">
      <c r="A541" s="9" t="s">
        <v>9933</v>
      </c>
      <c r="B541" s="9" t="s">
        <v>17321</v>
      </c>
    </row>
    <row r="542">
      <c r="A542" s="9" t="s">
        <v>7838</v>
      </c>
      <c r="B542" s="9" t="s">
        <v>20580</v>
      </c>
    </row>
    <row r="543">
      <c r="A543" s="9" t="s">
        <v>2568</v>
      </c>
      <c r="B543" s="9" t="s">
        <v>17739</v>
      </c>
    </row>
    <row r="544">
      <c r="A544" s="9" t="s">
        <v>9298</v>
      </c>
      <c r="B544" s="9" t="s">
        <v>19371</v>
      </c>
    </row>
    <row r="545">
      <c r="A545" s="9" t="s">
        <v>11480</v>
      </c>
      <c r="B545" s="9" t="s">
        <v>19371</v>
      </c>
    </row>
    <row r="546">
      <c r="A546" s="9" t="s">
        <v>1880</v>
      </c>
      <c r="B546" s="9" t="s">
        <v>13669</v>
      </c>
    </row>
    <row r="547">
      <c r="A547" s="9" t="s">
        <v>6185</v>
      </c>
      <c r="B547" s="9" t="s">
        <v>20512</v>
      </c>
    </row>
    <row r="548">
      <c r="A548" s="9" t="s">
        <v>5277</v>
      </c>
      <c r="B548" s="9" t="s">
        <v>15425</v>
      </c>
    </row>
    <row r="549">
      <c r="A549" s="9" t="s">
        <v>8166</v>
      </c>
      <c r="B549" s="9" t="s">
        <v>15425</v>
      </c>
    </row>
    <row r="550">
      <c r="A550" s="9" t="s">
        <v>10023</v>
      </c>
      <c r="B550" s="9" t="s">
        <v>13052</v>
      </c>
    </row>
    <row r="551">
      <c r="A551" s="9" t="s">
        <v>10079</v>
      </c>
      <c r="B551" s="9" t="s">
        <v>13052</v>
      </c>
    </row>
    <row r="552">
      <c r="A552" s="9" t="s">
        <v>5119</v>
      </c>
      <c r="B552" s="9" t="s">
        <v>19789</v>
      </c>
    </row>
    <row r="553">
      <c r="A553" s="9" t="s">
        <v>9006</v>
      </c>
      <c r="B553" s="9" t="s">
        <v>13763</v>
      </c>
    </row>
    <row r="554">
      <c r="A554" s="9" t="s">
        <v>675</v>
      </c>
      <c r="B554" s="9" t="s">
        <v>18103</v>
      </c>
    </row>
    <row r="555">
      <c r="A555" s="9" t="s">
        <v>6379</v>
      </c>
      <c r="B555" s="9" t="s">
        <v>20158</v>
      </c>
    </row>
    <row r="556">
      <c r="A556" s="9" t="s">
        <v>5970</v>
      </c>
      <c r="B556" s="9" t="s">
        <v>20699</v>
      </c>
    </row>
    <row r="557">
      <c r="A557" s="9" t="s">
        <v>1049</v>
      </c>
      <c r="B557" s="9" t="s">
        <v>20273</v>
      </c>
    </row>
    <row r="558">
      <c r="A558" s="9" t="s">
        <v>1062</v>
      </c>
      <c r="B558" s="9" t="s">
        <v>20273</v>
      </c>
    </row>
    <row r="559">
      <c r="A559" s="9" t="s">
        <v>3663</v>
      </c>
      <c r="B559" s="9" t="s">
        <v>17679</v>
      </c>
    </row>
    <row r="560">
      <c r="A560" s="9" t="s">
        <v>4852</v>
      </c>
      <c r="B560" s="9" t="s">
        <v>25873</v>
      </c>
    </row>
    <row r="561">
      <c r="A561" s="9" t="s">
        <v>8851</v>
      </c>
      <c r="B561" s="9" t="s">
        <v>20829</v>
      </c>
    </row>
    <row r="562">
      <c r="A562" s="9" t="s">
        <v>243</v>
      </c>
      <c r="B562" s="9" t="s">
        <v>20743</v>
      </c>
    </row>
    <row r="563">
      <c r="A563" s="9" t="s">
        <v>8842</v>
      </c>
      <c r="B563" s="9" t="s">
        <v>20824</v>
      </c>
    </row>
    <row r="564">
      <c r="A564" s="9" t="s">
        <v>6081</v>
      </c>
      <c r="B564" s="9" t="s">
        <v>20147</v>
      </c>
    </row>
    <row r="565">
      <c r="A565" s="9" t="s">
        <v>1088</v>
      </c>
      <c r="B565" s="9" t="s">
        <v>20458</v>
      </c>
    </row>
    <row r="566">
      <c r="A566" s="9" t="s">
        <v>5823</v>
      </c>
      <c r="B566" s="9" t="s">
        <v>16857</v>
      </c>
    </row>
    <row r="567">
      <c r="A567" s="9" t="s">
        <v>2848</v>
      </c>
      <c r="B567" s="9" t="s">
        <v>19020</v>
      </c>
    </row>
    <row r="568">
      <c r="A568" s="9" t="s">
        <v>2122</v>
      </c>
      <c r="B568" s="9" t="s">
        <v>20237</v>
      </c>
    </row>
    <row r="569">
      <c r="A569" s="9" t="s">
        <v>6854</v>
      </c>
      <c r="B569" s="9" t="s">
        <v>20095</v>
      </c>
    </row>
    <row r="570">
      <c r="A570" s="9" t="s">
        <v>7867</v>
      </c>
      <c r="B570" s="9" t="s">
        <v>19297</v>
      </c>
    </row>
    <row r="571">
      <c r="A571" s="9" t="s">
        <v>2679</v>
      </c>
      <c r="B571" s="9" t="s">
        <v>20356</v>
      </c>
    </row>
    <row r="572">
      <c r="A572" s="9" t="s">
        <v>6490</v>
      </c>
      <c r="B572" s="9" t="s">
        <v>20154</v>
      </c>
    </row>
    <row r="573">
      <c r="A573" s="9" t="s">
        <v>3129</v>
      </c>
      <c r="B573" s="9" t="s">
        <v>19323</v>
      </c>
    </row>
    <row r="574">
      <c r="A574" s="9" t="s">
        <v>9729</v>
      </c>
      <c r="B574" s="9" t="s">
        <v>15515</v>
      </c>
    </row>
    <row r="575">
      <c r="A575" s="9" t="s">
        <v>9940</v>
      </c>
      <c r="B575" s="9" t="s">
        <v>15515</v>
      </c>
    </row>
    <row r="576">
      <c r="A576" s="9" t="s">
        <v>7336</v>
      </c>
      <c r="B576" s="9" t="s">
        <v>18063</v>
      </c>
    </row>
    <row r="577">
      <c r="A577" s="9" t="s">
        <v>9922</v>
      </c>
      <c r="B577" s="9" t="s">
        <v>14419</v>
      </c>
    </row>
    <row r="578">
      <c r="A578" s="9" t="s">
        <v>1787</v>
      </c>
      <c r="B578" s="9" t="s">
        <v>20639</v>
      </c>
    </row>
    <row r="579">
      <c r="A579" s="9" t="s">
        <v>9383</v>
      </c>
      <c r="B579" s="9" t="s">
        <v>19257</v>
      </c>
    </row>
    <row r="580">
      <c r="A580" s="9" t="s">
        <v>1034</v>
      </c>
      <c r="B580" s="9" t="s">
        <v>16734</v>
      </c>
    </row>
    <row r="581">
      <c r="A581" s="9" t="s">
        <v>7390</v>
      </c>
      <c r="B581" s="9" t="s">
        <v>17159</v>
      </c>
    </row>
    <row r="582">
      <c r="A582" s="9" t="s">
        <v>1546</v>
      </c>
      <c r="B582" s="9" t="s">
        <v>16025</v>
      </c>
    </row>
    <row r="583">
      <c r="A583" s="9" t="s">
        <v>759</v>
      </c>
      <c r="B583" s="9" t="s">
        <v>16501</v>
      </c>
    </row>
    <row r="584">
      <c r="A584" s="9" t="s">
        <v>8439</v>
      </c>
      <c r="B584" s="9" t="s">
        <v>16501</v>
      </c>
    </row>
    <row r="585">
      <c r="A585" s="9" t="s">
        <v>5129</v>
      </c>
      <c r="B585" s="9" t="s">
        <v>12317</v>
      </c>
    </row>
    <row r="586">
      <c r="A586" s="9" t="s">
        <v>8291</v>
      </c>
      <c r="B586" s="9" t="s">
        <v>15677</v>
      </c>
    </row>
    <row r="587">
      <c r="A587" s="9" t="s">
        <v>9420</v>
      </c>
      <c r="B587" s="9" t="s">
        <v>15886</v>
      </c>
    </row>
    <row r="588">
      <c r="A588" s="9" t="s">
        <v>9557</v>
      </c>
      <c r="B588" s="9" t="s">
        <v>15886</v>
      </c>
    </row>
    <row r="589">
      <c r="A589" s="9" t="s">
        <v>1893</v>
      </c>
      <c r="B589" s="9" t="s">
        <v>20650</v>
      </c>
    </row>
    <row r="590">
      <c r="A590" s="9" t="s">
        <v>5300</v>
      </c>
      <c r="B590" s="9" t="s">
        <v>14245</v>
      </c>
    </row>
    <row r="591">
      <c r="A591" s="9" t="s">
        <v>4688</v>
      </c>
      <c r="B591" s="9" t="s">
        <v>19403</v>
      </c>
    </row>
    <row r="592">
      <c r="A592" s="9" t="s">
        <v>4146</v>
      </c>
      <c r="B592" s="9" t="s">
        <v>12507</v>
      </c>
    </row>
    <row r="593">
      <c r="A593" s="9" t="s">
        <v>3274</v>
      </c>
      <c r="B593" s="9" t="s">
        <v>16784</v>
      </c>
    </row>
    <row r="594">
      <c r="A594" s="9" t="s">
        <v>8478</v>
      </c>
      <c r="B594" s="9" t="s">
        <v>14081</v>
      </c>
    </row>
    <row r="595">
      <c r="A595" s="9" t="s">
        <v>8351</v>
      </c>
      <c r="B595" s="9" t="s">
        <v>12800</v>
      </c>
    </row>
    <row r="596">
      <c r="A596" s="9" t="s">
        <v>9063</v>
      </c>
      <c r="B596" s="9" t="s">
        <v>20850</v>
      </c>
    </row>
    <row r="597">
      <c r="A597" s="9" t="s">
        <v>2050</v>
      </c>
      <c r="B597" s="9" t="s">
        <v>16323</v>
      </c>
    </row>
    <row r="598">
      <c r="A598" s="9" t="s">
        <v>5718</v>
      </c>
      <c r="B598" s="9" t="s">
        <v>19760</v>
      </c>
    </row>
    <row r="599">
      <c r="A599" s="9" t="s">
        <v>4935</v>
      </c>
      <c r="B599" s="9" t="s">
        <v>18454</v>
      </c>
    </row>
    <row r="600">
      <c r="A600" s="9" t="s">
        <v>4952</v>
      </c>
      <c r="B600" s="9" t="s">
        <v>18454</v>
      </c>
    </row>
    <row r="601">
      <c r="A601" s="9" t="s">
        <v>7358</v>
      </c>
      <c r="B601" s="9" t="s">
        <v>12450</v>
      </c>
    </row>
    <row r="602">
      <c r="A602" s="9" t="s">
        <v>7372</v>
      </c>
      <c r="B602" s="9" t="s">
        <v>12450</v>
      </c>
    </row>
    <row r="603">
      <c r="A603" s="9" t="s">
        <v>5314</v>
      </c>
      <c r="B603" s="9" t="s">
        <v>12289</v>
      </c>
    </row>
    <row r="604">
      <c r="A604" s="9" t="s">
        <v>9054</v>
      </c>
      <c r="B604" s="9" t="s">
        <v>18390</v>
      </c>
    </row>
    <row r="605">
      <c r="A605" s="9" t="s">
        <v>9237</v>
      </c>
      <c r="B605" s="9" t="s">
        <v>18390</v>
      </c>
    </row>
    <row r="606">
      <c r="A606" s="9" t="s">
        <v>11884</v>
      </c>
      <c r="B606" s="9" t="s">
        <v>18390</v>
      </c>
    </row>
    <row r="607">
      <c r="A607" s="9" t="s">
        <v>11992</v>
      </c>
      <c r="B607" s="9" t="s">
        <v>18390</v>
      </c>
    </row>
    <row r="608">
      <c r="A608" s="9" t="s">
        <v>8430</v>
      </c>
      <c r="B608" s="9" t="s">
        <v>18293</v>
      </c>
    </row>
    <row r="609">
      <c r="A609" s="9" t="s">
        <v>8076</v>
      </c>
      <c r="B609" s="9" t="s">
        <v>20301</v>
      </c>
    </row>
    <row r="610">
      <c r="A610" s="9" t="s">
        <v>4985</v>
      </c>
      <c r="B610" s="9" t="s">
        <v>20190</v>
      </c>
    </row>
    <row r="611">
      <c r="A611" s="9" t="s">
        <v>4545</v>
      </c>
      <c r="B611" s="9" t="s">
        <v>17350</v>
      </c>
    </row>
    <row r="612">
      <c r="A612" s="9" t="s">
        <v>10130</v>
      </c>
      <c r="B612" s="9" t="s">
        <v>19416</v>
      </c>
    </row>
    <row r="613">
      <c r="A613" s="9" t="s">
        <v>4712</v>
      </c>
      <c r="B613" s="9" t="s">
        <v>12997</v>
      </c>
    </row>
    <row r="614">
      <c r="A614" s="9" t="s">
        <v>9736</v>
      </c>
      <c r="B614" s="9" t="s">
        <v>20965</v>
      </c>
    </row>
    <row r="615">
      <c r="A615" s="9" t="s">
        <v>8490</v>
      </c>
      <c r="B615" s="9" t="s">
        <v>19037</v>
      </c>
    </row>
    <row r="616">
      <c r="A616" s="9" t="s">
        <v>8744</v>
      </c>
      <c r="B616" s="9" t="s">
        <v>13147</v>
      </c>
    </row>
    <row r="617">
      <c r="A617" s="9" t="s">
        <v>8668</v>
      </c>
      <c r="B617" s="9" t="s">
        <v>19363</v>
      </c>
    </row>
    <row r="618">
      <c r="A618" s="9" t="s">
        <v>5604</v>
      </c>
      <c r="B618" s="9" t="s">
        <v>20310</v>
      </c>
    </row>
    <row r="619">
      <c r="A619" s="9" t="s">
        <v>9619</v>
      </c>
      <c r="B619" s="9" t="s">
        <v>21664</v>
      </c>
    </row>
    <row r="620">
      <c r="A620" s="9">
        <v>8.3237123E7</v>
      </c>
      <c r="B620" s="9" t="s">
        <v>15608</v>
      </c>
    </row>
    <row r="621">
      <c r="A621" s="9" t="s">
        <v>12065</v>
      </c>
      <c r="B621" s="9" t="s">
        <v>15608</v>
      </c>
    </row>
    <row r="622">
      <c r="A622" s="9" t="s">
        <v>3552</v>
      </c>
      <c r="B622" s="9" t="s">
        <v>14489</v>
      </c>
    </row>
    <row r="623">
      <c r="A623" s="9">
        <v>1.1866825E7</v>
      </c>
      <c r="B623" s="9" t="s">
        <v>20046</v>
      </c>
    </row>
    <row r="624">
      <c r="A624" s="9" t="s">
        <v>11887</v>
      </c>
      <c r="B624" s="9" t="s">
        <v>18661</v>
      </c>
    </row>
    <row r="625">
      <c r="A625" s="9" t="s">
        <v>12185</v>
      </c>
      <c r="B625" s="9" t="s">
        <v>17179</v>
      </c>
    </row>
    <row r="626">
      <c r="A626" s="9" t="s">
        <v>11919</v>
      </c>
      <c r="B626" s="9" t="s">
        <v>20033</v>
      </c>
    </row>
    <row r="627">
      <c r="A627" s="9" t="s">
        <v>12120</v>
      </c>
      <c r="B627" s="9" t="s">
        <v>20019</v>
      </c>
    </row>
    <row r="628">
      <c r="A628" s="9" t="s">
        <v>11717</v>
      </c>
      <c r="B628" s="9" t="s">
        <v>15289</v>
      </c>
    </row>
    <row r="629">
      <c r="A629" s="9" t="s">
        <v>10711</v>
      </c>
      <c r="B629" s="9" t="s">
        <v>16264</v>
      </c>
    </row>
    <row r="630">
      <c r="A630" s="9" t="s">
        <v>10733</v>
      </c>
      <c r="B630" s="9" t="s">
        <v>17887</v>
      </c>
    </row>
    <row r="631">
      <c r="A631" s="9" t="s">
        <v>11691</v>
      </c>
      <c r="B631" s="9" t="s">
        <v>19153</v>
      </c>
    </row>
    <row r="632">
      <c r="A632" s="9" t="s">
        <v>11633</v>
      </c>
      <c r="B632" s="9" t="s">
        <v>26094</v>
      </c>
    </row>
    <row r="633">
      <c r="A633" s="9" t="s">
        <v>234</v>
      </c>
      <c r="B633" s="9" t="s">
        <v>26098</v>
      </c>
    </row>
    <row r="634">
      <c r="A634" s="9" t="s">
        <v>234</v>
      </c>
      <c r="B634" s="9" t="s">
        <v>26104</v>
      </c>
    </row>
    <row r="635">
      <c r="A635" s="9" t="s">
        <v>12162</v>
      </c>
      <c r="B635" s="9" t="s">
        <v>19998</v>
      </c>
    </row>
    <row r="636">
      <c r="A636" s="9" t="s">
        <v>11703</v>
      </c>
      <c r="B636" s="9" t="s">
        <v>18553</v>
      </c>
    </row>
    <row r="637">
      <c r="A637" s="9" t="s">
        <v>10613</v>
      </c>
      <c r="B637" s="9" t="s">
        <v>18553</v>
      </c>
    </row>
    <row r="638">
      <c r="A638" s="9" t="s">
        <v>10380</v>
      </c>
      <c r="B638" s="9" t="s">
        <v>14096</v>
      </c>
    </row>
    <row r="639">
      <c r="A639" s="9" t="s">
        <v>10691</v>
      </c>
      <c r="B639" s="9" t="s">
        <v>14274</v>
      </c>
    </row>
    <row r="640">
      <c r="A640" s="9" t="s">
        <v>10240</v>
      </c>
      <c r="B640" s="9" t="s">
        <v>19990</v>
      </c>
    </row>
    <row r="641">
      <c r="A641" s="9" t="s">
        <v>12191</v>
      </c>
      <c r="B641" s="9" t="s">
        <v>17303</v>
      </c>
    </row>
    <row r="642">
      <c r="A642" s="9" t="s">
        <v>10664</v>
      </c>
      <c r="B642" s="9" t="s">
        <v>12832</v>
      </c>
    </row>
    <row r="643">
      <c r="A643" s="9" t="s">
        <v>6224</v>
      </c>
      <c r="B643" s="9" t="s">
        <v>17668</v>
      </c>
    </row>
    <row r="644">
      <c r="A644" s="9" t="s">
        <v>10662</v>
      </c>
      <c r="B644" s="9" t="s">
        <v>12356</v>
      </c>
    </row>
    <row r="645">
      <c r="A645" s="9" t="s">
        <v>10251</v>
      </c>
      <c r="B645" s="9" t="s">
        <v>12340</v>
      </c>
    </row>
    <row r="646">
      <c r="A646" s="9" t="s">
        <v>11748</v>
      </c>
      <c r="B646" s="9" t="s">
        <v>12340</v>
      </c>
    </row>
    <row r="647">
      <c r="A647" s="9" t="s">
        <v>10427</v>
      </c>
      <c r="B647" s="9" t="s">
        <v>18788</v>
      </c>
    </row>
    <row r="648">
      <c r="A648" s="9" t="s">
        <v>11864</v>
      </c>
      <c r="B648" s="9" t="s">
        <v>26150</v>
      </c>
    </row>
    <row r="649">
      <c r="A649" s="9" t="s">
        <v>11627</v>
      </c>
      <c r="B649" s="9" t="s">
        <v>17214</v>
      </c>
    </row>
    <row r="650">
      <c r="A650" s="9" t="s">
        <v>11864</v>
      </c>
      <c r="B650" s="9" t="s">
        <v>26158</v>
      </c>
    </row>
    <row r="651">
      <c r="A651" s="9" t="s">
        <v>11914</v>
      </c>
      <c r="B651" s="9" t="s">
        <v>16293</v>
      </c>
    </row>
    <row r="652">
      <c r="A652" s="9" t="s">
        <v>254</v>
      </c>
      <c r="B652" s="9" t="s">
        <v>19532</v>
      </c>
    </row>
    <row r="653">
      <c r="A653" s="9" t="s">
        <v>10672</v>
      </c>
      <c r="B653" s="9" t="s">
        <v>19803</v>
      </c>
    </row>
    <row r="654">
      <c r="A654" s="9" t="s">
        <v>11763</v>
      </c>
      <c r="B654" s="9" t="s">
        <v>18689</v>
      </c>
    </row>
    <row r="655">
      <c r="A655" s="9" t="s">
        <v>10318</v>
      </c>
      <c r="B655" s="9" t="s">
        <v>13177</v>
      </c>
    </row>
    <row r="656">
      <c r="A656" s="9" t="s">
        <v>12041</v>
      </c>
      <c r="B656" s="9" t="s">
        <v>15765</v>
      </c>
    </row>
    <row r="657">
      <c r="A657" s="9" t="s">
        <v>10667</v>
      </c>
      <c r="B657" s="9" t="s">
        <v>19426</v>
      </c>
    </row>
    <row r="658">
      <c r="A658" s="9" t="s">
        <v>11975</v>
      </c>
      <c r="B658" s="9">
        <v>4.5991727E7</v>
      </c>
    </row>
    <row r="659">
      <c r="A659" s="9" t="s">
        <v>10344</v>
      </c>
      <c r="B659" s="9" t="s">
        <v>13606</v>
      </c>
    </row>
    <row r="660">
      <c r="A660" s="9" t="s">
        <v>10701</v>
      </c>
      <c r="B660" s="9" t="s">
        <v>15135</v>
      </c>
    </row>
    <row r="661">
      <c r="A661" s="9" t="s">
        <v>10509</v>
      </c>
      <c r="B661" s="9" t="s">
        <v>14449</v>
      </c>
    </row>
    <row r="662">
      <c r="A662" s="9" t="s">
        <v>10394</v>
      </c>
      <c r="B662" s="9" t="s">
        <v>14449</v>
      </c>
    </row>
    <row r="663">
      <c r="A663" s="9" t="s">
        <v>10552</v>
      </c>
      <c r="B663" s="9" t="s">
        <v>17139</v>
      </c>
    </row>
    <row r="664">
      <c r="A664" s="9" t="s">
        <v>12118</v>
      </c>
      <c r="B664" s="9" t="s">
        <v>17139</v>
      </c>
    </row>
    <row r="665">
      <c r="A665" s="9" t="s">
        <v>11652</v>
      </c>
      <c r="B665" s="9" t="s">
        <v>19270</v>
      </c>
    </row>
    <row r="666">
      <c r="A666" s="9" t="s">
        <v>11999</v>
      </c>
      <c r="B666" s="9" t="s">
        <v>12716</v>
      </c>
    </row>
    <row r="667">
      <c r="A667" s="9" t="s">
        <v>10285</v>
      </c>
      <c r="B667" s="9" t="s">
        <v>12716</v>
      </c>
    </row>
    <row r="668">
      <c r="A668" s="9" t="s">
        <v>10247</v>
      </c>
      <c r="B668" s="9" t="s">
        <v>19972</v>
      </c>
    </row>
    <row r="669">
      <c r="A669" s="9" t="s">
        <v>10289</v>
      </c>
      <c r="B669" s="9" t="s">
        <v>12670</v>
      </c>
    </row>
    <row r="670">
      <c r="A670" s="9" t="s">
        <v>11491</v>
      </c>
      <c r="B670" s="9" t="s">
        <v>18912</v>
      </c>
    </row>
    <row r="671">
      <c r="A671" s="9" t="s">
        <v>10725</v>
      </c>
      <c r="B671" s="9" t="s">
        <v>26228</v>
      </c>
    </row>
    <row r="672">
      <c r="A672" s="9" t="s">
        <v>11657</v>
      </c>
      <c r="B672" s="9" t="s">
        <v>18706</v>
      </c>
    </row>
    <row r="673">
      <c r="A673" s="9" t="s">
        <v>10658</v>
      </c>
      <c r="B673" s="9" t="s">
        <v>19349</v>
      </c>
    </row>
    <row r="674">
      <c r="A674" s="9" t="s">
        <v>10238</v>
      </c>
      <c r="B674" s="9" t="s">
        <v>19964</v>
      </c>
    </row>
    <row r="675">
      <c r="A675" s="9" t="s">
        <v>10245</v>
      </c>
      <c r="B675" s="9" t="s">
        <v>19952</v>
      </c>
    </row>
    <row r="676">
      <c r="A676" s="9" t="s">
        <v>11849</v>
      </c>
      <c r="B676" s="9" t="s">
        <v>19673</v>
      </c>
    </row>
    <row r="677">
      <c r="A677" s="9" t="s">
        <v>11513</v>
      </c>
      <c r="B677" s="9" t="s">
        <v>12680</v>
      </c>
    </row>
    <row r="678">
      <c r="A678" s="9" t="s">
        <v>10378</v>
      </c>
      <c r="B678" s="9" t="s">
        <v>14066</v>
      </c>
    </row>
    <row r="679">
      <c r="A679" s="9" t="s">
        <v>10608</v>
      </c>
      <c r="B679" s="9" t="s">
        <v>18405</v>
      </c>
    </row>
    <row r="680">
      <c r="A680" s="9" t="s">
        <v>12030</v>
      </c>
      <c r="B680" s="9" t="s">
        <v>18405</v>
      </c>
    </row>
    <row r="681">
      <c r="A681" s="9" t="s">
        <v>10243</v>
      </c>
      <c r="B681" s="9" t="s">
        <v>19940</v>
      </c>
    </row>
    <row r="682">
      <c r="A682" s="9" t="s">
        <v>12033</v>
      </c>
      <c r="B682" s="9" t="s">
        <v>21286</v>
      </c>
    </row>
    <row r="683">
      <c r="A683" s="9" t="s">
        <v>11671</v>
      </c>
      <c r="B683" s="9" t="s">
        <v>19930</v>
      </c>
    </row>
    <row r="684">
      <c r="A684" s="9" t="s">
        <v>12102</v>
      </c>
      <c r="B684" s="9" t="s">
        <v>17475</v>
      </c>
    </row>
    <row r="685">
      <c r="A685" s="9" t="s">
        <v>12159</v>
      </c>
      <c r="B685" s="9" t="s">
        <v>17475</v>
      </c>
    </row>
    <row r="686">
      <c r="A686" s="9" t="s">
        <v>10603</v>
      </c>
      <c r="B686" s="9" t="s">
        <v>18230</v>
      </c>
    </row>
    <row r="687">
      <c r="A687" s="9" t="s">
        <v>10562</v>
      </c>
      <c r="B687" s="9" t="s">
        <v>17418</v>
      </c>
    </row>
    <row r="688">
      <c r="A688" s="9" t="s">
        <v>10738</v>
      </c>
      <c r="B688" s="9" t="s">
        <v>17418</v>
      </c>
    </row>
    <row r="689">
      <c r="A689" s="9" t="s">
        <v>11780</v>
      </c>
      <c r="B689" s="9" t="s">
        <v>19917</v>
      </c>
    </row>
    <row r="690">
      <c r="A690" s="9" t="s">
        <v>11875</v>
      </c>
      <c r="B690" s="9" t="s">
        <v>17900</v>
      </c>
    </row>
    <row r="691">
      <c r="A691" s="9" t="s">
        <v>11805</v>
      </c>
      <c r="B691" s="9" t="s">
        <v>16171</v>
      </c>
    </row>
    <row r="692">
      <c r="A692" s="9" t="s">
        <v>10432</v>
      </c>
      <c r="B692" s="9" t="s">
        <v>14980</v>
      </c>
    </row>
    <row r="693">
      <c r="A693" s="9" t="s">
        <v>10387</v>
      </c>
      <c r="B693" s="9" t="s">
        <v>14221</v>
      </c>
    </row>
    <row r="694">
      <c r="A694" s="9" t="s">
        <v>11847</v>
      </c>
      <c r="B694" s="9" t="s">
        <v>19478</v>
      </c>
    </row>
    <row r="695">
      <c r="A695" s="9" t="s">
        <v>10354</v>
      </c>
      <c r="B695" s="9" t="s">
        <v>13786</v>
      </c>
    </row>
    <row r="696">
      <c r="A696" s="9" t="s">
        <v>12144</v>
      </c>
      <c r="B696" s="9" t="s">
        <v>17389</v>
      </c>
    </row>
    <row r="697">
      <c r="A697" s="9" t="s">
        <v>11733</v>
      </c>
      <c r="B697" s="9" t="s">
        <v>17044</v>
      </c>
    </row>
    <row r="698">
      <c r="A698" s="9">
        <v>5.9341748E7</v>
      </c>
      <c r="B698" s="9" t="s">
        <v>19906</v>
      </c>
    </row>
    <row r="699">
      <c r="A699" s="9" t="s">
        <v>10477</v>
      </c>
      <c r="B699" s="9" t="s">
        <v>15880</v>
      </c>
    </row>
    <row r="700">
      <c r="A700" s="9" t="s">
        <v>11851</v>
      </c>
      <c r="B700" s="9" t="s">
        <v>19772</v>
      </c>
    </row>
    <row r="701">
      <c r="A701" s="9" t="s">
        <v>11676</v>
      </c>
      <c r="B701" s="9" t="s">
        <v>19885</v>
      </c>
    </row>
    <row r="702">
      <c r="A702" s="9" t="s">
        <v>12174</v>
      </c>
      <c r="B702" s="9" t="s">
        <v>19875</v>
      </c>
    </row>
    <row r="703">
      <c r="A703" s="9" t="s">
        <v>10740</v>
      </c>
      <c r="B703" s="9" t="s">
        <v>18012</v>
      </c>
    </row>
    <row r="704">
      <c r="A704" s="9" t="s">
        <v>10591</v>
      </c>
      <c r="B704" s="9" t="s">
        <v>18012</v>
      </c>
    </row>
    <row r="705">
      <c r="A705" s="9" t="s">
        <v>10322</v>
      </c>
      <c r="B705" s="9" t="s">
        <v>13229</v>
      </c>
    </row>
    <row r="706">
      <c r="A706" s="9" t="s">
        <v>11945</v>
      </c>
      <c r="B706" s="9" t="s">
        <v>13229</v>
      </c>
    </row>
    <row r="707">
      <c r="A707" s="9" t="s">
        <v>10638</v>
      </c>
      <c r="B707" s="9" t="s">
        <v>18924</v>
      </c>
    </row>
    <row r="708">
      <c r="A708" s="9" t="s">
        <v>10437</v>
      </c>
      <c r="B708" s="9" t="s">
        <v>15070</v>
      </c>
    </row>
    <row r="709">
      <c r="A709" s="9" t="s">
        <v>11637</v>
      </c>
      <c r="B709" s="9" t="s">
        <v>18490</v>
      </c>
    </row>
    <row r="710">
      <c r="A710" s="9" t="s">
        <v>12018</v>
      </c>
      <c r="B710" s="9" t="s">
        <v>18043</v>
      </c>
    </row>
    <row r="711">
      <c r="A711" s="9" t="s">
        <v>12148</v>
      </c>
      <c r="B711" s="9" t="s">
        <v>19854</v>
      </c>
    </row>
    <row r="712">
      <c r="A712" s="9" t="s">
        <v>10225</v>
      </c>
      <c r="B712" s="9" t="s">
        <v>15991</v>
      </c>
    </row>
    <row r="713">
      <c r="A713" s="9" t="s">
        <v>263</v>
      </c>
      <c r="B713" s="9" t="s">
        <v>15848</v>
      </c>
    </row>
    <row r="714">
      <c r="A714" s="9" t="s">
        <v>11731</v>
      </c>
      <c r="B714" s="9" t="s">
        <v>15344</v>
      </c>
    </row>
    <row r="715">
      <c r="A715" s="9" t="s">
        <v>10730</v>
      </c>
      <c r="B715" s="9" t="s">
        <v>17647</v>
      </c>
    </row>
    <row r="716">
      <c r="A716" s="9" t="s">
        <v>12091</v>
      </c>
      <c r="B716" s="9" t="s">
        <v>18098</v>
      </c>
    </row>
    <row r="717">
      <c r="A717" s="9" t="s">
        <v>11758</v>
      </c>
      <c r="B717" s="9" t="s">
        <v>19574</v>
      </c>
    </row>
    <row r="718">
      <c r="A718" s="9" t="s">
        <v>12085</v>
      </c>
      <c r="B718" s="9" t="s">
        <v>15378</v>
      </c>
    </row>
    <row r="719">
      <c r="A719" s="9" t="s">
        <v>11788</v>
      </c>
      <c r="B719" s="9" t="s">
        <v>19230</v>
      </c>
    </row>
    <row r="720">
      <c r="A720" s="9" t="s">
        <v>10719</v>
      </c>
      <c r="B720" s="9" t="s">
        <v>16909</v>
      </c>
    </row>
    <row r="721">
      <c r="A721" s="9" t="s">
        <v>12172</v>
      </c>
      <c r="B721" s="9" t="s">
        <v>19549</v>
      </c>
    </row>
    <row r="722">
      <c r="A722" s="9" t="s">
        <v>237</v>
      </c>
      <c r="B722" s="9" t="s">
        <v>238</v>
      </c>
    </row>
    <row r="723">
      <c r="A723" s="9" t="s">
        <v>10735</v>
      </c>
      <c r="B723" s="9" t="s">
        <v>17934</v>
      </c>
    </row>
    <row r="724">
      <c r="A724" s="9" t="s">
        <v>11700</v>
      </c>
      <c r="B724" s="9" t="s">
        <v>18189</v>
      </c>
    </row>
    <row r="725">
      <c r="A725" s="9" t="s">
        <v>10705</v>
      </c>
      <c r="B725" s="9" t="s">
        <v>26417</v>
      </c>
    </row>
    <row r="726">
      <c r="A726" s="9" t="s">
        <v>10756</v>
      </c>
      <c r="B726" s="9" t="s">
        <v>26423</v>
      </c>
    </row>
    <row r="727">
      <c r="A727" s="9" t="s">
        <v>10646</v>
      </c>
      <c r="B727" s="9" t="s">
        <v>18974</v>
      </c>
    </row>
    <row r="728">
      <c r="A728" s="9" t="s">
        <v>10725</v>
      </c>
      <c r="B728" s="9" t="s">
        <v>18974</v>
      </c>
    </row>
    <row r="729">
      <c r="A729" s="9" t="s">
        <v>10705</v>
      </c>
      <c r="B729" s="9" t="s">
        <v>18974</v>
      </c>
    </row>
    <row r="730">
      <c r="A730" s="9" t="s">
        <v>10756</v>
      </c>
      <c r="B730" s="9" t="s">
        <v>18974</v>
      </c>
    </row>
    <row r="731">
      <c r="A731" s="9" t="s">
        <v>12061</v>
      </c>
      <c r="B731" s="9" t="s">
        <v>18974</v>
      </c>
    </row>
    <row r="732">
      <c r="A732" s="9" t="s">
        <v>10211</v>
      </c>
      <c r="B732" s="9" t="s">
        <v>19498</v>
      </c>
    </row>
    <row r="733">
      <c r="A733" s="9" t="s">
        <v>11686</v>
      </c>
      <c r="B733" s="9" t="s">
        <v>19444</v>
      </c>
    </row>
    <row r="734">
      <c r="A734" s="9" t="s">
        <v>10622</v>
      </c>
      <c r="B734" s="9" t="s">
        <v>18570</v>
      </c>
    </row>
    <row r="735">
      <c r="A735" s="9" t="s">
        <v>10616</v>
      </c>
      <c r="B735" s="9" t="s">
        <v>18570</v>
      </c>
    </row>
    <row r="736">
      <c r="A736" s="9" t="s">
        <v>23262</v>
      </c>
      <c r="B736" s="9" t="s">
        <v>23271</v>
      </c>
    </row>
    <row r="737">
      <c r="A737" s="9" t="s">
        <v>12048</v>
      </c>
      <c r="B737" s="9" t="s">
        <v>18213</v>
      </c>
    </row>
    <row r="738">
      <c r="A738" s="9" t="s">
        <v>12213</v>
      </c>
      <c r="B738" s="9" t="s">
        <v>12874</v>
      </c>
    </row>
    <row r="739">
      <c r="A739" s="9" t="s">
        <v>10564</v>
      </c>
      <c r="B739" s="9" t="s">
        <v>17596</v>
      </c>
    </row>
    <row r="740">
      <c r="A740" s="9" t="s">
        <v>10721</v>
      </c>
      <c r="B740" s="9" t="s">
        <v>16974</v>
      </c>
    </row>
    <row r="741">
      <c r="A741" s="9" t="s">
        <v>11866</v>
      </c>
      <c r="B741" s="9" t="s">
        <v>19457</v>
      </c>
    </row>
    <row r="742">
      <c r="A742" s="9" t="s">
        <v>11861</v>
      </c>
      <c r="B742" s="9" t="s">
        <v>19457</v>
      </c>
    </row>
    <row r="743">
      <c r="A743" s="9" t="s">
        <v>11945</v>
      </c>
      <c r="B743" s="9" t="s">
        <v>19457</v>
      </c>
    </row>
    <row r="744">
      <c r="A744" s="9" t="s">
        <v>12207</v>
      </c>
      <c r="B744" s="9" t="s">
        <v>17715</v>
      </c>
    </row>
    <row r="745">
      <c r="A745" s="9" t="s">
        <v>11031</v>
      </c>
      <c r="B745" s="9" t="s">
        <v>21304</v>
      </c>
    </row>
    <row r="746">
      <c r="A746" s="9" t="s">
        <v>11774</v>
      </c>
      <c r="B746" s="9" t="s">
        <v>19396</v>
      </c>
    </row>
    <row r="747">
      <c r="A747" s="9" t="s">
        <v>11767</v>
      </c>
      <c r="B747" s="9" t="s">
        <v>19385</v>
      </c>
    </row>
    <row r="748">
      <c r="A748" s="9" t="s">
        <v>10498</v>
      </c>
      <c r="B748" s="9" t="s">
        <v>16145</v>
      </c>
    </row>
    <row r="749">
      <c r="A749" s="9" t="s">
        <v>11623</v>
      </c>
      <c r="B749" s="9" t="s">
        <v>18509</v>
      </c>
    </row>
    <row r="750">
      <c r="A750" s="9" t="s">
        <v>11813</v>
      </c>
      <c r="B750" s="9" t="s">
        <v>13343</v>
      </c>
    </row>
    <row r="751">
      <c r="A751" s="9" t="s">
        <v>10535</v>
      </c>
      <c r="B751" s="9" t="s">
        <v>15327</v>
      </c>
    </row>
    <row r="752">
      <c r="A752" s="9" t="s">
        <v>11949</v>
      </c>
      <c r="B752" s="9" t="s">
        <v>15327</v>
      </c>
    </row>
    <row r="753">
      <c r="A753" s="9" t="s">
        <v>11836</v>
      </c>
      <c r="B753" s="9" t="s">
        <v>18964</v>
      </c>
    </row>
    <row r="754">
      <c r="A754" s="9" t="s">
        <v>10310</v>
      </c>
      <c r="B754" s="9" t="s">
        <v>13038</v>
      </c>
    </row>
    <row r="755">
      <c r="A755" s="9" t="s">
        <v>23373</v>
      </c>
      <c r="B755" s="9" t="s">
        <v>13038</v>
      </c>
    </row>
    <row r="756">
      <c r="A756" s="9" t="s">
        <v>23387</v>
      </c>
      <c r="B756" s="9" t="s">
        <v>13038</v>
      </c>
    </row>
    <row r="757">
      <c r="A757" s="9" t="s">
        <v>23394</v>
      </c>
      <c r="B757" s="9" t="s">
        <v>13038</v>
      </c>
    </row>
    <row r="758">
      <c r="A758" s="9" t="s">
        <v>10391</v>
      </c>
      <c r="B758" s="9" t="s">
        <v>14299</v>
      </c>
    </row>
    <row r="759">
      <c r="A759" s="9" t="s">
        <v>11629</v>
      </c>
      <c r="B759" s="9" t="s">
        <v>14299</v>
      </c>
    </row>
    <row r="760">
      <c r="A760" s="9" t="s">
        <v>11947</v>
      </c>
      <c r="B760" s="9" t="s">
        <v>18814</v>
      </c>
    </row>
    <row r="761">
      <c r="A761" s="9" t="s">
        <v>268</v>
      </c>
      <c r="B761" s="9" t="s">
        <v>15940</v>
      </c>
    </row>
    <row r="762">
      <c r="A762" s="9" t="s">
        <v>11777</v>
      </c>
      <c r="B762" s="9" t="s">
        <v>15940</v>
      </c>
    </row>
    <row r="763">
      <c r="A763" s="9" t="s">
        <v>10384</v>
      </c>
      <c r="B763" s="9" t="s">
        <v>14175</v>
      </c>
    </row>
    <row r="764">
      <c r="A764" s="9" t="s">
        <v>11981</v>
      </c>
      <c r="B764" s="9" t="s">
        <v>15148</v>
      </c>
    </row>
    <row r="765">
      <c r="A765" s="9" t="s">
        <v>12027</v>
      </c>
      <c r="B765" s="9" t="s">
        <v>19069</v>
      </c>
    </row>
    <row r="766">
      <c r="A766" s="9" t="s">
        <v>10486</v>
      </c>
      <c r="B766" s="9" t="s">
        <v>16038</v>
      </c>
    </row>
    <row r="767">
      <c r="A767" s="9" t="s">
        <v>11660</v>
      </c>
      <c r="B767" s="9" t="s">
        <v>18341</v>
      </c>
    </row>
    <row r="768">
      <c r="A768" s="9" t="s">
        <v>11645</v>
      </c>
      <c r="B768" s="9" t="s">
        <v>18341</v>
      </c>
    </row>
    <row r="769">
      <c r="A769" s="9" t="s">
        <v>11870</v>
      </c>
      <c r="B769" s="9" t="s">
        <v>15593</v>
      </c>
    </row>
    <row r="770">
      <c r="A770" s="9" t="s">
        <v>11744</v>
      </c>
      <c r="B770" s="9" t="s">
        <v>15593</v>
      </c>
    </row>
    <row r="771">
      <c r="A771" s="9" t="s">
        <v>12061</v>
      </c>
      <c r="B771" s="9" t="s">
        <v>26546</v>
      </c>
    </row>
    <row r="772">
      <c r="A772" s="9">
        <v>3.5985348E7</v>
      </c>
      <c r="B772" s="9" t="s">
        <v>12897</v>
      </c>
    </row>
    <row r="773">
      <c r="A773" s="9" t="s">
        <v>10745</v>
      </c>
      <c r="B773" s="9" t="s">
        <v>18285</v>
      </c>
    </row>
    <row r="774">
      <c r="A774" s="9" t="s">
        <v>10533</v>
      </c>
      <c r="B774" s="9">
        <v>9.6241813E7</v>
      </c>
    </row>
    <row r="775">
      <c r="A775" s="9" t="s">
        <v>10531</v>
      </c>
      <c r="B775" s="9" t="s">
        <v>16847</v>
      </c>
    </row>
    <row r="776">
      <c r="A776" s="9" t="s">
        <v>10368</v>
      </c>
      <c r="B776" s="9" t="s">
        <v>14004</v>
      </c>
    </row>
    <row r="777">
      <c r="A777" s="9" t="s">
        <v>10715</v>
      </c>
      <c r="B777" s="9" t="s">
        <v>16608</v>
      </c>
    </row>
    <row r="778">
      <c r="A778" s="9" t="s">
        <v>11680</v>
      </c>
      <c r="B778" s="9" t="s">
        <v>18376</v>
      </c>
    </row>
    <row r="779">
      <c r="A779" s="9" t="s">
        <v>12146</v>
      </c>
      <c r="B779" s="9" t="s">
        <v>18725</v>
      </c>
    </row>
    <row r="780">
      <c r="A780" s="9" t="s">
        <v>12197</v>
      </c>
      <c r="B780" s="9" t="s">
        <v>18629</v>
      </c>
    </row>
    <row r="781">
      <c r="A781" s="9" t="s">
        <v>10594</v>
      </c>
      <c r="B781" s="9" t="s">
        <v>18114</v>
      </c>
    </row>
    <row r="782">
      <c r="A782" s="9" t="s">
        <v>12038</v>
      </c>
      <c r="B782" s="9" t="s">
        <v>18606</v>
      </c>
    </row>
    <row r="783">
      <c r="A783" s="9" t="s">
        <v>12020</v>
      </c>
      <c r="B783" s="9" t="s">
        <v>14747</v>
      </c>
    </row>
    <row r="784">
      <c r="A784" s="9" t="s">
        <v>12170</v>
      </c>
      <c r="B784" s="9" t="s">
        <v>14747</v>
      </c>
    </row>
    <row r="785">
      <c r="A785" s="9" t="s">
        <v>10420</v>
      </c>
      <c r="B785" s="9" t="s">
        <v>14747</v>
      </c>
    </row>
    <row r="786">
      <c r="A786" s="9" t="s">
        <v>10271</v>
      </c>
      <c r="B786" s="9" t="s">
        <v>12413</v>
      </c>
    </row>
    <row r="787">
      <c r="A787" s="9" t="s">
        <v>11684</v>
      </c>
      <c r="B787" s="9" t="s">
        <v>18444</v>
      </c>
    </row>
    <row r="788">
      <c r="A788" s="9" t="s">
        <v>11987</v>
      </c>
      <c r="B788" s="9" t="s">
        <v>16832</v>
      </c>
    </row>
    <row r="789">
      <c r="A789" s="9" t="s">
        <v>12024</v>
      </c>
      <c r="B789" s="9">
        <v>9.6879316E7</v>
      </c>
    </row>
    <row r="790">
      <c r="A790" s="9" t="s">
        <v>12080</v>
      </c>
      <c r="B790" s="9" t="s">
        <v>16869</v>
      </c>
    </row>
    <row r="791">
      <c r="A791" s="9" t="s">
        <v>11903</v>
      </c>
      <c r="B791" s="9" t="s">
        <v>17563</v>
      </c>
    </row>
    <row r="792">
      <c r="A792" s="9" t="s">
        <v>10472</v>
      </c>
      <c r="B792" s="9" t="s">
        <v>15794</v>
      </c>
    </row>
    <row r="793">
      <c r="A793" s="9" t="s">
        <v>12115</v>
      </c>
      <c r="B793" s="9" t="s">
        <v>18174</v>
      </c>
    </row>
    <row r="794">
      <c r="A794" s="9" t="s">
        <v>11419</v>
      </c>
      <c r="B794" s="9" t="s">
        <v>18174</v>
      </c>
    </row>
    <row r="795">
      <c r="A795" s="9">
        <v>9.3921678E7</v>
      </c>
      <c r="B795" s="9" t="s">
        <v>16650</v>
      </c>
    </row>
    <row r="796">
      <c r="A796" s="9" t="s">
        <v>12050</v>
      </c>
      <c r="B796" s="9" t="s">
        <v>18252</v>
      </c>
    </row>
    <row r="797">
      <c r="A797" s="9" t="s">
        <v>256</v>
      </c>
      <c r="B797" s="9" t="s">
        <v>17001</v>
      </c>
    </row>
    <row r="798">
      <c r="A798" s="9" t="s">
        <v>11971</v>
      </c>
      <c r="B798" s="9" t="s">
        <v>16958</v>
      </c>
    </row>
    <row r="799">
      <c r="A799" s="9" t="s">
        <v>12082</v>
      </c>
      <c r="B799" s="9" t="s">
        <v>18151</v>
      </c>
    </row>
    <row r="800">
      <c r="A800" s="9" t="s">
        <v>10556</v>
      </c>
      <c r="B800" s="9" t="s">
        <v>17364</v>
      </c>
    </row>
    <row r="801">
      <c r="A801" s="9" t="s">
        <v>10453</v>
      </c>
      <c r="B801" s="9" t="s">
        <v>15277</v>
      </c>
    </row>
    <row r="802">
      <c r="A802" s="9" t="s">
        <v>10567</v>
      </c>
      <c r="B802" s="9" t="s">
        <v>17632</v>
      </c>
    </row>
    <row r="803">
      <c r="A803" s="9" t="s">
        <v>10303</v>
      </c>
      <c r="B803" s="9" t="s">
        <v>12963</v>
      </c>
    </row>
    <row r="804">
      <c r="A804" s="9" t="s">
        <v>10506</v>
      </c>
      <c r="B804" s="9" t="s">
        <v>16348</v>
      </c>
    </row>
    <row r="805">
      <c r="A805" s="9" t="s">
        <v>10529</v>
      </c>
      <c r="B805" s="9" t="s">
        <v>16816</v>
      </c>
    </row>
    <row r="806">
      <c r="A806" s="9" t="s">
        <v>10425</v>
      </c>
      <c r="B806" s="9" t="s">
        <v>14847</v>
      </c>
    </row>
    <row r="807">
      <c r="A807" s="9" t="s">
        <v>252</v>
      </c>
      <c r="B807" s="9" t="s">
        <v>13291</v>
      </c>
    </row>
    <row r="808">
      <c r="A808" s="9" t="s">
        <v>11911</v>
      </c>
      <c r="B808" s="9" t="s">
        <v>17524</v>
      </c>
    </row>
    <row r="809">
      <c r="A809" s="9" t="s">
        <v>12108</v>
      </c>
      <c r="B809" s="9" t="s">
        <v>17511</v>
      </c>
    </row>
    <row r="810">
      <c r="A810" s="9" t="s">
        <v>12138</v>
      </c>
      <c r="B810" s="9" t="s">
        <v>15217</v>
      </c>
    </row>
    <row r="811">
      <c r="A811" s="9" t="s">
        <v>11545</v>
      </c>
      <c r="B811" s="9" t="s">
        <v>15217</v>
      </c>
    </row>
    <row r="812">
      <c r="A812" s="9" t="s">
        <v>10490</v>
      </c>
      <c r="B812" s="9" t="s">
        <v>16076</v>
      </c>
    </row>
    <row r="813">
      <c r="A813" s="9" t="s">
        <v>11478</v>
      </c>
      <c r="B813" s="9" t="s">
        <v>16076</v>
      </c>
    </row>
    <row r="814">
      <c r="A814" s="9" t="s">
        <v>11840</v>
      </c>
      <c r="B814" s="9" t="s">
        <v>16796</v>
      </c>
    </row>
    <row r="815">
      <c r="A815" s="9">
        <v>7.8372796E7</v>
      </c>
      <c r="B815" s="9" t="s">
        <v>16365</v>
      </c>
    </row>
    <row r="816">
      <c r="A816" s="9" t="s">
        <v>10547</v>
      </c>
      <c r="B816" s="9" t="s">
        <v>17033</v>
      </c>
    </row>
    <row r="817">
      <c r="A817" s="9" t="s">
        <v>12067</v>
      </c>
      <c r="B817" s="9" t="s">
        <v>17065</v>
      </c>
    </row>
    <row r="818">
      <c r="A818" s="9" t="s">
        <v>11772</v>
      </c>
      <c r="B818" s="9" t="s">
        <v>17065</v>
      </c>
    </row>
    <row r="819">
      <c r="A819" s="9" t="s">
        <v>11724</v>
      </c>
      <c r="B819" s="9" t="s">
        <v>16223</v>
      </c>
    </row>
    <row r="820">
      <c r="A820" s="9" t="s">
        <v>11802</v>
      </c>
      <c r="B820" s="9" t="s">
        <v>15689</v>
      </c>
    </row>
    <row r="821">
      <c r="A821" s="9" t="s">
        <v>11929</v>
      </c>
      <c r="B821" s="9" t="s">
        <v>12575</v>
      </c>
    </row>
    <row r="822">
      <c r="A822" s="9" t="s">
        <v>10459</v>
      </c>
      <c r="B822" s="9" t="s">
        <v>15496</v>
      </c>
    </row>
    <row r="823">
      <c r="A823" s="9" t="s">
        <v>10496</v>
      </c>
      <c r="B823" s="9" t="s">
        <v>16129</v>
      </c>
    </row>
    <row r="824">
      <c r="A824" s="9" t="s">
        <v>11621</v>
      </c>
      <c r="B824" s="9" t="s">
        <v>17123</v>
      </c>
    </row>
    <row r="825">
      <c r="A825" s="9" t="s">
        <v>10695</v>
      </c>
      <c r="B825" s="9" t="s">
        <v>14575</v>
      </c>
    </row>
    <row r="826">
      <c r="A826" s="9" t="s">
        <v>10679</v>
      </c>
      <c r="B826" s="9" t="s">
        <v>26705</v>
      </c>
    </row>
    <row r="827">
      <c r="A827" s="9" t="s">
        <v>10522</v>
      </c>
      <c r="B827" s="9" t="s">
        <v>16584</v>
      </c>
    </row>
    <row r="828">
      <c r="A828" s="9" t="s">
        <v>10707</v>
      </c>
      <c r="B828" s="9" t="s">
        <v>15751</v>
      </c>
    </row>
    <row r="829">
      <c r="A829" s="9" t="s">
        <v>10488</v>
      </c>
      <c r="B829" s="9" t="s">
        <v>16054</v>
      </c>
    </row>
    <row r="830">
      <c r="A830" s="9" t="s">
        <v>11668</v>
      </c>
      <c r="B830" s="9" t="s">
        <v>15104</v>
      </c>
    </row>
    <row r="831">
      <c r="A831" s="9" t="s">
        <v>11938</v>
      </c>
      <c r="B831" s="9" t="s">
        <v>15104</v>
      </c>
    </row>
    <row r="832">
      <c r="A832" s="9" t="s">
        <v>11951</v>
      </c>
      <c r="B832" s="9" t="s">
        <v>16708</v>
      </c>
    </row>
    <row r="833">
      <c r="A833" s="9" t="s">
        <v>12013</v>
      </c>
      <c r="B833" s="9" t="s">
        <v>16748</v>
      </c>
    </row>
    <row r="834">
      <c r="A834" s="9" t="s">
        <v>10518</v>
      </c>
      <c r="B834" s="9" t="s">
        <v>16477</v>
      </c>
    </row>
    <row r="835">
      <c r="A835" s="9" t="s">
        <v>12093</v>
      </c>
      <c r="B835" s="9" t="s">
        <v>14393</v>
      </c>
    </row>
    <row r="836">
      <c r="A836" s="9" t="s">
        <v>10400</v>
      </c>
      <c r="B836" s="9" t="s">
        <v>14393</v>
      </c>
    </row>
    <row r="837">
      <c r="A837" s="9" t="s">
        <v>10493</v>
      </c>
      <c r="B837" s="9" t="s">
        <v>16093</v>
      </c>
    </row>
    <row r="838">
      <c r="A838" s="9">
        <v>7.293847E7</v>
      </c>
      <c r="B838" s="9" t="s">
        <v>16628</v>
      </c>
    </row>
    <row r="839">
      <c r="A839" s="9" t="s">
        <v>10500</v>
      </c>
      <c r="B839" s="9" t="s">
        <v>16195</v>
      </c>
    </row>
    <row r="840">
      <c r="A840" s="9" t="s">
        <v>10482</v>
      </c>
      <c r="B840" s="9" t="s">
        <v>15957</v>
      </c>
    </row>
    <row r="841">
      <c r="A841" s="9" t="s">
        <v>10480</v>
      </c>
      <c r="B841" s="9" t="s">
        <v>15957</v>
      </c>
    </row>
    <row r="842">
      <c r="A842" s="9" t="s">
        <v>12176</v>
      </c>
      <c r="B842" s="9" t="s">
        <v>15957</v>
      </c>
    </row>
    <row r="843">
      <c r="A843" s="9" t="s">
        <v>270</v>
      </c>
      <c r="B843" s="9" t="s">
        <v>15718</v>
      </c>
    </row>
    <row r="844">
      <c r="A844" s="9" t="s">
        <v>11719</v>
      </c>
      <c r="B844" s="9" t="s">
        <v>26750</v>
      </c>
    </row>
    <row r="845">
      <c r="A845" s="9" t="s">
        <v>11834</v>
      </c>
      <c r="B845" s="9" t="s">
        <v>16550</v>
      </c>
    </row>
    <row r="846">
      <c r="A846" s="9" t="s">
        <v>10502</v>
      </c>
      <c r="B846" s="9" t="s">
        <v>16209</v>
      </c>
    </row>
    <row r="847">
      <c r="A847" s="9" t="s">
        <v>12165</v>
      </c>
      <c r="B847" s="9" t="s">
        <v>26761</v>
      </c>
    </row>
    <row r="848">
      <c r="A848" s="9" t="s">
        <v>11719</v>
      </c>
      <c r="B848" s="9" t="s">
        <v>26761</v>
      </c>
    </row>
    <row r="849">
      <c r="A849" s="9" t="s">
        <v>12016</v>
      </c>
      <c r="B849" s="9" t="s">
        <v>16522</v>
      </c>
    </row>
    <row r="850">
      <c r="A850" s="9" t="s">
        <v>12165</v>
      </c>
      <c r="B850" s="9" t="s">
        <v>26773</v>
      </c>
    </row>
    <row r="851">
      <c r="A851" s="9" t="s">
        <v>10262</v>
      </c>
      <c r="B851" s="9" t="s">
        <v>16440</v>
      </c>
    </row>
    <row r="852">
      <c r="A852" s="9" t="s">
        <v>10447</v>
      </c>
      <c r="B852" s="9" t="s">
        <v>15162</v>
      </c>
    </row>
    <row r="853">
      <c r="A853" s="9" t="s">
        <v>11458</v>
      </c>
      <c r="B853" s="9" t="s">
        <v>15162</v>
      </c>
    </row>
    <row r="854">
      <c r="A854" s="9" t="s">
        <v>11618</v>
      </c>
      <c r="B854" s="9" t="s">
        <v>16183</v>
      </c>
    </row>
    <row r="855">
      <c r="A855" s="9" t="s">
        <v>11413</v>
      </c>
      <c r="B855" s="9" t="s">
        <v>15782</v>
      </c>
    </row>
    <row r="856">
      <c r="A856" s="9" t="s">
        <v>10709</v>
      </c>
      <c r="B856" s="9" t="s">
        <v>15927</v>
      </c>
    </row>
    <row r="857">
      <c r="A857" s="9" t="s">
        <v>12128</v>
      </c>
      <c r="B857" s="9" t="s">
        <v>15818</v>
      </c>
    </row>
    <row r="858">
      <c r="A858" s="9" t="s">
        <v>10475</v>
      </c>
      <c r="B858" s="9" t="s">
        <v>15390</v>
      </c>
    </row>
    <row r="859">
      <c r="A859" s="9" t="s">
        <v>11921</v>
      </c>
      <c r="B859" s="9" t="s">
        <v>15390</v>
      </c>
    </row>
    <row r="860">
      <c r="A860" s="9" t="s">
        <v>11358</v>
      </c>
      <c r="B860" s="9" t="s">
        <v>15089</v>
      </c>
    </row>
    <row r="861">
      <c r="A861" s="9" t="s">
        <v>12004</v>
      </c>
      <c r="B861" s="9" t="s">
        <v>15364</v>
      </c>
    </row>
    <row r="862">
      <c r="A862" s="9" t="s">
        <v>11694</v>
      </c>
      <c r="B862" s="9" t="s">
        <v>15547</v>
      </c>
    </row>
    <row r="863">
      <c r="A863" s="9" t="s">
        <v>11963</v>
      </c>
      <c r="B863" s="9" t="s">
        <v>15547</v>
      </c>
    </row>
    <row r="864">
      <c r="A864" s="9" t="s">
        <v>10423</v>
      </c>
      <c r="B864" s="9" t="s">
        <v>14815</v>
      </c>
    </row>
    <row r="865">
      <c r="A865" s="9" t="s">
        <v>11899</v>
      </c>
      <c r="B865" s="9" t="s">
        <v>14815</v>
      </c>
    </row>
    <row r="866">
      <c r="A866" s="9" t="s">
        <v>10308</v>
      </c>
      <c r="B866" s="9" t="s">
        <v>12986</v>
      </c>
    </row>
    <row r="867">
      <c r="A867" s="9" t="s">
        <v>12136</v>
      </c>
      <c r="B867" s="9" t="s">
        <v>14590</v>
      </c>
    </row>
    <row r="868">
      <c r="A868" s="9" t="s">
        <v>12132</v>
      </c>
      <c r="B868" s="9" t="s">
        <v>13361</v>
      </c>
    </row>
    <row r="869">
      <c r="A869" s="9" t="s">
        <v>11640</v>
      </c>
      <c r="B869" s="9" t="s">
        <v>13361</v>
      </c>
    </row>
    <row r="870">
      <c r="A870" s="9" t="s">
        <v>10291</v>
      </c>
      <c r="B870" s="9" t="s">
        <v>12748</v>
      </c>
    </row>
    <row r="871">
      <c r="A871" s="9" t="s">
        <v>11800</v>
      </c>
      <c r="B871" s="9" t="s">
        <v>14432</v>
      </c>
    </row>
    <row r="872">
      <c r="A872" s="9" t="s">
        <v>10440</v>
      </c>
      <c r="B872" s="9" t="s">
        <v>15120</v>
      </c>
    </row>
    <row r="873">
      <c r="A873" s="9" t="s">
        <v>10449</v>
      </c>
      <c r="B873" s="9" t="s">
        <v>15203</v>
      </c>
    </row>
    <row r="874">
      <c r="A874" s="9" t="s">
        <v>11931</v>
      </c>
      <c r="B874" s="9" t="s">
        <v>15173</v>
      </c>
    </row>
    <row r="875">
      <c r="A875" s="9" t="s">
        <v>11610</v>
      </c>
      <c r="B875" s="9" t="s">
        <v>15186</v>
      </c>
    </row>
    <row r="876">
      <c r="A876" s="9" t="s">
        <v>11990</v>
      </c>
      <c r="B876" s="9" t="s">
        <v>14992</v>
      </c>
    </row>
    <row r="877">
      <c r="A877" s="9" t="s">
        <v>10699</v>
      </c>
      <c r="B877" s="9" t="s">
        <v>14863</v>
      </c>
    </row>
    <row r="878">
      <c r="A878" s="9" t="s">
        <v>12059</v>
      </c>
      <c r="B878" s="9" t="s">
        <v>14801</v>
      </c>
    </row>
    <row r="879">
      <c r="A879" s="9" t="s">
        <v>10398</v>
      </c>
      <c r="B879" s="9" t="s">
        <v>14512</v>
      </c>
    </row>
    <row r="880">
      <c r="A880" s="9" t="s">
        <v>10416</v>
      </c>
      <c r="B880" s="9" t="s">
        <v>14712</v>
      </c>
    </row>
    <row r="881">
      <c r="A881" s="9" t="s">
        <v>11893</v>
      </c>
      <c r="B881" s="9" t="s">
        <v>14562</v>
      </c>
    </row>
    <row r="882">
      <c r="A882" s="9" t="s">
        <v>248</v>
      </c>
      <c r="B882" s="9" t="s">
        <v>13889</v>
      </c>
    </row>
    <row r="883">
      <c r="A883" s="9" t="s">
        <v>10363</v>
      </c>
      <c r="B883" s="9" t="s">
        <v>13889</v>
      </c>
    </row>
    <row r="884">
      <c r="A884" s="9" t="s">
        <v>11600</v>
      </c>
      <c r="B884" s="9" t="s">
        <v>13889</v>
      </c>
    </row>
    <row r="885">
      <c r="A885" s="9" t="s">
        <v>11368</v>
      </c>
      <c r="B885" s="9" t="s">
        <v>13889</v>
      </c>
    </row>
    <row r="886">
      <c r="A886" s="9" t="s">
        <v>10287</v>
      </c>
      <c r="B886" s="9" t="s">
        <v>12730</v>
      </c>
    </row>
    <row r="887">
      <c r="A887" s="9" t="s">
        <v>11404</v>
      </c>
      <c r="B887" s="9" t="s">
        <v>12730</v>
      </c>
    </row>
    <row r="888">
      <c r="A888" s="9" t="s">
        <v>10396</v>
      </c>
      <c r="B888" s="9" t="s">
        <v>14502</v>
      </c>
    </row>
    <row r="889">
      <c r="A889" s="9" t="s">
        <v>12180</v>
      </c>
      <c r="B889" s="9" t="s">
        <v>14475</v>
      </c>
    </row>
    <row r="890">
      <c r="A890" s="9" t="s">
        <v>10312</v>
      </c>
      <c r="B890" s="9" t="s">
        <v>13068</v>
      </c>
    </row>
    <row r="891">
      <c r="A891" s="9" t="s">
        <v>269</v>
      </c>
      <c r="B891" s="9" t="s">
        <v>14110</v>
      </c>
    </row>
    <row r="892">
      <c r="A892" s="9" t="s">
        <v>11708</v>
      </c>
      <c r="B892" s="9" t="s">
        <v>14333</v>
      </c>
    </row>
    <row r="893">
      <c r="A893" s="9" t="s">
        <v>11674</v>
      </c>
      <c r="B893" s="9" t="s">
        <v>14262</v>
      </c>
    </row>
    <row r="894">
      <c r="A894" s="9" t="s">
        <v>10233</v>
      </c>
      <c r="B894" s="9" t="s">
        <v>14348</v>
      </c>
    </row>
    <row r="895">
      <c r="A895" s="9" t="s">
        <v>10781</v>
      </c>
      <c r="B895" s="9" t="s">
        <v>12936</v>
      </c>
    </row>
    <row r="896">
      <c r="A896" s="9" t="s">
        <v>10370</v>
      </c>
      <c r="B896" s="9" t="s">
        <v>14023</v>
      </c>
    </row>
    <row r="897">
      <c r="A897" s="9" t="s">
        <v>10269</v>
      </c>
      <c r="B897" s="9">
        <v>5.4070421E7</v>
      </c>
    </row>
    <row r="898">
      <c r="A898" s="9" t="s">
        <v>10359</v>
      </c>
      <c r="B898" s="9" t="s">
        <v>13871</v>
      </c>
    </row>
    <row r="899">
      <c r="A899" s="9" t="s">
        <v>11526</v>
      </c>
      <c r="B899" s="9" t="s">
        <v>12599</v>
      </c>
    </row>
    <row r="900">
      <c r="A900" s="9" t="s">
        <v>10682</v>
      </c>
      <c r="B900" s="9" t="s">
        <v>12599</v>
      </c>
    </row>
    <row r="901">
      <c r="A901" s="9" t="s">
        <v>264</v>
      </c>
      <c r="B901" s="9" t="s">
        <v>13685</v>
      </c>
    </row>
    <row r="902">
      <c r="A902" s="9" t="s">
        <v>10347</v>
      </c>
      <c r="B902" s="9" t="s">
        <v>13579</v>
      </c>
    </row>
    <row r="903">
      <c r="A903" s="9" t="s">
        <v>10283</v>
      </c>
      <c r="B903" s="9" t="s">
        <v>12625</v>
      </c>
    </row>
    <row r="904">
      <c r="A904" s="9" t="s">
        <v>11830</v>
      </c>
      <c r="B904" s="9" t="s">
        <v>12625</v>
      </c>
    </row>
    <row r="905">
      <c r="A905" s="9" t="s">
        <v>12100</v>
      </c>
      <c r="B905" s="9" t="s">
        <v>12815</v>
      </c>
    </row>
    <row r="906">
      <c r="A906" s="9" t="s">
        <v>10334</v>
      </c>
      <c r="B906" s="9" t="s">
        <v>13425</v>
      </c>
    </row>
    <row r="907">
      <c r="A907" s="9" t="s">
        <v>10332</v>
      </c>
      <c r="B907" s="9" t="s">
        <v>13425</v>
      </c>
    </row>
    <row r="908">
      <c r="A908" s="9" t="s">
        <v>10320</v>
      </c>
      <c r="B908" s="9" t="s">
        <v>13212</v>
      </c>
    </row>
    <row r="909">
      <c r="A909" s="9" t="s">
        <v>10276</v>
      </c>
      <c r="B909" s="9" t="s">
        <v>12480</v>
      </c>
    </row>
    <row r="910">
      <c r="A910" s="9" t="s">
        <v>11362</v>
      </c>
      <c r="B910" s="9" t="s">
        <v>21724</v>
      </c>
    </row>
    <row r="911">
      <c r="A911" s="9" t="s">
        <v>11366</v>
      </c>
      <c r="B911" s="9" t="s">
        <v>26955</v>
      </c>
    </row>
    <row r="912">
      <c r="A912" s="9" t="s">
        <v>11366</v>
      </c>
      <c r="B912" s="9" t="s">
        <v>26960</v>
      </c>
    </row>
    <row r="913">
      <c r="A913" s="9" t="s">
        <v>12125</v>
      </c>
      <c r="B913" s="9" t="s">
        <v>26964</v>
      </c>
    </row>
    <row r="914">
      <c r="A914" s="9" t="s">
        <v>11955</v>
      </c>
      <c r="B914" s="9" t="s">
        <v>21774</v>
      </c>
    </row>
    <row r="915">
      <c r="A915" s="9" t="s">
        <v>12219</v>
      </c>
      <c r="B915" s="9" t="s">
        <v>21789</v>
      </c>
    </row>
    <row r="916">
      <c r="A916" s="9" t="s">
        <v>11371</v>
      </c>
      <c r="B916" s="9" t="s">
        <v>21815</v>
      </c>
    </row>
    <row r="917">
      <c r="A917" s="9" t="s">
        <v>11740</v>
      </c>
      <c r="B917" s="9" t="s">
        <v>21831</v>
      </c>
    </row>
    <row r="918">
      <c r="A918" s="9" t="s">
        <v>12104</v>
      </c>
      <c r="B918" s="9" t="s">
        <v>21846</v>
      </c>
    </row>
    <row r="919">
      <c r="A919" s="9" t="s">
        <v>11373</v>
      </c>
      <c r="B919" s="9" t="s">
        <v>21859</v>
      </c>
    </row>
    <row r="920">
      <c r="A920" s="9" t="s">
        <v>12071</v>
      </c>
      <c r="B920" s="9" t="s">
        <v>21884</v>
      </c>
    </row>
    <row r="921">
      <c r="A921" s="9" t="s">
        <v>11664</v>
      </c>
      <c r="B921" s="9" t="s">
        <v>21898</v>
      </c>
    </row>
    <row r="922">
      <c r="A922" s="9" t="s">
        <v>11682</v>
      </c>
      <c r="B922" s="9" t="s">
        <v>21912</v>
      </c>
    </row>
    <row r="923">
      <c r="A923" s="9" t="s">
        <v>11375</v>
      </c>
      <c r="B923" s="9" t="s">
        <v>21926</v>
      </c>
    </row>
    <row r="924">
      <c r="A924" s="9" t="s">
        <v>11377</v>
      </c>
      <c r="B924" s="9" t="s">
        <v>27004</v>
      </c>
    </row>
    <row r="925">
      <c r="A925" s="9" t="s">
        <v>11379</v>
      </c>
      <c r="B925" s="9" t="s">
        <v>21955</v>
      </c>
    </row>
    <row r="926">
      <c r="A926" s="9" t="s">
        <v>11381</v>
      </c>
      <c r="B926" s="9" t="s">
        <v>27013</v>
      </c>
    </row>
    <row r="927">
      <c r="A927" s="9" t="s">
        <v>11383</v>
      </c>
      <c r="B927" s="9" t="s">
        <v>27013</v>
      </c>
    </row>
    <row r="928">
      <c r="A928" s="9" t="s">
        <v>11385</v>
      </c>
      <c r="B928" s="9" t="s">
        <v>21999</v>
      </c>
    </row>
    <row r="929">
      <c r="A929" s="9" t="s">
        <v>11387</v>
      </c>
      <c r="B929" s="9" t="s">
        <v>22017</v>
      </c>
    </row>
    <row r="930">
      <c r="A930" s="9" t="s">
        <v>11389</v>
      </c>
      <c r="B930" s="9" t="s">
        <v>22032</v>
      </c>
    </row>
    <row r="931">
      <c r="A931" s="9" t="s">
        <v>11392</v>
      </c>
      <c r="B931" s="9" t="s">
        <v>22045</v>
      </c>
    </row>
    <row r="932">
      <c r="A932" s="9" t="s">
        <v>11394</v>
      </c>
      <c r="B932" s="9" t="s">
        <v>27031</v>
      </c>
    </row>
    <row r="933">
      <c r="A933" s="9" t="s">
        <v>11396</v>
      </c>
      <c r="B933" s="9" t="s">
        <v>22073</v>
      </c>
    </row>
    <row r="934">
      <c r="A934" s="9" t="s">
        <v>11398</v>
      </c>
      <c r="B934" s="9" t="s">
        <v>22087</v>
      </c>
    </row>
    <row r="935">
      <c r="A935" s="9" t="s">
        <v>11400</v>
      </c>
      <c r="B935" s="9" t="s">
        <v>22104</v>
      </c>
    </row>
    <row r="936">
      <c r="A936" s="9" t="s">
        <v>11402</v>
      </c>
      <c r="B936" s="9" t="s">
        <v>27053</v>
      </c>
    </row>
    <row r="937">
      <c r="A937" s="9" t="s">
        <v>11402</v>
      </c>
      <c r="B937" s="9" t="s">
        <v>27059</v>
      </c>
    </row>
    <row r="938">
      <c r="A938" s="9" t="s">
        <v>11406</v>
      </c>
      <c r="B938" s="9" t="s">
        <v>22144</v>
      </c>
    </row>
    <row r="939">
      <c r="A939" s="9" t="s">
        <v>11415</v>
      </c>
      <c r="B939" s="9" t="s">
        <v>22144</v>
      </c>
    </row>
    <row r="940">
      <c r="A940" s="9" t="s">
        <v>260</v>
      </c>
      <c r="B940" s="9" t="s">
        <v>22159</v>
      </c>
    </row>
    <row r="941">
      <c r="A941" s="9" t="s">
        <v>11409</v>
      </c>
      <c r="B941" s="9">
        <v>7.2616364E7</v>
      </c>
    </row>
    <row r="942">
      <c r="A942" s="9" t="s">
        <v>11411</v>
      </c>
      <c r="B942" s="9" t="s">
        <v>27074</v>
      </c>
    </row>
    <row r="943">
      <c r="A943" s="9" t="s">
        <v>11421</v>
      </c>
      <c r="B943" s="9" t="s">
        <v>22233</v>
      </c>
    </row>
    <row r="944">
      <c r="A944" s="9" t="s">
        <v>11423</v>
      </c>
      <c r="B944" s="9" t="s">
        <v>22250</v>
      </c>
    </row>
    <row r="945">
      <c r="A945" s="9" t="s">
        <v>11431</v>
      </c>
      <c r="B945" s="9" t="s">
        <v>22297</v>
      </c>
    </row>
    <row r="946">
      <c r="A946" s="9" t="s">
        <v>11433</v>
      </c>
      <c r="B946" s="9" t="s">
        <v>22309</v>
      </c>
    </row>
    <row r="947">
      <c r="A947" s="9" t="s">
        <v>11435</v>
      </c>
      <c r="B947" s="9" t="s">
        <v>22322</v>
      </c>
    </row>
    <row r="948">
      <c r="A948" s="9" t="s">
        <v>11437</v>
      </c>
      <c r="B948" s="9" t="s">
        <v>22336</v>
      </c>
    </row>
    <row r="949">
      <c r="A949" s="9" t="s">
        <v>11439</v>
      </c>
      <c r="B949" s="9" t="s">
        <v>22346</v>
      </c>
    </row>
    <row r="950">
      <c r="A950" s="9" t="s">
        <v>11441</v>
      </c>
      <c r="B950" s="9" t="s">
        <v>22359</v>
      </c>
    </row>
    <row r="951">
      <c r="A951" s="9" t="s">
        <v>11443</v>
      </c>
      <c r="B951" s="9" t="s">
        <v>22372</v>
      </c>
    </row>
    <row r="952">
      <c r="A952" s="9" t="s">
        <v>11445</v>
      </c>
      <c r="B952" s="9" t="s">
        <v>22387</v>
      </c>
    </row>
    <row r="953">
      <c r="A953" s="9" t="s">
        <v>11448</v>
      </c>
      <c r="B953" s="9" t="s">
        <v>22399</v>
      </c>
    </row>
    <row r="954">
      <c r="A954" s="9" t="s">
        <v>11450</v>
      </c>
      <c r="B954" s="9" t="s">
        <v>22410</v>
      </c>
    </row>
    <row r="955">
      <c r="A955" s="9" t="s">
        <v>11452</v>
      </c>
      <c r="B955" s="9" t="s">
        <v>22424</v>
      </c>
    </row>
    <row r="956">
      <c r="A956" s="9" t="s">
        <v>11454</v>
      </c>
      <c r="B956" s="9" t="s">
        <v>22439</v>
      </c>
    </row>
    <row r="957">
      <c r="A957" s="9" t="s">
        <v>11456</v>
      </c>
      <c r="B957" s="9" t="s">
        <v>22454</v>
      </c>
    </row>
    <row r="958">
      <c r="A958" s="9" t="s">
        <v>11460</v>
      </c>
      <c r="B958" s="9" t="s">
        <v>22482</v>
      </c>
    </row>
    <row r="959">
      <c r="A959" s="9" t="s">
        <v>11462</v>
      </c>
      <c r="B959" s="9" t="s">
        <v>22497</v>
      </c>
    </row>
    <row r="960">
      <c r="A960" s="9" t="s">
        <v>11464</v>
      </c>
      <c r="B960" s="9" t="s">
        <v>22512</v>
      </c>
    </row>
    <row r="961">
      <c r="A961" s="9" t="s">
        <v>11466</v>
      </c>
      <c r="B961" s="9">
        <v>9.4576468E7</v>
      </c>
    </row>
    <row r="962">
      <c r="A962" s="9" t="s">
        <v>11468</v>
      </c>
      <c r="B962" s="9" t="s">
        <v>22533</v>
      </c>
    </row>
    <row r="963">
      <c r="A963" s="9" t="s">
        <v>11470</v>
      </c>
      <c r="B963" s="9" t="s">
        <v>22549</v>
      </c>
    </row>
    <row r="964">
      <c r="A964" s="9" t="s">
        <v>11472</v>
      </c>
      <c r="B964" s="9" t="s">
        <v>22562</v>
      </c>
    </row>
    <row r="965">
      <c r="A965" s="9" t="s">
        <v>11474</v>
      </c>
      <c r="B965" s="9" t="s">
        <v>22576</v>
      </c>
    </row>
    <row r="966">
      <c r="A966" s="9" t="s">
        <v>11476</v>
      </c>
      <c r="B966" s="9" t="s">
        <v>22590</v>
      </c>
    </row>
    <row r="967">
      <c r="A967" s="9" t="s">
        <v>11482</v>
      </c>
      <c r="B967" s="9" t="s">
        <v>22626</v>
      </c>
    </row>
    <row r="968">
      <c r="A968" s="9" t="s">
        <v>11484</v>
      </c>
      <c r="B968" s="9" t="s">
        <v>22639</v>
      </c>
    </row>
    <row r="969">
      <c r="A969" s="9" t="s">
        <v>11486</v>
      </c>
      <c r="B969" s="9" t="s">
        <v>22651</v>
      </c>
    </row>
    <row r="970">
      <c r="A970" s="9" t="s">
        <v>11494</v>
      </c>
      <c r="B970" s="9" t="s">
        <v>22663</v>
      </c>
    </row>
    <row r="971">
      <c r="A971" s="9" t="s">
        <v>11496</v>
      </c>
      <c r="B971" s="9" t="s">
        <v>22676</v>
      </c>
    </row>
    <row r="972">
      <c r="A972" s="9" t="s">
        <v>11498</v>
      </c>
      <c r="B972" s="9">
        <v>9.6162387E7</v>
      </c>
    </row>
    <row r="973">
      <c r="A973" s="9" t="s">
        <v>11501</v>
      </c>
      <c r="B973" s="9" t="s">
        <v>22719</v>
      </c>
    </row>
    <row r="974">
      <c r="A974" s="9" t="s">
        <v>11503</v>
      </c>
      <c r="B974" s="9" t="s">
        <v>22731</v>
      </c>
    </row>
    <row r="975">
      <c r="A975" s="9" t="s">
        <v>11505</v>
      </c>
      <c r="B975" s="9" t="s">
        <v>22744</v>
      </c>
    </row>
    <row r="976">
      <c r="A976" s="9" t="s">
        <v>11507</v>
      </c>
      <c r="B976" s="9" t="s">
        <v>22756</v>
      </c>
    </row>
    <row r="977">
      <c r="A977" s="9" t="s">
        <v>11509</v>
      </c>
      <c r="B977" s="9" t="s">
        <v>22771</v>
      </c>
    </row>
    <row r="978">
      <c r="A978" s="9" t="s">
        <v>247</v>
      </c>
      <c r="B978" s="9" t="s">
        <v>22784</v>
      </c>
    </row>
    <row r="979">
      <c r="A979" s="9" t="s">
        <v>11516</v>
      </c>
      <c r="B979" s="9" t="s">
        <v>22798</v>
      </c>
    </row>
    <row r="980">
      <c r="A980" s="9" t="s">
        <v>11518</v>
      </c>
      <c r="B980" s="9" t="s">
        <v>22812</v>
      </c>
    </row>
    <row r="981">
      <c r="A981" s="9" t="s">
        <v>11520</v>
      </c>
      <c r="B981" s="9" t="s">
        <v>22826</v>
      </c>
    </row>
    <row r="982">
      <c r="A982" s="9" t="s">
        <v>11522</v>
      </c>
      <c r="B982" s="9" t="s">
        <v>22838</v>
      </c>
    </row>
    <row r="983">
      <c r="A983" s="9" t="s">
        <v>237</v>
      </c>
      <c r="B983" s="9" t="s">
        <v>27212</v>
      </c>
    </row>
    <row r="984">
      <c r="A984" s="9">
        <v>6.7551572E7</v>
      </c>
      <c r="B984" s="9" t="s">
        <v>22853</v>
      </c>
    </row>
    <row r="985">
      <c r="A985" s="9" t="s">
        <v>11528</v>
      </c>
      <c r="B985" s="9" t="s">
        <v>22853</v>
      </c>
    </row>
    <row r="986">
      <c r="A986" s="9" t="s">
        <v>11530</v>
      </c>
      <c r="B986" s="9" t="s">
        <v>22878</v>
      </c>
    </row>
    <row r="987">
      <c r="A987" s="9" t="s">
        <v>11498</v>
      </c>
      <c r="B987" s="9" t="s">
        <v>27229</v>
      </c>
    </row>
    <row r="988">
      <c r="A988" s="9" t="s">
        <v>11532</v>
      </c>
      <c r="B988" s="9" t="s">
        <v>22893</v>
      </c>
    </row>
    <row r="989">
      <c r="A989" s="9" t="s">
        <v>11534</v>
      </c>
      <c r="B989" s="9" t="s">
        <v>22907</v>
      </c>
    </row>
    <row r="990">
      <c r="A990" s="9" t="s">
        <v>11524</v>
      </c>
      <c r="B990" s="9" t="s">
        <v>22921</v>
      </c>
    </row>
    <row r="991">
      <c r="A991" s="9" t="s">
        <v>11537</v>
      </c>
      <c r="B991" s="9" t="s">
        <v>22937</v>
      </c>
    </row>
    <row r="992">
      <c r="A992" s="9" t="s">
        <v>11539</v>
      </c>
      <c r="B992" s="9" t="s">
        <v>22951</v>
      </c>
    </row>
    <row r="993">
      <c r="A993" s="9" t="s">
        <v>11541</v>
      </c>
      <c r="B993" s="9" t="s">
        <v>22965</v>
      </c>
    </row>
    <row r="994">
      <c r="A994" s="9" t="s">
        <v>11543</v>
      </c>
      <c r="B994" s="9" t="s">
        <v>22979</v>
      </c>
    </row>
    <row r="995">
      <c r="A995" s="9" t="s">
        <v>11547</v>
      </c>
      <c r="B995" s="9" t="s">
        <v>22993</v>
      </c>
    </row>
    <row r="996">
      <c r="A996" s="9" t="s">
        <v>11549</v>
      </c>
      <c r="B996" s="9" t="s">
        <v>22993</v>
      </c>
    </row>
    <row r="997">
      <c r="A997" s="9" t="s">
        <v>11551</v>
      </c>
      <c r="B997" s="9" t="s">
        <v>23018</v>
      </c>
    </row>
    <row r="998">
      <c r="A998" s="9" t="s">
        <v>11553</v>
      </c>
      <c r="B998" s="9" t="s">
        <v>23030</v>
      </c>
    </row>
    <row r="999">
      <c r="A999" s="9" t="s">
        <v>11556</v>
      </c>
      <c r="B999" s="9" t="s">
        <v>23044</v>
      </c>
    </row>
    <row r="1000">
      <c r="A1000" s="9" t="s">
        <v>11558</v>
      </c>
      <c r="B1000" s="9" t="s">
        <v>23058</v>
      </c>
    </row>
    <row r="1001">
      <c r="A1001" s="9" t="s">
        <v>11560</v>
      </c>
      <c r="B1001" s="9" t="s">
        <v>23073</v>
      </c>
    </row>
    <row r="1002">
      <c r="A1002" s="9" t="s">
        <v>11562</v>
      </c>
      <c r="B1002" s="9" t="s">
        <v>23086</v>
      </c>
    </row>
    <row r="1003">
      <c r="A1003" s="9" t="s">
        <v>11565</v>
      </c>
      <c r="B1003" s="9" t="s">
        <v>23098</v>
      </c>
    </row>
    <row r="1004">
      <c r="A1004" s="9" t="s">
        <v>11567</v>
      </c>
      <c r="B1004" s="9" t="s">
        <v>23110</v>
      </c>
    </row>
    <row r="1005">
      <c r="A1005" s="9" t="s">
        <v>11569</v>
      </c>
      <c r="B1005" s="9" t="s">
        <v>23119</v>
      </c>
    </row>
    <row r="1006">
      <c r="A1006" s="9" t="s">
        <v>11571</v>
      </c>
      <c r="B1006" s="9" t="s">
        <v>23134</v>
      </c>
    </row>
    <row r="1007">
      <c r="A1007" s="9" t="s">
        <v>259</v>
      </c>
      <c r="B1007" s="9" t="s">
        <v>23144</v>
      </c>
    </row>
    <row r="1008">
      <c r="A1008" s="9" t="s">
        <v>11574</v>
      </c>
      <c r="B1008" s="9" t="s">
        <v>23155</v>
      </c>
    </row>
    <row r="1009">
      <c r="A1009" s="9" t="s">
        <v>11576</v>
      </c>
      <c r="B1009" s="9" t="s">
        <v>23167</v>
      </c>
    </row>
    <row r="1010">
      <c r="A1010" s="9" t="s">
        <v>11578</v>
      </c>
      <c r="B1010" s="9" t="s">
        <v>23179</v>
      </c>
    </row>
    <row r="1011">
      <c r="A1011" s="9" t="s">
        <v>11583</v>
      </c>
      <c r="B1011" s="9" t="s">
        <v>23194</v>
      </c>
    </row>
    <row r="1012">
      <c r="A1012" s="9" t="s">
        <v>11585</v>
      </c>
      <c r="B1012" s="9" t="s">
        <v>23208</v>
      </c>
    </row>
    <row r="1013">
      <c r="A1013" s="9" t="s">
        <v>11589</v>
      </c>
      <c r="B1013" s="9" t="s">
        <v>23236</v>
      </c>
    </row>
    <row r="1014">
      <c r="A1014" s="9" t="s">
        <v>11587</v>
      </c>
      <c r="B1014" s="9" t="s">
        <v>27314</v>
      </c>
    </row>
    <row r="1015">
      <c r="A1015" s="9" t="s">
        <v>11580</v>
      </c>
      <c r="B1015" s="9" t="s">
        <v>23246</v>
      </c>
    </row>
    <row r="1016">
      <c r="A1016" s="9" t="s">
        <v>10230</v>
      </c>
      <c r="B1016" s="9" t="s">
        <v>23259</v>
      </c>
    </row>
    <row r="1017">
      <c r="A1017" s="9" t="s">
        <v>23273</v>
      </c>
      <c r="B1017" s="9" t="s">
        <v>23284</v>
      </c>
    </row>
    <row r="1018">
      <c r="A1018" s="9" t="s">
        <v>23288</v>
      </c>
      <c r="B1018" s="9" t="s">
        <v>23298</v>
      </c>
    </row>
    <row r="1019">
      <c r="A1019" s="9" t="s">
        <v>23302</v>
      </c>
      <c r="B1019" s="9" t="s">
        <v>27325</v>
      </c>
    </row>
    <row r="1020">
      <c r="A1020" s="9" t="s">
        <v>23317</v>
      </c>
      <c r="B1020" s="9" t="s">
        <v>23328</v>
      </c>
    </row>
    <row r="1021">
      <c r="A1021" s="9" t="s">
        <v>258</v>
      </c>
      <c r="B1021" s="9" t="s">
        <v>23339</v>
      </c>
    </row>
    <row r="1022">
      <c r="A1022" s="9" t="s">
        <v>23342</v>
      </c>
      <c r="B1022" s="9" t="s">
        <v>23356</v>
      </c>
    </row>
    <row r="1023">
      <c r="A1023" s="9" t="s">
        <v>23360</v>
      </c>
      <c r="B1023" s="9" t="s">
        <v>23369</v>
      </c>
    </row>
    <row r="1024">
      <c r="A1024" s="9" t="s">
        <v>23403</v>
      </c>
      <c r="B1024" s="9" t="s">
        <v>23412</v>
      </c>
    </row>
    <row r="1025">
      <c r="A1025" s="9" t="s">
        <v>23416</v>
      </c>
      <c r="B1025" s="9" t="s">
        <v>23426</v>
      </c>
    </row>
    <row r="1026">
      <c r="A1026" s="9" t="s">
        <v>23430</v>
      </c>
      <c r="B1026" s="9" t="s">
        <v>23438</v>
      </c>
    </row>
    <row r="1027">
      <c r="A1027" s="9" t="s">
        <v>23441</v>
      </c>
      <c r="B1027" s="9" t="s">
        <v>23449</v>
      </c>
    </row>
    <row r="1028">
      <c r="A1028" s="9" t="s">
        <v>23452</v>
      </c>
      <c r="B1028" s="9" t="s">
        <v>23460</v>
      </c>
    </row>
    <row r="1029">
      <c r="A1029" s="9" t="s">
        <v>23463</v>
      </c>
      <c r="B1029" s="9" t="s">
        <v>23475</v>
      </c>
    </row>
    <row r="1030">
      <c r="A1030" s="9" t="s">
        <v>250</v>
      </c>
      <c r="B1030" s="9" t="s">
        <v>23497</v>
      </c>
    </row>
    <row r="1031">
      <c r="A1031" s="9" t="s">
        <v>10269</v>
      </c>
      <c r="B1031" s="9" t="s">
        <v>26910</v>
      </c>
    </row>
    <row r="1032">
      <c r="A1032" s="9" t="s">
        <v>10679</v>
      </c>
      <c r="B1032" s="9" t="s">
        <v>19457</v>
      </c>
    </row>
    <row r="1033">
      <c r="A1033" s="9" t="s">
        <v>10467</v>
      </c>
      <c r="B1033" s="9" t="s">
        <v>14393</v>
      </c>
    </row>
    <row r="1034">
      <c r="A1034" s="9" t="s">
        <v>11655</v>
      </c>
      <c r="B1034" s="9" t="s">
        <v>17668</v>
      </c>
    </row>
    <row r="1035">
      <c r="A1035" s="9" t="s">
        <v>11983</v>
      </c>
      <c r="B1035" s="9" t="s">
        <v>18937</v>
      </c>
    </row>
    <row r="1036">
      <c r="A1036" s="9" t="s">
        <v>11750</v>
      </c>
      <c r="B1036" s="9" t="s">
        <v>19416</v>
      </c>
    </row>
    <row r="1037">
      <c r="A1037" s="9" t="s">
        <v>11942</v>
      </c>
      <c r="B1037" s="9" t="s">
        <v>20059</v>
      </c>
    </row>
    <row r="1038">
      <c r="A1038" s="9" t="s">
        <v>12125</v>
      </c>
      <c r="B1038" s="9" t="s">
        <v>26910</v>
      </c>
    </row>
    <row r="1039">
      <c r="A1039" s="9" t="s">
        <v>11377</v>
      </c>
      <c r="B1039" s="9" t="s">
        <v>27040</v>
      </c>
    </row>
    <row r="1040">
      <c r="A1040" s="9" t="s">
        <v>11377</v>
      </c>
      <c r="B1040" s="9" t="s">
        <v>19457</v>
      </c>
    </row>
    <row r="1041">
      <c r="A1041" s="9" t="s">
        <v>11381</v>
      </c>
      <c r="B1041" s="9" t="s">
        <v>26910</v>
      </c>
    </row>
    <row r="1042">
      <c r="A1042" s="9" t="s">
        <v>11383</v>
      </c>
      <c r="B1042" s="9" t="s">
        <v>26910</v>
      </c>
    </row>
    <row r="1043">
      <c r="A1043" s="9" t="s">
        <v>11394</v>
      </c>
      <c r="B1043" s="9" t="s">
        <v>19457</v>
      </c>
    </row>
    <row r="1044">
      <c r="A1044" s="9" t="s">
        <v>11411</v>
      </c>
      <c r="B1044" s="9" t="s">
        <v>19457</v>
      </c>
    </row>
    <row r="1045">
      <c r="A1045" s="9" t="s">
        <v>11587</v>
      </c>
      <c r="B1045" s="9" t="s">
        <v>26910</v>
      </c>
    </row>
    <row r="1046">
      <c r="A1046" s="9" t="s">
        <v>23302</v>
      </c>
      <c r="B1046" s="9" t="s">
        <v>27341</v>
      </c>
    </row>
  </sheetData>
  <drawing r:id="rId1"/>
</worksheet>
</file>